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Override PartName="/xl/ref/worksheets/sheet1.xml" ContentType="application/vnd.openxmlformats-officedocument.spreadsheetml.worksheet+xml"/>
  <Override PartName="/xl/ref/worksheets/sheet2.xml" ContentType="application/vnd.openxmlformats-officedocument.spreadsheetml.worksheet+xml"/>
  <Override PartName="/xl/ref/worksheets/sheet3.xml" ContentType="application/vnd.openxmlformats-officedocument.spreadsheetml.worksheet+xml"/>
  <Override PartName="/xl/ref/worksheets/sheet4.xml" ContentType="application/vnd.openxmlformats-officedocument.spreadsheetml.worksheet+xml"/>
  <Override PartName="/xl/ref/worksheets/sheet5.xml" ContentType="application/vnd.openxmlformats-officedocument.spreadsheetml.worksheet+xml"/>
  <Override PartName="/xl/ref/worksheets/sheet6.xml" ContentType="application/vnd.openxmlformats-officedocument.spreadsheetml.worksheet+xml"/>
  <Override PartName="/xl/ref/charts/chart1.xml" ContentType="application/vnd.openxmlformats-officedocument.drawingml.chart+xml"/>
  <Override PartName="/xl/ref/charts/chart2.xml" ContentType="application/vnd.openxmlformats-officedocument.drawingml.chart+xml"/>
  <Override PartName="/xl/ref/charts/chart3.xml" ContentType="application/vnd.openxmlformats-officedocument.drawingml.chart+xml"/>
  <Override PartName="/xl/ref/charts/chart4.xml" ContentType="application/vnd.openxmlformats-officedocument.drawingml.chart+xml"/>
  <Override PartName="/xl/ref/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bookViews>
    <workbookView xWindow="-108" yWindow="-108" windowWidth="23256" windowHeight="13896" activeTab="2" xr2:uid="{00E251EB-16EB-4842-86FD-DDC741B5DD06}"/>
  </bookViews>
  <sheets>
    <sheet name="THÔNG SỐ CHO TRƯỚC" sheetId="1" r:id="rId1"/>
    <sheet name="TÍNH TOÁN " sheetId="2" r:id="rId2"/>
    <sheet name="HD_THAM_KHAO" sheetId="3" r:id="rId100"/>
    <sheet name="THAM_SO_MOI" sheetId="4" r:id="rId101"/>
    <sheet name="TICH_PHAN_SO_V" sheetId="5" r:id="rId102"/>
    <sheet name="HANH_TRINH" sheetId="6" r:id="rId103"/>
    <sheet name="TONG_HOP" sheetId="7" r:id="rId104"/>
    <sheet name="DO_THI_MOI" sheetId="8" r:id="rId105"/>
  </sheets>
  <definedNames>
    <definedName name="_xlchart.v1.0" hidden="1">'TÍNH TOÁN '!$C$190:$C$194</definedName>
    <definedName name="_xlchart.v1.1" hidden="1">'TÍNH TOÁN '!$C$75:$C$80</definedName>
    <definedName name="_xlchart.v1.2" hidden="1">'TÍNH TOÁN '!$D$190:$D$194</definedName>
    <definedName name="_xlchart.v1.3" hidden="1">'TÍNH TOÁN '!$D$75:$D$80</definedName>
    <definedName name="_xlchart.v1.4" hidden="1">'TÍNH TOÁN '!$C$190:$C$194</definedName>
    <definedName name="_xlchart.v1.5" hidden="1">'TÍNH TOÁN '!$C$75:$C$80</definedName>
    <definedName name="_xlchart.v1.6" hidden="1">'TÍNH TOÁN '!$D$190:$D$194</definedName>
    <definedName name="_xlchart.v1.7" hidden="1">'TÍNH TOÁN '!$D$75:$D$80</definedName>
    <definedName name="_xlnm._FilterDatabase" localSheetId="5" hidden="1">HANH_TRINH!$A$5:$V$4891</definedName>
    <definedName name="_xlnm._FilterDatabase" localSheetId="4" hidden="1">TICH_PHAN_SO_V!$A$5:$V$1607</definedName>
  </definedNames>
  <calcPr calcId="191029" calcMode="auto" fullCalcOnLoad="1"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B5" authorId="0" shapeId="0" xr:uid="{2CEAA84B-2DC6-4C1F-8A86-2256C2E81AC8}">
      <text>
        <r>
          <rPr>
            <sz val="9"/>
            <color indexed="81"/>
            <rFont val="Tahoma"/>
            <family val="2"/>
          </rPr>
          <t xml:space="preserve">
</t>
        </r>
      </text>
    </comment>
    <comment ref="B19" authorId="0" shapeId="0" xr:uid="{AEE53B99-DAE1-4C2A-804D-C380CFD4D9AE}">
      <text>
        <r>
          <rPr>
            <sz val="9"/>
            <color indexed="81"/>
            <rFont val="Tahoma"/>
            <family val="2"/>
          </rPr>
          <t xml:space="preserve">
</t>
        </r>
      </text>
    </comment>
    <comment ref="G23" authorId="0" shapeId="0" xr:uid="{C2AB8E7B-A712-4BD6-970D-939A37A34C25}">
      <text>
        <r>
          <rPr>
            <sz val="9"/>
            <color indexed="81"/>
            <rFont val="Tahoma"/>
            <family val="2"/>
          </rPr>
          <t xml:space="preserve">
</t>
        </r>
      </text>
    </comment>
    <comment ref="G24" authorId="0" shapeId="0" xr:uid="{052D6303-218C-4F76-8742-3822519E002F}">
      <text>
        <r>
          <rPr>
            <sz val="9"/>
            <color indexed="81"/>
            <rFont val="Tahoma"/>
            <family val="2"/>
          </rPr>
          <t xml:space="preserve">
</t>
        </r>
      </text>
    </comment>
    <comment ref="G25" authorId="0" shapeId="0" xr:uid="{AA87E2CE-5097-4D54-A398-AE58F184DF98}">
      <text>
        <r>
          <rPr>
            <sz val="9"/>
            <color indexed="81"/>
            <rFont val="Tahoma"/>
            <family val="2"/>
          </rPr>
          <t xml:space="preserve">
</t>
        </r>
      </text>
    </comment>
    <comment ref="G26" authorId="0" shapeId="0" xr:uid="{78F7F6AA-E7E8-4E22-983E-33923E7BEA7B}">
      <text>
        <r>
          <rPr>
            <sz val="9"/>
            <color indexed="81"/>
            <rFont val="Tahoma"/>
            <family val="2"/>
          </rPr>
          <t xml:space="preserve">
</t>
        </r>
      </text>
    </comment>
    <comment ref="G27" authorId="0" shapeId="0" xr:uid="{437FBF56-814C-43C3-BC7A-ABC4D64EC48B}">
      <text>
        <r>
          <rPr>
            <sz val="9"/>
            <color indexed="81"/>
            <rFont val="Tahoma"/>
            <family val="2"/>
          </rPr>
          <t xml:space="preserve">
</t>
        </r>
      </text>
    </comment>
    <comment ref="G28" authorId="0" shapeId="0" xr:uid="{7990BE0B-F6B1-43AB-B567-6E90C85567E4}">
      <text>
        <r>
          <rPr>
            <sz val="9"/>
            <color indexed="81"/>
            <rFont val="Tahoma"/>
            <family val="2"/>
          </rPr>
          <t xml:space="preserve">
</t>
        </r>
      </text>
    </comment>
    <comment ref="G29" authorId="0" shapeId="0" xr:uid="{822C428C-A538-44EC-86EF-CE866B61FADD}">
      <text>
        <r>
          <rPr>
            <sz val="9"/>
            <color indexed="81"/>
            <rFont val="Tahoma"/>
            <family val="2"/>
          </rPr>
          <t xml:space="preserve">
</t>
        </r>
      </text>
    </comment>
    <comment ref="G30" authorId="0" shapeId="0" xr:uid="{1C8BE471-A2D7-419F-A1BB-9C8E1525A689}">
      <text>
        <r>
          <rPr>
            <sz val="9"/>
            <color indexed="81"/>
            <rFont val="Tahoma"/>
            <family val="2"/>
          </rPr>
          <t xml:space="preserve">
</t>
        </r>
      </text>
    </comment>
    <comment ref="G31" authorId="0" shapeId="0" xr:uid="{14B36F1D-458B-4E98-B85E-63D19123189C}">
      <text>
        <r>
          <rPr>
            <sz val="9"/>
            <color indexed="81"/>
            <rFont val="Tahoma"/>
            <family val="2"/>
          </rPr>
          <t xml:space="preserve">
</t>
        </r>
      </text>
    </comment>
    <comment ref="G32" authorId="0" shapeId="0" xr:uid="{C94AEE4D-3280-4D80-91BC-48E1444FEB05}">
      <text>
        <r>
          <rPr>
            <sz val="9"/>
            <color indexed="81"/>
            <rFont val="Tahoma"/>
            <family val="2"/>
          </rPr>
          <t xml:space="preserve">
</t>
        </r>
      </text>
    </comment>
    <comment ref="G33" authorId="0" shapeId="0" xr:uid="{D1DBD8A5-9AA5-4E82-803E-6C5936B46A3F}">
      <text>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Administrator</author>
    <author>PC</author>
  </authors>
  <commentList>
    <comment ref="G6" authorId="0" shapeId="0" xr:uid="{216063EB-6070-46D6-92C1-1B6B25858B15}">
      <text/>
    </comment>
    <comment ref="G7" authorId="0" shapeId="0" xr:uid="{B6AD026C-2C3E-4680-B7BE-4688DD044A7A}">
      <text>
        <r>
          <rPr>
            <sz val="9"/>
            <color indexed="81"/>
            <rFont val="Tahoma"/>
            <family val="2"/>
          </rPr>
          <t xml:space="preserve">
</t>
        </r>
      </text>
    </comment>
    <comment ref="G8" authorId="0" shapeId="0" xr:uid="{0D7F9979-2A7E-43C6-8180-B06C5085FA94}">
      <text>
        <r>
          <rPr>
            <sz val="9"/>
            <color indexed="81"/>
            <rFont val="Tahoma"/>
            <family val="2"/>
          </rPr>
          <t xml:space="preserve">
</t>
        </r>
      </text>
    </comment>
    <comment ref="G9" authorId="0" shapeId="0" xr:uid="{7929FA62-54D0-45CE-ABDE-50D093BEA62C}">
      <text>
        <r>
          <rPr>
            <sz val="9"/>
            <color indexed="81"/>
            <rFont val="Tahoma"/>
            <family val="2"/>
          </rPr>
          <t xml:space="preserve">
</t>
        </r>
      </text>
    </comment>
    <comment ref="G14" authorId="0" shapeId="0" xr:uid="{2CE2A790-8483-46A8-AC5E-F3FE7AA73039}">
      <text/>
    </comment>
    <comment ref="G15" authorId="0" shapeId="0" xr:uid="{38F34FCC-9F58-4E80-B0A3-7BB1D4298D84}">
      <text>
        <r>
          <rPr>
            <sz val="9"/>
            <color indexed="81"/>
            <rFont val="Tahoma"/>
            <family val="2"/>
          </rPr>
          <t xml:space="preserve">
</t>
        </r>
      </text>
    </comment>
    <comment ref="G26" authorId="0" shapeId="0" xr:uid="{FA15F62F-7582-4F4C-9998-A04A60B7F393}">
      <text>
        <r>
          <rPr>
            <sz val="9"/>
            <color indexed="81"/>
            <rFont val="Tahoma"/>
            <family val="2"/>
          </rPr>
          <t xml:space="preserve">
</t>
        </r>
      </text>
    </comment>
    <comment ref="G27" authorId="0" shapeId="0" xr:uid="{18B428E5-A79A-468C-993C-C5AA0E5C3F9E}">
      <text>
        <r>
          <rPr>
            <sz val="9"/>
            <color indexed="81"/>
            <rFont val="Tahoma"/>
            <family val="2"/>
          </rPr>
          <t xml:space="preserve">
</t>
        </r>
      </text>
    </comment>
    <comment ref="G28" authorId="0" shapeId="0" xr:uid="{34D9EE2A-94AB-4AA7-B892-53F2832376F0}">
      <text>
        <r>
          <rPr>
            <sz val="9"/>
            <color indexed="81"/>
            <rFont val="Tahoma"/>
            <family val="2"/>
          </rPr>
          <t xml:space="preserve">
</t>
        </r>
      </text>
    </comment>
    <comment ref="C34" authorId="0" shapeId="0" xr:uid="{7C95B0F4-6A80-4FC1-9BB7-96B76C7BD749}">
      <text>
        <r>
          <rPr>
            <sz val="9"/>
            <color indexed="81"/>
            <rFont val="Tahoma"/>
            <family val="2"/>
          </rPr>
          <t xml:space="preserve">
</t>
        </r>
      </text>
    </comment>
    <comment ref="E34" authorId="0" shapeId="0" xr:uid="{8AFD5581-EAD4-4989-B811-6E43BD43FF72}">
      <text>
        <r>
          <rPr>
            <sz val="9"/>
            <color indexed="81"/>
            <rFont val="Tahoma"/>
            <family val="2"/>
          </rPr>
          <t xml:space="preserve">
</t>
        </r>
      </text>
    </comment>
    <comment ref="G45" authorId="1" shapeId="0" xr:uid="{554DBCE9-5682-441B-B39D-226E9DF74CB9}">
      <text/>
    </comment>
    <comment ref="G46" authorId="1" shapeId="0" xr:uid="{A2780435-B845-484B-B9F7-E5B5D3C32B8D}">
      <text/>
    </comment>
    <comment ref="G48" authorId="1" shapeId="0" xr:uid="{C68779E2-1968-44DC-9590-99757C1B2409}">
      <text>
        <r>
          <rPr>
            <sz val="9"/>
            <color indexed="81"/>
            <rFont val="Tahoma"/>
            <family val="2"/>
            <charset val="163"/>
          </rPr>
          <t xml:space="preserve">
</t>
        </r>
      </text>
    </comment>
    <comment ref="G49" authorId="1" shapeId="0" xr:uid="{78AD6FEE-8B13-44C8-AFC3-B3123816B06F}">
      <text/>
    </comment>
    <comment ref="G50" authorId="1" shapeId="0" xr:uid="{2B98C022-AC48-43B0-92CC-DB7A0D93FDD1}">
      <text/>
    </comment>
    <comment ref="G52" authorId="1" shapeId="0" xr:uid="{87E293D6-5858-4BE9-9B24-6517432FA9A0}">
      <text/>
    </comment>
    <comment ref="G53" authorId="1" shapeId="0" xr:uid="{D9553019-FAAF-4AC0-8E15-DF8A86465AB6}">
      <text/>
    </comment>
    <comment ref="G54" authorId="1" shapeId="0" xr:uid="{D6DE34E9-93D3-4401-9471-A5B5898A37C2}">
      <text/>
    </comment>
    <comment ref="G56" authorId="1" shapeId="0" xr:uid="{9DC9E035-1C47-4DAA-9BCC-2F7833172805}">
      <text/>
    </comment>
    <comment ref="G58" authorId="1" shapeId="0" xr:uid="{A1D27F36-3730-4A5B-ACF9-73CA5DD438F2}">
      <text/>
    </comment>
    <comment ref="G60" authorId="1" shapeId="0" xr:uid="{9C45603B-41AE-41D1-BCEC-EABB98E65990}">
      <text/>
    </comment>
    <comment ref="G61" authorId="1" shapeId="0" xr:uid="{82A791D7-8EE7-467E-BBB1-985B2CEAA949}">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valueMetadata count="4">
    <bk>
      <rc t="1" v="0"/>
    </bk>
    <bk>
      <rc t="1" v="1"/>
    </bk>
    <bk>
      <rc t="1" v="2"/>
    </bk>
    <bk>
      <rc t="1" v="3"/>
    </bk>
  </valueMetadata>
</metadata>
</file>

<file path=xl/sharedStrings.xml><?xml version="1.0" encoding="utf-8"?>
<sst xmlns="http://schemas.openxmlformats.org/spreadsheetml/2006/main" count="20112" uniqueCount="447">
  <si>
    <t>STT</t>
  </si>
  <si>
    <t>Tên thông số / Đại lượng</t>
  </si>
  <si>
    <t>Ký hiệu</t>
  </si>
  <si>
    <t>Giá trị</t>
  </si>
  <si>
    <t>Đơn vị</t>
  </si>
  <si>
    <t>Nguồn gốc / Ghi chú</t>
  </si>
  <si>
    <t>Loại ô tô</t>
  </si>
  <si>
    <t>-</t>
  </si>
  <si>
    <t>Tải</t>
  </si>
  <si>
    <t>Đề bài cho</t>
  </si>
  <si>
    <t>Số người chở (kể cả người lái)</t>
  </si>
  <si>
    <t>người</t>
  </si>
  <si>
    <t>Tải trọng bản thân</t>
  </si>
  <si>
    <t>kG</t>
  </si>
  <si>
    <t>Tải trọng định mức</t>
  </si>
  <si>
    <t>Hệ số phân bố cầu trước</t>
  </si>
  <si>
    <t>Hệ số phân bố cầu sau</t>
  </si>
  <si>
    <t>Vận tốc cực đại</t>
  </si>
  <si>
    <t>km/h</t>
  </si>
  <si>
    <t>Sức cản lớn nhất của đường</t>
  </si>
  <si>
    <t>Lắp động cơ đốt trong</t>
  </si>
  <si>
    <t>Diesel</t>
  </si>
  <si>
    <t>Khối lượng một người</t>
  </si>
  <si>
    <t>Tra chọn theo tiêu chuẩn thiết kế</t>
  </si>
  <si>
    <t>Hệ số cản mặt đường ở v_max</t>
  </si>
  <si>
    <t>Tra chọn đường nhựa tốt</t>
  </si>
  <si>
    <t>Hệ số cản không khí</t>
  </si>
  <si>
    <t>K</t>
  </si>
  <si>
    <t>Tra chọn sơ bộ cho xe tải</t>
  </si>
  <si>
    <t>Diện tích cản chính diện</t>
  </si>
  <si>
    <t>F</t>
  </si>
  <si>
    <t>Tra chọn sơ bộ theo B*H</t>
  </si>
  <si>
    <t>Hiệu suất hệ thống truyền lực</t>
  </si>
  <si>
    <t>BÀI TẬP LỚN LÝ THUYẾT Ô TÔ - TÍNH TOÁN ĐỘNG LỰC HỌC Ô TÔ TẢI</t>
  </si>
  <si>
    <t>NHÓM SỐ 2 - ĐỘNG CƠ DIESEL</t>
  </si>
  <si>
    <t>Ψ</t>
  </si>
  <si>
    <t>λ</t>
  </si>
  <si>
    <t>Trọng lượng toàn bộ</t>
  </si>
  <si>
    <t>G</t>
  </si>
  <si>
    <t>Tải trọng phân bố lên cầu trước</t>
  </si>
  <si>
    <t>Tải trọng phân bố lên cầu sau</t>
  </si>
  <si>
    <t>Số lốp xe ở cầu sau (bánh kép)</t>
  </si>
  <si>
    <t>lốp</t>
  </si>
  <si>
    <t>Tải trọng tác dụng lên 1 lốp sau</t>
  </si>
  <si>
    <t>Ký hiệu lốp chọn sơ bộ</t>
  </si>
  <si>
    <t>kW</t>
  </si>
  <si>
    <t>THÔNG SỐ CHO TRƯỚC</t>
  </si>
  <si>
    <t>THÔNG SỐ CẦN CHỌN</t>
  </si>
  <si>
    <t>Hệ số cản lăn</t>
  </si>
  <si>
    <t>f</t>
  </si>
  <si>
    <t xml:space="preserve">Độ dốc </t>
  </si>
  <si>
    <t>i</t>
  </si>
  <si>
    <t>độ</t>
  </si>
  <si>
    <t>Công thức</t>
  </si>
  <si>
    <t xml:space="preserve">Xe chỉ có đạt được vận tốc max khi đi trên đường bằng phẳng </t>
  </si>
  <si>
    <r>
      <t>m</t>
    </r>
    <r>
      <rPr>
        <vertAlign val="superscript"/>
        <sz val="12"/>
        <color theme="1"/>
        <rFont val="Times New Roman"/>
        <family val="1"/>
      </rPr>
      <t>2</t>
    </r>
  </si>
  <si>
    <r>
      <t>N.s</t>
    </r>
    <r>
      <rPr>
        <vertAlign val="superscript"/>
        <sz val="12"/>
        <color theme="1"/>
        <rFont val="Times New Roman"/>
        <family val="1"/>
      </rPr>
      <t>2</t>
    </r>
    <r>
      <rPr>
        <sz val="12"/>
        <color theme="1"/>
        <rFont val="Times New Roman"/>
        <family val="1"/>
      </rPr>
      <t>/m</t>
    </r>
    <r>
      <rPr>
        <vertAlign val="superscript"/>
        <sz val="12"/>
        <color theme="1"/>
        <rFont val="Times New Roman"/>
        <family val="1"/>
      </rPr>
      <t>4</t>
    </r>
  </si>
  <si>
    <t>Tra chọn sơ bộ với ô tô truyền lực chính 
hai cấp</t>
  </si>
  <si>
    <t>Tỷ lệ số vòng quay cực đại</t>
  </si>
  <si>
    <t>Số vòng quay lớn nhất của động cơ</t>
  </si>
  <si>
    <t>Hệ số biến dạng lốp</t>
  </si>
  <si>
    <t>Hệ số thực nghiệm Leyderman a</t>
  </si>
  <si>
    <t>Hệ số thực nghiệm Leyderman b</t>
  </si>
  <si>
    <t>Hệ số thực nghiệm Leyderman c</t>
  </si>
  <si>
    <t>a</t>
  </si>
  <si>
    <t>b</t>
  </si>
  <si>
    <t>c</t>
  </si>
  <si>
    <t>Tra cứu - chọn số liệu</t>
  </si>
  <si>
    <t>vòng/phút</t>
  </si>
  <si>
    <t>Tra cứu - chọn số liệu với động cơ diesel 
buồng cháy trực tiếp</t>
  </si>
  <si>
    <t>Công thức / Nguồn (Trang cắt ảnh)</t>
  </si>
  <si>
    <t>Bán kính làm việc trung bình</t>
  </si>
  <si>
    <t>m</t>
  </si>
  <si>
    <t>Công suất yêu cầu ở v_max</t>
  </si>
  <si>
    <t>Công suất cực đại động cơ</t>
  </si>
  <si>
    <t xml:space="preserve">Tra cứu công thức </t>
  </si>
  <si>
    <t>TÍNH TOÁN TRỌNG LƯỢNG</t>
  </si>
  <si>
    <t>Tỉ lệ phân bố cho trước của
cầu trước là 0.3</t>
  </si>
  <si>
    <t>Tỉ lệ phân bố cho trước của
cầu sau là 0.7</t>
  </si>
  <si>
    <t>_</t>
  </si>
  <si>
    <t>Xe tải để chịu được tải trọng lớn ở phía
 sau thì bắt buộc cầu sau phải dùng lốp kép (mỗi bên 2 lốp, tổng là 4 lốp).</t>
  </si>
  <si>
    <t xml:space="preserve">Tra cứu </t>
  </si>
  <si>
    <t>Bán kính thiết kế</t>
  </si>
  <si>
    <t>Bề mặt lốp</t>
  </si>
  <si>
    <t>Đường kính vành</t>
  </si>
  <si>
    <t>d</t>
  </si>
  <si>
    <t>B</t>
  </si>
  <si>
    <t>inch</t>
  </si>
  <si>
    <t xml:space="preserve">Từ ký hiệu lốp </t>
  </si>
  <si>
    <t>Công suất thắng lực cản lăn</t>
  </si>
  <si>
    <t>Công suất thắng lực cản không khí</t>
  </si>
  <si>
    <t>Công suất tổng cộng 
tại bánh xe chủ động</t>
  </si>
  <si>
    <t>Tách từ công thức tổng Nv</t>
  </si>
  <si>
    <t>Vòng quay định mức</t>
  </si>
  <si>
    <t>Đặc tính tốc độ ngoài của động cơ</t>
  </si>
  <si>
    <t xml:space="preserve">Cách thực hiện </t>
  </si>
  <si>
    <t>Ta chọn lần lượt các giá trị ne trong khoảng cầm chừng đến khi 
đạt cực đại sau đó áp dụng công thức để tính Ne , Me để vẽ được đồ thị</t>
  </si>
  <si>
    <r>
      <t>Khoảng chọn n</t>
    </r>
    <r>
      <rPr>
        <b/>
        <vertAlign val="subscript"/>
        <sz val="12"/>
        <color theme="1"/>
        <rFont val="Times New Roman"/>
        <family val="1"/>
      </rPr>
      <t>e</t>
    </r>
  </si>
  <si>
    <t>từ 800 vòng/phút đến 2889 vòng/phút</t>
  </si>
  <si>
    <r>
      <t>n</t>
    </r>
    <r>
      <rPr>
        <b/>
        <vertAlign val="subscript"/>
        <sz val="12"/>
        <color theme="1"/>
        <rFont val="Times New Roman"/>
        <family val="1"/>
      </rPr>
      <t>e</t>
    </r>
    <r>
      <rPr>
        <b/>
        <sz val="12"/>
        <color theme="1"/>
        <rFont val="Times New Roman"/>
        <family val="1"/>
      </rPr>
      <t xml:space="preserve"> ( vòng/phút )</t>
    </r>
  </si>
  <si>
    <r>
      <t>N</t>
    </r>
    <r>
      <rPr>
        <b/>
        <vertAlign val="subscript"/>
        <sz val="12"/>
        <color theme="1"/>
        <rFont val="Times New Roman"/>
        <family val="1"/>
      </rPr>
      <t>e</t>
    </r>
    <r>
      <rPr>
        <b/>
        <sz val="12"/>
        <color theme="1"/>
        <rFont val="Times New Roman"/>
        <family val="1"/>
      </rPr>
      <t xml:space="preserve"> (kW)</t>
    </r>
  </si>
  <si>
    <r>
      <t>M</t>
    </r>
    <r>
      <rPr>
        <b/>
        <vertAlign val="subscript"/>
        <sz val="12"/>
        <color theme="1"/>
        <rFont val="Times New Roman"/>
        <family val="1"/>
      </rPr>
      <t>e</t>
    </r>
    <r>
      <rPr>
        <b/>
        <sz val="12"/>
        <color theme="1"/>
        <rFont val="Times New Roman"/>
        <family val="1"/>
      </rPr>
      <t xml:space="preserve"> (N.m)</t>
    </r>
  </si>
  <si>
    <t>Tỷ số truyền của hộp số ở số truyền cao nhất</t>
  </si>
  <si>
    <t>Chọn theo sách</t>
  </si>
  <si>
    <t>Tỷ số truyền của hộp số phụ hay hộp phân phối ở số cau</t>
  </si>
  <si>
    <t>chọn theo sách</t>
  </si>
  <si>
    <r>
      <t>v</t>
    </r>
    <r>
      <rPr>
        <vertAlign val="subscript"/>
        <sz val="11"/>
        <color theme="1"/>
        <rFont val="Calibri"/>
        <family val="2"/>
        <charset val="163"/>
        <scheme val="minor"/>
      </rPr>
      <t>max</t>
    </r>
  </si>
  <si>
    <t>m/s</t>
  </si>
  <si>
    <t>Tỷ số truyền của truyền lực chính</t>
  </si>
  <si>
    <t>Tra cứu công thức</t>
  </si>
  <si>
    <t>Số cấp</t>
  </si>
  <si>
    <t>n</t>
  </si>
  <si>
    <t>tra theo sách</t>
  </si>
  <si>
    <t>hiệu suất truyền lực</t>
  </si>
  <si>
    <t>Trọng lực toàn bộ</t>
  </si>
  <si>
    <t>N</t>
  </si>
  <si>
    <t>Tỷ số truyền ở số I của hộp số</t>
  </si>
  <si>
    <t>Chọn tỷ số truyền ở số I của hộp số</t>
  </si>
  <si>
    <t>Công bội</t>
  </si>
  <si>
    <t>q</t>
  </si>
  <si>
    <t>Tỷ số truyền thứ 1</t>
  </si>
  <si>
    <t>Tỷ số truyền thứ 2</t>
  </si>
  <si>
    <t>Tỷ số truyền thứ 3</t>
  </si>
  <si>
    <t>Tỷ số truyền thứ 4</t>
  </si>
  <si>
    <t>Tỷ số truyền thứ 5</t>
  </si>
  <si>
    <t>Hệ số bám</t>
  </si>
  <si>
    <t>Tỷ số truyền của hệ thống truyền lực thứ 1</t>
  </si>
  <si>
    <t>Tỷ số truyền của hệ thống truyền lực thứ 2</t>
  </si>
  <si>
    <t>Tỷ số truyền của hệ thống truyền lực thứ 3</t>
  </si>
  <si>
    <t>Tỷ số truyền của hệ thống truyền lực thứ 4</t>
  </si>
  <si>
    <t>Tỷ số truyền của hệ thống truyền lực thứ 5</t>
  </si>
  <si>
    <r>
      <t>i</t>
    </r>
    <r>
      <rPr>
        <vertAlign val="subscript"/>
        <sz val="11"/>
        <color theme="1"/>
        <rFont val="Calibri"/>
        <family val="2"/>
        <charset val="163"/>
        <scheme val="minor"/>
      </rPr>
      <t>t1</t>
    </r>
  </si>
  <si>
    <r>
      <t>i</t>
    </r>
    <r>
      <rPr>
        <vertAlign val="subscript"/>
        <sz val="11"/>
        <color theme="1"/>
        <rFont val="Calibri"/>
        <family val="2"/>
        <charset val="163"/>
        <scheme val="minor"/>
      </rPr>
      <t>t2</t>
    </r>
  </si>
  <si>
    <r>
      <t>i</t>
    </r>
    <r>
      <rPr>
        <vertAlign val="subscript"/>
        <sz val="11"/>
        <color theme="1"/>
        <rFont val="Calibri"/>
        <family val="2"/>
        <charset val="163"/>
        <scheme val="minor"/>
      </rPr>
      <t>t3</t>
    </r>
    <r>
      <rPr>
        <sz val="11"/>
        <color theme="1"/>
        <rFont val="Calibri"/>
        <family val="2"/>
        <charset val="163"/>
        <scheme val="minor"/>
      </rPr>
      <t/>
    </r>
  </si>
  <si>
    <r>
      <t>i</t>
    </r>
    <r>
      <rPr>
        <vertAlign val="subscript"/>
        <sz val="11"/>
        <color theme="1"/>
        <rFont val="Calibri"/>
        <family val="2"/>
        <charset val="163"/>
        <scheme val="minor"/>
      </rPr>
      <t>t4</t>
    </r>
    <r>
      <rPr>
        <sz val="11"/>
        <color theme="1"/>
        <rFont val="Calibri"/>
        <family val="2"/>
        <charset val="163"/>
        <scheme val="minor"/>
      </rPr>
      <t/>
    </r>
  </si>
  <si>
    <r>
      <t>i</t>
    </r>
    <r>
      <rPr>
        <vertAlign val="subscript"/>
        <sz val="11"/>
        <color theme="1"/>
        <rFont val="Calibri"/>
        <family val="2"/>
        <charset val="163"/>
        <scheme val="minor"/>
      </rPr>
      <t>t5</t>
    </r>
    <r>
      <rPr>
        <sz val="11"/>
        <color theme="1"/>
        <rFont val="Calibri"/>
        <family val="2"/>
        <charset val="163"/>
        <scheme val="minor"/>
      </rPr>
      <t/>
    </r>
  </si>
  <si>
    <r>
      <t>Ta chọn lần lượt các giá trị ne trong khoảng cầm chừng đến khi 
đạt cực đại sau đó áp dụng công thức để tính v và N</t>
    </r>
    <r>
      <rPr>
        <b/>
        <vertAlign val="subscript"/>
        <sz val="12"/>
        <color theme="1"/>
        <rFont val="Times New Roman"/>
        <family val="1"/>
        <charset val="163"/>
      </rPr>
      <t>k</t>
    </r>
    <r>
      <rPr>
        <b/>
        <sz val="12"/>
        <color theme="1"/>
        <rFont val="Times New Roman"/>
        <family val="1"/>
        <charset val="163"/>
      </rPr>
      <t xml:space="preserve"> để vẽ được đồ thị</t>
    </r>
  </si>
  <si>
    <t xml:space="preserve">Vận tốc xe và công suất kéo tại bánh ứng với vòng quay động cơ ở năm cấp số truyền </t>
  </si>
  <si>
    <t xml:space="preserve">Các công suất cản </t>
  </si>
  <si>
    <t>v(m/s)</t>
  </si>
  <si>
    <r>
      <t>N</t>
    </r>
    <r>
      <rPr>
        <b/>
        <vertAlign val="subscript"/>
        <sz val="11"/>
        <color theme="1"/>
        <rFont val="Calibri"/>
        <family val="2"/>
        <charset val="163"/>
        <scheme val="minor"/>
      </rPr>
      <t>f</t>
    </r>
    <r>
      <rPr>
        <b/>
        <sz val="11"/>
        <color theme="1"/>
        <rFont val="Calibri"/>
        <family val="2"/>
        <charset val="163"/>
        <scheme val="minor"/>
      </rPr>
      <t>(kW)</t>
    </r>
  </si>
  <si>
    <r>
      <t>N</t>
    </r>
    <r>
      <rPr>
        <b/>
        <vertAlign val="subscript"/>
        <sz val="11"/>
        <color theme="1"/>
        <rFont val="Calibri"/>
        <family val="2"/>
        <charset val="163"/>
        <scheme val="minor"/>
      </rPr>
      <t>W</t>
    </r>
    <r>
      <rPr>
        <b/>
        <sz val="11"/>
        <color theme="1"/>
        <rFont val="Calibri"/>
        <family val="2"/>
        <charset val="163"/>
        <scheme val="minor"/>
      </rPr>
      <t>(kW)</t>
    </r>
  </si>
  <si>
    <r>
      <t>N</t>
    </r>
    <r>
      <rPr>
        <b/>
        <vertAlign val="subscript"/>
        <sz val="11"/>
        <color theme="1"/>
        <rFont val="Calibri"/>
        <family val="2"/>
        <charset val="163"/>
        <scheme val="minor"/>
      </rPr>
      <t>c</t>
    </r>
    <r>
      <rPr>
        <b/>
        <sz val="11"/>
        <color theme="1"/>
        <rFont val="Calibri"/>
        <family val="2"/>
        <charset val="163"/>
        <scheme val="minor"/>
      </rPr>
      <t>(kW)</t>
    </r>
  </si>
  <si>
    <r>
      <t>V</t>
    </r>
    <r>
      <rPr>
        <b/>
        <vertAlign val="subscript"/>
        <sz val="11"/>
        <color theme="1"/>
        <rFont val="Calibri"/>
        <family val="2"/>
        <charset val="163"/>
        <scheme val="minor"/>
      </rPr>
      <t>1</t>
    </r>
  </si>
  <si>
    <r>
      <t>V</t>
    </r>
    <r>
      <rPr>
        <b/>
        <vertAlign val="subscript"/>
        <sz val="11"/>
        <color theme="1"/>
        <rFont val="Calibri"/>
        <family val="2"/>
        <charset val="163"/>
        <scheme val="minor"/>
      </rPr>
      <t>2</t>
    </r>
  </si>
  <si>
    <r>
      <t>V</t>
    </r>
    <r>
      <rPr>
        <b/>
        <vertAlign val="subscript"/>
        <sz val="11"/>
        <color theme="1"/>
        <rFont val="Calibri"/>
        <family val="2"/>
        <charset val="163"/>
        <scheme val="minor"/>
      </rPr>
      <t>3</t>
    </r>
    <r>
      <rPr>
        <sz val="11"/>
        <color theme="1"/>
        <rFont val="Calibri"/>
        <family val="2"/>
        <charset val="163"/>
        <scheme val="minor"/>
      </rPr>
      <t/>
    </r>
  </si>
  <si>
    <r>
      <t>V</t>
    </r>
    <r>
      <rPr>
        <b/>
        <vertAlign val="subscript"/>
        <sz val="11"/>
        <color theme="1"/>
        <rFont val="Calibri"/>
        <family val="2"/>
        <charset val="163"/>
        <scheme val="minor"/>
      </rPr>
      <t>4</t>
    </r>
    <r>
      <rPr>
        <sz val="11"/>
        <color theme="1"/>
        <rFont val="Calibri"/>
        <family val="2"/>
        <charset val="163"/>
        <scheme val="minor"/>
      </rPr>
      <t/>
    </r>
  </si>
  <si>
    <r>
      <t>V</t>
    </r>
    <r>
      <rPr>
        <b/>
        <vertAlign val="subscript"/>
        <sz val="11"/>
        <color theme="1"/>
        <rFont val="Calibri"/>
        <family val="2"/>
        <charset val="163"/>
        <scheme val="minor"/>
      </rPr>
      <t>5</t>
    </r>
    <r>
      <rPr>
        <sz val="11"/>
        <color theme="1"/>
        <rFont val="Calibri"/>
        <family val="2"/>
        <charset val="163"/>
        <scheme val="minor"/>
      </rPr>
      <t/>
    </r>
  </si>
  <si>
    <r>
      <t>N</t>
    </r>
    <r>
      <rPr>
        <b/>
        <vertAlign val="subscript"/>
        <sz val="11"/>
        <color theme="1"/>
        <rFont val="Calibri"/>
        <family val="2"/>
        <charset val="163"/>
        <scheme val="minor"/>
      </rPr>
      <t>k</t>
    </r>
  </si>
  <si>
    <r>
      <t>P</t>
    </r>
    <r>
      <rPr>
        <vertAlign val="subscript"/>
        <sz val="11"/>
        <color theme="1"/>
        <rFont val="Calibri"/>
        <family val="2"/>
        <charset val="163"/>
        <scheme val="minor"/>
      </rPr>
      <t>k1</t>
    </r>
  </si>
  <si>
    <r>
      <t>P</t>
    </r>
    <r>
      <rPr>
        <vertAlign val="subscript"/>
        <sz val="11"/>
        <color theme="1"/>
        <rFont val="Calibri"/>
        <family val="2"/>
        <charset val="163"/>
        <scheme val="minor"/>
      </rPr>
      <t>k2</t>
    </r>
  </si>
  <si>
    <r>
      <t>P</t>
    </r>
    <r>
      <rPr>
        <vertAlign val="subscript"/>
        <sz val="11"/>
        <color theme="1"/>
        <rFont val="Calibri"/>
        <family val="2"/>
        <charset val="163"/>
        <scheme val="minor"/>
      </rPr>
      <t>k3</t>
    </r>
    <r>
      <rPr>
        <sz val="11"/>
        <color theme="1"/>
        <rFont val="Calibri"/>
        <family val="2"/>
        <charset val="163"/>
        <scheme val="minor"/>
      </rPr>
      <t/>
    </r>
  </si>
  <si>
    <r>
      <t>P</t>
    </r>
    <r>
      <rPr>
        <vertAlign val="subscript"/>
        <sz val="11"/>
        <color theme="1"/>
        <rFont val="Calibri"/>
        <family val="2"/>
        <charset val="163"/>
        <scheme val="minor"/>
      </rPr>
      <t>k4</t>
    </r>
    <r>
      <rPr>
        <sz val="11"/>
        <color theme="1"/>
        <rFont val="Calibri"/>
        <family val="2"/>
        <charset val="163"/>
        <scheme val="minor"/>
      </rPr>
      <t/>
    </r>
  </si>
  <si>
    <r>
      <t>P</t>
    </r>
    <r>
      <rPr>
        <vertAlign val="subscript"/>
        <sz val="11"/>
        <color theme="1"/>
        <rFont val="Calibri"/>
        <family val="2"/>
        <charset val="163"/>
        <scheme val="minor"/>
      </rPr>
      <t>k5</t>
    </r>
    <r>
      <rPr>
        <sz val="11"/>
        <color theme="1"/>
        <rFont val="Calibri"/>
        <family val="2"/>
        <charset val="163"/>
        <scheme val="minor"/>
      </rPr>
      <t/>
    </r>
  </si>
  <si>
    <r>
      <t>Ta chọn lần lượt các giá trị ne, Me trong khoảng cầm chừng đến khi 
đạt cực đại sau đó áp dụng công thức để tính P</t>
    </r>
    <r>
      <rPr>
        <b/>
        <vertAlign val="subscript"/>
        <sz val="12"/>
        <color theme="1"/>
        <rFont val="Times New Roman"/>
        <family val="1"/>
        <charset val="163"/>
      </rPr>
      <t>ki</t>
    </r>
  </si>
  <si>
    <t xml:space="preserve">Các lực cản và giới hạn bám </t>
  </si>
  <si>
    <r>
      <t>P</t>
    </r>
    <r>
      <rPr>
        <b/>
        <vertAlign val="subscript"/>
        <sz val="11"/>
        <color theme="1"/>
        <rFont val="Calibri"/>
        <family val="2"/>
        <charset val="163"/>
        <scheme val="minor"/>
      </rPr>
      <t>c</t>
    </r>
    <r>
      <rPr>
        <b/>
        <sz val="11"/>
        <color theme="1"/>
        <rFont val="Calibri"/>
        <family val="2"/>
        <charset val="163"/>
        <scheme val="minor"/>
      </rPr>
      <t>(N)</t>
    </r>
  </si>
  <si>
    <r>
      <t>P</t>
    </r>
    <r>
      <rPr>
        <b/>
        <vertAlign val="subscript"/>
        <sz val="11"/>
        <color theme="1"/>
        <rFont val="Calibri"/>
        <family val="2"/>
        <charset val="163"/>
        <scheme val="minor"/>
      </rPr>
      <t>𝜑</t>
    </r>
    <r>
      <rPr>
        <b/>
        <sz val="11"/>
        <color theme="1"/>
        <rFont val="Calibri"/>
        <family val="2"/>
        <charset val="163"/>
        <scheme val="minor"/>
      </rPr>
      <t>(N)</t>
    </r>
  </si>
  <si>
    <r>
      <t>P</t>
    </r>
    <r>
      <rPr>
        <b/>
        <vertAlign val="subscript"/>
        <sz val="11"/>
        <color theme="1"/>
        <rFont val="Calibri"/>
        <family val="2"/>
        <charset val="163"/>
        <scheme val="minor"/>
      </rPr>
      <t>ω</t>
    </r>
    <r>
      <rPr>
        <b/>
        <sz val="11"/>
        <color theme="1"/>
        <rFont val="Calibri"/>
        <family val="2"/>
        <charset val="163"/>
        <scheme val="minor"/>
      </rPr>
      <t>(N)</t>
    </r>
  </si>
  <si>
    <t>Chọn cầu sau là câu chủ động. Khi tính sơ bộ giới hạn bám theo tải trọng tĩnh, lấy m=1</t>
  </si>
  <si>
    <t>Lực kéo tiếp tuyến tại bánh xe ở năm cấp số truyền</t>
  </si>
  <si>
    <t>8.25-16</t>
  </si>
  <si>
    <t>Nhân tố động lực của ô tô</t>
  </si>
  <si>
    <r>
      <t>P</t>
    </r>
    <r>
      <rPr>
        <b/>
        <vertAlign val="subscript"/>
        <sz val="11"/>
        <color theme="1"/>
        <rFont val="Calibri"/>
        <family val="2"/>
        <charset val="163"/>
        <scheme val="minor"/>
      </rPr>
      <t>ω1</t>
    </r>
    <r>
      <rPr>
        <b/>
        <sz val="11"/>
        <color theme="1"/>
        <rFont val="Calibri"/>
        <family val="2"/>
        <charset val="163"/>
        <scheme val="minor"/>
      </rPr>
      <t>(N)</t>
    </r>
  </si>
  <si>
    <r>
      <t>P</t>
    </r>
    <r>
      <rPr>
        <b/>
        <vertAlign val="subscript"/>
        <sz val="11"/>
        <color theme="1"/>
        <rFont val="Calibri"/>
        <family val="2"/>
        <charset val="163"/>
        <scheme val="minor"/>
      </rPr>
      <t>ω2</t>
    </r>
    <r>
      <rPr>
        <b/>
        <sz val="11"/>
        <color theme="1"/>
        <rFont val="Calibri"/>
        <family val="2"/>
        <charset val="163"/>
        <scheme val="minor"/>
      </rPr>
      <t>(N)</t>
    </r>
  </si>
  <si>
    <r>
      <t>P</t>
    </r>
    <r>
      <rPr>
        <b/>
        <vertAlign val="subscript"/>
        <sz val="11"/>
        <color theme="1"/>
        <rFont val="Calibri"/>
        <family val="2"/>
        <charset val="163"/>
        <scheme val="minor"/>
      </rPr>
      <t>ω3</t>
    </r>
    <r>
      <rPr>
        <b/>
        <sz val="11"/>
        <color theme="1"/>
        <rFont val="Calibri"/>
        <family val="2"/>
        <charset val="163"/>
        <scheme val="minor"/>
      </rPr>
      <t>(N)</t>
    </r>
  </si>
  <si>
    <r>
      <t>P</t>
    </r>
    <r>
      <rPr>
        <b/>
        <vertAlign val="subscript"/>
        <sz val="11"/>
        <color theme="1"/>
        <rFont val="Calibri"/>
        <family val="2"/>
        <charset val="163"/>
        <scheme val="minor"/>
      </rPr>
      <t>ω4</t>
    </r>
    <r>
      <rPr>
        <b/>
        <sz val="11"/>
        <color theme="1"/>
        <rFont val="Calibri"/>
        <family val="2"/>
        <charset val="163"/>
        <scheme val="minor"/>
      </rPr>
      <t>(N)</t>
    </r>
  </si>
  <si>
    <r>
      <t>P</t>
    </r>
    <r>
      <rPr>
        <b/>
        <vertAlign val="subscript"/>
        <sz val="11"/>
        <color theme="1"/>
        <rFont val="Calibri"/>
        <family val="2"/>
        <charset val="163"/>
        <scheme val="minor"/>
      </rPr>
      <t>ω5</t>
    </r>
    <r>
      <rPr>
        <b/>
        <sz val="11"/>
        <color theme="1"/>
        <rFont val="Calibri"/>
        <family val="2"/>
        <charset val="163"/>
        <scheme val="minor"/>
      </rPr>
      <t>(N)</t>
    </r>
  </si>
  <si>
    <r>
      <rPr>
        <b/>
        <sz val="11"/>
        <color theme="1"/>
        <rFont val="Calibri"/>
        <family val="2"/>
        <scheme val="minor"/>
      </rPr>
      <t>D</t>
    </r>
    <r>
      <rPr>
        <b/>
        <vertAlign val="subscript"/>
        <sz val="11"/>
        <color theme="1"/>
        <rFont val="Calibri"/>
        <family val="2"/>
        <scheme val="minor"/>
      </rPr>
      <t>1</t>
    </r>
  </si>
  <si>
    <r>
      <rPr>
        <b/>
        <sz val="11"/>
        <color theme="1"/>
        <rFont val="Calibri"/>
        <family val="2"/>
        <scheme val="minor"/>
      </rPr>
      <t>D</t>
    </r>
    <r>
      <rPr>
        <b/>
        <vertAlign val="subscript"/>
        <sz val="11"/>
        <color theme="1"/>
        <rFont val="Calibri"/>
        <family val="2"/>
        <scheme val="minor"/>
      </rPr>
      <t>2</t>
    </r>
    <r>
      <rPr>
        <sz val="11"/>
        <color theme="1"/>
        <rFont val="Calibri"/>
        <family val="2"/>
        <charset val="163"/>
        <scheme val="minor"/>
      </rPr>
      <t/>
    </r>
  </si>
  <si>
    <r>
      <rPr>
        <b/>
        <sz val="11"/>
        <color theme="1"/>
        <rFont val="Calibri"/>
        <family val="2"/>
        <scheme val="minor"/>
      </rPr>
      <t>D</t>
    </r>
    <r>
      <rPr>
        <b/>
        <vertAlign val="subscript"/>
        <sz val="11"/>
        <color theme="1"/>
        <rFont val="Calibri"/>
        <family val="2"/>
        <scheme val="minor"/>
      </rPr>
      <t>3</t>
    </r>
    <r>
      <rPr>
        <sz val="11"/>
        <color theme="1"/>
        <rFont val="Calibri"/>
        <family val="2"/>
        <charset val="163"/>
        <scheme val="minor"/>
      </rPr>
      <t/>
    </r>
  </si>
  <si>
    <r>
      <rPr>
        <b/>
        <sz val="11"/>
        <color theme="1"/>
        <rFont val="Calibri"/>
        <family val="2"/>
        <scheme val="minor"/>
      </rPr>
      <t>D</t>
    </r>
    <r>
      <rPr>
        <b/>
        <vertAlign val="subscript"/>
        <sz val="11"/>
        <color theme="1"/>
        <rFont val="Calibri"/>
        <family val="2"/>
        <scheme val="minor"/>
      </rPr>
      <t>4</t>
    </r>
    <r>
      <rPr>
        <sz val="11"/>
        <color theme="1"/>
        <rFont val="Calibri"/>
        <family val="2"/>
        <charset val="163"/>
        <scheme val="minor"/>
      </rPr>
      <t/>
    </r>
  </si>
  <si>
    <r>
      <rPr>
        <b/>
        <sz val="11"/>
        <color theme="1"/>
        <rFont val="Calibri"/>
        <family val="2"/>
        <scheme val="minor"/>
      </rPr>
      <t>D</t>
    </r>
    <r>
      <rPr>
        <b/>
        <vertAlign val="subscript"/>
        <sz val="11"/>
        <color theme="1"/>
        <rFont val="Calibri"/>
        <family val="2"/>
        <scheme val="minor"/>
      </rPr>
      <t>5</t>
    </r>
    <r>
      <rPr>
        <sz val="11"/>
        <color theme="1"/>
        <rFont val="Calibri"/>
        <family val="2"/>
        <charset val="163"/>
        <scheme val="minor"/>
      </rPr>
      <t/>
    </r>
  </si>
  <si>
    <t xml:space="preserve"> </t>
  </si>
  <si>
    <r>
      <t>P</t>
    </r>
    <r>
      <rPr>
        <b/>
        <vertAlign val="subscript"/>
        <sz val="11"/>
        <color theme="1"/>
        <rFont val="Aptos Narrow"/>
        <family val="2"/>
      </rPr>
      <t xml:space="preserve">ψ </t>
    </r>
    <r>
      <rPr>
        <b/>
        <sz val="11"/>
        <color theme="1"/>
        <rFont val="Calibri"/>
        <family val="2"/>
        <charset val="163"/>
        <scheme val="minor"/>
      </rPr>
      <t>= P</t>
    </r>
    <r>
      <rPr>
        <b/>
        <vertAlign val="subscript"/>
        <sz val="11"/>
        <color theme="1"/>
        <rFont val="Calibri"/>
        <family val="2"/>
        <charset val="163"/>
        <scheme val="minor"/>
      </rPr>
      <t xml:space="preserve">f </t>
    </r>
    <r>
      <rPr>
        <b/>
        <sz val="11"/>
        <color theme="1"/>
        <rFont val="Calibri"/>
        <family val="2"/>
        <charset val="163"/>
        <scheme val="minor"/>
      </rPr>
      <t>(N)</t>
    </r>
  </si>
  <si>
    <r>
      <t>δ</t>
    </r>
    <r>
      <rPr>
        <vertAlign val="subscript"/>
        <sz val="11"/>
        <color theme="1"/>
        <rFont val="Calibri"/>
        <family val="2"/>
        <scheme val="minor"/>
      </rPr>
      <t>1</t>
    </r>
  </si>
  <si>
    <r>
      <t>δ</t>
    </r>
    <r>
      <rPr>
        <vertAlign val="subscript"/>
        <sz val="11"/>
        <color theme="1"/>
        <rFont val="Calibri"/>
        <family val="2"/>
        <scheme val="minor"/>
      </rPr>
      <t>2</t>
    </r>
    <r>
      <rPr>
        <sz val="11"/>
        <color theme="1"/>
        <rFont val="Calibri"/>
        <family val="2"/>
        <charset val="163"/>
        <scheme val="minor"/>
      </rPr>
      <t/>
    </r>
  </si>
  <si>
    <r>
      <t>δ</t>
    </r>
    <r>
      <rPr>
        <vertAlign val="subscript"/>
        <sz val="11"/>
        <color theme="1"/>
        <rFont val="Calibri"/>
        <family val="2"/>
        <scheme val="minor"/>
      </rPr>
      <t>3</t>
    </r>
    <r>
      <rPr>
        <sz val="11"/>
        <color theme="1"/>
        <rFont val="Calibri"/>
        <family val="2"/>
        <charset val="163"/>
        <scheme val="minor"/>
      </rPr>
      <t/>
    </r>
  </si>
  <si>
    <r>
      <t>δ</t>
    </r>
    <r>
      <rPr>
        <vertAlign val="subscript"/>
        <sz val="11"/>
        <color theme="1"/>
        <rFont val="Calibri"/>
        <family val="2"/>
        <scheme val="minor"/>
      </rPr>
      <t>4</t>
    </r>
    <r>
      <rPr>
        <sz val="11"/>
        <color theme="1"/>
        <rFont val="Calibri"/>
        <family val="2"/>
        <charset val="163"/>
        <scheme val="minor"/>
      </rPr>
      <t/>
    </r>
  </si>
  <si>
    <r>
      <t>δ</t>
    </r>
    <r>
      <rPr>
        <vertAlign val="subscript"/>
        <sz val="11"/>
        <color theme="1"/>
        <rFont val="Calibri"/>
        <family val="2"/>
        <scheme val="minor"/>
      </rPr>
      <t>5</t>
    </r>
    <r>
      <rPr>
        <sz val="11"/>
        <color theme="1"/>
        <rFont val="Calibri"/>
        <family val="2"/>
        <charset val="163"/>
        <scheme val="minor"/>
      </rPr>
      <t/>
    </r>
  </si>
  <si>
    <r>
      <t>j</t>
    </r>
    <r>
      <rPr>
        <vertAlign val="superscript"/>
        <sz val="11"/>
        <color theme="1"/>
        <rFont val="Calibri"/>
        <family val="2"/>
        <scheme val="minor"/>
      </rPr>
      <t>-1</t>
    </r>
    <r>
      <rPr>
        <vertAlign val="subscript"/>
        <sz val="11"/>
        <color theme="1"/>
        <rFont val="Calibri"/>
        <family val="2"/>
        <scheme val="minor"/>
      </rPr>
      <t>1</t>
    </r>
  </si>
  <si>
    <r>
      <t>j</t>
    </r>
    <r>
      <rPr>
        <vertAlign val="superscript"/>
        <sz val="11"/>
        <color theme="1"/>
        <rFont val="Calibri"/>
        <family val="2"/>
        <scheme val="minor"/>
      </rPr>
      <t>-1</t>
    </r>
    <r>
      <rPr>
        <vertAlign val="subscript"/>
        <sz val="11"/>
        <color theme="1"/>
        <rFont val="Calibri"/>
        <family val="2"/>
        <scheme val="minor"/>
      </rPr>
      <t>2</t>
    </r>
  </si>
  <si>
    <r>
      <t>j</t>
    </r>
    <r>
      <rPr>
        <vertAlign val="superscript"/>
        <sz val="11"/>
        <color theme="1"/>
        <rFont val="Calibri"/>
        <family val="2"/>
        <scheme val="minor"/>
      </rPr>
      <t>-1</t>
    </r>
    <r>
      <rPr>
        <vertAlign val="subscript"/>
        <sz val="11"/>
        <color theme="1"/>
        <rFont val="Calibri"/>
        <family val="2"/>
        <scheme val="minor"/>
      </rPr>
      <t>3</t>
    </r>
  </si>
  <si>
    <r>
      <t>j</t>
    </r>
    <r>
      <rPr>
        <vertAlign val="superscript"/>
        <sz val="11"/>
        <color theme="1"/>
        <rFont val="Calibri"/>
        <family val="2"/>
        <scheme val="minor"/>
      </rPr>
      <t>-1</t>
    </r>
    <r>
      <rPr>
        <vertAlign val="subscript"/>
        <sz val="11"/>
        <color theme="1"/>
        <rFont val="Calibri"/>
        <family val="2"/>
        <scheme val="minor"/>
      </rPr>
      <t>4</t>
    </r>
  </si>
  <si>
    <r>
      <t>j</t>
    </r>
    <r>
      <rPr>
        <vertAlign val="superscript"/>
        <sz val="11"/>
        <color theme="1"/>
        <rFont val="Calibri"/>
        <family val="2"/>
        <scheme val="minor"/>
      </rPr>
      <t>-1</t>
    </r>
    <r>
      <rPr>
        <vertAlign val="subscript"/>
        <sz val="11"/>
        <color theme="1"/>
        <rFont val="Calibri"/>
        <family val="2"/>
        <scheme val="minor"/>
      </rPr>
      <t>5</t>
    </r>
  </si>
  <si>
    <r>
      <t xml:space="preserve">Bảng thông số gia tốc ngược 1/j = </t>
    </r>
    <r>
      <rPr>
        <b/>
        <sz val="16"/>
        <color theme="1"/>
        <rFont val="Aptos Narrow"/>
        <family val="2"/>
      </rPr>
      <t>δ</t>
    </r>
    <r>
      <rPr>
        <b/>
        <vertAlign val="subscript"/>
        <sz val="15.2"/>
        <color theme="1"/>
        <rFont val="Calibri"/>
        <family val="2"/>
      </rPr>
      <t>i</t>
    </r>
    <r>
      <rPr>
        <b/>
        <sz val="15.2"/>
        <color theme="1"/>
        <rFont val="Calibri"/>
        <family val="2"/>
      </rPr>
      <t>/g[D - f(v)]</t>
    </r>
  </si>
  <si>
    <t>Bảng hệ số f(v) phụ thuộc vào vận tốc tại các tay số</t>
  </si>
  <si>
    <t>Thời gian tăng tốc của ô tô</t>
  </si>
  <si>
    <r>
      <t>Hệ số ảnh hưởng đến chuyển động quay δ</t>
    </r>
    <r>
      <rPr>
        <b/>
        <vertAlign val="subscript"/>
        <sz val="16"/>
        <color theme="1"/>
        <rFont val="Calibri"/>
        <family val="2"/>
        <scheme val="minor"/>
      </rPr>
      <t>i</t>
    </r>
    <r>
      <rPr>
        <b/>
        <sz val="16"/>
        <color theme="1"/>
        <rFont val="Calibri"/>
        <family val="2"/>
        <scheme val="minor"/>
      </rPr>
      <t xml:space="preserve"> = 1,05 + 0,05(i</t>
    </r>
    <r>
      <rPr>
        <b/>
        <vertAlign val="subscript"/>
        <sz val="16"/>
        <color theme="1"/>
        <rFont val="Calibri"/>
        <family val="2"/>
        <scheme val="minor"/>
      </rPr>
      <t>hk</t>
    </r>
    <r>
      <rPr>
        <b/>
        <sz val="16"/>
        <color theme="1"/>
        <rFont val="Calibri"/>
        <family val="2"/>
        <scheme val="minor"/>
      </rPr>
      <t>)</t>
    </r>
    <r>
      <rPr>
        <b/>
        <vertAlign val="superscript"/>
        <sz val="16"/>
        <color theme="1"/>
        <rFont val="Calibri"/>
        <family val="2"/>
        <scheme val="minor"/>
      </rPr>
      <t>2</t>
    </r>
  </si>
  <si>
    <r>
      <rPr>
        <sz val="14"/>
        <color theme="1"/>
        <rFont val="Aptos Narrow"/>
        <family val="2"/>
      </rPr>
      <t>Δ</t>
    </r>
    <r>
      <rPr>
        <sz val="14"/>
        <color theme="1"/>
        <rFont val="Calibri"/>
        <family val="2"/>
        <charset val="163"/>
      </rPr>
      <t>t</t>
    </r>
    <r>
      <rPr>
        <vertAlign val="subscript"/>
        <sz val="14"/>
        <color theme="1"/>
        <rFont val="Calibri"/>
        <family val="2"/>
      </rPr>
      <t>1</t>
    </r>
  </si>
  <si>
    <r>
      <rPr>
        <sz val="14"/>
        <color theme="1"/>
        <rFont val="Aptos Narrow"/>
        <family val="2"/>
      </rPr>
      <t>Δ</t>
    </r>
    <r>
      <rPr>
        <sz val="14"/>
        <color theme="1"/>
        <rFont val="Calibri"/>
        <family val="2"/>
        <charset val="163"/>
      </rPr>
      <t>t</t>
    </r>
    <r>
      <rPr>
        <vertAlign val="subscript"/>
        <sz val="14"/>
        <color theme="1"/>
        <rFont val="Calibri"/>
        <family val="2"/>
      </rPr>
      <t>2</t>
    </r>
    <r>
      <rPr>
        <sz val="11"/>
        <color theme="1"/>
        <rFont val="Calibri"/>
        <family val="2"/>
        <charset val="163"/>
        <scheme val="minor"/>
      </rPr>
      <t/>
    </r>
  </si>
  <si>
    <r>
      <rPr>
        <sz val="14"/>
        <color theme="1"/>
        <rFont val="Aptos Narrow"/>
        <family val="2"/>
      </rPr>
      <t>Δ</t>
    </r>
    <r>
      <rPr>
        <sz val="14"/>
        <color theme="1"/>
        <rFont val="Calibri"/>
        <family val="2"/>
        <charset val="163"/>
      </rPr>
      <t>t</t>
    </r>
    <r>
      <rPr>
        <vertAlign val="subscript"/>
        <sz val="14"/>
        <color theme="1"/>
        <rFont val="Calibri"/>
        <family val="2"/>
      </rPr>
      <t>3</t>
    </r>
    <r>
      <rPr>
        <sz val="11"/>
        <color theme="1"/>
        <rFont val="Calibri"/>
        <family val="2"/>
        <charset val="163"/>
        <scheme val="minor"/>
      </rPr>
      <t/>
    </r>
  </si>
  <si>
    <r>
      <rPr>
        <sz val="14"/>
        <color theme="1"/>
        <rFont val="Aptos Narrow"/>
        <family val="2"/>
      </rPr>
      <t>Δ</t>
    </r>
    <r>
      <rPr>
        <sz val="14"/>
        <color theme="1"/>
        <rFont val="Calibri"/>
        <family val="2"/>
        <charset val="163"/>
      </rPr>
      <t>t</t>
    </r>
    <r>
      <rPr>
        <vertAlign val="subscript"/>
        <sz val="14"/>
        <color theme="1"/>
        <rFont val="Calibri"/>
        <family val="2"/>
      </rPr>
      <t>4</t>
    </r>
    <r>
      <rPr>
        <sz val="11"/>
        <color theme="1"/>
        <rFont val="Calibri"/>
        <family val="2"/>
        <charset val="163"/>
        <scheme val="minor"/>
      </rPr>
      <t/>
    </r>
  </si>
  <si>
    <r>
      <rPr>
        <sz val="14"/>
        <color theme="1"/>
        <rFont val="Aptos Narrow"/>
        <family val="2"/>
      </rPr>
      <t>Δ</t>
    </r>
    <r>
      <rPr>
        <sz val="14"/>
        <color theme="1"/>
        <rFont val="Calibri"/>
        <family val="2"/>
        <charset val="163"/>
      </rPr>
      <t>t</t>
    </r>
    <r>
      <rPr>
        <vertAlign val="subscript"/>
        <sz val="14"/>
        <color theme="1"/>
        <rFont val="Calibri"/>
        <family val="2"/>
      </rPr>
      <t>5</t>
    </r>
    <r>
      <rPr>
        <sz val="11"/>
        <color theme="1"/>
        <rFont val="Calibri"/>
        <family val="2"/>
        <charset val="163"/>
        <scheme val="minor"/>
      </rPr>
      <t/>
    </r>
  </si>
  <si>
    <t>từ 800 vòng/phút đến 2600 vòng/phút</t>
  </si>
  <si>
    <t>THÔNG SỐ LIÊN KẾT VÀ GIẢ THIẾT BỔ SUNG</t>
  </si>
  <si>
    <t>Các ô công thức liên kết dữ liệu nguồn. Chỉnh đầu vào xe ở hai sheet gốc; chỉnh lịch chuyển số tại các ô màu xanh tại đây. Kiểm tra trạng thái lưới tại TONG_HOP sau mỗi lần đổi.</t>
  </si>
  <si>
    <t>Mã</t>
  </si>
  <si>
    <t>Đại lượng</t>
  </si>
  <si>
    <t>Giá trị</t>
  </si>
  <si>
    <t>Đơn vị</t>
  </si>
  <si>
    <t>Cơ sở / cách dùng</t>
  </si>
  <si>
    <t>m0</t>
  </si>
  <si>
    <t>Khối lượng bản thân</t>
  </si>
  <si>
    <t>kg</t>
  </si>
  <si>
    <t>Theo Excel nguồn</t>
  </si>
  <si>
    <t>payload</t>
  </si>
  <si>
    <t>Khối lượng hàng</t>
  </si>
  <si>
    <t>persons</t>
  </si>
  <si>
    <t>Số người</t>
  </si>
  <si>
    <t>người</t>
  </si>
  <si>
    <t>person_mass</t>
  </si>
  <si>
    <t>Khối lượng mỗi người</t>
  </si>
  <si>
    <t>gravity</t>
  </si>
  <si>
    <t>Gia tốc trọng trường</t>
  </si>
  <si>
    <t>m/s²</t>
  </si>
  <si>
    <t>Hằng số dùng trong nguồn</t>
  </si>
  <si>
    <t>mass</t>
  </si>
  <si>
    <t>Khối lượng toàn tải</t>
  </si>
  <si>
    <t>Bản thân + hàng + người</t>
  </si>
  <si>
    <t>weight</t>
  </si>
  <si>
    <t>Trọng lượng toàn tải</t>
  </si>
  <si>
    <t>N</t>
  </si>
  <si>
    <t>M g</t>
  </si>
  <si>
    <t>f0</t>
  </si>
  <si>
    <t>Hệ số cản lăn cơ sở</t>
  </si>
  <si>
    <t>—</t>
  </si>
  <si>
    <t>Giữ 0,015 của file mới</t>
  </si>
  <si>
    <t>threshold</t>
  </si>
  <si>
    <t>Ngưỡng đổi nhánh cản lăn</t>
  </si>
  <si>
    <t>m/s</t>
  </si>
  <si>
    <t>Giữ quy luật IF của nguồn; tách tích phân</t>
  </si>
  <si>
    <t>K</t>
  </si>
  <si>
    <t>Hệ số cản không khí</t>
  </si>
  <si>
    <t>N·s²/m⁴</t>
  </si>
  <si>
    <t>F</t>
  </si>
  <si>
    <t>Diện tích cản chính diện</t>
  </si>
  <si>
    <t>m²</t>
  </si>
  <si>
    <t>eta</t>
  </si>
  <si>
    <t>Hiệu suất truyền lực</t>
  </si>
  <si>
    <t>vmax_kmh</t>
  </si>
  <si>
    <t>Vận tốc cực đại danh nghĩa</t>
  </si>
  <si>
    <t>km/h</t>
  </si>
  <si>
    <t>Theo đề</t>
  </si>
  <si>
    <t>vmax</t>
  </si>
  <si>
    <t>Vận tốc cực đại danh nghĩa SI</t>
  </si>
  <si>
    <t>vmax(km/h)/3,6</t>
  </si>
  <si>
    <t>lambda_v</t>
  </si>
  <si>
    <t>Tỷ số nv/nN</t>
  </si>
  <si>
    <t>Theo nguồn</t>
  </si>
  <si>
    <t>nv</t>
  </si>
  <si>
    <t>Vòng tua tại vmax danh nghĩa</t>
  </si>
  <si>
    <t>v/ph</t>
  </si>
  <si>
    <t>2.600 vòng/phút</t>
  </si>
  <si>
    <t>nN</t>
  </si>
  <si>
    <t>Vòng tua chuẩn đặc tính</t>
  </si>
  <si>
    <t>nv/λ; không gọi nv là nN</t>
  </si>
  <si>
    <t>a</t>
  </si>
  <si>
    <t>Hệ số đa thức a</t>
  </si>
  <si>
    <t>b</t>
  </si>
  <si>
    <t>Hệ số đa thức b</t>
  </si>
  <si>
    <t>c</t>
  </si>
  <si>
    <t>Hệ số đa thức c</t>
  </si>
  <si>
    <t>rb</t>
  </si>
  <si>
    <t>Bán kính lăn</t>
  </si>
  <si>
    <t>m</t>
  </si>
  <si>
    <t>ip</t>
  </si>
  <si>
    <t>Tỷ số hộp số phụ</t>
  </si>
  <si>
    <t>ih1</t>
  </si>
  <si>
    <t>Tỷ số số I</t>
  </si>
  <si>
    <t>Giữ 6,5</t>
  </si>
  <si>
    <t>top</t>
  </si>
  <si>
    <t>Tỷ số số V</t>
  </si>
  <si>
    <t>Giữ truyền thẳng 1</t>
  </si>
  <si>
    <t>i0</t>
  </si>
  <si>
    <t>Tỷ số truyền lực chính</t>
  </si>
  <si>
    <t>coef</t>
  </si>
  <si>
    <t>Hệ số đổi Ne(kW)/n sang Me</t>
  </si>
  <si>
    <t>Giữ xấp xỉ của nguồn; cao hơn hệ số chính xác 0,0188683%</t>
  </si>
  <si>
    <t>nmin</t>
  </si>
  <si>
    <t>Vòng tua bắt đầu pha số I</t>
  </si>
  <si>
    <t>Giả thiết tham khảo; chưa gồm khởi hành ly hợp trượt</t>
  </si>
  <si>
    <t>nshift</t>
  </si>
  <si>
    <t>Vòng tua chuyển I→II→III→IV→V</t>
  </si>
  <si>
    <t>Chọn 2.600 theo giới hạn bảng nguồn; chưa tối ưu</t>
  </si>
  <si>
    <t>shift_seconds</t>
  </si>
  <si>
    <t>Thời gian ngắt lực kéo mỗi lần</t>
  </si>
  <si>
    <t>s</t>
  </si>
  <si>
    <t>Giả thiết bổ sung: 1 giây/lần</t>
  </si>
  <si>
    <t>delta_coast</t>
  </si>
  <si>
    <t>Hệ số quán tính lúc ngắt lực kéo</t>
  </si>
  <si>
    <t>Giả thiết bổ sung: 1,05</t>
  </si>
  <si>
    <t>target_factor</t>
  </si>
  <si>
    <t>Tỷ lệ vận tốc kết thúc / vmax</t>
  </si>
  <si>
    <t>Giữ 0,95 của nguồn</t>
  </si>
  <si>
    <t>target</t>
  </si>
  <si>
    <t>Vận tốc kết thúc SI</t>
  </si>
  <si>
    <t>0,95 vmax</t>
  </si>
  <si>
    <t>fvmax</t>
  </si>
  <si>
    <t>f tại vmax danh nghĩa</t>
  </si>
  <si>
    <t>Theo quy luật IF của nguồn</t>
  </si>
  <si>
    <t>Nv</t>
  </si>
  <si>
    <t>Công suất cần tại vmax</t>
  </si>
  <si>
    <t>kW</t>
  </si>
  <si>
    <t>(Gf+KFv²)v/(1000η)</t>
  </si>
  <si>
    <t>Nmax</t>
  </si>
  <si>
    <t>Tham số công suất chuẩn</t>
  </si>
  <si>
    <t>Theo đa thức nguồn; chỉ dùng miền n≤nN</t>
  </si>
  <si>
    <t>Pphi</t>
  </si>
  <si>
    <t>Giới hạn bám tĩnh</t>
  </si>
  <si>
    <t>Giữ m=1, cầu sau chủ động</t>
  </si>
  <si>
    <t>Số khoảng mỗi miền trơn</t>
  </si>
  <si>
    <t>khoảng</t>
  </si>
  <si>
    <t>Cấu trúc lưới: 800. Không đổi ô này riêng; cần tạo lại lưới.</t>
  </si>
  <si>
    <t>coast_steps</t>
  </si>
  <si>
    <t>Số bước RK4 mỗi lần chuyển</t>
  </si>
  <si>
    <t>bước</t>
  </si>
  <si>
    <t>Cấu trúc lưới: 20. Δτ=thời gian ngắt/20.</t>
  </si>
  <si>
    <t>delta_base</t>
  </si>
  <si>
    <t>Thành phần cố định của δ</t>
  </si>
  <si>
    <t>Giữ công thức δ=1,05+0,05 ih²</t>
  </si>
  <si>
    <t>delta_factor</t>
  </si>
  <si>
    <t>Hệ số theo ih²</t>
  </si>
  <si>
    <t>Giữ công thức nguồn, chưa tự nhân thêm ip²</t>
  </si>
  <si>
    <t>Tay số</t>
  </si>
  <si>
    <t>ih</t>
  </si>
  <si>
    <t>it = ih ip i0</t>
  </si>
  <si>
    <t>δ</t>
  </si>
  <si>
    <t>v tại nmin (m/s)</t>
  </si>
  <si>
    <t>v tại n chuyển (m/s)</t>
  </si>
  <si>
    <t>Nguồn</t>
  </si>
  <si>
    <t>Theo tỷ số truyền nguồn</t>
  </si>
  <si>
    <t>TÍCH PHÂN RIÊNG SỐ V — TÁCH NGƯỠNG CẢN LĂN</t>
  </si>
  <si>
    <t>Đây là phép kiểm tra riêng số V từ 800 vòng/phút đến 0,95 vmax, chưa phải quá trình tăng tốc toàn xe. Hai dòng cùng v=22,2 có 1/j khác nhau nhưng Δt=ΔS=0 ở dòng bắt đầu nhánh trên.</t>
  </si>
  <si>
    <t>Pha</t>
  </si>
  <si>
    <t>Số</t>
  </si>
  <si>
    <t>Loại</t>
  </si>
  <si>
    <t>Nhánh f</t>
  </si>
  <si>
    <t>n (v/ph)</t>
  </si>
  <si>
    <t>v (m/s)</t>
  </si>
  <si>
    <t>v (km/h)</t>
  </si>
  <si>
    <t>f(v)</t>
  </si>
  <si>
    <t>Ne (kW)</t>
  </si>
  <si>
    <t>Me (N·m)</t>
  </si>
  <si>
    <t>Pk (N)</t>
  </si>
  <si>
    <t>Pw (N)</t>
  </si>
  <si>
    <t>Pf (N)</t>
  </si>
  <si>
    <t>Pc (N)</t>
  </si>
  <si>
    <t>j (m/s²)</t>
  </si>
  <si>
    <t>1/j (s²/m)</t>
  </si>
  <si>
    <t>Δv (m/s)</t>
  </si>
  <si>
    <t>Δt (s)</t>
  </si>
  <si>
    <t>ΔS (m)</t>
  </si>
  <si>
    <t>t tích lũy (s)</t>
  </si>
  <si>
    <t>S tích lũy (m)</t>
  </si>
  <si>
    <t>k1 (m/s²)</t>
  </si>
  <si>
    <t>v2 RK4</t>
  </si>
  <si>
    <t>k2 (m/s²)</t>
  </si>
  <si>
    <t>v3 RK4</t>
  </si>
  <si>
    <t>k3 (m/s²)</t>
  </si>
  <si>
    <t>v4 RK4</t>
  </si>
  <si>
    <t>k4 (m/s²)</t>
  </si>
  <si>
    <t>Số V riêng</t>
  </si>
  <si>
    <t>kéo</t>
  </si>
  <si>
    <t>low</t>
  </si>
  <si>
    <t>high</t>
  </si>
  <si>
    <t>HÀNH TRÌNH LIÊN TỤC QUA NĂM TAY SỐ</t>
  </si>
  <si>
    <t>Giả thiết tham khảo: chuyển số ở 2.600 vòng/phút, ngắt 1 giây/lần, δcoast=1,05. t và S không đặt lại về 0 khi vào số mới. Chưa gồm khởi hành ly hợp trượt; chưa tối ưu lịch chuyển số.</t>
  </si>
  <si>
    <t>Kéo 1</t>
  </si>
  <si>
    <t>Chuyển 1→2</t>
  </si>
  <si>
    <t>ngắt kéo</t>
  </si>
  <si>
    <t>auto</t>
  </si>
  <si>
    <t>Kéo 2</t>
  </si>
  <si>
    <t>Chuyển 2→3</t>
  </si>
  <si>
    <t>Kéo 3</t>
  </si>
  <si>
    <t>Chuyển 3→4</t>
  </si>
  <si>
    <t>Kéo 4</t>
  </si>
  <si>
    <t>Chuyển 4→5</t>
  </si>
  <si>
    <t>Kéo 5</t>
  </si>
  <si>
    <t>KẾT QUẢ VÀ KIỂM TRA ĐIỀU KIỆN SỬ DỤNG</t>
  </si>
  <si>
    <t>Thời gian riêng từng số khác thời gian của hành trình qua năm số. Kết quả dưới đây theo các giả thiết tại THAM_SO_MOI; xem các ô kiểm tra trước khi sử dụng sau khi sửa đầu vào.</t>
  </si>
  <si>
    <t>v đầu (m/s)</t>
  </si>
  <si>
    <t>v cuối (m/s)</t>
  </si>
  <si>
    <t>n sau nối (v/ph)</t>
  </si>
  <si>
    <t>Ghi chú</t>
  </si>
  <si>
    <t>drive</t>
  </si>
  <si>
    <t>Có lực kéo</t>
  </si>
  <si>
    <t>coast</t>
  </si>
  <si>
    <t>Pk=0; xe vẫn đi thêm</t>
  </si>
  <si>
    <t>TOÀN HÀNH TRÌNH</t>
  </si>
  <si>
    <t>ĐỐI CHIẾU LƯỚI THƯA VÀ LƯỚI MỊN — RIÊNG SỐ V</t>
  </si>
  <si>
    <t>Lưới nguồn (s)</t>
  </si>
  <si>
    <t>Lưới mịn (s)</t>
  </si>
  <si>
    <t>Chênh lệch (s)</t>
  </si>
  <si>
    <t>Chênh / mịn (%)</t>
  </si>
  <si>
    <t>Khoảng vận tốc</t>
  </si>
  <si>
    <t>Tổng riêng số V</t>
  </si>
  <si>
    <t>800 → 2.470 vòng/phút; 8,119658 → 25,069444 m/s</t>
  </si>
  <si>
    <t>Lưới mịn tách tại 22,2 m/s. Không cộng tổng riêng năm tay số để suy ra hành trình. Bảng nguồn giữ làm đối chiếu phương pháp, chưa phải lưới đủ chính xác cho kết quả cuối.</t>
  </si>
  <si>
    <t>KIỂM TRA ĐIỀU KIỆN PHÂN MIỀN VÀ DẢI VÒNG TUA</t>
  </si>
  <si>
    <t>800 khoảng mỗi miền; 20 bước RK4</t>
  </si>
  <si>
    <t>Các pha I–IV dưới ngưỡng cản lăn</t>
  </si>
  <si>
    <t>Số V bắt đầu dưới ngưỡng, kết thúc trên ngưỡng</t>
  </si>
  <si>
    <t>Các điểm vào số sau ≥ nmin</t>
  </si>
  <si>
    <t>n chuyển và n cuối nằm trong miền n ≤ nN</t>
  </si>
  <si>
    <t>Các pha kéo tăng vận tốc</t>
  </si>
  <si>
    <t>Giữ hệ số Me=10000/1,047 của nguồn. Vì là hệ số xấp xỉ, cân bằng lực tại đúng 95 km/h có sai khác nhỏ; không dùng phần dư rất nhỏ này để kết luận xe tăng tốc vượt vận tốc thiết kế. Điểm cuối phép tính là 90,25 km/h.</t>
  </si>
  <si>
    <t>KIỂM CHỨNG SỐ HỌC CHO BỘ SỐ LIỆU PHÁT HÀNH</t>
  </si>
  <si>
    <t>Tích phân thích nghi độc lập: t (s)</t>
  </si>
  <si>
    <t>Tích phân thích nghi độc lập: S (m)</t>
  </si>
  <si>
    <t>Sai khác t của lưới 800 (s)</t>
  </si>
  <si>
    <t>Sai khác S của lưới 800 (m)</t>
  </si>
  <si>
    <t>Các số kiểm chứng độc lập phía trên cố định cho bộ tham số phát hành; phải kiểm tra lại nếu đổi đầu vào. Công thức trong bảng hành trình tự tính lại trong miền hợp lệ, nhưng kiểm chứng này không tự chạy một bộ giải ngoài Excel.</t>
  </si>
  <si>
    <t>ĐỒ THỊ THAM KHẢO — ĐÚNG CẶP X/Y VÀ THỨ TỰ HÀNH TRÌNH</t>
  </si>
  <si>
    <t>Đường gia tốc ngược số V dùng hai chuỗi riêng ở hai phía 22,2 m/s. Đường thời gian/quãng đường toàn xe giữ nguyên thứ tự thời gian, gồm các đoạn lùi vận tốc khi chuyển số.</t>
  </si>
  <si>
    <t>CÁCH ĐỌC BẢN EXCEL ĐÃ CHỈNH</t>
  </si>
  <si>
    <t>Bản tham khảo này làm gì</t>
  </si>
  <si>
    <t>Giữ hai sheet nguồn và ảnh công thức. Sửa hoành độ điểm cuối số V ở ba đồ thị D, 1/j và thời gian từ 95 về đúng 90,25 km/h. Giữ bảng tích phân thưa làm đối chiếu; bổ sung lưới mịn và hành trình tăng tốc liên tục qua năm tay số.</t>
  </si>
  <si>
    <t>Giữ bộ thông số mới của bạn</t>
  </si>
  <si>
    <t>f0=0,015; η=0,85; ihI=6,5; ihV=1 (truyền thẳng); ip=1,25; δk=1,05+0,05ihk². Giữ phép đổi mômen Me=10000Ne/(1,047n) để đối chiếu đúng file nguồn. Không áp dụng kết quả 104,015 s của phương án cũ.</t>
  </si>
  <si>
    <t>Giả thiết bổ sung cho hành trình</t>
  </si>
  <si>
    <t>Chọn chuyển I→II→III→IV→V tại 2.600 vòng/phút theo miền bảng nguồn; ngắt lực kéo 1 s/lần; δcoast=1,05. Đây là lịch tham khảo, chưa tối ưu. Bắt đầu số I ở 800 vòng/phút; kết thúc tại 0,95vmax=90,25 km/h; chưa gồm khởi hành bằng ly hợp trượt.</t>
  </si>
  <si>
    <t>Phân biệt hai loại thời gian</t>
  </si>
  <si>
    <t>Bảng C189:G194 nguồn đặt t=0 riêng cho từng số. Nó là thời gian riêng τk(v), không phải toàn bộ quá trình. Khi nối số phải dùng t(v)=t_vào_số+τk(v)−τk(v_vào_số), cộng cả thời gian ngắt lực kéo và vào số mới tại vận tốc đã giảm.</t>
  </si>
  <si>
    <t>Công thức hình thang của bạn đúng</t>
  </si>
  <si>
    <t>Δt=(1/jA+1/jB)(vB−vA)/2; tB=tA+Δt. ΔS=(vA/jA+vB/jB)(vB−vA)/2; SB=SA+ΔS. Tất cả vận tốc trong phép tính là m/s. Việc dùng các khoảng quá rộng, nhất là đi xuyên ngưỡng đổi f, mới làm sai số lớn.</t>
  </si>
  <si>
    <t>Tại sao có hai dòng ở 22,2 m/s</t>
  </si>
  <si>
    <t>Mô hình IF cản lăn của nguồn có bước nhảy. Bảng thêm hai giá trị giới hạn low/high tại cùng vận tốc: cuối nhánh thấp và đầu nhánh cao. Dòng đầu nhánh mới có Δt=ΔS=0; không nối một hình thang qua bước nhảy. Đây là cách xử lý mô hình thực nghiệm, không khẳng định lực thực thay đổi tức thời.</t>
  </si>
  <si>
    <t>Cách tính chuyển số</t>
  </si>
  <si>
    <t>Trong lúc ngắt lực kéo Pk=0, dv/dt=−Pc/(Mδcoast), dS/dt=v. Bảng dùng 20 bước RK4 mỗi lần, mặc định Δτ=0,05 s. Các cột W:AC ẩn chứa k1…k4 và vận tốc trung gian; có thể Unhide để kiểm tra. Vận tốc giảm trong khi t và S vẫn tăng.</t>
  </si>
  <si>
    <t>Cách vẽ đồ thị thời gian</t>
  </si>
  <si>
    <t>Dùng Scatter (XY) nối thẳng. Tại HANH_TRINH: X=cột G (km/h), Y=cột U (s) hoặc V (m). Giữ nguyên thứ tự dòng theo thời gian; không sắp tăng dần vận tốc. Đồ thị có đoạn lùi sang trái ở lúc chuyển số. Chọn Smooth không làm phép tích phân chính xác hơn.</t>
  </si>
  <si>
    <t>Những ô nào tự tính lại</t>
  </si>
  <si>
    <t>THAM_SO_MOI liên kết thông số xe từ hai sheet gốc; các ô giả thiết màu xanh tại đây có thể chỉnh. Các cột n, v, lực, gia tốc, hình thang, RK4, t/S và đồ thị mới đều dùng công thức Excel có cache. Dữ liệu đối chiếu độc lập cuối TONG_HOP là cố định và được ghi rõ.</t>
  </si>
  <si>
    <t>Kiểm tra trước khi đổi phương án</t>
  </si>
  <si>
    <t>Sau khi đổi dữ liệu, xem sáu ô trạng thái tại TONG_HOP. Lưới hiện tại dành cho I–IV dưới 22,2 m/s và số V đi qua ngưỡng. Nếu trạng thái báo cần đổi phân miền hoặc vòng tua ngoài miền, phải dựng lại lưới; không dùng kết quả đó. Không đổi riêng số khoảng800 hoặc số bước20 khi chưa tạo lại các dòng.</t>
  </si>
  <si>
    <t>Các giới hạn còn giữ</t>
  </si>
  <si>
    <t>δ là xấp xỉ theo lựa chọn của bạn, không phải mômen quán tính thực đo. Giới hạn bám dùng tải tĩnh m=1. Đặc tính động cơ là đa thức tính toán trong miền n≤nN, chưa xác định động cơ thương mại. Do hệ số đổi mômen làm tròn, cân bằng tại95 km/h có sai khác nhỏ.</t>
  </si>
  <si>
    <t>Đọc kết quả mới</t>
  </si>
  <si>
    <t>TONG_HOP dòng16 là kết quả toàn hành trình; dòng21 so riêng số V của bảng nguồn với lưới mịn. HANH_TRINH cho chi tiết từng khoảng và từng bước chuyển số. TICH_PHAN_SO_V là bài kiểm tra riêng số V, không cộng nó thêm vào tổng hành trình.</t>
  </si>
  <si>
    <t>Không cần macro</t>
  </si>
  <si>
    <t>Mở bằng Excel hoặc phần mềm tương thích .xlsx. File có giá trị lưu sẵn cho từng công thức để đọc ngay; các phần mềm khác nhau có thể hiển thị ảnh trong ô của nguồn khác nhau. Bản gốc được giữ riêng và không ghi đè.</t>
  </si>
  <si>
    <t>THAM_SO_MOI</t>
  </si>
  <si>
    <t>TICH_PHAN_SO_V</t>
  </si>
  <si>
    <t>HANH_TRINH</t>
  </si>
  <si>
    <t>TONG_HOP</t>
  </si>
  <si>
    <t>DO_THI_MOI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</si>
</sst>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000"/>
    <numFmt numFmtId="166" formatCode="0.#########"/>
    <numFmt numFmtId="167" formatCode="#,##0.000"/>
  </numFmts>
  <fonts count="43" x14ac:knownFonts="1">
    <font>
      <sz val="11"/>
      <color theme="1"/>
      <name val="Calibri"/>
      <family val="2"/>
      <charset val="163"/>
      <scheme val="minor"/>
    </font>
    <font>
      <sz val="11"/>
      <color theme="1"/>
      <name val="Calibri"/>
      <family val="2"/>
      <charset val="163"/>
      <scheme val="minor"/>
    </font>
    <font>
      <sz val="12"/>
      <color theme="1"/>
      <name val="Times New Roman"/>
      <family val="1"/>
    </font>
    <font>
      <b/>
      <sz val="12"/>
      <color theme="1"/>
      <name val="Times New Roman"/>
      <family val="1"/>
    </font>
    <font>
      <b/>
      <sz val="14"/>
      <color theme="1"/>
      <name val="Times New Roman"/>
      <family val="1"/>
    </font>
    <font>
      <sz val="12"/>
      <color theme="1"/>
      <name val="Calibri"/>
      <family val="2"/>
    </font>
    <font>
      <sz val="11"/>
      <color theme="1"/>
      <name val="Microsoft YaHei UI"/>
      <family val="2"/>
    </font>
    <font>
      <sz val="9"/>
      <color indexed="81"/>
      <name val="Tahoma"/>
      <family val="2"/>
    </font>
    <font>
      <vertAlign val="superscript"/>
      <sz val="12"/>
      <color theme="1"/>
      <name val="Times New Roman"/>
      <family val="1"/>
    </font>
    <font>
      <sz val="12"/>
      <color theme="1"/>
      <name val="Microsoft YaHei UI"/>
      <family val="2"/>
    </font>
    <font>
      <b/>
      <vertAlign val="subscript"/>
      <sz val="12"/>
      <color theme="1"/>
      <name val="Times New Roman"/>
      <family val="1"/>
    </font>
    <font>
      <sz val="11"/>
      <color theme="1"/>
      <name val="Times New Roman"/>
      <family val="1"/>
    </font>
    <font>
      <vertAlign val="subscript"/>
      <sz val="11"/>
      <color theme="1"/>
      <name val="Calibri"/>
      <family val="2"/>
      <charset val="163"/>
      <scheme val="minor"/>
    </font>
    <font>
      <sz val="9"/>
      <color indexed="81"/>
      <name val="Tahoma"/>
      <family val="2"/>
      <charset val="163"/>
    </font>
    <font>
      <b/>
      <sz val="11"/>
      <color theme="1"/>
      <name val="Calibri"/>
      <family val="2"/>
      <charset val="163"/>
      <scheme val="minor"/>
    </font>
    <font>
      <sz val="8"/>
      <name val="Calibri"/>
      <family val="2"/>
      <charset val="163"/>
      <scheme val="minor"/>
    </font>
    <font>
      <b/>
      <vertAlign val="subscript"/>
      <sz val="12"/>
      <color theme="1"/>
      <name val="Times New Roman"/>
      <family val="1"/>
      <charset val="163"/>
    </font>
    <font>
      <b/>
      <sz val="12"/>
      <color theme="1"/>
      <name val="Times New Roman"/>
      <family val="1"/>
      <charset val="163"/>
    </font>
    <font>
      <b/>
      <vertAlign val="subscript"/>
      <sz val="11"/>
      <color theme="1"/>
      <name val="Calibri"/>
      <family val="2"/>
      <charset val="163"/>
      <scheme val="minor"/>
    </font>
    <font>
      <b/>
      <sz val="11"/>
      <color theme="1"/>
      <name val="Calibri"/>
      <family val="2"/>
      <scheme val="minor"/>
    </font>
    <font>
      <b/>
      <vertAlign val="subscript"/>
      <sz val="11"/>
      <color theme="1"/>
      <name val="Calibri"/>
      <family val="2"/>
      <scheme val="minor"/>
    </font>
    <font>
      <b/>
      <vertAlign val="subscript"/>
      <sz val="11"/>
      <color theme="1"/>
      <name val="Aptos Narrow"/>
      <family val="2"/>
    </font>
    <font>
      <sz val="16"/>
      <color theme="1"/>
      <name val="Calibri"/>
      <family val="2"/>
      <charset val="163"/>
      <scheme val="minor"/>
    </font>
    <font>
      <b/>
      <sz val="16"/>
      <color theme="1"/>
      <name val="Calibri"/>
      <family val="2"/>
      <scheme val="minor"/>
    </font>
    <font>
      <b/>
      <vertAlign val="subscript"/>
      <sz val="16"/>
      <color theme="1"/>
      <name val="Calibri"/>
      <family val="2"/>
      <scheme val="minor"/>
    </font>
    <font>
      <b/>
      <vertAlign val="superscript"/>
      <sz val="16"/>
      <color theme="1"/>
      <name val="Calibri"/>
      <family val="2"/>
      <scheme val="minor"/>
    </font>
    <font>
      <vertAlign val="subscript"/>
      <sz val="11"/>
      <color theme="1"/>
      <name val="Calibri"/>
      <family val="2"/>
      <scheme val="minor"/>
    </font>
    <font>
      <vertAlign val="superscript"/>
      <sz val="11"/>
      <color theme="1"/>
      <name val="Calibri"/>
      <family val="2"/>
      <scheme val="minor"/>
    </font>
    <font>
      <b/>
      <sz val="16"/>
      <color theme="1"/>
      <name val="Aptos Narrow"/>
      <family val="2"/>
    </font>
    <font>
      <b/>
      <sz val="15.2"/>
      <color theme="1"/>
      <name val="Calibri"/>
      <family val="2"/>
    </font>
    <font>
      <b/>
      <vertAlign val="subscript"/>
      <sz val="15.2"/>
      <color theme="1"/>
      <name val="Calibri"/>
      <family val="2"/>
    </font>
    <font>
      <sz val="14"/>
      <color theme="1"/>
      <name val="Calibri"/>
      <family val="2"/>
      <charset val="163"/>
    </font>
    <font>
      <sz val="14"/>
      <color theme="1"/>
      <name val="Aptos Narrow"/>
      <family val="2"/>
    </font>
    <font>
      <vertAlign val="subscript"/>
      <sz val="14"/>
      <color theme="1"/>
      <name val="Calibri"/>
      <family val="2"/>
    </font>
    <font>
      <sz val="11"/>
      <color theme="1"/>
      <name val="Calibri"/>
      <family val="2"/>
      <scheme val="minor"/>
    </font>
    <font>
      <b/>
      <sz val="17"/>
      <color rgb="FFFFFFFF"/>
      <name val="Calibri"/>
      <family val="2"/>
      <scheme val="minor"/>
    </font>
    <font>
      <b/>
      <sz val="11"/>
      <color rgb="FF17365D"/>
      <name val="Calibri"/>
      <family val="2"/>
      <scheme val="minor"/>
    </font>
    <font>
      <sz val="10"/>
      <color theme="1"/>
      <name val="Calibri"/>
      <family val="2"/>
      <scheme val="minor"/>
    </font>
    <font>
      <u/>
      <sz val="11"/>
      <color rgb="FF0000FF"/>
      <name val="Calibri"/>
      <family val="2"/>
      <scheme val="minor"/>
    </font>
    <font>
      <sz val="10"/>
      <color rgb="FF9C0006"/>
      <name val="Calibri"/>
      <family val="2"/>
      <scheme val="minor"/>
    </font>
    <font>
      <b/>
      <sz val="11"/>
      <color rgb="FFFFFFFF"/>
      <name val="Calibri"/>
      <family val="2"/>
      <scheme val="minor"/>
    </font>
    <font>
      <sz val="10"/>
      <color rgb="FF0057B7"/>
      <name val="Calibri"/>
      <family val="2"/>
      <scheme val="minor"/>
    </font>
    <font>
      <b/>
      <sz val="11"/>
      <color rgb="FF006100"/>
      <name val="Calibri"/>
      <family val="2"/>
      <scheme val="minor"/>
    </font>
  </fonts>
  <fills count="15">
    <fill>
      <patternFill patternType="none"/>
    </fill>
    <fill>
      <patternFill patternType="gray125"/>
    </fill>
    <fill>
      <patternFill patternType="solid">
        <fgColor theme="4"/>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0"/>
        <bgColor indexed="64"/>
      </patternFill>
    </fill>
    <fill>
      <patternFill patternType="solid">
        <fgColor rgb="FFFFFF00"/>
        <bgColor indexed="64"/>
      </patternFill>
    </fill>
    <fill>
      <patternFill patternType="solid">
        <fgColor theme="9" tint="0.79998168889431442"/>
        <bgColor indexed="64"/>
      </patternFill>
    </fill>
    <fill>
      <patternFill patternType="none"/>
    </fill>
    <fill>
      <patternFill patternType="gray125"/>
    </fill>
    <fill>
      <patternFill patternType="solid">
        <fgColor rgb="FF17365D"/>
        <bgColor indexed="64"/>
      </patternFill>
    </fill>
    <fill>
      <patternFill patternType="solid">
        <fgColor rgb="FFDCEAF7"/>
        <bgColor indexed="64"/>
      </patternFill>
    </fill>
    <fill>
      <patternFill patternType="solid">
        <fgColor rgb="FFFFF2CC"/>
        <bgColor indexed="64"/>
      </patternFill>
    </fill>
    <fill>
      <patternFill patternType="solid">
        <fgColor rgb="FFE2F0D9"/>
        <bgColor indexed="64"/>
      </patternFill>
    </fill>
    <fill>
      <patternFill patternType="solid">
        <fgColor rgb="FFEAF2F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style="thin">
        <color indexed="64"/>
      </left>
      <right style="thin">
        <color indexed="64"/>
      </right>
      <top/>
      <bottom/>
      <diagonal/>
    </border>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4" fillId="8" borderId="10"/>
  </cellStyleXfs>
  <cellXfs count="78">
    <xf numFmtId="0" fontId="0" fillId="0" borderId="0" xfId="0"/>
    <xf numFmtId="0" fontId="6" fillId="0" borderId="0" xfId="0" applyFont="1"/>
    <xf numFmtId="0" fontId="3" fillId="2" borderId="1" xfId="0" applyFont="1" applyFill="1" applyBorder="1" applyAlignment="1">
      <alignment horizontal="center" vertical="center"/>
    </xf>
    <xf numFmtId="0" fontId="2" fillId="0" borderId="1" xfId="0" applyFont="1" applyBorder="1" applyAlignment="1">
      <alignment horizontal="center" vertical="center"/>
    </xf>
    <xf numFmtId="0" fontId="5" fillId="0" borderId="1" xfId="0" applyFont="1" applyBorder="1" applyAlignment="1">
      <alignment horizontal="center" vertical="center"/>
    </xf>
    <xf numFmtId="0" fontId="2" fillId="0" borderId="1" xfId="0" applyFont="1" applyBorder="1" applyAlignment="1">
      <alignment horizontal="center" vertical="center" wrapText="1"/>
    </xf>
    <xf numFmtId="0" fontId="0" fillId="0" borderId="1" xfId="0" applyBorder="1" applyAlignment="1">
      <alignment horizontal="center" vertical="center" wrapText="1"/>
    </xf>
    <xf numFmtId="0" fontId="11" fillId="0" borderId="1" xfId="0" applyFont="1" applyBorder="1" applyAlignment="1">
      <alignment horizontal="center" vertical="center"/>
    </xf>
    <xf numFmtId="0" fontId="2" fillId="0" borderId="3" xfId="0" applyFont="1" applyBorder="1" applyAlignment="1">
      <alignment horizontal="center" vertical="center"/>
    </xf>
    <xf numFmtId="0" fontId="2" fillId="0" borderId="3" xfId="0" applyFont="1" applyBorder="1" applyAlignment="1">
      <alignment horizontal="center" vertical="center" wrapText="1"/>
    </xf>
    <xf numFmtId="0" fontId="9" fillId="0" borderId="1" xfId="0" applyFont="1" applyBorder="1" applyAlignment="1">
      <alignment horizontal="center" vertical="center" wrapText="1"/>
    </xf>
    <xf numFmtId="0" fontId="0" fillId="0" borderId="1" xfId="0" applyBorder="1" applyAlignment="1">
      <alignment horizontal="center" vertical="center"/>
    </xf>
    <xf numFmtId="0" fontId="0" fillId="6" borderId="1" xfId="0" applyFill="1" applyBorder="1" applyAlignment="1">
      <alignment horizontal="center" vertical="center"/>
    </xf>
    <xf numFmtId="0" fontId="3" fillId="5" borderId="1" xfId="0" applyFont="1" applyFill="1" applyBorder="1" applyAlignment="1">
      <alignment horizontal="center" vertical="center"/>
    </xf>
    <xf numFmtId="0" fontId="0" fillId="0" borderId="0" xfId="0" applyAlignment="1">
      <alignment horizontal="center"/>
    </xf>
    <xf numFmtId="0" fontId="14" fillId="0" borderId="0" xfId="0" applyFont="1"/>
    <xf numFmtId="0" fontId="0" fillId="0" borderId="0" xfId="0" applyAlignment="1">
      <alignment horizontal="center" vertical="center"/>
    </xf>
    <xf numFmtId="0" fontId="0" fillId="0" borderId="1" xfId="0" applyBorder="1"/>
    <xf numFmtId="0" fontId="0" fillId="0" borderId="1" xfId="0" applyBorder="1" applyAlignment="1">
      <alignment horizontal="center"/>
    </xf>
    <xf numFmtId="0" fontId="14" fillId="0" borderId="1" xfId="0" applyFont="1" applyBorder="1" applyAlignment="1">
      <alignment horizontal="center" vertical="center"/>
    </xf>
    <xf numFmtId="0" fontId="20" fillId="0" borderId="1" xfId="0" applyFont="1" applyBorder="1" applyAlignment="1">
      <alignment horizontal="center" vertical="center"/>
    </xf>
    <xf numFmtId="164" fontId="0" fillId="0" borderId="1" xfId="0" applyNumberFormat="1" applyBorder="1" applyAlignment="1">
      <alignment horizontal="center" vertical="center"/>
    </xf>
    <xf numFmtId="164" fontId="0" fillId="0" borderId="1" xfId="0" applyNumberFormat="1" applyBorder="1" applyAlignment="1">
      <alignment horizontal="center"/>
    </xf>
    <xf numFmtId="0" fontId="14" fillId="2" borderId="1" xfId="0" applyFont="1" applyFill="1" applyBorder="1" applyAlignment="1">
      <alignment horizontal="center"/>
    </xf>
    <xf numFmtId="0" fontId="14" fillId="2" borderId="5" xfId="0" applyFont="1" applyFill="1" applyBorder="1" applyAlignment="1">
      <alignment horizontal="center" vertical="center"/>
    </xf>
    <xf numFmtId="0" fontId="3" fillId="5" borderId="4"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14" fillId="2" borderId="1" xfId="0" applyFont="1" applyFill="1" applyBorder="1" applyAlignment="1">
      <alignment horizontal="center" vertical="center"/>
    </xf>
    <xf numFmtId="0" fontId="2" fillId="0" borderId="1" xfId="0" applyFont="1" applyBorder="1" applyAlignment="1">
      <alignment horizontal="center" vertical="center"/>
    </xf>
    <xf numFmtId="0" fontId="3" fillId="2" borderId="1" xfId="0" applyFont="1" applyFill="1" applyBorder="1" applyAlignment="1">
      <alignment horizontal="center" vertical="center"/>
    </xf>
    <xf numFmtId="0" fontId="0" fillId="0" borderId="1" xfId="0" applyBorder="1" applyAlignment="1">
      <alignment horizontal="center" vertical="center"/>
    </xf>
    <xf numFmtId="0" fontId="14" fillId="2" borderId="4" xfId="0" applyFont="1" applyFill="1" applyBorder="1" applyAlignment="1">
      <alignment horizontal="center" vertical="center"/>
    </xf>
    <xf numFmtId="0" fontId="14" fillId="2" borderId="6" xfId="0" applyFont="1" applyFill="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4" fillId="4" borderId="1" xfId="0" applyFont="1" applyFill="1" applyBorder="1" applyAlignment="1">
      <alignment horizontal="center" vertical="center"/>
    </xf>
    <xf numFmtId="0" fontId="3" fillId="3" borderId="1" xfId="0" applyFont="1" applyFill="1" applyBorder="1" applyAlignment="1">
      <alignment horizontal="center" vertical="center"/>
    </xf>
    <xf numFmtId="0" fontId="17" fillId="5" borderId="4" xfId="0" applyFont="1" applyFill="1" applyBorder="1" applyAlignment="1">
      <alignment horizontal="center" vertical="center" wrapText="1"/>
    </xf>
    <xf numFmtId="0" fontId="17" fillId="5" borderId="5" xfId="0" applyFont="1" applyFill="1" applyBorder="1" applyAlignment="1">
      <alignment horizontal="center" vertical="center" wrapText="1"/>
    </xf>
    <xf numFmtId="0" fontId="17" fillId="5" borderId="6"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5" borderId="1" xfId="0" applyFont="1" applyFill="1" applyBorder="1" applyAlignment="1">
      <alignment horizontal="center" vertical="center"/>
    </xf>
    <xf numFmtId="0" fontId="0" fillId="6" borderId="1" xfId="0" applyFill="1" applyBorder="1" applyAlignment="1">
      <alignment horizontal="center" vertical="center"/>
    </xf>
    <xf numFmtId="0" fontId="0" fillId="0" borderId="0" xfId="0" applyAlignment="1">
      <alignment horizontal="center" vertical="center"/>
    </xf>
    <xf numFmtId="0" fontId="23" fillId="2" borderId="1" xfId="0" applyFont="1" applyFill="1" applyBorder="1" applyAlignment="1">
      <alignment horizontal="center" vertical="center"/>
    </xf>
    <xf numFmtId="0" fontId="23" fillId="2" borderId="7" xfId="0" applyFont="1" applyFill="1" applyBorder="1" applyAlignment="1">
      <alignment horizontal="center" vertical="center"/>
    </xf>
    <xf numFmtId="0" fontId="23" fillId="2" borderId="0" xfId="0" applyFont="1" applyFill="1" applyAlignment="1">
      <alignment horizontal="center" vertical="center"/>
    </xf>
    <xf numFmtId="0" fontId="0" fillId="0" borderId="0" xfId="0" applyAlignment="1">
      <alignment horizontal="center"/>
    </xf>
    <xf numFmtId="0" fontId="0" fillId="0" borderId="2" xfId="0" applyBorder="1" applyAlignment="1">
      <alignment horizontal="center"/>
    </xf>
    <xf numFmtId="0" fontId="23" fillId="2" borderId="1" xfId="0" applyFont="1" applyFill="1" applyBorder="1" applyAlignment="1">
      <alignment horizontal="center"/>
    </xf>
    <xf numFmtId="0" fontId="0" fillId="0" borderId="5" xfId="0" applyBorder="1" applyAlignment="1">
      <alignment horizontal="center" vertical="center"/>
    </xf>
    <xf numFmtId="0" fontId="3" fillId="2" borderId="2" xfId="0" applyFont="1" applyFill="1" applyBorder="1" applyAlignment="1">
      <alignment horizontal="center" vertical="center"/>
    </xf>
    <xf numFmtId="0" fontId="22" fillId="2" borderId="1" xfId="0" applyFont="1" applyFill="1" applyBorder="1" applyAlignment="1">
      <alignment horizontal="center" vertical="center"/>
    </xf>
    <xf numFmtId="0" fontId="31" fillId="0" borderId="1" xfId="0" applyFont="1" applyBorder="1" applyAlignment="1">
      <alignment horizontal="center" vertical="center"/>
    </xf>
    <xf numFmtId="0" fontId="23" fillId="2" borderId="8" xfId="0" applyFont="1" applyFill="1" applyBorder="1" applyAlignment="1">
      <alignment horizontal="center" vertical="center"/>
    </xf>
    <xf numFmtId="164" fontId="0" fillId="0" borderId="0" xfId="0" applyNumberFormat="1"/>
    <xf numFmtId="0" fontId="0" fillId="7" borderId="1" xfId="0" applyFill="1" applyBorder="1" applyAlignment="1">
      <alignment horizontal="center" vertical="center"/>
    </xf>
    <xf numFmtId="164" fontId="0" fillId="7" borderId="9" xfId="0" applyNumberFormat="1" applyFill="1" applyBorder="1" applyAlignment="1">
      <alignment horizontal="center" vertical="center"/>
    </xf>
    <xf numFmtId="0" fontId="11" fillId="7" borderId="1" xfId="0" applyFont="1" applyFill="1" applyBorder="1" applyAlignment="1">
      <alignment horizontal="center" vertical="center"/>
    </xf>
    <xf numFmtId="0" fontId="2" fillId="7" borderId="1" xfId="0" applyFont="1" applyFill="1" applyBorder="1" applyAlignment="1">
      <alignment horizontal="center" vertical="center"/>
    </xf>
    <xf numFmtId="0" fontId="34" fillId="8" borderId="10" xfId="1"/>
    <xf numFmtId="0" fontId="35" fillId="10" borderId="10" xfId="1" applyFont="1" applyFill="1" applyAlignment="1">
      <alignment vertical="center"/>
    </xf>
    <xf numFmtId="0" fontId="36" fillId="11" borderId="10" xfId="1" applyFont="1" applyFill="1"/>
    <xf numFmtId="0" fontId="37" fillId="8" borderId="10" xfId="1" applyFont="1" applyAlignment="1">
      <alignment vertical="top" wrapText="1"/>
    </xf>
    <xf numFmtId="0" fontId="38" fillId="8" borderId="10" xfId="1" applyFont="1"/>
    <xf numFmtId="0" fontId="39" fillId="12" borderId="10" xfId="1" applyFont="1" applyFill="1" applyAlignment="1">
      <alignment vertical="top" wrapText="1"/>
    </xf>
    <xf numFmtId="0" fontId="40" fillId="10" borderId="11" xfId="1" applyFont="1" applyFill="1" applyBorder="1" applyAlignment="1">
      <alignment horizontal="center" vertical="center" wrapText="1"/>
    </xf>
    <xf numFmtId="165" fontId="37" fillId="13" borderId="10" xfId="1" applyNumberFormat="1" applyFont="1" applyFill="1"/>
    <xf numFmtId="166" fontId="41" fillId="14" borderId="10" xfId="1" applyNumberFormat="1" applyFont="1" applyFill="1"/>
    <xf numFmtId="1" fontId="37" fillId="8" borderId="10" xfId="1" applyNumberFormat="1" applyFont="1"/>
    <xf numFmtId="165" fontId="37" fillId="8" borderId="10" xfId="1" applyNumberFormat="1" applyFont="1"/>
    <xf numFmtId="167" fontId="37" fillId="8" borderId="10" xfId="1" applyNumberFormat="1" applyFont="1"/>
    <xf numFmtId="165" fontId="42" fillId="13" borderId="10" xfId="1"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 Id="rId100" Type="http://schemas.openxmlformats.org/officeDocument/2006/relationships/worksheet" Target="ref/worksheets/sheet1.xml"/><Relationship Id="rId101" Type="http://schemas.openxmlformats.org/officeDocument/2006/relationships/worksheet" Target="ref/worksheets/sheet2.xml"/><Relationship Id="rId102" Type="http://schemas.openxmlformats.org/officeDocument/2006/relationships/worksheet" Target="ref/worksheets/sheet3.xml"/><Relationship Id="rId103" Type="http://schemas.openxmlformats.org/officeDocument/2006/relationships/worksheet" Target="ref/worksheets/sheet4.xml"/><Relationship Id="rId104" Type="http://schemas.openxmlformats.org/officeDocument/2006/relationships/worksheet" Target="ref/worksheets/sheet5.xml"/><Relationship Id="rId105" Type="http://schemas.openxmlformats.org/officeDocument/2006/relationships/worksheet" Target="ref/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Đồ thị đặc tính ngoài của động cơ</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vi-VN"/>
        </a:p>
      </c:txPr>
    </c:title>
    <c:autoTitleDeleted val="0"/>
    <c:plotArea>
      <c:layout/>
      <c:scatterChart>
        <c:scatterStyle val="smoothMarker"/>
        <c:varyColors val="0"/>
        <c:ser>
          <c:idx val="0"/>
          <c:order val="0"/>
          <c:tx>
            <c:strRef>
              <c:f>'TÍNH TOÁN '!$C$34:$D$34</c:f>
              <c:strCache>
                <c:ptCount val="1"/>
                <c:pt idx="0">
                  <c:v>Ne (kW)</c:v>
                </c:pt>
              </c:strCache>
            </c:strRef>
          </c:tx>
          <c:spPr>
            <a:ln w="28575" cap="rnd">
              <a:solidFill>
                <a:schemeClr val="accent1"/>
              </a:solidFill>
              <a:round/>
            </a:ln>
            <a:effectLst/>
          </c:spPr>
          <c:marker>
            <c:symbol val="circle"/>
            <c:size val="6"/>
            <c:spPr>
              <a:solidFill>
                <a:schemeClr val="accent1"/>
              </a:solidFill>
              <a:ln>
                <a:noFill/>
              </a:ln>
              <a:effectLst/>
            </c:spPr>
          </c:marker>
          <c:xVal>
            <c:numRef>
              <c:f>'TÍNH TOÁN '!$B$35:$B$41</c:f>
              <c:numCache>
                <c:formatCode>General</c:formatCode>
                <c:ptCount val="7"/>
                <c:pt idx="0">
                  <c:v>800</c:v>
                </c:pt>
                <c:pt idx="1">
                  <c:v>1200</c:v>
                </c:pt>
                <c:pt idx="2">
                  <c:v>1600</c:v>
                </c:pt>
                <c:pt idx="3">
                  <c:v>2000</c:v>
                </c:pt>
                <c:pt idx="4">
                  <c:v>2166.6666666699998</c:v>
                </c:pt>
                <c:pt idx="5">
                  <c:v>2400</c:v>
                </c:pt>
                <c:pt idx="6">
                  <c:v>2600</c:v>
                </c:pt>
              </c:numCache>
            </c:numRef>
          </c:xVal>
          <c:yVal>
            <c:numRef>
              <c:f>'TÍNH TOÁN '!$C$35:$C$41</c:f>
              <c:numCache>
                <c:formatCode>General</c:formatCode>
                <c:ptCount val="7"/>
                <c:pt idx="0">
                  <c:v>28.438889056517024</c:v>
                </c:pt>
                <c:pt idx="1">
                  <c:v>48.346512678554703</c:v>
                </c:pt>
                <c:pt idx="2">
                  <c:v>69.445945253574664</c:v>
                </c:pt>
                <c:pt idx="3">
                  <c:v>89.786953949424088</c:v>
                </c:pt>
                <c:pt idx="4">
                  <c:v>97.574864497852644</c:v>
                </c:pt>
                <c:pt idx="5">
                  <c:v>107.4193059339501</c:v>
                </c:pt>
                <c:pt idx="6">
                  <c:v>114.61028789941903</c:v>
                </c:pt>
              </c:numCache>
            </c:numRef>
          </c:yVal>
          <c:smooth val="1"/>
          <c:extLst>
            <c:ext xmlns:c16="http://schemas.microsoft.com/office/drawing/2014/chart" uri="{C3380CC4-5D6E-409C-BE32-E72D297353CC}">
              <c16:uniqueId val="{00000001-6F49-4236-834C-4A869D6AF831}"/>
            </c:ext>
          </c:extLst>
        </c:ser>
        <c:dLbls>
          <c:showLegendKey val="0"/>
          <c:showVal val="0"/>
          <c:showCatName val="0"/>
          <c:showSerName val="0"/>
          <c:showPercent val="0"/>
          <c:showBubbleSize val="0"/>
        </c:dLbls>
        <c:axId val="1799928703"/>
        <c:axId val="1799925343"/>
      </c:scatterChart>
      <c:scatterChart>
        <c:scatterStyle val="smoothMarker"/>
        <c:varyColors val="0"/>
        <c:ser>
          <c:idx val="1"/>
          <c:order val="1"/>
          <c:tx>
            <c:strRef>
              <c:f>'TÍNH TOÁN '!$E$34:$G$34</c:f>
              <c:strCache>
                <c:ptCount val="1"/>
                <c:pt idx="0">
                  <c:v>Me (N.m)</c:v>
                </c:pt>
              </c:strCache>
            </c:strRef>
          </c:tx>
          <c:spPr>
            <a:ln w="28575" cap="rnd">
              <a:solidFill>
                <a:schemeClr val="accent2"/>
              </a:solidFill>
              <a:round/>
            </a:ln>
            <a:effectLst/>
          </c:spPr>
          <c:marker>
            <c:symbol val="circle"/>
            <c:size val="6"/>
            <c:spPr>
              <a:solidFill>
                <a:schemeClr val="accent2"/>
              </a:solidFill>
              <a:ln>
                <a:noFill/>
              </a:ln>
              <a:effectLst/>
            </c:spPr>
          </c:marker>
          <c:xVal>
            <c:numRef>
              <c:f>'TÍNH TOÁN '!$B$35:$B$41</c:f>
              <c:numCache>
                <c:formatCode>General</c:formatCode>
                <c:ptCount val="7"/>
                <c:pt idx="0">
                  <c:v>800</c:v>
                </c:pt>
                <c:pt idx="1">
                  <c:v>1200</c:v>
                </c:pt>
                <c:pt idx="2">
                  <c:v>1600</c:v>
                </c:pt>
                <c:pt idx="3">
                  <c:v>2000</c:v>
                </c:pt>
                <c:pt idx="4">
                  <c:v>2166.6666666699998</c:v>
                </c:pt>
                <c:pt idx="5">
                  <c:v>2400</c:v>
                </c:pt>
                <c:pt idx="6">
                  <c:v>2600</c:v>
                </c:pt>
              </c:numCache>
            </c:numRef>
          </c:xVal>
          <c:yVal>
            <c:numRef>
              <c:f>'TÍNH TOÁN '!$E$35:$E$41</c:f>
              <c:numCache>
                <c:formatCode>General</c:formatCode>
                <c:ptCount val="7"/>
                <c:pt idx="0">
                  <c:v>339.52828386481644</c:v>
                </c:pt>
                <c:pt idx="1">
                  <c:v>384.80191562046087</c:v>
                </c:pt>
                <c:pt idx="2">
                  <c:v>414.55315934559854</c:v>
                </c:pt>
                <c:pt idx="3">
                  <c:v>428.78201504022962</c:v>
                </c:pt>
                <c:pt idx="4">
                  <c:v>430.12944455676677</c:v>
                </c:pt>
                <c:pt idx="5">
                  <c:v>427.48848270435411</c:v>
                </c:pt>
                <c:pt idx="6">
                  <c:v>421.02082102497627</c:v>
                </c:pt>
              </c:numCache>
            </c:numRef>
          </c:yVal>
          <c:smooth val="1"/>
          <c:extLst>
            <c:ext xmlns:c16="http://schemas.microsoft.com/office/drawing/2014/chart" uri="{C3380CC4-5D6E-409C-BE32-E72D297353CC}">
              <c16:uniqueId val="{00000002-6F49-4236-834C-4A869D6AF831}"/>
            </c:ext>
          </c:extLst>
        </c:ser>
        <c:dLbls>
          <c:showLegendKey val="0"/>
          <c:showVal val="0"/>
          <c:showCatName val="0"/>
          <c:showSerName val="0"/>
          <c:showPercent val="0"/>
          <c:showBubbleSize val="0"/>
        </c:dLbls>
        <c:axId val="1871824287"/>
        <c:axId val="1871830047"/>
      </c:scatterChart>
      <c:valAx>
        <c:axId val="1799928703"/>
        <c:scaling>
          <c:orientation val="minMax"/>
        </c:scaling>
        <c:delete val="0"/>
        <c:axPos val="b"/>
        <c:majorGridlines>
          <c:spPr>
            <a:ln>
              <a:solidFill>
                <a:schemeClr val="tx1">
                  <a:lumMod val="15000"/>
                  <a:lumOff val="85000"/>
                </a:schemeClr>
              </a:solidFill>
            </a:ln>
            <a:effectLst/>
          </c:spPr>
        </c:majorGridlines>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 ne ( vòng/phút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vi-V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1799925343"/>
        <c:crosses val="autoZero"/>
        <c:crossBetween val="midCat"/>
      </c:valAx>
      <c:valAx>
        <c:axId val="1799925343"/>
        <c:scaling>
          <c:orientation val="minMax"/>
        </c:scaling>
        <c:delete val="0"/>
        <c:axPos val="l"/>
        <c:majorGridlines>
          <c:spPr>
            <a:ln>
              <a:solidFill>
                <a:schemeClr val="tx1">
                  <a:lumMod val="15000"/>
                  <a:lumOff val="85000"/>
                </a:schemeClr>
              </a:solidFill>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Ne (kW)</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vi-V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1799928703"/>
        <c:crosses val="autoZero"/>
        <c:crossBetween val="midCat"/>
      </c:valAx>
      <c:valAx>
        <c:axId val="1871830047"/>
        <c:scaling>
          <c:orientation val="minMax"/>
        </c:scaling>
        <c:delete val="0"/>
        <c:axPos val="r"/>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Me (N.m)</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vi-V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1871824287"/>
        <c:crosses val="max"/>
        <c:crossBetween val="midCat"/>
      </c:valAx>
      <c:valAx>
        <c:axId val="18718242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187183004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ĐỒ THỊ CÂN BẰNG CÔNG SUẤT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7723004042406669E-2"/>
          <c:y val="0.11060291636318213"/>
          <c:w val="0.738455207725351"/>
          <c:h val="0.75698577978269332"/>
        </c:manualLayout>
      </c:layout>
      <c:scatterChart>
        <c:scatterStyle val="smoothMarker"/>
        <c:varyColors val="0"/>
        <c:ser>
          <c:idx val="0"/>
          <c:order val="0"/>
          <c:tx>
            <c:v>Số I</c:v>
          </c:tx>
          <c:spPr>
            <a:ln w="19050" cap="rnd">
              <a:solidFill>
                <a:schemeClr val="accent1"/>
              </a:solidFill>
              <a:round/>
            </a:ln>
            <a:effectLst/>
          </c:spPr>
          <c:marker>
            <c:symbol val="none"/>
          </c:marker>
          <c:xVal>
            <c:numRef>
              <c:f>'TÍNH TOÁN '!$C$75:$C$80</c:f>
              <c:numCache>
                <c:formatCode>0.000</c:formatCode>
                <c:ptCount val="6"/>
                <c:pt idx="0">
                  <c:v>1.2491781722550954</c:v>
                </c:pt>
                <c:pt idx="1">
                  <c:v>1.8737672583826432</c:v>
                </c:pt>
                <c:pt idx="2">
                  <c:v>2.4983563445101908</c:v>
                </c:pt>
                <c:pt idx="3">
                  <c:v>3.1229454306377389</c:v>
                </c:pt>
                <c:pt idx="4">
                  <c:v>3.7475345167652865</c:v>
                </c:pt>
                <c:pt idx="5">
                  <c:v>4.0598290598290596</c:v>
                </c:pt>
              </c:numCache>
            </c:numRef>
          </c:xVal>
          <c:yVal>
            <c:numRef>
              <c:f>'TÍNH TOÁN '!$H$75:$H$80</c:f>
              <c:numCache>
                <c:formatCode>0.000</c:formatCode>
                <c:ptCount val="6"/>
                <c:pt idx="0">
                  <c:v>24.17305569803947</c:v>
                </c:pt>
                <c:pt idx="1">
                  <c:v>41.094535776771494</c:v>
                </c:pt>
                <c:pt idx="2">
                  <c:v>59.02905346553846</c:v>
                </c:pt>
                <c:pt idx="3">
                  <c:v>76.318910857010479</c:v>
                </c:pt>
                <c:pt idx="4">
                  <c:v>91.306410043857582</c:v>
                </c:pt>
                <c:pt idx="5">
                  <c:v>97.418744714506175</c:v>
                </c:pt>
              </c:numCache>
            </c:numRef>
          </c:yVal>
          <c:smooth val="1"/>
          <c:extLst>
            <c:ext xmlns:c16="http://schemas.microsoft.com/office/drawing/2014/chart" uri="{C3380CC4-5D6E-409C-BE32-E72D297353CC}">
              <c16:uniqueId val="{00000000-456C-4AE6-94A7-3F17ED2146E8}"/>
            </c:ext>
          </c:extLst>
        </c:ser>
        <c:ser>
          <c:idx val="1"/>
          <c:order val="1"/>
          <c:tx>
            <c:v>Số II</c:v>
          </c:tx>
          <c:spPr>
            <a:ln w="19050" cap="rnd">
              <a:solidFill>
                <a:schemeClr val="accent2"/>
              </a:solidFill>
              <a:round/>
            </a:ln>
            <a:effectLst/>
          </c:spPr>
          <c:marker>
            <c:symbol val="none"/>
          </c:marker>
          <c:xVal>
            <c:numRef>
              <c:f>'TÍNH TOÁN '!$D$75:$D$80</c:f>
              <c:numCache>
                <c:formatCode>0.000</c:formatCode>
                <c:ptCount val="6"/>
                <c:pt idx="0">
                  <c:v>1.9945858147245261</c:v>
                </c:pt>
                <c:pt idx="1">
                  <c:v>2.9918787220867893</c:v>
                </c:pt>
                <c:pt idx="2">
                  <c:v>3.9891716294490522</c:v>
                </c:pt>
                <c:pt idx="3">
                  <c:v>4.9864645368113152</c:v>
                </c:pt>
                <c:pt idx="4">
                  <c:v>5.9837574441735786</c:v>
                </c:pt>
                <c:pt idx="5">
                  <c:v>6.4824038978547094</c:v>
                </c:pt>
              </c:numCache>
            </c:numRef>
          </c:xVal>
          <c:yVal>
            <c:numRef>
              <c:f>'TÍNH TOÁN '!$H$75:$H$80</c:f>
              <c:numCache>
                <c:formatCode>0.000</c:formatCode>
                <c:ptCount val="6"/>
                <c:pt idx="0">
                  <c:v>24.17305569803947</c:v>
                </c:pt>
                <c:pt idx="1">
                  <c:v>41.094535776771494</c:v>
                </c:pt>
                <c:pt idx="2">
                  <c:v>59.02905346553846</c:v>
                </c:pt>
                <c:pt idx="3">
                  <c:v>76.318910857010479</c:v>
                </c:pt>
                <c:pt idx="4">
                  <c:v>91.306410043857582</c:v>
                </c:pt>
                <c:pt idx="5">
                  <c:v>97.418744714506175</c:v>
                </c:pt>
              </c:numCache>
            </c:numRef>
          </c:yVal>
          <c:smooth val="1"/>
          <c:extLst>
            <c:ext xmlns:c16="http://schemas.microsoft.com/office/drawing/2014/chart" uri="{C3380CC4-5D6E-409C-BE32-E72D297353CC}">
              <c16:uniqueId val="{00000001-456C-4AE6-94A7-3F17ED2146E8}"/>
            </c:ext>
          </c:extLst>
        </c:ser>
        <c:ser>
          <c:idx val="2"/>
          <c:order val="2"/>
          <c:tx>
            <c:v>Số III</c:v>
          </c:tx>
          <c:spPr>
            <a:ln w="19050" cap="rnd">
              <a:solidFill>
                <a:schemeClr val="accent3"/>
              </a:solidFill>
              <a:round/>
            </a:ln>
            <a:effectLst/>
          </c:spPr>
          <c:marker>
            <c:symbol val="none"/>
          </c:marker>
          <c:xVal>
            <c:numRef>
              <c:f>'TÍNH TOÁN '!$E$75:$E$80</c:f>
              <c:numCache>
                <c:formatCode>0.000</c:formatCode>
                <c:ptCount val="6"/>
                <c:pt idx="0">
                  <c:v>3.1847919381414509</c:v>
                </c:pt>
                <c:pt idx="1">
                  <c:v>4.7771879072121761</c:v>
                </c:pt>
                <c:pt idx="2">
                  <c:v>6.3695838762829018</c:v>
                </c:pt>
                <c:pt idx="3">
                  <c:v>7.9619798453536266</c:v>
                </c:pt>
                <c:pt idx="4">
                  <c:v>9.5543758144243522</c:v>
                </c:pt>
                <c:pt idx="5">
                  <c:v>10.350573798959713</c:v>
                </c:pt>
              </c:numCache>
            </c:numRef>
          </c:xVal>
          <c:yVal>
            <c:numRef>
              <c:f>'TÍNH TOÁN '!$H$75:$H$80</c:f>
              <c:numCache>
                <c:formatCode>0.000</c:formatCode>
                <c:ptCount val="6"/>
                <c:pt idx="0">
                  <c:v>24.17305569803947</c:v>
                </c:pt>
                <c:pt idx="1">
                  <c:v>41.094535776771494</c:v>
                </c:pt>
                <c:pt idx="2">
                  <c:v>59.02905346553846</c:v>
                </c:pt>
                <c:pt idx="3">
                  <c:v>76.318910857010479</c:v>
                </c:pt>
                <c:pt idx="4">
                  <c:v>91.306410043857582</c:v>
                </c:pt>
                <c:pt idx="5">
                  <c:v>97.418744714506175</c:v>
                </c:pt>
              </c:numCache>
            </c:numRef>
          </c:yVal>
          <c:smooth val="1"/>
          <c:extLst>
            <c:ext xmlns:c16="http://schemas.microsoft.com/office/drawing/2014/chart" uri="{C3380CC4-5D6E-409C-BE32-E72D297353CC}">
              <c16:uniqueId val="{00000002-456C-4AE6-94A7-3F17ED2146E8}"/>
            </c:ext>
          </c:extLst>
        </c:ser>
        <c:ser>
          <c:idx val="3"/>
          <c:order val="3"/>
          <c:tx>
            <c:v>Số IV</c:v>
          </c:tx>
          <c:spPr>
            <a:ln w="19050" cap="rnd">
              <a:solidFill>
                <a:schemeClr val="accent4"/>
              </a:solidFill>
              <a:round/>
            </a:ln>
            <a:effectLst/>
          </c:spPr>
          <c:marker>
            <c:symbol val="none"/>
          </c:marker>
          <c:xVal>
            <c:numRef>
              <c:f>'TÍNH TOÁN '!$F$75:$F$80</c:f>
              <c:numCache>
                <c:formatCode>0.000</c:formatCode>
                <c:ptCount val="6"/>
                <c:pt idx="0">
                  <c:v>5.0852159954078591</c:v>
                </c:pt>
                <c:pt idx="1">
                  <c:v>7.6278239931117886</c:v>
                </c:pt>
                <c:pt idx="2">
                  <c:v>10.170431990815718</c:v>
                </c:pt>
                <c:pt idx="3">
                  <c:v>12.713039988519649</c:v>
                </c:pt>
                <c:pt idx="4">
                  <c:v>15.255647986223577</c:v>
                </c:pt>
                <c:pt idx="5">
                  <c:v>16.526951985075542</c:v>
                </c:pt>
              </c:numCache>
            </c:numRef>
          </c:xVal>
          <c:yVal>
            <c:numRef>
              <c:f>'TÍNH TOÁN '!$H$75:$H$80</c:f>
              <c:numCache>
                <c:formatCode>0.000</c:formatCode>
                <c:ptCount val="6"/>
                <c:pt idx="0">
                  <c:v>24.17305569803947</c:v>
                </c:pt>
                <c:pt idx="1">
                  <c:v>41.094535776771494</c:v>
                </c:pt>
                <c:pt idx="2">
                  <c:v>59.02905346553846</c:v>
                </c:pt>
                <c:pt idx="3">
                  <c:v>76.318910857010479</c:v>
                </c:pt>
                <c:pt idx="4">
                  <c:v>91.306410043857582</c:v>
                </c:pt>
                <c:pt idx="5">
                  <c:v>97.418744714506175</c:v>
                </c:pt>
              </c:numCache>
            </c:numRef>
          </c:yVal>
          <c:smooth val="1"/>
          <c:extLst>
            <c:ext xmlns:c16="http://schemas.microsoft.com/office/drawing/2014/chart" uri="{C3380CC4-5D6E-409C-BE32-E72D297353CC}">
              <c16:uniqueId val="{00000003-456C-4AE6-94A7-3F17ED2146E8}"/>
            </c:ext>
          </c:extLst>
        </c:ser>
        <c:ser>
          <c:idx val="4"/>
          <c:order val="4"/>
          <c:tx>
            <c:v>Số V</c:v>
          </c:tx>
          <c:spPr>
            <a:ln w="19050" cap="rnd">
              <a:solidFill>
                <a:schemeClr val="accent5"/>
              </a:solidFill>
              <a:round/>
            </a:ln>
            <a:effectLst/>
          </c:spPr>
          <c:marker>
            <c:symbol val="none"/>
          </c:marker>
          <c:xVal>
            <c:numRef>
              <c:f>'TÍNH TOÁN '!$G$75:$G$80</c:f>
              <c:numCache>
                <c:formatCode>0.000</c:formatCode>
                <c:ptCount val="6"/>
                <c:pt idx="0">
                  <c:v>8.119658119658121</c:v>
                </c:pt>
                <c:pt idx="1">
                  <c:v>12.179487179487182</c:v>
                </c:pt>
                <c:pt idx="2">
                  <c:v>16.239316239316242</c:v>
                </c:pt>
                <c:pt idx="3">
                  <c:v>20.299145299145305</c:v>
                </c:pt>
                <c:pt idx="4">
                  <c:v>24.358974358974365</c:v>
                </c:pt>
                <c:pt idx="5">
                  <c:v>26.388888888888893</c:v>
                </c:pt>
              </c:numCache>
            </c:numRef>
          </c:xVal>
          <c:yVal>
            <c:numRef>
              <c:f>'TÍNH TOÁN '!$H$75:$H$80</c:f>
              <c:numCache>
                <c:formatCode>0.000</c:formatCode>
                <c:ptCount val="6"/>
                <c:pt idx="0">
                  <c:v>24.17305569803947</c:v>
                </c:pt>
                <c:pt idx="1">
                  <c:v>41.094535776771494</c:v>
                </c:pt>
                <c:pt idx="2">
                  <c:v>59.02905346553846</c:v>
                </c:pt>
                <c:pt idx="3">
                  <c:v>76.318910857010479</c:v>
                </c:pt>
                <c:pt idx="4">
                  <c:v>91.306410043857582</c:v>
                </c:pt>
                <c:pt idx="5">
                  <c:v>97.418744714506175</c:v>
                </c:pt>
              </c:numCache>
            </c:numRef>
          </c:yVal>
          <c:smooth val="1"/>
          <c:extLst>
            <c:ext xmlns:c16="http://schemas.microsoft.com/office/drawing/2014/chart" uri="{C3380CC4-5D6E-409C-BE32-E72D297353CC}">
              <c16:uniqueId val="{00000004-456C-4AE6-94A7-3F17ED2146E8}"/>
            </c:ext>
          </c:extLst>
        </c:ser>
        <c:ser>
          <c:idx val="5"/>
          <c:order val="5"/>
          <c:tx>
            <c:v>Nf</c:v>
          </c:tx>
          <c:spPr>
            <a:ln w="19050" cap="rnd">
              <a:solidFill>
                <a:schemeClr val="accent6"/>
              </a:solidFill>
              <a:round/>
            </a:ln>
            <a:effectLst/>
          </c:spPr>
          <c:marker>
            <c:symbol val="none"/>
          </c:marker>
          <c:xVal>
            <c:numRef>
              <c:f>'TÍNH TOÁN '!$B$85:$B$92</c:f>
              <c:numCache>
                <c:formatCode>General</c:formatCode>
                <c:ptCount val="8"/>
                <c:pt idx="0">
                  <c:v>0</c:v>
                </c:pt>
                <c:pt idx="1">
                  <c:v>5</c:v>
                </c:pt>
                <c:pt idx="2">
                  <c:v>10</c:v>
                </c:pt>
                <c:pt idx="3">
                  <c:v>15</c:v>
                </c:pt>
                <c:pt idx="4">
                  <c:v>20</c:v>
                </c:pt>
                <c:pt idx="5">
                  <c:v>22.2</c:v>
                </c:pt>
                <c:pt idx="6">
                  <c:v>25</c:v>
                </c:pt>
                <c:pt idx="7">
                  <c:v>26.39</c:v>
                </c:pt>
              </c:numCache>
            </c:numRef>
          </c:xVal>
          <c:yVal>
            <c:numRef>
              <c:f>'TÍNH TOÁN '!$C$85:$C$92</c:f>
              <c:numCache>
                <c:formatCode>General</c:formatCode>
                <c:ptCount val="8"/>
                <c:pt idx="0">
                  <c:v>0</c:v>
                </c:pt>
                <c:pt idx="1">
                  <c:v>5.6505599999999996</c:v>
                </c:pt>
                <c:pt idx="2">
                  <c:v>11.301119999999999</c:v>
                </c:pt>
                <c:pt idx="3">
                  <c:v>16.95168</c:v>
                </c:pt>
                <c:pt idx="4">
                  <c:v>22.602239999999998</c:v>
                </c:pt>
                <c:pt idx="5">
                  <c:v>25.088486399999997</c:v>
                </c:pt>
                <c:pt idx="6">
                  <c:v>40.024800000000006</c:v>
                </c:pt>
                <c:pt idx="7">
                  <c:v>43.670423116599551</c:v>
                </c:pt>
              </c:numCache>
            </c:numRef>
          </c:yVal>
          <c:smooth val="1"/>
          <c:extLst>
            <c:ext xmlns:c16="http://schemas.microsoft.com/office/drawing/2014/chart" uri="{C3380CC4-5D6E-409C-BE32-E72D297353CC}">
              <c16:uniqueId val="{00000008-456C-4AE6-94A7-3F17ED2146E8}"/>
            </c:ext>
          </c:extLst>
        </c:ser>
        <c:ser>
          <c:idx val="6"/>
          <c:order val="6"/>
          <c:tx>
            <c:v>Nw</c:v>
          </c:tx>
          <c:spPr>
            <a:ln w="19050" cap="rnd">
              <a:solidFill>
                <a:schemeClr val="accent1">
                  <a:lumMod val="60000"/>
                </a:schemeClr>
              </a:solidFill>
              <a:round/>
            </a:ln>
            <a:effectLst/>
          </c:spPr>
          <c:marker>
            <c:symbol val="none"/>
          </c:marker>
          <c:xVal>
            <c:numRef>
              <c:f>'TÍNH TOÁN '!$B$85:$B$92</c:f>
              <c:numCache>
                <c:formatCode>General</c:formatCode>
                <c:ptCount val="8"/>
                <c:pt idx="0">
                  <c:v>0</c:v>
                </c:pt>
                <c:pt idx="1">
                  <c:v>5</c:v>
                </c:pt>
                <c:pt idx="2">
                  <c:v>10</c:v>
                </c:pt>
                <c:pt idx="3">
                  <c:v>15</c:v>
                </c:pt>
                <c:pt idx="4">
                  <c:v>20</c:v>
                </c:pt>
                <c:pt idx="5">
                  <c:v>22.2</c:v>
                </c:pt>
                <c:pt idx="6">
                  <c:v>25</c:v>
                </c:pt>
                <c:pt idx="7">
                  <c:v>26.39</c:v>
                </c:pt>
              </c:numCache>
            </c:numRef>
          </c:xVal>
          <c:yVal>
            <c:numRef>
              <c:f>'TÍNH TOÁN '!$D$85:$D$92</c:f>
              <c:numCache>
                <c:formatCode>General</c:formatCode>
                <c:ptCount val="8"/>
                <c:pt idx="0">
                  <c:v>0</c:v>
                </c:pt>
                <c:pt idx="1">
                  <c:v>0.36562500000000003</c:v>
                </c:pt>
                <c:pt idx="2">
                  <c:v>2.9250000000000003</c:v>
                </c:pt>
                <c:pt idx="3">
                  <c:v>9.8718749999999993</c:v>
                </c:pt>
                <c:pt idx="4">
                  <c:v>23.400000000000002</c:v>
                </c:pt>
                <c:pt idx="5">
                  <c:v>32.002565400000002</c:v>
                </c:pt>
                <c:pt idx="6">
                  <c:v>45.703125000000007</c:v>
                </c:pt>
                <c:pt idx="7">
                  <c:v>53.758116123075006</c:v>
                </c:pt>
              </c:numCache>
            </c:numRef>
          </c:yVal>
          <c:smooth val="1"/>
          <c:extLst>
            <c:ext xmlns:c16="http://schemas.microsoft.com/office/drawing/2014/chart" uri="{C3380CC4-5D6E-409C-BE32-E72D297353CC}">
              <c16:uniqueId val="{00000009-456C-4AE6-94A7-3F17ED2146E8}"/>
            </c:ext>
          </c:extLst>
        </c:ser>
        <c:ser>
          <c:idx val="7"/>
          <c:order val="7"/>
          <c:tx>
            <c:v>Nc</c:v>
          </c:tx>
          <c:spPr>
            <a:ln w="19050" cap="rnd">
              <a:solidFill>
                <a:schemeClr val="accent2">
                  <a:lumMod val="60000"/>
                </a:schemeClr>
              </a:solidFill>
              <a:round/>
            </a:ln>
            <a:effectLst/>
          </c:spPr>
          <c:marker>
            <c:symbol val="none"/>
          </c:marker>
          <c:xVal>
            <c:numRef>
              <c:f>'TÍNH TOÁN '!$B$85:$B$92</c:f>
              <c:numCache>
                <c:formatCode>General</c:formatCode>
                <c:ptCount val="8"/>
                <c:pt idx="0">
                  <c:v>0</c:v>
                </c:pt>
                <c:pt idx="1">
                  <c:v>5</c:v>
                </c:pt>
                <c:pt idx="2">
                  <c:v>10</c:v>
                </c:pt>
                <c:pt idx="3">
                  <c:v>15</c:v>
                </c:pt>
                <c:pt idx="4">
                  <c:v>20</c:v>
                </c:pt>
                <c:pt idx="5">
                  <c:v>22.2</c:v>
                </c:pt>
                <c:pt idx="6">
                  <c:v>25</c:v>
                </c:pt>
                <c:pt idx="7">
                  <c:v>26.39</c:v>
                </c:pt>
              </c:numCache>
            </c:numRef>
          </c:xVal>
          <c:yVal>
            <c:numRef>
              <c:f>'TÍNH TOÁN '!$E$85:$E$92</c:f>
              <c:numCache>
                <c:formatCode>General</c:formatCode>
                <c:ptCount val="8"/>
                <c:pt idx="0">
                  <c:v>0</c:v>
                </c:pt>
                <c:pt idx="1">
                  <c:v>6.0161849999999992</c:v>
                </c:pt>
                <c:pt idx="2">
                  <c:v>14.22612</c:v>
                </c:pt>
                <c:pt idx="3">
                  <c:v>26.823554999999999</c:v>
                </c:pt>
                <c:pt idx="4">
                  <c:v>46.00224</c:v>
                </c:pt>
                <c:pt idx="5">
                  <c:v>57.091051800000002</c:v>
                </c:pt>
                <c:pt idx="6">
                  <c:v>85.727925000000013</c:v>
                </c:pt>
                <c:pt idx="7">
                  <c:v>97.428539239674564</c:v>
                </c:pt>
              </c:numCache>
            </c:numRef>
          </c:yVal>
          <c:smooth val="1"/>
          <c:extLst>
            <c:ext xmlns:c16="http://schemas.microsoft.com/office/drawing/2014/chart" uri="{C3380CC4-5D6E-409C-BE32-E72D297353CC}">
              <c16:uniqueId val="{0000000A-456C-4AE6-94A7-3F17ED2146E8}"/>
            </c:ext>
          </c:extLst>
        </c:ser>
        <c:dLbls>
          <c:showLegendKey val="0"/>
          <c:showVal val="0"/>
          <c:showCatName val="0"/>
          <c:showSerName val="0"/>
          <c:showPercent val="0"/>
          <c:showBubbleSize val="0"/>
        </c:dLbls>
        <c:axId val="1832100223"/>
        <c:axId val="1832101183"/>
      </c:scatterChart>
      <c:valAx>
        <c:axId val="18321002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VẬN TỐC (M/S)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01183"/>
        <c:crosses val="autoZero"/>
        <c:crossBetween val="midCat"/>
      </c:valAx>
      <c:valAx>
        <c:axId val="1832101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CÔNG SUẤT (KW)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0022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ĐỒ THỊ CÂN BẰNG LỰC KÉO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0847936737961696E-2"/>
          <c:y val="9.3161316689313017E-2"/>
          <c:w val="0.80465647512988003"/>
          <c:h val="0.80068201794423222"/>
        </c:manualLayout>
      </c:layout>
      <c:scatterChart>
        <c:scatterStyle val="smoothMarker"/>
        <c:varyColors val="0"/>
        <c:ser>
          <c:idx val="0"/>
          <c:order val="0"/>
          <c:tx>
            <c:v>Số I</c:v>
          </c:tx>
          <c:spPr>
            <a:ln w="19050" cap="rnd">
              <a:solidFill>
                <a:schemeClr val="accent1"/>
              </a:solidFill>
              <a:round/>
            </a:ln>
            <a:effectLst/>
          </c:spPr>
          <c:marker>
            <c:symbol val="none"/>
          </c:marker>
          <c:xVal>
            <c:numRef>
              <c:f>'TÍNH TOÁN '!$C$75:$C$80</c:f>
              <c:numCache>
                <c:formatCode>0.000</c:formatCode>
                <c:ptCount val="6"/>
                <c:pt idx="0">
                  <c:v>1.2491781722550954</c:v>
                </c:pt>
                <c:pt idx="1">
                  <c:v>1.8737672583826432</c:v>
                </c:pt>
                <c:pt idx="2">
                  <c:v>2.4983563445101908</c:v>
                </c:pt>
                <c:pt idx="3">
                  <c:v>3.1229454306377389</c:v>
                </c:pt>
                <c:pt idx="4">
                  <c:v>3.7475345167652865</c:v>
                </c:pt>
                <c:pt idx="5">
                  <c:v>4.0598290598290596</c:v>
                </c:pt>
              </c:numCache>
            </c:numRef>
          </c:xVal>
          <c:yVal>
            <c:numRef>
              <c:f>'TÍNH TOÁN '!$C$100:$C$105</c:f>
              <c:numCache>
                <c:formatCode>General</c:formatCode>
                <c:ptCount val="6"/>
                <c:pt idx="0">
                  <c:v>19354.818457376608</c:v>
                </c:pt>
                <c:pt idx="1">
                  <c:v>21935.642987110055</c:v>
                </c:pt>
                <c:pt idx="2">
                  <c:v>23631.613392363452</c:v>
                </c:pt>
                <c:pt idx="3">
                  <c:v>24442.729673136819</c:v>
                </c:pt>
                <c:pt idx="4">
                  <c:v>24368.991829430153</c:v>
                </c:pt>
                <c:pt idx="5">
                  <c:v>24000.302610896797</c:v>
                </c:pt>
              </c:numCache>
            </c:numRef>
          </c:yVal>
          <c:smooth val="1"/>
          <c:extLst>
            <c:ext xmlns:c16="http://schemas.microsoft.com/office/drawing/2014/chart" uri="{C3380CC4-5D6E-409C-BE32-E72D297353CC}">
              <c16:uniqueId val="{00000001-DDAA-422F-948F-0BC32AB695E6}"/>
            </c:ext>
          </c:extLst>
        </c:ser>
        <c:ser>
          <c:idx val="1"/>
          <c:order val="1"/>
          <c:tx>
            <c:v>Số II</c:v>
          </c:tx>
          <c:spPr>
            <a:ln w="19050" cap="rnd">
              <a:solidFill>
                <a:schemeClr val="accent2"/>
              </a:solidFill>
              <a:round/>
            </a:ln>
            <a:effectLst/>
          </c:spPr>
          <c:marker>
            <c:symbol val="none"/>
          </c:marker>
          <c:xVal>
            <c:numRef>
              <c:f>'TÍNH TOÁN '!$D$75:$D$80</c:f>
              <c:numCache>
                <c:formatCode>0.000</c:formatCode>
                <c:ptCount val="6"/>
                <c:pt idx="0">
                  <c:v>1.9945858147245261</c:v>
                </c:pt>
                <c:pt idx="1">
                  <c:v>2.9918787220867893</c:v>
                </c:pt>
                <c:pt idx="2">
                  <c:v>3.9891716294490522</c:v>
                </c:pt>
                <c:pt idx="3">
                  <c:v>4.9864645368113152</c:v>
                </c:pt>
                <c:pt idx="4">
                  <c:v>5.9837574441735786</c:v>
                </c:pt>
                <c:pt idx="5">
                  <c:v>6.4824038978547094</c:v>
                </c:pt>
              </c:numCache>
            </c:numRef>
          </c:xVal>
          <c:yVal>
            <c:numRef>
              <c:f>'TÍNH TOÁN '!$D$100:$D$105</c:f>
              <c:numCache>
                <c:formatCode>General</c:formatCode>
                <c:ptCount val="6"/>
                <c:pt idx="0">
                  <c:v>12121.62272810212</c:v>
                </c:pt>
                <c:pt idx="1">
                  <c:v>13737.953118684385</c:v>
                </c:pt>
                <c:pt idx="2">
                  <c:v>14800.113089638442</c:v>
                </c:pt>
                <c:pt idx="3">
                  <c:v>15308.102640964298</c:v>
                </c:pt>
                <c:pt idx="4">
                  <c:v>15261.921772661948</c:v>
                </c:pt>
                <c:pt idx="5">
                  <c:v>15031.017431150192</c:v>
                </c:pt>
              </c:numCache>
            </c:numRef>
          </c:yVal>
          <c:smooth val="1"/>
          <c:extLst>
            <c:ext xmlns:c16="http://schemas.microsoft.com/office/drawing/2014/chart" uri="{C3380CC4-5D6E-409C-BE32-E72D297353CC}">
              <c16:uniqueId val="{00000002-DDAA-422F-948F-0BC32AB695E6}"/>
            </c:ext>
          </c:extLst>
        </c:ser>
        <c:ser>
          <c:idx val="2"/>
          <c:order val="2"/>
          <c:tx>
            <c:v>Số III</c:v>
          </c:tx>
          <c:spPr>
            <a:ln w="19050" cap="rnd">
              <a:solidFill>
                <a:schemeClr val="accent3"/>
              </a:solidFill>
              <a:round/>
            </a:ln>
            <a:effectLst/>
          </c:spPr>
          <c:marker>
            <c:symbol val="none"/>
          </c:marker>
          <c:xVal>
            <c:numRef>
              <c:f>'TÍNH TOÁN '!$E$75:$E$80</c:f>
              <c:numCache>
                <c:formatCode>0.000</c:formatCode>
                <c:ptCount val="6"/>
                <c:pt idx="0">
                  <c:v>3.1847919381414509</c:v>
                </c:pt>
                <c:pt idx="1">
                  <c:v>4.7771879072121761</c:v>
                </c:pt>
                <c:pt idx="2">
                  <c:v>6.3695838762829018</c:v>
                </c:pt>
                <c:pt idx="3">
                  <c:v>7.9619798453536266</c:v>
                </c:pt>
                <c:pt idx="4">
                  <c:v>9.5543758144243522</c:v>
                </c:pt>
                <c:pt idx="5">
                  <c:v>10.350573798959713</c:v>
                </c:pt>
              </c:numCache>
            </c:numRef>
          </c:xVal>
          <c:yVal>
            <c:numRef>
              <c:f>'TÍNH TOÁN '!$E$100:$E$105</c:f>
              <c:numCache>
                <c:formatCode>General</c:formatCode>
                <c:ptCount val="6"/>
                <c:pt idx="0">
                  <c:v>7591.5843843237781</c:v>
                </c:pt>
                <c:pt idx="1">
                  <c:v>8603.867048806067</c:v>
                </c:pt>
                <c:pt idx="2">
                  <c:v>9269.0813711801402</c:v>
                </c:pt>
                <c:pt idx="3">
                  <c:v>9587.227351446003</c:v>
                </c:pt>
                <c:pt idx="4">
                  <c:v>9558.3049896036537</c:v>
                </c:pt>
                <c:pt idx="5">
                  <c:v>9413.693180391896</c:v>
                </c:pt>
              </c:numCache>
            </c:numRef>
          </c:yVal>
          <c:smooth val="1"/>
          <c:extLst>
            <c:ext xmlns:c16="http://schemas.microsoft.com/office/drawing/2014/chart" uri="{C3380CC4-5D6E-409C-BE32-E72D297353CC}">
              <c16:uniqueId val="{00000003-DDAA-422F-948F-0BC32AB695E6}"/>
            </c:ext>
          </c:extLst>
        </c:ser>
        <c:ser>
          <c:idx val="3"/>
          <c:order val="3"/>
          <c:tx>
            <c:v>Số IV</c:v>
          </c:tx>
          <c:spPr>
            <a:ln w="19050" cap="rnd">
              <a:solidFill>
                <a:schemeClr val="accent4"/>
              </a:solidFill>
              <a:round/>
            </a:ln>
            <a:effectLst/>
          </c:spPr>
          <c:marker>
            <c:symbol val="none"/>
          </c:marker>
          <c:xVal>
            <c:numRef>
              <c:f>'TÍNH TOÁN '!$F$75:$F$80</c:f>
              <c:numCache>
                <c:formatCode>0.000</c:formatCode>
                <c:ptCount val="6"/>
                <c:pt idx="0">
                  <c:v>5.0852159954078591</c:v>
                </c:pt>
                <c:pt idx="1">
                  <c:v>7.6278239931117886</c:v>
                </c:pt>
                <c:pt idx="2">
                  <c:v>10.170431990815718</c:v>
                </c:pt>
                <c:pt idx="3">
                  <c:v>12.713039988519649</c:v>
                </c:pt>
                <c:pt idx="4">
                  <c:v>15.255647986223577</c:v>
                </c:pt>
                <c:pt idx="5">
                  <c:v>16.526951985075542</c:v>
                </c:pt>
              </c:numCache>
            </c:numRef>
          </c:xVal>
          <c:yVal>
            <c:numRef>
              <c:f>'TÍNH TOÁN '!$F$100:$F$105</c:f>
              <c:numCache>
                <c:formatCode>General</c:formatCode>
                <c:ptCount val="6"/>
                <c:pt idx="0">
                  <c:v>4754.491602077117</c:v>
                </c:pt>
                <c:pt idx="1">
                  <c:v>5388.4685406918888</c:v>
                </c:pt>
                <c:pt idx="2">
                  <c:v>5805.0819574958796</c:v>
                </c:pt>
                <c:pt idx="3">
                  <c:v>6004.3318524890919</c:v>
                </c:pt>
                <c:pt idx="4">
                  <c:v>5986.2182256715296</c:v>
                </c:pt>
                <c:pt idx="5">
                  <c:v>5895.6500915837041</c:v>
                </c:pt>
              </c:numCache>
            </c:numRef>
          </c:yVal>
          <c:smooth val="1"/>
          <c:extLst>
            <c:ext xmlns:c16="http://schemas.microsoft.com/office/drawing/2014/chart" uri="{C3380CC4-5D6E-409C-BE32-E72D297353CC}">
              <c16:uniqueId val="{00000004-DDAA-422F-948F-0BC32AB695E6}"/>
            </c:ext>
          </c:extLst>
        </c:ser>
        <c:ser>
          <c:idx val="4"/>
          <c:order val="4"/>
          <c:tx>
            <c:v>Số V</c:v>
          </c:tx>
          <c:spPr>
            <a:ln w="19050" cap="rnd">
              <a:solidFill>
                <a:schemeClr val="accent5"/>
              </a:solidFill>
              <a:round/>
            </a:ln>
            <a:effectLst/>
          </c:spPr>
          <c:marker>
            <c:symbol val="none"/>
          </c:marker>
          <c:xVal>
            <c:numRef>
              <c:f>'TÍNH TOÁN '!$G$75:$G$80</c:f>
              <c:numCache>
                <c:formatCode>0.000</c:formatCode>
                <c:ptCount val="6"/>
                <c:pt idx="0">
                  <c:v>8.119658119658121</c:v>
                </c:pt>
                <c:pt idx="1">
                  <c:v>12.179487179487182</c:v>
                </c:pt>
                <c:pt idx="2">
                  <c:v>16.239316239316242</c:v>
                </c:pt>
                <c:pt idx="3">
                  <c:v>20.299145299145305</c:v>
                </c:pt>
                <c:pt idx="4">
                  <c:v>24.358974358974365</c:v>
                </c:pt>
                <c:pt idx="5">
                  <c:v>26.388888888888893</c:v>
                </c:pt>
              </c:numCache>
            </c:numRef>
          </c:xVal>
          <c:yVal>
            <c:numRef>
              <c:f>'TÍNH TOÁN '!$G$100:$G$105</c:f>
              <c:numCache>
                <c:formatCode>General</c:formatCode>
                <c:ptCount val="6"/>
                <c:pt idx="0">
                  <c:v>2977.6643780579388</c:v>
                </c:pt>
                <c:pt idx="1">
                  <c:v>3374.7143057092385</c:v>
                </c:pt>
                <c:pt idx="2">
                  <c:v>3635.6328295943772</c:v>
                </c:pt>
                <c:pt idx="3">
                  <c:v>3760.4199497133563</c:v>
                </c:pt>
                <c:pt idx="4">
                  <c:v>3749.0756660661773</c:v>
                </c:pt>
                <c:pt idx="5">
                  <c:v>3692.3542478302761</c:v>
                </c:pt>
              </c:numCache>
            </c:numRef>
          </c:yVal>
          <c:smooth val="1"/>
          <c:extLst>
            <c:ext xmlns:c16="http://schemas.microsoft.com/office/drawing/2014/chart" uri="{C3380CC4-5D6E-409C-BE32-E72D297353CC}">
              <c16:uniqueId val="{00000005-DDAA-422F-948F-0BC32AB695E6}"/>
            </c:ext>
          </c:extLst>
        </c:ser>
        <c:ser>
          <c:idx val="5"/>
          <c:order val="5"/>
          <c:tx>
            <c:v>Pf</c:v>
          </c:tx>
          <c:spPr>
            <a:ln w="19050" cap="rnd">
              <a:solidFill>
                <a:schemeClr val="accent6"/>
              </a:solidFill>
              <a:round/>
            </a:ln>
            <a:effectLst/>
          </c:spPr>
          <c:marker>
            <c:symbol val="none"/>
          </c:marker>
          <c:xVal>
            <c:numRef>
              <c:f>'TÍNH TOÁN '!$B$113:$B$120</c:f>
              <c:numCache>
                <c:formatCode>General</c:formatCode>
                <c:ptCount val="8"/>
                <c:pt idx="0">
                  <c:v>0</c:v>
                </c:pt>
                <c:pt idx="1">
                  <c:v>5</c:v>
                </c:pt>
                <c:pt idx="2">
                  <c:v>10</c:v>
                </c:pt>
                <c:pt idx="3">
                  <c:v>15</c:v>
                </c:pt>
                <c:pt idx="4">
                  <c:v>20</c:v>
                </c:pt>
                <c:pt idx="5">
                  <c:v>22.2</c:v>
                </c:pt>
                <c:pt idx="6">
                  <c:v>25</c:v>
                </c:pt>
                <c:pt idx="7">
                  <c:v>26.39</c:v>
                </c:pt>
              </c:numCache>
            </c:numRef>
          </c:xVal>
          <c:yVal>
            <c:numRef>
              <c:f>'TÍNH TOÁN '!$C$113:$C$120</c:f>
              <c:numCache>
                <c:formatCode>General</c:formatCode>
                <c:ptCount val="8"/>
                <c:pt idx="0">
                  <c:v>1130.1120000000001</c:v>
                </c:pt>
                <c:pt idx="1">
                  <c:v>1130.1120000000001</c:v>
                </c:pt>
                <c:pt idx="2">
                  <c:v>1130.1120000000001</c:v>
                </c:pt>
                <c:pt idx="3">
                  <c:v>1130.1120000000001</c:v>
                </c:pt>
                <c:pt idx="4">
                  <c:v>1130.1120000000001</c:v>
                </c:pt>
                <c:pt idx="5">
                  <c:v>1130.1120000000001</c:v>
                </c:pt>
                <c:pt idx="6">
                  <c:v>1600.9920000000002</c:v>
                </c:pt>
                <c:pt idx="7" formatCode="0.000">
                  <c:v>1654.8095155968001</c:v>
                </c:pt>
              </c:numCache>
            </c:numRef>
          </c:yVal>
          <c:smooth val="1"/>
          <c:extLst>
            <c:ext xmlns:c16="http://schemas.microsoft.com/office/drawing/2014/chart" uri="{C3380CC4-5D6E-409C-BE32-E72D297353CC}">
              <c16:uniqueId val="{00000006-DDAA-422F-948F-0BC32AB695E6}"/>
            </c:ext>
          </c:extLst>
        </c:ser>
        <c:ser>
          <c:idx val="6"/>
          <c:order val="6"/>
          <c:tx>
            <c:v>Pω</c:v>
          </c:tx>
          <c:spPr>
            <a:ln w="19050" cap="rnd">
              <a:solidFill>
                <a:schemeClr val="accent1">
                  <a:lumMod val="60000"/>
                </a:schemeClr>
              </a:solidFill>
              <a:round/>
            </a:ln>
            <a:effectLst/>
          </c:spPr>
          <c:marker>
            <c:symbol val="none"/>
          </c:marker>
          <c:xVal>
            <c:numRef>
              <c:f>'TÍNH TOÁN '!$B$113:$B$120</c:f>
              <c:numCache>
                <c:formatCode>General</c:formatCode>
                <c:ptCount val="8"/>
                <c:pt idx="0">
                  <c:v>0</c:v>
                </c:pt>
                <c:pt idx="1">
                  <c:v>5</c:v>
                </c:pt>
                <c:pt idx="2">
                  <c:v>10</c:v>
                </c:pt>
                <c:pt idx="3">
                  <c:v>15</c:v>
                </c:pt>
                <c:pt idx="4">
                  <c:v>20</c:v>
                </c:pt>
                <c:pt idx="5">
                  <c:v>22.2</c:v>
                </c:pt>
                <c:pt idx="6">
                  <c:v>25</c:v>
                </c:pt>
                <c:pt idx="7">
                  <c:v>26.39</c:v>
                </c:pt>
              </c:numCache>
            </c:numRef>
          </c:xVal>
          <c:yVal>
            <c:numRef>
              <c:f>'TÍNH TOÁN '!$D$113:$D$120</c:f>
              <c:numCache>
                <c:formatCode>General</c:formatCode>
                <c:ptCount val="8"/>
                <c:pt idx="0">
                  <c:v>0</c:v>
                </c:pt>
                <c:pt idx="1">
                  <c:v>73.125</c:v>
                </c:pt>
                <c:pt idx="2" formatCode="0.000">
                  <c:v>292.5</c:v>
                </c:pt>
                <c:pt idx="3">
                  <c:v>658.125</c:v>
                </c:pt>
                <c:pt idx="4">
                  <c:v>1170</c:v>
                </c:pt>
                <c:pt idx="5">
                  <c:v>1441.557</c:v>
                </c:pt>
                <c:pt idx="6">
                  <c:v>1828.125</c:v>
                </c:pt>
                <c:pt idx="7">
                  <c:v>2037.0638924999998</c:v>
                </c:pt>
              </c:numCache>
            </c:numRef>
          </c:yVal>
          <c:smooth val="1"/>
          <c:extLst>
            <c:ext xmlns:c16="http://schemas.microsoft.com/office/drawing/2014/chart" uri="{C3380CC4-5D6E-409C-BE32-E72D297353CC}">
              <c16:uniqueId val="{00000008-DDAA-422F-948F-0BC32AB695E6}"/>
            </c:ext>
          </c:extLst>
        </c:ser>
        <c:ser>
          <c:idx val="7"/>
          <c:order val="7"/>
          <c:tx>
            <c:v>Pc</c:v>
          </c:tx>
          <c:spPr>
            <a:ln w="19050" cap="rnd">
              <a:solidFill>
                <a:schemeClr val="accent2">
                  <a:lumMod val="60000"/>
                </a:schemeClr>
              </a:solidFill>
              <a:round/>
            </a:ln>
            <a:effectLst/>
          </c:spPr>
          <c:marker>
            <c:symbol val="none"/>
          </c:marker>
          <c:xVal>
            <c:numRef>
              <c:f>'TÍNH TOÁN '!$B$113:$B$120</c:f>
              <c:numCache>
                <c:formatCode>General</c:formatCode>
                <c:ptCount val="8"/>
                <c:pt idx="0">
                  <c:v>0</c:v>
                </c:pt>
                <c:pt idx="1">
                  <c:v>5</c:v>
                </c:pt>
                <c:pt idx="2">
                  <c:v>10</c:v>
                </c:pt>
                <c:pt idx="3">
                  <c:v>15</c:v>
                </c:pt>
                <c:pt idx="4">
                  <c:v>20</c:v>
                </c:pt>
                <c:pt idx="5">
                  <c:v>22.2</c:v>
                </c:pt>
                <c:pt idx="6">
                  <c:v>25</c:v>
                </c:pt>
                <c:pt idx="7">
                  <c:v>26.39</c:v>
                </c:pt>
              </c:numCache>
            </c:numRef>
          </c:xVal>
          <c:yVal>
            <c:numRef>
              <c:f>'TÍNH TOÁN '!$E$113:$E$120</c:f>
              <c:numCache>
                <c:formatCode>General</c:formatCode>
                <c:ptCount val="8"/>
                <c:pt idx="0">
                  <c:v>1130.1120000000001</c:v>
                </c:pt>
                <c:pt idx="1">
                  <c:v>1203.2370000000001</c:v>
                </c:pt>
                <c:pt idx="2">
                  <c:v>1422.6120000000001</c:v>
                </c:pt>
                <c:pt idx="3">
                  <c:v>1788.2370000000001</c:v>
                </c:pt>
                <c:pt idx="4">
                  <c:v>2300.1120000000001</c:v>
                </c:pt>
                <c:pt idx="5">
                  <c:v>2571.6689999999999</c:v>
                </c:pt>
                <c:pt idx="6">
                  <c:v>3429.1170000000002</c:v>
                </c:pt>
                <c:pt idx="7" formatCode="0.000">
                  <c:v>3691.8734080967997</c:v>
                </c:pt>
              </c:numCache>
            </c:numRef>
          </c:yVal>
          <c:smooth val="1"/>
          <c:extLst>
            <c:ext xmlns:c16="http://schemas.microsoft.com/office/drawing/2014/chart" uri="{C3380CC4-5D6E-409C-BE32-E72D297353CC}">
              <c16:uniqueId val="{00000009-DDAA-422F-948F-0BC32AB695E6}"/>
            </c:ext>
          </c:extLst>
        </c:ser>
        <c:ser>
          <c:idx val="8"/>
          <c:order val="8"/>
          <c:tx>
            <c:v>P𝜑</c:v>
          </c:tx>
          <c:spPr>
            <a:ln w="19050" cap="rnd">
              <a:solidFill>
                <a:schemeClr val="accent3">
                  <a:lumMod val="60000"/>
                </a:schemeClr>
              </a:solidFill>
              <a:round/>
            </a:ln>
            <a:effectLst/>
          </c:spPr>
          <c:marker>
            <c:symbol val="none"/>
          </c:marker>
          <c:xVal>
            <c:numRef>
              <c:f>'TÍNH TOÁN '!$B$113:$B$120</c:f>
              <c:numCache>
                <c:formatCode>General</c:formatCode>
                <c:ptCount val="8"/>
                <c:pt idx="0">
                  <c:v>0</c:v>
                </c:pt>
                <c:pt idx="1">
                  <c:v>5</c:v>
                </c:pt>
                <c:pt idx="2">
                  <c:v>10</c:v>
                </c:pt>
                <c:pt idx="3">
                  <c:v>15</c:v>
                </c:pt>
                <c:pt idx="4">
                  <c:v>20</c:v>
                </c:pt>
                <c:pt idx="5">
                  <c:v>22.2</c:v>
                </c:pt>
                <c:pt idx="6">
                  <c:v>25</c:v>
                </c:pt>
                <c:pt idx="7">
                  <c:v>26.39</c:v>
                </c:pt>
              </c:numCache>
            </c:numRef>
          </c:xVal>
          <c:yVal>
            <c:numRef>
              <c:f>'TÍNH TOÁN '!$F$113:$F$120</c:f>
              <c:numCache>
                <c:formatCode>General</c:formatCode>
                <c:ptCount val="8"/>
                <c:pt idx="0">
                  <c:v>39553.919999999998</c:v>
                </c:pt>
                <c:pt idx="1">
                  <c:v>39553.919999999998</c:v>
                </c:pt>
                <c:pt idx="2">
                  <c:v>39553.919999999998</c:v>
                </c:pt>
                <c:pt idx="3">
                  <c:v>39553.919999999998</c:v>
                </c:pt>
                <c:pt idx="4">
                  <c:v>39553.919999999998</c:v>
                </c:pt>
                <c:pt idx="5">
                  <c:v>39553.919999999998</c:v>
                </c:pt>
                <c:pt idx="6">
                  <c:v>39553.919999999998</c:v>
                </c:pt>
                <c:pt idx="7">
                  <c:v>39553.919999999998</c:v>
                </c:pt>
              </c:numCache>
            </c:numRef>
          </c:yVal>
          <c:smooth val="1"/>
          <c:extLst>
            <c:ext xmlns:c16="http://schemas.microsoft.com/office/drawing/2014/chart" uri="{C3380CC4-5D6E-409C-BE32-E72D297353CC}">
              <c16:uniqueId val="{0000000A-DDAA-422F-948F-0BC32AB695E6}"/>
            </c:ext>
          </c:extLst>
        </c:ser>
        <c:dLbls>
          <c:showLegendKey val="0"/>
          <c:showVal val="0"/>
          <c:showCatName val="0"/>
          <c:showSerName val="0"/>
          <c:showPercent val="0"/>
          <c:showBubbleSize val="0"/>
        </c:dLbls>
        <c:axId val="1677716127"/>
        <c:axId val="1677713727"/>
      </c:scatterChart>
      <c:valAx>
        <c:axId val="167771612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Vận tốc v (m/s)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713727"/>
        <c:crosses val="autoZero"/>
        <c:crossBetween val="midCat"/>
      </c:valAx>
      <c:valAx>
        <c:axId val="1677713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Lực P(N)</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71612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D1</c:v>
          </c:tx>
          <c:spPr>
            <a:ln w="9525" cap="rnd">
              <a:solidFill>
                <a:schemeClr val="accent1"/>
              </a:solidFill>
              <a:round/>
            </a:ln>
            <a:effectLst/>
          </c:spPr>
          <c:marker>
            <c:symbol val="none"/>
          </c:marker>
          <c:xVal>
            <c:numRef>
              <c:f>'TÍNH TOÁN '!$C$75:$C$80</c:f>
              <c:numCache>
                <c:formatCode>0.000</c:formatCode>
                <c:ptCount val="6"/>
                <c:pt idx="0">
                  <c:v>1.2491781722550954</c:v>
                </c:pt>
                <c:pt idx="1">
                  <c:v>1.8737672583826432</c:v>
                </c:pt>
                <c:pt idx="2">
                  <c:v>2.4983563445101908</c:v>
                </c:pt>
                <c:pt idx="3">
                  <c:v>3.1229454306377389</c:v>
                </c:pt>
                <c:pt idx="4">
                  <c:v>3.7475345167652865</c:v>
                </c:pt>
                <c:pt idx="5">
                  <c:v>4.0598290598290596</c:v>
                </c:pt>
              </c:numCache>
            </c:numRef>
          </c:xVal>
          <c:yVal>
            <c:numRef>
              <c:f>'TÍNH TOÁN '!$C$136:$C$141</c:f>
              <c:numCache>
                <c:formatCode>General</c:formatCode>
                <c:ptCount val="6"/>
                <c:pt idx="0">
                  <c:v>0.25683632444195503</c:v>
                </c:pt>
                <c:pt idx="1">
                  <c:v>0.29101593427697459</c:v>
                </c:pt>
                <c:pt idx="2">
                  <c:v>0.31342056592076001</c:v>
                </c:pt>
                <c:pt idx="3">
                  <c:v>0.32405021937331169</c:v>
                </c:pt>
                <c:pt idx="4">
                  <c:v>0.3229048946346294</c:v>
                </c:pt>
                <c:pt idx="5">
                  <c:v>0.31791661544357541</c:v>
                </c:pt>
              </c:numCache>
            </c:numRef>
          </c:yVal>
          <c:smooth val="0"/>
          <c:extLst>
            <c:ext xmlns:c16="http://schemas.microsoft.com/office/drawing/2014/chart" uri="{C3380CC4-5D6E-409C-BE32-E72D297353CC}">
              <c16:uniqueId val="{00000000-BF73-4195-987B-9A42BC6EC813}"/>
            </c:ext>
          </c:extLst>
        </c:ser>
        <c:ser>
          <c:idx val="1"/>
          <c:order val="1"/>
          <c:tx>
            <c:v>D2</c:v>
          </c:tx>
          <c:spPr>
            <a:ln w="9525" cap="rnd">
              <a:solidFill>
                <a:schemeClr val="accent2"/>
              </a:solidFill>
              <a:round/>
            </a:ln>
            <a:effectLst/>
          </c:spPr>
          <c:marker>
            <c:symbol val="none"/>
          </c:marker>
          <c:xVal>
            <c:numRef>
              <c:f>'TÍNH TOÁN '!$D$75:$D$80</c:f>
              <c:numCache>
                <c:formatCode>0.000</c:formatCode>
                <c:ptCount val="6"/>
                <c:pt idx="0">
                  <c:v>1.9945858147245261</c:v>
                </c:pt>
                <c:pt idx="1">
                  <c:v>2.9918787220867893</c:v>
                </c:pt>
                <c:pt idx="2">
                  <c:v>3.9891716294490522</c:v>
                </c:pt>
                <c:pt idx="3">
                  <c:v>4.9864645368113152</c:v>
                </c:pt>
                <c:pt idx="4">
                  <c:v>5.9837574441735786</c:v>
                </c:pt>
                <c:pt idx="5">
                  <c:v>6.4824038978547094</c:v>
                </c:pt>
              </c:numCache>
            </c:numRef>
          </c:xVal>
          <c:yVal>
            <c:numRef>
              <c:f>'TÍNH TOÁN '!$D$136:$D$141</c:f>
              <c:numCache>
                <c:formatCode>General</c:formatCode>
                <c:ptCount val="6"/>
                <c:pt idx="0">
                  <c:v>0.16073609502856542</c:v>
                </c:pt>
                <c:pt idx="1">
                  <c:v>0.18199661344441437</c:v>
                </c:pt>
                <c:pt idx="2">
                  <c:v>0.19582438905005692</c:v>
                </c:pt>
                <c:pt idx="3">
                  <c:v>0.20221942184549319</c:v>
                </c:pt>
                <c:pt idx="4">
                  <c:v>0.20118171183072309</c:v>
                </c:pt>
                <c:pt idx="5">
                  <c:v>0.1978755782695106</c:v>
                </c:pt>
              </c:numCache>
            </c:numRef>
          </c:yVal>
          <c:smooth val="0"/>
          <c:extLst>
            <c:ext xmlns:c16="http://schemas.microsoft.com/office/drawing/2014/chart" uri="{C3380CC4-5D6E-409C-BE32-E72D297353CC}">
              <c16:uniqueId val="{00000001-BF73-4195-987B-9A42BC6EC813}"/>
            </c:ext>
          </c:extLst>
        </c:ser>
        <c:ser>
          <c:idx val="2"/>
          <c:order val="2"/>
          <c:tx>
            <c:v>D3</c:v>
          </c:tx>
          <c:spPr>
            <a:ln w="9525" cap="rnd">
              <a:solidFill>
                <a:schemeClr val="accent3"/>
              </a:solidFill>
              <a:round/>
            </a:ln>
            <a:effectLst/>
          </c:spPr>
          <c:marker>
            <c:symbol val="none"/>
          </c:marker>
          <c:xVal>
            <c:numRef>
              <c:f>'TÍNH TOÁN '!$E$75:$E$80</c:f>
              <c:numCache>
                <c:formatCode>0.000</c:formatCode>
                <c:ptCount val="6"/>
                <c:pt idx="0">
                  <c:v>3.1847919381414509</c:v>
                </c:pt>
                <c:pt idx="1">
                  <c:v>4.7771879072121761</c:v>
                </c:pt>
                <c:pt idx="2">
                  <c:v>6.3695838762829018</c:v>
                </c:pt>
                <c:pt idx="3">
                  <c:v>7.9619798453536266</c:v>
                </c:pt>
                <c:pt idx="4">
                  <c:v>9.5543758144243522</c:v>
                </c:pt>
                <c:pt idx="5">
                  <c:v>10.350573798959713</c:v>
                </c:pt>
              </c:numCache>
            </c:numRef>
          </c:xVal>
          <c:yVal>
            <c:numRef>
              <c:f>'TÍNH TOÁN '!$E$136:$E$141</c:f>
              <c:numCache>
                <c:formatCode>General</c:formatCode>
                <c:ptCount val="6"/>
                <c:pt idx="0">
                  <c:v>0.10036947315044066</c:v>
                </c:pt>
                <c:pt idx="1">
                  <c:v>0.11331329226960936</c:v>
                </c:pt>
                <c:pt idx="2">
                  <c:v>0.12145357422294303</c:v>
                </c:pt>
                <c:pt idx="3">
                  <c:v>0.12479031901044171</c:v>
                </c:pt>
                <c:pt idx="4">
                  <c:v>0.12332352663210541</c:v>
                </c:pt>
                <c:pt idx="5">
                  <c:v>0.1207888040057491</c:v>
                </c:pt>
              </c:numCache>
            </c:numRef>
          </c:yVal>
          <c:smooth val="0"/>
          <c:extLst>
            <c:ext xmlns:c16="http://schemas.microsoft.com/office/drawing/2014/chart" uri="{C3380CC4-5D6E-409C-BE32-E72D297353CC}">
              <c16:uniqueId val="{00000002-BF73-4195-987B-9A42BC6EC813}"/>
            </c:ext>
          </c:extLst>
        </c:ser>
        <c:ser>
          <c:idx val="3"/>
          <c:order val="3"/>
          <c:tx>
            <c:v>D4</c:v>
          </c:tx>
          <c:spPr>
            <a:ln w="9525" cap="rnd">
              <a:solidFill>
                <a:schemeClr val="accent4"/>
              </a:solidFill>
              <a:round/>
            </a:ln>
            <a:effectLst/>
          </c:spPr>
          <c:marker>
            <c:symbol val="none"/>
          </c:marker>
          <c:xVal>
            <c:numRef>
              <c:f>'TÍNH TOÁN '!$F$75:$F$80</c:f>
              <c:numCache>
                <c:formatCode>0.000</c:formatCode>
                <c:ptCount val="6"/>
                <c:pt idx="0">
                  <c:v>5.0852159954078591</c:v>
                </c:pt>
                <c:pt idx="1">
                  <c:v>7.6278239931117886</c:v>
                </c:pt>
                <c:pt idx="2">
                  <c:v>10.170431990815718</c:v>
                </c:pt>
                <c:pt idx="3">
                  <c:v>12.713039988519649</c:v>
                </c:pt>
                <c:pt idx="4">
                  <c:v>15.255647986223577</c:v>
                </c:pt>
                <c:pt idx="5">
                  <c:v>16.526951985075542</c:v>
                </c:pt>
              </c:numCache>
            </c:numRef>
          </c:xVal>
          <c:yVal>
            <c:numRef>
              <c:f>'TÍNH TOÁN '!$F$136:$F$141</c:f>
              <c:numCache>
                <c:formatCode>General</c:formatCode>
                <c:ptCount val="6"/>
                <c:pt idx="0">
                  <c:v>6.2102510108019267E-2</c:v>
                </c:pt>
                <c:pt idx="1">
                  <c:v>6.926235481302899E-2</c:v>
                </c:pt>
                <c:pt idx="2">
                  <c:v>7.3035151251014604E-2</c:v>
                </c:pt>
                <c:pt idx="3">
                  <c:v>7.3420899421976146E-2</c:v>
                </c:pt>
                <c:pt idx="4">
                  <c:v>7.0419599325913643E-2</c:v>
                </c:pt>
                <c:pt idx="5">
                  <c:v>6.7648806177748322E-2</c:v>
                </c:pt>
              </c:numCache>
            </c:numRef>
          </c:yVal>
          <c:smooth val="0"/>
          <c:extLst xmlns:c15="http://schemas.microsoft.com/office/drawing/2012/chart">
            <c:ext xmlns:c16="http://schemas.microsoft.com/office/drawing/2014/chart" uri="{C3380CC4-5D6E-409C-BE32-E72D297353CC}">
              <c16:uniqueId val="{00000003-BF73-4195-987B-9A42BC6EC813}"/>
            </c:ext>
          </c:extLst>
        </c:ser>
        <c:ser>
          <c:idx val="4"/>
          <c:order val="4"/>
          <c:tx>
            <c:v>D5</c:v>
          </c:tx>
          <c:spPr>
            <a:ln w="9525" cap="rnd">
              <a:solidFill>
                <a:schemeClr val="accent5"/>
              </a:solidFill>
              <a:round/>
            </a:ln>
            <a:effectLst/>
          </c:spPr>
          <c:marker>
            <c:symbol val="none"/>
          </c:marker>
          <c:xVal>
            <c:numRef>
              <c:f>'TÍNH TOÁN '!$AA$75:$AA$80</c:f>
              <c:numCache>
                <c:formatCode>General</c:formatCode>
                <c:ptCount val="6"/>
                <c:pt idx="0">
                  <c:v>8.119658119658121</c:v>
                </c:pt>
                <c:pt idx="1">
                  <c:v>12.179487179487182</c:v>
                </c:pt>
                <c:pt idx="2">
                  <c:v>16.239316239316242</c:v>
                </c:pt>
                <c:pt idx="3">
                  <c:v>20.299145299145305</c:v>
                </c:pt>
                <c:pt idx="4">
                  <c:v>24.358974358974365</c:v>
                </c:pt>
                <c:pt idx="5">
                  <c:v>25.069444444444446</c:v>
                </c:pt>
              </c:numCache>
            </c:numRef>
          </c:xVal>
          <c:yVal>
            <c:numRef>
              <c:f>'TÍNH TOÁN '!$G$136:$G$141</c:f>
              <c:numCache>
                <c:formatCode>General</c:formatCode>
                <c:ptCount val="6"/>
                <c:pt idx="0">
                  <c:v>3.6963006733616556E-2</c:v>
                </c:pt>
                <c:pt idx="1">
                  <c:v>3.9033565809495088E-2</c:v>
                </c:pt>
                <c:pt idx="2">
                  <c:v>3.8017452804149345E-2</c:v>
                </c:pt>
                <c:pt idx="3">
                  <c:v>3.3914667717579366E-2</c:v>
                </c:pt>
                <c:pt idx="4">
                  <c:v>2.6725210549785154E-2</c:v>
                </c:pt>
                <c:pt idx="5">
                  <c:v>2.5149707072070291E-2</c:v>
                </c:pt>
              </c:numCache>
            </c:numRef>
          </c:yVal>
          <c:smooth val="0"/>
          <c:extLst>
            <c:ext xmlns:c16="http://schemas.microsoft.com/office/drawing/2014/chart" uri="{C3380CC4-5D6E-409C-BE32-E72D297353CC}">
              <c16:uniqueId val="{00000000-49B0-4758-A99C-FFEE9253C7EB}"/>
            </c:ext>
          </c:extLst>
        </c:ser>
        <c:dLbls>
          <c:showLegendKey val="0"/>
          <c:showVal val="0"/>
          <c:showCatName val="0"/>
          <c:showSerName val="0"/>
          <c:showPercent val="0"/>
          <c:showBubbleSize val="0"/>
        </c:dLbls>
        <c:axId val="1802129439"/>
        <c:axId val="1802131839"/>
        <c:extLst/>
      </c:scatterChart>
      <c:valAx>
        <c:axId val="1802129439"/>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vi-VN"/>
                  <a:t>v (m/s)</a:t>
                </a: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0"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02131839"/>
        <c:crosses val="autoZero"/>
        <c:crossBetween val="midCat"/>
      </c:valAx>
      <c:valAx>
        <c:axId val="1802131839"/>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vi-VN"/>
                  <a:t>D</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0212943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4"/>
          <c:order val="4"/>
          <c:tx>
            <c:v>Số 5</c:v>
          </c:tx>
          <c:spPr>
            <a:ln w="19050" cap="rnd">
              <a:solidFill>
                <a:schemeClr val="accent5"/>
              </a:solidFill>
              <a:round/>
            </a:ln>
            <a:effectLst/>
          </c:spPr>
          <c:marker>
            <c:symbol val="none"/>
          </c:marker>
          <c:xVal>
            <c:numRef>
              <c:f>'TÍNH TOÁN '!$AA$75:$AA$80</c:f>
              <c:numCache>
                <c:formatCode>General</c:formatCode>
                <c:ptCount val="6"/>
                <c:pt idx="0">
                  <c:v>8.119658119658121</c:v>
                </c:pt>
                <c:pt idx="1">
                  <c:v>12.179487179487182</c:v>
                </c:pt>
                <c:pt idx="2">
                  <c:v>16.239316239316242</c:v>
                </c:pt>
                <c:pt idx="3">
                  <c:v>20.299145299145305</c:v>
                </c:pt>
                <c:pt idx="4">
                  <c:v>24.358974358974365</c:v>
                </c:pt>
                <c:pt idx="5">
                  <c:v>25.069444444444446</c:v>
                </c:pt>
              </c:numCache>
            </c:numRef>
          </c:xVal>
          <c:yVal>
            <c:numRef>
              <c:f>'TÍNH TOÁN '!$G$149:$G$154</c:f>
              <c:numCache>
                <c:formatCode>General</c:formatCode>
                <c:ptCount val="6"/>
                <c:pt idx="0">
                  <c:v>5.1054247928326397</c:v>
                </c:pt>
                <c:pt idx="1">
                  <c:v>4.6655781331730681</c:v>
                </c:pt>
                <c:pt idx="2">
                  <c:v>4.8715416104922982</c:v>
                </c:pt>
                <c:pt idx="3">
                  <c:v>5.9282288632933087</c:v>
                </c:pt>
                <c:pt idx="4">
                  <c:v>19.360833546486557</c:v>
                </c:pt>
                <c:pt idx="5">
                  <c:v>29.012242630580896</c:v>
                </c:pt>
              </c:numCache>
            </c:numRef>
          </c:yVal>
          <c:smooth val="1"/>
          <c:extLst>
            <c:ext xmlns:c16="http://schemas.microsoft.com/office/drawing/2014/chart" uri="{C3380CC4-5D6E-409C-BE32-E72D297353CC}">
              <c16:uniqueId val="{00000004-8D81-465C-AB27-584BC34C9079}"/>
            </c:ext>
          </c:extLst>
        </c:ser>
        <c:dLbls>
          <c:showLegendKey val="0"/>
          <c:showVal val="0"/>
          <c:showCatName val="0"/>
          <c:showSerName val="0"/>
          <c:showPercent val="0"/>
          <c:showBubbleSize val="0"/>
        </c:dLbls>
        <c:axId val="432778320"/>
        <c:axId val="432795120"/>
        <c:extLst>
          <c:ext xmlns:c15="http://schemas.microsoft.com/office/drawing/2012/chart" uri="{02D57815-91ED-43cb-92C2-25804820EDAC}">
            <c15:filteredScatterSeries>
              <c15:ser>
                <c:idx val="0"/>
                <c:order val="0"/>
                <c:tx>
                  <c:v>Số 1</c:v>
                </c:tx>
                <c:spPr>
                  <a:ln w="19050" cap="rnd">
                    <a:solidFill>
                      <a:schemeClr val="accent1"/>
                    </a:solidFill>
                    <a:round/>
                  </a:ln>
                  <a:effectLst/>
                </c:spPr>
                <c:marker>
                  <c:symbol val="none"/>
                </c:marker>
                <c:xVal>
                  <c:numRef>
                    <c:extLst>
                      <c:ext uri="{02D57815-91ED-43cb-92C2-25804820EDAC}">
                        <c15:formulaRef>
                          <c15:sqref>'TÍNH TOÁN '!$C$75:$C$80</c15:sqref>
                        </c15:formulaRef>
                      </c:ext>
                    </c:extLst>
                    <c:numCache>
                      <c:formatCode>0.000</c:formatCode>
                      <c:ptCount val="6"/>
                      <c:pt idx="0">
                        <c:v>1.2491781722550954</c:v>
                      </c:pt>
                      <c:pt idx="1">
                        <c:v>1.8737672583826432</c:v>
                      </c:pt>
                      <c:pt idx="2">
                        <c:v>2.4983563445101908</c:v>
                      </c:pt>
                      <c:pt idx="3">
                        <c:v>3.1229454306377389</c:v>
                      </c:pt>
                      <c:pt idx="4">
                        <c:v>3.7475345167652865</c:v>
                      </c:pt>
                      <c:pt idx="5">
                        <c:v>4.0598290598290596</c:v>
                      </c:pt>
                    </c:numCache>
                  </c:numRef>
                </c:xVal>
                <c:yVal>
                  <c:numRef>
                    <c:extLst>
                      <c:ext uri="{02D57815-91ED-43cb-92C2-25804820EDAC}">
                        <c15:formulaRef>
                          <c15:sqref>'TÍNH TOÁN '!$C$149:$C$154</c15:sqref>
                        </c15:formulaRef>
                      </c:ext>
                    </c:extLst>
                    <c:numCache>
                      <c:formatCode>General</c:formatCode>
                      <c:ptCount val="6"/>
                      <c:pt idx="0">
                        <c:v>1.3330302144017852</c:v>
                      </c:pt>
                      <c:pt idx="1">
                        <c:v>1.1679583943784355</c:v>
                      </c:pt>
                      <c:pt idx="2">
                        <c:v>1.0802711482914342</c:v>
                      </c:pt>
                      <c:pt idx="3">
                        <c:v>1.0431156725101423</c:v>
                      </c:pt>
                      <c:pt idx="4">
                        <c:v>1.0469957868111857</c:v>
                      </c:pt>
                      <c:pt idx="5">
                        <c:v>1.064237189329907</c:v>
                      </c:pt>
                    </c:numCache>
                  </c:numRef>
                </c:yVal>
                <c:smooth val="1"/>
                <c:extLst>
                  <c:ext xmlns:c16="http://schemas.microsoft.com/office/drawing/2014/chart" uri="{C3380CC4-5D6E-409C-BE32-E72D297353CC}">
                    <c16:uniqueId val="{00000000-8D81-465C-AB27-584BC34C9079}"/>
                  </c:ext>
                </c:extLst>
              </c15:ser>
            </c15:filteredScatterSeries>
            <c15:filteredScatterSeries>
              <c15:ser>
                <c:idx val="1"/>
                <c:order val="1"/>
                <c:tx>
                  <c:v>Số 2</c:v>
                </c:tx>
                <c:spPr>
                  <a:ln w="19050" cap="rnd">
                    <a:solidFill>
                      <a:schemeClr val="accent2"/>
                    </a:solidFill>
                    <a:round/>
                  </a:ln>
                  <a:effectLst/>
                </c:spPr>
                <c:marker>
                  <c:symbol val="none"/>
                </c:marker>
                <c:xVal>
                  <c:numRef>
                    <c:extLst>
                      <c:ext xmlns:c15="http://schemas.microsoft.com/office/drawing/2012/chart" uri="{02D57815-91ED-43cb-92C2-25804820EDAC}">
                        <c15:formulaRef>
                          <c15:sqref>'TÍNH TOÁN '!$D$75:$D$80</c15:sqref>
                        </c15:formulaRef>
                      </c:ext>
                    </c:extLst>
                    <c:numCache>
                      <c:formatCode>0.000</c:formatCode>
                      <c:ptCount val="6"/>
                      <c:pt idx="0">
                        <c:v>1.9945858147245261</c:v>
                      </c:pt>
                      <c:pt idx="1">
                        <c:v>2.9918787220867893</c:v>
                      </c:pt>
                      <c:pt idx="2">
                        <c:v>3.9891716294490522</c:v>
                      </c:pt>
                      <c:pt idx="3">
                        <c:v>4.9864645368113152</c:v>
                      </c:pt>
                      <c:pt idx="4">
                        <c:v>5.9837574441735786</c:v>
                      </c:pt>
                      <c:pt idx="5">
                        <c:v>6.4824038978547094</c:v>
                      </c:pt>
                    </c:numCache>
                  </c:numRef>
                </c:xVal>
                <c:yVal>
                  <c:numRef>
                    <c:extLst>
                      <c:ext xmlns:c15="http://schemas.microsoft.com/office/drawing/2012/chart" uri="{02D57815-91ED-43cb-92C2-25804820EDAC}">
                        <c15:formulaRef>
                          <c15:sqref>'TÍNH TOÁN '!$D$149:$D$154</c15:sqref>
                        </c15:formulaRef>
                      </c:ext>
                    </c:extLst>
                    <c:numCache>
                      <c:formatCode>General</c:formatCode>
                      <c:ptCount val="6"/>
                      <c:pt idx="0">
                        <c:v>1.3140019975002117</c:v>
                      </c:pt>
                      <c:pt idx="1">
                        <c:v>1.146714990356116</c:v>
                      </c:pt>
                      <c:pt idx="2">
                        <c:v>1.0590248416235717</c:v>
                      </c:pt>
                      <c:pt idx="3">
                        <c:v>1.0228507175577812</c:v>
                      </c:pt>
                      <c:pt idx="4">
                        <c:v>1.0285517202115195</c:v>
                      </c:pt>
                      <c:pt idx="5">
                        <c:v>1.0471464904581111</c:v>
                      </c:pt>
                    </c:numCache>
                  </c:numRef>
                </c:yVal>
                <c:smooth val="1"/>
                <c:extLst>
                  <c:ext xmlns:c16="http://schemas.microsoft.com/office/drawing/2014/chart" uri="{C3380CC4-5D6E-409C-BE32-E72D297353CC}">
                    <c16:uniqueId val="{00000001-8D81-465C-AB27-584BC34C9079}"/>
                  </c:ext>
                </c:extLst>
              </c15:ser>
            </c15:filteredScatterSeries>
            <c15:filteredScatterSeries>
              <c15:ser>
                <c:idx val="2"/>
                <c:order val="2"/>
                <c:tx>
                  <c:v>Số 3</c:v>
                </c:tx>
                <c:spPr>
                  <a:ln w="19050" cap="rnd">
                    <a:solidFill>
                      <a:schemeClr val="accent3"/>
                    </a:solidFill>
                    <a:round/>
                  </a:ln>
                  <a:effectLst/>
                </c:spPr>
                <c:marker>
                  <c:symbol val="none"/>
                </c:marker>
                <c:xVal>
                  <c:numRef>
                    <c:extLst>
                      <c:ext xmlns:c15="http://schemas.microsoft.com/office/drawing/2012/chart" uri="{02D57815-91ED-43cb-92C2-25804820EDAC}">
                        <c15:formulaRef>
                          <c15:sqref>'TÍNH TOÁN '!$E$75:$E$80</c15:sqref>
                        </c15:formulaRef>
                      </c:ext>
                    </c:extLst>
                    <c:numCache>
                      <c:formatCode>0.000</c:formatCode>
                      <c:ptCount val="6"/>
                      <c:pt idx="0">
                        <c:v>3.1847919381414509</c:v>
                      </c:pt>
                      <c:pt idx="1">
                        <c:v>4.7771879072121761</c:v>
                      </c:pt>
                      <c:pt idx="2">
                        <c:v>6.3695838762829018</c:v>
                      </c:pt>
                      <c:pt idx="3">
                        <c:v>7.9619798453536266</c:v>
                      </c:pt>
                      <c:pt idx="4">
                        <c:v>9.5543758144243522</c:v>
                      </c:pt>
                      <c:pt idx="5">
                        <c:v>10.350573798959713</c:v>
                      </c:pt>
                    </c:numCache>
                  </c:numRef>
                </c:xVal>
                <c:yVal>
                  <c:numRef>
                    <c:extLst>
                      <c:ext xmlns:c15="http://schemas.microsoft.com/office/drawing/2012/chart" uri="{02D57815-91ED-43cb-92C2-25804820EDAC}">
                        <c15:formulaRef>
                          <c15:sqref>'TÍNH TOÁN '!$E$149:$E$154</c15:sqref>
                        </c15:formulaRef>
                      </c:ext>
                    </c:extLst>
                    <c:numCache>
                      <c:formatCode>General</c:formatCode>
                      <c:ptCount val="6"/>
                      <c:pt idx="0">
                        <c:v>1.6418409731977095</c:v>
                      </c:pt>
                      <c:pt idx="1">
                        <c:v>1.4256780099919661</c:v>
                      </c:pt>
                      <c:pt idx="2">
                        <c:v>1.3166593973177001</c:v>
                      </c:pt>
                      <c:pt idx="3">
                        <c:v>1.2766435159493876</c:v>
                      </c:pt>
                      <c:pt idx="4">
                        <c:v>1.2939303513882556</c:v>
                      </c:pt>
                      <c:pt idx="5">
                        <c:v>1.3249332024878366</c:v>
                      </c:pt>
                    </c:numCache>
                  </c:numRef>
                </c:yVal>
                <c:smooth val="1"/>
                <c:extLst>
                  <c:ext xmlns:c16="http://schemas.microsoft.com/office/drawing/2014/chart" uri="{C3380CC4-5D6E-409C-BE32-E72D297353CC}">
                    <c16:uniqueId val="{00000002-8D81-465C-AB27-584BC34C9079}"/>
                  </c:ext>
                </c:extLst>
              </c15:ser>
            </c15:filteredScatterSeries>
            <c15:filteredScatterSeries>
              <c15:ser>
                <c:idx val="3"/>
                <c:order val="3"/>
                <c:tx>
                  <c:v>Số 4</c:v>
                </c:tx>
                <c:spPr>
                  <a:ln w="19050" cap="rnd">
                    <a:solidFill>
                      <a:schemeClr val="accent4"/>
                    </a:solidFill>
                    <a:round/>
                  </a:ln>
                  <a:effectLst/>
                </c:spPr>
                <c:marker>
                  <c:symbol val="none"/>
                </c:marker>
                <c:xVal>
                  <c:numRef>
                    <c:extLst>
                      <c:ext xmlns:c15="http://schemas.microsoft.com/office/drawing/2012/chart" uri="{02D57815-91ED-43cb-92C2-25804820EDAC}">
                        <c15:formulaRef>
                          <c15:sqref>'TÍNH TOÁN '!$F$75:$F$80</c15:sqref>
                        </c15:formulaRef>
                      </c:ext>
                    </c:extLst>
                    <c:numCache>
                      <c:formatCode>0.000</c:formatCode>
                      <c:ptCount val="6"/>
                      <c:pt idx="0">
                        <c:v>5.0852159954078591</c:v>
                      </c:pt>
                      <c:pt idx="1">
                        <c:v>7.6278239931117886</c:v>
                      </c:pt>
                      <c:pt idx="2">
                        <c:v>10.170431990815718</c:v>
                      </c:pt>
                      <c:pt idx="3">
                        <c:v>12.713039988519649</c:v>
                      </c:pt>
                      <c:pt idx="4">
                        <c:v>15.255647986223577</c:v>
                      </c:pt>
                      <c:pt idx="5">
                        <c:v>16.526951985075542</c:v>
                      </c:pt>
                    </c:numCache>
                  </c:numRef>
                </c:xVal>
                <c:yVal>
                  <c:numRef>
                    <c:extLst>
                      <c:ext xmlns:c15="http://schemas.microsoft.com/office/drawing/2012/chart" uri="{02D57815-91ED-43cb-92C2-25804820EDAC}">
                        <c15:formulaRef>
                          <c15:sqref>'TÍNH TOÁN '!$F$149:$F$154</c15:sqref>
                        </c15:formulaRef>
                      </c:ext>
                    </c:extLst>
                    <c:numCache>
                      <c:formatCode>General</c:formatCode>
                      <c:ptCount val="6"/>
                      <c:pt idx="0">
                        <c:v>2.548231125546121</c:v>
                      </c:pt>
                      <c:pt idx="1">
                        <c:v>2.2119954572960294</c:v>
                      </c:pt>
                      <c:pt idx="2">
                        <c:v>2.0681962528099218</c:v>
                      </c:pt>
                      <c:pt idx="3">
                        <c:v>2.0545401309493463</c:v>
                      </c:pt>
                      <c:pt idx="4">
                        <c:v>2.1658056681850018</c:v>
                      </c:pt>
                      <c:pt idx="5">
                        <c:v>2.2797873506072883</c:v>
                      </c:pt>
                    </c:numCache>
                  </c:numRef>
                </c:yVal>
                <c:smooth val="1"/>
                <c:extLst>
                  <c:ext xmlns:c16="http://schemas.microsoft.com/office/drawing/2014/chart" uri="{C3380CC4-5D6E-409C-BE32-E72D297353CC}">
                    <c16:uniqueId val="{00000003-8D81-465C-AB27-584BC34C9079}"/>
                  </c:ext>
                </c:extLst>
              </c15:ser>
            </c15:filteredScatterSeries>
          </c:ext>
        </c:extLst>
      </c:scatterChart>
      <c:valAx>
        <c:axId val="432778320"/>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795120"/>
        <c:crosses val="autoZero"/>
        <c:crossBetween val="midCat"/>
      </c:valAx>
      <c:valAx>
        <c:axId val="432795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778320"/>
        <c:crosses val="autoZero"/>
        <c:crossBetween val="midCat"/>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TimeNo1</c:v>
          </c:tx>
          <c:spPr>
            <a:ln w="19050" cap="rnd">
              <a:solidFill>
                <a:schemeClr val="accent1"/>
              </a:solidFill>
              <a:round/>
            </a:ln>
            <a:effectLst/>
          </c:spPr>
          <c:marker>
            <c:symbol val="none"/>
          </c:marker>
          <c:xVal>
            <c:numRef>
              <c:f>'TÍNH TOÁN '!$C$75:$C$80</c:f>
              <c:numCache>
                <c:formatCode>0,000</c:formatCode>
                <c:ptCount val="6"/>
                <c:pt idx="0">
                  <c:v>1.2491781722550954</c:v>
                </c:pt>
                <c:pt idx="1">
                  <c:v>1.8737672583826432</c:v>
                </c:pt>
                <c:pt idx="2">
                  <c:v>2.4983563445101908</c:v>
                </c:pt>
                <c:pt idx="3">
                  <c:v>3.1229454306377389</c:v>
                </c:pt>
                <c:pt idx="4">
                  <c:v>3.7475345167652865</c:v>
                </c:pt>
                <c:pt idx="5">
                  <c:v>4.0598290598290596</c:v>
                </c:pt>
              </c:numCache>
            </c:numRef>
          </c:xVal>
          <c:yVal>
            <c:numRef>
              <c:f>'TÍNH TOÁN '!$C$189:$C$194</c:f>
              <c:numCache>
                <c:formatCode>0.000</c:formatCode>
                <c:ptCount val="6"/>
                <c:pt idx="0" formatCode="General">
                  <c:v>0</c:v>
                </c:pt>
                <c:pt idx="1">
                  <c:v>0.78104509478672257</c:v>
                </c:pt>
                <c:pt idx="2">
                  <c:v>1.4831549125172867</c:v>
                </c:pt>
                <c:pt idx="3">
                  <c:v>2.1462770294671549</c:v>
                </c:pt>
                <c:pt idx="4">
                  <c:v>2.7990074326082666</c:v>
                </c:pt>
                <c:pt idx="5">
                  <c:v>3.1286707014008428</c:v>
                </c:pt>
              </c:numCache>
            </c:numRef>
          </c:yVal>
          <c:smooth val="0"/>
          <c:extLst>
            <c:ext xmlns:c16="http://schemas.microsoft.com/office/drawing/2014/chart" uri="{C3380CC4-5D6E-409C-BE32-E72D297353CC}">
              <c16:uniqueId val="{00000000-F31C-470F-8648-9CD32F284770}"/>
            </c:ext>
          </c:extLst>
        </c:ser>
        <c:ser>
          <c:idx val="1"/>
          <c:order val="1"/>
          <c:tx>
            <c:v>TimeNo2</c:v>
          </c:tx>
          <c:spPr>
            <a:ln w="19050" cap="rnd">
              <a:solidFill>
                <a:schemeClr val="accent2"/>
              </a:solidFill>
              <a:round/>
            </a:ln>
            <a:effectLst/>
          </c:spPr>
          <c:marker>
            <c:symbol val="none"/>
          </c:marker>
          <c:xVal>
            <c:numRef>
              <c:f>'TÍNH TOÁN '!$D$75:$D$80</c:f>
              <c:numCache>
                <c:formatCode>0,000</c:formatCode>
                <c:ptCount val="6"/>
                <c:pt idx="0">
                  <c:v>1.9945858147245261</c:v>
                </c:pt>
                <c:pt idx="1">
                  <c:v>2.9918787220867893</c:v>
                </c:pt>
                <c:pt idx="2">
                  <c:v>3.9891716294490522</c:v>
                </c:pt>
                <c:pt idx="3">
                  <c:v>4.9864645368113152</c:v>
                </c:pt>
                <c:pt idx="4">
                  <c:v>5.9837574441735786</c:v>
                </c:pt>
                <c:pt idx="5">
                  <c:v>6.4824038978547094</c:v>
                </c:pt>
              </c:numCache>
            </c:numRef>
          </c:xVal>
          <c:yVal>
            <c:numRef>
              <c:f>'TÍNH TOÁN '!$D$189:$D$194</c:f>
              <c:numCache>
                <c:formatCode>0.000</c:formatCode>
                <c:ptCount val="6"/>
                <c:pt idx="0" formatCode="General">
                  <c:v>0</c:v>
                </c:pt>
                <c:pt idx="1">
                  <c:v>1.2270277995074741</c:v>
                </c:pt>
                <c:pt idx="2">
                  <c:v>2.3269121444673599</c:v>
                </c:pt>
                <c:pt idx="3">
                  <c:v>3.3650320090585639</c:v>
                </c:pt>
                <c:pt idx="4">
                  <c:v>4.3879565597250547</c:v>
                </c:pt>
                <c:pt idx="5">
                  <c:v>4.9054763355563944</c:v>
                </c:pt>
              </c:numCache>
            </c:numRef>
          </c:yVal>
          <c:smooth val="0"/>
          <c:extLst>
            <c:ext xmlns:c16="http://schemas.microsoft.com/office/drawing/2014/chart" uri="{C3380CC4-5D6E-409C-BE32-E72D297353CC}">
              <c16:uniqueId val="{00000001-F31C-470F-8648-9CD32F284770}"/>
            </c:ext>
          </c:extLst>
        </c:ser>
        <c:ser>
          <c:idx val="2"/>
          <c:order val="2"/>
          <c:tx>
            <c:v>TimeNo3</c:v>
          </c:tx>
          <c:spPr>
            <a:ln w="19050" cap="rnd">
              <a:solidFill>
                <a:schemeClr val="accent3"/>
              </a:solidFill>
              <a:round/>
            </a:ln>
            <a:effectLst/>
          </c:spPr>
          <c:marker>
            <c:symbol val="none"/>
          </c:marker>
          <c:xVal>
            <c:numRef>
              <c:f>'TÍNH TOÁN '!$E$75:$E$80</c:f>
              <c:numCache>
                <c:formatCode>0,000</c:formatCode>
                <c:ptCount val="6"/>
                <c:pt idx="0">
                  <c:v>3.1847919381414509</c:v>
                </c:pt>
                <c:pt idx="1">
                  <c:v>4.7771879072121761</c:v>
                </c:pt>
                <c:pt idx="2">
                  <c:v>6.3695838762829018</c:v>
                </c:pt>
                <c:pt idx="3">
                  <c:v>7.9619798453536266</c:v>
                </c:pt>
                <c:pt idx="4">
                  <c:v>9.5543758144243522</c:v>
                </c:pt>
                <c:pt idx="5">
                  <c:v>10.350573798959713</c:v>
                </c:pt>
              </c:numCache>
            </c:numRef>
          </c:xVal>
          <c:yVal>
            <c:numRef>
              <c:f>'TÍNH TOÁN '!$E$189:$E$194</c:f>
              <c:numCache>
                <c:formatCode>0.000</c:formatCode>
                <c:ptCount val="6"/>
                <c:pt idx="0" formatCode="General">
                  <c:v>0</c:v>
                </c:pt>
                <c:pt idx="1">
                  <c:v>2.4423524319395846</c:v>
                </c:pt>
                <c:pt idx="2">
                  <c:v>4.6257959485554725</c:v>
                </c:pt>
                <c:pt idx="3">
                  <c:v>6.690578501388412</c:v>
                </c:pt>
                <c:pt idx="4">
                  <c:v>8.7372642336619162</c:v>
                </c:pt>
                <c:pt idx="5">
                  <c:v>9.7798311753465441</c:v>
                </c:pt>
              </c:numCache>
            </c:numRef>
          </c:yVal>
          <c:smooth val="0"/>
          <c:extLst>
            <c:ext xmlns:c16="http://schemas.microsoft.com/office/drawing/2014/chart" uri="{C3380CC4-5D6E-409C-BE32-E72D297353CC}">
              <c16:uniqueId val="{00000002-F31C-470F-8648-9CD32F284770}"/>
            </c:ext>
          </c:extLst>
        </c:ser>
        <c:ser>
          <c:idx val="3"/>
          <c:order val="3"/>
          <c:tx>
            <c:v>TimeNo4</c:v>
          </c:tx>
          <c:spPr>
            <a:ln w="19050" cap="rnd">
              <a:solidFill>
                <a:schemeClr val="accent4"/>
              </a:solidFill>
              <a:round/>
            </a:ln>
            <a:effectLst/>
          </c:spPr>
          <c:marker>
            <c:symbol val="none"/>
          </c:marker>
          <c:xVal>
            <c:numRef>
              <c:f>'TÍNH TOÁN '!$F$75:$F$80</c:f>
              <c:numCache>
                <c:formatCode>0,000</c:formatCode>
                <c:ptCount val="6"/>
                <c:pt idx="0">
                  <c:v>5.0852159954078591</c:v>
                </c:pt>
                <c:pt idx="1">
                  <c:v>7.6278239931117886</c:v>
                </c:pt>
                <c:pt idx="2">
                  <c:v>10.170431990815718</c:v>
                </c:pt>
                <c:pt idx="3">
                  <c:v>12.713039988519649</c:v>
                </c:pt>
                <c:pt idx="4">
                  <c:v>15.255647986223577</c:v>
                </c:pt>
                <c:pt idx="5">
                  <c:v>16.526951985075542</c:v>
                </c:pt>
              </c:numCache>
            </c:numRef>
          </c:xVal>
          <c:yVal>
            <c:numRef>
              <c:f>'TÍNH TOÁN '!$F$189:$F$194</c:f>
              <c:numCache>
                <c:formatCode>0.000</c:formatCode>
                <c:ptCount val="6"/>
                <c:pt idx="0" formatCode="General">
                  <c:v>0</c:v>
                </c:pt>
                <c:pt idx="1">
                  <c:v>6.0516950902086499</c:v>
                </c:pt>
                <c:pt idx="2">
                  <c:v>11.493119927119375</c:v>
                </c:pt>
                <c:pt idx="3">
                  <c:v>16.734371178005023</c:v>
                </c:pt>
                <c:pt idx="4">
                  <c:v>22.099713668982609</c:v>
                </c:pt>
                <c:pt idx="5">
                  <c:v>24.925563760012118</c:v>
                </c:pt>
              </c:numCache>
            </c:numRef>
          </c:yVal>
          <c:smooth val="0"/>
          <c:extLst>
            <c:ext xmlns:c16="http://schemas.microsoft.com/office/drawing/2014/chart" uri="{C3380CC4-5D6E-409C-BE32-E72D297353CC}">
              <c16:uniqueId val="{00000005-F31C-470F-8648-9CD32F284770}"/>
            </c:ext>
          </c:extLst>
        </c:ser>
        <c:ser>
          <c:idx val="4"/>
          <c:order val="4"/>
          <c:tx>
            <c:v>TimeNo5</c:v>
          </c:tx>
          <c:spPr>
            <a:ln w="19050" cap="rnd">
              <a:solidFill>
                <a:schemeClr val="accent5"/>
              </a:solidFill>
              <a:round/>
            </a:ln>
            <a:effectLst/>
          </c:spPr>
          <c:marker>
            <c:symbol val="none"/>
          </c:marker>
          <c:xVal>
            <c:numRef>
              <c:f>'TÍNH TOÁN '!$AA$75:$AA$80</c:f>
              <c:numCache>
                <c:formatCode>General</c:formatCode>
                <c:ptCount val="6"/>
                <c:pt idx="0">
                  <c:v>8.119658119658121</c:v>
                </c:pt>
                <c:pt idx="1">
                  <c:v>12.179487179487182</c:v>
                </c:pt>
                <c:pt idx="2">
                  <c:v>16.239316239316242</c:v>
                </c:pt>
                <c:pt idx="3">
                  <c:v>20.299145299145305</c:v>
                </c:pt>
                <c:pt idx="4">
                  <c:v>24.358974358974365</c:v>
                </c:pt>
                <c:pt idx="5">
                  <c:v>25.069444444444446</c:v>
                </c:pt>
              </c:numCache>
            </c:numRef>
          </c:xVal>
          <c:yVal>
            <c:numRef>
              <c:f>'TÍNH TOÁN '!$G$189:$G$194</c:f>
              <c:numCache>
                <c:formatCode>0,000</c:formatCode>
                <c:ptCount val="6"/>
                <c:pt idx="0" formatCode="General">
                  <c:v>0</c:v>
                </c:pt>
                <c:pt idx="1">
                  <c:v>19.83430081133638</c:v>
                </c:pt>
                <c:pt idx="2">
                  <c:v>39.193838752537445</c:v>
                </c:pt>
                <c:pt idx="3">
                  <c:v>61.116449757016795</c:v>
                </c:pt>
                <c:pt idx="4">
                  <c:v>112.4510849905443</c:v>
                </c:pt>
                <c:pt idx="5">
                  <c:v>129.63489677353024</c:v>
                </c:pt>
              </c:numCache>
            </c:numRef>
          </c:yVal>
          <c:smooth val="0"/>
          <c:extLst>
            <c:ext xmlns:c16="http://schemas.microsoft.com/office/drawing/2014/chart" uri="{C3380CC4-5D6E-409C-BE32-E72D297353CC}">
              <c16:uniqueId val="{00000006-F31C-470F-8648-9CD32F284770}"/>
            </c:ext>
          </c:extLst>
        </c:ser>
        <c:dLbls>
          <c:showLegendKey val="0"/>
          <c:showVal val="0"/>
          <c:showCatName val="0"/>
          <c:showSerName val="0"/>
          <c:showPercent val="0"/>
          <c:showBubbleSize val="0"/>
        </c:dLbls>
        <c:axId val="644689312"/>
        <c:axId val="644690272"/>
      </c:scatterChart>
      <c:valAx>
        <c:axId val="644689312"/>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690272"/>
        <c:crosses val="autoZero"/>
        <c:crossBetween val="midCat"/>
      </c:valAx>
      <c:valAx>
        <c:axId val="64469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689312"/>
        <c:crosses val="autoZero"/>
        <c:crossBetween val="midCat"/>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0.png"/><Relationship Id="rId5" Type="http://schemas.openxmlformats.org/officeDocument/2006/relationships/image" Target="../media/image9.png"/><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image" Target="../media/image13.png"/></Relationships>
</file>

<file path=xl/drawings/_rels/vmlDrawing2.vml.rels><?xml version="1.0" encoding="UTF-8" standalone="yes"?>
<Relationships xmlns="http://schemas.openxmlformats.org/package/2006/relationships"><Relationship Id="rId8" Type="http://schemas.openxmlformats.org/officeDocument/2006/relationships/image" Target="../media/image22.png"/><Relationship Id="rId13" Type="http://schemas.openxmlformats.org/officeDocument/2006/relationships/image" Target="../media/image27.png"/><Relationship Id="rId18" Type="http://schemas.openxmlformats.org/officeDocument/2006/relationships/image" Target="../media/image32.png"/><Relationship Id="rId3" Type="http://schemas.openxmlformats.org/officeDocument/2006/relationships/image" Target="../media/image17.png"/><Relationship Id="rId21" Type="http://schemas.openxmlformats.org/officeDocument/2006/relationships/image" Target="../media/image35.png"/><Relationship Id="rId7" Type="http://schemas.openxmlformats.org/officeDocument/2006/relationships/image" Target="../media/image21.png"/><Relationship Id="rId12" Type="http://schemas.openxmlformats.org/officeDocument/2006/relationships/image" Target="../media/image26.png"/><Relationship Id="rId17" Type="http://schemas.openxmlformats.org/officeDocument/2006/relationships/image" Target="../media/image31.png"/><Relationship Id="rId2" Type="http://schemas.openxmlformats.org/officeDocument/2006/relationships/image" Target="../media/image16.png"/><Relationship Id="rId16" Type="http://schemas.openxmlformats.org/officeDocument/2006/relationships/image" Target="../media/image30.png"/><Relationship Id="rId20" Type="http://schemas.openxmlformats.org/officeDocument/2006/relationships/image" Target="../media/image34.png"/><Relationship Id="rId1" Type="http://schemas.openxmlformats.org/officeDocument/2006/relationships/image" Target="../media/image15.png"/><Relationship Id="rId6" Type="http://schemas.openxmlformats.org/officeDocument/2006/relationships/image" Target="../media/image20.png"/><Relationship Id="rId11" Type="http://schemas.openxmlformats.org/officeDocument/2006/relationships/image" Target="../media/image25.png"/><Relationship Id="rId5" Type="http://schemas.openxmlformats.org/officeDocument/2006/relationships/image" Target="../media/image19.png"/><Relationship Id="rId15" Type="http://schemas.openxmlformats.org/officeDocument/2006/relationships/image" Target="../media/image29.png"/><Relationship Id="rId10" Type="http://schemas.openxmlformats.org/officeDocument/2006/relationships/image" Target="../media/image24.png"/><Relationship Id="rId19" Type="http://schemas.openxmlformats.org/officeDocument/2006/relationships/image" Target="../media/image33.png"/><Relationship Id="rId4" Type="http://schemas.openxmlformats.org/officeDocument/2006/relationships/image" Target="../media/image18.png"/><Relationship Id="rId9" Type="http://schemas.openxmlformats.org/officeDocument/2006/relationships/image" Target="../media/image23.png"/><Relationship Id="rId14"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xdr:from>
      <xdr:col>3</xdr:col>
      <xdr:colOff>335811</xdr:colOff>
      <xdr:row>26</xdr:row>
      <xdr:rowOff>101007</xdr:rowOff>
    </xdr:from>
    <xdr:to>
      <xdr:col>3</xdr:col>
      <xdr:colOff>965791</xdr:colOff>
      <xdr:row>26</xdr:row>
      <xdr:rowOff>265812</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4145CD0-A085-55B1-F157-CCFC4E233CD2}"/>
                </a:ext>
              </a:extLst>
            </xdr:cNvPr>
            <xdr:cNvSpPr txBox="1"/>
          </xdr:nvSpPr>
          <xdr:spPr>
            <a:xfrm>
              <a:off x="4287578" y="5009705"/>
              <a:ext cx="629980" cy="1648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𝑛</m:t>
                        </m:r>
                      </m:e>
                      <m:sub>
                        <m:r>
                          <a:rPr lang="en-US" sz="1100" b="0" i="1">
                            <a:latin typeface="Cambria Math" panose="02040503050406030204" pitchFamily="18" charset="0"/>
                          </a:rPr>
                          <m:t>𝑡</m:t>
                        </m:r>
                      </m:sub>
                    </m:sSub>
                  </m:oMath>
                </m:oMathPara>
              </a14:m>
              <a:endParaRPr lang="en-US" sz="1100"/>
            </a:p>
          </xdr:txBody>
        </xdr:sp>
      </mc:Choice>
      <mc:Fallback xmlns="">
        <xdr:sp macro="" textlink="">
          <xdr:nvSpPr>
            <xdr:cNvPr id="3" name="TextBox 2">
              <a:extLst>
                <a:ext uri="{FF2B5EF4-FFF2-40B4-BE49-F238E27FC236}">
                  <a16:creationId xmlns:a16="http://schemas.microsoft.com/office/drawing/2014/main" id="{64145CD0-A085-55B1-F157-CCFC4E233CD2}"/>
                </a:ext>
              </a:extLst>
            </xdr:cNvPr>
            <xdr:cNvSpPr txBox="1"/>
          </xdr:nvSpPr>
          <xdr:spPr>
            <a:xfrm>
              <a:off x="4287578" y="5009705"/>
              <a:ext cx="629980" cy="1648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0" i="0">
                  <a:latin typeface="Cambria Math" panose="02040503050406030204" pitchFamily="18" charset="0"/>
                </a:rPr>
                <a:t>𝑛_𝑡</a:t>
              </a:r>
              <a:endParaRPr lang="en-US" sz="1100"/>
            </a:p>
          </xdr:txBody>
        </xdr:sp>
      </mc:Fallback>
    </mc:AlternateContent>
    <xdr:clientData/>
  </xdr:twoCellAnchor>
  <xdr:twoCellAnchor>
    <xdr:from>
      <xdr:col>3</xdr:col>
      <xdr:colOff>486439</xdr:colOff>
      <xdr:row>13</xdr:row>
      <xdr:rowOff>92149</xdr:rowOff>
    </xdr:from>
    <xdr:to>
      <xdr:col>3</xdr:col>
      <xdr:colOff>834163</xdr:colOff>
      <xdr:row>13</xdr:row>
      <xdr:rowOff>264376</xdr:rowOff>
    </xdr:to>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E44352B-3E33-5824-3FC1-E81775FCB996}"/>
                </a:ext>
              </a:extLst>
            </xdr:cNvPr>
            <xdr:cNvSpPr txBox="1"/>
          </xdr:nvSpPr>
          <xdr:spPr>
            <a:xfrm>
              <a:off x="4438206" y="3140149"/>
              <a:ext cx="34772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
                    <m:sSub>
                      <m:sSubPr>
                        <m:ctrlPr>
                          <a:rPr lang="el-GR" sz="1100" i="1">
                            <a:latin typeface="Cambria Math" panose="02040503050406030204" pitchFamily="18" charset="0"/>
                          </a:rPr>
                        </m:ctrlPr>
                      </m:sSubPr>
                      <m:e>
                        <m:r>
                          <a:rPr lang="el-GR" sz="1100" i="1">
                            <a:latin typeface="Cambria Math" panose="02040503050406030204" pitchFamily="18" charset="0"/>
                          </a:rPr>
                          <m:t>𝛹</m:t>
                        </m:r>
                      </m:e>
                      <m:sub>
                        <m:r>
                          <a:rPr lang="en-US" sz="1100" b="0" i="1">
                            <a:latin typeface="Cambria Math" panose="02040503050406030204" pitchFamily="18" charset="0"/>
                          </a:rPr>
                          <m:t>𝑚𝑎𝑥</m:t>
                        </m:r>
                      </m:sub>
                    </m:sSub>
                  </m:oMath>
                </m:oMathPara>
              </a14:m>
              <a:endParaRPr lang="en-US" sz="1100"/>
            </a:p>
          </xdr:txBody>
        </xdr:sp>
      </mc:Choice>
      <mc:Fallback xmlns="">
        <xdr:sp macro="" textlink="">
          <xdr:nvSpPr>
            <xdr:cNvPr id="4" name="TextBox 3">
              <a:extLst>
                <a:ext uri="{FF2B5EF4-FFF2-40B4-BE49-F238E27FC236}">
                  <a16:creationId xmlns:a16="http://schemas.microsoft.com/office/drawing/2014/main" id="{AE44352B-3E33-5824-3FC1-E81775FCB996}"/>
                </a:ext>
              </a:extLst>
            </xdr:cNvPr>
            <xdr:cNvSpPr txBox="1"/>
          </xdr:nvSpPr>
          <xdr:spPr>
            <a:xfrm>
              <a:off x="4438206" y="3140149"/>
              <a:ext cx="34772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l-GR" sz="1100" i="0">
                  <a:latin typeface="Cambria Math" panose="02040503050406030204" pitchFamily="18" charset="0"/>
                </a:rPr>
                <a:t>𝛹</a:t>
              </a:r>
              <a:r>
                <a:rPr lang="en-US" sz="1100" i="0">
                  <a:latin typeface="Cambria Math" panose="02040503050406030204" pitchFamily="18" charset="0"/>
                </a:rPr>
                <a:t>_</a:t>
              </a:r>
              <a:r>
                <a:rPr lang="en-US" sz="1100" b="0" i="0">
                  <a:latin typeface="Cambria Math" panose="02040503050406030204" pitchFamily="18" charset="0"/>
                </a:rPr>
                <a:t>𝑚𝑎𝑥</a:t>
              </a:r>
              <a:endParaRPr lang="en-US" sz="1100"/>
            </a:p>
          </xdr:txBody>
        </xdr:sp>
      </mc:Fallback>
    </mc:AlternateContent>
    <xdr:clientData/>
  </xdr:twoCellAnchor>
  <xdr:twoCellAnchor>
    <xdr:from>
      <xdr:col>3</xdr:col>
      <xdr:colOff>566183</xdr:colOff>
      <xdr:row>7</xdr:row>
      <xdr:rowOff>157126</xdr:rowOff>
    </xdr:from>
    <xdr:to>
      <xdr:col>3</xdr:col>
      <xdr:colOff>740077</xdr:colOff>
      <xdr:row>7</xdr:row>
      <xdr:rowOff>329353</xdr:rowOff>
    </xdr:to>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D75EF4DD-F098-2AD7-5198-82B576927EAB}"/>
                </a:ext>
              </a:extLst>
            </xdr:cNvPr>
            <xdr:cNvSpPr txBox="1"/>
          </xdr:nvSpPr>
          <xdr:spPr>
            <a:xfrm>
              <a:off x="4941910" y="3713126"/>
              <a:ext cx="17389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𝑛</m:t>
                        </m:r>
                      </m:e>
                      <m:sub>
                        <m:r>
                          <a:rPr lang="en-US" sz="1100" b="0" i="1">
                            <a:latin typeface="Cambria Math" panose="02040503050406030204" pitchFamily="18" charset="0"/>
                          </a:rPr>
                          <m:t>𝑐</m:t>
                        </m:r>
                      </m:sub>
                    </m:sSub>
                  </m:oMath>
                </m:oMathPara>
              </a14:m>
              <a:endParaRPr lang="en-US" sz="1100"/>
            </a:p>
          </xdr:txBody>
        </xdr:sp>
      </mc:Choice>
      <mc:Fallback xmlns="">
        <xdr:sp macro="" textlink="">
          <xdr:nvSpPr>
            <xdr:cNvPr id="5" name="TextBox 4">
              <a:extLst>
                <a:ext uri="{FF2B5EF4-FFF2-40B4-BE49-F238E27FC236}">
                  <a16:creationId xmlns:a16="http://schemas.microsoft.com/office/drawing/2014/main" id="{D75EF4DD-F098-2AD7-5198-82B576927EAB}"/>
                </a:ext>
              </a:extLst>
            </xdr:cNvPr>
            <xdr:cNvSpPr txBox="1"/>
          </xdr:nvSpPr>
          <xdr:spPr>
            <a:xfrm>
              <a:off x="4941910" y="3713126"/>
              <a:ext cx="17389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sz="1100" b="0" i="0">
                  <a:latin typeface="Cambria Math" panose="02040503050406030204" pitchFamily="18" charset="0"/>
                </a:rPr>
                <a:t>𝑛_𝑐</a:t>
              </a:r>
              <a:endParaRPr lang="en-US" sz="1100"/>
            </a:p>
          </xdr:txBody>
        </xdr:sp>
      </mc:Fallback>
    </mc:AlternateContent>
    <xdr:clientData/>
  </xdr:twoCellAnchor>
  <xdr:twoCellAnchor>
    <xdr:from>
      <xdr:col>3</xdr:col>
      <xdr:colOff>416441</xdr:colOff>
      <xdr:row>8</xdr:row>
      <xdr:rowOff>125121</xdr:rowOff>
    </xdr:from>
    <xdr:to>
      <xdr:col>3</xdr:col>
      <xdr:colOff>859466</xdr:colOff>
      <xdr:row>8</xdr:row>
      <xdr:rowOff>297348</xdr:rowOff>
    </xdr:to>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AAE837D-62F6-4454-A907-0F8993CC73D1}"/>
                </a:ext>
              </a:extLst>
            </xdr:cNvPr>
            <xdr:cNvSpPr txBox="1"/>
          </xdr:nvSpPr>
          <xdr:spPr>
            <a:xfrm>
              <a:off x="4792168" y="4189121"/>
              <a:ext cx="44302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𝐺</m:t>
                        </m:r>
                      </m:e>
                      <m:sub>
                        <m:r>
                          <a:rPr lang="en-US" sz="1100" b="0" i="1">
                            <a:latin typeface="Cambria Math" panose="02040503050406030204" pitchFamily="18" charset="0"/>
                          </a:rPr>
                          <m:t>0</m:t>
                        </m:r>
                      </m:sub>
                    </m:sSub>
                  </m:oMath>
                </m:oMathPara>
              </a14:m>
              <a:endParaRPr lang="en-US" sz="1100"/>
            </a:p>
          </xdr:txBody>
        </xdr:sp>
      </mc:Choice>
      <mc:Fallback xmlns="">
        <xdr:sp macro="" textlink="">
          <xdr:nvSpPr>
            <xdr:cNvPr id="6" name="TextBox 5">
              <a:extLst>
                <a:ext uri="{FF2B5EF4-FFF2-40B4-BE49-F238E27FC236}">
                  <a16:creationId xmlns:a16="http://schemas.microsoft.com/office/drawing/2014/main" id="{2AAE837D-62F6-4454-A907-0F8993CC73D1}"/>
                </a:ext>
              </a:extLst>
            </xdr:cNvPr>
            <xdr:cNvSpPr txBox="1"/>
          </xdr:nvSpPr>
          <xdr:spPr>
            <a:xfrm>
              <a:off x="4792168" y="4189121"/>
              <a:ext cx="44302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0" i="0">
                  <a:latin typeface="Cambria Math" panose="02040503050406030204" pitchFamily="18" charset="0"/>
                </a:rPr>
                <a:t>𝐺_0</a:t>
              </a:r>
              <a:endParaRPr lang="en-US" sz="1100"/>
            </a:p>
          </xdr:txBody>
        </xdr:sp>
      </mc:Fallback>
    </mc:AlternateContent>
    <xdr:clientData/>
  </xdr:twoCellAnchor>
  <xdr:twoCellAnchor>
    <xdr:from>
      <xdr:col>3</xdr:col>
      <xdr:colOff>412953</xdr:colOff>
      <xdr:row>9</xdr:row>
      <xdr:rowOff>142035</xdr:rowOff>
    </xdr:from>
    <xdr:to>
      <xdr:col>3</xdr:col>
      <xdr:colOff>855978</xdr:colOff>
      <xdr:row>9</xdr:row>
      <xdr:rowOff>425570</xdr:rowOff>
    </xdr:to>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F6217B4D-CFE2-4289-9A8F-853154BB147F}"/>
                </a:ext>
              </a:extLst>
            </xdr:cNvPr>
            <xdr:cNvSpPr txBox="1"/>
          </xdr:nvSpPr>
          <xdr:spPr>
            <a:xfrm>
              <a:off x="4788680" y="4714035"/>
              <a:ext cx="443025" cy="283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𝐺</m:t>
                        </m:r>
                      </m:e>
                      <m:sub>
                        <m:r>
                          <a:rPr lang="en-US" sz="1100" b="0" i="1">
                            <a:latin typeface="Cambria Math" panose="02040503050406030204" pitchFamily="18" charset="0"/>
                          </a:rPr>
                          <m:t>𝑒</m:t>
                        </m:r>
                      </m:sub>
                    </m:sSub>
                  </m:oMath>
                </m:oMathPara>
              </a14:m>
              <a:endParaRPr lang="en-US" sz="1100"/>
            </a:p>
          </xdr:txBody>
        </xdr:sp>
      </mc:Choice>
      <mc:Fallback xmlns="">
        <xdr:sp macro="" textlink="">
          <xdr:nvSpPr>
            <xdr:cNvPr id="7" name="TextBox 6">
              <a:extLst>
                <a:ext uri="{FF2B5EF4-FFF2-40B4-BE49-F238E27FC236}">
                  <a16:creationId xmlns:a16="http://schemas.microsoft.com/office/drawing/2014/main" id="{F6217B4D-CFE2-4289-9A8F-853154BB147F}"/>
                </a:ext>
              </a:extLst>
            </xdr:cNvPr>
            <xdr:cNvSpPr txBox="1"/>
          </xdr:nvSpPr>
          <xdr:spPr>
            <a:xfrm>
              <a:off x="4788680" y="4714035"/>
              <a:ext cx="443025" cy="283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0" i="0">
                  <a:latin typeface="Cambria Math" panose="02040503050406030204" pitchFamily="18" charset="0"/>
                </a:rPr>
                <a:t>𝐺_𝑒</a:t>
              </a:r>
              <a:endParaRPr lang="en-US" sz="1100"/>
            </a:p>
          </xdr:txBody>
        </xdr:sp>
      </mc:Fallback>
    </mc:AlternateContent>
    <xdr:clientData/>
  </xdr:twoCellAnchor>
  <xdr:twoCellAnchor>
    <xdr:from>
      <xdr:col>3</xdr:col>
      <xdr:colOff>539602</xdr:colOff>
      <xdr:row>10</xdr:row>
      <xdr:rowOff>92149</xdr:rowOff>
    </xdr:from>
    <xdr:to>
      <xdr:col>3</xdr:col>
      <xdr:colOff>737669</xdr:colOff>
      <xdr:row>10</xdr:row>
      <xdr:rowOff>264376</xdr:rowOff>
    </xdr:to>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58D32BD3-04B8-429B-CB1C-BB9D79E7E064}"/>
                </a:ext>
              </a:extLst>
            </xdr:cNvPr>
            <xdr:cNvSpPr txBox="1"/>
          </xdr:nvSpPr>
          <xdr:spPr>
            <a:xfrm>
              <a:off x="4491369" y="2209800"/>
              <a:ext cx="19806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
                    <m:sSub>
                      <m:sSubPr>
                        <m:ctrlPr>
                          <a:rPr lang="el-GR" sz="1100" i="1">
                            <a:latin typeface="Cambria Math" panose="02040503050406030204" pitchFamily="18" charset="0"/>
                          </a:rPr>
                        </m:ctrlPr>
                      </m:sSubPr>
                      <m:e>
                        <m:r>
                          <a:rPr lang="el-GR" sz="1100" i="1">
                            <a:latin typeface="Cambria Math" panose="02040503050406030204" pitchFamily="18" charset="0"/>
                          </a:rPr>
                          <m:t>𝜆</m:t>
                        </m:r>
                      </m:e>
                      <m:sub>
                        <m:r>
                          <a:rPr lang="en-US" sz="1100" b="0" i="1">
                            <a:latin typeface="Cambria Math" panose="02040503050406030204" pitchFamily="18" charset="0"/>
                          </a:rPr>
                          <m:t>1</m:t>
                        </m:r>
                      </m:sub>
                    </m:sSub>
                    <m:r>
                      <a:rPr lang="el-GR" sz="1100" i="1">
                        <a:latin typeface="Cambria Math" panose="02040503050406030204" pitchFamily="18" charset="0"/>
                      </a:rPr>
                      <m:t> </m:t>
                    </m:r>
                  </m:oMath>
                </m:oMathPara>
              </a14:m>
              <a:endParaRPr lang="en-US" sz="1100"/>
            </a:p>
          </xdr:txBody>
        </xdr:sp>
      </mc:Choice>
      <mc:Fallback xmlns="">
        <xdr:sp macro="" textlink="">
          <xdr:nvSpPr>
            <xdr:cNvPr id="8" name="TextBox 7">
              <a:extLst>
                <a:ext uri="{FF2B5EF4-FFF2-40B4-BE49-F238E27FC236}">
                  <a16:creationId xmlns:a16="http://schemas.microsoft.com/office/drawing/2014/main" id="{58D32BD3-04B8-429B-CB1C-BB9D79E7E064}"/>
                </a:ext>
              </a:extLst>
            </xdr:cNvPr>
            <xdr:cNvSpPr txBox="1"/>
          </xdr:nvSpPr>
          <xdr:spPr>
            <a:xfrm>
              <a:off x="4491369" y="2209800"/>
              <a:ext cx="19806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l-GR" sz="1100" i="0">
                  <a:latin typeface="Cambria Math" panose="02040503050406030204" pitchFamily="18" charset="0"/>
                </a:rPr>
                <a:t>𝜆</a:t>
              </a:r>
              <a:r>
                <a:rPr lang="en-US" sz="1100" i="0">
                  <a:latin typeface="Cambria Math" panose="02040503050406030204" pitchFamily="18" charset="0"/>
                </a:rPr>
                <a:t>_</a:t>
              </a:r>
              <a:r>
                <a:rPr lang="en-US" sz="1100" b="0" i="0">
                  <a:latin typeface="Cambria Math" panose="02040503050406030204" pitchFamily="18" charset="0"/>
                </a:rPr>
                <a:t>1</a:t>
              </a:r>
              <a:r>
                <a:rPr lang="el-GR" sz="1100" b="0" i="0">
                  <a:latin typeface="Cambria Math" panose="02040503050406030204" pitchFamily="18" charset="0"/>
                </a:rPr>
                <a:t> </a:t>
              </a:r>
              <a:r>
                <a:rPr lang="el-GR" sz="1100" i="0">
                  <a:latin typeface="Cambria Math" panose="02040503050406030204" pitchFamily="18" charset="0"/>
                </a:rPr>
                <a:t> </a:t>
              </a:r>
              <a:endParaRPr lang="en-US" sz="1100"/>
            </a:p>
          </xdr:txBody>
        </xdr:sp>
      </mc:Fallback>
    </mc:AlternateContent>
    <xdr:clientData/>
  </xdr:twoCellAnchor>
  <xdr:twoCellAnchor>
    <xdr:from>
      <xdr:col>3</xdr:col>
      <xdr:colOff>541375</xdr:colOff>
      <xdr:row>11</xdr:row>
      <xdr:rowOff>58480</xdr:rowOff>
    </xdr:from>
    <xdr:to>
      <xdr:col>3</xdr:col>
      <xdr:colOff>742712</xdr:colOff>
      <xdr:row>11</xdr:row>
      <xdr:rowOff>230707</xdr:rowOff>
    </xdr:to>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B1858161-D556-4115-B5F0-7A62787A87DE}"/>
                </a:ext>
              </a:extLst>
            </xdr:cNvPr>
            <xdr:cNvSpPr txBox="1"/>
          </xdr:nvSpPr>
          <xdr:spPr>
            <a:xfrm>
              <a:off x="4493142" y="2486247"/>
              <a:ext cx="20133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
                    <m:sSub>
                      <m:sSubPr>
                        <m:ctrlPr>
                          <a:rPr lang="el-GR" sz="1100" i="1">
                            <a:latin typeface="Cambria Math" panose="02040503050406030204" pitchFamily="18" charset="0"/>
                          </a:rPr>
                        </m:ctrlPr>
                      </m:sSubPr>
                      <m:e>
                        <m:r>
                          <a:rPr lang="el-GR" sz="1100" i="1">
                            <a:latin typeface="Cambria Math" panose="02040503050406030204" pitchFamily="18" charset="0"/>
                          </a:rPr>
                          <m:t>𝜆</m:t>
                        </m:r>
                      </m:e>
                      <m:sub>
                        <m:r>
                          <a:rPr lang="en-US" sz="1100" b="0" i="1">
                            <a:latin typeface="Cambria Math" panose="02040503050406030204" pitchFamily="18" charset="0"/>
                          </a:rPr>
                          <m:t>2</m:t>
                        </m:r>
                      </m:sub>
                    </m:sSub>
                    <m:r>
                      <a:rPr lang="el-GR" sz="1100" i="1">
                        <a:latin typeface="Cambria Math" panose="02040503050406030204" pitchFamily="18" charset="0"/>
                      </a:rPr>
                      <m:t> </m:t>
                    </m:r>
                  </m:oMath>
                </m:oMathPara>
              </a14:m>
              <a:endParaRPr lang="en-US" sz="1100"/>
            </a:p>
          </xdr:txBody>
        </xdr:sp>
      </mc:Choice>
      <mc:Fallback xmlns="">
        <xdr:sp macro="" textlink="">
          <xdr:nvSpPr>
            <xdr:cNvPr id="9" name="TextBox 8">
              <a:extLst>
                <a:ext uri="{FF2B5EF4-FFF2-40B4-BE49-F238E27FC236}">
                  <a16:creationId xmlns:a16="http://schemas.microsoft.com/office/drawing/2014/main" id="{B1858161-D556-4115-B5F0-7A62787A87DE}"/>
                </a:ext>
              </a:extLst>
            </xdr:cNvPr>
            <xdr:cNvSpPr txBox="1"/>
          </xdr:nvSpPr>
          <xdr:spPr>
            <a:xfrm>
              <a:off x="4493142" y="2486247"/>
              <a:ext cx="20133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l-GR" sz="1100" i="0">
                  <a:latin typeface="Cambria Math" panose="02040503050406030204" pitchFamily="18" charset="0"/>
                </a:rPr>
                <a:t>𝜆</a:t>
              </a:r>
              <a:r>
                <a:rPr lang="en-US" sz="1100" i="0">
                  <a:latin typeface="Cambria Math" panose="02040503050406030204" pitchFamily="18" charset="0"/>
                </a:rPr>
                <a:t>_</a:t>
              </a:r>
              <a:r>
                <a:rPr lang="en-US" sz="1100" b="0" i="0">
                  <a:latin typeface="Cambria Math" panose="02040503050406030204" pitchFamily="18" charset="0"/>
                </a:rPr>
                <a:t>2</a:t>
              </a:r>
              <a:r>
                <a:rPr lang="el-GR" sz="1100" b="0" i="0">
                  <a:latin typeface="Cambria Math" panose="02040503050406030204" pitchFamily="18" charset="0"/>
                </a:rPr>
                <a:t> </a:t>
              </a:r>
              <a:r>
                <a:rPr lang="el-GR" sz="1100" i="0">
                  <a:latin typeface="Cambria Math" panose="02040503050406030204" pitchFamily="18" charset="0"/>
                </a:rPr>
                <a:t> </a:t>
              </a:r>
              <a:endParaRPr lang="en-US" sz="1100"/>
            </a:p>
          </xdr:txBody>
        </xdr:sp>
      </mc:Fallback>
    </mc:AlternateContent>
    <xdr:clientData/>
  </xdr:twoCellAnchor>
  <xdr:twoCellAnchor>
    <xdr:from>
      <xdr:col>3</xdr:col>
      <xdr:colOff>451883</xdr:colOff>
      <xdr:row>12</xdr:row>
      <xdr:rowOff>62024</xdr:rowOff>
    </xdr:from>
    <xdr:to>
      <xdr:col>3</xdr:col>
      <xdr:colOff>782293</xdr:colOff>
      <xdr:row>12</xdr:row>
      <xdr:rowOff>234251</xdr:rowOff>
    </xdr:to>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DF015AC0-E8B5-4A82-A1D8-3D2B4C215865}"/>
                </a:ext>
              </a:extLst>
            </xdr:cNvPr>
            <xdr:cNvSpPr txBox="1"/>
          </xdr:nvSpPr>
          <xdr:spPr>
            <a:xfrm>
              <a:off x="4403650" y="2799908"/>
              <a:ext cx="33041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𝑣</m:t>
                        </m:r>
                      </m:e>
                      <m:sub>
                        <m:r>
                          <a:rPr lang="en-US" sz="1100" b="0" i="1">
                            <a:latin typeface="Cambria Math" panose="02040503050406030204" pitchFamily="18" charset="0"/>
                          </a:rPr>
                          <m:t>𝑚𝑎𝑥</m:t>
                        </m:r>
                      </m:sub>
                    </m:sSub>
                  </m:oMath>
                </m:oMathPara>
              </a14:m>
              <a:endParaRPr lang="en-US" sz="1100"/>
            </a:p>
          </xdr:txBody>
        </xdr:sp>
      </mc:Choice>
      <mc:Fallback xmlns="">
        <xdr:sp macro="" textlink="">
          <xdr:nvSpPr>
            <xdr:cNvPr id="10" name="TextBox 9">
              <a:extLst>
                <a:ext uri="{FF2B5EF4-FFF2-40B4-BE49-F238E27FC236}">
                  <a16:creationId xmlns:a16="http://schemas.microsoft.com/office/drawing/2014/main" id="{DF015AC0-E8B5-4A82-A1D8-3D2B4C215865}"/>
                </a:ext>
              </a:extLst>
            </xdr:cNvPr>
            <xdr:cNvSpPr txBox="1"/>
          </xdr:nvSpPr>
          <xdr:spPr>
            <a:xfrm>
              <a:off x="4403650" y="2799908"/>
              <a:ext cx="33041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sz="1100" b="0" i="0">
                  <a:latin typeface="Cambria Math" panose="02040503050406030204" pitchFamily="18" charset="0"/>
                </a:rPr>
                <a:t>𝑣_𝑚𝑎𝑥</a:t>
              </a:r>
              <a:endParaRPr lang="en-US" sz="1100"/>
            </a:p>
          </xdr:txBody>
        </xdr:sp>
      </mc:Fallback>
    </mc:AlternateContent>
    <xdr:clientData/>
  </xdr:twoCellAnchor>
  <xdr:twoCellAnchor>
    <xdr:from>
      <xdr:col>3</xdr:col>
      <xdr:colOff>367844</xdr:colOff>
      <xdr:row>20</xdr:row>
      <xdr:rowOff>145527</xdr:rowOff>
    </xdr:from>
    <xdr:to>
      <xdr:col>3</xdr:col>
      <xdr:colOff>997824</xdr:colOff>
      <xdr:row>20</xdr:row>
      <xdr:rowOff>384759</xdr:rowOff>
    </xdr:to>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4285B842-61B1-46DA-AAA1-2FA745946D13}"/>
                </a:ext>
              </a:extLst>
            </xdr:cNvPr>
            <xdr:cNvSpPr txBox="1"/>
          </xdr:nvSpPr>
          <xdr:spPr>
            <a:xfrm>
              <a:off x="4743571" y="10305527"/>
              <a:ext cx="629980" cy="2392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𝐺</m:t>
                        </m:r>
                      </m:e>
                      <m:sub>
                        <m:r>
                          <a:rPr lang="en-US" sz="1100" b="0" i="1">
                            <a:latin typeface="Cambria Math" panose="02040503050406030204" pitchFamily="18" charset="0"/>
                          </a:rPr>
                          <m:t>ℎ</m:t>
                        </m:r>
                      </m:sub>
                    </m:sSub>
                  </m:oMath>
                </m:oMathPara>
              </a14:m>
              <a:endParaRPr lang="en-US" sz="1100"/>
            </a:p>
          </xdr:txBody>
        </xdr:sp>
      </mc:Choice>
      <mc:Fallback xmlns="">
        <xdr:sp macro="" textlink="">
          <xdr:nvSpPr>
            <xdr:cNvPr id="11" name="TextBox 10">
              <a:extLst>
                <a:ext uri="{FF2B5EF4-FFF2-40B4-BE49-F238E27FC236}">
                  <a16:creationId xmlns:a16="http://schemas.microsoft.com/office/drawing/2014/main" id="{4285B842-61B1-46DA-AAA1-2FA745946D13}"/>
                </a:ext>
              </a:extLst>
            </xdr:cNvPr>
            <xdr:cNvSpPr txBox="1"/>
          </xdr:nvSpPr>
          <xdr:spPr>
            <a:xfrm>
              <a:off x="4743571" y="10305527"/>
              <a:ext cx="629980" cy="2392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0" i="0">
                  <a:latin typeface="Cambria Math" panose="02040503050406030204" pitchFamily="18" charset="0"/>
                </a:rPr>
                <a:t>𝐺_ℎ</a:t>
              </a:r>
              <a:endParaRPr lang="en-US" sz="1100"/>
            </a:p>
          </xdr:txBody>
        </xdr:sp>
      </mc:Fallback>
    </mc:AlternateContent>
    <xdr:clientData/>
  </xdr:twoCellAnchor>
  <xdr:twoCellAnchor>
    <xdr:from>
      <xdr:col>3</xdr:col>
      <xdr:colOff>376711</xdr:colOff>
      <xdr:row>28</xdr:row>
      <xdr:rowOff>133927</xdr:rowOff>
    </xdr:from>
    <xdr:to>
      <xdr:col>3</xdr:col>
      <xdr:colOff>1006691</xdr:colOff>
      <xdr:row>29</xdr:row>
      <xdr:rowOff>28698</xdr:rowOff>
    </xdr:to>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4BB60F4D-69C6-4A4A-B0FE-38C82459C5CC}"/>
                </a:ext>
              </a:extLst>
            </xdr:cNvPr>
            <xdr:cNvSpPr txBox="1"/>
          </xdr:nvSpPr>
          <xdr:spPr>
            <a:xfrm>
              <a:off x="4752438" y="14357927"/>
              <a:ext cx="629980" cy="4027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𝑛</m:t>
                        </m:r>
                      </m:e>
                      <m:sub>
                        <m:r>
                          <a:rPr lang="en-US" sz="1100" b="0" i="1">
                            <a:latin typeface="Cambria Math" panose="02040503050406030204" pitchFamily="18" charset="0"/>
                          </a:rPr>
                          <m:t>𝑒𝑚𝑎𝑥</m:t>
                        </m:r>
                      </m:sub>
                    </m:sSub>
                  </m:oMath>
                </m:oMathPara>
              </a14:m>
              <a:endParaRPr lang="en-US" sz="1100"/>
            </a:p>
          </xdr:txBody>
        </xdr:sp>
      </mc:Choice>
      <mc:Fallback xmlns="">
        <xdr:sp macro="" textlink="">
          <xdr:nvSpPr>
            <xdr:cNvPr id="14" name="TextBox 13">
              <a:extLst>
                <a:ext uri="{FF2B5EF4-FFF2-40B4-BE49-F238E27FC236}">
                  <a16:creationId xmlns:a16="http://schemas.microsoft.com/office/drawing/2014/main" id="{4BB60F4D-69C6-4A4A-B0FE-38C82459C5CC}"/>
                </a:ext>
              </a:extLst>
            </xdr:cNvPr>
            <xdr:cNvSpPr txBox="1"/>
          </xdr:nvSpPr>
          <xdr:spPr>
            <a:xfrm>
              <a:off x="4752438" y="14357927"/>
              <a:ext cx="629980" cy="4027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0" i="0">
                  <a:latin typeface="Cambria Math" panose="02040503050406030204" pitchFamily="18" charset="0"/>
                </a:rPr>
                <a:t>𝑛_𝑒𝑚𝑎𝑥</a:t>
              </a:r>
              <a:endParaRPr lang="en-US" sz="1100"/>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2418454</xdr:colOff>
      <xdr:row>6</xdr:row>
      <xdr:rowOff>183444</xdr:rowOff>
    </xdr:from>
    <xdr:to>
      <xdr:col>4</xdr:col>
      <xdr:colOff>54542</xdr:colOff>
      <xdr:row>6</xdr:row>
      <xdr:rowOff>527820</xdr:rowOff>
    </xdr:to>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BCC0A13-66CC-1557-904F-7460F41DB41D}"/>
                </a:ext>
              </a:extLst>
            </xdr:cNvPr>
            <xdr:cNvSpPr txBox="1"/>
          </xdr:nvSpPr>
          <xdr:spPr>
            <a:xfrm>
              <a:off x="4365787" y="3993444"/>
              <a:ext cx="684088" cy="3443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𝐺</m:t>
                        </m:r>
                      </m:e>
                      <m:sub>
                        <m:r>
                          <a:rPr lang="en-US" sz="1100" b="0" i="1">
                            <a:latin typeface="Cambria Math" panose="02040503050406030204" pitchFamily="18" charset="0"/>
                          </a:rPr>
                          <m:t>1</m:t>
                        </m:r>
                      </m:sub>
                    </m:sSub>
                  </m:oMath>
                </m:oMathPara>
              </a14:m>
              <a:endParaRPr lang="en-US" sz="1100"/>
            </a:p>
          </xdr:txBody>
        </xdr:sp>
      </mc:Choice>
      <mc:Fallback xmlns="">
        <xdr:sp macro="" textlink="">
          <xdr:nvSpPr>
            <xdr:cNvPr id="2" name="TextBox 1">
              <a:extLst>
                <a:ext uri="{FF2B5EF4-FFF2-40B4-BE49-F238E27FC236}">
                  <a16:creationId xmlns:a16="http://schemas.microsoft.com/office/drawing/2014/main" id="{1BCC0A13-66CC-1557-904F-7460F41DB41D}"/>
                </a:ext>
              </a:extLst>
            </xdr:cNvPr>
            <xdr:cNvSpPr txBox="1"/>
          </xdr:nvSpPr>
          <xdr:spPr>
            <a:xfrm>
              <a:off x="4365787" y="3993444"/>
              <a:ext cx="684088" cy="3443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0" i="0">
                  <a:latin typeface="Cambria Math" panose="02040503050406030204" pitchFamily="18" charset="0"/>
                </a:rPr>
                <a:t>𝐺_1</a:t>
              </a:r>
              <a:endParaRPr lang="en-US" sz="1100"/>
            </a:p>
          </xdr:txBody>
        </xdr:sp>
      </mc:Fallback>
    </mc:AlternateContent>
    <xdr:clientData/>
  </xdr:twoCellAnchor>
  <xdr:twoCellAnchor>
    <xdr:from>
      <xdr:col>2</xdr:col>
      <xdr:colOff>2431710</xdr:colOff>
      <xdr:row>7</xdr:row>
      <xdr:rowOff>116852</xdr:rowOff>
    </xdr:from>
    <xdr:to>
      <xdr:col>4</xdr:col>
      <xdr:colOff>71920</xdr:colOff>
      <xdr:row>7</xdr:row>
      <xdr:rowOff>471311</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E326C89-F781-4058-902C-B9782BB10D3B}"/>
                </a:ext>
              </a:extLst>
            </xdr:cNvPr>
            <xdr:cNvSpPr txBox="1"/>
          </xdr:nvSpPr>
          <xdr:spPr>
            <a:xfrm>
              <a:off x="4379043" y="4561852"/>
              <a:ext cx="684088" cy="3544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𝐺</m:t>
                        </m:r>
                      </m:e>
                      <m:sub>
                        <m:r>
                          <a:rPr lang="en-US" sz="1100" b="0" i="1">
                            <a:latin typeface="Cambria Math" panose="02040503050406030204" pitchFamily="18" charset="0"/>
                          </a:rPr>
                          <m:t>2</m:t>
                        </m:r>
                      </m:sub>
                    </m:sSub>
                  </m:oMath>
                </m:oMathPara>
              </a14:m>
              <a:endParaRPr lang="en-US" sz="1100"/>
            </a:p>
          </xdr:txBody>
        </xdr:sp>
      </mc:Choice>
      <mc:Fallback xmlns="">
        <xdr:sp macro="" textlink="">
          <xdr:nvSpPr>
            <xdr:cNvPr id="3" name="TextBox 2">
              <a:extLst>
                <a:ext uri="{FF2B5EF4-FFF2-40B4-BE49-F238E27FC236}">
                  <a16:creationId xmlns:a16="http://schemas.microsoft.com/office/drawing/2014/main" id="{4E326C89-F781-4058-902C-B9782BB10D3B}"/>
                </a:ext>
              </a:extLst>
            </xdr:cNvPr>
            <xdr:cNvSpPr txBox="1"/>
          </xdr:nvSpPr>
          <xdr:spPr>
            <a:xfrm>
              <a:off x="4379043" y="4561852"/>
              <a:ext cx="684088" cy="3544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0" i="0">
                  <a:latin typeface="Cambria Math" panose="02040503050406030204" pitchFamily="18" charset="0"/>
                </a:rPr>
                <a:t>𝐺_2</a:t>
              </a:r>
              <a:endParaRPr lang="en-US" sz="1100"/>
            </a:p>
          </xdr:txBody>
        </xdr:sp>
      </mc:Fallback>
    </mc:AlternateContent>
    <xdr:clientData/>
  </xdr:twoCellAnchor>
  <xdr:twoCellAnchor>
    <xdr:from>
      <xdr:col>3</xdr:col>
      <xdr:colOff>0</xdr:colOff>
      <xdr:row>8</xdr:row>
      <xdr:rowOff>111303</xdr:rowOff>
    </xdr:from>
    <xdr:to>
      <xdr:col>4</xdr:col>
      <xdr:colOff>71990</xdr:colOff>
      <xdr:row>8</xdr:row>
      <xdr:rowOff>465762</xdr:rowOff>
    </xdr:to>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CCACFB3-B929-4B3B-AC79-879F650651A7}"/>
                </a:ext>
              </a:extLst>
            </xdr:cNvPr>
            <xdr:cNvSpPr txBox="1"/>
          </xdr:nvSpPr>
          <xdr:spPr>
            <a:xfrm>
              <a:off x="4143910" y="4152472"/>
              <a:ext cx="684088" cy="3544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𝑍</m:t>
                        </m:r>
                      </m:e>
                      <m:sub>
                        <m:r>
                          <a:rPr lang="en-US" sz="1100" b="0" i="1">
                            <a:latin typeface="Cambria Math" panose="02040503050406030204" pitchFamily="18" charset="0"/>
                          </a:rPr>
                          <m:t>2</m:t>
                        </m:r>
                      </m:sub>
                    </m:sSub>
                  </m:oMath>
                </m:oMathPara>
              </a14:m>
              <a:endParaRPr lang="en-US" sz="1100"/>
            </a:p>
          </xdr:txBody>
        </xdr:sp>
      </mc:Choice>
      <mc:Fallback xmlns="">
        <xdr:sp macro="" textlink="">
          <xdr:nvSpPr>
            <xdr:cNvPr id="4" name="TextBox 3">
              <a:extLst>
                <a:ext uri="{FF2B5EF4-FFF2-40B4-BE49-F238E27FC236}">
                  <a16:creationId xmlns:a16="http://schemas.microsoft.com/office/drawing/2014/main" id="{5CCACFB3-B929-4B3B-AC79-879F650651A7}"/>
                </a:ext>
              </a:extLst>
            </xdr:cNvPr>
            <xdr:cNvSpPr txBox="1"/>
          </xdr:nvSpPr>
          <xdr:spPr>
            <a:xfrm>
              <a:off x="4143910" y="4152472"/>
              <a:ext cx="684088" cy="3544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0" i="0">
                  <a:latin typeface="Cambria Math" panose="02040503050406030204" pitchFamily="18" charset="0"/>
                </a:rPr>
                <a:t>𝑍_2</a:t>
              </a:r>
              <a:endParaRPr lang="en-US" sz="1100"/>
            </a:p>
          </xdr:txBody>
        </xdr:sp>
      </mc:Fallback>
    </mc:AlternateContent>
    <xdr:clientData/>
  </xdr:twoCellAnchor>
  <xdr:twoCellAnchor>
    <xdr:from>
      <xdr:col>2</xdr:col>
      <xdr:colOff>2411573</xdr:colOff>
      <xdr:row>9</xdr:row>
      <xdr:rowOff>240682</xdr:rowOff>
    </xdr:from>
    <xdr:to>
      <xdr:col>4</xdr:col>
      <xdr:colOff>74643</xdr:colOff>
      <xdr:row>9</xdr:row>
      <xdr:rowOff>595141</xdr:rowOff>
    </xdr:to>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D2D874F-3AD7-4386-B718-A4FAF0BA2E8D}"/>
                </a:ext>
              </a:extLst>
            </xdr:cNvPr>
            <xdr:cNvSpPr txBox="1"/>
          </xdr:nvSpPr>
          <xdr:spPr>
            <a:xfrm>
              <a:off x="4358906" y="5955682"/>
              <a:ext cx="684088" cy="3544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𝐺</m:t>
                        </m:r>
                      </m:e>
                      <m:sub>
                        <m:r>
                          <a:rPr lang="en-US" sz="1100" b="0" i="1">
                            <a:latin typeface="Cambria Math" panose="02040503050406030204" pitchFamily="18" charset="0"/>
                          </a:rPr>
                          <m:t>𝑏𝑥</m:t>
                        </m:r>
                        <m:r>
                          <a:rPr lang="en-US" sz="1100" b="0" i="1">
                            <a:latin typeface="Cambria Math" panose="02040503050406030204" pitchFamily="18" charset="0"/>
                          </a:rPr>
                          <m:t>2</m:t>
                        </m:r>
                      </m:sub>
                    </m:sSub>
                  </m:oMath>
                </m:oMathPara>
              </a14:m>
              <a:endParaRPr lang="en-US" sz="1100"/>
            </a:p>
          </xdr:txBody>
        </xdr:sp>
      </mc:Choice>
      <mc:Fallback xmlns="">
        <xdr:sp macro="" textlink="">
          <xdr:nvSpPr>
            <xdr:cNvPr id="6" name="TextBox 5">
              <a:extLst>
                <a:ext uri="{FF2B5EF4-FFF2-40B4-BE49-F238E27FC236}">
                  <a16:creationId xmlns:a16="http://schemas.microsoft.com/office/drawing/2014/main" id="{1D2D874F-3AD7-4386-B718-A4FAF0BA2E8D}"/>
                </a:ext>
              </a:extLst>
            </xdr:cNvPr>
            <xdr:cNvSpPr txBox="1"/>
          </xdr:nvSpPr>
          <xdr:spPr>
            <a:xfrm>
              <a:off x="4358906" y="5955682"/>
              <a:ext cx="684088" cy="3544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0" i="0">
                  <a:latin typeface="Cambria Math" panose="02040503050406030204" pitchFamily="18" charset="0"/>
                </a:rPr>
                <a:t>𝐺_𝑏𝑥2</a:t>
              </a:r>
              <a:endParaRPr lang="en-US" sz="1100"/>
            </a:p>
          </xdr:txBody>
        </xdr:sp>
      </mc:Fallback>
    </mc:AlternateContent>
    <xdr:clientData/>
  </xdr:twoCellAnchor>
  <xdr:twoCellAnchor>
    <xdr:from>
      <xdr:col>2</xdr:col>
      <xdr:colOff>2403487</xdr:colOff>
      <xdr:row>14</xdr:row>
      <xdr:rowOff>216581</xdr:rowOff>
    </xdr:from>
    <xdr:to>
      <xdr:col>4</xdr:col>
      <xdr:colOff>74177</xdr:colOff>
      <xdr:row>14</xdr:row>
      <xdr:rowOff>571040</xdr:rowOff>
    </xdr:to>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677977AA-9C7C-4ED9-8BD3-A32EE9DD7DA0}"/>
                </a:ext>
              </a:extLst>
            </xdr:cNvPr>
            <xdr:cNvSpPr txBox="1"/>
          </xdr:nvSpPr>
          <xdr:spPr>
            <a:xfrm>
              <a:off x="4350820" y="9106581"/>
              <a:ext cx="684088" cy="3544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𝑏</m:t>
                        </m:r>
                      </m:sub>
                    </m:sSub>
                  </m:oMath>
                </m:oMathPara>
              </a14:m>
              <a:endParaRPr lang="en-US" sz="1100"/>
            </a:p>
          </xdr:txBody>
        </xdr:sp>
      </mc:Choice>
      <mc:Fallback xmlns="">
        <xdr:sp macro="" textlink="">
          <xdr:nvSpPr>
            <xdr:cNvPr id="7" name="TextBox 6">
              <a:extLst>
                <a:ext uri="{FF2B5EF4-FFF2-40B4-BE49-F238E27FC236}">
                  <a16:creationId xmlns:a16="http://schemas.microsoft.com/office/drawing/2014/main" id="{677977AA-9C7C-4ED9-8BD3-A32EE9DD7DA0}"/>
                </a:ext>
              </a:extLst>
            </xdr:cNvPr>
            <xdr:cNvSpPr txBox="1"/>
          </xdr:nvSpPr>
          <xdr:spPr>
            <a:xfrm>
              <a:off x="4350820" y="9106581"/>
              <a:ext cx="684088" cy="3544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0" i="0">
                  <a:latin typeface="Cambria Math" panose="02040503050406030204" pitchFamily="18" charset="0"/>
                </a:rPr>
                <a:t>𝑟_𝑏</a:t>
              </a:r>
              <a:endParaRPr lang="en-US" sz="1100"/>
            </a:p>
          </xdr:txBody>
        </xdr:sp>
      </mc:Fallback>
    </mc:AlternateContent>
    <xdr:clientData/>
  </xdr:twoCellAnchor>
  <xdr:twoCellAnchor>
    <xdr:from>
      <xdr:col>2</xdr:col>
      <xdr:colOff>2417598</xdr:colOff>
      <xdr:row>26</xdr:row>
      <xdr:rowOff>181282</xdr:rowOff>
    </xdr:from>
    <xdr:to>
      <xdr:col>4</xdr:col>
      <xdr:colOff>77045</xdr:colOff>
      <xdr:row>26</xdr:row>
      <xdr:rowOff>535741</xdr:rowOff>
    </xdr:to>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EDB36D14-6E7C-47DC-969A-73F2E78AF9E6}"/>
                </a:ext>
              </a:extLst>
            </xdr:cNvPr>
            <xdr:cNvSpPr txBox="1"/>
          </xdr:nvSpPr>
          <xdr:spPr>
            <a:xfrm>
              <a:off x="4364931" y="16691282"/>
              <a:ext cx="684088" cy="3544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𝑁</m:t>
                        </m:r>
                      </m:e>
                      <m:sub>
                        <m:r>
                          <a:rPr lang="en-US" sz="1100" b="0" i="1">
                            <a:latin typeface="Cambria Math" panose="02040503050406030204" pitchFamily="18" charset="0"/>
                          </a:rPr>
                          <m:t>𝑒𝑚𝑎𝑥</m:t>
                        </m:r>
                      </m:sub>
                    </m:sSub>
                  </m:oMath>
                </m:oMathPara>
              </a14:m>
              <a:endParaRPr lang="en-US" sz="1100"/>
            </a:p>
          </xdr:txBody>
        </xdr:sp>
      </mc:Choice>
      <mc:Fallback xmlns="">
        <xdr:sp macro="" textlink="">
          <xdr:nvSpPr>
            <xdr:cNvPr id="9" name="TextBox 8">
              <a:extLst>
                <a:ext uri="{FF2B5EF4-FFF2-40B4-BE49-F238E27FC236}">
                  <a16:creationId xmlns:a16="http://schemas.microsoft.com/office/drawing/2014/main" id="{EDB36D14-6E7C-47DC-969A-73F2E78AF9E6}"/>
                </a:ext>
              </a:extLst>
            </xdr:cNvPr>
            <xdr:cNvSpPr txBox="1"/>
          </xdr:nvSpPr>
          <xdr:spPr>
            <a:xfrm>
              <a:off x="4364931" y="16691282"/>
              <a:ext cx="684088" cy="3544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0" i="0">
                  <a:latin typeface="Cambria Math" panose="02040503050406030204" pitchFamily="18" charset="0"/>
                </a:rPr>
                <a:t>𝑁_𝑒𝑚𝑎𝑥</a:t>
              </a:r>
              <a:endParaRPr lang="en-US" sz="1100"/>
            </a:p>
          </xdr:txBody>
        </xdr:sp>
      </mc:Fallback>
    </mc:AlternateContent>
    <xdr:clientData/>
  </xdr:twoCellAnchor>
  <xdr:twoCellAnchor>
    <xdr:from>
      <xdr:col>2</xdr:col>
      <xdr:colOff>2389376</xdr:colOff>
      <xdr:row>13</xdr:row>
      <xdr:rowOff>162674</xdr:rowOff>
    </xdr:from>
    <xdr:to>
      <xdr:col>4</xdr:col>
      <xdr:colOff>67686</xdr:colOff>
      <xdr:row>13</xdr:row>
      <xdr:rowOff>517133</xdr:rowOff>
    </xdr:to>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93637CB3-6230-421C-BF83-4F7808ED7D06}"/>
                </a:ext>
              </a:extLst>
            </xdr:cNvPr>
            <xdr:cNvSpPr txBox="1"/>
          </xdr:nvSpPr>
          <xdr:spPr>
            <a:xfrm>
              <a:off x="4336709" y="8417674"/>
              <a:ext cx="684088" cy="3544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𝑜</m:t>
                        </m:r>
                      </m:sub>
                    </m:sSub>
                  </m:oMath>
                </m:oMathPara>
              </a14:m>
              <a:endParaRPr lang="en-US" sz="1100"/>
            </a:p>
          </xdr:txBody>
        </xdr:sp>
      </mc:Choice>
      <mc:Fallback xmlns="">
        <xdr:sp macro="" textlink="">
          <xdr:nvSpPr>
            <xdr:cNvPr id="10" name="TextBox 9">
              <a:extLst>
                <a:ext uri="{FF2B5EF4-FFF2-40B4-BE49-F238E27FC236}">
                  <a16:creationId xmlns:a16="http://schemas.microsoft.com/office/drawing/2014/main" id="{93637CB3-6230-421C-BF83-4F7808ED7D06}"/>
                </a:ext>
              </a:extLst>
            </xdr:cNvPr>
            <xdr:cNvSpPr txBox="1"/>
          </xdr:nvSpPr>
          <xdr:spPr>
            <a:xfrm>
              <a:off x="4336709" y="8417674"/>
              <a:ext cx="684088" cy="3544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0" i="0">
                  <a:latin typeface="Cambria Math" panose="02040503050406030204" pitchFamily="18" charset="0"/>
                </a:rPr>
                <a:t>𝑟_𝑜</a:t>
              </a:r>
              <a:endParaRPr lang="en-US" sz="1100"/>
            </a:p>
          </xdr:txBody>
        </xdr:sp>
      </mc:Fallback>
    </mc:AlternateContent>
    <xdr:clientData/>
  </xdr:twoCellAnchor>
  <xdr:twoCellAnchor>
    <xdr:from>
      <xdr:col>2</xdr:col>
      <xdr:colOff>2431709</xdr:colOff>
      <xdr:row>25</xdr:row>
      <xdr:rowOff>232991</xdr:rowOff>
    </xdr:from>
    <xdr:to>
      <xdr:col>4</xdr:col>
      <xdr:colOff>75916</xdr:colOff>
      <xdr:row>25</xdr:row>
      <xdr:rowOff>587450</xdr:rowOff>
    </xdr:to>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3A776C48-E078-4EC1-9075-4200DA7E8E2B}"/>
                </a:ext>
              </a:extLst>
            </xdr:cNvPr>
            <xdr:cNvSpPr txBox="1"/>
          </xdr:nvSpPr>
          <xdr:spPr>
            <a:xfrm>
              <a:off x="4379042" y="16107991"/>
              <a:ext cx="684088" cy="3544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𝑁</m:t>
                        </m:r>
                      </m:e>
                      <m:sub>
                        <m:r>
                          <a:rPr lang="en-US" sz="1100" b="0" i="1">
                            <a:latin typeface="Cambria Math" panose="02040503050406030204" pitchFamily="18" charset="0"/>
                          </a:rPr>
                          <m:t>𝑣</m:t>
                        </m:r>
                      </m:sub>
                    </m:sSub>
                  </m:oMath>
                </m:oMathPara>
              </a14:m>
              <a:endParaRPr lang="en-US" sz="1100"/>
            </a:p>
          </xdr:txBody>
        </xdr:sp>
      </mc:Choice>
      <mc:Fallback xmlns="">
        <xdr:sp macro="" textlink="">
          <xdr:nvSpPr>
            <xdr:cNvPr id="12" name="TextBox 11">
              <a:extLst>
                <a:ext uri="{FF2B5EF4-FFF2-40B4-BE49-F238E27FC236}">
                  <a16:creationId xmlns:a16="http://schemas.microsoft.com/office/drawing/2014/main" id="{3A776C48-E078-4EC1-9075-4200DA7E8E2B}"/>
                </a:ext>
              </a:extLst>
            </xdr:cNvPr>
            <xdr:cNvSpPr txBox="1"/>
          </xdr:nvSpPr>
          <xdr:spPr>
            <a:xfrm>
              <a:off x="4379042" y="16107991"/>
              <a:ext cx="684088" cy="3544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0" i="0">
                  <a:latin typeface="Cambria Math" panose="02040503050406030204" pitchFamily="18" charset="0"/>
                </a:rPr>
                <a:t>𝑁_𝑣</a:t>
              </a:r>
              <a:endParaRPr lang="en-US" sz="1100"/>
            </a:p>
          </xdr:txBody>
        </xdr:sp>
      </mc:Fallback>
    </mc:AlternateContent>
    <xdr:clientData/>
  </xdr:twoCellAnchor>
  <xdr:twoCellAnchor>
    <xdr:from>
      <xdr:col>2</xdr:col>
      <xdr:colOff>2422132</xdr:colOff>
      <xdr:row>22</xdr:row>
      <xdr:rowOff>180622</xdr:rowOff>
    </xdr:from>
    <xdr:to>
      <xdr:col>4</xdr:col>
      <xdr:colOff>69962</xdr:colOff>
      <xdr:row>22</xdr:row>
      <xdr:rowOff>535081</xdr:rowOff>
    </xdr:to>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9215C773-05B8-4224-BFFE-B01B2E5EA40A}"/>
                </a:ext>
              </a:extLst>
            </xdr:cNvPr>
            <xdr:cNvSpPr txBox="1"/>
          </xdr:nvSpPr>
          <xdr:spPr>
            <a:xfrm>
              <a:off x="4369465" y="14150622"/>
              <a:ext cx="684088" cy="3544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𝑁</m:t>
                        </m:r>
                      </m:e>
                      <m:sub>
                        <m:r>
                          <a:rPr lang="en-US" sz="1100" b="0" i="1">
                            <a:latin typeface="Cambria Math" panose="02040503050406030204" pitchFamily="18" charset="0"/>
                          </a:rPr>
                          <m:t>𝑓</m:t>
                        </m:r>
                      </m:sub>
                    </m:sSub>
                  </m:oMath>
                </m:oMathPara>
              </a14:m>
              <a:endParaRPr lang="en-US" sz="1100"/>
            </a:p>
          </xdr:txBody>
        </xdr:sp>
      </mc:Choice>
      <mc:Fallback xmlns="">
        <xdr:sp macro="" textlink="">
          <xdr:nvSpPr>
            <xdr:cNvPr id="13" name="TextBox 12">
              <a:extLst>
                <a:ext uri="{FF2B5EF4-FFF2-40B4-BE49-F238E27FC236}">
                  <a16:creationId xmlns:a16="http://schemas.microsoft.com/office/drawing/2014/main" id="{9215C773-05B8-4224-BFFE-B01B2E5EA40A}"/>
                </a:ext>
              </a:extLst>
            </xdr:cNvPr>
            <xdr:cNvSpPr txBox="1"/>
          </xdr:nvSpPr>
          <xdr:spPr>
            <a:xfrm>
              <a:off x="4369465" y="14150622"/>
              <a:ext cx="684088" cy="3544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0" i="0">
                  <a:latin typeface="Cambria Math" panose="02040503050406030204" pitchFamily="18" charset="0"/>
                </a:rPr>
                <a:t>𝑁_𝑓</a:t>
              </a:r>
              <a:endParaRPr lang="en-US" sz="1100"/>
            </a:p>
          </xdr:txBody>
        </xdr:sp>
      </mc:Fallback>
    </mc:AlternateContent>
    <xdr:clientData/>
  </xdr:twoCellAnchor>
  <xdr:twoCellAnchor>
    <xdr:from>
      <xdr:col>3</xdr:col>
      <xdr:colOff>0</xdr:colOff>
      <xdr:row>23</xdr:row>
      <xdr:rowOff>206188</xdr:rowOff>
    </xdr:from>
    <xdr:to>
      <xdr:col>4</xdr:col>
      <xdr:colOff>71990</xdr:colOff>
      <xdr:row>23</xdr:row>
      <xdr:rowOff>560647</xdr:rowOff>
    </xdr:to>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7FCF9439-51E8-4168-BD97-46B8C3B9D52A}"/>
                </a:ext>
              </a:extLst>
            </xdr:cNvPr>
            <xdr:cNvSpPr txBox="1"/>
          </xdr:nvSpPr>
          <xdr:spPr>
            <a:xfrm>
              <a:off x="4150659" y="14845553"/>
              <a:ext cx="684088" cy="3544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𝑁</m:t>
                        </m:r>
                      </m:e>
                      <m:sub>
                        <m:r>
                          <a:rPr lang="en-US" sz="1100" b="0" i="1">
                            <a:latin typeface="Cambria Math" panose="02040503050406030204" pitchFamily="18" charset="0"/>
                          </a:rPr>
                          <m:t>𝑤</m:t>
                        </m:r>
                      </m:sub>
                    </m:sSub>
                  </m:oMath>
                </m:oMathPara>
              </a14:m>
              <a:endParaRPr lang="en-US" sz="1100"/>
            </a:p>
          </xdr:txBody>
        </xdr:sp>
      </mc:Choice>
      <mc:Fallback xmlns="">
        <xdr:sp macro="" textlink="">
          <xdr:nvSpPr>
            <xdr:cNvPr id="14" name="TextBox 13">
              <a:extLst>
                <a:ext uri="{FF2B5EF4-FFF2-40B4-BE49-F238E27FC236}">
                  <a16:creationId xmlns:a16="http://schemas.microsoft.com/office/drawing/2014/main" id="{7FCF9439-51E8-4168-BD97-46B8C3B9D52A}"/>
                </a:ext>
              </a:extLst>
            </xdr:cNvPr>
            <xdr:cNvSpPr txBox="1"/>
          </xdr:nvSpPr>
          <xdr:spPr>
            <a:xfrm>
              <a:off x="4150659" y="14845553"/>
              <a:ext cx="684088" cy="3544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0" i="0">
                  <a:latin typeface="Cambria Math" panose="02040503050406030204" pitchFamily="18" charset="0"/>
                </a:rPr>
                <a:t>𝑁_𝑤</a:t>
              </a:r>
              <a:endParaRPr lang="en-US" sz="1100"/>
            </a:p>
          </xdr:txBody>
        </xdr:sp>
      </mc:Fallback>
    </mc:AlternateContent>
    <xdr:clientData/>
  </xdr:twoCellAnchor>
  <xdr:twoCellAnchor>
    <xdr:from>
      <xdr:col>3</xdr:col>
      <xdr:colOff>0</xdr:colOff>
      <xdr:row>24</xdr:row>
      <xdr:rowOff>188258</xdr:rowOff>
    </xdr:from>
    <xdr:to>
      <xdr:col>4</xdr:col>
      <xdr:colOff>71989</xdr:colOff>
      <xdr:row>24</xdr:row>
      <xdr:rowOff>542717</xdr:rowOff>
    </xdr:to>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56A34E58-A9C2-4A1B-A6BE-D089C1666552}"/>
                </a:ext>
              </a:extLst>
            </xdr:cNvPr>
            <xdr:cNvSpPr txBox="1"/>
          </xdr:nvSpPr>
          <xdr:spPr>
            <a:xfrm>
              <a:off x="4150659" y="15464117"/>
              <a:ext cx="684088" cy="3544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𝑁</m:t>
                        </m:r>
                      </m:e>
                      <m:sub>
                        <m:r>
                          <a:rPr lang="en-US" sz="1100" b="0" i="1">
                            <a:latin typeface="Cambria Math" panose="02040503050406030204" pitchFamily="18" charset="0"/>
                          </a:rPr>
                          <m:t>𝐾</m:t>
                        </m:r>
                      </m:sub>
                    </m:sSub>
                  </m:oMath>
                </m:oMathPara>
              </a14:m>
              <a:endParaRPr lang="en-US" sz="1100"/>
            </a:p>
          </xdr:txBody>
        </xdr:sp>
      </mc:Choice>
      <mc:Fallback xmlns="">
        <xdr:sp macro="" textlink="">
          <xdr:nvSpPr>
            <xdr:cNvPr id="15" name="TextBox 14">
              <a:extLst>
                <a:ext uri="{FF2B5EF4-FFF2-40B4-BE49-F238E27FC236}">
                  <a16:creationId xmlns:a16="http://schemas.microsoft.com/office/drawing/2014/main" id="{56A34E58-A9C2-4A1B-A6BE-D089C1666552}"/>
                </a:ext>
              </a:extLst>
            </xdr:cNvPr>
            <xdr:cNvSpPr txBox="1"/>
          </xdr:nvSpPr>
          <xdr:spPr>
            <a:xfrm>
              <a:off x="4150659" y="15464117"/>
              <a:ext cx="684088" cy="3544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0" i="0">
                  <a:latin typeface="Cambria Math" panose="02040503050406030204" pitchFamily="18" charset="0"/>
                </a:rPr>
                <a:t>𝑁_𝐾</a:t>
              </a:r>
              <a:endParaRPr lang="en-US" sz="1100"/>
            </a:p>
          </xdr:txBody>
        </xdr:sp>
      </mc:Fallback>
    </mc:AlternateContent>
    <xdr:clientData/>
  </xdr:twoCellAnchor>
  <xdr:twoCellAnchor>
    <xdr:from>
      <xdr:col>2</xdr:col>
      <xdr:colOff>2380160</xdr:colOff>
      <xdr:row>27</xdr:row>
      <xdr:rowOff>210945</xdr:rowOff>
    </xdr:from>
    <xdr:to>
      <xdr:col>4</xdr:col>
      <xdr:colOff>77707</xdr:colOff>
      <xdr:row>27</xdr:row>
      <xdr:rowOff>565404</xdr:rowOff>
    </xdr:to>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5C0F4955-C438-4AA1-ABE4-5C7809559096}"/>
                </a:ext>
              </a:extLst>
            </xdr:cNvPr>
            <xdr:cNvSpPr txBox="1"/>
          </xdr:nvSpPr>
          <xdr:spPr>
            <a:xfrm>
              <a:off x="4327493" y="17355945"/>
              <a:ext cx="684088" cy="3544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𝑛</m:t>
                        </m:r>
                      </m:e>
                      <m:sub>
                        <m:r>
                          <a:rPr lang="en-US" sz="1100" b="0" i="1">
                            <a:latin typeface="Cambria Math" panose="02040503050406030204" pitchFamily="18" charset="0"/>
                          </a:rPr>
                          <m:t>𝑁</m:t>
                        </m:r>
                      </m:sub>
                    </m:sSub>
                  </m:oMath>
                </m:oMathPara>
              </a14:m>
              <a:endParaRPr lang="en-US" sz="1100"/>
            </a:p>
          </xdr:txBody>
        </xdr:sp>
      </mc:Choice>
      <mc:Fallback xmlns="">
        <xdr:sp macro="" textlink="">
          <xdr:nvSpPr>
            <xdr:cNvPr id="16" name="TextBox 15">
              <a:extLst>
                <a:ext uri="{FF2B5EF4-FFF2-40B4-BE49-F238E27FC236}">
                  <a16:creationId xmlns:a16="http://schemas.microsoft.com/office/drawing/2014/main" id="{5C0F4955-C438-4AA1-ABE4-5C7809559096}"/>
                </a:ext>
              </a:extLst>
            </xdr:cNvPr>
            <xdr:cNvSpPr txBox="1"/>
          </xdr:nvSpPr>
          <xdr:spPr>
            <a:xfrm>
              <a:off x="4327493" y="17355945"/>
              <a:ext cx="684088" cy="3544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0" i="0">
                  <a:latin typeface="Cambria Math" panose="02040503050406030204" pitchFamily="18" charset="0"/>
                </a:rPr>
                <a:t>𝑛_𝑁</a:t>
              </a:r>
              <a:endParaRPr lang="en-US" sz="1100"/>
            </a:p>
          </xdr:txBody>
        </xdr:sp>
      </mc:Fallback>
    </mc:AlternateContent>
    <xdr:clientData/>
  </xdr:twoCellAnchor>
  <xdr:twoCellAnchor>
    <xdr:from>
      <xdr:col>9</xdr:col>
      <xdr:colOff>567304</xdr:colOff>
      <xdr:row>30</xdr:row>
      <xdr:rowOff>319010</xdr:rowOff>
    </xdr:from>
    <xdr:to>
      <xdr:col>26</xdr:col>
      <xdr:colOff>0</xdr:colOff>
      <xdr:row>40</xdr:row>
      <xdr:rowOff>297051</xdr:rowOff>
    </xdr:to>
    <xdr:graphicFrame macro="">
      <xdr:nvGraphicFramePr>
        <xdr:cNvPr id="24" name="Chart 23">
          <a:extLst>
            <a:ext uri="{FF2B5EF4-FFF2-40B4-BE49-F238E27FC236}">
              <a16:creationId xmlns:a16="http://schemas.microsoft.com/office/drawing/2014/main" id="{07E761ED-A32D-6D28-5C10-33E27AD28E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3</xdr:col>
      <xdr:colOff>194310</xdr:colOff>
      <xdr:row>44</xdr:row>
      <xdr:rowOff>144780</xdr:rowOff>
    </xdr:from>
    <xdr:ext cx="222304" cy="16536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AE4550DB-5094-45C0-9BF0-2E854C31D79B}"/>
                </a:ext>
              </a:extLst>
            </xdr:cNvPr>
            <xdr:cNvSpPr txBox="1"/>
          </xdr:nvSpPr>
          <xdr:spPr>
            <a:xfrm>
              <a:off x="4751070" y="27630120"/>
              <a:ext cx="22230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𝑖</m:t>
                        </m:r>
                      </m:e>
                      <m:sub>
                        <m:r>
                          <a:rPr lang="en-US" sz="1100" b="0" i="1">
                            <a:latin typeface="Cambria Math" panose="02040503050406030204" pitchFamily="18" charset="0"/>
                          </a:rPr>
                          <m:t>ℎ𝑛</m:t>
                        </m:r>
                      </m:sub>
                    </m:sSub>
                  </m:oMath>
                </m:oMathPara>
              </a14:m>
              <a:endParaRPr lang="vi-VN" sz="1100"/>
            </a:p>
          </xdr:txBody>
        </xdr:sp>
      </mc:Choice>
      <mc:Fallback xmlns="">
        <xdr:sp macro="" textlink="">
          <xdr:nvSpPr>
            <xdr:cNvPr id="8" name="TextBox 7">
              <a:extLst>
                <a:ext uri="{FF2B5EF4-FFF2-40B4-BE49-F238E27FC236}">
                  <a16:creationId xmlns:a16="http://schemas.microsoft.com/office/drawing/2014/main" id="{AE4550DB-5094-45C0-9BF0-2E854C31D79B}"/>
                </a:ext>
              </a:extLst>
            </xdr:cNvPr>
            <xdr:cNvSpPr txBox="1"/>
          </xdr:nvSpPr>
          <xdr:spPr>
            <a:xfrm>
              <a:off x="4751070" y="27630120"/>
              <a:ext cx="22230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𝑖_ℎ𝑛</a:t>
              </a:r>
              <a:endParaRPr lang="vi-VN" sz="1100"/>
            </a:p>
          </xdr:txBody>
        </xdr:sp>
      </mc:Fallback>
    </mc:AlternateContent>
    <xdr:clientData/>
  </xdr:oneCellAnchor>
  <xdr:oneCellAnchor>
    <xdr:from>
      <xdr:col>3</xdr:col>
      <xdr:colOff>217170</xdr:colOff>
      <xdr:row>45</xdr:row>
      <xdr:rowOff>152400</xdr:rowOff>
    </xdr:from>
    <xdr:ext cx="209801" cy="182294"/>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00654A12-7CCB-4968-8F6A-132C18603068}"/>
                </a:ext>
              </a:extLst>
            </xdr:cNvPr>
            <xdr:cNvSpPr txBox="1"/>
          </xdr:nvSpPr>
          <xdr:spPr>
            <a:xfrm>
              <a:off x="4773930" y="28186380"/>
              <a:ext cx="209801"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𝑖</m:t>
                        </m:r>
                      </m:e>
                      <m:sub>
                        <m:r>
                          <a:rPr lang="en-US" sz="1100" b="0" i="1">
                            <a:latin typeface="Cambria Math" panose="02040503050406030204" pitchFamily="18" charset="0"/>
                          </a:rPr>
                          <m:t>𝑝𝑐</m:t>
                        </m:r>
                      </m:sub>
                    </m:sSub>
                  </m:oMath>
                </m:oMathPara>
              </a14:m>
              <a:endParaRPr lang="vi-VN" sz="1100"/>
            </a:p>
          </xdr:txBody>
        </xdr:sp>
      </mc:Choice>
      <mc:Fallback xmlns="">
        <xdr:sp macro="" textlink="">
          <xdr:nvSpPr>
            <xdr:cNvPr id="17" name="TextBox 16">
              <a:extLst>
                <a:ext uri="{FF2B5EF4-FFF2-40B4-BE49-F238E27FC236}">
                  <a16:creationId xmlns:a16="http://schemas.microsoft.com/office/drawing/2014/main" id="{00654A12-7CCB-4968-8F6A-132C18603068}"/>
                </a:ext>
              </a:extLst>
            </xdr:cNvPr>
            <xdr:cNvSpPr txBox="1"/>
          </xdr:nvSpPr>
          <xdr:spPr>
            <a:xfrm>
              <a:off x="4773930" y="28186380"/>
              <a:ext cx="209801"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𝑖_𝑝𝑐</a:t>
              </a:r>
              <a:endParaRPr lang="vi-VN" sz="1100"/>
            </a:p>
          </xdr:txBody>
        </xdr:sp>
      </mc:Fallback>
    </mc:AlternateContent>
    <xdr:clientData/>
  </xdr:oneCellAnchor>
  <xdr:oneCellAnchor>
    <xdr:from>
      <xdr:col>3</xdr:col>
      <xdr:colOff>118110</xdr:colOff>
      <xdr:row>47</xdr:row>
      <xdr:rowOff>7620</xdr:rowOff>
    </xdr:from>
    <xdr:ext cx="149272" cy="165366"/>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4F0C56ED-C82B-4AF4-B298-EC1134575071}"/>
                </a:ext>
              </a:extLst>
            </xdr:cNvPr>
            <xdr:cNvSpPr txBox="1"/>
          </xdr:nvSpPr>
          <xdr:spPr>
            <a:xfrm>
              <a:off x="4674870" y="28803600"/>
              <a:ext cx="149272"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𝑖</m:t>
                        </m:r>
                      </m:e>
                      <m:sub>
                        <m:r>
                          <a:rPr lang="en-US" sz="1100" b="0" i="1">
                            <a:latin typeface="Cambria Math" panose="02040503050406030204" pitchFamily="18" charset="0"/>
                          </a:rPr>
                          <m:t>0</m:t>
                        </m:r>
                      </m:sub>
                    </m:sSub>
                  </m:oMath>
                </m:oMathPara>
              </a14:m>
              <a:endParaRPr lang="vi-VN" sz="1100"/>
            </a:p>
          </xdr:txBody>
        </xdr:sp>
      </mc:Choice>
      <mc:Fallback xmlns="">
        <xdr:sp macro="" textlink="">
          <xdr:nvSpPr>
            <xdr:cNvPr id="19" name="TextBox 18">
              <a:extLst>
                <a:ext uri="{FF2B5EF4-FFF2-40B4-BE49-F238E27FC236}">
                  <a16:creationId xmlns:a16="http://schemas.microsoft.com/office/drawing/2014/main" id="{4F0C56ED-C82B-4AF4-B298-EC1134575071}"/>
                </a:ext>
              </a:extLst>
            </xdr:cNvPr>
            <xdr:cNvSpPr txBox="1"/>
          </xdr:nvSpPr>
          <xdr:spPr>
            <a:xfrm>
              <a:off x="4674870" y="28803600"/>
              <a:ext cx="149272"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𝑖_0</a:t>
              </a:r>
              <a:endParaRPr lang="vi-VN" sz="1100"/>
            </a:p>
          </xdr:txBody>
        </xdr:sp>
      </mc:Fallback>
    </mc:AlternateContent>
    <xdr:clientData/>
  </xdr:oneCellAnchor>
  <xdr:oneCellAnchor>
    <xdr:from>
      <xdr:col>3</xdr:col>
      <xdr:colOff>110490</xdr:colOff>
      <xdr:row>48</xdr:row>
      <xdr:rowOff>144780</xdr:rowOff>
    </xdr:from>
    <xdr:ext cx="167097" cy="165366"/>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43CF808D-3F5B-4704-B9E8-56F38720B5F1}"/>
                </a:ext>
              </a:extLst>
            </xdr:cNvPr>
            <xdr:cNvSpPr txBox="1"/>
          </xdr:nvSpPr>
          <xdr:spPr>
            <a:xfrm>
              <a:off x="4667250" y="29116020"/>
              <a:ext cx="167097"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𝜂</m:t>
                        </m:r>
                      </m:e>
                      <m:sub>
                        <m:r>
                          <a:rPr lang="en-US" sz="1100" b="0" i="1">
                            <a:latin typeface="Cambria Math" panose="02040503050406030204" pitchFamily="18" charset="0"/>
                          </a:rPr>
                          <m:t>𝑡</m:t>
                        </m:r>
                      </m:sub>
                    </m:sSub>
                  </m:oMath>
                </m:oMathPara>
              </a14:m>
              <a:endParaRPr lang="vi-VN" sz="1100"/>
            </a:p>
          </xdr:txBody>
        </xdr:sp>
      </mc:Choice>
      <mc:Fallback xmlns="">
        <xdr:sp macro="" textlink="">
          <xdr:nvSpPr>
            <xdr:cNvPr id="20" name="TextBox 19">
              <a:extLst>
                <a:ext uri="{FF2B5EF4-FFF2-40B4-BE49-F238E27FC236}">
                  <a16:creationId xmlns:a16="http://schemas.microsoft.com/office/drawing/2014/main" id="{43CF808D-3F5B-4704-B9E8-56F38720B5F1}"/>
                </a:ext>
              </a:extLst>
            </xdr:cNvPr>
            <xdr:cNvSpPr txBox="1"/>
          </xdr:nvSpPr>
          <xdr:spPr>
            <a:xfrm>
              <a:off x="4667250" y="29116020"/>
              <a:ext cx="167097"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𝜂_𝑡</a:t>
              </a:r>
              <a:endParaRPr lang="vi-VN" sz="1100"/>
            </a:p>
          </xdr:txBody>
        </xdr:sp>
      </mc:Fallback>
    </mc:AlternateContent>
    <xdr:clientData/>
  </xdr:oneCellAnchor>
  <xdr:oneCellAnchor>
    <xdr:from>
      <xdr:col>3</xdr:col>
      <xdr:colOff>118110</xdr:colOff>
      <xdr:row>52</xdr:row>
      <xdr:rowOff>91440</xdr:rowOff>
    </xdr:from>
    <xdr:ext cx="197169" cy="165366"/>
    <mc:AlternateContent xmlns:mc="http://schemas.openxmlformats.org/markup-compatibility/2006" xmlns:a14="http://schemas.microsoft.com/office/drawing/2010/main">
      <mc:Choice Requires="a14">
        <xdr:sp macro="" textlink="">
          <xdr:nvSpPr>
            <xdr:cNvPr id="21" name="TextBox 20">
              <a:extLst>
                <a:ext uri="{FF2B5EF4-FFF2-40B4-BE49-F238E27FC236}">
                  <a16:creationId xmlns:a16="http://schemas.microsoft.com/office/drawing/2014/main" id="{CFE46932-E8C8-4626-B97D-CEFF9ED2DB34}"/>
                </a:ext>
              </a:extLst>
            </xdr:cNvPr>
            <xdr:cNvSpPr txBox="1"/>
          </xdr:nvSpPr>
          <xdr:spPr>
            <a:xfrm>
              <a:off x="4674870" y="29763720"/>
              <a:ext cx="197169"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𝑖</m:t>
                        </m:r>
                      </m:e>
                      <m:sub>
                        <m:r>
                          <a:rPr lang="en-US" sz="1100" b="0" i="1">
                            <a:latin typeface="Cambria Math" panose="02040503050406030204" pitchFamily="18" charset="0"/>
                          </a:rPr>
                          <m:t>ℎ𝐼</m:t>
                        </m:r>
                      </m:sub>
                    </m:sSub>
                  </m:oMath>
                </m:oMathPara>
              </a14:m>
              <a:endParaRPr lang="vi-VN" sz="1100"/>
            </a:p>
          </xdr:txBody>
        </xdr:sp>
      </mc:Choice>
      <mc:Fallback xmlns="">
        <xdr:sp macro="" textlink="">
          <xdr:nvSpPr>
            <xdr:cNvPr id="21" name="TextBox 20">
              <a:extLst>
                <a:ext uri="{FF2B5EF4-FFF2-40B4-BE49-F238E27FC236}">
                  <a16:creationId xmlns:a16="http://schemas.microsoft.com/office/drawing/2014/main" id="{CFE46932-E8C8-4626-B97D-CEFF9ED2DB34}"/>
                </a:ext>
              </a:extLst>
            </xdr:cNvPr>
            <xdr:cNvSpPr txBox="1"/>
          </xdr:nvSpPr>
          <xdr:spPr>
            <a:xfrm>
              <a:off x="4674870" y="29763720"/>
              <a:ext cx="197169"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𝑖_ℎ𝐼</a:t>
              </a:r>
              <a:endParaRPr lang="vi-VN" sz="1100"/>
            </a:p>
          </xdr:txBody>
        </xdr:sp>
      </mc:Fallback>
    </mc:AlternateContent>
    <xdr:clientData/>
  </xdr:oneCellAnchor>
  <xdr:oneCellAnchor>
    <xdr:from>
      <xdr:col>3</xdr:col>
      <xdr:colOff>118110</xdr:colOff>
      <xdr:row>53</xdr:row>
      <xdr:rowOff>160020</xdr:rowOff>
    </xdr:from>
    <xdr:ext cx="197169" cy="165366"/>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8B67E1D0-DC84-43D7-B6C0-BFC1CF6BD444}"/>
                </a:ext>
              </a:extLst>
            </xdr:cNvPr>
            <xdr:cNvSpPr txBox="1"/>
          </xdr:nvSpPr>
          <xdr:spPr>
            <a:xfrm>
              <a:off x="4674870" y="29657040"/>
              <a:ext cx="197169"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𝑖</m:t>
                        </m:r>
                      </m:e>
                      <m:sub>
                        <m:r>
                          <a:rPr lang="en-US" sz="1100" b="0" i="1">
                            <a:latin typeface="Cambria Math" panose="02040503050406030204" pitchFamily="18" charset="0"/>
                          </a:rPr>
                          <m:t>ℎ𝐼</m:t>
                        </m:r>
                      </m:sub>
                    </m:sSub>
                  </m:oMath>
                </m:oMathPara>
              </a14:m>
              <a:endParaRPr lang="vi-VN" sz="1100"/>
            </a:p>
          </xdr:txBody>
        </xdr:sp>
      </mc:Choice>
      <mc:Fallback xmlns="">
        <xdr:sp macro="" textlink="">
          <xdr:nvSpPr>
            <xdr:cNvPr id="22" name="TextBox 21">
              <a:extLst>
                <a:ext uri="{FF2B5EF4-FFF2-40B4-BE49-F238E27FC236}">
                  <a16:creationId xmlns:a16="http://schemas.microsoft.com/office/drawing/2014/main" id="{8B67E1D0-DC84-43D7-B6C0-BFC1CF6BD444}"/>
                </a:ext>
              </a:extLst>
            </xdr:cNvPr>
            <xdr:cNvSpPr txBox="1"/>
          </xdr:nvSpPr>
          <xdr:spPr>
            <a:xfrm>
              <a:off x="4674870" y="29657040"/>
              <a:ext cx="197169"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𝑖_ℎ𝐼</a:t>
              </a:r>
              <a:endParaRPr lang="vi-VN" sz="1100"/>
            </a:p>
          </xdr:txBody>
        </xdr:sp>
      </mc:Fallback>
    </mc:AlternateContent>
    <xdr:clientData/>
  </xdr:oneCellAnchor>
  <xdr:oneCellAnchor>
    <xdr:from>
      <xdr:col>3</xdr:col>
      <xdr:colOff>102870</xdr:colOff>
      <xdr:row>59</xdr:row>
      <xdr:rowOff>0</xdr:rowOff>
    </xdr:from>
    <xdr:ext cx="213264" cy="165366"/>
    <mc:AlternateContent xmlns:mc="http://schemas.openxmlformats.org/markup-compatibility/2006" xmlns:a14="http://schemas.microsoft.com/office/drawing/2010/main">
      <mc:Choice Requires="a14">
        <xdr:sp macro="" textlink="">
          <xdr:nvSpPr>
            <xdr:cNvPr id="23" name="TextBox 22">
              <a:extLst>
                <a:ext uri="{FF2B5EF4-FFF2-40B4-BE49-F238E27FC236}">
                  <a16:creationId xmlns:a16="http://schemas.microsoft.com/office/drawing/2014/main" id="{8127ED76-0B88-495A-94CA-5BF4B2CEAFB0}"/>
                </a:ext>
              </a:extLst>
            </xdr:cNvPr>
            <xdr:cNvSpPr txBox="1"/>
          </xdr:nvSpPr>
          <xdr:spPr>
            <a:xfrm>
              <a:off x="4659630" y="30373320"/>
              <a:ext cx="21326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𝑖</m:t>
                        </m:r>
                      </m:e>
                      <m:sub>
                        <m:r>
                          <a:rPr lang="en-US" sz="1100" b="0" i="1">
                            <a:latin typeface="Cambria Math" panose="02040503050406030204" pitchFamily="18" charset="0"/>
                          </a:rPr>
                          <m:t>ℎ</m:t>
                        </m:r>
                        <m:r>
                          <a:rPr lang="en-US" sz="1100" b="0" i="1">
                            <a:latin typeface="Cambria Math" panose="02040503050406030204" pitchFamily="18" charset="0"/>
                          </a:rPr>
                          <m:t>4</m:t>
                        </m:r>
                      </m:sub>
                    </m:sSub>
                  </m:oMath>
                </m:oMathPara>
              </a14:m>
              <a:endParaRPr lang="vi-VN" sz="1100"/>
            </a:p>
          </xdr:txBody>
        </xdr:sp>
      </mc:Choice>
      <mc:Fallback xmlns="">
        <xdr:sp macro="" textlink="">
          <xdr:nvSpPr>
            <xdr:cNvPr id="23" name="TextBox 22">
              <a:extLst>
                <a:ext uri="{FF2B5EF4-FFF2-40B4-BE49-F238E27FC236}">
                  <a16:creationId xmlns:a16="http://schemas.microsoft.com/office/drawing/2014/main" id="{8127ED76-0B88-495A-94CA-5BF4B2CEAFB0}"/>
                </a:ext>
              </a:extLst>
            </xdr:cNvPr>
            <xdr:cNvSpPr txBox="1"/>
          </xdr:nvSpPr>
          <xdr:spPr>
            <a:xfrm>
              <a:off x="4659630" y="30373320"/>
              <a:ext cx="21326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𝑖_ℎ4</a:t>
              </a:r>
              <a:endParaRPr lang="vi-VN" sz="1100"/>
            </a:p>
          </xdr:txBody>
        </xdr:sp>
      </mc:Fallback>
    </mc:AlternateContent>
    <xdr:clientData/>
  </xdr:oneCellAnchor>
  <xdr:oneCellAnchor>
    <xdr:from>
      <xdr:col>3</xdr:col>
      <xdr:colOff>95250</xdr:colOff>
      <xdr:row>59</xdr:row>
      <xdr:rowOff>160020</xdr:rowOff>
    </xdr:from>
    <xdr:ext cx="213264" cy="165366"/>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71BDDDE9-0D86-40B5-98C8-DFBB5D478D7A}"/>
                </a:ext>
              </a:extLst>
            </xdr:cNvPr>
            <xdr:cNvSpPr txBox="1"/>
          </xdr:nvSpPr>
          <xdr:spPr>
            <a:xfrm>
              <a:off x="4652010" y="30533340"/>
              <a:ext cx="21326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𝑖</m:t>
                        </m:r>
                      </m:e>
                      <m:sub>
                        <m:r>
                          <a:rPr lang="en-US" sz="1100" b="0" i="1">
                            <a:latin typeface="Cambria Math" panose="02040503050406030204" pitchFamily="18" charset="0"/>
                          </a:rPr>
                          <m:t>ℎ</m:t>
                        </m:r>
                        <m:r>
                          <a:rPr lang="en-US" sz="1100" b="0" i="1">
                            <a:latin typeface="Cambria Math" panose="02040503050406030204" pitchFamily="18" charset="0"/>
                          </a:rPr>
                          <m:t>5</m:t>
                        </m:r>
                      </m:sub>
                    </m:sSub>
                  </m:oMath>
                </m:oMathPara>
              </a14:m>
              <a:endParaRPr lang="vi-VN" sz="1100"/>
            </a:p>
          </xdr:txBody>
        </xdr:sp>
      </mc:Choice>
      <mc:Fallback xmlns="">
        <xdr:sp macro="" textlink="">
          <xdr:nvSpPr>
            <xdr:cNvPr id="25" name="TextBox 24">
              <a:extLst>
                <a:ext uri="{FF2B5EF4-FFF2-40B4-BE49-F238E27FC236}">
                  <a16:creationId xmlns:a16="http://schemas.microsoft.com/office/drawing/2014/main" id="{71BDDDE9-0D86-40B5-98C8-DFBB5D478D7A}"/>
                </a:ext>
              </a:extLst>
            </xdr:cNvPr>
            <xdr:cNvSpPr txBox="1"/>
          </xdr:nvSpPr>
          <xdr:spPr>
            <a:xfrm>
              <a:off x="4652010" y="30533340"/>
              <a:ext cx="21326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𝑖_ℎ5</a:t>
              </a:r>
              <a:endParaRPr lang="vi-VN" sz="1100"/>
            </a:p>
          </xdr:txBody>
        </xdr:sp>
      </mc:Fallback>
    </mc:AlternateContent>
    <xdr:clientData/>
  </xdr:oneCellAnchor>
  <xdr:oneCellAnchor>
    <xdr:from>
      <xdr:col>3</xdr:col>
      <xdr:colOff>26670</xdr:colOff>
      <xdr:row>55</xdr:row>
      <xdr:rowOff>167640</xdr:rowOff>
    </xdr:from>
    <xdr:ext cx="213264" cy="165366"/>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BA716521-909F-43D2-907C-6259BB0E50D5}"/>
                </a:ext>
              </a:extLst>
            </xdr:cNvPr>
            <xdr:cNvSpPr txBox="1"/>
          </xdr:nvSpPr>
          <xdr:spPr>
            <a:xfrm>
              <a:off x="4583430" y="30015180"/>
              <a:ext cx="21326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𝑖</m:t>
                        </m:r>
                      </m:e>
                      <m:sub>
                        <m:r>
                          <a:rPr lang="en-US" sz="1100" b="0" i="1">
                            <a:latin typeface="Cambria Math" panose="02040503050406030204" pitchFamily="18" charset="0"/>
                          </a:rPr>
                          <m:t>ℎ</m:t>
                        </m:r>
                        <m:r>
                          <a:rPr lang="en-US" sz="1100" b="0" i="1">
                            <a:latin typeface="Cambria Math" panose="02040503050406030204" pitchFamily="18" charset="0"/>
                          </a:rPr>
                          <m:t>1</m:t>
                        </m:r>
                      </m:sub>
                    </m:sSub>
                  </m:oMath>
                </m:oMathPara>
              </a14:m>
              <a:endParaRPr lang="vi-VN" sz="1100"/>
            </a:p>
          </xdr:txBody>
        </xdr:sp>
      </mc:Choice>
      <mc:Fallback xmlns="">
        <xdr:sp macro="" textlink="">
          <xdr:nvSpPr>
            <xdr:cNvPr id="26" name="TextBox 25">
              <a:extLst>
                <a:ext uri="{FF2B5EF4-FFF2-40B4-BE49-F238E27FC236}">
                  <a16:creationId xmlns:a16="http://schemas.microsoft.com/office/drawing/2014/main" id="{BA716521-909F-43D2-907C-6259BB0E50D5}"/>
                </a:ext>
              </a:extLst>
            </xdr:cNvPr>
            <xdr:cNvSpPr txBox="1"/>
          </xdr:nvSpPr>
          <xdr:spPr>
            <a:xfrm>
              <a:off x="4583430" y="30015180"/>
              <a:ext cx="21326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𝑖_ℎ1</a:t>
              </a:r>
              <a:endParaRPr lang="vi-VN" sz="1100"/>
            </a:p>
          </xdr:txBody>
        </xdr:sp>
      </mc:Fallback>
    </mc:AlternateContent>
    <xdr:clientData/>
  </xdr:oneCellAnchor>
  <xdr:oneCellAnchor>
    <xdr:from>
      <xdr:col>3</xdr:col>
      <xdr:colOff>41910</xdr:colOff>
      <xdr:row>57</xdr:row>
      <xdr:rowOff>0</xdr:rowOff>
    </xdr:from>
    <xdr:ext cx="213264" cy="165366"/>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84EF5B2B-84E0-4318-82F3-5267E3A4B9FE}"/>
                </a:ext>
              </a:extLst>
            </xdr:cNvPr>
            <xdr:cNvSpPr txBox="1"/>
          </xdr:nvSpPr>
          <xdr:spPr>
            <a:xfrm>
              <a:off x="4598670" y="30198060"/>
              <a:ext cx="21326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𝑖</m:t>
                        </m:r>
                      </m:e>
                      <m:sub>
                        <m:r>
                          <a:rPr lang="en-US" sz="1100" b="0" i="1">
                            <a:latin typeface="Cambria Math" panose="02040503050406030204" pitchFamily="18" charset="0"/>
                          </a:rPr>
                          <m:t>ℎ</m:t>
                        </m:r>
                        <m:r>
                          <a:rPr lang="en-US" sz="1100" b="0" i="1">
                            <a:latin typeface="Cambria Math" panose="02040503050406030204" pitchFamily="18" charset="0"/>
                          </a:rPr>
                          <m:t>2</m:t>
                        </m:r>
                      </m:sub>
                    </m:sSub>
                  </m:oMath>
                </m:oMathPara>
              </a14:m>
              <a:endParaRPr lang="vi-VN" sz="1100"/>
            </a:p>
          </xdr:txBody>
        </xdr:sp>
      </mc:Choice>
      <mc:Fallback xmlns="">
        <xdr:sp macro="" textlink="">
          <xdr:nvSpPr>
            <xdr:cNvPr id="27" name="TextBox 26">
              <a:extLst>
                <a:ext uri="{FF2B5EF4-FFF2-40B4-BE49-F238E27FC236}">
                  <a16:creationId xmlns:a16="http://schemas.microsoft.com/office/drawing/2014/main" id="{84EF5B2B-84E0-4318-82F3-5267E3A4B9FE}"/>
                </a:ext>
              </a:extLst>
            </xdr:cNvPr>
            <xdr:cNvSpPr txBox="1"/>
          </xdr:nvSpPr>
          <xdr:spPr>
            <a:xfrm>
              <a:off x="4598670" y="30198060"/>
              <a:ext cx="21326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𝑖_ℎ2</a:t>
              </a:r>
              <a:endParaRPr lang="vi-VN" sz="1100"/>
            </a:p>
          </xdr:txBody>
        </xdr:sp>
      </mc:Fallback>
    </mc:AlternateContent>
    <xdr:clientData/>
  </xdr:oneCellAnchor>
  <xdr:oneCellAnchor>
    <xdr:from>
      <xdr:col>3</xdr:col>
      <xdr:colOff>64770</xdr:colOff>
      <xdr:row>58</xdr:row>
      <xdr:rowOff>0</xdr:rowOff>
    </xdr:from>
    <xdr:ext cx="213264" cy="165366"/>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9F146A5A-50E3-4897-BFDC-D5C21B31BB0D}"/>
                </a:ext>
              </a:extLst>
            </xdr:cNvPr>
            <xdr:cNvSpPr txBox="1"/>
          </xdr:nvSpPr>
          <xdr:spPr>
            <a:xfrm>
              <a:off x="4621530" y="30373320"/>
              <a:ext cx="21326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𝑖</m:t>
                        </m:r>
                      </m:e>
                      <m:sub>
                        <m:r>
                          <a:rPr lang="en-US" sz="1100" b="0" i="1">
                            <a:latin typeface="Cambria Math" panose="02040503050406030204" pitchFamily="18" charset="0"/>
                          </a:rPr>
                          <m:t>ℎ</m:t>
                        </m:r>
                        <m:r>
                          <a:rPr lang="en-US" sz="1100" b="0" i="1">
                            <a:latin typeface="Cambria Math" panose="02040503050406030204" pitchFamily="18" charset="0"/>
                          </a:rPr>
                          <m:t>3</m:t>
                        </m:r>
                      </m:sub>
                    </m:sSub>
                  </m:oMath>
                </m:oMathPara>
              </a14:m>
              <a:endParaRPr lang="vi-VN" sz="1100"/>
            </a:p>
          </xdr:txBody>
        </xdr:sp>
      </mc:Choice>
      <mc:Fallback xmlns="">
        <xdr:sp macro="" textlink="">
          <xdr:nvSpPr>
            <xdr:cNvPr id="28" name="TextBox 27">
              <a:extLst>
                <a:ext uri="{FF2B5EF4-FFF2-40B4-BE49-F238E27FC236}">
                  <a16:creationId xmlns:a16="http://schemas.microsoft.com/office/drawing/2014/main" id="{9F146A5A-50E3-4897-BFDC-D5C21B31BB0D}"/>
                </a:ext>
              </a:extLst>
            </xdr:cNvPr>
            <xdr:cNvSpPr txBox="1"/>
          </xdr:nvSpPr>
          <xdr:spPr>
            <a:xfrm>
              <a:off x="4621530" y="30373320"/>
              <a:ext cx="21326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𝑖_ℎ3</a:t>
              </a:r>
              <a:endParaRPr lang="vi-VN" sz="1100"/>
            </a:p>
          </xdr:txBody>
        </xdr:sp>
      </mc:Fallback>
    </mc:AlternateContent>
    <xdr:clientData/>
  </xdr:oneCellAnchor>
  <xdr:oneCellAnchor>
    <xdr:from>
      <xdr:col>3</xdr:col>
      <xdr:colOff>41910</xdr:colOff>
      <xdr:row>50</xdr:row>
      <xdr:rowOff>160020</xdr:rowOff>
    </xdr:from>
    <xdr:ext cx="137730" cy="16536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DA216F0-D84F-428A-9EC9-24D92ADABC9D}"/>
                </a:ext>
              </a:extLst>
            </xdr:cNvPr>
            <xdr:cNvSpPr txBox="1"/>
          </xdr:nvSpPr>
          <xdr:spPr>
            <a:xfrm>
              <a:off x="4598670" y="29481780"/>
              <a:ext cx="137730"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00" b="0" i="1">
                        <a:latin typeface="Cambria Math" panose="02040503050406030204" pitchFamily="18" charset="0"/>
                      </a:rPr>
                      <m:t>𝜑</m:t>
                    </m:r>
                  </m:oMath>
                </m:oMathPara>
              </a14:m>
              <a:endParaRPr lang="vi-VN" sz="1100"/>
            </a:p>
          </xdr:txBody>
        </xdr:sp>
      </mc:Choice>
      <mc:Fallback xmlns="">
        <xdr:sp macro="" textlink="">
          <xdr:nvSpPr>
            <xdr:cNvPr id="29" name="TextBox 28">
              <a:extLst>
                <a:ext uri="{FF2B5EF4-FFF2-40B4-BE49-F238E27FC236}">
                  <a16:creationId xmlns:a16="http://schemas.microsoft.com/office/drawing/2014/main" id="{4DA216F0-D84F-428A-9EC9-24D92ADABC9D}"/>
                </a:ext>
              </a:extLst>
            </xdr:cNvPr>
            <xdr:cNvSpPr txBox="1"/>
          </xdr:nvSpPr>
          <xdr:spPr>
            <a:xfrm>
              <a:off x="4598670" y="29481780"/>
              <a:ext cx="137730"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𝜑</a:t>
              </a:r>
              <a:endParaRPr lang="vi-VN" sz="1100"/>
            </a:p>
          </xdr:txBody>
        </xdr:sp>
      </mc:Fallback>
    </mc:AlternateContent>
    <xdr:clientData/>
  </xdr:oneCellAnchor>
  <xdr:twoCellAnchor>
    <xdr:from>
      <xdr:col>8</xdr:col>
      <xdr:colOff>561576</xdr:colOff>
      <xdr:row>70</xdr:row>
      <xdr:rowOff>14154</xdr:rowOff>
    </xdr:from>
    <xdr:to>
      <xdr:col>21</xdr:col>
      <xdr:colOff>597647</xdr:colOff>
      <xdr:row>92</xdr:row>
      <xdr:rowOff>19843</xdr:rowOff>
    </xdr:to>
    <xdr:graphicFrame macro="">
      <xdr:nvGraphicFramePr>
        <xdr:cNvPr id="5" name="Chart 4">
          <a:extLst>
            <a:ext uri="{FF2B5EF4-FFF2-40B4-BE49-F238E27FC236}">
              <a16:creationId xmlns:a16="http://schemas.microsoft.com/office/drawing/2014/main" id="{8CD1513C-9C96-2324-1612-D5AEC7E59B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707341</xdr:colOff>
      <xdr:row>95</xdr:row>
      <xdr:rowOff>8038</xdr:rowOff>
    </xdr:from>
    <xdr:to>
      <xdr:col>21</xdr:col>
      <xdr:colOff>208986</xdr:colOff>
      <xdr:row>120</xdr:row>
      <xdr:rowOff>0</xdr:rowOff>
    </xdr:to>
    <xdr:graphicFrame macro="">
      <xdr:nvGraphicFramePr>
        <xdr:cNvPr id="11" name="Chart 10">
          <a:extLst>
            <a:ext uri="{FF2B5EF4-FFF2-40B4-BE49-F238E27FC236}">
              <a16:creationId xmlns:a16="http://schemas.microsoft.com/office/drawing/2014/main" id="{33156D0B-0AB3-9EF2-5C83-5F7BE7979A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19792</xdr:colOff>
      <xdr:row>121</xdr:row>
      <xdr:rowOff>145257</xdr:rowOff>
    </xdr:from>
    <xdr:to>
      <xdr:col>20</xdr:col>
      <xdr:colOff>523874</xdr:colOff>
      <xdr:row>141</xdr:row>
      <xdr:rowOff>119062</xdr:rowOff>
    </xdr:to>
    <xdr:graphicFrame macro="">
      <xdr:nvGraphicFramePr>
        <xdr:cNvPr id="32" name="Chart 31">
          <a:extLst>
            <a:ext uri="{FF2B5EF4-FFF2-40B4-BE49-F238E27FC236}">
              <a16:creationId xmlns:a16="http://schemas.microsoft.com/office/drawing/2014/main" id="{23E8D857-FE9E-73D4-8CA2-6AF7CF6F2E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158337</xdr:colOff>
      <xdr:row>145</xdr:row>
      <xdr:rowOff>73231</xdr:rowOff>
    </xdr:from>
    <xdr:to>
      <xdr:col>16</xdr:col>
      <xdr:colOff>435428</xdr:colOff>
      <xdr:row>159</xdr:row>
      <xdr:rowOff>164275</xdr:rowOff>
    </xdr:to>
    <xdr:graphicFrame macro="">
      <xdr:nvGraphicFramePr>
        <xdr:cNvPr id="18" name="Chart 17">
          <a:extLst>
            <a:ext uri="{FF2B5EF4-FFF2-40B4-BE49-F238E27FC236}">
              <a16:creationId xmlns:a16="http://schemas.microsoft.com/office/drawing/2014/main" id="{B2D1CC88-4621-80C6-F131-8E8D3ED2EA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310931</xdr:colOff>
      <xdr:row>173</xdr:row>
      <xdr:rowOff>64813</xdr:rowOff>
    </xdr:from>
    <xdr:to>
      <xdr:col>18</xdr:col>
      <xdr:colOff>553453</xdr:colOff>
      <xdr:row>195</xdr:row>
      <xdr:rowOff>112294</xdr:rowOff>
    </xdr:to>
    <xdr:graphicFrame macro="">
      <xdr:nvGraphicFramePr>
        <xdr:cNvPr id="33" name="Chart 32">
          <a:extLst>
            <a:ext uri="{FF2B5EF4-FFF2-40B4-BE49-F238E27FC236}">
              <a16:creationId xmlns:a16="http://schemas.microsoft.com/office/drawing/2014/main" id="{A0D291CD-7EB0-70E1-017F-4865116917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ref/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Gia tốc ngược riêng số V — tách ngưỡng</a:t>
            </a:r>
          </a:p>
        </c:rich>
      </c:tx>
      <c:layout/>
    </c:title>
    <c:plotArea>
      <c:layout/>
      <c:scatterChart>
        <c:scatterStyle val="lineMarker"/>
        <c:ser>
          <c:idx val="0"/>
          <c:order val="0"/>
          <c:tx>
            <c:v>Nhánh v ≤ 22,2 m/s</c:v>
          </c:tx>
          <c:spPr>
            <a:ln w="19050">
              <a:solidFill>
                <a:srgbClr val="0072B2"/>
              </a:solidFill>
            </a:ln>
          </c:spPr>
          <c:marker>
            <c:symbol val="none"/>
          </c:marker>
          <c:xVal>
            <c:numRef>
              <c:f>TICH_PHAN_SO_V!$G$6:$G$806</c:f>
              <c:numCache>
                <c:formatCode>General</c:formatCode>
                <c:ptCount val="801"/>
                <c:pt idx="0">
                  <c:v>29.230769230769237</c:v>
                </c:pt>
                <c:pt idx="1">
                  <c:v>29.294130769230772</c:v>
                </c:pt>
                <c:pt idx="2">
                  <c:v>29.357492307692315</c:v>
                </c:pt>
                <c:pt idx="3">
                  <c:v>29.420853846153854</c:v>
                </c:pt>
                <c:pt idx="4">
                  <c:v>29.48421538461539</c:v>
                </c:pt>
                <c:pt idx="5">
                  <c:v>29.547576923076928</c:v>
                </c:pt>
                <c:pt idx="6">
                  <c:v>29.61093846153847</c:v>
                </c:pt>
                <c:pt idx="7">
                  <c:v>29.674300000000006</c:v>
                </c:pt>
                <c:pt idx="8">
                  <c:v>29.737661538461545</c:v>
                </c:pt>
                <c:pt idx="9">
                  <c:v>29.80102307692308</c:v>
                </c:pt>
                <c:pt idx="10">
                  <c:v>29.864384615384623</c:v>
                </c:pt>
                <c:pt idx="11">
                  <c:v>29.92774615384616</c:v>
                </c:pt>
                <c:pt idx="12">
                  <c:v>29.991107692307697</c:v>
                </c:pt>
                <c:pt idx="13">
                  <c:v>30.054469230769232</c:v>
                </c:pt>
                <c:pt idx="14">
                  <c:v>30.11783076923078</c:v>
                </c:pt>
                <c:pt idx="15">
                  <c:v>30.181192307692314</c:v>
                </c:pt>
                <c:pt idx="16">
                  <c:v>30.24455384615385</c:v>
                </c:pt>
                <c:pt idx="17">
                  <c:v>30.307915384615388</c:v>
                </c:pt>
                <c:pt idx="18">
                  <c:v>30.37127692307693</c:v>
                </c:pt>
                <c:pt idx="19">
                  <c:v>30.434638461538466</c:v>
                </c:pt>
                <c:pt idx="20">
                  <c:v>30.498000000000005</c:v>
                </c:pt>
                <c:pt idx="21">
                  <c:v>30.56136153846154</c:v>
                </c:pt>
                <c:pt idx="22">
                  <c:v>30.624723076923082</c:v>
                </c:pt>
                <c:pt idx="23">
                  <c:v>30.68808461538462</c:v>
                </c:pt>
                <c:pt idx="24">
                  <c:v>30.751446153846157</c:v>
                </c:pt>
                <c:pt idx="25">
                  <c:v>30.8148076923077</c:v>
                </c:pt>
                <c:pt idx="26">
                  <c:v>30.878169230769238</c:v>
                </c:pt>
                <c:pt idx="27">
                  <c:v>30.941530769230774</c:v>
                </c:pt>
                <c:pt idx="28">
                  <c:v>31.004892307692312</c:v>
                </c:pt>
                <c:pt idx="29">
                  <c:v>31.068253846153855</c:v>
                </c:pt>
                <c:pt idx="30">
                  <c:v>31.13161538461539</c:v>
                </c:pt>
                <c:pt idx="31">
                  <c:v>31.19497692307693</c:v>
                </c:pt>
                <c:pt idx="32">
                  <c:v>31.258338461538465</c:v>
                </c:pt>
                <c:pt idx="33">
                  <c:v>31.321700000000007</c:v>
                </c:pt>
                <c:pt idx="34">
                  <c:v>31.385061538461546</c:v>
                </c:pt>
                <c:pt idx="35">
                  <c:v>31.44842307692308</c:v>
                </c:pt>
                <c:pt idx="36">
                  <c:v>31.511784615384617</c:v>
                </c:pt>
                <c:pt idx="37">
                  <c:v>31.575146153846163</c:v>
                </c:pt>
                <c:pt idx="38">
                  <c:v>31.638507692307698</c:v>
                </c:pt>
                <c:pt idx="39">
                  <c:v>31.701869230769233</c:v>
                </c:pt>
                <c:pt idx="40">
                  <c:v>31.76523076923078</c:v>
                </c:pt>
                <c:pt idx="41">
                  <c:v>31.828592307692315</c:v>
                </c:pt>
                <c:pt idx="42">
                  <c:v>31.89195384615385</c:v>
                </c:pt>
                <c:pt idx="43">
                  <c:v>31.95531538461539</c:v>
                </c:pt>
                <c:pt idx="44">
                  <c:v>32.018676923076924</c:v>
                </c:pt>
                <c:pt idx="45">
                  <c:v>32.08203846153847</c:v>
                </c:pt>
                <c:pt idx="46">
                  <c:v>32.1454</c:v>
                </c:pt>
                <c:pt idx="47">
                  <c:v>32.208761538461545</c:v>
                </c:pt>
                <c:pt idx="48">
                  <c:v>32.27212307692309</c:v>
                </c:pt>
                <c:pt idx="49">
                  <c:v>32.33548461538462</c:v>
                </c:pt>
                <c:pt idx="50">
                  <c:v>32.39884615384616</c:v>
                </c:pt>
                <c:pt idx="51">
                  <c:v>32.46220769230769</c:v>
                </c:pt>
                <c:pt idx="52">
                  <c:v>32.525569230769236</c:v>
                </c:pt>
                <c:pt idx="53">
                  <c:v>32.58893076923078</c:v>
                </c:pt>
                <c:pt idx="54">
                  <c:v>32.65229230769231</c:v>
                </c:pt>
                <c:pt idx="55">
                  <c:v>32.71565384615385</c:v>
                </c:pt>
                <c:pt idx="56">
                  <c:v>32.77901538461539</c:v>
                </c:pt>
                <c:pt idx="57">
                  <c:v>32.84237692307693</c:v>
                </c:pt>
                <c:pt idx="58">
                  <c:v>32.90573846153847</c:v>
                </c:pt>
                <c:pt idx="59">
                  <c:v>32.969100000000005</c:v>
                </c:pt>
                <c:pt idx="60">
                  <c:v>33.03246153846155</c:v>
                </c:pt>
                <c:pt idx="61">
                  <c:v>33.09582307692308</c:v>
                </c:pt>
                <c:pt idx="62">
                  <c:v>33.15918461538462</c:v>
                </c:pt>
                <c:pt idx="63">
                  <c:v>33.22254615384616</c:v>
                </c:pt>
                <c:pt idx="64">
                  <c:v>33.2859076923077</c:v>
                </c:pt>
                <c:pt idx="65">
                  <c:v>33.34926923076924</c:v>
                </c:pt>
                <c:pt idx="66">
                  <c:v>33.41263076923077</c:v>
                </c:pt>
                <c:pt idx="67">
                  <c:v>33.47599230769231</c:v>
                </c:pt>
                <c:pt idx="68">
                  <c:v>33.53935384615385</c:v>
                </c:pt>
                <c:pt idx="69">
                  <c:v>33.60271538461539</c:v>
                </c:pt>
                <c:pt idx="70">
                  <c:v>33.66607692307693</c:v>
                </c:pt>
                <c:pt idx="71">
                  <c:v>33.72943846153847</c:v>
                </c:pt>
                <c:pt idx="72">
                  <c:v>33.79280000000001</c:v>
                </c:pt>
                <c:pt idx="73">
                  <c:v>33.85616153846154</c:v>
                </c:pt>
                <c:pt idx="74">
                  <c:v>33.91952307692308</c:v>
                </c:pt>
                <c:pt idx="75">
                  <c:v>33.98288461538462</c:v>
                </c:pt>
                <c:pt idx="76">
                  <c:v>34.04624615384616</c:v>
                </c:pt>
                <c:pt idx="77">
                  <c:v>34.1096076923077</c:v>
                </c:pt>
                <c:pt idx="78">
                  <c:v>34.17296923076923</c:v>
                </c:pt>
                <c:pt idx="79">
                  <c:v>34.236330769230776</c:v>
                </c:pt>
                <c:pt idx="80">
                  <c:v>34.29969230769231</c:v>
                </c:pt>
                <c:pt idx="81">
                  <c:v>34.36305384615385</c:v>
                </c:pt>
                <c:pt idx="82">
                  <c:v>34.42641538461539</c:v>
                </c:pt>
                <c:pt idx="83">
                  <c:v>34.48977692307693</c:v>
                </c:pt>
                <c:pt idx="84">
                  <c:v>34.55313846153847</c:v>
                </c:pt>
                <c:pt idx="85">
                  <c:v>34.6165</c:v>
                </c:pt>
                <c:pt idx="86">
                  <c:v>34.67986153846154</c:v>
                </c:pt>
                <c:pt idx="87">
                  <c:v>34.74322307692309</c:v>
                </c:pt>
                <c:pt idx="88">
                  <c:v>34.80658461538462</c:v>
                </c:pt>
                <c:pt idx="89">
                  <c:v>34.86994615384616</c:v>
                </c:pt>
                <c:pt idx="90">
                  <c:v>34.93330769230769</c:v>
                </c:pt>
                <c:pt idx="91">
                  <c:v>34.996669230769236</c:v>
                </c:pt>
                <c:pt idx="92">
                  <c:v>35.06003076923077</c:v>
                </c:pt>
                <c:pt idx="93">
                  <c:v>35.12339230769231</c:v>
                </c:pt>
                <c:pt idx="94">
                  <c:v>35.186753846153856</c:v>
                </c:pt>
                <c:pt idx="95">
                  <c:v>35.25011538461539</c:v>
                </c:pt>
                <c:pt idx="96">
                  <c:v>35.31347692307693</c:v>
                </c:pt>
                <c:pt idx="97">
                  <c:v>35.37683846153846</c:v>
                </c:pt>
                <c:pt idx="98">
                  <c:v>35.440200000000004</c:v>
                </c:pt>
                <c:pt idx="99">
                  <c:v>35.50356153846155</c:v>
                </c:pt>
                <c:pt idx="100">
                  <c:v>35.56692307692308</c:v>
                </c:pt>
                <c:pt idx="101">
                  <c:v>35.63028461538462</c:v>
                </c:pt>
                <c:pt idx="102">
                  <c:v>35.69364615384616</c:v>
                </c:pt>
                <c:pt idx="103">
                  <c:v>35.757007692307695</c:v>
                </c:pt>
                <c:pt idx="104">
                  <c:v>35.82036923076924</c:v>
                </c:pt>
                <c:pt idx="105">
                  <c:v>35.88373076923077</c:v>
                </c:pt>
                <c:pt idx="106">
                  <c:v>35.947092307692316</c:v>
                </c:pt>
                <c:pt idx="107">
                  <c:v>36.01045384615385</c:v>
                </c:pt>
                <c:pt idx="108">
                  <c:v>36.073815384615386</c:v>
                </c:pt>
                <c:pt idx="109">
                  <c:v>36.13717692307692</c:v>
                </c:pt>
                <c:pt idx="110">
                  <c:v>36.20053846153847</c:v>
                </c:pt>
                <c:pt idx="111">
                  <c:v>36.26390000000001</c:v>
                </c:pt>
                <c:pt idx="112">
                  <c:v>36.32726153846154</c:v>
                </c:pt>
                <c:pt idx="113">
                  <c:v>36.39062307692308</c:v>
                </c:pt>
                <c:pt idx="114">
                  <c:v>36.45398461538462</c:v>
                </c:pt>
                <c:pt idx="115">
                  <c:v>36.517346153846155</c:v>
                </c:pt>
                <c:pt idx="116">
                  <c:v>36.5807076923077</c:v>
                </c:pt>
                <c:pt idx="117">
                  <c:v>36.64406923076924</c:v>
                </c:pt>
                <c:pt idx="118">
                  <c:v>36.707430769230776</c:v>
                </c:pt>
                <c:pt idx="119">
                  <c:v>36.77079230769231</c:v>
                </c:pt>
                <c:pt idx="120">
                  <c:v>36.834153846153846</c:v>
                </c:pt>
                <c:pt idx="121">
                  <c:v>36.89751538461539</c:v>
                </c:pt>
                <c:pt idx="122">
                  <c:v>36.96087692307693</c:v>
                </c:pt>
                <c:pt idx="123">
                  <c:v>37.02423846153847</c:v>
                </c:pt>
                <c:pt idx="124">
                  <c:v>37.0876</c:v>
                </c:pt>
                <c:pt idx="125">
                  <c:v>37.150961538461544</c:v>
                </c:pt>
                <c:pt idx="126">
                  <c:v>37.21432307692308</c:v>
                </c:pt>
                <c:pt idx="127">
                  <c:v>37.27768461538462</c:v>
                </c:pt>
                <c:pt idx="128">
                  <c:v>37.34104615384616</c:v>
                </c:pt>
                <c:pt idx="129">
                  <c:v>37.4044076923077</c:v>
                </c:pt>
                <c:pt idx="130">
                  <c:v>37.467769230769235</c:v>
                </c:pt>
                <c:pt idx="131">
                  <c:v>37.53113076923077</c:v>
                </c:pt>
                <c:pt idx="132">
                  <c:v>37.59449230769231</c:v>
                </c:pt>
                <c:pt idx="133">
                  <c:v>37.657853846153856</c:v>
                </c:pt>
                <c:pt idx="134">
                  <c:v>37.72121538461539</c:v>
                </c:pt>
                <c:pt idx="135">
                  <c:v>37.784576923076926</c:v>
                </c:pt>
                <c:pt idx="136">
                  <c:v>37.84793846153846</c:v>
                </c:pt>
                <c:pt idx="137">
                  <c:v>37.911300000000004</c:v>
                </c:pt>
                <c:pt idx="138">
                  <c:v>37.97466153846154</c:v>
                </c:pt>
                <c:pt idx="139">
                  <c:v>38.03802307692308</c:v>
                </c:pt>
                <c:pt idx="140">
                  <c:v>38.101384615384625</c:v>
                </c:pt>
                <c:pt idx="141">
                  <c:v>38.16474615384616</c:v>
                </c:pt>
                <c:pt idx="142">
                  <c:v>38.228107692307695</c:v>
                </c:pt>
                <c:pt idx="143">
                  <c:v>38.29146923076923</c:v>
                </c:pt>
                <c:pt idx="144">
                  <c:v>38.35483076923077</c:v>
                </c:pt>
                <c:pt idx="145">
                  <c:v>38.418192307692316</c:v>
                </c:pt>
                <c:pt idx="146">
                  <c:v>38.48155384615385</c:v>
                </c:pt>
                <c:pt idx="147">
                  <c:v>38.544915384615386</c:v>
                </c:pt>
                <c:pt idx="148">
                  <c:v>38.60827692307693</c:v>
                </c:pt>
                <c:pt idx="149">
                  <c:v>38.671638461538464</c:v>
                </c:pt>
                <c:pt idx="150">
                  <c:v>38.73500000000001</c:v>
                </c:pt>
                <c:pt idx="151">
                  <c:v>38.79836153846154</c:v>
                </c:pt>
                <c:pt idx="152">
                  <c:v>38.861723076923084</c:v>
                </c:pt>
                <c:pt idx="153">
                  <c:v>38.92508461538462</c:v>
                </c:pt>
                <c:pt idx="154">
                  <c:v>38.988446153846155</c:v>
                </c:pt>
                <c:pt idx="155">
                  <c:v>39.0518076923077</c:v>
                </c:pt>
                <c:pt idx="156">
                  <c:v>39.11516923076924</c:v>
                </c:pt>
                <c:pt idx="157">
                  <c:v>39.178530769230775</c:v>
                </c:pt>
                <c:pt idx="158">
                  <c:v>39.24189230769231</c:v>
                </c:pt>
                <c:pt idx="159">
                  <c:v>39.305253846153846</c:v>
                </c:pt>
                <c:pt idx="160">
                  <c:v>39.36861538461539</c:v>
                </c:pt>
                <c:pt idx="161">
                  <c:v>39.431976923076924</c:v>
                </c:pt>
                <c:pt idx="162">
                  <c:v>39.49533846153847</c:v>
                </c:pt>
                <c:pt idx="163">
                  <c:v>39.55870000000001</c:v>
                </c:pt>
                <c:pt idx="164">
                  <c:v>39.622061538461544</c:v>
                </c:pt>
                <c:pt idx="165">
                  <c:v>39.68542307692308</c:v>
                </c:pt>
                <c:pt idx="166">
                  <c:v>39.748784615384615</c:v>
                </c:pt>
                <c:pt idx="167">
                  <c:v>39.81214615384616</c:v>
                </c:pt>
                <c:pt idx="168">
                  <c:v>39.8755076923077</c:v>
                </c:pt>
                <c:pt idx="169">
                  <c:v>39.938869230769235</c:v>
                </c:pt>
                <c:pt idx="170">
                  <c:v>40.00223076923077</c:v>
                </c:pt>
                <c:pt idx="171">
                  <c:v>40.06559230769231</c:v>
                </c:pt>
                <c:pt idx="172">
                  <c:v>40.12895384615385</c:v>
                </c:pt>
                <c:pt idx="173">
                  <c:v>40.19231538461539</c:v>
                </c:pt>
                <c:pt idx="174">
                  <c:v>40.255676923076926</c:v>
                </c:pt>
                <c:pt idx="175">
                  <c:v>40.31903846153847</c:v>
                </c:pt>
                <c:pt idx="176">
                  <c:v>40.382400000000004</c:v>
                </c:pt>
                <c:pt idx="177">
                  <c:v>40.44576153846154</c:v>
                </c:pt>
                <c:pt idx="178">
                  <c:v>40.50912307692308</c:v>
                </c:pt>
                <c:pt idx="179">
                  <c:v>40.572484615384624</c:v>
                </c:pt>
                <c:pt idx="180">
                  <c:v>40.63584615384616</c:v>
                </c:pt>
                <c:pt idx="181">
                  <c:v>40.699207692307695</c:v>
                </c:pt>
                <c:pt idx="182">
                  <c:v>40.76256923076923</c:v>
                </c:pt>
                <c:pt idx="183">
                  <c:v>40.82593076923077</c:v>
                </c:pt>
                <c:pt idx="184">
                  <c:v>40.88929230769231</c:v>
                </c:pt>
                <c:pt idx="185">
                  <c:v>40.95265384615386</c:v>
                </c:pt>
                <c:pt idx="186">
                  <c:v>41.01601538461539</c:v>
                </c:pt>
                <c:pt idx="187">
                  <c:v>41.07937692307693</c:v>
                </c:pt>
                <c:pt idx="188">
                  <c:v>41.142738461538464</c:v>
                </c:pt>
                <c:pt idx="189">
                  <c:v>41.2061</c:v>
                </c:pt>
                <c:pt idx="190">
                  <c:v>41.26946153846154</c:v>
                </c:pt>
                <c:pt idx="191">
                  <c:v>41.332823076923084</c:v>
                </c:pt>
                <c:pt idx="192">
                  <c:v>41.39618461538462</c:v>
                </c:pt>
                <c:pt idx="193">
                  <c:v>41.459546153846155</c:v>
                </c:pt>
                <c:pt idx="194">
                  <c:v>41.5229076923077</c:v>
                </c:pt>
                <c:pt idx="195">
                  <c:v>41.58626923076923</c:v>
                </c:pt>
                <c:pt idx="196">
                  <c:v>41.649630769230775</c:v>
                </c:pt>
                <c:pt idx="197">
                  <c:v>41.71299230769231</c:v>
                </c:pt>
                <c:pt idx="198">
                  <c:v>41.77635384615385</c:v>
                </c:pt>
                <c:pt idx="199">
                  <c:v>41.83971538461539</c:v>
                </c:pt>
                <c:pt idx="200">
                  <c:v>41.903076923076924</c:v>
                </c:pt>
                <c:pt idx="201">
                  <c:v>41.966438461538466</c:v>
                </c:pt>
                <c:pt idx="202">
                  <c:v>42.02980000000001</c:v>
                </c:pt>
                <c:pt idx="203">
                  <c:v>42.093161538461544</c:v>
                </c:pt>
                <c:pt idx="204">
                  <c:v>42.15652307692308</c:v>
                </c:pt>
                <c:pt idx="205">
                  <c:v>42.219884615384615</c:v>
                </c:pt>
                <c:pt idx="206">
                  <c:v>42.28324615384616</c:v>
                </c:pt>
                <c:pt idx="207">
                  <c:v>42.34660769230769</c:v>
                </c:pt>
                <c:pt idx="208">
                  <c:v>42.40996923076924</c:v>
                </c:pt>
                <c:pt idx="209">
                  <c:v>42.47333076923078</c:v>
                </c:pt>
                <c:pt idx="210">
                  <c:v>42.53669230769231</c:v>
                </c:pt>
                <c:pt idx="211">
                  <c:v>42.60005384615385</c:v>
                </c:pt>
                <c:pt idx="212">
                  <c:v>42.663415384615384</c:v>
                </c:pt>
                <c:pt idx="213">
                  <c:v>42.726776923076926</c:v>
                </c:pt>
                <c:pt idx="214">
                  <c:v>42.79013846153847</c:v>
                </c:pt>
                <c:pt idx="215">
                  <c:v>42.853500000000004</c:v>
                </c:pt>
                <c:pt idx="216">
                  <c:v>42.91686153846154</c:v>
                </c:pt>
                <c:pt idx="217">
                  <c:v>42.98022307692308</c:v>
                </c:pt>
                <c:pt idx="218">
                  <c:v>43.04358461538462</c:v>
                </c:pt>
                <c:pt idx="219">
                  <c:v>43.10694615384616</c:v>
                </c:pt>
                <c:pt idx="220">
                  <c:v>43.170307692307695</c:v>
                </c:pt>
                <c:pt idx="221">
                  <c:v>43.23366923076924</c:v>
                </c:pt>
                <c:pt idx="222">
                  <c:v>43.29703076923077</c:v>
                </c:pt>
                <c:pt idx="223">
                  <c:v>43.36039230769231</c:v>
                </c:pt>
                <c:pt idx="224">
                  <c:v>43.42375384615385</c:v>
                </c:pt>
                <c:pt idx="225">
                  <c:v>43.48711538461539</c:v>
                </c:pt>
                <c:pt idx="226">
                  <c:v>43.55047692307693</c:v>
                </c:pt>
                <c:pt idx="227">
                  <c:v>43.613838461538464</c:v>
                </c:pt>
                <c:pt idx="228">
                  <c:v>43.6772</c:v>
                </c:pt>
                <c:pt idx="229">
                  <c:v>43.74056153846154</c:v>
                </c:pt>
                <c:pt idx="230">
                  <c:v>43.80392307692308</c:v>
                </c:pt>
                <c:pt idx="231">
                  <c:v>43.86728461538463</c:v>
                </c:pt>
                <c:pt idx="232">
                  <c:v>43.93064615384616</c:v>
                </c:pt>
                <c:pt idx="233">
                  <c:v>43.9940076923077</c:v>
                </c:pt>
                <c:pt idx="234">
                  <c:v>44.05736923076923</c:v>
                </c:pt>
                <c:pt idx="235">
                  <c:v>44.12073076923077</c:v>
                </c:pt>
                <c:pt idx="236">
                  <c:v>44.18409230769231</c:v>
                </c:pt>
                <c:pt idx="237">
                  <c:v>44.24745384615385</c:v>
                </c:pt>
                <c:pt idx="238">
                  <c:v>44.31081538461539</c:v>
                </c:pt>
                <c:pt idx="239">
                  <c:v>44.37417692307693</c:v>
                </c:pt>
                <c:pt idx="240">
                  <c:v>44.437538461538466</c:v>
                </c:pt>
                <c:pt idx="241">
                  <c:v>44.5009</c:v>
                </c:pt>
                <c:pt idx="242">
                  <c:v>44.564261538461544</c:v>
                </c:pt>
                <c:pt idx="243">
                  <c:v>44.62762307692308</c:v>
                </c:pt>
                <c:pt idx="244">
                  <c:v>44.690984615384615</c:v>
                </c:pt>
                <c:pt idx="245">
                  <c:v>44.75434615384616</c:v>
                </c:pt>
                <c:pt idx="246">
                  <c:v>44.81770769230769</c:v>
                </c:pt>
                <c:pt idx="247">
                  <c:v>44.881069230769235</c:v>
                </c:pt>
                <c:pt idx="248">
                  <c:v>44.94443076923078</c:v>
                </c:pt>
                <c:pt idx="249">
                  <c:v>45.00779230769231</c:v>
                </c:pt>
                <c:pt idx="250">
                  <c:v>45.07115384615385</c:v>
                </c:pt>
                <c:pt idx="251">
                  <c:v>45.13451538461538</c:v>
                </c:pt>
                <c:pt idx="252">
                  <c:v>45.197876923076926</c:v>
                </c:pt>
                <c:pt idx="253">
                  <c:v>45.26123846153846</c:v>
                </c:pt>
                <c:pt idx="254">
                  <c:v>45.32460000000001</c:v>
                </c:pt>
                <c:pt idx="255">
                  <c:v>45.387961538461546</c:v>
                </c:pt>
                <c:pt idx="256">
                  <c:v>45.45132307692308</c:v>
                </c:pt>
                <c:pt idx="257">
                  <c:v>45.51468461538462</c:v>
                </c:pt>
                <c:pt idx="258">
                  <c:v>45.57804615384615</c:v>
                </c:pt>
                <c:pt idx="259">
                  <c:v>45.641407692307695</c:v>
                </c:pt>
                <c:pt idx="260">
                  <c:v>45.70476923076924</c:v>
                </c:pt>
                <c:pt idx="261">
                  <c:v>45.76813076923077</c:v>
                </c:pt>
                <c:pt idx="262">
                  <c:v>45.831492307692315</c:v>
                </c:pt>
                <c:pt idx="263">
                  <c:v>45.89485384615385</c:v>
                </c:pt>
                <c:pt idx="264">
                  <c:v>45.958215384615386</c:v>
                </c:pt>
                <c:pt idx="265">
                  <c:v>46.02157692307693</c:v>
                </c:pt>
                <c:pt idx="266">
                  <c:v>46.084938461538464</c:v>
                </c:pt>
                <c:pt idx="267">
                  <c:v>46.1483</c:v>
                </c:pt>
                <c:pt idx="268">
                  <c:v>46.21166153846154</c:v>
                </c:pt>
                <c:pt idx="269">
                  <c:v>46.27502307692308</c:v>
                </c:pt>
                <c:pt idx="270">
                  <c:v>46.33838461538462</c:v>
                </c:pt>
                <c:pt idx="271">
                  <c:v>46.40174615384616</c:v>
                </c:pt>
                <c:pt idx="272">
                  <c:v>46.4651076923077</c:v>
                </c:pt>
                <c:pt idx="273">
                  <c:v>46.52846923076923</c:v>
                </c:pt>
                <c:pt idx="274">
                  <c:v>46.59183076923077</c:v>
                </c:pt>
                <c:pt idx="275">
                  <c:v>46.65519230769231</c:v>
                </c:pt>
                <c:pt idx="276">
                  <c:v>46.718553846153846</c:v>
                </c:pt>
                <c:pt idx="277">
                  <c:v>46.781915384615395</c:v>
                </c:pt>
                <c:pt idx="278">
                  <c:v>46.84527692307693</c:v>
                </c:pt>
                <c:pt idx="279">
                  <c:v>46.908638461538466</c:v>
                </c:pt>
                <c:pt idx="280">
                  <c:v>46.972</c:v>
                </c:pt>
                <c:pt idx="281">
                  <c:v>47.03536153846154</c:v>
                </c:pt>
                <c:pt idx="282">
                  <c:v>47.09872307692308</c:v>
                </c:pt>
                <c:pt idx="283">
                  <c:v>47.16208461538462</c:v>
                </c:pt>
                <c:pt idx="284">
                  <c:v>47.22544615384616</c:v>
                </c:pt>
                <c:pt idx="285">
                  <c:v>47.2888076923077</c:v>
                </c:pt>
                <c:pt idx="286">
                  <c:v>47.352169230769235</c:v>
                </c:pt>
                <c:pt idx="287">
                  <c:v>47.41553076923077</c:v>
                </c:pt>
                <c:pt idx="288">
                  <c:v>47.47889230769231</c:v>
                </c:pt>
                <c:pt idx="289">
                  <c:v>47.54225384615385</c:v>
                </c:pt>
                <c:pt idx="290">
                  <c:v>47.60561538461538</c:v>
                </c:pt>
                <c:pt idx="291">
                  <c:v>47.668976923076926</c:v>
                </c:pt>
                <c:pt idx="292">
                  <c:v>47.73233846153847</c:v>
                </c:pt>
                <c:pt idx="293">
                  <c:v>47.795700000000004</c:v>
                </c:pt>
                <c:pt idx="294">
                  <c:v>47.859061538461546</c:v>
                </c:pt>
                <c:pt idx="295">
                  <c:v>47.92242307692308</c:v>
                </c:pt>
                <c:pt idx="296">
                  <c:v>47.98578461538462</c:v>
                </c:pt>
                <c:pt idx="297">
                  <c:v>48.04914615384615</c:v>
                </c:pt>
                <c:pt idx="298">
                  <c:v>48.11250769230769</c:v>
                </c:pt>
                <c:pt idx="299">
                  <c:v>48.17586923076924</c:v>
                </c:pt>
                <c:pt idx="300">
                  <c:v>48.23923076923078</c:v>
                </c:pt>
                <c:pt idx="301">
                  <c:v>48.302592307692315</c:v>
                </c:pt>
                <c:pt idx="302">
                  <c:v>48.36595384615385</c:v>
                </c:pt>
                <c:pt idx="303">
                  <c:v>48.429315384615386</c:v>
                </c:pt>
                <c:pt idx="304">
                  <c:v>48.49267692307692</c:v>
                </c:pt>
                <c:pt idx="305">
                  <c:v>48.55603846153846</c:v>
                </c:pt>
                <c:pt idx="306">
                  <c:v>48.619400000000006</c:v>
                </c:pt>
                <c:pt idx="307">
                  <c:v>48.68276153846154</c:v>
                </c:pt>
                <c:pt idx="308">
                  <c:v>48.746123076923084</c:v>
                </c:pt>
                <c:pt idx="309">
                  <c:v>48.80948461538462</c:v>
                </c:pt>
                <c:pt idx="310">
                  <c:v>48.872846153846154</c:v>
                </c:pt>
                <c:pt idx="311">
                  <c:v>48.9362076923077</c:v>
                </c:pt>
                <c:pt idx="312">
                  <c:v>48.99956923076923</c:v>
                </c:pt>
                <c:pt idx="313">
                  <c:v>49.062930769230775</c:v>
                </c:pt>
                <c:pt idx="314">
                  <c:v>49.12629230769231</c:v>
                </c:pt>
                <c:pt idx="315">
                  <c:v>49.189653846153846</c:v>
                </c:pt>
                <c:pt idx="316">
                  <c:v>49.25301538461538</c:v>
                </c:pt>
                <c:pt idx="317">
                  <c:v>49.31637692307693</c:v>
                </c:pt>
                <c:pt idx="318">
                  <c:v>49.379738461538466</c:v>
                </c:pt>
                <c:pt idx="319">
                  <c:v>49.4431</c:v>
                </c:pt>
                <c:pt idx="320">
                  <c:v>49.506461538461544</c:v>
                </c:pt>
                <c:pt idx="321">
                  <c:v>49.56982307692308</c:v>
                </c:pt>
                <c:pt idx="322">
                  <c:v>49.633184615384614</c:v>
                </c:pt>
                <c:pt idx="323">
                  <c:v>49.69654615384616</c:v>
                </c:pt>
                <c:pt idx="324">
                  <c:v>49.7599076923077</c:v>
                </c:pt>
                <c:pt idx="325">
                  <c:v>49.823269230769235</c:v>
                </c:pt>
                <c:pt idx="326">
                  <c:v>49.88663076923077</c:v>
                </c:pt>
                <c:pt idx="327">
                  <c:v>49.949992307692305</c:v>
                </c:pt>
                <c:pt idx="328">
                  <c:v>50.01335384615385</c:v>
                </c:pt>
                <c:pt idx="329">
                  <c:v>50.07671538461539</c:v>
                </c:pt>
                <c:pt idx="330">
                  <c:v>50.140076923076926</c:v>
                </c:pt>
                <c:pt idx="331">
                  <c:v>50.20343846153847</c:v>
                </c:pt>
                <c:pt idx="332">
                  <c:v>50.2668</c:v>
                </c:pt>
                <c:pt idx="333">
                  <c:v>50.33016153846154</c:v>
                </c:pt>
                <c:pt idx="334">
                  <c:v>50.39352307692308</c:v>
                </c:pt>
                <c:pt idx="335">
                  <c:v>50.45688461538462</c:v>
                </c:pt>
                <c:pt idx="336">
                  <c:v>50.52024615384615</c:v>
                </c:pt>
                <c:pt idx="337">
                  <c:v>50.583607692307694</c:v>
                </c:pt>
                <c:pt idx="338">
                  <c:v>50.64696923076924</c:v>
                </c:pt>
                <c:pt idx="339">
                  <c:v>50.71033076923077</c:v>
                </c:pt>
                <c:pt idx="340">
                  <c:v>50.773692307692315</c:v>
                </c:pt>
                <c:pt idx="341">
                  <c:v>50.83705384615385</c:v>
                </c:pt>
                <c:pt idx="342">
                  <c:v>50.900415384615386</c:v>
                </c:pt>
                <c:pt idx="343">
                  <c:v>50.96377692307692</c:v>
                </c:pt>
                <c:pt idx="344">
                  <c:v>51.027138461538456</c:v>
                </c:pt>
                <c:pt idx="345">
                  <c:v>51.090500000000006</c:v>
                </c:pt>
                <c:pt idx="346">
                  <c:v>51.15386153846155</c:v>
                </c:pt>
                <c:pt idx="347">
                  <c:v>51.217223076923084</c:v>
                </c:pt>
                <c:pt idx="348">
                  <c:v>51.28058461538462</c:v>
                </c:pt>
                <c:pt idx="349">
                  <c:v>51.343946153846154</c:v>
                </c:pt>
                <c:pt idx="350">
                  <c:v>51.40730769230769</c:v>
                </c:pt>
                <c:pt idx="351">
                  <c:v>51.47066923076923</c:v>
                </c:pt>
                <c:pt idx="352">
                  <c:v>51.534030769230775</c:v>
                </c:pt>
                <c:pt idx="353">
                  <c:v>51.59739230769231</c:v>
                </c:pt>
                <c:pt idx="354">
                  <c:v>51.66075384615385</c:v>
                </c:pt>
                <c:pt idx="355">
                  <c:v>51.72411538461539</c:v>
                </c:pt>
                <c:pt idx="356">
                  <c:v>51.78747692307692</c:v>
                </c:pt>
                <c:pt idx="357">
                  <c:v>51.850838461538466</c:v>
                </c:pt>
                <c:pt idx="358">
                  <c:v>51.9142</c:v>
                </c:pt>
                <c:pt idx="359">
                  <c:v>51.97756153846154</c:v>
                </c:pt>
                <c:pt idx="360">
                  <c:v>52.04092307692308</c:v>
                </c:pt>
                <c:pt idx="361">
                  <c:v>52.104284615384614</c:v>
                </c:pt>
                <c:pt idx="362">
                  <c:v>52.16764615384616</c:v>
                </c:pt>
                <c:pt idx="363">
                  <c:v>52.2310076923077</c:v>
                </c:pt>
                <c:pt idx="364">
                  <c:v>52.294369230769234</c:v>
                </c:pt>
                <c:pt idx="365">
                  <c:v>52.35773076923077</c:v>
                </c:pt>
                <c:pt idx="366">
                  <c:v>52.42109230769231</c:v>
                </c:pt>
                <c:pt idx="367">
                  <c:v>52.48445384615385</c:v>
                </c:pt>
                <c:pt idx="368">
                  <c:v>52.54781538461538</c:v>
                </c:pt>
                <c:pt idx="369">
                  <c:v>52.61117692307693</c:v>
                </c:pt>
                <c:pt idx="370">
                  <c:v>52.67453846153847</c:v>
                </c:pt>
                <c:pt idx="371">
                  <c:v>52.7379</c:v>
                </c:pt>
                <c:pt idx="372">
                  <c:v>52.80126153846154</c:v>
                </c:pt>
                <c:pt idx="373">
                  <c:v>52.864623076923074</c:v>
                </c:pt>
                <c:pt idx="374">
                  <c:v>52.92798461538462</c:v>
                </c:pt>
                <c:pt idx="375">
                  <c:v>52.99134615384616</c:v>
                </c:pt>
                <c:pt idx="376">
                  <c:v>53.054707692307694</c:v>
                </c:pt>
                <c:pt idx="377">
                  <c:v>53.11806923076924</c:v>
                </c:pt>
                <c:pt idx="378">
                  <c:v>53.18143076923077</c:v>
                </c:pt>
                <c:pt idx="379">
                  <c:v>53.24479230769231</c:v>
                </c:pt>
                <c:pt idx="380">
                  <c:v>53.30815384615385</c:v>
                </c:pt>
                <c:pt idx="381">
                  <c:v>53.371515384615385</c:v>
                </c:pt>
                <c:pt idx="382">
                  <c:v>53.43487692307692</c:v>
                </c:pt>
                <c:pt idx="383">
                  <c:v>53.49823846153846</c:v>
                </c:pt>
                <c:pt idx="384">
                  <c:v>53.561600000000006</c:v>
                </c:pt>
                <c:pt idx="385">
                  <c:v>53.62496153846154</c:v>
                </c:pt>
                <c:pt idx="386">
                  <c:v>53.68832307692308</c:v>
                </c:pt>
                <c:pt idx="387">
                  <c:v>53.75168461538462</c:v>
                </c:pt>
                <c:pt idx="388">
                  <c:v>53.815046153846154</c:v>
                </c:pt>
                <c:pt idx="389">
                  <c:v>53.87840769230769</c:v>
                </c:pt>
                <c:pt idx="390">
                  <c:v>53.941769230769225</c:v>
                </c:pt>
                <c:pt idx="391">
                  <c:v>54.005130769230774</c:v>
                </c:pt>
                <c:pt idx="392">
                  <c:v>54.06849230769232</c:v>
                </c:pt>
                <c:pt idx="393">
                  <c:v>54.13185384615385</c:v>
                </c:pt>
                <c:pt idx="394">
                  <c:v>54.19521538461539</c:v>
                </c:pt>
                <c:pt idx="395">
                  <c:v>54.25857692307692</c:v>
                </c:pt>
                <c:pt idx="396">
                  <c:v>54.32193846153846</c:v>
                </c:pt>
                <c:pt idx="397">
                  <c:v>54.3853</c:v>
                </c:pt>
                <c:pt idx="398">
                  <c:v>54.44866153846154</c:v>
                </c:pt>
                <c:pt idx="399">
                  <c:v>54.51202307692308</c:v>
                </c:pt>
                <c:pt idx="400">
                  <c:v>54.57538461538462</c:v>
                </c:pt>
                <c:pt idx="401">
                  <c:v>54.63874615384616</c:v>
                </c:pt>
                <c:pt idx="402">
                  <c:v>54.70210769230769</c:v>
                </c:pt>
                <c:pt idx="403">
                  <c:v>54.765469230769234</c:v>
                </c:pt>
                <c:pt idx="404">
                  <c:v>54.82883076923077</c:v>
                </c:pt>
                <c:pt idx="405">
                  <c:v>54.89219230769231</c:v>
                </c:pt>
                <c:pt idx="406">
                  <c:v>54.95555384615385</c:v>
                </c:pt>
                <c:pt idx="407">
                  <c:v>55.01891538461538</c:v>
                </c:pt>
                <c:pt idx="408">
                  <c:v>55.082276923076925</c:v>
                </c:pt>
                <c:pt idx="409">
                  <c:v>55.14563846153847</c:v>
                </c:pt>
                <c:pt idx="410">
                  <c:v>55.209</c:v>
                </c:pt>
                <c:pt idx="411">
                  <c:v>55.27236153846154</c:v>
                </c:pt>
                <c:pt idx="412">
                  <c:v>55.33572307692308</c:v>
                </c:pt>
                <c:pt idx="413">
                  <c:v>55.399084615384616</c:v>
                </c:pt>
                <c:pt idx="414">
                  <c:v>55.46244615384615</c:v>
                </c:pt>
                <c:pt idx="415">
                  <c:v>55.5258076923077</c:v>
                </c:pt>
                <c:pt idx="416">
                  <c:v>55.58916923076924</c:v>
                </c:pt>
                <c:pt idx="417">
                  <c:v>55.65253076923077</c:v>
                </c:pt>
                <c:pt idx="418">
                  <c:v>55.71589230769231</c:v>
                </c:pt>
                <c:pt idx="419">
                  <c:v>55.77925384615384</c:v>
                </c:pt>
                <c:pt idx="420">
                  <c:v>55.842615384615385</c:v>
                </c:pt>
                <c:pt idx="421">
                  <c:v>55.90597692307693</c:v>
                </c:pt>
                <c:pt idx="422">
                  <c:v>55.96933846153847</c:v>
                </c:pt>
                <c:pt idx="423">
                  <c:v>56.032700000000006</c:v>
                </c:pt>
                <c:pt idx="424">
                  <c:v>56.09606153846154</c:v>
                </c:pt>
                <c:pt idx="425">
                  <c:v>56.159423076923076</c:v>
                </c:pt>
                <c:pt idx="426">
                  <c:v>56.22278461538462</c:v>
                </c:pt>
                <c:pt idx="427">
                  <c:v>56.286146153846154</c:v>
                </c:pt>
                <c:pt idx="428">
                  <c:v>56.34950769230769</c:v>
                </c:pt>
                <c:pt idx="429">
                  <c:v>56.41286923076923</c:v>
                </c:pt>
                <c:pt idx="430">
                  <c:v>56.476230769230774</c:v>
                </c:pt>
                <c:pt idx="431">
                  <c:v>56.53959230769231</c:v>
                </c:pt>
                <c:pt idx="432">
                  <c:v>56.60295384615385</c:v>
                </c:pt>
                <c:pt idx="433">
                  <c:v>56.66631538461539</c:v>
                </c:pt>
                <c:pt idx="434">
                  <c:v>56.72967692307692</c:v>
                </c:pt>
                <c:pt idx="435">
                  <c:v>56.79303846153846</c:v>
                </c:pt>
                <c:pt idx="436">
                  <c:v>56.856399999999994</c:v>
                </c:pt>
                <c:pt idx="437">
                  <c:v>56.91976153846154</c:v>
                </c:pt>
                <c:pt idx="438">
                  <c:v>56.983123076923086</c:v>
                </c:pt>
                <c:pt idx="439">
                  <c:v>57.04648461538462</c:v>
                </c:pt>
                <c:pt idx="440">
                  <c:v>57.109846153846156</c:v>
                </c:pt>
                <c:pt idx="441">
                  <c:v>57.17320769230769</c:v>
                </c:pt>
                <c:pt idx="442">
                  <c:v>57.23656923076923</c:v>
                </c:pt>
                <c:pt idx="443">
                  <c:v>57.29993076923077</c:v>
                </c:pt>
                <c:pt idx="444">
                  <c:v>57.36329230769231</c:v>
                </c:pt>
                <c:pt idx="445">
                  <c:v>57.42665384615385</c:v>
                </c:pt>
                <c:pt idx="446">
                  <c:v>57.49001538461539</c:v>
                </c:pt>
                <c:pt idx="447">
                  <c:v>57.553376923076925</c:v>
                </c:pt>
                <c:pt idx="448">
                  <c:v>57.61673846153846</c:v>
                </c:pt>
                <c:pt idx="449">
                  <c:v>57.6801</c:v>
                </c:pt>
                <c:pt idx="450">
                  <c:v>57.74346153846154</c:v>
                </c:pt>
                <c:pt idx="451">
                  <c:v>57.806823076923074</c:v>
                </c:pt>
                <c:pt idx="452">
                  <c:v>57.87018461538462</c:v>
                </c:pt>
                <c:pt idx="453">
                  <c:v>57.933546153846144</c:v>
                </c:pt>
                <c:pt idx="454">
                  <c:v>57.996907692307694</c:v>
                </c:pt>
                <c:pt idx="455">
                  <c:v>58.06026923076924</c:v>
                </c:pt>
                <c:pt idx="456">
                  <c:v>58.12363076923077</c:v>
                </c:pt>
                <c:pt idx="457">
                  <c:v>58.18699230769231</c:v>
                </c:pt>
                <c:pt idx="458">
                  <c:v>58.25035384615384</c:v>
                </c:pt>
                <c:pt idx="459">
                  <c:v>58.31371538461539</c:v>
                </c:pt>
                <c:pt idx="460">
                  <c:v>58.37707692307692</c:v>
                </c:pt>
                <c:pt idx="461">
                  <c:v>58.44043846153847</c:v>
                </c:pt>
                <c:pt idx="462">
                  <c:v>58.503800000000005</c:v>
                </c:pt>
                <c:pt idx="463">
                  <c:v>58.56716153846154</c:v>
                </c:pt>
                <c:pt idx="464">
                  <c:v>58.630523076923076</c:v>
                </c:pt>
                <c:pt idx="465">
                  <c:v>58.69388461538461</c:v>
                </c:pt>
                <c:pt idx="466">
                  <c:v>58.75724615384616</c:v>
                </c:pt>
                <c:pt idx="467">
                  <c:v>58.82060769230769</c:v>
                </c:pt>
                <c:pt idx="468">
                  <c:v>58.88396923076924</c:v>
                </c:pt>
                <c:pt idx="469">
                  <c:v>58.947330769230774</c:v>
                </c:pt>
                <c:pt idx="470">
                  <c:v>59.01069230769231</c:v>
                </c:pt>
                <c:pt idx="471">
                  <c:v>59.074053846153845</c:v>
                </c:pt>
                <c:pt idx="472">
                  <c:v>59.13741538461539</c:v>
                </c:pt>
                <c:pt idx="473">
                  <c:v>59.20077692307694</c:v>
                </c:pt>
                <c:pt idx="474">
                  <c:v>59.26413846153846</c:v>
                </c:pt>
                <c:pt idx="475">
                  <c:v>59.32750000000001</c:v>
                </c:pt>
                <c:pt idx="476">
                  <c:v>59.39086153846153</c:v>
                </c:pt>
                <c:pt idx="477">
                  <c:v>59.45422307692308</c:v>
                </c:pt>
                <c:pt idx="478">
                  <c:v>59.51758461538462</c:v>
                </c:pt>
                <c:pt idx="479">
                  <c:v>59.580946153846156</c:v>
                </c:pt>
                <c:pt idx="480">
                  <c:v>59.64430769230769</c:v>
                </c:pt>
                <c:pt idx="481">
                  <c:v>59.70766923076923</c:v>
                </c:pt>
                <c:pt idx="482">
                  <c:v>59.77103076923078</c:v>
                </c:pt>
                <c:pt idx="483">
                  <c:v>59.834392307692305</c:v>
                </c:pt>
                <c:pt idx="484">
                  <c:v>59.897753846153854</c:v>
                </c:pt>
                <c:pt idx="485">
                  <c:v>59.961115384615375</c:v>
                </c:pt>
                <c:pt idx="486">
                  <c:v>60.024476923076925</c:v>
                </c:pt>
                <c:pt idx="487">
                  <c:v>60.08783846153846</c:v>
                </c:pt>
                <c:pt idx="488">
                  <c:v>60.151199999999996</c:v>
                </c:pt>
                <c:pt idx="489">
                  <c:v>60.21456153846154</c:v>
                </c:pt>
                <c:pt idx="490">
                  <c:v>60.277923076923074</c:v>
                </c:pt>
                <c:pt idx="491">
                  <c:v>60.34128461538462</c:v>
                </c:pt>
                <c:pt idx="492">
                  <c:v>60.404646153846144</c:v>
                </c:pt>
                <c:pt idx="493">
                  <c:v>60.468007692307694</c:v>
                </c:pt>
                <c:pt idx="494">
                  <c:v>60.53136923076923</c:v>
                </c:pt>
                <c:pt idx="495">
                  <c:v>60.59473076923077</c:v>
                </c:pt>
                <c:pt idx="496">
                  <c:v>60.65809230769231</c:v>
                </c:pt>
                <c:pt idx="497">
                  <c:v>60.72145384615384</c:v>
                </c:pt>
                <c:pt idx="498">
                  <c:v>60.78481538461539</c:v>
                </c:pt>
                <c:pt idx="499">
                  <c:v>60.84817692307691</c:v>
                </c:pt>
                <c:pt idx="500">
                  <c:v>60.91153846153846</c:v>
                </c:pt>
                <c:pt idx="501">
                  <c:v>60.974900000000005</c:v>
                </c:pt>
                <c:pt idx="502">
                  <c:v>61.03826153846154</c:v>
                </c:pt>
                <c:pt idx="503">
                  <c:v>61.101623076923076</c:v>
                </c:pt>
                <c:pt idx="504">
                  <c:v>61.16498461538461</c:v>
                </c:pt>
                <c:pt idx="505">
                  <c:v>61.22834615384616</c:v>
                </c:pt>
                <c:pt idx="506">
                  <c:v>61.29170769230769</c:v>
                </c:pt>
                <c:pt idx="507">
                  <c:v>61.35506923076924</c:v>
                </c:pt>
                <c:pt idx="508">
                  <c:v>61.418430769230774</c:v>
                </c:pt>
                <c:pt idx="509">
                  <c:v>61.48179230769231</c:v>
                </c:pt>
                <c:pt idx="510">
                  <c:v>61.545153846153845</c:v>
                </c:pt>
                <c:pt idx="511">
                  <c:v>61.60851538461538</c:v>
                </c:pt>
                <c:pt idx="512">
                  <c:v>61.67187692307693</c:v>
                </c:pt>
                <c:pt idx="513">
                  <c:v>61.73523846153846</c:v>
                </c:pt>
                <c:pt idx="514">
                  <c:v>61.79860000000001</c:v>
                </c:pt>
                <c:pt idx="515">
                  <c:v>61.86196153846154</c:v>
                </c:pt>
                <c:pt idx="516">
                  <c:v>61.92532307692308</c:v>
                </c:pt>
                <c:pt idx="517">
                  <c:v>61.988684615384614</c:v>
                </c:pt>
                <c:pt idx="518">
                  <c:v>62.052046153846156</c:v>
                </c:pt>
                <c:pt idx="519">
                  <c:v>62.115407692307706</c:v>
                </c:pt>
                <c:pt idx="520">
                  <c:v>62.17876923076923</c:v>
                </c:pt>
                <c:pt idx="521">
                  <c:v>62.242130769230776</c:v>
                </c:pt>
                <c:pt idx="522">
                  <c:v>62.3054923076923</c:v>
                </c:pt>
                <c:pt idx="523">
                  <c:v>62.36885384615385</c:v>
                </c:pt>
                <c:pt idx="524">
                  <c:v>62.43221538461539</c:v>
                </c:pt>
                <c:pt idx="525">
                  <c:v>62.495576923076925</c:v>
                </c:pt>
                <c:pt idx="526">
                  <c:v>62.55893846153846</c:v>
                </c:pt>
                <c:pt idx="527">
                  <c:v>62.622299999999996</c:v>
                </c:pt>
                <c:pt idx="528">
                  <c:v>62.685661538461545</c:v>
                </c:pt>
                <c:pt idx="529">
                  <c:v>62.74902307692307</c:v>
                </c:pt>
                <c:pt idx="530">
                  <c:v>62.81238461538462</c:v>
                </c:pt>
                <c:pt idx="531">
                  <c:v>62.875746153846144</c:v>
                </c:pt>
                <c:pt idx="532">
                  <c:v>62.939107692307694</c:v>
                </c:pt>
                <c:pt idx="533">
                  <c:v>63.00246923076923</c:v>
                </c:pt>
                <c:pt idx="534">
                  <c:v>63.065830769230764</c:v>
                </c:pt>
                <c:pt idx="535">
                  <c:v>63.129192307692314</c:v>
                </c:pt>
                <c:pt idx="536">
                  <c:v>63.19255384615384</c:v>
                </c:pt>
                <c:pt idx="537">
                  <c:v>63.25591538461539</c:v>
                </c:pt>
                <c:pt idx="538">
                  <c:v>63.31927692307691</c:v>
                </c:pt>
                <c:pt idx="539">
                  <c:v>63.38263846153846</c:v>
                </c:pt>
                <c:pt idx="540">
                  <c:v>63.446</c:v>
                </c:pt>
                <c:pt idx="541">
                  <c:v>63.50936153846154</c:v>
                </c:pt>
                <c:pt idx="542">
                  <c:v>63.572723076923076</c:v>
                </c:pt>
                <c:pt idx="543">
                  <c:v>63.63608461538461</c:v>
                </c:pt>
                <c:pt idx="544">
                  <c:v>63.69944615384616</c:v>
                </c:pt>
                <c:pt idx="545">
                  <c:v>63.76280769230768</c:v>
                </c:pt>
                <c:pt idx="546">
                  <c:v>63.82616923076923</c:v>
                </c:pt>
                <c:pt idx="547">
                  <c:v>63.889530769230774</c:v>
                </c:pt>
                <c:pt idx="548">
                  <c:v>63.95289230769231</c:v>
                </c:pt>
                <c:pt idx="549">
                  <c:v>64.01625384615384</c:v>
                </c:pt>
                <c:pt idx="550">
                  <c:v>64.07961538461538</c:v>
                </c:pt>
                <c:pt idx="551">
                  <c:v>64.14297692307693</c:v>
                </c:pt>
                <c:pt idx="552">
                  <c:v>64.20633846153845</c:v>
                </c:pt>
                <c:pt idx="553">
                  <c:v>64.2697</c:v>
                </c:pt>
                <c:pt idx="554">
                  <c:v>64.33306153846154</c:v>
                </c:pt>
                <c:pt idx="555">
                  <c:v>64.39642307692309</c:v>
                </c:pt>
                <c:pt idx="556">
                  <c:v>64.45978461538462</c:v>
                </c:pt>
                <c:pt idx="557">
                  <c:v>64.52314615384616</c:v>
                </c:pt>
                <c:pt idx="558">
                  <c:v>64.5865076923077</c:v>
                </c:pt>
                <c:pt idx="559">
                  <c:v>64.64986923076923</c:v>
                </c:pt>
                <c:pt idx="560">
                  <c:v>64.71323076923078</c:v>
                </c:pt>
                <c:pt idx="561">
                  <c:v>64.77659230769231</c:v>
                </c:pt>
                <c:pt idx="562">
                  <c:v>64.83995384615385</c:v>
                </c:pt>
                <c:pt idx="563">
                  <c:v>64.90331538461538</c:v>
                </c:pt>
                <c:pt idx="564">
                  <c:v>64.96667692307692</c:v>
                </c:pt>
                <c:pt idx="565">
                  <c:v>65.03003846153847</c:v>
                </c:pt>
                <c:pt idx="566">
                  <c:v>65.0934</c:v>
                </c:pt>
                <c:pt idx="567">
                  <c:v>65.15676153846155</c:v>
                </c:pt>
                <c:pt idx="568">
                  <c:v>65.22012307692307</c:v>
                </c:pt>
                <c:pt idx="569">
                  <c:v>65.28348461538462</c:v>
                </c:pt>
                <c:pt idx="570">
                  <c:v>65.34684615384616</c:v>
                </c:pt>
                <c:pt idx="571">
                  <c:v>65.4102076923077</c:v>
                </c:pt>
                <c:pt idx="572">
                  <c:v>65.47356923076923</c:v>
                </c:pt>
                <c:pt idx="573">
                  <c:v>65.53693076923076</c:v>
                </c:pt>
                <c:pt idx="574">
                  <c:v>65.60029230769231</c:v>
                </c:pt>
                <c:pt idx="575">
                  <c:v>65.66365384615384</c:v>
                </c:pt>
                <c:pt idx="576">
                  <c:v>65.72701538461538</c:v>
                </c:pt>
                <c:pt idx="577">
                  <c:v>65.79037692307692</c:v>
                </c:pt>
                <c:pt idx="578">
                  <c:v>65.85373846153847</c:v>
                </c:pt>
                <c:pt idx="579">
                  <c:v>65.9171</c:v>
                </c:pt>
                <c:pt idx="580">
                  <c:v>65.98046153846154</c:v>
                </c:pt>
                <c:pt idx="581">
                  <c:v>66.04382307692309</c:v>
                </c:pt>
                <c:pt idx="582">
                  <c:v>66.10718461538461</c:v>
                </c:pt>
                <c:pt idx="583">
                  <c:v>66.17054615384616</c:v>
                </c:pt>
                <c:pt idx="584">
                  <c:v>66.2339076923077</c:v>
                </c:pt>
                <c:pt idx="585">
                  <c:v>66.29726923076923</c:v>
                </c:pt>
                <c:pt idx="586">
                  <c:v>66.36063076923077</c:v>
                </c:pt>
                <c:pt idx="587">
                  <c:v>66.4239923076923</c:v>
                </c:pt>
                <c:pt idx="588">
                  <c:v>66.48735384615384</c:v>
                </c:pt>
                <c:pt idx="589">
                  <c:v>66.55071538461539</c:v>
                </c:pt>
                <c:pt idx="590">
                  <c:v>66.61407692307694</c:v>
                </c:pt>
                <c:pt idx="591">
                  <c:v>66.67743846153846</c:v>
                </c:pt>
                <c:pt idx="592">
                  <c:v>66.74080000000001</c:v>
                </c:pt>
                <c:pt idx="593">
                  <c:v>66.80416153846153</c:v>
                </c:pt>
                <c:pt idx="594">
                  <c:v>66.86752307692308</c:v>
                </c:pt>
                <c:pt idx="595">
                  <c:v>66.93088461538463</c:v>
                </c:pt>
                <c:pt idx="596">
                  <c:v>66.99424615384615</c:v>
                </c:pt>
                <c:pt idx="597">
                  <c:v>67.0576076923077</c:v>
                </c:pt>
                <c:pt idx="598">
                  <c:v>67.12096923076923</c:v>
                </c:pt>
                <c:pt idx="599">
                  <c:v>67.18433076923077</c:v>
                </c:pt>
                <c:pt idx="600">
                  <c:v>67.2476923076923</c:v>
                </c:pt>
                <c:pt idx="601">
                  <c:v>67.31105384615385</c:v>
                </c:pt>
                <c:pt idx="602">
                  <c:v>67.37441538461539</c:v>
                </c:pt>
                <c:pt idx="603">
                  <c:v>67.43777692307692</c:v>
                </c:pt>
                <c:pt idx="604">
                  <c:v>67.50113846153847</c:v>
                </c:pt>
                <c:pt idx="605">
                  <c:v>67.5645</c:v>
                </c:pt>
                <c:pt idx="606">
                  <c:v>67.62786153846154</c:v>
                </c:pt>
                <c:pt idx="607">
                  <c:v>67.69122307692307</c:v>
                </c:pt>
                <c:pt idx="608">
                  <c:v>67.75458461538462</c:v>
                </c:pt>
                <c:pt idx="609">
                  <c:v>67.81794615384615</c:v>
                </c:pt>
                <c:pt idx="610">
                  <c:v>67.88130769230769</c:v>
                </c:pt>
                <c:pt idx="611">
                  <c:v>67.94466923076924</c:v>
                </c:pt>
                <c:pt idx="612">
                  <c:v>68.00803076923077</c:v>
                </c:pt>
                <c:pt idx="613">
                  <c:v>68.07139230769232</c:v>
                </c:pt>
                <c:pt idx="614">
                  <c:v>68.13475384615384</c:v>
                </c:pt>
                <c:pt idx="615">
                  <c:v>68.19811538461539</c:v>
                </c:pt>
                <c:pt idx="616">
                  <c:v>68.26147692307693</c:v>
                </c:pt>
                <c:pt idx="617">
                  <c:v>68.32483846153846</c:v>
                </c:pt>
                <c:pt idx="618">
                  <c:v>68.38820000000001</c:v>
                </c:pt>
                <c:pt idx="619">
                  <c:v>68.45156153846153</c:v>
                </c:pt>
                <c:pt idx="620">
                  <c:v>68.51492307692308</c:v>
                </c:pt>
                <c:pt idx="621">
                  <c:v>68.5782846153846</c:v>
                </c:pt>
                <c:pt idx="622">
                  <c:v>68.64164615384615</c:v>
                </c:pt>
                <c:pt idx="623">
                  <c:v>68.70500769230769</c:v>
                </c:pt>
                <c:pt idx="624">
                  <c:v>68.76836923076924</c:v>
                </c:pt>
                <c:pt idx="625">
                  <c:v>68.83173076923077</c:v>
                </c:pt>
                <c:pt idx="626">
                  <c:v>68.89509230769231</c:v>
                </c:pt>
                <c:pt idx="627">
                  <c:v>68.95845384615384</c:v>
                </c:pt>
                <c:pt idx="628">
                  <c:v>69.02181538461538</c:v>
                </c:pt>
                <c:pt idx="629">
                  <c:v>69.08517692307693</c:v>
                </c:pt>
                <c:pt idx="630">
                  <c:v>69.14853846153845</c:v>
                </c:pt>
                <c:pt idx="631">
                  <c:v>69.2119</c:v>
                </c:pt>
                <c:pt idx="632">
                  <c:v>69.27526153846152</c:v>
                </c:pt>
                <c:pt idx="633">
                  <c:v>69.33862307692307</c:v>
                </c:pt>
                <c:pt idx="634">
                  <c:v>69.40198461538462</c:v>
                </c:pt>
                <c:pt idx="635">
                  <c:v>69.46534615384616</c:v>
                </c:pt>
                <c:pt idx="636">
                  <c:v>69.5287076923077</c:v>
                </c:pt>
                <c:pt idx="637">
                  <c:v>69.59206923076924</c:v>
                </c:pt>
                <c:pt idx="638">
                  <c:v>69.65543076923078</c:v>
                </c:pt>
                <c:pt idx="639">
                  <c:v>69.71879230769231</c:v>
                </c:pt>
                <c:pt idx="640">
                  <c:v>69.78215384615385</c:v>
                </c:pt>
                <c:pt idx="641">
                  <c:v>69.84551538461538</c:v>
                </c:pt>
                <c:pt idx="642">
                  <c:v>69.90887692307692</c:v>
                </c:pt>
                <c:pt idx="643">
                  <c:v>69.97223846153847</c:v>
                </c:pt>
                <c:pt idx="644">
                  <c:v>70.03559999999999</c:v>
                </c:pt>
                <c:pt idx="645">
                  <c:v>70.09896153846154</c:v>
                </c:pt>
                <c:pt idx="646">
                  <c:v>70.16232307692307</c:v>
                </c:pt>
                <c:pt idx="647">
                  <c:v>70.22568461538462</c:v>
                </c:pt>
                <c:pt idx="648">
                  <c:v>70.28904615384617</c:v>
                </c:pt>
                <c:pt idx="649">
                  <c:v>70.3524076923077</c:v>
                </c:pt>
                <c:pt idx="650">
                  <c:v>70.41576923076924</c:v>
                </c:pt>
                <c:pt idx="651">
                  <c:v>70.47913076923076</c:v>
                </c:pt>
                <c:pt idx="652">
                  <c:v>70.54249230769231</c:v>
                </c:pt>
                <c:pt idx="653">
                  <c:v>70.60585384615385</c:v>
                </c:pt>
                <c:pt idx="654">
                  <c:v>70.66921538461538</c:v>
                </c:pt>
                <c:pt idx="655">
                  <c:v>70.73257692307692</c:v>
                </c:pt>
                <c:pt idx="656">
                  <c:v>70.79593846153846</c:v>
                </c:pt>
                <c:pt idx="657">
                  <c:v>70.8593</c:v>
                </c:pt>
                <c:pt idx="658">
                  <c:v>70.92266153846154</c:v>
                </c:pt>
                <c:pt idx="659">
                  <c:v>70.98602307692309</c:v>
                </c:pt>
                <c:pt idx="660">
                  <c:v>71.04938461538461</c:v>
                </c:pt>
                <c:pt idx="661">
                  <c:v>71.11274615384616</c:v>
                </c:pt>
                <c:pt idx="662">
                  <c:v>71.1761076923077</c:v>
                </c:pt>
                <c:pt idx="663">
                  <c:v>71.23946923076923</c:v>
                </c:pt>
                <c:pt idx="664">
                  <c:v>71.30283076923077</c:v>
                </c:pt>
                <c:pt idx="665">
                  <c:v>71.3661923076923</c:v>
                </c:pt>
                <c:pt idx="666">
                  <c:v>71.42955384615385</c:v>
                </c:pt>
                <c:pt idx="667">
                  <c:v>71.49291538461537</c:v>
                </c:pt>
                <c:pt idx="668">
                  <c:v>71.55627692307692</c:v>
                </c:pt>
                <c:pt idx="669">
                  <c:v>71.61963846153846</c:v>
                </c:pt>
                <c:pt idx="670">
                  <c:v>71.683</c:v>
                </c:pt>
                <c:pt idx="671">
                  <c:v>71.74636153846156</c:v>
                </c:pt>
                <c:pt idx="672">
                  <c:v>71.80972307692308</c:v>
                </c:pt>
                <c:pt idx="673">
                  <c:v>71.87308461538463</c:v>
                </c:pt>
                <c:pt idx="674">
                  <c:v>71.93644615384615</c:v>
                </c:pt>
                <c:pt idx="675">
                  <c:v>71.9998076923077</c:v>
                </c:pt>
                <c:pt idx="676">
                  <c:v>72.06316923076923</c:v>
                </c:pt>
                <c:pt idx="677">
                  <c:v>72.12653076923077</c:v>
                </c:pt>
                <c:pt idx="678">
                  <c:v>72.1898923076923</c:v>
                </c:pt>
                <c:pt idx="679">
                  <c:v>72.25325384615384</c:v>
                </c:pt>
                <c:pt idx="680">
                  <c:v>72.31661538461537</c:v>
                </c:pt>
                <c:pt idx="681">
                  <c:v>72.37997692307692</c:v>
                </c:pt>
                <c:pt idx="682">
                  <c:v>72.44333846153847</c:v>
                </c:pt>
                <c:pt idx="683">
                  <c:v>72.5067</c:v>
                </c:pt>
                <c:pt idx="684">
                  <c:v>72.57006153846154</c:v>
                </c:pt>
                <c:pt idx="685">
                  <c:v>72.63342307692307</c:v>
                </c:pt>
                <c:pt idx="686">
                  <c:v>72.69678461538462</c:v>
                </c:pt>
                <c:pt idx="687">
                  <c:v>72.76014615384616</c:v>
                </c:pt>
                <c:pt idx="688">
                  <c:v>72.82350769230769</c:v>
                </c:pt>
                <c:pt idx="689">
                  <c:v>72.88686923076924</c:v>
                </c:pt>
                <c:pt idx="690">
                  <c:v>72.95023076923077</c:v>
                </c:pt>
                <c:pt idx="691">
                  <c:v>73.0135923076923</c:v>
                </c:pt>
                <c:pt idx="692">
                  <c:v>73.07695384615384</c:v>
                </c:pt>
                <c:pt idx="693">
                  <c:v>73.14031538461539</c:v>
                </c:pt>
                <c:pt idx="694">
                  <c:v>73.20367692307693</c:v>
                </c:pt>
                <c:pt idx="695">
                  <c:v>73.26703846153846</c:v>
                </c:pt>
                <c:pt idx="696">
                  <c:v>73.33040000000001</c:v>
                </c:pt>
                <c:pt idx="697">
                  <c:v>73.39376153846153</c:v>
                </c:pt>
                <c:pt idx="698">
                  <c:v>73.45712307692308</c:v>
                </c:pt>
                <c:pt idx="699">
                  <c:v>73.5204846153846</c:v>
                </c:pt>
                <c:pt idx="700">
                  <c:v>73.58384615384615</c:v>
                </c:pt>
                <c:pt idx="701">
                  <c:v>73.64720769230769</c:v>
                </c:pt>
                <c:pt idx="702">
                  <c:v>73.71056923076922</c:v>
                </c:pt>
                <c:pt idx="703">
                  <c:v>73.77393076923077</c:v>
                </c:pt>
                <c:pt idx="704">
                  <c:v>73.83729230769231</c:v>
                </c:pt>
                <c:pt idx="705">
                  <c:v>73.90065384615386</c:v>
                </c:pt>
                <c:pt idx="706">
                  <c:v>73.96401538461538</c:v>
                </c:pt>
                <c:pt idx="707">
                  <c:v>74.02737692307693</c:v>
                </c:pt>
                <c:pt idx="708">
                  <c:v>74.09073846153846</c:v>
                </c:pt>
                <c:pt idx="709">
                  <c:v>74.1541</c:v>
                </c:pt>
                <c:pt idx="710">
                  <c:v>74.21746153846155</c:v>
                </c:pt>
                <c:pt idx="711">
                  <c:v>74.28082307692307</c:v>
                </c:pt>
                <c:pt idx="712">
                  <c:v>74.34418461538462</c:v>
                </c:pt>
                <c:pt idx="713">
                  <c:v>74.40754615384614</c:v>
                </c:pt>
                <c:pt idx="714">
                  <c:v>74.47090769230769</c:v>
                </c:pt>
                <c:pt idx="715">
                  <c:v>74.53426923076923</c:v>
                </c:pt>
                <c:pt idx="716">
                  <c:v>74.59763076923078</c:v>
                </c:pt>
                <c:pt idx="717">
                  <c:v>74.66099230769231</c:v>
                </c:pt>
                <c:pt idx="718">
                  <c:v>74.72435384615385</c:v>
                </c:pt>
                <c:pt idx="719">
                  <c:v>74.78771538461538</c:v>
                </c:pt>
                <c:pt idx="720">
                  <c:v>74.85107692307692</c:v>
                </c:pt>
                <c:pt idx="721">
                  <c:v>74.91443846153847</c:v>
                </c:pt>
                <c:pt idx="722">
                  <c:v>74.97779999999999</c:v>
                </c:pt>
                <c:pt idx="723">
                  <c:v>75.04116153846154</c:v>
                </c:pt>
                <c:pt idx="724">
                  <c:v>75.10452307692309</c:v>
                </c:pt>
                <c:pt idx="725">
                  <c:v>75.16788461538461</c:v>
                </c:pt>
                <c:pt idx="726">
                  <c:v>75.23124615384616</c:v>
                </c:pt>
                <c:pt idx="727">
                  <c:v>75.2946076923077</c:v>
                </c:pt>
                <c:pt idx="728">
                  <c:v>75.35796923076924</c:v>
                </c:pt>
                <c:pt idx="729">
                  <c:v>75.42133076923078</c:v>
                </c:pt>
                <c:pt idx="730">
                  <c:v>75.48469230769231</c:v>
                </c:pt>
                <c:pt idx="731">
                  <c:v>75.54805384615385</c:v>
                </c:pt>
                <c:pt idx="732">
                  <c:v>75.61141538461538</c:v>
                </c:pt>
                <c:pt idx="733">
                  <c:v>75.67477692307692</c:v>
                </c:pt>
                <c:pt idx="734">
                  <c:v>75.73813846153845</c:v>
                </c:pt>
                <c:pt idx="735">
                  <c:v>75.8015</c:v>
                </c:pt>
                <c:pt idx="736">
                  <c:v>75.86486153846153</c:v>
                </c:pt>
                <c:pt idx="737">
                  <c:v>75.92822307692308</c:v>
                </c:pt>
                <c:pt idx="738">
                  <c:v>75.99158461538461</c:v>
                </c:pt>
                <c:pt idx="739">
                  <c:v>76.05494615384616</c:v>
                </c:pt>
                <c:pt idx="740">
                  <c:v>76.11830769230771</c:v>
                </c:pt>
                <c:pt idx="741">
                  <c:v>76.18166923076923</c:v>
                </c:pt>
                <c:pt idx="742">
                  <c:v>76.24503076923078</c:v>
                </c:pt>
                <c:pt idx="743">
                  <c:v>76.3083923076923</c:v>
                </c:pt>
                <c:pt idx="744">
                  <c:v>76.37175384615385</c:v>
                </c:pt>
                <c:pt idx="745">
                  <c:v>76.43511538461539</c:v>
                </c:pt>
                <c:pt idx="746">
                  <c:v>76.49847692307692</c:v>
                </c:pt>
                <c:pt idx="747">
                  <c:v>76.56183846153846</c:v>
                </c:pt>
                <c:pt idx="748">
                  <c:v>76.62519999999999</c:v>
                </c:pt>
                <c:pt idx="749">
                  <c:v>76.68856153846154</c:v>
                </c:pt>
                <c:pt idx="750">
                  <c:v>76.75192307692308</c:v>
                </c:pt>
                <c:pt idx="751">
                  <c:v>76.81528461538463</c:v>
                </c:pt>
                <c:pt idx="752">
                  <c:v>76.87864615384615</c:v>
                </c:pt>
                <c:pt idx="753">
                  <c:v>76.9420076923077</c:v>
                </c:pt>
                <c:pt idx="754">
                  <c:v>77.00536923076923</c:v>
                </c:pt>
                <c:pt idx="755">
                  <c:v>77.06873076923077</c:v>
                </c:pt>
                <c:pt idx="756">
                  <c:v>77.1320923076923</c:v>
                </c:pt>
                <c:pt idx="757">
                  <c:v>77.19545384615384</c:v>
                </c:pt>
                <c:pt idx="758">
                  <c:v>77.25881538461539</c:v>
                </c:pt>
                <c:pt idx="759">
                  <c:v>77.32217692307691</c:v>
                </c:pt>
                <c:pt idx="760">
                  <c:v>77.38553846153846</c:v>
                </c:pt>
                <c:pt idx="761">
                  <c:v>77.4489</c:v>
                </c:pt>
                <c:pt idx="762">
                  <c:v>77.51226153846154</c:v>
                </c:pt>
                <c:pt idx="763">
                  <c:v>77.5756230769231</c:v>
                </c:pt>
                <c:pt idx="764">
                  <c:v>77.63898461538462</c:v>
                </c:pt>
                <c:pt idx="765">
                  <c:v>77.70234615384616</c:v>
                </c:pt>
                <c:pt idx="766">
                  <c:v>77.76570769230769</c:v>
                </c:pt>
                <c:pt idx="767">
                  <c:v>77.82906923076924</c:v>
                </c:pt>
                <c:pt idx="768">
                  <c:v>77.89243076923077</c:v>
                </c:pt>
                <c:pt idx="769">
                  <c:v>77.9557923076923</c:v>
                </c:pt>
                <c:pt idx="770">
                  <c:v>78.01915384615384</c:v>
                </c:pt>
                <c:pt idx="771">
                  <c:v>78.08251538461538</c:v>
                </c:pt>
                <c:pt idx="772">
                  <c:v>78.14587692307691</c:v>
                </c:pt>
                <c:pt idx="773">
                  <c:v>78.20923846153846</c:v>
                </c:pt>
                <c:pt idx="774">
                  <c:v>78.27260000000001</c:v>
                </c:pt>
                <c:pt idx="775">
                  <c:v>78.33596153846153</c:v>
                </c:pt>
                <c:pt idx="776">
                  <c:v>78.39932307692308</c:v>
                </c:pt>
                <c:pt idx="777">
                  <c:v>78.46268461538463</c:v>
                </c:pt>
                <c:pt idx="778">
                  <c:v>78.52604615384615</c:v>
                </c:pt>
                <c:pt idx="779">
                  <c:v>78.5894076923077</c:v>
                </c:pt>
                <c:pt idx="780">
                  <c:v>78.65276923076922</c:v>
                </c:pt>
                <c:pt idx="781">
                  <c:v>78.71613076923077</c:v>
                </c:pt>
                <c:pt idx="782">
                  <c:v>78.77949230769231</c:v>
                </c:pt>
                <c:pt idx="783">
                  <c:v>78.84285384615384</c:v>
                </c:pt>
                <c:pt idx="784">
                  <c:v>78.90621538461538</c:v>
                </c:pt>
                <c:pt idx="785">
                  <c:v>78.96957692307693</c:v>
                </c:pt>
                <c:pt idx="786">
                  <c:v>79.03293846153846</c:v>
                </c:pt>
                <c:pt idx="787">
                  <c:v>79.0963</c:v>
                </c:pt>
                <c:pt idx="788">
                  <c:v>79.15966153846155</c:v>
                </c:pt>
                <c:pt idx="789">
                  <c:v>79.22302307692307</c:v>
                </c:pt>
                <c:pt idx="790">
                  <c:v>79.28638461538462</c:v>
                </c:pt>
                <c:pt idx="791">
                  <c:v>79.34974615384616</c:v>
                </c:pt>
                <c:pt idx="792">
                  <c:v>79.41310769230769</c:v>
                </c:pt>
                <c:pt idx="793">
                  <c:v>79.47646923076923</c:v>
                </c:pt>
                <c:pt idx="794">
                  <c:v>79.53983076923076</c:v>
                </c:pt>
                <c:pt idx="795">
                  <c:v>79.60319230769231</c:v>
                </c:pt>
                <c:pt idx="796">
                  <c:v>79.66655384615385</c:v>
                </c:pt>
                <c:pt idx="797">
                  <c:v>79.7299153846154</c:v>
                </c:pt>
                <c:pt idx="798">
                  <c:v>79.79327692307692</c:v>
                </c:pt>
                <c:pt idx="799">
                  <c:v>79.85663846153847</c:v>
                </c:pt>
                <c:pt idx="800">
                  <c:v>79.92</c:v>
                </c:pt>
              </c:numCache>
            </c:numRef>
          </c:xVal>
          <c:yVal>
            <c:numRef>
              <c:f>TICH_PHAN_SO_V!$Q$6:$Q$806</c:f>
              <c:numCache>
                <c:formatCode>General</c:formatCode>
                <c:ptCount val="801"/>
                <c:pt idx="0">
                  <c:v>5.105424792832636</c:v>
                </c:pt>
                <c:pt idx="1">
                  <c:v>5.1017921961557215</c:v>
                </c:pt>
                <c:pt idx="2">
                  <c:v>5.0981782121499615</c:v>
                </c:pt>
                <c:pt idx="3">
                  <c:v>5.094582772712159</c:v>
                </c:pt>
                <c:pt idx="4">
                  <c:v>5.091005810224526</c:v>
                </c:pt>
                <c:pt idx="5">
                  <c:v>5.087447257551192</c:v>
                </c:pt>
                <c:pt idx="6">
                  <c:v>5.083907048034766</c:v>
                </c:pt>
                <c:pt idx="7">
                  <c:v>5.080385115492881</c:v>
                </c:pt>
                <c:pt idx="8">
                  <c:v>5.0768813942148245</c:v>
                </c:pt>
                <c:pt idx="9">
                  <c:v>5.073395818958202</c:v>
                </c:pt>
                <c:pt idx="10">
                  <c:v>5.069928324945569</c:v>
                </c:pt>
                <c:pt idx="11">
                  <c:v>5.066478847861175</c:v>
                </c:pt>
                <c:pt idx="12">
                  <c:v>5.063047323847685</c:v>
                </c:pt>
                <c:pt idx="13">
                  <c:v>5.05963368950297</c:v>
                </c:pt>
                <c:pt idx="14">
                  <c:v>5.056237881876876</c:v>
                </c:pt>
                <c:pt idx="15">
                  <c:v>5.052859838468087</c:v>
                </c:pt>
                <c:pt idx="16">
                  <c:v>5.049499497220976</c:v>
                </c:pt>
                <c:pt idx="17">
                  <c:v>5.046156796522496</c:v>
                </c:pt>
                <c:pt idx="18">
                  <c:v>5.042831675199115</c:v>
                </c:pt>
                <c:pt idx="19">
                  <c:v>5.039524072513745</c:v>
                </c:pt>
                <c:pt idx="20">
                  <c:v>5.036233928162753</c:v>
                </c:pt>
                <c:pt idx="21">
                  <c:v>5.032961182272939</c:v>
                </c:pt>
                <c:pt idx="22">
                  <c:v>5.029705775398607</c:v>
                </c:pt>
                <c:pt idx="23">
                  <c:v>5.026467648518606</c:v>
                </c:pt>
                <c:pt idx="24">
                  <c:v>5.02324674303344</c:v>
                </c:pt>
                <c:pt idx="25">
                  <c:v>5.020043000762382</c:v>
                </c:pt>
                <c:pt idx="26">
                  <c:v>5.016856363940636</c:v>
                </c:pt>
                <c:pt idx="27">
                  <c:v>5.013686775216489</c:v>
                </c:pt>
                <c:pt idx="28">
                  <c:v>5.010534177648549</c:v>
                </c:pt>
                <c:pt idx="29">
                  <c:v>5.007398514702949</c:v>
                </c:pt>
                <c:pt idx="30">
                  <c:v>5.004279730250609</c:v>
                </c:pt>
                <c:pt idx="31">
                  <c:v>5.001177768564529</c:v>
                </c:pt>
                <c:pt idx="32">
                  <c:v>4.9980925743170825</c:v>
                </c:pt>
                <c:pt idx="33">
                  <c:v>4.99502409257737</c:v>
                </c:pt>
                <c:pt idx="34">
                  <c:v>4.99197226880855</c:v>
                </c:pt>
                <c:pt idx="35">
                  <c:v>4.988937048865254</c:v>
                </c:pt>
                <c:pt idx="36">
                  <c:v>4.985918378990979</c:v>
                </c:pt>
                <c:pt idx="37">
                  <c:v>4.982916205815509</c:v>
                </c:pt>
                <c:pt idx="38">
                  <c:v>4.979930476352404</c:v>
                </c:pt>
                <c:pt idx="39">
                  <c:v>4.976961137996451</c:v>
                </c:pt>
                <c:pt idx="40">
                  <c:v>4.974008138521199</c:v>
                </c:pt>
                <c:pt idx="41">
                  <c:v>4.971071426076446</c:v>
                </c:pt>
                <c:pt idx="42">
                  <c:v>4.968150949185841</c:v>
                </c:pt>
                <c:pt idx="43">
                  <c:v>4.965246656744423</c:v>
                </c:pt>
                <c:pt idx="44">
                  <c:v>4.962358498016231</c:v>
                </c:pt>
                <c:pt idx="45">
                  <c:v>4.95948642263193</c:v>
                </c:pt>
                <c:pt idx="46">
                  <c:v>4.956630380586452</c:v>
                </c:pt>
                <c:pt idx="47">
                  <c:v>4.953790322236651</c:v>
                </c:pt>
                <c:pt idx="48">
                  <c:v>4.9509661982990005</c:v>
                </c:pt>
                <c:pt idx="49">
                  <c:v>4.948157959847306</c:v>
                </c:pt>
                <c:pt idx="50">
                  <c:v>4.945365558310425</c:v>
                </c:pt>
                <c:pt idx="51">
                  <c:v>4.94258894547003</c:v>
                </c:pt>
                <c:pt idx="52">
                  <c:v>4.9398280734583695</c:v>
                </c:pt>
                <c:pt idx="53">
                  <c:v>4.937082894756075</c:v>
                </c:pt>
                <c:pt idx="54">
                  <c:v>4.934353362189974</c:v>
                </c:pt>
                <c:pt idx="55">
                  <c:v>4.9316394289309065</c:v>
                </c:pt>
                <c:pt idx="56">
                  <c:v>4.928941048491611</c:v>
                </c:pt>
                <c:pt idx="57">
                  <c:v>4.926258174724584</c:v>
                </c:pt>
                <c:pt idx="58">
                  <c:v>4.923590761819969</c:v>
                </c:pt>
                <c:pt idx="59">
                  <c:v>4.920938764303484</c:v>
                </c:pt>
                <c:pt idx="60">
                  <c:v>4.918302137034361</c:v>
                </c:pt>
                <c:pt idx="61">
                  <c:v>4.915680835203285</c:v>
                </c:pt>
                <c:pt idx="62">
                  <c:v>4.913074814330386</c:v>
                </c:pt>
                <c:pt idx="63">
                  <c:v>4.910484030263209</c:v>
                </c:pt>
                <c:pt idx="64">
                  <c:v>4.907908439174747</c:v>
                </c:pt>
                <c:pt idx="65">
                  <c:v>4.905347997561469</c:v>
                </c:pt>
                <c:pt idx="66">
                  <c:v>4.902802662241351</c:v>
                </c:pt>
                <c:pt idx="67">
                  <c:v>4.900272390351974</c:v>
                </c:pt>
                <c:pt idx="68">
                  <c:v>4.89775713934857</c:v>
                </c:pt>
                <c:pt idx="69">
                  <c:v>4.895256867002166</c:v>
                </c:pt>
                <c:pt idx="70">
                  <c:v>4.892771531397683</c:v>
                </c:pt>
                <c:pt idx="71">
                  <c:v>4.890301090932071</c:v>
                </c:pt>
                <c:pt idx="72">
                  <c:v>4.887845504312482</c:v>
                </c:pt>
                <c:pt idx="73">
                  <c:v>4.885404730554432</c:v>
                </c:pt>
                <c:pt idx="74">
                  <c:v>4.882978728980006</c:v>
                </c:pt>
                <c:pt idx="75">
                  <c:v>4.880567459216035</c:v>
                </c:pt>
                <c:pt idx="76">
                  <c:v>4.878170881192358</c:v>
                </c:pt>
                <c:pt idx="77">
                  <c:v>4.875788955140052</c:v>
                </c:pt>
                <c:pt idx="78">
                  <c:v>4.873421641589671</c:v>
                </c:pt>
                <c:pt idx="79">
                  <c:v>4.8710689013695525</c:v>
                </c:pt>
                <c:pt idx="80">
                  <c:v>4.868730695604076</c:v>
                </c:pt>
                <c:pt idx="81">
                  <c:v>4.866406985712001</c:v>
                </c:pt>
                <c:pt idx="82">
                  <c:v>4.864097733404767</c:v>
                </c:pt>
                <c:pt idx="83">
                  <c:v>4.861802900684851</c:v>
                </c:pt>
                <c:pt idx="84">
                  <c:v>4.859522449844102</c:v>
                </c:pt>
                <c:pt idx="85">
                  <c:v>4.857256343462127</c:v>
                </c:pt>
                <c:pt idx="86">
                  <c:v>4.855004544404677</c:v>
                </c:pt>
                <c:pt idx="87">
                  <c:v>4.852767015822032</c:v>
                </c:pt>
                <c:pt idx="88">
                  <c:v>4.850543721147444</c:v>
                </c:pt>
                <c:pt idx="89">
                  <c:v>4.84833462409554</c:v>
                </c:pt>
                <c:pt idx="90">
                  <c:v>4.8461396886607835</c:v>
                </c:pt>
                <c:pt idx="91">
                  <c:v>4.843958879115936</c:v>
                </c:pt>
                <c:pt idx="92">
                  <c:v>4.8417921600105345</c:v>
                </c:pt>
                <c:pt idx="93">
                  <c:v>4.839639496169373</c:v>
                </c:pt>
                <c:pt idx="94">
                  <c:v>4.837500852690997</c:v>
                </c:pt>
                <c:pt idx="95">
                  <c:v>4.835376194946263</c:v>
                </c:pt>
                <c:pt idx="96">
                  <c:v>4.833265488576825</c:v>
                </c:pt>
                <c:pt idx="97">
                  <c:v>4.831168699493711</c:v>
                </c:pt>
                <c:pt idx="98">
                  <c:v>4.829085793875867</c:v>
                </c:pt>
                <c:pt idx="99">
                  <c:v>4.827016738168753</c:v>
                </c:pt>
                <c:pt idx="100">
                  <c:v>4.824961499082897</c:v>
                </c:pt>
                <c:pt idx="101">
                  <c:v>4.82292004359253</c:v>
                </c:pt>
                <c:pt idx="102">
                  <c:v>4.8208923389341924</c:v>
                </c:pt>
                <c:pt idx="103">
                  <c:v>4.818878352605346</c:v>
                </c:pt>
                <c:pt idx="104">
                  <c:v>4.81687805236305</c:v>
                </c:pt>
                <c:pt idx="105">
                  <c:v>4.814891406222568</c:v>
                </c:pt>
                <c:pt idx="106">
                  <c:v>4.812918382456085</c:v>
                </c:pt>
                <c:pt idx="107">
                  <c:v>4.810958949591354</c:v>
                </c:pt>
                <c:pt idx="108">
                  <c:v>4.809013076410417</c:v>
                </c:pt>
                <c:pt idx="109">
                  <c:v>4.8070807319482745</c:v>
                </c:pt>
                <c:pt idx="110">
                  <c:v>4.805161885491647</c:v>
                </c:pt>
                <c:pt idx="111">
                  <c:v>4.8032565065776724</c:v>
                </c:pt>
                <c:pt idx="112">
                  <c:v>4.801364564992676</c:v>
                </c:pt>
                <c:pt idx="113">
                  <c:v>4.799486030770901</c:v>
                </c:pt>
                <c:pt idx="114">
                  <c:v>4.7976208741933</c:v>
                </c:pt>
                <c:pt idx="115">
                  <c:v>4.795769065786302</c:v>
                </c:pt>
                <c:pt idx="116">
                  <c:v>4.793930576320607</c:v>
                </c:pt>
                <c:pt idx="117">
                  <c:v>4.792105376809994</c:v>
                </c:pt>
                <c:pt idx="118">
                  <c:v>4.790293438510133</c:v>
                </c:pt>
                <c:pt idx="119">
                  <c:v>4.788494732917411</c:v>
                </c:pt>
                <c:pt idx="120">
                  <c:v>4.786709231767788</c:v>
                </c:pt>
                <c:pt idx="121">
                  <c:v>4.784936907035611</c:v>
                </c:pt>
                <c:pt idx="122">
                  <c:v>4.783177730932526</c:v>
                </c:pt>
                <c:pt idx="123">
                  <c:v>4.7814316759063065</c:v>
                </c:pt>
                <c:pt idx="124">
                  <c:v>4.779698714639768</c:v>
                </c:pt>
                <c:pt idx="125">
                  <c:v>4.777978820049644</c:v>
                </c:pt>
                <c:pt idx="126">
                  <c:v>4.776271965285509</c:v>
                </c:pt>
                <c:pt idx="127">
                  <c:v>4.774578123728696</c:v>
                </c:pt>
                <c:pt idx="128">
                  <c:v>4.772897268991202</c:v>
                </c:pt>
                <c:pt idx="129">
                  <c:v>4.771229374914668</c:v>
                </c:pt>
                <c:pt idx="130">
                  <c:v>4.76957441556929</c:v>
                </c:pt>
                <c:pt idx="131">
                  <c:v>4.767932365252794</c:v>
                </c:pt>
                <c:pt idx="132">
                  <c:v>4.766303198489437</c:v>
                </c:pt>
                <c:pt idx="133">
                  <c:v>4.764686890028941</c:v>
                </c:pt>
                <c:pt idx="134">
                  <c:v>4.763083414845514</c:v>
                </c:pt>
                <c:pt idx="135">
                  <c:v>4.7614927481368445</c:v>
                </c:pt>
                <c:pt idx="136">
                  <c:v>4.759914865323127</c:v>
                </c:pt>
                <c:pt idx="137">
                  <c:v>4.758349742046069</c:v>
                </c:pt>
                <c:pt idx="138">
                  <c:v>4.756797354167935</c:v>
                </c:pt>
                <c:pt idx="139">
                  <c:v>4.755257677770594</c:v>
                </c:pt>
                <c:pt idx="140">
                  <c:v>4.753730689154553</c:v>
                </c:pt>
                <c:pt idx="141">
                  <c:v>4.752216364838042</c:v>
                </c:pt>
                <c:pt idx="142">
                  <c:v>4.750714681556086</c:v>
                </c:pt>
                <c:pt idx="143">
                  <c:v>4.749225616259576</c:v>
                </c:pt>
                <c:pt idx="144">
                  <c:v>4.747749146114368</c:v>
                </c:pt>
                <c:pt idx="145">
                  <c:v>4.746285248500388</c:v>
                </c:pt>
                <c:pt idx="146">
                  <c:v>4.744833901010739</c:v>
                </c:pt>
                <c:pt idx="147">
                  <c:v>4.74339508145083</c:v>
                </c:pt>
                <c:pt idx="148">
                  <c:v>4.741968767837505</c:v>
                </c:pt>
                <c:pt idx="149">
                  <c:v>4.74055493839817</c:v>
                </c:pt>
                <c:pt idx="150">
                  <c:v>4.739153571569971</c:v>
                </c:pt>
                <c:pt idx="151">
                  <c:v>4.737764645998921</c:v>
                </c:pt>
                <c:pt idx="152">
                  <c:v>4.736388140539093</c:v>
                </c:pt>
                <c:pt idx="153">
                  <c:v>4.7350240342517855</c:v>
                </c:pt>
                <c:pt idx="154">
                  <c:v>4.733672306404704</c:v>
                </c:pt>
                <c:pt idx="155">
                  <c:v>4.732332936471175</c:v>
                </c:pt>
                <c:pt idx="156">
                  <c:v>4.731005904129328</c:v>
                </c:pt>
                <c:pt idx="157">
                  <c:v>4.729691189261326</c:v>
                </c:pt>
                <c:pt idx="158">
                  <c:v>4.728388771952577</c:v>
                </c:pt>
                <c:pt idx="159">
                  <c:v>4.727098632490978</c:v>
                </c:pt>
                <c:pt idx="160">
                  <c:v>4.725820751366119</c:v>
                </c:pt>
                <c:pt idx="161">
                  <c:v>4.7245551092685885</c:v>
                </c:pt>
                <c:pt idx="162">
                  <c:v>4.723301687089181</c:v>
                </c:pt>
                <c:pt idx="163">
                  <c:v>4.722060465918182</c:v>
                </c:pt>
                <c:pt idx="164">
                  <c:v>4.720831427044642</c:v>
                </c:pt>
                <c:pt idx="165">
                  <c:v>4.719614551955652</c:v>
                </c:pt>
                <c:pt idx="166">
                  <c:v>4.71840982233564</c:v>
                </c:pt>
                <c:pt idx="167">
                  <c:v>4.717217220065666</c:v>
                </c:pt>
                <c:pt idx="168">
                  <c:v>4.71603672722274</c:v>
                </c:pt>
                <c:pt idx="169">
                  <c:v>4.714868326079114</c:v>
                </c:pt>
                <c:pt idx="170">
                  <c:v>4.713711999101626</c:v>
                </c:pt>
                <c:pt idx="171">
                  <c:v>4.712567728951029</c:v>
                </c:pt>
                <c:pt idx="172">
                  <c:v>4.71143549848132</c:v>
                </c:pt>
                <c:pt idx="173">
                  <c:v>4.710315290739098</c:v>
                </c:pt>
                <c:pt idx="174">
                  <c:v>4.709207088962917</c:v>
                </c:pt>
                <c:pt idx="175">
                  <c:v>4.708110876582652</c:v>
                </c:pt>
                <c:pt idx="176">
                  <c:v>4.707026637218849</c:v>
                </c:pt>
                <c:pt idx="177">
                  <c:v>4.705954354682153</c:v>
                </c:pt>
                <c:pt idx="178">
                  <c:v>4.704894012972635</c:v>
                </c:pt>
                <c:pt idx="179">
                  <c:v>4.703845596279242</c:v>
                </c:pt>
                <c:pt idx="180">
                  <c:v>4.70280908897916</c:v>
                </c:pt>
                <c:pt idx="181">
                  <c:v>4.701784475637239</c:v>
                </c:pt>
                <c:pt idx="182">
                  <c:v>4.700771741005413</c:v>
                </c:pt>
                <c:pt idx="183">
                  <c:v>4.699770870022127</c:v>
                </c:pt>
                <c:pt idx="184">
                  <c:v>4.69878184781176</c:v>
                </c:pt>
                <c:pt idx="185">
                  <c:v>4.697804659684078</c:v>
                </c:pt>
                <c:pt idx="186">
                  <c:v>4.696839291133672</c:v>
                </c:pt>
                <c:pt idx="187">
                  <c:v>4.695885727839419</c:v>
                </c:pt>
                <c:pt idx="188">
                  <c:v>4.694943955663943</c:v>
                </c:pt>
                <c:pt idx="189">
                  <c:v>4.6940139606530815</c:v>
                </c:pt>
                <c:pt idx="190">
                  <c:v>4.693095729035375</c:v>
                </c:pt>
                <c:pt idx="191">
                  <c:v>4.692189247221539</c:v>
                </c:pt>
                <c:pt idx="192">
                  <c:v>4.691294501803966</c:v>
                </c:pt>
                <c:pt idx="193">
                  <c:v>4.69041147955621</c:v>
                </c:pt>
                <c:pt idx="194">
                  <c:v>4.689540167432507</c:v>
                </c:pt>
                <c:pt idx="195">
                  <c:v>4.688680552567289</c:v>
                </c:pt>
                <c:pt idx="196">
                  <c:v>4.687832622274697</c:v>
                </c:pt>
                <c:pt idx="197">
                  <c:v>4.68699636404811</c:v>
                </c:pt>
                <c:pt idx="198">
                  <c:v>4.686171765559678</c:v>
                </c:pt>
                <c:pt idx="199">
                  <c:v>4.685358814659879</c:v>
                </c:pt>
                <c:pt idx="200">
                  <c:v>4.684557499377041</c:v>
                </c:pt>
                <c:pt idx="201">
                  <c:v>4.683767807916924</c:v>
                </c:pt>
                <c:pt idx="202">
                  <c:v>4.682989728662266</c:v>
                </c:pt>
                <c:pt idx="203">
                  <c:v>4.682223250172359</c:v>
                </c:pt>
                <c:pt idx="204">
                  <c:v>4.6814683611826196</c:v>
                </c:pt>
                <c:pt idx="205">
                  <c:v>4.680725050604184</c:v>
                </c:pt>
                <c:pt idx="206">
                  <c:v>4.679993307523484</c:v>
                </c:pt>
                <c:pt idx="207">
                  <c:v>4.679273121201857</c:v>
                </c:pt>
                <c:pt idx="208">
                  <c:v>4.6785644810751315</c:v>
                </c:pt>
                <c:pt idx="209">
                  <c:v>4.677867376753259</c:v>
                </c:pt>
                <c:pt idx="210">
                  <c:v>4.677181798019908</c:v>
                </c:pt>
                <c:pt idx="211">
                  <c:v>4.676507734832116</c:v>
                </c:pt>
                <c:pt idx="212">
                  <c:v>4.675845177319885</c:v>
                </c:pt>
                <c:pt idx="213">
                  <c:v>4.675194115785852</c:v>
                </c:pt>
                <c:pt idx="214">
                  <c:v>4.674554540704904</c:v>
                </c:pt>
                <c:pt idx="215">
                  <c:v>4.673926442723845</c:v>
                </c:pt>
                <c:pt idx="216">
                  <c:v>4.673309812661048</c:v>
                </c:pt>
                <c:pt idx="217">
                  <c:v>4.672704641506112</c:v>
                </c:pt>
                <c:pt idx="218">
                  <c:v>4.6721109204195415</c:v>
                </c:pt>
                <c:pt idx="219">
                  <c:v>4.671528640732416</c:v>
                </c:pt>
                <c:pt idx="220">
                  <c:v>4.670957793946075</c:v>
                </c:pt>
                <c:pt idx="221">
                  <c:v>4.670398371731805</c:v>
                </c:pt>
                <c:pt idx="222">
                  <c:v>4.669850365930527</c:v>
                </c:pt>
                <c:pt idx="223">
                  <c:v>4.669313768552511</c:v>
                </c:pt>
                <c:pt idx="224">
                  <c:v>4.668788571777077</c:v>
                </c:pt>
                <c:pt idx="225">
                  <c:v>4.668274767952318</c:v>
                </c:pt>
                <c:pt idx="226">
                  <c:v>4.667772349594791</c:v>
                </c:pt>
                <c:pt idx="227">
                  <c:v>4.6672813093892875</c:v>
                </c:pt>
                <c:pt idx="228">
                  <c:v>4.666801640188528</c:v>
                </c:pt>
                <c:pt idx="229">
                  <c:v>4.666333335012929</c:v>
                </c:pt>
                <c:pt idx="230">
                  <c:v>4.6658763870503215</c:v>
                </c:pt>
                <c:pt idx="231">
                  <c:v>4.665430789655732</c:v>
                </c:pt>
                <c:pt idx="232">
                  <c:v>4.664996536351119</c:v>
                </c:pt>
                <c:pt idx="233">
                  <c:v>4.664573620825141</c:v>
                </c:pt>
                <c:pt idx="234">
                  <c:v>4.664162036932933</c:v>
                </c:pt>
                <c:pt idx="235">
                  <c:v>4.663761778695883</c:v>
                </c:pt>
                <c:pt idx="236">
                  <c:v>4.663372840301394</c:v>
                </c:pt>
                <c:pt idx="237">
                  <c:v>4.662995216102706</c:v>
                </c:pt>
                <c:pt idx="238">
                  <c:v>4.662628900618665</c:v>
                </c:pt>
                <c:pt idx="239">
                  <c:v>4.662273888533541</c:v>
                </c:pt>
                <c:pt idx="240">
                  <c:v>4.661930174696812</c:v>
                </c:pt>
                <c:pt idx="241">
                  <c:v>4.661597754123001</c:v>
                </c:pt>
                <c:pt idx="242">
                  <c:v>4.661276621991482</c:v>
                </c:pt>
                <c:pt idx="243">
                  <c:v>4.660966773646309</c:v>
                </c:pt>
                <c:pt idx="244">
                  <c:v>4.660668204596044</c:v>
                </c:pt>
                <c:pt idx="245">
                  <c:v>4.660380910513602</c:v>
                </c:pt>
                <c:pt idx="246">
                  <c:v>4.660104887236081</c:v>
                </c:pt>
                <c:pt idx="247">
                  <c:v>4.659840130764613</c:v>
                </c:pt>
                <c:pt idx="248">
                  <c:v>4.659586637264237</c:v>
                </c:pt>
                <c:pt idx="249">
                  <c:v>4.6593444030637485</c:v>
                </c:pt>
                <c:pt idx="250">
                  <c:v>4.659113424655547</c:v>
                </c:pt>
                <c:pt idx="251">
                  <c:v>4.658893698695544</c:v>
                </c:pt>
                <c:pt idx="252">
                  <c:v>4.658685222003016</c:v>
                </c:pt>
                <c:pt idx="253">
                  <c:v>4.6584879915605</c:v>
                </c:pt>
                <c:pt idx="254">
                  <c:v>4.658302004513688</c:v>
                </c:pt>
                <c:pt idx="255">
                  <c:v>4.658127258171309</c:v>
                </c:pt>
                <c:pt idx="256">
                  <c:v>4.657963750005046</c:v>
                </c:pt>
                <c:pt idx="257">
                  <c:v>4.657811477649439</c:v>
                </c:pt>
                <c:pt idx="258">
                  <c:v>4.657670438901798</c:v>
                </c:pt>
                <c:pt idx="259">
                  <c:v>4.657540631722129</c:v>
                </c:pt>
                <c:pt idx="260">
                  <c:v>4.65742205423305</c:v>
                </c:pt>
                <c:pt idx="261">
                  <c:v>4.657314704719731</c:v>
                </c:pt>
                <c:pt idx="262">
                  <c:v>4.657218581629836</c:v>
                </c:pt>
                <c:pt idx="263">
                  <c:v>4.657133683573454</c:v>
                </c:pt>
                <c:pt idx="264">
                  <c:v>4.657060009323055</c:v>
                </c:pt>
                <c:pt idx="265">
                  <c:v>4.656997557813457</c:v>
                </c:pt>
                <c:pt idx="266">
                  <c:v>4.656946328141762</c:v>
                </c:pt>
                <c:pt idx="267">
                  <c:v>4.656906319567359</c:v>
                </c:pt>
                <c:pt idx="268">
                  <c:v>4.656877531511849</c:v>
                </c:pt>
                <c:pt idx="269">
                  <c:v>4.656859963559076</c:v>
                </c:pt>
                <c:pt idx="270">
                  <c:v>4.6568536154550735</c:v>
                </c:pt>
                <c:pt idx="271">
                  <c:v>4.6568584871080825</c:v>
                </c:pt>
                <c:pt idx="272">
                  <c:v>4.656874578588514</c:v>
                </c:pt>
                <c:pt idx="273">
                  <c:v>4.656901890128995</c:v>
                </c:pt>
                <c:pt idx="274">
                  <c:v>4.656940422124343</c:v>
                </c:pt>
                <c:pt idx="275">
                  <c:v>4.6569901751315905</c:v>
                </c:pt>
                <c:pt idx="276">
                  <c:v>4.657051149870018</c:v>
                </c:pt>
                <c:pt idx="277">
                  <c:v>4.657123347221151</c:v>
                </c:pt>
                <c:pt idx="278">
                  <c:v>4.657206768228828</c:v>
                </c:pt>
                <c:pt idx="279">
                  <c:v>4.657301414099202</c:v>
                </c:pt>
                <c:pt idx="280">
                  <c:v>4.657407286200819</c:v>
                </c:pt>
                <c:pt idx="281">
                  <c:v>4.657524386064634</c:v>
                </c:pt>
                <c:pt idx="282">
                  <c:v>4.657652715384094</c:v>
                </c:pt>
                <c:pt idx="283">
                  <c:v>4.657792276015179</c:v>
                </c:pt>
                <c:pt idx="284">
                  <c:v>4.657943069976489</c:v>
                </c:pt>
                <c:pt idx="285">
                  <c:v>4.658105099449293</c:v>
                </c:pt>
                <c:pt idx="286">
                  <c:v>4.658278366777633</c:v>
                </c:pt>
                <c:pt idx="287">
                  <c:v>4.658462874468387</c:v>
                </c:pt>
                <c:pt idx="288">
                  <c:v>4.658658625191373</c:v>
                </c:pt>
                <c:pt idx="289">
                  <c:v>4.658865621779446</c:v>
                </c:pt>
                <c:pt idx="290">
                  <c:v>4.659083867228588</c:v>
                </c:pt>
                <c:pt idx="291">
                  <c:v>4.659313364698032</c:v>
                </c:pt>
                <c:pt idx="292">
                  <c:v>4.659554117510367</c:v>
                </c:pt>
                <c:pt idx="293">
                  <c:v>4.659806129151656</c:v>
                </c:pt>
                <c:pt idx="294">
                  <c:v>4.66006940327158</c:v>
                </c:pt>
                <c:pt idx="295">
                  <c:v>4.660343943683541</c:v>
                </c:pt>
                <c:pt idx="296">
                  <c:v>4.6606297543648285</c:v>
                </c:pt>
                <c:pt idx="297">
                  <c:v>4.660926839456746</c:v>
                </c:pt>
                <c:pt idx="298">
                  <c:v>4.66123520326477</c:v>
                </c:pt>
                <c:pt idx="299">
                  <c:v>4.6615548502587</c:v>
                </c:pt>
                <c:pt idx="300">
                  <c:v>4.661885785072816</c:v>
                </c:pt>
                <c:pt idx="301">
                  <c:v>4.662228012506076</c:v>
                </c:pt>
                <c:pt idx="302">
                  <c:v>4.662581537522249</c:v>
                </c:pt>
                <c:pt idx="303">
                  <c:v>4.662946365250124</c:v>
                </c:pt>
                <c:pt idx="304">
                  <c:v>4.663322500983682</c:v>
                </c:pt>
                <c:pt idx="305">
                  <c:v>4.6637099501822945</c:v>
                </c:pt>
                <c:pt idx="306">
                  <c:v>4.664108718470926</c:v>
                </c:pt>
                <c:pt idx="307">
                  <c:v>4.664518811640329</c:v>
                </c:pt>
                <c:pt idx="308">
                  <c:v>4.664940235647262</c:v>
                </c:pt>
                <c:pt idx="309">
                  <c:v>4.6653729966146935</c:v>
                </c:pt>
                <c:pt idx="310">
                  <c:v>4.665817100832049</c:v>
                </c:pt>
                <c:pt idx="311">
                  <c:v>4.666272554755418</c:v>
                </c:pt>
                <c:pt idx="312">
                  <c:v>4.6667393650078</c:v>
                </c:pt>
                <c:pt idx="313">
                  <c:v>4.66721753837934</c:v>
                </c:pt>
                <c:pt idx="314">
                  <c:v>4.667707081827583</c:v>
                </c:pt>
                <c:pt idx="315">
                  <c:v>4.668208002477717</c:v>
                </c:pt>
                <c:pt idx="316">
                  <c:v>4.668720307622847</c:v>
                </c:pt>
                <c:pt idx="317">
                  <c:v>4.669244004724254</c:v>
                </c:pt>
                <c:pt idx="318">
                  <c:v>4.669779101411665</c:v>
                </c:pt>
                <c:pt idx="319">
                  <c:v>4.67032560548353</c:v>
                </c:pt>
                <c:pt idx="320">
                  <c:v>4.67088352490732</c:v>
                </c:pt>
                <c:pt idx="321">
                  <c:v>4.67145286781981</c:v>
                </c:pt>
                <c:pt idx="322">
                  <c:v>4.672033642527376</c:v>
                </c:pt>
                <c:pt idx="323">
                  <c:v>4.672625857506298</c:v>
                </c:pt>
                <c:pt idx="324">
                  <c:v>4.673229521403067</c:v>
                </c:pt>
                <c:pt idx="325">
                  <c:v>4.6738446430347205</c:v>
                </c:pt>
                <c:pt idx="326">
                  <c:v>4.674471231389149</c:v>
                </c:pt>
                <c:pt idx="327">
                  <c:v>4.675109295625421</c:v>
                </c:pt>
                <c:pt idx="328">
                  <c:v>4.675758845074145</c:v>
                </c:pt>
                <c:pt idx="329">
                  <c:v>4.676419889237783</c:v>
                </c:pt>
                <c:pt idx="330">
                  <c:v>4.677092437791019</c:v>
                </c:pt>
                <c:pt idx="331">
                  <c:v>4.677776500581104</c:v>
                </c:pt>
                <c:pt idx="332">
                  <c:v>4.678472087628222</c:v>
                </c:pt>
                <c:pt idx="333">
                  <c:v>4.6791792091258735</c:v>
                </c:pt>
                <c:pt idx="334">
                  <c:v>4.679897875441224</c:v>
                </c:pt>
                <c:pt idx="335">
                  <c:v>4.680628097115506</c:v>
                </c:pt>
                <c:pt idx="336">
                  <c:v>4.681369884864398</c:v>
                </c:pt>
                <c:pt idx="337">
                  <c:v>4.682123249578426</c:v>
                </c:pt>
                <c:pt idx="338">
                  <c:v>4.68288820232337</c:v>
                </c:pt>
                <c:pt idx="339">
                  <c:v>4.683664754340659</c:v>
                </c:pt>
                <c:pt idx="340">
                  <c:v>4.684452917047809</c:v>
                </c:pt>
                <c:pt idx="341">
                  <c:v>4.6852527020388095</c:v>
                </c:pt>
                <c:pt idx="342">
                  <c:v>4.686064121084602</c:v>
                </c:pt>
                <c:pt idx="343">
                  <c:v>4.686887186133476</c:v>
                </c:pt>
                <c:pt idx="344">
                  <c:v>4.687721909311524</c:v>
                </c:pt>
                <c:pt idx="345">
                  <c:v>4.688568302923106</c:v>
                </c:pt>
                <c:pt idx="346">
                  <c:v>4.689426379451292</c:v>
                </c:pt>
                <c:pt idx="347">
                  <c:v>4.690296151558322</c:v>
                </c:pt>
                <c:pt idx="348">
                  <c:v>4.691177632086094</c:v>
                </c:pt>
                <c:pt idx="349">
                  <c:v>4.692070834056634</c:v>
                </c:pt>
                <c:pt idx="350">
                  <c:v>4.692975770672573</c:v>
                </c:pt>
                <c:pt idx="351">
                  <c:v>4.693892455317656</c:v>
                </c:pt>
                <c:pt idx="352">
                  <c:v>4.6948209015572315</c:v>
                </c:pt>
                <c:pt idx="353">
                  <c:v>4.695761123138759</c:v>
                </c:pt>
                <c:pt idx="354">
                  <c:v>4.696713133992327</c:v>
                </c:pt>
                <c:pt idx="355">
                  <c:v>4.697676948231172</c:v>
                </c:pt>
                <c:pt idx="356">
                  <c:v>4.698652580152203</c:v>
                </c:pt>
                <c:pt idx="357">
                  <c:v>4.699640044236549</c:v>
                </c:pt>
                <c:pt idx="358">
                  <c:v>4.700639355150096</c:v>
                </c:pt>
                <c:pt idx="359">
                  <c:v>4.7016505277440235</c:v>
                </c:pt>
                <c:pt idx="360">
                  <c:v>4.7026735770554025</c:v>
                </c:pt>
                <c:pt idx="361">
                  <c:v>4.70370851830772</c:v>
                </c:pt>
                <c:pt idx="362">
                  <c:v>4.704755366911465</c:v>
                </c:pt>
                <c:pt idx="363">
                  <c:v>4.705814138464728</c:v>
                </c:pt>
                <c:pt idx="364">
                  <c:v>4.706884848753756</c:v>
                </c:pt>
                <c:pt idx="365">
                  <c:v>4.707967513753584</c:v>
                </c:pt>
                <c:pt idx="366">
                  <c:v>4.709062149628618</c:v>
                </c:pt>
                <c:pt idx="367">
                  <c:v>4.710168772733255</c:v>
                </c:pt>
                <c:pt idx="368">
                  <c:v>4.711287399612482</c:v>
                </c:pt>
                <c:pt idx="369">
                  <c:v>4.712418047002549</c:v>
                </c:pt>
                <c:pt idx="370">
                  <c:v>4.71356073183155</c:v>
                </c:pt>
                <c:pt idx="371">
                  <c:v>4.714715471220107</c:v>
                </c:pt>
                <c:pt idx="372">
                  <c:v>4.715882282481998</c:v>
                </c:pt>
                <c:pt idx="373">
                  <c:v>4.71706118312484</c:v>
                </c:pt>
                <c:pt idx="374">
                  <c:v>4.718252190850722</c:v>
                </c:pt>
                <c:pt idx="375">
                  <c:v>4.719455323556912</c:v>
                </c:pt>
                <c:pt idx="376">
                  <c:v>4.720670599336518</c:v>
                </c:pt>
                <c:pt idx="377">
                  <c:v>4.721898036479206</c:v>
                </c:pt>
                <c:pt idx="378">
                  <c:v>4.723137653471865</c:v>
                </c:pt>
                <c:pt idx="379">
                  <c:v>4.724389468999351</c:v>
                </c:pt>
                <c:pt idx="380">
                  <c:v>4.725653501945175</c:v>
                </c:pt>
                <c:pt idx="381">
                  <c:v>4.7269297713922525</c:v>
                </c:pt>
                <c:pt idx="382">
                  <c:v>4.728218296623613</c:v>
                </c:pt>
                <c:pt idx="383">
                  <c:v>4.72951909712316</c:v>
                </c:pt>
                <c:pt idx="384">
                  <c:v>4.73083219257642</c:v>
                </c:pt>
                <c:pt idx="385">
                  <c:v>4.732157602871294</c:v>
                </c:pt>
                <c:pt idx="386">
                  <c:v>4.733495348098831</c:v>
                </c:pt>
                <c:pt idx="387">
                  <c:v>4.734845448553999</c:v>
                </c:pt>
                <c:pt idx="388">
                  <c:v>4.736207924736488</c:v>
                </c:pt>
                <c:pt idx="389">
                  <c:v>4.737582797351479</c:v>
                </c:pt>
                <c:pt idx="390">
                  <c:v>4.738970087310471</c:v>
                </c:pt>
                <c:pt idx="391">
                  <c:v>4.740369815732066</c:v>
                </c:pt>
                <c:pt idx="392">
                  <c:v>4.74178200394283</c:v>
                </c:pt>
                <c:pt idx="393">
                  <c:v>4.7432066734780856</c:v>
                </c:pt>
                <c:pt idx="394">
                  <c:v>4.744643846082776</c:v>
                </c:pt>
                <c:pt idx="395">
                  <c:v>4.746093543712297</c:v>
                </c:pt>
                <c:pt idx="396">
                  <c:v>4.747555788533375</c:v>
                </c:pt>
                <c:pt idx="397">
                  <c:v>4.7490306029249085</c:v>
                </c:pt>
                <c:pt idx="398">
                  <c:v>4.750518009478871</c:v>
                </c:pt>
                <c:pt idx="399">
                  <c:v>4.7520180310011915</c:v>
                </c:pt>
                <c:pt idx="400">
                  <c:v>4.753530690512629</c:v>
                </c:pt>
                <c:pt idx="401">
                  <c:v>4.755056011249712</c:v>
                </c:pt>
                <c:pt idx="402">
                  <c:v>4.7565940166656215</c:v>
                </c:pt>
                <c:pt idx="403">
                  <c:v>4.758144730431142</c:v>
                </c:pt>
                <c:pt idx="404">
                  <c:v>4.759708176435587</c:v>
                </c:pt>
                <c:pt idx="405">
                  <c:v>4.761284378787736</c:v>
                </c:pt>
                <c:pt idx="406">
                  <c:v>4.762873361816803</c:v>
                </c:pt>
                <c:pt idx="407">
                  <c:v>4.764475150073386</c:v>
                </c:pt>
                <c:pt idx="408">
                  <c:v>4.76608976833047</c:v>
                </c:pt>
                <c:pt idx="409">
                  <c:v>4.767717241584369</c:v>
                </c:pt>
                <c:pt idx="410">
                  <c:v>4.769357595055762</c:v>
                </c:pt>
                <c:pt idx="411">
                  <c:v>4.771010854190676</c:v>
                </c:pt>
                <c:pt idx="412">
                  <c:v>4.77267704466151</c:v>
                </c:pt>
                <c:pt idx="413">
                  <c:v>4.774356192368064</c:v>
                </c:pt>
                <c:pt idx="414">
                  <c:v>4.776048323438568</c:v>
                </c:pt>
                <c:pt idx="415">
                  <c:v>4.777753464230739</c:v>
                </c:pt>
                <c:pt idx="416">
                  <c:v>4.779471641332832</c:v>
                </c:pt>
                <c:pt idx="417">
                  <c:v>4.781202881564714</c:v>
                </c:pt>
                <c:pt idx="418">
                  <c:v>4.782947211978948</c:v>
                </c:pt>
                <c:pt idx="419">
                  <c:v>4.784704659861875</c:v>
                </c:pt>
                <c:pt idx="420">
                  <c:v>4.78647525273472</c:v>
                </c:pt>
                <c:pt idx="421">
                  <c:v>4.78825901835471</c:v>
                </c:pt>
                <c:pt idx="422">
                  <c:v>4.7900559847162</c:v>
                </c:pt>
                <c:pt idx="423">
                  <c:v>4.791866180051794</c:v>
                </c:pt>
                <c:pt idx="424">
                  <c:v>4.7936896328335195</c:v>
                </c:pt>
                <c:pt idx="425">
                  <c:v>4.795526371773956</c:v>
                </c:pt>
                <c:pt idx="426">
                  <c:v>4.797376425827434</c:v>
                </c:pt>
                <c:pt idx="427">
                  <c:v>4.799239824191188</c:v>
                </c:pt>
                <c:pt idx="428">
                  <c:v>4.801116596306575</c:v>
                </c:pt>
                <c:pt idx="429">
                  <c:v>4.803006771860283</c:v>
                </c:pt>
                <c:pt idx="430">
                  <c:v>4.804910380785517</c:v>
                </c:pt>
                <c:pt idx="431">
                  <c:v>4.806827453263272</c:v>
                </c:pt>
                <c:pt idx="432">
                  <c:v>4.808758019723535</c:v>
                </c:pt>
                <c:pt idx="433">
                  <c:v>4.810702110846569</c:v>
                </c:pt>
                <c:pt idx="434">
                  <c:v>4.812659757564164</c:v>
                </c:pt>
                <c:pt idx="435">
                  <c:v>4.814630991060925</c:v>
                </c:pt>
                <c:pt idx="436">
                  <c:v>4.816615842775564</c:v>
                </c:pt>
                <c:pt idx="437">
                  <c:v>4.818614344402186</c:v>
                </c:pt>
                <c:pt idx="438">
                  <c:v>4.820626527891641</c:v>
                </c:pt>
                <c:pt idx="439">
                  <c:v>4.822652425452817</c:v>
                </c:pt>
                <c:pt idx="440">
                  <c:v>4.82469206955401</c:v>
                </c:pt>
                <c:pt idx="441">
                  <c:v>4.826745492924278</c:v>
                </c:pt>
                <c:pt idx="442">
                  <c:v>4.828812728554782</c:v>
                </c:pt>
                <c:pt idx="443">
                  <c:v>4.8308938097002105</c:v>
                </c:pt>
                <c:pt idx="444">
                  <c:v>4.832988769880152</c:v>
                </c:pt>
                <c:pt idx="445">
                  <c:v>4.835097642880498</c:v>
                </c:pt>
                <c:pt idx="446">
                  <c:v>4.837220462754888</c:v>
                </c:pt>
                <c:pt idx="447">
                  <c:v>4.839357263826129</c:v>
                </c:pt>
                <c:pt idx="448">
                  <c:v>4.841508080687665</c:v>
                </c:pt>
                <c:pt idx="449">
                  <c:v>4.843672948205014</c:v>
                </c:pt>
                <c:pt idx="450">
                  <c:v>4.845851901517276</c:v>
                </c:pt>
                <c:pt idx="451">
                  <c:v>4.848044976038605</c:v>
                </c:pt>
                <c:pt idx="452">
                  <c:v>4.85025220745974</c:v>
                </c:pt>
                <c:pt idx="453">
                  <c:v>4.852473631749504</c:v>
                </c:pt>
                <c:pt idx="454">
                  <c:v>4.854709285156344</c:v>
                </c:pt>
                <c:pt idx="455">
                  <c:v>4.856959204209912</c:v>
                </c:pt>
                <c:pt idx="456">
                  <c:v>4.859223425722585</c:v>
                </c:pt>
                <c:pt idx="457">
                  <c:v>4.8615019867910885</c:v>
                </c:pt>
                <c:pt idx="458">
                  <c:v>4.8637949247980625</c:v>
                </c:pt>
                <c:pt idx="459">
                  <c:v>4.866102277413697</c:v>
                </c:pt>
                <c:pt idx="460">
                  <c:v>4.868424082597345</c:v>
                </c:pt>
                <c:pt idx="461">
                  <c:v>4.870760378599176</c:v>
                </c:pt>
                <c:pt idx="462">
                  <c:v>4.873111203961821</c:v>
                </c:pt>
                <c:pt idx="463">
                  <c:v>4.875476597522057</c:v>
                </c:pt>
                <c:pt idx="464">
                  <c:v>4.877856598412502</c:v>
                </c:pt>
                <c:pt idx="465">
                  <c:v>4.880251246063307</c:v>
                </c:pt>
                <c:pt idx="466">
                  <c:v>4.882660580203896</c:v>
                </c:pt>
                <c:pt idx="467">
                  <c:v>4.8850846408646875</c:v>
                </c:pt>
                <c:pt idx="468">
                  <c:v>4.8875234683788635</c:v>
                </c:pt>
                <c:pt idx="469">
                  <c:v>4.889977103384153</c:v>
                </c:pt>
                <c:pt idx="470">
                  <c:v>4.8924455868245795</c:v>
                </c:pt>
                <c:pt idx="471">
                  <c:v>4.8949289599523205</c:v>
                </c:pt>
                <c:pt idx="472">
                  <c:v>4.897427264329491</c:v>
                </c:pt>
                <c:pt idx="473">
                  <c:v>4.899940541830007</c:v>
                </c:pt>
                <c:pt idx="474">
                  <c:v>4.902468834641423</c:v>
                </c:pt>
                <c:pt idx="475">
                  <c:v>4.905012185266855</c:v>
                </c:pt>
                <c:pt idx="476">
                  <c:v>4.907570636526796</c:v>
                </c:pt>
                <c:pt idx="477">
                  <c:v>4.910144231561118</c:v>
                </c:pt>
                <c:pt idx="478">
                  <c:v>4.91273301383092</c:v>
                </c:pt>
                <c:pt idx="479">
                  <c:v>4.915337027120528</c:v>
                </c:pt>
                <c:pt idx="480">
                  <c:v>4.917956315539469</c:v>
                </c:pt>
                <c:pt idx="481">
                  <c:v>4.920590923524407</c:v>
                </c:pt>
                <c:pt idx="482">
                  <c:v>4.923240895841184</c:v>
                </c:pt>
                <c:pt idx="483">
                  <c:v>4.925906277586844</c:v>
                </c:pt>
                <c:pt idx="484">
                  <c:v>4.928587114191659</c:v>
                </c:pt>
                <c:pt idx="485">
                  <c:v>4.9312834514212</c:v>
                </c:pt>
                <c:pt idx="486">
                  <c:v>4.933995335378427</c:v>
                </c:pt>
                <c:pt idx="487">
                  <c:v>4.936722812505773</c:v>
                </c:pt>
                <c:pt idx="488">
                  <c:v>4.939465929587277</c:v>
                </c:pt>
                <c:pt idx="489">
                  <c:v>4.942224733750718</c:v>
                </c:pt>
                <c:pt idx="490">
                  <c:v>4.944999272469788</c:v>
                </c:pt>
                <c:pt idx="491">
                  <c:v>4.947789593566267</c:v>
                </c:pt>
                <c:pt idx="492">
                  <c:v>4.950595745212221</c:v>
                </c:pt>
                <c:pt idx="493">
                  <c:v>4.953417775932232</c:v>
                </c:pt>
                <c:pt idx="494">
                  <c:v>4.956255734605652</c:v>
                </c:pt>
                <c:pt idx="495">
                  <c:v>4.959109670468852</c:v>
                </c:pt>
                <c:pt idx="496">
                  <c:v>4.961979633117513</c:v>
                </c:pt>
                <c:pt idx="497">
                  <c:v>4.964865672508953</c:v>
                </c:pt>
                <c:pt idx="498">
                  <c:v>4.967767838964437</c:v>
                </c:pt>
                <c:pt idx="499">
                  <c:v>4.970686183171541</c:v>
                </c:pt>
                <c:pt idx="500">
                  <c:v>4.973620756186529</c:v>
                </c:pt>
                <c:pt idx="501">
                  <c:v>4.976571609436756</c:v>
                </c:pt>
                <c:pt idx="502">
                  <c:v>4.979538794723069</c:v>
                </c:pt>
                <c:pt idx="503">
                  <c:v>4.982522364222279</c:v>
                </c:pt>
                <c:pt idx="504">
                  <c:v>4.985522370489603</c:v>
                </c:pt>
                <c:pt idx="505">
                  <c:v>4.988538866461188</c:v>
                </c:pt>
                <c:pt idx="506">
                  <c:v>4.991571905456591</c:v>
                </c:pt>
                <c:pt idx="507">
                  <c:v>4.99462154118133</c:v>
                </c:pt>
                <c:pt idx="508">
                  <c:v>4.997687827729471</c:v>
                </c:pt>
                <c:pt idx="509">
                  <c:v>5.000770819586178</c:v>
                </c:pt>
                <c:pt idx="510">
                  <c:v>5.0038705716303475</c:v>
                </c:pt>
                <c:pt idx="511">
                  <c:v>5.006987139137248</c:v>
                </c:pt>
                <c:pt idx="512">
                  <c:v>5.010120577781176</c:v>
                </c:pt>
                <c:pt idx="513">
                  <c:v>5.013270943638132</c:v>
                </c:pt>
                <c:pt idx="514">
                  <c:v>5.016438293188573</c:v>
                </c:pt>
                <c:pt idx="515">
                  <c:v>5.019622683320101</c:v>
                </c:pt>
                <c:pt idx="516">
                  <c:v>5.022824171330276</c:v>
                </c:pt>
                <c:pt idx="517">
                  <c:v>5.026042814929366</c:v>
                </c:pt>
                <c:pt idx="518">
                  <c:v>5.02927867224321</c:v>
                </c:pt>
                <c:pt idx="519">
                  <c:v>5.0325318018160345</c:v>
                </c:pt>
                <c:pt idx="520">
                  <c:v>5.0358022626133305</c:v>
                </c:pt>
                <c:pt idx="521">
                  <c:v>5.039090114024766</c:v>
                </c:pt>
                <c:pt idx="522">
                  <c:v>5.042395415867111</c:v>
                </c:pt>
                <c:pt idx="523">
                  <c:v>5.045718228387192</c:v>
                </c:pt>
                <c:pt idx="524">
                  <c:v>5.049058612264875</c:v>
                </c:pt>
                <c:pt idx="525">
                  <c:v>5.0524166286161005</c:v>
                </c:pt>
                <c:pt idx="526">
                  <c:v>5.055792338995886</c:v>
                </c:pt>
                <c:pt idx="527">
                  <c:v>5.059185805401449</c:v>
                </c:pt>
                <c:pt idx="528">
                  <c:v>5.062597090275282</c:v>
                </c:pt>
                <c:pt idx="529">
                  <c:v>5.066026256508286</c:v>
                </c:pt>
                <c:pt idx="530">
                  <c:v>5.06947336744293</c:v>
                </c:pt>
                <c:pt idx="531">
                  <c:v>5.0729384868764695</c:v>
                </c:pt>
                <c:pt idx="532">
                  <c:v>5.076421679064147</c:v>
                </c:pt>
                <c:pt idx="533">
                  <c:v>5.079923008722449</c:v>
                </c:pt>
                <c:pt idx="534">
                  <c:v>5.083442541032414</c:v>
                </c:pt>
                <c:pt idx="535">
                  <c:v>5.08698034164293</c:v>
                </c:pt>
                <c:pt idx="536">
                  <c:v>5.090536476674099</c:v>
                </c:pt>
                <c:pt idx="537">
                  <c:v>5.094111012720612</c:v>
                </c:pt>
                <c:pt idx="538">
                  <c:v>5.097704016855168</c:v>
                </c:pt>
                <c:pt idx="539">
                  <c:v>5.101315556631955</c:v>
                </c:pt>
                <c:pt idx="540">
                  <c:v>5.10494570009008</c:v>
                </c:pt>
                <c:pt idx="541">
                  <c:v>5.108594515757132</c:v>
                </c:pt>
                <c:pt idx="542">
                  <c:v>5.112262072652716</c:v>
                </c:pt>
                <c:pt idx="543">
                  <c:v>5.115948440292037</c:v>
                </c:pt>
                <c:pt idx="544">
                  <c:v>5.119653688689544</c:v>
                </c:pt>
                <c:pt idx="545">
                  <c:v>5.123377888362563</c:v>
                </c:pt>
                <c:pt idx="546">
                  <c:v>5.127121110335008</c:v>
                </c:pt>
                <c:pt idx="547">
                  <c:v>5.130883426141102</c:v>
                </c:pt>
                <c:pt idx="548">
                  <c:v>5.134664907829148</c:v>
                </c:pt>
                <c:pt idx="549">
                  <c:v>5.13846562796534</c:v>
                </c:pt>
                <c:pt idx="550">
                  <c:v>5.1422856596376025</c:v>
                </c:pt>
                <c:pt idx="551">
                  <c:v>5.1461250764594455</c:v>
                </c:pt>
                <c:pt idx="552">
                  <c:v>5.149983952573925</c:v>
                </c:pt>
                <c:pt idx="553">
                  <c:v>5.153862362657577</c:v>
                </c:pt>
                <c:pt idx="554">
                  <c:v>5.157760381924396</c:v>
                </c:pt>
                <c:pt idx="555">
                  <c:v>5.161678086129905</c:v>
                </c:pt>
                <c:pt idx="556">
                  <c:v>5.165615551575215</c:v>
                </c:pt>
                <c:pt idx="557">
                  <c:v>5.169572855111137</c:v>
                </c:pt>
                <c:pt idx="558">
                  <c:v>5.1735500741423355</c:v>
                </c:pt>
                <c:pt idx="559">
                  <c:v>5.177547286631551</c:v>
                </c:pt>
                <c:pt idx="560">
                  <c:v>5.181564571103809</c:v>
                </c:pt>
                <c:pt idx="561">
                  <c:v>5.185602006650722</c:v>
                </c:pt>
                <c:pt idx="562">
                  <c:v>5.189659672934814</c:v>
                </c:pt>
                <c:pt idx="563">
                  <c:v>5.193737650193869</c:v>
                </c:pt>
                <c:pt idx="564">
                  <c:v>5.197836019245379</c:v>
                </c:pt>
                <c:pt idx="565">
                  <c:v>5.20195486149095</c:v>
                </c:pt>
                <c:pt idx="566">
                  <c:v>5.206094258920871</c:v>
                </c:pt>
                <c:pt idx="567">
                  <c:v>5.210254294118583</c:v>
                </c:pt>
                <c:pt idx="568">
                  <c:v>5.214435050265331</c:v>
                </c:pt>
                <c:pt idx="569">
                  <c:v>5.21863661114478</c:v>
                </c:pt>
                <c:pt idx="570">
                  <c:v>5.2228590611476955</c:v>
                </c:pt>
                <c:pt idx="571">
                  <c:v>5.227102485276661</c:v>
                </c:pt>
                <c:pt idx="572">
                  <c:v>5.23136696915091</c:v>
                </c:pt>
                <c:pt idx="573">
                  <c:v>5.2356525990111</c:v>
                </c:pt>
                <c:pt idx="574">
                  <c:v>5.239959461724226</c:v>
                </c:pt>
                <c:pt idx="575">
                  <c:v>5.244287644788499</c:v>
                </c:pt>
                <c:pt idx="576">
                  <c:v>5.2486372363384035</c:v>
                </c:pt>
                <c:pt idx="577">
                  <c:v>5.253008325149628</c:v>
                </c:pt>
                <c:pt idx="578">
                  <c:v>5.257401000644233</c:v>
                </c:pt>
                <c:pt idx="579">
                  <c:v>5.261815352895712</c:v>
                </c:pt>
                <c:pt idx="580">
                  <c:v>5.26625147263421</c:v>
                </c:pt>
                <c:pt idx="581">
                  <c:v>5.270709451251762</c:v>
                </c:pt>
                <c:pt idx="582">
                  <c:v>5.275189380807548</c:v>
                </c:pt>
                <c:pt idx="583">
                  <c:v>5.279691354033294</c:v>
                </c:pt>
                <c:pt idx="584">
                  <c:v>5.284215464338587</c:v>
                </c:pt>
                <c:pt idx="585">
                  <c:v>5.288761805816429</c:v>
                </c:pt>
                <c:pt idx="586">
                  <c:v>5.293330473248658</c:v>
                </c:pt>
                <c:pt idx="587">
                  <c:v>5.297921562111576</c:v>
                </c:pt>
                <c:pt idx="588">
                  <c:v>5.30253516858152</c:v>
                </c:pt>
                <c:pt idx="589">
                  <c:v>5.307171389540606</c:v>
                </c:pt>
                <c:pt idx="590">
                  <c:v>5.311830322582406</c:v>
                </c:pt>
                <c:pt idx="591">
                  <c:v>5.316512066017795</c:v>
                </c:pt>
                <c:pt idx="592">
                  <c:v>5.32121671888079</c:v>
                </c:pt>
                <c:pt idx="593">
                  <c:v>5.325944380934486</c:v>
                </c:pt>
                <c:pt idx="594">
                  <c:v>5.330695152677006</c:v>
                </c:pt>
                <c:pt idx="595">
                  <c:v>5.3354691353476</c:v>
                </c:pt>
                <c:pt idx="596">
                  <c:v>5.340266430932683</c:v>
                </c:pt>
                <c:pt idx="597">
                  <c:v>5.345087142172094</c:v>
                </c:pt>
                <c:pt idx="598">
                  <c:v>5.349931372565245</c:v>
                </c:pt>
                <c:pt idx="599">
                  <c:v>5.354799226377489</c:v>
                </c:pt>
                <c:pt idx="600">
                  <c:v>5.359690808646447</c:v>
                </c:pt>
                <c:pt idx="601">
                  <c:v>5.364606225188474</c:v>
                </c:pt>
                <c:pt idx="602">
                  <c:v>5.369545582605142</c:v>
                </c:pt>
                <c:pt idx="603">
                  <c:v>5.374508988289797</c:v>
                </c:pt>
                <c:pt idx="604">
                  <c:v>5.379496550434256</c:v>
                </c:pt>
                <c:pt idx="605">
                  <c:v>5.3845083780354495</c:v>
                </c:pt>
                <c:pt idx="606">
                  <c:v>5.389544580902257</c:v>
                </c:pt>
                <c:pt idx="607">
                  <c:v>5.394605269662321</c:v>
                </c:pt>
                <c:pt idx="608">
                  <c:v>5.399690555769011</c:v>
                </c:pt>
                <c:pt idx="609">
                  <c:v>5.40480055150839</c:v>
                </c:pt>
                <c:pt idx="610">
                  <c:v>5.4099353700063135</c:v>
                </c:pt>
                <c:pt idx="611">
                  <c:v>5.415095125235571</c:v>
                </c:pt>
                <c:pt idx="612">
                  <c:v>5.420279932023105</c:v>
                </c:pt>
                <c:pt idx="613">
                  <c:v>5.425489906057337</c:v>
                </c:pt>
                <c:pt idx="614">
                  <c:v>5.430725163895529</c:v>
                </c:pt>
                <c:pt idx="615">
                  <c:v>5.435985822971253</c:v>
                </c:pt>
                <c:pt idx="616">
                  <c:v>5.441272001601936</c:v>
                </c:pt>
                <c:pt idx="617">
                  <c:v>5.446583818996473</c:v>
                </c:pt>
                <c:pt idx="618">
                  <c:v>5.451921395262942</c:v>
                </c:pt>
                <c:pt idx="619">
                  <c:v>5.457284851416402</c:v>
                </c:pt>
                <c:pt idx="620">
                  <c:v>5.462674309386747</c:v>
                </c:pt>
                <c:pt idx="621">
                  <c:v>5.468089892026665</c:v>
                </c:pt>
                <c:pt idx="622">
                  <c:v>5.473531723119696</c:v>
                </c:pt>
                <c:pt idx="623">
                  <c:v>5.478999927388364</c:v>
                </c:pt>
                <c:pt idx="624">
                  <c:v>5.484494630502375</c:v>
                </c:pt>
                <c:pt idx="625">
                  <c:v>5.490015959086955</c:v>
                </c:pt>
                <c:pt idx="626">
                  <c:v>5.495564040731237</c:v>
                </c:pt>
                <c:pt idx="627">
                  <c:v>5.5011390039967605</c:v>
                </c:pt>
                <c:pt idx="628">
                  <c:v>5.506740978426053</c:v>
                </c:pt>
                <c:pt idx="629">
                  <c:v>5.512370094551299</c:v>
                </c:pt>
                <c:pt idx="630">
                  <c:v>5.518026483903149</c:v>
                </c:pt>
                <c:pt idx="631">
                  <c:v>5.523710279019558</c:v>
                </c:pt>
                <c:pt idx="632">
                  <c:v>5.5294216134547645</c:v>
                </c:pt>
                <c:pt idx="633">
                  <c:v>5.535160621788385</c:v>
                </c:pt>
                <c:pt idx="634">
                  <c:v>5.540927439634539</c:v>
                </c:pt>
                <c:pt idx="635">
                  <c:v>5.54672220365117</c:v>
                </c:pt>
                <c:pt idx="636">
                  <c:v>5.552545051549366</c:v>
                </c:pt>
                <c:pt idx="637">
                  <c:v>5.558396122102893</c:v>
                </c:pt>
                <c:pt idx="638">
                  <c:v>5.564275555157756</c:v>
                </c:pt>
                <c:pt idx="639">
                  <c:v>5.570183491641853</c:v>
                </c:pt>
                <c:pt idx="640">
                  <c:v>5.576120073574856</c:v>
                </c:pt>
                <c:pt idx="641">
                  <c:v>5.582085444078051</c:v>
                </c:pt>
                <c:pt idx="642">
                  <c:v>5.588079747384388</c:v>
                </c:pt>
                <c:pt idx="643">
                  <c:v>5.594103128848601</c:v>
                </c:pt>
                <c:pt idx="644">
                  <c:v>5.600155734957481</c:v>
                </c:pt>
                <c:pt idx="645">
                  <c:v>5.606237713340208</c:v>
                </c:pt>
                <c:pt idx="646">
                  <c:v>5.6123492127788595</c:v>
                </c:pt>
                <c:pt idx="647">
                  <c:v>5.618490383218984</c:v>
                </c:pt>
                <c:pt idx="648">
                  <c:v>5.624661375780329</c:v>
                </c:pt>
                <c:pt idx="649">
                  <c:v>5.630862342767701</c:v>
                </c:pt>
                <c:pt idx="650">
                  <c:v>5.637093437681897</c:v>
                </c:pt>
                <c:pt idx="651">
                  <c:v>5.6433548152308175</c:v>
                </c:pt>
                <c:pt idx="652">
                  <c:v>5.649646631340661</c:v>
                </c:pt>
                <c:pt idx="653">
                  <c:v>5.65596904316731</c:v>
                </c:pt>
                <c:pt idx="654">
                  <c:v>5.662322209107754</c:v>
                </c:pt>
                <c:pt idx="655">
                  <c:v>5.668706288811718</c:v>
                </c:pt>
                <c:pt idx="656">
                  <c:v>5.675121443193408</c:v>
                </c:pt>
                <c:pt idx="657">
                  <c:v>5.6815678344433795</c:v>
                </c:pt>
                <c:pt idx="658">
                  <c:v>5.688045626040533</c:v>
                </c:pt>
                <c:pt idx="659">
                  <c:v>5.694554982764315</c:v>
                </c:pt>
                <c:pt idx="660">
                  <c:v>5.701096070706932</c:v>
                </c:pt>
                <c:pt idx="661">
                  <c:v>5.707669057285849</c:v>
                </c:pt>
                <c:pt idx="662">
                  <c:v>5.714274111256348</c:v>
                </c:pt>
                <c:pt idx="663">
                  <c:v>5.720911402724231</c:v>
                </c:pt>
                <c:pt idx="664">
                  <c:v>5.727581103158728</c:v>
                </c:pt>
                <c:pt idx="665">
                  <c:v>5.734283385405497</c:v>
                </c:pt>
                <c:pt idx="666">
                  <c:v>5.741018423699815</c:v>
                </c:pt>
                <c:pt idx="667">
                  <c:v>5.747786393679885</c:v>
                </c:pt>
                <c:pt idx="668">
                  <c:v>5.754587472400362</c:v>
                </c:pt>
                <c:pt idx="669">
                  <c:v>5.761421838345949</c:v>
                </c:pt>
                <c:pt idx="670">
                  <c:v>5.768289671445279</c:v>
                </c:pt>
                <c:pt idx="671">
                  <c:v>5.77519115308479</c:v>
                </c:pt>
                <c:pt idx="672">
                  <c:v>5.78212646612294</c:v>
                </c:pt>
                <c:pt idx="673">
                  <c:v>5.789095794904473</c:v>
                </c:pt>
                <c:pt idx="674">
                  <c:v>5.796099325274885</c:v>
                </c:pt>
                <c:pt idx="675">
                  <c:v>5.803137244595122</c:v>
                </c:pt>
                <c:pt idx="676">
                  <c:v>5.810209741756342</c:v>
                </c:pt>
                <c:pt idx="677">
                  <c:v>5.817317007194926</c:v>
                </c:pt>
                <c:pt idx="678">
                  <c:v>5.8244592329076985</c:v>
                </c:pt>
                <c:pt idx="679">
                  <c:v>5.831636612467228</c:v>
                </c:pt>
                <c:pt idx="680">
                  <c:v>5.83884934103741</c:v>
                </c:pt>
                <c:pt idx="681">
                  <c:v>5.846097615389176</c:v>
                </c:pt>
                <c:pt idx="682">
                  <c:v>5.8533816339164595</c:v>
                </c:pt>
                <c:pt idx="683">
                  <c:v>5.860701596652235</c:v>
                </c:pt>
                <c:pt idx="684">
                  <c:v>5.868057705284909</c:v>
                </c:pt>
                <c:pt idx="685">
                  <c:v>5.87545016317476</c:v>
                </c:pt>
                <c:pt idx="686">
                  <c:v>5.882879175370687</c:v>
                </c:pt>
                <c:pt idx="687">
                  <c:v>5.890344948627127</c:v>
                </c:pt>
                <c:pt idx="688">
                  <c:v>5.897847691421127</c:v>
                </c:pt>
                <c:pt idx="689">
                  <c:v>5.90538761396972</c:v>
                </c:pt>
                <c:pt idx="690">
                  <c:v>5.912964928247472</c:v>
                </c:pt>
                <c:pt idx="691">
                  <c:v>5.920579848004166</c:v>
                </c:pt>
                <c:pt idx="692">
                  <c:v>5.928232588782848</c:v>
                </c:pt>
                <c:pt idx="693">
                  <c:v>5.935923367938018</c:v>
                </c:pt>
                <c:pt idx="694">
                  <c:v>5.943652404654009</c:v>
                </c:pt>
                <c:pt idx="695">
                  <c:v>5.951419919963677</c:v>
                </c:pt>
                <c:pt idx="696">
                  <c:v>5.959226136767246</c:v>
                </c:pt>
                <c:pt idx="697">
                  <c:v>5.967071279851466</c:v>
                </c:pt>
                <c:pt idx="698">
                  <c:v>5.974955575908934</c:v>
                </c:pt>
                <c:pt idx="699">
                  <c:v>5.982879253557687</c:v>
                </c:pt>
                <c:pt idx="700">
                  <c:v>5.990842543361082</c:v>
                </c:pt>
                <c:pt idx="701">
                  <c:v>5.998845677847829</c:v>
                </c:pt>
                <c:pt idx="702">
                  <c:v>6.00688889153238</c:v>
                </c:pt>
                <c:pt idx="703">
                  <c:v>6.014972420935488</c:v>
                </c:pt>
                <c:pt idx="704">
                  <c:v>6.023096504605106</c:v>
                </c:pt>
                <c:pt idx="705">
                  <c:v>6.031261383137452</c:v>
                </c:pt>
                <c:pt idx="706">
                  <c:v>6.039467299198459</c:v>
                </c:pt>
                <c:pt idx="707">
                  <c:v>6.047714497545404</c:v>
                </c:pt>
                <c:pt idx="708">
                  <c:v>6.056003225048813</c:v>
                </c:pt>
                <c:pt idx="709">
                  <c:v>6.06433373071472</c:v>
                </c:pt>
                <c:pt idx="710">
                  <c:v>6.072706265707179</c:v>
                </c:pt>
                <c:pt idx="711">
                  <c:v>6.08112108337095</c:v>
                </c:pt>
                <c:pt idx="712">
                  <c:v>6.089578439254725</c:v>
                </c:pt>
                <c:pt idx="713">
                  <c:v>6.098078591134386</c:v>
                </c:pt>
                <c:pt idx="714">
                  <c:v>6.1066217990366995</c:v>
                </c:pt>
                <c:pt idx="715">
                  <c:v>6.115208325263362</c:v>
                </c:pt>
                <c:pt idx="716">
                  <c:v>6.123838434415194</c:v>
                </c:pt>
                <c:pt idx="717">
                  <c:v>6.132512393416839</c:v>
                </c:pt>
                <c:pt idx="718">
                  <c:v>6.141230471541608</c:v>
                </c:pt>
                <c:pt idx="719">
                  <c:v>6.149992940436801</c:v>
                </c:pt>
                <c:pt idx="720">
                  <c:v>6.158800074149211</c:v>
                </c:pt>
                <c:pt idx="721">
                  <c:v>6.167652149151104</c:v>
                </c:pt>
                <c:pt idx="722">
                  <c:v>6.176549444366417</c:v>
                </c:pt>
                <c:pt idx="723">
                  <c:v>6.185492241197408</c:v>
                </c:pt>
                <c:pt idx="724">
                  <c:v>6.194480823551543</c:v>
                </c:pt>
                <c:pt idx="725">
                  <c:v>6.203515477868835</c:v>
                </c:pt>
                <c:pt idx="726">
                  <c:v>6.212596493149514</c:v>
                </c:pt>
                <c:pt idx="727">
                  <c:v>6.221724160982</c:v>
                </c:pt>
                <c:pt idx="728">
                  <c:v>6.230898775571386</c:v>
                </c:pt>
                <c:pt idx="729">
                  <c:v>6.240120633768134</c:v>
                </c:pt>
                <c:pt idx="730">
                  <c:v>6.249390035097279</c:v>
                </c:pt>
                <c:pt idx="731">
                  <c:v>6.258707281787973</c:v>
                </c:pt>
                <c:pt idx="732">
                  <c:v>6.268072678803422</c:v>
                </c:pt>
                <c:pt idx="733">
                  <c:v>6.277486533871257</c:v>
                </c:pt>
                <c:pt idx="734">
                  <c:v>6.286949157514253</c:v>
                </c:pt>
                <c:pt idx="735">
                  <c:v>6.2964608630815055</c:v>
                </c:pt>
                <c:pt idx="736">
                  <c:v>6.306021966780039</c:v>
                </c:pt>
                <c:pt idx="737">
                  <c:v>6.3156327877068295</c:v>
                </c:pt>
                <c:pt idx="738">
                  <c:v>6.325293647881206</c:v>
                </c:pt>
                <c:pt idx="739">
                  <c:v>6.335004872277809</c:v>
                </c:pt>
                <c:pt idx="740">
                  <c:v>6.344766788859883</c:v>
                </c:pt>
                <c:pt idx="741">
                  <c:v>6.354579728613085</c:v>
                </c:pt>
                <c:pt idx="742">
                  <c:v>6.364444025579753</c:v>
                </c:pt>
                <c:pt idx="743">
                  <c:v>6.3743600168936245</c:v>
                </c:pt>
                <c:pt idx="744">
                  <c:v>6.384328042815025</c:v>
                </c:pt>
                <c:pt idx="745">
                  <c:v>6.394348446766599</c:v>
                </c:pt>
                <c:pt idx="746">
                  <c:v>6.404421575369448</c:v>
                </c:pt>
                <c:pt idx="747">
                  <c:v>6.414547778479838</c:v>
                </c:pt>
                <c:pt idx="748">
                  <c:v>6.4247274092264</c:v>
                </c:pt>
                <c:pt idx="749">
                  <c:v>6.434960824047803</c:v>
                </c:pt>
                <c:pt idx="750">
                  <c:v>6.445248382731026</c:v>
                </c:pt>
                <c:pt idx="751">
                  <c:v>6.455590448450103</c:v>
                </c:pt>
                <c:pt idx="752">
                  <c:v>6.465987387805436</c:v>
                </c:pt>
                <c:pt idx="753">
                  <c:v>6.4764395708636915</c:v>
                </c:pt>
                <c:pt idx="754">
                  <c:v>6.486947371198156</c:v>
                </c:pt>
                <c:pt idx="755">
                  <c:v>6.497511165929781</c:v>
                </c:pt>
                <c:pt idx="756">
                  <c:v>6.508131335768755</c:v>
                </c:pt>
                <c:pt idx="757">
                  <c:v>6.5188082650566255</c:v>
                </c:pt>
                <c:pt idx="758">
                  <c:v>6.529542341809098</c:v>
                </c:pt>
                <c:pt idx="759">
                  <c:v>6.540333957759382</c:v>
                </c:pt>
                <c:pt idx="760">
                  <c:v>6.551183508402195</c:v>
                </c:pt>
                <c:pt idx="761">
                  <c:v>6.562091393038323</c:v>
                </c:pt>
                <c:pt idx="762">
                  <c:v>6.573058014819961</c:v>
                </c:pt>
                <c:pt idx="763">
                  <c:v>6.584083780796541</c:v>
                </c:pt>
                <c:pt idx="764">
                  <c:v>6.595169101961338</c:v>
                </c:pt>
                <c:pt idx="765">
                  <c:v>6.606314393298674</c:v>
                </c:pt>
                <c:pt idx="766">
                  <c:v>6.617520073831887</c:v>
                </c:pt>
                <c:pt idx="767">
                  <c:v>6.628786566671887</c:v>
                </c:pt>
                <c:pt idx="768">
                  <c:v>6.6401142990665</c:v>
                </c:pt>
                <c:pt idx="769">
                  <c:v>6.651503702450561</c:v>
                </c:pt>
                <c:pt idx="770">
                  <c:v>6.662955212496566</c:v>
                </c:pt>
                <c:pt idx="771">
                  <c:v>6.674469269166306</c:v>
                </c:pt>
                <c:pt idx="772">
                  <c:v>6.686046316763075</c:v>
                </c:pt>
                <c:pt idx="773">
                  <c:v>6.697686803984704</c:v>
                </c:pt>
                <c:pt idx="774">
                  <c:v>6.7093911839774</c:v>
                </c:pt>
                <c:pt idx="775">
                  <c:v>6.7211599143903715</c:v>
                </c:pt>
                <c:pt idx="776">
                  <c:v>6.73299345743123</c:v>
                </c:pt>
                <c:pt idx="777">
                  <c:v>6.744892279922261</c:v>
                </c:pt>
                <c:pt idx="778">
                  <c:v>6.756856853357469</c:v>
                </c:pt>
                <c:pt idx="779">
                  <c:v>6.768887653960613</c:v>
                </c:pt>
                <c:pt idx="780">
                  <c:v>6.7809851627438595</c:v>
                </c:pt>
                <c:pt idx="781">
                  <c:v>6.793149865567646</c:v>
                </c:pt>
                <c:pt idx="782">
                  <c:v>6.805382253201116</c:v>
                </c:pt>
                <c:pt idx="783">
                  <c:v>6.817682821383717</c:v>
                </c:pt>
                <c:pt idx="784">
                  <c:v>6.830052070887583</c:v>
                </c:pt>
                <c:pt idx="785">
                  <c:v>6.842490507580942</c:v>
                </c:pt>
                <c:pt idx="786">
                  <c:v>6.854998642492409</c:v>
                </c:pt>
                <c:pt idx="787">
                  <c:v>6.867576991876337</c:v>
                </c:pt>
                <c:pt idx="788">
                  <c:v>6.88022607727917</c:v>
                </c:pt>
                <c:pt idx="789">
                  <c:v>6.892946425606649</c:v>
                </c:pt>
                <c:pt idx="790">
                  <c:v>6.905738569192333</c:v>
                </c:pt>
                <c:pt idx="791">
                  <c:v>6.918603045866902</c:v>
                </c:pt>
                <c:pt idx="792">
                  <c:v>6.931540399028705</c:v>
                </c:pt>
                <c:pt idx="793">
                  <c:v>6.944551177715288</c:v>
                </c:pt>
                <c:pt idx="794">
                  <c:v>6.95763593667613</c:v>
                </c:pt>
                <c:pt idx="795">
                  <c:v>6.97079523644644</c:v>
                </c:pt>
                <c:pt idx="796">
                  <c:v>6.984029643422073</c:v>
                </c:pt>
                <c:pt idx="797">
                  <c:v>6.997339729935812</c:v>
                </c:pt>
                <c:pt idx="798">
                  <c:v>7.010726074334489</c:v>
                </c:pt>
                <c:pt idx="799">
                  <c:v>7.024189261057741</c:v>
                </c:pt>
                <c:pt idx="800">
                  <c:v>7.037729880717646</c:v>
                </c:pt>
              </c:numCache>
            </c:numRef>
          </c:yVal>
        </c:ser>
        <c:ser>
          <c:idx val="1"/>
          <c:order val="1"/>
          <c:tx>
            <c:v>Nhánh v &gt; 22,2 m/s</c:v>
          </c:tx>
          <c:spPr>
            <a:ln w="19050">
              <a:solidFill>
                <a:srgbClr val="D55E00"/>
              </a:solidFill>
            </a:ln>
          </c:spPr>
          <c:marker>
            <c:symbol val="none"/>
          </c:marker>
          <c:xVal>
            <c:numRef>
              <c:f>TICH_PHAN_SO_V!$G$807:$G$1607</c:f>
              <c:numCache>
                <c:formatCode>General</c:formatCode>
                <c:ptCount val="801"/>
                <c:pt idx="0">
                  <c:v>79.92</c:v>
                </c:pt>
                <c:pt idx="1">
                  <c:v>79.9329125</c:v>
                </c:pt>
                <c:pt idx="2">
                  <c:v>79.945825</c:v>
                </c:pt>
                <c:pt idx="3">
                  <c:v>79.9587375</c:v>
                </c:pt>
                <c:pt idx="4">
                  <c:v>79.97165000000001</c:v>
                </c:pt>
                <c:pt idx="5">
                  <c:v>79.9845625</c:v>
                </c:pt>
                <c:pt idx="6">
                  <c:v>79.997475</c:v>
                </c:pt>
                <c:pt idx="7">
                  <c:v>80.01038750000001</c:v>
                </c:pt>
                <c:pt idx="8">
                  <c:v>80.02329999999999</c:v>
                </c:pt>
                <c:pt idx="9">
                  <c:v>80.0362125</c:v>
                </c:pt>
                <c:pt idx="10">
                  <c:v>80.049125</c:v>
                </c:pt>
                <c:pt idx="11">
                  <c:v>80.0620375</c:v>
                </c:pt>
                <c:pt idx="12">
                  <c:v>80.07495</c:v>
                </c:pt>
                <c:pt idx="13">
                  <c:v>80.0878625</c:v>
                </c:pt>
                <c:pt idx="14">
                  <c:v>80.100775</c:v>
                </c:pt>
                <c:pt idx="15">
                  <c:v>80.1136875</c:v>
                </c:pt>
                <c:pt idx="16">
                  <c:v>80.1266</c:v>
                </c:pt>
                <c:pt idx="17">
                  <c:v>80.1395125</c:v>
                </c:pt>
                <c:pt idx="18">
                  <c:v>80.15242500000001</c:v>
                </c:pt>
                <c:pt idx="19">
                  <c:v>80.16533749999999</c:v>
                </c:pt>
                <c:pt idx="20">
                  <c:v>80.17825</c:v>
                </c:pt>
                <c:pt idx="21">
                  <c:v>80.1911625</c:v>
                </c:pt>
                <c:pt idx="22">
                  <c:v>80.20407499999999</c:v>
                </c:pt>
                <c:pt idx="23">
                  <c:v>80.2169875</c:v>
                </c:pt>
                <c:pt idx="24">
                  <c:v>80.2299</c:v>
                </c:pt>
                <c:pt idx="25">
                  <c:v>80.2428125</c:v>
                </c:pt>
                <c:pt idx="26">
                  <c:v>80.255725</c:v>
                </c:pt>
                <c:pt idx="27">
                  <c:v>80.26863750000001</c:v>
                </c:pt>
                <c:pt idx="28">
                  <c:v>80.28155</c:v>
                </c:pt>
                <c:pt idx="29">
                  <c:v>80.2944625</c:v>
                </c:pt>
                <c:pt idx="30">
                  <c:v>80.30737500000001</c:v>
                </c:pt>
                <c:pt idx="31">
                  <c:v>80.32028749999999</c:v>
                </c:pt>
                <c:pt idx="32">
                  <c:v>80.3332</c:v>
                </c:pt>
                <c:pt idx="33">
                  <c:v>80.34611249999999</c:v>
                </c:pt>
                <c:pt idx="34">
                  <c:v>80.359025</c:v>
                </c:pt>
                <c:pt idx="35">
                  <c:v>80.3719375</c:v>
                </c:pt>
                <c:pt idx="36">
                  <c:v>80.38485</c:v>
                </c:pt>
                <c:pt idx="37">
                  <c:v>80.3977625</c:v>
                </c:pt>
                <c:pt idx="38">
                  <c:v>80.410675</c:v>
                </c:pt>
                <c:pt idx="39">
                  <c:v>80.4235875</c:v>
                </c:pt>
                <c:pt idx="40">
                  <c:v>80.4365</c:v>
                </c:pt>
                <c:pt idx="41">
                  <c:v>80.44941250000001</c:v>
                </c:pt>
                <c:pt idx="42">
                  <c:v>80.46232499999999</c:v>
                </c:pt>
                <c:pt idx="43">
                  <c:v>80.4752375</c:v>
                </c:pt>
                <c:pt idx="44">
                  <c:v>80.48815</c:v>
                </c:pt>
                <c:pt idx="45">
                  <c:v>80.50106249999999</c:v>
                </c:pt>
                <c:pt idx="46">
                  <c:v>80.513975</c:v>
                </c:pt>
                <c:pt idx="47">
                  <c:v>80.5268875</c:v>
                </c:pt>
                <c:pt idx="48">
                  <c:v>80.5398</c:v>
                </c:pt>
                <c:pt idx="49">
                  <c:v>80.5527125</c:v>
                </c:pt>
                <c:pt idx="50">
                  <c:v>80.56562500000001</c:v>
                </c:pt>
                <c:pt idx="51">
                  <c:v>80.5785375</c:v>
                </c:pt>
                <c:pt idx="52">
                  <c:v>80.59145</c:v>
                </c:pt>
                <c:pt idx="53">
                  <c:v>80.60436250000001</c:v>
                </c:pt>
                <c:pt idx="54">
                  <c:v>80.61727499999999</c:v>
                </c:pt>
                <c:pt idx="55">
                  <c:v>80.6301875</c:v>
                </c:pt>
                <c:pt idx="56">
                  <c:v>80.64309999999999</c:v>
                </c:pt>
                <c:pt idx="57">
                  <c:v>80.6560125</c:v>
                </c:pt>
                <c:pt idx="58">
                  <c:v>80.668925</c:v>
                </c:pt>
                <c:pt idx="59">
                  <c:v>80.6818375</c:v>
                </c:pt>
                <c:pt idx="60">
                  <c:v>80.69475</c:v>
                </c:pt>
                <c:pt idx="61">
                  <c:v>80.7076625</c:v>
                </c:pt>
                <c:pt idx="62">
                  <c:v>80.720575</c:v>
                </c:pt>
                <c:pt idx="63">
                  <c:v>80.7334875</c:v>
                </c:pt>
                <c:pt idx="64">
                  <c:v>80.74640000000001</c:v>
                </c:pt>
                <c:pt idx="65">
                  <c:v>80.7593125</c:v>
                </c:pt>
                <c:pt idx="66">
                  <c:v>80.772225</c:v>
                </c:pt>
                <c:pt idx="67">
                  <c:v>80.7851375</c:v>
                </c:pt>
                <c:pt idx="68">
                  <c:v>80.79804999999999</c:v>
                </c:pt>
                <c:pt idx="69">
                  <c:v>80.8109625</c:v>
                </c:pt>
                <c:pt idx="70">
                  <c:v>80.823875</c:v>
                </c:pt>
                <c:pt idx="71">
                  <c:v>80.8367875</c:v>
                </c:pt>
                <c:pt idx="72">
                  <c:v>80.8497</c:v>
                </c:pt>
                <c:pt idx="73">
                  <c:v>80.86261250000001</c:v>
                </c:pt>
                <c:pt idx="74">
                  <c:v>80.875525</c:v>
                </c:pt>
                <c:pt idx="75">
                  <c:v>80.8884375</c:v>
                </c:pt>
                <c:pt idx="76">
                  <c:v>80.90135</c:v>
                </c:pt>
                <c:pt idx="77">
                  <c:v>80.91426249999999</c:v>
                </c:pt>
                <c:pt idx="78">
                  <c:v>80.927175</c:v>
                </c:pt>
                <c:pt idx="79">
                  <c:v>80.94008749999999</c:v>
                </c:pt>
                <c:pt idx="80">
                  <c:v>80.953</c:v>
                </c:pt>
                <c:pt idx="81">
                  <c:v>80.9659125</c:v>
                </c:pt>
                <c:pt idx="82">
                  <c:v>80.978825</c:v>
                </c:pt>
                <c:pt idx="83">
                  <c:v>80.9917375</c:v>
                </c:pt>
                <c:pt idx="84">
                  <c:v>81.00465</c:v>
                </c:pt>
                <c:pt idx="85">
                  <c:v>81.0175625</c:v>
                </c:pt>
                <c:pt idx="86">
                  <c:v>81.030475</c:v>
                </c:pt>
                <c:pt idx="87">
                  <c:v>81.04338750000001</c:v>
                </c:pt>
                <c:pt idx="88">
                  <c:v>81.0563</c:v>
                </c:pt>
                <c:pt idx="89">
                  <c:v>81.0692125</c:v>
                </c:pt>
                <c:pt idx="90">
                  <c:v>81.082125</c:v>
                </c:pt>
                <c:pt idx="91">
                  <c:v>81.09503749999999</c:v>
                </c:pt>
                <c:pt idx="92">
                  <c:v>81.10795</c:v>
                </c:pt>
                <c:pt idx="93">
                  <c:v>81.1208625</c:v>
                </c:pt>
                <c:pt idx="94">
                  <c:v>81.133775</c:v>
                </c:pt>
                <c:pt idx="95">
                  <c:v>81.1466875</c:v>
                </c:pt>
                <c:pt idx="96">
                  <c:v>81.15960000000001</c:v>
                </c:pt>
                <c:pt idx="97">
                  <c:v>81.1725125</c:v>
                </c:pt>
                <c:pt idx="98">
                  <c:v>81.185425</c:v>
                </c:pt>
                <c:pt idx="99">
                  <c:v>81.1983375</c:v>
                </c:pt>
                <c:pt idx="100">
                  <c:v>81.21124999999999</c:v>
                </c:pt>
                <c:pt idx="101">
                  <c:v>81.2241625</c:v>
                </c:pt>
                <c:pt idx="102">
                  <c:v>81.23707499999999</c:v>
                </c:pt>
                <c:pt idx="103">
                  <c:v>81.2499875</c:v>
                </c:pt>
                <c:pt idx="104">
                  <c:v>81.2629</c:v>
                </c:pt>
                <c:pt idx="105">
                  <c:v>81.2758125</c:v>
                </c:pt>
                <c:pt idx="106">
                  <c:v>81.288725</c:v>
                </c:pt>
                <c:pt idx="107">
                  <c:v>81.3016375</c:v>
                </c:pt>
                <c:pt idx="108">
                  <c:v>81.31455</c:v>
                </c:pt>
                <c:pt idx="109">
                  <c:v>81.3274625</c:v>
                </c:pt>
                <c:pt idx="110">
                  <c:v>81.34037500000001</c:v>
                </c:pt>
                <c:pt idx="111">
                  <c:v>81.3532875</c:v>
                </c:pt>
                <c:pt idx="112">
                  <c:v>81.3662</c:v>
                </c:pt>
                <c:pt idx="113">
                  <c:v>81.3791125</c:v>
                </c:pt>
                <c:pt idx="114">
                  <c:v>81.39202499999999</c:v>
                </c:pt>
                <c:pt idx="115">
                  <c:v>81.4049375</c:v>
                </c:pt>
                <c:pt idx="116">
                  <c:v>81.41785</c:v>
                </c:pt>
                <c:pt idx="117">
                  <c:v>81.4307625</c:v>
                </c:pt>
                <c:pt idx="118">
                  <c:v>81.443675</c:v>
                </c:pt>
                <c:pt idx="119">
                  <c:v>81.45658750000001</c:v>
                </c:pt>
                <c:pt idx="120">
                  <c:v>81.4695</c:v>
                </c:pt>
                <c:pt idx="121">
                  <c:v>81.4824125</c:v>
                </c:pt>
                <c:pt idx="122">
                  <c:v>81.495325</c:v>
                </c:pt>
                <c:pt idx="123">
                  <c:v>81.50823749999999</c:v>
                </c:pt>
                <c:pt idx="124">
                  <c:v>81.52115</c:v>
                </c:pt>
                <c:pt idx="125">
                  <c:v>81.53406249999999</c:v>
                </c:pt>
                <c:pt idx="126">
                  <c:v>81.546975</c:v>
                </c:pt>
                <c:pt idx="127">
                  <c:v>81.5598875</c:v>
                </c:pt>
                <c:pt idx="128">
                  <c:v>81.5728</c:v>
                </c:pt>
                <c:pt idx="129">
                  <c:v>81.5857125</c:v>
                </c:pt>
                <c:pt idx="130">
                  <c:v>81.598625</c:v>
                </c:pt>
                <c:pt idx="131">
                  <c:v>81.6115375</c:v>
                </c:pt>
                <c:pt idx="132">
                  <c:v>81.62445</c:v>
                </c:pt>
                <c:pt idx="133">
                  <c:v>81.63736250000001</c:v>
                </c:pt>
                <c:pt idx="134">
                  <c:v>81.650275</c:v>
                </c:pt>
                <c:pt idx="135">
                  <c:v>81.6631875</c:v>
                </c:pt>
                <c:pt idx="136">
                  <c:v>81.6761</c:v>
                </c:pt>
                <c:pt idx="137">
                  <c:v>81.68901249999999</c:v>
                </c:pt>
                <c:pt idx="138">
                  <c:v>81.701925</c:v>
                </c:pt>
                <c:pt idx="139">
                  <c:v>81.7148375</c:v>
                </c:pt>
                <c:pt idx="140">
                  <c:v>81.72775</c:v>
                </c:pt>
                <c:pt idx="141">
                  <c:v>81.7406625</c:v>
                </c:pt>
                <c:pt idx="142">
                  <c:v>81.753575</c:v>
                </c:pt>
                <c:pt idx="143">
                  <c:v>81.7664875</c:v>
                </c:pt>
                <c:pt idx="144">
                  <c:v>81.7794</c:v>
                </c:pt>
                <c:pt idx="145">
                  <c:v>81.7923125</c:v>
                </c:pt>
                <c:pt idx="146">
                  <c:v>81.805225</c:v>
                </c:pt>
                <c:pt idx="147">
                  <c:v>81.8181375</c:v>
                </c:pt>
                <c:pt idx="148">
                  <c:v>81.83104999999999</c:v>
                </c:pt>
                <c:pt idx="149">
                  <c:v>81.8439625</c:v>
                </c:pt>
                <c:pt idx="150">
                  <c:v>81.856875</c:v>
                </c:pt>
                <c:pt idx="151">
                  <c:v>81.8697875</c:v>
                </c:pt>
                <c:pt idx="152">
                  <c:v>81.8827</c:v>
                </c:pt>
                <c:pt idx="153">
                  <c:v>81.8956125</c:v>
                </c:pt>
                <c:pt idx="154">
                  <c:v>81.908525</c:v>
                </c:pt>
                <c:pt idx="155">
                  <c:v>81.9214375</c:v>
                </c:pt>
                <c:pt idx="156">
                  <c:v>81.93435000000001</c:v>
                </c:pt>
                <c:pt idx="157">
                  <c:v>81.9472625</c:v>
                </c:pt>
                <c:pt idx="158">
                  <c:v>81.960175</c:v>
                </c:pt>
                <c:pt idx="159">
                  <c:v>81.9730875</c:v>
                </c:pt>
                <c:pt idx="160">
                  <c:v>81.98599999999999</c:v>
                </c:pt>
                <c:pt idx="161">
                  <c:v>81.9989125</c:v>
                </c:pt>
                <c:pt idx="162">
                  <c:v>82.01182499999999</c:v>
                </c:pt>
                <c:pt idx="163">
                  <c:v>82.0247375</c:v>
                </c:pt>
                <c:pt idx="164">
                  <c:v>82.03765</c:v>
                </c:pt>
                <c:pt idx="165">
                  <c:v>82.0505625</c:v>
                </c:pt>
                <c:pt idx="166">
                  <c:v>82.063475</c:v>
                </c:pt>
                <c:pt idx="167">
                  <c:v>82.0763875</c:v>
                </c:pt>
                <c:pt idx="168">
                  <c:v>82.0893</c:v>
                </c:pt>
                <c:pt idx="169">
                  <c:v>82.1022125</c:v>
                </c:pt>
                <c:pt idx="170">
                  <c:v>82.115125</c:v>
                </c:pt>
                <c:pt idx="171">
                  <c:v>82.12803749999999</c:v>
                </c:pt>
                <c:pt idx="172">
                  <c:v>82.14095</c:v>
                </c:pt>
                <c:pt idx="173">
                  <c:v>82.1538625</c:v>
                </c:pt>
                <c:pt idx="174">
                  <c:v>82.166775</c:v>
                </c:pt>
                <c:pt idx="175">
                  <c:v>82.1796875</c:v>
                </c:pt>
                <c:pt idx="176">
                  <c:v>82.1926</c:v>
                </c:pt>
                <c:pt idx="177">
                  <c:v>82.2055125</c:v>
                </c:pt>
                <c:pt idx="178">
                  <c:v>82.218425</c:v>
                </c:pt>
                <c:pt idx="179">
                  <c:v>82.23133750000001</c:v>
                </c:pt>
                <c:pt idx="180">
                  <c:v>82.24425</c:v>
                </c:pt>
                <c:pt idx="181">
                  <c:v>82.2571625</c:v>
                </c:pt>
                <c:pt idx="182">
                  <c:v>82.270075</c:v>
                </c:pt>
                <c:pt idx="183">
                  <c:v>82.28298749999999</c:v>
                </c:pt>
                <c:pt idx="184">
                  <c:v>82.2959</c:v>
                </c:pt>
                <c:pt idx="185">
                  <c:v>82.30881249999999</c:v>
                </c:pt>
                <c:pt idx="186">
                  <c:v>82.321725</c:v>
                </c:pt>
                <c:pt idx="187">
                  <c:v>82.3346375</c:v>
                </c:pt>
                <c:pt idx="188">
                  <c:v>82.34755</c:v>
                </c:pt>
                <c:pt idx="189">
                  <c:v>82.3604625</c:v>
                </c:pt>
                <c:pt idx="190">
                  <c:v>82.373375</c:v>
                </c:pt>
                <c:pt idx="191">
                  <c:v>82.3862875</c:v>
                </c:pt>
                <c:pt idx="192">
                  <c:v>82.3992</c:v>
                </c:pt>
                <c:pt idx="193">
                  <c:v>82.4121125</c:v>
                </c:pt>
                <c:pt idx="194">
                  <c:v>82.42502499999999</c:v>
                </c:pt>
                <c:pt idx="195">
                  <c:v>82.4379375</c:v>
                </c:pt>
                <c:pt idx="196">
                  <c:v>82.45085</c:v>
                </c:pt>
                <c:pt idx="197">
                  <c:v>82.4637625</c:v>
                </c:pt>
                <c:pt idx="198">
                  <c:v>82.476675</c:v>
                </c:pt>
                <c:pt idx="199">
                  <c:v>82.4895875</c:v>
                </c:pt>
                <c:pt idx="200">
                  <c:v>82.5025</c:v>
                </c:pt>
                <c:pt idx="201">
                  <c:v>82.5154125</c:v>
                </c:pt>
                <c:pt idx="202">
                  <c:v>82.52832500000001</c:v>
                </c:pt>
                <c:pt idx="203">
                  <c:v>82.5412375</c:v>
                </c:pt>
                <c:pt idx="204">
                  <c:v>82.55415</c:v>
                </c:pt>
                <c:pt idx="205">
                  <c:v>82.5670625</c:v>
                </c:pt>
                <c:pt idx="206">
                  <c:v>82.57997499999999</c:v>
                </c:pt>
                <c:pt idx="207">
                  <c:v>82.5928875</c:v>
                </c:pt>
                <c:pt idx="208">
                  <c:v>82.60579999999999</c:v>
                </c:pt>
                <c:pt idx="209">
                  <c:v>82.6187125</c:v>
                </c:pt>
                <c:pt idx="210">
                  <c:v>82.631625</c:v>
                </c:pt>
                <c:pt idx="211">
                  <c:v>82.6445375</c:v>
                </c:pt>
                <c:pt idx="212">
                  <c:v>82.65745</c:v>
                </c:pt>
                <c:pt idx="213">
                  <c:v>82.6703625</c:v>
                </c:pt>
                <c:pt idx="214">
                  <c:v>82.683275</c:v>
                </c:pt>
                <c:pt idx="215">
                  <c:v>82.6961875</c:v>
                </c:pt>
                <c:pt idx="216">
                  <c:v>82.7091</c:v>
                </c:pt>
                <c:pt idx="217">
                  <c:v>82.72201249999999</c:v>
                </c:pt>
                <c:pt idx="218">
                  <c:v>82.734925</c:v>
                </c:pt>
                <c:pt idx="219">
                  <c:v>82.7478375</c:v>
                </c:pt>
                <c:pt idx="220">
                  <c:v>82.76075</c:v>
                </c:pt>
                <c:pt idx="221">
                  <c:v>82.7736625</c:v>
                </c:pt>
                <c:pt idx="222">
                  <c:v>82.786575</c:v>
                </c:pt>
                <c:pt idx="223">
                  <c:v>82.7994875</c:v>
                </c:pt>
                <c:pt idx="224">
                  <c:v>82.8124</c:v>
                </c:pt>
                <c:pt idx="225">
                  <c:v>82.82531250000001</c:v>
                </c:pt>
                <c:pt idx="226">
                  <c:v>82.838225</c:v>
                </c:pt>
                <c:pt idx="227">
                  <c:v>82.85113750000001</c:v>
                </c:pt>
                <c:pt idx="228">
                  <c:v>82.86404999999999</c:v>
                </c:pt>
                <c:pt idx="229">
                  <c:v>82.87696249999999</c:v>
                </c:pt>
                <c:pt idx="230">
                  <c:v>82.889875</c:v>
                </c:pt>
                <c:pt idx="231">
                  <c:v>82.90278749999999</c:v>
                </c:pt>
                <c:pt idx="232">
                  <c:v>82.9157</c:v>
                </c:pt>
                <c:pt idx="233">
                  <c:v>82.9286125</c:v>
                </c:pt>
                <c:pt idx="234">
                  <c:v>82.941525</c:v>
                </c:pt>
                <c:pt idx="235">
                  <c:v>82.9544375</c:v>
                </c:pt>
                <c:pt idx="236">
                  <c:v>82.96735</c:v>
                </c:pt>
                <c:pt idx="237">
                  <c:v>82.9802625</c:v>
                </c:pt>
                <c:pt idx="238">
                  <c:v>82.993175</c:v>
                </c:pt>
                <c:pt idx="239">
                  <c:v>83.0060875</c:v>
                </c:pt>
                <c:pt idx="240">
                  <c:v>83.01899999999999</c:v>
                </c:pt>
                <c:pt idx="241">
                  <c:v>83.0319125</c:v>
                </c:pt>
                <c:pt idx="242">
                  <c:v>83.044825</c:v>
                </c:pt>
                <c:pt idx="243">
                  <c:v>83.0577375</c:v>
                </c:pt>
                <c:pt idx="244">
                  <c:v>83.07065</c:v>
                </c:pt>
                <c:pt idx="245">
                  <c:v>83.0835625</c:v>
                </c:pt>
                <c:pt idx="246">
                  <c:v>83.096475</c:v>
                </c:pt>
                <c:pt idx="247">
                  <c:v>83.1093875</c:v>
                </c:pt>
                <c:pt idx="248">
                  <c:v>83.12230000000001</c:v>
                </c:pt>
                <c:pt idx="249">
                  <c:v>83.1352125</c:v>
                </c:pt>
                <c:pt idx="250">
                  <c:v>83.14812500000001</c:v>
                </c:pt>
                <c:pt idx="251">
                  <c:v>83.16103749999999</c:v>
                </c:pt>
                <c:pt idx="252">
                  <c:v>83.17394999999999</c:v>
                </c:pt>
                <c:pt idx="253">
                  <c:v>83.1868625</c:v>
                </c:pt>
                <c:pt idx="254">
                  <c:v>83.19977499999999</c:v>
                </c:pt>
                <c:pt idx="255">
                  <c:v>83.2126875</c:v>
                </c:pt>
                <c:pt idx="256">
                  <c:v>83.2256</c:v>
                </c:pt>
                <c:pt idx="257">
                  <c:v>83.2385125</c:v>
                </c:pt>
                <c:pt idx="258">
                  <c:v>83.251425</c:v>
                </c:pt>
                <c:pt idx="259">
                  <c:v>83.2643375</c:v>
                </c:pt>
                <c:pt idx="260">
                  <c:v>83.27725</c:v>
                </c:pt>
                <c:pt idx="261">
                  <c:v>83.2901625</c:v>
                </c:pt>
                <c:pt idx="262">
                  <c:v>83.303075</c:v>
                </c:pt>
                <c:pt idx="263">
                  <c:v>83.31598749999999</c:v>
                </c:pt>
                <c:pt idx="264">
                  <c:v>83.3289</c:v>
                </c:pt>
                <c:pt idx="265">
                  <c:v>83.3418125</c:v>
                </c:pt>
                <c:pt idx="266">
                  <c:v>83.354725</c:v>
                </c:pt>
                <c:pt idx="267">
                  <c:v>83.3676375</c:v>
                </c:pt>
                <c:pt idx="268">
                  <c:v>83.38055</c:v>
                </c:pt>
                <c:pt idx="269">
                  <c:v>83.3934625</c:v>
                </c:pt>
                <c:pt idx="270">
                  <c:v>83.406375</c:v>
                </c:pt>
                <c:pt idx="271">
                  <c:v>83.4192875</c:v>
                </c:pt>
                <c:pt idx="272">
                  <c:v>83.4322</c:v>
                </c:pt>
                <c:pt idx="273">
                  <c:v>83.44511250000001</c:v>
                </c:pt>
                <c:pt idx="274">
                  <c:v>83.45802499999999</c:v>
                </c:pt>
                <c:pt idx="275">
                  <c:v>83.47093749999999</c:v>
                </c:pt>
                <c:pt idx="276">
                  <c:v>83.48385</c:v>
                </c:pt>
                <c:pt idx="277">
                  <c:v>83.49676249999999</c:v>
                </c:pt>
                <c:pt idx="278">
                  <c:v>83.509675</c:v>
                </c:pt>
                <c:pt idx="279">
                  <c:v>83.5225875</c:v>
                </c:pt>
                <c:pt idx="280">
                  <c:v>83.5355</c:v>
                </c:pt>
                <c:pt idx="281">
                  <c:v>83.5484125</c:v>
                </c:pt>
                <c:pt idx="282">
                  <c:v>83.561325</c:v>
                </c:pt>
                <c:pt idx="283">
                  <c:v>83.5742375</c:v>
                </c:pt>
                <c:pt idx="284">
                  <c:v>83.58715</c:v>
                </c:pt>
                <c:pt idx="285">
                  <c:v>83.6000625</c:v>
                </c:pt>
                <c:pt idx="286">
                  <c:v>83.61297499999999</c:v>
                </c:pt>
                <c:pt idx="287">
                  <c:v>83.6258875</c:v>
                </c:pt>
                <c:pt idx="288">
                  <c:v>83.6388</c:v>
                </c:pt>
                <c:pt idx="289">
                  <c:v>83.6517125</c:v>
                </c:pt>
                <c:pt idx="290">
                  <c:v>83.664625</c:v>
                </c:pt>
                <c:pt idx="291">
                  <c:v>83.6775375</c:v>
                </c:pt>
                <c:pt idx="292">
                  <c:v>83.69045</c:v>
                </c:pt>
                <c:pt idx="293">
                  <c:v>83.7033625</c:v>
                </c:pt>
                <c:pt idx="294">
                  <c:v>83.716275</c:v>
                </c:pt>
                <c:pt idx="295">
                  <c:v>83.7291875</c:v>
                </c:pt>
                <c:pt idx="296">
                  <c:v>83.74210000000001</c:v>
                </c:pt>
                <c:pt idx="297">
                  <c:v>83.75501249999999</c:v>
                </c:pt>
                <c:pt idx="298">
                  <c:v>83.76792499999999</c:v>
                </c:pt>
                <c:pt idx="299">
                  <c:v>83.7808375</c:v>
                </c:pt>
                <c:pt idx="300">
                  <c:v>83.79374999999999</c:v>
                </c:pt>
                <c:pt idx="301">
                  <c:v>83.8066625</c:v>
                </c:pt>
                <c:pt idx="302">
                  <c:v>83.819575</c:v>
                </c:pt>
                <c:pt idx="303">
                  <c:v>83.8324875</c:v>
                </c:pt>
                <c:pt idx="304">
                  <c:v>83.8454</c:v>
                </c:pt>
                <c:pt idx="305">
                  <c:v>83.8583125</c:v>
                </c:pt>
                <c:pt idx="306">
                  <c:v>83.871225</c:v>
                </c:pt>
                <c:pt idx="307">
                  <c:v>83.8841375</c:v>
                </c:pt>
                <c:pt idx="308">
                  <c:v>83.89705000000001</c:v>
                </c:pt>
                <c:pt idx="309">
                  <c:v>83.90996249999999</c:v>
                </c:pt>
                <c:pt idx="310">
                  <c:v>83.922875</c:v>
                </c:pt>
                <c:pt idx="311">
                  <c:v>83.93578749999999</c:v>
                </c:pt>
                <c:pt idx="312">
                  <c:v>83.9487</c:v>
                </c:pt>
                <c:pt idx="313">
                  <c:v>83.9616125</c:v>
                </c:pt>
                <c:pt idx="314">
                  <c:v>83.974525</c:v>
                </c:pt>
                <c:pt idx="315">
                  <c:v>83.9874375</c:v>
                </c:pt>
                <c:pt idx="316">
                  <c:v>84.00035</c:v>
                </c:pt>
                <c:pt idx="317">
                  <c:v>84.0132625</c:v>
                </c:pt>
                <c:pt idx="318">
                  <c:v>84.026175</c:v>
                </c:pt>
                <c:pt idx="319">
                  <c:v>84.03908750000001</c:v>
                </c:pt>
                <c:pt idx="320">
                  <c:v>84.05199999999999</c:v>
                </c:pt>
                <c:pt idx="321">
                  <c:v>84.06491249999999</c:v>
                </c:pt>
                <c:pt idx="322">
                  <c:v>84.077825</c:v>
                </c:pt>
                <c:pt idx="323">
                  <c:v>84.09073749999999</c:v>
                </c:pt>
                <c:pt idx="324">
                  <c:v>84.10365</c:v>
                </c:pt>
                <c:pt idx="325">
                  <c:v>84.1165625</c:v>
                </c:pt>
                <c:pt idx="326">
                  <c:v>84.129475</c:v>
                </c:pt>
                <c:pt idx="327">
                  <c:v>84.1423875</c:v>
                </c:pt>
                <c:pt idx="328">
                  <c:v>84.1553</c:v>
                </c:pt>
                <c:pt idx="329">
                  <c:v>84.1682125</c:v>
                </c:pt>
                <c:pt idx="330">
                  <c:v>84.181125</c:v>
                </c:pt>
                <c:pt idx="331">
                  <c:v>84.19403750000001</c:v>
                </c:pt>
                <c:pt idx="332">
                  <c:v>84.20694999999999</c:v>
                </c:pt>
                <c:pt idx="333">
                  <c:v>84.2198625</c:v>
                </c:pt>
                <c:pt idx="334">
                  <c:v>84.23277499999999</c:v>
                </c:pt>
                <c:pt idx="335">
                  <c:v>84.2456875</c:v>
                </c:pt>
                <c:pt idx="336">
                  <c:v>84.2586</c:v>
                </c:pt>
                <c:pt idx="337">
                  <c:v>84.2715125</c:v>
                </c:pt>
                <c:pt idx="338">
                  <c:v>84.284425</c:v>
                </c:pt>
                <c:pt idx="339">
                  <c:v>84.2973375</c:v>
                </c:pt>
                <c:pt idx="340">
                  <c:v>84.31025</c:v>
                </c:pt>
                <c:pt idx="341">
                  <c:v>84.3231625</c:v>
                </c:pt>
                <c:pt idx="342">
                  <c:v>84.33607500000001</c:v>
                </c:pt>
                <c:pt idx="343">
                  <c:v>84.34898749999999</c:v>
                </c:pt>
                <c:pt idx="344">
                  <c:v>84.36189999999999</c:v>
                </c:pt>
                <c:pt idx="345">
                  <c:v>84.3748125</c:v>
                </c:pt>
                <c:pt idx="346">
                  <c:v>84.38772499999999</c:v>
                </c:pt>
                <c:pt idx="347">
                  <c:v>84.4006375</c:v>
                </c:pt>
                <c:pt idx="348">
                  <c:v>84.41355</c:v>
                </c:pt>
                <c:pt idx="349">
                  <c:v>84.4264625</c:v>
                </c:pt>
                <c:pt idx="350">
                  <c:v>84.439375</c:v>
                </c:pt>
                <c:pt idx="351">
                  <c:v>84.4522875</c:v>
                </c:pt>
                <c:pt idx="352">
                  <c:v>84.4652</c:v>
                </c:pt>
                <c:pt idx="353">
                  <c:v>84.4781125</c:v>
                </c:pt>
                <c:pt idx="354">
                  <c:v>84.49102500000001</c:v>
                </c:pt>
                <c:pt idx="355">
                  <c:v>84.50393749999999</c:v>
                </c:pt>
                <c:pt idx="356">
                  <c:v>84.51685</c:v>
                </c:pt>
                <c:pt idx="357">
                  <c:v>84.52976249999999</c:v>
                </c:pt>
                <c:pt idx="358">
                  <c:v>84.542675</c:v>
                </c:pt>
                <c:pt idx="359">
                  <c:v>84.5555875</c:v>
                </c:pt>
                <c:pt idx="360">
                  <c:v>84.5685</c:v>
                </c:pt>
                <c:pt idx="361">
                  <c:v>84.5814125</c:v>
                </c:pt>
                <c:pt idx="362">
                  <c:v>84.594325</c:v>
                </c:pt>
                <c:pt idx="363">
                  <c:v>84.6072375</c:v>
                </c:pt>
                <c:pt idx="364">
                  <c:v>84.62015</c:v>
                </c:pt>
                <c:pt idx="365">
                  <c:v>84.63306250000001</c:v>
                </c:pt>
                <c:pt idx="366">
                  <c:v>84.64597499999999</c:v>
                </c:pt>
                <c:pt idx="367">
                  <c:v>84.65888749999999</c:v>
                </c:pt>
                <c:pt idx="368">
                  <c:v>84.6718</c:v>
                </c:pt>
                <c:pt idx="369">
                  <c:v>84.68471249999999</c:v>
                </c:pt>
                <c:pt idx="370">
                  <c:v>84.697625</c:v>
                </c:pt>
                <c:pt idx="371">
                  <c:v>84.7105375</c:v>
                </c:pt>
                <c:pt idx="372">
                  <c:v>84.72345</c:v>
                </c:pt>
                <c:pt idx="373">
                  <c:v>84.7363625</c:v>
                </c:pt>
                <c:pt idx="374">
                  <c:v>84.749275</c:v>
                </c:pt>
                <c:pt idx="375">
                  <c:v>84.7621875</c:v>
                </c:pt>
                <c:pt idx="376">
                  <c:v>84.7751</c:v>
                </c:pt>
                <c:pt idx="377">
                  <c:v>84.78801250000001</c:v>
                </c:pt>
                <c:pt idx="378">
                  <c:v>84.80092499999999</c:v>
                </c:pt>
                <c:pt idx="379">
                  <c:v>84.8138375</c:v>
                </c:pt>
                <c:pt idx="380">
                  <c:v>84.82674999999999</c:v>
                </c:pt>
                <c:pt idx="381">
                  <c:v>84.8396625</c:v>
                </c:pt>
                <c:pt idx="382">
                  <c:v>84.852575</c:v>
                </c:pt>
                <c:pt idx="383">
                  <c:v>84.86548749999999</c:v>
                </c:pt>
                <c:pt idx="384">
                  <c:v>84.8784</c:v>
                </c:pt>
                <c:pt idx="385">
                  <c:v>84.8913125</c:v>
                </c:pt>
                <c:pt idx="386">
                  <c:v>84.904225</c:v>
                </c:pt>
                <c:pt idx="387">
                  <c:v>84.9171375</c:v>
                </c:pt>
                <c:pt idx="388">
                  <c:v>84.93005000000001</c:v>
                </c:pt>
                <c:pt idx="389">
                  <c:v>84.9429625</c:v>
                </c:pt>
                <c:pt idx="390">
                  <c:v>84.95587499999999</c:v>
                </c:pt>
                <c:pt idx="391">
                  <c:v>84.9687875</c:v>
                </c:pt>
                <c:pt idx="392">
                  <c:v>84.98169999999999</c:v>
                </c:pt>
                <c:pt idx="393">
                  <c:v>84.9946125</c:v>
                </c:pt>
                <c:pt idx="394">
                  <c:v>85.007525</c:v>
                </c:pt>
                <c:pt idx="395">
                  <c:v>85.0204375</c:v>
                </c:pt>
                <c:pt idx="396">
                  <c:v>85.03335</c:v>
                </c:pt>
                <c:pt idx="397">
                  <c:v>85.0462625</c:v>
                </c:pt>
                <c:pt idx="398">
                  <c:v>85.059175</c:v>
                </c:pt>
                <c:pt idx="399">
                  <c:v>85.0720875</c:v>
                </c:pt>
                <c:pt idx="400">
                  <c:v>85.08500000000001</c:v>
                </c:pt>
                <c:pt idx="401">
                  <c:v>85.09791249999999</c:v>
                </c:pt>
                <c:pt idx="402">
                  <c:v>85.110825</c:v>
                </c:pt>
                <c:pt idx="403">
                  <c:v>85.12373749999999</c:v>
                </c:pt>
                <c:pt idx="404">
                  <c:v>85.13665</c:v>
                </c:pt>
                <c:pt idx="405">
                  <c:v>85.1495625</c:v>
                </c:pt>
                <c:pt idx="406">
                  <c:v>85.16247499999999</c:v>
                </c:pt>
                <c:pt idx="407">
                  <c:v>85.1753875</c:v>
                </c:pt>
                <c:pt idx="408">
                  <c:v>85.1883</c:v>
                </c:pt>
                <c:pt idx="409">
                  <c:v>85.2012125</c:v>
                </c:pt>
                <c:pt idx="410">
                  <c:v>85.214125</c:v>
                </c:pt>
                <c:pt idx="411">
                  <c:v>85.22703750000001</c:v>
                </c:pt>
                <c:pt idx="412">
                  <c:v>85.23995</c:v>
                </c:pt>
                <c:pt idx="413">
                  <c:v>85.25286249999999</c:v>
                </c:pt>
                <c:pt idx="414">
                  <c:v>85.265775</c:v>
                </c:pt>
                <c:pt idx="415">
                  <c:v>85.27868749999999</c:v>
                </c:pt>
                <c:pt idx="416">
                  <c:v>85.2916</c:v>
                </c:pt>
                <c:pt idx="417">
                  <c:v>85.3045125</c:v>
                </c:pt>
                <c:pt idx="418">
                  <c:v>85.317425</c:v>
                </c:pt>
                <c:pt idx="419">
                  <c:v>85.3303375</c:v>
                </c:pt>
                <c:pt idx="420">
                  <c:v>85.34325</c:v>
                </c:pt>
                <c:pt idx="421">
                  <c:v>85.3561625</c:v>
                </c:pt>
                <c:pt idx="422">
                  <c:v>85.369075</c:v>
                </c:pt>
                <c:pt idx="423">
                  <c:v>85.38198750000001</c:v>
                </c:pt>
                <c:pt idx="424">
                  <c:v>85.39489999999999</c:v>
                </c:pt>
                <c:pt idx="425">
                  <c:v>85.4078125</c:v>
                </c:pt>
                <c:pt idx="426">
                  <c:v>85.42072499999999</c:v>
                </c:pt>
                <c:pt idx="427">
                  <c:v>85.4336375</c:v>
                </c:pt>
                <c:pt idx="428">
                  <c:v>85.44655</c:v>
                </c:pt>
                <c:pt idx="429">
                  <c:v>85.45946249999999</c:v>
                </c:pt>
                <c:pt idx="430">
                  <c:v>85.472375</c:v>
                </c:pt>
                <c:pt idx="431">
                  <c:v>85.4852875</c:v>
                </c:pt>
                <c:pt idx="432">
                  <c:v>85.4982</c:v>
                </c:pt>
                <c:pt idx="433">
                  <c:v>85.5111125</c:v>
                </c:pt>
                <c:pt idx="434">
                  <c:v>85.52402500000001</c:v>
                </c:pt>
                <c:pt idx="435">
                  <c:v>85.5369375</c:v>
                </c:pt>
                <c:pt idx="436">
                  <c:v>85.54984999999999</c:v>
                </c:pt>
                <c:pt idx="437">
                  <c:v>85.5627625</c:v>
                </c:pt>
                <c:pt idx="438">
                  <c:v>85.57567499999999</c:v>
                </c:pt>
                <c:pt idx="439">
                  <c:v>85.5885875</c:v>
                </c:pt>
                <c:pt idx="440">
                  <c:v>85.6015</c:v>
                </c:pt>
                <c:pt idx="441">
                  <c:v>85.6144125</c:v>
                </c:pt>
                <c:pt idx="442">
                  <c:v>85.627325</c:v>
                </c:pt>
                <c:pt idx="443">
                  <c:v>85.6402375</c:v>
                </c:pt>
                <c:pt idx="444">
                  <c:v>85.65315</c:v>
                </c:pt>
                <c:pt idx="445">
                  <c:v>85.6660625</c:v>
                </c:pt>
                <c:pt idx="446">
                  <c:v>85.67897500000001</c:v>
                </c:pt>
                <c:pt idx="447">
                  <c:v>85.69188749999999</c:v>
                </c:pt>
                <c:pt idx="448">
                  <c:v>85.7048</c:v>
                </c:pt>
                <c:pt idx="449">
                  <c:v>85.71771249999999</c:v>
                </c:pt>
                <c:pt idx="450">
                  <c:v>85.730625</c:v>
                </c:pt>
                <c:pt idx="451">
                  <c:v>85.7435375</c:v>
                </c:pt>
                <c:pt idx="452">
                  <c:v>85.75644999999999</c:v>
                </c:pt>
                <c:pt idx="453">
                  <c:v>85.7693625</c:v>
                </c:pt>
                <c:pt idx="454">
                  <c:v>85.782275</c:v>
                </c:pt>
                <c:pt idx="455">
                  <c:v>85.7951875</c:v>
                </c:pt>
                <c:pt idx="456">
                  <c:v>85.8081</c:v>
                </c:pt>
                <c:pt idx="457">
                  <c:v>85.82101250000001</c:v>
                </c:pt>
                <c:pt idx="458">
                  <c:v>85.833925</c:v>
                </c:pt>
                <c:pt idx="459">
                  <c:v>85.84683749999999</c:v>
                </c:pt>
                <c:pt idx="460">
                  <c:v>85.85975</c:v>
                </c:pt>
                <c:pt idx="461">
                  <c:v>85.87266249999999</c:v>
                </c:pt>
                <c:pt idx="462">
                  <c:v>85.885575</c:v>
                </c:pt>
                <c:pt idx="463">
                  <c:v>85.8984875</c:v>
                </c:pt>
                <c:pt idx="464">
                  <c:v>85.9114</c:v>
                </c:pt>
                <c:pt idx="465">
                  <c:v>85.9243125</c:v>
                </c:pt>
                <c:pt idx="466">
                  <c:v>85.937225</c:v>
                </c:pt>
                <c:pt idx="467">
                  <c:v>85.9501375</c:v>
                </c:pt>
                <c:pt idx="468">
                  <c:v>85.96305</c:v>
                </c:pt>
                <c:pt idx="469">
                  <c:v>85.9759625</c:v>
                </c:pt>
                <c:pt idx="470">
                  <c:v>85.988875</c:v>
                </c:pt>
                <c:pt idx="471">
                  <c:v>86.0017875</c:v>
                </c:pt>
                <c:pt idx="472">
                  <c:v>86.01469999999999</c:v>
                </c:pt>
                <c:pt idx="473">
                  <c:v>86.0276125</c:v>
                </c:pt>
                <c:pt idx="474">
                  <c:v>86.040525</c:v>
                </c:pt>
                <c:pt idx="475">
                  <c:v>86.05343749999999</c:v>
                </c:pt>
                <c:pt idx="476">
                  <c:v>86.06635</c:v>
                </c:pt>
                <c:pt idx="477">
                  <c:v>86.0792625</c:v>
                </c:pt>
                <c:pt idx="478">
                  <c:v>86.092175</c:v>
                </c:pt>
                <c:pt idx="479">
                  <c:v>86.1050875</c:v>
                </c:pt>
                <c:pt idx="480">
                  <c:v>86.11800000000001</c:v>
                </c:pt>
                <c:pt idx="481">
                  <c:v>86.1309125</c:v>
                </c:pt>
                <c:pt idx="482">
                  <c:v>86.14382499999999</c:v>
                </c:pt>
                <c:pt idx="483">
                  <c:v>86.15673749999999</c:v>
                </c:pt>
                <c:pt idx="484">
                  <c:v>86.16964999999999</c:v>
                </c:pt>
                <c:pt idx="485">
                  <c:v>86.1825625</c:v>
                </c:pt>
                <c:pt idx="486">
                  <c:v>86.195475</c:v>
                </c:pt>
                <c:pt idx="487">
                  <c:v>86.2083875</c:v>
                </c:pt>
                <c:pt idx="488">
                  <c:v>86.2213</c:v>
                </c:pt>
                <c:pt idx="489">
                  <c:v>86.2342125</c:v>
                </c:pt>
                <c:pt idx="490">
                  <c:v>86.247125</c:v>
                </c:pt>
                <c:pt idx="491">
                  <c:v>86.2600375</c:v>
                </c:pt>
                <c:pt idx="492">
                  <c:v>86.27295</c:v>
                </c:pt>
                <c:pt idx="493">
                  <c:v>86.2858625</c:v>
                </c:pt>
                <c:pt idx="494">
                  <c:v>86.298775</c:v>
                </c:pt>
                <c:pt idx="495">
                  <c:v>86.31168749999999</c:v>
                </c:pt>
                <c:pt idx="496">
                  <c:v>86.3246</c:v>
                </c:pt>
                <c:pt idx="497">
                  <c:v>86.3375125</c:v>
                </c:pt>
                <c:pt idx="498">
                  <c:v>86.35042499999999</c:v>
                </c:pt>
                <c:pt idx="499">
                  <c:v>86.3633375</c:v>
                </c:pt>
                <c:pt idx="500">
                  <c:v>86.37625</c:v>
                </c:pt>
                <c:pt idx="501">
                  <c:v>86.3891625</c:v>
                </c:pt>
                <c:pt idx="502">
                  <c:v>86.402075</c:v>
                </c:pt>
                <c:pt idx="503">
                  <c:v>86.41498750000001</c:v>
                </c:pt>
                <c:pt idx="504">
                  <c:v>86.4279</c:v>
                </c:pt>
                <c:pt idx="505">
                  <c:v>86.44081249999999</c:v>
                </c:pt>
                <c:pt idx="506">
                  <c:v>86.45372499999999</c:v>
                </c:pt>
                <c:pt idx="507">
                  <c:v>86.46663749999999</c:v>
                </c:pt>
                <c:pt idx="508">
                  <c:v>86.47955</c:v>
                </c:pt>
                <c:pt idx="509">
                  <c:v>86.4924625</c:v>
                </c:pt>
                <c:pt idx="510">
                  <c:v>86.505375</c:v>
                </c:pt>
                <c:pt idx="511">
                  <c:v>86.5182875</c:v>
                </c:pt>
                <c:pt idx="512">
                  <c:v>86.5312</c:v>
                </c:pt>
                <c:pt idx="513">
                  <c:v>86.5441125</c:v>
                </c:pt>
                <c:pt idx="514">
                  <c:v>86.557025</c:v>
                </c:pt>
                <c:pt idx="515">
                  <c:v>86.5699375</c:v>
                </c:pt>
                <c:pt idx="516">
                  <c:v>86.58285</c:v>
                </c:pt>
                <c:pt idx="517">
                  <c:v>86.5957625</c:v>
                </c:pt>
                <c:pt idx="518">
                  <c:v>86.60867499999999</c:v>
                </c:pt>
                <c:pt idx="519">
                  <c:v>86.6215875</c:v>
                </c:pt>
                <c:pt idx="520">
                  <c:v>86.6345</c:v>
                </c:pt>
                <c:pt idx="521">
                  <c:v>86.64741249999999</c:v>
                </c:pt>
                <c:pt idx="522">
                  <c:v>86.660325</c:v>
                </c:pt>
                <c:pt idx="523">
                  <c:v>86.6732375</c:v>
                </c:pt>
                <c:pt idx="524">
                  <c:v>86.68615</c:v>
                </c:pt>
                <c:pt idx="525">
                  <c:v>86.6990625</c:v>
                </c:pt>
                <c:pt idx="526">
                  <c:v>86.71197500000001</c:v>
                </c:pt>
                <c:pt idx="527">
                  <c:v>86.7248875</c:v>
                </c:pt>
                <c:pt idx="528">
                  <c:v>86.7378</c:v>
                </c:pt>
                <c:pt idx="529">
                  <c:v>86.75071249999999</c:v>
                </c:pt>
                <c:pt idx="530">
                  <c:v>86.76362499999999</c:v>
                </c:pt>
                <c:pt idx="531">
                  <c:v>86.7765375</c:v>
                </c:pt>
                <c:pt idx="532">
                  <c:v>86.78945</c:v>
                </c:pt>
                <c:pt idx="533">
                  <c:v>86.8023625</c:v>
                </c:pt>
                <c:pt idx="534">
                  <c:v>86.815275</c:v>
                </c:pt>
                <c:pt idx="535">
                  <c:v>86.8281875</c:v>
                </c:pt>
                <c:pt idx="536">
                  <c:v>86.8411</c:v>
                </c:pt>
                <c:pt idx="537">
                  <c:v>86.8540125</c:v>
                </c:pt>
                <c:pt idx="538">
                  <c:v>86.866925</c:v>
                </c:pt>
                <c:pt idx="539">
                  <c:v>86.8798375</c:v>
                </c:pt>
                <c:pt idx="540">
                  <c:v>86.89275</c:v>
                </c:pt>
                <c:pt idx="541">
                  <c:v>86.90566249999999</c:v>
                </c:pt>
                <c:pt idx="542">
                  <c:v>86.918575</c:v>
                </c:pt>
                <c:pt idx="543">
                  <c:v>86.9314875</c:v>
                </c:pt>
                <c:pt idx="544">
                  <c:v>86.94439999999999</c:v>
                </c:pt>
                <c:pt idx="545">
                  <c:v>86.9573125</c:v>
                </c:pt>
                <c:pt idx="546">
                  <c:v>86.970225</c:v>
                </c:pt>
                <c:pt idx="547">
                  <c:v>86.9831375</c:v>
                </c:pt>
                <c:pt idx="548">
                  <c:v>86.99605</c:v>
                </c:pt>
                <c:pt idx="549">
                  <c:v>87.00896250000001</c:v>
                </c:pt>
                <c:pt idx="550">
                  <c:v>87.021875</c:v>
                </c:pt>
                <c:pt idx="551">
                  <c:v>87.0347875</c:v>
                </c:pt>
                <c:pt idx="552">
                  <c:v>87.04769999999999</c:v>
                </c:pt>
                <c:pt idx="553">
                  <c:v>87.06061249999999</c:v>
                </c:pt>
                <c:pt idx="554">
                  <c:v>87.073525</c:v>
                </c:pt>
                <c:pt idx="555">
                  <c:v>87.0864375</c:v>
                </c:pt>
                <c:pt idx="556">
                  <c:v>87.09935</c:v>
                </c:pt>
                <c:pt idx="557">
                  <c:v>87.1122625</c:v>
                </c:pt>
                <c:pt idx="558">
                  <c:v>87.125175</c:v>
                </c:pt>
                <c:pt idx="559">
                  <c:v>87.1380875</c:v>
                </c:pt>
                <c:pt idx="560">
                  <c:v>87.151</c:v>
                </c:pt>
                <c:pt idx="561">
                  <c:v>87.1639125</c:v>
                </c:pt>
                <c:pt idx="562">
                  <c:v>87.176825</c:v>
                </c:pt>
                <c:pt idx="563">
                  <c:v>87.1897375</c:v>
                </c:pt>
                <c:pt idx="564">
                  <c:v>87.20264999999999</c:v>
                </c:pt>
                <c:pt idx="565">
                  <c:v>87.2155625</c:v>
                </c:pt>
                <c:pt idx="566">
                  <c:v>87.228475</c:v>
                </c:pt>
                <c:pt idx="567">
                  <c:v>87.24138749999999</c:v>
                </c:pt>
                <c:pt idx="568">
                  <c:v>87.2543</c:v>
                </c:pt>
                <c:pt idx="569">
                  <c:v>87.2672125</c:v>
                </c:pt>
                <c:pt idx="570">
                  <c:v>87.280125</c:v>
                </c:pt>
                <c:pt idx="571">
                  <c:v>87.2930375</c:v>
                </c:pt>
                <c:pt idx="572">
                  <c:v>87.30595000000001</c:v>
                </c:pt>
                <c:pt idx="573">
                  <c:v>87.3188625</c:v>
                </c:pt>
                <c:pt idx="574">
                  <c:v>87.331775</c:v>
                </c:pt>
                <c:pt idx="575">
                  <c:v>87.34468749999999</c:v>
                </c:pt>
                <c:pt idx="576">
                  <c:v>87.35759999999999</c:v>
                </c:pt>
                <c:pt idx="577">
                  <c:v>87.3705125</c:v>
                </c:pt>
                <c:pt idx="578">
                  <c:v>87.38342499999999</c:v>
                </c:pt>
                <c:pt idx="579">
                  <c:v>87.3963375</c:v>
                </c:pt>
                <c:pt idx="580">
                  <c:v>87.40925</c:v>
                </c:pt>
                <c:pt idx="581">
                  <c:v>87.4221625</c:v>
                </c:pt>
                <c:pt idx="582">
                  <c:v>87.435075</c:v>
                </c:pt>
                <c:pt idx="583">
                  <c:v>87.4479875</c:v>
                </c:pt>
                <c:pt idx="584">
                  <c:v>87.4609</c:v>
                </c:pt>
                <c:pt idx="585">
                  <c:v>87.4738125</c:v>
                </c:pt>
                <c:pt idx="586">
                  <c:v>87.486725</c:v>
                </c:pt>
                <c:pt idx="587">
                  <c:v>87.49963749999999</c:v>
                </c:pt>
                <c:pt idx="588">
                  <c:v>87.51255</c:v>
                </c:pt>
                <c:pt idx="589">
                  <c:v>87.5254625</c:v>
                </c:pt>
                <c:pt idx="590">
                  <c:v>87.53837499999999</c:v>
                </c:pt>
                <c:pt idx="591">
                  <c:v>87.5512875</c:v>
                </c:pt>
                <c:pt idx="592">
                  <c:v>87.56419999999999</c:v>
                </c:pt>
                <c:pt idx="593">
                  <c:v>87.5771125</c:v>
                </c:pt>
                <c:pt idx="594">
                  <c:v>87.590025</c:v>
                </c:pt>
                <c:pt idx="595">
                  <c:v>87.60293750000001</c:v>
                </c:pt>
                <c:pt idx="596">
                  <c:v>87.61585</c:v>
                </c:pt>
                <c:pt idx="597">
                  <c:v>87.6287625</c:v>
                </c:pt>
                <c:pt idx="598">
                  <c:v>87.64167499999999</c:v>
                </c:pt>
                <c:pt idx="599">
                  <c:v>87.65458749999999</c:v>
                </c:pt>
                <c:pt idx="600">
                  <c:v>87.6675</c:v>
                </c:pt>
                <c:pt idx="601">
                  <c:v>87.68041249999999</c:v>
                </c:pt>
                <c:pt idx="602">
                  <c:v>87.693325</c:v>
                </c:pt>
                <c:pt idx="603">
                  <c:v>87.7062375</c:v>
                </c:pt>
                <c:pt idx="604">
                  <c:v>87.71915</c:v>
                </c:pt>
                <c:pt idx="605">
                  <c:v>87.7320625</c:v>
                </c:pt>
                <c:pt idx="606">
                  <c:v>87.744975</c:v>
                </c:pt>
                <c:pt idx="607">
                  <c:v>87.7578875</c:v>
                </c:pt>
                <c:pt idx="608">
                  <c:v>87.7708</c:v>
                </c:pt>
                <c:pt idx="609">
                  <c:v>87.78371250000001</c:v>
                </c:pt>
                <c:pt idx="610">
                  <c:v>87.79662499999999</c:v>
                </c:pt>
                <c:pt idx="611">
                  <c:v>87.8095375</c:v>
                </c:pt>
                <c:pt idx="612">
                  <c:v>87.82245</c:v>
                </c:pt>
                <c:pt idx="613">
                  <c:v>87.83536249999999</c:v>
                </c:pt>
                <c:pt idx="614">
                  <c:v>87.848275</c:v>
                </c:pt>
                <c:pt idx="615">
                  <c:v>87.86118749999999</c:v>
                </c:pt>
                <c:pt idx="616">
                  <c:v>87.8741</c:v>
                </c:pt>
                <c:pt idx="617">
                  <c:v>87.8870125</c:v>
                </c:pt>
                <c:pt idx="618">
                  <c:v>87.89992500000001</c:v>
                </c:pt>
                <c:pt idx="619">
                  <c:v>87.9128375</c:v>
                </c:pt>
                <c:pt idx="620">
                  <c:v>87.92575</c:v>
                </c:pt>
                <c:pt idx="621">
                  <c:v>87.93866249999999</c:v>
                </c:pt>
                <c:pt idx="622">
                  <c:v>87.95157499999999</c:v>
                </c:pt>
                <c:pt idx="623">
                  <c:v>87.9644875</c:v>
                </c:pt>
                <c:pt idx="624">
                  <c:v>87.97739999999999</c:v>
                </c:pt>
                <c:pt idx="625">
                  <c:v>87.9903125</c:v>
                </c:pt>
                <c:pt idx="626">
                  <c:v>88.003225</c:v>
                </c:pt>
                <c:pt idx="627">
                  <c:v>88.0161375</c:v>
                </c:pt>
                <c:pt idx="628">
                  <c:v>88.02905</c:v>
                </c:pt>
                <c:pt idx="629">
                  <c:v>88.0419625</c:v>
                </c:pt>
                <c:pt idx="630">
                  <c:v>88.054875</c:v>
                </c:pt>
                <c:pt idx="631">
                  <c:v>88.0677875</c:v>
                </c:pt>
                <c:pt idx="632">
                  <c:v>88.08070000000001</c:v>
                </c:pt>
                <c:pt idx="633">
                  <c:v>88.09361249999999</c:v>
                </c:pt>
                <c:pt idx="634">
                  <c:v>88.106525</c:v>
                </c:pt>
                <c:pt idx="635">
                  <c:v>88.1194375</c:v>
                </c:pt>
                <c:pt idx="636">
                  <c:v>88.13234999999999</c:v>
                </c:pt>
                <c:pt idx="637">
                  <c:v>88.1452625</c:v>
                </c:pt>
                <c:pt idx="638">
                  <c:v>88.15817499999999</c:v>
                </c:pt>
                <c:pt idx="639">
                  <c:v>88.1710875</c:v>
                </c:pt>
                <c:pt idx="640">
                  <c:v>88.184</c:v>
                </c:pt>
                <c:pt idx="641">
                  <c:v>88.19691250000001</c:v>
                </c:pt>
                <c:pt idx="642">
                  <c:v>88.209825</c:v>
                </c:pt>
                <c:pt idx="643">
                  <c:v>88.2227375</c:v>
                </c:pt>
                <c:pt idx="644">
                  <c:v>88.23564999999999</c:v>
                </c:pt>
                <c:pt idx="645">
                  <c:v>88.24856249999999</c:v>
                </c:pt>
                <c:pt idx="646">
                  <c:v>88.261475</c:v>
                </c:pt>
                <c:pt idx="647">
                  <c:v>88.27438749999999</c:v>
                </c:pt>
                <c:pt idx="648">
                  <c:v>88.2873</c:v>
                </c:pt>
                <c:pt idx="649">
                  <c:v>88.3002125</c:v>
                </c:pt>
                <c:pt idx="650">
                  <c:v>88.313125</c:v>
                </c:pt>
                <c:pt idx="651">
                  <c:v>88.3260375</c:v>
                </c:pt>
                <c:pt idx="652">
                  <c:v>88.33895</c:v>
                </c:pt>
                <c:pt idx="653">
                  <c:v>88.3518625</c:v>
                </c:pt>
                <c:pt idx="654">
                  <c:v>88.364775</c:v>
                </c:pt>
                <c:pt idx="655">
                  <c:v>88.37768750000001</c:v>
                </c:pt>
                <c:pt idx="656">
                  <c:v>88.39059999999999</c:v>
                </c:pt>
                <c:pt idx="657">
                  <c:v>88.4035125</c:v>
                </c:pt>
                <c:pt idx="658">
                  <c:v>88.416425</c:v>
                </c:pt>
                <c:pt idx="659">
                  <c:v>88.42933749999999</c:v>
                </c:pt>
                <c:pt idx="660">
                  <c:v>88.44225</c:v>
                </c:pt>
                <c:pt idx="661">
                  <c:v>88.45516249999999</c:v>
                </c:pt>
                <c:pt idx="662">
                  <c:v>88.468075</c:v>
                </c:pt>
                <c:pt idx="663">
                  <c:v>88.4809875</c:v>
                </c:pt>
                <c:pt idx="664">
                  <c:v>88.4939</c:v>
                </c:pt>
                <c:pt idx="665">
                  <c:v>88.5068125</c:v>
                </c:pt>
                <c:pt idx="666">
                  <c:v>88.519725</c:v>
                </c:pt>
                <c:pt idx="667">
                  <c:v>88.53263749999999</c:v>
                </c:pt>
                <c:pt idx="668">
                  <c:v>88.54554999999999</c:v>
                </c:pt>
                <c:pt idx="669">
                  <c:v>88.5584625</c:v>
                </c:pt>
                <c:pt idx="670">
                  <c:v>88.57137499999999</c:v>
                </c:pt>
                <c:pt idx="671">
                  <c:v>88.5842875</c:v>
                </c:pt>
                <c:pt idx="672">
                  <c:v>88.5972</c:v>
                </c:pt>
                <c:pt idx="673">
                  <c:v>88.6101125</c:v>
                </c:pt>
                <c:pt idx="674">
                  <c:v>88.623025</c:v>
                </c:pt>
                <c:pt idx="675">
                  <c:v>88.6359375</c:v>
                </c:pt>
                <c:pt idx="676">
                  <c:v>88.64885</c:v>
                </c:pt>
                <c:pt idx="677">
                  <c:v>88.6617625</c:v>
                </c:pt>
                <c:pt idx="678">
                  <c:v>88.674675</c:v>
                </c:pt>
                <c:pt idx="679">
                  <c:v>88.68758749999999</c:v>
                </c:pt>
                <c:pt idx="680">
                  <c:v>88.7005</c:v>
                </c:pt>
                <c:pt idx="681">
                  <c:v>88.7134125</c:v>
                </c:pt>
                <c:pt idx="682">
                  <c:v>88.72632499999999</c:v>
                </c:pt>
                <c:pt idx="683">
                  <c:v>88.7392375</c:v>
                </c:pt>
                <c:pt idx="684">
                  <c:v>88.75214999999999</c:v>
                </c:pt>
                <c:pt idx="685">
                  <c:v>88.7650625</c:v>
                </c:pt>
                <c:pt idx="686">
                  <c:v>88.777975</c:v>
                </c:pt>
                <c:pt idx="687">
                  <c:v>88.7908875</c:v>
                </c:pt>
                <c:pt idx="688">
                  <c:v>88.8038</c:v>
                </c:pt>
                <c:pt idx="689">
                  <c:v>88.8167125</c:v>
                </c:pt>
                <c:pt idx="690">
                  <c:v>88.829625</c:v>
                </c:pt>
                <c:pt idx="691">
                  <c:v>88.84253749999999</c:v>
                </c:pt>
                <c:pt idx="692">
                  <c:v>88.85545</c:v>
                </c:pt>
                <c:pt idx="693">
                  <c:v>88.86836249999999</c:v>
                </c:pt>
                <c:pt idx="694">
                  <c:v>88.881275</c:v>
                </c:pt>
                <c:pt idx="695">
                  <c:v>88.8941875</c:v>
                </c:pt>
                <c:pt idx="696">
                  <c:v>88.9071</c:v>
                </c:pt>
                <c:pt idx="697">
                  <c:v>88.9200125</c:v>
                </c:pt>
                <c:pt idx="698">
                  <c:v>88.932925</c:v>
                </c:pt>
                <c:pt idx="699">
                  <c:v>88.9458375</c:v>
                </c:pt>
                <c:pt idx="700">
                  <c:v>88.95875</c:v>
                </c:pt>
                <c:pt idx="701">
                  <c:v>88.9716625</c:v>
                </c:pt>
                <c:pt idx="702">
                  <c:v>88.98457499999999</c:v>
                </c:pt>
                <c:pt idx="703">
                  <c:v>88.9974875</c:v>
                </c:pt>
                <c:pt idx="704">
                  <c:v>89.0104</c:v>
                </c:pt>
                <c:pt idx="705">
                  <c:v>89.02331249999999</c:v>
                </c:pt>
                <c:pt idx="706">
                  <c:v>89.036225</c:v>
                </c:pt>
                <c:pt idx="707">
                  <c:v>89.04913749999999</c:v>
                </c:pt>
                <c:pt idx="708">
                  <c:v>89.06205</c:v>
                </c:pt>
                <c:pt idx="709">
                  <c:v>89.0749625</c:v>
                </c:pt>
                <c:pt idx="710">
                  <c:v>89.087875</c:v>
                </c:pt>
                <c:pt idx="711">
                  <c:v>89.1007875</c:v>
                </c:pt>
                <c:pt idx="712">
                  <c:v>89.1137</c:v>
                </c:pt>
                <c:pt idx="713">
                  <c:v>89.1266125</c:v>
                </c:pt>
                <c:pt idx="714">
                  <c:v>89.13952499999999</c:v>
                </c:pt>
                <c:pt idx="715">
                  <c:v>89.1524375</c:v>
                </c:pt>
                <c:pt idx="716">
                  <c:v>89.16534999999999</c:v>
                </c:pt>
                <c:pt idx="717">
                  <c:v>89.1782625</c:v>
                </c:pt>
                <c:pt idx="718">
                  <c:v>89.191175</c:v>
                </c:pt>
                <c:pt idx="719">
                  <c:v>89.2040875</c:v>
                </c:pt>
                <c:pt idx="720">
                  <c:v>89.217</c:v>
                </c:pt>
                <c:pt idx="721">
                  <c:v>89.2299125</c:v>
                </c:pt>
                <c:pt idx="722">
                  <c:v>89.242825</c:v>
                </c:pt>
                <c:pt idx="723">
                  <c:v>89.2557375</c:v>
                </c:pt>
                <c:pt idx="724">
                  <c:v>89.26865</c:v>
                </c:pt>
                <c:pt idx="725">
                  <c:v>89.28156249999999</c:v>
                </c:pt>
                <c:pt idx="726">
                  <c:v>89.294475</c:v>
                </c:pt>
                <c:pt idx="727">
                  <c:v>89.30738749999999</c:v>
                </c:pt>
                <c:pt idx="728">
                  <c:v>89.32029999999999</c:v>
                </c:pt>
                <c:pt idx="729">
                  <c:v>89.3332125</c:v>
                </c:pt>
                <c:pt idx="730">
                  <c:v>89.34612499999999</c:v>
                </c:pt>
                <c:pt idx="731">
                  <c:v>89.3590375</c:v>
                </c:pt>
                <c:pt idx="732">
                  <c:v>89.37195</c:v>
                </c:pt>
                <c:pt idx="733">
                  <c:v>89.3848625</c:v>
                </c:pt>
                <c:pt idx="734">
                  <c:v>89.397775</c:v>
                </c:pt>
                <c:pt idx="735">
                  <c:v>89.4106875</c:v>
                </c:pt>
                <c:pt idx="736">
                  <c:v>89.4236</c:v>
                </c:pt>
                <c:pt idx="737">
                  <c:v>89.43651249999999</c:v>
                </c:pt>
                <c:pt idx="738">
                  <c:v>89.449425</c:v>
                </c:pt>
                <c:pt idx="739">
                  <c:v>89.46233749999999</c:v>
                </c:pt>
                <c:pt idx="740">
                  <c:v>89.47525</c:v>
                </c:pt>
                <c:pt idx="741">
                  <c:v>89.4881625</c:v>
                </c:pt>
                <c:pt idx="742">
                  <c:v>89.501075</c:v>
                </c:pt>
                <c:pt idx="743">
                  <c:v>89.5139875</c:v>
                </c:pt>
                <c:pt idx="744">
                  <c:v>89.5269</c:v>
                </c:pt>
                <c:pt idx="745">
                  <c:v>89.5398125</c:v>
                </c:pt>
                <c:pt idx="746">
                  <c:v>89.552725</c:v>
                </c:pt>
                <c:pt idx="747">
                  <c:v>89.5656375</c:v>
                </c:pt>
                <c:pt idx="748">
                  <c:v>89.57854999999999</c:v>
                </c:pt>
                <c:pt idx="749">
                  <c:v>89.5914625</c:v>
                </c:pt>
                <c:pt idx="750">
                  <c:v>89.60437499999999</c:v>
                </c:pt>
                <c:pt idx="751">
                  <c:v>89.61728749999999</c:v>
                </c:pt>
                <c:pt idx="752">
                  <c:v>89.6302</c:v>
                </c:pt>
                <c:pt idx="753">
                  <c:v>89.64311249999999</c:v>
                </c:pt>
                <c:pt idx="754">
                  <c:v>89.656025</c:v>
                </c:pt>
                <c:pt idx="755">
                  <c:v>89.6689375</c:v>
                </c:pt>
                <c:pt idx="756">
                  <c:v>89.68185</c:v>
                </c:pt>
                <c:pt idx="757">
                  <c:v>89.6947625</c:v>
                </c:pt>
                <c:pt idx="758">
                  <c:v>89.707675</c:v>
                </c:pt>
                <c:pt idx="759">
                  <c:v>89.7205875</c:v>
                </c:pt>
                <c:pt idx="760">
                  <c:v>89.73349999999999</c:v>
                </c:pt>
                <c:pt idx="761">
                  <c:v>89.7464125</c:v>
                </c:pt>
                <c:pt idx="762">
                  <c:v>89.75932499999999</c:v>
                </c:pt>
                <c:pt idx="763">
                  <c:v>89.7722375</c:v>
                </c:pt>
                <c:pt idx="764">
                  <c:v>89.78515</c:v>
                </c:pt>
                <c:pt idx="765">
                  <c:v>89.7980625</c:v>
                </c:pt>
                <c:pt idx="766">
                  <c:v>89.810975</c:v>
                </c:pt>
                <c:pt idx="767">
                  <c:v>89.8238875</c:v>
                </c:pt>
                <c:pt idx="768">
                  <c:v>89.8368</c:v>
                </c:pt>
                <c:pt idx="769">
                  <c:v>89.8497125</c:v>
                </c:pt>
                <c:pt idx="770">
                  <c:v>89.862625</c:v>
                </c:pt>
                <c:pt idx="771">
                  <c:v>89.8755375</c:v>
                </c:pt>
                <c:pt idx="772">
                  <c:v>89.88845</c:v>
                </c:pt>
                <c:pt idx="773">
                  <c:v>89.90136249999999</c:v>
                </c:pt>
                <c:pt idx="774">
                  <c:v>89.91427499999999</c:v>
                </c:pt>
                <c:pt idx="775">
                  <c:v>89.9271875</c:v>
                </c:pt>
                <c:pt idx="776">
                  <c:v>89.94009999999999</c:v>
                </c:pt>
                <c:pt idx="777">
                  <c:v>89.9530125</c:v>
                </c:pt>
                <c:pt idx="778">
                  <c:v>89.965925</c:v>
                </c:pt>
                <c:pt idx="779">
                  <c:v>89.9788375</c:v>
                </c:pt>
                <c:pt idx="780">
                  <c:v>89.99175</c:v>
                </c:pt>
                <c:pt idx="781">
                  <c:v>90.0046625</c:v>
                </c:pt>
                <c:pt idx="782">
                  <c:v>90.017575</c:v>
                </c:pt>
                <c:pt idx="783">
                  <c:v>90.03048749999999</c:v>
                </c:pt>
                <c:pt idx="784">
                  <c:v>90.0434</c:v>
                </c:pt>
                <c:pt idx="785">
                  <c:v>90.05631249999999</c:v>
                </c:pt>
                <c:pt idx="786">
                  <c:v>90.069225</c:v>
                </c:pt>
                <c:pt idx="787">
                  <c:v>90.0821375</c:v>
                </c:pt>
                <c:pt idx="788">
                  <c:v>90.09505</c:v>
                </c:pt>
                <c:pt idx="789">
                  <c:v>90.1079625</c:v>
                </c:pt>
                <c:pt idx="790">
                  <c:v>90.120875</c:v>
                </c:pt>
                <c:pt idx="791">
                  <c:v>90.1337875</c:v>
                </c:pt>
                <c:pt idx="792">
                  <c:v>90.1467</c:v>
                </c:pt>
                <c:pt idx="793">
                  <c:v>90.1596125</c:v>
                </c:pt>
                <c:pt idx="794">
                  <c:v>90.172525</c:v>
                </c:pt>
                <c:pt idx="795">
                  <c:v>90.1854375</c:v>
                </c:pt>
                <c:pt idx="796">
                  <c:v>90.19834999999999</c:v>
                </c:pt>
                <c:pt idx="797">
                  <c:v>90.21126249999999</c:v>
                </c:pt>
                <c:pt idx="798">
                  <c:v>90.224175</c:v>
                </c:pt>
                <c:pt idx="799">
                  <c:v>90.23708749999999</c:v>
                </c:pt>
                <c:pt idx="800">
                  <c:v>90.25</c:v>
                </c:pt>
              </c:numCache>
            </c:numRef>
          </c:xVal>
          <c:yVal>
            <c:numRef>
              <c:f>TICH_PHAN_SO_V!$Q$807:$Q$1607</c:f>
              <c:numCache>
                <c:formatCode>General</c:formatCode>
                <c:ptCount val="801"/>
                <c:pt idx="0">
                  <c:v>10.189638751084514</c:v>
                </c:pt>
                <c:pt idx="1">
                  <c:v>10.196921076194412</c:v>
                </c:pt>
                <c:pt idx="2">
                  <c:v>10.204216294050461</c:v>
                </c:pt>
                <c:pt idx="3">
                  <c:v>10.211524437658946</c:v>
                </c:pt>
                <c:pt idx="4">
                  <c:v>10.21884554013966</c:v>
                </c:pt>
                <c:pt idx="5">
                  <c:v>10.22617963472624</c:v>
                </c:pt>
                <c:pt idx="6">
                  <c:v>10.233526754766848</c:v>
                </c:pt>
                <c:pt idx="7">
                  <c:v>10.240886933724505</c:v>
                </c:pt>
                <c:pt idx="8">
                  <c:v>10.24826020517767</c:v>
                </c:pt>
                <c:pt idx="9">
                  <c:v>10.255646602820725</c:v>
                </c:pt>
                <c:pt idx="10">
                  <c:v>10.263046160464494</c:v>
                </c:pt>
                <c:pt idx="11">
                  <c:v>10.270458912036647</c:v>
                </c:pt>
                <c:pt idx="12">
                  <c:v>10.277884891582351</c:v>
                </c:pt>
                <c:pt idx="13">
                  <c:v>10.285324133264652</c:v>
                </c:pt>
                <c:pt idx="14">
                  <c:v>10.292776671365072</c:v>
                </c:pt>
                <c:pt idx="15">
                  <c:v>10.300242540284065</c:v>
                </c:pt>
                <c:pt idx="16">
                  <c:v>10.307721774541605</c:v>
                </c:pt>
                <c:pt idx="17">
                  <c:v>10.315214408777596</c:v>
                </c:pt>
                <c:pt idx="18">
                  <c:v>10.322720477752515</c:v>
                </c:pt>
                <c:pt idx="19">
                  <c:v>10.330240016347773</c:v>
                </c:pt>
                <c:pt idx="20">
                  <c:v>10.33777305956646</c:v>
                </c:pt>
                <c:pt idx="21">
                  <c:v>10.34531964253371</c:v>
                </c:pt>
                <c:pt idx="22">
                  <c:v>10.352879800497258</c:v>
                </c:pt>
                <c:pt idx="23">
                  <c:v>10.360453568828055</c:v>
                </c:pt>
                <c:pt idx="24">
                  <c:v>10.368040983020686</c:v>
                </c:pt>
                <c:pt idx="25">
                  <c:v>10.375642078693966</c:v>
                </c:pt>
                <c:pt idx="26">
                  <c:v>10.383256891591628</c:v>
                </c:pt>
                <c:pt idx="27">
                  <c:v>10.390885457582556</c:v>
                </c:pt>
                <c:pt idx="28">
                  <c:v>10.39852781266159</c:v>
                </c:pt>
                <c:pt idx="29">
                  <c:v>10.406183992950066</c:v>
                </c:pt>
                <c:pt idx="30">
                  <c:v>10.413854034696168</c:v>
                </c:pt>
                <c:pt idx="31">
                  <c:v>10.421537974275717</c:v>
                </c:pt>
                <c:pt idx="32">
                  <c:v>10.429235848192626</c:v>
                </c:pt>
                <c:pt idx="33">
                  <c:v>10.436947693079434</c:v>
                </c:pt>
                <c:pt idx="34">
                  <c:v>10.444673545697935</c:v>
                </c:pt>
                <c:pt idx="35">
                  <c:v>10.452413442939793</c:v>
                </c:pt>
                <c:pt idx="36">
                  <c:v>10.460167421826938</c:v>
                </c:pt>
                <c:pt idx="37">
                  <c:v>10.467935519512332</c:v>
                </c:pt>
                <c:pt idx="38">
                  <c:v>10.47571777328043</c:v>
                </c:pt>
                <c:pt idx="39">
                  <c:v>10.483514220547793</c:v>
                </c:pt>
                <c:pt idx="40">
                  <c:v>10.491324898863745</c:v>
                </c:pt>
                <c:pt idx="41">
                  <c:v>10.499149845910848</c:v>
                </c:pt>
                <c:pt idx="42">
                  <c:v>10.506989099505521</c:v>
                </c:pt>
                <c:pt idx="43">
                  <c:v>10.514842697598707</c:v>
                </c:pt>
                <c:pt idx="44">
                  <c:v>10.5227106782764</c:v>
                </c:pt>
                <c:pt idx="45">
                  <c:v>10.530593079760253</c:v>
                </c:pt>
                <c:pt idx="46">
                  <c:v>10.538489940408192</c:v>
                </c:pt>
                <c:pt idx="47">
                  <c:v>10.546401298715114</c:v>
                </c:pt>
                <c:pt idx="48">
                  <c:v>10.554327193313268</c:v>
                </c:pt>
                <c:pt idx="49">
                  <c:v>10.562267662973102</c:v>
                </c:pt>
                <c:pt idx="50">
                  <c:v>10.570222746603777</c:v>
                </c:pt>
                <c:pt idx="51">
                  <c:v>10.578192483253805</c:v>
                </c:pt>
                <c:pt idx="52">
                  <c:v>10.586176912111634</c:v>
                </c:pt>
                <c:pt idx="53">
                  <c:v>10.594176072506343</c:v>
                </c:pt>
                <c:pt idx="54">
                  <c:v>10.602190003908227</c:v>
                </c:pt>
                <c:pt idx="55">
                  <c:v>10.610218745929433</c:v>
                </c:pt>
                <c:pt idx="56">
                  <c:v>10.618262338324637</c:v>
                </c:pt>
                <c:pt idx="57">
                  <c:v>10.626320820991634</c:v>
                </c:pt>
                <c:pt idx="58">
                  <c:v>10.634394233972</c:v>
                </c:pt>
                <c:pt idx="59">
                  <c:v>10.642482617451709</c:v>
                </c:pt>
                <c:pt idx="60">
                  <c:v>10.65058601176192</c:v>
                </c:pt>
                <c:pt idx="61">
                  <c:v>10.658704457379415</c:v>
                </c:pt>
                <c:pt idx="62">
                  <c:v>10.666837994927475</c:v>
                </c:pt>
                <c:pt idx="63">
                  <c:v>10.674986665176368</c:v>
                </c:pt>
                <c:pt idx="64">
                  <c:v>10.683150509044092</c:v>
                </c:pt>
                <c:pt idx="65">
                  <c:v>10.69132956759705</c:v>
                </c:pt>
                <c:pt idx="66">
                  <c:v>10.699523882050748</c:v>
                </c:pt>
                <c:pt idx="67">
                  <c:v>10.707733493770359</c:v>
                </c:pt>
                <c:pt idx="68">
                  <c:v>10.715958444271585</c:v>
                </c:pt>
                <c:pt idx="69">
                  <c:v>10.72419877522107</c:v>
                </c:pt>
                <c:pt idx="70">
                  <c:v>10.732454528437453</c:v>
                </c:pt>
                <c:pt idx="71">
                  <c:v>10.740725745891682</c:v>
                </c:pt>
                <c:pt idx="72">
                  <c:v>10.74901246970801</c:v>
                </c:pt>
                <c:pt idx="73">
                  <c:v>10.757314742164507</c:v>
                </c:pt>
                <c:pt idx="74">
                  <c:v>10.76563260569381</c:v>
                </c:pt>
                <c:pt idx="75">
                  <c:v>10.773966102883888</c:v>
                </c:pt>
                <c:pt idx="76">
                  <c:v>10.78231527647871</c:v>
                </c:pt>
                <c:pt idx="77">
                  <c:v>10.790680169378927</c:v>
                </c:pt>
                <c:pt idx="78">
                  <c:v>10.79906082464265</c:v>
                </c:pt>
                <c:pt idx="79">
                  <c:v>10.807457285486114</c:v>
                </c:pt>
                <c:pt idx="80">
                  <c:v>10.815869595284484</c:v>
                </c:pt>
                <c:pt idx="81">
                  <c:v>10.824297797572463</c:v>
                </c:pt>
                <c:pt idx="82">
                  <c:v>10.832741936045156</c:v>
                </c:pt>
                <c:pt idx="83">
                  <c:v>10.84120205455876</c:v>
                </c:pt>
                <c:pt idx="84">
                  <c:v>10.849678197131219</c:v>
                </c:pt>
                <c:pt idx="85">
                  <c:v>10.85817040794315</c:v>
                </c:pt>
                <c:pt idx="86">
                  <c:v>10.866678731338462</c:v>
                </c:pt>
                <c:pt idx="87">
                  <c:v>10.875203211825077</c:v>
                </c:pt>
                <c:pt idx="88">
                  <c:v>10.88374389407585</c:v>
                </c:pt>
                <c:pt idx="89">
                  <c:v>10.892300822929165</c:v>
                </c:pt>
                <c:pt idx="90">
                  <c:v>10.900874043389798</c:v>
                </c:pt>
                <c:pt idx="91">
                  <c:v>10.909463600629666</c:v>
                </c:pt>
                <c:pt idx="92">
                  <c:v>10.918069539988629</c:v>
                </c:pt>
                <c:pt idx="93">
                  <c:v>10.9266919069752</c:v>
                </c:pt>
                <c:pt idx="94">
                  <c:v>10.935330747267379</c:v>
                </c:pt>
                <c:pt idx="95">
                  <c:v>10.943986106713474</c:v>
                </c:pt>
                <c:pt idx="96">
                  <c:v>10.952658031332806</c:v>
                </c:pt>
                <c:pt idx="97">
                  <c:v>10.961346567316577</c:v>
                </c:pt>
                <c:pt idx="98">
                  <c:v>10.970051761028685</c:v>
                </c:pt>
                <c:pt idx="99">
                  <c:v>10.97877365900646</c:v>
                </c:pt>
                <c:pt idx="100">
                  <c:v>10.987512307961556</c:v>
                </c:pt>
                <c:pt idx="101">
                  <c:v>10.996267754780636</c:v>
                </c:pt>
                <c:pt idx="102">
                  <c:v>11.005040046526403</c:v>
                </c:pt>
                <c:pt idx="103">
                  <c:v>11.013829230438196</c:v>
                </c:pt>
                <c:pt idx="104">
                  <c:v>11.022635353933026</c:v>
                </c:pt>
                <c:pt idx="105">
                  <c:v>11.031458464606223</c:v>
                </c:pt>
                <c:pt idx="106">
                  <c:v>11.040298610232444</c:v>
                </c:pt>
                <c:pt idx="107">
                  <c:v>11.0491558387664</c:v>
                </c:pt>
                <c:pt idx="108">
                  <c:v>11.058030198343682</c:v>
                </c:pt>
                <c:pt idx="109">
                  <c:v>11.06692173728187</c:v>
                </c:pt>
                <c:pt idx="110">
                  <c:v>11.075830504080985</c:v>
                </c:pt>
                <c:pt idx="111">
                  <c:v>11.084756547424643</c:v>
                </c:pt>
                <c:pt idx="112">
                  <c:v>11.093699916180881</c:v>
                </c:pt>
                <c:pt idx="113">
                  <c:v>11.10266065940298</c:v>
                </c:pt>
                <c:pt idx="114">
                  <c:v>11.111638826330308</c:v>
                </c:pt>
                <c:pt idx="115">
                  <c:v>11.120634466389303</c:v>
                </c:pt>
                <c:pt idx="116">
                  <c:v>11.129647629194327</c:v>
                </c:pt>
                <c:pt idx="117">
                  <c:v>11.1386783645485</c:v>
                </c:pt>
                <c:pt idx="118">
                  <c:v>11.147726722444615</c:v>
                </c:pt>
                <c:pt idx="119">
                  <c:v>11.15679275306616</c:v>
                </c:pt>
                <c:pt idx="120">
                  <c:v>11.16587650678808</c:v>
                </c:pt>
                <c:pt idx="121">
                  <c:v>11.174978034177737</c:v>
                </c:pt>
                <c:pt idx="122">
                  <c:v>11.184097385995868</c:v>
                </c:pt>
                <c:pt idx="123">
                  <c:v>11.19323461319744</c:v>
                </c:pt>
                <c:pt idx="124">
                  <c:v>11.202389766932718</c:v>
                </c:pt>
                <c:pt idx="125">
                  <c:v>11.211562898547912</c:v>
                </c:pt>
                <c:pt idx="126">
                  <c:v>11.220754059586525</c:v>
                </c:pt>
                <c:pt idx="127">
                  <c:v>11.229963301789912</c:v>
                </c:pt>
                <c:pt idx="128">
                  <c:v>11.239190677098522</c:v>
                </c:pt>
                <c:pt idx="129">
                  <c:v>11.24843623765263</c:v>
                </c:pt>
                <c:pt idx="130">
                  <c:v>11.257700035793489</c:v>
                </c:pt>
                <c:pt idx="131">
                  <c:v>11.266982124064118</c:v>
                </c:pt>
                <c:pt idx="132">
                  <c:v>11.276282555210503</c:v>
                </c:pt>
                <c:pt idx="133">
                  <c:v>11.285601382182302</c:v>
                </c:pt>
                <c:pt idx="134">
                  <c:v>11.294938658134027</c:v>
                </c:pt>
                <c:pt idx="135">
                  <c:v>11.30429443642603</c:v>
                </c:pt>
                <c:pt idx="136">
                  <c:v>11.313668770625348</c:v>
                </c:pt>
                <c:pt idx="137">
                  <c:v>11.323061714506869</c:v>
                </c:pt>
                <c:pt idx="138">
                  <c:v>11.332473322054229</c:v>
                </c:pt>
                <c:pt idx="139">
                  <c:v>11.341903647460942</c:v>
                </c:pt>
                <c:pt idx="140">
                  <c:v>11.351352745131269</c:v>
                </c:pt>
                <c:pt idx="141">
                  <c:v>11.360820669681415</c:v>
                </c:pt>
                <c:pt idx="142">
                  <c:v>11.370307475940319</c:v>
                </c:pt>
                <c:pt idx="143">
                  <c:v>11.37981321895102</c:v>
                </c:pt>
                <c:pt idx="144">
                  <c:v>11.389337953971422</c:v>
                </c:pt>
                <c:pt idx="145">
                  <c:v>11.39888173647544</c:v>
                </c:pt>
                <c:pt idx="146">
                  <c:v>11.408444622154104</c:v>
                </c:pt>
                <c:pt idx="147">
                  <c:v>11.418026666916541</c:v>
                </c:pt>
                <c:pt idx="148">
                  <c:v>11.42762792689106</c:v>
                </c:pt>
                <c:pt idx="149">
                  <c:v>11.437248458426343</c:v>
                </c:pt>
                <c:pt idx="150">
                  <c:v>11.446888318092366</c:v>
                </c:pt>
                <c:pt idx="151">
                  <c:v>11.4565475626815</c:v>
                </c:pt>
                <c:pt idx="152">
                  <c:v>11.466226249209763</c:v>
                </c:pt>
                <c:pt idx="153">
                  <c:v>11.475924434917706</c:v>
                </c:pt>
                <c:pt idx="154">
                  <c:v>11.48564217727168</c:v>
                </c:pt>
                <c:pt idx="155">
                  <c:v>11.495379533964993</c:v>
                </c:pt>
                <c:pt idx="156">
                  <c:v>11.505136562918716</c:v>
                </c:pt>
                <c:pt idx="157">
                  <c:v>11.514913322283181</c:v>
                </c:pt>
                <c:pt idx="158">
                  <c:v>11.524709870438977</c:v>
                </c:pt>
                <c:pt idx="159">
                  <c:v>11.534526265997966</c:v>
                </c:pt>
                <c:pt idx="160">
                  <c:v>11.54436256780457</c:v>
                </c:pt>
                <c:pt idx="161">
                  <c:v>11.55421883493694</c:v>
                </c:pt>
                <c:pt idx="162">
                  <c:v>11.564095126708057</c:v>
                </c:pt>
                <c:pt idx="163">
                  <c:v>11.573991502666871</c:v>
                </c:pt>
                <c:pt idx="164">
                  <c:v>11.583908022599534</c:v>
                </c:pt>
                <c:pt idx="165">
                  <c:v>11.593844746530594</c:v>
                </c:pt>
                <c:pt idx="166">
                  <c:v>11.60380173472409</c:v>
                </c:pt>
                <c:pt idx="167">
                  <c:v>11.6137790476849</c:v>
                </c:pt>
                <c:pt idx="168">
                  <c:v>11.623776746159727</c:v>
                </c:pt>
                <c:pt idx="169">
                  <c:v>11.633794891138537</c:v>
                </c:pt>
                <c:pt idx="170">
                  <c:v>11.643833543855626</c:v>
                </c:pt>
                <c:pt idx="171">
                  <c:v>11.653892765790953</c:v>
                </c:pt>
                <c:pt idx="172">
                  <c:v>11.663972618671211</c:v>
                </c:pt>
                <c:pt idx="173">
                  <c:v>11.67407316447129</c:v>
                </c:pt>
                <c:pt idx="174">
                  <c:v>11.684194465415317</c:v>
                </c:pt>
                <c:pt idx="175">
                  <c:v>11.69433658397798</c:v>
                </c:pt>
                <c:pt idx="176">
                  <c:v>11.704499582885878</c:v>
                </c:pt>
                <c:pt idx="177">
                  <c:v>11.714683525118678</c:v>
                </c:pt>
                <c:pt idx="178">
                  <c:v>11.724888473910433</c:v>
                </c:pt>
                <c:pt idx="179">
                  <c:v>11.735114492750874</c:v>
                </c:pt>
                <c:pt idx="180">
                  <c:v>11.745361645386676</c:v>
                </c:pt>
                <c:pt idx="181">
                  <c:v>11.75562999582284</c:v>
                </c:pt>
                <c:pt idx="182">
                  <c:v>11.76591960832383</c:v>
                </c:pt>
                <c:pt idx="183">
                  <c:v>11.776230547415095</c:v>
                </c:pt>
                <c:pt idx="184">
                  <c:v>11.78656287788427</c:v>
                </c:pt>
                <c:pt idx="185">
                  <c:v>11.796916664782488</c:v>
                </c:pt>
                <c:pt idx="186">
                  <c:v>11.807291973425903</c:v>
                </c:pt>
                <c:pt idx="187">
                  <c:v>11.817688869396715</c:v>
                </c:pt>
                <c:pt idx="188">
                  <c:v>11.828107418544874</c:v>
                </c:pt>
                <c:pt idx="189">
                  <c:v>11.838547686989225</c:v>
                </c:pt>
                <c:pt idx="190">
                  <c:v>11.849009741118964</c:v>
                </c:pt>
                <c:pt idx="191">
                  <c:v>11.859493647594975</c:v>
                </c:pt>
                <c:pt idx="192">
                  <c:v>11.86999947335127</c:v>
                </c:pt>
                <c:pt idx="193">
                  <c:v>11.880527285596365</c:v>
                </c:pt>
                <c:pt idx="194">
                  <c:v>11.891077151814716</c:v>
                </c:pt>
                <c:pt idx="195">
                  <c:v>11.901649139768038</c:v>
                </c:pt>
                <c:pt idx="196">
                  <c:v>11.91224331749692</c:v>
                </c:pt>
                <c:pt idx="197">
                  <c:v>11.922859753321971</c:v>
                </c:pt>
                <c:pt idx="198">
                  <c:v>11.933498515845633</c:v>
                </c:pt>
                <c:pt idx="199">
                  <c:v>11.944159673953292</c:v>
                </c:pt>
                <c:pt idx="200">
                  <c:v>11.954843296814898</c:v>
                </c:pt>
                <c:pt idx="201">
                  <c:v>11.965549453886482</c:v>
                </c:pt>
                <c:pt idx="202">
                  <c:v>11.976278214911524</c:v>
                </c:pt>
                <c:pt idx="203">
                  <c:v>11.98702964992248</c:v>
                </c:pt>
                <c:pt idx="204">
                  <c:v>11.997803829242361</c:v>
                </c:pt>
                <c:pt idx="205">
                  <c:v>12.008600823486065</c:v>
                </c:pt>
                <c:pt idx="206">
                  <c:v>12.019420703562044</c:v>
                </c:pt>
                <c:pt idx="207">
                  <c:v>12.030263540673827</c:v>
                </c:pt>
                <c:pt idx="208">
                  <c:v>12.04112940632143</c:v>
                </c:pt>
                <c:pt idx="209">
                  <c:v>12.05201837230305</c:v>
                </c:pt>
                <c:pt idx="210">
                  <c:v>12.0629305107165</c:v>
                </c:pt>
                <c:pt idx="211">
                  <c:v>12.073865893960825</c:v>
                </c:pt>
                <c:pt idx="212">
                  <c:v>12.084824594737961</c:v>
                </c:pt>
                <c:pt idx="213">
                  <c:v>12.095806686054113</c:v>
                </c:pt>
                <c:pt idx="214">
                  <c:v>12.106812241221515</c:v>
                </c:pt>
                <c:pt idx="215">
                  <c:v>12.11784133386009</c:v>
                </c:pt>
                <c:pt idx="216">
                  <c:v>12.128894037898805</c:v>
                </c:pt>
                <c:pt idx="217">
                  <c:v>12.13997042757752</c:v>
                </c:pt>
                <c:pt idx="218">
                  <c:v>12.151070577448573</c:v>
                </c:pt>
                <c:pt idx="219">
                  <c:v>12.16219456237842</c:v>
                </c:pt>
                <c:pt idx="220">
                  <c:v>12.173342457549253</c:v>
                </c:pt>
                <c:pt idx="221">
                  <c:v>12.184514338460671</c:v>
                </c:pt>
                <c:pt idx="222">
                  <c:v>12.195710280931408</c:v>
                </c:pt>
                <c:pt idx="223">
                  <c:v>12.206930361100985</c:v>
                </c:pt>
                <c:pt idx="224">
                  <c:v>12.21817465543139</c:v>
                </c:pt>
                <c:pt idx="225">
                  <c:v>12.2294432407089</c:v>
                </c:pt>
                <c:pt idx="226">
                  <c:v>12.240736194045539</c:v>
                </c:pt>
                <c:pt idx="227">
                  <c:v>12.252053592881145</c:v>
                </c:pt>
                <c:pt idx="228">
                  <c:v>12.263395514984856</c:v>
                </c:pt>
                <c:pt idx="229">
                  <c:v>12.274762038456977</c:v>
                </c:pt>
                <c:pt idx="230">
                  <c:v>12.286153241730714</c:v>
                </c:pt>
                <c:pt idx="231">
                  <c:v>12.297569203573948</c:v>
                </c:pt>
                <c:pt idx="232">
                  <c:v>12.309010003091029</c:v>
                </c:pt>
                <c:pt idx="233">
                  <c:v>12.320475719724573</c:v>
                </c:pt>
                <c:pt idx="234">
                  <c:v>12.331966433257273</c:v>
                </c:pt>
                <c:pt idx="235">
                  <c:v>12.343482223813721</c:v>
                </c:pt>
                <c:pt idx="236">
                  <c:v>12.355023171862241</c:v>
                </c:pt>
                <c:pt idx="237">
                  <c:v>12.366589358216716</c:v>
                </c:pt>
                <c:pt idx="238">
                  <c:v>12.37818086403845</c:v>
                </c:pt>
                <c:pt idx="239">
                  <c:v>12.389797770838054</c:v>
                </c:pt>
                <c:pt idx="240">
                  <c:v>12.401440160477305</c:v>
                </c:pt>
                <c:pt idx="241">
                  <c:v>12.413108115171092</c:v>
                </c:pt>
                <c:pt idx="242">
                  <c:v>12.424801717489256</c:v>
                </c:pt>
                <c:pt idx="243">
                  <c:v>12.436521050358472</c:v>
                </c:pt>
                <c:pt idx="244">
                  <c:v>12.448266197064372</c:v>
                </c:pt>
                <c:pt idx="245">
                  <c:v>12.4600372412532</c:v>
                </c:pt>
                <c:pt idx="246">
                  <c:v>12.471834266934023</c:v>
                </c:pt>
                <c:pt idx="247">
                  <c:v>12.483657358480539</c:v>
                </c:pt>
                <c:pt idx="248">
                  <c:v>12.495506600633195</c:v>
                </c:pt>
                <c:pt idx="249">
                  <c:v>12.507382078500966</c:v>
                </c:pt>
                <c:pt idx="250">
                  <c:v>12.519283877563582</c:v>
                </c:pt>
                <c:pt idx="251">
                  <c:v>12.531212083673486</c:v>
                </c:pt>
                <c:pt idx="252">
                  <c:v>12.54316678305775</c:v>
                </c:pt>
                <c:pt idx="253">
                  <c:v>12.5551480623203</c:v>
                </c:pt>
                <c:pt idx="254">
                  <c:v>12.567156008443844</c:v>
                </c:pt>
                <c:pt idx="255">
                  <c:v>12.579190708791984</c:v>
                </c:pt>
                <c:pt idx="256">
                  <c:v>12.59125225111126</c:v>
                </c:pt>
                <c:pt idx="257">
                  <c:v>12.603340723533423</c:v>
                </c:pt>
                <c:pt idx="258">
                  <c:v>12.615456214577307</c:v>
                </c:pt>
                <c:pt idx="259">
                  <c:v>12.627598813151124</c:v>
                </c:pt>
                <c:pt idx="260">
                  <c:v>12.639768608554558</c:v>
                </c:pt>
                <c:pt idx="261">
                  <c:v>12.651965690480917</c:v>
                </c:pt>
                <c:pt idx="262">
                  <c:v>12.664190149019245</c:v>
                </c:pt>
                <c:pt idx="263">
                  <c:v>12.676442074656622</c:v>
                </c:pt>
                <c:pt idx="264">
                  <c:v>12.688721558280323</c:v>
                </c:pt>
                <c:pt idx="265">
                  <c:v>12.701028691179975</c:v>
                </c:pt>
                <c:pt idx="266">
                  <c:v>12.713363565049875</c:v>
                </c:pt>
                <c:pt idx="267">
                  <c:v>12.725726271991093</c:v>
                </c:pt>
                <c:pt idx="268">
                  <c:v>12.738116904513971</c:v>
                </c:pt>
                <c:pt idx="269">
                  <c:v>12.750535555540093</c:v>
                </c:pt>
                <c:pt idx="270">
                  <c:v>12.762982318404886</c:v>
                </c:pt>
                <c:pt idx="271">
                  <c:v>12.775457286859606</c:v>
                </c:pt>
                <c:pt idx="272">
                  <c:v>12.78796055507394</c:v>
                </c:pt>
                <c:pt idx="273">
                  <c:v>12.800492217638158</c:v>
                </c:pt>
                <c:pt idx="274">
                  <c:v>12.813052369565568</c:v>
                </c:pt>
                <c:pt idx="275">
                  <c:v>12.82564110629484</c:v>
                </c:pt>
                <c:pt idx="276">
                  <c:v>12.83825852369234</c:v>
                </c:pt>
                <c:pt idx="277">
                  <c:v>12.85090471805459</c:v>
                </c:pt>
                <c:pt idx="278">
                  <c:v>12.863579786110744</c:v>
                </c:pt>
                <c:pt idx="279">
                  <c:v>12.876283825024878</c:v>
                </c:pt>
                <c:pt idx="280">
                  <c:v>12.889016932398482</c:v>
                </c:pt>
                <c:pt idx="281">
                  <c:v>12.901779206272987</c:v>
                </c:pt>
                <c:pt idx="282">
                  <c:v>12.914570745132245</c:v>
                </c:pt>
                <c:pt idx="283">
                  <c:v>12.927391647904859</c:v>
                </c:pt>
                <c:pt idx="284">
                  <c:v>12.940242013967033</c:v>
                </c:pt>
                <c:pt idx="285">
                  <c:v>12.953121943144644</c:v>
                </c:pt>
                <c:pt idx="286">
                  <c:v>12.966031535716189</c:v>
                </c:pt>
                <c:pt idx="287">
                  <c:v>12.978970892415232</c:v>
                </c:pt>
                <c:pt idx="288">
                  <c:v>12.991940114432834</c:v>
                </c:pt>
                <c:pt idx="289">
                  <c:v>13.004939303420398</c:v>
                </c:pt>
                <c:pt idx="290">
                  <c:v>13.01796856149209</c:v>
                </c:pt>
                <c:pt idx="291">
                  <c:v>13.031027991227583</c:v>
                </c:pt>
                <c:pt idx="292">
                  <c:v>13.044117695674675</c:v>
                </c:pt>
                <c:pt idx="293">
                  <c:v>13.057237778352011</c:v>
                </c:pt>
                <c:pt idx="294">
                  <c:v>13.070388343251631</c:v>
                </c:pt>
                <c:pt idx="295">
                  <c:v>13.083569494841859</c:v>
                </c:pt>
                <c:pt idx="296">
                  <c:v>13.096781338069963</c:v>
                </c:pt>
                <c:pt idx="297">
                  <c:v>13.110023978364833</c:v>
                </c:pt>
                <c:pt idx="298">
                  <c:v>13.123297521639877</c:v>
                </c:pt>
                <c:pt idx="299">
                  <c:v>13.136602074295675</c:v>
                </c:pt>
                <c:pt idx="300">
                  <c:v>13.149937743222841</c:v>
                </c:pt>
                <c:pt idx="301">
                  <c:v>13.163304635804886</c:v>
                </c:pt>
                <c:pt idx="302">
                  <c:v>13.176702859921043</c:v>
                </c:pt>
                <c:pt idx="303">
                  <c:v>13.190132523948973</c:v>
                </c:pt>
                <c:pt idx="304">
                  <c:v>13.203593736768017</c:v>
                </c:pt>
                <c:pt idx="305">
                  <c:v>13.21708660776167</c:v>
                </c:pt>
                <c:pt idx="306">
                  <c:v>13.230611246820793</c:v>
                </c:pt>
                <c:pt idx="307">
                  <c:v>13.244167764346447</c:v>
                </c:pt>
                <c:pt idx="308">
                  <c:v>13.257756271252822</c:v>
                </c:pt>
                <c:pt idx="309">
                  <c:v>13.271376878970383</c:v>
                </c:pt>
                <c:pt idx="310">
                  <c:v>13.285029699448682</c:v>
                </c:pt>
                <c:pt idx="311">
                  <c:v>13.298714845159488</c:v>
                </c:pt>
                <c:pt idx="312">
                  <c:v>13.312432429099854</c:v>
                </c:pt>
                <c:pt idx="313">
                  <c:v>13.326182564795033</c:v>
                </c:pt>
                <c:pt idx="314">
                  <c:v>13.339965366301897</c:v>
                </c:pt>
                <c:pt idx="315">
                  <c:v>13.353780948211593</c:v>
                </c:pt>
                <c:pt idx="316">
                  <c:v>13.367629425653096</c:v>
                </c:pt>
                <c:pt idx="317">
                  <c:v>13.381510914296108</c:v>
                </c:pt>
                <c:pt idx="318">
                  <c:v>13.395425530354279</c:v>
                </c:pt>
                <c:pt idx="319">
                  <c:v>13.409373390588605</c:v>
                </c:pt>
                <c:pt idx="320">
                  <c:v>13.423354612310305</c:v>
                </c:pt>
                <c:pt idx="321">
                  <c:v>13.437369313384398</c:v>
                </c:pt>
                <c:pt idx="322">
                  <c:v>13.45141761223273</c:v>
                </c:pt>
                <c:pt idx="323">
                  <c:v>13.465499627837415</c:v>
                </c:pt>
                <c:pt idx="324">
                  <c:v>13.479615479744155</c:v>
                </c:pt>
                <c:pt idx="325">
                  <c:v>13.493765288065385</c:v>
                </c:pt>
                <c:pt idx="326">
                  <c:v>13.507949173483938</c:v>
                </c:pt>
                <c:pt idx="327">
                  <c:v>13.52216725725618</c:v>
                </c:pt>
                <c:pt idx="328">
                  <c:v>13.536419661215522</c:v>
                </c:pt>
                <c:pt idx="329">
                  <c:v>13.550706507775837</c:v>
                </c:pt>
                <c:pt idx="330">
                  <c:v>13.565027919935</c:v>
                </c:pt>
                <c:pt idx="331">
                  <c:v>13.579384021278214</c:v>
                </c:pt>
                <c:pt idx="332">
                  <c:v>13.593774935981692</c:v>
                </c:pt>
                <c:pt idx="333">
                  <c:v>13.608200788816042</c:v>
                </c:pt>
                <c:pt idx="334">
                  <c:v>13.622661705149982</c:v>
                </c:pt>
                <c:pt idx="335">
                  <c:v>13.637157810953749</c:v>
                </c:pt>
                <c:pt idx="336">
                  <c:v>13.651689232802887</c:v>
                </c:pt>
                <c:pt idx="337">
                  <c:v>13.666256097881744</c:v>
                </c:pt>
                <c:pt idx="338">
                  <c:v>13.680858533987184</c:v>
                </c:pt>
                <c:pt idx="339">
                  <c:v>13.695496669532362</c:v>
                </c:pt>
                <c:pt idx="340">
                  <c:v>13.710170633550316</c:v>
                </c:pt>
                <c:pt idx="341">
                  <c:v>13.724880555697801</c:v>
                </c:pt>
                <c:pt idx="342">
                  <c:v>13.73962656625895</c:v>
                </c:pt>
                <c:pt idx="343">
                  <c:v>13.75440879614924</c:v>
                </c:pt>
                <c:pt idx="344">
                  <c:v>13.769227376919192</c:v>
                </c:pt>
                <c:pt idx="345">
                  <c:v>13.784082440758244</c:v>
                </c:pt>
                <c:pt idx="346">
                  <c:v>13.79897412049865</c:v>
                </c:pt>
                <c:pt idx="347">
                  <c:v>13.813902549619485</c:v>
                </c:pt>
                <c:pt idx="348">
                  <c:v>13.828867862250348</c:v>
                </c:pt>
                <c:pt idx="349">
                  <c:v>13.84387019317555</c:v>
                </c:pt>
                <c:pt idx="350">
                  <c:v>13.858909677838065</c:v>
                </c:pt>
                <c:pt idx="351">
                  <c:v>13.873986452343486</c:v>
                </c:pt>
                <c:pt idx="352">
                  <c:v>13.889100653464157</c:v>
                </c:pt>
                <c:pt idx="353">
                  <c:v>13.90425241864317</c:v>
                </c:pt>
                <c:pt idx="354">
                  <c:v>13.919441885998657</c:v>
                </c:pt>
                <c:pt idx="355">
                  <c:v>13.934669194327672</c:v>
                </c:pt>
                <c:pt idx="356">
                  <c:v>13.949934483110662</c:v>
                </c:pt>
                <c:pt idx="357">
                  <c:v>13.965237892515402</c:v>
                </c:pt>
                <c:pt idx="358">
                  <c:v>13.980579563401475</c:v>
                </c:pt>
                <c:pt idx="359">
                  <c:v>13.995959637324393</c:v>
                </c:pt>
                <c:pt idx="360">
                  <c:v>14.011378256539897</c:v>
                </c:pt>
                <c:pt idx="361">
                  <c:v>14.02683556400833</c:v>
                </c:pt>
                <c:pt idx="362">
                  <c:v>14.042331703399151</c:v>
                </c:pt>
                <c:pt idx="363">
                  <c:v>14.057866819094977</c:v>
                </c:pt>
                <c:pt idx="364">
                  <c:v>14.073441056196431</c:v>
                </c:pt>
                <c:pt idx="365">
                  <c:v>14.089054560526254</c:v>
                </c:pt>
                <c:pt idx="366">
                  <c:v>14.10470747863407</c:v>
                </c:pt>
                <c:pt idx="367">
                  <c:v>14.120399957800716</c:v>
                </c:pt>
                <c:pt idx="368">
                  <c:v>14.136132146042941</c:v>
                </c:pt>
                <c:pt idx="369">
                  <c:v>14.151904192117991</c:v>
                </c:pt>
                <c:pt idx="370">
                  <c:v>14.167716245528178</c:v>
                </c:pt>
                <c:pt idx="371">
                  <c:v>14.183568456525522</c:v>
                </c:pt>
                <c:pt idx="372">
                  <c:v>14.199460976116764</c:v>
                </c:pt>
                <c:pt idx="373">
                  <c:v>14.215393956067564</c:v>
                </c:pt>
                <c:pt idx="374">
                  <c:v>14.23136754890778</c:v>
                </c:pt>
                <c:pt idx="375">
                  <c:v>14.247381907935988</c:v>
                </c:pt>
                <c:pt idx="376">
                  <c:v>14.263437187224492</c:v>
                </c:pt>
                <c:pt idx="377">
                  <c:v>14.279533541624126</c:v>
                </c:pt>
                <c:pt idx="378">
                  <c:v>14.295671126769085</c:v>
                </c:pt>
                <c:pt idx="379">
                  <c:v>14.311850099082182</c:v>
                </c:pt>
                <c:pt idx="380">
                  <c:v>14.328070615779511</c:v>
                </c:pt>
                <c:pt idx="381">
                  <c:v>14.344332834875686</c:v>
                </c:pt>
                <c:pt idx="382">
                  <c:v>14.360636915188865</c:v>
                </c:pt>
                <c:pt idx="383">
                  <c:v>14.376983016345893</c:v>
                </c:pt>
                <c:pt idx="384">
                  <c:v>14.39337129878732</c:v>
                </c:pt>
                <c:pt idx="385">
                  <c:v>14.409801923772743</c:v>
                </c:pt>
                <c:pt idx="386">
                  <c:v>14.426275053386025</c:v>
                </c:pt>
                <c:pt idx="387">
                  <c:v>14.442790850540508</c:v>
                </c:pt>
                <c:pt idx="388">
                  <c:v>14.459349478984327</c:v>
                </c:pt>
                <c:pt idx="389">
                  <c:v>14.475951103305734</c:v>
                </c:pt>
                <c:pt idx="390">
                  <c:v>14.492595888938716</c:v>
                </c:pt>
                <c:pt idx="391">
                  <c:v>14.509284002168075</c:v>
                </c:pt>
                <c:pt idx="392">
                  <c:v>14.526015610135143</c:v>
                </c:pt>
                <c:pt idx="393">
                  <c:v>14.542790880843388</c:v>
                </c:pt>
                <c:pt idx="394">
                  <c:v>14.559609983163526</c:v>
                </c:pt>
                <c:pt idx="395">
                  <c:v>14.576473086839757</c:v>
                </c:pt>
                <c:pt idx="396">
                  <c:v>14.593380362494946</c:v>
                </c:pt>
                <c:pt idx="397">
                  <c:v>14.610331981636428</c:v>
                </c:pt>
                <c:pt idx="398">
                  <c:v>14.627328116661921</c:v>
                </c:pt>
                <c:pt idx="399">
                  <c:v>14.64436894086508</c:v>
                </c:pt>
                <c:pt idx="400">
                  <c:v>14.66145462844144</c:v>
                </c:pt>
                <c:pt idx="401">
                  <c:v>14.67858535449422</c:v>
                </c:pt>
                <c:pt idx="402">
                  <c:v>14.695761295040406</c:v>
                </c:pt>
                <c:pt idx="403">
                  <c:v>14.712982627016467</c:v>
                </c:pt>
                <c:pt idx="404">
                  <c:v>14.730249528284658</c:v>
                </c:pt>
                <c:pt idx="405">
                  <c:v>14.747562177638759</c:v>
                </c:pt>
                <c:pt idx="406">
                  <c:v>14.764920754810495</c:v>
                </c:pt>
                <c:pt idx="407">
                  <c:v>14.782325440475429</c:v>
                </c:pt>
                <c:pt idx="408">
                  <c:v>14.79977641625936</c:v>
                </c:pt>
                <c:pt idx="409">
                  <c:v>14.817273864744477</c:v>
                </c:pt>
                <c:pt idx="410">
                  <c:v>14.834817969475715</c:v>
                </c:pt>
                <c:pt idx="411">
                  <c:v>14.852408914966993</c:v>
                </c:pt>
                <c:pt idx="412">
                  <c:v>14.87004688670776</c:v>
                </c:pt>
                <c:pt idx="413">
                  <c:v>14.887732071169388</c:v>
                </c:pt>
                <c:pt idx="414">
                  <c:v>14.905464655811741</c:v>
                </c:pt>
                <c:pt idx="415">
                  <c:v>14.923244829089484</c:v>
                </c:pt>
                <c:pt idx="416">
                  <c:v>14.941072780459109</c:v>
                </c:pt>
                <c:pt idx="417">
                  <c:v>14.958948700385259</c:v>
                </c:pt>
                <c:pt idx="418">
                  <c:v>14.97687278034749</c:v>
                </c:pt>
                <c:pt idx="419">
                  <c:v>14.994845212847183</c:v>
                </c:pt>
                <c:pt idx="420">
                  <c:v>15.012866191414355</c:v>
                </c:pt>
                <c:pt idx="421">
                  <c:v>15.030935910614243</c:v>
                </c:pt>
                <c:pt idx="422">
                  <c:v>15.049054566054687</c:v>
                </c:pt>
                <c:pt idx="423">
                  <c:v>15.067222354392872</c:v>
                </c:pt>
                <c:pt idx="424">
                  <c:v>15.085439473342197</c:v>
                </c:pt>
                <c:pt idx="425">
                  <c:v>15.103706121679808</c:v>
                </c:pt>
                <c:pt idx="426">
                  <c:v>15.122022499253394</c:v>
                </c:pt>
                <c:pt idx="427">
                  <c:v>15.140388806988641</c:v>
                </c:pt>
                <c:pt idx="428">
                  <c:v>15.158805246896291</c:v>
                </c:pt>
                <c:pt idx="429">
                  <c:v>15.177272022079604</c:v>
                </c:pt>
                <c:pt idx="430">
                  <c:v>15.195789336741814</c:v>
                </c:pt>
                <c:pt idx="431">
                  <c:v>15.214357396193513</c:v>
                </c:pt>
                <c:pt idx="432">
                  <c:v>15.232976406860036</c:v>
                </c:pt>
                <c:pt idx="433">
                  <c:v>15.251646576289298</c:v>
                </c:pt>
                <c:pt idx="434">
                  <c:v>15.270368113159197</c:v>
                </c:pt>
                <c:pt idx="435">
                  <c:v>15.289141227285555</c:v>
                </c:pt>
                <c:pt idx="436">
                  <c:v>15.307966129629616</c:v>
                </c:pt>
                <c:pt idx="437">
                  <c:v>15.326843032306007</c:v>
                </c:pt>
                <c:pt idx="438">
                  <c:v>15.345772148590719</c:v>
                </c:pt>
                <c:pt idx="439">
                  <c:v>15.364753692928877</c:v>
                </c:pt>
                <c:pt idx="440">
                  <c:v>15.38378788094286</c:v>
                </c:pt>
                <c:pt idx="441">
                  <c:v>15.402874929440472</c:v>
                </c:pt>
                <c:pt idx="442">
                  <c:v>15.422015056422923</c:v>
                </c:pt>
                <c:pt idx="443">
                  <c:v>15.441208481093204</c:v>
                </c:pt>
                <c:pt idx="444">
                  <c:v>15.460455423864254</c:v>
                </c:pt>
                <c:pt idx="445">
                  <c:v>15.479756106367457</c:v>
                </c:pt>
                <c:pt idx="446">
                  <c:v>15.499110751460922</c:v>
                </c:pt>
                <c:pt idx="447">
                  <c:v>15.518519583237975</c:v>
                </c:pt>
                <c:pt idx="448">
                  <c:v>15.537982827036089</c:v>
                </c:pt>
                <c:pt idx="449">
                  <c:v>15.557500709444902</c:v>
                </c:pt>
                <c:pt idx="450">
                  <c:v>15.577073458315606</c:v>
                </c:pt>
                <c:pt idx="451">
                  <c:v>15.59670130276909</c:v>
                </c:pt>
                <c:pt idx="452">
                  <c:v>15.616384473205283</c:v>
                </c:pt>
                <c:pt idx="453">
                  <c:v>15.636123201311946</c:v>
                </c:pt>
                <c:pt idx="454">
                  <c:v>15.655917720073512</c:v>
                </c:pt>
                <c:pt idx="455">
                  <c:v>15.675768263780514</c:v>
                </c:pt>
                <c:pt idx="456">
                  <c:v>15.695675068038225</c:v>
                </c:pt>
                <c:pt idx="457">
                  <c:v>15.715638369776638</c:v>
                </c:pt>
                <c:pt idx="458">
                  <c:v>15.735658407258946</c:v>
                </c:pt>
                <c:pt idx="459">
                  <c:v>15.755735420091616</c:v>
                </c:pt>
                <c:pt idx="460">
                  <c:v>15.775869649233483</c:v>
                </c:pt>
                <c:pt idx="461">
                  <c:v>15.796061337005481</c:v>
                </c:pt>
                <c:pt idx="462">
                  <c:v>15.816310727100149</c:v>
                </c:pt>
                <c:pt idx="463">
                  <c:v>15.836618064591526</c:v>
                </c:pt>
                <c:pt idx="464">
                  <c:v>15.856983595944767</c:v>
                </c:pt>
                <c:pt idx="465">
                  <c:v>15.877407569026126</c:v>
                </c:pt>
                <c:pt idx="466">
                  <c:v>15.897890233112877</c:v>
                </c:pt>
                <c:pt idx="467">
                  <c:v>15.918431838903448</c:v>
                </c:pt>
                <c:pt idx="468">
                  <c:v>15.939032638527427</c:v>
                </c:pt>
                <c:pt idx="469">
                  <c:v>15.959692885556032</c:v>
                </c:pt>
                <c:pt idx="470">
                  <c:v>15.980412835012135</c:v>
                </c:pt>
                <c:pt idx="471">
                  <c:v>16.001192743380802</c:v>
                </c:pt>
                <c:pt idx="472">
                  <c:v>16.022032868619792</c:v>
                </c:pt>
                <c:pt idx="473">
                  <c:v>16.04293347017025</c:v>
                </c:pt>
                <c:pt idx="474">
                  <c:v>16.063894808967067</c:v>
                </c:pt>
                <c:pt idx="475">
                  <c:v>16.084917147450046</c:v>
                </c:pt>
                <c:pt idx="476">
                  <c:v>16.106000749574395</c:v>
                </c:pt>
                <c:pt idx="477">
                  <c:v>16.127145880821903</c:v>
                </c:pt>
                <c:pt idx="478">
                  <c:v>16.148352808212007</c:v>
                </c:pt>
                <c:pt idx="479">
                  <c:v>16.169621800312836</c:v>
                </c:pt>
                <c:pt idx="480">
                  <c:v>16.19095312725235</c:v>
                </c:pt>
                <c:pt idx="481">
                  <c:v>16.212347060730007</c:v>
                </c:pt>
                <c:pt idx="482">
                  <c:v>16.233803874027934</c:v>
                </c:pt>
                <c:pt idx="483">
                  <c:v>16.255323842022634</c:v>
                </c:pt>
                <c:pt idx="484">
                  <c:v>16.27690724119635</c:v>
                </c:pt>
                <c:pt idx="485">
                  <c:v>16.298554349649198</c:v>
                </c:pt>
                <c:pt idx="486">
                  <c:v>16.320265447110803</c:v>
                </c:pt>
                <c:pt idx="487">
                  <c:v>16.34204081495205</c:v>
                </c:pt>
                <c:pt idx="488">
                  <c:v>16.363880736197604</c:v>
                </c:pt>
                <c:pt idx="489">
                  <c:v>16.385785495537768</c:v>
                </c:pt>
                <c:pt idx="490">
                  <c:v>16.40775537934079</c:v>
                </c:pt>
                <c:pt idx="491">
                  <c:v>16.42979067566529</c:v>
                </c:pt>
                <c:pt idx="492">
                  <c:v>16.451891674272627</c:v>
                </c:pt>
                <c:pt idx="493">
                  <c:v>16.47405866663973</c:v>
                </c:pt>
                <c:pt idx="494">
                  <c:v>16.496291945971592</c:v>
                </c:pt>
                <c:pt idx="495">
                  <c:v>16.518591807214314</c:v>
                </c:pt>
                <c:pt idx="496">
                  <c:v>16.54095854706773</c:v>
                </c:pt>
                <c:pt idx="497">
                  <c:v>16.563392463998788</c:v>
                </c:pt>
                <c:pt idx="498">
                  <c:v>16.58589385825448</c:v>
                </c:pt>
                <c:pt idx="499">
                  <c:v>16.608463031875385</c:v>
                </c:pt>
                <c:pt idx="500">
                  <c:v>16.631100288708705</c:v>
                </c:pt>
                <c:pt idx="501">
                  <c:v>16.65380593442222</c:v>
                </c:pt>
                <c:pt idx="502">
                  <c:v>16.67658027651769</c:v>
                </c:pt>
                <c:pt idx="503">
                  <c:v>16.699423624344604</c:v>
                </c:pt>
                <c:pt idx="504">
                  <c:v>16.722336289114125</c:v>
                </c:pt>
                <c:pt idx="505">
                  <c:v>16.745318583913374</c:v>
                </c:pt>
                <c:pt idx="506">
                  <c:v>16.768370823719025</c:v>
                </c:pt>
                <c:pt idx="507">
                  <c:v>16.791493325412297</c:v>
                </c:pt>
                <c:pt idx="508">
                  <c:v>16.8146864077926</c:v>
                </c:pt>
                <c:pt idx="509">
                  <c:v>16.837950391592646</c:v>
                </c:pt>
                <c:pt idx="510">
                  <c:v>16.86128559949291</c:v>
                </c:pt>
                <c:pt idx="511">
                  <c:v>16.88469235613653</c:v>
                </c:pt>
                <c:pt idx="512">
                  <c:v>16.90817098814404</c:v>
                </c:pt>
                <c:pt idx="513">
                  <c:v>16.931721824128655</c:v>
                </c:pt>
                <c:pt idx="514">
                  <c:v>16.955345194711402</c:v>
                </c:pt>
                <c:pt idx="515">
                  <c:v>16.97904143253655</c:v>
                </c:pt>
                <c:pt idx="516">
                  <c:v>17.00281087228698</c:v>
                </c:pt>
                <c:pt idx="517">
                  <c:v>17.026653850699955</c:v>
                </c:pt>
                <c:pt idx="518">
                  <c:v>17.050570706582867</c:v>
                </c:pt>
                <c:pt idx="519">
                  <c:v>17.074561780829107</c:v>
                </c:pt>
                <c:pt idx="520">
                  <c:v>17.09862741643428</c:v>
                </c:pt>
                <c:pt idx="521">
                  <c:v>17.122767958512085</c:v>
                </c:pt>
                <c:pt idx="522">
                  <c:v>17.146983754311304</c:v>
                </c:pt>
                <c:pt idx="523">
                  <c:v>17.171275153231758</c:v>
                </c:pt>
                <c:pt idx="524">
                  <c:v>17.195642506841256</c:v>
                </c:pt>
                <c:pt idx="525">
                  <c:v>17.220086168892376</c:v>
                </c:pt>
                <c:pt idx="526">
                  <c:v>17.24460649533953</c:v>
                </c:pt>
                <c:pt idx="527">
                  <c:v>17.269203844356035</c:v>
                </c:pt>
                <c:pt idx="528">
                  <c:v>17.293878576351457</c:v>
                </c:pt>
                <c:pt idx="529">
                  <c:v>17.31863105398897</c:v>
                </c:pt>
                <c:pt idx="530">
                  <c:v>17.343461642203458</c:v>
                </c:pt>
                <c:pt idx="531">
                  <c:v>17.36837070821863</c:v>
                </c:pt>
                <c:pt idx="532">
                  <c:v>17.3933586215655</c:v>
                </c:pt>
                <c:pt idx="533">
                  <c:v>17.41842575410047</c:v>
                </c:pt>
                <c:pt idx="534">
                  <c:v>17.44357248002335</c:v>
                </c:pt>
                <c:pt idx="535">
                  <c:v>17.468799175896297</c:v>
                </c:pt>
                <c:pt idx="536">
                  <c:v>17.494106220662154</c:v>
                </c:pt>
                <c:pt idx="537">
                  <c:v>17.519493995663282</c:v>
                </c:pt>
                <c:pt idx="538">
                  <c:v>17.544962884660865</c:v>
                </c:pt>
                <c:pt idx="539">
                  <c:v>17.570513273853802</c:v>
                </c:pt>
                <c:pt idx="540">
                  <c:v>17.59614555189845</c:v>
                </c:pt>
                <c:pt idx="541">
                  <c:v>17.621860109927667</c:v>
                </c:pt>
                <c:pt idx="542">
                  <c:v>17.647657341571133</c:v>
                </c:pt>
                <c:pt idx="543">
                  <c:v>17.673537642974914</c:v>
                </c:pt>
                <c:pt idx="544">
                  <c:v>17.69950141282179</c:v>
                </c:pt>
                <c:pt idx="545">
                  <c:v>17.725549052351663</c:v>
                </c:pt>
                <c:pt idx="546">
                  <c:v>17.75168096538168</c:v>
                </c:pt>
                <c:pt idx="547">
                  <c:v>17.777897558327677</c:v>
                </c:pt>
                <c:pt idx="548">
                  <c:v>17.804199240224154</c:v>
                </c:pt>
                <c:pt idx="549">
                  <c:v>17.830586422746393</c:v>
                </c:pt>
                <c:pt idx="550">
                  <c:v>17.857059520231065</c:v>
                </c:pt>
                <c:pt idx="551">
                  <c:v>17.883618949698253</c:v>
                </c:pt>
                <c:pt idx="552">
                  <c:v>17.910265130872798</c:v>
                </c:pt>
                <c:pt idx="553">
                  <c:v>17.936998486206665</c:v>
                </c:pt>
                <c:pt idx="554">
                  <c:v>17.963819440900714</c:v>
                </c:pt>
                <c:pt idx="555">
                  <c:v>17.99072842292756</c:v>
                </c:pt>
                <c:pt idx="556">
                  <c:v>18.017725863053716</c:v>
                </c:pt>
                <c:pt idx="557">
                  <c:v>18.0448121948628</c:v>
                </c:pt>
                <c:pt idx="558">
                  <c:v>18.071987854778374</c:v>
                </c:pt>
                <c:pt idx="559">
                  <c:v>18.099253282087314</c:v>
                </c:pt>
                <c:pt idx="560">
                  <c:v>18.126608918963644</c:v>
                </c:pt>
                <c:pt idx="561">
                  <c:v>18.15405521049123</c:v>
                </c:pt>
                <c:pt idx="562">
                  <c:v>18.181592604689357</c:v>
                </c:pt>
                <c:pt idx="563">
                  <c:v>18.209221552535638</c:v>
                </c:pt>
                <c:pt idx="564">
                  <c:v>18.236942507991003</c:v>
                </c:pt>
                <c:pt idx="565">
                  <c:v>18.26475592802453</c:v>
                </c:pt>
                <c:pt idx="566">
                  <c:v>18.29266227263795</c:v>
                </c:pt>
                <c:pt idx="567">
                  <c:v>18.3206620048913</c:v>
                </c:pt>
                <c:pt idx="568">
                  <c:v>18.34875559092821</c:v>
                </c:pt>
                <c:pt idx="569">
                  <c:v>18.37694350000146</c:v>
                </c:pt>
                <c:pt idx="570">
                  <c:v>18.405226204499318</c:v>
                </c:pt>
                <c:pt idx="571">
                  <c:v>18.43360417997133</c:v>
                </c:pt>
                <c:pt idx="572">
                  <c:v>18.46207790515522</c:v>
                </c:pt>
                <c:pt idx="573">
                  <c:v>18.490647862003122</c:v>
                </c:pt>
                <c:pt idx="574">
                  <c:v>18.519314535709267</c:v>
                </c:pt>
                <c:pt idx="575">
                  <c:v>18.54807841473678</c:v>
                </c:pt>
                <c:pt idx="576">
                  <c:v>18.576939990845514</c:v>
                </c:pt>
                <c:pt idx="577">
                  <c:v>18.60589975911979</c:v>
                </c:pt>
                <c:pt idx="578">
                  <c:v>18.63495821799648</c:v>
                </c:pt>
                <c:pt idx="579">
                  <c:v>18.664115869293664</c:v>
                </c:pt>
                <c:pt idx="580">
                  <c:v>18.69337321823916</c:v>
                </c:pt>
                <c:pt idx="581">
                  <c:v>18.72273077349944</c:v>
                </c:pt>
                <c:pt idx="582">
                  <c:v>18.752189047209278</c:v>
                </c:pt>
                <c:pt idx="583">
                  <c:v>18.7817485550012</c:v>
                </c:pt>
                <c:pt idx="584">
                  <c:v>18.81140981603497</c:v>
                </c:pt>
                <c:pt idx="585">
                  <c:v>18.841173353028527</c:v>
                </c:pt>
                <c:pt idx="586">
                  <c:v>18.871039692288065</c:v>
                </c:pt>
                <c:pt idx="587">
                  <c:v>18.901009363738932</c:v>
                </c:pt>
                <c:pt idx="588">
                  <c:v>18.931082900956977</c:v>
                </c:pt>
                <c:pt idx="589">
                  <c:v>18.96126084119975</c:v>
                </c:pt>
                <c:pt idx="590">
                  <c:v>18.991543725438557</c:v>
                </c:pt>
                <c:pt idx="591">
                  <c:v>19.021932098390575</c:v>
                </c:pt>
                <c:pt idx="592">
                  <c:v>19.05242650855093</c:v>
                </c:pt>
                <c:pt idx="593">
                  <c:v>19.08302750822625</c:v>
                </c:pt>
                <c:pt idx="594">
                  <c:v>19.11373565356722</c:v>
                </c:pt>
                <c:pt idx="595">
                  <c:v>19.144551504602305</c:v>
                </c:pt>
                <c:pt idx="596">
                  <c:v>19.175475625271385</c:v>
                </c:pt>
                <c:pt idx="597">
                  <c:v>19.20650858346057</c:v>
                </c:pt>
                <c:pt idx="598">
                  <c:v>19.23765095103596</c:v>
                </c:pt>
                <c:pt idx="599">
                  <c:v>19.268903303879267</c:v>
                </c:pt>
                <c:pt idx="600">
                  <c:v>19.300266221922744</c:v>
                </c:pt>
                <c:pt idx="601">
                  <c:v>19.331740289184708</c:v>
                </c:pt>
                <c:pt idx="602">
                  <c:v>19.36332609380627</c:v>
                </c:pt>
                <c:pt idx="603">
                  <c:v>19.3950242280869</c:v>
                </c:pt>
                <c:pt idx="604">
                  <c:v>19.426835288521925</c:v>
                </c:pt>
                <c:pt idx="605">
                  <c:v>19.458759875839498</c:v>
                </c:pt>
                <c:pt idx="606">
                  <c:v>19.49079859503806</c:v>
                </c:pt>
                <c:pt idx="607">
                  <c:v>19.522952055424593</c:v>
                </c:pt>
                <c:pt idx="608">
                  <c:v>19.555220870653084</c:v>
                </c:pt>
                <c:pt idx="609">
                  <c:v>19.587605658762957</c:v>
                </c:pt>
                <c:pt idx="610">
                  <c:v>19.620107042218734</c:v>
                </c:pt>
                <c:pt idx="611">
                  <c:v>19.65272564794958</c:v>
                </c:pt>
                <c:pt idx="612">
                  <c:v>19.68546210738937</c:v>
                </c:pt>
                <c:pt idx="613">
                  <c:v>19.718317056517147</c:v>
                </c:pt>
                <c:pt idx="614">
                  <c:v>19.751291135898292</c:v>
                </c:pt>
                <c:pt idx="615">
                  <c:v>19.78438499072566</c:v>
                </c:pt>
                <c:pt idx="616">
                  <c:v>19.817599270861884</c:v>
                </c:pt>
                <c:pt idx="617">
                  <c:v>19.85093463088117</c:v>
                </c:pt>
                <c:pt idx="618">
                  <c:v>19.884391730112338</c:v>
                </c:pt>
                <c:pt idx="619">
                  <c:v>19.91797123268213</c:v>
                </c:pt>
                <c:pt idx="620">
                  <c:v>19.95167380755888</c:v>
                </c:pt>
                <c:pt idx="621">
                  <c:v>19.98550012859668</c:v>
                </c:pt>
                <c:pt idx="622">
                  <c:v>20.019450874580023</c:v>
                </c:pt>
                <c:pt idx="623">
                  <c:v>20.05352672926899</c:v>
                </c:pt>
                <c:pt idx="624">
                  <c:v>20.087728381444876</c:v>
                </c:pt>
                <c:pt idx="625">
                  <c:v>20.122056524956935</c:v>
                </c:pt>
                <c:pt idx="626">
                  <c:v>20.156511858767935</c:v>
                </c:pt>
                <c:pt idx="627">
                  <c:v>20.191095087002406</c:v>
                </c:pt>
                <c:pt idx="628">
                  <c:v>20.225806918993843</c:v>
                </c:pt>
                <c:pt idx="629">
                  <c:v>20.26064806933307</c:v>
                </c:pt>
                <c:pt idx="630">
                  <c:v>20.29561925791718</c:v>
                </c:pt>
                <c:pt idx="631">
                  <c:v>20.33072120999864</c:v>
                </c:pt>
                <c:pt idx="632">
                  <c:v>20.365954656235406</c:v>
                </c:pt>
                <c:pt idx="633">
                  <c:v>20.401320332741022</c:v>
                </c:pt>
                <c:pt idx="634">
                  <c:v>20.436818981136206</c:v>
                </c:pt>
                <c:pt idx="635">
                  <c:v>20.472451348599957</c:v>
                </c:pt>
                <c:pt idx="636">
                  <c:v>20.508218187921717</c:v>
                </c:pt>
                <c:pt idx="637">
                  <c:v>20.54412025755479</c:v>
                </c:pt>
                <c:pt idx="638">
                  <c:v>20.580158321668584</c:v>
                </c:pt>
                <c:pt idx="639">
                  <c:v>20.61633315020369</c:v>
                </c:pt>
                <c:pt idx="640">
                  <c:v>20.652645518925798</c:v>
                </c:pt>
                <c:pt idx="641">
                  <c:v>20.689096209480965</c:v>
                </c:pt>
                <c:pt idx="642">
                  <c:v>20.72568600945151</c:v>
                </c:pt>
                <c:pt idx="643">
                  <c:v>20.76241571241286</c:v>
                </c:pt>
                <c:pt idx="644">
                  <c:v>20.799286117989816</c:v>
                </c:pt>
                <c:pt idx="645">
                  <c:v>20.836298031915206</c:v>
                </c:pt>
                <c:pt idx="646">
                  <c:v>20.87345226608744</c:v>
                </c:pt>
                <c:pt idx="647">
                  <c:v>20.910749638630378</c:v>
                </c:pt>
                <c:pt idx="648">
                  <c:v>20.948190973952787</c:v>
                </c:pt>
                <c:pt idx="649">
                  <c:v>20.985777102808804</c:v>
                </c:pt>
                <c:pt idx="650">
                  <c:v>21.023508862358753</c:v>
                </c:pt>
                <c:pt idx="651">
                  <c:v>21.061387096231872</c:v>
                </c:pt>
                <c:pt idx="652">
                  <c:v>21.099412654588004</c:v>
                </c:pt>
                <c:pt idx="653">
                  <c:v>21.1375863941815</c:v>
                </c:pt>
                <c:pt idx="654">
                  <c:v>21.175909178425293</c:v>
                </c:pt>
                <c:pt idx="655">
                  <c:v>21.21438187745508</c:v>
                </c:pt>
                <c:pt idx="656">
                  <c:v>21.253005368195524</c:v>
                </c:pt>
                <c:pt idx="657">
                  <c:v>21.291780534426437</c:v>
                </c:pt>
                <c:pt idx="658">
                  <c:v>21.330708266849786</c:v>
                </c:pt>
                <c:pt idx="659">
                  <c:v>21.369789463157662</c:v>
                </c:pt>
                <c:pt idx="660">
                  <c:v>21.40902502810099</c:v>
                </c:pt>
                <c:pt idx="661">
                  <c:v>21.448415873558762</c:v>
                </c:pt>
                <c:pt idx="662">
                  <c:v>21.487962918609092</c:v>
                </c:pt>
                <c:pt idx="663">
                  <c:v>21.52766708959968</c:v>
                </c:pt>
                <c:pt idx="664">
                  <c:v>21.56752932022021</c:v>
                </c:pt>
                <c:pt idx="665">
                  <c:v>21.607550551574864</c:v>
                </c:pt>
                <c:pt idx="666">
                  <c:v>21.64773173225664</c:v>
                </c:pt>
                <c:pt idx="667">
                  <c:v>21.688073818421454</c:v>
                </c:pt>
                <c:pt idx="668">
                  <c:v>21.72857777386396</c:v>
                </c:pt>
                <c:pt idx="669">
                  <c:v>21.76924457009389</c:v>
                </c:pt>
                <c:pt idx="670">
                  <c:v>21.810075186413336</c:v>
                </c:pt>
                <c:pt idx="671">
                  <c:v>21.851070609995343</c:v>
                </c:pt>
                <c:pt idx="672">
                  <c:v>21.892231835962562</c:v>
                </c:pt>
                <c:pt idx="673">
                  <c:v>21.933559867467906</c:v>
                </c:pt>
                <c:pt idx="674">
                  <c:v>21.97505571577583</c:v>
                </c:pt>
                <c:pt idx="675">
                  <c:v>22.016720400343907</c:v>
                </c:pt>
                <c:pt idx="676">
                  <c:v>22.058554948906412</c:v>
                </c:pt>
                <c:pt idx="677">
                  <c:v>22.100560397558493</c:v>
                </c:pt>
                <c:pt idx="678">
                  <c:v>22.142737790840965</c:v>
                </c:pt>
                <c:pt idx="679">
                  <c:v>22.18508818182735</c:v>
                </c:pt>
                <c:pt idx="680">
                  <c:v>22.227612632210025</c:v>
                </c:pt>
                <c:pt idx="681">
                  <c:v>22.270312212389502</c:v>
                </c:pt>
                <c:pt idx="682">
                  <c:v>22.313188001563663</c:v>
                </c:pt>
                <c:pt idx="683">
                  <c:v>22.356241087818223</c:v>
                </c:pt>
                <c:pt idx="684">
                  <c:v>22.39947256821827</c:v>
                </c:pt>
                <c:pt idx="685">
                  <c:v>22.442883548901413</c:v>
                </c:pt>
                <c:pt idx="686">
                  <c:v>22.486475145171685</c:v>
                </c:pt>
                <c:pt idx="687">
                  <c:v>22.53024848159442</c:v>
                </c:pt>
                <c:pt idx="688">
                  <c:v>22.57420469209283</c:v>
                </c:pt>
                <c:pt idx="689">
                  <c:v>22.618344920045644</c:v>
                </c:pt>
                <c:pt idx="690">
                  <c:v>22.66267031838539</c:v>
                </c:pt>
                <c:pt idx="691">
                  <c:v>22.707182049699</c:v>
                </c:pt>
                <c:pt idx="692">
                  <c:v>22.751881286328658</c:v>
                </c:pt>
                <c:pt idx="693">
                  <c:v>22.796769210474412</c:v>
                </c:pt>
                <c:pt idx="694">
                  <c:v>22.84184701429831</c:v>
                </c:pt>
                <c:pt idx="695">
                  <c:v>22.887115900029105</c:v>
                </c:pt>
                <c:pt idx="696">
                  <c:v>22.932577080068707</c:v>
                </c:pt>
                <c:pt idx="697">
                  <c:v>22.97823177710064</c:v>
                </c:pt>
                <c:pt idx="698">
                  <c:v>23.024081224198788</c:v>
                </c:pt>
                <c:pt idx="699">
                  <c:v>23.070126664937607</c:v>
                </c:pt>
                <c:pt idx="700">
                  <c:v>23.11636935350529</c:v>
                </c:pt>
                <c:pt idx="701">
                  <c:v>23.16281055481603</c:v>
                </c:pt>
                <c:pt idx="702">
                  <c:v>23.20945154462581</c:v>
                </c:pt>
                <c:pt idx="703">
                  <c:v>23.25629360964794</c:v>
                </c:pt>
                <c:pt idx="704">
                  <c:v>23.30333804767199</c:v>
                </c:pt>
                <c:pt idx="705">
                  <c:v>23.350586167682522</c:v>
                </c:pt>
                <c:pt idx="706">
                  <c:v>23.39803928998002</c:v>
                </c:pt>
                <c:pt idx="707">
                  <c:v>23.445698746303897</c:v>
                </c:pt>
                <c:pt idx="708">
                  <c:v>23.49356587995618</c:v>
                </c:pt>
                <c:pt idx="709">
                  <c:v>23.54164204592782</c:v>
                </c:pt>
                <c:pt idx="710">
                  <c:v>23.589928611025336</c:v>
                </c:pt>
                <c:pt idx="711">
                  <c:v>23.638426954000515</c:v>
                </c:pt>
                <c:pt idx="712">
                  <c:v>23.68713846568109</c:v>
                </c:pt>
                <c:pt idx="713">
                  <c:v>23.736064549103116</c:v>
                </c:pt>
                <c:pt idx="714">
                  <c:v>23.78520661964501</c:v>
                </c:pt>
                <c:pt idx="715">
                  <c:v>23.834566105164125</c:v>
                </c:pt>
                <c:pt idx="716">
                  <c:v>23.88414444613388</c:v>
                </c:pt>
                <c:pt idx="717">
                  <c:v>23.933943095784148</c:v>
                </c:pt>
                <c:pt idx="718">
                  <c:v>23.98396352024234</c:v>
                </c:pt>
                <c:pt idx="719">
                  <c:v>24.034207198676427</c:v>
                </c:pt>
                <c:pt idx="720">
                  <c:v>24.08467562344146</c:v>
                </c:pt>
                <c:pt idx="721">
                  <c:v>24.135370300225368</c:v>
                </c:pt>
                <c:pt idx="722">
                  <c:v>24.186292748199342</c:v>
                </c:pt>
                <c:pt idx="723">
                  <c:v>24.237444500168543</c:v>
                </c:pt>
                <c:pt idx="724">
                  <c:v>24.288827102725286</c:v>
                </c:pt>
                <c:pt idx="725">
                  <c:v>24.34044211640526</c:v>
                </c:pt>
                <c:pt idx="726">
                  <c:v>24.392291115843534</c:v>
                </c:pt>
                <c:pt idx="727">
                  <c:v>24.44437568993569</c:v>
                </c:pt>
                <c:pt idx="728">
                  <c:v>24.496697441998613</c:v>
                </c:pt>
                <c:pt idx="729">
                  <c:v>24.549257989934766</c:v>
                </c:pt>
                <c:pt idx="730">
                  <c:v>24.602058966398577</c:v>
                </c:pt>
                <c:pt idx="731">
                  <c:v>24.655102018964797</c:v>
                </c:pt>
                <c:pt idx="732">
                  <c:v>24.708388810299507</c:v>
                </c:pt>
                <c:pt idx="733">
                  <c:v>24.761921018332718</c:v>
                </c:pt>
                <c:pt idx="734">
                  <c:v>24.815700336434936</c:v>
                </c:pt>
                <c:pt idx="735">
                  <c:v>24.86972847359425</c:v>
                </c:pt>
                <c:pt idx="736">
                  <c:v>24.924007154597266</c:v>
                </c:pt>
                <c:pt idx="737">
                  <c:v>24.978538120212</c:v>
                </c:pt>
                <c:pt idx="738">
                  <c:v>25.033323127373265</c:v>
                </c:pt>
                <c:pt idx="739">
                  <c:v>25.088363949371075</c:v>
                </c:pt>
                <c:pt idx="740">
                  <c:v>25.14366237604142</c:v>
                </c:pt>
                <c:pt idx="741">
                  <c:v>25.199220213958775</c:v>
                </c:pt>
                <c:pt idx="742">
                  <c:v>25.255039286633668</c:v>
                </c:pt>
                <c:pt idx="743">
                  <c:v>25.31112143471058</c:v>
                </c:pt>
                <c:pt idx="744">
                  <c:v>25.367468516170284</c:v>
                </c:pt>
                <c:pt idx="745">
                  <c:v>25.42408240653349</c:v>
                </c:pt>
                <c:pt idx="746">
                  <c:v>25.480964999069645</c:v>
                </c:pt>
                <c:pt idx="747">
                  <c:v>25.5381182050062</c:v>
                </c:pt>
                <c:pt idx="748">
                  <c:v>25.59554395374284</c:v>
                </c:pt>
                <c:pt idx="749">
                  <c:v>25.653244193067525</c:v>
                </c:pt>
                <c:pt idx="750">
                  <c:v>25.711220889375955</c:v>
                </c:pt>
                <c:pt idx="751">
                  <c:v>25.76947602789491</c:v>
                </c:pt>
                <c:pt idx="752">
                  <c:v>25.828011612907773</c:v>
                </c:pt>
                <c:pt idx="753">
                  <c:v>25.88682966798352</c:v>
                </c:pt>
                <c:pt idx="754">
                  <c:v>25.94593223620996</c:v>
                </c:pt>
                <c:pt idx="755">
                  <c:v>26.005321380428963</c:v>
                </c:pt>
                <c:pt idx="756">
                  <c:v>26.064999183475976</c:v>
                </c:pt>
                <c:pt idx="757">
                  <c:v>26.124967748423124</c:v>
                </c:pt>
                <c:pt idx="758">
                  <c:v>26.185229198825212</c:v>
                </c:pt>
                <c:pt idx="759">
                  <c:v>26.245785678969767</c:v>
                </c:pt>
                <c:pt idx="760">
                  <c:v>26.3066393541308</c:v>
                </c:pt>
                <c:pt idx="761">
                  <c:v>26.36779241082632</c:v>
                </c:pt>
                <c:pt idx="762">
                  <c:v>26.429247057078904</c:v>
                </c:pt>
                <c:pt idx="763">
                  <c:v>26.491005522681515</c:v>
                </c:pt>
                <c:pt idx="764">
                  <c:v>26.55307005946597</c:v>
                </c:pt>
                <c:pt idx="765">
                  <c:v>26.615442941575882</c:v>
                </c:pt>
                <c:pt idx="766">
                  <c:v>26.678126465743873</c:v>
                </c:pt>
                <c:pt idx="767">
                  <c:v>26.74112295157284</c:v>
                </c:pt>
                <c:pt idx="768">
                  <c:v>26.804434741821055</c:v>
                </c:pt>
                <c:pt idx="769">
                  <c:v>26.868064202691897</c:v>
                </c:pt>
                <c:pt idx="770">
                  <c:v>26.93201372412787</c:v>
                </c:pt>
                <c:pt idx="771">
                  <c:v>26.996285720109533</c:v>
                </c:pt>
                <c:pt idx="772">
                  <c:v>27.060882628957486</c:v>
                </c:pt>
                <c:pt idx="773">
                  <c:v>27.125806913640496</c:v>
                </c:pt>
                <c:pt idx="774">
                  <c:v>27.191061062088338</c:v>
                </c:pt>
                <c:pt idx="775">
                  <c:v>27.256647587507313</c:v>
                </c:pt>
                <c:pt idx="776">
                  <c:v>27.322569028703878</c:v>
                </c:pt>
                <c:pt idx="777">
                  <c:v>27.388827950409635</c:v>
                </c:pt>
                <c:pt idx="778">
                  <c:v>27.45542694361437</c:v>
                </c:pt>
                <c:pt idx="779">
                  <c:v>27.522368625902565</c:v>
                </c:pt>
                <c:pt idx="780">
                  <c:v>27.589655641795375</c:v>
                </c:pt>
                <c:pt idx="781">
                  <c:v>27.657290663098095</c:v>
                </c:pt>
                <c:pt idx="782">
                  <c:v>27.725276389252898</c:v>
                </c:pt>
                <c:pt idx="783">
                  <c:v>27.793615547697424</c:v>
                </c:pt>
                <c:pt idx="784">
                  <c:v>27.862310894228127</c:v>
                </c:pt>
                <c:pt idx="785">
                  <c:v>27.93136521336984</c:v>
                </c:pt>
                <c:pt idx="786">
                  <c:v>28.000781318752082</c:v>
                </c:pt>
                <c:pt idx="787">
                  <c:v>28.07056205348877</c:v>
                </c:pt>
                <c:pt idx="788">
                  <c:v>28.140710290566442</c:v>
                </c:pt>
                <c:pt idx="789">
                  <c:v>28.211228933237873</c:v>
                </c:pt>
                <c:pt idx="790">
                  <c:v>28.282120915420506</c:v>
                </c:pt>
                <c:pt idx="791">
                  <c:v>28.35338920210386</c:v>
                </c:pt>
                <c:pt idx="792">
                  <c:v>28.42503678976038</c:v>
                </c:pt>
                <c:pt idx="793">
                  <c:v>28.497066706766024</c:v>
                </c:pt>
                <c:pt idx="794">
                  <c:v>28.569482013824917</c:v>
                </c:pt>
                <c:pt idx="795">
                  <c:v>28.642285804401528</c:v>
                </c:pt>
                <c:pt idx="796">
                  <c:v>28.71548120516187</c:v>
                </c:pt>
                <c:pt idx="797">
                  <c:v>28.78907137641864</c:v>
                </c:pt>
                <c:pt idx="798">
                  <c:v>28.86305951258513</c:v>
                </c:pt>
                <c:pt idx="799">
                  <c:v>28.937448842636947</c:v>
                </c:pt>
                <c:pt idx="800">
                  <c:v>29.012242630580797</c:v>
                </c:pt>
              </c:numCache>
            </c:numRef>
          </c:yVal>
        </c:ser>
        <c:axId val="50010001"/>
        <c:axId val="50010002"/>
      </c:scatterChart>
      <c:valAx>
        <c:axId val="50010001"/>
        <c:scaling>
          <c:orientation val="minMax"/>
        </c:scaling>
        <c:axPos val="b"/>
        <c:title>
          <c:tx>
            <c:rich>
              <a:bodyPr/>
              <a:lstStyle/>
              <a:p>
                <a:pPr>
                  <a:defRPr/>
                </a:pPr>
                <a:r>
                  <a:rPr lang="en-US"/>
                  <a:t>Vận tốc v (km/h)</a:t>
                </a:r>
              </a:p>
            </c:rich>
          </c:tx>
          <c:layout/>
        </c:title>
        <c:numFmt formatCode="General" sourceLinked="1"/>
        <c:tickLblPos val="nextTo"/>
        <c:crossAx val="50010002"/>
        <c:crosses val="autoZero"/>
        <c:crossBetween val="midCat"/>
      </c:valAx>
      <c:valAx>
        <c:axId val="50010002"/>
        <c:scaling>
          <c:orientation val="minMax"/>
        </c:scaling>
        <c:axPos val="l"/>
        <c:majorGridlines>
          <c:spPr>
            <a:ln>
              <a:solidFill>
                <a:srgbClr val="E1E1E1"/>
              </a:solidFill>
            </a:ln>
          </c:spPr>
        </c:majorGridlines>
        <c:title>
          <c:tx>
            <c:rich>
              <a:bodyPr rot="-5400000" vert="horz"/>
              <a:lstStyle/>
              <a:p>
                <a:pPr>
                  <a:defRPr/>
                </a:pPr>
                <a:r>
                  <a:rPr lang="en-US"/>
                  <a:t>1/j (s²/m)</a:t>
                </a:r>
              </a:p>
            </c:rich>
          </c:tx>
          <c:layout/>
        </c:title>
        <c:numFmt formatCode="General" sourceLinked="1"/>
        <c:tickLblPos val="nextTo"/>
        <c:crossAx val="50010001"/>
        <c:crosses val="autoZero"/>
        <c:crossBetween val="midCat"/>
      </c:valAx>
    </c:plotArea>
    <c:legend>
      <c:legendPos val="b"/>
      <c:layout/>
    </c:legend>
    <c:plotVisOnly val="1"/>
  </c:chart>
  <c:printSettings>
    <c:headerFooter/>
    <c:pageMargins b="0.75" l="0.7" r="0.7" t="0.75" header="0.3" footer="0.3"/>
    <c:pageSetup/>
  </c:printSettings>
</c:chartSpace>
</file>

<file path=xl/ref/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Thời gian riêng số V — không phải toàn xe</a:t>
            </a:r>
          </a:p>
        </c:rich>
      </c:tx>
      <c:layout/>
    </c:title>
    <c:plotArea>
      <c:layout/>
      <c:scatterChart>
        <c:scatterStyle val="lineMarker"/>
        <c:ser>
          <c:idx val="0"/>
          <c:order val="0"/>
          <c:tx>
            <c:v>Số V từ 800 đến 2.470 v/ph</c:v>
          </c:tx>
          <c:spPr>
            <a:ln w="19050">
              <a:solidFill>
                <a:srgbClr val="009E73"/>
              </a:solidFill>
            </a:ln>
          </c:spPr>
          <c:marker>
            <c:symbol val="none"/>
          </c:marker>
          <c:xVal>
            <c:numRef>
              <c:f>TICH_PHAN_SO_V!$G$6:$G$1607</c:f>
              <c:numCache>
                <c:formatCode>General</c:formatCode>
                <c:ptCount val="1602"/>
                <c:pt idx="0">
                  <c:v>29.230769230769237</c:v>
                </c:pt>
                <c:pt idx="1">
                  <c:v>29.294130769230772</c:v>
                </c:pt>
                <c:pt idx="2">
                  <c:v>29.357492307692315</c:v>
                </c:pt>
                <c:pt idx="3">
                  <c:v>29.420853846153854</c:v>
                </c:pt>
                <c:pt idx="4">
                  <c:v>29.48421538461539</c:v>
                </c:pt>
                <c:pt idx="5">
                  <c:v>29.547576923076928</c:v>
                </c:pt>
                <c:pt idx="6">
                  <c:v>29.61093846153847</c:v>
                </c:pt>
                <c:pt idx="7">
                  <c:v>29.674300000000006</c:v>
                </c:pt>
                <c:pt idx="8">
                  <c:v>29.737661538461545</c:v>
                </c:pt>
                <c:pt idx="9">
                  <c:v>29.80102307692308</c:v>
                </c:pt>
                <c:pt idx="10">
                  <c:v>29.864384615384623</c:v>
                </c:pt>
                <c:pt idx="11">
                  <c:v>29.92774615384616</c:v>
                </c:pt>
                <c:pt idx="12">
                  <c:v>29.991107692307697</c:v>
                </c:pt>
                <c:pt idx="13">
                  <c:v>30.054469230769232</c:v>
                </c:pt>
                <c:pt idx="14">
                  <c:v>30.11783076923078</c:v>
                </c:pt>
                <c:pt idx="15">
                  <c:v>30.181192307692314</c:v>
                </c:pt>
                <c:pt idx="16">
                  <c:v>30.24455384615385</c:v>
                </c:pt>
                <c:pt idx="17">
                  <c:v>30.307915384615388</c:v>
                </c:pt>
                <c:pt idx="18">
                  <c:v>30.37127692307693</c:v>
                </c:pt>
                <c:pt idx="19">
                  <c:v>30.434638461538466</c:v>
                </c:pt>
                <c:pt idx="20">
                  <c:v>30.498000000000005</c:v>
                </c:pt>
                <c:pt idx="21">
                  <c:v>30.56136153846154</c:v>
                </c:pt>
                <c:pt idx="22">
                  <c:v>30.624723076923082</c:v>
                </c:pt>
                <c:pt idx="23">
                  <c:v>30.68808461538462</c:v>
                </c:pt>
                <c:pt idx="24">
                  <c:v>30.751446153846157</c:v>
                </c:pt>
                <c:pt idx="25">
                  <c:v>30.8148076923077</c:v>
                </c:pt>
                <c:pt idx="26">
                  <c:v>30.878169230769238</c:v>
                </c:pt>
                <c:pt idx="27">
                  <c:v>30.941530769230774</c:v>
                </c:pt>
                <c:pt idx="28">
                  <c:v>31.004892307692312</c:v>
                </c:pt>
                <c:pt idx="29">
                  <c:v>31.068253846153855</c:v>
                </c:pt>
                <c:pt idx="30">
                  <c:v>31.13161538461539</c:v>
                </c:pt>
                <c:pt idx="31">
                  <c:v>31.19497692307693</c:v>
                </c:pt>
                <c:pt idx="32">
                  <c:v>31.258338461538465</c:v>
                </c:pt>
                <c:pt idx="33">
                  <c:v>31.321700000000007</c:v>
                </c:pt>
                <c:pt idx="34">
                  <c:v>31.385061538461546</c:v>
                </c:pt>
                <c:pt idx="35">
                  <c:v>31.44842307692308</c:v>
                </c:pt>
                <c:pt idx="36">
                  <c:v>31.511784615384617</c:v>
                </c:pt>
                <c:pt idx="37">
                  <c:v>31.575146153846163</c:v>
                </c:pt>
                <c:pt idx="38">
                  <c:v>31.638507692307698</c:v>
                </c:pt>
                <c:pt idx="39">
                  <c:v>31.701869230769233</c:v>
                </c:pt>
                <c:pt idx="40">
                  <c:v>31.76523076923078</c:v>
                </c:pt>
                <c:pt idx="41">
                  <c:v>31.828592307692315</c:v>
                </c:pt>
                <c:pt idx="42">
                  <c:v>31.89195384615385</c:v>
                </c:pt>
                <c:pt idx="43">
                  <c:v>31.95531538461539</c:v>
                </c:pt>
                <c:pt idx="44">
                  <c:v>32.018676923076924</c:v>
                </c:pt>
                <c:pt idx="45">
                  <c:v>32.08203846153847</c:v>
                </c:pt>
                <c:pt idx="46">
                  <c:v>32.1454</c:v>
                </c:pt>
                <c:pt idx="47">
                  <c:v>32.208761538461545</c:v>
                </c:pt>
                <c:pt idx="48">
                  <c:v>32.27212307692309</c:v>
                </c:pt>
                <c:pt idx="49">
                  <c:v>32.33548461538462</c:v>
                </c:pt>
                <c:pt idx="50">
                  <c:v>32.39884615384616</c:v>
                </c:pt>
                <c:pt idx="51">
                  <c:v>32.46220769230769</c:v>
                </c:pt>
                <c:pt idx="52">
                  <c:v>32.525569230769236</c:v>
                </c:pt>
                <c:pt idx="53">
                  <c:v>32.58893076923078</c:v>
                </c:pt>
                <c:pt idx="54">
                  <c:v>32.65229230769231</c:v>
                </c:pt>
                <c:pt idx="55">
                  <c:v>32.71565384615385</c:v>
                </c:pt>
                <c:pt idx="56">
                  <c:v>32.77901538461539</c:v>
                </c:pt>
                <c:pt idx="57">
                  <c:v>32.84237692307693</c:v>
                </c:pt>
                <c:pt idx="58">
                  <c:v>32.90573846153847</c:v>
                </c:pt>
                <c:pt idx="59">
                  <c:v>32.969100000000005</c:v>
                </c:pt>
                <c:pt idx="60">
                  <c:v>33.03246153846155</c:v>
                </c:pt>
                <c:pt idx="61">
                  <c:v>33.09582307692308</c:v>
                </c:pt>
                <c:pt idx="62">
                  <c:v>33.15918461538462</c:v>
                </c:pt>
                <c:pt idx="63">
                  <c:v>33.22254615384616</c:v>
                </c:pt>
                <c:pt idx="64">
                  <c:v>33.2859076923077</c:v>
                </c:pt>
                <c:pt idx="65">
                  <c:v>33.34926923076924</c:v>
                </c:pt>
                <c:pt idx="66">
                  <c:v>33.41263076923077</c:v>
                </c:pt>
                <c:pt idx="67">
                  <c:v>33.47599230769231</c:v>
                </c:pt>
                <c:pt idx="68">
                  <c:v>33.53935384615385</c:v>
                </c:pt>
                <c:pt idx="69">
                  <c:v>33.60271538461539</c:v>
                </c:pt>
                <c:pt idx="70">
                  <c:v>33.66607692307693</c:v>
                </c:pt>
                <c:pt idx="71">
                  <c:v>33.72943846153847</c:v>
                </c:pt>
                <c:pt idx="72">
                  <c:v>33.79280000000001</c:v>
                </c:pt>
                <c:pt idx="73">
                  <c:v>33.85616153846154</c:v>
                </c:pt>
                <c:pt idx="74">
                  <c:v>33.91952307692308</c:v>
                </c:pt>
                <c:pt idx="75">
                  <c:v>33.98288461538462</c:v>
                </c:pt>
                <c:pt idx="76">
                  <c:v>34.04624615384616</c:v>
                </c:pt>
                <c:pt idx="77">
                  <c:v>34.1096076923077</c:v>
                </c:pt>
                <c:pt idx="78">
                  <c:v>34.17296923076923</c:v>
                </c:pt>
                <c:pt idx="79">
                  <c:v>34.236330769230776</c:v>
                </c:pt>
                <c:pt idx="80">
                  <c:v>34.29969230769231</c:v>
                </c:pt>
                <c:pt idx="81">
                  <c:v>34.36305384615385</c:v>
                </c:pt>
                <c:pt idx="82">
                  <c:v>34.42641538461539</c:v>
                </c:pt>
                <c:pt idx="83">
                  <c:v>34.48977692307693</c:v>
                </c:pt>
                <c:pt idx="84">
                  <c:v>34.55313846153847</c:v>
                </c:pt>
                <c:pt idx="85">
                  <c:v>34.6165</c:v>
                </c:pt>
                <c:pt idx="86">
                  <c:v>34.67986153846154</c:v>
                </c:pt>
                <c:pt idx="87">
                  <c:v>34.74322307692309</c:v>
                </c:pt>
                <c:pt idx="88">
                  <c:v>34.80658461538462</c:v>
                </c:pt>
                <c:pt idx="89">
                  <c:v>34.86994615384616</c:v>
                </c:pt>
                <c:pt idx="90">
                  <c:v>34.93330769230769</c:v>
                </c:pt>
                <c:pt idx="91">
                  <c:v>34.996669230769236</c:v>
                </c:pt>
                <c:pt idx="92">
                  <c:v>35.06003076923077</c:v>
                </c:pt>
                <c:pt idx="93">
                  <c:v>35.12339230769231</c:v>
                </c:pt>
                <c:pt idx="94">
                  <c:v>35.186753846153856</c:v>
                </c:pt>
                <c:pt idx="95">
                  <c:v>35.25011538461539</c:v>
                </c:pt>
                <c:pt idx="96">
                  <c:v>35.31347692307693</c:v>
                </c:pt>
                <c:pt idx="97">
                  <c:v>35.37683846153846</c:v>
                </c:pt>
                <c:pt idx="98">
                  <c:v>35.440200000000004</c:v>
                </c:pt>
                <c:pt idx="99">
                  <c:v>35.50356153846155</c:v>
                </c:pt>
                <c:pt idx="100">
                  <c:v>35.56692307692308</c:v>
                </c:pt>
                <c:pt idx="101">
                  <c:v>35.63028461538462</c:v>
                </c:pt>
                <c:pt idx="102">
                  <c:v>35.69364615384616</c:v>
                </c:pt>
                <c:pt idx="103">
                  <c:v>35.757007692307695</c:v>
                </c:pt>
                <c:pt idx="104">
                  <c:v>35.82036923076924</c:v>
                </c:pt>
                <c:pt idx="105">
                  <c:v>35.88373076923077</c:v>
                </c:pt>
                <c:pt idx="106">
                  <c:v>35.947092307692316</c:v>
                </c:pt>
                <c:pt idx="107">
                  <c:v>36.01045384615385</c:v>
                </c:pt>
                <c:pt idx="108">
                  <c:v>36.073815384615386</c:v>
                </c:pt>
                <c:pt idx="109">
                  <c:v>36.13717692307692</c:v>
                </c:pt>
                <c:pt idx="110">
                  <c:v>36.20053846153847</c:v>
                </c:pt>
                <c:pt idx="111">
                  <c:v>36.26390000000001</c:v>
                </c:pt>
                <c:pt idx="112">
                  <c:v>36.32726153846154</c:v>
                </c:pt>
                <c:pt idx="113">
                  <c:v>36.39062307692308</c:v>
                </c:pt>
                <c:pt idx="114">
                  <c:v>36.45398461538462</c:v>
                </c:pt>
                <c:pt idx="115">
                  <c:v>36.517346153846155</c:v>
                </c:pt>
                <c:pt idx="116">
                  <c:v>36.5807076923077</c:v>
                </c:pt>
                <c:pt idx="117">
                  <c:v>36.64406923076924</c:v>
                </c:pt>
                <c:pt idx="118">
                  <c:v>36.707430769230776</c:v>
                </c:pt>
                <c:pt idx="119">
                  <c:v>36.77079230769231</c:v>
                </c:pt>
                <c:pt idx="120">
                  <c:v>36.834153846153846</c:v>
                </c:pt>
                <c:pt idx="121">
                  <c:v>36.89751538461539</c:v>
                </c:pt>
                <c:pt idx="122">
                  <c:v>36.96087692307693</c:v>
                </c:pt>
                <c:pt idx="123">
                  <c:v>37.02423846153847</c:v>
                </c:pt>
                <c:pt idx="124">
                  <c:v>37.0876</c:v>
                </c:pt>
                <c:pt idx="125">
                  <c:v>37.150961538461544</c:v>
                </c:pt>
                <c:pt idx="126">
                  <c:v>37.21432307692308</c:v>
                </c:pt>
                <c:pt idx="127">
                  <c:v>37.27768461538462</c:v>
                </c:pt>
                <c:pt idx="128">
                  <c:v>37.34104615384616</c:v>
                </c:pt>
                <c:pt idx="129">
                  <c:v>37.4044076923077</c:v>
                </c:pt>
                <c:pt idx="130">
                  <c:v>37.467769230769235</c:v>
                </c:pt>
                <c:pt idx="131">
                  <c:v>37.53113076923077</c:v>
                </c:pt>
                <c:pt idx="132">
                  <c:v>37.59449230769231</c:v>
                </c:pt>
                <c:pt idx="133">
                  <c:v>37.657853846153856</c:v>
                </c:pt>
                <c:pt idx="134">
                  <c:v>37.72121538461539</c:v>
                </c:pt>
                <c:pt idx="135">
                  <c:v>37.784576923076926</c:v>
                </c:pt>
                <c:pt idx="136">
                  <c:v>37.84793846153846</c:v>
                </c:pt>
                <c:pt idx="137">
                  <c:v>37.911300000000004</c:v>
                </c:pt>
                <c:pt idx="138">
                  <c:v>37.97466153846154</c:v>
                </c:pt>
                <c:pt idx="139">
                  <c:v>38.03802307692308</c:v>
                </c:pt>
                <c:pt idx="140">
                  <c:v>38.101384615384625</c:v>
                </c:pt>
                <c:pt idx="141">
                  <c:v>38.16474615384616</c:v>
                </c:pt>
                <c:pt idx="142">
                  <c:v>38.228107692307695</c:v>
                </c:pt>
                <c:pt idx="143">
                  <c:v>38.29146923076923</c:v>
                </c:pt>
                <c:pt idx="144">
                  <c:v>38.35483076923077</c:v>
                </c:pt>
                <c:pt idx="145">
                  <c:v>38.418192307692316</c:v>
                </c:pt>
                <c:pt idx="146">
                  <c:v>38.48155384615385</c:v>
                </c:pt>
                <c:pt idx="147">
                  <c:v>38.544915384615386</c:v>
                </c:pt>
                <c:pt idx="148">
                  <c:v>38.60827692307693</c:v>
                </c:pt>
                <c:pt idx="149">
                  <c:v>38.671638461538464</c:v>
                </c:pt>
                <c:pt idx="150">
                  <c:v>38.73500000000001</c:v>
                </c:pt>
                <c:pt idx="151">
                  <c:v>38.79836153846154</c:v>
                </c:pt>
                <c:pt idx="152">
                  <c:v>38.861723076923084</c:v>
                </c:pt>
                <c:pt idx="153">
                  <c:v>38.92508461538462</c:v>
                </c:pt>
                <c:pt idx="154">
                  <c:v>38.988446153846155</c:v>
                </c:pt>
                <c:pt idx="155">
                  <c:v>39.0518076923077</c:v>
                </c:pt>
                <c:pt idx="156">
                  <c:v>39.11516923076924</c:v>
                </c:pt>
                <c:pt idx="157">
                  <c:v>39.178530769230775</c:v>
                </c:pt>
                <c:pt idx="158">
                  <c:v>39.24189230769231</c:v>
                </c:pt>
                <c:pt idx="159">
                  <c:v>39.305253846153846</c:v>
                </c:pt>
                <c:pt idx="160">
                  <c:v>39.36861538461539</c:v>
                </c:pt>
                <c:pt idx="161">
                  <c:v>39.431976923076924</c:v>
                </c:pt>
                <c:pt idx="162">
                  <c:v>39.49533846153847</c:v>
                </c:pt>
                <c:pt idx="163">
                  <c:v>39.55870000000001</c:v>
                </c:pt>
                <c:pt idx="164">
                  <c:v>39.622061538461544</c:v>
                </c:pt>
                <c:pt idx="165">
                  <c:v>39.68542307692308</c:v>
                </c:pt>
                <c:pt idx="166">
                  <c:v>39.748784615384615</c:v>
                </c:pt>
                <c:pt idx="167">
                  <c:v>39.81214615384616</c:v>
                </c:pt>
                <c:pt idx="168">
                  <c:v>39.8755076923077</c:v>
                </c:pt>
                <c:pt idx="169">
                  <c:v>39.938869230769235</c:v>
                </c:pt>
                <c:pt idx="170">
                  <c:v>40.00223076923077</c:v>
                </c:pt>
                <c:pt idx="171">
                  <c:v>40.06559230769231</c:v>
                </c:pt>
                <c:pt idx="172">
                  <c:v>40.12895384615385</c:v>
                </c:pt>
                <c:pt idx="173">
                  <c:v>40.19231538461539</c:v>
                </c:pt>
                <c:pt idx="174">
                  <c:v>40.255676923076926</c:v>
                </c:pt>
                <c:pt idx="175">
                  <c:v>40.31903846153847</c:v>
                </c:pt>
                <c:pt idx="176">
                  <c:v>40.382400000000004</c:v>
                </c:pt>
                <c:pt idx="177">
                  <c:v>40.44576153846154</c:v>
                </c:pt>
                <c:pt idx="178">
                  <c:v>40.50912307692308</c:v>
                </c:pt>
                <c:pt idx="179">
                  <c:v>40.572484615384624</c:v>
                </c:pt>
                <c:pt idx="180">
                  <c:v>40.63584615384616</c:v>
                </c:pt>
                <c:pt idx="181">
                  <c:v>40.699207692307695</c:v>
                </c:pt>
                <c:pt idx="182">
                  <c:v>40.76256923076923</c:v>
                </c:pt>
                <c:pt idx="183">
                  <c:v>40.82593076923077</c:v>
                </c:pt>
                <c:pt idx="184">
                  <c:v>40.88929230769231</c:v>
                </c:pt>
                <c:pt idx="185">
                  <c:v>40.95265384615386</c:v>
                </c:pt>
                <c:pt idx="186">
                  <c:v>41.01601538461539</c:v>
                </c:pt>
                <c:pt idx="187">
                  <c:v>41.07937692307693</c:v>
                </c:pt>
                <c:pt idx="188">
                  <c:v>41.142738461538464</c:v>
                </c:pt>
                <c:pt idx="189">
                  <c:v>41.2061</c:v>
                </c:pt>
                <c:pt idx="190">
                  <c:v>41.26946153846154</c:v>
                </c:pt>
                <c:pt idx="191">
                  <c:v>41.332823076923084</c:v>
                </c:pt>
                <c:pt idx="192">
                  <c:v>41.39618461538462</c:v>
                </c:pt>
                <c:pt idx="193">
                  <c:v>41.459546153846155</c:v>
                </c:pt>
                <c:pt idx="194">
                  <c:v>41.5229076923077</c:v>
                </c:pt>
                <c:pt idx="195">
                  <c:v>41.58626923076923</c:v>
                </c:pt>
                <c:pt idx="196">
                  <c:v>41.649630769230775</c:v>
                </c:pt>
                <c:pt idx="197">
                  <c:v>41.71299230769231</c:v>
                </c:pt>
                <c:pt idx="198">
                  <c:v>41.77635384615385</c:v>
                </c:pt>
                <c:pt idx="199">
                  <c:v>41.83971538461539</c:v>
                </c:pt>
                <c:pt idx="200">
                  <c:v>41.903076923076924</c:v>
                </c:pt>
                <c:pt idx="201">
                  <c:v>41.966438461538466</c:v>
                </c:pt>
                <c:pt idx="202">
                  <c:v>42.02980000000001</c:v>
                </c:pt>
                <c:pt idx="203">
                  <c:v>42.093161538461544</c:v>
                </c:pt>
                <c:pt idx="204">
                  <c:v>42.15652307692308</c:v>
                </c:pt>
                <c:pt idx="205">
                  <c:v>42.219884615384615</c:v>
                </c:pt>
                <c:pt idx="206">
                  <c:v>42.28324615384616</c:v>
                </c:pt>
                <c:pt idx="207">
                  <c:v>42.34660769230769</c:v>
                </c:pt>
                <c:pt idx="208">
                  <c:v>42.40996923076924</c:v>
                </c:pt>
                <c:pt idx="209">
                  <c:v>42.47333076923078</c:v>
                </c:pt>
                <c:pt idx="210">
                  <c:v>42.53669230769231</c:v>
                </c:pt>
                <c:pt idx="211">
                  <c:v>42.60005384615385</c:v>
                </c:pt>
                <c:pt idx="212">
                  <c:v>42.663415384615384</c:v>
                </c:pt>
                <c:pt idx="213">
                  <c:v>42.726776923076926</c:v>
                </c:pt>
                <c:pt idx="214">
                  <c:v>42.79013846153847</c:v>
                </c:pt>
                <c:pt idx="215">
                  <c:v>42.853500000000004</c:v>
                </c:pt>
                <c:pt idx="216">
                  <c:v>42.91686153846154</c:v>
                </c:pt>
                <c:pt idx="217">
                  <c:v>42.98022307692308</c:v>
                </c:pt>
                <c:pt idx="218">
                  <c:v>43.04358461538462</c:v>
                </c:pt>
                <c:pt idx="219">
                  <c:v>43.10694615384616</c:v>
                </c:pt>
                <c:pt idx="220">
                  <c:v>43.170307692307695</c:v>
                </c:pt>
                <c:pt idx="221">
                  <c:v>43.23366923076924</c:v>
                </c:pt>
                <c:pt idx="222">
                  <c:v>43.29703076923077</c:v>
                </c:pt>
                <c:pt idx="223">
                  <c:v>43.36039230769231</c:v>
                </c:pt>
                <c:pt idx="224">
                  <c:v>43.42375384615385</c:v>
                </c:pt>
                <c:pt idx="225">
                  <c:v>43.48711538461539</c:v>
                </c:pt>
                <c:pt idx="226">
                  <c:v>43.55047692307693</c:v>
                </c:pt>
                <c:pt idx="227">
                  <c:v>43.613838461538464</c:v>
                </c:pt>
                <c:pt idx="228">
                  <c:v>43.6772</c:v>
                </c:pt>
                <c:pt idx="229">
                  <c:v>43.74056153846154</c:v>
                </c:pt>
                <c:pt idx="230">
                  <c:v>43.80392307692308</c:v>
                </c:pt>
                <c:pt idx="231">
                  <c:v>43.86728461538463</c:v>
                </c:pt>
                <c:pt idx="232">
                  <c:v>43.93064615384616</c:v>
                </c:pt>
                <c:pt idx="233">
                  <c:v>43.9940076923077</c:v>
                </c:pt>
                <c:pt idx="234">
                  <c:v>44.05736923076923</c:v>
                </c:pt>
                <c:pt idx="235">
                  <c:v>44.12073076923077</c:v>
                </c:pt>
                <c:pt idx="236">
                  <c:v>44.18409230769231</c:v>
                </c:pt>
                <c:pt idx="237">
                  <c:v>44.24745384615385</c:v>
                </c:pt>
                <c:pt idx="238">
                  <c:v>44.31081538461539</c:v>
                </c:pt>
                <c:pt idx="239">
                  <c:v>44.37417692307693</c:v>
                </c:pt>
                <c:pt idx="240">
                  <c:v>44.437538461538466</c:v>
                </c:pt>
                <c:pt idx="241">
                  <c:v>44.5009</c:v>
                </c:pt>
                <c:pt idx="242">
                  <c:v>44.564261538461544</c:v>
                </c:pt>
                <c:pt idx="243">
                  <c:v>44.62762307692308</c:v>
                </c:pt>
                <c:pt idx="244">
                  <c:v>44.690984615384615</c:v>
                </c:pt>
                <c:pt idx="245">
                  <c:v>44.75434615384616</c:v>
                </c:pt>
                <c:pt idx="246">
                  <c:v>44.81770769230769</c:v>
                </c:pt>
                <c:pt idx="247">
                  <c:v>44.881069230769235</c:v>
                </c:pt>
                <c:pt idx="248">
                  <c:v>44.94443076923078</c:v>
                </c:pt>
                <c:pt idx="249">
                  <c:v>45.00779230769231</c:v>
                </c:pt>
                <c:pt idx="250">
                  <c:v>45.07115384615385</c:v>
                </c:pt>
                <c:pt idx="251">
                  <c:v>45.13451538461538</c:v>
                </c:pt>
                <c:pt idx="252">
                  <c:v>45.197876923076926</c:v>
                </c:pt>
                <c:pt idx="253">
                  <c:v>45.26123846153846</c:v>
                </c:pt>
                <c:pt idx="254">
                  <c:v>45.32460000000001</c:v>
                </c:pt>
                <c:pt idx="255">
                  <c:v>45.387961538461546</c:v>
                </c:pt>
                <c:pt idx="256">
                  <c:v>45.45132307692308</c:v>
                </c:pt>
                <c:pt idx="257">
                  <c:v>45.51468461538462</c:v>
                </c:pt>
                <c:pt idx="258">
                  <c:v>45.57804615384615</c:v>
                </c:pt>
                <c:pt idx="259">
                  <c:v>45.641407692307695</c:v>
                </c:pt>
                <c:pt idx="260">
                  <c:v>45.70476923076924</c:v>
                </c:pt>
                <c:pt idx="261">
                  <c:v>45.76813076923077</c:v>
                </c:pt>
                <c:pt idx="262">
                  <c:v>45.831492307692315</c:v>
                </c:pt>
                <c:pt idx="263">
                  <c:v>45.89485384615385</c:v>
                </c:pt>
                <c:pt idx="264">
                  <c:v>45.958215384615386</c:v>
                </c:pt>
                <c:pt idx="265">
                  <c:v>46.02157692307693</c:v>
                </c:pt>
                <c:pt idx="266">
                  <c:v>46.084938461538464</c:v>
                </c:pt>
                <c:pt idx="267">
                  <c:v>46.1483</c:v>
                </c:pt>
                <c:pt idx="268">
                  <c:v>46.21166153846154</c:v>
                </c:pt>
                <c:pt idx="269">
                  <c:v>46.27502307692308</c:v>
                </c:pt>
                <c:pt idx="270">
                  <c:v>46.33838461538462</c:v>
                </c:pt>
                <c:pt idx="271">
                  <c:v>46.40174615384616</c:v>
                </c:pt>
                <c:pt idx="272">
                  <c:v>46.4651076923077</c:v>
                </c:pt>
                <c:pt idx="273">
                  <c:v>46.52846923076923</c:v>
                </c:pt>
                <c:pt idx="274">
                  <c:v>46.59183076923077</c:v>
                </c:pt>
                <c:pt idx="275">
                  <c:v>46.65519230769231</c:v>
                </c:pt>
                <c:pt idx="276">
                  <c:v>46.718553846153846</c:v>
                </c:pt>
                <c:pt idx="277">
                  <c:v>46.781915384615395</c:v>
                </c:pt>
                <c:pt idx="278">
                  <c:v>46.84527692307693</c:v>
                </c:pt>
                <c:pt idx="279">
                  <c:v>46.908638461538466</c:v>
                </c:pt>
                <c:pt idx="280">
                  <c:v>46.972</c:v>
                </c:pt>
                <c:pt idx="281">
                  <c:v>47.03536153846154</c:v>
                </c:pt>
                <c:pt idx="282">
                  <c:v>47.09872307692308</c:v>
                </c:pt>
                <c:pt idx="283">
                  <c:v>47.16208461538462</c:v>
                </c:pt>
                <c:pt idx="284">
                  <c:v>47.22544615384616</c:v>
                </c:pt>
                <c:pt idx="285">
                  <c:v>47.2888076923077</c:v>
                </c:pt>
                <c:pt idx="286">
                  <c:v>47.352169230769235</c:v>
                </c:pt>
                <c:pt idx="287">
                  <c:v>47.41553076923077</c:v>
                </c:pt>
                <c:pt idx="288">
                  <c:v>47.47889230769231</c:v>
                </c:pt>
                <c:pt idx="289">
                  <c:v>47.54225384615385</c:v>
                </c:pt>
                <c:pt idx="290">
                  <c:v>47.60561538461538</c:v>
                </c:pt>
                <c:pt idx="291">
                  <c:v>47.668976923076926</c:v>
                </c:pt>
                <c:pt idx="292">
                  <c:v>47.73233846153847</c:v>
                </c:pt>
                <c:pt idx="293">
                  <c:v>47.795700000000004</c:v>
                </c:pt>
                <c:pt idx="294">
                  <c:v>47.859061538461546</c:v>
                </c:pt>
                <c:pt idx="295">
                  <c:v>47.92242307692308</c:v>
                </c:pt>
                <c:pt idx="296">
                  <c:v>47.98578461538462</c:v>
                </c:pt>
                <c:pt idx="297">
                  <c:v>48.04914615384615</c:v>
                </c:pt>
                <c:pt idx="298">
                  <c:v>48.11250769230769</c:v>
                </c:pt>
                <c:pt idx="299">
                  <c:v>48.17586923076924</c:v>
                </c:pt>
                <c:pt idx="300">
                  <c:v>48.23923076923078</c:v>
                </c:pt>
                <c:pt idx="301">
                  <c:v>48.302592307692315</c:v>
                </c:pt>
                <c:pt idx="302">
                  <c:v>48.36595384615385</c:v>
                </c:pt>
                <c:pt idx="303">
                  <c:v>48.429315384615386</c:v>
                </c:pt>
                <c:pt idx="304">
                  <c:v>48.49267692307692</c:v>
                </c:pt>
                <c:pt idx="305">
                  <c:v>48.55603846153846</c:v>
                </c:pt>
                <c:pt idx="306">
                  <c:v>48.619400000000006</c:v>
                </c:pt>
                <c:pt idx="307">
                  <c:v>48.68276153846154</c:v>
                </c:pt>
                <c:pt idx="308">
                  <c:v>48.746123076923084</c:v>
                </c:pt>
                <c:pt idx="309">
                  <c:v>48.80948461538462</c:v>
                </c:pt>
                <c:pt idx="310">
                  <c:v>48.872846153846154</c:v>
                </c:pt>
                <c:pt idx="311">
                  <c:v>48.9362076923077</c:v>
                </c:pt>
                <c:pt idx="312">
                  <c:v>48.99956923076923</c:v>
                </c:pt>
                <c:pt idx="313">
                  <c:v>49.062930769230775</c:v>
                </c:pt>
                <c:pt idx="314">
                  <c:v>49.12629230769231</c:v>
                </c:pt>
                <c:pt idx="315">
                  <c:v>49.189653846153846</c:v>
                </c:pt>
                <c:pt idx="316">
                  <c:v>49.25301538461538</c:v>
                </c:pt>
                <c:pt idx="317">
                  <c:v>49.31637692307693</c:v>
                </c:pt>
                <c:pt idx="318">
                  <c:v>49.379738461538466</c:v>
                </c:pt>
                <c:pt idx="319">
                  <c:v>49.4431</c:v>
                </c:pt>
                <c:pt idx="320">
                  <c:v>49.506461538461544</c:v>
                </c:pt>
                <c:pt idx="321">
                  <c:v>49.56982307692308</c:v>
                </c:pt>
                <c:pt idx="322">
                  <c:v>49.633184615384614</c:v>
                </c:pt>
                <c:pt idx="323">
                  <c:v>49.69654615384616</c:v>
                </c:pt>
                <c:pt idx="324">
                  <c:v>49.7599076923077</c:v>
                </c:pt>
                <c:pt idx="325">
                  <c:v>49.823269230769235</c:v>
                </c:pt>
                <c:pt idx="326">
                  <c:v>49.88663076923077</c:v>
                </c:pt>
                <c:pt idx="327">
                  <c:v>49.949992307692305</c:v>
                </c:pt>
                <c:pt idx="328">
                  <c:v>50.01335384615385</c:v>
                </c:pt>
                <c:pt idx="329">
                  <c:v>50.07671538461539</c:v>
                </c:pt>
                <c:pt idx="330">
                  <c:v>50.140076923076926</c:v>
                </c:pt>
                <c:pt idx="331">
                  <c:v>50.20343846153847</c:v>
                </c:pt>
                <c:pt idx="332">
                  <c:v>50.2668</c:v>
                </c:pt>
                <c:pt idx="333">
                  <c:v>50.33016153846154</c:v>
                </c:pt>
                <c:pt idx="334">
                  <c:v>50.39352307692308</c:v>
                </c:pt>
                <c:pt idx="335">
                  <c:v>50.45688461538462</c:v>
                </c:pt>
                <c:pt idx="336">
                  <c:v>50.52024615384615</c:v>
                </c:pt>
                <c:pt idx="337">
                  <c:v>50.583607692307694</c:v>
                </c:pt>
                <c:pt idx="338">
                  <c:v>50.64696923076924</c:v>
                </c:pt>
                <c:pt idx="339">
                  <c:v>50.71033076923077</c:v>
                </c:pt>
                <c:pt idx="340">
                  <c:v>50.773692307692315</c:v>
                </c:pt>
                <c:pt idx="341">
                  <c:v>50.83705384615385</c:v>
                </c:pt>
                <c:pt idx="342">
                  <c:v>50.900415384615386</c:v>
                </c:pt>
                <c:pt idx="343">
                  <c:v>50.96377692307692</c:v>
                </c:pt>
                <c:pt idx="344">
                  <c:v>51.027138461538456</c:v>
                </c:pt>
                <c:pt idx="345">
                  <c:v>51.090500000000006</c:v>
                </c:pt>
                <c:pt idx="346">
                  <c:v>51.15386153846155</c:v>
                </c:pt>
                <c:pt idx="347">
                  <c:v>51.217223076923084</c:v>
                </c:pt>
                <c:pt idx="348">
                  <c:v>51.28058461538462</c:v>
                </c:pt>
                <c:pt idx="349">
                  <c:v>51.343946153846154</c:v>
                </c:pt>
                <c:pt idx="350">
                  <c:v>51.40730769230769</c:v>
                </c:pt>
                <c:pt idx="351">
                  <c:v>51.47066923076923</c:v>
                </c:pt>
                <c:pt idx="352">
                  <c:v>51.534030769230775</c:v>
                </c:pt>
                <c:pt idx="353">
                  <c:v>51.59739230769231</c:v>
                </c:pt>
                <c:pt idx="354">
                  <c:v>51.66075384615385</c:v>
                </c:pt>
                <c:pt idx="355">
                  <c:v>51.72411538461539</c:v>
                </c:pt>
                <c:pt idx="356">
                  <c:v>51.78747692307692</c:v>
                </c:pt>
                <c:pt idx="357">
                  <c:v>51.850838461538466</c:v>
                </c:pt>
                <c:pt idx="358">
                  <c:v>51.9142</c:v>
                </c:pt>
                <c:pt idx="359">
                  <c:v>51.97756153846154</c:v>
                </c:pt>
                <c:pt idx="360">
                  <c:v>52.04092307692308</c:v>
                </c:pt>
                <c:pt idx="361">
                  <c:v>52.104284615384614</c:v>
                </c:pt>
                <c:pt idx="362">
                  <c:v>52.16764615384616</c:v>
                </c:pt>
                <c:pt idx="363">
                  <c:v>52.2310076923077</c:v>
                </c:pt>
                <c:pt idx="364">
                  <c:v>52.294369230769234</c:v>
                </c:pt>
                <c:pt idx="365">
                  <c:v>52.35773076923077</c:v>
                </c:pt>
                <c:pt idx="366">
                  <c:v>52.42109230769231</c:v>
                </c:pt>
                <c:pt idx="367">
                  <c:v>52.48445384615385</c:v>
                </c:pt>
                <c:pt idx="368">
                  <c:v>52.54781538461538</c:v>
                </c:pt>
                <c:pt idx="369">
                  <c:v>52.61117692307693</c:v>
                </c:pt>
                <c:pt idx="370">
                  <c:v>52.67453846153847</c:v>
                </c:pt>
                <c:pt idx="371">
                  <c:v>52.7379</c:v>
                </c:pt>
                <c:pt idx="372">
                  <c:v>52.80126153846154</c:v>
                </c:pt>
                <c:pt idx="373">
                  <c:v>52.864623076923074</c:v>
                </c:pt>
                <c:pt idx="374">
                  <c:v>52.92798461538462</c:v>
                </c:pt>
                <c:pt idx="375">
                  <c:v>52.99134615384616</c:v>
                </c:pt>
                <c:pt idx="376">
                  <c:v>53.054707692307694</c:v>
                </c:pt>
                <c:pt idx="377">
                  <c:v>53.11806923076924</c:v>
                </c:pt>
                <c:pt idx="378">
                  <c:v>53.18143076923077</c:v>
                </c:pt>
                <c:pt idx="379">
                  <c:v>53.24479230769231</c:v>
                </c:pt>
                <c:pt idx="380">
                  <c:v>53.30815384615385</c:v>
                </c:pt>
                <c:pt idx="381">
                  <c:v>53.371515384615385</c:v>
                </c:pt>
                <c:pt idx="382">
                  <c:v>53.43487692307692</c:v>
                </c:pt>
                <c:pt idx="383">
                  <c:v>53.49823846153846</c:v>
                </c:pt>
                <c:pt idx="384">
                  <c:v>53.561600000000006</c:v>
                </c:pt>
                <c:pt idx="385">
                  <c:v>53.62496153846154</c:v>
                </c:pt>
                <c:pt idx="386">
                  <c:v>53.68832307692308</c:v>
                </c:pt>
                <c:pt idx="387">
                  <c:v>53.75168461538462</c:v>
                </c:pt>
                <c:pt idx="388">
                  <c:v>53.815046153846154</c:v>
                </c:pt>
                <c:pt idx="389">
                  <c:v>53.87840769230769</c:v>
                </c:pt>
                <c:pt idx="390">
                  <c:v>53.941769230769225</c:v>
                </c:pt>
                <c:pt idx="391">
                  <c:v>54.005130769230774</c:v>
                </c:pt>
                <c:pt idx="392">
                  <c:v>54.06849230769232</c:v>
                </c:pt>
                <c:pt idx="393">
                  <c:v>54.13185384615385</c:v>
                </c:pt>
                <c:pt idx="394">
                  <c:v>54.19521538461539</c:v>
                </c:pt>
                <c:pt idx="395">
                  <c:v>54.25857692307692</c:v>
                </c:pt>
                <c:pt idx="396">
                  <c:v>54.32193846153846</c:v>
                </c:pt>
                <c:pt idx="397">
                  <c:v>54.3853</c:v>
                </c:pt>
                <c:pt idx="398">
                  <c:v>54.44866153846154</c:v>
                </c:pt>
                <c:pt idx="399">
                  <c:v>54.51202307692308</c:v>
                </c:pt>
                <c:pt idx="400">
                  <c:v>54.57538461538462</c:v>
                </c:pt>
                <c:pt idx="401">
                  <c:v>54.63874615384616</c:v>
                </c:pt>
                <c:pt idx="402">
                  <c:v>54.70210769230769</c:v>
                </c:pt>
                <c:pt idx="403">
                  <c:v>54.765469230769234</c:v>
                </c:pt>
                <c:pt idx="404">
                  <c:v>54.82883076923077</c:v>
                </c:pt>
                <c:pt idx="405">
                  <c:v>54.89219230769231</c:v>
                </c:pt>
                <c:pt idx="406">
                  <c:v>54.95555384615385</c:v>
                </c:pt>
                <c:pt idx="407">
                  <c:v>55.01891538461538</c:v>
                </c:pt>
                <c:pt idx="408">
                  <c:v>55.082276923076925</c:v>
                </c:pt>
                <c:pt idx="409">
                  <c:v>55.14563846153847</c:v>
                </c:pt>
                <c:pt idx="410">
                  <c:v>55.209</c:v>
                </c:pt>
                <c:pt idx="411">
                  <c:v>55.27236153846154</c:v>
                </c:pt>
                <c:pt idx="412">
                  <c:v>55.33572307692308</c:v>
                </c:pt>
                <c:pt idx="413">
                  <c:v>55.399084615384616</c:v>
                </c:pt>
                <c:pt idx="414">
                  <c:v>55.46244615384615</c:v>
                </c:pt>
                <c:pt idx="415">
                  <c:v>55.5258076923077</c:v>
                </c:pt>
                <c:pt idx="416">
                  <c:v>55.58916923076924</c:v>
                </c:pt>
                <c:pt idx="417">
                  <c:v>55.65253076923077</c:v>
                </c:pt>
                <c:pt idx="418">
                  <c:v>55.71589230769231</c:v>
                </c:pt>
                <c:pt idx="419">
                  <c:v>55.77925384615384</c:v>
                </c:pt>
                <c:pt idx="420">
                  <c:v>55.842615384615385</c:v>
                </c:pt>
                <c:pt idx="421">
                  <c:v>55.90597692307693</c:v>
                </c:pt>
                <c:pt idx="422">
                  <c:v>55.96933846153847</c:v>
                </c:pt>
                <c:pt idx="423">
                  <c:v>56.032700000000006</c:v>
                </c:pt>
                <c:pt idx="424">
                  <c:v>56.09606153846154</c:v>
                </c:pt>
                <c:pt idx="425">
                  <c:v>56.159423076923076</c:v>
                </c:pt>
                <c:pt idx="426">
                  <c:v>56.22278461538462</c:v>
                </c:pt>
                <c:pt idx="427">
                  <c:v>56.286146153846154</c:v>
                </c:pt>
                <c:pt idx="428">
                  <c:v>56.34950769230769</c:v>
                </c:pt>
                <c:pt idx="429">
                  <c:v>56.41286923076923</c:v>
                </c:pt>
                <c:pt idx="430">
                  <c:v>56.476230769230774</c:v>
                </c:pt>
                <c:pt idx="431">
                  <c:v>56.53959230769231</c:v>
                </c:pt>
                <c:pt idx="432">
                  <c:v>56.60295384615385</c:v>
                </c:pt>
                <c:pt idx="433">
                  <c:v>56.66631538461539</c:v>
                </c:pt>
                <c:pt idx="434">
                  <c:v>56.72967692307692</c:v>
                </c:pt>
                <c:pt idx="435">
                  <c:v>56.79303846153846</c:v>
                </c:pt>
                <c:pt idx="436">
                  <c:v>56.856399999999994</c:v>
                </c:pt>
                <c:pt idx="437">
                  <c:v>56.91976153846154</c:v>
                </c:pt>
                <c:pt idx="438">
                  <c:v>56.983123076923086</c:v>
                </c:pt>
                <c:pt idx="439">
                  <c:v>57.04648461538462</c:v>
                </c:pt>
                <c:pt idx="440">
                  <c:v>57.109846153846156</c:v>
                </c:pt>
                <c:pt idx="441">
                  <c:v>57.17320769230769</c:v>
                </c:pt>
                <c:pt idx="442">
                  <c:v>57.23656923076923</c:v>
                </c:pt>
                <c:pt idx="443">
                  <c:v>57.29993076923077</c:v>
                </c:pt>
                <c:pt idx="444">
                  <c:v>57.36329230769231</c:v>
                </c:pt>
                <c:pt idx="445">
                  <c:v>57.42665384615385</c:v>
                </c:pt>
                <c:pt idx="446">
                  <c:v>57.49001538461539</c:v>
                </c:pt>
                <c:pt idx="447">
                  <c:v>57.553376923076925</c:v>
                </c:pt>
                <c:pt idx="448">
                  <c:v>57.61673846153846</c:v>
                </c:pt>
                <c:pt idx="449">
                  <c:v>57.6801</c:v>
                </c:pt>
                <c:pt idx="450">
                  <c:v>57.74346153846154</c:v>
                </c:pt>
                <c:pt idx="451">
                  <c:v>57.806823076923074</c:v>
                </c:pt>
                <c:pt idx="452">
                  <c:v>57.87018461538462</c:v>
                </c:pt>
                <c:pt idx="453">
                  <c:v>57.933546153846144</c:v>
                </c:pt>
                <c:pt idx="454">
                  <c:v>57.996907692307694</c:v>
                </c:pt>
                <c:pt idx="455">
                  <c:v>58.06026923076924</c:v>
                </c:pt>
                <c:pt idx="456">
                  <c:v>58.12363076923077</c:v>
                </c:pt>
                <c:pt idx="457">
                  <c:v>58.18699230769231</c:v>
                </c:pt>
                <c:pt idx="458">
                  <c:v>58.25035384615384</c:v>
                </c:pt>
                <c:pt idx="459">
                  <c:v>58.31371538461539</c:v>
                </c:pt>
                <c:pt idx="460">
                  <c:v>58.37707692307692</c:v>
                </c:pt>
                <c:pt idx="461">
                  <c:v>58.44043846153847</c:v>
                </c:pt>
                <c:pt idx="462">
                  <c:v>58.503800000000005</c:v>
                </c:pt>
                <c:pt idx="463">
                  <c:v>58.56716153846154</c:v>
                </c:pt>
                <c:pt idx="464">
                  <c:v>58.630523076923076</c:v>
                </c:pt>
                <c:pt idx="465">
                  <c:v>58.69388461538461</c:v>
                </c:pt>
                <c:pt idx="466">
                  <c:v>58.75724615384616</c:v>
                </c:pt>
                <c:pt idx="467">
                  <c:v>58.82060769230769</c:v>
                </c:pt>
                <c:pt idx="468">
                  <c:v>58.88396923076924</c:v>
                </c:pt>
                <c:pt idx="469">
                  <c:v>58.947330769230774</c:v>
                </c:pt>
                <c:pt idx="470">
                  <c:v>59.01069230769231</c:v>
                </c:pt>
                <c:pt idx="471">
                  <c:v>59.074053846153845</c:v>
                </c:pt>
                <c:pt idx="472">
                  <c:v>59.13741538461539</c:v>
                </c:pt>
                <c:pt idx="473">
                  <c:v>59.20077692307694</c:v>
                </c:pt>
                <c:pt idx="474">
                  <c:v>59.26413846153846</c:v>
                </c:pt>
                <c:pt idx="475">
                  <c:v>59.32750000000001</c:v>
                </c:pt>
                <c:pt idx="476">
                  <c:v>59.39086153846153</c:v>
                </c:pt>
                <c:pt idx="477">
                  <c:v>59.45422307692308</c:v>
                </c:pt>
                <c:pt idx="478">
                  <c:v>59.51758461538462</c:v>
                </c:pt>
                <c:pt idx="479">
                  <c:v>59.580946153846156</c:v>
                </c:pt>
                <c:pt idx="480">
                  <c:v>59.64430769230769</c:v>
                </c:pt>
                <c:pt idx="481">
                  <c:v>59.70766923076923</c:v>
                </c:pt>
                <c:pt idx="482">
                  <c:v>59.77103076923078</c:v>
                </c:pt>
                <c:pt idx="483">
                  <c:v>59.834392307692305</c:v>
                </c:pt>
                <c:pt idx="484">
                  <c:v>59.897753846153854</c:v>
                </c:pt>
                <c:pt idx="485">
                  <c:v>59.961115384615375</c:v>
                </c:pt>
                <c:pt idx="486">
                  <c:v>60.024476923076925</c:v>
                </c:pt>
                <c:pt idx="487">
                  <c:v>60.08783846153846</c:v>
                </c:pt>
                <c:pt idx="488">
                  <c:v>60.151199999999996</c:v>
                </c:pt>
                <c:pt idx="489">
                  <c:v>60.21456153846154</c:v>
                </c:pt>
                <c:pt idx="490">
                  <c:v>60.277923076923074</c:v>
                </c:pt>
                <c:pt idx="491">
                  <c:v>60.34128461538462</c:v>
                </c:pt>
                <c:pt idx="492">
                  <c:v>60.404646153846144</c:v>
                </c:pt>
                <c:pt idx="493">
                  <c:v>60.468007692307694</c:v>
                </c:pt>
                <c:pt idx="494">
                  <c:v>60.53136923076923</c:v>
                </c:pt>
                <c:pt idx="495">
                  <c:v>60.59473076923077</c:v>
                </c:pt>
                <c:pt idx="496">
                  <c:v>60.65809230769231</c:v>
                </c:pt>
                <c:pt idx="497">
                  <c:v>60.72145384615384</c:v>
                </c:pt>
                <c:pt idx="498">
                  <c:v>60.78481538461539</c:v>
                </c:pt>
                <c:pt idx="499">
                  <c:v>60.84817692307691</c:v>
                </c:pt>
                <c:pt idx="500">
                  <c:v>60.91153846153846</c:v>
                </c:pt>
                <c:pt idx="501">
                  <c:v>60.974900000000005</c:v>
                </c:pt>
                <c:pt idx="502">
                  <c:v>61.03826153846154</c:v>
                </c:pt>
                <c:pt idx="503">
                  <c:v>61.101623076923076</c:v>
                </c:pt>
                <c:pt idx="504">
                  <c:v>61.16498461538461</c:v>
                </c:pt>
                <c:pt idx="505">
                  <c:v>61.22834615384616</c:v>
                </c:pt>
                <c:pt idx="506">
                  <c:v>61.29170769230769</c:v>
                </c:pt>
                <c:pt idx="507">
                  <c:v>61.35506923076924</c:v>
                </c:pt>
                <c:pt idx="508">
                  <c:v>61.418430769230774</c:v>
                </c:pt>
                <c:pt idx="509">
                  <c:v>61.48179230769231</c:v>
                </c:pt>
                <c:pt idx="510">
                  <c:v>61.545153846153845</c:v>
                </c:pt>
                <c:pt idx="511">
                  <c:v>61.60851538461538</c:v>
                </c:pt>
                <c:pt idx="512">
                  <c:v>61.67187692307693</c:v>
                </c:pt>
                <c:pt idx="513">
                  <c:v>61.73523846153846</c:v>
                </c:pt>
                <c:pt idx="514">
                  <c:v>61.79860000000001</c:v>
                </c:pt>
                <c:pt idx="515">
                  <c:v>61.86196153846154</c:v>
                </c:pt>
                <c:pt idx="516">
                  <c:v>61.92532307692308</c:v>
                </c:pt>
                <c:pt idx="517">
                  <c:v>61.988684615384614</c:v>
                </c:pt>
                <c:pt idx="518">
                  <c:v>62.052046153846156</c:v>
                </c:pt>
                <c:pt idx="519">
                  <c:v>62.115407692307706</c:v>
                </c:pt>
                <c:pt idx="520">
                  <c:v>62.17876923076923</c:v>
                </c:pt>
                <c:pt idx="521">
                  <c:v>62.242130769230776</c:v>
                </c:pt>
                <c:pt idx="522">
                  <c:v>62.3054923076923</c:v>
                </c:pt>
                <c:pt idx="523">
                  <c:v>62.36885384615385</c:v>
                </c:pt>
                <c:pt idx="524">
                  <c:v>62.43221538461539</c:v>
                </c:pt>
                <c:pt idx="525">
                  <c:v>62.495576923076925</c:v>
                </c:pt>
                <c:pt idx="526">
                  <c:v>62.55893846153846</c:v>
                </c:pt>
                <c:pt idx="527">
                  <c:v>62.622299999999996</c:v>
                </c:pt>
                <c:pt idx="528">
                  <c:v>62.685661538461545</c:v>
                </c:pt>
                <c:pt idx="529">
                  <c:v>62.74902307692307</c:v>
                </c:pt>
                <c:pt idx="530">
                  <c:v>62.81238461538462</c:v>
                </c:pt>
                <c:pt idx="531">
                  <c:v>62.875746153846144</c:v>
                </c:pt>
                <c:pt idx="532">
                  <c:v>62.939107692307694</c:v>
                </c:pt>
                <c:pt idx="533">
                  <c:v>63.00246923076923</c:v>
                </c:pt>
                <c:pt idx="534">
                  <c:v>63.065830769230764</c:v>
                </c:pt>
                <c:pt idx="535">
                  <c:v>63.129192307692314</c:v>
                </c:pt>
                <c:pt idx="536">
                  <c:v>63.19255384615384</c:v>
                </c:pt>
                <c:pt idx="537">
                  <c:v>63.25591538461539</c:v>
                </c:pt>
                <c:pt idx="538">
                  <c:v>63.31927692307691</c:v>
                </c:pt>
                <c:pt idx="539">
                  <c:v>63.38263846153846</c:v>
                </c:pt>
                <c:pt idx="540">
                  <c:v>63.446</c:v>
                </c:pt>
                <c:pt idx="541">
                  <c:v>63.50936153846154</c:v>
                </c:pt>
                <c:pt idx="542">
                  <c:v>63.572723076923076</c:v>
                </c:pt>
                <c:pt idx="543">
                  <c:v>63.63608461538461</c:v>
                </c:pt>
                <c:pt idx="544">
                  <c:v>63.69944615384616</c:v>
                </c:pt>
                <c:pt idx="545">
                  <c:v>63.76280769230768</c:v>
                </c:pt>
                <c:pt idx="546">
                  <c:v>63.82616923076923</c:v>
                </c:pt>
                <c:pt idx="547">
                  <c:v>63.889530769230774</c:v>
                </c:pt>
                <c:pt idx="548">
                  <c:v>63.95289230769231</c:v>
                </c:pt>
                <c:pt idx="549">
                  <c:v>64.01625384615384</c:v>
                </c:pt>
                <c:pt idx="550">
                  <c:v>64.07961538461538</c:v>
                </c:pt>
                <c:pt idx="551">
                  <c:v>64.14297692307693</c:v>
                </c:pt>
                <c:pt idx="552">
                  <c:v>64.20633846153845</c:v>
                </c:pt>
                <c:pt idx="553">
                  <c:v>64.2697</c:v>
                </c:pt>
                <c:pt idx="554">
                  <c:v>64.33306153846154</c:v>
                </c:pt>
                <c:pt idx="555">
                  <c:v>64.39642307692309</c:v>
                </c:pt>
                <c:pt idx="556">
                  <c:v>64.45978461538462</c:v>
                </c:pt>
                <c:pt idx="557">
                  <c:v>64.52314615384616</c:v>
                </c:pt>
                <c:pt idx="558">
                  <c:v>64.5865076923077</c:v>
                </c:pt>
                <c:pt idx="559">
                  <c:v>64.64986923076923</c:v>
                </c:pt>
                <c:pt idx="560">
                  <c:v>64.71323076923078</c:v>
                </c:pt>
                <c:pt idx="561">
                  <c:v>64.77659230769231</c:v>
                </c:pt>
                <c:pt idx="562">
                  <c:v>64.83995384615385</c:v>
                </c:pt>
                <c:pt idx="563">
                  <c:v>64.90331538461538</c:v>
                </c:pt>
                <c:pt idx="564">
                  <c:v>64.96667692307692</c:v>
                </c:pt>
                <c:pt idx="565">
                  <c:v>65.03003846153847</c:v>
                </c:pt>
                <c:pt idx="566">
                  <c:v>65.0934</c:v>
                </c:pt>
                <c:pt idx="567">
                  <c:v>65.15676153846155</c:v>
                </c:pt>
                <c:pt idx="568">
                  <c:v>65.22012307692307</c:v>
                </c:pt>
                <c:pt idx="569">
                  <c:v>65.28348461538462</c:v>
                </c:pt>
                <c:pt idx="570">
                  <c:v>65.34684615384616</c:v>
                </c:pt>
                <c:pt idx="571">
                  <c:v>65.4102076923077</c:v>
                </c:pt>
                <c:pt idx="572">
                  <c:v>65.47356923076923</c:v>
                </c:pt>
                <c:pt idx="573">
                  <c:v>65.53693076923076</c:v>
                </c:pt>
                <c:pt idx="574">
                  <c:v>65.60029230769231</c:v>
                </c:pt>
                <c:pt idx="575">
                  <c:v>65.66365384615384</c:v>
                </c:pt>
                <c:pt idx="576">
                  <c:v>65.72701538461538</c:v>
                </c:pt>
                <c:pt idx="577">
                  <c:v>65.79037692307692</c:v>
                </c:pt>
                <c:pt idx="578">
                  <c:v>65.85373846153847</c:v>
                </c:pt>
                <c:pt idx="579">
                  <c:v>65.9171</c:v>
                </c:pt>
                <c:pt idx="580">
                  <c:v>65.98046153846154</c:v>
                </c:pt>
                <c:pt idx="581">
                  <c:v>66.04382307692309</c:v>
                </c:pt>
                <c:pt idx="582">
                  <c:v>66.10718461538461</c:v>
                </c:pt>
                <c:pt idx="583">
                  <c:v>66.17054615384616</c:v>
                </c:pt>
                <c:pt idx="584">
                  <c:v>66.2339076923077</c:v>
                </c:pt>
                <c:pt idx="585">
                  <c:v>66.29726923076923</c:v>
                </c:pt>
                <c:pt idx="586">
                  <c:v>66.36063076923077</c:v>
                </c:pt>
                <c:pt idx="587">
                  <c:v>66.4239923076923</c:v>
                </c:pt>
                <c:pt idx="588">
                  <c:v>66.48735384615384</c:v>
                </c:pt>
                <c:pt idx="589">
                  <c:v>66.55071538461539</c:v>
                </c:pt>
                <c:pt idx="590">
                  <c:v>66.61407692307694</c:v>
                </c:pt>
                <c:pt idx="591">
                  <c:v>66.67743846153846</c:v>
                </c:pt>
                <c:pt idx="592">
                  <c:v>66.74080000000001</c:v>
                </c:pt>
                <c:pt idx="593">
                  <c:v>66.80416153846153</c:v>
                </c:pt>
                <c:pt idx="594">
                  <c:v>66.86752307692308</c:v>
                </c:pt>
                <c:pt idx="595">
                  <c:v>66.93088461538463</c:v>
                </c:pt>
                <c:pt idx="596">
                  <c:v>66.99424615384615</c:v>
                </c:pt>
                <c:pt idx="597">
                  <c:v>67.0576076923077</c:v>
                </c:pt>
                <c:pt idx="598">
                  <c:v>67.12096923076923</c:v>
                </c:pt>
                <c:pt idx="599">
                  <c:v>67.18433076923077</c:v>
                </c:pt>
                <c:pt idx="600">
                  <c:v>67.2476923076923</c:v>
                </c:pt>
                <c:pt idx="601">
                  <c:v>67.31105384615385</c:v>
                </c:pt>
                <c:pt idx="602">
                  <c:v>67.37441538461539</c:v>
                </c:pt>
                <c:pt idx="603">
                  <c:v>67.43777692307692</c:v>
                </c:pt>
                <c:pt idx="604">
                  <c:v>67.50113846153847</c:v>
                </c:pt>
                <c:pt idx="605">
                  <c:v>67.5645</c:v>
                </c:pt>
                <c:pt idx="606">
                  <c:v>67.62786153846154</c:v>
                </c:pt>
                <c:pt idx="607">
                  <c:v>67.69122307692307</c:v>
                </c:pt>
                <c:pt idx="608">
                  <c:v>67.75458461538462</c:v>
                </c:pt>
                <c:pt idx="609">
                  <c:v>67.81794615384615</c:v>
                </c:pt>
                <c:pt idx="610">
                  <c:v>67.88130769230769</c:v>
                </c:pt>
                <c:pt idx="611">
                  <c:v>67.94466923076924</c:v>
                </c:pt>
                <c:pt idx="612">
                  <c:v>68.00803076923077</c:v>
                </c:pt>
                <c:pt idx="613">
                  <c:v>68.07139230769232</c:v>
                </c:pt>
                <c:pt idx="614">
                  <c:v>68.13475384615384</c:v>
                </c:pt>
                <c:pt idx="615">
                  <c:v>68.19811538461539</c:v>
                </c:pt>
                <c:pt idx="616">
                  <c:v>68.26147692307693</c:v>
                </c:pt>
                <c:pt idx="617">
                  <c:v>68.32483846153846</c:v>
                </c:pt>
                <c:pt idx="618">
                  <c:v>68.38820000000001</c:v>
                </c:pt>
                <c:pt idx="619">
                  <c:v>68.45156153846153</c:v>
                </c:pt>
                <c:pt idx="620">
                  <c:v>68.51492307692308</c:v>
                </c:pt>
                <c:pt idx="621">
                  <c:v>68.5782846153846</c:v>
                </c:pt>
                <c:pt idx="622">
                  <c:v>68.64164615384615</c:v>
                </c:pt>
                <c:pt idx="623">
                  <c:v>68.70500769230769</c:v>
                </c:pt>
                <c:pt idx="624">
                  <c:v>68.76836923076924</c:v>
                </c:pt>
                <c:pt idx="625">
                  <c:v>68.83173076923077</c:v>
                </c:pt>
                <c:pt idx="626">
                  <c:v>68.89509230769231</c:v>
                </c:pt>
                <c:pt idx="627">
                  <c:v>68.95845384615384</c:v>
                </c:pt>
                <c:pt idx="628">
                  <c:v>69.02181538461538</c:v>
                </c:pt>
                <c:pt idx="629">
                  <c:v>69.08517692307693</c:v>
                </c:pt>
                <c:pt idx="630">
                  <c:v>69.14853846153845</c:v>
                </c:pt>
                <c:pt idx="631">
                  <c:v>69.2119</c:v>
                </c:pt>
                <c:pt idx="632">
                  <c:v>69.27526153846152</c:v>
                </c:pt>
                <c:pt idx="633">
                  <c:v>69.33862307692307</c:v>
                </c:pt>
                <c:pt idx="634">
                  <c:v>69.40198461538462</c:v>
                </c:pt>
                <c:pt idx="635">
                  <c:v>69.46534615384616</c:v>
                </c:pt>
                <c:pt idx="636">
                  <c:v>69.5287076923077</c:v>
                </c:pt>
                <c:pt idx="637">
                  <c:v>69.59206923076924</c:v>
                </c:pt>
                <c:pt idx="638">
                  <c:v>69.65543076923078</c:v>
                </c:pt>
                <c:pt idx="639">
                  <c:v>69.71879230769231</c:v>
                </c:pt>
                <c:pt idx="640">
                  <c:v>69.78215384615385</c:v>
                </c:pt>
                <c:pt idx="641">
                  <c:v>69.84551538461538</c:v>
                </c:pt>
                <c:pt idx="642">
                  <c:v>69.90887692307692</c:v>
                </c:pt>
                <c:pt idx="643">
                  <c:v>69.97223846153847</c:v>
                </c:pt>
                <c:pt idx="644">
                  <c:v>70.03559999999999</c:v>
                </c:pt>
                <c:pt idx="645">
                  <c:v>70.09896153846154</c:v>
                </c:pt>
                <c:pt idx="646">
                  <c:v>70.16232307692307</c:v>
                </c:pt>
                <c:pt idx="647">
                  <c:v>70.22568461538462</c:v>
                </c:pt>
                <c:pt idx="648">
                  <c:v>70.28904615384617</c:v>
                </c:pt>
                <c:pt idx="649">
                  <c:v>70.3524076923077</c:v>
                </c:pt>
                <c:pt idx="650">
                  <c:v>70.41576923076924</c:v>
                </c:pt>
                <c:pt idx="651">
                  <c:v>70.47913076923076</c:v>
                </c:pt>
                <c:pt idx="652">
                  <c:v>70.54249230769231</c:v>
                </c:pt>
                <c:pt idx="653">
                  <c:v>70.60585384615385</c:v>
                </c:pt>
                <c:pt idx="654">
                  <c:v>70.66921538461538</c:v>
                </c:pt>
                <c:pt idx="655">
                  <c:v>70.73257692307692</c:v>
                </c:pt>
                <c:pt idx="656">
                  <c:v>70.79593846153846</c:v>
                </c:pt>
                <c:pt idx="657">
                  <c:v>70.8593</c:v>
                </c:pt>
                <c:pt idx="658">
                  <c:v>70.92266153846154</c:v>
                </c:pt>
                <c:pt idx="659">
                  <c:v>70.98602307692309</c:v>
                </c:pt>
                <c:pt idx="660">
                  <c:v>71.04938461538461</c:v>
                </c:pt>
                <c:pt idx="661">
                  <c:v>71.11274615384616</c:v>
                </c:pt>
                <c:pt idx="662">
                  <c:v>71.1761076923077</c:v>
                </c:pt>
                <c:pt idx="663">
                  <c:v>71.23946923076923</c:v>
                </c:pt>
                <c:pt idx="664">
                  <c:v>71.30283076923077</c:v>
                </c:pt>
                <c:pt idx="665">
                  <c:v>71.3661923076923</c:v>
                </c:pt>
                <c:pt idx="666">
                  <c:v>71.42955384615385</c:v>
                </c:pt>
                <c:pt idx="667">
                  <c:v>71.49291538461537</c:v>
                </c:pt>
                <c:pt idx="668">
                  <c:v>71.55627692307692</c:v>
                </c:pt>
                <c:pt idx="669">
                  <c:v>71.61963846153846</c:v>
                </c:pt>
                <c:pt idx="670">
                  <c:v>71.683</c:v>
                </c:pt>
                <c:pt idx="671">
                  <c:v>71.74636153846156</c:v>
                </c:pt>
                <c:pt idx="672">
                  <c:v>71.80972307692308</c:v>
                </c:pt>
                <c:pt idx="673">
                  <c:v>71.87308461538463</c:v>
                </c:pt>
                <c:pt idx="674">
                  <c:v>71.93644615384615</c:v>
                </c:pt>
                <c:pt idx="675">
                  <c:v>71.9998076923077</c:v>
                </c:pt>
                <c:pt idx="676">
                  <c:v>72.06316923076923</c:v>
                </c:pt>
                <c:pt idx="677">
                  <c:v>72.12653076923077</c:v>
                </c:pt>
                <c:pt idx="678">
                  <c:v>72.1898923076923</c:v>
                </c:pt>
                <c:pt idx="679">
                  <c:v>72.25325384615384</c:v>
                </c:pt>
                <c:pt idx="680">
                  <c:v>72.31661538461537</c:v>
                </c:pt>
                <c:pt idx="681">
                  <c:v>72.37997692307692</c:v>
                </c:pt>
                <c:pt idx="682">
                  <c:v>72.44333846153847</c:v>
                </c:pt>
                <c:pt idx="683">
                  <c:v>72.5067</c:v>
                </c:pt>
                <c:pt idx="684">
                  <c:v>72.57006153846154</c:v>
                </c:pt>
                <c:pt idx="685">
                  <c:v>72.63342307692307</c:v>
                </c:pt>
                <c:pt idx="686">
                  <c:v>72.69678461538462</c:v>
                </c:pt>
                <c:pt idx="687">
                  <c:v>72.76014615384616</c:v>
                </c:pt>
                <c:pt idx="688">
                  <c:v>72.82350769230769</c:v>
                </c:pt>
                <c:pt idx="689">
                  <c:v>72.88686923076924</c:v>
                </c:pt>
                <c:pt idx="690">
                  <c:v>72.95023076923077</c:v>
                </c:pt>
                <c:pt idx="691">
                  <c:v>73.0135923076923</c:v>
                </c:pt>
                <c:pt idx="692">
                  <c:v>73.07695384615384</c:v>
                </c:pt>
                <c:pt idx="693">
                  <c:v>73.14031538461539</c:v>
                </c:pt>
                <c:pt idx="694">
                  <c:v>73.20367692307693</c:v>
                </c:pt>
                <c:pt idx="695">
                  <c:v>73.26703846153846</c:v>
                </c:pt>
                <c:pt idx="696">
                  <c:v>73.33040000000001</c:v>
                </c:pt>
                <c:pt idx="697">
                  <c:v>73.39376153846153</c:v>
                </c:pt>
                <c:pt idx="698">
                  <c:v>73.45712307692308</c:v>
                </c:pt>
                <c:pt idx="699">
                  <c:v>73.5204846153846</c:v>
                </c:pt>
                <c:pt idx="700">
                  <c:v>73.58384615384615</c:v>
                </c:pt>
                <c:pt idx="701">
                  <c:v>73.64720769230769</c:v>
                </c:pt>
                <c:pt idx="702">
                  <c:v>73.71056923076922</c:v>
                </c:pt>
                <c:pt idx="703">
                  <c:v>73.77393076923077</c:v>
                </c:pt>
                <c:pt idx="704">
                  <c:v>73.83729230769231</c:v>
                </c:pt>
                <c:pt idx="705">
                  <c:v>73.90065384615386</c:v>
                </c:pt>
                <c:pt idx="706">
                  <c:v>73.96401538461538</c:v>
                </c:pt>
                <c:pt idx="707">
                  <c:v>74.02737692307693</c:v>
                </c:pt>
                <c:pt idx="708">
                  <c:v>74.09073846153846</c:v>
                </c:pt>
                <c:pt idx="709">
                  <c:v>74.1541</c:v>
                </c:pt>
                <c:pt idx="710">
                  <c:v>74.21746153846155</c:v>
                </c:pt>
                <c:pt idx="711">
                  <c:v>74.28082307692307</c:v>
                </c:pt>
                <c:pt idx="712">
                  <c:v>74.34418461538462</c:v>
                </c:pt>
                <c:pt idx="713">
                  <c:v>74.40754615384614</c:v>
                </c:pt>
                <c:pt idx="714">
                  <c:v>74.47090769230769</c:v>
                </c:pt>
                <c:pt idx="715">
                  <c:v>74.53426923076923</c:v>
                </c:pt>
                <c:pt idx="716">
                  <c:v>74.59763076923078</c:v>
                </c:pt>
                <c:pt idx="717">
                  <c:v>74.66099230769231</c:v>
                </c:pt>
                <c:pt idx="718">
                  <c:v>74.72435384615385</c:v>
                </c:pt>
                <c:pt idx="719">
                  <c:v>74.78771538461538</c:v>
                </c:pt>
                <c:pt idx="720">
                  <c:v>74.85107692307692</c:v>
                </c:pt>
                <c:pt idx="721">
                  <c:v>74.91443846153847</c:v>
                </c:pt>
                <c:pt idx="722">
                  <c:v>74.97779999999999</c:v>
                </c:pt>
                <c:pt idx="723">
                  <c:v>75.04116153846154</c:v>
                </c:pt>
                <c:pt idx="724">
                  <c:v>75.10452307692309</c:v>
                </c:pt>
                <c:pt idx="725">
                  <c:v>75.16788461538461</c:v>
                </c:pt>
                <c:pt idx="726">
                  <c:v>75.23124615384616</c:v>
                </c:pt>
                <c:pt idx="727">
                  <c:v>75.2946076923077</c:v>
                </c:pt>
                <c:pt idx="728">
                  <c:v>75.35796923076924</c:v>
                </c:pt>
                <c:pt idx="729">
                  <c:v>75.42133076923078</c:v>
                </c:pt>
                <c:pt idx="730">
                  <c:v>75.48469230769231</c:v>
                </c:pt>
                <c:pt idx="731">
                  <c:v>75.54805384615385</c:v>
                </c:pt>
                <c:pt idx="732">
                  <c:v>75.61141538461538</c:v>
                </c:pt>
                <c:pt idx="733">
                  <c:v>75.67477692307692</c:v>
                </c:pt>
                <c:pt idx="734">
                  <c:v>75.73813846153845</c:v>
                </c:pt>
                <c:pt idx="735">
                  <c:v>75.8015</c:v>
                </c:pt>
                <c:pt idx="736">
                  <c:v>75.86486153846153</c:v>
                </c:pt>
                <c:pt idx="737">
                  <c:v>75.92822307692308</c:v>
                </c:pt>
                <c:pt idx="738">
                  <c:v>75.99158461538461</c:v>
                </c:pt>
                <c:pt idx="739">
                  <c:v>76.05494615384616</c:v>
                </c:pt>
                <c:pt idx="740">
                  <c:v>76.11830769230771</c:v>
                </c:pt>
                <c:pt idx="741">
                  <c:v>76.18166923076923</c:v>
                </c:pt>
                <c:pt idx="742">
                  <c:v>76.24503076923078</c:v>
                </c:pt>
                <c:pt idx="743">
                  <c:v>76.3083923076923</c:v>
                </c:pt>
                <c:pt idx="744">
                  <c:v>76.37175384615385</c:v>
                </c:pt>
                <c:pt idx="745">
                  <c:v>76.43511538461539</c:v>
                </c:pt>
                <c:pt idx="746">
                  <c:v>76.49847692307692</c:v>
                </c:pt>
                <c:pt idx="747">
                  <c:v>76.56183846153846</c:v>
                </c:pt>
                <c:pt idx="748">
                  <c:v>76.62519999999999</c:v>
                </c:pt>
                <c:pt idx="749">
                  <c:v>76.68856153846154</c:v>
                </c:pt>
                <c:pt idx="750">
                  <c:v>76.75192307692308</c:v>
                </c:pt>
                <c:pt idx="751">
                  <c:v>76.81528461538463</c:v>
                </c:pt>
                <c:pt idx="752">
                  <c:v>76.87864615384615</c:v>
                </c:pt>
                <c:pt idx="753">
                  <c:v>76.9420076923077</c:v>
                </c:pt>
                <c:pt idx="754">
                  <c:v>77.00536923076923</c:v>
                </c:pt>
                <c:pt idx="755">
                  <c:v>77.06873076923077</c:v>
                </c:pt>
                <c:pt idx="756">
                  <c:v>77.1320923076923</c:v>
                </c:pt>
                <c:pt idx="757">
                  <c:v>77.19545384615384</c:v>
                </c:pt>
                <c:pt idx="758">
                  <c:v>77.25881538461539</c:v>
                </c:pt>
                <c:pt idx="759">
                  <c:v>77.32217692307691</c:v>
                </c:pt>
                <c:pt idx="760">
                  <c:v>77.38553846153846</c:v>
                </c:pt>
                <c:pt idx="761">
                  <c:v>77.4489</c:v>
                </c:pt>
                <c:pt idx="762">
                  <c:v>77.51226153846154</c:v>
                </c:pt>
                <c:pt idx="763">
                  <c:v>77.5756230769231</c:v>
                </c:pt>
                <c:pt idx="764">
                  <c:v>77.63898461538462</c:v>
                </c:pt>
                <c:pt idx="765">
                  <c:v>77.70234615384616</c:v>
                </c:pt>
                <c:pt idx="766">
                  <c:v>77.76570769230769</c:v>
                </c:pt>
                <c:pt idx="767">
                  <c:v>77.82906923076924</c:v>
                </c:pt>
                <c:pt idx="768">
                  <c:v>77.89243076923077</c:v>
                </c:pt>
                <c:pt idx="769">
                  <c:v>77.9557923076923</c:v>
                </c:pt>
                <c:pt idx="770">
                  <c:v>78.01915384615384</c:v>
                </c:pt>
                <c:pt idx="771">
                  <c:v>78.08251538461538</c:v>
                </c:pt>
                <c:pt idx="772">
                  <c:v>78.14587692307691</c:v>
                </c:pt>
                <c:pt idx="773">
                  <c:v>78.20923846153846</c:v>
                </c:pt>
                <c:pt idx="774">
                  <c:v>78.27260000000001</c:v>
                </c:pt>
                <c:pt idx="775">
                  <c:v>78.33596153846153</c:v>
                </c:pt>
                <c:pt idx="776">
                  <c:v>78.39932307692308</c:v>
                </c:pt>
                <c:pt idx="777">
                  <c:v>78.46268461538463</c:v>
                </c:pt>
                <c:pt idx="778">
                  <c:v>78.52604615384615</c:v>
                </c:pt>
                <c:pt idx="779">
                  <c:v>78.5894076923077</c:v>
                </c:pt>
                <c:pt idx="780">
                  <c:v>78.65276923076922</c:v>
                </c:pt>
                <c:pt idx="781">
                  <c:v>78.71613076923077</c:v>
                </c:pt>
                <c:pt idx="782">
                  <c:v>78.77949230769231</c:v>
                </c:pt>
                <c:pt idx="783">
                  <c:v>78.84285384615384</c:v>
                </c:pt>
                <c:pt idx="784">
                  <c:v>78.90621538461538</c:v>
                </c:pt>
                <c:pt idx="785">
                  <c:v>78.96957692307693</c:v>
                </c:pt>
                <c:pt idx="786">
                  <c:v>79.03293846153846</c:v>
                </c:pt>
                <c:pt idx="787">
                  <c:v>79.0963</c:v>
                </c:pt>
                <c:pt idx="788">
                  <c:v>79.15966153846155</c:v>
                </c:pt>
                <c:pt idx="789">
                  <c:v>79.22302307692307</c:v>
                </c:pt>
                <c:pt idx="790">
                  <c:v>79.28638461538462</c:v>
                </c:pt>
                <c:pt idx="791">
                  <c:v>79.34974615384616</c:v>
                </c:pt>
                <c:pt idx="792">
                  <c:v>79.41310769230769</c:v>
                </c:pt>
                <c:pt idx="793">
                  <c:v>79.47646923076923</c:v>
                </c:pt>
                <c:pt idx="794">
                  <c:v>79.53983076923076</c:v>
                </c:pt>
                <c:pt idx="795">
                  <c:v>79.60319230769231</c:v>
                </c:pt>
                <c:pt idx="796">
                  <c:v>79.66655384615385</c:v>
                </c:pt>
                <c:pt idx="797">
                  <c:v>79.7299153846154</c:v>
                </c:pt>
                <c:pt idx="798">
                  <c:v>79.79327692307692</c:v>
                </c:pt>
                <c:pt idx="799">
                  <c:v>79.85663846153847</c:v>
                </c:pt>
                <c:pt idx="800">
                  <c:v>79.92</c:v>
                </c:pt>
                <c:pt idx="801">
                  <c:v>79.92</c:v>
                </c:pt>
                <c:pt idx="802">
                  <c:v>79.9329125</c:v>
                </c:pt>
                <c:pt idx="803">
                  <c:v>79.945825</c:v>
                </c:pt>
                <c:pt idx="804">
                  <c:v>79.9587375</c:v>
                </c:pt>
                <c:pt idx="805">
                  <c:v>79.97165000000001</c:v>
                </c:pt>
                <c:pt idx="806">
                  <c:v>79.9845625</c:v>
                </c:pt>
                <c:pt idx="807">
                  <c:v>79.997475</c:v>
                </c:pt>
                <c:pt idx="808">
                  <c:v>80.01038750000001</c:v>
                </c:pt>
                <c:pt idx="809">
                  <c:v>80.02329999999999</c:v>
                </c:pt>
                <c:pt idx="810">
                  <c:v>80.0362125</c:v>
                </c:pt>
                <c:pt idx="811">
                  <c:v>80.049125</c:v>
                </c:pt>
                <c:pt idx="812">
                  <c:v>80.0620375</c:v>
                </c:pt>
                <c:pt idx="813">
                  <c:v>80.07495</c:v>
                </c:pt>
                <c:pt idx="814">
                  <c:v>80.0878625</c:v>
                </c:pt>
                <c:pt idx="815">
                  <c:v>80.100775</c:v>
                </c:pt>
                <c:pt idx="816">
                  <c:v>80.1136875</c:v>
                </c:pt>
                <c:pt idx="817">
                  <c:v>80.1266</c:v>
                </c:pt>
                <c:pt idx="818">
                  <c:v>80.1395125</c:v>
                </c:pt>
                <c:pt idx="819">
                  <c:v>80.15242500000001</c:v>
                </c:pt>
                <c:pt idx="820">
                  <c:v>80.16533749999999</c:v>
                </c:pt>
                <c:pt idx="821">
                  <c:v>80.17825</c:v>
                </c:pt>
                <c:pt idx="822">
                  <c:v>80.1911625</c:v>
                </c:pt>
                <c:pt idx="823">
                  <c:v>80.20407499999999</c:v>
                </c:pt>
                <c:pt idx="824">
                  <c:v>80.2169875</c:v>
                </c:pt>
                <c:pt idx="825">
                  <c:v>80.2299</c:v>
                </c:pt>
                <c:pt idx="826">
                  <c:v>80.2428125</c:v>
                </c:pt>
                <c:pt idx="827">
                  <c:v>80.255725</c:v>
                </c:pt>
                <c:pt idx="828">
                  <c:v>80.26863750000001</c:v>
                </c:pt>
                <c:pt idx="829">
                  <c:v>80.28155</c:v>
                </c:pt>
                <c:pt idx="830">
                  <c:v>80.2944625</c:v>
                </c:pt>
                <c:pt idx="831">
                  <c:v>80.30737500000001</c:v>
                </c:pt>
                <c:pt idx="832">
                  <c:v>80.32028749999999</c:v>
                </c:pt>
                <c:pt idx="833">
                  <c:v>80.3332</c:v>
                </c:pt>
                <c:pt idx="834">
                  <c:v>80.34611249999999</c:v>
                </c:pt>
                <c:pt idx="835">
                  <c:v>80.359025</c:v>
                </c:pt>
                <c:pt idx="836">
                  <c:v>80.3719375</c:v>
                </c:pt>
                <c:pt idx="837">
                  <c:v>80.38485</c:v>
                </c:pt>
                <c:pt idx="838">
                  <c:v>80.3977625</c:v>
                </c:pt>
                <c:pt idx="839">
                  <c:v>80.410675</c:v>
                </c:pt>
                <c:pt idx="840">
                  <c:v>80.4235875</c:v>
                </c:pt>
                <c:pt idx="841">
                  <c:v>80.4365</c:v>
                </c:pt>
                <c:pt idx="842">
                  <c:v>80.44941250000001</c:v>
                </c:pt>
                <c:pt idx="843">
                  <c:v>80.46232499999999</c:v>
                </c:pt>
                <c:pt idx="844">
                  <c:v>80.4752375</c:v>
                </c:pt>
                <c:pt idx="845">
                  <c:v>80.48815</c:v>
                </c:pt>
                <c:pt idx="846">
                  <c:v>80.50106249999999</c:v>
                </c:pt>
                <c:pt idx="847">
                  <c:v>80.513975</c:v>
                </c:pt>
                <c:pt idx="848">
                  <c:v>80.5268875</c:v>
                </c:pt>
                <c:pt idx="849">
                  <c:v>80.5398</c:v>
                </c:pt>
                <c:pt idx="850">
                  <c:v>80.5527125</c:v>
                </c:pt>
                <c:pt idx="851">
                  <c:v>80.56562500000001</c:v>
                </c:pt>
                <c:pt idx="852">
                  <c:v>80.5785375</c:v>
                </c:pt>
                <c:pt idx="853">
                  <c:v>80.59145</c:v>
                </c:pt>
                <c:pt idx="854">
                  <c:v>80.60436250000001</c:v>
                </c:pt>
                <c:pt idx="855">
                  <c:v>80.61727499999999</c:v>
                </c:pt>
                <c:pt idx="856">
                  <c:v>80.6301875</c:v>
                </c:pt>
                <c:pt idx="857">
                  <c:v>80.64309999999999</c:v>
                </c:pt>
                <c:pt idx="858">
                  <c:v>80.6560125</c:v>
                </c:pt>
                <c:pt idx="859">
                  <c:v>80.668925</c:v>
                </c:pt>
                <c:pt idx="860">
                  <c:v>80.6818375</c:v>
                </c:pt>
                <c:pt idx="861">
                  <c:v>80.69475</c:v>
                </c:pt>
                <c:pt idx="862">
                  <c:v>80.7076625</c:v>
                </c:pt>
                <c:pt idx="863">
                  <c:v>80.720575</c:v>
                </c:pt>
                <c:pt idx="864">
                  <c:v>80.7334875</c:v>
                </c:pt>
                <c:pt idx="865">
                  <c:v>80.74640000000001</c:v>
                </c:pt>
                <c:pt idx="866">
                  <c:v>80.7593125</c:v>
                </c:pt>
                <c:pt idx="867">
                  <c:v>80.772225</c:v>
                </c:pt>
                <c:pt idx="868">
                  <c:v>80.7851375</c:v>
                </c:pt>
                <c:pt idx="869">
                  <c:v>80.79804999999999</c:v>
                </c:pt>
                <c:pt idx="870">
                  <c:v>80.8109625</c:v>
                </c:pt>
                <c:pt idx="871">
                  <c:v>80.823875</c:v>
                </c:pt>
                <c:pt idx="872">
                  <c:v>80.8367875</c:v>
                </c:pt>
                <c:pt idx="873">
                  <c:v>80.8497</c:v>
                </c:pt>
                <c:pt idx="874">
                  <c:v>80.86261250000001</c:v>
                </c:pt>
                <c:pt idx="875">
                  <c:v>80.875525</c:v>
                </c:pt>
                <c:pt idx="876">
                  <c:v>80.8884375</c:v>
                </c:pt>
                <c:pt idx="877">
                  <c:v>80.90135</c:v>
                </c:pt>
                <c:pt idx="878">
                  <c:v>80.91426249999999</c:v>
                </c:pt>
                <c:pt idx="879">
                  <c:v>80.927175</c:v>
                </c:pt>
                <c:pt idx="880">
                  <c:v>80.94008749999999</c:v>
                </c:pt>
                <c:pt idx="881">
                  <c:v>80.953</c:v>
                </c:pt>
                <c:pt idx="882">
                  <c:v>80.9659125</c:v>
                </c:pt>
                <c:pt idx="883">
                  <c:v>80.978825</c:v>
                </c:pt>
                <c:pt idx="884">
                  <c:v>80.9917375</c:v>
                </c:pt>
                <c:pt idx="885">
                  <c:v>81.00465</c:v>
                </c:pt>
                <c:pt idx="886">
                  <c:v>81.0175625</c:v>
                </c:pt>
                <c:pt idx="887">
                  <c:v>81.030475</c:v>
                </c:pt>
                <c:pt idx="888">
                  <c:v>81.04338750000001</c:v>
                </c:pt>
                <c:pt idx="889">
                  <c:v>81.0563</c:v>
                </c:pt>
                <c:pt idx="890">
                  <c:v>81.0692125</c:v>
                </c:pt>
                <c:pt idx="891">
                  <c:v>81.082125</c:v>
                </c:pt>
                <c:pt idx="892">
                  <c:v>81.09503749999999</c:v>
                </c:pt>
                <c:pt idx="893">
                  <c:v>81.10795</c:v>
                </c:pt>
                <c:pt idx="894">
                  <c:v>81.1208625</c:v>
                </c:pt>
                <c:pt idx="895">
                  <c:v>81.133775</c:v>
                </c:pt>
                <c:pt idx="896">
                  <c:v>81.1466875</c:v>
                </c:pt>
                <c:pt idx="897">
                  <c:v>81.15960000000001</c:v>
                </c:pt>
                <c:pt idx="898">
                  <c:v>81.1725125</c:v>
                </c:pt>
                <c:pt idx="899">
                  <c:v>81.185425</c:v>
                </c:pt>
                <c:pt idx="900">
                  <c:v>81.1983375</c:v>
                </c:pt>
                <c:pt idx="901">
                  <c:v>81.21124999999999</c:v>
                </c:pt>
                <c:pt idx="902">
                  <c:v>81.2241625</c:v>
                </c:pt>
                <c:pt idx="903">
                  <c:v>81.23707499999999</c:v>
                </c:pt>
                <c:pt idx="904">
                  <c:v>81.2499875</c:v>
                </c:pt>
                <c:pt idx="905">
                  <c:v>81.2629</c:v>
                </c:pt>
                <c:pt idx="906">
                  <c:v>81.2758125</c:v>
                </c:pt>
                <c:pt idx="907">
                  <c:v>81.288725</c:v>
                </c:pt>
                <c:pt idx="908">
                  <c:v>81.3016375</c:v>
                </c:pt>
                <c:pt idx="909">
                  <c:v>81.31455</c:v>
                </c:pt>
                <c:pt idx="910">
                  <c:v>81.3274625</c:v>
                </c:pt>
                <c:pt idx="911">
                  <c:v>81.34037500000001</c:v>
                </c:pt>
                <c:pt idx="912">
                  <c:v>81.3532875</c:v>
                </c:pt>
                <c:pt idx="913">
                  <c:v>81.3662</c:v>
                </c:pt>
                <c:pt idx="914">
                  <c:v>81.3791125</c:v>
                </c:pt>
                <c:pt idx="915">
                  <c:v>81.39202499999999</c:v>
                </c:pt>
                <c:pt idx="916">
                  <c:v>81.4049375</c:v>
                </c:pt>
                <c:pt idx="917">
                  <c:v>81.41785</c:v>
                </c:pt>
                <c:pt idx="918">
                  <c:v>81.4307625</c:v>
                </c:pt>
                <c:pt idx="919">
                  <c:v>81.443675</c:v>
                </c:pt>
                <c:pt idx="920">
                  <c:v>81.45658750000001</c:v>
                </c:pt>
                <c:pt idx="921">
                  <c:v>81.4695</c:v>
                </c:pt>
                <c:pt idx="922">
                  <c:v>81.4824125</c:v>
                </c:pt>
                <c:pt idx="923">
                  <c:v>81.495325</c:v>
                </c:pt>
                <c:pt idx="924">
                  <c:v>81.50823749999999</c:v>
                </c:pt>
                <c:pt idx="925">
                  <c:v>81.52115</c:v>
                </c:pt>
                <c:pt idx="926">
                  <c:v>81.53406249999999</c:v>
                </c:pt>
                <c:pt idx="927">
                  <c:v>81.546975</c:v>
                </c:pt>
                <c:pt idx="928">
                  <c:v>81.5598875</c:v>
                </c:pt>
                <c:pt idx="929">
                  <c:v>81.5728</c:v>
                </c:pt>
                <c:pt idx="930">
                  <c:v>81.5857125</c:v>
                </c:pt>
                <c:pt idx="931">
                  <c:v>81.598625</c:v>
                </c:pt>
                <c:pt idx="932">
                  <c:v>81.6115375</c:v>
                </c:pt>
                <c:pt idx="933">
                  <c:v>81.62445</c:v>
                </c:pt>
                <c:pt idx="934">
                  <c:v>81.63736250000001</c:v>
                </c:pt>
                <c:pt idx="935">
                  <c:v>81.650275</c:v>
                </c:pt>
                <c:pt idx="936">
                  <c:v>81.6631875</c:v>
                </c:pt>
                <c:pt idx="937">
                  <c:v>81.6761</c:v>
                </c:pt>
                <c:pt idx="938">
                  <c:v>81.68901249999999</c:v>
                </c:pt>
                <c:pt idx="939">
                  <c:v>81.701925</c:v>
                </c:pt>
                <c:pt idx="940">
                  <c:v>81.7148375</c:v>
                </c:pt>
                <c:pt idx="941">
                  <c:v>81.72775</c:v>
                </c:pt>
                <c:pt idx="942">
                  <c:v>81.7406625</c:v>
                </c:pt>
                <c:pt idx="943">
                  <c:v>81.753575</c:v>
                </c:pt>
                <c:pt idx="944">
                  <c:v>81.7664875</c:v>
                </c:pt>
                <c:pt idx="945">
                  <c:v>81.7794</c:v>
                </c:pt>
                <c:pt idx="946">
                  <c:v>81.7923125</c:v>
                </c:pt>
                <c:pt idx="947">
                  <c:v>81.805225</c:v>
                </c:pt>
                <c:pt idx="948">
                  <c:v>81.8181375</c:v>
                </c:pt>
                <c:pt idx="949">
                  <c:v>81.83104999999999</c:v>
                </c:pt>
                <c:pt idx="950">
                  <c:v>81.8439625</c:v>
                </c:pt>
                <c:pt idx="951">
                  <c:v>81.856875</c:v>
                </c:pt>
                <c:pt idx="952">
                  <c:v>81.8697875</c:v>
                </c:pt>
                <c:pt idx="953">
                  <c:v>81.8827</c:v>
                </c:pt>
                <c:pt idx="954">
                  <c:v>81.8956125</c:v>
                </c:pt>
                <c:pt idx="955">
                  <c:v>81.908525</c:v>
                </c:pt>
                <c:pt idx="956">
                  <c:v>81.9214375</c:v>
                </c:pt>
                <c:pt idx="957">
                  <c:v>81.93435000000001</c:v>
                </c:pt>
                <c:pt idx="958">
                  <c:v>81.9472625</c:v>
                </c:pt>
                <c:pt idx="959">
                  <c:v>81.960175</c:v>
                </c:pt>
                <c:pt idx="960">
                  <c:v>81.9730875</c:v>
                </c:pt>
                <c:pt idx="961">
                  <c:v>81.98599999999999</c:v>
                </c:pt>
                <c:pt idx="962">
                  <c:v>81.9989125</c:v>
                </c:pt>
                <c:pt idx="963">
                  <c:v>82.01182499999999</c:v>
                </c:pt>
                <c:pt idx="964">
                  <c:v>82.0247375</c:v>
                </c:pt>
                <c:pt idx="965">
                  <c:v>82.03765</c:v>
                </c:pt>
                <c:pt idx="966">
                  <c:v>82.0505625</c:v>
                </c:pt>
                <c:pt idx="967">
                  <c:v>82.063475</c:v>
                </c:pt>
                <c:pt idx="968">
                  <c:v>82.0763875</c:v>
                </c:pt>
                <c:pt idx="969">
                  <c:v>82.0893</c:v>
                </c:pt>
                <c:pt idx="970">
                  <c:v>82.1022125</c:v>
                </c:pt>
                <c:pt idx="971">
                  <c:v>82.115125</c:v>
                </c:pt>
                <c:pt idx="972">
                  <c:v>82.12803749999999</c:v>
                </c:pt>
                <c:pt idx="973">
                  <c:v>82.14095</c:v>
                </c:pt>
                <c:pt idx="974">
                  <c:v>82.1538625</c:v>
                </c:pt>
                <c:pt idx="975">
                  <c:v>82.166775</c:v>
                </c:pt>
                <c:pt idx="976">
                  <c:v>82.1796875</c:v>
                </c:pt>
                <c:pt idx="977">
                  <c:v>82.1926</c:v>
                </c:pt>
                <c:pt idx="978">
                  <c:v>82.2055125</c:v>
                </c:pt>
                <c:pt idx="979">
                  <c:v>82.218425</c:v>
                </c:pt>
                <c:pt idx="980">
                  <c:v>82.23133750000001</c:v>
                </c:pt>
                <c:pt idx="981">
                  <c:v>82.24425</c:v>
                </c:pt>
                <c:pt idx="982">
                  <c:v>82.2571625</c:v>
                </c:pt>
                <c:pt idx="983">
                  <c:v>82.270075</c:v>
                </c:pt>
                <c:pt idx="984">
                  <c:v>82.28298749999999</c:v>
                </c:pt>
                <c:pt idx="985">
                  <c:v>82.2959</c:v>
                </c:pt>
                <c:pt idx="986">
                  <c:v>82.30881249999999</c:v>
                </c:pt>
                <c:pt idx="987">
                  <c:v>82.321725</c:v>
                </c:pt>
                <c:pt idx="988">
                  <c:v>82.3346375</c:v>
                </c:pt>
                <c:pt idx="989">
                  <c:v>82.34755</c:v>
                </c:pt>
                <c:pt idx="990">
                  <c:v>82.3604625</c:v>
                </c:pt>
                <c:pt idx="991">
                  <c:v>82.373375</c:v>
                </c:pt>
                <c:pt idx="992">
                  <c:v>82.3862875</c:v>
                </c:pt>
                <c:pt idx="993">
                  <c:v>82.3992</c:v>
                </c:pt>
                <c:pt idx="994">
                  <c:v>82.4121125</c:v>
                </c:pt>
                <c:pt idx="995">
                  <c:v>82.42502499999999</c:v>
                </c:pt>
                <c:pt idx="996">
                  <c:v>82.4379375</c:v>
                </c:pt>
                <c:pt idx="997">
                  <c:v>82.45085</c:v>
                </c:pt>
                <c:pt idx="998">
                  <c:v>82.4637625</c:v>
                </c:pt>
                <c:pt idx="999">
                  <c:v>82.476675</c:v>
                </c:pt>
                <c:pt idx="1000">
                  <c:v>82.4895875</c:v>
                </c:pt>
                <c:pt idx="1001">
                  <c:v>82.5025</c:v>
                </c:pt>
                <c:pt idx="1002">
                  <c:v>82.5154125</c:v>
                </c:pt>
                <c:pt idx="1003">
                  <c:v>82.52832500000001</c:v>
                </c:pt>
                <c:pt idx="1004">
                  <c:v>82.5412375</c:v>
                </c:pt>
                <c:pt idx="1005">
                  <c:v>82.55415</c:v>
                </c:pt>
                <c:pt idx="1006">
                  <c:v>82.5670625</c:v>
                </c:pt>
                <c:pt idx="1007">
                  <c:v>82.57997499999999</c:v>
                </c:pt>
                <c:pt idx="1008">
                  <c:v>82.5928875</c:v>
                </c:pt>
                <c:pt idx="1009">
                  <c:v>82.60579999999999</c:v>
                </c:pt>
                <c:pt idx="1010">
                  <c:v>82.6187125</c:v>
                </c:pt>
                <c:pt idx="1011">
                  <c:v>82.631625</c:v>
                </c:pt>
                <c:pt idx="1012">
                  <c:v>82.6445375</c:v>
                </c:pt>
                <c:pt idx="1013">
                  <c:v>82.65745</c:v>
                </c:pt>
                <c:pt idx="1014">
                  <c:v>82.6703625</c:v>
                </c:pt>
                <c:pt idx="1015">
                  <c:v>82.683275</c:v>
                </c:pt>
                <c:pt idx="1016">
                  <c:v>82.6961875</c:v>
                </c:pt>
                <c:pt idx="1017">
                  <c:v>82.7091</c:v>
                </c:pt>
                <c:pt idx="1018">
                  <c:v>82.72201249999999</c:v>
                </c:pt>
                <c:pt idx="1019">
                  <c:v>82.734925</c:v>
                </c:pt>
                <c:pt idx="1020">
                  <c:v>82.7478375</c:v>
                </c:pt>
                <c:pt idx="1021">
                  <c:v>82.76075</c:v>
                </c:pt>
                <c:pt idx="1022">
                  <c:v>82.7736625</c:v>
                </c:pt>
                <c:pt idx="1023">
                  <c:v>82.786575</c:v>
                </c:pt>
                <c:pt idx="1024">
                  <c:v>82.7994875</c:v>
                </c:pt>
                <c:pt idx="1025">
                  <c:v>82.8124</c:v>
                </c:pt>
                <c:pt idx="1026">
                  <c:v>82.82531250000001</c:v>
                </c:pt>
                <c:pt idx="1027">
                  <c:v>82.838225</c:v>
                </c:pt>
                <c:pt idx="1028">
                  <c:v>82.85113750000001</c:v>
                </c:pt>
                <c:pt idx="1029">
                  <c:v>82.86404999999999</c:v>
                </c:pt>
                <c:pt idx="1030">
                  <c:v>82.87696249999999</c:v>
                </c:pt>
                <c:pt idx="1031">
                  <c:v>82.889875</c:v>
                </c:pt>
                <c:pt idx="1032">
                  <c:v>82.90278749999999</c:v>
                </c:pt>
                <c:pt idx="1033">
                  <c:v>82.9157</c:v>
                </c:pt>
                <c:pt idx="1034">
                  <c:v>82.9286125</c:v>
                </c:pt>
                <c:pt idx="1035">
                  <c:v>82.941525</c:v>
                </c:pt>
                <c:pt idx="1036">
                  <c:v>82.9544375</c:v>
                </c:pt>
                <c:pt idx="1037">
                  <c:v>82.96735</c:v>
                </c:pt>
                <c:pt idx="1038">
                  <c:v>82.9802625</c:v>
                </c:pt>
                <c:pt idx="1039">
                  <c:v>82.993175</c:v>
                </c:pt>
                <c:pt idx="1040">
                  <c:v>83.0060875</c:v>
                </c:pt>
                <c:pt idx="1041">
                  <c:v>83.01899999999999</c:v>
                </c:pt>
                <c:pt idx="1042">
                  <c:v>83.0319125</c:v>
                </c:pt>
                <c:pt idx="1043">
                  <c:v>83.044825</c:v>
                </c:pt>
                <c:pt idx="1044">
                  <c:v>83.0577375</c:v>
                </c:pt>
                <c:pt idx="1045">
                  <c:v>83.07065</c:v>
                </c:pt>
                <c:pt idx="1046">
                  <c:v>83.0835625</c:v>
                </c:pt>
                <c:pt idx="1047">
                  <c:v>83.096475</c:v>
                </c:pt>
                <c:pt idx="1048">
                  <c:v>83.1093875</c:v>
                </c:pt>
                <c:pt idx="1049">
                  <c:v>83.12230000000001</c:v>
                </c:pt>
                <c:pt idx="1050">
                  <c:v>83.1352125</c:v>
                </c:pt>
                <c:pt idx="1051">
                  <c:v>83.14812500000001</c:v>
                </c:pt>
                <c:pt idx="1052">
                  <c:v>83.16103749999999</c:v>
                </c:pt>
                <c:pt idx="1053">
                  <c:v>83.17394999999999</c:v>
                </c:pt>
                <c:pt idx="1054">
                  <c:v>83.1868625</c:v>
                </c:pt>
                <c:pt idx="1055">
                  <c:v>83.19977499999999</c:v>
                </c:pt>
                <c:pt idx="1056">
                  <c:v>83.2126875</c:v>
                </c:pt>
                <c:pt idx="1057">
                  <c:v>83.2256</c:v>
                </c:pt>
                <c:pt idx="1058">
                  <c:v>83.2385125</c:v>
                </c:pt>
                <c:pt idx="1059">
                  <c:v>83.251425</c:v>
                </c:pt>
                <c:pt idx="1060">
                  <c:v>83.2643375</c:v>
                </c:pt>
                <c:pt idx="1061">
                  <c:v>83.27725</c:v>
                </c:pt>
                <c:pt idx="1062">
                  <c:v>83.2901625</c:v>
                </c:pt>
                <c:pt idx="1063">
                  <c:v>83.303075</c:v>
                </c:pt>
                <c:pt idx="1064">
                  <c:v>83.31598749999999</c:v>
                </c:pt>
                <c:pt idx="1065">
                  <c:v>83.3289</c:v>
                </c:pt>
                <c:pt idx="1066">
                  <c:v>83.3418125</c:v>
                </c:pt>
                <c:pt idx="1067">
                  <c:v>83.354725</c:v>
                </c:pt>
                <c:pt idx="1068">
                  <c:v>83.3676375</c:v>
                </c:pt>
                <c:pt idx="1069">
                  <c:v>83.38055</c:v>
                </c:pt>
                <c:pt idx="1070">
                  <c:v>83.3934625</c:v>
                </c:pt>
                <c:pt idx="1071">
                  <c:v>83.406375</c:v>
                </c:pt>
                <c:pt idx="1072">
                  <c:v>83.4192875</c:v>
                </c:pt>
                <c:pt idx="1073">
                  <c:v>83.4322</c:v>
                </c:pt>
                <c:pt idx="1074">
                  <c:v>83.44511250000001</c:v>
                </c:pt>
                <c:pt idx="1075">
                  <c:v>83.45802499999999</c:v>
                </c:pt>
                <c:pt idx="1076">
                  <c:v>83.47093749999999</c:v>
                </c:pt>
                <c:pt idx="1077">
                  <c:v>83.48385</c:v>
                </c:pt>
                <c:pt idx="1078">
                  <c:v>83.49676249999999</c:v>
                </c:pt>
                <c:pt idx="1079">
                  <c:v>83.509675</c:v>
                </c:pt>
                <c:pt idx="1080">
                  <c:v>83.5225875</c:v>
                </c:pt>
                <c:pt idx="1081">
                  <c:v>83.5355</c:v>
                </c:pt>
                <c:pt idx="1082">
                  <c:v>83.5484125</c:v>
                </c:pt>
                <c:pt idx="1083">
                  <c:v>83.561325</c:v>
                </c:pt>
                <c:pt idx="1084">
                  <c:v>83.5742375</c:v>
                </c:pt>
                <c:pt idx="1085">
                  <c:v>83.58715</c:v>
                </c:pt>
                <c:pt idx="1086">
                  <c:v>83.6000625</c:v>
                </c:pt>
                <c:pt idx="1087">
                  <c:v>83.61297499999999</c:v>
                </c:pt>
                <c:pt idx="1088">
                  <c:v>83.6258875</c:v>
                </c:pt>
                <c:pt idx="1089">
                  <c:v>83.6388</c:v>
                </c:pt>
                <c:pt idx="1090">
                  <c:v>83.6517125</c:v>
                </c:pt>
                <c:pt idx="1091">
                  <c:v>83.664625</c:v>
                </c:pt>
                <c:pt idx="1092">
                  <c:v>83.6775375</c:v>
                </c:pt>
                <c:pt idx="1093">
                  <c:v>83.69045</c:v>
                </c:pt>
                <c:pt idx="1094">
                  <c:v>83.7033625</c:v>
                </c:pt>
                <c:pt idx="1095">
                  <c:v>83.716275</c:v>
                </c:pt>
                <c:pt idx="1096">
                  <c:v>83.7291875</c:v>
                </c:pt>
                <c:pt idx="1097">
                  <c:v>83.74210000000001</c:v>
                </c:pt>
                <c:pt idx="1098">
                  <c:v>83.75501249999999</c:v>
                </c:pt>
                <c:pt idx="1099">
                  <c:v>83.76792499999999</c:v>
                </c:pt>
                <c:pt idx="1100">
                  <c:v>83.7808375</c:v>
                </c:pt>
                <c:pt idx="1101">
                  <c:v>83.79374999999999</c:v>
                </c:pt>
                <c:pt idx="1102">
                  <c:v>83.8066625</c:v>
                </c:pt>
                <c:pt idx="1103">
                  <c:v>83.819575</c:v>
                </c:pt>
                <c:pt idx="1104">
                  <c:v>83.8324875</c:v>
                </c:pt>
                <c:pt idx="1105">
                  <c:v>83.8454</c:v>
                </c:pt>
                <c:pt idx="1106">
                  <c:v>83.8583125</c:v>
                </c:pt>
                <c:pt idx="1107">
                  <c:v>83.871225</c:v>
                </c:pt>
                <c:pt idx="1108">
                  <c:v>83.8841375</c:v>
                </c:pt>
                <c:pt idx="1109">
                  <c:v>83.89705000000001</c:v>
                </c:pt>
                <c:pt idx="1110">
                  <c:v>83.90996249999999</c:v>
                </c:pt>
                <c:pt idx="1111">
                  <c:v>83.922875</c:v>
                </c:pt>
                <c:pt idx="1112">
                  <c:v>83.93578749999999</c:v>
                </c:pt>
                <c:pt idx="1113">
                  <c:v>83.9487</c:v>
                </c:pt>
                <c:pt idx="1114">
                  <c:v>83.9616125</c:v>
                </c:pt>
                <c:pt idx="1115">
                  <c:v>83.974525</c:v>
                </c:pt>
                <c:pt idx="1116">
                  <c:v>83.9874375</c:v>
                </c:pt>
                <c:pt idx="1117">
                  <c:v>84.00035</c:v>
                </c:pt>
                <c:pt idx="1118">
                  <c:v>84.0132625</c:v>
                </c:pt>
                <c:pt idx="1119">
                  <c:v>84.026175</c:v>
                </c:pt>
                <c:pt idx="1120">
                  <c:v>84.03908750000001</c:v>
                </c:pt>
                <c:pt idx="1121">
                  <c:v>84.05199999999999</c:v>
                </c:pt>
                <c:pt idx="1122">
                  <c:v>84.06491249999999</c:v>
                </c:pt>
                <c:pt idx="1123">
                  <c:v>84.077825</c:v>
                </c:pt>
                <c:pt idx="1124">
                  <c:v>84.09073749999999</c:v>
                </c:pt>
                <c:pt idx="1125">
                  <c:v>84.10365</c:v>
                </c:pt>
                <c:pt idx="1126">
                  <c:v>84.1165625</c:v>
                </c:pt>
                <c:pt idx="1127">
                  <c:v>84.129475</c:v>
                </c:pt>
                <c:pt idx="1128">
                  <c:v>84.1423875</c:v>
                </c:pt>
                <c:pt idx="1129">
                  <c:v>84.1553</c:v>
                </c:pt>
                <c:pt idx="1130">
                  <c:v>84.1682125</c:v>
                </c:pt>
                <c:pt idx="1131">
                  <c:v>84.181125</c:v>
                </c:pt>
                <c:pt idx="1132">
                  <c:v>84.19403750000001</c:v>
                </c:pt>
                <c:pt idx="1133">
                  <c:v>84.20694999999999</c:v>
                </c:pt>
                <c:pt idx="1134">
                  <c:v>84.2198625</c:v>
                </c:pt>
                <c:pt idx="1135">
                  <c:v>84.23277499999999</c:v>
                </c:pt>
                <c:pt idx="1136">
                  <c:v>84.2456875</c:v>
                </c:pt>
                <c:pt idx="1137">
                  <c:v>84.2586</c:v>
                </c:pt>
                <c:pt idx="1138">
                  <c:v>84.2715125</c:v>
                </c:pt>
                <c:pt idx="1139">
                  <c:v>84.284425</c:v>
                </c:pt>
                <c:pt idx="1140">
                  <c:v>84.2973375</c:v>
                </c:pt>
                <c:pt idx="1141">
                  <c:v>84.31025</c:v>
                </c:pt>
                <c:pt idx="1142">
                  <c:v>84.3231625</c:v>
                </c:pt>
                <c:pt idx="1143">
                  <c:v>84.33607500000001</c:v>
                </c:pt>
                <c:pt idx="1144">
                  <c:v>84.34898749999999</c:v>
                </c:pt>
                <c:pt idx="1145">
                  <c:v>84.36189999999999</c:v>
                </c:pt>
                <c:pt idx="1146">
                  <c:v>84.3748125</c:v>
                </c:pt>
                <c:pt idx="1147">
                  <c:v>84.38772499999999</c:v>
                </c:pt>
                <c:pt idx="1148">
                  <c:v>84.4006375</c:v>
                </c:pt>
                <c:pt idx="1149">
                  <c:v>84.41355</c:v>
                </c:pt>
                <c:pt idx="1150">
                  <c:v>84.4264625</c:v>
                </c:pt>
                <c:pt idx="1151">
                  <c:v>84.439375</c:v>
                </c:pt>
                <c:pt idx="1152">
                  <c:v>84.4522875</c:v>
                </c:pt>
                <c:pt idx="1153">
                  <c:v>84.4652</c:v>
                </c:pt>
                <c:pt idx="1154">
                  <c:v>84.4781125</c:v>
                </c:pt>
                <c:pt idx="1155">
                  <c:v>84.49102500000001</c:v>
                </c:pt>
                <c:pt idx="1156">
                  <c:v>84.50393749999999</c:v>
                </c:pt>
                <c:pt idx="1157">
                  <c:v>84.51685</c:v>
                </c:pt>
                <c:pt idx="1158">
                  <c:v>84.52976249999999</c:v>
                </c:pt>
                <c:pt idx="1159">
                  <c:v>84.542675</c:v>
                </c:pt>
                <c:pt idx="1160">
                  <c:v>84.5555875</c:v>
                </c:pt>
                <c:pt idx="1161">
                  <c:v>84.5685</c:v>
                </c:pt>
                <c:pt idx="1162">
                  <c:v>84.5814125</c:v>
                </c:pt>
                <c:pt idx="1163">
                  <c:v>84.594325</c:v>
                </c:pt>
                <c:pt idx="1164">
                  <c:v>84.6072375</c:v>
                </c:pt>
                <c:pt idx="1165">
                  <c:v>84.62015</c:v>
                </c:pt>
                <c:pt idx="1166">
                  <c:v>84.63306250000001</c:v>
                </c:pt>
                <c:pt idx="1167">
                  <c:v>84.64597499999999</c:v>
                </c:pt>
                <c:pt idx="1168">
                  <c:v>84.65888749999999</c:v>
                </c:pt>
                <c:pt idx="1169">
                  <c:v>84.6718</c:v>
                </c:pt>
                <c:pt idx="1170">
                  <c:v>84.68471249999999</c:v>
                </c:pt>
                <c:pt idx="1171">
                  <c:v>84.697625</c:v>
                </c:pt>
                <c:pt idx="1172">
                  <c:v>84.7105375</c:v>
                </c:pt>
                <c:pt idx="1173">
                  <c:v>84.72345</c:v>
                </c:pt>
                <c:pt idx="1174">
                  <c:v>84.7363625</c:v>
                </c:pt>
                <c:pt idx="1175">
                  <c:v>84.749275</c:v>
                </c:pt>
                <c:pt idx="1176">
                  <c:v>84.7621875</c:v>
                </c:pt>
                <c:pt idx="1177">
                  <c:v>84.7751</c:v>
                </c:pt>
                <c:pt idx="1178">
                  <c:v>84.78801250000001</c:v>
                </c:pt>
                <c:pt idx="1179">
                  <c:v>84.80092499999999</c:v>
                </c:pt>
                <c:pt idx="1180">
                  <c:v>84.8138375</c:v>
                </c:pt>
                <c:pt idx="1181">
                  <c:v>84.82674999999999</c:v>
                </c:pt>
                <c:pt idx="1182">
                  <c:v>84.8396625</c:v>
                </c:pt>
                <c:pt idx="1183">
                  <c:v>84.852575</c:v>
                </c:pt>
                <c:pt idx="1184">
                  <c:v>84.86548749999999</c:v>
                </c:pt>
                <c:pt idx="1185">
                  <c:v>84.8784</c:v>
                </c:pt>
                <c:pt idx="1186">
                  <c:v>84.8913125</c:v>
                </c:pt>
                <c:pt idx="1187">
                  <c:v>84.904225</c:v>
                </c:pt>
                <c:pt idx="1188">
                  <c:v>84.9171375</c:v>
                </c:pt>
                <c:pt idx="1189">
                  <c:v>84.93005000000001</c:v>
                </c:pt>
                <c:pt idx="1190">
                  <c:v>84.9429625</c:v>
                </c:pt>
                <c:pt idx="1191">
                  <c:v>84.95587499999999</c:v>
                </c:pt>
                <c:pt idx="1192">
                  <c:v>84.9687875</c:v>
                </c:pt>
                <c:pt idx="1193">
                  <c:v>84.98169999999999</c:v>
                </c:pt>
                <c:pt idx="1194">
                  <c:v>84.9946125</c:v>
                </c:pt>
                <c:pt idx="1195">
                  <c:v>85.007525</c:v>
                </c:pt>
                <c:pt idx="1196">
                  <c:v>85.0204375</c:v>
                </c:pt>
                <c:pt idx="1197">
                  <c:v>85.03335</c:v>
                </c:pt>
                <c:pt idx="1198">
                  <c:v>85.0462625</c:v>
                </c:pt>
                <c:pt idx="1199">
                  <c:v>85.059175</c:v>
                </c:pt>
                <c:pt idx="1200">
                  <c:v>85.0720875</c:v>
                </c:pt>
                <c:pt idx="1201">
                  <c:v>85.08500000000001</c:v>
                </c:pt>
                <c:pt idx="1202">
                  <c:v>85.09791249999999</c:v>
                </c:pt>
                <c:pt idx="1203">
                  <c:v>85.110825</c:v>
                </c:pt>
                <c:pt idx="1204">
                  <c:v>85.12373749999999</c:v>
                </c:pt>
                <c:pt idx="1205">
                  <c:v>85.13665</c:v>
                </c:pt>
                <c:pt idx="1206">
                  <c:v>85.1495625</c:v>
                </c:pt>
                <c:pt idx="1207">
                  <c:v>85.16247499999999</c:v>
                </c:pt>
                <c:pt idx="1208">
                  <c:v>85.1753875</c:v>
                </c:pt>
                <c:pt idx="1209">
                  <c:v>85.1883</c:v>
                </c:pt>
                <c:pt idx="1210">
                  <c:v>85.2012125</c:v>
                </c:pt>
                <c:pt idx="1211">
                  <c:v>85.214125</c:v>
                </c:pt>
                <c:pt idx="1212">
                  <c:v>85.22703750000001</c:v>
                </c:pt>
                <c:pt idx="1213">
                  <c:v>85.23995</c:v>
                </c:pt>
                <c:pt idx="1214">
                  <c:v>85.25286249999999</c:v>
                </c:pt>
                <c:pt idx="1215">
                  <c:v>85.265775</c:v>
                </c:pt>
                <c:pt idx="1216">
                  <c:v>85.27868749999999</c:v>
                </c:pt>
                <c:pt idx="1217">
                  <c:v>85.2916</c:v>
                </c:pt>
                <c:pt idx="1218">
                  <c:v>85.3045125</c:v>
                </c:pt>
                <c:pt idx="1219">
                  <c:v>85.317425</c:v>
                </c:pt>
                <c:pt idx="1220">
                  <c:v>85.3303375</c:v>
                </c:pt>
                <c:pt idx="1221">
                  <c:v>85.34325</c:v>
                </c:pt>
                <c:pt idx="1222">
                  <c:v>85.3561625</c:v>
                </c:pt>
                <c:pt idx="1223">
                  <c:v>85.369075</c:v>
                </c:pt>
                <c:pt idx="1224">
                  <c:v>85.38198750000001</c:v>
                </c:pt>
                <c:pt idx="1225">
                  <c:v>85.39489999999999</c:v>
                </c:pt>
                <c:pt idx="1226">
                  <c:v>85.4078125</c:v>
                </c:pt>
                <c:pt idx="1227">
                  <c:v>85.42072499999999</c:v>
                </c:pt>
                <c:pt idx="1228">
                  <c:v>85.4336375</c:v>
                </c:pt>
                <c:pt idx="1229">
                  <c:v>85.44655</c:v>
                </c:pt>
                <c:pt idx="1230">
                  <c:v>85.45946249999999</c:v>
                </c:pt>
                <c:pt idx="1231">
                  <c:v>85.472375</c:v>
                </c:pt>
                <c:pt idx="1232">
                  <c:v>85.4852875</c:v>
                </c:pt>
                <c:pt idx="1233">
                  <c:v>85.4982</c:v>
                </c:pt>
                <c:pt idx="1234">
                  <c:v>85.5111125</c:v>
                </c:pt>
                <c:pt idx="1235">
                  <c:v>85.52402500000001</c:v>
                </c:pt>
                <c:pt idx="1236">
                  <c:v>85.5369375</c:v>
                </c:pt>
                <c:pt idx="1237">
                  <c:v>85.54984999999999</c:v>
                </c:pt>
                <c:pt idx="1238">
                  <c:v>85.5627625</c:v>
                </c:pt>
                <c:pt idx="1239">
                  <c:v>85.57567499999999</c:v>
                </c:pt>
                <c:pt idx="1240">
                  <c:v>85.5885875</c:v>
                </c:pt>
                <c:pt idx="1241">
                  <c:v>85.6015</c:v>
                </c:pt>
                <c:pt idx="1242">
                  <c:v>85.6144125</c:v>
                </c:pt>
                <c:pt idx="1243">
                  <c:v>85.627325</c:v>
                </c:pt>
                <c:pt idx="1244">
                  <c:v>85.6402375</c:v>
                </c:pt>
                <c:pt idx="1245">
                  <c:v>85.65315</c:v>
                </c:pt>
                <c:pt idx="1246">
                  <c:v>85.6660625</c:v>
                </c:pt>
                <c:pt idx="1247">
                  <c:v>85.67897500000001</c:v>
                </c:pt>
                <c:pt idx="1248">
                  <c:v>85.69188749999999</c:v>
                </c:pt>
                <c:pt idx="1249">
                  <c:v>85.7048</c:v>
                </c:pt>
                <c:pt idx="1250">
                  <c:v>85.71771249999999</c:v>
                </c:pt>
                <c:pt idx="1251">
                  <c:v>85.730625</c:v>
                </c:pt>
                <c:pt idx="1252">
                  <c:v>85.7435375</c:v>
                </c:pt>
                <c:pt idx="1253">
                  <c:v>85.75644999999999</c:v>
                </c:pt>
                <c:pt idx="1254">
                  <c:v>85.7693625</c:v>
                </c:pt>
                <c:pt idx="1255">
                  <c:v>85.782275</c:v>
                </c:pt>
                <c:pt idx="1256">
                  <c:v>85.7951875</c:v>
                </c:pt>
                <c:pt idx="1257">
                  <c:v>85.8081</c:v>
                </c:pt>
                <c:pt idx="1258">
                  <c:v>85.82101250000001</c:v>
                </c:pt>
                <c:pt idx="1259">
                  <c:v>85.833925</c:v>
                </c:pt>
                <c:pt idx="1260">
                  <c:v>85.84683749999999</c:v>
                </c:pt>
                <c:pt idx="1261">
                  <c:v>85.85975</c:v>
                </c:pt>
                <c:pt idx="1262">
                  <c:v>85.87266249999999</c:v>
                </c:pt>
                <c:pt idx="1263">
                  <c:v>85.885575</c:v>
                </c:pt>
                <c:pt idx="1264">
                  <c:v>85.8984875</c:v>
                </c:pt>
                <c:pt idx="1265">
                  <c:v>85.9114</c:v>
                </c:pt>
                <c:pt idx="1266">
                  <c:v>85.9243125</c:v>
                </c:pt>
                <c:pt idx="1267">
                  <c:v>85.937225</c:v>
                </c:pt>
                <c:pt idx="1268">
                  <c:v>85.9501375</c:v>
                </c:pt>
                <c:pt idx="1269">
                  <c:v>85.96305</c:v>
                </c:pt>
                <c:pt idx="1270">
                  <c:v>85.9759625</c:v>
                </c:pt>
                <c:pt idx="1271">
                  <c:v>85.988875</c:v>
                </c:pt>
                <c:pt idx="1272">
                  <c:v>86.0017875</c:v>
                </c:pt>
                <c:pt idx="1273">
                  <c:v>86.01469999999999</c:v>
                </c:pt>
                <c:pt idx="1274">
                  <c:v>86.0276125</c:v>
                </c:pt>
                <c:pt idx="1275">
                  <c:v>86.040525</c:v>
                </c:pt>
                <c:pt idx="1276">
                  <c:v>86.05343749999999</c:v>
                </c:pt>
                <c:pt idx="1277">
                  <c:v>86.06635</c:v>
                </c:pt>
                <c:pt idx="1278">
                  <c:v>86.0792625</c:v>
                </c:pt>
                <c:pt idx="1279">
                  <c:v>86.092175</c:v>
                </c:pt>
                <c:pt idx="1280">
                  <c:v>86.1050875</c:v>
                </c:pt>
                <c:pt idx="1281">
                  <c:v>86.11800000000001</c:v>
                </c:pt>
                <c:pt idx="1282">
                  <c:v>86.1309125</c:v>
                </c:pt>
                <c:pt idx="1283">
                  <c:v>86.14382499999999</c:v>
                </c:pt>
                <c:pt idx="1284">
                  <c:v>86.15673749999999</c:v>
                </c:pt>
                <c:pt idx="1285">
                  <c:v>86.16964999999999</c:v>
                </c:pt>
                <c:pt idx="1286">
                  <c:v>86.1825625</c:v>
                </c:pt>
                <c:pt idx="1287">
                  <c:v>86.195475</c:v>
                </c:pt>
                <c:pt idx="1288">
                  <c:v>86.2083875</c:v>
                </c:pt>
                <c:pt idx="1289">
                  <c:v>86.2213</c:v>
                </c:pt>
                <c:pt idx="1290">
                  <c:v>86.2342125</c:v>
                </c:pt>
                <c:pt idx="1291">
                  <c:v>86.247125</c:v>
                </c:pt>
                <c:pt idx="1292">
                  <c:v>86.2600375</c:v>
                </c:pt>
                <c:pt idx="1293">
                  <c:v>86.27295</c:v>
                </c:pt>
                <c:pt idx="1294">
                  <c:v>86.2858625</c:v>
                </c:pt>
                <c:pt idx="1295">
                  <c:v>86.298775</c:v>
                </c:pt>
                <c:pt idx="1296">
                  <c:v>86.31168749999999</c:v>
                </c:pt>
                <c:pt idx="1297">
                  <c:v>86.3246</c:v>
                </c:pt>
                <c:pt idx="1298">
                  <c:v>86.3375125</c:v>
                </c:pt>
                <c:pt idx="1299">
                  <c:v>86.35042499999999</c:v>
                </c:pt>
                <c:pt idx="1300">
                  <c:v>86.3633375</c:v>
                </c:pt>
                <c:pt idx="1301">
                  <c:v>86.37625</c:v>
                </c:pt>
                <c:pt idx="1302">
                  <c:v>86.3891625</c:v>
                </c:pt>
                <c:pt idx="1303">
                  <c:v>86.402075</c:v>
                </c:pt>
                <c:pt idx="1304">
                  <c:v>86.41498750000001</c:v>
                </c:pt>
                <c:pt idx="1305">
                  <c:v>86.4279</c:v>
                </c:pt>
                <c:pt idx="1306">
                  <c:v>86.44081249999999</c:v>
                </c:pt>
                <c:pt idx="1307">
                  <c:v>86.45372499999999</c:v>
                </c:pt>
                <c:pt idx="1308">
                  <c:v>86.46663749999999</c:v>
                </c:pt>
                <c:pt idx="1309">
                  <c:v>86.47955</c:v>
                </c:pt>
                <c:pt idx="1310">
                  <c:v>86.4924625</c:v>
                </c:pt>
                <c:pt idx="1311">
                  <c:v>86.505375</c:v>
                </c:pt>
                <c:pt idx="1312">
                  <c:v>86.5182875</c:v>
                </c:pt>
                <c:pt idx="1313">
                  <c:v>86.5312</c:v>
                </c:pt>
                <c:pt idx="1314">
                  <c:v>86.5441125</c:v>
                </c:pt>
                <c:pt idx="1315">
                  <c:v>86.557025</c:v>
                </c:pt>
                <c:pt idx="1316">
                  <c:v>86.5699375</c:v>
                </c:pt>
                <c:pt idx="1317">
                  <c:v>86.58285</c:v>
                </c:pt>
                <c:pt idx="1318">
                  <c:v>86.5957625</c:v>
                </c:pt>
                <c:pt idx="1319">
                  <c:v>86.60867499999999</c:v>
                </c:pt>
                <c:pt idx="1320">
                  <c:v>86.6215875</c:v>
                </c:pt>
                <c:pt idx="1321">
                  <c:v>86.6345</c:v>
                </c:pt>
                <c:pt idx="1322">
                  <c:v>86.64741249999999</c:v>
                </c:pt>
                <c:pt idx="1323">
                  <c:v>86.660325</c:v>
                </c:pt>
                <c:pt idx="1324">
                  <c:v>86.6732375</c:v>
                </c:pt>
                <c:pt idx="1325">
                  <c:v>86.68615</c:v>
                </c:pt>
                <c:pt idx="1326">
                  <c:v>86.6990625</c:v>
                </c:pt>
                <c:pt idx="1327">
                  <c:v>86.71197500000001</c:v>
                </c:pt>
                <c:pt idx="1328">
                  <c:v>86.7248875</c:v>
                </c:pt>
                <c:pt idx="1329">
                  <c:v>86.7378</c:v>
                </c:pt>
                <c:pt idx="1330">
                  <c:v>86.75071249999999</c:v>
                </c:pt>
                <c:pt idx="1331">
                  <c:v>86.76362499999999</c:v>
                </c:pt>
                <c:pt idx="1332">
                  <c:v>86.7765375</c:v>
                </c:pt>
                <c:pt idx="1333">
                  <c:v>86.78945</c:v>
                </c:pt>
                <c:pt idx="1334">
                  <c:v>86.8023625</c:v>
                </c:pt>
                <c:pt idx="1335">
                  <c:v>86.815275</c:v>
                </c:pt>
                <c:pt idx="1336">
                  <c:v>86.8281875</c:v>
                </c:pt>
                <c:pt idx="1337">
                  <c:v>86.8411</c:v>
                </c:pt>
                <c:pt idx="1338">
                  <c:v>86.8540125</c:v>
                </c:pt>
                <c:pt idx="1339">
                  <c:v>86.866925</c:v>
                </c:pt>
                <c:pt idx="1340">
                  <c:v>86.8798375</c:v>
                </c:pt>
                <c:pt idx="1341">
                  <c:v>86.89275</c:v>
                </c:pt>
                <c:pt idx="1342">
                  <c:v>86.90566249999999</c:v>
                </c:pt>
                <c:pt idx="1343">
                  <c:v>86.918575</c:v>
                </c:pt>
                <c:pt idx="1344">
                  <c:v>86.9314875</c:v>
                </c:pt>
                <c:pt idx="1345">
                  <c:v>86.94439999999999</c:v>
                </c:pt>
                <c:pt idx="1346">
                  <c:v>86.9573125</c:v>
                </c:pt>
                <c:pt idx="1347">
                  <c:v>86.970225</c:v>
                </c:pt>
                <c:pt idx="1348">
                  <c:v>86.9831375</c:v>
                </c:pt>
                <c:pt idx="1349">
                  <c:v>86.99605</c:v>
                </c:pt>
                <c:pt idx="1350">
                  <c:v>87.00896250000001</c:v>
                </c:pt>
                <c:pt idx="1351">
                  <c:v>87.021875</c:v>
                </c:pt>
                <c:pt idx="1352">
                  <c:v>87.0347875</c:v>
                </c:pt>
                <c:pt idx="1353">
                  <c:v>87.04769999999999</c:v>
                </c:pt>
                <c:pt idx="1354">
                  <c:v>87.06061249999999</c:v>
                </c:pt>
                <c:pt idx="1355">
                  <c:v>87.073525</c:v>
                </c:pt>
                <c:pt idx="1356">
                  <c:v>87.0864375</c:v>
                </c:pt>
                <c:pt idx="1357">
                  <c:v>87.09935</c:v>
                </c:pt>
                <c:pt idx="1358">
                  <c:v>87.1122625</c:v>
                </c:pt>
                <c:pt idx="1359">
                  <c:v>87.125175</c:v>
                </c:pt>
                <c:pt idx="1360">
                  <c:v>87.1380875</c:v>
                </c:pt>
                <c:pt idx="1361">
                  <c:v>87.151</c:v>
                </c:pt>
                <c:pt idx="1362">
                  <c:v>87.1639125</c:v>
                </c:pt>
                <c:pt idx="1363">
                  <c:v>87.176825</c:v>
                </c:pt>
                <c:pt idx="1364">
                  <c:v>87.1897375</c:v>
                </c:pt>
                <c:pt idx="1365">
                  <c:v>87.20264999999999</c:v>
                </c:pt>
                <c:pt idx="1366">
                  <c:v>87.2155625</c:v>
                </c:pt>
                <c:pt idx="1367">
                  <c:v>87.228475</c:v>
                </c:pt>
                <c:pt idx="1368">
                  <c:v>87.24138749999999</c:v>
                </c:pt>
                <c:pt idx="1369">
                  <c:v>87.2543</c:v>
                </c:pt>
                <c:pt idx="1370">
                  <c:v>87.2672125</c:v>
                </c:pt>
                <c:pt idx="1371">
                  <c:v>87.280125</c:v>
                </c:pt>
                <c:pt idx="1372">
                  <c:v>87.2930375</c:v>
                </c:pt>
                <c:pt idx="1373">
                  <c:v>87.30595000000001</c:v>
                </c:pt>
                <c:pt idx="1374">
                  <c:v>87.3188625</c:v>
                </c:pt>
                <c:pt idx="1375">
                  <c:v>87.331775</c:v>
                </c:pt>
                <c:pt idx="1376">
                  <c:v>87.34468749999999</c:v>
                </c:pt>
                <c:pt idx="1377">
                  <c:v>87.35759999999999</c:v>
                </c:pt>
                <c:pt idx="1378">
                  <c:v>87.3705125</c:v>
                </c:pt>
                <c:pt idx="1379">
                  <c:v>87.38342499999999</c:v>
                </c:pt>
                <c:pt idx="1380">
                  <c:v>87.3963375</c:v>
                </c:pt>
                <c:pt idx="1381">
                  <c:v>87.40925</c:v>
                </c:pt>
                <c:pt idx="1382">
                  <c:v>87.4221625</c:v>
                </c:pt>
                <c:pt idx="1383">
                  <c:v>87.435075</c:v>
                </c:pt>
                <c:pt idx="1384">
                  <c:v>87.4479875</c:v>
                </c:pt>
                <c:pt idx="1385">
                  <c:v>87.4609</c:v>
                </c:pt>
                <c:pt idx="1386">
                  <c:v>87.4738125</c:v>
                </c:pt>
                <c:pt idx="1387">
                  <c:v>87.486725</c:v>
                </c:pt>
                <c:pt idx="1388">
                  <c:v>87.49963749999999</c:v>
                </c:pt>
                <c:pt idx="1389">
                  <c:v>87.51255</c:v>
                </c:pt>
                <c:pt idx="1390">
                  <c:v>87.5254625</c:v>
                </c:pt>
                <c:pt idx="1391">
                  <c:v>87.53837499999999</c:v>
                </c:pt>
                <c:pt idx="1392">
                  <c:v>87.5512875</c:v>
                </c:pt>
                <c:pt idx="1393">
                  <c:v>87.56419999999999</c:v>
                </c:pt>
                <c:pt idx="1394">
                  <c:v>87.5771125</c:v>
                </c:pt>
                <c:pt idx="1395">
                  <c:v>87.590025</c:v>
                </c:pt>
                <c:pt idx="1396">
                  <c:v>87.60293750000001</c:v>
                </c:pt>
                <c:pt idx="1397">
                  <c:v>87.61585</c:v>
                </c:pt>
                <c:pt idx="1398">
                  <c:v>87.6287625</c:v>
                </c:pt>
                <c:pt idx="1399">
                  <c:v>87.64167499999999</c:v>
                </c:pt>
                <c:pt idx="1400">
                  <c:v>87.65458749999999</c:v>
                </c:pt>
                <c:pt idx="1401">
                  <c:v>87.6675</c:v>
                </c:pt>
                <c:pt idx="1402">
                  <c:v>87.68041249999999</c:v>
                </c:pt>
                <c:pt idx="1403">
                  <c:v>87.693325</c:v>
                </c:pt>
                <c:pt idx="1404">
                  <c:v>87.7062375</c:v>
                </c:pt>
                <c:pt idx="1405">
                  <c:v>87.71915</c:v>
                </c:pt>
                <c:pt idx="1406">
                  <c:v>87.7320625</c:v>
                </c:pt>
                <c:pt idx="1407">
                  <c:v>87.744975</c:v>
                </c:pt>
                <c:pt idx="1408">
                  <c:v>87.7578875</c:v>
                </c:pt>
                <c:pt idx="1409">
                  <c:v>87.7708</c:v>
                </c:pt>
                <c:pt idx="1410">
                  <c:v>87.78371250000001</c:v>
                </c:pt>
                <c:pt idx="1411">
                  <c:v>87.79662499999999</c:v>
                </c:pt>
                <c:pt idx="1412">
                  <c:v>87.8095375</c:v>
                </c:pt>
                <c:pt idx="1413">
                  <c:v>87.82245</c:v>
                </c:pt>
                <c:pt idx="1414">
                  <c:v>87.83536249999999</c:v>
                </c:pt>
                <c:pt idx="1415">
                  <c:v>87.848275</c:v>
                </c:pt>
                <c:pt idx="1416">
                  <c:v>87.86118749999999</c:v>
                </c:pt>
                <c:pt idx="1417">
                  <c:v>87.8741</c:v>
                </c:pt>
                <c:pt idx="1418">
                  <c:v>87.8870125</c:v>
                </c:pt>
                <c:pt idx="1419">
                  <c:v>87.89992500000001</c:v>
                </c:pt>
                <c:pt idx="1420">
                  <c:v>87.9128375</c:v>
                </c:pt>
                <c:pt idx="1421">
                  <c:v>87.92575</c:v>
                </c:pt>
                <c:pt idx="1422">
                  <c:v>87.93866249999999</c:v>
                </c:pt>
                <c:pt idx="1423">
                  <c:v>87.95157499999999</c:v>
                </c:pt>
                <c:pt idx="1424">
                  <c:v>87.9644875</c:v>
                </c:pt>
                <c:pt idx="1425">
                  <c:v>87.97739999999999</c:v>
                </c:pt>
                <c:pt idx="1426">
                  <c:v>87.9903125</c:v>
                </c:pt>
                <c:pt idx="1427">
                  <c:v>88.003225</c:v>
                </c:pt>
                <c:pt idx="1428">
                  <c:v>88.0161375</c:v>
                </c:pt>
                <c:pt idx="1429">
                  <c:v>88.02905</c:v>
                </c:pt>
                <c:pt idx="1430">
                  <c:v>88.0419625</c:v>
                </c:pt>
                <c:pt idx="1431">
                  <c:v>88.054875</c:v>
                </c:pt>
                <c:pt idx="1432">
                  <c:v>88.0677875</c:v>
                </c:pt>
                <c:pt idx="1433">
                  <c:v>88.08070000000001</c:v>
                </c:pt>
                <c:pt idx="1434">
                  <c:v>88.09361249999999</c:v>
                </c:pt>
                <c:pt idx="1435">
                  <c:v>88.106525</c:v>
                </c:pt>
                <c:pt idx="1436">
                  <c:v>88.1194375</c:v>
                </c:pt>
                <c:pt idx="1437">
                  <c:v>88.13234999999999</c:v>
                </c:pt>
                <c:pt idx="1438">
                  <c:v>88.1452625</c:v>
                </c:pt>
                <c:pt idx="1439">
                  <c:v>88.15817499999999</c:v>
                </c:pt>
                <c:pt idx="1440">
                  <c:v>88.1710875</c:v>
                </c:pt>
                <c:pt idx="1441">
                  <c:v>88.184</c:v>
                </c:pt>
                <c:pt idx="1442">
                  <c:v>88.19691250000001</c:v>
                </c:pt>
                <c:pt idx="1443">
                  <c:v>88.209825</c:v>
                </c:pt>
                <c:pt idx="1444">
                  <c:v>88.2227375</c:v>
                </c:pt>
                <c:pt idx="1445">
                  <c:v>88.23564999999999</c:v>
                </c:pt>
                <c:pt idx="1446">
                  <c:v>88.24856249999999</c:v>
                </c:pt>
                <c:pt idx="1447">
                  <c:v>88.261475</c:v>
                </c:pt>
                <c:pt idx="1448">
                  <c:v>88.27438749999999</c:v>
                </c:pt>
                <c:pt idx="1449">
                  <c:v>88.2873</c:v>
                </c:pt>
                <c:pt idx="1450">
                  <c:v>88.3002125</c:v>
                </c:pt>
                <c:pt idx="1451">
                  <c:v>88.313125</c:v>
                </c:pt>
                <c:pt idx="1452">
                  <c:v>88.3260375</c:v>
                </c:pt>
                <c:pt idx="1453">
                  <c:v>88.33895</c:v>
                </c:pt>
                <c:pt idx="1454">
                  <c:v>88.3518625</c:v>
                </c:pt>
                <c:pt idx="1455">
                  <c:v>88.364775</c:v>
                </c:pt>
                <c:pt idx="1456">
                  <c:v>88.37768750000001</c:v>
                </c:pt>
                <c:pt idx="1457">
                  <c:v>88.39059999999999</c:v>
                </c:pt>
                <c:pt idx="1458">
                  <c:v>88.4035125</c:v>
                </c:pt>
                <c:pt idx="1459">
                  <c:v>88.416425</c:v>
                </c:pt>
                <c:pt idx="1460">
                  <c:v>88.42933749999999</c:v>
                </c:pt>
                <c:pt idx="1461">
                  <c:v>88.44225</c:v>
                </c:pt>
                <c:pt idx="1462">
                  <c:v>88.45516249999999</c:v>
                </c:pt>
                <c:pt idx="1463">
                  <c:v>88.468075</c:v>
                </c:pt>
                <c:pt idx="1464">
                  <c:v>88.4809875</c:v>
                </c:pt>
                <c:pt idx="1465">
                  <c:v>88.4939</c:v>
                </c:pt>
                <c:pt idx="1466">
                  <c:v>88.5068125</c:v>
                </c:pt>
                <c:pt idx="1467">
                  <c:v>88.519725</c:v>
                </c:pt>
                <c:pt idx="1468">
                  <c:v>88.53263749999999</c:v>
                </c:pt>
                <c:pt idx="1469">
                  <c:v>88.54554999999999</c:v>
                </c:pt>
                <c:pt idx="1470">
                  <c:v>88.5584625</c:v>
                </c:pt>
                <c:pt idx="1471">
                  <c:v>88.57137499999999</c:v>
                </c:pt>
                <c:pt idx="1472">
                  <c:v>88.5842875</c:v>
                </c:pt>
                <c:pt idx="1473">
                  <c:v>88.5972</c:v>
                </c:pt>
                <c:pt idx="1474">
                  <c:v>88.6101125</c:v>
                </c:pt>
                <c:pt idx="1475">
                  <c:v>88.623025</c:v>
                </c:pt>
                <c:pt idx="1476">
                  <c:v>88.6359375</c:v>
                </c:pt>
                <c:pt idx="1477">
                  <c:v>88.64885</c:v>
                </c:pt>
                <c:pt idx="1478">
                  <c:v>88.6617625</c:v>
                </c:pt>
                <c:pt idx="1479">
                  <c:v>88.674675</c:v>
                </c:pt>
                <c:pt idx="1480">
                  <c:v>88.68758749999999</c:v>
                </c:pt>
                <c:pt idx="1481">
                  <c:v>88.7005</c:v>
                </c:pt>
                <c:pt idx="1482">
                  <c:v>88.7134125</c:v>
                </c:pt>
                <c:pt idx="1483">
                  <c:v>88.72632499999999</c:v>
                </c:pt>
                <c:pt idx="1484">
                  <c:v>88.7392375</c:v>
                </c:pt>
                <c:pt idx="1485">
                  <c:v>88.75214999999999</c:v>
                </c:pt>
                <c:pt idx="1486">
                  <c:v>88.7650625</c:v>
                </c:pt>
                <c:pt idx="1487">
                  <c:v>88.777975</c:v>
                </c:pt>
                <c:pt idx="1488">
                  <c:v>88.7908875</c:v>
                </c:pt>
                <c:pt idx="1489">
                  <c:v>88.8038</c:v>
                </c:pt>
                <c:pt idx="1490">
                  <c:v>88.8167125</c:v>
                </c:pt>
                <c:pt idx="1491">
                  <c:v>88.829625</c:v>
                </c:pt>
                <c:pt idx="1492">
                  <c:v>88.84253749999999</c:v>
                </c:pt>
                <c:pt idx="1493">
                  <c:v>88.85545</c:v>
                </c:pt>
                <c:pt idx="1494">
                  <c:v>88.86836249999999</c:v>
                </c:pt>
                <c:pt idx="1495">
                  <c:v>88.881275</c:v>
                </c:pt>
                <c:pt idx="1496">
                  <c:v>88.8941875</c:v>
                </c:pt>
                <c:pt idx="1497">
                  <c:v>88.9071</c:v>
                </c:pt>
                <c:pt idx="1498">
                  <c:v>88.9200125</c:v>
                </c:pt>
                <c:pt idx="1499">
                  <c:v>88.932925</c:v>
                </c:pt>
                <c:pt idx="1500">
                  <c:v>88.9458375</c:v>
                </c:pt>
                <c:pt idx="1501">
                  <c:v>88.95875</c:v>
                </c:pt>
                <c:pt idx="1502">
                  <c:v>88.9716625</c:v>
                </c:pt>
                <c:pt idx="1503">
                  <c:v>88.98457499999999</c:v>
                </c:pt>
                <c:pt idx="1504">
                  <c:v>88.9974875</c:v>
                </c:pt>
                <c:pt idx="1505">
                  <c:v>89.0104</c:v>
                </c:pt>
                <c:pt idx="1506">
                  <c:v>89.02331249999999</c:v>
                </c:pt>
                <c:pt idx="1507">
                  <c:v>89.036225</c:v>
                </c:pt>
                <c:pt idx="1508">
                  <c:v>89.04913749999999</c:v>
                </c:pt>
                <c:pt idx="1509">
                  <c:v>89.06205</c:v>
                </c:pt>
                <c:pt idx="1510">
                  <c:v>89.0749625</c:v>
                </c:pt>
                <c:pt idx="1511">
                  <c:v>89.087875</c:v>
                </c:pt>
                <c:pt idx="1512">
                  <c:v>89.1007875</c:v>
                </c:pt>
                <c:pt idx="1513">
                  <c:v>89.1137</c:v>
                </c:pt>
                <c:pt idx="1514">
                  <c:v>89.1266125</c:v>
                </c:pt>
                <c:pt idx="1515">
                  <c:v>89.13952499999999</c:v>
                </c:pt>
                <c:pt idx="1516">
                  <c:v>89.1524375</c:v>
                </c:pt>
                <c:pt idx="1517">
                  <c:v>89.16534999999999</c:v>
                </c:pt>
                <c:pt idx="1518">
                  <c:v>89.1782625</c:v>
                </c:pt>
                <c:pt idx="1519">
                  <c:v>89.191175</c:v>
                </c:pt>
                <c:pt idx="1520">
                  <c:v>89.2040875</c:v>
                </c:pt>
                <c:pt idx="1521">
                  <c:v>89.217</c:v>
                </c:pt>
                <c:pt idx="1522">
                  <c:v>89.2299125</c:v>
                </c:pt>
                <c:pt idx="1523">
                  <c:v>89.242825</c:v>
                </c:pt>
                <c:pt idx="1524">
                  <c:v>89.2557375</c:v>
                </c:pt>
                <c:pt idx="1525">
                  <c:v>89.26865</c:v>
                </c:pt>
                <c:pt idx="1526">
                  <c:v>89.28156249999999</c:v>
                </c:pt>
                <c:pt idx="1527">
                  <c:v>89.294475</c:v>
                </c:pt>
                <c:pt idx="1528">
                  <c:v>89.30738749999999</c:v>
                </c:pt>
                <c:pt idx="1529">
                  <c:v>89.32029999999999</c:v>
                </c:pt>
                <c:pt idx="1530">
                  <c:v>89.3332125</c:v>
                </c:pt>
                <c:pt idx="1531">
                  <c:v>89.34612499999999</c:v>
                </c:pt>
                <c:pt idx="1532">
                  <c:v>89.3590375</c:v>
                </c:pt>
                <c:pt idx="1533">
                  <c:v>89.37195</c:v>
                </c:pt>
                <c:pt idx="1534">
                  <c:v>89.3848625</c:v>
                </c:pt>
                <c:pt idx="1535">
                  <c:v>89.397775</c:v>
                </c:pt>
                <c:pt idx="1536">
                  <c:v>89.4106875</c:v>
                </c:pt>
                <c:pt idx="1537">
                  <c:v>89.4236</c:v>
                </c:pt>
                <c:pt idx="1538">
                  <c:v>89.43651249999999</c:v>
                </c:pt>
                <c:pt idx="1539">
                  <c:v>89.449425</c:v>
                </c:pt>
                <c:pt idx="1540">
                  <c:v>89.46233749999999</c:v>
                </c:pt>
                <c:pt idx="1541">
                  <c:v>89.47525</c:v>
                </c:pt>
                <c:pt idx="1542">
                  <c:v>89.4881625</c:v>
                </c:pt>
                <c:pt idx="1543">
                  <c:v>89.501075</c:v>
                </c:pt>
                <c:pt idx="1544">
                  <c:v>89.5139875</c:v>
                </c:pt>
                <c:pt idx="1545">
                  <c:v>89.5269</c:v>
                </c:pt>
                <c:pt idx="1546">
                  <c:v>89.5398125</c:v>
                </c:pt>
                <c:pt idx="1547">
                  <c:v>89.552725</c:v>
                </c:pt>
                <c:pt idx="1548">
                  <c:v>89.5656375</c:v>
                </c:pt>
                <c:pt idx="1549">
                  <c:v>89.57854999999999</c:v>
                </c:pt>
                <c:pt idx="1550">
                  <c:v>89.5914625</c:v>
                </c:pt>
                <c:pt idx="1551">
                  <c:v>89.60437499999999</c:v>
                </c:pt>
                <c:pt idx="1552">
                  <c:v>89.61728749999999</c:v>
                </c:pt>
                <c:pt idx="1553">
                  <c:v>89.6302</c:v>
                </c:pt>
                <c:pt idx="1554">
                  <c:v>89.64311249999999</c:v>
                </c:pt>
                <c:pt idx="1555">
                  <c:v>89.656025</c:v>
                </c:pt>
                <c:pt idx="1556">
                  <c:v>89.6689375</c:v>
                </c:pt>
                <c:pt idx="1557">
                  <c:v>89.68185</c:v>
                </c:pt>
                <c:pt idx="1558">
                  <c:v>89.6947625</c:v>
                </c:pt>
                <c:pt idx="1559">
                  <c:v>89.707675</c:v>
                </c:pt>
                <c:pt idx="1560">
                  <c:v>89.7205875</c:v>
                </c:pt>
                <c:pt idx="1561">
                  <c:v>89.73349999999999</c:v>
                </c:pt>
                <c:pt idx="1562">
                  <c:v>89.7464125</c:v>
                </c:pt>
                <c:pt idx="1563">
                  <c:v>89.75932499999999</c:v>
                </c:pt>
                <c:pt idx="1564">
                  <c:v>89.7722375</c:v>
                </c:pt>
                <c:pt idx="1565">
                  <c:v>89.78515</c:v>
                </c:pt>
                <c:pt idx="1566">
                  <c:v>89.7980625</c:v>
                </c:pt>
                <c:pt idx="1567">
                  <c:v>89.810975</c:v>
                </c:pt>
                <c:pt idx="1568">
                  <c:v>89.8238875</c:v>
                </c:pt>
                <c:pt idx="1569">
                  <c:v>89.8368</c:v>
                </c:pt>
                <c:pt idx="1570">
                  <c:v>89.8497125</c:v>
                </c:pt>
                <c:pt idx="1571">
                  <c:v>89.862625</c:v>
                </c:pt>
                <c:pt idx="1572">
                  <c:v>89.8755375</c:v>
                </c:pt>
                <c:pt idx="1573">
                  <c:v>89.88845</c:v>
                </c:pt>
                <c:pt idx="1574">
                  <c:v>89.90136249999999</c:v>
                </c:pt>
                <c:pt idx="1575">
                  <c:v>89.91427499999999</c:v>
                </c:pt>
                <c:pt idx="1576">
                  <c:v>89.9271875</c:v>
                </c:pt>
                <c:pt idx="1577">
                  <c:v>89.94009999999999</c:v>
                </c:pt>
                <c:pt idx="1578">
                  <c:v>89.9530125</c:v>
                </c:pt>
                <c:pt idx="1579">
                  <c:v>89.965925</c:v>
                </c:pt>
                <c:pt idx="1580">
                  <c:v>89.9788375</c:v>
                </c:pt>
                <c:pt idx="1581">
                  <c:v>89.99175</c:v>
                </c:pt>
                <c:pt idx="1582">
                  <c:v>90.0046625</c:v>
                </c:pt>
                <c:pt idx="1583">
                  <c:v>90.017575</c:v>
                </c:pt>
                <c:pt idx="1584">
                  <c:v>90.03048749999999</c:v>
                </c:pt>
                <c:pt idx="1585">
                  <c:v>90.0434</c:v>
                </c:pt>
                <c:pt idx="1586">
                  <c:v>90.05631249999999</c:v>
                </c:pt>
                <c:pt idx="1587">
                  <c:v>90.069225</c:v>
                </c:pt>
                <c:pt idx="1588">
                  <c:v>90.0821375</c:v>
                </c:pt>
                <c:pt idx="1589">
                  <c:v>90.09505</c:v>
                </c:pt>
                <c:pt idx="1590">
                  <c:v>90.1079625</c:v>
                </c:pt>
                <c:pt idx="1591">
                  <c:v>90.120875</c:v>
                </c:pt>
                <c:pt idx="1592">
                  <c:v>90.1337875</c:v>
                </c:pt>
                <c:pt idx="1593">
                  <c:v>90.1467</c:v>
                </c:pt>
                <c:pt idx="1594">
                  <c:v>90.1596125</c:v>
                </c:pt>
                <c:pt idx="1595">
                  <c:v>90.172525</c:v>
                </c:pt>
                <c:pt idx="1596">
                  <c:v>90.1854375</c:v>
                </c:pt>
                <c:pt idx="1597">
                  <c:v>90.19834999999999</c:v>
                </c:pt>
                <c:pt idx="1598">
                  <c:v>90.21126249999999</c:v>
                </c:pt>
                <c:pt idx="1599">
                  <c:v>90.224175</c:v>
                </c:pt>
                <c:pt idx="1600">
                  <c:v>90.23708749999999</c:v>
                </c:pt>
                <c:pt idx="1601">
                  <c:v>90.25</c:v>
                </c:pt>
              </c:numCache>
            </c:numRef>
          </c:xVal>
          <c:yVal>
            <c:numRef>
              <c:f>TICH_PHAN_SO_V!$U$6:$U$1607</c:f>
              <c:numCache>
                <c:formatCode>General</c:formatCode>
                <c:ptCount val="1602"/>
                <c:pt idx="0">
                  <c:v>0.0</c:v>
                </c:pt>
                <c:pt idx="1">
                  <c:v>0.0898256905323663</c:v>
                </c:pt>
                <c:pt idx="2">
                  <c:v>0.17958760960631948</c:v>
                </c:pt>
                <c:pt idx="3">
                  <c:v>0.26928608421348516</c:v>
                </c:pt>
                <c:pt idx="4">
                  <c:v>0.35892144015114247</c:v>
                </c:pt>
                <c:pt idx="5">
                  <c:v>0.44849400203070056</c:v>
                </c:pt>
                <c:pt idx="6">
                  <c:v>0.5380040932861683</c:v>
                </c:pt>
                <c:pt idx="7">
                  <c:v>0.6274520361825091</c:v>
                </c:pt>
                <c:pt idx="8">
                  <c:v>0.7168381518240263</c:v>
                </c:pt>
                <c:pt idx="9">
                  <c:v>0.806162760162599</c:v>
                </c:pt>
                <c:pt idx="10">
                  <c:v>0.8954261800059127</c:v>
                </c:pt>
                <c:pt idx="11">
                  <c:v>0.9846287290255782</c:v>
                </c:pt>
                <c:pt idx="12">
                  <c:v>1.073770723765283</c:v>
                </c:pt>
                <c:pt idx="13">
                  <c:v>1.162852479648795</c:v>
                </c:pt>
                <c:pt idx="14">
                  <c:v>1.2518743109879638</c:v>
                </c:pt>
                <c:pt idx="15">
                  <c:v>1.3408365309906125</c:v>
                </c:pt>
                <c:pt idx="16">
                  <c:v>1.4297394517684636</c:v>
                </c:pt>
                <c:pt idx="17">
                  <c:v>1.5185833843449195</c:v>
                </c:pt>
                <c:pt idx="18">
                  <c:v>1.6073686386628436</c:v>
                </c:pt>
                <c:pt idx="19">
                  <c:v>1.6960955235922333</c:v>
                </c:pt>
                <c:pt idx="20">
                  <c:v>1.7847643469379277</c:v>
                </c:pt>
                <c:pt idx="21">
                  <c:v>1.8733754154471762</c:v>
                </c:pt>
                <c:pt idx="22">
                  <c:v>1.9619290348172047</c:v>
                </c:pt>
                <c:pt idx="23">
                  <c:v>2.050425509702679</c:v>
                </c:pt>
                <c:pt idx="24">
                  <c:v>2.1388651437232045</c:v>
                </c:pt>
                <c:pt idx="25">
                  <c:v>2.2272482394706965</c:v>
                </c:pt>
                <c:pt idx="26">
                  <c:v>2.315575098516697</c:v>
                </c:pt>
                <c:pt idx="27">
                  <c:v>2.4038460214197257</c:v>
                </c:pt>
                <c:pt idx="28">
                  <c:v>2.49206130773249</c:v>
                </c:pt>
                <c:pt idx="29">
                  <c:v>2.5802212560090982</c:v>
                </c:pt>
                <c:pt idx="30">
                  <c:v>2.6683261638121754</c:v>
                </c:pt>
                <c:pt idx="31">
                  <c:v>2.756376327720015</c:v>
                </c:pt>
                <c:pt idx="32">
                  <c:v>2.844372043333598</c:v>
                </c:pt>
                <c:pt idx="33">
                  <c:v>2.932313605283615</c:v>
                </c:pt>
                <c:pt idx="34">
                  <c:v>3.0202013072373903</c:v>
                </c:pt>
                <c:pt idx="35">
                  <c:v>3.1080354419058485</c:v>
                </c:pt>
                <c:pt idx="36">
                  <c:v>3.1958163010503458</c:v>
                </c:pt>
                <c:pt idx="37">
                  <c:v>3.283544175489509</c:v>
                </c:pt>
                <c:pt idx="38">
                  <c:v>3.371219355105978</c:v>
                </c:pt>
                <c:pt idx="39">
                  <c:v>3.4588421288531888</c:v>
                </c:pt>
                <c:pt idx="40">
                  <c:v>3.546412784762037</c:v>
                </c:pt>
                <c:pt idx="41">
                  <c:v>3.6339316099474948</c:v>
                </c:pt>
                <c:pt idx="42">
                  <c:v>3.7213988906152653</c:v>
                </c:pt>
                <c:pt idx="43">
                  <c:v>3.8088149120683052</c:v>
                </c:pt>
                <c:pt idx="44">
                  <c:v>3.896179958713349</c:v>
                </c:pt>
                <c:pt idx="45">
                  <c:v>3.983494314067393</c:v>
                </c:pt>
                <c:pt idx="46">
                  <c:v>4.070758260764089</c:v>
                </c:pt>
                <c:pt idx="47">
                  <c:v>4.157972080560191</c:v>
                </c:pt>
                <c:pt idx="48">
                  <c:v>4.245136054341877</c:v>
                </c:pt>
                <c:pt idx="49">
                  <c:v>4.332250462131032</c:v>
                </c:pt>
                <c:pt idx="50">
                  <c:v>4.41931558309157</c:v>
                </c:pt>
                <c:pt idx="51">
                  <c:v>4.506331695535627</c:v>
                </c:pt>
                <c:pt idx="52">
                  <c:v>4.593299076929771</c:v>
                </c:pt>
                <c:pt idx="53">
                  <c:v>4.680218003901118</c:v>
                </c:pt>
                <c:pt idx="54">
                  <c:v>4.767088752243492</c:v>
                </c:pt>
                <c:pt idx="55">
                  <c:v>4.853911596923471</c:v>
                </c:pt>
                <c:pt idx="56">
                  <c:v>4.940686812086436</c:v>
                </c:pt>
                <c:pt idx="57">
                  <c:v>5.027414671062536</c:v>
                </c:pt>
                <c:pt idx="58">
                  <c:v>5.114095446372701</c:v>
                </c:pt>
                <c:pt idx="59">
                  <c:v>5.200729409734535</c:v>
                </c:pt>
                <c:pt idx="60">
                  <c:v>5.287316832068217</c:v>
                </c:pt>
                <c:pt idx="61">
                  <c:v>5.373857983502319</c:v>
                </c:pt>
                <c:pt idx="62">
                  <c:v>5.460353133379677</c:v>
                </c:pt>
                <c:pt idx="63">
                  <c:v>5.546802550263142</c:v>
                </c:pt>
                <c:pt idx="64">
                  <c:v>5.633206501941303</c:v>
                </c:pt>
                <c:pt idx="65">
                  <c:v>5.7195652554342455</c:v>
                </c:pt>
                <c:pt idx="66">
                  <c:v>5.805879076999196</c:v>
                </c:pt>
                <c:pt idx="67">
                  <c:v>5.892148232136172</c:v>
                </c:pt>
                <c:pt idx="68">
                  <c:v>5.978372985593597</c:v>
                </c:pt>
                <c:pt idx="69">
                  <c:v>6.0645536013738415</c:v>
                </c:pt>
                <c:pt idx="70">
                  <c:v>6.150690342738818</c:v>
                </c:pt>
                <c:pt idx="71">
                  <c:v>6.236783472215459</c:v>
                </c:pt>
                <c:pt idx="72">
                  <c:v>6.322833251601171</c:v>
                </c:pt>
                <c:pt idx="73">
                  <c:v>6.40883994196933</c:v>
                </c:pt>
                <c:pt idx="74">
                  <c:v>6.494803803674653</c:v>
                </c:pt>
                <c:pt idx="75">
                  <c:v>6.580725096358603</c:v>
                </c:pt>
                <c:pt idx="76">
                  <c:v>6.666604078954695</c:v>
                </c:pt>
                <c:pt idx="77">
                  <c:v>6.75244100969387</c:v>
                </c:pt>
                <c:pt idx="78">
                  <c:v>6.838236146109747</c:v>
                </c:pt>
                <c:pt idx="79">
                  <c:v>6.923989745043893</c:v>
                </c:pt>
                <c:pt idx="80">
                  <c:v>7.0097020626510185</c:v>
                </c:pt>
                <c:pt idx="81">
                  <c:v>7.095373354404222</c:v>
                </c:pt>
                <c:pt idx="82">
                  <c:v>7.181003875100123</c:v>
                </c:pt>
                <c:pt idx="83">
                  <c:v>7.266593878864014</c:v>
                </c:pt>
                <c:pt idx="84">
                  <c:v>7.352143619154938</c:v>
                </c:pt>
                <c:pt idx="85">
                  <c:v>7.437653348770815</c:v>
                </c:pt>
                <c:pt idx="86">
                  <c:v>7.523123319853461</c:v>
                </c:pt>
                <c:pt idx="87">
                  <c:v>7.608553783893625</c:v>
                </c:pt>
                <c:pt idx="88">
                  <c:v>7.6939449917359495</c:v>
                </c:pt>
                <c:pt idx="89">
                  <c:v>7.7792971935839885</c:v>
                </c:pt>
                <c:pt idx="90">
                  <c:v>7.864610639005112</c:v>
                </c:pt>
                <c:pt idx="91">
                  <c:v>7.9498855769354355</c:v>
                </c:pt>
                <c:pt idx="92">
                  <c:v>8.03512225568467</c:v>
                </c:pt>
                <c:pt idx="93">
                  <c:v>8.120320922941028</c:v>
                </c:pt>
                <c:pt idx="94">
                  <c:v>8.205481825776037</c:v>
                </c:pt>
                <c:pt idx="95">
                  <c:v>8.290605210649312</c:v>
                </c:pt>
                <c:pt idx="96">
                  <c:v>8.375691323413392</c:v>
                </c:pt>
                <c:pt idx="97">
                  <c:v>8.46074040931845</c:v>
                </c:pt>
                <c:pt idx="98">
                  <c:v>8.545752713017052</c:v>
                </c:pt>
                <c:pt idx="99">
                  <c:v>8.630728478568814</c:v>
                </c:pt>
                <c:pt idx="100">
                  <c:v>8.71566794944514</c:v>
                </c:pt>
                <c:pt idx="101">
                  <c:v>8.80057136853383</c:v>
                </c:pt>
                <c:pt idx="102">
                  <c:v>8.885438978143744</c:v>
                </c:pt>
                <c:pt idx="103">
                  <c:v>8.970271020009353</c:v>
                </c:pt>
                <c:pt idx="104">
                  <c:v>9.055067735295381</c:v>
                </c:pt>
                <c:pt idx="105">
                  <c:v>9.13982936460133</c:v>
                </c:pt>
                <c:pt idx="106">
                  <c:v>9.224556147966021</c:v>
                </c:pt>
                <c:pt idx="107">
                  <c:v>9.309248324872081</c:v>
                </c:pt>
                <c:pt idx="108">
                  <c:v>9.393906134250473</c:v>
                </c:pt>
                <c:pt idx="109">
                  <c:v>9.478529814484927</c:v>
                </c:pt>
                <c:pt idx="110">
                  <c:v>9.5631196034164</c:v>
                </c:pt>
                <c:pt idx="111">
                  <c:v>9.647675738347461</c:v>
                </c:pt>
                <c:pt idx="112">
                  <c:v>9.732198456046737</c:v>
                </c:pt>
                <c:pt idx="113">
                  <c:v>9.816687992753257</c:v>
                </c:pt>
                <c:pt idx="114">
                  <c:v>9.901144584180818</c:v>
                </c:pt>
                <c:pt idx="115">
                  <c:v>9.985568465522281</c:v>
                </c:pt>
                <c:pt idx="116">
                  <c:v>10.06995987145394</c:v>
                </c:pt>
                <c:pt idx="117">
                  <c:v>10.154319036139775</c:v>
                </c:pt>
                <c:pt idx="118">
                  <c:v>10.238646193235704</c:v>
                </c:pt>
                <c:pt idx="119">
                  <c:v>10.322941575893873</c:v>
                </c:pt>
                <c:pt idx="120">
                  <c:v>10.407205416766853</c:v>
                </c:pt>
                <c:pt idx="121">
                  <c:v>10.491437948011855</c:v>
                </c:pt>
                <c:pt idx="122">
                  <c:v>10.575639401294922</c:v>
                </c:pt>
                <c:pt idx="123">
                  <c:v>10.659810007795059</c:v>
                </c:pt>
                <c:pt idx="124">
                  <c:v>10.743949998208441</c:v>
                </c:pt>
                <c:pt idx="125">
                  <c:v>10.828059602752504</c:v>
                </c:pt>
                <c:pt idx="126">
                  <c:v>10.912139051170028</c:v>
                </c:pt>
                <c:pt idx="127">
                  <c:v>10.996188572733285</c:v>
                </c:pt>
                <c:pt idx="128">
                  <c:v>11.080208396248063</c:v>
                </c:pt>
                <c:pt idx="129">
                  <c:v>11.164198750057741</c:v>
                </c:pt>
                <c:pt idx="130">
                  <c:v>11.248159862047286</c:v>
                </c:pt>
                <c:pt idx="131">
                  <c:v>11.332091959647318</c:v>
                </c:pt>
                <c:pt idx="132">
                  <c:v>11.415995269838078</c:v>
                </c:pt>
                <c:pt idx="133">
                  <c:v>11.49987001915338</c:v>
                </c:pt>
                <c:pt idx="134">
                  <c:v>11.583716433684629</c:v>
                </c:pt>
                <c:pt idx="135">
                  <c:v>11.667534739084719</c:v>
                </c:pt>
                <c:pt idx="136">
                  <c:v>11.751325160571971</c:v>
                </c:pt>
                <c:pt idx="137">
                  <c:v>11.83508792293405</c:v>
                </c:pt>
                <c:pt idx="138">
                  <c:v>11.91882325053182</c:v>
                </c:pt>
                <c:pt idx="139">
                  <c:v>12.00253136730327</c:v>
                </c:pt>
                <c:pt idx="140">
                  <c:v>12.086212496767338</c:v>
                </c:pt>
                <c:pt idx="141">
                  <c:v>12.169866862027739</c:v>
                </c:pt>
                <c:pt idx="142">
                  <c:v>12.253494685776827</c:v>
                </c:pt>
                <c:pt idx="143">
                  <c:v>12.337096190299375</c:v>
                </c:pt>
                <c:pt idx="144">
                  <c:v>12.420671597476375</c:v>
                </c:pt>
                <c:pt idx="145">
                  <c:v>12.504221128788819</c:v>
                </c:pt>
                <c:pt idx="146">
                  <c:v>12.587745005321427</c:v>
                </c:pt>
                <c:pt idx="147">
                  <c:v>12.671243447766441</c:v>
                </c:pt>
                <c:pt idx="148">
                  <c:v>12.754716676427332</c:v>
                </c:pt>
                <c:pt idx="149">
                  <c:v>12.838164911222483</c:v>
                </c:pt>
                <c:pt idx="150">
                  <c:v>12.921588371688943</c:v>
                </c:pt>
                <c:pt idx="151">
                  <c:v>13.004987276986071</c:v>
                </c:pt>
                <c:pt idx="152">
                  <c:v>13.088361845899232</c:v>
                </c:pt>
                <c:pt idx="153">
                  <c:v>13.17171229684341</c:v>
                </c:pt>
                <c:pt idx="154">
                  <c:v>13.2550388478669</c:v>
                </c:pt>
                <c:pt idx="155">
                  <c:v>13.338341716654906</c:v>
                </c:pt>
                <c:pt idx="156">
                  <c:v>13.421621120533137</c:v>
                </c:pt>
                <c:pt idx="157">
                  <c:v>13.504877276471445</c:v>
                </c:pt>
                <c:pt idx="158">
                  <c:v>13.588110401087382</c:v>
                </c:pt>
                <c:pt idx="159">
                  <c:v>13.671320710649775</c:v>
                </c:pt>
                <c:pt idx="160">
                  <c:v>13.754508421082294</c:v>
                </c:pt>
                <c:pt idx="161">
                  <c:v>13.837673747966958</c:v>
                </c:pt>
                <c:pt idx="162">
                  <c:v>13.920816906547733</c:v>
                </c:pt>
                <c:pt idx="163">
                  <c:v>14.003938111733971</c:v>
                </c:pt>
                <c:pt idx="164">
                  <c:v>14.087037578103985</c:v>
                </c:pt>
                <c:pt idx="165">
                  <c:v>14.170115519908498</c:v>
                </c:pt>
                <c:pt idx="166">
                  <c:v>14.253172151074134</c:v>
                </c:pt>
                <c:pt idx="167">
                  <c:v>14.336207685206896</c:v>
                </c:pt>
                <c:pt idx="168">
                  <c:v>14.419222335595585</c:v>
                </c:pt>
                <c:pt idx="169">
                  <c:v>14.502216315215291</c:v>
                </c:pt>
                <c:pt idx="170">
                  <c:v>14.585189836730795</c:v>
                </c:pt>
                <c:pt idx="171">
                  <c:v>14.6681431125</c:v>
                </c:pt>
                <c:pt idx="172">
                  <c:v>14.751076354577306</c:v>
                </c:pt>
                <c:pt idx="173">
                  <c:v>14.833989774717056</c:v>
                </c:pt>
                <c:pt idx="174">
                  <c:v>14.916883584376889</c:v>
                </c:pt>
                <c:pt idx="175">
                  <c:v>14.999757994721124</c:v>
                </c:pt>
                <c:pt idx="176">
                  <c:v>15.082613216624095</c:v>
                </c:pt>
                <c:pt idx="177">
                  <c:v>15.165449460673546</c:v>
                </c:pt>
                <c:pt idx="178">
                  <c:v>15.24826693717395</c:v>
                </c:pt>
                <c:pt idx="179">
                  <c:v>15.331065856149811</c:v>
                </c:pt>
                <c:pt idx="180">
                  <c:v>15.413846427349032</c:v>
                </c:pt>
                <c:pt idx="181">
                  <c:v>15.496608860246194</c:v>
                </c:pt>
                <c:pt idx="182">
                  <c:v>15.579353364045856</c:v>
                </c:pt>
                <c:pt idx="183">
                  <c:v>15.662080147685856</c:v>
                </c:pt>
                <c:pt idx="184">
                  <c:v>15.744789419840552</c:v>
                </c:pt>
                <c:pt idx="185">
                  <c:v>15.827481388924152</c:v>
                </c:pt>
                <c:pt idx="186">
                  <c:v>15.9101562630939</c:v>
                </c:pt>
                <c:pt idx="187">
                  <c:v>15.992814250253385</c:v>
                </c:pt>
                <c:pt idx="188">
                  <c:v>16.07545555805575</c:v>
                </c:pt>
                <c:pt idx="189">
                  <c:v>16.15808039390693</c:v>
                </c:pt>
                <c:pt idx="190">
                  <c:v>16.24068896496886</c:v>
                </c:pt>
                <c:pt idx="191">
                  <c:v>16.32328147816269</c:v>
                </c:pt>
                <c:pt idx="192">
                  <c:v>16.405858140172008</c:v>
                </c:pt>
                <c:pt idx="193">
                  <c:v>16.488419157446007</c:v>
                </c:pt>
                <c:pt idx="194">
                  <c:v>16.570964736202686</c:v>
                </c:pt>
                <c:pt idx="195">
                  <c:v>16.653495082432</c:v>
                </c:pt>
                <c:pt idx="196">
                  <c:v>16.736010401899062</c:v>
                </c:pt>
                <c:pt idx="197">
                  <c:v>16.818510900147288</c:v>
                </c:pt>
                <c:pt idx="198">
                  <c:v>16.900996782501547</c:v>
                </c:pt>
                <c:pt idx="199">
                  <c:v>16.983468254071276</c:v>
                </c:pt>
                <c:pt idx="200">
                  <c:v>17.06592551975367</c:v>
                </c:pt>
                <c:pt idx="201">
                  <c:v>17.148368784236773</c:v>
                </c:pt>
                <c:pt idx="202">
                  <c:v>17.230798252002586</c:v>
                </c:pt>
                <c:pt idx="203">
                  <c:v>17.313214127330212</c:v>
                </c:pt>
                <c:pt idx="204">
                  <c:v>17.39561661429894</c:v>
                </c:pt>
                <c:pt idx="205">
                  <c:v>17.47800591679134</c:v>
                </c:pt>
                <c:pt idx="206">
                  <c:v>17.560382238496363</c:v>
                </c:pt>
                <c:pt idx="207">
                  <c:v>17.642745782912396</c:v>
                </c:pt>
                <c:pt idx="208">
                  <c:v>17.72509675335039</c:v>
                </c:pt>
                <c:pt idx="209">
                  <c:v>17.807435352936853</c:v>
                </c:pt>
                <c:pt idx="210">
                  <c:v>17.889761784616987</c:v>
                </c:pt>
                <c:pt idx="211">
                  <c:v>17.97207625115769</c:v>
                </c:pt>
                <c:pt idx="212">
                  <c:v>18.054378955150632</c:v>
                </c:pt>
                <c:pt idx="213">
                  <c:v>18.136670099015287</c:v>
                </c:pt>
                <c:pt idx="214">
                  <c:v>18.218949885001944</c:v>
                </c:pt>
                <c:pt idx="215">
                  <c:v>18.301218515194787</c:v>
                </c:pt>
                <c:pt idx="216">
                  <c:v>18.383476191514877</c:v>
                </c:pt>
                <c:pt idx="217">
                  <c:v>18.46572311572319</c:v>
                </c:pt>
                <c:pt idx="218">
                  <c:v>18.547959489423594</c:v>
                </c:pt>
                <c:pt idx="219">
                  <c:v>18.630185514065907</c:v>
                </c:pt>
                <c:pt idx="220">
                  <c:v>18.712401390948862</c:v>
                </c:pt>
                <c:pt idx="221">
                  <c:v>18.794607321223108</c:v>
                </c:pt>
                <c:pt idx="222">
                  <c:v>18.87680350589418</c:v>
                </c:pt>
                <c:pt idx="223">
                  <c:v>18.95899014582552</c:v>
                </c:pt>
                <c:pt idx="224">
                  <c:v>19.04116744174144</c:v>
                </c:pt>
                <c:pt idx="225">
                  <c:v>19.12333559423006</c:v>
                </c:pt>
                <c:pt idx="226">
                  <c:v>19.205494803746333</c:v>
                </c:pt>
                <c:pt idx="227">
                  <c:v>19.287645270614977</c:v>
                </c:pt>
                <c:pt idx="228">
                  <c:v>19.369787195033428</c:v>
                </c:pt>
                <c:pt idx="229">
                  <c:v>19.451920777074818</c:v>
                </c:pt>
                <c:pt idx="230">
                  <c:v>19.53404621669088</c:v>
                </c:pt>
                <c:pt idx="231">
                  <c:v>19.616163713714954</c:v>
                </c:pt>
                <c:pt idx="232">
                  <c:v>19.698273467864865</c:v>
                </c:pt>
                <c:pt idx="233">
                  <c:v>19.780375678745912</c:v>
                </c:pt>
                <c:pt idx="234">
                  <c:v>19.862470545853768</c:v>
                </c:pt>
                <c:pt idx="235">
                  <c:v>19.944558268577413</c:v>
                </c:pt>
                <c:pt idx="236">
                  <c:v>20.026639046202078</c:v>
                </c:pt>
                <c:pt idx="237">
                  <c:v>20.108713077912117</c:v>
                </c:pt>
                <c:pt idx="238">
                  <c:v>20.19078056279399</c:v>
                </c:pt>
                <c:pt idx="239">
                  <c:v>20.27284169983913</c:v>
                </c:pt>
                <c:pt idx="240">
                  <c:v>20.35489668794685</c:v>
                </c:pt>
                <c:pt idx="241">
                  <c:v>20.436945725927288</c:v>
                </c:pt>
                <c:pt idx="242">
                  <c:v>20.518989012504267</c:v>
                </c:pt>
                <c:pt idx="243">
                  <c:v>20.601026746318226</c:v>
                </c:pt>
                <c:pt idx="244">
                  <c:v>20.683059125929102</c:v>
                </c:pt>
                <c:pt idx="245">
                  <c:v>20.765086349819235</c:v>
                </c:pt>
                <c:pt idx="246">
                  <c:v>20.847108616396223</c:v>
                </c:pt>
                <c:pt idx="247">
                  <c:v>20.92912612399588</c:v>
                </c:pt>
                <c:pt idx="248">
                  <c:v>21.011139070885037</c:v>
                </c:pt>
                <c:pt idx="249">
                  <c:v>21.093147655264502</c:v>
                </c:pt>
                <c:pt idx="250">
                  <c:v>21.175152075271896</c:v>
                </c:pt>
                <c:pt idx="251">
                  <c:v>21.257152528984548</c:v>
                </c:pt>
                <c:pt idx="252">
                  <c:v>21.339149214422367</c:v>
                </c:pt>
                <c:pt idx="253">
                  <c:v>21.4211423295507</c:v>
                </c:pt>
                <c:pt idx="254">
                  <c:v>21.503132072283254</c:v>
                </c:pt>
                <c:pt idx="255">
                  <c:v>21.585118640484893</c:v>
                </c:pt>
                <c:pt idx="256">
                  <c:v>21.667102231974578</c:v>
                </c:pt>
                <c:pt idx="257">
                  <c:v>21.7490830445282</c:v>
                </c:pt>
                <c:pt idx="258">
                  <c:v>21.831061275881435</c:v>
                </c:pt>
                <c:pt idx="259">
                  <c:v>21.913037123732646</c:v>
                </c:pt>
                <c:pt idx="260">
                  <c:v>21.99501078574569</c:v>
                </c:pt>
                <c:pt idx="261">
                  <c:v>22.07698245955284</c:v>
                </c:pt>
                <c:pt idx="262">
                  <c:v>22.158952342757615</c:v>
                </c:pt>
                <c:pt idx="263">
                  <c:v>22.240920632937613</c:v>
                </c:pt>
                <c:pt idx="264">
                  <c:v>22.322887527647428</c:v>
                </c:pt>
                <c:pt idx="265">
                  <c:v>22.40485322442147</c:v>
                </c:pt>
                <c:pt idx="266">
                  <c:v>22.486817920776822</c:v>
                </c:pt>
                <c:pt idx="267">
                  <c:v>22.568781814216116</c:v>
                </c:pt>
                <c:pt idx="268">
                  <c:v>22.650745102230374</c:v>
                </c:pt>
                <c:pt idx="269">
                  <c:v>22.732707982301847</c:v>
                </c:pt>
                <c:pt idx="270">
                  <c:v>22.814670651906916</c:v>
                </c:pt>
                <c:pt idx="271">
                  <c:v>22.896633308518894</c:v>
                </c:pt>
                <c:pt idx="272">
                  <c:v>22.978596149610926</c:v>
                </c:pt>
                <c:pt idx="273">
                  <c:v>23.060559372658815</c:v>
                </c:pt>
                <c:pt idx="274">
                  <c:v>23.14252317514389</c:v>
                </c:pt>
                <c:pt idx="275">
                  <c:v>23.22448775455586</c:v>
                </c:pt>
                <c:pt idx="276">
                  <c:v>23.306453308395643</c:v>
                </c:pt>
                <c:pt idx="277">
                  <c:v>23.388420034178278</c:v>
                </c:pt>
                <c:pt idx="278">
                  <c:v>23.47038812943571</c:v>
                </c:pt>
                <c:pt idx="279">
                  <c:v>23.55235779171972</c:v>
                </c:pt>
                <c:pt idx="280">
                  <c:v>23.63432921860473</c:v>
                </c:pt>
                <c:pt idx="281">
                  <c:v>23.71630260769068</c:v>
                </c:pt>
                <c:pt idx="282">
                  <c:v>23.798278156605893</c:v>
                </c:pt>
                <c:pt idx="283">
                  <c:v>23.880256063009902</c:v>
                </c:pt>
                <c:pt idx="284">
                  <c:v>23.962236524596367</c:v>
                </c:pt>
                <c:pt idx="285">
                  <c:v>24.044219739095904</c:v>
                </c:pt>
                <c:pt idx="286">
                  <c:v>24.126205904278926</c:v>
                </c:pt>
                <c:pt idx="287">
                  <c:v>24.208195217958565</c:v>
                </c:pt>
                <c:pt idx="288">
                  <c:v>24.290187877993496</c:v>
                </c:pt>
                <c:pt idx="289">
                  <c:v>24.372184082290822</c:v>
                </c:pt>
                <c:pt idx="290">
                  <c:v>24.45418402880894</c:v>
                </c:pt>
                <c:pt idx="291">
                  <c:v>24.53618791556042</c:v>
                </c:pt>
                <c:pt idx="292">
                  <c:v>24.61819594061486</c:v>
                </c:pt>
                <c:pt idx="293">
                  <c:v>24.700208302101775</c:v>
                </c:pt>
                <c:pt idx="294">
                  <c:v>24.782225198213492</c:v>
                </c:pt>
                <c:pt idx="295">
                  <c:v>24.86424682720801</c:v>
                </c:pt>
                <c:pt idx="296">
                  <c:v>24.946273387411882</c:v>
                </c:pt>
                <c:pt idx="297">
                  <c:v>25.028305077223106</c:v>
                </c:pt>
                <c:pt idx="298">
                  <c:v>25.11034209511402</c:v>
                </c:pt>
                <c:pt idx="299">
                  <c:v>25.1923846396342</c:v>
                </c:pt>
                <c:pt idx="300">
                  <c:v>25.274432909413285</c:v>
                </c:pt>
                <c:pt idx="301">
                  <c:v>25.356487103163985</c:v>
                </c:pt>
                <c:pt idx="302">
                  <c:v>25.438547419684905</c:v>
                </c:pt>
                <c:pt idx="303">
                  <c:v>25.52061405786347</c:v>
                </c:pt>
                <c:pt idx="304">
                  <c:v>25.602687216678817</c:v>
                </c:pt>
                <c:pt idx="305">
                  <c:v>25.684767095204727</c:v>
                </c:pt>
                <c:pt idx="306">
                  <c:v>25.766853892612527</c:v>
                </c:pt>
                <c:pt idx="307">
                  <c:v>25.848947808173985</c:v>
                </c:pt>
                <c:pt idx="308">
                  <c:v>25.931049041264277</c:v>
                </c:pt>
                <c:pt idx="309">
                  <c:v>26.013157791364854</c:v>
                </c:pt>
                <c:pt idx="310">
                  <c:v>26.09527425806642</c:v>
                </c:pt>
                <c:pt idx="311">
                  <c:v>26.17739864107184</c:v>
                </c:pt>
                <c:pt idx="312">
                  <c:v>26.25953114019907</c:v>
                </c:pt>
                <c:pt idx="313">
                  <c:v>26.34167195538412</c:v>
                </c:pt>
                <c:pt idx="314">
                  <c:v>26.42382128668395</c:v>
                </c:pt>
                <c:pt idx="315">
                  <c:v>26.505979334279484</c:v>
                </c:pt>
                <c:pt idx="316">
                  <c:v>26.58814629847852</c:v>
                </c:pt>
                <c:pt idx="317">
                  <c:v>26.6703223797187</c:v>
                </c:pt>
                <c:pt idx="318">
                  <c:v>26.752507778570454</c:v>
                </c:pt>
                <c:pt idx="319">
                  <c:v>26.83470269574</c:v>
                </c:pt>
                <c:pt idx="320">
                  <c:v>26.916907332072302</c:v>
                </c:pt>
                <c:pt idx="321">
                  <c:v>26.999121888554022</c:v>
                </c:pt>
                <c:pt idx="322">
                  <c:v>27.08134656631655</c:v>
                </c:pt>
                <c:pt idx="323">
                  <c:v>27.16358156663896</c:v>
                </c:pt>
                <c:pt idx="324">
                  <c:v>27.245827090951014</c:v>
                </c:pt>
                <c:pt idx="325">
                  <c:v>27.328083340836134</c:v>
                </c:pt>
                <c:pt idx="326">
                  <c:v>27.410350518034452</c:v>
                </c:pt>
                <c:pt idx="327">
                  <c:v>27.492628824445795</c:v>
                </c:pt>
                <c:pt idx="328">
                  <c:v>27.574918462132704</c:v>
                </c:pt>
                <c:pt idx="329">
                  <c:v>27.657219633323436</c:v>
                </c:pt>
                <c:pt idx="330">
                  <c:v>27.73953254041503</c:v>
                </c:pt>
                <c:pt idx="331">
                  <c:v>27.82185738597633</c:v>
                </c:pt>
                <c:pt idx="332">
                  <c:v>27.904194372750986</c:v>
                </c:pt>
                <c:pt idx="333">
                  <c:v>27.98654370366056</c:v>
                </c:pt>
                <c:pt idx="334">
                  <c:v>28.06890558180754</c:v>
                </c:pt>
                <c:pt idx="335">
                  <c:v>28.151280210478426</c:v>
                </c:pt>
                <c:pt idx="336">
                  <c:v>28.233667793146765</c:v>
                </c:pt>
                <c:pt idx="337">
                  <c:v>28.316068533476265</c:v>
                </c:pt>
                <c:pt idx="338">
                  <c:v>28.39848263532383</c:v>
                </c:pt>
                <c:pt idx="339">
                  <c:v>28.480910302742675</c:v>
                </c:pt>
                <c:pt idx="340">
                  <c:v>28.563351739985436</c:v>
                </c:pt>
                <c:pt idx="341">
                  <c:v>28.645807151507245</c:v>
                </c:pt>
                <c:pt idx="342">
                  <c:v>28.728276741968855</c:v>
                </c:pt>
                <c:pt idx="343">
                  <c:v>28.810760716239745</c:v>
                </c:pt>
                <c:pt idx="344">
                  <c:v>28.89325927940126</c:v>
                </c:pt>
                <c:pt idx="345">
                  <c:v>28.975772636749753</c:v>
                </c:pt>
                <c:pt idx="346">
                  <c:v>29.058300993799662</c:v>
                </c:pt>
                <c:pt idx="347">
                  <c:v>29.140844556286762</c:v>
                </c:pt>
                <c:pt idx="348">
                  <c:v>29.223403530171247</c:v>
                </c:pt>
                <c:pt idx="349">
                  <c:v>29.305978121640923</c:v>
                </c:pt>
                <c:pt idx="350">
                  <c:v>29.388568537114377</c:v>
                </c:pt>
                <c:pt idx="351">
                  <c:v>29.471174983244165</c:v>
                </c:pt>
                <c:pt idx="352">
                  <c:v>29.55379766692</c:v>
                </c:pt>
                <c:pt idx="353">
                  <c:v>29.636436795271944</c:v>
                </c:pt>
                <c:pt idx="354">
                  <c:v>29.71909257567365</c:v>
                </c:pt>
                <c:pt idx="355">
                  <c:v>29.801765215745522</c:v>
                </c:pt>
                <c:pt idx="356">
                  <c:v>29.884454923358014</c:v>
                </c:pt>
                <c:pt idx="357">
                  <c:v>29.967161906634818</c:v>
                </c:pt>
                <c:pt idx="358">
                  <c:v>30.049886373956127</c:v>
                </c:pt>
                <c:pt idx="359">
                  <c:v>30.132628533961903</c:v>
                </c:pt>
                <c:pt idx="360">
                  <c:v>30.215388595555098</c:v>
                </c:pt>
                <c:pt idx="361">
                  <c:v>30.298166767904995</c:v>
                </c:pt>
                <c:pt idx="362">
                  <c:v>30.38096326045046</c:v>
                </c:pt>
                <c:pt idx="363">
                  <c:v>30.46377828290322</c:v>
                </c:pt>
                <c:pt idx="364">
                  <c:v>30.54661204525121</c:v>
                </c:pt>
                <c:pt idx="365">
                  <c:v>30.629464757761863</c:v>
                </c:pt>
                <c:pt idx="366">
                  <c:v>30.712336630985458</c:v>
                </c:pt>
                <c:pt idx="367">
                  <c:v>30.79522787575842</c:v>
                </c:pt>
                <c:pt idx="368">
                  <c:v>30.878138703206723</c:v>
                </c:pt>
                <c:pt idx="369">
                  <c:v>30.961069324749218</c:v>
                </c:pt>
                <c:pt idx="370">
                  <c:v>31.044019952100985</c:v>
                </c:pt>
                <c:pt idx="371">
                  <c:v>31.12699079727677</c:v>
                </c:pt>
                <c:pt idx="372">
                  <c:v>31.209982072594336</c:v>
                </c:pt>
                <c:pt idx="373">
                  <c:v>31.292993990677886</c:v>
                </c:pt>
                <c:pt idx="374">
                  <c:v>31.37602676446148</c:v>
                </c:pt>
                <c:pt idx="375">
                  <c:v>31.459080607192433</c:v>
                </c:pt>
                <c:pt idx="376">
                  <c:v>31.542155732434818</c:v>
                </c:pt>
                <c:pt idx="377">
                  <c:v>31.625252354072874</c:v>
                </c:pt>
                <c:pt idx="378">
                  <c:v>31.70837068631446</c:v>
                </c:pt>
                <c:pt idx="379">
                  <c:v>31.791510943694583</c:v>
                </c:pt>
                <c:pt idx="380">
                  <c:v>31.874673341078843</c:v>
                </c:pt>
                <c:pt idx="381">
                  <c:v>31.95785809366696</c:v>
                </c:pt>
                <c:pt idx="382">
                  <c:v>32.04106541699628</c:v>
                </c:pt>
                <c:pt idx="383">
                  <c:v>32.12429552694532</c:v>
                </c:pt>
                <c:pt idx="384">
                  <c:v>32.20754863973726</c:v>
                </c:pt>
                <c:pt idx="385">
                  <c:v>32.290824971943564</c:v>
                </c:pt>
                <c:pt idx="386">
                  <c:v>32.37412474048752</c:v>
                </c:pt>
                <c:pt idx="387">
                  <c:v>32.4574481626478</c:v>
                </c:pt>
                <c:pt idx="388">
                  <c:v>32.540795456062106</c:v>
                </c:pt>
                <c:pt idx="389">
                  <c:v>32.62416683873074</c:v>
                </c:pt>
                <c:pt idx="390">
                  <c:v>32.70756252902022</c:v>
                </c:pt>
                <c:pt idx="391">
                  <c:v>32.79098274566699</c:v>
                </c:pt>
                <c:pt idx="392">
                  <c:v>32.87442770778094</c:v>
                </c:pt>
                <c:pt idx="393">
                  <c:v>32.957897634849225</c:v>
                </c:pt>
                <c:pt idx="394">
                  <c:v>33.041392746739845</c:v>
                </c:pt>
                <c:pt idx="395">
                  <c:v>33.12491326370538</c:v>
                </c:pt>
                <c:pt idx="396">
                  <c:v>33.20845940638669</c:v>
                </c:pt>
                <c:pt idx="397">
                  <c:v>33.29203139581664</c:v>
                </c:pt>
                <c:pt idx="398">
                  <c:v>33.37562945342388</c:v>
                </c:pt>
                <c:pt idx="399">
                  <c:v>33.459253801036525</c:v>
                </c:pt>
                <c:pt idx="400">
                  <c:v>33.54290466088601</c:v>
                </c:pt>
                <c:pt idx="401">
                  <c:v>33.62658225561081</c:v>
                </c:pt>
                <c:pt idx="402">
                  <c:v>33.71028680826032</c:v>
                </c:pt>
                <c:pt idx="403">
                  <c:v>33.7940185422986</c:v>
                </c:pt>
                <c:pt idx="404">
                  <c:v>33.87777768160828</c:v>
                </c:pt>
                <c:pt idx="405">
                  <c:v>33.96156445049437</c:v>
                </c:pt>
                <c:pt idx="406">
                  <c:v>34.04537907368813</c:v>
                </c:pt>
                <c:pt idx="407">
                  <c:v>34.129221776350995</c:v>
                </c:pt>
                <c:pt idx="408">
                  <c:v>34.21309278407845</c:v>
                </c:pt>
                <c:pt idx="409">
                  <c:v>34.29699232290395</c:v>
                </c:pt>
                <c:pt idx="410">
                  <c:v>34.380920619302884</c:v>
                </c:pt>
                <c:pt idx="411">
                  <c:v>34.46487790019652</c:v>
                </c:pt>
                <c:pt idx="412">
                  <c:v>34.54886439295598</c:v>
                </c:pt>
                <c:pt idx="413">
                  <c:v>34.632880325406205</c:v>
                </c:pt>
                <c:pt idx="414">
                  <c:v>34.716925925830026</c:v>
                </c:pt>
                <c:pt idx="415">
                  <c:v>34.80100142297216</c:v>
                </c:pt>
                <c:pt idx="416">
                  <c:v>34.88510704604324</c:v>
                </c:pt>
                <c:pt idx="417">
                  <c:v>34.96924302472391</c:v>
                </c:pt>
                <c:pt idx="418">
                  <c:v>35.05340958916891</c:v>
                </c:pt>
                <c:pt idx="419">
                  <c:v>35.13760697001116</c:v>
                </c:pt>
                <c:pt idx="420">
                  <c:v>35.22183539836593</c:v>
                </c:pt>
                <c:pt idx="421">
                  <c:v>35.306095105834906</c:v>
                </c:pt>
                <c:pt idx="422">
                  <c:v>35.390386324510445</c:v>
                </c:pt>
                <c:pt idx="423">
                  <c:v>35.47470928697967</c:v>
                </c:pt>
                <c:pt idx="424">
                  <c:v>35.55906422632874</c:v>
                </c:pt>
                <c:pt idx="425">
                  <c:v>35.64345137614706</c:v>
                </c:pt>
                <c:pt idx="426">
                  <c:v>35.727870970531505</c:v>
                </c:pt>
                <c:pt idx="427">
                  <c:v>35.81232324409069</c:v>
                </c:pt>
                <c:pt idx="428">
                  <c:v>35.89680843194928</c:v>
                </c:pt>
                <c:pt idx="429">
                  <c:v>35.98132676975227</c:v>
                </c:pt>
                <c:pt idx="430">
                  <c:v>36.06587849366931</c:v>
                </c:pt>
                <c:pt idx="431">
                  <c:v>36.15046384039907</c:v>
                </c:pt>
                <c:pt idx="432">
                  <c:v>36.23508304717363</c:v>
                </c:pt>
                <c:pt idx="433">
                  <c:v>36.31973635176284</c:v>
                </c:pt>
                <c:pt idx="434">
                  <c:v>36.404423992478755</c:v>
                </c:pt>
                <c:pt idx="435">
                  <c:v>36.48914620818006</c:v>
                </c:pt>
                <c:pt idx="436">
                  <c:v>36.57390323827654</c:v>
                </c:pt>
                <c:pt idx="437">
                  <c:v>36.65869532273359</c:v>
                </c:pt>
                <c:pt idx="438">
                  <c:v>36.74352270207663</c:v>
                </c:pt>
                <c:pt idx="439">
                  <c:v>36.82838561739575</c:v>
                </c:pt>
                <c:pt idx="440">
                  <c:v>36.91328431035021</c:v>
                </c:pt>
                <c:pt idx="441">
                  <c:v>36.998219023173</c:v>
                </c:pt>
                <c:pt idx="442">
                  <c:v>37.08318999867548</c:v>
                </c:pt>
                <c:pt idx="443">
                  <c:v>37.168197480251976</c:v>
                </c:pt>
                <c:pt idx="444">
                  <c:v>37.25324171188446</c:v>
                </c:pt>
                <c:pt idx="445">
                  <c:v>37.338322938147186</c:v>
                </c:pt>
                <c:pt idx="446">
                  <c:v>37.423441404211424</c:v>
                </c:pt>
                <c:pt idx="447">
                  <c:v>37.50859735585015</c:v>
                </c:pt>
                <c:pt idx="448">
                  <c:v>37.59379103944284</c:v>
                </c:pt>
                <c:pt idx="449">
                  <c:v>37.67902270198022</c:v>
                </c:pt>
                <c:pt idx="450">
                  <c:v>37.76429259106907</c:v>
                </c:pt>
                <c:pt idx="451">
                  <c:v>37.849600954937046</c:v>
                </c:pt>
                <c:pt idx="452">
                  <c:v>37.93494804243757</c:v>
                </c:pt>
                <c:pt idx="453">
                  <c:v>38.02033410305461</c:v>
                </c:pt>
                <c:pt idx="454">
                  <c:v>38.10575938690778</c:v>
                </c:pt>
                <c:pt idx="455">
                  <c:v>38.19122414475704</c:v>
                </c:pt>
                <c:pt idx="456">
                  <c:v>38.27672862800784</c:v>
                </c:pt>
                <c:pt idx="457">
                  <c:v>38.36227308871604</c:v>
                </c:pt>
                <c:pt idx="458">
                  <c:v>38.447857779592916</c:v>
                </c:pt>
                <c:pt idx="459">
                  <c:v>38.53348295401026</c:v>
                </c:pt>
                <c:pt idx="460">
                  <c:v>38.61914886600534</c:v>
                </c:pt>
                <c:pt idx="461">
                  <c:v>38.7048557702862</c:v>
                </c:pt>
                <c:pt idx="462">
                  <c:v>38.79060392223658</c:v>
                </c:pt>
                <c:pt idx="463">
                  <c:v>38.87639357792121</c:v>
                </c:pt>
                <c:pt idx="464">
                  <c:v>38.96222499409099</c:v>
                </c:pt>
                <c:pt idx="465">
                  <c:v>39.048098428188155</c:v>
                </c:pt>
                <c:pt idx="466">
                  <c:v>39.13401413835159</c:v>
                </c:pt>
                <c:pt idx="467">
                  <c:v>39.21997238342202</c:v>
                </c:pt>
                <c:pt idx="468">
                  <c:v>39.3059734229475</c:v>
                </c:pt>
                <c:pt idx="469">
                  <c:v>39.39201751718854</c:v>
                </c:pt>
                <c:pt idx="470">
                  <c:v>39.47810492712364</c:v>
                </c:pt>
                <c:pt idx="471">
                  <c:v>39.56423591445462</c:v>
                </c:pt>
                <c:pt idx="472">
                  <c:v>39.650410741612106</c:v>
                </c:pt>
                <c:pt idx="473">
                  <c:v>39.73662967176099</c:v>
                </c:pt>
                <c:pt idx="474">
                  <c:v>39.82289296880583</c:v>
                </c:pt>
                <c:pt idx="475">
                  <c:v>39.909200897396644</c:v>
                </c:pt>
                <c:pt idx="476">
                  <c:v>39.99555372293414</c:v>
                </c:pt>
                <c:pt idx="477">
                  <c:v>40.08195171157565</c:v>
                </c:pt>
                <c:pt idx="478">
                  <c:v>40.16839513024049</c:v>
                </c:pt>
                <c:pt idx="479">
                  <c:v>40.25488424661583</c:v>
                </c:pt>
                <c:pt idx="480">
                  <c:v>40.34141932916229</c:v>
                </c:pt>
                <c:pt idx="481">
                  <c:v>40.42800064711974</c:v>
                </c:pt>
                <c:pt idx="482">
                  <c:v>40.51462847051304</c:v>
                </c:pt>
                <c:pt idx="483">
                  <c:v>40.60130307015781</c:v>
                </c:pt>
                <c:pt idx="484">
                  <c:v>40.68802471766646</c:v>
                </c:pt>
                <c:pt idx="485">
                  <c:v>40.77479368545378</c:v>
                </c:pt>
                <c:pt idx="486">
                  <c:v>40.86161024674318</c:v>
                </c:pt>
                <c:pt idx="487">
                  <c:v>40.94847467557237</c:v>
                </c:pt>
                <c:pt idx="488">
                  <c:v>41.03538724679953</c:v>
                </c:pt>
                <c:pt idx="489">
                  <c:v>41.12234823610927</c:v>
                </c:pt>
                <c:pt idx="490">
                  <c:v>41.20935792001871</c:v>
                </c:pt>
                <c:pt idx="491">
                  <c:v>41.29641657588362</c:v>
                </c:pt>
                <c:pt idx="492">
                  <c:v>41.38352448190445</c:v>
                </c:pt>
                <c:pt idx="493">
                  <c:v>41.470681917132744</c:v>
                </c:pt>
                <c:pt idx="494">
                  <c:v>41.55788916147708</c:v>
                </c:pt>
                <c:pt idx="495">
                  <c:v>41.645146495709554</c:v>
                </c:pt>
                <c:pt idx="496">
                  <c:v>41.73245420147199</c:v>
                </c:pt>
                <c:pt idx="497">
                  <c:v>41.81981256128229</c:v>
                </c:pt>
                <c:pt idx="498">
                  <c:v>41.90722185854086</c:v>
                </c:pt>
                <c:pt idx="499">
                  <c:v>41.99468237753692</c:v>
                </c:pt>
                <c:pt idx="500">
                  <c:v>42.0821944034552</c:v>
                </c:pt>
                <c:pt idx="501">
                  <c:v>42.16975822238216</c:v>
                </c:pt>
                <c:pt idx="502">
                  <c:v>42.25737412131278</c:v>
                </c:pt>
                <c:pt idx="503">
                  <c:v>42.34504238815704</c:v>
                </c:pt>
                <c:pt idx="504">
                  <c:v>42.43276331174659</c:v>
                </c:pt>
                <c:pt idx="505">
                  <c:v>42.52053718184144</c:v>
                </c:pt>
                <c:pt idx="506">
                  <c:v>42.608364289136595</c:v>
                </c:pt>
                <c:pt idx="507">
                  <c:v>42.69624492526904</c:v>
                </c:pt>
                <c:pt idx="508">
                  <c:v>42.78417938282429</c:v>
                </c:pt>
                <c:pt idx="509">
                  <c:v>42.87216795534346</c:v>
                </c:pt>
                <c:pt idx="510">
                  <c:v>42.96021093733005</c:v>
                </c:pt>
                <c:pt idx="511">
                  <c:v>43.04830862425696</c:v>
                </c:pt>
                <c:pt idx="512">
                  <c:v>43.13646131257349</c:v>
                </c:pt>
                <c:pt idx="513">
                  <c:v>43.22466929971228</c:v>
                </c:pt>
                <c:pt idx="514">
                  <c:v>43.31293288409664</c:v>
                </c:pt>
                <c:pt idx="515">
                  <c:v>43.401252365147386</c:v>
                </c:pt>
                <c:pt idx="516">
                  <c:v>43.48962804329028</c:v>
                </c:pt>
                <c:pt idx="517">
                  <c:v>43.57806021996316</c:v>
                </c:pt>
                <c:pt idx="518">
                  <c:v>43.66654919762325</c:v>
                </c:pt>
                <c:pt idx="519">
                  <c:v>43.755095279754485</c:v>
                </c:pt>
                <c:pt idx="520">
                  <c:v>43.84369877087487</c:v>
                </c:pt>
                <c:pt idx="521">
                  <c:v>43.932359976544085</c:v>
                </c:pt>
                <c:pt idx="522">
                  <c:v>44.02107920337069</c:v>
                </c:pt>
                <c:pt idx="523">
                  <c:v>44.10985675901998</c:v>
                </c:pt>
                <c:pt idx="524">
                  <c:v>44.198692952221315</c:v>
                </c:pt>
                <c:pt idx="525">
                  <c:v>44.28758809277595</c:v>
                </c:pt>
                <c:pt idx="526">
                  <c:v>44.37654249156464</c:v>
                </c:pt>
                <c:pt idx="527">
                  <c:v>44.465556460555455</c:v>
                </c:pt>
                <c:pt idx="528">
                  <c:v>44.55463031281155</c:v>
                </c:pt>
                <c:pt idx="529">
                  <c:v>44.64376436249898</c:v>
                </c:pt>
                <c:pt idx="530">
                  <c:v>44.73295892489481</c:v>
                </c:pt>
                <c:pt idx="531">
                  <c:v>44.82221431639482</c:v>
                </c:pt>
                <c:pt idx="532">
                  <c:v>44.911530854521814</c:v>
                </c:pt>
                <c:pt idx="533">
                  <c:v>45.00090885793345</c:v>
                </c:pt>
                <c:pt idx="534">
                  <c:v>45.0903486464306</c:v>
                </c:pt>
                <c:pt idx="535">
                  <c:v>45.17985054096544</c:v>
                </c:pt>
                <c:pt idx="536">
                  <c:v>45.26941486364969</c:v>
                </c:pt>
                <c:pt idx="537">
                  <c:v>45.35904193776311</c:v>
                </c:pt>
                <c:pt idx="538">
                  <c:v>45.44873208776161</c:v>
                </c:pt>
                <c:pt idx="539">
                  <c:v>45.538485639286</c:v>
                </c:pt>
                <c:pt idx="540">
                  <c:v>45.62830291917021</c:v>
                </c:pt>
                <c:pt idx="541">
                  <c:v>45.71818425545005</c:v>
                </c:pt>
                <c:pt idx="542">
                  <c:v>45.80812997737177</c:v>
                </c:pt>
                <c:pt idx="543">
                  <c:v>45.898140415400746</c:v>
                </c:pt>
                <c:pt idx="544">
                  <c:v>45.98821590123027</c:v>
                </c:pt>
                <c:pt idx="545">
                  <c:v>46.07835676779027</c:v>
                </c:pt>
                <c:pt idx="546">
                  <c:v>46.16856334925639</c:v>
                </c:pt>
                <c:pt idx="547">
                  <c:v>46.25883598105869</c:v>
                </c:pt>
                <c:pt idx="548">
                  <c:v>46.349174999890856</c:v>
                </c:pt>
                <c:pt idx="549">
                  <c:v>46.439580743719205</c:v>
                </c:pt>
                <c:pt idx="550">
                  <c:v>46.53005355179184</c:v>
                </c:pt>
                <c:pt idx="551">
                  <c:v>46.62059376464787</c:v>
                </c:pt>
                <c:pt idx="552">
                  <c:v>46.71120172412664</c:v>
                </c:pt>
                <c:pt idx="553">
                  <c:v>46.80187777337726</c:v>
                </c:pt>
                <c:pt idx="554">
                  <c:v>46.89262225686777</c:v>
                </c:pt>
                <c:pt idx="555">
                  <c:v>46.98343552039486</c:v>
                </c:pt>
                <c:pt idx="556">
                  <c:v>47.07431791109334</c:v>
                </c:pt>
                <c:pt idx="557">
                  <c:v>47.165269777445765</c:v>
                </c:pt>
                <c:pt idx="558">
                  <c:v>47.256291469292215</c:v>
                </c:pt>
                <c:pt idx="559">
                  <c:v>47.34738333783994</c:v>
                </c:pt>
                <c:pt idx="560">
                  <c:v>47.43854573567347</c:v>
                </c:pt>
                <c:pt idx="561">
                  <c:v>47.529779016764245</c:v>
                </c:pt>
                <c:pt idx="562">
                  <c:v>47.62108353648085</c:v>
                </c:pt>
                <c:pt idx="563">
                  <c:v>47.712459651599026</c:v>
                </c:pt>
                <c:pt idx="564">
                  <c:v>47.80390772031181</c:v>
                </c:pt>
                <c:pt idx="565">
                  <c:v>47.89542810223985</c:v>
                </c:pt>
                <c:pt idx="566">
                  <c:v>47.98702115844157</c:v>
                </c:pt>
                <c:pt idx="567">
                  <c:v>48.07868725142384</c:v>
                </c:pt>
                <c:pt idx="568">
                  <c:v>48.17042674515212</c:v>
                </c:pt>
                <c:pt idx="569">
                  <c:v>48.262240005061365</c:v>
                </c:pt>
                <c:pt idx="570">
                  <c:v>48.35412739806635</c:v>
                </c:pt>
                <c:pt idx="571">
                  <c:v>48.44608929257265</c:v>
                </c:pt>
                <c:pt idx="572">
                  <c:v>48.53812605848731</c:v>
                </c:pt>
                <c:pt idx="573">
                  <c:v>48.630238067229776</c:v>
                </c:pt>
                <c:pt idx="574">
                  <c:v>48.722425691742906</c:v>
                </c:pt>
                <c:pt idx="575">
                  <c:v>48.81468930650394</c:v>
                </c:pt>
                <c:pt idx="576">
                  <c:v>48.907029287535835</c:v>
                </c:pt>
                <c:pt idx="577">
                  <c:v>48.99944601241827</c:v>
                </c:pt>
                <c:pt idx="578">
                  <c:v>49.09193986029923</c:v>
                </c:pt>
                <c:pt idx="579">
                  <c:v>49.18451121190618</c:v>
                </c:pt>
                <c:pt idx="580">
                  <c:v>49.27716044955777</c:v>
                </c:pt>
                <c:pt idx="581">
                  <c:v>49.36988795717536</c:v>
                </c:pt>
                <c:pt idx="582">
                  <c:v>49.46269412029464</c:v>
                </c:pt>
                <c:pt idx="583">
                  <c:v>49.555579326077655</c:v>
                </c:pt>
                <c:pt idx="584">
                  <c:v>49.64854396332437</c:v>
                </c:pt>
                <c:pt idx="585">
                  <c:v>49.74158842248491</c:v>
                </c:pt>
                <c:pt idx="586">
                  <c:v>49.83471309567151</c:v>
                </c:pt>
                <c:pt idx="587">
                  <c:v>49.92791837667072</c:v>
                </c:pt>
                <c:pt idx="588">
                  <c:v>50.02120466095567</c:v>
                </c:pt>
                <c:pt idx="589">
                  <c:v>50.114572345698456</c:v>
                </c:pt>
                <c:pt idx="590">
                  <c:v>50.208021829782616</c:v>
                </c:pt>
                <c:pt idx="591">
                  <c:v>50.301553513815605</c:v>
                </c:pt>
                <c:pt idx="592">
                  <c:v>50.3951678001417</c:v>
                </c:pt>
                <c:pt idx="593">
                  <c:v>50.488865092854475</c:v>
                </c:pt>
                <c:pt idx="594">
                  <c:v>50.58264579781</c:v>
                </c:pt>
                <c:pt idx="595">
                  <c:v>50.676510322639565</c:v>
                </c:pt>
                <c:pt idx="596">
                  <c:v>50.77045907676289</c:v>
                </c:pt>
                <c:pt idx="597">
                  <c:v>50.864492471401434</c:v>
                </c:pt>
                <c:pt idx="598">
                  <c:v>50.958610919591486</c:v>
                </c:pt>
                <c:pt idx="599">
                  <c:v>51.052814836197776</c:v>
                </c:pt>
                <c:pt idx="600">
                  <c:v>51.14710463792693</c:v>
                </c:pt>
                <c:pt idx="601">
                  <c:v>51.241480743341135</c:v>
                </c:pt>
                <c:pt idx="602">
                  <c:v>51.3359435728719</c:v>
                </c:pt>
                <c:pt idx="603">
                  <c:v>51.43049354883393</c:v>
                </c:pt>
                <c:pt idx="604">
                  <c:v>51.52513109543915</c:v>
                </c:pt>
                <c:pt idx="605">
                  <c:v>51.61985663881072</c:v>
                </c:pt>
                <c:pt idx="606">
                  <c:v>51.71467060699745</c:v>
                </c:pt>
                <c:pt idx="607">
                  <c:v>51.80957342998792</c:v>
                </c:pt>
                <c:pt idx="608">
                  <c:v>51.9045655397252</c:v>
                </c:pt>
                <c:pt idx="609">
                  <c:v>51.99964737012118</c:v>
                </c:pt>
                <c:pt idx="610">
                  <c:v>52.094819357071515</c:v>
                </c:pt>
                <c:pt idx="611">
                  <c:v>52.190081938470364</c:v>
                </c:pt>
                <c:pt idx="612">
                  <c:v>52.2854355542253</c:v>
                </c:pt>
                <c:pt idx="613">
                  <c:v>52.380880646272615</c:v>
                </c:pt>
                <c:pt idx="614">
                  <c:v>52.476417658592254</c:v>
                </c:pt>
                <c:pt idx="615">
                  <c:v>52.57204703722349</c:v>
                </c:pt>
                <c:pt idx="616">
                  <c:v>52.66776923028012</c:v>
                </c:pt>
                <c:pt idx="617">
                  <c:v>52.76358468796631</c:v>
                </c:pt>
                <c:pt idx="618">
                  <c:v>52.85949386259224</c:v>
                </c:pt>
                <c:pt idx="619">
                  <c:v>52.95549720858997</c:v>
                </c:pt>
                <c:pt idx="620">
                  <c:v>53.05159518252966</c:v>
                </c:pt>
                <c:pt idx="621">
                  <c:v>53.14778824313545</c:v>
                </c:pt>
                <c:pt idx="622">
                  <c:v>53.24407685130209</c:v>
                </c:pt>
                <c:pt idx="623">
                  <c:v>53.3404614701111</c:v>
                </c:pt>
                <c:pt idx="624">
                  <c:v>53.43694256484758</c:v>
                </c:pt>
                <c:pt idx="625">
                  <c:v>53.533520603016854</c:v>
                </c:pt>
                <c:pt idx="626">
                  <c:v>53.630196054361406</c:v>
                </c:pt>
                <c:pt idx="627">
                  <c:v>53.72696939087788</c:v>
                </c:pt>
                <c:pt idx="628">
                  <c:v>53.82384108683431</c:v>
                </c:pt>
                <c:pt idx="629">
                  <c:v>53.92081161878744</c:v>
                </c:pt>
                <c:pt idx="630">
                  <c:v>54.01788146560016</c:v>
                </c:pt>
                <c:pt idx="631">
                  <c:v>54.11505110845936</c:v>
                </c:pt>
                <c:pt idx="632">
                  <c:v>54.212321030893435</c:v>
                </c:pt>
                <c:pt idx="633">
                  <c:v>54.30969171879057</c:v>
                </c:pt>
                <c:pt idx="634">
                  <c:v>54.407163660416586</c:v>
                </c:pt>
                <c:pt idx="635">
                  <c:v>54.50473734643339</c:v>
                </c:pt>
                <c:pt idx="636">
                  <c:v>54.60241326991747</c:v>
                </c:pt>
                <c:pt idx="637">
                  <c:v>54.70019192637834</c:v>
                </c:pt>
                <c:pt idx="638">
                  <c:v>54.79807381377748</c:v>
                </c:pt>
                <c:pt idx="639">
                  <c:v>54.896059432547226</c:v>
                </c:pt>
                <c:pt idx="640">
                  <c:v>54.99414928560993</c:v>
                </c:pt>
                <c:pt idx="641">
                  <c:v>55.09234387839722</c:v>
                </c:pt>
                <c:pt idx="642">
                  <c:v>55.190643718869524</c:v>
                </c:pt>
                <c:pt idx="643">
                  <c:v>55.28904931753571</c:v>
                </c:pt>
                <c:pt idx="644">
                  <c:v>55.38756118747283</c:v>
                </c:pt>
                <c:pt idx="645">
                  <c:v>55.48617984434639</c:v>
                </c:pt>
                <c:pt idx="646">
                  <c:v>55.58490580643017</c:v>
                </c:pt>
                <c:pt idx="647">
                  <c:v>55.68373959462702</c:v>
                </c:pt>
                <c:pt idx="648">
                  <c:v>55.78268173248909</c:v>
                </c:pt>
                <c:pt idx="649">
                  <c:v>55.881732746238725</c:v>
                </c:pt>
                <c:pt idx="650">
                  <c:v>55.980893164789556</c:v>
                </c:pt>
                <c:pt idx="651">
                  <c:v>56.08016351976735</c:v>
                </c:pt>
                <c:pt idx="652">
                  <c:v>56.179544345531696</c:v>
                </c:pt>
                <c:pt idx="653">
                  <c:v>56.279036179197206</c:v>
                </c:pt>
                <c:pt idx="654">
                  <c:v>56.37863956065553</c:v>
                </c:pt>
                <c:pt idx="655">
                  <c:v>56.47835503259715</c:v>
                </c:pt>
                <c:pt idx="656">
                  <c:v>56.57818314053361</c:v>
                </c:pt>
                <c:pt idx="657">
                  <c:v>56.67812443281984</c:v>
                </c:pt>
                <c:pt idx="658">
                  <c:v>56.77817946067666</c:v>
                </c:pt>
                <c:pt idx="659">
                  <c:v>56.87834877821378</c:v>
                </c:pt>
                <c:pt idx="660">
                  <c:v>56.97863294245248</c:v>
                </c:pt>
                <c:pt idx="661">
                  <c:v>57.07903251334916</c:v>
                </c:pt>
                <c:pt idx="662">
                  <c:v>57.17954805381848</c:v>
                </c:pt>
                <c:pt idx="663">
                  <c:v>57.28018012975721</c:v>
                </c:pt>
                <c:pt idx="664">
                  <c:v>57.38092931006806</c:v>
                </c:pt>
                <c:pt idx="665">
                  <c:v>57.481796166683765</c:v>
                </c:pt>
                <c:pt idx="666">
                  <c:v>57.582781274591476</c:v>
                </c:pt>
                <c:pt idx="667">
                  <c:v>57.683885211857216</c:v>
                </c:pt>
                <c:pt idx="668">
                  <c:v>57.785108559650936</c:v>
                </c:pt>
                <c:pt idx="669">
                  <c:v>57.88645190227123</c:v>
                </c:pt>
                <c:pt idx="670">
                  <c:v>57.98791582717099</c:v>
                </c:pt>
                <c:pt idx="671">
                  <c:v>58.0895009249826</c:v>
                </c:pt>
                <c:pt idx="672">
                  <c:v>58.19120778954392</c:v>
                </c:pt>
                <c:pt idx="673">
                  <c:v>58.29303701792436</c:v>
                </c:pt>
                <c:pt idx="674">
                  <c:v>58.39498921045096</c:v>
                </c:pt>
                <c:pt idx="675">
                  <c:v>58.49706497073519</c:v>
                </c:pt>
                <c:pt idx="676">
                  <c:v>58.59926490569948</c:v>
                </c:pt>
                <c:pt idx="677">
                  <c:v>58.70158962560451</c:v>
                </c:pt>
                <c:pt idx="678">
                  <c:v>58.80403974407644</c:v>
                </c:pt>
                <c:pt idx="679">
                  <c:v>58.90661587813451</c:v>
                </c:pt>
                <c:pt idx="680">
                  <c:v>59.00931864821893</c:v>
                </c:pt>
                <c:pt idx="681">
                  <c:v>59.11214867821902</c:v>
                </c:pt>
                <c:pt idx="682">
                  <c:v>59.21510659550166</c:v>
                </c:pt>
                <c:pt idx="683">
                  <c:v>59.31819303093988</c:v>
                </c:pt>
                <c:pt idx="684">
                  <c:v>59.421408618942095</c:v>
                </c:pt>
                <c:pt idx="685">
                  <c:v>59.52475399748107</c:v>
                </c:pt>
                <c:pt idx="686">
                  <c:v>59.62822980812382</c:v>
                </c:pt>
                <c:pt idx="687">
                  <c:v>59.7318366960612</c:v>
                </c:pt>
                <c:pt idx="688">
                  <c:v>59.83557531013818</c:v>
                </c:pt>
                <c:pt idx="689">
                  <c:v>59.93944630288446</c:v>
                </c:pt>
                <c:pt idx="690">
                  <c:v>60.04345033054498</c:v>
                </c:pt>
                <c:pt idx="691">
                  <c:v>60.1475880531112</c:v>
                </c:pt>
                <c:pt idx="692">
                  <c:v>60.251860134352455</c:v>
                </c:pt>
                <c:pt idx="693">
                  <c:v>60.356267241847654</c:v>
                </c:pt>
                <c:pt idx="694">
                  <c:v>60.460810047017354</c:v>
                </c:pt>
                <c:pt idx="695">
                  <c:v>60.56548922515611</c:v>
                </c:pt>
                <c:pt idx="696">
                  <c:v>60.6703054554652</c:v>
                </c:pt>
                <c:pt idx="697">
                  <c:v>60.775259421085565</c:v>
                </c:pt>
                <c:pt idx="698">
                  <c:v>60.88035180913141</c:v>
                </c:pt>
                <c:pt idx="699">
                  <c:v>60.985583310723605</c:v>
                </c:pt>
                <c:pt idx="700">
                  <c:v>61.090954621024075</c:v>
                </c:pt>
                <c:pt idx="701">
                  <c:v>61.196466439269905</c:v>
                </c:pt>
                <c:pt idx="702">
                  <c:v>61.30211946880835</c:v>
                </c:pt>
                <c:pt idx="703">
                  <c:v>61.40791441713187</c:v>
                </c:pt>
                <c:pt idx="704">
                  <c:v>61.513851995913555</c:v>
                </c:pt>
                <c:pt idx="705">
                  <c:v>61.61993292104321</c:v>
                </c:pt>
                <c:pt idx="706">
                  <c:v>61.72615791266327</c:v>
                </c:pt>
                <c:pt idx="707">
                  <c:v>61.83252769520578</c:v>
                </c:pt>
                <c:pt idx="708">
                  <c:v>61.93904299742908</c:v>
                </c:pt>
                <c:pt idx="709">
                  <c:v>62.04570455245538</c:v>
                </c:pt>
                <c:pt idx="710">
                  <c:v>62.15251309780853</c:v>
                </c:pt>
                <c:pt idx="711">
                  <c:v>62.25946937545205</c:v>
                </c:pt>
                <c:pt idx="712">
                  <c:v>62.366574131827996</c:v>
                </c:pt>
                <c:pt idx="713">
                  <c:v>62.473828117895614</c:v>
                </c:pt>
                <c:pt idx="714">
                  <c:v>62.5812320891711</c:v>
                </c:pt>
                <c:pt idx="715">
                  <c:v>62.6887868057671</c:v>
                </c:pt>
                <c:pt idx="716">
                  <c:v>62.796493032433204</c:v>
                </c:pt>
                <c:pt idx="717">
                  <c:v>62.90435153859651</c:v>
                </c:pt>
                <c:pt idx="718">
                  <c:v>63.012363098402766</c:v>
                </c:pt>
                <c:pt idx="719">
                  <c:v>63.12052849075796</c:v>
                </c:pt>
                <c:pt idx="720">
                  <c:v>63.228848499370294</c:v>
                </c:pt>
                <c:pt idx="721">
                  <c:v>63.33732391279267</c:v>
                </c:pt>
                <c:pt idx="722">
                  <c:v>63.44595552446551</c:v>
                </c:pt>
                <c:pt idx="723">
                  <c:v>63.55474413276039</c:v>
                </c:pt>
                <c:pt idx="724">
                  <c:v>63.66369054102359</c:v>
                </c:pt>
                <c:pt idx="725">
                  <c:v>63.772795557620576</c:v>
                </c:pt>
                <c:pt idx="726">
                  <c:v>63.88205999598093</c:v>
                </c:pt>
                <c:pt idx="727">
                  <c:v>63.99148467464339</c:v>
                </c:pt>
                <c:pt idx="728">
                  <c:v>64.10107041730194</c:v>
                </c:pt>
                <c:pt idx="729">
                  <c:v>64.21081805285186</c:v>
                </c:pt>
                <c:pt idx="730">
                  <c:v>64.32072841543673</c:v>
                </c:pt>
                <c:pt idx="731">
                  <c:v>64.43080234449569</c:v>
                </c:pt>
                <c:pt idx="732">
                  <c:v>64.54104068481128</c:v>
                </c:pt>
                <c:pt idx="733">
                  <c:v>64.65144428655786</c:v>
                </c:pt>
                <c:pt idx="734">
                  <c:v>64.76201400535054</c:v>
                </c:pt>
                <c:pt idx="735">
                  <c:v>64.87275070229462</c:v>
                </c:pt>
                <c:pt idx="736">
                  <c:v>64.98365524403559</c:v>
                </c:pt>
                <c:pt idx="737">
                  <c:v>65.09472850280987</c:v>
                </c:pt>
                <c:pt idx="738">
                  <c:v>65.2059713564957</c:v>
                </c:pt>
                <c:pt idx="739">
                  <c:v>65.31738468866509</c:v>
                </c:pt>
                <c:pt idx="740">
                  <c:v>65.42896938863603</c:v>
                </c:pt>
                <c:pt idx="741">
                  <c:v>65.54072635152535</c:v>
                </c:pt>
                <c:pt idx="742">
                  <c:v>65.65265647830239</c:v>
                </c:pt>
                <c:pt idx="743">
                  <c:v>65.76476067584281</c:v>
                </c:pt>
                <c:pt idx="744">
                  <c:v>65.87703985698366</c:v>
                </c:pt>
                <c:pt idx="745">
                  <c:v>65.9894949405784</c:v>
                </c:pt>
                <c:pt idx="746">
                  <c:v>66.10212685155311</c:v>
                </c:pt>
                <c:pt idx="747">
                  <c:v>66.214936520963</c:v>
                </c:pt>
                <c:pt idx="748">
                  <c:v>66.32792488604967</c:v>
                </c:pt>
                <c:pt idx="749">
                  <c:v>66.44109289029913</c:v>
                </c:pt>
                <c:pt idx="750">
                  <c:v>66.55444148350021</c:v>
                </c:pt>
                <c:pt idx="751">
                  <c:v>66.66797162180411</c:v>
                </c:pt>
                <c:pt idx="752">
                  <c:v>66.78168426778404</c:v>
                </c:pt>
                <c:pt idx="753">
                  <c:v>66.89558039049619</c:v>
                </c:pt>
                <c:pt idx="754">
                  <c:v>67.0096609655408</c:v>
                </c:pt>
                <c:pt idx="755">
                  <c:v>67.12392697512448</c:v>
                </c:pt>
                <c:pt idx="756">
                  <c:v>67.23837940812287</c:v>
                </c:pt>
                <c:pt idx="757">
                  <c:v>67.35301926014424</c:v>
                </c:pt>
                <c:pt idx="758">
                  <c:v>67.46784753359378</c:v>
                </c:pt>
                <c:pt idx="759">
                  <c:v>67.58286523773857</c:v>
                </c:pt>
                <c:pt idx="760">
                  <c:v>67.69807338877361</c:v>
                </c:pt>
                <c:pt idx="761">
                  <c:v>67.81347300988807</c:v>
                </c:pt>
                <c:pt idx="762">
                  <c:v>67.9290651313331</c:v>
                </c:pt>
                <c:pt idx="763">
                  <c:v>68.04485079048963</c:v>
                </c:pt>
                <c:pt idx="764">
                  <c:v>68.16083103193755</c:v>
                </c:pt>
                <c:pt idx="765">
                  <c:v>68.27700690752566</c:v>
                </c:pt>
                <c:pt idx="766">
                  <c:v>68.39337947644204</c:v>
                </c:pt>
                <c:pt idx="767">
                  <c:v>68.50994980528588</c:v>
                </c:pt>
                <c:pt idx="768">
                  <c:v>68.62671896813961</c:v>
                </c:pt>
                <c:pt idx="769">
                  <c:v>68.74368804664228</c:v>
                </c:pt>
                <c:pt idx="770">
                  <c:v>68.86085813006366</c:v>
                </c:pt>
                <c:pt idx="771">
                  <c:v>68.97823031537932</c:v>
                </c:pt>
                <c:pt idx="772">
                  <c:v>69.09580570734651</c:v>
                </c:pt>
                <c:pt idx="773">
                  <c:v>69.21358541858113</c:v>
                </c:pt>
                <c:pt idx="774">
                  <c:v>69.33157056963547</c:v>
                </c:pt>
                <c:pt idx="775">
                  <c:v>69.44976228907696</c:v>
                </c:pt>
                <c:pt idx="776">
                  <c:v>69.5681617135681</c:v>
                </c:pt>
                <c:pt idx="777">
                  <c:v>69.68676998794695</c:v>
                </c:pt>
                <c:pt idx="778">
                  <c:v>69.80558826530891</c:v>
                </c:pt>
                <c:pt idx="779">
                  <c:v>69.92461770708968</c:v>
                </c:pt>
                <c:pt idx="780">
                  <c:v>70.04385948314862</c:v>
                </c:pt>
                <c:pt idx="781">
                  <c:v>70.16331477185399</c:v>
                </c:pt>
                <c:pt idx="782">
                  <c:v>70.2829847601684</c:v>
                </c:pt>
                <c:pt idx="783">
                  <c:v>70.4028706437361</c:v>
                </c:pt>
                <c:pt idx="784">
                  <c:v>70.52297362697075</c:v>
                </c:pt>
                <c:pt idx="785">
                  <c:v>70.64329492314474</c:v>
                </c:pt>
                <c:pt idx="786">
                  <c:v>70.7638357544793</c:v>
                </c:pt>
                <c:pt idx="787">
                  <c:v>70.88459735223603</c:v>
                </c:pt>
                <c:pt idx="788">
                  <c:v>71.00558095680938</c:v>
                </c:pt>
                <c:pt idx="789">
                  <c:v>71.12678781782033</c:v>
                </c:pt>
                <c:pt idx="790">
                  <c:v>71.24821919421154</c:v>
                </c:pt>
                <c:pt idx="791">
                  <c:v>71.3698763543432</c:v>
                </c:pt>
                <c:pt idx="792">
                  <c:v>71.49176057609064</c:v>
                </c:pt>
                <c:pt idx="793">
                  <c:v>71.61387314694282</c:v>
                </c:pt>
                <c:pt idx="794">
                  <c:v>71.73621536410226</c:v>
                </c:pt>
                <c:pt idx="795">
                  <c:v>71.85878853458627</c:v>
                </c:pt>
                <c:pt idx="796">
                  <c:v>71.98159397532928</c:v>
                </c:pt>
                <c:pt idx="797">
                  <c:v>72.10463301328693</c:v>
                </c:pt>
                <c:pt idx="798">
                  <c:v>72.22790698554093</c:v>
                </c:pt>
                <c:pt idx="799">
                  <c:v>72.35141723940593</c:v>
                </c:pt>
                <c:pt idx="800">
                  <c:v>72.47516513253713</c:v>
                </c:pt>
                <c:pt idx="801">
                  <c:v>72.47516513253713</c:v>
                </c:pt>
                <c:pt idx="802">
                  <c:v>72.51172644556071</c:v>
                </c:pt>
                <c:pt idx="803">
                  <c:v>72.54831390199031</c:v>
                </c:pt>
                <c:pt idx="804">
                  <c:v>72.58492754812896</c:v>
                </c:pt>
                <c:pt idx="805">
                  <c:v>72.62156743039819</c:v>
                </c:pt>
                <c:pt idx="806">
                  <c:v>72.6582335953385</c:v>
                </c:pt>
                <c:pt idx="807">
                  <c:v>72.69492608960995</c:v>
                </c:pt>
                <c:pt idx="808">
                  <c:v>72.73164495999228</c:v>
                </c:pt>
                <c:pt idx="809">
                  <c:v>72.76839025338546</c:v>
                </c:pt>
                <c:pt idx="810">
                  <c:v>72.80516201681023</c:v>
                </c:pt>
                <c:pt idx="811">
                  <c:v>72.84196029740829</c:v>
                </c:pt>
                <c:pt idx="812">
                  <c:v>72.87878514244281</c:v>
                </c:pt>
                <c:pt idx="813">
                  <c:v>72.91563659929896</c:v>
                </c:pt>
                <c:pt idx="814">
                  <c:v>72.95251471548413</c:v>
                </c:pt>
                <c:pt idx="815">
                  <c:v>72.98941953862855</c:v>
                </c:pt>
                <c:pt idx="816">
                  <c:v>73.02635111648557</c:v>
                </c:pt>
                <c:pt idx="817">
                  <c:v>73.0633094969321</c:v>
                </c:pt>
                <c:pt idx="818">
                  <c:v>73.10029472796921</c:v>
                </c:pt>
                <c:pt idx="819">
                  <c:v>73.13730685772232</c:v>
                </c:pt>
                <c:pt idx="820">
                  <c:v>73.17434593444175</c:v>
                </c:pt>
                <c:pt idx="821">
                  <c:v>73.21141200650325</c:v>
                </c:pt>
                <c:pt idx="822">
                  <c:v>73.24850512240825</c:v>
                </c:pt>
                <c:pt idx="823">
                  <c:v>73.28562533078436</c:v>
                </c:pt>
                <c:pt idx="824">
                  <c:v>73.32277268038595</c:v>
                </c:pt>
                <c:pt idx="825">
                  <c:v>73.3599472200944</c:v>
                </c:pt>
                <c:pt idx="826">
                  <c:v>73.3971489989186</c:v>
                </c:pt>
                <c:pt idx="827">
                  <c:v>73.43437806599553</c:v>
                </c:pt>
                <c:pt idx="828">
                  <c:v>73.4716344705905</c:v>
                </c:pt>
                <c:pt idx="829">
                  <c:v>73.50891826209771</c:v>
                </c:pt>
                <c:pt idx="830">
                  <c:v>73.54622949004077</c:v>
                </c:pt>
                <c:pt idx="831">
                  <c:v>73.583568204073</c:v>
                </c:pt>
                <c:pt idx="832">
                  <c:v>73.62093445397795</c:v>
                </c:pt>
                <c:pt idx="833">
                  <c:v>73.65832828967</c:v>
                </c:pt>
                <c:pt idx="834">
                  <c:v>73.6957497611945</c:v>
                </c:pt>
                <c:pt idx="835">
                  <c:v>73.73319891872865</c:v>
                </c:pt>
                <c:pt idx="836">
                  <c:v>73.77067581258154</c:v>
                </c:pt>
                <c:pt idx="837">
                  <c:v>73.8081804931949</c:v>
                </c:pt>
                <c:pt idx="838">
                  <c:v>73.84571301114353</c:v>
                </c:pt>
                <c:pt idx="839">
                  <c:v>73.88327341713565</c:v>
                </c:pt>
                <c:pt idx="840">
                  <c:v>73.92086176201344</c:v>
                </c:pt>
                <c:pt idx="841">
                  <c:v>73.95847809675365</c:v>
                </c:pt>
                <c:pt idx="842">
                  <c:v>73.99612247246782</c:v>
                </c:pt>
                <c:pt idx="843">
                  <c:v>74.03379494040288</c:v>
                </c:pt>
                <c:pt idx="844">
                  <c:v>74.07149555194181</c:v>
                </c:pt>
                <c:pt idx="845">
                  <c:v>74.10922435860377</c:v>
                </c:pt>
                <c:pt idx="846">
                  <c:v>74.14698141204481</c:v>
                </c:pt>
                <c:pt idx="847">
                  <c:v>74.18476676405842</c:v>
                </c:pt>
                <c:pt idx="848">
                  <c:v>74.22258046657582</c:v>
                </c:pt>
                <c:pt idx="849">
                  <c:v>74.26042257166654</c:v>
                </c:pt>
                <c:pt idx="850">
                  <c:v>74.29829313153903</c:v>
                </c:pt>
                <c:pt idx="851">
                  <c:v>74.33619219854094</c:v>
                </c:pt>
                <c:pt idx="852">
                  <c:v>74.37411982515974</c:v>
                </c:pt>
                <c:pt idx="853">
                  <c:v>74.41207606402331</c:v>
                </c:pt>
                <c:pt idx="854">
                  <c:v>74.45006096790026</c:v>
                </c:pt>
                <c:pt idx="855">
                  <c:v>74.48807458970047</c:v>
                </c:pt>
                <c:pt idx="856">
                  <c:v>74.5261169824758</c:v>
                </c:pt>
                <c:pt idx="857">
                  <c:v>74.56418819942027</c:v>
                </c:pt>
                <c:pt idx="858">
                  <c:v>74.60228829387093</c:v>
                </c:pt>
                <c:pt idx="859">
                  <c:v>74.64041731930806</c:v>
                </c:pt>
                <c:pt idx="860">
                  <c:v>74.67857532935581</c:v>
                </c:pt>
                <c:pt idx="861">
                  <c:v>74.71676237778287</c:v>
                </c:pt>
                <c:pt idx="862">
                  <c:v>74.75497851850271</c:v>
                </c:pt>
                <c:pt idx="863">
                  <c:v>74.79322380557427</c:v>
                </c:pt>
                <c:pt idx="864">
                  <c:v>74.83149829320256</c:v>
                </c:pt>
                <c:pt idx="865">
                  <c:v>74.86980203573897</c:v>
                </c:pt>
                <c:pt idx="866">
                  <c:v>74.90813508768196</c:v>
                </c:pt>
                <c:pt idx="867">
                  <c:v>74.9464975036776</c:v>
                </c:pt>
                <c:pt idx="868">
                  <c:v>74.98488933852002</c:v>
                </c:pt>
                <c:pt idx="869">
                  <c:v>75.02331064715193</c:v>
                </c:pt>
                <c:pt idx="870">
                  <c:v>75.06176148466537</c:v>
                </c:pt>
                <c:pt idx="871">
                  <c:v>75.10024190630197</c:v>
                </c:pt>
                <c:pt idx="872">
                  <c:v>75.13875196745366</c:v>
                </c:pt>
                <c:pt idx="873">
                  <c:v>75.17729172366325</c:v>
                </c:pt>
                <c:pt idx="874">
                  <c:v>75.21586123062482</c:v>
                </c:pt>
                <c:pt idx="875">
                  <c:v>75.25446054418441</c:v>
                </c:pt>
                <c:pt idx="876">
                  <c:v>75.2930897203406</c:v>
                </c:pt>
                <c:pt idx="877">
                  <c:v>75.3317488152449</c:v>
                </c:pt>
                <c:pt idx="878">
                  <c:v>75.37043788520249</c:v>
                </c:pt>
                <c:pt idx="879">
                  <c:v>75.40915698667268</c:v>
                </c:pt>
                <c:pt idx="880">
                  <c:v>75.44790617626947</c:v>
                </c:pt>
                <c:pt idx="881">
                  <c:v>75.48668551076226</c:v>
                </c:pt>
                <c:pt idx="882">
                  <c:v>75.52549504707619</c:v>
                </c:pt>
                <c:pt idx="883">
                  <c:v>75.56433484229288</c:v>
                </c:pt>
                <c:pt idx="884">
                  <c:v>75.60320495365104</c:v>
                </c:pt>
                <c:pt idx="885">
                  <c:v>75.64210543854688</c:v>
                </c:pt>
                <c:pt idx="886">
                  <c:v>75.68103635453477</c:v>
                </c:pt>
                <c:pt idx="887">
                  <c:v>75.71999775932797</c:v>
                </c:pt>
                <c:pt idx="888">
                  <c:v>75.75898971079897</c:v>
                </c:pt>
                <c:pt idx="889">
                  <c:v>75.7980122669802</c:v>
                </c:pt>
                <c:pt idx="890">
                  <c:v>75.8370654860647</c:v>
                </c:pt>
                <c:pt idx="891">
                  <c:v>75.87614942640657</c:v>
                </c:pt>
                <c:pt idx="892">
                  <c:v>75.91526414652161</c:v>
                </c:pt>
                <c:pt idx="893">
                  <c:v>75.95440970508804</c:v>
                </c:pt>
                <c:pt idx="894">
                  <c:v>75.99358616094693</c:v>
                </c:pt>
                <c:pt idx="895">
                  <c:v>76.03279357310286</c:v>
                </c:pt>
                <c:pt idx="896">
                  <c:v>76.07203200072469</c:v>
                </c:pt>
                <c:pt idx="897">
                  <c:v>76.11130150314588</c:v>
                </c:pt>
                <c:pt idx="898">
                  <c:v>76.15060213986531</c:v>
                </c:pt>
                <c:pt idx="899">
                  <c:v>76.18993397054793</c:v>
                </c:pt>
                <c:pt idx="900">
                  <c:v>76.22929705502516</c:v>
                </c:pt>
                <c:pt idx="901">
                  <c:v>76.26869145329579</c:v>
                </c:pt>
                <c:pt idx="902">
                  <c:v>76.30811722552637</c:v>
                </c:pt>
                <c:pt idx="903">
                  <c:v>76.34757443205196</c:v>
                </c:pt>
                <c:pt idx="904">
                  <c:v>76.3870631333768</c:v>
                </c:pt>
                <c:pt idx="905">
                  <c:v>76.42658339017483</c:v>
                </c:pt>
                <c:pt idx="906">
                  <c:v>76.46613526329034</c:v>
                </c:pt>
                <c:pt idx="907">
                  <c:v>76.50571881373881</c:v>
                </c:pt>
                <c:pt idx="908">
                  <c:v>76.54533410270726</c:v>
                </c:pt>
                <c:pt idx="909">
                  <c:v>76.58498119155503</c:v>
                </c:pt>
                <c:pt idx="910">
                  <c:v>76.6246601418146</c:v>
                </c:pt>
                <c:pt idx="911">
                  <c:v>76.66437101519192</c:v>
                </c:pt>
                <c:pt idx="912">
                  <c:v>76.70411387356725</c:v>
                </c:pt>
                <c:pt idx="913">
                  <c:v>76.74388877899592</c:v>
                </c:pt>
                <c:pt idx="914">
                  <c:v>76.78369579370874</c:v>
                </c:pt>
                <c:pt idx="915">
                  <c:v>76.82353498011283</c:v>
                </c:pt>
                <c:pt idx="916">
                  <c:v>76.86340640079231</c:v>
                </c:pt>
                <c:pt idx="917">
                  <c:v>76.90331011850888</c:v>
                </c:pt>
                <c:pt idx="918">
                  <c:v>76.9432461962025</c:v>
                </c:pt>
                <c:pt idx="919">
                  <c:v>76.9832146969922</c:v>
                </c:pt>
                <c:pt idx="920">
                  <c:v>77.0232156841766</c:v>
                </c:pt>
                <c:pt idx="921">
                  <c:v>77.06324922123461</c:v>
                </c:pt>
                <c:pt idx="922">
                  <c:v>77.10331537182633</c:v>
                </c:pt>
                <c:pt idx="923">
                  <c:v>77.14341419979338</c:v>
                </c:pt>
                <c:pt idx="924">
                  <c:v>77.18354576916</c:v>
                </c:pt>
                <c:pt idx="925">
                  <c:v>77.2237101441334</c:v>
                </c:pt>
                <c:pt idx="926">
                  <c:v>77.26390738910463</c:v>
                </c:pt>
                <c:pt idx="927">
                  <c:v>77.30413756864935</c:v>
                </c:pt>
                <c:pt idx="928">
                  <c:v>77.34440074752837</c:v>
                </c:pt>
                <c:pt idx="929">
                  <c:v>77.3846969906884</c:v>
                </c:pt>
                <c:pt idx="930">
                  <c:v>77.42502636326296</c:v>
                </c:pt>
                <c:pt idx="931">
                  <c:v>77.46538893057281</c:v>
                </c:pt>
                <c:pt idx="932">
                  <c:v>77.50578475812684</c:v>
                </c:pt>
                <c:pt idx="933">
                  <c:v>77.54621391162284</c:v>
                </c:pt>
                <c:pt idx="934">
                  <c:v>77.58667645694808</c:v>
                </c:pt>
                <c:pt idx="935">
                  <c:v>77.62717246018008</c:v>
                </c:pt>
                <c:pt idx="936">
                  <c:v>77.66770198758752</c:v>
                </c:pt>
                <c:pt idx="937">
                  <c:v>77.70826510563073</c:v>
                </c:pt>
                <c:pt idx="938">
                  <c:v>77.74886188096255</c:v>
                </c:pt>
                <c:pt idx="939">
                  <c:v>77.78949238042918</c:v>
                </c:pt>
                <c:pt idx="940">
                  <c:v>77.83015667107071</c:v>
                </c:pt>
                <c:pt idx="941">
                  <c:v>77.87085482012198</c:v>
                </c:pt>
                <c:pt idx="942">
                  <c:v>77.91158689501349</c:v>
                </c:pt>
                <c:pt idx="943">
                  <c:v>77.95235296337184</c:v>
                </c:pt>
                <c:pt idx="944">
                  <c:v>77.99315309302085</c:v>
                </c:pt>
                <c:pt idx="945">
                  <c:v>78.03398735198202</c:v>
                </c:pt>
                <c:pt idx="946">
                  <c:v>78.07485580847545</c:v>
                </c:pt>
                <c:pt idx="947">
                  <c:v>78.11575853092071</c:v>
                </c:pt>
                <c:pt idx="948">
                  <c:v>78.1566955879374</c:v>
                </c:pt>
                <c:pt idx="949">
                  <c:v>78.19766704834606</c:v>
                </c:pt>
                <c:pt idx="950">
                  <c:v>78.23867298116905</c:v>
                </c:pt>
                <c:pt idx="951">
                  <c:v>78.27971345563111</c:v>
                </c:pt>
                <c:pt idx="952">
                  <c:v>78.32078854116033</c:v>
                </c:pt>
                <c:pt idx="953">
                  <c:v>78.36189830738896</c:v>
                </c:pt>
                <c:pt idx="954">
                  <c:v>78.40304282415408</c:v>
                </c:pt>
                <c:pt idx="955">
                  <c:v>78.44422216149849</c:v>
                </c:pt>
                <c:pt idx="956">
                  <c:v>78.4854363896716</c:v>
                </c:pt>
                <c:pt idx="957">
                  <c:v>78.52668557913009</c:v>
                </c:pt>
                <c:pt idx="958">
                  <c:v>78.56796980053876</c:v>
                </c:pt>
                <c:pt idx="959">
                  <c:v>78.60928912477156</c:v>
                </c:pt>
                <c:pt idx="960">
                  <c:v>78.6506436229121</c:v>
                </c:pt>
                <c:pt idx="961">
                  <c:v>78.69203336625463</c:v>
                </c:pt>
                <c:pt idx="962">
                  <c:v>78.73345842630505</c:v>
                </c:pt>
                <c:pt idx="963">
                  <c:v>78.77491887478138</c:v>
                </c:pt>
                <c:pt idx="964">
                  <c:v>78.81641478361497</c:v>
                </c:pt>
                <c:pt idx="965">
                  <c:v>78.85794622495109</c:v>
                </c:pt>
                <c:pt idx="966">
                  <c:v>78.89951327114987</c:v>
                </c:pt>
                <c:pt idx="967">
                  <c:v>78.94111599478727</c:v>
                </c:pt>
                <c:pt idx="968">
                  <c:v>78.98275446865573</c:v>
                </c:pt>
                <c:pt idx="969">
                  <c:v>79.02442876576515</c:v>
                </c:pt>
                <c:pt idx="970">
                  <c:v>79.06613895934386</c:v>
                </c:pt>
                <c:pt idx="971">
                  <c:v>79.10788512283928</c:v>
                </c:pt>
                <c:pt idx="972">
                  <c:v>79.14966732991888</c:v>
                </c:pt>
                <c:pt idx="973">
                  <c:v>79.19148565447124</c:v>
                </c:pt>
                <c:pt idx="974">
                  <c:v>79.23334017060664</c:v>
                </c:pt>
                <c:pt idx="975">
                  <c:v>79.27523095265812</c:v>
                </c:pt>
                <c:pt idx="976">
                  <c:v>79.31715807518248</c:v>
                </c:pt>
                <c:pt idx="977">
                  <c:v>79.3591216129609</c:v>
                </c:pt>
                <c:pt idx="978">
                  <c:v>79.40112164100006</c:v>
                </c:pt>
                <c:pt idx="979">
                  <c:v>79.44315823453306</c:v>
                </c:pt>
                <c:pt idx="980">
                  <c:v>79.48523146902016</c:v>
                </c:pt>
                <c:pt idx="981">
                  <c:v>79.52734142014982</c:v>
                </c:pt>
                <c:pt idx="982">
                  <c:v>79.56948816383972</c:v>
                </c:pt>
                <c:pt idx="983">
                  <c:v>79.61167177623746</c:v>
                </c:pt>
                <c:pt idx="984">
                  <c:v>79.6538923337216</c:v>
                </c:pt>
                <c:pt idx="985">
                  <c:v>79.69614991290275</c:v>
                </c:pt>
                <c:pt idx="986">
                  <c:v>79.73844459062421</c:v>
                </c:pt>
                <c:pt idx="987">
                  <c:v>79.78077644396323</c:v>
                </c:pt>
                <c:pt idx="988">
                  <c:v>79.82314555023171</c:v>
                </c:pt>
                <c:pt idx="989">
                  <c:v>79.86555198697725</c:v>
                </c:pt>
                <c:pt idx="990">
                  <c:v>79.90799583198424</c:v>
                </c:pt>
                <c:pt idx="991">
                  <c:v>79.9504771632746</c:v>
                </c:pt>
                <c:pt idx="992">
                  <c:v>79.99299605910885</c:v>
                </c:pt>
                <c:pt idx="993">
                  <c:v>80.03555259798722</c:v>
                </c:pt>
                <c:pt idx="994">
                  <c:v>80.07814685865041</c:v>
                </c:pt>
                <c:pt idx="995">
                  <c:v>80.12077892008067</c:v>
                </c:pt>
                <c:pt idx="996">
                  <c:v>80.16344886150291</c:v>
                </c:pt>
                <c:pt idx="997">
                  <c:v>80.20615676238549</c:v>
                </c:pt>
                <c:pt idx="998">
                  <c:v>80.24890270244128</c:v>
                </c:pt>
                <c:pt idx="999">
                  <c:v>80.29168676162888</c:v>
                </c:pt>
                <c:pt idx="1000">
                  <c:v>80.3345090201533</c:v>
                </c:pt>
                <c:pt idx="1001">
                  <c:v>80.37736955846717</c:v>
                </c:pt>
                <c:pt idx="1002">
                  <c:v>80.42026845727182</c:v>
                </c:pt>
                <c:pt idx="1003">
                  <c:v>80.46320579751813</c:v>
                </c:pt>
                <c:pt idx="1004">
                  <c:v>80.50618166040763</c:v>
                </c:pt>
                <c:pt idx="1005">
                  <c:v>80.54919612739371</c:v>
                </c:pt>
                <c:pt idx="1006">
                  <c:v>80.59224928018239</c:v>
                </c:pt>
                <c:pt idx="1007">
                  <c:v>80.63534120073346</c:v>
                </c:pt>
                <c:pt idx="1008">
                  <c:v>80.67847197126177</c:v>
                </c:pt>
                <c:pt idx="1009">
                  <c:v>80.72164167423786</c:v>
                </c:pt>
                <c:pt idx="1010">
                  <c:v>80.76485039238946</c:v>
                </c:pt>
                <c:pt idx="1011">
                  <c:v>80.80809820870225</c:v>
                </c:pt>
                <c:pt idx="1012">
                  <c:v>80.85138520642103</c:v>
                </c:pt>
                <c:pt idx="1013">
                  <c:v>80.89471146905095</c:v>
                </c:pt>
                <c:pt idx="1014">
                  <c:v>80.93807708035835</c:v>
                </c:pt>
                <c:pt idx="1015">
                  <c:v>80.981482124372</c:v>
                </c:pt>
                <c:pt idx="1016">
                  <c:v>81.02492668538426</c:v>
                </c:pt>
                <c:pt idx="1017">
                  <c:v>81.06841084795202</c:v>
                </c:pt>
                <c:pt idx="1018">
                  <c:v>81.11193469689789</c:v>
                </c:pt>
                <c:pt idx="1019">
                  <c:v>81.15549831731143</c:v>
                </c:pt>
                <c:pt idx="1020">
                  <c:v>81.19910179455006</c:v>
                </c:pt>
                <c:pt idx="1021">
                  <c:v>81.24274521424029</c:v>
                </c:pt>
                <c:pt idx="1022">
                  <c:v>81.28642866227898</c:v>
                </c:pt>
                <c:pt idx="1023">
                  <c:v>81.33015222483426</c:v>
                </c:pt>
                <c:pt idx="1024">
                  <c:v>81.37391598834677</c:v>
                </c:pt>
                <c:pt idx="1025">
                  <c:v>81.41772003953095</c:v>
                </c:pt>
                <c:pt idx="1026">
                  <c:v>81.46156446537596</c:v>
                </c:pt>
                <c:pt idx="1027">
                  <c:v>81.50544935314694</c:v>
                </c:pt>
                <c:pt idx="1028">
                  <c:v>81.54937479038637</c:v>
                </c:pt>
                <c:pt idx="1029">
                  <c:v>81.59334086491485</c:v>
                </c:pt>
                <c:pt idx="1030">
                  <c:v>81.63734766483276</c:v>
                </c:pt>
                <c:pt idx="1031">
                  <c:v>81.68139527852102</c:v>
                </c:pt>
                <c:pt idx="1032">
                  <c:v>81.72548379464253</c:v>
                </c:pt>
                <c:pt idx="1033">
                  <c:v>81.76961330214338</c:v>
                </c:pt>
                <c:pt idx="1034">
                  <c:v>81.81378389025393</c:v>
                </c:pt>
                <c:pt idx="1035">
                  <c:v>81.85799564849006</c:v>
                </c:pt>
                <c:pt idx="1036">
                  <c:v>81.90224866665459</c:v>
                </c:pt>
                <c:pt idx="1037">
                  <c:v>81.94654303483817</c:v>
                </c:pt>
                <c:pt idx="1038">
                  <c:v>81.99087884342073</c:v>
                </c:pt>
                <c:pt idx="1039">
                  <c:v>82.03525618307282</c:v>
                </c:pt>
                <c:pt idx="1040">
                  <c:v>82.07967514475656</c:v>
                </c:pt>
                <c:pt idx="1041">
                  <c:v>82.1241358197271</c:v>
                </c:pt>
                <c:pt idx="1042">
                  <c:v>82.16863829953397</c:v>
                </c:pt>
                <c:pt idx="1043">
                  <c:v>82.21318267602207</c:v>
                </c:pt>
                <c:pt idx="1044">
                  <c:v>82.25776904133313</c:v>
                </c:pt>
                <c:pt idx="1045">
                  <c:v>82.30239748790709</c:v>
                </c:pt>
                <c:pt idx="1046">
                  <c:v>82.34706810848311</c:v>
                </c:pt>
                <c:pt idx="1047">
                  <c:v>82.39178099610106</c:v>
                </c:pt>
                <c:pt idx="1048">
                  <c:v>82.43653624410291</c:v>
                </c:pt>
                <c:pt idx="1049">
                  <c:v>82.48133394613377</c:v>
                </c:pt>
                <c:pt idx="1050">
                  <c:v>82.52617419614337</c:v>
                </c:pt>
                <c:pt idx="1051">
                  <c:v>82.5710570883875</c:v>
                </c:pt>
                <c:pt idx="1052">
                  <c:v>82.61598271742906</c:v>
                </c:pt>
                <c:pt idx="1053">
                  <c:v>82.66095117813973</c:v>
                </c:pt>
                <c:pt idx="1054">
                  <c:v>82.70596256570099</c:v>
                </c:pt>
                <c:pt idx="1055">
                  <c:v>82.75101697560564</c:v>
                </c:pt>
                <c:pt idx="1056">
                  <c:v>82.79611450365931</c:v>
                </c:pt>
                <c:pt idx="1057">
                  <c:v>82.84125524598151</c:v>
                </c:pt>
                <c:pt idx="1058">
                  <c:v>82.8864392990072</c:v>
                </c:pt>
                <c:pt idx="1059">
                  <c:v>82.93166675948824</c:v>
                </c:pt>
                <c:pt idx="1060">
                  <c:v>82.97693772449458</c:v>
                </c:pt>
                <c:pt idx="1061">
                  <c:v>83.02225229141577</c:v>
                </c:pt>
                <c:pt idx="1062">
                  <c:v>83.0676105579625</c:v>
                </c:pt>
                <c:pt idx="1063">
                  <c:v>83.11301262216773</c:v>
                </c:pt>
                <c:pt idx="1064">
                  <c:v>83.15845858238829</c:v>
                </c:pt>
                <c:pt idx="1065">
                  <c:v>83.2039485373064</c:v>
                </c:pt>
                <c:pt idx="1066">
                  <c:v>83.24948258593088</c:v>
                </c:pt>
                <c:pt idx="1067">
                  <c:v>83.2950608275987</c:v>
                </c:pt>
                <c:pt idx="1068">
                  <c:v>83.3406833619766</c:v>
                </c:pt>
                <c:pt idx="1069">
                  <c:v>83.38635028906226</c:v>
                </c:pt>
                <c:pt idx="1070">
                  <c:v>83.4320617091859</c:v>
                </c:pt>
                <c:pt idx="1071">
                  <c:v>83.47781772301194</c:v>
                </c:pt>
                <c:pt idx="1072">
                  <c:v>83.5236184315401</c:v>
                </c:pt>
                <c:pt idx="1073">
                  <c:v>83.56946393610734</c:v>
                </c:pt>
                <c:pt idx="1074">
                  <c:v>83.61535433838897</c:v>
                </c:pt>
                <c:pt idx="1075">
                  <c:v>83.66128974040036</c:v>
                </c:pt>
                <c:pt idx="1076">
                  <c:v>83.70727024449857</c:v>
                </c:pt>
                <c:pt idx="1077">
                  <c:v>83.75329595338361</c:v>
                </c:pt>
                <c:pt idx="1078">
                  <c:v>83.79936697010012</c:v>
                </c:pt>
                <c:pt idx="1079">
                  <c:v>83.84548339803904</c:v>
                </c:pt>
                <c:pt idx="1080">
                  <c:v>83.89164534093888</c:v>
                </c:pt>
                <c:pt idx="1081">
                  <c:v>83.9378529028875</c:v>
                </c:pt>
                <c:pt idx="1082">
                  <c:v>83.98410618832371</c:v>
                </c:pt>
                <c:pt idx="1083">
                  <c:v>84.03040530203866</c:v>
                </c:pt>
                <c:pt idx="1084">
                  <c:v>84.07675034917753</c:v>
                </c:pt>
                <c:pt idx="1085">
                  <c:v>84.12314143524128</c:v>
                </c:pt>
                <c:pt idx="1086">
                  <c:v>84.16957866608799</c:v>
                </c:pt>
                <c:pt idx="1087">
                  <c:v>84.2160621479346</c:v>
                </c:pt>
                <c:pt idx="1088">
                  <c:v>84.26259198735868</c:v>
                </c:pt>
                <c:pt idx="1089">
                  <c:v>84.3091682912998</c:v>
                </c:pt>
                <c:pt idx="1090">
                  <c:v>84.3557911670613</c:v>
                </c:pt>
                <c:pt idx="1091">
                  <c:v>84.4024607223121</c:v>
                </c:pt>
                <c:pt idx="1092">
                  <c:v>84.4491770650881</c:v>
                </c:pt>
                <c:pt idx="1093">
                  <c:v>84.49594030379392</c:v>
                </c:pt>
                <c:pt idx="1094">
                  <c:v>84.54275054720482</c:v>
                </c:pt>
                <c:pt idx="1095">
                  <c:v>84.58960790446801</c:v>
                </c:pt>
                <c:pt idx="1096">
                  <c:v>84.63651248510475</c:v>
                </c:pt>
                <c:pt idx="1097">
                  <c:v>84.6834643990117</c:v>
                </c:pt>
                <c:pt idx="1098">
                  <c:v>84.73046375646284</c:v>
                </c:pt>
                <c:pt idx="1099">
                  <c:v>84.7775106681113</c:v>
                </c:pt>
                <c:pt idx="1100">
                  <c:v>84.82460524499083</c:v>
                </c:pt>
                <c:pt idx="1101">
                  <c:v>84.87174759851771</c:v>
                </c:pt>
                <c:pt idx="1102">
                  <c:v>84.91893784049262</c:v>
                </c:pt>
                <c:pt idx="1103">
                  <c:v>84.96617608310216</c:v>
                </c:pt>
                <c:pt idx="1104">
                  <c:v>85.01346243892077</c:v>
                </c:pt>
                <c:pt idx="1105">
                  <c:v>85.06079702091266</c:v>
                </c:pt>
                <c:pt idx="1106">
                  <c:v>85.10817994243334</c:v>
                </c:pt>
                <c:pt idx="1107">
                  <c:v>85.15561131723155</c:v>
                </c:pt>
                <c:pt idx="1108">
                  <c:v>85.20309125945124</c:v>
                </c:pt>
                <c:pt idx="1109">
                  <c:v>85.25061988363316</c:v>
                </c:pt>
                <c:pt idx="1110">
                  <c:v>85.29819730471678</c:v>
                </c:pt>
                <c:pt idx="1111">
                  <c:v>85.34582363804233</c:v>
                </c:pt>
                <c:pt idx="1112">
                  <c:v>85.39349899935233</c:v>
                </c:pt>
                <c:pt idx="1113">
                  <c:v>85.44122350479385</c:v>
                </c:pt>
                <c:pt idx="1114">
                  <c:v>85.48899727092008</c:v>
                </c:pt>
                <c:pt idx="1115">
                  <c:v>85.53682041469236</c:v>
                </c:pt>
                <c:pt idx="1116">
                  <c:v>85.58469305348207</c:v>
                </c:pt>
                <c:pt idx="1117">
                  <c:v>85.63261530507272</c:v>
                </c:pt>
                <c:pt idx="1118">
                  <c:v>85.68058728766152</c:v>
                </c:pt>
                <c:pt idx="1119">
                  <c:v>85.72860911986176</c:v>
                </c:pt>
                <c:pt idx="1120">
                  <c:v>85.77668092070437</c:v>
                </c:pt>
                <c:pt idx="1121">
                  <c:v>85.82480280964009</c:v>
                </c:pt>
                <c:pt idx="1122">
                  <c:v>85.87297490654157</c:v>
                </c:pt>
                <c:pt idx="1123">
                  <c:v>85.92119733170506</c:v>
                </c:pt>
                <c:pt idx="1124">
                  <c:v>85.96947020585259</c:v>
                </c:pt>
                <c:pt idx="1125">
                  <c:v>86.01779365013408</c:v>
                </c:pt>
                <c:pt idx="1126">
                  <c:v>86.06616778612914</c:v>
                </c:pt>
                <c:pt idx="1127">
                  <c:v>86.11459273584921</c:v>
                </c:pt>
                <c:pt idx="1128">
                  <c:v>86.16306862173978</c:v>
                </c:pt>
                <c:pt idx="1129">
                  <c:v>86.21159556668212</c:v>
                </c:pt>
                <c:pt idx="1130">
                  <c:v>86.26017369399557</c:v>
                </c:pt>
                <c:pt idx="1131">
                  <c:v>86.30880312743973</c:v>
                </c:pt>
                <c:pt idx="1132">
                  <c:v>86.35748399121627</c:v>
                </c:pt>
                <c:pt idx="1133">
                  <c:v>86.40621640997118</c:v>
                </c:pt>
                <c:pt idx="1134">
                  <c:v>86.4550005087971</c:v>
                </c:pt>
                <c:pt idx="1135">
                  <c:v>86.50383641323504</c:v>
                </c:pt>
                <c:pt idx="1136">
                  <c:v>86.55272424927695</c:v>
                </c:pt>
                <c:pt idx="1137">
                  <c:v>86.60166414336759</c:v>
                </c:pt>
                <c:pt idx="1138">
                  <c:v>86.65065622240684</c:v>
                </c:pt>
                <c:pt idx="1139">
                  <c:v>86.6997006137518</c:v>
                </c:pt>
                <c:pt idx="1140">
                  <c:v>86.74879744521924</c:v>
                </c:pt>
                <c:pt idx="1141">
                  <c:v>86.79794684508741</c:v>
                </c:pt>
                <c:pt idx="1142">
                  <c:v>86.8471489420987</c:v>
                </c:pt>
                <c:pt idx="1143">
                  <c:v>86.89640386546154</c:v>
                </c:pt>
                <c:pt idx="1144">
                  <c:v>86.94571174485277</c:v>
                </c:pt>
                <c:pt idx="1145">
                  <c:v>86.99507271042012</c:v>
                </c:pt>
                <c:pt idx="1146">
                  <c:v>87.04448689278414</c:v>
                </c:pt>
                <c:pt idx="1147">
                  <c:v>87.09395442304066</c:v>
                </c:pt>
                <c:pt idx="1148">
                  <c:v>87.1434754327633</c:v>
                </c:pt>
                <c:pt idx="1149">
                  <c:v>87.19305005400544</c:v>
                </c:pt>
                <c:pt idx="1150">
                  <c:v>87.24267841930272</c:v>
                </c:pt>
                <c:pt idx="1151">
                  <c:v>87.29236066167557</c:v>
                </c:pt>
                <c:pt idx="1152">
                  <c:v>87.34209691463128</c:v>
                </c:pt>
                <c:pt idx="1153">
                  <c:v>87.39188731216649</c:v>
                </c:pt>
                <c:pt idx="1154">
                  <c:v>87.44173198876979</c:v>
                </c:pt>
                <c:pt idx="1155">
                  <c:v>87.4916310794238</c:v>
                </c:pt>
                <c:pt idx="1156">
                  <c:v>87.54158471960776</c:v>
                </c:pt>
                <c:pt idx="1157">
                  <c:v>87.59159304530013</c:v>
                </c:pt>
                <c:pt idx="1158">
                  <c:v>87.64165619298069</c:v>
                </c:pt>
                <c:pt idx="1159">
                  <c:v>87.69177429963342</c:v>
                </c:pt>
                <c:pt idx="1160">
                  <c:v>87.74194750274863</c:v>
                </c:pt>
                <c:pt idx="1161">
                  <c:v>87.79217594032566</c:v>
                </c:pt>
                <c:pt idx="1162">
                  <c:v>87.84245975087534</c:v>
                </c:pt>
                <c:pt idx="1163">
                  <c:v>87.89279907342264</c:v>
                </c:pt>
                <c:pt idx="1164">
                  <c:v>87.94319404750895</c:v>
                </c:pt>
                <c:pt idx="1165">
                  <c:v>87.99364481319505</c:v>
                </c:pt>
                <c:pt idx="1166">
                  <c:v>88.04415151106325</c:v>
                </c:pt>
                <c:pt idx="1167">
                  <c:v>88.09471428222025</c:v>
                </c:pt>
                <c:pt idx="1168">
                  <c:v>88.14533326829985</c:v>
                </c:pt>
                <c:pt idx="1169">
                  <c:v>88.19600861146527</c:v>
                </c:pt>
                <c:pt idx="1170">
                  <c:v>88.24674045441198</c:v>
                </c:pt>
                <c:pt idx="1171">
                  <c:v>88.29752894037048</c:v>
                </c:pt>
                <c:pt idx="1172">
                  <c:v>88.34837421310873</c:v>
                </c:pt>
                <c:pt idx="1173">
                  <c:v>88.39927641693494</c:v>
                </c:pt>
                <c:pt idx="1174">
                  <c:v>88.45023569670049</c:v>
                </c:pt>
                <c:pt idx="1175">
                  <c:v>88.50125219780232</c:v>
                </c:pt>
                <c:pt idx="1176">
                  <c:v>88.55232606618583</c:v>
                </c:pt>
                <c:pt idx="1177">
                  <c:v>88.60345744834783</c:v>
                </c:pt>
                <c:pt idx="1178">
                  <c:v>88.654646491339</c:v>
                </c:pt>
                <c:pt idx="1179">
                  <c:v>88.70589334276683</c:v>
                </c:pt>
                <c:pt idx="1180">
                  <c:v>88.75719815079863</c:v>
                </c:pt>
                <c:pt idx="1181">
                  <c:v>88.80856106416397</c:v>
                </c:pt>
                <c:pt idx="1182">
                  <c:v>88.85998223215796</c:v>
                </c:pt>
                <c:pt idx="1183">
                  <c:v>88.91146180464378</c:v>
                </c:pt>
                <c:pt idx="1184">
                  <c:v>88.96299993205568</c:v>
                </c:pt>
                <c:pt idx="1185">
                  <c:v>89.0145967654021</c:v>
                </c:pt>
                <c:pt idx="1186">
                  <c:v>89.06625245626827</c:v>
                </c:pt>
                <c:pt idx="1187">
                  <c:v>89.11796715681929</c:v>
                </c:pt>
                <c:pt idx="1188">
                  <c:v>89.16974101980325</c:v>
                </c:pt>
                <c:pt idx="1189">
                  <c:v>89.22157419855397</c:v>
                </c:pt>
                <c:pt idx="1190">
                  <c:v>89.27346684699404</c:v>
                </c:pt>
                <c:pt idx="1191">
                  <c:v>89.32541911963814</c:v>
                </c:pt>
                <c:pt idx="1192">
                  <c:v>89.37743117159565</c:v>
                </c:pt>
                <c:pt idx="1193">
                  <c:v>89.42950315857392</c:v>
                </c:pt>
                <c:pt idx="1194">
                  <c:v>89.48163523688154</c:v>
                </c:pt>
                <c:pt idx="1195">
                  <c:v>89.53382756343107</c:v>
                </c:pt>
                <c:pt idx="1196">
                  <c:v>89.58608029574235</c:v>
                </c:pt>
                <c:pt idx="1197">
                  <c:v>89.63839359194577</c:v>
                </c:pt>
                <c:pt idx="1198">
                  <c:v>89.69076761078513</c:v>
                </c:pt>
                <c:pt idx="1199">
                  <c:v>89.74320251162116</c:v>
                </c:pt>
                <c:pt idx="1200">
                  <c:v>89.79569845443442</c:v>
                </c:pt>
                <c:pt idx="1201">
                  <c:v>89.84825559982869</c:v>
                </c:pt>
                <c:pt idx="1202">
                  <c:v>89.90087410903416</c:v>
                </c:pt>
                <c:pt idx="1203">
                  <c:v>89.95355414391086</c:v>
                </c:pt>
                <c:pt idx="1204">
                  <c:v>90.0062958669516</c:v>
                </c:pt>
                <c:pt idx="1205">
                  <c:v>90.0590994412857</c:v>
                </c:pt>
                <c:pt idx="1206">
                  <c:v>90.11196503068193</c:v>
                </c:pt>
                <c:pt idx="1207">
                  <c:v>90.16489279955206</c:v>
                </c:pt>
                <c:pt idx="1208">
                  <c:v>90.2178829129544</c:v>
                </c:pt>
                <c:pt idx="1209">
                  <c:v>90.27093553659678</c:v>
                </c:pt>
                <c:pt idx="1210">
                  <c:v>90.32405083684029</c:v>
                </c:pt>
                <c:pt idx="1211">
                  <c:v>90.37722898070271</c:v>
                </c:pt>
                <c:pt idx="1212">
                  <c:v>90.43047013586181</c:v>
                </c:pt>
                <c:pt idx="1213">
                  <c:v>90.48377447065887</c:v>
                </c:pt>
                <c:pt idx="1214">
                  <c:v>90.53714215410244</c:v>
                </c:pt>
                <c:pt idx="1215">
                  <c:v>90.59057335587151</c:v>
                </c:pt>
                <c:pt idx="1216">
                  <c:v>90.64406824631922</c:v>
                </c:pt>
                <c:pt idx="1217">
                  <c:v>90.69762699647664</c:v>
                </c:pt>
                <c:pt idx="1218">
                  <c:v>90.75124977805602</c:v>
                </c:pt>
                <c:pt idx="1219">
                  <c:v>90.80493676345459</c:v>
                </c:pt>
                <c:pt idx="1220">
                  <c:v>90.85868812575838</c:v>
                </c:pt>
                <c:pt idx="1221">
                  <c:v>90.9125040387455</c:v>
                </c:pt>
                <c:pt idx="1222">
                  <c:v>90.9663846768903</c:v>
                </c:pt>
                <c:pt idx="1223">
                  <c:v>91.02033021536671</c:v>
                </c:pt>
                <c:pt idx="1224">
                  <c:v>91.0743408300522</c:v>
                </c:pt>
                <c:pt idx="1225">
                  <c:v>91.1284166975314</c:v>
                </c:pt>
                <c:pt idx="1226">
                  <c:v>91.18255799510028</c:v>
                </c:pt>
                <c:pt idx="1227">
                  <c:v>91.23676490076939</c:v>
                </c:pt>
                <c:pt idx="1228">
                  <c:v>91.29103759326827</c:v>
                </c:pt>
                <c:pt idx="1229">
                  <c:v>91.34537625204895</c:v>
                </c:pt>
                <c:pt idx="1230">
                  <c:v>91.39978105728999</c:v>
                </c:pt>
                <c:pt idx="1231">
                  <c:v>91.45425218990053</c:v>
                </c:pt>
                <c:pt idx="1232">
                  <c:v>91.50878983152403</c:v>
                </c:pt>
                <c:pt idx="1233">
                  <c:v>91.56339416454232</c:v>
                </c:pt>
                <c:pt idx="1234">
                  <c:v>91.61806537207983</c:v>
                </c:pt>
                <c:pt idx="1235">
                  <c:v>91.67280363800728</c:v>
                </c:pt>
                <c:pt idx="1236">
                  <c:v>91.72760914694592</c:v>
                </c:pt>
                <c:pt idx="1237">
                  <c:v>91.7824820842718</c:v>
                </c:pt>
                <c:pt idx="1238">
                  <c:v>91.83742263611953</c:v>
                </c:pt>
                <c:pt idx="1239">
                  <c:v>91.89243098938663</c:v>
                </c:pt>
                <c:pt idx="1240">
                  <c:v>91.94750733173784</c:v>
                </c:pt>
                <c:pt idx="1241">
                  <c:v>92.00265185160906</c:v>
                </c:pt>
                <c:pt idx="1242">
                  <c:v>92.05786473821168</c:v>
                </c:pt>
                <c:pt idx="1243">
                  <c:v>92.11314618153703</c:v>
                </c:pt>
                <c:pt idx="1244">
                  <c:v>92.16849637236035</c:v>
                </c:pt>
                <c:pt idx="1245">
                  <c:v>92.22391550224548</c:v>
                </c:pt>
                <c:pt idx="1246">
                  <c:v>92.27940376354884</c:v>
                </c:pt>
                <c:pt idx="1247">
                  <c:v>92.3349613494241</c:v>
                </c:pt>
                <c:pt idx="1248">
                  <c:v>92.3905884538264</c:v>
                </c:pt>
                <c:pt idx="1249">
                  <c:v>92.44628527151707</c:v>
                </c:pt>
                <c:pt idx="1250">
                  <c:v>92.5020519980677</c:v>
                </c:pt>
                <c:pt idx="1251">
                  <c:v>92.5578888298651</c:v>
                </c:pt>
                <c:pt idx="1252">
                  <c:v>92.61379596411547</c:v>
                </c:pt>
                <c:pt idx="1253">
                  <c:v>92.66977359884908</c:v>
                </c:pt>
                <c:pt idx="1254">
                  <c:v>92.7258219329251</c:v>
                </c:pt>
                <c:pt idx="1255">
                  <c:v>92.78194116603586</c:v>
                </c:pt>
                <c:pt idx="1256">
                  <c:v>92.83813149871173</c:v>
                </c:pt>
                <c:pt idx="1257">
                  <c:v>92.89439313232593</c:v>
                </c:pt>
                <c:pt idx="1258">
                  <c:v>92.95072626909898</c:v>
                </c:pt>
                <c:pt idx="1259">
                  <c:v>93.0071311121036</c:v>
                </c:pt>
                <c:pt idx="1260">
                  <c:v>93.06360786526967</c:v>
                </c:pt>
                <c:pt idx="1261">
                  <c:v>93.12015673338881</c:v>
                </c:pt>
                <c:pt idx="1262">
                  <c:v>93.1767779221193</c:v>
                </c:pt>
                <c:pt idx="1263">
                  <c:v>93.23347163799123</c:v>
                </c:pt>
                <c:pt idx="1264">
                  <c:v>93.29023808841107</c:v>
                </c:pt>
                <c:pt idx="1265">
                  <c:v>93.34707748166683</c:v>
                </c:pt>
                <c:pt idx="1266">
                  <c:v>93.4039900269332</c:v>
                </c:pt>
                <c:pt idx="1267">
                  <c:v>93.46097593427623</c:v>
                </c:pt>
                <c:pt idx="1268">
                  <c:v>93.51803541465888</c:v>
                </c:pt>
                <c:pt idx="1269">
                  <c:v>93.57516867994569</c:v>
                </c:pt>
                <c:pt idx="1270">
                  <c:v>93.63237594290811</c:v>
                </c:pt>
                <c:pt idx="1271">
                  <c:v>93.68965741722991</c:v>
                </c:pt>
                <c:pt idx="1272">
                  <c:v>93.74701331751201</c:v>
                </c:pt>
                <c:pt idx="1273">
                  <c:v>93.80444385927794</c:v>
                </c:pt>
                <c:pt idx="1274">
                  <c:v>93.8619492589793</c:v>
                </c:pt>
                <c:pt idx="1275">
                  <c:v>93.91952973400075</c:v>
                </c:pt>
                <c:pt idx="1276">
                  <c:v>93.9771855026656</c:v>
                </c:pt>
                <c:pt idx="1277">
                  <c:v>94.03491678424136</c:v>
                </c:pt>
                <c:pt idx="1278">
                  <c:v>94.09272379894485</c:v>
                </c:pt>
                <c:pt idx="1279">
                  <c:v>94.15060676794789</c:v>
                </c:pt>
                <c:pt idx="1280">
                  <c:v>94.208565913383</c:v>
                </c:pt>
                <c:pt idx="1281">
                  <c:v>94.2666014583486</c:v>
                </c:pt>
                <c:pt idx="1282">
                  <c:v>94.32471362691486</c:v>
                </c:pt>
                <c:pt idx="1283">
                  <c:v>94.38290264412947</c:v>
                </c:pt>
                <c:pt idx="1284">
                  <c:v>94.44116873602297</c:v>
                </c:pt>
                <c:pt idx="1285">
                  <c:v>94.49951212961494</c:v>
                </c:pt>
                <c:pt idx="1286">
                  <c:v>94.55793305291938</c:v>
                </c:pt>
                <c:pt idx="1287">
                  <c:v>94.61643173495074</c:v>
                </c:pt>
                <c:pt idx="1288">
                  <c:v>94.67500840572971</c:v>
                </c:pt>
                <c:pt idx="1289">
                  <c:v>94.73366329628935</c:v>
                </c:pt>
                <c:pt idx="1290">
                  <c:v>94.7923966386806</c:v>
                </c:pt>
                <c:pt idx="1291">
                  <c:v>94.8512086659788</c:v>
                </c:pt>
                <c:pt idx="1292">
                  <c:v>94.91009961228927</c:v>
                </c:pt>
                <c:pt idx="1293">
                  <c:v>94.96906971275362</c:v>
                </c:pt>
                <c:pt idx="1294">
                  <c:v>95.028119203556</c:v>
                </c:pt>
                <c:pt idx="1295">
                  <c:v>95.08724832192898</c:v>
                </c:pt>
                <c:pt idx="1296">
                  <c:v>95.14645730615992</c:v>
                </c:pt>
                <c:pt idx="1297">
                  <c:v>95.20574639559739</c:v>
                </c:pt>
                <c:pt idx="1298">
                  <c:v>95.26511583065718</c:v>
                </c:pt>
                <c:pt idx="1299">
                  <c:v>95.32456585282883</c:v>
                </c:pt>
                <c:pt idx="1300">
                  <c:v>95.38409670468215</c:v>
                </c:pt>
                <c:pt idx="1301">
                  <c:v>95.44370862987343</c:v>
                </c:pt>
                <c:pt idx="1302">
                  <c:v>95.50340187315203</c:v>
                </c:pt>
                <c:pt idx="1303">
                  <c:v>95.56317668036715</c:v>
                </c:pt>
                <c:pt idx="1304">
                  <c:v>95.6230332984741</c:v>
                </c:pt>
                <c:pt idx="1305">
                  <c:v>95.68297197554108</c:v>
                </c:pt>
                <c:pt idx="1306">
                  <c:v>95.7429929607561</c:v>
                </c:pt>
                <c:pt idx="1307">
                  <c:v>95.80309650443328</c:v>
                </c:pt>
                <c:pt idx="1308">
                  <c:v>95.8632828580202</c:v>
                </c:pt>
                <c:pt idx="1309">
                  <c:v>95.92355227410425</c:v>
                </c:pt>
                <c:pt idx="1310">
                  <c:v>95.98390500641983</c:v>
                </c:pt>
                <c:pt idx="1311">
                  <c:v>96.0443413098552</c:v>
                </c:pt>
                <c:pt idx="1312">
                  <c:v>96.10486144045967</c:v>
                </c:pt>
                <c:pt idx="1313">
                  <c:v>96.16546565545033</c:v>
                </c:pt>
                <c:pt idx="1314">
                  <c:v>96.22615421321959</c:v>
                </c:pt>
                <c:pt idx="1315">
                  <c:v>96.28692737334194</c:v>
                </c:pt>
                <c:pt idx="1316">
                  <c:v>96.34778539658139</c:v>
                </c:pt>
                <c:pt idx="1317">
                  <c:v>96.4087285448989</c:v>
                </c:pt>
                <c:pt idx="1318">
                  <c:v>96.46975708145942</c:v>
                </c:pt>
                <c:pt idx="1319">
                  <c:v>96.53087127063937</c:v>
                </c:pt>
                <c:pt idx="1320">
                  <c:v>96.59207137803435</c:v>
                </c:pt>
                <c:pt idx="1321">
                  <c:v>96.65335767046626</c:v>
                </c:pt>
                <c:pt idx="1322">
                  <c:v>96.71473041599108</c:v>
                </c:pt>
                <c:pt idx="1323">
                  <c:v>96.77618988390664</c:v>
                </c:pt>
                <c:pt idx="1324">
                  <c:v>96.83773634475995</c:v>
                </c:pt>
                <c:pt idx="1325">
                  <c:v>96.89937007035515</c:v>
                </c:pt>
                <c:pt idx="1326">
                  <c:v>96.96109133376147</c:v>
                </c:pt>
                <c:pt idx="1327">
                  <c:v>97.02290040932078</c:v>
                </c:pt>
                <c:pt idx="1328">
                  <c:v>97.08479757265565</c:v>
                </c:pt>
                <c:pt idx="1329">
                  <c:v>97.14678310067752</c:v>
                </c:pt>
                <c:pt idx="1330">
                  <c:v>97.2088572715944</c:v>
                </c:pt>
                <c:pt idx="1331">
                  <c:v>97.27102036491937</c:v>
                </c:pt>
                <c:pt idx="1332">
                  <c:v>97.33327266147839</c:v>
                </c:pt>
                <c:pt idx="1333">
                  <c:v>97.39561444341881</c:v>
                </c:pt>
                <c:pt idx="1334">
                  <c:v>97.45804599421749</c:v>
                </c:pt>
                <c:pt idx="1335">
                  <c:v>97.52056759868947</c:v>
                </c:pt>
                <c:pt idx="1336">
                  <c:v>97.58317954299596</c:v>
                </c:pt>
                <c:pt idx="1337">
                  <c:v>97.64588211465336</c:v>
                </c:pt>
                <c:pt idx="1338">
                  <c:v>97.70867560254135</c:v>
                </c:pt>
                <c:pt idx="1339">
                  <c:v>97.77156029691174</c:v>
                </c:pt>
                <c:pt idx="1340">
                  <c:v>97.83453648939744</c:v>
                </c:pt>
                <c:pt idx="1341">
                  <c:v>97.89760447302072</c:v>
                </c:pt>
                <c:pt idx="1342">
                  <c:v>97.9607645422024</c:v>
                </c:pt>
                <c:pt idx="1343">
                  <c:v>98.02401699277083</c:v>
                </c:pt>
                <c:pt idx="1344">
                  <c:v>98.08736212197056</c:v>
                </c:pt>
                <c:pt idx="1345">
                  <c:v>98.15080022847162</c:v>
                </c:pt>
                <c:pt idx="1346">
                  <c:v>98.2143316123788</c:v>
                </c:pt>
                <c:pt idx="1347">
                  <c:v>98.27795657524048</c:v>
                </c:pt>
                <c:pt idx="1348">
                  <c:v>98.34167542005814</c:v>
                </c:pt>
                <c:pt idx="1349">
                  <c:v>98.40548845129584</c:v>
                </c:pt>
                <c:pt idx="1350">
                  <c:v>98.46939597488935</c:v>
                </c:pt>
                <c:pt idx="1351">
                  <c:v>98.53339829825579</c:v>
                </c:pt>
                <c:pt idx="1352">
                  <c:v>98.59749573030345</c:v>
                </c:pt>
                <c:pt idx="1353">
                  <c:v>98.66168858144096</c:v>
                </c:pt>
                <c:pt idx="1354">
                  <c:v>98.72597716358759</c:v>
                </c:pt>
                <c:pt idx="1355">
                  <c:v>98.79036179018257</c:v>
                </c:pt>
                <c:pt idx="1356">
                  <c:v>98.85484277619533</c:v>
                </c:pt>
                <c:pt idx="1357">
                  <c:v>98.91942043813525</c:v>
                </c:pt>
                <c:pt idx="1358">
                  <c:v>98.98409509406206</c:v>
                </c:pt>
                <c:pt idx="1359">
                  <c:v>99.04886706359548</c:v>
                </c:pt>
                <c:pt idx="1360">
                  <c:v>99.11373666792603</c:v>
                </c:pt>
                <c:pt idx="1361">
                  <c:v>99.17870422982482</c:v>
                </c:pt>
                <c:pt idx="1362">
                  <c:v>99.24377007365416</c:v>
                </c:pt>
                <c:pt idx="1363">
                  <c:v>99.30893452537829</c:v>
                </c:pt>
                <c:pt idx="1364">
                  <c:v>99.37419791257348</c:v>
                </c:pt>
                <c:pt idx="1365">
                  <c:v>99.43956056443893</c:v>
                </c:pt>
                <c:pt idx="1366">
                  <c:v>99.50502281180772</c:v>
                </c:pt>
                <c:pt idx="1367">
                  <c:v>99.57058498715719</c:v>
                </c:pt>
                <c:pt idx="1368">
                  <c:v>99.63624742462015</c:v>
                </c:pt>
                <c:pt idx="1369">
                  <c:v>99.702010459996</c:v>
                </c:pt>
                <c:pt idx="1370">
                  <c:v>99.76787443076152</c:v>
                </c:pt>
                <c:pt idx="1371">
                  <c:v>99.83383967608222</c:v>
                </c:pt>
                <c:pt idx="1372">
                  <c:v>99.89990653682383</c:v>
                </c:pt>
                <c:pt idx="1373">
                  <c:v>99.96607535556333</c:v>
                </c:pt>
                <c:pt idx="1374">
                  <c:v>100.03234647660058</c:v>
                </c:pt>
                <c:pt idx="1375">
                  <c:v>100.09872024597011</c:v>
                </c:pt>
                <c:pt idx="1376">
                  <c:v>100.16519701145238</c:v>
                </c:pt>
                <c:pt idx="1377">
                  <c:v>100.23177712258602</c:v>
                </c:pt>
                <c:pt idx="1378">
                  <c:v>100.2984609306793</c:v>
                </c:pt>
                <c:pt idx="1379">
                  <c:v>100.36524878882224</c:v>
                </c:pt>
                <c:pt idx="1380">
                  <c:v>100.43214105189895</c:v>
                </c:pt>
                <c:pt idx="1381">
                  <c:v>100.49913807659937</c:v>
                </c:pt>
                <c:pt idx="1382">
                  <c:v>100.56624022143173</c:v>
                </c:pt>
                <c:pt idx="1383">
                  <c:v>100.63344784673521</c:v>
                </c:pt>
                <c:pt idx="1384">
                  <c:v>100.70076131469197</c:v>
                </c:pt>
                <c:pt idx="1385">
                  <c:v>100.76818098933998</c:v>
                </c:pt>
                <c:pt idx="1386">
                  <c:v>100.83570723658592</c:v>
                </c:pt>
                <c:pt idx="1387">
                  <c:v>100.90334042421756</c:v>
                </c:pt>
                <c:pt idx="1388">
                  <c:v>100.97108092191695</c:v>
                </c:pt>
                <c:pt idx="1389">
                  <c:v>101.03892910127362</c:v>
                </c:pt>
                <c:pt idx="1390">
                  <c:v>101.10688533579734</c:v>
                </c:pt>
                <c:pt idx="1391">
                  <c:v>101.17495000093156</c:v>
                </c:pt>
                <c:pt idx="1392">
                  <c:v>101.24312347406703</c:v>
                </c:pt>
                <c:pt idx="1393">
                  <c:v>101.31140613455479</c:v>
                </c:pt>
                <c:pt idx="1394">
                  <c:v>101.37979836372031</c:v>
                </c:pt>
                <c:pt idx="1395">
                  <c:v>101.44830054487682</c:v>
                </c:pt>
                <c:pt idx="1396">
                  <c:v>101.51691306333932</c:v>
                </c:pt>
                <c:pt idx="1397">
                  <c:v>101.5856363064385</c:v>
                </c:pt>
                <c:pt idx="1398">
                  <c:v>101.6544706635351</c:v>
                </c:pt>
                <c:pt idx="1399">
                  <c:v>101.72341652603355</c:v>
                </c:pt>
                <c:pt idx="1400">
                  <c:v>101.79247428739698</c:v>
                </c:pt>
                <c:pt idx="1401">
                  <c:v>101.86164434316116</c:v>
                </c:pt>
                <c:pt idx="1402">
                  <c:v>101.93092709094927</c:v>
                </c:pt>
                <c:pt idx="1403">
                  <c:v>102.00032293048685</c:v>
                </c:pt>
                <c:pt idx="1404">
                  <c:v>102.06983226361623</c:v>
                </c:pt>
                <c:pt idx="1405">
                  <c:v>102.13945549431178</c:v>
                </c:pt>
                <c:pt idx="1406">
                  <c:v>102.20919302869511</c:v>
                </c:pt>
                <c:pt idx="1407">
                  <c:v>102.27904527505002</c:v>
                </c:pt>
                <c:pt idx="1408">
                  <c:v>102.34901264383805</c:v>
                </c:pt>
                <c:pt idx="1409">
                  <c:v>102.41909554771418</c:v>
                </c:pt>
                <c:pt idx="1410">
                  <c:v>102.48929440154213</c:v>
                </c:pt>
                <c:pt idx="1411">
                  <c:v>102.55960962241033</c:v>
                </c:pt>
                <c:pt idx="1412">
                  <c:v>102.6300416296481</c:v>
                </c:pt>
                <c:pt idx="1413">
                  <c:v>102.7005908448413</c:v>
                </c:pt>
                <c:pt idx="1414">
                  <c:v>102.77125769184875</c:v>
                </c:pt>
                <c:pt idx="1415">
                  <c:v>102.84204259681884</c:v>
                </c:pt>
                <c:pt idx="1416">
                  <c:v>102.9129459882056</c:v>
                </c:pt>
                <c:pt idx="1417">
                  <c:v>102.98396829678587</c:v>
                </c:pt>
                <c:pt idx="1418">
                  <c:v>103.05510995567566</c:v>
                </c:pt>
                <c:pt idx="1419">
                  <c:v>103.1263714003474</c:v>
                </c:pt>
                <c:pt idx="1420">
                  <c:v>103.19775306864695</c:v>
                </c:pt>
                <c:pt idx="1421">
                  <c:v>103.26925540081115</c:v>
                </c:pt>
                <c:pt idx="1422">
                  <c:v>103.3408788394848</c:v>
                </c:pt>
                <c:pt idx="1423">
                  <c:v>103.41262382973879</c:v>
                </c:pt>
                <c:pt idx="1424">
                  <c:v>103.48449081908738</c:v>
                </c:pt>
                <c:pt idx="1425">
                  <c:v>103.55648025750638</c:v>
                </c:pt>
                <c:pt idx="1426">
                  <c:v>103.62859259745139</c:v>
                </c:pt>
                <c:pt idx="1427">
                  <c:v>103.7008282938757</c:v>
                </c:pt>
                <c:pt idx="1428">
                  <c:v>103.77318780424889</c:v>
                </c:pt>
                <c:pt idx="1429">
                  <c:v>103.84567158857564</c:v>
                </c:pt>
                <c:pt idx="1430">
                  <c:v>103.91828010941411</c:v>
                </c:pt>
                <c:pt idx="1431">
                  <c:v>103.99101383189506</c:v>
                </c:pt>
                <c:pt idx="1432">
                  <c:v>104.0638732237412</c:v>
                </c:pt>
                <c:pt idx="1433">
                  <c:v>104.13685875528604</c:v>
                </c:pt>
                <c:pt idx="1434">
                  <c:v>104.20997089949365</c:v>
                </c:pt>
                <c:pt idx="1435">
                  <c:v>104.28321013197846</c:v>
                </c:pt>
                <c:pt idx="1436">
                  <c:v>104.3565769310247</c:v>
                </c:pt>
                <c:pt idx="1437">
                  <c:v>104.43007177760664</c:v>
                </c:pt>
                <c:pt idx="1438">
                  <c:v>104.50369515540906</c:v>
                </c:pt>
                <c:pt idx="1439">
                  <c:v>104.5774475508471</c:v>
                </c:pt>
                <c:pt idx="1440">
                  <c:v>104.65132945308747</c:v>
                </c:pt>
                <c:pt idx="1441">
                  <c:v>104.72534135406876</c:v>
                </c:pt>
                <c:pt idx="1442">
                  <c:v>104.79948374852268</c:v>
                </c:pt>
                <c:pt idx="1443">
                  <c:v>104.87375713399513</c:v>
                </c:pt>
                <c:pt idx="1444">
                  <c:v>104.94816201086788</c:v>
                </c:pt>
                <c:pt idx="1445">
                  <c:v>105.02269888237964</c:v>
                </c:pt>
                <c:pt idx="1446">
                  <c:v>105.09736825464852</c:v>
                </c:pt>
                <c:pt idx="1447">
                  <c:v>105.1721706366934</c:v>
                </c:pt>
                <c:pt idx="1448">
                  <c:v>105.2471065404565</c:v>
                </c:pt>
                <c:pt idx="1449">
                  <c:v>105.32217648082597</c:v>
                </c:pt>
                <c:pt idx="1450">
                  <c:v>105.39738097565811</c:v>
                </c:pt>
                <c:pt idx="1451">
                  <c:v>105.47272054580046</c:v>
                </c:pt>
                <c:pt idx="1452">
                  <c:v>105.54819571511511</c:v>
                </c:pt>
                <c:pt idx="1453">
                  <c:v>105.6238070105016</c:v>
                </c:pt>
                <c:pt idx="1454">
                  <c:v>105.69955496192061</c:v>
                </c:pt>
                <c:pt idx="1455">
                  <c:v>105.77544010241805</c:v>
                </c:pt>
                <c:pt idx="1456">
                  <c:v>105.8514629681485</c:v>
                </c:pt>
                <c:pt idx="1457">
                  <c:v>105.92762409839976</c:v>
                </c:pt>
                <c:pt idx="1458">
                  <c:v>106.00392403561752</c:v>
                </c:pt>
                <c:pt idx="1459">
                  <c:v>106.08036332542956</c:v>
                </c:pt>
                <c:pt idx="1460">
                  <c:v>106.156942516671</c:v>
                </c:pt>
                <c:pt idx="1461">
                  <c:v>106.23366216140968</c:v>
                </c:pt>
                <c:pt idx="1462">
                  <c:v>106.31052281497112</c:v>
                </c:pt>
                <c:pt idx="1463">
                  <c:v>106.38752503596474</c:v>
                </c:pt>
                <c:pt idx="1464">
                  <c:v>106.46466938630935</c:v>
                </c:pt>
                <c:pt idx="1465">
                  <c:v>106.54195643125955</c:v>
                </c:pt>
                <c:pt idx="1466">
                  <c:v>106.61938673943243</c:v>
                </c:pt>
                <c:pt idx="1467">
                  <c:v>106.69696088283384</c:v>
                </c:pt>
                <c:pt idx="1468">
                  <c:v>106.7746794368856</c:v>
                </c:pt>
                <c:pt idx="1469">
                  <c:v>106.85254298045305</c:v>
                </c:pt>
                <c:pt idx="1470">
                  <c:v>106.93055209587202</c:v>
                </c:pt>
                <c:pt idx="1471">
                  <c:v>107.00870736897696</c:v>
                </c:pt>
                <c:pt idx="1472">
                  <c:v>107.08700938912922</c:v>
                </c:pt>
                <c:pt idx="1473">
                  <c:v>107.165458749245</c:v>
                </c:pt>
                <c:pt idx="1474">
                  <c:v>107.2440560458242</c:v>
                </c:pt>
                <c:pt idx="1475">
                  <c:v>107.32280187897959</c:v>
                </c:pt>
                <c:pt idx="1476">
                  <c:v>107.40169685246565</c:v>
                </c:pt>
                <c:pt idx="1477">
                  <c:v>107.48074157370826</c:v>
                </c:pt>
                <c:pt idx="1478">
                  <c:v>107.55993665383484</c:v>
                </c:pt>
                <c:pt idx="1479">
                  <c:v>107.63928270770391</c:v>
                </c:pt>
                <c:pt idx="1480">
                  <c:v>107.71878035393617</c:v>
                </c:pt>
                <c:pt idx="1481">
                  <c:v>107.7984302149447</c:v>
                </c:pt>
                <c:pt idx="1482">
                  <c:v>107.87823291696638</c:v>
                </c:pt>
                <c:pt idx="1483">
                  <c:v>107.95818909009309</c:v>
                </c:pt>
                <c:pt idx="1484">
                  <c:v>108.03829936830375</c:v>
                </c:pt>
                <c:pt idx="1485">
                  <c:v>108.11856438949586</c:v>
                </c:pt>
                <c:pt idx="1486">
                  <c:v>108.19898479551843</c:v>
                </c:pt>
                <c:pt idx="1487">
                  <c:v>108.27956123220417</c:v>
                </c:pt>
                <c:pt idx="1488">
                  <c:v>108.36029434940282</c:v>
                </c:pt>
                <c:pt idx="1489">
                  <c:v>108.44118480101469</c:v>
                </c:pt>
                <c:pt idx="1490">
                  <c:v>108.52223324502398</c:v>
                </c:pt>
                <c:pt idx="1491">
                  <c:v>108.60344034353314</c:v>
                </c:pt>
                <c:pt idx="1492">
                  <c:v>108.68480676279745</c:v>
                </c:pt>
                <c:pt idx="1493">
                  <c:v>108.76633317325948</c:v>
                </c:pt>
                <c:pt idx="1494">
                  <c:v>108.84802024958442</c:v>
                </c:pt>
                <c:pt idx="1495">
                  <c:v>108.9298686706959</c:v>
                </c:pt>
                <c:pt idx="1496">
                  <c:v>109.01187911981138</c:v>
                </c:pt>
                <c:pt idx="1497">
                  <c:v>109.09405228447876</c:v>
                </c:pt>
                <c:pt idx="1498">
                  <c:v>109.17638885661326</c:v>
                </c:pt>
                <c:pt idx="1499">
                  <c:v>109.25888953253401</c:v>
                </c:pt>
                <c:pt idx="1500">
                  <c:v>109.34155501300181</c:v>
                </c:pt>
                <c:pt idx="1501">
                  <c:v>109.42438600325714</c:v>
                </c:pt>
                <c:pt idx="1502">
                  <c:v>109.50738321305795</c:v>
                </c:pt>
                <c:pt idx="1503">
                  <c:v>109.59054735671896</c:v>
                </c:pt>
                <c:pt idx="1504">
                  <c:v>109.67387915315018</c:v>
                </c:pt>
                <c:pt idx="1505">
                  <c:v>109.75737932589676</c:v>
                </c:pt>
                <c:pt idx="1506">
                  <c:v>109.84104860317876</c:v>
                </c:pt>
                <c:pt idx="1507">
                  <c:v>109.92488771793185</c:v>
                </c:pt>
                <c:pt idx="1508">
                  <c:v>110.00889740784757</c:v>
                </c:pt>
                <c:pt idx="1509">
                  <c:v>110.09307841541518</c:v>
                </c:pt>
                <c:pt idx="1510">
                  <c:v>110.17743148796285</c:v>
                </c:pt>
                <c:pt idx="1511">
                  <c:v>110.2619573777</c:v>
                </c:pt>
                <c:pt idx="1512">
                  <c:v>110.34665684176022</c:v>
                </c:pt>
                <c:pt idx="1513">
                  <c:v>110.43153064224381</c:v>
                </c:pt>
                <c:pt idx="1514">
                  <c:v>110.5165795462616</c:v>
                </c:pt>
                <c:pt idx="1515">
                  <c:v>110.60180432597919</c:v>
                </c:pt>
                <c:pt idx="1516">
                  <c:v>110.68720575866104</c:v>
                </c:pt>
                <c:pt idx="1517">
                  <c:v>110.77278462671565</c:v>
                </c:pt>
                <c:pt idx="1518">
                  <c:v>110.85854171774137</c:v>
                </c:pt>
                <c:pt idx="1519">
                  <c:v>110.94447782457188</c:v>
                </c:pt>
                <c:pt idx="1520">
                  <c:v>111.03059374532293</c:v>
                </c:pt>
                <c:pt idx="1521">
                  <c:v>111.11689028343972</c:v>
                </c:pt>
                <c:pt idx="1522">
                  <c:v>111.20336824774382</c:v>
                </c:pt>
                <c:pt idx="1523">
                  <c:v>111.29002845248165</c:v>
                </c:pt>
                <c:pt idx="1524">
                  <c:v>111.37687171737329</c:v>
                </c:pt>
                <c:pt idx="1525">
                  <c:v>111.46389886766106</c:v>
                </c:pt>
                <c:pt idx="1526">
                  <c:v>111.55111073415998</c:v>
                </c:pt>
                <c:pt idx="1527">
                  <c:v>111.63850815330743</c:v>
                </c:pt>
                <c:pt idx="1528">
                  <c:v>111.72609196721426</c:v>
                </c:pt>
                <c:pt idx="1529">
                  <c:v>111.81386302371652</c:v>
                </c:pt>
                <c:pt idx="1530">
                  <c:v>111.90182217642695</c:v>
                </c:pt>
                <c:pt idx="1531">
                  <c:v>111.98997028478782</c:v>
                </c:pt>
                <c:pt idx="1532">
                  <c:v>112.07830821412445</c:v>
                </c:pt>
                <c:pt idx="1533">
                  <c:v>112.16683683569849</c:v>
                </c:pt>
                <c:pt idx="1534">
                  <c:v>112.25555702676263</c:v>
                </c:pt>
                <c:pt idx="1535">
                  <c:v>112.34446967061592</c:v>
                </c:pt>
                <c:pt idx="1536">
                  <c:v>112.43357565665895</c:v>
                </c:pt>
                <c:pt idx="1537">
                  <c:v>112.52287588045041</c:v>
                </c:pt>
                <c:pt idx="1538">
                  <c:v>112.61237124376447</c:v>
                </c:pt>
                <c:pt idx="1539">
                  <c:v>112.70206265464776</c:v>
                </c:pt>
                <c:pt idx="1540">
                  <c:v>112.79195102747805</c:v>
                </c:pt>
                <c:pt idx="1541">
                  <c:v>112.88203728302348</c:v>
                </c:pt>
                <c:pt idx="1542">
                  <c:v>112.97232234850176</c:v>
                </c:pt>
                <c:pt idx="1543">
                  <c:v>113.06280715764079</c:v>
                </c:pt>
                <c:pt idx="1544">
                  <c:v>113.15349265074003</c:v>
                </c:pt>
                <c:pt idx="1545">
                  <c:v>113.24437977473184</c:v>
                </c:pt>
                <c:pt idx="1546">
                  <c:v>113.3354694832442</c:v>
                </c:pt>
                <c:pt idx="1547">
                  <c:v>113.42676273666434</c:v>
                </c:pt>
                <c:pt idx="1548">
                  <c:v>113.51826050220215</c:v>
                </c:pt>
                <c:pt idx="1549">
                  <c:v>113.60996375395564</c:v>
                </c:pt>
                <c:pt idx="1550">
                  <c:v>113.7018734729759</c:v>
                </c:pt>
                <c:pt idx="1551">
                  <c:v>113.79399064733377</c:v>
                </c:pt>
                <c:pt idx="1552">
                  <c:v>113.88631627218717</c:v>
                </c:pt>
                <c:pt idx="1553">
                  <c:v>113.97885134984857</c:v>
                </c:pt>
                <c:pt idx="1554">
                  <c:v>114.07159688985399</c:v>
                </c:pt>
                <c:pt idx="1555">
                  <c:v>114.1645539090329</c:v>
                </c:pt>
                <c:pt idx="1556">
                  <c:v>114.25772343157806</c:v>
                </c:pt>
                <c:pt idx="1557">
                  <c:v>114.35110648911709</c:v>
                </c:pt>
                <c:pt idx="1558">
                  <c:v>114.44470412078492</c:v>
                </c:pt>
                <c:pt idx="1559">
                  <c:v>114.53851737329624</c:v>
                </c:pt>
                <c:pt idx="1560">
                  <c:v>114.63254730101973</c:v>
                </c:pt>
                <c:pt idx="1561">
                  <c:v>114.72679496605308</c:v>
                </c:pt>
                <c:pt idx="1562">
                  <c:v>114.82126143829825</c:v>
                </c:pt>
                <c:pt idx="1563">
                  <c:v>114.91594779553837</c:v>
                </c:pt>
                <c:pt idx="1564">
                  <c:v>115.01085512351565</c:v>
                </c:pt>
                <c:pt idx="1565">
                  <c:v>115.10598451600937</c:v>
                </c:pt>
                <c:pt idx="1566">
                  <c:v>115.2013370749157</c:v>
                </c:pt>
                <c:pt idx="1567">
                  <c:v>115.29691391032851</c:v>
                </c:pt>
                <c:pt idx="1568">
                  <c:v>115.39271614062037</c:v>
                </c:pt>
                <c:pt idx="1569">
                  <c:v>115.48874489252529</c:v>
                </c:pt>
                <c:pt idx="1570">
                  <c:v>115.58500130122269</c:v>
                </c:pt>
                <c:pt idx="1571">
                  <c:v>115.68148651042125</c:v>
                </c:pt>
                <c:pt idx="1572">
                  <c:v>115.7782016724454</c:v>
                </c:pt>
                <c:pt idx="1573">
                  <c:v>115.87514794832146</c:v>
                </c:pt>
                <c:pt idx="1574">
                  <c:v>115.97232650786567</c:v>
                </c:pt>
                <c:pt idx="1575">
                  <c:v>116.06973852977357</c:v>
                </c:pt>
                <c:pt idx="1576">
                  <c:v>116.16738520170942</c:v>
                </c:pt>
                <c:pt idx="1577">
                  <c:v>116.2652677203978</c:v>
                </c:pt>
                <c:pt idx="1578">
                  <c:v>116.36338729171628</c:v>
                </c:pt>
                <c:pt idx="1579">
                  <c:v>116.4617451307884</c:v>
                </c:pt>
                <c:pt idx="1580">
                  <c:v>116.56034246207881</c:v>
                </c:pt>
                <c:pt idx="1581">
                  <c:v>116.65918051948948</c:v>
                </c:pt>
                <c:pt idx="1582">
                  <c:v>116.75826054645646</c:v>
                </c:pt>
                <c:pt idx="1583">
                  <c:v>116.85758379604854</c:v>
                </c:pt>
                <c:pt idx="1584">
                  <c:v>116.95715153106745</c:v>
                </c:pt>
                <c:pt idx="1585">
                  <c:v>117.05696502414823</c:v>
                </c:pt>
                <c:pt idx="1586">
                  <c:v>117.15702555786196</c:v>
                </c:pt>
                <c:pt idx="1587">
                  <c:v>117.25733442481977</c:v>
                </c:pt>
                <c:pt idx="1588">
                  <c:v>117.35789292777731</c:v>
                </c:pt>
                <c:pt idx="1589">
                  <c:v>117.4587023797415</c:v>
                </c:pt>
                <c:pt idx="1590">
                  <c:v>117.55976410407867</c:v>
                </c:pt>
                <c:pt idx="1591">
                  <c:v>117.66107943462326</c:v>
                </c:pt>
                <c:pt idx="1592">
                  <c:v>117.76264971578883</c:v>
                </c:pt>
                <c:pt idx="1593">
                  <c:v>117.86447630268052</c:v>
                </c:pt>
                <c:pt idx="1594">
                  <c:v>117.96656056120807</c:v>
                </c:pt>
                <c:pt idx="1595">
                  <c:v>118.0689038682018</c:v>
                </c:pt>
                <c:pt idx="1596">
                  <c:v>118.17150761152863</c:v>
                </c:pt>
                <c:pt idx="1597">
                  <c:v>118.27437319021064</c:v>
                </c:pt>
                <c:pt idx="1598">
                  <c:v>118.37750201454534</c:v>
                </c:pt>
                <c:pt idx="1599">
                  <c:v>118.48089550622653</c:v>
                </c:pt>
                <c:pt idx="1600">
                  <c:v>118.58455509846769</c:v>
                </c:pt>
                <c:pt idx="1601">
                  <c:v>118.68848223612716</c:v>
                </c:pt>
              </c:numCache>
            </c:numRef>
          </c:yVal>
        </c:ser>
        <c:axId val="50020001"/>
        <c:axId val="50020002"/>
      </c:scatterChart>
      <c:valAx>
        <c:axId val="50020001"/>
        <c:scaling>
          <c:orientation val="minMax"/>
        </c:scaling>
        <c:axPos val="b"/>
        <c:title>
          <c:tx>
            <c:rich>
              <a:bodyPr/>
              <a:lstStyle/>
              <a:p>
                <a:pPr>
                  <a:defRPr/>
                </a:pPr>
                <a:r>
                  <a:rPr lang="en-US"/>
                  <a:t>Vận tốc v (km/h)</a:t>
                </a:r>
              </a:p>
            </c:rich>
          </c:tx>
          <c:layout/>
        </c:title>
        <c:numFmt formatCode="General" sourceLinked="1"/>
        <c:tickLblPos val="nextTo"/>
        <c:crossAx val="50020002"/>
        <c:crosses val="autoZero"/>
        <c:crossBetween val="midCat"/>
      </c:valAx>
      <c:valAx>
        <c:axId val="50020002"/>
        <c:scaling>
          <c:orientation val="minMax"/>
        </c:scaling>
        <c:axPos val="l"/>
        <c:majorGridlines>
          <c:spPr>
            <a:ln>
              <a:solidFill>
                <a:srgbClr val="E1E1E1"/>
              </a:solidFill>
            </a:ln>
          </c:spPr>
        </c:majorGridlines>
        <c:title>
          <c:tx>
            <c:rich>
              <a:bodyPr rot="-5400000" vert="horz"/>
              <a:lstStyle/>
              <a:p>
                <a:pPr>
                  <a:defRPr/>
                </a:pPr>
                <a:r>
                  <a:rPr lang="en-US"/>
                  <a:t>τV (s)</a:t>
                </a:r>
              </a:p>
            </c:rich>
          </c:tx>
          <c:layout/>
        </c:title>
        <c:numFmt formatCode="General" sourceLinked="1"/>
        <c:tickLblPos val="nextTo"/>
        <c:crossAx val="50020001"/>
        <c:crosses val="autoZero"/>
        <c:crossBetween val="midCat"/>
      </c:valAx>
    </c:plotArea>
    <c:legend>
      <c:legendPos val="b"/>
      <c:layout/>
    </c:legend>
    <c:plotVisOnly val="1"/>
  </c:chart>
  <c:printSettings>
    <c:headerFooter/>
    <c:pageMargins b="0.75" l="0.7" r="0.7" t="0.75" header="0.3" footer="0.3"/>
    <c:pageSetup/>
  </c:printSettings>
</c:chartSpace>
</file>

<file path=xl/ref/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Thời gian toàn hành trình qua năm số</a:t>
            </a:r>
          </a:p>
        </c:rich>
      </c:tx>
      <c:layout/>
    </c:title>
    <c:plotArea>
      <c:layout/>
      <c:scatterChart>
        <c:scatterStyle val="lineMarker"/>
        <c:ser>
          <c:idx val="0"/>
          <c:order val="0"/>
          <c:tx>
            <c:v>Có bốn lần ngắt lực kéo</c:v>
          </c:tx>
          <c:spPr>
            <a:ln w="19050">
              <a:solidFill>
                <a:srgbClr val="0072B2"/>
              </a:solidFill>
            </a:ln>
          </c:spPr>
          <c:marker>
            <c:symbol val="none"/>
          </c:marker>
          <c:xVal>
            <c:numRef>
              <c:f>HANH_TRINH!$G$6:$G$4891</c:f>
              <c:numCache>
                <c:formatCode>General</c:formatCode>
                <c:ptCount val="4886"/>
                <c:pt idx="0">
                  <c:v>4.497041420118344</c:v>
                </c:pt>
                <c:pt idx="1">
                  <c:v>4.509689349112426</c:v>
                </c:pt>
                <c:pt idx="2">
                  <c:v>4.52233727810651</c:v>
                </c:pt>
                <c:pt idx="3">
                  <c:v>4.5349852071005925</c:v>
                </c:pt>
                <c:pt idx="4">
                  <c:v>4.5476331360946745</c:v>
                </c:pt>
                <c:pt idx="5">
                  <c:v>4.560281065088758</c:v>
                </c:pt>
                <c:pt idx="6">
                  <c:v>4.572928994082841</c:v>
                </c:pt>
                <c:pt idx="7">
                  <c:v>4.585576923076923</c:v>
                </c:pt>
                <c:pt idx="8">
                  <c:v>4.598224852071007</c:v>
                </c:pt>
                <c:pt idx="9">
                  <c:v>4.61087278106509</c:v>
                </c:pt>
                <c:pt idx="10">
                  <c:v>4.6235207100591715</c:v>
                </c:pt>
                <c:pt idx="11">
                  <c:v>4.636168639053255</c:v>
                </c:pt>
                <c:pt idx="12">
                  <c:v>4.648816568047338</c:v>
                </c:pt>
                <c:pt idx="13">
                  <c:v>4.66146449704142</c:v>
                </c:pt>
                <c:pt idx="14">
                  <c:v>4.674112426035504</c:v>
                </c:pt>
                <c:pt idx="15">
                  <c:v>4.686760355029587</c:v>
                </c:pt>
                <c:pt idx="16">
                  <c:v>4.699408284023669</c:v>
                </c:pt>
                <c:pt idx="17">
                  <c:v>4.712056213017752</c:v>
                </c:pt>
                <c:pt idx="18">
                  <c:v>4.724704142011835</c:v>
                </c:pt>
                <c:pt idx="19">
                  <c:v>4.737352071005917</c:v>
                </c:pt>
                <c:pt idx="20">
                  <c:v>4.750000000000001</c:v>
                </c:pt>
                <c:pt idx="21">
                  <c:v>4.762647928994084</c:v>
                </c:pt>
                <c:pt idx="22">
                  <c:v>4.775295857988166</c:v>
                </c:pt>
                <c:pt idx="23">
                  <c:v>4.787943786982249</c:v>
                </c:pt>
                <c:pt idx="24">
                  <c:v>4.800591715976332</c:v>
                </c:pt>
                <c:pt idx="25">
                  <c:v>4.813239644970414</c:v>
                </c:pt>
                <c:pt idx="26">
                  <c:v>4.825887573964498</c:v>
                </c:pt>
                <c:pt idx="27">
                  <c:v>4.838535502958581</c:v>
                </c:pt>
                <c:pt idx="28">
                  <c:v>4.851183431952663</c:v>
                </c:pt>
                <c:pt idx="29">
                  <c:v>4.863831360946746</c:v>
                </c:pt>
                <c:pt idx="30">
                  <c:v>4.876479289940829</c:v>
                </c:pt>
                <c:pt idx="31">
                  <c:v>4.889127218934911</c:v>
                </c:pt>
                <c:pt idx="32">
                  <c:v>4.901775147928994</c:v>
                </c:pt>
                <c:pt idx="33">
                  <c:v>4.914423076923078</c:v>
                </c:pt>
                <c:pt idx="34">
                  <c:v>4.92707100591716</c:v>
                </c:pt>
                <c:pt idx="35">
                  <c:v>4.939718934911243</c:v>
                </c:pt>
                <c:pt idx="36">
                  <c:v>4.952366863905326</c:v>
                </c:pt>
                <c:pt idx="37">
                  <c:v>4.965014792899408</c:v>
                </c:pt>
                <c:pt idx="38">
                  <c:v>4.977662721893491</c:v>
                </c:pt>
                <c:pt idx="39">
                  <c:v>4.990310650887575</c:v>
                </c:pt>
                <c:pt idx="40">
                  <c:v>5.002958579881657</c:v>
                </c:pt>
                <c:pt idx="41">
                  <c:v>5.01560650887574</c:v>
                </c:pt>
                <c:pt idx="42">
                  <c:v>5.0282544378698235</c:v>
                </c:pt>
                <c:pt idx="43">
                  <c:v>5.0409023668639055</c:v>
                </c:pt>
                <c:pt idx="44">
                  <c:v>5.053550295857988</c:v>
                </c:pt>
                <c:pt idx="45">
                  <c:v>5.066198224852072</c:v>
                </c:pt>
                <c:pt idx="46">
                  <c:v>5.078846153846154</c:v>
                </c:pt>
                <c:pt idx="47">
                  <c:v>5.091494082840237</c:v>
                </c:pt>
                <c:pt idx="48">
                  <c:v>5.104142011834321</c:v>
                </c:pt>
                <c:pt idx="49">
                  <c:v>5.1167899408284025</c:v>
                </c:pt>
                <c:pt idx="50">
                  <c:v>5.129437869822485</c:v>
                </c:pt>
                <c:pt idx="51">
                  <c:v>5.142085798816568</c:v>
                </c:pt>
                <c:pt idx="52">
                  <c:v>5.154733727810651</c:v>
                </c:pt>
                <c:pt idx="53">
                  <c:v>5.167381656804734</c:v>
                </c:pt>
                <c:pt idx="54">
                  <c:v>5.180029585798817</c:v>
                </c:pt>
                <c:pt idx="55">
                  <c:v>5.1926775147929</c:v>
                </c:pt>
                <c:pt idx="56">
                  <c:v>5.2053254437869825</c:v>
                </c:pt>
                <c:pt idx="57">
                  <c:v>5.217973372781065</c:v>
                </c:pt>
                <c:pt idx="58">
                  <c:v>5.230621301775148</c:v>
                </c:pt>
                <c:pt idx="59">
                  <c:v>5.243269230769231</c:v>
                </c:pt>
                <c:pt idx="60">
                  <c:v>5.255917159763314</c:v>
                </c:pt>
                <c:pt idx="61">
                  <c:v>5.268565088757397</c:v>
                </c:pt>
                <c:pt idx="62">
                  <c:v>5.2812130177514796</c:v>
                </c:pt>
                <c:pt idx="63">
                  <c:v>5.293860946745562</c:v>
                </c:pt>
                <c:pt idx="64">
                  <c:v>5.306508875739645</c:v>
                </c:pt>
                <c:pt idx="65">
                  <c:v>5.319156804733728</c:v>
                </c:pt>
                <c:pt idx="66">
                  <c:v>5.331804733727811</c:v>
                </c:pt>
                <c:pt idx="67">
                  <c:v>5.344452662721894</c:v>
                </c:pt>
                <c:pt idx="68">
                  <c:v>5.357100591715977</c:v>
                </c:pt>
                <c:pt idx="69">
                  <c:v>5.3697485207100595</c:v>
                </c:pt>
                <c:pt idx="70">
                  <c:v>5.382396449704142</c:v>
                </c:pt>
                <c:pt idx="71">
                  <c:v>5.395044378698225</c:v>
                </c:pt>
                <c:pt idx="72">
                  <c:v>5.407692307692308</c:v>
                </c:pt>
                <c:pt idx="73">
                  <c:v>5.420340236686391</c:v>
                </c:pt>
                <c:pt idx="74">
                  <c:v>5.432988165680474</c:v>
                </c:pt>
                <c:pt idx="75">
                  <c:v>5.445636094674557</c:v>
                </c:pt>
                <c:pt idx="76">
                  <c:v>5.458284023668639</c:v>
                </c:pt>
                <c:pt idx="77">
                  <c:v>5.470931952662722</c:v>
                </c:pt>
                <c:pt idx="78">
                  <c:v>5.483579881656805</c:v>
                </c:pt>
                <c:pt idx="79">
                  <c:v>5.496227810650888</c:v>
                </c:pt>
                <c:pt idx="80">
                  <c:v>5.508875739644971</c:v>
                </c:pt>
                <c:pt idx="81">
                  <c:v>5.521523668639054</c:v>
                </c:pt>
                <c:pt idx="82">
                  <c:v>5.5341715976331365</c:v>
                </c:pt>
                <c:pt idx="83">
                  <c:v>5.546819526627219</c:v>
                </c:pt>
                <c:pt idx="84">
                  <c:v>5.559467455621302</c:v>
                </c:pt>
                <c:pt idx="85">
                  <c:v>5.572115384615385</c:v>
                </c:pt>
                <c:pt idx="86">
                  <c:v>5.584763313609468</c:v>
                </c:pt>
                <c:pt idx="87">
                  <c:v>5.597411242603551</c:v>
                </c:pt>
                <c:pt idx="88">
                  <c:v>5.610059171597634</c:v>
                </c:pt>
                <c:pt idx="89">
                  <c:v>5.622707100591716</c:v>
                </c:pt>
                <c:pt idx="90">
                  <c:v>5.635355029585799</c:v>
                </c:pt>
                <c:pt idx="91">
                  <c:v>5.648002958579882</c:v>
                </c:pt>
                <c:pt idx="92">
                  <c:v>5.660650887573965</c:v>
                </c:pt>
                <c:pt idx="93">
                  <c:v>5.673298816568048</c:v>
                </c:pt>
                <c:pt idx="94">
                  <c:v>5.685946745562131</c:v>
                </c:pt>
                <c:pt idx="95">
                  <c:v>5.6985946745562135</c:v>
                </c:pt>
                <c:pt idx="96">
                  <c:v>5.711242603550296</c:v>
                </c:pt>
                <c:pt idx="97">
                  <c:v>5.723890532544379</c:v>
                </c:pt>
                <c:pt idx="98">
                  <c:v>5.736538461538462</c:v>
                </c:pt>
                <c:pt idx="99">
                  <c:v>5.749186390532545</c:v>
                </c:pt>
                <c:pt idx="100">
                  <c:v>5.761834319526628</c:v>
                </c:pt>
                <c:pt idx="101">
                  <c:v>5.774482248520711</c:v>
                </c:pt>
                <c:pt idx="102">
                  <c:v>5.787130177514793</c:v>
                </c:pt>
                <c:pt idx="103">
                  <c:v>5.799778106508875</c:v>
                </c:pt>
                <c:pt idx="104">
                  <c:v>5.812426035502959</c:v>
                </c:pt>
                <c:pt idx="105">
                  <c:v>5.825073964497042</c:v>
                </c:pt>
                <c:pt idx="106">
                  <c:v>5.837721893491125</c:v>
                </c:pt>
                <c:pt idx="107">
                  <c:v>5.850369822485208</c:v>
                </c:pt>
                <c:pt idx="108">
                  <c:v>5.8630177514792905</c:v>
                </c:pt>
                <c:pt idx="109">
                  <c:v>5.8756656804733725</c:v>
                </c:pt>
                <c:pt idx="110">
                  <c:v>5.888313609467455</c:v>
                </c:pt>
                <c:pt idx="111">
                  <c:v>5.900961538461539</c:v>
                </c:pt>
                <c:pt idx="112">
                  <c:v>5.913609467455622</c:v>
                </c:pt>
                <c:pt idx="113">
                  <c:v>5.926257396449705</c:v>
                </c:pt>
                <c:pt idx="114">
                  <c:v>5.938905325443788</c:v>
                </c:pt>
                <c:pt idx="115">
                  <c:v>5.9515532544378695</c:v>
                </c:pt>
                <c:pt idx="116">
                  <c:v>5.964201183431952</c:v>
                </c:pt>
                <c:pt idx="117">
                  <c:v>5.976849112426036</c:v>
                </c:pt>
                <c:pt idx="118">
                  <c:v>5.989497041420119</c:v>
                </c:pt>
                <c:pt idx="119">
                  <c:v>6.002144970414202</c:v>
                </c:pt>
                <c:pt idx="120">
                  <c:v>6.014792899408285</c:v>
                </c:pt>
                <c:pt idx="121">
                  <c:v>6.027440828402367</c:v>
                </c:pt>
                <c:pt idx="122">
                  <c:v>6.0400887573964495</c:v>
                </c:pt>
                <c:pt idx="123">
                  <c:v>6.052736686390533</c:v>
                </c:pt>
                <c:pt idx="124">
                  <c:v>6.065384615384615</c:v>
                </c:pt>
                <c:pt idx="125">
                  <c:v>6.078032544378699</c:v>
                </c:pt>
                <c:pt idx="126">
                  <c:v>6.090680473372782</c:v>
                </c:pt>
                <c:pt idx="127">
                  <c:v>6.103328402366864</c:v>
                </c:pt>
                <c:pt idx="128">
                  <c:v>6.1159763313609465</c:v>
                </c:pt>
                <c:pt idx="129">
                  <c:v>6.12862426035503</c:v>
                </c:pt>
                <c:pt idx="130">
                  <c:v>6.141272189349112</c:v>
                </c:pt>
                <c:pt idx="131">
                  <c:v>6.153920118343195</c:v>
                </c:pt>
                <c:pt idx="132">
                  <c:v>6.166568047337279</c:v>
                </c:pt>
                <c:pt idx="133">
                  <c:v>6.179215976331361</c:v>
                </c:pt>
                <c:pt idx="134">
                  <c:v>6.191863905325444</c:v>
                </c:pt>
                <c:pt idx="135">
                  <c:v>6.204511834319527</c:v>
                </c:pt>
                <c:pt idx="136">
                  <c:v>6.217159763313609</c:v>
                </c:pt>
                <c:pt idx="137">
                  <c:v>6.229807692307692</c:v>
                </c:pt>
                <c:pt idx="138">
                  <c:v>6.242455621301776</c:v>
                </c:pt>
                <c:pt idx="139">
                  <c:v>6.255103550295858</c:v>
                </c:pt>
                <c:pt idx="140">
                  <c:v>6.267751479289941</c:v>
                </c:pt>
                <c:pt idx="141">
                  <c:v>6.280399408284024</c:v>
                </c:pt>
                <c:pt idx="142">
                  <c:v>6.293047337278106</c:v>
                </c:pt>
                <c:pt idx="143">
                  <c:v>6.305695266272189</c:v>
                </c:pt>
                <c:pt idx="144">
                  <c:v>6.318343195266273</c:v>
                </c:pt>
                <c:pt idx="145">
                  <c:v>6.330991124260355</c:v>
                </c:pt>
                <c:pt idx="146">
                  <c:v>6.343639053254438</c:v>
                </c:pt>
                <c:pt idx="147">
                  <c:v>6.3562869822485215</c:v>
                </c:pt>
                <c:pt idx="148">
                  <c:v>6.3689349112426035</c:v>
                </c:pt>
                <c:pt idx="149">
                  <c:v>6.381582840236686</c:v>
                </c:pt>
                <c:pt idx="150">
                  <c:v>6.39423076923077</c:v>
                </c:pt>
                <c:pt idx="151">
                  <c:v>6.406878698224852</c:v>
                </c:pt>
                <c:pt idx="152">
                  <c:v>6.419526627218935</c:v>
                </c:pt>
                <c:pt idx="153">
                  <c:v>6.432174556213019</c:v>
                </c:pt>
                <c:pt idx="154">
                  <c:v>6.4448224852071005</c:v>
                </c:pt>
                <c:pt idx="155">
                  <c:v>6.457470414201183</c:v>
                </c:pt>
                <c:pt idx="156">
                  <c:v>6.470118343195267</c:v>
                </c:pt>
                <c:pt idx="157">
                  <c:v>6.482766272189349</c:v>
                </c:pt>
                <c:pt idx="158">
                  <c:v>6.495414201183432</c:v>
                </c:pt>
                <c:pt idx="159">
                  <c:v>6.508062130177516</c:v>
                </c:pt>
                <c:pt idx="160">
                  <c:v>6.520710059171598</c:v>
                </c:pt>
                <c:pt idx="161">
                  <c:v>6.5333579881656805</c:v>
                </c:pt>
                <c:pt idx="162">
                  <c:v>6.546005917159764</c:v>
                </c:pt>
                <c:pt idx="163">
                  <c:v>6.558653846153846</c:v>
                </c:pt>
                <c:pt idx="164">
                  <c:v>6.571301775147929</c:v>
                </c:pt>
                <c:pt idx="165">
                  <c:v>6.583949704142013</c:v>
                </c:pt>
                <c:pt idx="166">
                  <c:v>6.596597633136095</c:v>
                </c:pt>
                <c:pt idx="167">
                  <c:v>6.6092455621301776</c:v>
                </c:pt>
                <c:pt idx="168">
                  <c:v>6.621893491124261</c:v>
                </c:pt>
                <c:pt idx="169">
                  <c:v>6.634541420118343</c:v>
                </c:pt>
                <c:pt idx="170">
                  <c:v>6.647189349112426</c:v>
                </c:pt>
                <c:pt idx="171">
                  <c:v>6.65983727810651</c:v>
                </c:pt>
                <c:pt idx="172">
                  <c:v>6.672485207100592</c:v>
                </c:pt>
                <c:pt idx="173">
                  <c:v>6.685133136094675</c:v>
                </c:pt>
                <c:pt idx="174">
                  <c:v>6.697781065088758</c:v>
                </c:pt>
                <c:pt idx="175">
                  <c:v>6.71042899408284</c:v>
                </c:pt>
                <c:pt idx="176">
                  <c:v>6.723076923076923</c:v>
                </c:pt>
                <c:pt idx="177">
                  <c:v>6.735724852071007</c:v>
                </c:pt>
                <c:pt idx="178">
                  <c:v>6.748372781065089</c:v>
                </c:pt>
                <c:pt idx="179">
                  <c:v>6.761020710059172</c:v>
                </c:pt>
                <c:pt idx="180">
                  <c:v>6.7736686390532554</c:v>
                </c:pt>
                <c:pt idx="181">
                  <c:v>6.786316568047337</c:v>
                </c:pt>
                <c:pt idx="182">
                  <c:v>6.79896449704142</c:v>
                </c:pt>
                <c:pt idx="183">
                  <c:v>6.811612426035504</c:v>
                </c:pt>
                <c:pt idx="184">
                  <c:v>6.824260355029586</c:v>
                </c:pt>
                <c:pt idx="185">
                  <c:v>6.836908284023669</c:v>
                </c:pt>
                <c:pt idx="186">
                  <c:v>6.8495562130177525</c:v>
                </c:pt>
                <c:pt idx="187">
                  <c:v>6.8622041420118345</c:v>
                </c:pt>
                <c:pt idx="188">
                  <c:v>6.874852071005917</c:v>
                </c:pt>
                <c:pt idx="189">
                  <c:v>6.8875</c:v>
                </c:pt>
                <c:pt idx="190">
                  <c:v>6.900147928994083</c:v>
                </c:pt>
                <c:pt idx="191">
                  <c:v>6.912795857988166</c:v>
                </c:pt>
                <c:pt idx="192">
                  <c:v>6.92544378698225</c:v>
                </c:pt>
                <c:pt idx="193">
                  <c:v>6.938091715976332</c:v>
                </c:pt>
                <c:pt idx="194">
                  <c:v>6.950739644970414</c:v>
                </c:pt>
                <c:pt idx="195">
                  <c:v>6.963387573964498</c:v>
                </c:pt>
                <c:pt idx="196">
                  <c:v>6.97603550295858</c:v>
                </c:pt>
                <c:pt idx="197">
                  <c:v>6.988683431952663</c:v>
                </c:pt>
                <c:pt idx="198">
                  <c:v>7.001331360946747</c:v>
                </c:pt>
                <c:pt idx="199">
                  <c:v>7.013979289940829</c:v>
                </c:pt>
                <c:pt idx="200">
                  <c:v>7.0266272189349115</c:v>
                </c:pt>
                <c:pt idx="201">
                  <c:v>7.039275147928994</c:v>
                </c:pt>
                <c:pt idx="202">
                  <c:v>7.051923076923077</c:v>
                </c:pt>
                <c:pt idx="203">
                  <c:v>7.06457100591716</c:v>
                </c:pt>
                <c:pt idx="204">
                  <c:v>7.077218934911243</c:v>
                </c:pt>
                <c:pt idx="205">
                  <c:v>7.089866863905326</c:v>
                </c:pt>
                <c:pt idx="206">
                  <c:v>7.102514792899409</c:v>
                </c:pt>
                <c:pt idx="207">
                  <c:v>7.115162721893492</c:v>
                </c:pt>
                <c:pt idx="208">
                  <c:v>7.127810650887574</c:v>
                </c:pt>
                <c:pt idx="209">
                  <c:v>7.140458579881657</c:v>
                </c:pt>
                <c:pt idx="210">
                  <c:v>7.153106508875741</c:v>
                </c:pt>
                <c:pt idx="211">
                  <c:v>7.165754437869823</c:v>
                </c:pt>
                <c:pt idx="212">
                  <c:v>7.178402366863906</c:v>
                </c:pt>
                <c:pt idx="213">
                  <c:v>7.1910502958579885</c:v>
                </c:pt>
                <c:pt idx="214">
                  <c:v>7.203698224852071</c:v>
                </c:pt>
                <c:pt idx="215">
                  <c:v>7.216346153846154</c:v>
                </c:pt>
                <c:pt idx="216">
                  <c:v>7.228994082840238</c:v>
                </c:pt>
                <c:pt idx="217">
                  <c:v>7.24164201183432</c:v>
                </c:pt>
                <c:pt idx="218">
                  <c:v>7.254289940828403</c:v>
                </c:pt>
                <c:pt idx="219">
                  <c:v>7.2669378698224865</c:v>
                </c:pt>
                <c:pt idx="220">
                  <c:v>7.279585798816568</c:v>
                </c:pt>
                <c:pt idx="221">
                  <c:v>7.292233727810651</c:v>
                </c:pt>
                <c:pt idx="222">
                  <c:v>7.304881656804735</c:v>
                </c:pt>
                <c:pt idx="223">
                  <c:v>7.317529585798817</c:v>
                </c:pt>
                <c:pt idx="224">
                  <c:v>7.3301775147929</c:v>
                </c:pt>
                <c:pt idx="225">
                  <c:v>7.3428254437869835</c:v>
                </c:pt>
                <c:pt idx="226">
                  <c:v>7.3554733727810655</c:v>
                </c:pt>
                <c:pt idx="227">
                  <c:v>7.368121301775148</c:v>
                </c:pt>
                <c:pt idx="228">
                  <c:v>7.380769230769232</c:v>
                </c:pt>
                <c:pt idx="229">
                  <c:v>7.393417159763314</c:v>
                </c:pt>
                <c:pt idx="230">
                  <c:v>7.406065088757397</c:v>
                </c:pt>
                <c:pt idx="231">
                  <c:v>7.418713017751481</c:v>
                </c:pt>
                <c:pt idx="232">
                  <c:v>7.431360946745563</c:v>
                </c:pt>
                <c:pt idx="233">
                  <c:v>7.444008875739645</c:v>
                </c:pt>
                <c:pt idx="234">
                  <c:v>7.456656804733729</c:v>
                </c:pt>
                <c:pt idx="235">
                  <c:v>7.469304733727811</c:v>
                </c:pt>
                <c:pt idx="236">
                  <c:v>7.481952662721894</c:v>
                </c:pt>
                <c:pt idx="237">
                  <c:v>7.494600591715978</c:v>
                </c:pt>
                <c:pt idx="238">
                  <c:v>7.50724852071006</c:v>
                </c:pt>
                <c:pt idx="239">
                  <c:v>7.5198964497041425</c:v>
                </c:pt>
                <c:pt idx="240">
                  <c:v>7.532544378698226</c:v>
                </c:pt>
                <c:pt idx="241">
                  <c:v>7.545192307692308</c:v>
                </c:pt>
                <c:pt idx="242">
                  <c:v>7.557840236686391</c:v>
                </c:pt>
                <c:pt idx="243">
                  <c:v>7.570488165680475</c:v>
                </c:pt>
                <c:pt idx="244">
                  <c:v>7.583136094674557</c:v>
                </c:pt>
                <c:pt idx="245">
                  <c:v>7.59578402366864</c:v>
                </c:pt>
                <c:pt idx="246">
                  <c:v>7.608431952662723</c:v>
                </c:pt>
                <c:pt idx="247">
                  <c:v>7.621079881656805</c:v>
                </c:pt>
                <c:pt idx="248">
                  <c:v>7.633727810650888</c:v>
                </c:pt>
                <c:pt idx="249">
                  <c:v>7.646375739644972</c:v>
                </c:pt>
                <c:pt idx="250">
                  <c:v>7.659023668639054</c:v>
                </c:pt>
                <c:pt idx="251">
                  <c:v>7.671671597633137</c:v>
                </c:pt>
                <c:pt idx="252">
                  <c:v>7.68431952662722</c:v>
                </c:pt>
                <c:pt idx="253">
                  <c:v>7.696967455621302</c:v>
                </c:pt>
                <c:pt idx="254">
                  <c:v>7.709615384615385</c:v>
                </c:pt>
                <c:pt idx="255">
                  <c:v>7.722263313609469</c:v>
                </c:pt>
                <c:pt idx="256">
                  <c:v>7.734911242603551</c:v>
                </c:pt>
                <c:pt idx="257">
                  <c:v>7.747559171597634</c:v>
                </c:pt>
                <c:pt idx="258">
                  <c:v>7.7602071005917175</c:v>
                </c:pt>
                <c:pt idx="259">
                  <c:v>7.772855029585799</c:v>
                </c:pt>
                <c:pt idx="260">
                  <c:v>7.785502958579882</c:v>
                </c:pt>
                <c:pt idx="261">
                  <c:v>7.798150887573964</c:v>
                </c:pt>
                <c:pt idx="262">
                  <c:v>7.810798816568048</c:v>
                </c:pt>
                <c:pt idx="263">
                  <c:v>7.823446745562129</c:v>
                </c:pt>
                <c:pt idx="264">
                  <c:v>7.836094674556215</c:v>
                </c:pt>
                <c:pt idx="265">
                  <c:v>7.8487426035502965</c:v>
                </c:pt>
                <c:pt idx="266">
                  <c:v>7.861390532544379</c:v>
                </c:pt>
                <c:pt idx="267">
                  <c:v>7.874038461538463</c:v>
                </c:pt>
                <c:pt idx="268">
                  <c:v>7.886686390532545</c:v>
                </c:pt>
                <c:pt idx="269">
                  <c:v>7.899334319526628</c:v>
                </c:pt>
                <c:pt idx="270">
                  <c:v>7.911982248520712</c:v>
                </c:pt>
                <c:pt idx="271">
                  <c:v>7.924630177514794</c:v>
                </c:pt>
                <c:pt idx="272">
                  <c:v>7.937278106508876</c:v>
                </c:pt>
                <c:pt idx="273">
                  <c:v>7.949926035502958</c:v>
                </c:pt>
                <c:pt idx="274">
                  <c:v>7.962573964497042</c:v>
                </c:pt>
                <c:pt idx="275">
                  <c:v>7.975221893491123</c:v>
                </c:pt>
                <c:pt idx="276">
                  <c:v>7.987869822485207</c:v>
                </c:pt>
                <c:pt idx="277">
                  <c:v>8.00051775147929</c:v>
                </c:pt>
                <c:pt idx="278">
                  <c:v>8.013165680473374</c:v>
                </c:pt>
                <c:pt idx="279">
                  <c:v>8.025813609467457</c:v>
                </c:pt>
                <c:pt idx="280">
                  <c:v>8.038461538461538</c:v>
                </c:pt>
                <c:pt idx="281">
                  <c:v>8.051109467455623</c:v>
                </c:pt>
                <c:pt idx="282">
                  <c:v>8.063757396449706</c:v>
                </c:pt>
                <c:pt idx="283">
                  <c:v>8.076405325443787</c:v>
                </c:pt>
                <c:pt idx="284">
                  <c:v>8.089053254437871</c:v>
                </c:pt>
                <c:pt idx="285">
                  <c:v>8.101701183431954</c:v>
                </c:pt>
                <c:pt idx="286">
                  <c:v>8.114349112426035</c:v>
                </c:pt>
                <c:pt idx="287">
                  <c:v>8.126997041420118</c:v>
                </c:pt>
                <c:pt idx="288">
                  <c:v>8.139644970414201</c:v>
                </c:pt>
                <c:pt idx="289">
                  <c:v>8.152292899408284</c:v>
                </c:pt>
                <c:pt idx="290">
                  <c:v>8.164940828402367</c:v>
                </c:pt>
                <c:pt idx="291">
                  <c:v>8.17758875739645</c:v>
                </c:pt>
                <c:pt idx="292">
                  <c:v>8.190236686390532</c:v>
                </c:pt>
                <c:pt idx="293">
                  <c:v>8.202884615384615</c:v>
                </c:pt>
                <c:pt idx="294">
                  <c:v>8.2155325443787</c:v>
                </c:pt>
                <c:pt idx="295">
                  <c:v>8.228180473372781</c:v>
                </c:pt>
                <c:pt idx="296">
                  <c:v>8.240828402366864</c:v>
                </c:pt>
                <c:pt idx="297">
                  <c:v>8.253476331360948</c:v>
                </c:pt>
                <c:pt idx="298">
                  <c:v>8.26612426035503</c:v>
                </c:pt>
                <c:pt idx="299">
                  <c:v>8.278772189349112</c:v>
                </c:pt>
                <c:pt idx="300">
                  <c:v>8.291420118343195</c:v>
                </c:pt>
                <c:pt idx="301">
                  <c:v>8.304068047337278</c:v>
                </c:pt>
                <c:pt idx="302">
                  <c:v>8.316715976331361</c:v>
                </c:pt>
                <c:pt idx="303">
                  <c:v>8.329363905325444</c:v>
                </c:pt>
                <c:pt idx="304">
                  <c:v>8.342011834319527</c:v>
                </c:pt>
                <c:pt idx="305">
                  <c:v>8.35465976331361</c:v>
                </c:pt>
                <c:pt idx="306">
                  <c:v>8.367307692307694</c:v>
                </c:pt>
                <c:pt idx="307">
                  <c:v>8.379955621301775</c:v>
                </c:pt>
                <c:pt idx="308">
                  <c:v>8.392603550295858</c:v>
                </c:pt>
                <c:pt idx="309">
                  <c:v>8.405251479289943</c:v>
                </c:pt>
                <c:pt idx="310">
                  <c:v>8.417899408284024</c:v>
                </c:pt>
                <c:pt idx="311">
                  <c:v>8.430547337278107</c:v>
                </c:pt>
                <c:pt idx="312">
                  <c:v>8.44319526627219</c:v>
                </c:pt>
                <c:pt idx="313">
                  <c:v>8.455843195266272</c:v>
                </c:pt>
                <c:pt idx="314">
                  <c:v>8.468491124260355</c:v>
                </c:pt>
                <c:pt idx="315">
                  <c:v>8.481139053254438</c:v>
                </c:pt>
                <c:pt idx="316">
                  <c:v>8.49378698224852</c:v>
                </c:pt>
                <c:pt idx="317">
                  <c:v>8.506434911242604</c:v>
                </c:pt>
                <c:pt idx="318">
                  <c:v>8.519082840236686</c:v>
                </c:pt>
                <c:pt idx="319">
                  <c:v>8.53173076923077</c:v>
                </c:pt>
                <c:pt idx="320">
                  <c:v>8.544378698224852</c:v>
                </c:pt>
                <c:pt idx="321">
                  <c:v>8.557026627218937</c:v>
                </c:pt>
                <c:pt idx="322">
                  <c:v>8.569674556213018</c:v>
                </c:pt>
                <c:pt idx="323">
                  <c:v>8.5823224852071</c:v>
                </c:pt>
                <c:pt idx="324">
                  <c:v>8.594970414201184</c:v>
                </c:pt>
                <c:pt idx="325">
                  <c:v>8.607618343195266</c:v>
                </c:pt>
                <c:pt idx="326">
                  <c:v>8.62026627218935</c:v>
                </c:pt>
                <c:pt idx="327">
                  <c:v>8.632914201183432</c:v>
                </c:pt>
                <c:pt idx="328">
                  <c:v>8.645562130177515</c:v>
                </c:pt>
                <c:pt idx="329">
                  <c:v>8.658210059171598</c:v>
                </c:pt>
                <c:pt idx="330">
                  <c:v>8.67085798816568</c:v>
                </c:pt>
                <c:pt idx="331">
                  <c:v>8.683505917159763</c:v>
                </c:pt>
                <c:pt idx="332">
                  <c:v>8.696153846153846</c:v>
                </c:pt>
                <c:pt idx="333">
                  <c:v>8.70880177514793</c:v>
                </c:pt>
                <c:pt idx="334">
                  <c:v>8.721449704142012</c:v>
                </c:pt>
                <c:pt idx="335">
                  <c:v>8.734097633136095</c:v>
                </c:pt>
                <c:pt idx="336">
                  <c:v>8.746745562130178</c:v>
                </c:pt>
                <c:pt idx="337">
                  <c:v>8.75939349112426</c:v>
                </c:pt>
                <c:pt idx="338">
                  <c:v>8.772041420118343</c:v>
                </c:pt>
                <c:pt idx="339">
                  <c:v>8.784689349112426</c:v>
                </c:pt>
                <c:pt idx="340">
                  <c:v>8.79733727810651</c:v>
                </c:pt>
                <c:pt idx="341">
                  <c:v>8.809985207100592</c:v>
                </c:pt>
                <c:pt idx="342">
                  <c:v>8.822633136094675</c:v>
                </c:pt>
                <c:pt idx="343">
                  <c:v>8.835281065088758</c:v>
                </c:pt>
                <c:pt idx="344">
                  <c:v>8.84792899408284</c:v>
                </c:pt>
                <c:pt idx="345">
                  <c:v>8.860576923076923</c:v>
                </c:pt>
                <c:pt idx="346">
                  <c:v>8.873224852071006</c:v>
                </c:pt>
                <c:pt idx="347">
                  <c:v>8.885872781065089</c:v>
                </c:pt>
                <c:pt idx="348">
                  <c:v>8.898520710059172</c:v>
                </c:pt>
                <c:pt idx="349">
                  <c:v>8.911168639053255</c:v>
                </c:pt>
                <c:pt idx="350">
                  <c:v>8.923816568047338</c:v>
                </c:pt>
                <c:pt idx="351">
                  <c:v>8.93646449704142</c:v>
                </c:pt>
                <c:pt idx="352">
                  <c:v>8.949112426035503</c:v>
                </c:pt>
                <c:pt idx="353">
                  <c:v>8.961760355029586</c:v>
                </c:pt>
                <c:pt idx="354">
                  <c:v>8.974408284023669</c:v>
                </c:pt>
                <c:pt idx="355">
                  <c:v>8.987056213017752</c:v>
                </c:pt>
                <c:pt idx="356">
                  <c:v>8.999704142011835</c:v>
                </c:pt>
                <c:pt idx="357">
                  <c:v>9.012352071005918</c:v>
                </c:pt>
                <c:pt idx="358">
                  <c:v>9.025</c:v>
                </c:pt>
                <c:pt idx="359">
                  <c:v>9.037647928994083</c:v>
                </c:pt>
                <c:pt idx="360">
                  <c:v>9.050295857988166</c:v>
                </c:pt>
                <c:pt idx="361">
                  <c:v>9.062943786982249</c:v>
                </c:pt>
                <c:pt idx="362">
                  <c:v>9.075591715976332</c:v>
                </c:pt>
                <c:pt idx="363">
                  <c:v>9.088239644970415</c:v>
                </c:pt>
                <c:pt idx="364">
                  <c:v>9.100887573964497</c:v>
                </c:pt>
                <c:pt idx="365">
                  <c:v>9.11353550295858</c:v>
                </c:pt>
                <c:pt idx="366">
                  <c:v>9.126183431952663</c:v>
                </c:pt>
                <c:pt idx="367">
                  <c:v>9.138831360946746</c:v>
                </c:pt>
                <c:pt idx="368">
                  <c:v>9.151479289940829</c:v>
                </c:pt>
                <c:pt idx="369">
                  <c:v>9.164127218934912</c:v>
                </c:pt>
                <c:pt idx="370">
                  <c:v>9.176775147928995</c:v>
                </c:pt>
                <c:pt idx="371">
                  <c:v>9.189423076923077</c:v>
                </c:pt>
                <c:pt idx="372">
                  <c:v>9.20207100591716</c:v>
                </c:pt>
                <c:pt idx="373">
                  <c:v>9.214718934911243</c:v>
                </c:pt>
                <c:pt idx="374">
                  <c:v>9.227366863905326</c:v>
                </c:pt>
                <c:pt idx="375">
                  <c:v>9.240014792899409</c:v>
                </c:pt>
                <c:pt idx="376">
                  <c:v>9.252662721893492</c:v>
                </c:pt>
                <c:pt idx="377">
                  <c:v>9.265310650887574</c:v>
                </c:pt>
                <c:pt idx="378">
                  <c:v>9.277958579881656</c:v>
                </c:pt>
                <c:pt idx="379">
                  <c:v>9.29060650887574</c:v>
                </c:pt>
                <c:pt idx="380">
                  <c:v>9.303254437869823</c:v>
                </c:pt>
                <c:pt idx="381">
                  <c:v>9.315902366863904</c:v>
                </c:pt>
                <c:pt idx="382">
                  <c:v>9.328550295857989</c:v>
                </c:pt>
                <c:pt idx="383">
                  <c:v>9.341198224852072</c:v>
                </c:pt>
                <c:pt idx="384">
                  <c:v>9.353846153846154</c:v>
                </c:pt>
                <c:pt idx="385">
                  <c:v>9.366494082840237</c:v>
                </c:pt>
                <c:pt idx="386">
                  <c:v>9.37914201183432</c:v>
                </c:pt>
                <c:pt idx="387">
                  <c:v>9.391789940828403</c:v>
                </c:pt>
                <c:pt idx="388">
                  <c:v>9.404437869822486</c:v>
                </c:pt>
                <c:pt idx="389">
                  <c:v>9.417085798816569</c:v>
                </c:pt>
                <c:pt idx="390">
                  <c:v>9.429733727810651</c:v>
                </c:pt>
                <c:pt idx="391">
                  <c:v>9.442381656804734</c:v>
                </c:pt>
                <c:pt idx="392">
                  <c:v>9.455029585798817</c:v>
                </c:pt>
                <c:pt idx="393">
                  <c:v>9.4676775147929</c:v>
                </c:pt>
                <c:pt idx="394">
                  <c:v>9.480325443786983</c:v>
                </c:pt>
                <c:pt idx="395">
                  <c:v>9.492973372781066</c:v>
                </c:pt>
                <c:pt idx="396">
                  <c:v>9.505621301775149</c:v>
                </c:pt>
                <c:pt idx="397">
                  <c:v>9.518269230769231</c:v>
                </c:pt>
                <c:pt idx="398">
                  <c:v>9.530917159763314</c:v>
                </c:pt>
                <c:pt idx="399">
                  <c:v>9.543565088757397</c:v>
                </c:pt>
                <c:pt idx="400">
                  <c:v>9.55621301775148</c:v>
                </c:pt>
                <c:pt idx="401">
                  <c:v>9.568860946745563</c:v>
                </c:pt>
                <c:pt idx="402">
                  <c:v>9.581508875739644</c:v>
                </c:pt>
                <c:pt idx="403">
                  <c:v>9.594156804733728</c:v>
                </c:pt>
                <c:pt idx="404">
                  <c:v>9.606804733727811</c:v>
                </c:pt>
                <c:pt idx="405">
                  <c:v>9.619452662721892</c:v>
                </c:pt>
                <c:pt idx="406">
                  <c:v>9.632100591715977</c:v>
                </c:pt>
                <c:pt idx="407">
                  <c:v>9.64474852071006</c:v>
                </c:pt>
                <c:pt idx="408">
                  <c:v>9.657396449704141</c:v>
                </c:pt>
                <c:pt idx="409">
                  <c:v>9.670044378698224</c:v>
                </c:pt>
                <c:pt idx="410">
                  <c:v>9.682692307692308</c:v>
                </c:pt>
                <c:pt idx="411">
                  <c:v>9.69534023668639</c:v>
                </c:pt>
                <c:pt idx="412">
                  <c:v>9.707988165680472</c:v>
                </c:pt>
                <c:pt idx="413">
                  <c:v>9.720636094674557</c:v>
                </c:pt>
                <c:pt idx="414">
                  <c:v>9.73328402366864</c:v>
                </c:pt>
                <c:pt idx="415">
                  <c:v>9.745931952662723</c:v>
                </c:pt>
                <c:pt idx="416">
                  <c:v>9.758579881656805</c:v>
                </c:pt>
                <c:pt idx="417">
                  <c:v>9.771227810650888</c:v>
                </c:pt>
                <c:pt idx="418">
                  <c:v>9.783875739644971</c:v>
                </c:pt>
                <c:pt idx="419">
                  <c:v>9.796523668639054</c:v>
                </c:pt>
                <c:pt idx="420">
                  <c:v>9.809171597633137</c:v>
                </c:pt>
                <c:pt idx="421">
                  <c:v>9.82181952662722</c:v>
                </c:pt>
                <c:pt idx="422">
                  <c:v>9.834467455621303</c:v>
                </c:pt>
                <c:pt idx="423">
                  <c:v>9.847115384615385</c:v>
                </c:pt>
                <c:pt idx="424">
                  <c:v>9.859763313609468</c:v>
                </c:pt>
                <c:pt idx="425">
                  <c:v>9.872411242603551</c:v>
                </c:pt>
                <c:pt idx="426">
                  <c:v>9.885059171597632</c:v>
                </c:pt>
                <c:pt idx="427">
                  <c:v>9.897707100591717</c:v>
                </c:pt>
                <c:pt idx="428">
                  <c:v>9.9103550295858</c:v>
                </c:pt>
                <c:pt idx="429">
                  <c:v>9.92300295857988</c:v>
                </c:pt>
                <c:pt idx="430">
                  <c:v>9.935650887573965</c:v>
                </c:pt>
                <c:pt idx="431">
                  <c:v>9.948298816568048</c:v>
                </c:pt>
                <c:pt idx="432">
                  <c:v>9.96094674556213</c:v>
                </c:pt>
                <c:pt idx="433">
                  <c:v>9.973594674556212</c:v>
                </c:pt>
                <c:pt idx="434">
                  <c:v>9.986242603550297</c:v>
                </c:pt>
                <c:pt idx="435">
                  <c:v>9.998890532544378</c:v>
                </c:pt>
                <c:pt idx="436">
                  <c:v>10.01153846153846</c:v>
                </c:pt>
                <c:pt idx="437">
                  <c:v>10.024186390532545</c:v>
                </c:pt>
                <c:pt idx="438">
                  <c:v>10.036834319526626</c:v>
                </c:pt>
                <c:pt idx="439">
                  <c:v>10.04948224852071</c:v>
                </c:pt>
                <c:pt idx="440">
                  <c:v>10.062130177514794</c:v>
                </c:pt>
                <c:pt idx="441">
                  <c:v>10.074778106508877</c:v>
                </c:pt>
                <c:pt idx="442">
                  <c:v>10.08742603550296</c:v>
                </c:pt>
                <c:pt idx="443">
                  <c:v>10.100073964497042</c:v>
                </c:pt>
                <c:pt idx="444">
                  <c:v>10.112721893491125</c:v>
                </c:pt>
                <c:pt idx="445">
                  <c:v>10.125369822485208</c:v>
                </c:pt>
                <c:pt idx="446">
                  <c:v>10.13801775147929</c:v>
                </c:pt>
                <c:pt idx="447">
                  <c:v>10.150665680473374</c:v>
                </c:pt>
                <c:pt idx="448">
                  <c:v>10.163313609467457</c:v>
                </c:pt>
                <c:pt idx="449">
                  <c:v>10.17596153846154</c:v>
                </c:pt>
                <c:pt idx="450">
                  <c:v>10.18860946745562</c:v>
                </c:pt>
                <c:pt idx="451">
                  <c:v>10.201257396449705</c:v>
                </c:pt>
                <c:pt idx="452">
                  <c:v>10.213905325443788</c:v>
                </c:pt>
                <c:pt idx="453">
                  <c:v>10.226553254437869</c:v>
                </c:pt>
                <c:pt idx="454">
                  <c:v>10.239201183431954</c:v>
                </c:pt>
                <c:pt idx="455">
                  <c:v>10.251849112426036</c:v>
                </c:pt>
                <c:pt idx="456">
                  <c:v>10.264497041420118</c:v>
                </c:pt>
                <c:pt idx="457">
                  <c:v>10.2771449704142</c:v>
                </c:pt>
                <c:pt idx="458">
                  <c:v>10.289792899408285</c:v>
                </c:pt>
                <c:pt idx="459">
                  <c:v>10.302440828402366</c:v>
                </c:pt>
                <c:pt idx="460">
                  <c:v>10.315088757396449</c:v>
                </c:pt>
                <c:pt idx="461">
                  <c:v>10.327736686390534</c:v>
                </c:pt>
                <c:pt idx="462">
                  <c:v>10.340384615384615</c:v>
                </c:pt>
                <c:pt idx="463">
                  <c:v>10.353032544378697</c:v>
                </c:pt>
                <c:pt idx="464">
                  <c:v>10.365680473372782</c:v>
                </c:pt>
                <c:pt idx="465">
                  <c:v>10.378328402366863</c:v>
                </c:pt>
                <c:pt idx="466">
                  <c:v>10.390976331360946</c:v>
                </c:pt>
                <c:pt idx="467">
                  <c:v>10.40362426035503</c:v>
                </c:pt>
                <c:pt idx="468">
                  <c:v>10.416272189349112</c:v>
                </c:pt>
                <c:pt idx="469">
                  <c:v>10.428920118343195</c:v>
                </c:pt>
                <c:pt idx="470">
                  <c:v>10.44156804733728</c:v>
                </c:pt>
                <c:pt idx="471">
                  <c:v>10.454215976331362</c:v>
                </c:pt>
                <c:pt idx="472">
                  <c:v>10.466863905325445</c:v>
                </c:pt>
                <c:pt idx="473">
                  <c:v>10.479511834319528</c:v>
                </c:pt>
                <c:pt idx="474">
                  <c:v>10.492159763313609</c:v>
                </c:pt>
                <c:pt idx="475">
                  <c:v>10.504807692307693</c:v>
                </c:pt>
                <c:pt idx="476">
                  <c:v>10.517455621301776</c:v>
                </c:pt>
                <c:pt idx="477">
                  <c:v>10.530103550295857</c:v>
                </c:pt>
                <c:pt idx="478">
                  <c:v>10.542751479289942</c:v>
                </c:pt>
                <c:pt idx="479">
                  <c:v>10.555399408284025</c:v>
                </c:pt>
                <c:pt idx="480">
                  <c:v>10.568047337278106</c:v>
                </c:pt>
                <c:pt idx="481">
                  <c:v>10.580695266272189</c:v>
                </c:pt>
                <c:pt idx="482">
                  <c:v>10.593343195266273</c:v>
                </c:pt>
                <c:pt idx="483">
                  <c:v>10.605991124260354</c:v>
                </c:pt>
                <c:pt idx="484">
                  <c:v>10.618639053254437</c:v>
                </c:pt>
                <c:pt idx="485">
                  <c:v>10.631286982248522</c:v>
                </c:pt>
                <c:pt idx="486">
                  <c:v>10.643934911242603</c:v>
                </c:pt>
                <c:pt idx="487">
                  <c:v>10.656582840236686</c:v>
                </c:pt>
                <c:pt idx="488">
                  <c:v>10.66923076923077</c:v>
                </c:pt>
                <c:pt idx="489">
                  <c:v>10.681878698224851</c:v>
                </c:pt>
                <c:pt idx="490">
                  <c:v>10.694526627218934</c:v>
                </c:pt>
                <c:pt idx="491">
                  <c:v>10.707174556213019</c:v>
                </c:pt>
                <c:pt idx="492">
                  <c:v>10.7198224852071</c:v>
                </c:pt>
                <c:pt idx="493">
                  <c:v>10.732470414201183</c:v>
                </c:pt>
                <c:pt idx="494">
                  <c:v>10.745118343195267</c:v>
                </c:pt>
                <c:pt idx="495">
                  <c:v>10.757766272189349</c:v>
                </c:pt>
                <c:pt idx="496">
                  <c:v>10.770414201183431</c:v>
                </c:pt>
                <c:pt idx="497">
                  <c:v>10.783062130177516</c:v>
                </c:pt>
                <c:pt idx="498">
                  <c:v>10.795710059171597</c:v>
                </c:pt>
                <c:pt idx="499">
                  <c:v>10.808357988165682</c:v>
                </c:pt>
                <c:pt idx="500">
                  <c:v>10.821005917159765</c:v>
                </c:pt>
                <c:pt idx="501">
                  <c:v>10.833653846153846</c:v>
                </c:pt>
                <c:pt idx="502">
                  <c:v>10.84630177514793</c:v>
                </c:pt>
                <c:pt idx="503">
                  <c:v>10.858949704142013</c:v>
                </c:pt>
                <c:pt idx="504">
                  <c:v>10.871597633136094</c:v>
                </c:pt>
                <c:pt idx="505">
                  <c:v>10.884245562130177</c:v>
                </c:pt>
                <c:pt idx="506">
                  <c:v>10.896893491124262</c:v>
                </c:pt>
                <c:pt idx="507">
                  <c:v>10.909541420118343</c:v>
                </c:pt>
                <c:pt idx="508">
                  <c:v>10.922189349112426</c:v>
                </c:pt>
                <c:pt idx="509">
                  <c:v>10.93483727810651</c:v>
                </c:pt>
                <c:pt idx="510">
                  <c:v>10.947485207100591</c:v>
                </c:pt>
                <c:pt idx="511">
                  <c:v>10.960133136094674</c:v>
                </c:pt>
                <c:pt idx="512">
                  <c:v>10.972781065088759</c:v>
                </c:pt>
                <c:pt idx="513">
                  <c:v>10.98542899408284</c:v>
                </c:pt>
                <c:pt idx="514">
                  <c:v>10.998076923076923</c:v>
                </c:pt>
                <c:pt idx="515">
                  <c:v>11.010724852071007</c:v>
                </c:pt>
                <c:pt idx="516">
                  <c:v>11.023372781065088</c:v>
                </c:pt>
                <c:pt idx="517">
                  <c:v>11.036020710059171</c:v>
                </c:pt>
                <c:pt idx="518">
                  <c:v>11.048668639053256</c:v>
                </c:pt>
                <c:pt idx="519">
                  <c:v>11.061316568047337</c:v>
                </c:pt>
                <c:pt idx="520">
                  <c:v>11.07396449704142</c:v>
                </c:pt>
                <c:pt idx="521">
                  <c:v>11.086612426035504</c:v>
                </c:pt>
                <c:pt idx="522">
                  <c:v>11.099260355029585</c:v>
                </c:pt>
                <c:pt idx="523">
                  <c:v>11.111908284023668</c:v>
                </c:pt>
                <c:pt idx="524">
                  <c:v>11.124556213017753</c:v>
                </c:pt>
                <c:pt idx="525">
                  <c:v>11.137204142011834</c:v>
                </c:pt>
                <c:pt idx="526">
                  <c:v>11.149852071005917</c:v>
                </c:pt>
                <c:pt idx="527">
                  <c:v>11.162500000000001</c:v>
                </c:pt>
                <c:pt idx="528">
                  <c:v>11.175147928994082</c:v>
                </c:pt>
                <c:pt idx="529">
                  <c:v>11.187795857988165</c:v>
                </c:pt>
                <c:pt idx="530">
                  <c:v>11.20044378698225</c:v>
                </c:pt>
                <c:pt idx="531">
                  <c:v>11.213091715976331</c:v>
                </c:pt>
                <c:pt idx="532">
                  <c:v>11.225739644970414</c:v>
                </c:pt>
                <c:pt idx="533">
                  <c:v>11.238387573964499</c:v>
                </c:pt>
                <c:pt idx="534">
                  <c:v>11.25103550295858</c:v>
                </c:pt>
                <c:pt idx="535">
                  <c:v>11.263683431952662</c:v>
                </c:pt>
                <c:pt idx="536">
                  <c:v>11.276331360946747</c:v>
                </c:pt>
                <c:pt idx="537">
                  <c:v>11.288979289940828</c:v>
                </c:pt>
                <c:pt idx="538">
                  <c:v>11.301627218934911</c:v>
                </c:pt>
                <c:pt idx="539">
                  <c:v>11.314275147928996</c:v>
                </c:pt>
                <c:pt idx="540">
                  <c:v>11.326923076923077</c:v>
                </c:pt>
                <c:pt idx="541">
                  <c:v>11.33957100591716</c:v>
                </c:pt>
                <c:pt idx="542">
                  <c:v>11.352218934911244</c:v>
                </c:pt>
                <c:pt idx="543">
                  <c:v>11.364866863905325</c:v>
                </c:pt>
                <c:pt idx="544">
                  <c:v>11.377514792899408</c:v>
                </c:pt>
                <c:pt idx="545">
                  <c:v>11.390162721893493</c:v>
                </c:pt>
                <c:pt idx="546">
                  <c:v>11.402810650887574</c:v>
                </c:pt>
                <c:pt idx="547">
                  <c:v>11.415458579881657</c:v>
                </c:pt>
                <c:pt idx="548">
                  <c:v>11.428106508875741</c:v>
                </c:pt>
                <c:pt idx="549">
                  <c:v>11.440754437869822</c:v>
                </c:pt>
                <c:pt idx="550">
                  <c:v>11.453402366863905</c:v>
                </c:pt>
                <c:pt idx="551">
                  <c:v>11.46605029585799</c:v>
                </c:pt>
                <c:pt idx="552">
                  <c:v>11.47869822485207</c:v>
                </c:pt>
                <c:pt idx="553">
                  <c:v>11.491346153846154</c:v>
                </c:pt>
                <c:pt idx="554">
                  <c:v>11.503994082840237</c:v>
                </c:pt>
                <c:pt idx="555">
                  <c:v>11.51664201183432</c:v>
                </c:pt>
                <c:pt idx="556">
                  <c:v>11.529289940828402</c:v>
                </c:pt>
                <c:pt idx="557">
                  <c:v>11.541937869822487</c:v>
                </c:pt>
                <c:pt idx="558">
                  <c:v>11.554585798816568</c:v>
                </c:pt>
                <c:pt idx="559">
                  <c:v>11.56723372781065</c:v>
                </c:pt>
                <c:pt idx="560">
                  <c:v>11.579881656804735</c:v>
                </c:pt>
                <c:pt idx="561">
                  <c:v>11.592529585798816</c:v>
                </c:pt>
                <c:pt idx="562">
                  <c:v>11.6051775147929</c:v>
                </c:pt>
                <c:pt idx="563">
                  <c:v>11.617825443786984</c:v>
                </c:pt>
                <c:pt idx="564">
                  <c:v>11.630473372781065</c:v>
                </c:pt>
                <c:pt idx="565">
                  <c:v>11.643121301775148</c:v>
                </c:pt>
                <c:pt idx="566">
                  <c:v>11.655769230769232</c:v>
                </c:pt>
                <c:pt idx="567">
                  <c:v>11.668417159763314</c:v>
                </c:pt>
                <c:pt idx="568">
                  <c:v>11.681065088757396</c:v>
                </c:pt>
                <c:pt idx="569">
                  <c:v>11.693713017751481</c:v>
                </c:pt>
                <c:pt idx="570">
                  <c:v>11.706360946745562</c:v>
                </c:pt>
                <c:pt idx="571">
                  <c:v>11.719008875739645</c:v>
                </c:pt>
                <c:pt idx="572">
                  <c:v>11.73165680473373</c:v>
                </c:pt>
                <c:pt idx="573">
                  <c:v>11.74430473372781</c:v>
                </c:pt>
                <c:pt idx="574">
                  <c:v>11.756952662721893</c:v>
                </c:pt>
                <c:pt idx="575">
                  <c:v>11.769600591715978</c:v>
                </c:pt>
                <c:pt idx="576">
                  <c:v>11.78224852071006</c:v>
                </c:pt>
                <c:pt idx="577">
                  <c:v>11.794896449704142</c:v>
                </c:pt>
                <c:pt idx="578">
                  <c:v>11.807544378698227</c:v>
                </c:pt>
                <c:pt idx="579">
                  <c:v>11.820192307692308</c:v>
                </c:pt>
                <c:pt idx="580">
                  <c:v>11.83284023668639</c:v>
                </c:pt>
                <c:pt idx="581">
                  <c:v>11.845488165680475</c:v>
                </c:pt>
                <c:pt idx="582">
                  <c:v>11.858136094674556</c:v>
                </c:pt>
                <c:pt idx="583">
                  <c:v>11.870784023668639</c:v>
                </c:pt>
                <c:pt idx="584">
                  <c:v>11.883431952662724</c:v>
                </c:pt>
                <c:pt idx="585">
                  <c:v>11.896079881656805</c:v>
                </c:pt>
                <c:pt idx="586">
                  <c:v>11.908727810650888</c:v>
                </c:pt>
                <c:pt idx="587">
                  <c:v>11.921375739644972</c:v>
                </c:pt>
                <c:pt idx="588">
                  <c:v>11.934023668639053</c:v>
                </c:pt>
                <c:pt idx="589">
                  <c:v>11.946671597633136</c:v>
                </c:pt>
                <c:pt idx="590">
                  <c:v>11.95931952662722</c:v>
                </c:pt>
                <c:pt idx="591">
                  <c:v>11.971967455621302</c:v>
                </c:pt>
                <c:pt idx="592">
                  <c:v>11.984615384615385</c:v>
                </c:pt>
                <c:pt idx="593">
                  <c:v>11.99726331360947</c:v>
                </c:pt>
                <c:pt idx="594">
                  <c:v>12.00991124260355</c:v>
                </c:pt>
                <c:pt idx="595">
                  <c:v>12.022559171597633</c:v>
                </c:pt>
                <c:pt idx="596">
                  <c:v>12.035207100591718</c:v>
                </c:pt>
                <c:pt idx="597">
                  <c:v>12.047855029585799</c:v>
                </c:pt>
                <c:pt idx="598">
                  <c:v>12.060502958579882</c:v>
                </c:pt>
                <c:pt idx="599">
                  <c:v>12.073150887573966</c:v>
                </c:pt>
                <c:pt idx="600">
                  <c:v>12.085798816568047</c:v>
                </c:pt>
                <c:pt idx="601">
                  <c:v>12.09844674556213</c:v>
                </c:pt>
                <c:pt idx="602">
                  <c:v>12.111094674556215</c:v>
                </c:pt>
                <c:pt idx="603">
                  <c:v>12.123742603550296</c:v>
                </c:pt>
                <c:pt idx="604">
                  <c:v>12.136390532544379</c:v>
                </c:pt>
                <c:pt idx="605">
                  <c:v>12.149038461538463</c:v>
                </c:pt>
                <c:pt idx="606">
                  <c:v>12.161686390532545</c:v>
                </c:pt>
                <c:pt idx="607">
                  <c:v>12.174334319526627</c:v>
                </c:pt>
                <c:pt idx="608">
                  <c:v>12.186982248520712</c:v>
                </c:pt>
                <c:pt idx="609">
                  <c:v>12.199630177514793</c:v>
                </c:pt>
                <c:pt idx="610">
                  <c:v>12.212278106508876</c:v>
                </c:pt>
                <c:pt idx="611">
                  <c:v>12.224926035502957</c:v>
                </c:pt>
                <c:pt idx="612">
                  <c:v>12.237573964497042</c:v>
                </c:pt>
                <c:pt idx="613">
                  <c:v>12.250221893491124</c:v>
                </c:pt>
                <c:pt idx="614">
                  <c:v>12.262869822485209</c:v>
                </c:pt>
                <c:pt idx="615">
                  <c:v>12.27551775147929</c:v>
                </c:pt>
                <c:pt idx="616">
                  <c:v>12.288165680473373</c:v>
                </c:pt>
                <c:pt idx="617">
                  <c:v>12.300813609467458</c:v>
                </c:pt>
                <c:pt idx="618">
                  <c:v>12.313461538461539</c:v>
                </c:pt>
                <c:pt idx="619">
                  <c:v>12.326109467455622</c:v>
                </c:pt>
                <c:pt idx="620">
                  <c:v>12.338757396449706</c:v>
                </c:pt>
                <c:pt idx="621">
                  <c:v>12.351405325443787</c:v>
                </c:pt>
                <c:pt idx="622">
                  <c:v>12.36405325443787</c:v>
                </c:pt>
                <c:pt idx="623">
                  <c:v>12.376701183431955</c:v>
                </c:pt>
                <c:pt idx="624">
                  <c:v>12.389349112426036</c:v>
                </c:pt>
                <c:pt idx="625">
                  <c:v>12.401997041420119</c:v>
                </c:pt>
                <c:pt idx="626">
                  <c:v>12.414644970414203</c:v>
                </c:pt>
                <c:pt idx="627">
                  <c:v>12.427292899408284</c:v>
                </c:pt>
                <c:pt idx="628">
                  <c:v>12.439940828402367</c:v>
                </c:pt>
                <c:pt idx="629">
                  <c:v>12.452588757396452</c:v>
                </c:pt>
                <c:pt idx="630">
                  <c:v>12.465236686390533</c:v>
                </c:pt>
                <c:pt idx="631">
                  <c:v>12.477884615384616</c:v>
                </c:pt>
                <c:pt idx="632">
                  <c:v>12.4905325443787</c:v>
                </c:pt>
                <c:pt idx="633">
                  <c:v>12.503180473372781</c:v>
                </c:pt>
                <c:pt idx="634">
                  <c:v>12.515828402366864</c:v>
                </c:pt>
                <c:pt idx="635">
                  <c:v>12.528476331360945</c:v>
                </c:pt>
                <c:pt idx="636">
                  <c:v>12.54112426035503</c:v>
                </c:pt>
                <c:pt idx="637">
                  <c:v>12.553772189349113</c:v>
                </c:pt>
                <c:pt idx="638">
                  <c:v>12.566420118343194</c:v>
                </c:pt>
                <c:pt idx="639">
                  <c:v>12.579068047337278</c:v>
                </c:pt>
                <c:pt idx="640">
                  <c:v>12.591715976331361</c:v>
                </c:pt>
                <c:pt idx="641">
                  <c:v>12.604363905325446</c:v>
                </c:pt>
                <c:pt idx="642">
                  <c:v>12.617011834319527</c:v>
                </c:pt>
                <c:pt idx="643">
                  <c:v>12.62965976331361</c:v>
                </c:pt>
                <c:pt idx="644">
                  <c:v>12.642307692307694</c:v>
                </c:pt>
                <c:pt idx="645">
                  <c:v>12.654955621301776</c:v>
                </c:pt>
                <c:pt idx="646">
                  <c:v>12.667603550295858</c:v>
                </c:pt>
                <c:pt idx="647">
                  <c:v>12.680251479289943</c:v>
                </c:pt>
                <c:pt idx="648">
                  <c:v>12.692899408284024</c:v>
                </c:pt>
                <c:pt idx="649">
                  <c:v>12.705547337278107</c:v>
                </c:pt>
                <c:pt idx="650">
                  <c:v>12.718195266272192</c:v>
                </c:pt>
                <c:pt idx="651">
                  <c:v>12.730843195266273</c:v>
                </c:pt>
                <c:pt idx="652">
                  <c:v>12.743491124260355</c:v>
                </c:pt>
                <c:pt idx="653">
                  <c:v>12.75613905325444</c:v>
                </c:pt>
                <c:pt idx="654">
                  <c:v>12.768786982248521</c:v>
                </c:pt>
                <c:pt idx="655">
                  <c:v>12.781434911242604</c:v>
                </c:pt>
                <c:pt idx="656">
                  <c:v>12.794082840236689</c:v>
                </c:pt>
                <c:pt idx="657">
                  <c:v>12.80673076923077</c:v>
                </c:pt>
                <c:pt idx="658">
                  <c:v>12.819378698224853</c:v>
                </c:pt>
                <c:pt idx="659">
                  <c:v>12.832026627218934</c:v>
                </c:pt>
                <c:pt idx="660">
                  <c:v>12.844674556213018</c:v>
                </c:pt>
                <c:pt idx="661">
                  <c:v>12.857322485207101</c:v>
                </c:pt>
                <c:pt idx="662">
                  <c:v>12.869970414201182</c:v>
                </c:pt>
                <c:pt idx="663">
                  <c:v>12.882618343195267</c:v>
                </c:pt>
                <c:pt idx="664">
                  <c:v>12.89526627218935</c:v>
                </c:pt>
                <c:pt idx="665">
                  <c:v>12.90791420118343</c:v>
                </c:pt>
                <c:pt idx="666">
                  <c:v>12.920562130177515</c:v>
                </c:pt>
                <c:pt idx="667">
                  <c:v>12.933210059171598</c:v>
                </c:pt>
                <c:pt idx="668">
                  <c:v>12.94585798816568</c:v>
                </c:pt>
                <c:pt idx="669">
                  <c:v>12.958505917159764</c:v>
                </c:pt>
                <c:pt idx="670">
                  <c:v>12.971153846153847</c:v>
                </c:pt>
                <c:pt idx="671">
                  <c:v>12.983801775147931</c:v>
                </c:pt>
                <c:pt idx="672">
                  <c:v>12.996449704142012</c:v>
                </c:pt>
                <c:pt idx="673">
                  <c:v>13.009097633136095</c:v>
                </c:pt>
                <c:pt idx="674">
                  <c:v>13.02174556213018</c:v>
                </c:pt>
                <c:pt idx="675">
                  <c:v>13.034393491124261</c:v>
                </c:pt>
                <c:pt idx="676">
                  <c:v>13.047041420118344</c:v>
                </c:pt>
                <c:pt idx="677">
                  <c:v>13.059689349112428</c:v>
                </c:pt>
                <c:pt idx="678">
                  <c:v>13.07233727810651</c:v>
                </c:pt>
                <c:pt idx="679">
                  <c:v>13.084985207100592</c:v>
                </c:pt>
                <c:pt idx="680">
                  <c:v>13.097633136094677</c:v>
                </c:pt>
                <c:pt idx="681">
                  <c:v>13.110281065088758</c:v>
                </c:pt>
                <c:pt idx="682">
                  <c:v>13.12292899408284</c:v>
                </c:pt>
                <c:pt idx="683">
                  <c:v>13.135576923076922</c:v>
                </c:pt>
                <c:pt idx="684">
                  <c:v>13.148224852071007</c:v>
                </c:pt>
                <c:pt idx="685">
                  <c:v>13.16087278106509</c:v>
                </c:pt>
                <c:pt idx="686">
                  <c:v>13.17352071005917</c:v>
                </c:pt>
                <c:pt idx="687">
                  <c:v>13.186168639053255</c:v>
                </c:pt>
                <c:pt idx="688">
                  <c:v>13.198816568047338</c:v>
                </c:pt>
                <c:pt idx="689">
                  <c:v>13.211464497041419</c:v>
                </c:pt>
                <c:pt idx="690">
                  <c:v>13.224112426035504</c:v>
                </c:pt>
                <c:pt idx="691">
                  <c:v>13.236760355029586</c:v>
                </c:pt>
                <c:pt idx="692">
                  <c:v>13.249408284023668</c:v>
                </c:pt>
                <c:pt idx="693">
                  <c:v>13.262056213017752</c:v>
                </c:pt>
                <c:pt idx="694">
                  <c:v>13.274704142011835</c:v>
                </c:pt>
                <c:pt idx="695">
                  <c:v>13.287352071005916</c:v>
                </c:pt>
                <c:pt idx="696">
                  <c:v>13.3</c:v>
                </c:pt>
                <c:pt idx="697">
                  <c:v>13.312647928994084</c:v>
                </c:pt>
                <c:pt idx="698">
                  <c:v>13.325295857988168</c:v>
                </c:pt>
                <c:pt idx="699">
                  <c:v>13.33794378698225</c:v>
                </c:pt>
                <c:pt idx="700">
                  <c:v>13.350591715976332</c:v>
                </c:pt>
                <c:pt idx="701">
                  <c:v>13.363239644970417</c:v>
                </c:pt>
                <c:pt idx="702">
                  <c:v>13.375887573964498</c:v>
                </c:pt>
                <c:pt idx="703">
                  <c:v>13.38853550295858</c:v>
                </c:pt>
                <c:pt idx="704">
                  <c:v>13.401183431952665</c:v>
                </c:pt>
                <c:pt idx="705">
                  <c:v>13.413831360946746</c:v>
                </c:pt>
                <c:pt idx="706">
                  <c:v>13.42647928994083</c:v>
                </c:pt>
                <c:pt idx="707">
                  <c:v>13.43912721893491</c:v>
                </c:pt>
                <c:pt idx="708">
                  <c:v>13.451775147928995</c:v>
                </c:pt>
                <c:pt idx="709">
                  <c:v>13.464423076923078</c:v>
                </c:pt>
                <c:pt idx="710">
                  <c:v>13.477071005917159</c:v>
                </c:pt>
                <c:pt idx="711">
                  <c:v>13.489718934911243</c:v>
                </c:pt>
                <c:pt idx="712">
                  <c:v>13.502366863905326</c:v>
                </c:pt>
                <c:pt idx="713">
                  <c:v>13.515014792899407</c:v>
                </c:pt>
                <c:pt idx="714">
                  <c:v>13.527662721893492</c:v>
                </c:pt>
                <c:pt idx="715">
                  <c:v>13.540310650887575</c:v>
                </c:pt>
                <c:pt idx="716">
                  <c:v>13.552958579881656</c:v>
                </c:pt>
                <c:pt idx="717">
                  <c:v>13.56560650887574</c:v>
                </c:pt>
                <c:pt idx="718">
                  <c:v>13.578254437869823</c:v>
                </c:pt>
                <c:pt idx="719">
                  <c:v>13.590902366863904</c:v>
                </c:pt>
                <c:pt idx="720">
                  <c:v>13.603550295857989</c:v>
                </c:pt>
                <c:pt idx="721">
                  <c:v>13.616198224852072</c:v>
                </c:pt>
                <c:pt idx="722">
                  <c:v>13.628846153846153</c:v>
                </c:pt>
                <c:pt idx="723">
                  <c:v>13.641494082840238</c:v>
                </c:pt>
                <c:pt idx="724">
                  <c:v>13.65414201183432</c:v>
                </c:pt>
                <c:pt idx="725">
                  <c:v>13.666789940828401</c:v>
                </c:pt>
                <c:pt idx="726">
                  <c:v>13.679437869822486</c:v>
                </c:pt>
                <c:pt idx="727">
                  <c:v>13.692085798816569</c:v>
                </c:pt>
                <c:pt idx="728">
                  <c:v>13.704733727810654</c:v>
                </c:pt>
                <c:pt idx="729">
                  <c:v>13.717381656804735</c:v>
                </c:pt>
                <c:pt idx="730">
                  <c:v>13.730029585798817</c:v>
                </c:pt>
                <c:pt idx="731">
                  <c:v>13.742677514792899</c:v>
                </c:pt>
                <c:pt idx="732">
                  <c:v>13.755325443786983</c:v>
                </c:pt>
                <c:pt idx="733">
                  <c:v>13.767973372781066</c:v>
                </c:pt>
                <c:pt idx="734">
                  <c:v>13.780621301775147</c:v>
                </c:pt>
                <c:pt idx="735">
                  <c:v>13.793269230769232</c:v>
                </c:pt>
                <c:pt idx="736">
                  <c:v>13.805917159763315</c:v>
                </c:pt>
                <c:pt idx="737">
                  <c:v>13.818565088757396</c:v>
                </c:pt>
                <c:pt idx="738">
                  <c:v>13.83121301775148</c:v>
                </c:pt>
                <c:pt idx="739">
                  <c:v>13.843860946745563</c:v>
                </c:pt>
                <c:pt idx="740">
                  <c:v>13.856508875739644</c:v>
                </c:pt>
                <c:pt idx="741">
                  <c:v>13.869156804733729</c:v>
                </c:pt>
                <c:pt idx="742">
                  <c:v>13.881804733727812</c:v>
                </c:pt>
                <c:pt idx="743">
                  <c:v>13.894452662721893</c:v>
                </c:pt>
                <c:pt idx="744">
                  <c:v>13.907100591715977</c:v>
                </c:pt>
                <c:pt idx="745">
                  <c:v>13.91974852071006</c:v>
                </c:pt>
                <c:pt idx="746">
                  <c:v>13.932396449704141</c:v>
                </c:pt>
                <c:pt idx="747">
                  <c:v>13.945044378698226</c:v>
                </c:pt>
                <c:pt idx="748">
                  <c:v>13.957692307692309</c:v>
                </c:pt>
                <c:pt idx="749">
                  <c:v>13.97034023668639</c:v>
                </c:pt>
                <c:pt idx="750">
                  <c:v>13.982988165680474</c:v>
                </c:pt>
                <c:pt idx="751">
                  <c:v>13.995636094674557</c:v>
                </c:pt>
                <c:pt idx="752">
                  <c:v>14.008284023668638</c:v>
                </c:pt>
                <c:pt idx="753">
                  <c:v>14.020931952662723</c:v>
                </c:pt>
                <c:pt idx="754">
                  <c:v>14.033579881656806</c:v>
                </c:pt>
                <c:pt idx="755">
                  <c:v>14.046227810650887</c:v>
                </c:pt>
                <c:pt idx="756">
                  <c:v>14.058875739644968</c:v>
                </c:pt>
                <c:pt idx="757">
                  <c:v>14.071523668639054</c:v>
                </c:pt>
                <c:pt idx="758">
                  <c:v>14.084171597633135</c:v>
                </c:pt>
                <c:pt idx="759">
                  <c:v>14.096819526627216</c:v>
                </c:pt>
                <c:pt idx="760">
                  <c:v>14.109467455621303</c:v>
                </c:pt>
                <c:pt idx="761">
                  <c:v>14.122115384615384</c:v>
                </c:pt>
                <c:pt idx="762">
                  <c:v>14.134763313609465</c:v>
                </c:pt>
                <c:pt idx="763">
                  <c:v>14.147411242603551</c:v>
                </c:pt>
                <c:pt idx="764">
                  <c:v>14.160059171597632</c:v>
                </c:pt>
                <c:pt idx="765">
                  <c:v>14.172707100591714</c:v>
                </c:pt>
                <c:pt idx="766">
                  <c:v>14.1853550295858</c:v>
                </c:pt>
                <c:pt idx="767">
                  <c:v>14.198002958579881</c:v>
                </c:pt>
                <c:pt idx="768">
                  <c:v>14.210650887573966</c:v>
                </c:pt>
                <c:pt idx="769">
                  <c:v>14.223298816568049</c:v>
                </c:pt>
                <c:pt idx="770">
                  <c:v>14.235946745562133</c:v>
                </c:pt>
                <c:pt idx="771">
                  <c:v>14.248594674556214</c:v>
                </c:pt>
                <c:pt idx="772">
                  <c:v>14.261242603550297</c:v>
                </c:pt>
                <c:pt idx="773">
                  <c:v>14.273890532544382</c:v>
                </c:pt>
                <c:pt idx="774">
                  <c:v>14.286538461538463</c:v>
                </c:pt>
                <c:pt idx="775">
                  <c:v>14.299186390532546</c:v>
                </c:pt>
                <c:pt idx="776">
                  <c:v>14.31183431952663</c:v>
                </c:pt>
                <c:pt idx="777">
                  <c:v>14.324482248520711</c:v>
                </c:pt>
                <c:pt idx="778">
                  <c:v>14.337130177514794</c:v>
                </c:pt>
                <c:pt idx="779">
                  <c:v>14.349778106508875</c:v>
                </c:pt>
                <c:pt idx="780">
                  <c:v>14.36242603550296</c:v>
                </c:pt>
                <c:pt idx="781">
                  <c:v>14.375073964497043</c:v>
                </c:pt>
                <c:pt idx="782">
                  <c:v>14.387721893491124</c:v>
                </c:pt>
                <c:pt idx="783">
                  <c:v>14.400369822485208</c:v>
                </c:pt>
                <c:pt idx="784">
                  <c:v>14.413017751479291</c:v>
                </c:pt>
                <c:pt idx="785">
                  <c:v>14.425665680473372</c:v>
                </c:pt>
                <c:pt idx="786">
                  <c:v>14.438313609467457</c:v>
                </c:pt>
                <c:pt idx="787">
                  <c:v>14.45096153846154</c:v>
                </c:pt>
                <c:pt idx="788">
                  <c:v>14.46360946745562</c:v>
                </c:pt>
                <c:pt idx="789">
                  <c:v>14.476257396449705</c:v>
                </c:pt>
                <c:pt idx="790">
                  <c:v>14.488905325443788</c:v>
                </c:pt>
                <c:pt idx="791">
                  <c:v>14.50155325443787</c:v>
                </c:pt>
                <c:pt idx="792">
                  <c:v>14.514201183431954</c:v>
                </c:pt>
                <c:pt idx="793">
                  <c:v>14.526849112426037</c:v>
                </c:pt>
                <c:pt idx="794">
                  <c:v>14.539497041420118</c:v>
                </c:pt>
                <c:pt idx="795">
                  <c:v>14.552144970414203</c:v>
                </c:pt>
                <c:pt idx="796">
                  <c:v>14.564792899408285</c:v>
                </c:pt>
                <c:pt idx="797">
                  <c:v>14.577440828402366</c:v>
                </c:pt>
                <c:pt idx="798">
                  <c:v>14.590088757396451</c:v>
                </c:pt>
                <c:pt idx="799">
                  <c:v>14.602736686390534</c:v>
                </c:pt>
                <c:pt idx="800">
                  <c:v>14.615384615384615</c:v>
                </c:pt>
                <c:pt idx="801">
                  <c:v>14.589084709874882</c:v>
                </c:pt>
                <c:pt idx="802">
                  <c:v>14.562788670020977</c:v>
                </c:pt>
                <c:pt idx="803">
                  <c:v>14.536496488288613</c:v>
                </c:pt>
                <c:pt idx="804">
                  <c:v>14.510208157147668</c:v>
                </c:pt>
                <c:pt idx="805">
                  <c:v>14.483923669072189</c:v>
                </c:pt>
                <c:pt idx="806">
                  <c:v>14.457643016540375</c:v>
                </c:pt>
                <c:pt idx="807">
                  <c:v>14.431366192034567</c:v>
                </c:pt>
                <c:pt idx="808">
                  <c:v>14.405093188041244</c:v>
                </c:pt>
                <c:pt idx="809">
                  <c:v>14.37882399705101</c:v>
                </c:pt>
                <c:pt idx="810">
                  <c:v>14.352558611558587</c:v>
                </c:pt>
                <c:pt idx="811">
                  <c:v>14.326297024062807</c:v>
                </c:pt>
                <c:pt idx="812">
                  <c:v>14.3000392270666</c:v>
                </c:pt>
                <c:pt idx="813">
                  <c:v>14.273785213076986</c:v>
                </c:pt>
                <c:pt idx="814">
                  <c:v>14.247534974605069</c:v>
                </c:pt>
                <c:pt idx="815">
                  <c:v>14.221288504166022</c:v>
                </c:pt>
                <c:pt idx="816">
                  <c:v>14.195045794279086</c:v>
                </c:pt>
                <c:pt idx="817">
                  <c:v>14.168806837467553</c:v>
                </c:pt>
                <c:pt idx="818">
                  <c:v>14.142571626258764</c:v>
                </c:pt>
                <c:pt idx="819">
                  <c:v>14.116340153184096</c:v>
                </c:pt>
                <c:pt idx="820">
                  <c:v>14.090112410778952</c:v>
                </c:pt>
                <c:pt idx="821">
                  <c:v>14.090112410778952</c:v>
                </c:pt>
                <c:pt idx="822">
                  <c:v>14.101670587805826</c:v>
                </c:pt>
                <c:pt idx="823">
                  <c:v>14.113228764832696</c:v>
                </c:pt>
                <c:pt idx="824">
                  <c:v>14.12478694185957</c:v>
                </c:pt>
                <c:pt idx="825">
                  <c:v>14.136345118886442</c:v>
                </c:pt>
                <c:pt idx="826">
                  <c:v>14.147903295913315</c:v>
                </c:pt>
                <c:pt idx="827">
                  <c:v>14.159461472940187</c:v>
                </c:pt>
                <c:pt idx="828">
                  <c:v>14.171019649967059</c:v>
                </c:pt>
                <c:pt idx="829">
                  <c:v>14.182577826993933</c:v>
                </c:pt>
                <c:pt idx="830">
                  <c:v>14.194136004020804</c:v>
                </c:pt>
                <c:pt idx="831">
                  <c:v>14.205694181047678</c:v>
                </c:pt>
                <c:pt idx="832">
                  <c:v>14.21725235807455</c:v>
                </c:pt>
                <c:pt idx="833">
                  <c:v>14.228810535101422</c:v>
                </c:pt>
                <c:pt idx="834">
                  <c:v>14.240368712128294</c:v>
                </c:pt>
                <c:pt idx="835">
                  <c:v>14.251926889155166</c:v>
                </c:pt>
                <c:pt idx="836">
                  <c:v>14.26348506618204</c:v>
                </c:pt>
                <c:pt idx="837">
                  <c:v>14.275043243208913</c:v>
                </c:pt>
                <c:pt idx="838">
                  <c:v>14.286601420235785</c:v>
                </c:pt>
                <c:pt idx="839">
                  <c:v>14.298159597262657</c:v>
                </c:pt>
                <c:pt idx="840">
                  <c:v>14.30971777428953</c:v>
                </c:pt>
                <c:pt idx="841">
                  <c:v>14.321275951316402</c:v>
                </c:pt>
                <c:pt idx="842">
                  <c:v>14.332834128343274</c:v>
                </c:pt>
                <c:pt idx="843">
                  <c:v>14.344392305370148</c:v>
                </c:pt>
                <c:pt idx="844">
                  <c:v>14.35595048239702</c:v>
                </c:pt>
                <c:pt idx="845">
                  <c:v>14.367508659423892</c:v>
                </c:pt>
                <c:pt idx="846">
                  <c:v>14.379066836450765</c:v>
                </c:pt>
                <c:pt idx="847">
                  <c:v>14.390625013477637</c:v>
                </c:pt>
                <c:pt idx="848">
                  <c:v>14.40218319050451</c:v>
                </c:pt>
                <c:pt idx="849">
                  <c:v>14.413741367531383</c:v>
                </c:pt>
                <c:pt idx="850">
                  <c:v>14.425299544558253</c:v>
                </c:pt>
                <c:pt idx="851">
                  <c:v>14.436857721585126</c:v>
                </c:pt>
                <c:pt idx="852">
                  <c:v>14.448415898612</c:v>
                </c:pt>
                <c:pt idx="853">
                  <c:v>14.459974075638872</c:v>
                </c:pt>
                <c:pt idx="854">
                  <c:v>14.471532252665744</c:v>
                </c:pt>
                <c:pt idx="855">
                  <c:v>14.483090429692618</c:v>
                </c:pt>
                <c:pt idx="856">
                  <c:v>14.49464860671949</c:v>
                </c:pt>
                <c:pt idx="857">
                  <c:v>14.50620678374636</c:v>
                </c:pt>
                <c:pt idx="858">
                  <c:v>14.517764960773233</c:v>
                </c:pt>
                <c:pt idx="859">
                  <c:v>14.529323137800107</c:v>
                </c:pt>
                <c:pt idx="860">
                  <c:v>14.54088131482698</c:v>
                </c:pt>
                <c:pt idx="861">
                  <c:v>14.552439491853852</c:v>
                </c:pt>
                <c:pt idx="862">
                  <c:v>14.563997668880726</c:v>
                </c:pt>
                <c:pt idx="863">
                  <c:v>14.575555845907598</c:v>
                </c:pt>
                <c:pt idx="864">
                  <c:v>14.587114022934468</c:v>
                </c:pt>
                <c:pt idx="865">
                  <c:v>14.59867219996134</c:v>
                </c:pt>
                <c:pt idx="866">
                  <c:v>14.610230376988214</c:v>
                </c:pt>
                <c:pt idx="867">
                  <c:v>14.621788554015087</c:v>
                </c:pt>
                <c:pt idx="868">
                  <c:v>14.633346731041959</c:v>
                </c:pt>
                <c:pt idx="869">
                  <c:v>14.644904908068833</c:v>
                </c:pt>
                <c:pt idx="870">
                  <c:v>14.656463085095705</c:v>
                </c:pt>
                <c:pt idx="871">
                  <c:v>14.66802126212258</c:v>
                </c:pt>
                <c:pt idx="872">
                  <c:v>14.679579439149448</c:v>
                </c:pt>
                <c:pt idx="873">
                  <c:v>14.691137616176322</c:v>
                </c:pt>
                <c:pt idx="874">
                  <c:v>14.702695793203194</c:v>
                </c:pt>
                <c:pt idx="875">
                  <c:v>14.714253970230066</c:v>
                </c:pt>
                <c:pt idx="876">
                  <c:v>14.72581214725694</c:v>
                </c:pt>
                <c:pt idx="877">
                  <c:v>14.737370324283813</c:v>
                </c:pt>
                <c:pt idx="878">
                  <c:v>14.748928501310687</c:v>
                </c:pt>
                <c:pt idx="879">
                  <c:v>14.760486678337555</c:v>
                </c:pt>
                <c:pt idx="880">
                  <c:v>14.77204485536443</c:v>
                </c:pt>
                <c:pt idx="881">
                  <c:v>14.783603032391301</c:v>
                </c:pt>
                <c:pt idx="882">
                  <c:v>14.795161209418174</c:v>
                </c:pt>
                <c:pt idx="883">
                  <c:v>14.806719386445048</c:v>
                </c:pt>
                <c:pt idx="884">
                  <c:v>14.81827756347192</c:v>
                </c:pt>
                <c:pt idx="885">
                  <c:v>14.829835740498794</c:v>
                </c:pt>
                <c:pt idx="886">
                  <c:v>14.841393917525663</c:v>
                </c:pt>
                <c:pt idx="887">
                  <c:v>14.852952094552537</c:v>
                </c:pt>
                <c:pt idx="888">
                  <c:v>14.864510271579409</c:v>
                </c:pt>
                <c:pt idx="889">
                  <c:v>14.876068448606281</c:v>
                </c:pt>
                <c:pt idx="890">
                  <c:v>14.887626625633155</c:v>
                </c:pt>
                <c:pt idx="891">
                  <c:v>14.899184802660027</c:v>
                </c:pt>
                <c:pt idx="892">
                  <c:v>14.910742979686901</c:v>
                </c:pt>
                <c:pt idx="893">
                  <c:v>14.92230115671377</c:v>
                </c:pt>
                <c:pt idx="894">
                  <c:v>14.933859333740644</c:v>
                </c:pt>
                <c:pt idx="895">
                  <c:v>14.945417510767516</c:v>
                </c:pt>
                <c:pt idx="896">
                  <c:v>14.956975687794388</c:v>
                </c:pt>
                <c:pt idx="897">
                  <c:v>14.968533864821262</c:v>
                </c:pt>
                <c:pt idx="898">
                  <c:v>14.980092041848135</c:v>
                </c:pt>
                <c:pt idx="899">
                  <c:v>14.991650218875009</c:v>
                </c:pt>
                <c:pt idx="900">
                  <c:v>15.003208395901881</c:v>
                </c:pt>
                <c:pt idx="901">
                  <c:v>15.014766572928751</c:v>
                </c:pt>
                <c:pt idx="902">
                  <c:v>15.026324749955624</c:v>
                </c:pt>
                <c:pt idx="903">
                  <c:v>15.037882926982496</c:v>
                </c:pt>
                <c:pt idx="904">
                  <c:v>15.04944110400937</c:v>
                </c:pt>
                <c:pt idx="905">
                  <c:v>15.060999281036242</c:v>
                </c:pt>
                <c:pt idx="906">
                  <c:v>15.072557458063116</c:v>
                </c:pt>
                <c:pt idx="907">
                  <c:v>15.084115635089988</c:v>
                </c:pt>
                <c:pt idx="908">
                  <c:v>15.095673812116859</c:v>
                </c:pt>
                <c:pt idx="909">
                  <c:v>15.107231989143731</c:v>
                </c:pt>
                <c:pt idx="910">
                  <c:v>15.118790166170603</c:v>
                </c:pt>
                <c:pt idx="911">
                  <c:v>15.130348343197477</c:v>
                </c:pt>
                <c:pt idx="912">
                  <c:v>15.14190652022435</c:v>
                </c:pt>
                <c:pt idx="913">
                  <c:v>15.153464697251223</c:v>
                </c:pt>
                <c:pt idx="914">
                  <c:v>15.165022874278096</c:v>
                </c:pt>
                <c:pt idx="915">
                  <c:v>15.176581051304966</c:v>
                </c:pt>
                <c:pt idx="916">
                  <c:v>15.188139228331838</c:v>
                </c:pt>
                <c:pt idx="917">
                  <c:v>15.19969740535871</c:v>
                </c:pt>
                <c:pt idx="918">
                  <c:v>15.211255582385585</c:v>
                </c:pt>
                <c:pt idx="919">
                  <c:v>15.222813759412457</c:v>
                </c:pt>
                <c:pt idx="920">
                  <c:v>15.23437193643933</c:v>
                </c:pt>
                <c:pt idx="921">
                  <c:v>15.245930113466203</c:v>
                </c:pt>
                <c:pt idx="922">
                  <c:v>15.257488290493074</c:v>
                </c:pt>
                <c:pt idx="923">
                  <c:v>15.269046467519946</c:v>
                </c:pt>
                <c:pt idx="924">
                  <c:v>15.280604644546818</c:v>
                </c:pt>
                <c:pt idx="925">
                  <c:v>15.292162821573692</c:v>
                </c:pt>
                <c:pt idx="926">
                  <c:v>15.303720998600564</c:v>
                </c:pt>
                <c:pt idx="927">
                  <c:v>15.315279175627438</c:v>
                </c:pt>
                <c:pt idx="928">
                  <c:v>15.32683735265431</c:v>
                </c:pt>
                <c:pt idx="929">
                  <c:v>15.338395529681181</c:v>
                </c:pt>
                <c:pt idx="930">
                  <c:v>15.349953706708053</c:v>
                </c:pt>
                <c:pt idx="931">
                  <c:v>15.361511883734925</c:v>
                </c:pt>
                <c:pt idx="932">
                  <c:v>15.3730700607618</c:v>
                </c:pt>
                <c:pt idx="933">
                  <c:v>15.384628237788672</c:v>
                </c:pt>
                <c:pt idx="934">
                  <c:v>15.396186414815546</c:v>
                </c:pt>
                <c:pt idx="935">
                  <c:v>15.407744591842418</c:v>
                </c:pt>
                <c:pt idx="936">
                  <c:v>15.419302768869288</c:v>
                </c:pt>
                <c:pt idx="937">
                  <c:v>15.43086094589616</c:v>
                </c:pt>
                <c:pt idx="938">
                  <c:v>15.442419122923033</c:v>
                </c:pt>
                <c:pt idx="939">
                  <c:v>15.453977299949907</c:v>
                </c:pt>
                <c:pt idx="940">
                  <c:v>15.465535476976779</c:v>
                </c:pt>
                <c:pt idx="941">
                  <c:v>15.477093654003653</c:v>
                </c:pt>
                <c:pt idx="942">
                  <c:v>15.488651831030525</c:v>
                </c:pt>
                <c:pt idx="943">
                  <c:v>15.500210008057396</c:v>
                </c:pt>
                <c:pt idx="944">
                  <c:v>15.511768185084268</c:v>
                </c:pt>
                <c:pt idx="945">
                  <c:v>15.52332636211114</c:v>
                </c:pt>
                <c:pt idx="946">
                  <c:v>15.534884539138014</c:v>
                </c:pt>
                <c:pt idx="947">
                  <c:v>15.546442716164886</c:v>
                </c:pt>
                <c:pt idx="948">
                  <c:v>15.55800089319176</c:v>
                </c:pt>
                <c:pt idx="949">
                  <c:v>15.569559070218633</c:v>
                </c:pt>
                <c:pt idx="950">
                  <c:v>15.581117247245505</c:v>
                </c:pt>
                <c:pt idx="951">
                  <c:v>15.592675424272375</c:v>
                </c:pt>
                <c:pt idx="952">
                  <c:v>15.604233601299248</c:v>
                </c:pt>
                <c:pt idx="953">
                  <c:v>15.615791778326122</c:v>
                </c:pt>
                <c:pt idx="954">
                  <c:v>15.627349955352994</c:v>
                </c:pt>
                <c:pt idx="955">
                  <c:v>15.638908132379868</c:v>
                </c:pt>
                <c:pt idx="956">
                  <c:v>15.65046630940674</c:v>
                </c:pt>
                <c:pt idx="957">
                  <c:v>15.662024486433612</c:v>
                </c:pt>
                <c:pt idx="958">
                  <c:v>15.673582663460483</c:v>
                </c:pt>
                <c:pt idx="959">
                  <c:v>15.685140840487355</c:v>
                </c:pt>
                <c:pt idx="960">
                  <c:v>15.696699017514229</c:v>
                </c:pt>
                <c:pt idx="961">
                  <c:v>15.708257194541101</c:v>
                </c:pt>
                <c:pt idx="962">
                  <c:v>15.719815371567975</c:v>
                </c:pt>
                <c:pt idx="963">
                  <c:v>15.731373548594847</c:v>
                </c:pt>
                <c:pt idx="964">
                  <c:v>15.74293172562172</c:v>
                </c:pt>
                <c:pt idx="965">
                  <c:v>15.75448990264859</c:v>
                </c:pt>
                <c:pt idx="966">
                  <c:v>15.766048079675462</c:v>
                </c:pt>
                <c:pt idx="967">
                  <c:v>15.777606256702336</c:v>
                </c:pt>
                <c:pt idx="968">
                  <c:v>15.789164433729209</c:v>
                </c:pt>
                <c:pt idx="969">
                  <c:v>15.800722610756083</c:v>
                </c:pt>
                <c:pt idx="970">
                  <c:v>15.812280787782955</c:v>
                </c:pt>
                <c:pt idx="971">
                  <c:v>15.823838964809827</c:v>
                </c:pt>
                <c:pt idx="972">
                  <c:v>15.835397141836697</c:v>
                </c:pt>
                <c:pt idx="973">
                  <c:v>15.84695531886357</c:v>
                </c:pt>
                <c:pt idx="974">
                  <c:v>15.858513495890444</c:v>
                </c:pt>
                <c:pt idx="975">
                  <c:v>15.870071672917316</c:v>
                </c:pt>
                <c:pt idx="976">
                  <c:v>15.88162984994419</c:v>
                </c:pt>
                <c:pt idx="977">
                  <c:v>15.893188026971062</c:v>
                </c:pt>
                <c:pt idx="978">
                  <c:v>15.904746203997934</c:v>
                </c:pt>
                <c:pt idx="979">
                  <c:v>15.916304381024808</c:v>
                </c:pt>
                <c:pt idx="980">
                  <c:v>15.927862558051677</c:v>
                </c:pt>
                <c:pt idx="981">
                  <c:v>15.939420735078551</c:v>
                </c:pt>
                <c:pt idx="982">
                  <c:v>15.950978912105423</c:v>
                </c:pt>
                <c:pt idx="983">
                  <c:v>15.962537089132297</c:v>
                </c:pt>
                <c:pt idx="984">
                  <c:v>15.97409526615917</c:v>
                </c:pt>
                <c:pt idx="985">
                  <c:v>15.985653443186042</c:v>
                </c:pt>
                <c:pt idx="986">
                  <c:v>15.997211620212916</c:v>
                </c:pt>
                <c:pt idx="987">
                  <c:v>16.008769797239786</c:v>
                </c:pt>
                <c:pt idx="988">
                  <c:v>16.020327974266657</c:v>
                </c:pt>
                <c:pt idx="989">
                  <c:v>16.03188615129353</c:v>
                </c:pt>
                <c:pt idx="990">
                  <c:v>16.043444328320405</c:v>
                </c:pt>
                <c:pt idx="991">
                  <c:v>16.05500250534728</c:v>
                </c:pt>
                <c:pt idx="992">
                  <c:v>16.06656068237415</c:v>
                </c:pt>
                <c:pt idx="993">
                  <c:v>16.078118859401023</c:v>
                </c:pt>
                <c:pt idx="994">
                  <c:v>16.089677036427894</c:v>
                </c:pt>
                <c:pt idx="995">
                  <c:v>16.101235213454764</c:v>
                </c:pt>
                <c:pt idx="996">
                  <c:v>16.112793390481638</c:v>
                </c:pt>
                <c:pt idx="997">
                  <c:v>16.124351567508512</c:v>
                </c:pt>
                <c:pt idx="998">
                  <c:v>16.135909744535386</c:v>
                </c:pt>
                <c:pt idx="999">
                  <c:v>16.147467921562257</c:v>
                </c:pt>
                <c:pt idx="1000">
                  <c:v>16.15902609858913</c:v>
                </c:pt>
                <c:pt idx="1001">
                  <c:v>16.170584275616</c:v>
                </c:pt>
                <c:pt idx="1002">
                  <c:v>16.18214245264287</c:v>
                </c:pt>
                <c:pt idx="1003">
                  <c:v>16.193700629669745</c:v>
                </c:pt>
                <c:pt idx="1004">
                  <c:v>16.20525880669662</c:v>
                </c:pt>
                <c:pt idx="1005">
                  <c:v>16.216816983723493</c:v>
                </c:pt>
                <c:pt idx="1006">
                  <c:v>16.228375160750364</c:v>
                </c:pt>
                <c:pt idx="1007">
                  <c:v>16.239933337777238</c:v>
                </c:pt>
                <c:pt idx="1008">
                  <c:v>16.25149151480411</c:v>
                </c:pt>
                <c:pt idx="1009">
                  <c:v>16.26304969183098</c:v>
                </c:pt>
                <c:pt idx="1010">
                  <c:v>16.274607868857853</c:v>
                </c:pt>
                <c:pt idx="1011">
                  <c:v>16.286166045884727</c:v>
                </c:pt>
                <c:pt idx="1012">
                  <c:v>16.2977242229116</c:v>
                </c:pt>
                <c:pt idx="1013">
                  <c:v>16.30928239993847</c:v>
                </c:pt>
                <c:pt idx="1014">
                  <c:v>16.320840576965345</c:v>
                </c:pt>
                <c:pt idx="1015">
                  <c:v>16.332398753992216</c:v>
                </c:pt>
                <c:pt idx="1016">
                  <c:v>16.343956931019086</c:v>
                </c:pt>
                <c:pt idx="1017">
                  <c:v>16.35551510804596</c:v>
                </c:pt>
                <c:pt idx="1018">
                  <c:v>16.367073285072834</c:v>
                </c:pt>
                <c:pt idx="1019">
                  <c:v>16.378631462099708</c:v>
                </c:pt>
                <c:pt idx="1020">
                  <c:v>16.39018963912658</c:v>
                </c:pt>
                <c:pt idx="1021">
                  <c:v>16.401747816153453</c:v>
                </c:pt>
                <c:pt idx="1022">
                  <c:v>16.413305993180323</c:v>
                </c:pt>
                <c:pt idx="1023">
                  <c:v>16.424864170207194</c:v>
                </c:pt>
                <c:pt idx="1024">
                  <c:v>16.436422347234068</c:v>
                </c:pt>
                <c:pt idx="1025">
                  <c:v>16.44798052426094</c:v>
                </c:pt>
                <c:pt idx="1026">
                  <c:v>16.459538701287816</c:v>
                </c:pt>
                <c:pt idx="1027">
                  <c:v>16.471096878314686</c:v>
                </c:pt>
                <c:pt idx="1028">
                  <c:v>16.48265505534156</c:v>
                </c:pt>
                <c:pt idx="1029">
                  <c:v>16.49421323236843</c:v>
                </c:pt>
                <c:pt idx="1030">
                  <c:v>16.5057714093953</c:v>
                </c:pt>
                <c:pt idx="1031">
                  <c:v>16.517329586422175</c:v>
                </c:pt>
                <c:pt idx="1032">
                  <c:v>16.52888776344905</c:v>
                </c:pt>
                <c:pt idx="1033">
                  <c:v>16.540445940475923</c:v>
                </c:pt>
                <c:pt idx="1034">
                  <c:v>16.552004117502793</c:v>
                </c:pt>
                <c:pt idx="1035">
                  <c:v>16.563562294529667</c:v>
                </c:pt>
                <c:pt idx="1036">
                  <c:v>16.575120471556538</c:v>
                </c:pt>
                <c:pt idx="1037">
                  <c:v>16.58667864858341</c:v>
                </c:pt>
                <c:pt idx="1038">
                  <c:v>16.598236825610282</c:v>
                </c:pt>
                <c:pt idx="1039">
                  <c:v>16.609795002637156</c:v>
                </c:pt>
                <c:pt idx="1040">
                  <c:v>16.62135317966403</c:v>
                </c:pt>
                <c:pt idx="1041">
                  <c:v>16.6329113566909</c:v>
                </c:pt>
                <c:pt idx="1042">
                  <c:v>16.644469533717775</c:v>
                </c:pt>
                <c:pt idx="1043">
                  <c:v>16.656027710744645</c:v>
                </c:pt>
                <c:pt idx="1044">
                  <c:v>16.667585887771516</c:v>
                </c:pt>
                <c:pt idx="1045">
                  <c:v>16.67914406479839</c:v>
                </c:pt>
                <c:pt idx="1046">
                  <c:v>16.690702241825264</c:v>
                </c:pt>
                <c:pt idx="1047">
                  <c:v>16.702260418852138</c:v>
                </c:pt>
                <c:pt idx="1048">
                  <c:v>16.713818595879008</c:v>
                </c:pt>
                <c:pt idx="1049">
                  <c:v>16.725376772905882</c:v>
                </c:pt>
                <c:pt idx="1050">
                  <c:v>16.736934949932753</c:v>
                </c:pt>
                <c:pt idx="1051">
                  <c:v>16.748493126959623</c:v>
                </c:pt>
                <c:pt idx="1052">
                  <c:v>16.760051303986497</c:v>
                </c:pt>
                <c:pt idx="1053">
                  <c:v>16.77160948101337</c:v>
                </c:pt>
                <c:pt idx="1054">
                  <c:v>16.783167658040245</c:v>
                </c:pt>
                <c:pt idx="1055">
                  <c:v>16.794725835067116</c:v>
                </c:pt>
                <c:pt idx="1056">
                  <c:v>16.80628401209399</c:v>
                </c:pt>
                <c:pt idx="1057">
                  <c:v>16.81784218912086</c:v>
                </c:pt>
                <c:pt idx="1058">
                  <c:v>16.82940036614773</c:v>
                </c:pt>
                <c:pt idx="1059">
                  <c:v>16.840958543174605</c:v>
                </c:pt>
                <c:pt idx="1060">
                  <c:v>16.85251672020148</c:v>
                </c:pt>
                <c:pt idx="1061">
                  <c:v>16.864074897228353</c:v>
                </c:pt>
                <c:pt idx="1062">
                  <c:v>16.875633074255223</c:v>
                </c:pt>
                <c:pt idx="1063">
                  <c:v>16.887191251282097</c:v>
                </c:pt>
                <c:pt idx="1064">
                  <c:v>16.89874942830897</c:v>
                </c:pt>
                <c:pt idx="1065">
                  <c:v>16.910307605335838</c:v>
                </c:pt>
                <c:pt idx="1066">
                  <c:v>16.921865782362712</c:v>
                </c:pt>
                <c:pt idx="1067">
                  <c:v>16.933423959389586</c:v>
                </c:pt>
                <c:pt idx="1068">
                  <c:v>16.94498213641646</c:v>
                </c:pt>
                <c:pt idx="1069">
                  <c:v>16.95654031344333</c:v>
                </c:pt>
                <c:pt idx="1070">
                  <c:v>16.968098490470204</c:v>
                </c:pt>
                <c:pt idx="1071">
                  <c:v>16.97965666749708</c:v>
                </c:pt>
                <c:pt idx="1072">
                  <c:v>16.99121484452395</c:v>
                </c:pt>
                <c:pt idx="1073">
                  <c:v>17.00277302155082</c:v>
                </c:pt>
                <c:pt idx="1074">
                  <c:v>17.014331198577693</c:v>
                </c:pt>
                <c:pt idx="1075">
                  <c:v>17.025889375604567</c:v>
                </c:pt>
                <c:pt idx="1076">
                  <c:v>17.037447552631438</c:v>
                </c:pt>
                <c:pt idx="1077">
                  <c:v>17.04900572965831</c:v>
                </c:pt>
                <c:pt idx="1078">
                  <c:v>17.060563906685186</c:v>
                </c:pt>
                <c:pt idx="1079">
                  <c:v>17.072122083712056</c:v>
                </c:pt>
                <c:pt idx="1080">
                  <c:v>17.083680260738927</c:v>
                </c:pt>
                <c:pt idx="1081">
                  <c:v>17.0952384377658</c:v>
                </c:pt>
                <c:pt idx="1082">
                  <c:v>17.106796614792675</c:v>
                </c:pt>
                <c:pt idx="1083">
                  <c:v>17.118354791819545</c:v>
                </c:pt>
                <c:pt idx="1084">
                  <c:v>17.12991296884642</c:v>
                </c:pt>
                <c:pt idx="1085">
                  <c:v>17.141471145873293</c:v>
                </c:pt>
                <c:pt idx="1086">
                  <c:v>17.153029322900164</c:v>
                </c:pt>
                <c:pt idx="1087">
                  <c:v>17.164587499927034</c:v>
                </c:pt>
                <c:pt idx="1088">
                  <c:v>17.176145676953908</c:v>
                </c:pt>
                <c:pt idx="1089">
                  <c:v>17.187703853980782</c:v>
                </c:pt>
                <c:pt idx="1090">
                  <c:v>17.199262031007652</c:v>
                </c:pt>
                <c:pt idx="1091">
                  <c:v>17.210820208034527</c:v>
                </c:pt>
                <c:pt idx="1092">
                  <c:v>17.2223783850614</c:v>
                </c:pt>
                <c:pt idx="1093">
                  <c:v>17.23393656208827</c:v>
                </c:pt>
                <c:pt idx="1094">
                  <c:v>17.24549473911514</c:v>
                </c:pt>
                <c:pt idx="1095">
                  <c:v>17.257052916142015</c:v>
                </c:pt>
                <c:pt idx="1096">
                  <c:v>17.26861109316889</c:v>
                </c:pt>
                <c:pt idx="1097">
                  <c:v>17.28016927019576</c:v>
                </c:pt>
                <c:pt idx="1098">
                  <c:v>17.291727447222634</c:v>
                </c:pt>
                <c:pt idx="1099">
                  <c:v>17.303285624249508</c:v>
                </c:pt>
                <c:pt idx="1100">
                  <c:v>17.31484380127638</c:v>
                </c:pt>
                <c:pt idx="1101">
                  <c:v>17.32640197830325</c:v>
                </c:pt>
                <c:pt idx="1102">
                  <c:v>17.337960155330123</c:v>
                </c:pt>
                <c:pt idx="1103">
                  <c:v>17.349518332356997</c:v>
                </c:pt>
                <c:pt idx="1104">
                  <c:v>17.361076509383867</c:v>
                </c:pt>
                <c:pt idx="1105">
                  <c:v>17.37263468641074</c:v>
                </c:pt>
                <c:pt idx="1106">
                  <c:v>17.384192863437615</c:v>
                </c:pt>
                <c:pt idx="1107">
                  <c:v>17.395751040464486</c:v>
                </c:pt>
                <c:pt idx="1108">
                  <c:v>17.407309217491356</c:v>
                </c:pt>
                <c:pt idx="1109">
                  <c:v>17.41886739451823</c:v>
                </c:pt>
                <c:pt idx="1110">
                  <c:v>17.430425571545104</c:v>
                </c:pt>
                <c:pt idx="1111">
                  <c:v>17.441983748571975</c:v>
                </c:pt>
                <c:pt idx="1112">
                  <c:v>17.45354192559885</c:v>
                </c:pt>
                <c:pt idx="1113">
                  <c:v>17.465100102625723</c:v>
                </c:pt>
                <c:pt idx="1114">
                  <c:v>17.476658279652593</c:v>
                </c:pt>
                <c:pt idx="1115">
                  <c:v>17.488216456679464</c:v>
                </c:pt>
                <c:pt idx="1116">
                  <c:v>17.499774633706338</c:v>
                </c:pt>
                <c:pt idx="1117">
                  <c:v>17.51133281073321</c:v>
                </c:pt>
                <c:pt idx="1118">
                  <c:v>17.522890987760082</c:v>
                </c:pt>
                <c:pt idx="1119">
                  <c:v>17.534449164786956</c:v>
                </c:pt>
                <c:pt idx="1120">
                  <c:v>17.54600734181383</c:v>
                </c:pt>
                <c:pt idx="1121">
                  <c:v>17.5575655188407</c:v>
                </c:pt>
                <c:pt idx="1122">
                  <c:v>17.569123695867574</c:v>
                </c:pt>
                <c:pt idx="1123">
                  <c:v>17.580681872894445</c:v>
                </c:pt>
                <c:pt idx="1124">
                  <c:v>17.59224004992132</c:v>
                </c:pt>
                <c:pt idx="1125">
                  <c:v>17.60379822694819</c:v>
                </c:pt>
                <c:pt idx="1126">
                  <c:v>17.615356403975063</c:v>
                </c:pt>
                <c:pt idx="1127">
                  <c:v>17.626914581001937</c:v>
                </c:pt>
                <c:pt idx="1128">
                  <c:v>17.638472758028808</c:v>
                </c:pt>
                <c:pt idx="1129">
                  <c:v>17.650030935055682</c:v>
                </c:pt>
                <c:pt idx="1130">
                  <c:v>17.661589112082556</c:v>
                </c:pt>
                <c:pt idx="1131">
                  <c:v>17.673147289109426</c:v>
                </c:pt>
                <c:pt idx="1132">
                  <c:v>17.684705466136297</c:v>
                </c:pt>
                <c:pt idx="1133">
                  <c:v>17.69626364316317</c:v>
                </c:pt>
                <c:pt idx="1134">
                  <c:v>17.707821820190045</c:v>
                </c:pt>
                <c:pt idx="1135">
                  <c:v>17.719379997216915</c:v>
                </c:pt>
                <c:pt idx="1136">
                  <c:v>17.730938174243786</c:v>
                </c:pt>
                <c:pt idx="1137">
                  <c:v>17.742496351270663</c:v>
                </c:pt>
                <c:pt idx="1138">
                  <c:v>17.754054528297534</c:v>
                </c:pt>
                <c:pt idx="1139">
                  <c:v>17.765612705324404</c:v>
                </c:pt>
                <c:pt idx="1140">
                  <c:v>17.777170882351278</c:v>
                </c:pt>
                <c:pt idx="1141">
                  <c:v>17.788729059378152</c:v>
                </c:pt>
                <c:pt idx="1142">
                  <c:v>17.800287236405023</c:v>
                </c:pt>
                <c:pt idx="1143">
                  <c:v>17.811845413431893</c:v>
                </c:pt>
                <c:pt idx="1144">
                  <c:v>17.82340359045877</c:v>
                </c:pt>
                <c:pt idx="1145">
                  <c:v>17.83496176748564</c:v>
                </c:pt>
                <c:pt idx="1146">
                  <c:v>17.84651994451251</c:v>
                </c:pt>
                <c:pt idx="1147">
                  <c:v>17.858078121539386</c:v>
                </c:pt>
                <c:pt idx="1148">
                  <c:v>17.86963629856626</c:v>
                </c:pt>
                <c:pt idx="1149">
                  <c:v>17.88119447559313</c:v>
                </c:pt>
                <c:pt idx="1150">
                  <c:v>17.89275265262</c:v>
                </c:pt>
                <c:pt idx="1151">
                  <c:v>17.904310829646878</c:v>
                </c:pt>
                <c:pt idx="1152">
                  <c:v>17.91586900667375</c:v>
                </c:pt>
                <c:pt idx="1153">
                  <c:v>17.92742718370062</c:v>
                </c:pt>
                <c:pt idx="1154">
                  <c:v>17.938985360727493</c:v>
                </c:pt>
                <c:pt idx="1155">
                  <c:v>17.950543537754367</c:v>
                </c:pt>
                <c:pt idx="1156">
                  <c:v>17.962101714781237</c:v>
                </c:pt>
                <c:pt idx="1157">
                  <c:v>17.973659891808108</c:v>
                </c:pt>
                <c:pt idx="1158">
                  <c:v>17.985218068834985</c:v>
                </c:pt>
                <c:pt idx="1159">
                  <c:v>17.996776245861856</c:v>
                </c:pt>
                <c:pt idx="1160">
                  <c:v>18.008334422888726</c:v>
                </c:pt>
                <c:pt idx="1161">
                  <c:v>18.0198925999156</c:v>
                </c:pt>
                <c:pt idx="1162">
                  <c:v>18.031450776942474</c:v>
                </c:pt>
                <c:pt idx="1163">
                  <c:v>18.043008953969345</c:v>
                </c:pt>
                <c:pt idx="1164">
                  <c:v>18.054567130996215</c:v>
                </c:pt>
                <c:pt idx="1165">
                  <c:v>18.066125308023093</c:v>
                </c:pt>
                <c:pt idx="1166">
                  <c:v>18.077683485049963</c:v>
                </c:pt>
                <c:pt idx="1167">
                  <c:v>18.089241662076834</c:v>
                </c:pt>
                <c:pt idx="1168">
                  <c:v>18.100799839103708</c:v>
                </c:pt>
                <c:pt idx="1169">
                  <c:v>18.11235801613058</c:v>
                </c:pt>
                <c:pt idx="1170">
                  <c:v>18.123916193157452</c:v>
                </c:pt>
                <c:pt idx="1171">
                  <c:v>18.135474370184326</c:v>
                </c:pt>
                <c:pt idx="1172">
                  <c:v>18.1470325472112</c:v>
                </c:pt>
                <c:pt idx="1173">
                  <c:v>18.15859072423807</c:v>
                </c:pt>
                <c:pt idx="1174">
                  <c:v>18.17014890126494</c:v>
                </c:pt>
                <c:pt idx="1175">
                  <c:v>18.181707078291815</c:v>
                </c:pt>
                <c:pt idx="1176">
                  <c:v>18.19326525531869</c:v>
                </c:pt>
                <c:pt idx="1177">
                  <c:v>18.20482343234556</c:v>
                </c:pt>
                <c:pt idx="1178">
                  <c:v>18.216381609372434</c:v>
                </c:pt>
                <c:pt idx="1179">
                  <c:v>18.227939786399308</c:v>
                </c:pt>
                <c:pt idx="1180">
                  <c:v>18.239497963426178</c:v>
                </c:pt>
                <c:pt idx="1181">
                  <c:v>18.25105614045305</c:v>
                </c:pt>
                <c:pt idx="1182">
                  <c:v>18.262614317479922</c:v>
                </c:pt>
                <c:pt idx="1183">
                  <c:v>18.274172494506796</c:v>
                </c:pt>
                <c:pt idx="1184">
                  <c:v>18.285730671533667</c:v>
                </c:pt>
                <c:pt idx="1185">
                  <c:v>18.29728884856054</c:v>
                </c:pt>
                <c:pt idx="1186">
                  <c:v>18.308847025587415</c:v>
                </c:pt>
                <c:pt idx="1187">
                  <c:v>18.320405202614285</c:v>
                </c:pt>
                <c:pt idx="1188">
                  <c:v>18.33196337964116</c:v>
                </c:pt>
                <c:pt idx="1189">
                  <c:v>18.34352155666803</c:v>
                </c:pt>
                <c:pt idx="1190">
                  <c:v>18.355079733694904</c:v>
                </c:pt>
                <c:pt idx="1191">
                  <c:v>18.366637910721774</c:v>
                </c:pt>
                <c:pt idx="1192">
                  <c:v>18.37819608774865</c:v>
                </c:pt>
                <c:pt idx="1193">
                  <c:v>18.389754264775522</c:v>
                </c:pt>
                <c:pt idx="1194">
                  <c:v>18.401312441802393</c:v>
                </c:pt>
                <c:pt idx="1195">
                  <c:v>18.412870618829267</c:v>
                </c:pt>
                <c:pt idx="1196">
                  <c:v>18.424428795856137</c:v>
                </c:pt>
                <c:pt idx="1197">
                  <c:v>18.43598697288301</c:v>
                </c:pt>
                <c:pt idx="1198">
                  <c:v>18.44754514990988</c:v>
                </c:pt>
                <c:pt idx="1199">
                  <c:v>18.459103326936756</c:v>
                </c:pt>
                <c:pt idx="1200">
                  <c:v>18.47066150396363</c:v>
                </c:pt>
                <c:pt idx="1201">
                  <c:v>18.4822196809905</c:v>
                </c:pt>
                <c:pt idx="1202">
                  <c:v>18.493777858017374</c:v>
                </c:pt>
                <c:pt idx="1203">
                  <c:v>18.505336035044245</c:v>
                </c:pt>
                <c:pt idx="1204">
                  <c:v>18.51689421207112</c:v>
                </c:pt>
                <c:pt idx="1205">
                  <c:v>18.52845238909799</c:v>
                </c:pt>
                <c:pt idx="1206">
                  <c:v>18.540010566124863</c:v>
                </c:pt>
                <c:pt idx="1207">
                  <c:v>18.551568743151737</c:v>
                </c:pt>
                <c:pt idx="1208">
                  <c:v>18.563126920178608</c:v>
                </c:pt>
                <c:pt idx="1209">
                  <c:v>18.57468509720548</c:v>
                </c:pt>
                <c:pt idx="1210">
                  <c:v>18.586243274232352</c:v>
                </c:pt>
                <c:pt idx="1211">
                  <c:v>18.597801451259226</c:v>
                </c:pt>
                <c:pt idx="1212">
                  <c:v>18.609359628286096</c:v>
                </c:pt>
                <c:pt idx="1213">
                  <c:v>18.62091780531297</c:v>
                </c:pt>
                <c:pt idx="1214">
                  <c:v>18.632475982339844</c:v>
                </c:pt>
                <c:pt idx="1215">
                  <c:v>18.644034159366715</c:v>
                </c:pt>
                <c:pt idx="1216">
                  <c:v>18.65559233639359</c:v>
                </c:pt>
                <c:pt idx="1217">
                  <c:v>18.66715051342046</c:v>
                </c:pt>
                <c:pt idx="1218">
                  <c:v>18.678708690447333</c:v>
                </c:pt>
                <c:pt idx="1219">
                  <c:v>18.690266867474204</c:v>
                </c:pt>
                <c:pt idx="1220">
                  <c:v>18.701825044501078</c:v>
                </c:pt>
                <c:pt idx="1221">
                  <c:v>18.713383221527952</c:v>
                </c:pt>
                <c:pt idx="1222">
                  <c:v>18.724941398554822</c:v>
                </c:pt>
                <c:pt idx="1223">
                  <c:v>18.736499575581696</c:v>
                </c:pt>
                <c:pt idx="1224">
                  <c:v>18.748057752608567</c:v>
                </c:pt>
                <c:pt idx="1225">
                  <c:v>18.75961592963544</c:v>
                </c:pt>
                <c:pt idx="1226">
                  <c:v>18.77117410666231</c:v>
                </c:pt>
                <c:pt idx="1227">
                  <c:v>18.782732283689185</c:v>
                </c:pt>
                <c:pt idx="1228">
                  <c:v>18.79429046071606</c:v>
                </c:pt>
                <c:pt idx="1229">
                  <c:v>18.80584863774293</c:v>
                </c:pt>
                <c:pt idx="1230">
                  <c:v>18.817406814769804</c:v>
                </c:pt>
                <c:pt idx="1231">
                  <c:v>18.828964991796674</c:v>
                </c:pt>
                <c:pt idx="1232">
                  <c:v>18.840523168823548</c:v>
                </c:pt>
                <c:pt idx="1233">
                  <c:v>18.85208134585042</c:v>
                </c:pt>
                <c:pt idx="1234">
                  <c:v>18.863639522877293</c:v>
                </c:pt>
                <c:pt idx="1235">
                  <c:v>18.875197699904167</c:v>
                </c:pt>
                <c:pt idx="1236">
                  <c:v>18.886755876931037</c:v>
                </c:pt>
                <c:pt idx="1237">
                  <c:v>18.89831405395791</c:v>
                </c:pt>
                <c:pt idx="1238">
                  <c:v>18.90987223098478</c:v>
                </c:pt>
                <c:pt idx="1239">
                  <c:v>18.921430408011656</c:v>
                </c:pt>
                <c:pt idx="1240">
                  <c:v>18.932988585038526</c:v>
                </c:pt>
                <c:pt idx="1241">
                  <c:v>18.9445467620654</c:v>
                </c:pt>
                <c:pt idx="1242">
                  <c:v>18.956104939092274</c:v>
                </c:pt>
                <c:pt idx="1243">
                  <c:v>18.967663116119144</c:v>
                </c:pt>
                <c:pt idx="1244">
                  <c:v>18.97922129314602</c:v>
                </c:pt>
                <c:pt idx="1245">
                  <c:v>18.99077947017289</c:v>
                </c:pt>
                <c:pt idx="1246">
                  <c:v>19.002337647199763</c:v>
                </c:pt>
                <c:pt idx="1247">
                  <c:v>19.013895824226633</c:v>
                </c:pt>
                <c:pt idx="1248">
                  <c:v>19.025454001253507</c:v>
                </c:pt>
                <c:pt idx="1249">
                  <c:v>19.03701217828038</c:v>
                </c:pt>
                <c:pt idx="1250">
                  <c:v>19.048570355307252</c:v>
                </c:pt>
                <c:pt idx="1251">
                  <c:v>19.060128532334126</c:v>
                </c:pt>
                <c:pt idx="1252">
                  <c:v>19.071686709360996</c:v>
                </c:pt>
                <c:pt idx="1253">
                  <c:v>19.08324488638787</c:v>
                </c:pt>
                <c:pt idx="1254">
                  <c:v>19.09480306341474</c:v>
                </c:pt>
                <c:pt idx="1255">
                  <c:v>19.106361240441615</c:v>
                </c:pt>
                <c:pt idx="1256">
                  <c:v>19.11791941746849</c:v>
                </c:pt>
                <c:pt idx="1257">
                  <c:v>19.12947759449536</c:v>
                </c:pt>
                <c:pt idx="1258">
                  <c:v>19.141035771522233</c:v>
                </c:pt>
                <c:pt idx="1259">
                  <c:v>19.152593948549104</c:v>
                </c:pt>
                <c:pt idx="1260">
                  <c:v>19.164152125575978</c:v>
                </c:pt>
                <c:pt idx="1261">
                  <c:v>19.175710302602848</c:v>
                </c:pt>
                <c:pt idx="1262">
                  <c:v>19.187268479629722</c:v>
                </c:pt>
                <c:pt idx="1263">
                  <c:v>19.198826656656596</c:v>
                </c:pt>
                <c:pt idx="1264">
                  <c:v>19.210384833683467</c:v>
                </c:pt>
                <c:pt idx="1265">
                  <c:v>19.22194301071034</c:v>
                </c:pt>
                <c:pt idx="1266">
                  <c:v>19.23350118773721</c:v>
                </c:pt>
                <c:pt idx="1267">
                  <c:v>19.245059364764085</c:v>
                </c:pt>
                <c:pt idx="1268">
                  <c:v>19.256617541790956</c:v>
                </c:pt>
                <c:pt idx="1269">
                  <c:v>19.26817571881783</c:v>
                </c:pt>
                <c:pt idx="1270">
                  <c:v>19.279733895844704</c:v>
                </c:pt>
                <c:pt idx="1271">
                  <c:v>19.291292072871574</c:v>
                </c:pt>
                <c:pt idx="1272">
                  <c:v>19.302850249898448</c:v>
                </c:pt>
                <c:pt idx="1273">
                  <c:v>19.31440842692532</c:v>
                </c:pt>
                <c:pt idx="1274">
                  <c:v>19.325966603952192</c:v>
                </c:pt>
                <c:pt idx="1275">
                  <c:v>19.337524780979063</c:v>
                </c:pt>
                <c:pt idx="1276">
                  <c:v>19.349082958005937</c:v>
                </c:pt>
                <c:pt idx="1277">
                  <c:v>19.36064113503281</c:v>
                </c:pt>
                <c:pt idx="1278">
                  <c:v>19.37219931205968</c:v>
                </c:pt>
                <c:pt idx="1279">
                  <c:v>19.383757489086555</c:v>
                </c:pt>
                <c:pt idx="1280">
                  <c:v>19.395315666113426</c:v>
                </c:pt>
                <c:pt idx="1281">
                  <c:v>19.4068738431403</c:v>
                </c:pt>
                <c:pt idx="1282">
                  <c:v>19.41843202016717</c:v>
                </c:pt>
                <c:pt idx="1283">
                  <c:v>19.429990197194044</c:v>
                </c:pt>
                <c:pt idx="1284">
                  <c:v>19.44154837422092</c:v>
                </c:pt>
                <c:pt idx="1285">
                  <c:v>19.45310655124779</c:v>
                </c:pt>
                <c:pt idx="1286">
                  <c:v>19.464664728274663</c:v>
                </c:pt>
                <c:pt idx="1287">
                  <c:v>19.476222905301533</c:v>
                </c:pt>
                <c:pt idx="1288">
                  <c:v>19.487781082328407</c:v>
                </c:pt>
                <c:pt idx="1289">
                  <c:v>19.499339259355278</c:v>
                </c:pt>
                <c:pt idx="1290">
                  <c:v>19.51089743638215</c:v>
                </c:pt>
                <c:pt idx="1291">
                  <c:v>19.522455613409026</c:v>
                </c:pt>
                <c:pt idx="1292">
                  <c:v>19.534013790435896</c:v>
                </c:pt>
                <c:pt idx="1293">
                  <c:v>19.54557196746277</c:v>
                </c:pt>
                <c:pt idx="1294">
                  <c:v>19.55713014448964</c:v>
                </c:pt>
                <c:pt idx="1295">
                  <c:v>19.568688321516515</c:v>
                </c:pt>
                <c:pt idx="1296">
                  <c:v>19.580246498543385</c:v>
                </c:pt>
                <c:pt idx="1297">
                  <c:v>19.59180467557026</c:v>
                </c:pt>
                <c:pt idx="1298">
                  <c:v>19.603362852597133</c:v>
                </c:pt>
                <c:pt idx="1299">
                  <c:v>19.614921029624004</c:v>
                </c:pt>
                <c:pt idx="1300">
                  <c:v>19.626479206650878</c:v>
                </c:pt>
                <c:pt idx="1301">
                  <c:v>19.638037383677748</c:v>
                </c:pt>
                <c:pt idx="1302">
                  <c:v>19.649595560704622</c:v>
                </c:pt>
                <c:pt idx="1303">
                  <c:v>19.661153737731492</c:v>
                </c:pt>
                <c:pt idx="1304">
                  <c:v>19.672711914758366</c:v>
                </c:pt>
                <c:pt idx="1305">
                  <c:v>19.68427009178524</c:v>
                </c:pt>
                <c:pt idx="1306">
                  <c:v>19.69582826881211</c:v>
                </c:pt>
                <c:pt idx="1307">
                  <c:v>19.707386445838985</c:v>
                </c:pt>
                <c:pt idx="1308">
                  <c:v>19.718944622865855</c:v>
                </c:pt>
                <c:pt idx="1309">
                  <c:v>19.73050279989273</c:v>
                </c:pt>
                <c:pt idx="1310">
                  <c:v>19.7420609769196</c:v>
                </c:pt>
                <c:pt idx="1311">
                  <c:v>19.753619153946474</c:v>
                </c:pt>
                <c:pt idx="1312">
                  <c:v>19.765177330973348</c:v>
                </c:pt>
                <c:pt idx="1313">
                  <c:v>19.77673550800022</c:v>
                </c:pt>
                <c:pt idx="1314">
                  <c:v>19.788293685027092</c:v>
                </c:pt>
                <c:pt idx="1315">
                  <c:v>19.799851862053963</c:v>
                </c:pt>
                <c:pt idx="1316">
                  <c:v>19.81141003908084</c:v>
                </c:pt>
                <c:pt idx="1317">
                  <c:v>19.822968216107707</c:v>
                </c:pt>
                <c:pt idx="1318">
                  <c:v>19.83452639313458</c:v>
                </c:pt>
                <c:pt idx="1319">
                  <c:v>19.846084570161455</c:v>
                </c:pt>
                <c:pt idx="1320">
                  <c:v>19.857642747188326</c:v>
                </c:pt>
                <c:pt idx="1321">
                  <c:v>19.8692009242152</c:v>
                </c:pt>
                <c:pt idx="1322">
                  <c:v>19.88075910124207</c:v>
                </c:pt>
                <c:pt idx="1323">
                  <c:v>19.892317278268948</c:v>
                </c:pt>
                <c:pt idx="1324">
                  <c:v>19.903875455295815</c:v>
                </c:pt>
                <c:pt idx="1325">
                  <c:v>19.91543363232269</c:v>
                </c:pt>
                <c:pt idx="1326">
                  <c:v>19.926991809349563</c:v>
                </c:pt>
                <c:pt idx="1327">
                  <c:v>19.938549986376433</c:v>
                </c:pt>
                <c:pt idx="1328">
                  <c:v>19.950108163403307</c:v>
                </c:pt>
                <c:pt idx="1329">
                  <c:v>19.961666340430178</c:v>
                </c:pt>
                <c:pt idx="1330">
                  <c:v>19.973224517457055</c:v>
                </c:pt>
                <c:pt idx="1331">
                  <c:v>19.984782694483922</c:v>
                </c:pt>
                <c:pt idx="1332">
                  <c:v>19.9963408715108</c:v>
                </c:pt>
                <c:pt idx="1333">
                  <c:v>20.00789904853767</c:v>
                </c:pt>
                <c:pt idx="1334">
                  <c:v>20.01945722556454</c:v>
                </c:pt>
                <c:pt idx="1335">
                  <c:v>20.031015402591414</c:v>
                </c:pt>
                <c:pt idx="1336">
                  <c:v>20.042573579618285</c:v>
                </c:pt>
                <c:pt idx="1337">
                  <c:v>20.054131756645162</c:v>
                </c:pt>
                <c:pt idx="1338">
                  <c:v>20.06568993367203</c:v>
                </c:pt>
                <c:pt idx="1339">
                  <c:v>20.077248110698907</c:v>
                </c:pt>
                <c:pt idx="1340">
                  <c:v>20.088806287725777</c:v>
                </c:pt>
                <c:pt idx="1341">
                  <c:v>20.100364464752648</c:v>
                </c:pt>
                <c:pt idx="1342">
                  <c:v>20.111922641779522</c:v>
                </c:pt>
                <c:pt idx="1343">
                  <c:v>20.123480818806392</c:v>
                </c:pt>
                <c:pt idx="1344">
                  <c:v>20.13503899583327</c:v>
                </c:pt>
                <c:pt idx="1345">
                  <c:v>20.146597172860137</c:v>
                </c:pt>
                <c:pt idx="1346">
                  <c:v>20.158155349887014</c:v>
                </c:pt>
                <c:pt idx="1347">
                  <c:v>20.169713526913885</c:v>
                </c:pt>
                <c:pt idx="1348">
                  <c:v>20.181271703940755</c:v>
                </c:pt>
                <c:pt idx="1349">
                  <c:v>20.19282988096763</c:v>
                </c:pt>
                <c:pt idx="1350">
                  <c:v>20.2043880579945</c:v>
                </c:pt>
                <c:pt idx="1351">
                  <c:v>20.215946235021377</c:v>
                </c:pt>
                <c:pt idx="1352">
                  <c:v>20.227504412048244</c:v>
                </c:pt>
                <c:pt idx="1353">
                  <c:v>20.23906258907512</c:v>
                </c:pt>
                <c:pt idx="1354">
                  <c:v>20.250620766101992</c:v>
                </c:pt>
                <c:pt idx="1355">
                  <c:v>20.262178943128863</c:v>
                </c:pt>
                <c:pt idx="1356">
                  <c:v>20.273737120155737</c:v>
                </c:pt>
                <c:pt idx="1357">
                  <c:v>20.28529529718261</c:v>
                </c:pt>
                <c:pt idx="1358">
                  <c:v>20.296853474209485</c:v>
                </c:pt>
                <c:pt idx="1359">
                  <c:v>20.30841165123635</c:v>
                </c:pt>
                <c:pt idx="1360">
                  <c:v>20.31996982826323</c:v>
                </c:pt>
                <c:pt idx="1361">
                  <c:v>20.3315280052901</c:v>
                </c:pt>
                <c:pt idx="1362">
                  <c:v>20.34308618231697</c:v>
                </c:pt>
                <c:pt idx="1363">
                  <c:v>20.354644359343844</c:v>
                </c:pt>
                <c:pt idx="1364">
                  <c:v>20.366202536370718</c:v>
                </c:pt>
                <c:pt idx="1365">
                  <c:v>20.377760713397592</c:v>
                </c:pt>
                <c:pt idx="1366">
                  <c:v>20.389318890424462</c:v>
                </c:pt>
                <c:pt idx="1367">
                  <c:v>20.400877067451336</c:v>
                </c:pt>
                <c:pt idx="1368">
                  <c:v>20.412435244478207</c:v>
                </c:pt>
                <c:pt idx="1369">
                  <c:v>20.423993421505077</c:v>
                </c:pt>
                <c:pt idx="1370">
                  <c:v>20.43555159853195</c:v>
                </c:pt>
                <c:pt idx="1371">
                  <c:v>20.447109775558825</c:v>
                </c:pt>
                <c:pt idx="1372">
                  <c:v>20.4586679525857</c:v>
                </c:pt>
                <c:pt idx="1373">
                  <c:v>20.47022612961257</c:v>
                </c:pt>
                <c:pt idx="1374">
                  <c:v>20.481784306639444</c:v>
                </c:pt>
                <c:pt idx="1375">
                  <c:v>20.493342483666314</c:v>
                </c:pt>
                <c:pt idx="1376">
                  <c:v>20.504900660693185</c:v>
                </c:pt>
                <c:pt idx="1377">
                  <c:v>20.51645883772006</c:v>
                </c:pt>
                <c:pt idx="1378">
                  <c:v>20.528017014746933</c:v>
                </c:pt>
                <c:pt idx="1379">
                  <c:v>20.539575191773807</c:v>
                </c:pt>
                <c:pt idx="1380">
                  <c:v>20.551133368800677</c:v>
                </c:pt>
                <c:pt idx="1381">
                  <c:v>20.56269154582755</c:v>
                </c:pt>
                <c:pt idx="1382">
                  <c:v>20.57424972285442</c:v>
                </c:pt>
                <c:pt idx="1383">
                  <c:v>20.585807899881292</c:v>
                </c:pt>
                <c:pt idx="1384">
                  <c:v>20.597366076908166</c:v>
                </c:pt>
                <c:pt idx="1385">
                  <c:v>20.60892425393504</c:v>
                </c:pt>
                <c:pt idx="1386">
                  <c:v>20.620482430961914</c:v>
                </c:pt>
                <c:pt idx="1387">
                  <c:v>20.632040607988785</c:v>
                </c:pt>
                <c:pt idx="1388">
                  <c:v>20.64359878501566</c:v>
                </c:pt>
                <c:pt idx="1389">
                  <c:v>20.65515696204253</c:v>
                </c:pt>
                <c:pt idx="1390">
                  <c:v>20.6667151390694</c:v>
                </c:pt>
                <c:pt idx="1391">
                  <c:v>20.678273316096274</c:v>
                </c:pt>
                <c:pt idx="1392">
                  <c:v>20.689831493123148</c:v>
                </c:pt>
                <c:pt idx="1393">
                  <c:v>20.70138967015002</c:v>
                </c:pt>
                <c:pt idx="1394">
                  <c:v>20.712947847176892</c:v>
                </c:pt>
                <c:pt idx="1395">
                  <c:v>20.724506024203766</c:v>
                </c:pt>
                <c:pt idx="1396">
                  <c:v>20.736064201230636</c:v>
                </c:pt>
                <c:pt idx="1397">
                  <c:v>20.747622378257507</c:v>
                </c:pt>
                <c:pt idx="1398">
                  <c:v>20.75918055528438</c:v>
                </c:pt>
                <c:pt idx="1399">
                  <c:v>20.770738732311255</c:v>
                </c:pt>
                <c:pt idx="1400">
                  <c:v>20.78229690933813</c:v>
                </c:pt>
                <c:pt idx="1401">
                  <c:v>20.793855086365</c:v>
                </c:pt>
                <c:pt idx="1402">
                  <c:v>20.805413263391873</c:v>
                </c:pt>
                <c:pt idx="1403">
                  <c:v>20.816971440418744</c:v>
                </c:pt>
                <c:pt idx="1404">
                  <c:v>20.828529617445614</c:v>
                </c:pt>
                <c:pt idx="1405">
                  <c:v>20.84008779447249</c:v>
                </c:pt>
                <c:pt idx="1406">
                  <c:v>20.851645971499362</c:v>
                </c:pt>
                <c:pt idx="1407">
                  <c:v>20.863204148526236</c:v>
                </c:pt>
                <c:pt idx="1408">
                  <c:v>20.874762325553107</c:v>
                </c:pt>
                <c:pt idx="1409">
                  <c:v>20.88632050257998</c:v>
                </c:pt>
                <c:pt idx="1410">
                  <c:v>20.89787867960685</c:v>
                </c:pt>
                <c:pt idx="1411">
                  <c:v>20.90943685663372</c:v>
                </c:pt>
                <c:pt idx="1412">
                  <c:v>20.920995033660596</c:v>
                </c:pt>
                <c:pt idx="1413">
                  <c:v>20.93255321068747</c:v>
                </c:pt>
                <c:pt idx="1414">
                  <c:v>20.944111387714344</c:v>
                </c:pt>
                <c:pt idx="1415">
                  <c:v>20.955669564741214</c:v>
                </c:pt>
                <c:pt idx="1416">
                  <c:v>20.967227741768088</c:v>
                </c:pt>
                <c:pt idx="1417">
                  <c:v>20.97878591879496</c:v>
                </c:pt>
                <c:pt idx="1418">
                  <c:v>20.99034409582183</c:v>
                </c:pt>
                <c:pt idx="1419">
                  <c:v>21.001902272848703</c:v>
                </c:pt>
                <c:pt idx="1420">
                  <c:v>21.013460449875577</c:v>
                </c:pt>
                <c:pt idx="1421">
                  <c:v>21.02501862690245</c:v>
                </c:pt>
                <c:pt idx="1422">
                  <c:v>21.03657680392932</c:v>
                </c:pt>
                <c:pt idx="1423">
                  <c:v>21.048134980956196</c:v>
                </c:pt>
                <c:pt idx="1424">
                  <c:v>21.059693157983066</c:v>
                </c:pt>
                <c:pt idx="1425">
                  <c:v>21.071251335009936</c:v>
                </c:pt>
                <c:pt idx="1426">
                  <c:v>21.08280951203681</c:v>
                </c:pt>
                <c:pt idx="1427">
                  <c:v>21.094367689063684</c:v>
                </c:pt>
                <c:pt idx="1428">
                  <c:v>21.10592586609056</c:v>
                </c:pt>
                <c:pt idx="1429">
                  <c:v>21.11748404311743</c:v>
                </c:pt>
                <c:pt idx="1430">
                  <c:v>21.129042220144303</c:v>
                </c:pt>
                <c:pt idx="1431">
                  <c:v>21.140600397171173</c:v>
                </c:pt>
                <c:pt idx="1432">
                  <c:v>21.152158574198047</c:v>
                </c:pt>
                <c:pt idx="1433">
                  <c:v>21.163716751224918</c:v>
                </c:pt>
                <c:pt idx="1434">
                  <c:v>21.175274928251792</c:v>
                </c:pt>
                <c:pt idx="1435">
                  <c:v>21.186833105278666</c:v>
                </c:pt>
                <c:pt idx="1436">
                  <c:v>21.198391282305536</c:v>
                </c:pt>
                <c:pt idx="1437">
                  <c:v>21.20994945933241</c:v>
                </c:pt>
                <c:pt idx="1438">
                  <c:v>21.22150763635928</c:v>
                </c:pt>
                <c:pt idx="1439">
                  <c:v>21.233065813386155</c:v>
                </c:pt>
                <c:pt idx="1440">
                  <c:v>21.244623990413025</c:v>
                </c:pt>
                <c:pt idx="1441">
                  <c:v>21.2561821674399</c:v>
                </c:pt>
                <c:pt idx="1442">
                  <c:v>21.267740344466773</c:v>
                </c:pt>
                <c:pt idx="1443">
                  <c:v>21.279298521493644</c:v>
                </c:pt>
                <c:pt idx="1444">
                  <c:v>21.290856698520518</c:v>
                </c:pt>
                <c:pt idx="1445">
                  <c:v>21.302414875547388</c:v>
                </c:pt>
                <c:pt idx="1446">
                  <c:v>21.313973052574262</c:v>
                </c:pt>
                <c:pt idx="1447">
                  <c:v>21.325531229601133</c:v>
                </c:pt>
                <c:pt idx="1448">
                  <c:v>21.33708940662801</c:v>
                </c:pt>
                <c:pt idx="1449">
                  <c:v>21.34864758365488</c:v>
                </c:pt>
                <c:pt idx="1450">
                  <c:v>21.360205760681747</c:v>
                </c:pt>
                <c:pt idx="1451">
                  <c:v>21.371763937708625</c:v>
                </c:pt>
                <c:pt idx="1452">
                  <c:v>21.383322114735495</c:v>
                </c:pt>
                <c:pt idx="1453">
                  <c:v>21.39488029176237</c:v>
                </c:pt>
                <c:pt idx="1454">
                  <c:v>21.40643846878924</c:v>
                </c:pt>
                <c:pt idx="1455">
                  <c:v>21.417996645816118</c:v>
                </c:pt>
                <c:pt idx="1456">
                  <c:v>21.429554822842988</c:v>
                </c:pt>
                <c:pt idx="1457">
                  <c:v>21.441112999869855</c:v>
                </c:pt>
                <c:pt idx="1458">
                  <c:v>21.452671176896732</c:v>
                </c:pt>
                <c:pt idx="1459">
                  <c:v>21.464229353923603</c:v>
                </c:pt>
                <c:pt idx="1460">
                  <c:v>21.475787530950477</c:v>
                </c:pt>
                <c:pt idx="1461">
                  <c:v>21.487345707977347</c:v>
                </c:pt>
                <c:pt idx="1462">
                  <c:v>21.498903885004225</c:v>
                </c:pt>
                <c:pt idx="1463">
                  <c:v>21.510462062031095</c:v>
                </c:pt>
                <c:pt idx="1464">
                  <c:v>21.522020239057966</c:v>
                </c:pt>
                <c:pt idx="1465">
                  <c:v>21.53357841608484</c:v>
                </c:pt>
                <c:pt idx="1466">
                  <c:v>21.54513659311171</c:v>
                </c:pt>
                <c:pt idx="1467">
                  <c:v>21.556694770138584</c:v>
                </c:pt>
                <c:pt idx="1468">
                  <c:v>21.568252947165455</c:v>
                </c:pt>
                <c:pt idx="1469">
                  <c:v>21.579811124192332</c:v>
                </c:pt>
                <c:pt idx="1470">
                  <c:v>21.591369301219203</c:v>
                </c:pt>
                <c:pt idx="1471">
                  <c:v>21.602927478246073</c:v>
                </c:pt>
                <c:pt idx="1472">
                  <c:v>21.614485655272947</c:v>
                </c:pt>
                <c:pt idx="1473">
                  <c:v>21.62604383229982</c:v>
                </c:pt>
                <c:pt idx="1474">
                  <c:v>21.63760200932669</c:v>
                </c:pt>
                <c:pt idx="1475">
                  <c:v>21.649160186353562</c:v>
                </c:pt>
                <c:pt idx="1476">
                  <c:v>21.66071836338044</c:v>
                </c:pt>
                <c:pt idx="1477">
                  <c:v>21.67227654040731</c:v>
                </c:pt>
                <c:pt idx="1478">
                  <c:v>21.68383471743418</c:v>
                </c:pt>
                <c:pt idx="1479">
                  <c:v>21.695392894461055</c:v>
                </c:pt>
                <c:pt idx="1480">
                  <c:v>21.70695107148793</c:v>
                </c:pt>
                <c:pt idx="1481">
                  <c:v>21.7185092485148</c:v>
                </c:pt>
                <c:pt idx="1482">
                  <c:v>21.73006742554167</c:v>
                </c:pt>
                <c:pt idx="1483">
                  <c:v>21.741625602568547</c:v>
                </c:pt>
                <c:pt idx="1484">
                  <c:v>21.753183779595417</c:v>
                </c:pt>
                <c:pt idx="1485">
                  <c:v>21.764741956622288</c:v>
                </c:pt>
                <c:pt idx="1486">
                  <c:v>21.776300133649162</c:v>
                </c:pt>
                <c:pt idx="1487">
                  <c:v>21.787858310676036</c:v>
                </c:pt>
                <c:pt idx="1488">
                  <c:v>21.799416487702906</c:v>
                </c:pt>
                <c:pt idx="1489">
                  <c:v>21.810974664729777</c:v>
                </c:pt>
                <c:pt idx="1490">
                  <c:v>21.822532841756654</c:v>
                </c:pt>
                <c:pt idx="1491">
                  <c:v>21.834091018783525</c:v>
                </c:pt>
                <c:pt idx="1492">
                  <c:v>21.845649195810395</c:v>
                </c:pt>
                <c:pt idx="1493">
                  <c:v>21.85720737283727</c:v>
                </c:pt>
                <c:pt idx="1494">
                  <c:v>21.868765549864143</c:v>
                </c:pt>
                <c:pt idx="1495">
                  <c:v>21.880323726891014</c:v>
                </c:pt>
                <c:pt idx="1496">
                  <c:v>21.891881903917884</c:v>
                </c:pt>
                <c:pt idx="1497">
                  <c:v>21.903440080944762</c:v>
                </c:pt>
                <c:pt idx="1498">
                  <c:v>21.914998257971632</c:v>
                </c:pt>
                <c:pt idx="1499">
                  <c:v>21.926556434998503</c:v>
                </c:pt>
                <c:pt idx="1500">
                  <c:v>21.938114612025377</c:v>
                </c:pt>
                <c:pt idx="1501">
                  <c:v>21.94967278905225</c:v>
                </c:pt>
                <c:pt idx="1502">
                  <c:v>21.96123096607912</c:v>
                </c:pt>
                <c:pt idx="1503">
                  <c:v>21.97278914310599</c:v>
                </c:pt>
                <c:pt idx="1504">
                  <c:v>21.98434732013287</c:v>
                </c:pt>
                <c:pt idx="1505">
                  <c:v>21.99590549715974</c:v>
                </c:pt>
                <c:pt idx="1506">
                  <c:v>22.00746367418661</c:v>
                </c:pt>
                <c:pt idx="1507">
                  <c:v>22.019021851213484</c:v>
                </c:pt>
                <c:pt idx="1508">
                  <c:v>22.030580028240358</c:v>
                </c:pt>
                <c:pt idx="1509">
                  <c:v>22.04213820526723</c:v>
                </c:pt>
                <c:pt idx="1510">
                  <c:v>22.0536963822941</c:v>
                </c:pt>
                <c:pt idx="1511">
                  <c:v>22.065254559320977</c:v>
                </c:pt>
                <c:pt idx="1512">
                  <c:v>22.076812736347847</c:v>
                </c:pt>
                <c:pt idx="1513">
                  <c:v>22.088370913374717</c:v>
                </c:pt>
                <c:pt idx="1514">
                  <c:v>22.09992909040159</c:v>
                </c:pt>
                <c:pt idx="1515">
                  <c:v>22.111487267428465</c:v>
                </c:pt>
                <c:pt idx="1516">
                  <c:v>22.123045444455336</c:v>
                </c:pt>
                <c:pt idx="1517">
                  <c:v>22.134603621482206</c:v>
                </c:pt>
                <c:pt idx="1518">
                  <c:v>22.146161798509084</c:v>
                </c:pt>
                <c:pt idx="1519">
                  <c:v>22.157719975535954</c:v>
                </c:pt>
                <c:pt idx="1520">
                  <c:v>22.169278152562825</c:v>
                </c:pt>
                <c:pt idx="1521">
                  <c:v>22.1808363295897</c:v>
                </c:pt>
                <c:pt idx="1522">
                  <c:v>22.192394506616573</c:v>
                </c:pt>
                <c:pt idx="1523">
                  <c:v>22.203952683643443</c:v>
                </c:pt>
                <c:pt idx="1524">
                  <c:v>22.215510860670314</c:v>
                </c:pt>
                <c:pt idx="1525">
                  <c:v>22.22706903769719</c:v>
                </c:pt>
                <c:pt idx="1526">
                  <c:v>22.238627214724062</c:v>
                </c:pt>
                <c:pt idx="1527">
                  <c:v>22.250185391750932</c:v>
                </c:pt>
                <c:pt idx="1528">
                  <c:v>22.261743568777806</c:v>
                </c:pt>
                <c:pt idx="1529">
                  <c:v>22.27330174580468</c:v>
                </c:pt>
                <c:pt idx="1530">
                  <c:v>22.28485992283155</c:v>
                </c:pt>
                <c:pt idx="1531">
                  <c:v>22.29641809985842</c:v>
                </c:pt>
                <c:pt idx="1532">
                  <c:v>22.3079762768853</c:v>
                </c:pt>
                <c:pt idx="1533">
                  <c:v>22.31953445391217</c:v>
                </c:pt>
                <c:pt idx="1534">
                  <c:v>22.33109263093904</c:v>
                </c:pt>
                <c:pt idx="1535">
                  <c:v>22.342650807965914</c:v>
                </c:pt>
                <c:pt idx="1536">
                  <c:v>22.354208984992788</c:v>
                </c:pt>
                <c:pt idx="1537">
                  <c:v>22.365767162019658</c:v>
                </c:pt>
                <c:pt idx="1538">
                  <c:v>22.37732533904653</c:v>
                </c:pt>
                <c:pt idx="1539">
                  <c:v>22.388883516073406</c:v>
                </c:pt>
                <c:pt idx="1540">
                  <c:v>22.400441693100277</c:v>
                </c:pt>
                <c:pt idx="1541">
                  <c:v>22.411999870127147</c:v>
                </c:pt>
                <c:pt idx="1542">
                  <c:v>22.42355804715402</c:v>
                </c:pt>
                <c:pt idx="1543">
                  <c:v>22.435116224180895</c:v>
                </c:pt>
                <c:pt idx="1544">
                  <c:v>22.446674401207765</c:v>
                </c:pt>
                <c:pt idx="1545">
                  <c:v>22.458232578234636</c:v>
                </c:pt>
                <c:pt idx="1546">
                  <c:v>22.469790755261513</c:v>
                </c:pt>
                <c:pt idx="1547">
                  <c:v>22.481348932288384</c:v>
                </c:pt>
                <c:pt idx="1548">
                  <c:v>22.492907109315254</c:v>
                </c:pt>
                <c:pt idx="1549">
                  <c:v>22.50446528634213</c:v>
                </c:pt>
                <c:pt idx="1550">
                  <c:v>22.516023463369002</c:v>
                </c:pt>
                <c:pt idx="1551">
                  <c:v>22.527581640395873</c:v>
                </c:pt>
                <c:pt idx="1552">
                  <c:v>22.539139817422743</c:v>
                </c:pt>
                <c:pt idx="1553">
                  <c:v>22.55069799444962</c:v>
                </c:pt>
                <c:pt idx="1554">
                  <c:v>22.56225617147649</c:v>
                </c:pt>
                <c:pt idx="1555">
                  <c:v>22.573814348503365</c:v>
                </c:pt>
                <c:pt idx="1556">
                  <c:v>22.585372525530236</c:v>
                </c:pt>
                <c:pt idx="1557">
                  <c:v>22.59693070255711</c:v>
                </c:pt>
                <c:pt idx="1558">
                  <c:v>22.60848887958398</c:v>
                </c:pt>
                <c:pt idx="1559">
                  <c:v>22.62004705661085</c:v>
                </c:pt>
                <c:pt idx="1560">
                  <c:v>22.63160523363773</c:v>
                </c:pt>
                <c:pt idx="1561">
                  <c:v>22.6431634106646</c:v>
                </c:pt>
                <c:pt idx="1562">
                  <c:v>22.654721587691473</c:v>
                </c:pt>
                <c:pt idx="1563">
                  <c:v>22.666279764718343</c:v>
                </c:pt>
                <c:pt idx="1564">
                  <c:v>22.677837941745217</c:v>
                </c:pt>
                <c:pt idx="1565">
                  <c:v>22.689396118772088</c:v>
                </c:pt>
                <c:pt idx="1566">
                  <c:v>22.700954295798958</c:v>
                </c:pt>
                <c:pt idx="1567">
                  <c:v>22.712512472825836</c:v>
                </c:pt>
                <c:pt idx="1568">
                  <c:v>22.724070649852706</c:v>
                </c:pt>
                <c:pt idx="1569">
                  <c:v>22.73562882687958</c:v>
                </c:pt>
                <c:pt idx="1570">
                  <c:v>22.74718700390645</c:v>
                </c:pt>
                <c:pt idx="1571">
                  <c:v>22.758745180933325</c:v>
                </c:pt>
                <c:pt idx="1572">
                  <c:v>22.770303357960195</c:v>
                </c:pt>
                <c:pt idx="1573">
                  <c:v>22.781861534987065</c:v>
                </c:pt>
                <c:pt idx="1574">
                  <c:v>22.793419712013943</c:v>
                </c:pt>
                <c:pt idx="1575">
                  <c:v>22.804977889040813</c:v>
                </c:pt>
                <c:pt idx="1576">
                  <c:v>22.816536066067687</c:v>
                </c:pt>
                <c:pt idx="1577">
                  <c:v>22.828094243094558</c:v>
                </c:pt>
                <c:pt idx="1578">
                  <c:v>22.839652420121432</c:v>
                </c:pt>
                <c:pt idx="1579">
                  <c:v>22.851210597148302</c:v>
                </c:pt>
                <c:pt idx="1580">
                  <c:v>22.862768774175176</c:v>
                </c:pt>
                <c:pt idx="1581">
                  <c:v>22.87432695120205</c:v>
                </c:pt>
                <c:pt idx="1582">
                  <c:v>22.88588512822892</c:v>
                </c:pt>
                <c:pt idx="1583">
                  <c:v>22.897443305255795</c:v>
                </c:pt>
                <c:pt idx="1584">
                  <c:v>22.909001482282665</c:v>
                </c:pt>
                <c:pt idx="1585">
                  <c:v>22.92055965930954</c:v>
                </c:pt>
                <c:pt idx="1586">
                  <c:v>22.93211783633641</c:v>
                </c:pt>
                <c:pt idx="1587">
                  <c:v>22.943676013363284</c:v>
                </c:pt>
                <c:pt idx="1588">
                  <c:v>22.955234190390158</c:v>
                </c:pt>
                <c:pt idx="1589">
                  <c:v>22.96679236741703</c:v>
                </c:pt>
                <c:pt idx="1590">
                  <c:v>22.978350544443902</c:v>
                </c:pt>
                <c:pt idx="1591">
                  <c:v>22.989908721470773</c:v>
                </c:pt>
                <c:pt idx="1592">
                  <c:v>23.001466898497647</c:v>
                </c:pt>
                <c:pt idx="1593">
                  <c:v>23.013025075524517</c:v>
                </c:pt>
                <c:pt idx="1594">
                  <c:v>23.02458325255139</c:v>
                </c:pt>
                <c:pt idx="1595">
                  <c:v>23.036141429578265</c:v>
                </c:pt>
                <c:pt idx="1596">
                  <c:v>23.047699606605136</c:v>
                </c:pt>
                <c:pt idx="1597">
                  <c:v>23.05925778363201</c:v>
                </c:pt>
                <c:pt idx="1598">
                  <c:v>23.07081596065888</c:v>
                </c:pt>
                <c:pt idx="1599">
                  <c:v>23.082374137685754</c:v>
                </c:pt>
                <c:pt idx="1600">
                  <c:v>23.093932314712625</c:v>
                </c:pt>
                <c:pt idx="1601">
                  <c:v>23.1054904917395</c:v>
                </c:pt>
                <c:pt idx="1602">
                  <c:v>23.117048668766373</c:v>
                </c:pt>
                <c:pt idx="1603">
                  <c:v>23.128606845793243</c:v>
                </c:pt>
                <c:pt idx="1604">
                  <c:v>23.140165022820117</c:v>
                </c:pt>
                <c:pt idx="1605">
                  <c:v>23.151723199846987</c:v>
                </c:pt>
                <c:pt idx="1606">
                  <c:v>23.16328137687386</c:v>
                </c:pt>
                <c:pt idx="1607">
                  <c:v>23.174839553900732</c:v>
                </c:pt>
                <c:pt idx="1608">
                  <c:v>23.186397730927606</c:v>
                </c:pt>
                <c:pt idx="1609">
                  <c:v>23.19795590795448</c:v>
                </c:pt>
                <c:pt idx="1610">
                  <c:v>23.20951408498135</c:v>
                </c:pt>
                <c:pt idx="1611">
                  <c:v>23.221072262008224</c:v>
                </c:pt>
                <c:pt idx="1612">
                  <c:v>23.232630439035095</c:v>
                </c:pt>
                <c:pt idx="1613">
                  <c:v>23.24418861606197</c:v>
                </c:pt>
                <c:pt idx="1614">
                  <c:v>23.25574679308884</c:v>
                </c:pt>
                <c:pt idx="1615">
                  <c:v>23.267304970115713</c:v>
                </c:pt>
                <c:pt idx="1616">
                  <c:v>23.278863147142587</c:v>
                </c:pt>
                <c:pt idx="1617">
                  <c:v>23.290421324169458</c:v>
                </c:pt>
                <c:pt idx="1618">
                  <c:v>23.30197950119633</c:v>
                </c:pt>
                <c:pt idx="1619">
                  <c:v>23.313537678223202</c:v>
                </c:pt>
                <c:pt idx="1620">
                  <c:v>23.32509585525008</c:v>
                </c:pt>
                <c:pt idx="1621">
                  <c:v>23.336654032276947</c:v>
                </c:pt>
                <c:pt idx="1622">
                  <c:v>23.30868800948223</c:v>
                </c:pt>
                <c:pt idx="1623">
                  <c:v>23.280728553738843</c:v>
                </c:pt>
                <c:pt idx="1624">
                  <c:v>23.2527756556301</c:v>
                </c:pt>
                <c:pt idx="1625">
                  <c:v>23.22482930574706</c:v>
                </c:pt>
                <c:pt idx="1626">
                  <c:v>23.196889494688524</c:v>
                </c:pt>
                <c:pt idx="1627">
                  <c:v>23.168956213061</c:v>
                </c:pt>
                <c:pt idx="1628">
                  <c:v>23.141029451478722</c:v>
                </c:pt>
                <c:pt idx="1629">
                  <c:v>23.11310920056361</c:v>
                </c:pt>
                <c:pt idx="1630">
                  <c:v>23.08519545094526</c:v>
                </c:pt>
                <c:pt idx="1631">
                  <c:v>23.05728819326095</c:v>
                </c:pt>
                <c:pt idx="1632">
                  <c:v>23.029387418155594</c:v>
                </c:pt>
                <c:pt idx="1633">
                  <c:v>23.00149311628176</c:v>
                </c:pt>
                <c:pt idx="1634">
                  <c:v>22.973605278299644</c:v>
                </c:pt>
                <c:pt idx="1635">
                  <c:v>22.945723894877037</c:v>
                </c:pt>
                <c:pt idx="1636">
                  <c:v>22.917848956689348</c:v>
                </c:pt>
                <c:pt idx="1637">
                  <c:v>22.889980454419565</c:v>
                </c:pt>
                <c:pt idx="1638">
                  <c:v>22.862118378758247</c:v>
                </c:pt>
                <c:pt idx="1639">
                  <c:v>22.834262720403515</c:v>
                </c:pt>
                <c:pt idx="1640">
                  <c:v>22.806413470061038</c:v>
                </c:pt>
                <c:pt idx="1641">
                  <c:v>22.778570618444014</c:v>
                </c:pt>
                <c:pt idx="1642">
                  <c:v>22.778570618444014</c:v>
                </c:pt>
                <c:pt idx="1643">
                  <c:v>22.79667498726628</c:v>
                </c:pt>
                <c:pt idx="1644">
                  <c:v>22.814779356088543</c:v>
                </c:pt>
                <c:pt idx="1645">
                  <c:v>22.832883724910808</c:v>
                </c:pt>
                <c:pt idx="1646">
                  <c:v>22.85098809373307</c:v>
                </c:pt>
                <c:pt idx="1647">
                  <c:v>22.869092462555333</c:v>
                </c:pt>
                <c:pt idx="1648">
                  <c:v>22.887196831377597</c:v>
                </c:pt>
                <c:pt idx="1649">
                  <c:v>22.905301200199858</c:v>
                </c:pt>
                <c:pt idx="1650">
                  <c:v>22.923405569022126</c:v>
                </c:pt>
                <c:pt idx="1651">
                  <c:v>22.941509937844387</c:v>
                </c:pt>
                <c:pt idx="1652">
                  <c:v>22.95961430666665</c:v>
                </c:pt>
                <c:pt idx="1653">
                  <c:v>22.977718675488916</c:v>
                </c:pt>
                <c:pt idx="1654">
                  <c:v>22.99582304431118</c:v>
                </c:pt>
                <c:pt idx="1655">
                  <c:v>23.01392741313344</c:v>
                </c:pt>
                <c:pt idx="1656">
                  <c:v>23.03203178195571</c:v>
                </c:pt>
                <c:pt idx="1657">
                  <c:v>23.05013615077797</c:v>
                </c:pt>
                <c:pt idx="1658">
                  <c:v>23.068240519600234</c:v>
                </c:pt>
                <c:pt idx="1659">
                  <c:v>23.0863448884225</c:v>
                </c:pt>
                <c:pt idx="1660">
                  <c:v>23.104449257244763</c:v>
                </c:pt>
                <c:pt idx="1661">
                  <c:v>23.122553626067024</c:v>
                </c:pt>
                <c:pt idx="1662">
                  <c:v>23.14065799488929</c:v>
                </c:pt>
                <c:pt idx="1663">
                  <c:v>23.158762363711553</c:v>
                </c:pt>
                <c:pt idx="1664">
                  <c:v>23.176866732533814</c:v>
                </c:pt>
                <c:pt idx="1665">
                  <c:v>23.19497110135608</c:v>
                </c:pt>
                <c:pt idx="1666">
                  <c:v>23.213075470178342</c:v>
                </c:pt>
                <c:pt idx="1667">
                  <c:v>23.231179839000607</c:v>
                </c:pt>
                <c:pt idx="1668">
                  <c:v>23.24928420782287</c:v>
                </c:pt>
                <c:pt idx="1669">
                  <c:v>23.267388576645136</c:v>
                </c:pt>
                <c:pt idx="1670">
                  <c:v>23.285492945467396</c:v>
                </c:pt>
                <c:pt idx="1671">
                  <c:v>23.303597314289664</c:v>
                </c:pt>
                <c:pt idx="1672">
                  <c:v>23.321701683111925</c:v>
                </c:pt>
                <c:pt idx="1673">
                  <c:v>23.33980605193419</c:v>
                </c:pt>
                <c:pt idx="1674">
                  <c:v>23.357910420756454</c:v>
                </c:pt>
                <c:pt idx="1675">
                  <c:v>23.37601478957872</c:v>
                </c:pt>
                <c:pt idx="1676">
                  <c:v>23.39411915840098</c:v>
                </c:pt>
                <c:pt idx="1677">
                  <c:v>23.412223527223244</c:v>
                </c:pt>
                <c:pt idx="1678">
                  <c:v>23.430327896045508</c:v>
                </c:pt>
                <c:pt idx="1679">
                  <c:v>23.44843226486777</c:v>
                </c:pt>
                <c:pt idx="1680">
                  <c:v>23.466536633690037</c:v>
                </c:pt>
                <c:pt idx="1681">
                  <c:v>23.484641002512298</c:v>
                </c:pt>
                <c:pt idx="1682">
                  <c:v>23.502745371334562</c:v>
                </c:pt>
                <c:pt idx="1683">
                  <c:v>23.520849740156827</c:v>
                </c:pt>
                <c:pt idx="1684">
                  <c:v>23.53895410897909</c:v>
                </c:pt>
                <c:pt idx="1685">
                  <c:v>23.557058477801352</c:v>
                </c:pt>
                <c:pt idx="1686">
                  <c:v>23.57516284662362</c:v>
                </c:pt>
                <c:pt idx="1687">
                  <c:v>23.59326721544588</c:v>
                </c:pt>
                <c:pt idx="1688">
                  <c:v>23.611371584268145</c:v>
                </c:pt>
                <c:pt idx="1689">
                  <c:v>23.62947595309041</c:v>
                </c:pt>
                <c:pt idx="1690">
                  <c:v>23.647580321912674</c:v>
                </c:pt>
                <c:pt idx="1691">
                  <c:v>23.665684690734935</c:v>
                </c:pt>
                <c:pt idx="1692">
                  <c:v>23.6837890595572</c:v>
                </c:pt>
                <c:pt idx="1693">
                  <c:v>23.701893428379464</c:v>
                </c:pt>
                <c:pt idx="1694">
                  <c:v>23.719997797201724</c:v>
                </c:pt>
                <c:pt idx="1695">
                  <c:v>23.73810216602399</c:v>
                </c:pt>
                <c:pt idx="1696">
                  <c:v>23.756206534846253</c:v>
                </c:pt>
                <c:pt idx="1697">
                  <c:v>23.774310903668518</c:v>
                </c:pt>
                <c:pt idx="1698">
                  <c:v>23.79241527249078</c:v>
                </c:pt>
                <c:pt idx="1699">
                  <c:v>23.810519641313046</c:v>
                </c:pt>
                <c:pt idx="1700">
                  <c:v>23.828624010135307</c:v>
                </c:pt>
                <c:pt idx="1701">
                  <c:v>23.84672837895757</c:v>
                </c:pt>
                <c:pt idx="1702">
                  <c:v>23.864832747779836</c:v>
                </c:pt>
                <c:pt idx="1703">
                  <c:v>23.8829371166021</c:v>
                </c:pt>
                <c:pt idx="1704">
                  <c:v>23.90104148542436</c:v>
                </c:pt>
                <c:pt idx="1705">
                  <c:v>23.91914585424663</c:v>
                </c:pt>
                <c:pt idx="1706">
                  <c:v>23.93725022306889</c:v>
                </c:pt>
                <c:pt idx="1707">
                  <c:v>23.955354591891155</c:v>
                </c:pt>
                <c:pt idx="1708">
                  <c:v>23.97345896071342</c:v>
                </c:pt>
                <c:pt idx="1709">
                  <c:v>23.99156332953568</c:v>
                </c:pt>
                <c:pt idx="1710">
                  <c:v>24.009667698357944</c:v>
                </c:pt>
                <c:pt idx="1711">
                  <c:v>24.02777206718021</c:v>
                </c:pt>
                <c:pt idx="1712">
                  <c:v>24.045876436002473</c:v>
                </c:pt>
                <c:pt idx="1713">
                  <c:v>24.063980804824734</c:v>
                </c:pt>
                <c:pt idx="1714">
                  <c:v>24.082085173647002</c:v>
                </c:pt>
                <c:pt idx="1715">
                  <c:v>24.100189542469263</c:v>
                </c:pt>
                <c:pt idx="1716">
                  <c:v>24.118293911291527</c:v>
                </c:pt>
                <c:pt idx="1717">
                  <c:v>24.13639828011379</c:v>
                </c:pt>
                <c:pt idx="1718">
                  <c:v>24.154502648936056</c:v>
                </c:pt>
                <c:pt idx="1719">
                  <c:v>24.172607017758317</c:v>
                </c:pt>
                <c:pt idx="1720">
                  <c:v>24.190711386580585</c:v>
                </c:pt>
                <c:pt idx="1721">
                  <c:v>24.208815755402846</c:v>
                </c:pt>
                <c:pt idx="1722">
                  <c:v>24.22692012422511</c:v>
                </c:pt>
                <c:pt idx="1723">
                  <c:v>24.245024493047374</c:v>
                </c:pt>
                <c:pt idx="1724">
                  <c:v>24.263128861869635</c:v>
                </c:pt>
                <c:pt idx="1725">
                  <c:v>24.2812332306919</c:v>
                </c:pt>
                <c:pt idx="1726">
                  <c:v>24.299337599514164</c:v>
                </c:pt>
                <c:pt idx="1727">
                  <c:v>24.31744196833643</c:v>
                </c:pt>
                <c:pt idx="1728">
                  <c:v>24.33554633715869</c:v>
                </c:pt>
                <c:pt idx="1729">
                  <c:v>24.353650705980957</c:v>
                </c:pt>
                <c:pt idx="1730">
                  <c:v>24.371755074803218</c:v>
                </c:pt>
                <c:pt idx="1731">
                  <c:v>24.389859443625483</c:v>
                </c:pt>
                <c:pt idx="1732">
                  <c:v>24.407963812447747</c:v>
                </c:pt>
                <c:pt idx="1733">
                  <c:v>24.42606818127001</c:v>
                </c:pt>
                <c:pt idx="1734">
                  <c:v>24.444172550092272</c:v>
                </c:pt>
                <c:pt idx="1735">
                  <c:v>24.46227691891454</c:v>
                </c:pt>
                <c:pt idx="1736">
                  <c:v>24.4803812877368</c:v>
                </c:pt>
                <c:pt idx="1737">
                  <c:v>24.498485656559065</c:v>
                </c:pt>
                <c:pt idx="1738">
                  <c:v>24.51659002538133</c:v>
                </c:pt>
                <c:pt idx="1739">
                  <c:v>24.53469439420359</c:v>
                </c:pt>
                <c:pt idx="1740">
                  <c:v>24.552798763025855</c:v>
                </c:pt>
                <c:pt idx="1741">
                  <c:v>24.57090313184812</c:v>
                </c:pt>
                <c:pt idx="1742">
                  <c:v>24.589007500670384</c:v>
                </c:pt>
                <c:pt idx="1743">
                  <c:v>24.607111869492645</c:v>
                </c:pt>
                <c:pt idx="1744">
                  <c:v>24.625216238314913</c:v>
                </c:pt>
                <c:pt idx="1745">
                  <c:v>24.643320607137174</c:v>
                </c:pt>
                <c:pt idx="1746">
                  <c:v>24.661424975959438</c:v>
                </c:pt>
                <c:pt idx="1747">
                  <c:v>24.679529344781702</c:v>
                </c:pt>
                <c:pt idx="1748">
                  <c:v>24.697633713603967</c:v>
                </c:pt>
                <c:pt idx="1749">
                  <c:v>24.715738082426228</c:v>
                </c:pt>
                <c:pt idx="1750">
                  <c:v>24.733842451248496</c:v>
                </c:pt>
                <c:pt idx="1751">
                  <c:v>24.751946820070756</c:v>
                </c:pt>
                <c:pt idx="1752">
                  <c:v>24.77005118889302</c:v>
                </c:pt>
                <c:pt idx="1753">
                  <c:v>24.788155557715285</c:v>
                </c:pt>
                <c:pt idx="1754">
                  <c:v>24.806259926537546</c:v>
                </c:pt>
                <c:pt idx="1755">
                  <c:v>24.82436429535981</c:v>
                </c:pt>
                <c:pt idx="1756">
                  <c:v>24.842468664182075</c:v>
                </c:pt>
                <c:pt idx="1757">
                  <c:v>24.86057303300434</c:v>
                </c:pt>
                <c:pt idx="1758">
                  <c:v>24.8786774018266</c:v>
                </c:pt>
                <c:pt idx="1759">
                  <c:v>24.896781770648868</c:v>
                </c:pt>
                <c:pt idx="1760">
                  <c:v>24.91488613947113</c:v>
                </c:pt>
                <c:pt idx="1761">
                  <c:v>24.932990508293393</c:v>
                </c:pt>
                <c:pt idx="1762">
                  <c:v>24.951094877115658</c:v>
                </c:pt>
                <c:pt idx="1763">
                  <c:v>24.969199245937922</c:v>
                </c:pt>
                <c:pt idx="1764">
                  <c:v>24.987303614760183</c:v>
                </c:pt>
                <c:pt idx="1765">
                  <c:v>25.00540798358245</c:v>
                </c:pt>
                <c:pt idx="1766">
                  <c:v>25.023512352404712</c:v>
                </c:pt>
                <c:pt idx="1767">
                  <c:v>25.041616721226976</c:v>
                </c:pt>
                <c:pt idx="1768">
                  <c:v>25.05972109004924</c:v>
                </c:pt>
                <c:pt idx="1769">
                  <c:v>25.0778254588715</c:v>
                </c:pt>
                <c:pt idx="1770">
                  <c:v>25.095929827693766</c:v>
                </c:pt>
                <c:pt idx="1771">
                  <c:v>25.11403419651603</c:v>
                </c:pt>
                <c:pt idx="1772">
                  <c:v>25.132138565338295</c:v>
                </c:pt>
                <c:pt idx="1773">
                  <c:v>25.150242934160556</c:v>
                </c:pt>
                <c:pt idx="1774">
                  <c:v>25.168347302982824</c:v>
                </c:pt>
                <c:pt idx="1775">
                  <c:v>25.186451671805084</c:v>
                </c:pt>
                <c:pt idx="1776">
                  <c:v>25.20455604062735</c:v>
                </c:pt>
                <c:pt idx="1777">
                  <c:v>25.222660409449613</c:v>
                </c:pt>
                <c:pt idx="1778">
                  <c:v>25.240764778271878</c:v>
                </c:pt>
                <c:pt idx="1779">
                  <c:v>25.25886914709414</c:v>
                </c:pt>
                <c:pt idx="1780">
                  <c:v>25.276973515916406</c:v>
                </c:pt>
                <c:pt idx="1781">
                  <c:v>25.295077884738667</c:v>
                </c:pt>
                <c:pt idx="1782">
                  <c:v>25.31318225356093</c:v>
                </c:pt>
                <c:pt idx="1783">
                  <c:v>25.331286622383196</c:v>
                </c:pt>
                <c:pt idx="1784">
                  <c:v>25.349390991205457</c:v>
                </c:pt>
                <c:pt idx="1785">
                  <c:v>25.36749536002772</c:v>
                </c:pt>
                <c:pt idx="1786">
                  <c:v>25.385599728849986</c:v>
                </c:pt>
                <c:pt idx="1787">
                  <c:v>25.40370409767225</c:v>
                </c:pt>
                <c:pt idx="1788">
                  <c:v>25.42180846649451</c:v>
                </c:pt>
                <c:pt idx="1789">
                  <c:v>25.43991283531678</c:v>
                </c:pt>
                <c:pt idx="1790">
                  <c:v>25.45801720413904</c:v>
                </c:pt>
                <c:pt idx="1791">
                  <c:v>25.476121572961304</c:v>
                </c:pt>
                <c:pt idx="1792">
                  <c:v>25.49422594178357</c:v>
                </c:pt>
                <c:pt idx="1793">
                  <c:v>25.512330310605833</c:v>
                </c:pt>
                <c:pt idx="1794">
                  <c:v>25.530434679428094</c:v>
                </c:pt>
                <c:pt idx="1795">
                  <c:v>25.548539048250362</c:v>
                </c:pt>
                <c:pt idx="1796">
                  <c:v>25.566643417072623</c:v>
                </c:pt>
                <c:pt idx="1797">
                  <c:v>25.584747785894887</c:v>
                </c:pt>
                <c:pt idx="1798">
                  <c:v>25.60285215471715</c:v>
                </c:pt>
                <c:pt idx="1799">
                  <c:v>25.620956523539412</c:v>
                </c:pt>
                <c:pt idx="1800">
                  <c:v>25.639060892361677</c:v>
                </c:pt>
                <c:pt idx="1801">
                  <c:v>25.65716526118394</c:v>
                </c:pt>
                <c:pt idx="1802">
                  <c:v>25.675269630006206</c:v>
                </c:pt>
                <c:pt idx="1803">
                  <c:v>25.693373998828466</c:v>
                </c:pt>
                <c:pt idx="1804">
                  <c:v>25.711478367650734</c:v>
                </c:pt>
                <c:pt idx="1805">
                  <c:v>25.729582736472995</c:v>
                </c:pt>
                <c:pt idx="1806">
                  <c:v>25.74768710529526</c:v>
                </c:pt>
                <c:pt idx="1807">
                  <c:v>25.765791474117524</c:v>
                </c:pt>
                <c:pt idx="1808">
                  <c:v>25.78389584293979</c:v>
                </c:pt>
                <c:pt idx="1809">
                  <c:v>25.80200021176205</c:v>
                </c:pt>
                <c:pt idx="1810">
                  <c:v>25.820104580584314</c:v>
                </c:pt>
                <c:pt idx="1811">
                  <c:v>25.838208949406578</c:v>
                </c:pt>
                <c:pt idx="1812">
                  <c:v>25.856313318228842</c:v>
                </c:pt>
                <c:pt idx="1813">
                  <c:v>25.874417687051107</c:v>
                </c:pt>
                <c:pt idx="1814">
                  <c:v>25.892522055873368</c:v>
                </c:pt>
                <c:pt idx="1815">
                  <c:v>25.910626424695632</c:v>
                </c:pt>
                <c:pt idx="1816">
                  <c:v>25.928730793517893</c:v>
                </c:pt>
                <c:pt idx="1817">
                  <c:v>25.94683516234016</c:v>
                </c:pt>
                <c:pt idx="1818">
                  <c:v>25.964939531162422</c:v>
                </c:pt>
                <c:pt idx="1819">
                  <c:v>25.98304389998469</c:v>
                </c:pt>
                <c:pt idx="1820">
                  <c:v>26.00114826880695</c:v>
                </c:pt>
                <c:pt idx="1821">
                  <c:v>26.019252637629215</c:v>
                </c:pt>
                <c:pt idx="1822">
                  <c:v>26.037357006451476</c:v>
                </c:pt>
                <c:pt idx="1823">
                  <c:v>26.055461375273744</c:v>
                </c:pt>
                <c:pt idx="1824">
                  <c:v>26.073565744096005</c:v>
                </c:pt>
                <c:pt idx="1825">
                  <c:v>26.091670112918273</c:v>
                </c:pt>
                <c:pt idx="1826">
                  <c:v>26.109774481740534</c:v>
                </c:pt>
                <c:pt idx="1827">
                  <c:v>26.127878850562798</c:v>
                </c:pt>
                <c:pt idx="1828">
                  <c:v>26.14598321938506</c:v>
                </c:pt>
                <c:pt idx="1829">
                  <c:v>26.164087588207323</c:v>
                </c:pt>
                <c:pt idx="1830">
                  <c:v>26.182191957029588</c:v>
                </c:pt>
                <c:pt idx="1831">
                  <c:v>26.200296325851852</c:v>
                </c:pt>
                <c:pt idx="1832">
                  <c:v>26.218400694674116</c:v>
                </c:pt>
                <c:pt idx="1833">
                  <c:v>26.236505063496377</c:v>
                </c:pt>
                <c:pt idx="1834">
                  <c:v>26.25460943231864</c:v>
                </c:pt>
                <c:pt idx="1835">
                  <c:v>26.272713801140906</c:v>
                </c:pt>
                <c:pt idx="1836">
                  <c:v>26.29081816996317</c:v>
                </c:pt>
                <c:pt idx="1837">
                  <c:v>26.30892253878543</c:v>
                </c:pt>
                <c:pt idx="1838">
                  <c:v>26.3270269076077</c:v>
                </c:pt>
                <c:pt idx="1839">
                  <c:v>26.34513127642996</c:v>
                </c:pt>
                <c:pt idx="1840">
                  <c:v>26.363235645252225</c:v>
                </c:pt>
                <c:pt idx="1841">
                  <c:v>26.38134001407449</c:v>
                </c:pt>
                <c:pt idx="1842">
                  <c:v>26.399444382896753</c:v>
                </c:pt>
                <c:pt idx="1843">
                  <c:v>26.417548751719014</c:v>
                </c:pt>
                <c:pt idx="1844">
                  <c:v>26.43565312054128</c:v>
                </c:pt>
                <c:pt idx="1845">
                  <c:v>26.453757489363543</c:v>
                </c:pt>
                <c:pt idx="1846">
                  <c:v>26.471861858185804</c:v>
                </c:pt>
                <c:pt idx="1847">
                  <c:v>26.489966227008072</c:v>
                </c:pt>
                <c:pt idx="1848">
                  <c:v>26.508070595830333</c:v>
                </c:pt>
                <c:pt idx="1849">
                  <c:v>26.526174964652597</c:v>
                </c:pt>
                <c:pt idx="1850">
                  <c:v>26.54427933347486</c:v>
                </c:pt>
                <c:pt idx="1851">
                  <c:v>26.562383702297126</c:v>
                </c:pt>
                <c:pt idx="1852">
                  <c:v>26.580488071119387</c:v>
                </c:pt>
                <c:pt idx="1853">
                  <c:v>26.59859243994165</c:v>
                </c:pt>
                <c:pt idx="1854">
                  <c:v>26.616696808763916</c:v>
                </c:pt>
                <c:pt idx="1855">
                  <c:v>26.63480117758618</c:v>
                </c:pt>
                <c:pt idx="1856">
                  <c:v>26.652905546408444</c:v>
                </c:pt>
                <c:pt idx="1857">
                  <c:v>26.67100991523071</c:v>
                </c:pt>
                <c:pt idx="1858">
                  <c:v>26.68911428405297</c:v>
                </c:pt>
                <c:pt idx="1859">
                  <c:v>26.707218652875234</c:v>
                </c:pt>
                <c:pt idx="1860">
                  <c:v>26.7253230216975</c:v>
                </c:pt>
                <c:pt idx="1861">
                  <c:v>26.74342739051976</c:v>
                </c:pt>
                <c:pt idx="1862">
                  <c:v>26.761531759342027</c:v>
                </c:pt>
                <c:pt idx="1863">
                  <c:v>26.779636128164288</c:v>
                </c:pt>
                <c:pt idx="1864">
                  <c:v>26.797740496986552</c:v>
                </c:pt>
                <c:pt idx="1865">
                  <c:v>26.815844865808813</c:v>
                </c:pt>
                <c:pt idx="1866">
                  <c:v>26.83394923463108</c:v>
                </c:pt>
                <c:pt idx="1867">
                  <c:v>26.852053603453342</c:v>
                </c:pt>
                <c:pt idx="1868">
                  <c:v>26.87015797227561</c:v>
                </c:pt>
                <c:pt idx="1869">
                  <c:v>26.88826234109787</c:v>
                </c:pt>
                <c:pt idx="1870">
                  <c:v>26.906366709920135</c:v>
                </c:pt>
                <c:pt idx="1871">
                  <c:v>26.924471078742396</c:v>
                </c:pt>
                <c:pt idx="1872">
                  <c:v>26.942575447564664</c:v>
                </c:pt>
                <c:pt idx="1873">
                  <c:v>26.960679816386925</c:v>
                </c:pt>
                <c:pt idx="1874">
                  <c:v>26.97878418520919</c:v>
                </c:pt>
                <c:pt idx="1875">
                  <c:v>26.996888554031454</c:v>
                </c:pt>
                <c:pt idx="1876">
                  <c:v>27.014992922853715</c:v>
                </c:pt>
                <c:pt idx="1877">
                  <c:v>27.03309729167598</c:v>
                </c:pt>
                <c:pt idx="1878">
                  <c:v>27.051201660498243</c:v>
                </c:pt>
                <c:pt idx="1879">
                  <c:v>27.069306029320508</c:v>
                </c:pt>
                <c:pt idx="1880">
                  <c:v>27.08741039814277</c:v>
                </c:pt>
                <c:pt idx="1881">
                  <c:v>27.105514766965037</c:v>
                </c:pt>
                <c:pt idx="1882">
                  <c:v>27.123619135787298</c:v>
                </c:pt>
                <c:pt idx="1883">
                  <c:v>27.141723504609562</c:v>
                </c:pt>
                <c:pt idx="1884">
                  <c:v>27.159827873431826</c:v>
                </c:pt>
                <c:pt idx="1885">
                  <c:v>27.17793224225409</c:v>
                </c:pt>
                <c:pt idx="1886">
                  <c:v>27.19603661107635</c:v>
                </c:pt>
                <c:pt idx="1887">
                  <c:v>27.21414097989862</c:v>
                </c:pt>
                <c:pt idx="1888">
                  <c:v>27.23224534872088</c:v>
                </c:pt>
                <c:pt idx="1889">
                  <c:v>27.250349717543145</c:v>
                </c:pt>
                <c:pt idx="1890">
                  <c:v>27.26845408636541</c:v>
                </c:pt>
                <c:pt idx="1891">
                  <c:v>27.28655845518767</c:v>
                </c:pt>
                <c:pt idx="1892">
                  <c:v>27.304662824009934</c:v>
                </c:pt>
                <c:pt idx="1893">
                  <c:v>27.3227671928322</c:v>
                </c:pt>
                <c:pt idx="1894">
                  <c:v>27.340871561654463</c:v>
                </c:pt>
                <c:pt idx="1895">
                  <c:v>27.358975930476724</c:v>
                </c:pt>
                <c:pt idx="1896">
                  <c:v>27.377080299298992</c:v>
                </c:pt>
                <c:pt idx="1897">
                  <c:v>27.395184668121253</c:v>
                </c:pt>
                <c:pt idx="1898">
                  <c:v>27.413289036943517</c:v>
                </c:pt>
                <c:pt idx="1899">
                  <c:v>27.431393405765782</c:v>
                </c:pt>
                <c:pt idx="1900">
                  <c:v>27.449497774588046</c:v>
                </c:pt>
                <c:pt idx="1901">
                  <c:v>27.467602143410307</c:v>
                </c:pt>
                <c:pt idx="1902">
                  <c:v>27.485706512232575</c:v>
                </c:pt>
                <c:pt idx="1903">
                  <c:v>27.503810881054836</c:v>
                </c:pt>
                <c:pt idx="1904">
                  <c:v>27.5219152498771</c:v>
                </c:pt>
                <c:pt idx="1905">
                  <c:v>27.540019618699365</c:v>
                </c:pt>
                <c:pt idx="1906">
                  <c:v>27.558123987521626</c:v>
                </c:pt>
                <c:pt idx="1907">
                  <c:v>27.57622835634389</c:v>
                </c:pt>
                <c:pt idx="1908">
                  <c:v>27.594332725166154</c:v>
                </c:pt>
                <c:pt idx="1909">
                  <c:v>27.61243709398842</c:v>
                </c:pt>
                <c:pt idx="1910">
                  <c:v>27.63054146281068</c:v>
                </c:pt>
                <c:pt idx="1911">
                  <c:v>27.648645831632948</c:v>
                </c:pt>
                <c:pt idx="1912">
                  <c:v>27.66675020045521</c:v>
                </c:pt>
                <c:pt idx="1913">
                  <c:v>27.684854569277473</c:v>
                </c:pt>
                <c:pt idx="1914">
                  <c:v>27.702958938099737</c:v>
                </c:pt>
                <c:pt idx="1915">
                  <c:v>27.721063306922</c:v>
                </c:pt>
                <c:pt idx="1916">
                  <c:v>27.739167675744262</c:v>
                </c:pt>
                <c:pt idx="1917">
                  <c:v>27.75727204456653</c:v>
                </c:pt>
                <c:pt idx="1918">
                  <c:v>27.77537641338879</c:v>
                </c:pt>
                <c:pt idx="1919">
                  <c:v>27.793480782211056</c:v>
                </c:pt>
                <c:pt idx="1920">
                  <c:v>27.81158515103332</c:v>
                </c:pt>
                <c:pt idx="1921">
                  <c:v>27.82968951985558</c:v>
                </c:pt>
                <c:pt idx="1922">
                  <c:v>27.847793888677845</c:v>
                </c:pt>
                <c:pt idx="1923">
                  <c:v>27.86589825750011</c:v>
                </c:pt>
                <c:pt idx="1924">
                  <c:v>27.884002626322374</c:v>
                </c:pt>
                <c:pt idx="1925">
                  <c:v>27.902106995144635</c:v>
                </c:pt>
                <c:pt idx="1926">
                  <c:v>27.920211363966903</c:v>
                </c:pt>
                <c:pt idx="1927">
                  <c:v>27.938315732789164</c:v>
                </c:pt>
                <c:pt idx="1928">
                  <c:v>27.956420101611428</c:v>
                </c:pt>
                <c:pt idx="1929">
                  <c:v>27.974524470433693</c:v>
                </c:pt>
                <c:pt idx="1930">
                  <c:v>27.992628839255957</c:v>
                </c:pt>
                <c:pt idx="1931">
                  <c:v>28.010733208078218</c:v>
                </c:pt>
                <c:pt idx="1932">
                  <c:v>28.028837576900486</c:v>
                </c:pt>
                <c:pt idx="1933">
                  <c:v>28.046941945722747</c:v>
                </c:pt>
                <c:pt idx="1934">
                  <c:v>28.06504631454501</c:v>
                </c:pt>
                <c:pt idx="1935">
                  <c:v>28.083150683367275</c:v>
                </c:pt>
                <c:pt idx="1936">
                  <c:v>28.101255052189536</c:v>
                </c:pt>
                <c:pt idx="1937">
                  <c:v>28.1193594210118</c:v>
                </c:pt>
                <c:pt idx="1938">
                  <c:v>28.137463789834065</c:v>
                </c:pt>
                <c:pt idx="1939">
                  <c:v>28.15556815865633</c:v>
                </c:pt>
                <c:pt idx="1940">
                  <c:v>28.17367252747859</c:v>
                </c:pt>
                <c:pt idx="1941">
                  <c:v>28.19177689630086</c:v>
                </c:pt>
                <c:pt idx="1942">
                  <c:v>28.20988126512312</c:v>
                </c:pt>
                <c:pt idx="1943">
                  <c:v>28.227985633945384</c:v>
                </c:pt>
                <c:pt idx="1944">
                  <c:v>28.246090002767648</c:v>
                </c:pt>
                <c:pt idx="1945">
                  <c:v>28.264194371589912</c:v>
                </c:pt>
                <c:pt idx="1946">
                  <c:v>28.282298740412173</c:v>
                </c:pt>
                <c:pt idx="1947">
                  <c:v>28.30040310923444</c:v>
                </c:pt>
                <c:pt idx="1948">
                  <c:v>28.318507478056702</c:v>
                </c:pt>
                <c:pt idx="1949">
                  <c:v>28.336611846878967</c:v>
                </c:pt>
                <c:pt idx="1950">
                  <c:v>28.35471621570123</c:v>
                </c:pt>
                <c:pt idx="1951">
                  <c:v>28.37282058452349</c:v>
                </c:pt>
                <c:pt idx="1952">
                  <c:v>28.390924953345756</c:v>
                </c:pt>
                <c:pt idx="1953">
                  <c:v>28.40902932216802</c:v>
                </c:pt>
                <c:pt idx="1954">
                  <c:v>28.427133690990285</c:v>
                </c:pt>
                <c:pt idx="1955">
                  <c:v>28.445238059812546</c:v>
                </c:pt>
                <c:pt idx="1956">
                  <c:v>28.463342428634814</c:v>
                </c:pt>
                <c:pt idx="1957">
                  <c:v>28.481446797457075</c:v>
                </c:pt>
                <c:pt idx="1958">
                  <c:v>28.49955116627934</c:v>
                </c:pt>
                <c:pt idx="1959">
                  <c:v>28.517655535101603</c:v>
                </c:pt>
                <c:pt idx="1960">
                  <c:v>28.535759903923868</c:v>
                </c:pt>
                <c:pt idx="1961">
                  <c:v>28.55386427274613</c:v>
                </c:pt>
                <c:pt idx="1962">
                  <c:v>28.571968641568397</c:v>
                </c:pt>
                <c:pt idx="1963">
                  <c:v>28.590073010390658</c:v>
                </c:pt>
                <c:pt idx="1964">
                  <c:v>28.608177379212922</c:v>
                </c:pt>
                <c:pt idx="1965">
                  <c:v>28.626281748035186</c:v>
                </c:pt>
                <c:pt idx="1966">
                  <c:v>28.644386116857447</c:v>
                </c:pt>
                <c:pt idx="1967">
                  <c:v>28.66249048567971</c:v>
                </c:pt>
                <c:pt idx="1968">
                  <c:v>28.680594854501976</c:v>
                </c:pt>
                <c:pt idx="1969">
                  <c:v>28.69869922332424</c:v>
                </c:pt>
                <c:pt idx="1970">
                  <c:v>28.7168035921465</c:v>
                </c:pt>
                <c:pt idx="1971">
                  <c:v>28.73490796096877</c:v>
                </c:pt>
                <c:pt idx="1972">
                  <c:v>28.75301232979103</c:v>
                </c:pt>
                <c:pt idx="1973">
                  <c:v>28.771116698613294</c:v>
                </c:pt>
                <c:pt idx="1974">
                  <c:v>28.78922106743556</c:v>
                </c:pt>
                <c:pt idx="1975">
                  <c:v>28.80732543625782</c:v>
                </c:pt>
                <c:pt idx="1976">
                  <c:v>28.825429805080084</c:v>
                </c:pt>
                <c:pt idx="1977">
                  <c:v>28.843534173902352</c:v>
                </c:pt>
                <c:pt idx="1978">
                  <c:v>28.86163854272461</c:v>
                </c:pt>
                <c:pt idx="1979">
                  <c:v>28.879742911546877</c:v>
                </c:pt>
                <c:pt idx="1980">
                  <c:v>28.89784728036914</c:v>
                </c:pt>
                <c:pt idx="1981">
                  <c:v>28.915951649191403</c:v>
                </c:pt>
                <c:pt idx="1982">
                  <c:v>28.934056018013667</c:v>
                </c:pt>
                <c:pt idx="1983">
                  <c:v>28.95216038683593</c:v>
                </c:pt>
                <c:pt idx="1984">
                  <c:v>28.9702647556582</c:v>
                </c:pt>
                <c:pt idx="1985">
                  <c:v>28.988369124480457</c:v>
                </c:pt>
                <c:pt idx="1986">
                  <c:v>29.006473493302725</c:v>
                </c:pt>
                <c:pt idx="1987">
                  <c:v>29.024577862124982</c:v>
                </c:pt>
                <c:pt idx="1988">
                  <c:v>29.04268223094725</c:v>
                </c:pt>
                <c:pt idx="1989">
                  <c:v>29.060786599769514</c:v>
                </c:pt>
                <c:pt idx="1990">
                  <c:v>29.078890968591775</c:v>
                </c:pt>
                <c:pt idx="1991">
                  <c:v>29.09699533741404</c:v>
                </c:pt>
                <c:pt idx="1992">
                  <c:v>29.115099706236307</c:v>
                </c:pt>
                <c:pt idx="1993">
                  <c:v>29.133204075058565</c:v>
                </c:pt>
                <c:pt idx="1994">
                  <c:v>29.151308443880833</c:v>
                </c:pt>
                <c:pt idx="1995">
                  <c:v>29.169412812703097</c:v>
                </c:pt>
                <c:pt idx="1996">
                  <c:v>29.18751718152536</c:v>
                </c:pt>
                <c:pt idx="1997">
                  <c:v>29.205621550347622</c:v>
                </c:pt>
                <c:pt idx="1998">
                  <c:v>29.223725919169887</c:v>
                </c:pt>
                <c:pt idx="1999">
                  <c:v>29.241830287992148</c:v>
                </c:pt>
                <c:pt idx="2000">
                  <c:v>29.259934656814412</c:v>
                </c:pt>
                <c:pt idx="2001">
                  <c:v>29.27803902563668</c:v>
                </c:pt>
                <c:pt idx="2002">
                  <c:v>29.296143394458937</c:v>
                </c:pt>
                <c:pt idx="2003">
                  <c:v>29.314247763281205</c:v>
                </c:pt>
                <c:pt idx="2004">
                  <c:v>29.33235213210347</c:v>
                </c:pt>
                <c:pt idx="2005">
                  <c:v>29.35045650092573</c:v>
                </c:pt>
                <c:pt idx="2006">
                  <c:v>29.368560869747995</c:v>
                </c:pt>
                <c:pt idx="2007">
                  <c:v>29.386665238570263</c:v>
                </c:pt>
                <c:pt idx="2008">
                  <c:v>29.404769607392527</c:v>
                </c:pt>
                <c:pt idx="2009">
                  <c:v>29.422873976214788</c:v>
                </c:pt>
                <c:pt idx="2010">
                  <c:v>29.440978345037053</c:v>
                </c:pt>
                <c:pt idx="2011">
                  <c:v>29.459082713859313</c:v>
                </c:pt>
                <c:pt idx="2012">
                  <c:v>29.477187082681578</c:v>
                </c:pt>
                <c:pt idx="2013">
                  <c:v>29.495291451503842</c:v>
                </c:pt>
                <c:pt idx="2014">
                  <c:v>29.513395820326103</c:v>
                </c:pt>
                <c:pt idx="2015">
                  <c:v>29.531500189148367</c:v>
                </c:pt>
                <c:pt idx="2016">
                  <c:v>29.549604557970635</c:v>
                </c:pt>
                <c:pt idx="2017">
                  <c:v>29.567708926792893</c:v>
                </c:pt>
                <c:pt idx="2018">
                  <c:v>29.58581329561516</c:v>
                </c:pt>
                <c:pt idx="2019">
                  <c:v>29.603917664437425</c:v>
                </c:pt>
                <c:pt idx="2020">
                  <c:v>29.622022033259693</c:v>
                </c:pt>
                <c:pt idx="2021">
                  <c:v>29.64012640208195</c:v>
                </c:pt>
                <c:pt idx="2022">
                  <c:v>29.65823077090422</c:v>
                </c:pt>
                <c:pt idx="2023">
                  <c:v>29.676335139726476</c:v>
                </c:pt>
                <c:pt idx="2024">
                  <c:v>29.694439508548744</c:v>
                </c:pt>
                <c:pt idx="2025">
                  <c:v>29.712543877371008</c:v>
                </c:pt>
                <c:pt idx="2026">
                  <c:v>29.73064824619327</c:v>
                </c:pt>
                <c:pt idx="2027">
                  <c:v>29.748752615015533</c:v>
                </c:pt>
                <c:pt idx="2028">
                  <c:v>29.766856983837798</c:v>
                </c:pt>
                <c:pt idx="2029">
                  <c:v>29.78496135266006</c:v>
                </c:pt>
                <c:pt idx="2030">
                  <c:v>29.803065721482323</c:v>
                </c:pt>
                <c:pt idx="2031">
                  <c:v>29.82117009030459</c:v>
                </c:pt>
                <c:pt idx="2032">
                  <c:v>29.839274459126848</c:v>
                </c:pt>
                <c:pt idx="2033">
                  <c:v>29.857378827949116</c:v>
                </c:pt>
                <c:pt idx="2034">
                  <c:v>29.87548319677138</c:v>
                </c:pt>
                <c:pt idx="2035">
                  <c:v>29.89358756559364</c:v>
                </c:pt>
                <c:pt idx="2036">
                  <c:v>29.911691934415906</c:v>
                </c:pt>
                <c:pt idx="2037">
                  <c:v>29.929796303238174</c:v>
                </c:pt>
                <c:pt idx="2038">
                  <c:v>29.94790067206043</c:v>
                </c:pt>
                <c:pt idx="2039">
                  <c:v>29.9660050408827</c:v>
                </c:pt>
                <c:pt idx="2040">
                  <c:v>29.984109409704963</c:v>
                </c:pt>
                <c:pt idx="2041">
                  <c:v>30.002213778527224</c:v>
                </c:pt>
                <c:pt idx="2042">
                  <c:v>30.02031814734949</c:v>
                </c:pt>
                <c:pt idx="2043">
                  <c:v>30.038422516171753</c:v>
                </c:pt>
                <c:pt idx="2044">
                  <c:v>30.056526884994014</c:v>
                </c:pt>
                <c:pt idx="2045">
                  <c:v>30.07463125381628</c:v>
                </c:pt>
                <c:pt idx="2046">
                  <c:v>30.092735622638546</c:v>
                </c:pt>
                <c:pt idx="2047">
                  <c:v>30.110839991460804</c:v>
                </c:pt>
                <c:pt idx="2048">
                  <c:v>30.12894436028307</c:v>
                </c:pt>
                <c:pt idx="2049">
                  <c:v>30.147048729105336</c:v>
                </c:pt>
                <c:pt idx="2050">
                  <c:v>30.165153097927597</c:v>
                </c:pt>
                <c:pt idx="2051">
                  <c:v>30.18325746674986</c:v>
                </c:pt>
                <c:pt idx="2052">
                  <c:v>30.20136183557213</c:v>
                </c:pt>
                <c:pt idx="2053">
                  <c:v>30.219466204394386</c:v>
                </c:pt>
                <c:pt idx="2054">
                  <c:v>30.237570573216654</c:v>
                </c:pt>
                <c:pt idx="2055">
                  <c:v>30.25567494203892</c:v>
                </c:pt>
                <c:pt idx="2056">
                  <c:v>30.27377931086118</c:v>
                </c:pt>
                <c:pt idx="2057">
                  <c:v>30.291883679683444</c:v>
                </c:pt>
                <c:pt idx="2058">
                  <c:v>30.30998804850571</c:v>
                </c:pt>
                <c:pt idx="2059">
                  <c:v>30.32809241732797</c:v>
                </c:pt>
                <c:pt idx="2060">
                  <c:v>30.346196786150234</c:v>
                </c:pt>
                <c:pt idx="2061">
                  <c:v>30.3643011549725</c:v>
                </c:pt>
                <c:pt idx="2062">
                  <c:v>30.38240552379476</c:v>
                </c:pt>
                <c:pt idx="2063">
                  <c:v>30.400509892617027</c:v>
                </c:pt>
                <c:pt idx="2064">
                  <c:v>30.418614261439284</c:v>
                </c:pt>
                <c:pt idx="2065">
                  <c:v>30.436718630261552</c:v>
                </c:pt>
                <c:pt idx="2066">
                  <c:v>30.454822999083817</c:v>
                </c:pt>
                <c:pt idx="2067">
                  <c:v>30.472927367906085</c:v>
                </c:pt>
                <c:pt idx="2068">
                  <c:v>30.491031736728342</c:v>
                </c:pt>
                <c:pt idx="2069">
                  <c:v>30.50913610555061</c:v>
                </c:pt>
                <c:pt idx="2070">
                  <c:v>30.527240474372874</c:v>
                </c:pt>
                <c:pt idx="2071">
                  <c:v>30.545344843195135</c:v>
                </c:pt>
                <c:pt idx="2072">
                  <c:v>30.5634492120174</c:v>
                </c:pt>
                <c:pt idx="2073">
                  <c:v>30.581553580839664</c:v>
                </c:pt>
                <c:pt idx="2074">
                  <c:v>30.599657949661925</c:v>
                </c:pt>
                <c:pt idx="2075">
                  <c:v>30.61776231848419</c:v>
                </c:pt>
                <c:pt idx="2076">
                  <c:v>30.63586668730645</c:v>
                </c:pt>
                <c:pt idx="2077">
                  <c:v>30.653971056128714</c:v>
                </c:pt>
                <c:pt idx="2078">
                  <c:v>30.672075424950982</c:v>
                </c:pt>
                <c:pt idx="2079">
                  <c:v>30.690179793773247</c:v>
                </c:pt>
                <c:pt idx="2080">
                  <c:v>30.708284162595508</c:v>
                </c:pt>
                <c:pt idx="2081">
                  <c:v>30.726388531417772</c:v>
                </c:pt>
                <c:pt idx="2082">
                  <c:v>30.74449290024004</c:v>
                </c:pt>
                <c:pt idx="2083">
                  <c:v>30.762597269062297</c:v>
                </c:pt>
                <c:pt idx="2084">
                  <c:v>30.780701637884565</c:v>
                </c:pt>
                <c:pt idx="2085">
                  <c:v>30.79880600670683</c:v>
                </c:pt>
                <c:pt idx="2086">
                  <c:v>30.81691037552909</c:v>
                </c:pt>
                <c:pt idx="2087">
                  <c:v>30.835014744351355</c:v>
                </c:pt>
                <c:pt idx="2088">
                  <c:v>30.853119113173616</c:v>
                </c:pt>
                <c:pt idx="2089">
                  <c:v>30.87122348199588</c:v>
                </c:pt>
                <c:pt idx="2090">
                  <c:v>30.889327850818145</c:v>
                </c:pt>
                <c:pt idx="2091">
                  <c:v>30.907432219640413</c:v>
                </c:pt>
                <c:pt idx="2092">
                  <c:v>30.92553658846267</c:v>
                </c:pt>
                <c:pt idx="2093">
                  <c:v>30.943640957284938</c:v>
                </c:pt>
                <c:pt idx="2094">
                  <c:v>30.961745326107202</c:v>
                </c:pt>
                <c:pt idx="2095">
                  <c:v>30.979849694929463</c:v>
                </c:pt>
                <c:pt idx="2096">
                  <c:v>30.997954063751727</c:v>
                </c:pt>
                <c:pt idx="2097">
                  <c:v>31.016058432573995</c:v>
                </c:pt>
                <c:pt idx="2098">
                  <c:v>31.034162801396253</c:v>
                </c:pt>
                <c:pt idx="2099">
                  <c:v>31.05226717021852</c:v>
                </c:pt>
                <c:pt idx="2100">
                  <c:v>31.070371539040778</c:v>
                </c:pt>
                <c:pt idx="2101">
                  <c:v>31.088475907863046</c:v>
                </c:pt>
                <c:pt idx="2102">
                  <c:v>31.10658027668531</c:v>
                </c:pt>
                <c:pt idx="2103">
                  <c:v>31.124684645507575</c:v>
                </c:pt>
                <c:pt idx="2104">
                  <c:v>31.142789014329836</c:v>
                </c:pt>
                <c:pt idx="2105">
                  <c:v>31.1608933831521</c:v>
                </c:pt>
                <c:pt idx="2106">
                  <c:v>31.17899775197436</c:v>
                </c:pt>
                <c:pt idx="2107">
                  <c:v>31.197102120796625</c:v>
                </c:pt>
                <c:pt idx="2108">
                  <c:v>31.215206489618893</c:v>
                </c:pt>
                <c:pt idx="2109">
                  <c:v>31.233310858441158</c:v>
                </c:pt>
                <c:pt idx="2110">
                  <c:v>31.25141522726342</c:v>
                </c:pt>
                <c:pt idx="2111">
                  <c:v>31.269519596085683</c:v>
                </c:pt>
                <c:pt idx="2112">
                  <c:v>31.287623964907944</c:v>
                </c:pt>
                <c:pt idx="2113">
                  <c:v>31.305728333730208</c:v>
                </c:pt>
                <c:pt idx="2114">
                  <c:v>31.323832702552476</c:v>
                </c:pt>
                <c:pt idx="2115">
                  <c:v>31.34193707137474</c:v>
                </c:pt>
                <c:pt idx="2116">
                  <c:v>31.360041440197</c:v>
                </c:pt>
                <c:pt idx="2117">
                  <c:v>31.378145809019266</c:v>
                </c:pt>
                <c:pt idx="2118">
                  <c:v>31.396250177841527</c:v>
                </c:pt>
                <c:pt idx="2119">
                  <c:v>31.41435454666379</c:v>
                </c:pt>
                <c:pt idx="2120">
                  <c:v>31.432458915486055</c:v>
                </c:pt>
                <c:pt idx="2121">
                  <c:v>31.450563284308323</c:v>
                </c:pt>
                <c:pt idx="2122">
                  <c:v>31.46866765313058</c:v>
                </c:pt>
                <c:pt idx="2123">
                  <c:v>31.48677202195285</c:v>
                </c:pt>
                <c:pt idx="2124">
                  <c:v>31.504876390775106</c:v>
                </c:pt>
                <c:pt idx="2125">
                  <c:v>31.522980759597374</c:v>
                </c:pt>
                <c:pt idx="2126">
                  <c:v>31.54108512841964</c:v>
                </c:pt>
                <c:pt idx="2127">
                  <c:v>31.559189497241906</c:v>
                </c:pt>
                <c:pt idx="2128">
                  <c:v>31.577293866064164</c:v>
                </c:pt>
                <c:pt idx="2129">
                  <c:v>31.59539823488643</c:v>
                </c:pt>
                <c:pt idx="2130">
                  <c:v>31.61350260370869</c:v>
                </c:pt>
                <c:pt idx="2131">
                  <c:v>31.631606972530957</c:v>
                </c:pt>
                <c:pt idx="2132">
                  <c:v>31.64971134135322</c:v>
                </c:pt>
                <c:pt idx="2133">
                  <c:v>31.667815710175486</c:v>
                </c:pt>
                <c:pt idx="2134">
                  <c:v>31.685920078997746</c:v>
                </c:pt>
                <c:pt idx="2135">
                  <c:v>31.70402444782001</c:v>
                </c:pt>
                <c:pt idx="2136">
                  <c:v>31.72212881664227</c:v>
                </c:pt>
                <c:pt idx="2137">
                  <c:v>31.740233185464536</c:v>
                </c:pt>
                <c:pt idx="2138">
                  <c:v>31.758337554286804</c:v>
                </c:pt>
                <c:pt idx="2139">
                  <c:v>31.77644192310907</c:v>
                </c:pt>
                <c:pt idx="2140">
                  <c:v>31.79454629193133</c:v>
                </c:pt>
                <c:pt idx="2141">
                  <c:v>31.812650660753594</c:v>
                </c:pt>
                <c:pt idx="2142">
                  <c:v>31.830755029575855</c:v>
                </c:pt>
                <c:pt idx="2143">
                  <c:v>31.84885939839812</c:v>
                </c:pt>
                <c:pt idx="2144">
                  <c:v>31.866963767220387</c:v>
                </c:pt>
                <c:pt idx="2145">
                  <c:v>31.88506813604265</c:v>
                </c:pt>
                <c:pt idx="2146">
                  <c:v>31.903172504864912</c:v>
                </c:pt>
                <c:pt idx="2147">
                  <c:v>31.921276873687177</c:v>
                </c:pt>
                <c:pt idx="2148">
                  <c:v>31.939381242509437</c:v>
                </c:pt>
                <c:pt idx="2149">
                  <c:v>31.957485611331702</c:v>
                </c:pt>
                <c:pt idx="2150">
                  <c:v>31.975589980153966</c:v>
                </c:pt>
                <c:pt idx="2151">
                  <c:v>31.993694348976234</c:v>
                </c:pt>
                <c:pt idx="2152">
                  <c:v>32.01179871779849</c:v>
                </c:pt>
                <c:pt idx="2153">
                  <c:v>32.029903086620756</c:v>
                </c:pt>
                <c:pt idx="2154">
                  <c:v>32.04800745544302</c:v>
                </c:pt>
                <c:pt idx="2155">
                  <c:v>32.066111824265285</c:v>
                </c:pt>
                <c:pt idx="2156">
                  <c:v>32.08421619308755</c:v>
                </c:pt>
                <c:pt idx="2157">
                  <c:v>32.10232056190981</c:v>
                </c:pt>
                <c:pt idx="2158">
                  <c:v>32.12042493073208</c:v>
                </c:pt>
                <c:pt idx="2159">
                  <c:v>32.13852929955434</c:v>
                </c:pt>
                <c:pt idx="2160">
                  <c:v>32.1566336683766</c:v>
                </c:pt>
                <c:pt idx="2161">
                  <c:v>32.174738037198864</c:v>
                </c:pt>
                <c:pt idx="2162">
                  <c:v>32.192842406021136</c:v>
                </c:pt>
                <c:pt idx="2163">
                  <c:v>32.2109467748434</c:v>
                </c:pt>
                <c:pt idx="2164">
                  <c:v>32.22905114366566</c:v>
                </c:pt>
                <c:pt idx="2165">
                  <c:v>32.24715551248792</c:v>
                </c:pt>
                <c:pt idx="2166">
                  <c:v>32.265259881310186</c:v>
                </c:pt>
                <c:pt idx="2167">
                  <c:v>32.28336425013245</c:v>
                </c:pt>
                <c:pt idx="2168">
                  <c:v>32.301468618954715</c:v>
                </c:pt>
                <c:pt idx="2169">
                  <c:v>32.31957298777698</c:v>
                </c:pt>
                <c:pt idx="2170">
                  <c:v>32.33767735659924</c:v>
                </c:pt>
                <c:pt idx="2171">
                  <c:v>32.35578172542151</c:v>
                </c:pt>
                <c:pt idx="2172">
                  <c:v>32.373886094243765</c:v>
                </c:pt>
                <c:pt idx="2173">
                  <c:v>32.39199046306603</c:v>
                </c:pt>
                <c:pt idx="2174">
                  <c:v>32.410094831888294</c:v>
                </c:pt>
                <c:pt idx="2175">
                  <c:v>32.42819920071056</c:v>
                </c:pt>
                <c:pt idx="2176">
                  <c:v>32.44630356953282</c:v>
                </c:pt>
                <c:pt idx="2177">
                  <c:v>32.46440793835509</c:v>
                </c:pt>
                <c:pt idx="2178">
                  <c:v>32.482512307177345</c:v>
                </c:pt>
                <c:pt idx="2179">
                  <c:v>32.500616675999616</c:v>
                </c:pt>
                <c:pt idx="2180">
                  <c:v>32.51872104482188</c:v>
                </c:pt>
                <c:pt idx="2181">
                  <c:v>32.53682541364414</c:v>
                </c:pt>
                <c:pt idx="2182">
                  <c:v>32.5549297824664</c:v>
                </c:pt>
                <c:pt idx="2183">
                  <c:v>32.57303415128867</c:v>
                </c:pt>
                <c:pt idx="2184">
                  <c:v>32.59113852011093</c:v>
                </c:pt>
                <c:pt idx="2185">
                  <c:v>32.609242888933196</c:v>
                </c:pt>
                <c:pt idx="2186">
                  <c:v>32.62734725775546</c:v>
                </c:pt>
                <c:pt idx="2187">
                  <c:v>32.645451626577724</c:v>
                </c:pt>
                <c:pt idx="2188">
                  <c:v>32.66355599539999</c:v>
                </c:pt>
                <c:pt idx="2189">
                  <c:v>32.68166036422225</c:v>
                </c:pt>
                <c:pt idx="2190">
                  <c:v>32.69976473304451</c:v>
                </c:pt>
                <c:pt idx="2191">
                  <c:v>32.717869101866775</c:v>
                </c:pt>
                <c:pt idx="2192">
                  <c:v>32.735973470689046</c:v>
                </c:pt>
                <c:pt idx="2193">
                  <c:v>32.75407783951131</c:v>
                </c:pt>
                <c:pt idx="2194">
                  <c:v>32.77218220833357</c:v>
                </c:pt>
                <c:pt idx="2195">
                  <c:v>32.79028657715583</c:v>
                </c:pt>
                <c:pt idx="2196">
                  <c:v>32.8083909459781</c:v>
                </c:pt>
                <c:pt idx="2197">
                  <c:v>32.82649531480036</c:v>
                </c:pt>
                <c:pt idx="2198">
                  <c:v>32.844599683622626</c:v>
                </c:pt>
                <c:pt idx="2199">
                  <c:v>32.86270405244488</c:v>
                </c:pt>
                <c:pt idx="2200">
                  <c:v>32.88080842126715</c:v>
                </c:pt>
                <c:pt idx="2201">
                  <c:v>32.89891279008942</c:v>
                </c:pt>
                <c:pt idx="2202">
                  <c:v>32.917017158911676</c:v>
                </c:pt>
                <c:pt idx="2203">
                  <c:v>32.93512152773394</c:v>
                </c:pt>
                <c:pt idx="2204">
                  <c:v>32.953225896556205</c:v>
                </c:pt>
                <c:pt idx="2205">
                  <c:v>32.97133026537847</c:v>
                </c:pt>
                <c:pt idx="2206">
                  <c:v>32.989434634200734</c:v>
                </c:pt>
                <c:pt idx="2207">
                  <c:v>33.007539003023</c:v>
                </c:pt>
                <c:pt idx="2208">
                  <c:v>33.025643371845256</c:v>
                </c:pt>
                <c:pt idx="2209">
                  <c:v>33.04374774066753</c:v>
                </c:pt>
                <c:pt idx="2210">
                  <c:v>33.06185210948979</c:v>
                </c:pt>
                <c:pt idx="2211">
                  <c:v>33.079956478312056</c:v>
                </c:pt>
                <c:pt idx="2212">
                  <c:v>33.09806084713431</c:v>
                </c:pt>
                <c:pt idx="2213">
                  <c:v>33.11616521595658</c:v>
                </c:pt>
                <c:pt idx="2214">
                  <c:v>33.13426958477884</c:v>
                </c:pt>
                <c:pt idx="2215">
                  <c:v>33.152373953601106</c:v>
                </c:pt>
                <c:pt idx="2216">
                  <c:v>33.17047832242337</c:v>
                </c:pt>
                <c:pt idx="2217">
                  <c:v>33.188582691245635</c:v>
                </c:pt>
                <c:pt idx="2218">
                  <c:v>33.2066870600679</c:v>
                </c:pt>
                <c:pt idx="2219">
                  <c:v>33.224791428890164</c:v>
                </c:pt>
                <c:pt idx="2220">
                  <c:v>33.24289579771242</c:v>
                </c:pt>
                <c:pt idx="2221">
                  <c:v>33.261000166534686</c:v>
                </c:pt>
                <c:pt idx="2222">
                  <c:v>33.27910453535696</c:v>
                </c:pt>
                <c:pt idx="2223">
                  <c:v>33.297208904179215</c:v>
                </c:pt>
                <c:pt idx="2224">
                  <c:v>33.31531327300148</c:v>
                </c:pt>
                <c:pt idx="2225">
                  <c:v>33.333417641823736</c:v>
                </c:pt>
                <c:pt idx="2226">
                  <c:v>33.35152201064601</c:v>
                </c:pt>
                <c:pt idx="2227">
                  <c:v>33.36962637946827</c:v>
                </c:pt>
                <c:pt idx="2228">
                  <c:v>33.38773074829054</c:v>
                </c:pt>
                <c:pt idx="2229">
                  <c:v>33.405835117112794</c:v>
                </c:pt>
                <c:pt idx="2230">
                  <c:v>33.42393948593506</c:v>
                </c:pt>
                <c:pt idx="2231">
                  <c:v>33.44204385475733</c:v>
                </c:pt>
                <c:pt idx="2232">
                  <c:v>33.46014822357959</c:v>
                </c:pt>
                <c:pt idx="2233">
                  <c:v>33.47825259240185</c:v>
                </c:pt>
                <c:pt idx="2234">
                  <c:v>33.496356961224116</c:v>
                </c:pt>
                <c:pt idx="2235">
                  <c:v>33.51446133004638</c:v>
                </c:pt>
                <c:pt idx="2236">
                  <c:v>33.532565698868645</c:v>
                </c:pt>
                <c:pt idx="2237">
                  <c:v>33.55067006769091</c:v>
                </c:pt>
                <c:pt idx="2238">
                  <c:v>33.568774436513166</c:v>
                </c:pt>
                <c:pt idx="2239">
                  <c:v>33.58687880533544</c:v>
                </c:pt>
                <c:pt idx="2240">
                  <c:v>33.6049831741577</c:v>
                </c:pt>
                <c:pt idx="2241">
                  <c:v>33.62308754297997</c:v>
                </c:pt>
                <c:pt idx="2242">
                  <c:v>33.641191911802224</c:v>
                </c:pt>
                <c:pt idx="2243">
                  <c:v>33.65929628062449</c:v>
                </c:pt>
                <c:pt idx="2244">
                  <c:v>33.67740064944675</c:v>
                </c:pt>
                <c:pt idx="2245">
                  <c:v>33.69550501826902</c:v>
                </c:pt>
                <c:pt idx="2246">
                  <c:v>33.71360938709128</c:v>
                </c:pt>
                <c:pt idx="2247">
                  <c:v>33.73171375591354</c:v>
                </c:pt>
                <c:pt idx="2248">
                  <c:v>33.74981812473581</c:v>
                </c:pt>
                <c:pt idx="2249">
                  <c:v>33.76792249355807</c:v>
                </c:pt>
                <c:pt idx="2250">
                  <c:v>33.78602686238033</c:v>
                </c:pt>
                <c:pt idx="2251">
                  <c:v>33.8041312312026</c:v>
                </c:pt>
                <c:pt idx="2252">
                  <c:v>33.82223560002487</c:v>
                </c:pt>
                <c:pt idx="2253">
                  <c:v>33.840339968847125</c:v>
                </c:pt>
                <c:pt idx="2254">
                  <c:v>33.85844433766939</c:v>
                </c:pt>
                <c:pt idx="2255">
                  <c:v>33.876548706491654</c:v>
                </c:pt>
                <c:pt idx="2256">
                  <c:v>33.89465307531392</c:v>
                </c:pt>
                <c:pt idx="2257">
                  <c:v>33.91275744413618</c:v>
                </c:pt>
                <c:pt idx="2258">
                  <c:v>33.93086181295845</c:v>
                </c:pt>
                <c:pt idx="2259">
                  <c:v>33.948966181780705</c:v>
                </c:pt>
                <c:pt idx="2260">
                  <c:v>33.96707055060297</c:v>
                </c:pt>
                <c:pt idx="2261">
                  <c:v>33.98517491942524</c:v>
                </c:pt>
                <c:pt idx="2262">
                  <c:v>34.0032792882475</c:v>
                </c:pt>
                <c:pt idx="2263">
                  <c:v>34.02138365706976</c:v>
                </c:pt>
                <c:pt idx="2264">
                  <c:v>34.03948802589203</c:v>
                </c:pt>
                <c:pt idx="2265">
                  <c:v>34.0575923947143</c:v>
                </c:pt>
                <c:pt idx="2266">
                  <c:v>34.075696763536556</c:v>
                </c:pt>
                <c:pt idx="2267">
                  <c:v>34.09380113235882</c:v>
                </c:pt>
                <c:pt idx="2268">
                  <c:v>34.11190550118108</c:v>
                </c:pt>
                <c:pt idx="2269">
                  <c:v>34.13000987000335</c:v>
                </c:pt>
                <c:pt idx="2270">
                  <c:v>34.14811423882561</c:v>
                </c:pt>
                <c:pt idx="2271">
                  <c:v>34.16621860764787</c:v>
                </c:pt>
                <c:pt idx="2272">
                  <c:v>34.184322976470135</c:v>
                </c:pt>
                <c:pt idx="2273">
                  <c:v>34.2024273452924</c:v>
                </c:pt>
                <c:pt idx="2274">
                  <c:v>34.220531714114664</c:v>
                </c:pt>
                <c:pt idx="2275">
                  <c:v>34.23863608293693</c:v>
                </c:pt>
                <c:pt idx="2276">
                  <c:v>34.25674045175919</c:v>
                </c:pt>
                <c:pt idx="2277">
                  <c:v>34.27484482058145</c:v>
                </c:pt>
                <c:pt idx="2278">
                  <c:v>34.29294918940372</c:v>
                </c:pt>
                <c:pt idx="2279">
                  <c:v>34.31105355822598</c:v>
                </c:pt>
                <c:pt idx="2280">
                  <c:v>34.32915792704824</c:v>
                </c:pt>
                <c:pt idx="2281">
                  <c:v>34.34726229587051</c:v>
                </c:pt>
                <c:pt idx="2282">
                  <c:v>34.36536666469278</c:v>
                </c:pt>
                <c:pt idx="2283">
                  <c:v>34.383471033515036</c:v>
                </c:pt>
                <c:pt idx="2284">
                  <c:v>34.4015754023373</c:v>
                </c:pt>
                <c:pt idx="2285">
                  <c:v>34.419679771159565</c:v>
                </c:pt>
                <c:pt idx="2286">
                  <c:v>34.43778413998183</c:v>
                </c:pt>
                <c:pt idx="2287">
                  <c:v>34.455888508804094</c:v>
                </c:pt>
                <c:pt idx="2288">
                  <c:v>34.47399287762636</c:v>
                </c:pt>
                <c:pt idx="2289">
                  <c:v>34.492097246448616</c:v>
                </c:pt>
                <c:pt idx="2290">
                  <c:v>34.51020161527088</c:v>
                </c:pt>
                <c:pt idx="2291">
                  <c:v>34.52830598409315</c:v>
                </c:pt>
                <c:pt idx="2292">
                  <c:v>34.54641035291541</c:v>
                </c:pt>
                <c:pt idx="2293">
                  <c:v>34.56451472173767</c:v>
                </c:pt>
                <c:pt idx="2294">
                  <c:v>34.58261909055994</c:v>
                </c:pt>
                <c:pt idx="2295">
                  <c:v>34.6007234593822</c:v>
                </c:pt>
                <c:pt idx="2296">
                  <c:v>34.618827828204466</c:v>
                </c:pt>
                <c:pt idx="2297">
                  <c:v>34.636932197026724</c:v>
                </c:pt>
                <c:pt idx="2298">
                  <c:v>34.65503656584899</c:v>
                </c:pt>
                <c:pt idx="2299">
                  <c:v>34.67314093467126</c:v>
                </c:pt>
                <c:pt idx="2300">
                  <c:v>34.691245303493524</c:v>
                </c:pt>
                <c:pt idx="2301">
                  <c:v>34.70934967231578</c:v>
                </c:pt>
                <c:pt idx="2302">
                  <c:v>34.727454041138046</c:v>
                </c:pt>
                <c:pt idx="2303">
                  <c:v>34.74555840996031</c:v>
                </c:pt>
                <c:pt idx="2304">
                  <c:v>34.763662778782574</c:v>
                </c:pt>
                <c:pt idx="2305">
                  <c:v>34.78176714760484</c:v>
                </c:pt>
                <c:pt idx="2306">
                  <c:v>34.7998715164271</c:v>
                </c:pt>
                <c:pt idx="2307">
                  <c:v>34.81797588524936</c:v>
                </c:pt>
                <c:pt idx="2308">
                  <c:v>34.83608025407163</c:v>
                </c:pt>
                <c:pt idx="2309">
                  <c:v>34.85418462289389</c:v>
                </c:pt>
                <c:pt idx="2310">
                  <c:v>34.872288991716154</c:v>
                </c:pt>
                <c:pt idx="2311">
                  <c:v>34.89039336053842</c:v>
                </c:pt>
                <c:pt idx="2312">
                  <c:v>34.90849772936069</c:v>
                </c:pt>
                <c:pt idx="2313">
                  <c:v>34.92660209818295</c:v>
                </c:pt>
                <c:pt idx="2314">
                  <c:v>34.94470646700521</c:v>
                </c:pt>
                <c:pt idx="2315">
                  <c:v>34.962810835827476</c:v>
                </c:pt>
                <c:pt idx="2316">
                  <c:v>34.98091520464974</c:v>
                </c:pt>
                <c:pt idx="2317">
                  <c:v>34.999019573472005</c:v>
                </c:pt>
                <c:pt idx="2318">
                  <c:v>35.01712394229427</c:v>
                </c:pt>
                <c:pt idx="2319">
                  <c:v>35.035228311116526</c:v>
                </c:pt>
                <c:pt idx="2320">
                  <c:v>35.05333267993879</c:v>
                </c:pt>
                <c:pt idx="2321">
                  <c:v>35.071437048761055</c:v>
                </c:pt>
                <c:pt idx="2322">
                  <c:v>35.08954141758332</c:v>
                </c:pt>
                <c:pt idx="2323">
                  <c:v>35.107645786405584</c:v>
                </c:pt>
                <c:pt idx="2324">
                  <c:v>35.12575015522785</c:v>
                </c:pt>
                <c:pt idx="2325">
                  <c:v>35.14385452405011</c:v>
                </c:pt>
                <c:pt idx="2326">
                  <c:v>35.16195889287238</c:v>
                </c:pt>
                <c:pt idx="2327">
                  <c:v>35.180063261694634</c:v>
                </c:pt>
                <c:pt idx="2328">
                  <c:v>35.1981676305169</c:v>
                </c:pt>
                <c:pt idx="2329">
                  <c:v>35.21627199933917</c:v>
                </c:pt>
                <c:pt idx="2330">
                  <c:v>35.234376368161435</c:v>
                </c:pt>
                <c:pt idx="2331">
                  <c:v>35.25248073698369</c:v>
                </c:pt>
                <c:pt idx="2332">
                  <c:v>35.27058510580596</c:v>
                </c:pt>
                <c:pt idx="2333">
                  <c:v>35.28868947462822</c:v>
                </c:pt>
                <c:pt idx="2334">
                  <c:v>35.306793843450485</c:v>
                </c:pt>
                <c:pt idx="2335">
                  <c:v>35.32489821227275</c:v>
                </c:pt>
                <c:pt idx="2336">
                  <c:v>35.343002581095014</c:v>
                </c:pt>
                <c:pt idx="2337">
                  <c:v>35.36110694991727</c:v>
                </c:pt>
                <c:pt idx="2338">
                  <c:v>35.37921131873954</c:v>
                </c:pt>
                <c:pt idx="2339">
                  <c:v>35.39731568756181</c:v>
                </c:pt>
                <c:pt idx="2340">
                  <c:v>35.415420056384065</c:v>
                </c:pt>
                <c:pt idx="2341">
                  <c:v>35.43352442520633</c:v>
                </c:pt>
                <c:pt idx="2342">
                  <c:v>35.4516287940286</c:v>
                </c:pt>
                <c:pt idx="2343">
                  <c:v>35.46973316285086</c:v>
                </c:pt>
                <c:pt idx="2344">
                  <c:v>35.48783753167312</c:v>
                </c:pt>
                <c:pt idx="2345">
                  <c:v>35.50594190049538</c:v>
                </c:pt>
                <c:pt idx="2346">
                  <c:v>35.52404626931765</c:v>
                </c:pt>
                <c:pt idx="2347">
                  <c:v>35.542150638139915</c:v>
                </c:pt>
                <c:pt idx="2348">
                  <c:v>35.56025500696217</c:v>
                </c:pt>
                <c:pt idx="2349">
                  <c:v>35.57835937578444</c:v>
                </c:pt>
                <c:pt idx="2350">
                  <c:v>35.5964637446067</c:v>
                </c:pt>
                <c:pt idx="2351">
                  <c:v>35.614568113428966</c:v>
                </c:pt>
                <c:pt idx="2352">
                  <c:v>35.63267248225123</c:v>
                </c:pt>
                <c:pt idx="2353">
                  <c:v>35.650776851073495</c:v>
                </c:pt>
                <c:pt idx="2354">
                  <c:v>35.66888121989576</c:v>
                </c:pt>
                <c:pt idx="2355">
                  <c:v>35.686985588718024</c:v>
                </c:pt>
                <c:pt idx="2356">
                  <c:v>35.70508995754029</c:v>
                </c:pt>
                <c:pt idx="2357">
                  <c:v>35.723194326362545</c:v>
                </c:pt>
                <c:pt idx="2358">
                  <c:v>35.74129869518481</c:v>
                </c:pt>
                <c:pt idx="2359">
                  <c:v>35.75940306400708</c:v>
                </c:pt>
                <c:pt idx="2360">
                  <c:v>35.777507432829346</c:v>
                </c:pt>
                <c:pt idx="2361">
                  <c:v>35.7956118016516</c:v>
                </c:pt>
                <c:pt idx="2362">
                  <c:v>35.81371617047387</c:v>
                </c:pt>
                <c:pt idx="2363">
                  <c:v>35.83182053929613</c:v>
                </c:pt>
                <c:pt idx="2364">
                  <c:v>35.849924908118396</c:v>
                </c:pt>
                <c:pt idx="2365">
                  <c:v>35.86802927694066</c:v>
                </c:pt>
                <c:pt idx="2366">
                  <c:v>35.886133645762925</c:v>
                </c:pt>
                <c:pt idx="2367">
                  <c:v>35.90423801458518</c:v>
                </c:pt>
                <c:pt idx="2368">
                  <c:v>35.922342383407454</c:v>
                </c:pt>
                <c:pt idx="2369">
                  <c:v>35.94044675222971</c:v>
                </c:pt>
                <c:pt idx="2370">
                  <c:v>35.958551121051975</c:v>
                </c:pt>
                <c:pt idx="2371">
                  <c:v>35.97665548987424</c:v>
                </c:pt>
                <c:pt idx="2372">
                  <c:v>35.994759858696504</c:v>
                </c:pt>
                <c:pt idx="2373">
                  <c:v>36.01286422751877</c:v>
                </c:pt>
                <c:pt idx="2374">
                  <c:v>36.03096859634103</c:v>
                </c:pt>
                <c:pt idx="2375">
                  <c:v>36.04907296516329</c:v>
                </c:pt>
                <c:pt idx="2376">
                  <c:v>36.06717733398556</c:v>
                </c:pt>
                <c:pt idx="2377">
                  <c:v>36.085281702807826</c:v>
                </c:pt>
                <c:pt idx="2378">
                  <c:v>36.10338607163009</c:v>
                </c:pt>
                <c:pt idx="2379">
                  <c:v>36.12149044045235</c:v>
                </c:pt>
                <c:pt idx="2380">
                  <c:v>36.13959480927461</c:v>
                </c:pt>
                <c:pt idx="2381">
                  <c:v>36.15769917809688</c:v>
                </c:pt>
                <c:pt idx="2382">
                  <c:v>36.17580354691914</c:v>
                </c:pt>
                <c:pt idx="2383">
                  <c:v>36.193907915741406</c:v>
                </c:pt>
                <c:pt idx="2384">
                  <c:v>36.21201228456367</c:v>
                </c:pt>
                <c:pt idx="2385">
                  <c:v>36.230116653385934</c:v>
                </c:pt>
                <c:pt idx="2386">
                  <c:v>36.2482210222082</c:v>
                </c:pt>
                <c:pt idx="2387">
                  <c:v>36.266325391030456</c:v>
                </c:pt>
                <c:pt idx="2388">
                  <c:v>36.28442975985272</c:v>
                </c:pt>
                <c:pt idx="2389">
                  <c:v>36.30253412867499</c:v>
                </c:pt>
                <c:pt idx="2390">
                  <c:v>36.32063849749726</c:v>
                </c:pt>
                <c:pt idx="2391">
                  <c:v>36.338742866319514</c:v>
                </c:pt>
                <c:pt idx="2392">
                  <c:v>36.35684723514178</c:v>
                </c:pt>
                <c:pt idx="2393">
                  <c:v>36.37495160396404</c:v>
                </c:pt>
                <c:pt idx="2394">
                  <c:v>36.39305597278631</c:v>
                </c:pt>
                <c:pt idx="2395">
                  <c:v>36.41116034160857</c:v>
                </c:pt>
                <c:pt idx="2396">
                  <c:v>36.42926471043083</c:v>
                </c:pt>
                <c:pt idx="2397">
                  <c:v>36.44736907925309</c:v>
                </c:pt>
                <c:pt idx="2398">
                  <c:v>36.465473448075365</c:v>
                </c:pt>
                <c:pt idx="2399">
                  <c:v>36.48357781689762</c:v>
                </c:pt>
                <c:pt idx="2400">
                  <c:v>36.501682185719886</c:v>
                </c:pt>
                <c:pt idx="2401">
                  <c:v>36.51978655454215</c:v>
                </c:pt>
                <c:pt idx="2402">
                  <c:v>36.537890923364415</c:v>
                </c:pt>
                <c:pt idx="2403">
                  <c:v>36.55599529218668</c:v>
                </c:pt>
                <c:pt idx="2404">
                  <c:v>36.574099661008944</c:v>
                </c:pt>
                <c:pt idx="2405">
                  <c:v>36.5922040298312</c:v>
                </c:pt>
                <c:pt idx="2406">
                  <c:v>36.61030839865347</c:v>
                </c:pt>
                <c:pt idx="2407">
                  <c:v>36.62841276747574</c:v>
                </c:pt>
                <c:pt idx="2408">
                  <c:v>36.646517136298</c:v>
                </c:pt>
                <c:pt idx="2409">
                  <c:v>36.66462150512026</c:v>
                </c:pt>
                <c:pt idx="2410">
                  <c:v>36.68272587394252</c:v>
                </c:pt>
                <c:pt idx="2411">
                  <c:v>36.70083024276479</c:v>
                </c:pt>
                <c:pt idx="2412">
                  <c:v>36.71893461158705</c:v>
                </c:pt>
                <c:pt idx="2413">
                  <c:v>36.73703898040932</c:v>
                </c:pt>
                <c:pt idx="2414">
                  <c:v>36.75514334923158</c:v>
                </c:pt>
                <c:pt idx="2415">
                  <c:v>36.773247718053845</c:v>
                </c:pt>
                <c:pt idx="2416">
                  <c:v>36.79135208687611</c:v>
                </c:pt>
                <c:pt idx="2417">
                  <c:v>36.80945645569837</c:v>
                </c:pt>
                <c:pt idx="2418">
                  <c:v>36.82756082452063</c:v>
                </c:pt>
                <c:pt idx="2419">
                  <c:v>36.8456651933429</c:v>
                </c:pt>
                <c:pt idx="2420">
                  <c:v>36.86376956216516</c:v>
                </c:pt>
                <c:pt idx="2421">
                  <c:v>36.881873930987425</c:v>
                </c:pt>
                <c:pt idx="2422">
                  <c:v>36.89997829980968</c:v>
                </c:pt>
                <c:pt idx="2423">
                  <c:v>36.91808266863195</c:v>
                </c:pt>
                <c:pt idx="2424">
                  <c:v>36.93618703745422</c:v>
                </c:pt>
                <c:pt idx="2425">
                  <c:v>36.95429140627648</c:v>
                </c:pt>
                <c:pt idx="2426">
                  <c:v>36.97239577509874</c:v>
                </c:pt>
                <c:pt idx="2427">
                  <c:v>36.990500143921004</c:v>
                </c:pt>
                <c:pt idx="2428">
                  <c:v>37.008604512743275</c:v>
                </c:pt>
                <c:pt idx="2429">
                  <c:v>37.02670888156553</c:v>
                </c:pt>
                <c:pt idx="2430">
                  <c:v>37.0448132503878</c:v>
                </c:pt>
                <c:pt idx="2431">
                  <c:v>37.06291761921006</c:v>
                </c:pt>
                <c:pt idx="2432">
                  <c:v>37.081021988032326</c:v>
                </c:pt>
                <c:pt idx="2433">
                  <c:v>37.09912635685459</c:v>
                </c:pt>
                <c:pt idx="2434">
                  <c:v>37.117230725676855</c:v>
                </c:pt>
                <c:pt idx="2435">
                  <c:v>37.13533509449911</c:v>
                </c:pt>
                <c:pt idx="2436">
                  <c:v>37.153439463321384</c:v>
                </c:pt>
                <c:pt idx="2437">
                  <c:v>37.17154383214365</c:v>
                </c:pt>
                <c:pt idx="2438">
                  <c:v>37.18964820096591</c:v>
                </c:pt>
                <c:pt idx="2439">
                  <c:v>37.20775256978817</c:v>
                </c:pt>
                <c:pt idx="2440">
                  <c:v>37.225856938610434</c:v>
                </c:pt>
                <c:pt idx="2441">
                  <c:v>37.2439613074327</c:v>
                </c:pt>
                <c:pt idx="2442">
                  <c:v>37.26206567625496</c:v>
                </c:pt>
                <c:pt idx="2443">
                  <c:v>37.229851185229585</c:v>
                </c:pt>
                <c:pt idx="2444">
                  <c:v>37.19764877606968</c:v>
                </c:pt>
                <c:pt idx="2445">
                  <c:v>37.165458433799536</c:v>
                </c:pt>
                <c:pt idx="2446">
                  <c:v>37.13328014346079</c:v>
                </c:pt>
                <c:pt idx="2447">
                  <c:v>37.1011138901124</c:v>
                </c:pt>
                <c:pt idx="2448">
                  <c:v>37.06895965883063</c:v>
                </c:pt>
                <c:pt idx="2449">
                  <c:v>37.03681743470898</c:v>
                </c:pt>
                <c:pt idx="2450">
                  <c:v>37.00468720285821</c:v>
                </c:pt>
                <c:pt idx="2451">
                  <c:v>36.972568948406256</c:v>
                </c:pt>
                <c:pt idx="2452">
                  <c:v>36.94046265649825</c:v>
                </c:pt>
                <c:pt idx="2453">
                  <c:v>36.908368312296446</c:v>
                </c:pt>
                <c:pt idx="2454">
                  <c:v>36.87628590098023</c:v>
                </c:pt>
                <c:pt idx="2455">
                  <c:v>36.844215407746056</c:v>
                </c:pt>
                <c:pt idx="2456">
                  <c:v>36.812156817807434</c:v>
                </c:pt>
                <c:pt idx="2457">
                  <c:v>36.7801101163949</c:v>
                </c:pt>
                <c:pt idx="2458">
                  <c:v>36.748075288755985</c:v>
                </c:pt>
                <c:pt idx="2459">
                  <c:v>36.716052320155164</c:v>
                </c:pt>
                <c:pt idx="2460">
                  <c:v>36.68404119587387</c:v>
                </c:pt>
                <c:pt idx="2461">
                  <c:v>36.65204190121043</c:v>
                </c:pt>
                <c:pt idx="2462">
                  <c:v>36.620054421480056</c:v>
                </c:pt>
                <c:pt idx="2463">
                  <c:v>36.620054421480056</c:v>
                </c:pt>
                <c:pt idx="2464">
                  <c:v>36.64865063738604</c:v>
                </c:pt>
                <c:pt idx="2465">
                  <c:v>36.67724685329203</c:v>
                </c:pt>
                <c:pt idx="2466">
                  <c:v>36.705843069198025</c:v>
                </c:pt>
                <c:pt idx="2467">
                  <c:v>36.73443928510401</c:v>
                </c:pt>
                <c:pt idx="2468">
                  <c:v>36.76303550101001</c:v>
                </c:pt>
                <c:pt idx="2469">
                  <c:v>36.791631716915994</c:v>
                </c:pt>
                <c:pt idx="2470">
                  <c:v>36.82022793282198</c:v>
                </c:pt>
                <c:pt idx="2471">
                  <c:v>36.84882414872798</c:v>
                </c:pt>
                <c:pt idx="2472">
                  <c:v>36.87742036463396</c:v>
                </c:pt>
                <c:pt idx="2473">
                  <c:v>36.90601658053995</c:v>
                </c:pt>
                <c:pt idx="2474">
                  <c:v>36.93461279644595</c:v>
                </c:pt>
                <c:pt idx="2475">
                  <c:v>36.96320901235193</c:v>
                </c:pt>
                <c:pt idx="2476">
                  <c:v>36.991805228257924</c:v>
                </c:pt>
                <c:pt idx="2477">
                  <c:v>37.020401444163916</c:v>
                </c:pt>
                <c:pt idx="2478">
                  <c:v>37.0489976600699</c:v>
                </c:pt>
                <c:pt idx="2479">
                  <c:v>37.07759387597589</c:v>
                </c:pt>
                <c:pt idx="2480">
                  <c:v>37.106190091881885</c:v>
                </c:pt>
                <c:pt idx="2481">
                  <c:v>37.13478630778787</c:v>
                </c:pt>
                <c:pt idx="2482">
                  <c:v>37.16338252369386</c:v>
                </c:pt>
                <c:pt idx="2483">
                  <c:v>37.19197873959985</c:v>
                </c:pt>
                <c:pt idx="2484">
                  <c:v>37.22057495550584</c:v>
                </c:pt>
                <c:pt idx="2485">
                  <c:v>37.24917117141183</c:v>
                </c:pt>
                <c:pt idx="2486">
                  <c:v>37.277767387317816</c:v>
                </c:pt>
                <c:pt idx="2487">
                  <c:v>37.306363603223815</c:v>
                </c:pt>
                <c:pt idx="2488">
                  <c:v>37.3349598191298</c:v>
                </c:pt>
                <c:pt idx="2489">
                  <c:v>37.363556035035785</c:v>
                </c:pt>
                <c:pt idx="2490">
                  <c:v>37.392152250941784</c:v>
                </c:pt>
                <c:pt idx="2491">
                  <c:v>37.42074846684777</c:v>
                </c:pt>
                <c:pt idx="2492">
                  <c:v>37.449344682753754</c:v>
                </c:pt>
                <c:pt idx="2493">
                  <c:v>37.47794089865975</c:v>
                </c:pt>
                <c:pt idx="2494">
                  <c:v>37.50653711456574</c:v>
                </c:pt>
                <c:pt idx="2495">
                  <c:v>37.53513333047173</c:v>
                </c:pt>
                <c:pt idx="2496">
                  <c:v>37.56372954637772</c:v>
                </c:pt>
                <c:pt idx="2497">
                  <c:v>37.59232576228371</c:v>
                </c:pt>
                <c:pt idx="2498">
                  <c:v>37.6209219781897</c:v>
                </c:pt>
                <c:pt idx="2499">
                  <c:v>37.64951819409569</c:v>
                </c:pt>
                <c:pt idx="2500">
                  <c:v>37.678114410001676</c:v>
                </c:pt>
                <c:pt idx="2501">
                  <c:v>37.70671062590767</c:v>
                </c:pt>
                <c:pt idx="2502">
                  <c:v>37.73530684181366</c:v>
                </c:pt>
                <c:pt idx="2503">
                  <c:v>37.763903057719645</c:v>
                </c:pt>
                <c:pt idx="2504">
                  <c:v>37.79249927362564</c:v>
                </c:pt>
                <c:pt idx="2505">
                  <c:v>37.82109548953163</c:v>
                </c:pt>
                <c:pt idx="2506">
                  <c:v>37.84969170543762</c:v>
                </c:pt>
                <c:pt idx="2507">
                  <c:v>37.878287921343606</c:v>
                </c:pt>
                <c:pt idx="2508">
                  <c:v>37.9068841372496</c:v>
                </c:pt>
                <c:pt idx="2509">
                  <c:v>37.93548035315559</c:v>
                </c:pt>
                <c:pt idx="2510">
                  <c:v>37.964076569061575</c:v>
                </c:pt>
                <c:pt idx="2511">
                  <c:v>37.99267278496757</c:v>
                </c:pt>
                <c:pt idx="2512">
                  <c:v>38.02126900087356</c:v>
                </c:pt>
                <c:pt idx="2513">
                  <c:v>38.049865216779544</c:v>
                </c:pt>
                <c:pt idx="2514">
                  <c:v>38.078461432685536</c:v>
                </c:pt>
                <c:pt idx="2515">
                  <c:v>38.10705764859153</c:v>
                </c:pt>
                <c:pt idx="2516">
                  <c:v>38.13565386449751</c:v>
                </c:pt>
                <c:pt idx="2517">
                  <c:v>38.16425008040351</c:v>
                </c:pt>
                <c:pt idx="2518">
                  <c:v>38.1928462963095</c:v>
                </c:pt>
                <c:pt idx="2519">
                  <c:v>38.22144251221548</c:v>
                </c:pt>
                <c:pt idx="2520">
                  <c:v>38.25003872812148</c:v>
                </c:pt>
                <c:pt idx="2521">
                  <c:v>38.278634944027466</c:v>
                </c:pt>
                <c:pt idx="2522">
                  <c:v>38.30723115993345</c:v>
                </c:pt>
                <c:pt idx="2523">
                  <c:v>38.33582737583945</c:v>
                </c:pt>
                <c:pt idx="2524">
                  <c:v>38.364423591745435</c:v>
                </c:pt>
                <c:pt idx="2525">
                  <c:v>38.39301980765143</c:v>
                </c:pt>
                <c:pt idx="2526">
                  <c:v>38.42161602355741</c:v>
                </c:pt>
                <c:pt idx="2527">
                  <c:v>38.450212239463404</c:v>
                </c:pt>
                <c:pt idx="2528">
                  <c:v>38.478808455369396</c:v>
                </c:pt>
                <c:pt idx="2529">
                  <c:v>38.50740467127538</c:v>
                </c:pt>
                <c:pt idx="2530">
                  <c:v>38.53600088718137</c:v>
                </c:pt>
                <c:pt idx="2531">
                  <c:v>38.564597103087365</c:v>
                </c:pt>
                <c:pt idx="2532">
                  <c:v>38.59319331899335</c:v>
                </c:pt>
                <c:pt idx="2533">
                  <c:v>38.62178953489934</c:v>
                </c:pt>
                <c:pt idx="2534">
                  <c:v>38.650385750805334</c:v>
                </c:pt>
                <c:pt idx="2535">
                  <c:v>38.67898196671132</c:v>
                </c:pt>
                <c:pt idx="2536">
                  <c:v>38.70757818261732</c:v>
                </c:pt>
                <c:pt idx="2537">
                  <c:v>38.7361743985233</c:v>
                </c:pt>
                <c:pt idx="2538">
                  <c:v>38.76477061442929</c:v>
                </c:pt>
                <c:pt idx="2539">
                  <c:v>38.79336683033529</c:v>
                </c:pt>
                <c:pt idx="2540">
                  <c:v>38.82196304624127</c:v>
                </c:pt>
                <c:pt idx="2541">
                  <c:v>38.85055926214726</c:v>
                </c:pt>
                <c:pt idx="2542">
                  <c:v>38.879155478053256</c:v>
                </c:pt>
                <c:pt idx="2543">
                  <c:v>38.90775169395924</c:v>
                </c:pt>
                <c:pt idx="2544">
                  <c:v>38.93634790986523</c:v>
                </c:pt>
                <c:pt idx="2545">
                  <c:v>38.964944125771225</c:v>
                </c:pt>
                <c:pt idx="2546">
                  <c:v>38.99354034167721</c:v>
                </c:pt>
                <c:pt idx="2547">
                  <c:v>39.0221365575832</c:v>
                </c:pt>
                <c:pt idx="2548">
                  <c:v>39.050732773489194</c:v>
                </c:pt>
                <c:pt idx="2549">
                  <c:v>39.07932898939518</c:v>
                </c:pt>
                <c:pt idx="2550">
                  <c:v>39.10792520530117</c:v>
                </c:pt>
                <c:pt idx="2551">
                  <c:v>39.13652142120716</c:v>
                </c:pt>
                <c:pt idx="2552">
                  <c:v>39.16511763711315</c:v>
                </c:pt>
                <c:pt idx="2553">
                  <c:v>39.19371385301914</c:v>
                </c:pt>
                <c:pt idx="2554">
                  <c:v>39.22231006892513</c:v>
                </c:pt>
                <c:pt idx="2555">
                  <c:v>39.250906284831125</c:v>
                </c:pt>
                <c:pt idx="2556">
                  <c:v>39.27950250073711</c:v>
                </c:pt>
                <c:pt idx="2557">
                  <c:v>39.3080987166431</c:v>
                </c:pt>
                <c:pt idx="2558">
                  <c:v>39.33669493254909</c:v>
                </c:pt>
                <c:pt idx="2559">
                  <c:v>39.36529114845508</c:v>
                </c:pt>
                <c:pt idx="2560">
                  <c:v>39.39388736436107</c:v>
                </c:pt>
                <c:pt idx="2561">
                  <c:v>39.42248358026706</c:v>
                </c:pt>
                <c:pt idx="2562">
                  <c:v>39.45107979617305</c:v>
                </c:pt>
                <c:pt idx="2563">
                  <c:v>39.47967601207904</c:v>
                </c:pt>
                <c:pt idx="2564">
                  <c:v>39.50827222798503</c:v>
                </c:pt>
                <c:pt idx="2565">
                  <c:v>39.53686844389102</c:v>
                </c:pt>
                <c:pt idx="2566">
                  <c:v>39.56546465979701</c:v>
                </c:pt>
                <c:pt idx="2567">
                  <c:v>39.594060875703</c:v>
                </c:pt>
                <c:pt idx="2568">
                  <c:v>39.622657091608986</c:v>
                </c:pt>
                <c:pt idx="2569">
                  <c:v>39.65125330751498</c:v>
                </c:pt>
                <c:pt idx="2570">
                  <c:v>39.67984952342097</c:v>
                </c:pt>
                <c:pt idx="2571">
                  <c:v>39.708445739326955</c:v>
                </c:pt>
                <c:pt idx="2572">
                  <c:v>39.73704195523295</c:v>
                </c:pt>
                <c:pt idx="2573">
                  <c:v>39.76563817113894</c:v>
                </c:pt>
                <c:pt idx="2574">
                  <c:v>39.79423438704493</c:v>
                </c:pt>
                <c:pt idx="2575">
                  <c:v>39.822830602950916</c:v>
                </c:pt>
                <c:pt idx="2576">
                  <c:v>39.85142681885691</c:v>
                </c:pt>
                <c:pt idx="2577">
                  <c:v>39.8800230347629</c:v>
                </c:pt>
                <c:pt idx="2578">
                  <c:v>39.908619250668885</c:v>
                </c:pt>
                <c:pt idx="2579">
                  <c:v>39.93721546657488</c:v>
                </c:pt>
                <c:pt idx="2580">
                  <c:v>39.96581168248087</c:v>
                </c:pt>
                <c:pt idx="2581">
                  <c:v>39.994407898386854</c:v>
                </c:pt>
                <c:pt idx="2582">
                  <c:v>40.023004114292846</c:v>
                </c:pt>
                <c:pt idx="2583">
                  <c:v>40.05160033019884</c:v>
                </c:pt>
                <c:pt idx="2584">
                  <c:v>40.08019654610482</c:v>
                </c:pt>
                <c:pt idx="2585">
                  <c:v>40.10879276201082</c:v>
                </c:pt>
                <c:pt idx="2586">
                  <c:v>40.13738897791681</c:v>
                </c:pt>
                <c:pt idx="2587">
                  <c:v>40.16598519382279</c:v>
                </c:pt>
                <c:pt idx="2588">
                  <c:v>40.19458140972879</c:v>
                </c:pt>
                <c:pt idx="2589">
                  <c:v>40.223177625634776</c:v>
                </c:pt>
                <c:pt idx="2590">
                  <c:v>40.25177384154076</c:v>
                </c:pt>
                <c:pt idx="2591">
                  <c:v>40.28037005744676</c:v>
                </c:pt>
                <c:pt idx="2592">
                  <c:v>40.308966273352745</c:v>
                </c:pt>
                <c:pt idx="2593">
                  <c:v>40.33756248925874</c:v>
                </c:pt>
                <c:pt idx="2594">
                  <c:v>40.36615870516472</c:v>
                </c:pt>
                <c:pt idx="2595">
                  <c:v>40.394754921070714</c:v>
                </c:pt>
                <c:pt idx="2596">
                  <c:v>40.423351136976706</c:v>
                </c:pt>
                <c:pt idx="2597">
                  <c:v>40.4519473528827</c:v>
                </c:pt>
                <c:pt idx="2598">
                  <c:v>40.48054356878868</c:v>
                </c:pt>
                <c:pt idx="2599">
                  <c:v>40.509139784694675</c:v>
                </c:pt>
                <c:pt idx="2600">
                  <c:v>40.53773600060066</c:v>
                </c:pt>
                <c:pt idx="2601">
                  <c:v>40.56633221650665</c:v>
                </c:pt>
                <c:pt idx="2602">
                  <c:v>40.594928432412644</c:v>
                </c:pt>
                <c:pt idx="2603">
                  <c:v>40.623524648318636</c:v>
                </c:pt>
                <c:pt idx="2604">
                  <c:v>40.65212086422463</c:v>
                </c:pt>
                <c:pt idx="2605">
                  <c:v>40.68071708013061</c:v>
                </c:pt>
                <c:pt idx="2606">
                  <c:v>40.7093132960366</c:v>
                </c:pt>
                <c:pt idx="2607">
                  <c:v>40.7379095119426</c:v>
                </c:pt>
                <c:pt idx="2608">
                  <c:v>40.76650572784858</c:v>
                </c:pt>
                <c:pt idx="2609">
                  <c:v>40.795101943754574</c:v>
                </c:pt>
                <c:pt idx="2610">
                  <c:v>40.823698159660566</c:v>
                </c:pt>
                <c:pt idx="2611">
                  <c:v>40.85229437556655</c:v>
                </c:pt>
                <c:pt idx="2612">
                  <c:v>40.88089059147254</c:v>
                </c:pt>
                <c:pt idx="2613">
                  <c:v>40.909486807378535</c:v>
                </c:pt>
                <c:pt idx="2614">
                  <c:v>40.93808302328452</c:v>
                </c:pt>
                <c:pt idx="2615">
                  <c:v>40.96667923919052</c:v>
                </c:pt>
                <c:pt idx="2616">
                  <c:v>40.995275455096504</c:v>
                </c:pt>
                <c:pt idx="2617">
                  <c:v>41.02387167100249</c:v>
                </c:pt>
                <c:pt idx="2618">
                  <c:v>41.05246788690848</c:v>
                </c:pt>
                <c:pt idx="2619">
                  <c:v>41.08106410281447</c:v>
                </c:pt>
                <c:pt idx="2620">
                  <c:v>41.10966031872046</c:v>
                </c:pt>
                <c:pt idx="2621">
                  <c:v>41.13825653462645</c:v>
                </c:pt>
                <c:pt idx="2622">
                  <c:v>41.16685275053244</c:v>
                </c:pt>
                <c:pt idx="2623">
                  <c:v>41.195448966438434</c:v>
                </c:pt>
                <c:pt idx="2624">
                  <c:v>41.22404518234442</c:v>
                </c:pt>
                <c:pt idx="2625">
                  <c:v>41.25264139825041</c:v>
                </c:pt>
                <c:pt idx="2626">
                  <c:v>41.2812376141564</c:v>
                </c:pt>
                <c:pt idx="2627">
                  <c:v>41.30983383006239</c:v>
                </c:pt>
                <c:pt idx="2628">
                  <c:v>41.33843004596838</c:v>
                </c:pt>
                <c:pt idx="2629">
                  <c:v>41.36702626187437</c:v>
                </c:pt>
                <c:pt idx="2630">
                  <c:v>41.39562247778036</c:v>
                </c:pt>
                <c:pt idx="2631">
                  <c:v>41.42421869368635</c:v>
                </c:pt>
                <c:pt idx="2632">
                  <c:v>41.45281490959234</c:v>
                </c:pt>
                <c:pt idx="2633">
                  <c:v>41.481411125498326</c:v>
                </c:pt>
                <c:pt idx="2634">
                  <c:v>41.510007341404325</c:v>
                </c:pt>
                <c:pt idx="2635">
                  <c:v>41.53860355731031</c:v>
                </c:pt>
                <c:pt idx="2636">
                  <c:v>41.567199773216295</c:v>
                </c:pt>
                <c:pt idx="2637">
                  <c:v>41.59579598912229</c:v>
                </c:pt>
                <c:pt idx="2638">
                  <c:v>41.62439220502828</c:v>
                </c:pt>
                <c:pt idx="2639">
                  <c:v>41.652988420934264</c:v>
                </c:pt>
                <c:pt idx="2640">
                  <c:v>41.68158463684026</c:v>
                </c:pt>
                <c:pt idx="2641">
                  <c:v>41.71018085274625</c:v>
                </c:pt>
                <c:pt idx="2642">
                  <c:v>41.73877706865224</c:v>
                </c:pt>
                <c:pt idx="2643">
                  <c:v>41.767373284558225</c:v>
                </c:pt>
                <c:pt idx="2644">
                  <c:v>41.79596950046422</c:v>
                </c:pt>
                <c:pt idx="2645">
                  <c:v>41.82456571637021</c:v>
                </c:pt>
                <c:pt idx="2646">
                  <c:v>41.8531619322762</c:v>
                </c:pt>
                <c:pt idx="2647">
                  <c:v>41.881758148182186</c:v>
                </c:pt>
                <c:pt idx="2648">
                  <c:v>41.91035436408818</c:v>
                </c:pt>
                <c:pt idx="2649">
                  <c:v>41.93895057999416</c:v>
                </c:pt>
                <c:pt idx="2650">
                  <c:v>41.967546795900155</c:v>
                </c:pt>
                <c:pt idx="2651">
                  <c:v>41.99614301180615</c:v>
                </c:pt>
                <c:pt idx="2652">
                  <c:v>42.02473922771213</c:v>
                </c:pt>
                <c:pt idx="2653">
                  <c:v>42.05333544361813</c:v>
                </c:pt>
                <c:pt idx="2654">
                  <c:v>42.081931659524116</c:v>
                </c:pt>
                <c:pt idx="2655">
                  <c:v>42.1105278754301</c:v>
                </c:pt>
                <c:pt idx="2656">
                  <c:v>42.1391240913361</c:v>
                </c:pt>
                <c:pt idx="2657">
                  <c:v>42.167720307242085</c:v>
                </c:pt>
                <c:pt idx="2658">
                  <c:v>42.19631652314808</c:v>
                </c:pt>
                <c:pt idx="2659">
                  <c:v>42.22491273905407</c:v>
                </c:pt>
                <c:pt idx="2660">
                  <c:v>42.253508954960054</c:v>
                </c:pt>
                <c:pt idx="2661">
                  <c:v>42.282105170866046</c:v>
                </c:pt>
                <c:pt idx="2662">
                  <c:v>42.31070138677204</c:v>
                </c:pt>
                <c:pt idx="2663">
                  <c:v>42.33929760267802</c:v>
                </c:pt>
                <c:pt idx="2664">
                  <c:v>42.367893818584015</c:v>
                </c:pt>
                <c:pt idx="2665">
                  <c:v>42.39649003449001</c:v>
                </c:pt>
                <c:pt idx="2666">
                  <c:v>42.42508625039599</c:v>
                </c:pt>
                <c:pt idx="2667">
                  <c:v>42.453682466301984</c:v>
                </c:pt>
                <c:pt idx="2668">
                  <c:v>42.482278682207976</c:v>
                </c:pt>
                <c:pt idx="2669">
                  <c:v>42.51087489811396</c:v>
                </c:pt>
                <c:pt idx="2670">
                  <c:v>42.53947111401995</c:v>
                </c:pt>
                <c:pt idx="2671">
                  <c:v>42.568067329925945</c:v>
                </c:pt>
                <c:pt idx="2672">
                  <c:v>42.59666354583194</c:v>
                </c:pt>
                <c:pt idx="2673">
                  <c:v>42.62525976173792</c:v>
                </c:pt>
                <c:pt idx="2674">
                  <c:v>42.65385597764391</c:v>
                </c:pt>
                <c:pt idx="2675">
                  <c:v>42.682452193549906</c:v>
                </c:pt>
                <c:pt idx="2676">
                  <c:v>42.71104840945589</c:v>
                </c:pt>
                <c:pt idx="2677">
                  <c:v>42.73964462536188</c:v>
                </c:pt>
                <c:pt idx="2678">
                  <c:v>42.768240841267875</c:v>
                </c:pt>
                <c:pt idx="2679">
                  <c:v>42.79683705717386</c:v>
                </c:pt>
                <c:pt idx="2680">
                  <c:v>42.82543327307985</c:v>
                </c:pt>
                <c:pt idx="2681">
                  <c:v>42.854029488985844</c:v>
                </c:pt>
                <c:pt idx="2682">
                  <c:v>42.88262570489183</c:v>
                </c:pt>
                <c:pt idx="2683">
                  <c:v>42.91122192079783</c:v>
                </c:pt>
                <c:pt idx="2684">
                  <c:v>42.93981813670381</c:v>
                </c:pt>
                <c:pt idx="2685">
                  <c:v>42.9684143526098</c:v>
                </c:pt>
                <c:pt idx="2686">
                  <c:v>42.99701056851579</c:v>
                </c:pt>
                <c:pt idx="2687">
                  <c:v>43.02560678442178</c:v>
                </c:pt>
                <c:pt idx="2688">
                  <c:v>43.05420300032777</c:v>
                </c:pt>
                <c:pt idx="2689">
                  <c:v>43.08279921623377</c:v>
                </c:pt>
                <c:pt idx="2690">
                  <c:v>43.11139543213975</c:v>
                </c:pt>
                <c:pt idx="2691">
                  <c:v>43.13999164804574</c:v>
                </c:pt>
                <c:pt idx="2692">
                  <c:v>43.16858786395173</c:v>
                </c:pt>
                <c:pt idx="2693">
                  <c:v>43.19718407985772</c:v>
                </c:pt>
                <c:pt idx="2694">
                  <c:v>43.22578029576371</c:v>
                </c:pt>
                <c:pt idx="2695">
                  <c:v>43.2543765116697</c:v>
                </c:pt>
                <c:pt idx="2696">
                  <c:v>43.28297272757569</c:v>
                </c:pt>
                <c:pt idx="2697">
                  <c:v>43.31156894348168</c:v>
                </c:pt>
                <c:pt idx="2698">
                  <c:v>43.34016515938767</c:v>
                </c:pt>
                <c:pt idx="2699">
                  <c:v>43.36876137529366</c:v>
                </c:pt>
                <c:pt idx="2700">
                  <c:v>43.39735759119965</c:v>
                </c:pt>
                <c:pt idx="2701">
                  <c:v>43.425953807105635</c:v>
                </c:pt>
                <c:pt idx="2702">
                  <c:v>43.454550023011635</c:v>
                </c:pt>
                <c:pt idx="2703">
                  <c:v>43.48314623891762</c:v>
                </c:pt>
                <c:pt idx="2704">
                  <c:v>43.511742454823604</c:v>
                </c:pt>
                <c:pt idx="2705">
                  <c:v>43.540338670729604</c:v>
                </c:pt>
                <c:pt idx="2706">
                  <c:v>43.56893488663559</c:v>
                </c:pt>
                <c:pt idx="2707">
                  <c:v>43.59753110254157</c:v>
                </c:pt>
                <c:pt idx="2708">
                  <c:v>43.62612731844757</c:v>
                </c:pt>
                <c:pt idx="2709">
                  <c:v>43.65472353435356</c:v>
                </c:pt>
                <c:pt idx="2710">
                  <c:v>43.68331975025955</c:v>
                </c:pt>
                <c:pt idx="2711">
                  <c:v>43.71191596616554</c:v>
                </c:pt>
                <c:pt idx="2712">
                  <c:v>43.74051218207153</c:v>
                </c:pt>
                <c:pt idx="2713">
                  <c:v>43.76910839797752</c:v>
                </c:pt>
                <c:pt idx="2714">
                  <c:v>43.79770461388351</c:v>
                </c:pt>
                <c:pt idx="2715">
                  <c:v>43.826300829789496</c:v>
                </c:pt>
                <c:pt idx="2716">
                  <c:v>43.85489704569549</c:v>
                </c:pt>
                <c:pt idx="2717">
                  <c:v>43.88349326160147</c:v>
                </c:pt>
                <c:pt idx="2718">
                  <c:v>43.912089477507465</c:v>
                </c:pt>
                <c:pt idx="2719">
                  <c:v>43.94068569341346</c:v>
                </c:pt>
                <c:pt idx="2720">
                  <c:v>43.96928190931945</c:v>
                </c:pt>
                <c:pt idx="2721">
                  <c:v>43.99787812522544</c:v>
                </c:pt>
                <c:pt idx="2722">
                  <c:v>44.026474341131426</c:v>
                </c:pt>
                <c:pt idx="2723">
                  <c:v>44.05507055703741</c:v>
                </c:pt>
                <c:pt idx="2724">
                  <c:v>44.08366677294341</c:v>
                </c:pt>
                <c:pt idx="2725">
                  <c:v>44.112262988849395</c:v>
                </c:pt>
                <c:pt idx="2726">
                  <c:v>44.14085920475539</c:v>
                </c:pt>
                <c:pt idx="2727">
                  <c:v>44.16945542066138</c:v>
                </c:pt>
                <c:pt idx="2728">
                  <c:v>44.198051636567364</c:v>
                </c:pt>
                <c:pt idx="2729">
                  <c:v>44.226647852473356</c:v>
                </c:pt>
                <c:pt idx="2730">
                  <c:v>44.25524406837935</c:v>
                </c:pt>
                <c:pt idx="2731">
                  <c:v>44.28384028428533</c:v>
                </c:pt>
                <c:pt idx="2732">
                  <c:v>44.31243650019133</c:v>
                </c:pt>
                <c:pt idx="2733">
                  <c:v>44.34103271609732</c:v>
                </c:pt>
                <c:pt idx="2734">
                  <c:v>44.3696289320033</c:v>
                </c:pt>
                <c:pt idx="2735">
                  <c:v>44.398225147909294</c:v>
                </c:pt>
                <c:pt idx="2736">
                  <c:v>44.426821363815286</c:v>
                </c:pt>
                <c:pt idx="2737">
                  <c:v>44.45541757972127</c:v>
                </c:pt>
                <c:pt idx="2738">
                  <c:v>44.48401379562726</c:v>
                </c:pt>
                <c:pt idx="2739">
                  <c:v>44.512610011533255</c:v>
                </c:pt>
                <c:pt idx="2740">
                  <c:v>44.54120622743925</c:v>
                </c:pt>
                <c:pt idx="2741">
                  <c:v>44.56980244334523</c:v>
                </c:pt>
                <c:pt idx="2742">
                  <c:v>44.598398659251224</c:v>
                </c:pt>
                <c:pt idx="2743">
                  <c:v>44.626994875157216</c:v>
                </c:pt>
                <c:pt idx="2744">
                  <c:v>44.6555910910632</c:v>
                </c:pt>
                <c:pt idx="2745">
                  <c:v>44.68418730696919</c:v>
                </c:pt>
                <c:pt idx="2746">
                  <c:v>44.712783522875185</c:v>
                </c:pt>
                <c:pt idx="2747">
                  <c:v>44.74137973878117</c:v>
                </c:pt>
                <c:pt idx="2748">
                  <c:v>44.76997595468716</c:v>
                </c:pt>
                <c:pt idx="2749">
                  <c:v>44.798572170593154</c:v>
                </c:pt>
                <c:pt idx="2750">
                  <c:v>44.82716838649914</c:v>
                </c:pt>
                <c:pt idx="2751">
                  <c:v>44.85576460240514</c:v>
                </c:pt>
                <c:pt idx="2752">
                  <c:v>44.88436081831112</c:v>
                </c:pt>
                <c:pt idx="2753">
                  <c:v>44.91295703421711</c:v>
                </c:pt>
                <c:pt idx="2754">
                  <c:v>44.94155325012311</c:v>
                </c:pt>
                <c:pt idx="2755">
                  <c:v>44.97014946602909</c:v>
                </c:pt>
                <c:pt idx="2756">
                  <c:v>44.99874568193508</c:v>
                </c:pt>
                <c:pt idx="2757">
                  <c:v>45.027341897841076</c:v>
                </c:pt>
                <c:pt idx="2758">
                  <c:v>45.05593811374706</c:v>
                </c:pt>
                <c:pt idx="2759">
                  <c:v>45.08453432965305</c:v>
                </c:pt>
                <c:pt idx="2760">
                  <c:v>45.11313054555904</c:v>
                </c:pt>
                <c:pt idx="2761">
                  <c:v>45.14172676146503</c:v>
                </c:pt>
                <c:pt idx="2762">
                  <c:v>45.17032297737102</c:v>
                </c:pt>
                <c:pt idx="2763">
                  <c:v>45.198919193277014</c:v>
                </c:pt>
                <c:pt idx="2764">
                  <c:v>45.227515409183</c:v>
                </c:pt>
                <c:pt idx="2765">
                  <c:v>45.25611162508899</c:v>
                </c:pt>
                <c:pt idx="2766">
                  <c:v>45.284707840994976</c:v>
                </c:pt>
                <c:pt idx="2767">
                  <c:v>45.31330405690097</c:v>
                </c:pt>
                <c:pt idx="2768">
                  <c:v>45.34190027280696</c:v>
                </c:pt>
                <c:pt idx="2769">
                  <c:v>45.37049648871295</c:v>
                </c:pt>
                <c:pt idx="2770">
                  <c:v>45.399092704618944</c:v>
                </c:pt>
                <c:pt idx="2771">
                  <c:v>45.42768892052493</c:v>
                </c:pt>
                <c:pt idx="2772">
                  <c:v>45.456285136430914</c:v>
                </c:pt>
                <c:pt idx="2773">
                  <c:v>45.48488135233691</c:v>
                </c:pt>
                <c:pt idx="2774">
                  <c:v>45.5134775682429</c:v>
                </c:pt>
                <c:pt idx="2775">
                  <c:v>45.54207378414889</c:v>
                </c:pt>
                <c:pt idx="2776">
                  <c:v>45.57067000005488</c:v>
                </c:pt>
                <c:pt idx="2777">
                  <c:v>45.59926621596087</c:v>
                </c:pt>
                <c:pt idx="2778">
                  <c:v>45.62786243186686</c:v>
                </c:pt>
                <c:pt idx="2779">
                  <c:v>45.65645864777285</c:v>
                </c:pt>
                <c:pt idx="2780">
                  <c:v>45.685054863678836</c:v>
                </c:pt>
                <c:pt idx="2781">
                  <c:v>45.71365107958483</c:v>
                </c:pt>
                <c:pt idx="2782">
                  <c:v>45.74224729549082</c:v>
                </c:pt>
                <c:pt idx="2783">
                  <c:v>45.770843511396805</c:v>
                </c:pt>
                <c:pt idx="2784">
                  <c:v>45.7994397273028</c:v>
                </c:pt>
                <c:pt idx="2785">
                  <c:v>45.82803594320879</c:v>
                </c:pt>
                <c:pt idx="2786">
                  <c:v>45.856632159114774</c:v>
                </c:pt>
                <c:pt idx="2787">
                  <c:v>45.885228375020766</c:v>
                </c:pt>
                <c:pt idx="2788">
                  <c:v>45.91382459092676</c:v>
                </c:pt>
                <c:pt idx="2789">
                  <c:v>45.94242080683275</c:v>
                </c:pt>
                <c:pt idx="2790">
                  <c:v>45.971017022738735</c:v>
                </c:pt>
                <c:pt idx="2791">
                  <c:v>45.99961323864472</c:v>
                </c:pt>
                <c:pt idx="2792">
                  <c:v>46.02820945455072</c:v>
                </c:pt>
                <c:pt idx="2793">
                  <c:v>46.056805670456704</c:v>
                </c:pt>
                <c:pt idx="2794">
                  <c:v>46.085401886362696</c:v>
                </c:pt>
                <c:pt idx="2795">
                  <c:v>46.11399810226869</c:v>
                </c:pt>
                <c:pt idx="2796">
                  <c:v>46.14259431817467</c:v>
                </c:pt>
                <c:pt idx="2797">
                  <c:v>46.171190534080665</c:v>
                </c:pt>
                <c:pt idx="2798">
                  <c:v>46.19978674998666</c:v>
                </c:pt>
                <c:pt idx="2799">
                  <c:v>46.22838296589264</c:v>
                </c:pt>
                <c:pt idx="2800">
                  <c:v>46.25697918179864</c:v>
                </c:pt>
                <c:pt idx="2801">
                  <c:v>46.285575397704626</c:v>
                </c:pt>
                <c:pt idx="2802">
                  <c:v>46.31417161361061</c:v>
                </c:pt>
                <c:pt idx="2803">
                  <c:v>46.3427678295166</c:v>
                </c:pt>
                <c:pt idx="2804">
                  <c:v>46.371364045422595</c:v>
                </c:pt>
                <c:pt idx="2805">
                  <c:v>46.39996026132858</c:v>
                </c:pt>
                <c:pt idx="2806">
                  <c:v>46.42855647723458</c:v>
                </c:pt>
                <c:pt idx="2807">
                  <c:v>46.457152693140564</c:v>
                </c:pt>
                <c:pt idx="2808">
                  <c:v>46.485748909046556</c:v>
                </c:pt>
                <c:pt idx="2809">
                  <c:v>46.51434512495254</c:v>
                </c:pt>
                <c:pt idx="2810">
                  <c:v>46.54294134085853</c:v>
                </c:pt>
                <c:pt idx="2811">
                  <c:v>46.571537556764525</c:v>
                </c:pt>
                <c:pt idx="2812">
                  <c:v>46.60013377267052</c:v>
                </c:pt>
                <c:pt idx="2813">
                  <c:v>46.6287299885765</c:v>
                </c:pt>
                <c:pt idx="2814">
                  <c:v>46.657326204482494</c:v>
                </c:pt>
                <c:pt idx="2815">
                  <c:v>46.68592242038848</c:v>
                </c:pt>
                <c:pt idx="2816">
                  <c:v>46.71451863629447</c:v>
                </c:pt>
                <c:pt idx="2817">
                  <c:v>46.74311485220046</c:v>
                </c:pt>
                <c:pt idx="2818">
                  <c:v>46.77171106810645</c:v>
                </c:pt>
                <c:pt idx="2819">
                  <c:v>46.80030728401245</c:v>
                </c:pt>
                <c:pt idx="2820">
                  <c:v>46.82890349991843</c:v>
                </c:pt>
                <c:pt idx="2821">
                  <c:v>46.85749971582442</c:v>
                </c:pt>
                <c:pt idx="2822">
                  <c:v>46.88609593173041</c:v>
                </c:pt>
                <c:pt idx="2823">
                  <c:v>46.9146921476364</c:v>
                </c:pt>
                <c:pt idx="2824">
                  <c:v>46.943288363542386</c:v>
                </c:pt>
                <c:pt idx="2825">
                  <c:v>46.971884579448385</c:v>
                </c:pt>
                <c:pt idx="2826">
                  <c:v>47.00048079535437</c:v>
                </c:pt>
                <c:pt idx="2827">
                  <c:v>47.02907701126036</c:v>
                </c:pt>
                <c:pt idx="2828">
                  <c:v>47.057673227166354</c:v>
                </c:pt>
                <c:pt idx="2829">
                  <c:v>47.08626944307234</c:v>
                </c:pt>
                <c:pt idx="2830">
                  <c:v>47.11486565897833</c:v>
                </c:pt>
                <c:pt idx="2831">
                  <c:v>47.14346187488432</c:v>
                </c:pt>
                <c:pt idx="2832">
                  <c:v>47.17205809079031</c:v>
                </c:pt>
                <c:pt idx="2833">
                  <c:v>47.2006543066963</c:v>
                </c:pt>
                <c:pt idx="2834">
                  <c:v>47.22925052260229</c:v>
                </c:pt>
                <c:pt idx="2835">
                  <c:v>47.25784673850828</c:v>
                </c:pt>
                <c:pt idx="2836">
                  <c:v>47.28644295441427</c:v>
                </c:pt>
                <c:pt idx="2837">
                  <c:v>47.31503917032026</c:v>
                </c:pt>
                <c:pt idx="2838">
                  <c:v>47.343635386226254</c:v>
                </c:pt>
                <c:pt idx="2839">
                  <c:v>47.37223160213224</c:v>
                </c:pt>
                <c:pt idx="2840">
                  <c:v>47.40082781803822</c:v>
                </c:pt>
                <c:pt idx="2841">
                  <c:v>47.42942403394422</c:v>
                </c:pt>
                <c:pt idx="2842">
                  <c:v>47.45802024985021</c:v>
                </c:pt>
                <c:pt idx="2843">
                  <c:v>47.4866164657562</c:v>
                </c:pt>
                <c:pt idx="2844">
                  <c:v>47.51521268166219</c:v>
                </c:pt>
                <c:pt idx="2845">
                  <c:v>47.54380889756818</c:v>
                </c:pt>
                <c:pt idx="2846">
                  <c:v>47.57240511347417</c:v>
                </c:pt>
                <c:pt idx="2847">
                  <c:v>47.60100132938016</c:v>
                </c:pt>
                <c:pt idx="2848">
                  <c:v>47.629597545286146</c:v>
                </c:pt>
                <c:pt idx="2849">
                  <c:v>47.658193761192145</c:v>
                </c:pt>
                <c:pt idx="2850">
                  <c:v>47.68678997709813</c:v>
                </c:pt>
                <c:pt idx="2851">
                  <c:v>47.715386193004115</c:v>
                </c:pt>
                <c:pt idx="2852">
                  <c:v>47.74398240891011</c:v>
                </c:pt>
                <c:pt idx="2853">
                  <c:v>47.7725786248161</c:v>
                </c:pt>
                <c:pt idx="2854">
                  <c:v>47.801174840722084</c:v>
                </c:pt>
                <c:pt idx="2855">
                  <c:v>47.829771056628076</c:v>
                </c:pt>
                <c:pt idx="2856">
                  <c:v>47.85836727253407</c:v>
                </c:pt>
                <c:pt idx="2857">
                  <c:v>47.88696348844006</c:v>
                </c:pt>
                <c:pt idx="2858">
                  <c:v>47.915559704346045</c:v>
                </c:pt>
                <c:pt idx="2859">
                  <c:v>47.94415592025204</c:v>
                </c:pt>
                <c:pt idx="2860">
                  <c:v>47.97275213615803</c:v>
                </c:pt>
                <c:pt idx="2861">
                  <c:v>48.00134835206402</c:v>
                </c:pt>
                <c:pt idx="2862">
                  <c:v>48.029944567970006</c:v>
                </c:pt>
                <c:pt idx="2863">
                  <c:v>48.058540783876</c:v>
                </c:pt>
                <c:pt idx="2864">
                  <c:v>48.08713699978198</c:v>
                </c:pt>
                <c:pt idx="2865">
                  <c:v>48.115733215687975</c:v>
                </c:pt>
                <c:pt idx="2866">
                  <c:v>48.14432943159397</c:v>
                </c:pt>
                <c:pt idx="2867">
                  <c:v>48.17292564749995</c:v>
                </c:pt>
                <c:pt idx="2868">
                  <c:v>48.20152186340595</c:v>
                </c:pt>
                <c:pt idx="2869">
                  <c:v>48.230118079311936</c:v>
                </c:pt>
                <c:pt idx="2870">
                  <c:v>48.25871429521792</c:v>
                </c:pt>
                <c:pt idx="2871">
                  <c:v>48.28731051112391</c:v>
                </c:pt>
                <c:pt idx="2872">
                  <c:v>48.315906727029905</c:v>
                </c:pt>
                <c:pt idx="2873">
                  <c:v>48.34450294293589</c:v>
                </c:pt>
                <c:pt idx="2874">
                  <c:v>48.37309915884189</c:v>
                </c:pt>
                <c:pt idx="2875">
                  <c:v>48.401695374747874</c:v>
                </c:pt>
                <c:pt idx="2876">
                  <c:v>48.430291590653866</c:v>
                </c:pt>
                <c:pt idx="2877">
                  <c:v>48.45888780655985</c:v>
                </c:pt>
                <c:pt idx="2878">
                  <c:v>48.48748402246584</c:v>
                </c:pt>
                <c:pt idx="2879">
                  <c:v>48.516080238371835</c:v>
                </c:pt>
                <c:pt idx="2880">
                  <c:v>48.54467645427783</c:v>
                </c:pt>
                <c:pt idx="2881">
                  <c:v>48.57327267018381</c:v>
                </c:pt>
                <c:pt idx="2882">
                  <c:v>48.601868886089804</c:v>
                </c:pt>
                <c:pt idx="2883">
                  <c:v>48.630465101995796</c:v>
                </c:pt>
                <c:pt idx="2884">
                  <c:v>48.65906131790178</c:v>
                </c:pt>
                <c:pt idx="2885">
                  <c:v>48.68765753380777</c:v>
                </c:pt>
                <c:pt idx="2886">
                  <c:v>48.71625374971376</c:v>
                </c:pt>
                <c:pt idx="2887">
                  <c:v>48.74484996561976</c:v>
                </c:pt>
                <c:pt idx="2888">
                  <c:v>48.77344618152574</c:v>
                </c:pt>
                <c:pt idx="2889">
                  <c:v>48.80204239743173</c:v>
                </c:pt>
                <c:pt idx="2890">
                  <c:v>48.830638613337726</c:v>
                </c:pt>
                <c:pt idx="2891">
                  <c:v>48.85923482924371</c:v>
                </c:pt>
                <c:pt idx="2892">
                  <c:v>48.8878310451497</c:v>
                </c:pt>
                <c:pt idx="2893">
                  <c:v>48.916427261055695</c:v>
                </c:pt>
                <c:pt idx="2894">
                  <c:v>48.94502347696168</c:v>
                </c:pt>
                <c:pt idx="2895">
                  <c:v>48.97361969286767</c:v>
                </c:pt>
                <c:pt idx="2896">
                  <c:v>49.002215908773664</c:v>
                </c:pt>
                <c:pt idx="2897">
                  <c:v>49.03081212467965</c:v>
                </c:pt>
                <c:pt idx="2898">
                  <c:v>49.05940834058565</c:v>
                </c:pt>
                <c:pt idx="2899">
                  <c:v>49.08800455649163</c:v>
                </c:pt>
                <c:pt idx="2900">
                  <c:v>49.11660077239762</c:v>
                </c:pt>
                <c:pt idx="2901">
                  <c:v>49.14519698830361</c:v>
                </c:pt>
                <c:pt idx="2902">
                  <c:v>49.1737932042096</c:v>
                </c:pt>
                <c:pt idx="2903">
                  <c:v>49.20238942011559</c:v>
                </c:pt>
                <c:pt idx="2904">
                  <c:v>49.23098563602158</c:v>
                </c:pt>
                <c:pt idx="2905">
                  <c:v>49.25958185192757</c:v>
                </c:pt>
                <c:pt idx="2906">
                  <c:v>49.28817806783356</c:v>
                </c:pt>
                <c:pt idx="2907">
                  <c:v>49.31677428373955</c:v>
                </c:pt>
                <c:pt idx="2908">
                  <c:v>49.34537049964553</c:v>
                </c:pt>
                <c:pt idx="2909">
                  <c:v>49.37396671555153</c:v>
                </c:pt>
                <c:pt idx="2910">
                  <c:v>49.40256293145752</c:v>
                </c:pt>
                <c:pt idx="2911">
                  <c:v>49.43115914736351</c:v>
                </c:pt>
                <c:pt idx="2912">
                  <c:v>49.4597553632695</c:v>
                </c:pt>
                <c:pt idx="2913">
                  <c:v>49.488351579175486</c:v>
                </c:pt>
                <c:pt idx="2914">
                  <c:v>49.51694779508148</c:v>
                </c:pt>
                <c:pt idx="2915">
                  <c:v>49.54554401098747</c:v>
                </c:pt>
                <c:pt idx="2916">
                  <c:v>49.574140226893455</c:v>
                </c:pt>
                <c:pt idx="2917">
                  <c:v>49.602736442799454</c:v>
                </c:pt>
                <c:pt idx="2918">
                  <c:v>49.63133265870544</c:v>
                </c:pt>
                <c:pt idx="2919">
                  <c:v>49.659928874611424</c:v>
                </c:pt>
                <c:pt idx="2920">
                  <c:v>49.688525090517416</c:v>
                </c:pt>
                <c:pt idx="2921">
                  <c:v>49.71712130642341</c:v>
                </c:pt>
                <c:pt idx="2922">
                  <c:v>49.74571752232939</c:v>
                </c:pt>
                <c:pt idx="2923">
                  <c:v>49.77431373823539</c:v>
                </c:pt>
                <c:pt idx="2924">
                  <c:v>49.80290995414138</c:v>
                </c:pt>
                <c:pt idx="2925">
                  <c:v>49.83150617004737</c:v>
                </c:pt>
                <c:pt idx="2926">
                  <c:v>49.860102385953354</c:v>
                </c:pt>
                <c:pt idx="2927">
                  <c:v>49.888698601859346</c:v>
                </c:pt>
                <c:pt idx="2928">
                  <c:v>49.91729481776534</c:v>
                </c:pt>
                <c:pt idx="2929">
                  <c:v>49.94589103367133</c:v>
                </c:pt>
                <c:pt idx="2930">
                  <c:v>49.974487249577315</c:v>
                </c:pt>
                <c:pt idx="2931">
                  <c:v>50.00308346548331</c:v>
                </c:pt>
                <c:pt idx="2932">
                  <c:v>50.03167968138929</c:v>
                </c:pt>
                <c:pt idx="2933">
                  <c:v>50.060275897295284</c:v>
                </c:pt>
                <c:pt idx="2934">
                  <c:v>50.088872113201276</c:v>
                </c:pt>
                <c:pt idx="2935">
                  <c:v>50.11746832910726</c:v>
                </c:pt>
                <c:pt idx="2936">
                  <c:v>50.14606454501326</c:v>
                </c:pt>
                <c:pt idx="2937">
                  <c:v>50.174660760919245</c:v>
                </c:pt>
                <c:pt idx="2938">
                  <c:v>50.20325697682523</c:v>
                </c:pt>
                <c:pt idx="2939">
                  <c:v>50.23185319273122</c:v>
                </c:pt>
                <c:pt idx="2940">
                  <c:v>50.260449408637214</c:v>
                </c:pt>
                <c:pt idx="2941">
                  <c:v>50.2890456245432</c:v>
                </c:pt>
                <c:pt idx="2942">
                  <c:v>50.3176418404492</c:v>
                </c:pt>
                <c:pt idx="2943">
                  <c:v>50.34623805635518</c:v>
                </c:pt>
                <c:pt idx="2944">
                  <c:v>50.374834272261175</c:v>
                </c:pt>
                <c:pt idx="2945">
                  <c:v>50.40343048816717</c:v>
                </c:pt>
                <c:pt idx="2946">
                  <c:v>50.43202670407315</c:v>
                </c:pt>
                <c:pt idx="2947">
                  <c:v>50.46062291997915</c:v>
                </c:pt>
                <c:pt idx="2948">
                  <c:v>50.489219135885136</c:v>
                </c:pt>
                <c:pt idx="2949">
                  <c:v>50.51781535179112</c:v>
                </c:pt>
                <c:pt idx="2950">
                  <c:v>50.54641156769711</c:v>
                </c:pt>
                <c:pt idx="2951">
                  <c:v>50.575007783603105</c:v>
                </c:pt>
                <c:pt idx="2952">
                  <c:v>50.60360399950909</c:v>
                </c:pt>
                <c:pt idx="2953">
                  <c:v>50.63220021541508</c:v>
                </c:pt>
                <c:pt idx="2954">
                  <c:v>50.660796431321074</c:v>
                </c:pt>
                <c:pt idx="2955">
                  <c:v>50.689392647227066</c:v>
                </c:pt>
                <c:pt idx="2956">
                  <c:v>50.71798886313305</c:v>
                </c:pt>
                <c:pt idx="2957">
                  <c:v>50.746585079039036</c:v>
                </c:pt>
                <c:pt idx="2958">
                  <c:v>50.775181294945035</c:v>
                </c:pt>
                <c:pt idx="2959">
                  <c:v>50.80377751085102</c:v>
                </c:pt>
                <c:pt idx="2960">
                  <c:v>50.83237372675701</c:v>
                </c:pt>
                <c:pt idx="2961">
                  <c:v>50.860969942663004</c:v>
                </c:pt>
                <c:pt idx="2962">
                  <c:v>50.88956615856899</c:v>
                </c:pt>
                <c:pt idx="2963">
                  <c:v>50.91816237447498</c:v>
                </c:pt>
                <c:pt idx="2964">
                  <c:v>50.94675859038097</c:v>
                </c:pt>
                <c:pt idx="2965">
                  <c:v>50.97535480628696</c:v>
                </c:pt>
                <c:pt idx="2966">
                  <c:v>51.00395102219296</c:v>
                </c:pt>
                <c:pt idx="2967">
                  <c:v>51.03254723809894</c:v>
                </c:pt>
                <c:pt idx="2968">
                  <c:v>51.06114345400493</c:v>
                </c:pt>
                <c:pt idx="2969">
                  <c:v>51.08973966991092</c:v>
                </c:pt>
                <c:pt idx="2970">
                  <c:v>51.11833588581691</c:v>
                </c:pt>
                <c:pt idx="2971">
                  <c:v>51.146932101722896</c:v>
                </c:pt>
                <c:pt idx="2972">
                  <c:v>51.175528317628896</c:v>
                </c:pt>
                <c:pt idx="2973">
                  <c:v>51.20412453353488</c:v>
                </c:pt>
                <c:pt idx="2974">
                  <c:v>51.23272074944087</c:v>
                </c:pt>
                <c:pt idx="2975">
                  <c:v>51.26131696534686</c:v>
                </c:pt>
                <c:pt idx="2976">
                  <c:v>51.28991318125284</c:v>
                </c:pt>
                <c:pt idx="2977">
                  <c:v>51.31850939715884</c:v>
                </c:pt>
                <c:pt idx="2978">
                  <c:v>51.347105613064834</c:v>
                </c:pt>
                <c:pt idx="2979">
                  <c:v>51.37570182897082</c:v>
                </c:pt>
                <c:pt idx="2980">
                  <c:v>51.40429804487681</c:v>
                </c:pt>
                <c:pt idx="2981">
                  <c:v>51.432894260782795</c:v>
                </c:pt>
                <c:pt idx="2982">
                  <c:v>51.46149047668879</c:v>
                </c:pt>
                <c:pt idx="2983">
                  <c:v>51.49008669259478</c:v>
                </c:pt>
                <c:pt idx="2984">
                  <c:v>51.518682908500764</c:v>
                </c:pt>
                <c:pt idx="2985">
                  <c:v>51.547279124406764</c:v>
                </c:pt>
                <c:pt idx="2986">
                  <c:v>51.57587534031275</c:v>
                </c:pt>
                <c:pt idx="2987">
                  <c:v>51.60447155621873</c:v>
                </c:pt>
                <c:pt idx="2988">
                  <c:v>51.633067772124726</c:v>
                </c:pt>
                <c:pt idx="2989">
                  <c:v>51.66166398803072</c:v>
                </c:pt>
                <c:pt idx="2990">
                  <c:v>51.69026020393671</c:v>
                </c:pt>
                <c:pt idx="2991">
                  <c:v>51.7188564198427</c:v>
                </c:pt>
                <c:pt idx="2992">
                  <c:v>51.74745263574869</c:v>
                </c:pt>
                <c:pt idx="2993">
                  <c:v>51.77604885165468</c:v>
                </c:pt>
                <c:pt idx="2994">
                  <c:v>51.804645067560664</c:v>
                </c:pt>
                <c:pt idx="2995">
                  <c:v>51.833241283466656</c:v>
                </c:pt>
                <c:pt idx="2996">
                  <c:v>51.861837499372655</c:v>
                </c:pt>
                <c:pt idx="2997">
                  <c:v>51.89043371527864</c:v>
                </c:pt>
                <c:pt idx="2998">
                  <c:v>51.919029931184625</c:v>
                </c:pt>
                <c:pt idx="2999">
                  <c:v>51.94762614709062</c:v>
                </c:pt>
                <c:pt idx="3000">
                  <c:v>51.9762223629966</c:v>
                </c:pt>
                <c:pt idx="3001">
                  <c:v>52.004818578902594</c:v>
                </c:pt>
                <c:pt idx="3002">
                  <c:v>52.033414794808586</c:v>
                </c:pt>
                <c:pt idx="3003">
                  <c:v>52.06201101071458</c:v>
                </c:pt>
                <c:pt idx="3004">
                  <c:v>52.09060722662057</c:v>
                </c:pt>
                <c:pt idx="3005">
                  <c:v>52.119203442526555</c:v>
                </c:pt>
                <c:pt idx="3006">
                  <c:v>52.14779965843254</c:v>
                </c:pt>
                <c:pt idx="3007">
                  <c:v>52.17639587433853</c:v>
                </c:pt>
                <c:pt idx="3008">
                  <c:v>52.204992090244524</c:v>
                </c:pt>
                <c:pt idx="3009">
                  <c:v>52.233588306150516</c:v>
                </c:pt>
                <c:pt idx="3010">
                  <c:v>52.26218452205651</c:v>
                </c:pt>
                <c:pt idx="3011">
                  <c:v>52.29078073796249</c:v>
                </c:pt>
                <c:pt idx="3012">
                  <c:v>52.319376953868485</c:v>
                </c:pt>
                <c:pt idx="3013">
                  <c:v>52.34797316977447</c:v>
                </c:pt>
                <c:pt idx="3014">
                  <c:v>52.37656938568046</c:v>
                </c:pt>
                <c:pt idx="3015">
                  <c:v>52.40516560158646</c:v>
                </c:pt>
                <c:pt idx="3016">
                  <c:v>52.433761817492446</c:v>
                </c:pt>
                <c:pt idx="3017">
                  <c:v>52.46235803339843</c:v>
                </c:pt>
                <c:pt idx="3018">
                  <c:v>52.49095424930442</c:v>
                </c:pt>
                <c:pt idx="3019">
                  <c:v>52.519550465210415</c:v>
                </c:pt>
                <c:pt idx="3020">
                  <c:v>52.5481466811164</c:v>
                </c:pt>
                <c:pt idx="3021">
                  <c:v>52.5767428970224</c:v>
                </c:pt>
                <c:pt idx="3022">
                  <c:v>52.605339112928384</c:v>
                </c:pt>
                <c:pt idx="3023">
                  <c:v>52.633935328834376</c:v>
                </c:pt>
                <c:pt idx="3024">
                  <c:v>52.66253154474036</c:v>
                </c:pt>
                <c:pt idx="3025">
                  <c:v>52.691127760646346</c:v>
                </c:pt>
                <c:pt idx="3026">
                  <c:v>52.719723976552345</c:v>
                </c:pt>
                <c:pt idx="3027">
                  <c:v>52.74832019245834</c:v>
                </c:pt>
                <c:pt idx="3028">
                  <c:v>52.77691640836432</c:v>
                </c:pt>
                <c:pt idx="3029">
                  <c:v>52.805512624270314</c:v>
                </c:pt>
                <c:pt idx="3030">
                  <c:v>52.8341088401763</c:v>
                </c:pt>
                <c:pt idx="3031">
                  <c:v>52.86270505608229</c:v>
                </c:pt>
                <c:pt idx="3032">
                  <c:v>52.89130127198828</c:v>
                </c:pt>
                <c:pt idx="3033">
                  <c:v>52.91989748789427</c:v>
                </c:pt>
                <c:pt idx="3034">
                  <c:v>52.94849370380027</c:v>
                </c:pt>
                <c:pt idx="3035">
                  <c:v>52.97708991970625</c:v>
                </c:pt>
                <c:pt idx="3036">
                  <c:v>53.00568613561224</c:v>
                </c:pt>
                <c:pt idx="3037">
                  <c:v>53.03428235151823</c:v>
                </c:pt>
                <c:pt idx="3038">
                  <c:v>53.06287856742422</c:v>
                </c:pt>
                <c:pt idx="3039">
                  <c:v>53.091474783330206</c:v>
                </c:pt>
                <c:pt idx="3040">
                  <c:v>53.120070999236205</c:v>
                </c:pt>
                <c:pt idx="3041">
                  <c:v>53.14866721514219</c:v>
                </c:pt>
                <c:pt idx="3042">
                  <c:v>53.17726343104818</c:v>
                </c:pt>
                <c:pt idx="3043">
                  <c:v>53.20585964695417</c:v>
                </c:pt>
                <c:pt idx="3044">
                  <c:v>53.23445586286015</c:v>
                </c:pt>
                <c:pt idx="3045">
                  <c:v>53.26305207876616</c:v>
                </c:pt>
                <c:pt idx="3046">
                  <c:v>53.29164829467214</c:v>
                </c:pt>
                <c:pt idx="3047">
                  <c:v>53.32024451057813</c:v>
                </c:pt>
                <c:pt idx="3048">
                  <c:v>53.34884072648412</c:v>
                </c:pt>
                <c:pt idx="3049">
                  <c:v>53.377436942390105</c:v>
                </c:pt>
                <c:pt idx="3050">
                  <c:v>53.4060331582961</c:v>
                </c:pt>
                <c:pt idx="3051">
                  <c:v>53.43462937420209</c:v>
                </c:pt>
                <c:pt idx="3052">
                  <c:v>53.46322559010808</c:v>
                </c:pt>
                <c:pt idx="3053">
                  <c:v>53.49182180601407</c:v>
                </c:pt>
                <c:pt idx="3054">
                  <c:v>53.52041802192006</c:v>
                </c:pt>
                <c:pt idx="3055">
                  <c:v>53.54901423782604</c:v>
                </c:pt>
                <c:pt idx="3056">
                  <c:v>53.57761045373204</c:v>
                </c:pt>
                <c:pt idx="3057">
                  <c:v>53.60620666963803</c:v>
                </c:pt>
                <c:pt idx="3058">
                  <c:v>53.63480288554402</c:v>
                </c:pt>
                <c:pt idx="3059">
                  <c:v>53.66339910145001</c:v>
                </c:pt>
                <c:pt idx="3060">
                  <c:v>53.691995317355996</c:v>
                </c:pt>
                <c:pt idx="3061">
                  <c:v>53.72059153326199</c:v>
                </c:pt>
                <c:pt idx="3062">
                  <c:v>53.74918774916797</c:v>
                </c:pt>
                <c:pt idx="3063">
                  <c:v>53.777783965073965</c:v>
                </c:pt>
                <c:pt idx="3064">
                  <c:v>53.806380180979964</c:v>
                </c:pt>
                <c:pt idx="3065">
                  <c:v>53.83497639688595</c:v>
                </c:pt>
                <c:pt idx="3066">
                  <c:v>53.863572612791934</c:v>
                </c:pt>
                <c:pt idx="3067">
                  <c:v>53.892168828697926</c:v>
                </c:pt>
                <c:pt idx="3068">
                  <c:v>53.92076504460391</c:v>
                </c:pt>
                <c:pt idx="3069">
                  <c:v>53.9493612605099</c:v>
                </c:pt>
                <c:pt idx="3070">
                  <c:v>53.977957476415895</c:v>
                </c:pt>
                <c:pt idx="3071">
                  <c:v>54.00655369232189</c:v>
                </c:pt>
                <c:pt idx="3072">
                  <c:v>54.03514990822788</c:v>
                </c:pt>
                <c:pt idx="3073">
                  <c:v>54.063746124133864</c:v>
                </c:pt>
                <c:pt idx="3074">
                  <c:v>54.09234234003985</c:v>
                </c:pt>
                <c:pt idx="3075">
                  <c:v>54.12093855594585</c:v>
                </c:pt>
                <c:pt idx="3076">
                  <c:v>54.14953477185184</c:v>
                </c:pt>
                <c:pt idx="3077">
                  <c:v>54.178130987757825</c:v>
                </c:pt>
                <c:pt idx="3078">
                  <c:v>54.20672720366382</c:v>
                </c:pt>
                <c:pt idx="3079">
                  <c:v>54.2353234195698</c:v>
                </c:pt>
                <c:pt idx="3080">
                  <c:v>54.263919635475794</c:v>
                </c:pt>
                <c:pt idx="3081">
                  <c:v>54.292515851381786</c:v>
                </c:pt>
                <c:pt idx="3082">
                  <c:v>54.32111206728777</c:v>
                </c:pt>
                <c:pt idx="3083">
                  <c:v>54.34970828319377</c:v>
                </c:pt>
                <c:pt idx="3084">
                  <c:v>54.378304499099755</c:v>
                </c:pt>
                <c:pt idx="3085">
                  <c:v>54.40690071500574</c:v>
                </c:pt>
                <c:pt idx="3086">
                  <c:v>54.43549693091173</c:v>
                </c:pt>
                <c:pt idx="3087">
                  <c:v>54.464093146817724</c:v>
                </c:pt>
                <c:pt idx="3088">
                  <c:v>54.49268936272371</c:v>
                </c:pt>
                <c:pt idx="3089">
                  <c:v>54.52128557862971</c:v>
                </c:pt>
                <c:pt idx="3090">
                  <c:v>54.54988179453569</c:v>
                </c:pt>
                <c:pt idx="3091">
                  <c:v>54.578478010441685</c:v>
                </c:pt>
                <c:pt idx="3092">
                  <c:v>54.60707422634767</c:v>
                </c:pt>
                <c:pt idx="3093">
                  <c:v>54.635670442253655</c:v>
                </c:pt>
                <c:pt idx="3094">
                  <c:v>54.664266658159654</c:v>
                </c:pt>
                <c:pt idx="3095">
                  <c:v>54.692862874065646</c:v>
                </c:pt>
                <c:pt idx="3096">
                  <c:v>54.72145908997163</c:v>
                </c:pt>
                <c:pt idx="3097">
                  <c:v>54.75005530587762</c:v>
                </c:pt>
                <c:pt idx="3098">
                  <c:v>54.77865152178361</c:v>
                </c:pt>
                <c:pt idx="3099">
                  <c:v>54.8072477376896</c:v>
                </c:pt>
                <c:pt idx="3100">
                  <c:v>54.83584395359559</c:v>
                </c:pt>
                <c:pt idx="3101">
                  <c:v>54.86444016950158</c:v>
                </c:pt>
                <c:pt idx="3102">
                  <c:v>54.89303638540758</c:v>
                </c:pt>
                <c:pt idx="3103">
                  <c:v>54.92163260131356</c:v>
                </c:pt>
                <c:pt idx="3104">
                  <c:v>54.950228817219546</c:v>
                </c:pt>
                <c:pt idx="3105">
                  <c:v>54.978825033125545</c:v>
                </c:pt>
                <c:pt idx="3106">
                  <c:v>55.00742124903153</c:v>
                </c:pt>
                <c:pt idx="3107">
                  <c:v>55.03601746493752</c:v>
                </c:pt>
                <c:pt idx="3108">
                  <c:v>55.064613680843514</c:v>
                </c:pt>
                <c:pt idx="3109">
                  <c:v>55.0932098967495</c:v>
                </c:pt>
                <c:pt idx="3110">
                  <c:v>55.12180611265549</c:v>
                </c:pt>
                <c:pt idx="3111">
                  <c:v>55.150402328561476</c:v>
                </c:pt>
                <c:pt idx="3112">
                  <c:v>55.17899854446747</c:v>
                </c:pt>
                <c:pt idx="3113">
                  <c:v>55.20759476037346</c:v>
                </c:pt>
                <c:pt idx="3114">
                  <c:v>55.23619097627945</c:v>
                </c:pt>
                <c:pt idx="3115">
                  <c:v>55.26478719218544</c:v>
                </c:pt>
                <c:pt idx="3116">
                  <c:v>55.29338340809143</c:v>
                </c:pt>
                <c:pt idx="3117">
                  <c:v>55.321979623997414</c:v>
                </c:pt>
                <c:pt idx="3118">
                  <c:v>55.35057583990341</c:v>
                </c:pt>
                <c:pt idx="3119">
                  <c:v>55.3791720558094</c:v>
                </c:pt>
                <c:pt idx="3120">
                  <c:v>55.40776827171539</c:v>
                </c:pt>
                <c:pt idx="3121">
                  <c:v>55.43636448762138</c:v>
                </c:pt>
                <c:pt idx="3122">
                  <c:v>55.46496070352737</c:v>
                </c:pt>
                <c:pt idx="3123">
                  <c:v>55.49355691943335</c:v>
                </c:pt>
                <c:pt idx="3124">
                  <c:v>55.522153135339344</c:v>
                </c:pt>
                <c:pt idx="3125">
                  <c:v>55.55074935124534</c:v>
                </c:pt>
                <c:pt idx="3126">
                  <c:v>55.57934556715133</c:v>
                </c:pt>
                <c:pt idx="3127">
                  <c:v>55.60794178305732</c:v>
                </c:pt>
                <c:pt idx="3128">
                  <c:v>55.636537998963306</c:v>
                </c:pt>
                <c:pt idx="3129">
                  <c:v>55.6651342148693</c:v>
                </c:pt>
                <c:pt idx="3130">
                  <c:v>55.69373043077528</c:v>
                </c:pt>
                <c:pt idx="3131">
                  <c:v>55.72232664668128</c:v>
                </c:pt>
                <c:pt idx="3132">
                  <c:v>55.75092286258727</c:v>
                </c:pt>
                <c:pt idx="3133">
                  <c:v>55.77951907849326</c:v>
                </c:pt>
                <c:pt idx="3134">
                  <c:v>55.808115294399244</c:v>
                </c:pt>
                <c:pt idx="3135">
                  <c:v>55.836711510305236</c:v>
                </c:pt>
                <c:pt idx="3136">
                  <c:v>55.86530772621123</c:v>
                </c:pt>
                <c:pt idx="3137">
                  <c:v>55.89390394211722</c:v>
                </c:pt>
                <c:pt idx="3138">
                  <c:v>55.92250015802321</c:v>
                </c:pt>
                <c:pt idx="3139">
                  <c:v>55.9510963739292</c:v>
                </c:pt>
                <c:pt idx="3140">
                  <c:v>55.97969258983519</c:v>
                </c:pt>
                <c:pt idx="3141">
                  <c:v>56.008288805741174</c:v>
                </c:pt>
                <c:pt idx="3142">
                  <c:v>56.036885021647166</c:v>
                </c:pt>
                <c:pt idx="3143">
                  <c:v>56.06548123755316</c:v>
                </c:pt>
                <c:pt idx="3144">
                  <c:v>56.09407745345915</c:v>
                </c:pt>
                <c:pt idx="3145">
                  <c:v>56.122673669365135</c:v>
                </c:pt>
                <c:pt idx="3146">
                  <c:v>56.15126988527113</c:v>
                </c:pt>
                <c:pt idx="3147">
                  <c:v>56.17986610117711</c:v>
                </c:pt>
                <c:pt idx="3148">
                  <c:v>56.208462317083104</c:v>
                </c:pt>
                <c:pt idx="3149">
                  <c:v>56.237058532989096</c:v>
                </c:pt>
                <c:pt idx="3150">
                  <c:v>56.26565474889509</c:v>
                </c:pt>
                <c:pt idx="3151">
                  <c:v>56.29425096480108</c:v>
                </c:pt>
                <c:pt idx="3152">
                  <c:v>56.322847180707065</c:v>
                </c:pt>
                <c:pt idx="3153">
                  <c:v>56.35144339661305</c:v>
                </c:pt>
                <c:pt idx="3154">
                  <c:v>56.38003961251904</c:v>
                </c:pt>
                <c:pt idx="3155">
                  <c:v>56.408635828425034</c:v>
                </c:pt>
                <c:pt idx="3156">
                  <c:v>56.437232044331026</c:v>
                </c:pt>
                <c:pt idx="3157">
                  <c:v>56.46582826023702</c:v>
                </c:pt>
                <c:pt idx="3158">
                  <c:v>56.494424476143</c:v>
                </c:pt>
                <c:pt idx="3159">
                  <c:v>56.523020692048995</c:v>
                </c:pt>
                <c:pt idx="3160">
                  <c:v>56.55161690795498</c:v>
                </c:pt>
                <c:pt idx="3161">
                  <c:v>56.58021312386097</c:v>
                </c:pt>
                <c:pt idx="3162">
                  <c:v>56.608809339766964</c:v>
                </c:pt>
                <c:pt idx="3163">
                  <c:v>56.637405555672956</c:v>
                </c:pt>
                <c:pt idx="3164">
                  <c:v>56.66600177157894</c:v>
                </c:pt>
                <c:pt idx="3165">
                  <c:v>56.69459798748493</c:v>
                </c:pt>
                <c:pt idx="3166">
                  <c:v>56.72319420339092</c:v>
                </c:pt>
                <c:pt idx="3167">
                  <c:v>56.75179041929691</c:v>
                </c:pt>
                <c:pt idx="3168">
                  <c:v>56.7803866352029</c:v>
                </c:pt>
                <c:pt idx="3169">
                  <c:v>56.808982851108894</c:v>
                </c:pt>
                <c:pt idx="3170">
                  <c:v>56.837579067014886</c:v>
                </c:pt>
                <c:pt idx="3171">
                  <c:v>56.86617528292087</c:v>
                </c:pt>
                <c:pt idx="3172">
                  <c:v>56.894771498826856</c:v>
                </c:pt>
                <c:pt idx="3173">
                  <c:v>56.92336771473285</c:v>
                </c:pt>
                <c:pt idx="3174">
                  <c:v>56.95196393063884</c:v>
                </c:pt>
                <c:pt idx="3175">
                  <c:v>56.98056014654483</c:v>
                </c:pt>
                <c:pt idx="3176">
                  <c:v>57.009156362450824</c:v>
                </c:pt>
                <c:pt idx="3177">
                  <c:v>57.03775257835681</c:v>
                </c:pt>
                <c:pt idx="3178">
                  <c:v>57.0663487942628</c:v>
                </c:pt>
                <c:pt idx="3179">
                  <c:v>57.094945010168786</c:v>
                </c:pt>
                <c:pt idx="3180">
                  <c:v>57.12354122607478</c:v>
                </c:pt>
                <c:pt idx="3181">
                  <c:v>57.15213744198077</c:v>
                </c:pt>
                <c:pt idx="3182">
                  <c:v>57.18073365788676</c:v>
                </c:pt>
                <c:pt idx="3183">
                  <c:v>57.20932987379275</c:v>
                </c:pt>
                <c:pt idx="3184">
                  <c:v>57.23792608969874</c:v>
                </c:pt>
                <c:pt idx="3185">
                  <c:v>57.266522305604724</c:v>
                </c:pt>
                <c:pt idx="3186">
                  <c:v>57.29511852151072</c:v>
                </c:pt>
                <c:pt idx="3187">
                  <c:v>57.32371473741671</c:v>
                </c:pt>
                <c:pt idx="3188">
                  <c:v>57.3523109533227</c:v>
                </c:pt>
                <c:pt idx="3189">
                  <c:v>57.38090716922869</c:v>
                </c:pt>
                <c:pt idx="3190">
                  <c:v>57.40950338513468</c:v>
                </c:pt>
                <c:pt idx="3191">
                  <c:v>57.43809960104067</c:v>
                </c:pt>
                <c:pt idx="3192">
                  <c:v>57.466695816946654</c:v>
                </c:pt>
                <c:pt idx="3193">
                  <c:v>57.49529203285265</c:v>
                </c:pt>
                <c:pt idx="3194">
                  <c:v>57.52388824875864</c:v>
                </c:pt>
                <c:pt idx="3195">
                  <c:v>57.55248446466463</c:v>
                </c:pt>
                <c:pt idx="3196">
                  <c:v>57.581080680570615</c:v>
                </c:pt>
                <c:pt idx="3197">
                  <c:v>57.60967689647661</c:v>
                </c:pt>
                <c:pt idx="3198">
                  <c:v>57.638273112382606</c:v>
                </c:pt>
                <c:pt idx="3199">
                  <c:v>57.66686932828859</c:v>
                </c:pt>
                <c:pt idx="3200">
                  <c:v>57.69546554419458</c:v>
                </c:pt>
                <c:pt idx="3201">
                  <c:v>57.72406176010057</c:v>
                </c:pt>
                <c:pt idx="3202">
                  <c:v>57.75265797600655</c:v>
                </c:pt>
                <c:pt idx="3203">
                  <c:v>57.781254191912545</c:v>
                </c:pt>
                <c:pt idx="3204">
                  <c:v>57.80985040781853</c:v>
                </c:pt>
                <c:pt idx="3205">
                  <c:v>57.83844662372453</c:v>
                </c:pt>
                <c:pt idx="3206">
                  <c:v>57.86704283963052</c:v>
                </c:pt>
                <c:pt idx="3207">
                  <c:v>57.895639055536506</c:v>
                </c:pt>
                <c:pt idx="3208">
                  <c:v>57.9242352714425</c:v>
                </c:pt>
                <c:pt idx="3209">
                  <c:v>57.95283148734848</c:v>
                </c:pt>
                <c:pt idx="3210">
                  <c:v>57.98142770325448</c:v>
                </c:pt>
                <c:pt idx="3211">
                  <c:v>58.01002391916046</c:v>
                </c:pt>
                <c:pt idx="3212">
                  <c:v>58.03862013506646</c:v>
                </c:pt>
                <c:pt idx="3213">
                  <c:v>58.067216350972444</c:v>
                </c:pt>
                <c:pt idx="3214">
                  <c:v>58.095812566878436</c:v>
                </c:pt>
                <c:pt idx="3215">
                  <c:v>58.12440878278442</c:v>
                </c:pt>
                <c:pt idx="3216">
                  <c:v>58.15300499869041</c:v>
                </c:pt>
                <c:pt idx="3217">
                  <c:v>58.18160121459641</c:v>
                </c:pt>
                <c:pt idx="3218">
                  <c:v>58.2101974305024</c:v>
                </c:pt>
                <c:pt idx="3219">
                  <c:v>58.23879364640839</c:v>
                </c:pt>
                <c:pt idx="3220">
                  <c:v>58.267389862314374</c:v>
                </c:pt>
                <c:pt idx="3221">
                  <c:v>58.29598607822036</c:v>
                </c:pt>
                <c:pt idx="3222">
                  <c:v>58.32458229412635</c:v>
                </c:pt>
                <c:pt idx="3223">
                  <c:v>58.353178510032336</c:v>
                </c:pt>
                <c:pt idx="3224">
                  <c:v>58.381774725938335</c:v>
                </c:pt>
                <c:pt idx="3225">
                  <c:v>58.41037094184433</c:v>
                </c:pt>
                <c:pt idx="3226">
                  <c:v>58.43896715775031</c:v>
                </c:pt>
                <c:pt idx="3227">
                  <c:v>58.467563373656304</c:v>
                </c:pt>
                <c:pt idx="3228">
                  <c:v>58.49615958956229</c:v>
                </c:pt>
                <c:pt idx="3229">
                  <c:v>58.52475580546829</c:v>
                </c:pt>
                <c:pt idx="3230">
                  <c:v>58.553352021374266</c:v>
                </c:pt>
                <c:pt idx="3231">
                  <c:v>58.581948237280265</c:v>
                </c:pt>
                <c:pt idx="3232">
                  <c:v>58.61054445318625</c:v>
                </c:pt>
                <c:pt idx="3233">
                  <c:v>58.63914066909224</c:v>
                </c:pt>
                <c:pt idx="3234">
                  <c:v>58.66773688499823</c:v>
                </c:pt>
                <c:pt idx="3235">
                  <c:v>58.69633310090422</c:v>
                </c:pt>
                <c:pt idx="3236">
                  <c:v>58.72492931681022</c:v>
                </c:pt>
                <c:pt idx="3237">
                  <c:v>58.7535255327162</c:v>
                </c:pt>
                <c:pt idx="3238">
                  <c:v>58.782121748622195</c:v>
                </c:pt>
                <c:pt idx="3239">
                  <c:v>58.81071796452818</c:v>
                </c:pt>
                <c:pt idx="3240">
                  <c:v>58.839314180434165</c:v>
                </c:pt>
                <c:pt idx="3241">
                  <c:v>58.86791039634016</c:v>
                </c:pt>
                <c:pt idx="3242">
                  <c:v>58.89650661224614</c:v>
                </c:pt>
                <c:pt idx="3243">
                  <c:v>58.92510282815214</c:v>
                </c:pt>
                <c:pt idx="3244">
                  <c:v>58.95369904405813</c:v>
                </c:pt>
                <c:pt idx="3245">
                  <c:v>58.98229525996412</c:v>
                </c:pt>
                <c:pt idx="3246">
                  <c:v>59.01089147587011</c:v>
                </c:pt>
                <c:pt idx="3247">
                  <c:v>59.039487691776095</c:v>
                </c:pt>
                <c:pt idx="3248">
                  <c:v>59.068083907682094</c:v>
                </c:pt>
                <c:pt idx="3249">
                  <c:v>59.09668012358807</c:v>
                </c:pt>
                <c:pt idx="3250">
                  <c:v>59.12527633949407</c:v>
                </c:pt>
                <c:pt idx="3251">
                  <c:v>59.153872555400056</c:v>
                </c:pt>
                <c:pt idx="3252">
                  <c:v>59.18246877130605</c:v>
                </c:pt>
                <c:pt idx="3253">
                  <c:v>59.21106498721205</c:v>
                </c:pt>
                <c:pt idx="3254">
                  <c:v>59.23966120311803</c:v>
                </c:pt>
                <c:pt idx="3255">
                  <c:v>59.268257419024025</c:v>
                </c:pt>
                <c:pt idx="3256">
                  <c:v>59.29685363493001</c:v>
                </c:pt>
                <c:pt idx="3257">
                  <c:v>59.325449850836</c:v>
                </c:pt>
                <c:pt idx="3258">
                  <c:v>59.35404606674199</c:v>
                </c:pt>
                <c:pt idx="3259">
                  <c:v>59.38264228264797</c:v>
                </c:pt>
                <c:pt idx="3260">
                  <c:v>59.41123849855398</c:v>
                </c:pt>
                <c:pt idx="3261">
                  <c:v>59.43983471445996</c:v>
                </c:pt>
                <c:pt idx="3262">
                  <c:v>59.46843093036595</c:v>
                </c:pt>
                <c:pt idx="3263">
                  <c:v>59.49702714627194</c:v>
                </c:pt>
                <c:pt idx="3264">
                  <c:v>59.45398096398909</c:v>
                </c:pt>
                <c:pt idx="3265">
                  <c:v>59.41096056025055</c:v>
                </c:pt>
                <c:pt idx="3266">
                  <c:v>59.36796590098223</c:v>
                </c:pt>
                <c:pt idx="3267">
                  <c:v>59.32499695216391</c:v>
                </c:pt>
                <c:pt idx="3268">
                  <c:v>59.2820536798291</c:v>
                </c:pt>
                <c:pt idx="3269">
                  <c:v>59.23913605006492</c:v>
                </c:pt>
                <c:pt idx="3270">
                  <c:v>59.19624402901204</c:v>
                </c:pt>
                <c:pt idx="3271">
                  <c:v>59.15337758286452</c:v>
                </c:pt>
                <c:pt idx="3272">
                  <c:v>59.11053667786971</c:v>
                </c:pt>
                <c:pt idx="3273">
                  <c:v>59.06772128032814</c:v>
                </c:pt>
                <c:pt idx="3274">
                  <c:v>59.02493135659344</c:v>
                </c:pt>
                <c:pt idx="3275">
                  <c:v>58.98216687307218</c:v>
                </c:pt>
                <c:pt idx="3276">
                  <c:v>58.93942779622379</c:v>
                </c:pt>
                <c:pt idx="3277">
                  <c:v>58.89671409256048</c:v>
                </c:pt>
                <c:pt idx="3278">
                  <c:v>58.854025728647066</c:v>
                </c:pt>
                <c:pt idx="3279">
                  <c:v>58.8113626711009</c:v>
                </c:pt>
                <c:pt idx="3280">
                  <c:v>58.768724886591784</c:v>
                </c:pt>
                <c:pt idx="3281">
                  <c:v>58.72611234184179</c:v>
                </c:pt>
                <c:pt idx="3282">
                  <c:v>58.683525003625256</c:v>
                </c:pt>
                <c:pt idx="3283">
                  <c:v>58.64096283876859</c:v>
                </c:pt>
                <c:pt idx="3284">
                  <c:v>58.64096283876859</c:v>
                </c:pt>
                <c:pt idx="3285">
                  <c:v>58.667561635220125</c:v>
                </c:pt>
                <c:pt idx="3286">
                  <c:v>58.69416043167166</c:v>
                </c:pt>
                <c:pt idx="3287">
                  <c:v>58.7207592281232</c:v>
                </c:pt>
                <c:pt idx="3288">
                  <c:v>58.747358024574744</c:v>
                </c:pt>
                <c:pt idx="3289">
                  <c:v>58.77395682102628</c:v>
                </c:pt>
                <c:pt idx="3290">
                  <c:v>58.80055561747782</c:v>
                </c:pt>
                <c:pt idx="3291">
                  <c:v>58.82715441392936</c:v>
                </c:pt>
                <c:pt idx="3292">
                  <c:v>58.853753210380894</c:v>
                </c:pt>
                <c:pt idx="3293">
                  <c:v>58.88035200683243</c:v>
                </c:pt>
                <c:pt idx="3294">
                  <c:v>58.90695080328397</c:v>
                </c:pt>
                <c:pt idx="3295">
                  <c:v>58.93354959973552</c:v>
                </c:pt>
                <c:pt idx="3296">
                  <c:v>58.96014839618706</c:v>
                </c:pt>
                <c:pt idx="3297">
                  <c:v>58.986747192638596</c:v>
                </c:pt>
                <c:pt idx="3298">
                  <c:v>59.01334598909013</c:v>
                </c:pt>
                <c:pt idx="3299">
                  <c:v>59.03994478554167</c:v>
                </c:pt>
                <c:pt idx="3300">
                  <c:v>59.06654358199321</c:v>
                </c:pt>
                <c:pt idx="3301">
                  <c:v>59.093142378444746</c:v>
                </c:pt>
                <c:pt idx="3302">
                  <c:v>59.119741174896284</c:v>
                </c:pt>
                <c:pt idx="3303">
                  <c:v>59.146339971347835</c:v>
                </c:pt>
                <c:pt idx="3304">
                  <c:v>59.17293876779937</c:v>
                </c:pt>
                <c:pt idx="3305">
                  <c:v>59.19953756425091</c:v>
                </c:pt>
                <c:pt idx="3306">
                  <c:v>59.22613636070245</c:v>
                </c:pt>
                <c:pt idx="3307">
                  <c:v>59.252735157153985</c:v>
                </c:pt>
                <c:pt idx="3308">
                  <c:v>59.27933395360552</c:v>
                </c:pt>
                <c:pt idx="3309">
                  <c:v>59.30593275005706</c:v>
                </c:pt>
                <c:pt idx="3310">
                  <c:v>59.33253154650861</c:v>
                </c:pt>
                <c:pt idx="3311">
                  <c:v>59.35913034296015</c:v>
                </c:pt>
                <c:pt idx="3312">
                  <c:v>59.38572913941169</c:v>
                </c:pt>
                <c:pt idx="3313">
                  <c:v>59.412327935863225</c:v>
                </c:pt>
                <c:pt idx="3314">
                  <c:v>59.43892673231476</c:v>
                </c:pt>
                <c:pt idx="3315">
                  <c:v>59.4655255287663</c:v>
                </c:pt>
                <c:pt idx="3316">
                  <c:v>59.49212432521784</c:v>
                </c:pt>
                <c:pt idx="3317">
                  <c:v>59.51872312166939</c:v>
                </c:pt>
                <c:pt idx="3318">
                  <c:v>59.545321918120926</c:v>
                </c:pt>
                <c:pt idx="3319">
                  <c:v>59.571920714572464</c:v>
                </c:pt>
                <c:pt idx="3320">
                  <c:v>59.598519511024</c:v>
                </c:pt>
                <c:pt idx="3321">
                  <c:v>59.62511830747554</c:v>
                </c:pt>
                <c:pt idx="3322">
                  <c:v>59.651717103927076</c:v>
                </c:pt>
                <c:pt idx="3323">
                  <c:v>59.678315900378614</c:v>
                </c:pt>
                <c:pt idx="3324">
                  <c:v>59.70491469683015</c:v>
                </c:pt>
                <c:pt idx="3325">
                  <c:v>59.731513493281696</c:v>
                </c:pt>
                <c:pt idx="3326">
                  <c:v>59.75811228973323</c:v>
                </c:pt>
                <c:pt idx="3327">
                  <c:v>59.78471108618477</c:v>
                </c:pt>
                <c:pt idx="3328">
                  <c:v>59.81130988263631</c:v>
                </c:pt>
                <c:pt idx="3329">
                  <c:v>59.837908679087846</c:v>
                </c:pt>
                <c:pt idx="3330">
                  <c:v>59.864507475539384</c:v>
                </c:pt>
                <c:pt idx="3331">
                  <c:v>59.89110627199092</c:v>
                </c:pt>
                <c:pt idx="3332">
                  <c:v>59.91770506844247</c:v>
                </c:pt>
                <c:pt idx="3333">
                  <c:v>59.94430386489401</c:v>
                </c:pt>
                <c:pt idx="3334">
                  <c:v>59.97090266134555</c:v>
                </c:pt>
                <c:pt idx="3335">
                  <c:v>59.997501457797085</c:v>
                </c:pt>
                <c:pt idx="3336">
                  <c:v>60.02410025424862</c:v>
                </c:pt>
                <c:pt idx="3337">
                  <c:v>60.05069905070016</c:v>
                </c:pt>
                <c:pt idx="3338">
                  <c:v>60.0772978471517</c:v>
                </c:pt>
                <c:pt idx="3339">
                  <c:v>60.10389664360325</c:v>
                </c:pt>
                <c:pt idx="3340">
                  <c:v>60.13049544005479</c:v>
                </c:pt>
                <c:pt idx="3341">
                  <c:v>60.157094236506325</c:v>
                </c:pt>
                <c:pt idx="3342">
                  <c:v>60.18369303295786</c:v>
                </c:pt>
                <c:pt idx="3343">
                  <c:v>60.2102918294094</c:v>
                </c:pt>
                <c:pt idx="3344">
                  <c:v>60.23689062586094</c:v>
                </c:pt>
                <c:pt idx="3345">
                  <c:v>60.263489422312475</c:v>
                </c:pt>
                <c:pt idx="3346">
                  <c:v>60.290088218764026</c:v>
                </c:pt>
                <c:pt idx="3347">
                  <c:v>60.316687015215564</c:v>
                </c:pt>
                <c:pt idx="3348">
                  <c:v>60.3432858116671</c:v>
                </c:pt>
                <c:pt idx="3349">
                  <c:v>60.36988460811864</c:v>
                </c:pt>
                <c:pt idx="3350">
                  <c:v>60.396483404570176</c:v>
                </c:pt>
                <c:pt idx="3351">
                  <c:v>60.423082201021714</c:v>
                </c:pt>
                <c:pt idx="3352">
                  <c:v>60.44968099747325</c:v>
                </c:pt>
                <c:pt idx="3353">
                  <c:v>60.47627979392479</c:v>
                </c:pt>
                <c:pt idx="3354">
                  <c:v>60.50287859037634</c:v>
                </c:pt>
                <c:pt idx="3355">
                  <c:v>60.52947738682788</c:v>
                </c:pt>
                <c:pt idx="3356">
                  <c:v>60.556076183279416</c:v>
                </c:pt>
                <c:pt idx="3357">
                  <c:v>60.58267497973095</c:v>
                </c:pt>
                <c:pt idx="3358">
                  <c:v>60.60927377618249</c:v>
                </c:pt>
                <c:pt idx="3359">
                  <c:v>60.63587257263403</c:v>
                </c:pt>
                <c:pt idx="3360">
                  <c:v>60.662471369085566</c:v>
                </c:pt>
                <c:pt idx="3361">
                  <c:v>60.68907016553711</c:v>
                </c:pt>
                <c:pt idx="3362">
                  <c:v>60.71566896198865</c:v>
                </c:pt>
                <c:pt idx="3363">
                  <c:v>60.742267758440185</c:v>
                </c:pt>
                <c:pt idx="3364">
                  <c:v>60.76886655489172</c:v>
                </c:pt>
                <c:pt idx="3365">
                  <c:v>60.79546535134326</c:v>
                </c:pt>
                <c:pt idx="3366">
                  <c:v>60.8220641477948</c:v>
                </c:pt>
                <c:pt idx="3367">
                  <c:v>60.848662944246335</c:v>
                </c:pt>
                <c:pt idx="3368">
                  <c:v>60.87526174069789</c:v>
                </c:pt>
                <c:pt idx="3369">
                  <c:v>60.901860537149425</c:v>
                </c:pt>
                <c:pt idx="3370">
                  <c:v>60.92845933360096</c:v>
                </c:pt>
                <c:pt idx="3371">
                  <c:v>60.9550581300525</c:v>
                </c:pt>
                <c:pt idx="3372">
                  <c:v>60.98165692650404</c:v>
                </c:pt>
                <c:pt idx="3373">
                  <c:v>61.008255722955575</c:v>
                </c:pt>
                <c:pt idx="3374">
                  <c:v>61.03485451940711</c:v>
                </c:pt>
                <c:pt idx="3375">
                  <c:v>61.061453315858664</c:v>
                </c:pt>
                <c:pt idx="3376">
                  <c:v>61.0880521123102</c:v>
                </c:pt>
                <c:pt idx="3377">
                  <c:v>61.11465090876174</c:v>
                </c:pt>
                <c:pt idx="3378">
                  <c:v>61.141249705213276</c:v>
                </c:pt>
                <c:pt idx="3379">
                  <c:v>61.167848501664814</c:v>
                </c:pt>
                <c:pt idx="3380">
                  <c:v>61.19444729811635</c:v>
                </c:pt>
                <c:pt idx="3381">
                  <c:v>61.22104609456789</c:v>
                </c:pt>
                <c:pt idx="3382">
                  <c:v>61.247644891019426</c:v>
                </c:pt>
                <c:pt idx="3383">
                  <c:v>61.27424368747098</c:v>
                </c:pt>
                <c:pt idx="3384">
                  <c:v>61.300842483922516</c:v>
                </c:pt>
                <c:pt idx="3385">
                  <c:v>61.32744128037405</c:v>
                </c:pt>
                <c:pt idx="3386">
                  <c:v>61.35404007682559</c:v>
                </c:pt>
                <c:pt idx="3387">
                  <c:v>61.38063887327713</c:v>
                </c:pt>
                <c:pt idx="3388">
                  <c:v>61.407237669728666</c:v>
                </c:pt>
                <c:pt idx="3389">
                  <c:v>61.4338364661802</c:v>
                </c:pt>
                <c:pt idx="3390">
                  <c:v>61.460435262631755</c:v>
                </c:pt>
                <c:pt idx="3391">
                  <c:v>61.48703405908329</c:v>
                </c:pt>
                <c:pt idx="3392">
                  <c:v>61.51363285553483</c:v>
                </c:pt>
                <c:pt idx="3393">
                  <c:v>61.54023165198637</c:v>
                </c:pt>
                <c:pt idx="3394">
                  <c:v>61.566830448437905</c:v>
                </c:pt>
                <c:pt idx="3395">
                  <c:v>61.59342924488944</c:v>
                </c:pt>
                <c:pt idx="3396">
                  <c:v>61.62002804134098</c:v>
                </c:pt>
                <c:pt idx="3397">
                  <c:v>61.646626837792525</c:v>
                </c:pt>
                <c:pt idx="3398">
                  <c:v>61.67322563424406</c:v>
                </c:pt>
                <c:pt idx="3399">
                  <c:v>61.6998244306956</c:v>
                </c:pt>
                <c:pt idx="3400">
                  <c:v>61.72642322714714</c:v>
                </c:pt>
                <c:pt idx="3401">
                  <c:v>61.753022023598675</c:v>
                </c:pt>
                <c:pt idx="3402">
                  <c:v>61.77962082005021</c:v>
                </c:pt>
                <c:pt idx="3403">
                  <c:v>61.80621961650175</c:v>
                </c:pt>
                <c:pt idx="3404">
                  <c:v>61.83281841295329</c:v>
                </c:pt>
                <c:pt idx="3405">
                  <c:v>61.85941720940484</c:v>
                </c:pt>
                <c:pt idx="3406">
                  <c:v>61.886016005856376</c:v>
                </c:pt>
                <c:pt idx="3407">
                  <c:v>61.912614802307914</c:v>
                </c:pt>
                <c:pt idx="3408">
                  <c:v>61.93921359875945</c:v>
                </c:pt>
                <c:pt idx="3409">
                  <c:v>61.96581239521099</c:v>
                </c:pt>
                <c:pt idx="3410">
                  <c:v>61.99241119166253</c:v>
                </c:pt>
                <c:pt idx="3411">
                  <c:v>62.019009988114064</c:v>
                </c:pt>
                <c:pt idx="3412">
                  <c:v>62.045608784565616</c:v>
                </c:pt>
                <c:pt idx="3413">
                  <c:v>62.07220758101715</c:v>
                </c:pt>
                <c:pt idx="3414">
                  <c:v>62.09880637746869</c:v>
                </c:pt>
                <c:pt idx="3415">
                  <c:v>62.12540517392023</c:v>
                </c:pt>
                <c:pt idx="3416">
                  <c:v>62.152003970371766</c:v>
                </c:pt>
                <c:pt idx="3417">
                  <c:v>62.1786027668233</c:v>
                </c:pt>
                <c:pt idx="3418">
                  <c:v>62.20520156327484</c:v>
                </c:pt>
                <c:pt idx="3419">
                  <c:v>62.23180035972639</c:v>
                </c:pt>
                <c:pt idx="3420">
                  <c:v>62.25839915617793</c:v>
                </c:pt>
                <c:pt idx="3421">
                  <c:v>62.28499795262947</c:v>
                </c:pt>
                <c:pt idx="3422">
                  <c:v>62.311596749081005</c:v>
                </c:pt>
                <c:pt idx="3423">
                  <c:v>62.33819554553254</c:v>
                </c:pt>
                <c:pt idx="3424">
                  <c:v>62.36479434198408</c:v>
                </c:pt>
                <c:pt idx="3425">
                  <c:v>62.39139313843562</c:v>
                </c:pt>
                <c:pt idx="3426">
                  <c:v>62.417991934887155</c:v>
                </c:pt>
                <c:pt idx="3427">
                  <c:v>62.44459073133871</c:v>
                </c:pt>
                <c:pt idx="3428">
                  <c:v>62.471189527790244</c:v>
                </c:pt>
                <c:pt idx="3429">
                  <c:v>62.49778832424178</c:v>
                </c:pt>
                <c:pt idx="3430">
                  <c:v>62.52438712069332</c:v>
                </c:pt>
                <c:pt idx="3431">
                  <c:v>62.55098591714486</c:v>
                </c:pt>
                <c:pt idx="3432">
                  <c:v>62.577584713596394</c:v>
                </c:pt>
                <c:pt idx="3433">
                  <c:v>62.60418351004794</c:v>
                </c:pt>
                <c:pt idx="3434">
                  <c:v>62.630782306499476</c:v>
                </c:pt>
                <c:pt idx="3435">
                  <c:v>62.657381102951014</c:v>
                </c:pt>
                <c:pt idx="3436">
                  <c:v>62.68397989940255</c:v>
                </c:pt>
                <c:pt idx="3437">
                  <c:v>62.71057869585409</c:v>
                </c:pt>
                <c:pt idx="3438">
                  <c:v>62.73717749230563</c:v>
                </c:pt>
                <c:pt idx="3439">
                  <c:v>62.763776288757164</c:v>
                </c:pt>
                <c:pt idx="3440">
                  <c:v>62.7903750852087</c:v>
                </c:pt>
                <c:pt idx="3441">
                  <c:v>62.81697388166025</c:v>
                </c:pt>
                <c:pt idx="3442">
                  <c:v>62.84357267811179</c:v>
                </c:pt>
                <c:pt idx="3443">
                  <c:v>62.87017147456333</c:v>
                </c:pt>
                <c:pt idx="3444">
                  <c:v>62.896770271014866</c:v>
                </c:pt>
                <c:pt idx="3445">
                  <c:v>62.9233690674664</c:v>
                </c:pt>
                <c:pt idx="3446">
                  <c:v>62.94996786391794</c:v>
                </c:pt>
                <c:pt idx="3447">
                  <c:v>62.97656666036948</c:v>
                </c:pt>
                <c:pt idx="3448">
                  <c:v>63.00316545682103</c:v>
                </c:pt>
                <c:pt idx="3449">
                  <c:v>63.02976425327257</c:v>
                </c:pt>
                <c:pt idx="3450">
                  <c:v>63.056363049724105</c:v>
                </c:pt>
                <c:pt idx="3451">
                  <c:v>63.08296184617564</c:v>
                </c:pt>
                <c:pt idx="3452">
                  <c:v>63.10956064262718</c:v>
                </c:pt>
                <c:pt idx="3453">
                  <c:v>63.13615943907872</c:v>
                </c:pt>
                <c:pt idx="3454">
                  <c:v>63.162758235530255</c:v>
                </c:pt>
                <c:pt idx="3455">
                  <c:v>63.18935703198179</c:v>
                </c:pt>
                <c:pt idx="3456">
                  <c:v>63.215955828433344</c:v>
                </c:pt>
                <c:pt idx="3457">
                  <c:v>63.24255462488488</c:v>
                </c:pt>
                <c:pt idx="3458">
                  <c:v>63.26915342133642</c:v>
                </c:pt>
                <c:pt idx="3459">
                  <c:v>63.29575221778796</c:v>
                </c:pt>
                <c:pt idx="3460">
                  <c:v>63.322351014239494</c:v>
                </c:pt>
                <c:pt idx="3461">
                  <c:v>63.34894981069103</c:v>
                </c:pt>
                <c:pt idx="3462">
                  <c:v>63.37554860714258</c:v>
                </c:pt>
                <c:pt idx="3463">
                  <c:v>63.40214740359412</c:v>
                </c:pt>
                <c:pt idx="3464">
                  <c:v>63.42874620004566</c:v>
                </c:pt>
                <c:pt idx="3465">
                  <c:v>63.455344996497196</c:v>
                </c:pt>
                <c:pt idx="3466">
                  <c:v>63.481943792948734</c:v>
                </c:pt>
                <c:pt idx="3467">
                  <c:v>63.50854258940027</c:v>
                </c:pt>
                <c:pt idx="3468">
                  <c:v>63.53514138585181</c:v>
                </c:pt>
                <c:pt idx="3469">
                  <c:v>63.561740182303346</c:v>
                </c:pt>
                <c:pt idx="3470">
                  <c:v>63.58833897875489</c:v>
                </c:pt>
                <c:pt idx="3471">
                  <c:v>63.61493777520643</c:v>
                </c:pt>
                <c:pt idx="3472">
                  <c:v>63.641536571657966</c:v>
                </c:pt>
                <c:pt idx="3473">
                  <c:v>63.6681353681095</c:v>
                </c:pt>
                <c:pt idx="3474">
                  <c:v>63.69473416456104</c:v>
                </c:pt>
                <c:pt idx="3475">
                  <c:v>63.72133296101258</c:v>
                </c:pt>
                <c:pt idx="3476">
                  <c:v>63.747931757464116</c:v>
                </c:pt>
                <c:pt idx="3477">
                  <c:v>63.77453055391567</c:v>
                </c:pt>
                <c:pt idx="3478">
                  <c:v>63.801129350367205</c:v>
                </c:pt>
                <c:pt idx="3479">
                  <c:v>63.82772814681874</c:v>
                </c:pt>
                <c:pt idx="3480">
                  <c:v>63.85432694327028</c:v>
                </c:pt>
                <c:pt idx="3481">
                  <c:v>63.88092573972182</c:v>
                </c:pt>
                <c:pt idx="3482">
                  <c:v>63.907524536173355</c:v>
                </c:pt>
                <c:pt idx="3483">
                  <c:v>63.93412333262489</c:v>
                </c:pt>
                <c:pt idx="3484">
                  <c:v>63.96072212907643</c:v>
                </c:pt>
                <c:pt idx="3485">
                  <c:v>63.98732092552798</c:v>
                </c:pt>
                <c:pt idx="3486">
                  <c:v>64.01391972197952</c:v>
                </c:pt>
                <c:pt idx="3487">
                  <c:v>64.04051851843106</c:v>
                </c:pt>
                <c:pt idx="3488">
                  <c:v>64.0671173148826</c:v>
                </c:pt>
                <c:pt idx="3489">
                  <c:v>64.09371611133413</c:v>
                </c:pt>
                <c:pt idx="3490">
                  <c:v>64.12031490778567</c:v>
                </c:pt>
                <c:pt idx="3491">
                  <c:v>64.14691370423722</c:v>
                </c:pt>
                <c:pt idx="3492">
                  <c:v>64.17351250068876</c:v>
                </c:pt>
                <c:pt idx="3493">
                  <c:v>64.2001112971403</c:v>
                </c:pt>
                <c:pt idx="3494">
                  <c:v>64.22671009359183</c:v>
                </c:pt>
                <c:pt idx="3495">
                  <c:v>64.25330889004337</c:v>
                </c:pt>
                <c:pt idx="3496">
                  <c:v>64.27990768649491</c:v>
                </c:pt>
                <c:pt idx="3497">
                  <c:v>64.30650648294645</c:v>
                </c:pt>
                <c:pt idx="3498">
                  <c:v>64.33310527939798</c:v>
                </c:pt>
                <c:pt idx="3499">
                  <c:v>64.35970407584954</c:v>
                </c:pt>
                <c:pt idx="3500">
                  <c:v>64.38630287230107</c:v>
                </c:pt>
                <c:pt idx="3501">
                  <c:v>64.41290166875261</c:v>
                </c:pt>
                <c:pt idx="3502">
                  <c:v>64.43950046520415</c:v>
                </c:pt>
                <c:pt idx="3503">
                  <c:v>64.46609926165569</c:v>
                </c:pt>
                <c:pt idx="3504">
                  <c:v>64.49269805810722</c:v>
                </c:pt>
                <c:pt idx="3505">
                  <c:v>64.51929685455876</c:v>
                </c:pt>
                <c:pt idx="3506">
                  <c:v>64.54589565101031</c:v>
                </c:pt>
                <c:pt idx="3507">
                  <c:v>64.57249444746185</c:v>
                </c:pt>
                <c:pt idx="3508">
                  <c:v>64.59909324391339</c:v>
                </c:pt>
                <c:pt idx="3509">
                  <c:v>64.62569204036492</c:v>
                </c:pt>
                <c:pt idx="3510">
                  <c:v>64.65229083681646</c:v>
                </c:pt>
                <c:pt idx="3511">
                  <c:v>64.678889633268</c:v>
                </c:pt>
                <c:pt idx="3512">
                  <c:v>64.70548842971954</c:v>
                </c:pt>
                <c:pt idx="3513">
                  <c:v>64.73208722617107</c:v>
                </c:pt>
                <c:pt idx="3514">
                  <c:v>64.75868602262263</c:v>
                </c:pt>
                <c:pt idx="3515">
                  <c:v>64.78528481907416</c:v>
                </c:pt>
                <c:pt idx="3516">
                  <c:v>64.8118836155257</c:v>
                </c:pt>
                <c:pt idx="3517">
                  <c:v>64.83848241197724</c:v>
                </c:pt>
                <c:pt idx="3518">
                  <c:v>64.86508120842878</c:v>
                </c:pt>
                <c:pt idx="3519">
                  <c:v>64.89168000488031</c:v>
                </c:pt>
                <c:pt idx="3520">
                  <c:v>64.91827880133187</c:v>
                </c:pt>
                <c:pt idx="3521">
                  <c:v>64.9448775977834</c:v>
                </c:pt>
                <c:pt idx="3522">
                  <c:v>64.97147639423494</c:v>
                </c:pt>
                <c:pt idx="3523">
                  <c:v>64.99807519068648</c:v>
                </c:pt>
                <c:pt idx="3524">
                  <c:v>65.02467398713802</c:v>
                </c:pt>
                <c:pt idx="3525">
                  <c:v>65.05127278358955</c:v>
                </c:pt>
                <c:pt idx="3526">
                  <c:v>65.07787158004109</c:v>
                </c:pt>
                <c:pt idx="3527">
                  <c:v>65.10447037649263</c:v>
                </c:pt>
                <c:pt idx="3528">
                  <c:v>65.13106917294417</c:v>
                </c:pt>
                <c:pt idx="3529">
                  <c:v>65.1576679693957</c:v>
                </c:pt>
                <c:pt idx="3530">
                  <c:v>65.18426676584724</c:v>
                </c:pt>
                <c:pt idx="3531">
                  <c:v>65.21086556229878</c:v>
                </c:pt>
                <c:pt idx="3532">
                  <c:v>65.23746435875032</c:v>
                </c:pt>
                <c:pt idx="3533">
                  <c:v>65.26406315520185</c:v>
                </c:pt>
                <c:pt idx="3534">
                  <c:v>65.29066195165339</c:v>
                </c:pt>
                <c:pt idx="3535">
                  <c:v>65.31726074810494</c:v>
                </c:pt>
                <c:pt idx="3536">
                  <c:v>65.34385954455648</c:v>
                </c:pt>
                <c:pt idx="3537">
                  <c:v>65.37045834100802</c:v>
                </c:pt>
                <c:pt idx="3538">
                  <c:v>65.39705713745956</c:v>
                </c:pt>
                <c:pt idx="3539">
                  <c:v>65.42365593391109</c:v>
                </c:pt>
                <c:pt idx="3540">
                  <c:v>65.45025473036263</c:v>
                </c:pt>
                <c:pt idx="3541">
                  <c:v>65.47685352681417</c:v>
                </c:pt>
                <c:pt idx="3542">
                  <c:v>65.5034523232657</c:v>
                </c:pt>
                <c:pt idx="3543">
                  <c:v>65.53005111971726</c:v>
                </c:pt>
                <c:pt idx="3544">
                  <c:v>65.5566499161688</c:v>
                </c:pt>
                <c:pt idx="3545">
                  <c:v>65.58324871262033</c:v>
                </c:pt>
                <c:pt idx="3546">
                  <c:v>65.60984750907187</c:v>
                </c:pt>
                <c:pt idx="3547">
                  <c:v>65.6364463055234</c:v>
                </c:pt>
                <c:pt idx="3548">
                  <c:v>65.66304510197494</c:v>
                </c:pt>
                <c:pt idx="3549">
                  <c:v>65.68964389842648</c:v>
                </c:pt>
                <c:pt idx="3550">
                  <c:v>65.71624269487803</c:v>
                </c:pt>
                <c:pt idx="3551">
                  <c:v>65.74284149132957</c:v>
                </c:pt>
                <c:pt idx="3552">
                  <c:v>65.76944028778111</c:v>
                </c:pt>
                <c:pt idx="3553">
                  <c:v>65.79603908423265</c:v>
                </c:pt>
                <c:pt idx="3554">
                  <c:v>65.82263788068418</c:v>
                </c:pt>
                <c:pt idx="3555">
                  <c:v>65.84923667713572</c:v>
                </c:pt>
                <c:pt idx="3556">
                  <c:v>65.87583547358726</c:v>
                </c:pt>
                <c:pt idx="3557">
                  <c:v>65.9024342700388</c:v>
                </c:pt>
                <c:pt idx="3558">
                  <c:v>65.92903306649035</c:v>
                </c:pt>
                <c:pt idx="3559">
                  <c:v>65.95563186294189</c:v>
                </c:pt>
                <c:pt idx="3560">
                  <c:v>65.98223065939342</c:v>
                </c:pt>
                <c:pt idx="3561">
                  <c:v>66.00882945584496</c:v>
                </c:pt>
                <c:pt idx="3562">
                  <c:v>66.0354282522965</c:v>
                </c:pt>
                <c:pt idx="3563">
                  <c:v>66.06202704874804</c:v>
                </c:pt>
                <c:pt idx="3564">
                  <c:v>66.08862584519959</c:v>
                </c:pt>
                <c:pt idx="3565">
                  <c:v>66.11522464165112</c:v>
                </c:pt>
                <c:pt idx="3566">
                  <c:v>66.14182343810266</c:v>
                </c:pt>
                <c:pt idx="3567">
                  <c:v>66.1684222345542</c:v>
                </c:pt>
                <c:pt idx="3568">
                  <c:v>66.19502103100574</c:v>
                </c:pt>
                <c:pt idx="3569">
                  <c:v>66.22161982745727</c:v>
                </c:pt>
                <c:pt idx="3570">
                  <c:v>66.24821862390881</c:v>
                </c:pt>
                <c:pt idx="3571">
                  <c:v>66.27481742036035</c:v>
                </c:pt>
                <c:pt idx="3572">
                  <c:v>66.3014162168119</c:v>
                </c:pt>
                <c:pt idx="3573">
                  <c:v>66.32801501326344</c:v>
                </c:pt>
                <c:pt idx="3574">
                  <c:v>66.35461380971498</c:v>
                </c:pt>
                <c:pt idx="3575">
                  <c:v>66.38121260616651</c:v>
                </c:pt>
                <c:pt idx="3576">
                  <c:v>66.40781140261805</c:v>
                </c:pt>
                <c:pt idx="3577">
                  <c:v>66.43441019906959</c:v>
                </c:pt>
                <c:pt idx="3578">
                  <c:v>66.46100899552113</c:v>
                </c:pt>
                <c:pt idx="3579">
                  <c:v>66.48760779197268</c:v>
                </c:pt>
                <c:pt idx="3580">
                  <c:v>66.51420658842422</c:v>
                </c:pt>
                <c:pt idx="3581">
                  <c:v>66.54080538487575</c:v>
                </c:pt>
                <c:pt idx="3582">
                  <c:v>66.56740418132729</c:v>
                </c:pt>
                <c:pt idx="3583">
                  <c:v>66.59400297777883</c:v>
                </c:pt>
                <c:pt idx="3584">
                  <c:v>66.62060177423037</c:v>
                </c:pt>
                <c:pt idx="3585">
                  <c:v>66.6472005706819</c:v>
                </c:pt>
                <c:pt idx="3586">
                  <c:v>66.67379936713344</c:v>
                </c:pt>
                <c:pt idx="3587">
                  <c:v>66.70039816358499</c:v>
                </c:pt>
                <c:pt idx="3588">
                  <c:v>66.72699696003653</c:v>
                </c:pt>
                <c:pt idx="3589">
                  <c:v>66.75359575648807</c:v>
                </c:pt>
                <c:pt idx="3590">
                  <c:v>66.7801945529396</c:v>
                </c:pt>
                <c:pt idx="3591">
                  <c:v>66.80679334939114</c:v>
                </c:pt>
                <c:pt idx="3592">
                  <c:v>66.83339214584268</c:v>
                </c:pt>
                <c:pt idx="3593">
                  <c:v>66.85999094229423</c:v>
                </c:pt>
                <c:pt idx="3594">
                  <c:v>66.88658973874577</c:v>
                </c:pt>
                <c:pt idx="3595">
                  <c:v>66.9131885351973</c:v>
                </c:pt>
                <c:pt idx="3596">
                  <c:v>66.93978733164884</c:v>
                </c:pt>
                <c:pt idx="3597">
                  <c:v>66.96638612810038</c:v>
                </c:pt>
                <c:pt idx="3598">
                  <c:v>66.99298492455192</c:v>
                </c:pt>
                <c:pt idx="3599">
                  <c:v>67.01958372100346</c:v>
                </c:pt>
                <c:pt idx="3600">
                  <c:v>67.046182517455</c:v>
                </c:pt>
                <c:pt idx="3601">
                  <c:v>67.07278131390653</c:v>
                </c:pt>
                <c:pt idx="3602">
                  <c:v>67.09938011035807</c:v>
                </c:pt>
                <c:pt idx="3603">
                  <c:v>67.1259789068096</c:v>
                </c:pt>
                <c:pt idx="3604">
                  <c:v>67.15257770326114</c:v>
                </c:pt>
                <c:pt idx="3605">
                  <c:v>67.17917649971268</c:v>
                </c:pt>
                <c:pt idx="3606">
                  <c:v>67.20577529616422</c:v>
                </c:pt>
                <c:pt idx="3607">
                  <c:v>67.23237409261576</c:v>
                </c:pt>
                <c:pt idx="3608">
                  <c:v>67.25897288906731</c:v>
                </c:pt>
                <c:pt idx="3609">
                  <c:v>67.28557168551885</c:v>
                </c:pt>
                <c:pt idx="3610">
                  <c:v>67.31217048197038</c:v>
                </c:pt>
                <c:pt idx="3611">
                  <c:v>67.33876927842192</c:v>
                </c:pt>
                <c:pt idx="3612">
                  <c:v>67.36536807487346</c:v>
                </c:pt>
                <c:pt idx="3613">
                  <c:v>67.391966871325</c:v>
                </c:pt>
                <c:pt idx="3614">
                  <c:v>67.41856566777653</c:v>
                </c:pt>
                <c:pt idx="3615">
                  <c:v>67.44516446422807</c:v>
                </c:pt>
                <c:pt idx="3616">
                  <c:v>67.47176326067962</c:v>
                </c:pt>
                <c:pt idx="3617">
                  <c:v>67.49836205713116</c:v>
                </c:pt>
                <c:pt idx="3618">
                  <c:v>67.5249608535827</c:v>
                </c:pt>
                <c:pt idx="3619">
                  <c:v>67.55155965003424</c:v>
                </c:pt>
                <c:pt idx="3620">
                  <c:v>67.57815844648577</c:v>
                </c:pt>
                <c:pt idx="3621">
                  <c:v>67.60475724293731</c:v>
                </c:pt>
                <c:pt idx="3622">
                  <c:v>67.63135603938886</c:v>
                </c:pt>
                <c:pt idx="3623">
                  <c:v>67.6579548358404</c:v>
                </c:pt>
                <c:pt idx="3624">
                  <c:v>67.68455363229194</c:v>
                </c:pt>
                <c:pt idx="3625">
                  <c:v>67.71115242874347</c:v>
                </c:pt>
                <c:pt idx="3626">
                  <c:v>67.73775122519501</c:v>
                </c:pt>
                <c:pt idx="3627">
                  <c:v>67.76435002164655</c:v>
                </c:pt>
                <c:pt idx="3628">
                  <c:v>67.79094881809809</c:v>
                </c:pt>
                <c:pt idx="3629">
                  <c:v>67.81754761454962</c:v>
                </c:pt>
                <c:pt idx="3630">
                  <c:v>67.84414641100118</c:v>
                </c:pt>
                <c:pt idx="3631">
                  <c:v>67.87074520745271</c:v>
                </c:pt>
                <c:pt idx="3632">
                  <c:v>67.89734400390425</c:v>
                </c:pt>
                <c:pt idx="3633">
                  <c:v>67.92394280035579</c:v>
                </c:pt>
                <c:pt idx="3634">
                  <c:v>67.95054159680733</c:v>
                </c:pt>
                <c:pt idx="3635">
                  <c:v>67.97714039325886</c:v>
                </c:pt>
                <c:pt idx="3636">
                  <c:v>68.0037391897104</c:v>
                </c:pt>
                <c:pt idx="3637">
                  <c:v>68.03033798616195</c:v>
                </c:pt>
                <c:pt idx="3638">
                  <c:v>68.05693678261349</c:v>
                </c:pt>
                <c:pt idx="3639">
                  <c:v>68.08353557906503</c:v>
                </c:pt>
                <c:pt idx="3640">
                  <c:v>68.11013437551657</c:v>
                </c:pt>
                <c:pt idx="3641">
                  <c:v>68.1367331719681</c:v>
                </c:pt>
                <c:pt idx="3642">
                  <c:v>68.16333196841964</c:v>
                </c:pt>
                <c:pt idx="3643">
                  <c:v>68.18993076487118</c:v>
                </c:pt>
                <c:pt idx="3644">
                  <c:v>68.21652956132272</c:v>
                </c:pt>
                <c:pt idx="3645">
                  <c:v>68.24312835777427</c:v>
                </c:pt>
                <c:pt idx="3646">
                  <c:v>68.2697271542258</c:v>
                </c:pt>
                <c:pt idx="3647">
                  <c:v>68.29632595067734</c:v>
                </c:pt>
                <c:pt idx="3648">
                  <c:v>68.32292474712888</c:v>
                </c:pt>
                <c:pt idx="3649">
                  <c:v>68.34952354358042</c:v>
                </c:pt>
                <c:pt idx="3650">
                  <c:v>68.37612234003196</c:v>
                </c:pt>
                <c:pt idx="3651">
                  <c:v>68.40272113648349</c:v>
                </c:pt>
                <c:pt idx="3652">
                  <c:v>68.42931993293504</c:v>
                </c:pt>
                <c:pt idx="3653">
                  <c:v>68.45591872938658</c:v>
                </c:pt>
                <c:pt idx="3654">
                  <c:v>68.48251752583812</c:v>
                </c:pt>
                <c:pt idx="3655">
                  <c:v>68.50911632228966</c:v>
                </c:pt>
                <c:pt idx="3656">
                  <c:v>68.5357151187412</c:v>
                </c:pt>
                <c:pt idx="3657">
                  <c:v>68.56231391519273</c:v>
                </c:pt>
                <c:pt idx="3658">
                  <c:v>68.58891271164427</c:v>
                </c:pt>
                <c:pt idx="3659">
                  <c:v>68.6155115080958</c:v>
                </c:pt>
                <c:pt idx="3660">
                  <c:v>68.64211030454736</c:v>
                </c:pt>
                <c:pt idx="3661">
                  <c:v>68.6687091009989</c:v>
                </c:pt>
                <c:pt idx="3662">
                  <c:v>68.69530789745043</c:v>
                </c:pt>
                <c:pt idx="3663">
                  <c:v>68.72190669390197</c:v>
                </c:pt>
                <c:pt idx="3664">
                  <c:v>68.74850549035351</c:v>
                </c:pt>
                <c:pt idx="3665">
                  <c:v>68.77510428680505</c:v>
                </c:pt>
                <c:pt idx="3666">
                  <c:v>68.8017030832566</c:v>
                </c:pt>
                <c:pt idx="3667">
                  <c:v>68.82830187970814</c:v>
                </c:pt>
                <c:pt idx="3668">
                  <c:v>68.85490067615967</c:v>
                </c:pt>
                <c:pt idx="3669">
                  <c:v>68.88149947261121</c:v>
                </c:pt>
                <c:pt idx="3670">
                  <c:v>68.90809826906275</c:v>
                </c:pt>
                <c:pt idx="3671">
                  <c:v>68.93469706551429</c:v>
                </c:pt>
                <c:pt idx="3672">
                  <c:v>68.96129586196582</c:v>
                </c:pt>
                <c:pt idx="3673">
                  <c:v>68.98789465841736</c:v>
                </c:pt>
                <c:pt idx="3674">
                  <c:v>69.0144934548689</c:v>
                </c:pt>
                <c:pt idx="3675">
                  <c:v>69.04109225132044</c:v>
                </c:pt>
                <c:pt idx="3676">
                  <c:v>69.06769104777197</c:v>
                </c:pt>
                <c:pt idx="3677">
                  <c:v>69.09428984422351</c:v>
                </c:pt>
                <c:pt idx="3678">
                  <c:v>69.12088864067505</c:v>
                </c:pt>
                <c:pt idx="3679">
                  <c:v>69.14748743712659</c:v>
                </c:pt>
                <c:pt idx="3680">
                  <c:v>69.17408623357812</c:v>
                </c:pt>
                <c:pt idx="3681">
                  <c:v>69.20068503002967</c:v>
                </c:pt>
                <c:pt idx="3682">
                  <c:v>69.22728382648121</c:v>
                </c:pt>
                <c:pt idx="3683">
                  <c:v>69.25388262293275</c:v>
                </c:pt>
                <c:pt idx="3684">
                  <c:v>69.28048141938429</c:v>
                </c:pt>
                <c:pt idx="3685">
                  <c:v>69.30708021583582</c:v>
                </c:pt>
                <c:pt idx="3686">
                  <c:v>69.33367901228736</c:v>
                </c:pt>
                <c:pt idx="3687">
                  <c:v>69.3602778087389</c:v>
                </c:pt>
                <c:pt idx="3688">
                  <c:v>69.38687660519044</c:v>
                </c:pt>
                <c:pt idx="3689">
                  <c:v>69.41347540164199</c:v>
                </c:pt>
                <c:pt idx="3690">
                  <c:v>69.44007419809353</c:v>
                </c:pt>
                <c:pt idx="3691">
                  <c:v>69.46667299454506</c:v>
                </c:pt>
                <c:pt idx="3692">
                  <c:v>69.4932717909966</c:v>
                </c:pt>
                <c:pt idx="3693">
                  <c:v>69.51987058744814</c:v>
                </c:pt>
                <c:pt idx="3694">
                  <c:v>69.54646938389968</c:v>
                </c:pt>
                <c:pt idx="3695">
                  <c:v>69.57306818035123</c:v>
                </c:pt>
                <c:pt idx="3696">
                  <c:v>69.59966697680277</c:v>
                </c:pt>
                <c:pt idx="3697">
                  <c:v>69.6262657732543</c:v>
                </c:pt>
                <c:pt idx="3698">
                  <c:v>69.65286456970584</c:v>
                </c:pt>
                <c:pt idx="3699">
                  <c:v>69.67946336615738</c:v>
                </c:pt>
                <c:pt idx="3700">
                  <c:v>69.70606216260892</c:v>
                </c:pt>
                <c:pt idx="3701">
                  <c:v>69.73266095906045</c:v>
                </c:pt>
                <c:pt idx="3702">
                  <c:v>69.75925975551199</c:v>
                </c:pt>
                <c:pt idx="3703">
                  <c:v>69.78585855196354</c:v>
                </c:pt>
                <c:pt idx="3704">
                  <c:v>69.81245734841508</c:v>
                </c:pt>
                <c:pt idx="3705">
                  <c:v>69.83905614486662</c:v>
                </c:pt>
                <c:pt idx="3706">
                  <c:v>69.86565494131816</c:v>
                </c:pt>
                <c:pt idx="3707">
                  <c:v>69.89225373776969</c:v>
                </c:pt>
                <c:pt idx="3708">
                  <c:v>69.91885253422123</c:v>
                </c:pt>
                <c:pt idx="3709">
                  <c:v>69.94545133067277</c:v>
                </c:pt>
                <c:pt idx="3710">
                  <c:v>69.97205012712432</c:v>
                </c:pt>
                <c:pt idx="3711">
                  <c:v>69.99864892357586</c:v>
                </c:pt>
                <c:pt idx="3712">
                  <c:v>70.0252477200274</c:v>
                </c:pt>
                <c:pt idx="3713">
                  <c:v>70.05184651647893</c:v>
                </c:pt>
                <c:pt idx="3714">
                  <c:v>70.07844531293047</c:v>
                </c:pt>
                <c:pt idx="3715">
                  <c:v>70.105044109382</c:v>
                </c:pt>
                <c:pt idx="3716">
                  <c:v>70.13164290583354</c:v>
                </c:pt>
                <c:pt idx="3717">
                  <c:v>70.15824170228508</c:v>
                </c:pt>
                <c:pt idx="3718">
                  <c:v>70.18484049873663</c:v>
                </c:pt>
                <c:pt idx="3719">
                  <c:v>70.21143929518817</c:v>
                </c:pt>
                <c:pt idx="3720">
                  <c:v>70.23803809163971</c:v>
                </c:pt>
                <c:pt idx="3721">
                  <c:v>70.26463688809125</c:v>
                </c:pt>
                <c:pt idx="3722">
                  <c:v>70.29123568454278</c:v>
                </c:pt>
                <c:pt idx="3723">
                  <c:v>70.31783448099432</c:v>
                </c:pt>
                <c:pt idx="3724">
                  <c:v>70.34443327744587</c:v>
                </c:pt>
                <c:pt idx="3725">
                  <c:v>70.37103207389741</c:v>
                </c:pt>
                <c:pt idx="3726">
                  <c:v>70.39763087034895</c:v>
                </c:pt>
                <c:pt idx="3727">
                  <c:v>70.42422966680049</c:v>
                </c:pt>
                <c:pt idx="3728">
                  <c:v>70.45082846325202</c:v>
                </c:pt>
                <c:pt idx="3729">
                  <c:v>70.47742725970356</c:v>
                </c:pt>
                <c:pt idx="3730">
                  <c:v>70.5040260561551</c:v>
                </c:pt>
                <c:pt idx="3731">
                  <c:v>70.53062485260664</c:v>
                </c:pt>
                <c:pt idx="3732">
                  <c:v>70.55722364905819</c:v>
                </c:pt>
                <c:pt idx="3733">
                  <c:v>70.58382244550972</c:v>
                </c:pt>
                <c:pt idx="3734">
                  <c:v>70.61042124196126</c:v>
                </c:pt>
                <c:pt idx="3735">
                  <c:v>70.6370200384128</c:v>
                </c:pt>
                <c:pt idx="3736">
                  <c:v>70.66361883486434</c:v>
                </c:pt>
                <c:pt idx="3737">
                  <c:v>70.69021763131587</c:v>
                </c:pt>
                <c:pt idx="3738">
                  <c:v>70.71681642776741</c:v>
                </c:pt>
                <c:pt idx="3739">
                  <c:v>70.74341522421896</c:v>
                </c:pt>
                <c:pt idx="3740">
                  <c:v>70.7700140206705</c:v>
                </c:pt>
                <c:pt idx="3741">
                  <c:v>70.79661281712204</c:v>
                </c:pt>
                <c:pt idx="3742">
                  <c:v>70.82321161357358</c:v>
                </c:pt>
                <c:pt idx="3743">
                  <c:v>70.84981041002511</c:v>
                </c:pt>
                <c:pt idx="3744">
                  <c:v>70.87640920647665</c:v>
                </c:pt>
                <c:pt idx="3745">
                  <c:v>70.90300800292819</c:v>
                </c:pt>
                <c:pt idx="3746">
                  <c:v>70.92960679937973</c:v>
                </c:pt>
                <c:pt idx="3747">
                  <c:v>70.95620559583126</c:v>
                </c:pt>
                <c:pt idx="3748">
                  <c:v>70.9828043922828</c:v>
                </c:pt>
                <c:pt idx="3749">
                  <c:v>71.00940318873434</c:v>
                </c:pt>
                <c:pt idx="3750">
                  <c:v>71.03600198518588</c:v>
                </c:pt>
                <c:pt idx="3751">
                  <c:v>71.06260078163741</c:v>
                </c:pt>
                <c:pt idx="3752">
                  <c:v>71.08919957808895</c:v>
                </c:pt>
                <c:pt idx="3753">
                  <c:v>71.1157983745405</c:v>
                </c:pt>
                <c:pt idx="3754">
                  <c:v>71.14239717099204</c:v>
                </c:pt>
                <c:pt idx="3755">
                  <c:v>71.16899596744358</c:v>
                </c:pt>
                <c:pt idx="3756">
                  <c:v>71.19559476389512</c:v>
                </c:pt>
                <c:pt idx="3757">
                  <c:v>71.22219356034665</c:v>
                </c:pt>
                <c:pt idx="3758">
                  <c:v>71.24879235679819</c:v>
                </c:pt>
                <c:pt idx="3759">
                  <c:v>71.27539115324973</c:v>
                </c:pt>
                <c:pt idx="3760">
                  <c:v>71.30198994970127</c:v>
                </c:pt>
                <c:pt idx="3761">
                  <c:v>71.32858874615282</c:v>
                </c:pt>
                <c:pt idx="3762">
                  <c:v>71.35518754260436</c:v>
                </c:pt>
                <c:pt idx="3763">
                  <c:v>71.38178633905589</c:v>
                </c:pt>
                <c:pt idx="3764">
                  <c:v>71.40838513550743</c:v>
                </c:pt>
                <c:pt idx="3765">
                  <c:v>71.43498393195897</c:v>
                </c:pt>
                <c:pt idx="3766">
                  <c:v>71.4615827284105</c:v>
                </c:pt>
                <c:pt idx="3767">
                  <c:v>71.48818152486204</c:v>
                </c:pt>
                <c:pt idx="3768">
                  <c:v>71.5147803213136</c:v>
                </c:pt>
                <c:pt idx="3769">
                  <c:v>71.54137911776513</c:v>
                </c:pt>
                <c:pt idx="3770">
                  <c:v>71.56797791421667</c:v>
                </c:pt>
                <c:pt idx="3771">
                  <c:v>71.5945767106682</c:v>
                </c:pt>
                <c:pt idx="3772">
                  <c:v>71.62117550711974</c:v>
                </c:pt>
                <c:pt idx="3773">
                  <c:v>71.64777430357128</c:v>
                </c:pt>
                <c:pt idx="3774">
                  <c:v>71.67437310002282</c:v>
                </c:pt>
                <c:pt idx="3775">
                  <c:v>71.70097189647436</c:v>
                </c:pt>
                <c:pt idx="3776">
                  <c:v>71.72757069292591</c:v>
                </c:pt>
                <c:pt idx="3777">
                  <c:v>71.75416948937745</c:v>
                </c:pt>
                <c:pt idx="3778">
                  <c:v>71.78076828582898</c:v>
                </c:pt>
                <c:pt idx="3779">
                  <c:v>71.80736708228052</c:v>
                </c:pt>
                <c:pt idx="3780">
                  <c:v>71.83396587873206</c:v>
                </c:pt>
                <c:pt idx="3781">
                  <c:v>71.8605646751836</c:v>
                </c:pt>
                <c:pt idx="3782">
                  <c:v>71.88716347163515</c:v>
                </c:pt>
                <c:pt idx="3783">
                  <c:v>71.91376226808669</c:v>
                </c:pt>
                <c:pt idx="3784">
                  <c:v>71.94036106453822</c:v>
                </c:pt>
                <c:pt idx="3785">
                  <c:v>71.96695986098976</c:v>
                </c:pt>
                <c:pt idx="3786">
                  <c:v>71.9935586574413</c:v>
                </c:pt>
                <c:pt idx="3787">
                  <c:v>72.02015745389284</c:v>
                </c:pt>
                <c:pt idx="3788">
                  <c:v>72.04675625034437</c:v>
                </c:pt>
                <c:pt idx="3789">
                  <c:v>72.07335504679591</c:v>
                </c:pt>
                <c:pt idx="3790">
                  <c:v>72.09995384324746</c:v>
                </c:pt>
                <c:pt idx="3791">
                  <c:v>72.126552639699</c:v>
                </c:pt>
                <c:pt idx="3792">
                  <c:v>72.15315143615054</c:v>
                </c:pt>
                <c:pt idx="3793">
                  <c:v>72.17975023260207</c:v>
                </c:pt>
                <c:pt idx="3794">
                  <c:v>72.20634902905361</c:v>
                </c:pt>
                <c:pt idx="3795">
                  <c:v>72.23294782550515</c:v>
                </c:pt>
                <c:pt idx="3796">
                  <c:v>72.25954662195669</c:v>
                </c:pt>
                <c:pt idx="3797">
                  <c:v>72.28614541840824</c:v>
                </c:pt>
                <c:pt idx="3798">
                  <c:v>72.31274421485978</c:v>
                </c:pt>
                <c:pt idx="3799">
                  <c:v>72.33934301131131</c:v>
                </c:pt>
                <c:pt idx="3800">
                  <c:v>72.36594180776285</c:v>
                </c:pt>
                <c:pt idx="3801">
                  <c:v>72.39254060421439</c:v>
                </c:pt>
                <c:pt idx="3802">
                  <c:v>72.41913940066593</c:v>
                </c:pt>
                <c:pt idx="3803">
                  <c:v>72.44573819711746</c:v>
                </c:pt>
                <c:pt idx="3804">
                  <c:v>72.472336993569</c:v>
                </c:pt>
                <c:pt idx="3805">
                  <c:v>72.49893579002055</c:v>
                </c:pt>
                <c:pt idx="3806">
                  <c:v>72.52553458647209</c:v>
                </c:pt>
                <c:pt idx="3807">
                  <c:v>72.55213338292363</c:v>
                </c:pt>
                <c:pt idx="3808">
                  <c:v>72.57873217937517</c:v>
                </c:pt>
                <c:pt idx="3809">
                  <c:v>72.6053309758267</c:v>
                </c:pt>
                <c:pt idx="3810">
                  <c:v>72.63192977227824</c:v>
                </c:pt>
                <c:pt idx="3811">
                  <c:v>72.65852856872979</c:v>
                </c:pt>
                <c:pt idx="3812">
                  <c:v>72.68512736518133</c:v>
                </c:pt>
                <c:pt idx="3813">
                  <c:v>72.71172616163287</c:v>
                </c:pt>
                <c:pt idx="3814">
                  <c:v>72.7383249580844</c:v>
                </c:pt>
                <c:pt idx="3815">
                  <c:v>72.76492375453594</c:v>
                </c:pt>
                <c:pt idx="3816">
                  <c:v>72.79152255098748</c:v>
                </c:pt>
                <c:pt idx="3817">
                  <c:v>72.81812134743902</c:v>
                </c:pt>
                <c:pt idx="3818">
                  <c:v>72.84472014389056</c:v>
                </c:pt>
                <c:pt idx="3819">
                  <c:v>72.87131894034209</c:v>
                </c:pt>
                <c:pt idx="3820">
                  <c:v>72.89791773679363</c:v>
                </c:pt>
                <c:pt idx="3821">
                  <c:v>72.92451653324517</c:v>
                </c:pt>
                <c:pt idx="3822">
                  <c:v>72.9511153296967</c:v>
                </c:pt>
                <c:pt idx="3823">
                  <c:v>72.97771412614824</c:v>
                </c:pt>
                <c:pt idx="3824">
                  <c:v>73.00431292259978</c:v>
                </c:pt>
                <c:pt idx="3825">
                  <c:v>73.03091171905132</c:v>
                </c:pt>
                <c:pt idx="3826">
                  <c:v>73.05751051550287</c:v>
                </c:pt>
                <c:pt idx="3827">
                  <c:v>73.0841093119544</c:v>
                </c:pt>
                <c:pt idx="3828">
                  <c:v>73.11070810840594</c:v>
                </c:pt>
                <c:pt idx="3829">
                  <c:v>73.13730690485748</c:v>
                </c:pt>
                <c:pt idx="3830">
                  <c:v>73.16390570130902</c:v>
                </c:pt>
                <c:pt idx="3831">
                  <c:v>73.19050449776056</c:v>
                </c:pt>
                <c:pt idx="3832">
                  <c:v>73.2171032942121</c:v>
                </c:pt>
                <c:pt idx="3833">
                  <c:v>73.24370209066363</c:v>
                </c:pt>
                <c:pt idx="3834">
                  <c:v>73.27030088711518</c:v>
                </c:pt>
                <c:pt idx="3835">
                  <c:v>73.29689968356672</c:v>
                </c:pt>
                <c:pt idx="3836">
                  <c:v>73.32349848001826</c:v>
                </c:pt>
                <c:pt idx="3837">
                  <c:v>73.3500972764698</c:v>
                </c:pt>
                <c:pt idx="3838">
                  <c:v>73.37669607292133</c:v>
                </c:pt>
                <c:pt idx="3839">
                  <c:v>73.40329486937287</c:v>
                </c:pt>
                <c:pt idx="3840">
                  <c:v>73.42989366582442</c:v>
                </c:pt>
                <c:pt idx="3841">
                  <c:v>73.45649246227596</c:v>
                </c:pt>
                <c:pt idx="3842">
                  <c:v>73.4830912587275</c:v>
                </c:pt>
                <c:pt idx="3843">
                  <c:v>73.50969005517904</c:v>
                </c:pt>
                <c:pt idx="3844">
                  <c:v>73.53628885163057</c:v>
                </c:pt>
                <c:pt idx="3845">
                  <c:v>73.56288764808211</c:v>
                </c:pt>
                <c:pt idx="3846">
                  <c:v>73.58948644453365</c:v>
                </c:pt>
                <c:pt idx="3847">
                  <c:v>73.61608524098519</c:v>
                </c:pt>
                <c:pt idx="3848">
                  <c:v>73.64268403743672</c:v>
                </c:pt>
                <c:pt idx="3849">
                  <c:v>73.66928283388827</c:v>
                </c:pt>
                <c:pt idx="3850">
                  <c:v>73.69588163033981</c:v>
                </c:pt>
                <c:pt idx="3851">
                  <c:v>73.72248042679135</c:v>
                </c:pt>
                <c:pt idx="3852">
                  <c:v>73.74907922324289</c:v>
                </c:pt>
                <c:pt idx="3853">
                  <c:v>73.77567801969442</c:v>
                </c:pt>
                <c:pt idx="3854">
                  <c:v>73.80227681614598</c:v>
                </c:pt>
                <c:pt idx="3855">
                  <c:v>73.82887561259751</c:v>
                </c:pt>
                <c:pt idx="3856">
                  <c:v>73.85547440904905</c:v>
                </c:pt>
                <c:pt idx="3857">
                  <c:v>73.88207320550059</c:v>
                </c:pt>
                <c:pt idx="3858">
                  <c:v>73.90867200195213</c:v>
                </c:pt>
                <c:pt idx="3859">
                  <c:v>73.93527079840366</c:v>
                </c:pt>
                <c:pt idx="3860">
                  <c:v>73.9618695948552</c:v>
                </c:pt>
                <c:pt idx="3861">
                  <c:v>73.98846839130674</c:v>
                </c:pt>
                <c:pt idx="3862">
                  <c:v>74.01506718775828</c:v>
                </c:pt>
                <c:pt idx="3863">
                  <c:v>74.04166598420983</c:v>
                </c:pt>
                <c:pt idx="3864">
                  <c:v>74.06826478066137</c:v>
                </c:pt>
                <c:pt idx="3865">
                  <c:v>74.0948635771129</c:v>
                </c:pt>
                <c:pt idx="3866">
                  <c:v>74.12146237356444</c:v>
                </c:pt>
                <c:pt idx="3867">
                  <c:v>74.14806117001598</c:v>
                </c:pt>
                <c:pt idx="3868">
                  <c:v>74.17465996646752</c:v>
                </c:pt>
                <c:pt idx="3869">
                  <c:v>74.20125876291907</c:v>
                </c:pt>
                <c:pt idx="3870">
                  <c:v>74.2278575593706</c:v>
                </c:pt>
                <c:pt idx="3871">
                  <c:v>74.25445635582214</c:v>
                </c:pt>
                <c:pt idx="3872">
                  <c:v>74.28105515227368</c:v>
                </c:pt>
                <c:pt idx="3873">
                  <c:v>74.30765394872522</c:v>
                </c:pt>
                <c:pt idx="3874">
                  <c:v>74.33425274517676</c:v>
                </c:pt>
                <c:pt idx="3875">
                  <c:v>74.36085154162829</c:v>
                </c:pt>
                <c:pt idx="3876">
                  <c:v>74.38745033807983</c:v>
                </c:pt>
                <c:pt idx="3877">
                  <c:v>74.41404913453137</c:v>
                </c:pt>
                <c:pt idx="3878">
                  <c:v>74.4406479309829</c:v>
                </c:pt>
                <c:pt idx="3879">
                  <c:v>74.46724672743446</c:v>
                </c:pt>
                <c:pt idx="3880">
                  <c:v>74.493845523886</c:v>
                </c:pt>
                <c:pt idx="3881">
                  <c:v>74.52044432033753</c:v>
                </c:pt>
                <c:pt idx="3882">
                  <c:v>74.54704311678907</c:v>
                </c:pt>
                <c:pt idx="3883">
                  <c:v>74.57364191324062</c:v>
                </c:pt>
                <c:pt idx="3884">
                  <c:v>74.60024070969216</c:v>
                </c:pt>
                <c:pt idx="3885">
                  <c:v>74.6268395061437</c:v>
                </c:pt>
                <c:pt idx="3886">
                  <c:v>74.65343830259523</c:v>
                </c:pt>
                <c:pt idx="3887">
                  <c:v>74.68003709904677</c:v>
                </c:pt>
                <c:pt idx="3888">
                  <c:v>74.70663589549831</c:v>
                </c:pt>
                <c:pt idx="3889">
                  <c:v>74.73323469194985</c:v>
                </c:pt>
                <c:pt idx="3890">
                  <c:v>74.75983348840138</c:v>
                </c:pt>
                <c:pt idx="3891">
                  <c:v>74.78643228485292</c:v>
                </c:pt>
                <c:pt idx="3892">
                  <c:v>74.81303108130446</c:v>
                </c:pt>
                <c:pt idx="3893">
                  <c:v>74.839629877756</c:v>
                </c:pt>
                <c:pt idx="3894">
                  <c:v>74.86622867420753</c:v>
                </c:pt>
                <c:pt idx="3895">
                  <c:v>74.89282747065907</c:v>
                </c:pt>
                <c:pt idx="3896">
                  <c:v>74.91942626711061</c:v>
                </c:pt>
                <c:pt idx="3897">
                  <c:v>74.94602506356215</c:v>
                </c:pt>
                <c:pt idx="3898">
                  <c:v>74.9726238600137</c:v>
                </c:pt>
                <c:pt idx="3899">
                  <c:v>74.99922265646524</c:v>
                </c:pt>
                <c:pt idx="3900">
                  <c:v>75.02582145291677</c:v>
                </c:pt>
                <c:pt idx="3901">
                  <c:v>75.05242024936831</c:v>
                </c:pt>
                <c:pt idx="3902">
                  <c:v>75.07901904581985</c:v>
                </c:pt>
                <c:pt idx="3903">
                  <c:v>75.10561784227139</c:v>
                </c:pt>
                <c:pt idx="3904">
                  <c:v>75.13221663872292</c:v>
                </c:pt>
                <c:pt idx="3905">
                  <c:v>75.15881543517446</c:v>
                </c:pt>
                <c:pt idx="3906">
                  <c:v>75.185414231626</c:v>
                </c:pt>
                <c:pt idx="3907">
                  <c:v>75.21201302807754</c:v>
                </c:pt>
                <c:pt idx="3908">
                  <c:v>75.23861182452909</c:v>
                </c:pt>
                <c:pt idx="3909">
                  <c:v>75.26521062098062</c:v>
                </c:pt>
                <c:pt idx="3910">
                  <c:v>75.29180941743216</c:v>
                </c:pt>
                <c:pt idx="3911">
                  <c:v>75.3184082138837</c:v>
                </c:pt>
                <c:pt idx="3912">
                  <c:v>75.34500701033525</c:v>
                </c:pt>
                <c:pt idx="3913">
                  <c:v>75.37160580678679</c:v>
                </c:pt>
                <c:pt idx="3914">
                  <c:v>75.39820460323833</c:v>
                </c:pt>
                <c:pt idx="3915">
                  <c:v>75.42480339968986</c:v>
                </c:pt>
                <c:pt idx="3916">
                  <c:v>75.4514021961414</c:v>
                </c:pt>
                <c:pt idx="3917">
                  <c:v>75.47800099259294</c:v>
                </c:pt>
                <c:pt idx="3918">
                  <c:v>75.50459978904448</c:v>
                </c:pt>
                <c:pt idx="3919">
                  <c:v>75.53119858549601</c:v>
                </c:pt>
                <c:pt idx="3920">
                  <c:v>75.55779738194755</c:v>
                </c:pt>
                <c:pt idx="3921">
                  <c:v>75.58439617839909</c:v>
                </c:pt>
                <c:pt idx="3922">
                  <c:v>75.61099497485064</c:v>
                </c:pt>
                <c:pt idx="3923">
                  <c:v>75.63759377130218</c:v>
                </c:pt>
                <c:pt idx="3924">
                  <c:v>75.66419256775372</c:v>
                </c:pt>
                <c:pt idx="3925">
                  <c:v>75.69079136420525</c:v>
                </c:pt>
                <c:pt idx="3926">
                  <c:v>75.71739016065679</c:v>
                </c:pt>
                <c:pt idx="3927">
                  <c:v>75.74398895710834</c:v>
                </c:pt>
                <c:pt idx="3928">
                  <c:v>75.77058775355988</c:v>
                </c:pt>
                <c:pt idx="3929">
                  <c:v>75.79718655001142</c:v>
                </c:pt>
                <c:pt idx="3930">
                  <c:v>75.82378534646296</c:v>
                </c:pt>
                <c:pt idx="3931">
                  <c:v>75.85038414291449</c:v>
                </c:pt>
                <c:pt idx="3932">
                  <c:v>75.87698293936603</c:v>
                </c:pt>
                <c:pt idx="3933">
                  <c:v>75.90358173581757</c:v>
                </c:pt>
                <c:pt idx="3934">
                  <c:v>75.9301805322691</c:v>
                </c:pt>
                <c:pt idx="3935">
                  <c:v>75.95677932872064</c:v>
                </c:pt>
                <c:pt idx="3936">
                  <c:v>75.98337812517218</c:v>
                </c:pt>
                <c:pt idx="3937">
                  <c:v>76.00997692162373</c:v>
                </c:pt>
                <c:pt idx="3938">
                  <c:v>76.03657571807527</c:v>
                </c:pt>
                <c:pt idx="3939">
                  <c:v>76.0631745145268</c:v>
                </c:pt>
                <c:pt idx="3940">
                  <c:v>76.08977331097834</c:v>
                </c:pt>
                <c:pt idx="3941">
                  <c:v>76.1163721074299</c:v>
                </c:pt>
                <c:pt idx="3942">
                  <c:v>76.14297090388143</c:v>
                </c:pt>
                <c:pt idx="3943">
                  <c:v>76.16956970033297</c:v>
                </c:pt>
                <c:pt idx="3944">
                  <c:v>76.19616849678451</c:v>
                </c:pt>
                <c:pt idx="3945">
                  <c:v>76.22276729323605</c:v>
                </c:pt>
                <c:pt idx="3946">
                  <c:v>76.24936608968758</c:v>
                </c:pt>
                <c:pt idx="3947">
                  <c:v>76.27596488613912</c:v>
                </c:pt>
                <c:pt idx="3948">
                  <c:v>76.30256368259066</c:v>
                </c:pt>
                <c:pt idx="3949">
                  <c:v>76.3291624790422</c:v>
                </c:pt>
                <c:pt idx="3950">
                  <c:v>76.35576127549373</c:v>
                </c:pt>
                <c:pt idx="3951">
                  <c:v>76.38236007194529</c:v>
                </c:pt>
                <c:pt idx="3952">
                  <c:v>76.40895886839682</c:v>
                </c:pt>
                <c:pt idx="3953">
                  <c:v>76.43555766484836</c:v>
                </c:pt>
                <c:pt idx="3954">
                  <c:v>76.4621564612999</c:v>
                </c:pt>
                <c:pt idx="3955">
                  <c:v>76.48875525775144</c:v>
                </c:pt>
                <c:pt idx="3956">
                  <c:v>76.51535405420299</c:v>
                </c:pt>
                <c:pt idx="3957">
                  <c:v>76.54195285065452</c:v>
                </c:pt>
                <c:pt idx="3958">
                  <c:v>76.56855164710606</c:v>
                </c:pt>
                <c:pt idx="3959">
                  <c:v>76.5951504435576</c:v>
                </c:pt>
                <c:pt idx="3960">
                  <c:v>76.62174924000914</c:v>
                </c:pt>
                <c:pt idx="3961">
                  <c:v>76.64834803646067</c:v>
                </c:pt>
                <c:pt idx="3962">
                  <c:v>76.67494683291221</c:v>
                </c:pt>
                <c:pt idx="3963">
                  <c:v>76.70154562936375</c:v>
                </c:pt>
                <c:pt idx="3964">
                  <c:v>76.72814442581529</c:v>
                </c:pt>
                <c:pt idx="3965">
                  <c:v>76.75474322226682</c:v>
                </c:pt>
                <c:pt idx="3966">
                  <c:v>76.78134201871836</c:v>
                </c:pt>
                <c:pt idx="3967">
                  <c:v>76.8079408151699</c:v>
                </c:pt>
                <c:pt idx="3968">
                  <c:v>76.83453961162144</c:v>
                </c:pt>
                <c:pt idx="3969">
                  <c:v>76.86113840807297</c:v>
                </c:pt>
                <c:pt idx="3970">
                  <c:v>76.88773720452453</c:v>
                </c:pt>
                <c:pt idx="3971">
                  <c:v>76.91433600097606</c:v>
                </c:pt>
                <c:pt idx="3972">
                  <c:v>76.9409347974276</c:v>
                </c:pt>
                <c:pt idx="3973">
                  <c:v>76.96753359387914</c:v>
                </c:pt>
                <c:pt idx="3974">
                  <c:v>76.99413239033068</c:v>
                </c:pt>
                <c:pt idx="3975">
                  <c:v>77.02073118678221</c:v>
                </c:pt>
                <c:pt idx="3976">
                  <c:v>77.04732998323375</c:v>
                </c:pt>
                <c:pt idx="3977">
                  <c:v>77.07392877968529</c:v>
                </c:pt>
                <c:pt idx="3978">
                  <c:v>77.10052757613683</c:v>
                </c:pt>
                <c:pt idx="3979">
                  <c:v>77.12712637258838</c:v>
                </c:pt>
                <c:pt idx="3980">
                  <c:v>77.15372516903992</c:v>
                </c:pt>
                <c:pt idx="3981">
                  <c:v>77.18032396549145</c:v>
                </c:pt>
                <c:pt idx="3982">
                  <c:v>77.20692276194299</c:v>
                </c:pt>
                <c:pt idx="3983">
                  <c:v>77.23352155839453</c:v>
                </c:pt>
                <c:pt idx="3984">
                  <c:v>77.26012035484607</c:v>
                </c:pt>
                <c:pt idx="3985">
                  <c:v>77.2867191512976</c:v>
                </c:pt>
                <c:pt idx="3986">
                  <c:v>77.31331794774916</c:v>
                </c:pt>
                <c:pt idx="3987">
                  <c:v>77.33991674420069</c:v>
                </c:pt>
                <c:pt idx="3988">
                  <c:v>77.36651554065223</c:v>
                </c:pt>
                <c:pt idx="3989">
                  <c:v>77.39311433710377</c:v>
                </c:pt>
                <c:pt idx="3990">
                  <c:v>77.4197131335553</c:v>
                </c:pt>
                <c:pt idx="3991">
                  <c:v>77.44631193000684</c:v>
                </c:pt>
                <c:pt idx="3992">
                  <c:v>77.47291072645838</c:v>
                </c:pt>
                <c:pt idx="3993">
                  <c:v>77.49950952290992</c:v>
                </c:pt>
                <c:pt idx="3994">
                  <c:v>77.52610831936146</c:v>
                </c:pt>
                <c:pt idx="3995">
                  <c:v>77.552707115813</c:v>
                </c:pt>
                <c:pt idx="3996">
                  <c:v>77.57930591226454</c:v>
                </c:pt>
                <c:pt idx="3997">
                  <c:v>77.60590470871608</c:v>
                </c:pt>
                <c:pt idx="3998">
                  <c:v>77.63250350516762</c:v>
                </c:pt>
                <c:pt idx="3999">
                  <c:v>77.65910230161916</c:v>
                </c:pt>
                <c:pt idx="4000">
                  <c:v>77.68570109807071</c:v>
                </c:pt>
                <c:pt idx="4001">
                  <c:v>77.71229989452225</c:v>
                </c:pt>
                <c:pt idx="4002">
                  <c:v>77.73889869097378</c:v>
                </c:pt>
                <c:pt idx="4003">
                  <c:v>77.76549748742532</c:v>
                </c:pt>
                <c:pt idx="4004">
                  <c:v>77.79209628387686</c:v>
                </c:pt>
                <c:pt idx="4005">
                  <c:v>77.8186950803284</c:v>
                </c:pt>
                <c:pt idx="4006">
                  <c:v>77.84529387677993</c:v>
                </c:pt>
                <c:pt idx="4007">
                  <c:v>77.87189267323147</c:v>
                </c:pt>
                <c:pt idx="4008">
                  <c:v>77.89849146968301</c:v>
                </c:pt>
                <c:pt idx="4009">
                  <c:v>77.92509026613456</c:v>
                </c:pt>
                <c:pt idx="4010">
                  <c:v>77.9516890625861</c:v>
                </c:pt>
                <c:pt idx="4011">
                  <c:v>77.97828785903764</c:v>
                </c:pt>
                <c:pt idx="4012">
                  <c:v>78.00488665548917</c:v>
                </c:pt>
                <c:pt idx="4013">
                  <c:v>78.03148545194071</c:v>
                </c:pt>
                <c:pt idx="4014">
                  <c:v>78.05808424839226</c:v>
                </c:pt>
                <c:pt idx="4015">
                  <c:v>78.0846830448438</c:v>
                </c:pt>
                <c:pt idx="4016">
                  <c:v>78.11128184129534</c:v>
                </c:pt>
                <c:pt idx="4017">
                  <c:v>78.13788063774687</c:v>
                </c:pt>
                <c:pt idx="4018">
                  <c:v>78.16447943419841</c:v>
                </c:pt>
                <c:pt idx="4019">
                  <c:v>78.19107823064995</c:v>
                </c:pt>
                <c:pt idx="4020">
                  <c:v>78.21767702710149</c:v>
                </c:pt>
                <c:pt idx="4021">
                  <c:v>78.24427582355302</c:v>
                </c:pt>
                <c:pt idx="4022">
                  <c:v>78.27087462000456</c:v>
                </c:pt>
                <c:pt idx="4023">
                  <c:v>78.29747341645611</c:v>
                </c:pt>
                <c:pt idx="4024">
                  <c:v>78.32407221290765</c:v>
                </c:pt>
                <c:pt idx="4025">
                  <c:v>78.35067100935919</c:v>
                </c:pt>
                <c:pt idx="4026">
                  <c:v>78.37726980581073</c:v>
                </c:pt>
                <c:pt idx="4027">
                  <c:v>78.40386860226226</c:v>
                </c:pt>
                <c:pt idx="4028">
                  <c:v>78.43046739871382</c:v>
                </c:pt>
                <c:pt idx="4029">
                  <c:v>78.45706619516535</c:v>
                </c:pt>
                <c:pt idx="4030">
                  <c:v>78.48366499161689</c:v>
                </c:pt>
                <c:pt idx="4031">
                  <c:v>78.51026378806843</c:v>
                </c:pt>
                <c:pt idx="4032">
                  <c:v>78.53686258451997</c:v>
                </c:pt>
                <c:pt idx="4033">
                  <c:v>78.5634613809715</c:v>
                </c:pt>
                <c:pt idx="4034">
                  <c:v>78.59006017742304</c:v>
                </c:pt>
                <c:pt idx="4035">
                  <c:v>78.61665897387458</c:v>
                </c:pt>
                <c:pt idx="4036">
                  <c:v>78.64325777032612</c:v>
                </c:pt>
                <c:pt idx="4037">
                  <c:v>78.66985656677765</c:v>
                </c:pt>
                <c:pt idx="4038">
                  <c:v>78.69645536322919</c:v>
                </c:pt>
                <c:pt idx="4039">
                  <c:v>78.72305415968073</c:v>
                </c:pt>
                <c:pt idx="4040">
                  <c:v>78.74965295613227</c:v>
                </c:pt>
                <c:pt idx="4041">
                  <c:v>78.7762517525838</c:v>
                </c:pt>
                <c:pt idx="4042">
                  <c:v>78.80285054903534</c:v>
                </c:pt>
                <c:pt idx="4043">
                  <c:v>78.82944934548688</c:v>
                </c:pt>
                <c:pt idx="4044">
                  <c:v>78.85604814193843</c:v>
                </c:pt>
                <c:pt idx="4045">
                  <c:v>78.88264693838997</c:v>
                </c:pt>
                <c:pt idx="4046">
                  <c:v>78.9092457348415</c:v>
                </c:pt>
                <c:pt idx="4047">
                  <c:v>78.93584453129304</c:v>
                </c:pt>
                <c:pt idx="4048">
                  <c:v>78.96244332774458</c:v>
                </c:pt>
                <c:pt idx="4049">
                  <c:v>78.98904212419612</c:v>
                </c:pt>
                <c:pt idx="4050">
                  <c:v>79.01564092064766</c:v>
                </c:pt>
                <c:pt idx="4051">
                  <c:v>79.04223971709919</c:v>
                </c:pt>
                <c:pt idx="4052">
                  <c:v>79.06883851355073</c:v>
                </c:pt>
                <c:pt idx="4053">
                  <c:v>79.09543731000227</c:v>
                </c:pt>
                <c:pt idx="4054">
                  <c:v>79.12203610645382</c:v>
                </c:pt>
                <c:pt idx="4055">
                  <c:v>79.14863490290536</c:v>
                </c:pt>
                <c:pt idx="4056">
                  <c:v>79.1752336993569</c:v>
                </c:pt>
                <c:pt idx="4057">
                  <c:v>79.20183249580843</c:v>
                </c:pt>
                <c:pt idx="4058">
                  <c:v>79.22843129225998</c:v>
                </c:pt>
                <c:pt idx="4059">
                  <c:v>79.25503008871152</c:v>
                </c:pt>
                <c:pt idx="4060">
                  <c:v>79.28162888516306</c:v>
                </c:pt>
                <c:pt idx="4061">
                  <c:v>79.3082276816146</c:v>
                </c:pt>
                <c:pt idx="4062">
                  <c:v>79.33482647806613</c:v>
                </c:pt>
                <c:pt idx="4063">
                  <c:v>79.36142527451767</c:v>
                </c:pt>
                <c:pt idx="4064">
                  <c:v>79.38802407096921</c:v>
                </c:pt>
                <c:pt idx="4065">
                  <c:v>79.41462286742075</c:v>
                </c:pt>
                <c:pt idx="4066">
                  <c:v>79.44122166387228</c:v>
                </c:pt>
                <c:pt idx="4067">
                  <c:v>79.46782046032382</c:v>
                </c:pt>
                <c:pt idx="4068">
                  <c:v>79.49441925677537</c:v>
                </c:pt>
                <c:pt idx="4069">
                  <c:v>79.52101805322691</c:v>
                </c:pt>
                <c:pt idx="4070">
                  <c:v>79.54761684967845</c:v>
                </c:pt>
                <c:pt idx="4071">
                  <c:v>79.57421564612999</c:v>
                </c:pt>
                <c:pt idx="4072">
                  <c:v>79.60081444258154</c:v>
                </c:pt>
                <c:pt idx="4073">
                  <c:v>79.62741323903307</c:v>
                </c:pt>
                <c:pt idx="4074">
                  <c:v>79.65401203548461</c:v>
                </c:pt>
                <c:pt idx="4075">
                  <c:v>79.68061083193615</c:v>
                </c:pt>
                <c:pt idx="4076">
                  <c:v>79.70720962838769</c:v>
                </c:pt>
                <c:pt idx="4077">
                  <c:v>79.73380842483922</c:v>
                </c:pt>
                <c:pt idx="4078">
                  <c:v>79.76040722129076</c:v>
                </c:pt>
                <c:pt idx="4079">
                  <c:v>79.7870060177423</c:v>
                </c:pt>
                <c:pt idx="4080">
                  <c:v>79.81360481419384</c:v>
                </c:pt>
                <c:pt idx="4081">
                  <c:v>79.84020361064537</c:v>
                </c:pt>
                <c:pt idx="4082">
                  <c:v>79.86680240709693</c:v>
                </c:pt>
                <c:pt idx="4083">
                  <c:v>79.89340120354846</c:v>
                </c:pt>
                <c:pt idx="4084">
                  <c:v>79.92</c:v>
                </c:pt>
                <c:pt idx="4085">
                  <c:v>79.92</c:v>
                </c:pt>
                <c:pt idx="4086">
                  <c:v>79.9329125</c:v>
                </c:pt>
                <c:pt idx="4087">
                  <c:v>79.945825</c:v>
                </c:pt>
                <c:pt idx="4088">
                  <c:v>79.9587375</c:v>
                </c:pt>
                <c:pt idx="4089">
                  <c:v>79.97165000000001</c:v>
                </c:pt>
                <c:pt idx="4090">
                  <c:v>79.9845625</c:v>
                </c:pt>
                <c:pt idx="4091">
                  <c:v>79.997475</c:v>
                </c:pt>
                <c:pt idx="4092">
                  <c:v>80.01038750000001</c:v>
                </c:pt>
                <c:pt idx="4093">
                  <c:v>80.02329999999999</c:v>
                </c:pt>
                <c:pt idx="4094">
                  <c:v>80.0362125</c:v>
                </c:pt>
                <c:pt idx="4095">
                  <c:v>80.049125</c:v>
                </c:pt>
                <c:pt idx="4096">
                  <c:v>80.0620375</c:v>
                </c:pt>
                <c:pt idx="4097">
                  <c:v>80.07495</c:v>
                </c:pt>
                <c:pt idx="4098">
                  <c:v>80.0878625</c:v>
                </c:pt>
                <c:pt idx="4099">
                  <c:v>80.100775</c:v>
                </c:pt>
                <c:pt idx="4100">
                  <c:v>80.1136875</c:v>
                </c:pt>
                <c:pt idx="4101">
                  <c:v>80.1266</c:v>
                </c:pt>
                <c:pt idx="4102">
                  <c:v>80.1395125</c:v>
                </c:pt>
                <c:pt idx="4103">
                  <c:v>80.15242500000001</c:v>
                </c:pt>
                <c:pt idx="4104">
                  <c:v>80.16533749999999</c:v>
                </c:pt>
                <c:pt idx="4105">
                  <c:v>80.17825</c:v>
                </c:pt>
                <c:pt idx="4106">
                  <c:v>80.1911625</c:v>
                </c:pt>
                <c:pt idx="4107">
                  <c:v>80.20407499999999</c:v>
                </c:pt>
                <c:pt idx="4108">
                  <c:v>80.2169875</c:v>
                </c:pt>
                <c:pt idx="4109">
                  <c:v>80.2299</c:v>
                </c:pt>
                <c:pt idx="4110">
                  <c:v>80.2428125</c:v>
                </c:pt>
                <c:pt idx="4111">
                  <c:v>80.255725</c:v>
                </c:pt>
                <c:pt idx="4112">
                  <c:v>80.26863750000001</c:v>
                </c:pt>
                <c:pt idx="4113">
                  <c:v>80.28155</c:v>
                </c:pt>
                <c:pt idx="4114">
                  <c:v>80.2944625</c:v>
                </c:pt>
                <c:pt idx="4115">
                  <c:v>80.30737500000001</c:v>
                </c:pt>
                <c:pt idx="4116">
                  <c:v>80.32028749999999</c:v>
                </c:pt>
                <c:pt idx="4117">
                  <c:v>80.3332</c:v>
                </c:pt>
                <c:pt idx="4118">
                  <c:v>80.34611249999999</c:v>
                </c:pt>
                <c:pt idx="4119">
                  <c:v>80.359025</c:v>
                </c:pt>
                <c:pt idx="4120">
                  <c:v>80.3719375</c:v>
                </c:pt>
                <c:pt idx="4121">
                  <c:v>80.38485</c:v>
                </c:pt>
                <c:pt idx="4122">
                  <c:v>80.3977625</c:v>
                </c:pt>
                <c:pt idx="4123">
                  <c:v>80.410675</c:v>
                </c:pt>
                <c:pt idx="4124">
                  <c:v>80.4235875</c:v>
                </c:pt>
                <c:pt idx="4125">
                  <c:v>80.4365</c:v>
                </c:pt>
                <c:pt idx="4126">
                  <c:v>80.44941250000001</c:v>
                </c:pt>
                <c:pt idx="4127">
                  <c:v>80.46232499999999</c:v>
                </c:pt>
                <c:pt idx="4128">
                  <c:v>80.4752375</c:v>
                </c:pt>
                <c:pt idx="4129">
                  <c:v>80.48815</c:v>
                </c:pt>
                <c:pt idx="4130">
                  <c:v>80.50106249999999</c:v>
                </c:pt>
                <c:pt idx="4131">
                  <c:v>80.513975</c:v>
                </c:pt>
                <c:pt idx="4132">
                  <c:v>80.5268875</c:v>
                </c:pt>
                <c:pt idx="4133">
                  <c:v>80.5398</c:v>
                </c:pt>
                <c:pt idx="4134">
                  <c:v>80.5527125</c:v>
                </c:pt>
                <c:pt idx="4135">
                  <c:v>80.56562500000001</c:v>
                </c:pt>
                <c:pt idx="4136">
                  <c:v>80.5785375</c:v>
                </c:pt>
                <c:pt idx="4137">
                  <c:v>80.59145</c:v>
                </c:pt>
                <c:pt idx="4138">
                  <c:v>80.60436250000001</c:v>
                </c:pt>
                <c:pt idx="4139">
                  <c:v>80.61727499999999</c:v>
                </c:pt>
                <c:pt idx="4140">
                  <c:v>80.6301875</c:v>
                </c:pt>
                <c:pt idx="4141">
                  <c:v>80.64309999999999</c:v>
                </c:pt>
                <c:pt idx="4142">
                  <c:v>80.6560125</c:v>
                </c:pt>
                <c:pt idx="4143">
                  <c:v>80.668925</c:v>
                </c:pt>
                <c:pt idx="4144">
                  <c:v>80.6818375</c:v>
                </c:pt>
                <c:pt idx="4145">
                  <c:v>80.69475</c:v>
                </c:pt>
                <c:pt idx="4146">
                  <c:v>80.7076625</c:v>
                </c:pt>
                <c:pt idx="4147">
                  <c:v>80.720575</c:v>
                </c:pt>
                <c:pt idx="4148">
                  <c:v>80.7334875</c:v>
                </c:pt>
                <c:pt idx="4149">
                  <c:v>80.74640000000001</c:v>
                </c:pt>
                <c:pt idx="4150">
                  <c:v>80.7593125</c:v>
                </c:pt>
                <c:pt idx="4151">
                  <c:v>80.772225</c:v>
                </c:pt>
                <c:pt idx="4152">
                  <c:v>80.7851375</c:v>
                </c:pt>
                <c:pt idx="4153">
                  <c:v>80.79804999999999</c:v>
                </c:pt>
                <c:pt idx="4154">
                  <c:v>80.8109625</c:v>
                </c:pt>
                <c:pt idx="4155">
                  <c:v>80.823875</c:v>
                </c:pt>
                <c:pt idx="4156">
                  <c:v>80.8367875</c:v>
                </c:pt>
                <c:pt idx="4157">
                  <c:v>80.8497</c:v>
                </c:pt>
                <c:pt idx="4158">
                  <c:v>80.86261250000001</c:v>
                </c:pt>
                <c:pt idx="4159">
                  <c:v>80.875525</c:v>
                </c:pt>
                <c:pt idx="4160">
                  <c:v>80.8884375</c:v>
                </c:pt>
                <c:pt idx="4161">
                  <c:v>80.90135</c:v>
                </c:pt>
                <c:pt idx="4162">
                  <c:v>80.91426249999999</c:v>
                </c:pt>
                <c:pt idx="4163">
                  <c:v>80.927175</c:v>
                </c:pt>
                <c:pt idx="4164">
                  <c:v>80.94008749999999</c:v>
                </c:pt>
                <c:pt idx="4165">
                  <c:v>80.953</c:v>
                </c:pt>
                <c:pt idx="4166">
                  <c:v>80.9659125</c:v>
                </c:pt>
                <c:pt idx="4167">
                  <c:v>80.978825</c:v>
                </c:pt>
                <c:pt idx="4168">
                  <c:v>80.9917375</c:v>
                </c:pt>
                <c:pt idx="4169">
                  <c:v>81.00465</c:v>
                </c:pt>
                <c:pt idx="4170">
                  <c:v>81.0175625</c:v>
                </c:pt>
                <c:pt idx="4171">
                  <c:v>81.030475</c:v>
                </c:pt>
                <c:pt idx="4172">
                  <c:v>81.04338750000001</c:v>
                </c:pt>
                <c:pt idx="4173">
                  <c:v>81.0563</c:v>
                </c:pt>
                <c:pt idx="4174">
                  <c:v>81.0692125</c:v>
                </c:pt>
                <c:pt idx="4175">
                  <c:v>81.082125</c:v>
                </c:pt>
                <c:pt idx="4176">
                  <c:v>81.09503749999999</c:v>
                </c:pt>
                <c:pt idx="4177">
                  <c:v>81.10795</c:v>
                </c:pt>
                <c:pt idx="4178">
                  <c:v>81.1208625</c:v>
                </c:pt>
                <c:pt idx="4179">
                  <c:v>81.133775</c:v>
                </c:pt>
                <c:pt idx="4180">
                  <c:v>81.1466875</c:v>
                </c:pt>
                <c:pt idx="4181">
                  <c:v>81.15960000000001</c:v>
                </c:pt>
                <c:pt idx="4182">
                  <c:v>81.1725125</c:v>
                </c:pt>
                <c:pt idx="4183">
                  <c:v>81.185425</c:v>
                </c:pt>
                <c:pt idx="4184">
                  <c:v>81.1983375</c:v>
                </c:pt>
                <c:pt idx="4185">
                  <c:v>81.21124999999999</c:v>
                </c:pt>
                <c:pt idx="4186">
                  <c:v>81.2241625</c:v>
                </c:pt>
                <c:pt idx="4187">
                  <c:v>81.23707499999999</c:v>
                </c:pt>
                <c:pt idx="4188">
                  <c:v>81.2499875</c:v>
                </c:pt>
                <c:pt idx="4189">
                  <c:v>81.2629</c:v>
                </c:pt>
                <c:pt idx="4190">
                  <c:v>81.2758125</c:v>
                </c:pt>
                <c:pt idx="4191">
                  <c:v>81.288725</c:v>
                </c:pt>
                <c:pt idx="4192">
                  <c:v>81.3016375</c:v>
                </c:pt>
                <c:pt idx="4193">
                  <c:v>81.31455</c:v>
                </c:pt>
                <c:pt idx="4194">
                  <c:v>81.3274625</c:v>
                </c:pt>
                <c:pt idx="4195">
                  <c:v>81.34037500000001</c:v>
                </c:pt>
                <c:pt idx="4196">
                  <c:v>81.3532875</c:v>
                </c:pt>
                <c:pt idx="4197">
                  <c:v>81.3662</c:v>
                </c:pt>
                <c:pt idx="4198">
                  <c:v>81.3791125</c:v>
                </c:pt>
                <c:pt idx="4199">
                  <c:v>81.39202499999999</c:v>
                </c:pt>
                <c:pt idx="4200">
                  <c:v>81.4049375</c:v>
                </c:pt>
                <c:pt idx="4201">
                  <c:v>81.41785</c:v>
                </c:pt>
                <c:pt idx="4202">
                  <c:v>81.4307625</c:v>
                </c:pt>
                <c:pt idx="4203">
                  <c:v>81.443675</c:v>
                </c:pt>
                <c:pt idx="4204">
                  <c:v>81.45658750000001</c:v>
                </c:pt>
                <c:pt idx="4205">
                  <c:v>81.4695</c:v>
                </c:pt>
                <c:pt idx="4206">
                  <c:v>81.4824125</c:v>
                </c:pt>
                <c:pt idx="4207">
                  <c:v>81.495325</c:v>
                </c:pt>
                <c:pt idx="4208">
                  <c:v>81.50823749999999</c:v>
                </c:pt>
                <c:pt idx="4209">
                  <c:v>81.52115</c:v>
                </c:pt>
                <c:pt idx="4210">
                  <c:v>81.53406249999999</c:v>
                </c:pt>
                <c:pt idx="4211">
                  <c:v>81.546975</c:v>
                </c:pt>
                <c:pt idx="4212">
                  <c:v>81.5598875</c:v>
                </c:pt>
                <c:pt idx="4213">
                  <c:v>81.5728</c:v>
                </c:pt>
                <c:pt idx="4214">
                  <c:v>81.5857125</c:v>
                </c:pt>
                <c:pt idx="4215">
                  <c:v>81.598625</c:v>
                </c:pt>
                <c:pt idx="4216">
                  <c:v>81.6115375</c:v>
                </c:pt>
                <c:pt idx="4217">
                  <c:v>81.62445</c:v>
                </c:pt>
                <c:pt idx="4218">
                  <c:v>81.63736250000001</c:v>
                </c:pt>
                <c:pt idx="4219">
                  <c:v>81.650275</c:v>
                </c:pt>
                <c:pt idx="4220">
                  <c:v>81.6631875</c:v>
                </c:pt>
                <c:pt idx="4221">
                  <c:v>81.6761</c:v>
                </c:pt>
                <c:pt idx="4222">
                  <c:v>81.68901249999999</c:v>
                </c:pt>
                <c:pt idx="4223">
                  <c:v>81.701925</c:v>
                </c:pt>
                <c:pt idx="4224">
                  <c:v>81.7148375</c:v>
                </c:pt>
                <c:pt idx="4225">
                  <c:v>81.72775</c:v>
                </c:pt>
                <c:pt idx="4226">
                  <c:v>81.7406625</c:v>
                </c:pt>
                <c:pt idx="4227">
                  <c:v>81.753575</c:v>
                </c:pt>
                <c:pt idx="4228">
                  <c:v>81.7664875</c:v>
                </c:pt>
                <c:pt idx="4229">
                  <c:v>81.7794</c:v>
                </c:pt>
                <c:pt idx="4230">
                  <c:v>81.7923125</c:v>
                </c:pt>
                <c:pt idx="4231">
                  <c:v>81.805225</c:v>
                </c:pt>
                <c:pt idx="4232">
                  <c:v>81.8181375</c:v>
                </c:pt>
                <c:pt idx="4233">
                  <c:v>81.83104999999999</c:v>
                </c:pt>
                <c:pt idx="4234">
                  <c:v>81.8439625</c:v>
                </c:pt>
                <c:pt idx="4235">
                  <c:v>81.856875</c:v>
                </c:pt>
                <c:pt idx="4236">
                  <c:v>81.8697875</c:v>
                </c:pt>
                <c:pt idx="4237">
                  <c:v>81.8827</c:v>
                </c:pt>
                <c:pt idx="4238">
                  <c:v>81.8956125</c:v>
                </c:pt>
                <c:pt idx="4239">
                  <c:v>81.908525</c:v>
                </c:pt>
                <c:pt idx="4240">
                  <c:v>81.9214375</c:v>
                </c:pt>
                <c:pt idx="4241">
                  <c:v>81.93435000000001</c:v>
                </c:pt>
                <c:pt idx="4242">
                  <c:v>81.9472625</c:v>
                </c:pt>
                <c:pt idx="4243">
                  <c:v>81.960175</c:v>
                </c:pt>
                <c:pt idx="4244">
                  <c:v>81.9730875</c:v>
                </c:pt>
                <c:pt idx="4245">
                  <c:v>81.98599999999999</c:v>
                </c:pt>
                <c:pt idx="4246">
                  <c:v>81.9989125</c:v>
                </c:pt>
                <c:pt idx="4247">
                  <c:v>82.01182499999999</c:v>
                </c:pt>
                <c:pt idx="4248">
                  <c:v>82.0247375</c:v>
                </c:pt>
                <c:pt idx="4249">
                  <c:v>82.03765</c:v>
                </c:pt>
                <c:pt idx="4250">
                  <c:v>82.0505625</c:v>
                </c:pt>
                <c:pt idx="4251">
                  <c:v>82.063475</c:v>
                </c:pt>
                <c:pt idx="4252">
                  <c:v>82.0763875</c:v>
                </c:pt>
                <c:pt idx="4253">
                  <c:v>82.0893</c:v>
                </c:pt>
                <c:pt idx="4254">
                  <c:v>82.1022125</c:v>
                </c:pt>
                <c:pt idx="4255">
                  <c:v>82.115125</c:v>
                </c:pt>
                <c:pt idx="4256">
                  <c:v>82.12803749999999</c:v>
                </c:pt>
                <c:pt idx="4257">
                  <c:v>82.14095</c:v>
                </c:pt>
                <c:pt idx="4258">
                  <c:v>82.1538625</c:v>
                </c:pt>
                <c:pt idx="4259">
                  <c:v>82.166775</c:v>
                </c:pt>
                <c:pt idx="4260">
                  <c:v>82.1796875</c:v>
                </c:pt>
                <c:pt idx="4261">
                  <c:v>82.1926</c:v>
                </c:pt>
                <c:pt idx="4262">
                  <c:v>82.2055125</c:v>
                </c:pt>
                <c:pt idx="4263">
                  <c:v>82.218425</c:v>
                </c:pt>
                <c:pt idx="4264">
                  <c:v>82.23133750000001</c:v>
                </c:pt>
                <c:pt idx="4265">
                  <c:v>82.24425</c:v>
                </c:pt>
                <c:pt idx="4266">
                  <c:v>82.2571625</c:v>
                </c:pt>
                <c:pt idx="4267">
                  <c:v>82.270075</c:v>
                </c:pt>
                <c:pt idx="4268">
                  <c:v>82.28298749999999</c:v>
                </c:pt>
                <c:pt idx="4269">
                  <c:v>82.2959</c:v>
                </c:pt>
                <c:pt idx="4270">
                  <c:v>82.30881249999999</c:v>
                </c:pt>
                <c:pt idx="4271">
                  <c:v>82.321725</c:v>
                </c:pt>
                <c:pt idx="4272">
                  <c:v>82.3346375</c:v>
                </c:pt>
                <c:pt idx="4273">
                  <c:v>82.34755</c:v>
                </c:pt>
                <c:pt idx="4274">
                  <c:v>82.3604625</c:v>
                </c:pt>
                <c:pt idx="4275">
                  <c:v>82.373375</c:v>
                </c:pt>
                <c:pt idx="4276">
                  <c:v>82.3862875</c:v>
                </c:pt>
                <c:pt idx="4277">
                  <c:v>82.3992</c:v>
                </c:pt>
                <c:pt idx="4278">
                  <c:v>82.4121125</c:v>
                </c:pt>
                <c:pt idx="4279">
                  <c:v>82.42502499999999</c:v>
                </c:pt>
                <c:pt idx="4280">
                  <c:v>82.4379375</c:v>
                </c:pt>
                <c:pt idx="4281">
                  <c:v>82.45085</c:v>
                </c:pt>
                <c:pt idx="4282">
                  <c:v>82.4637625</c:v>
                </c:pt>
                <c:pt idx="4283">
                  <c:v>82.476675</c:v>
                </c:pt>
                <c:pt idx="4284">
                  <c:v>82.4895875</c:v>
                </c:pt>
                <c:pt idx="4285">
                  <c:v>82.5025</c:v>
                </c:pt>
                <c:pt idx="4286">
                  <c:v>82.5154125</c:v>
                </c:pt>
                <c:pt idx="4287">
                  <c:v>82.52832500000001</c:v>
                </c:pt>
                <c:pt idx="4288">
                  <c:v>82.5412375</c:v>
                </c:pt>
                <c:pt idx="4289">
                  <c:v>82.55415</c:v>
                </c:pt>
                <c:pt idx="4290">
                  <c:v>82.5670625</c:v>
                </c:pt>
                <c:pt idx="4291">
                  <c:v>82.57997499999999</c:v>
                </c:pt>
                <c:pt idx="4292">
                  <c:v>82.5928875</c:v>
                </c:pt>
                <c:pt idx="4293">
                  <c:v>82.60579999999999</c:v>
                </c:pt>
                <c:pt idx="4294">
                  <c:v>82.6187125</c:v>
                </c:pt>
                <c:pt idx="4295">
                  <c:v>82.631625</c:v>
                </c:pt>
                <c:pt idx="4296">
                  <c:v>82.6445375</c:v>
                </c:pt>
                <c:pt idx="4297">
                  <c:v>82.65745</c:v>
                </c:pt>
                <c:pt idx="4298">
                  <c:v>82.6703625</c:v>
                </c:pt>
                <c:pt idx="4299">
                  <c:v>82.683275</c:v>
                </c:pt>
                <c:pt idx="4300">
                  <c:v>82.6961875</c:v>
                </c:pt>
                <c:pt idx="4301">
                  <c:v>82.7091</c:v>
                </c:pt>
                <c:pt idx="4302">
                  <c:v>82.72201249999999</c:v>
                </c:pt>
                <c:pt idx="4303">
                  <c:v>82.734925</c:v>
                </c:pt>
                <c:pt idx="4304">
                  <c:v>82.7478375</c:v>
                </c:pt>
                <c:pt idx="4305">
                  <c:v>82.76075</c:v>
                </c:pt>
                <c:pt idx="4306">
                  <c:v>82.7736625</c:v>
                </c:pt>
                <c:pt idx="4307">
                  <c:v>82.786575</c:v>
                </c:pt>
                <c:pt idx="4308">
                  <c:v>82.7994875</c:v>
                </c:pt>
                <c:pt idx="4309">
                  <c:v>82.8124</c:v>
                </c:pt>
                <c:pt idx="4310">
                  <c:v>82.82531250000001</c:v>
                </c:pt>
                <c:pt idx="4311">
                  <c:v>82.838225</c:v>
                </c:pt>
                <c:pt idx="4312">
                  <c:v>82.85113750000001</c:v>
                </c:pt>
                <c:pt idx="4313">
                  <c:v>82.86404999999999</c:v>
                </c:pt>
                <c:pt idx="4314">
                  <c:v>82.87696249999999</c:v>
                </c:pt>
                <c:pt idx="4315">
                  <c:v>82.889875</c:v>
                </c:pt>
                <c:pt idx="4316">
                  <c:v>82.90278749999999</c:v>
                </c:pt>
                <c:pt idx="4317">
                  <c:v>82.9157</c:v>
                </c:pt>
                <c:pt idx="4318">
                  <c:v>82.9286125</c:v>
                </c:pt>
                <c:pt idx="4319">
                  <c:v>82.941525</c:v>
                </c:pt>
                <c:pt idx="4320">
                  <c:v>82.9544375</c:v>
                </c:pt>
                <c:pt idx="4321">
                  <c:v>82.96735</c:v>
                </c:pt>
                <c:pt idx="4322">
                  <c:v>82.9802625</c:v>
                </c:pt>
                <c:pt idx="4323">
                  <c:v>82.993175</c:v>
                </c:pt>
                <c:pt idx="4324">
                  <c:v>83.0060875</c:v>
                </c:pt>
                <c:pt idx="4325">
                  <c:v>83.01899999999999</c:v>
                </c:pt>
                <c:pt idx="4326">
                  <c:v>83.0319125</c:v>
                </c:pt>
                <c:pt idx="4327">
                  <c:v>83.044825</c:v>
                </c:pt>
                <c:pt idx="4328">
                  <c:v>83.0577375</c:v>
                </c:pt>
                <c:pt idx="4329">
                  <c:v>83.07065</c:v>
                </c:pt>
                <c:pt idx="4330">
                  <c:v>83.0835625</c:v>
                </c:pt>
                <c:pt idx="4331">
                  <c:v>83.096475</c:v>
                </c:pt>
                <c:pt idx="4332">
                  <c:v>83.1093875</c:v>
                </c:pt>
                <c:pt idx="4333">
                  <c:v>83.12230000000001</c:v>
                </c:pt>
                <c:pt idx="4334">
                  <c:v>83.1352125</c:v>
                </c:pt>
                <c:pt idx="4335">
                  <c:v>83.14812500000001</c:v>
                </c:pt>
                <c:pt idx="4336">
                  <c:v>83.16103749999999</c:v>
                </c:pt>
                <c:pt idx="4337">
                  <c:v>83.17394999999999</c:v>
                </c:pt>
                <c:pt idx="4338">
                  <c:v>83.1868625</c:v>
                </c:pt>
                <c:pt idx="4339">
                  <c:v>83.19977499999999</c:v>
                </c:pt>
                <c:pt idx="4340">
                  <c:v>83.2126875</c:v>
                </c:pt>
                <c:pt idx="4341">
                  <c:v>83.2256</c:v>
                </c:pt>
                <c:pt idx="4342">
                  <c:v>83.2385125</c:v>
                </c:pt>
                <c:pt idx="4343">
                  <c:v>83.251425</c:v>
                </c:pt>
                <c:pt idx="4344">
                  <c:v>83.2643375</c:v>
                </c:pt>
                <c:pt idx="4345">
                  <c:v>83.27725</c:v>
                </c:pt>
                <c:pt idx="4346">
                  <c:v>83.2901625</c:v>
                </c:pt>
                <c:pt idx="4347">
                  <c:v>83.303075</c:v>
                </c:pt>
                <c:pt idx="4348">
                  <c:v>83.31598749999999</c:v>
                </c:pt>
                <c:pt idx="4349">
                  <c:v>83.3289</c:v>
                </c:pt>
                <c:pt idx="4350">
                  <c:v>83.3418125</c:v>
                </c:pt>
                <c:pt idx="4351">
                  <c:v>83.354725</c:v>
                </c:pt>
                <c:pt idx="4352">
                  <c:v>83.3676375</c:v>
                </c:pt>
                <c:pt idx="4353">
                  <c:v>83.38055</c:v>
                </c:pt>
                <c:pt idx="4354">
                  <c:v>83.3934625</c:v>
                </c:pt>
                <c:pt idx="4355">
                  <c:v>83.406375</c:v>
                </c:pt>
                <c:pt idx="4356">
                  <c:v>83.4192875</c:v>
                </c:pt>
                <c:pt idx="4357">
                  <c:v>83.4322</c:v>
                </c:pt>
                <c:pt idx="4358">
                  <c:v>83.44511250000001</c:v>
                </c:pt>
                <c:pt idx="4359">
                  <c:v>83.45802499999999</c:v>
                </c:pt>
                <c:pt idx="4360">
                  <c:v>83.47093749999999</c:v>
                </c:pt>
                <c:pt idx="4361">
                  <c:v>83.48385</c:v>
                </c:pt>
                <c:pt idx="4362">
                  <c:v>83.49676249999999</c:v>
                </c:pt>
                <c:pt idx="4363">
                  <c:v>83.509675</c:v>
                </c:pt>
                <c:pt idx="4364">
                  <c:v>83.5225875</c:v>
                </c:pt>
                <c:pt idx="4365">
                  <c:v>83.5355</c:v>
                </c:pt>
                <c:pt idx="4366">
                  <c:v>83.5484125</c:v>
                </c:pt>
                <c:pt idx="4367">
                  <c:v>83.561325</c:v>
                </c:pt>
                <c:pt idx="4368">
                  <c:v>83.5742375</c:v>
                </c:pt>
                <c:pt idx="4369">
                  <c:v>83.58715</c:v>
                </c:pt>
                <c:pt idx="4370">
                  <c:v>83.6000625</c:v>
                </c:pt>
                <c:pt idx="4371">
                  <c:v>83.61297499999999</c:v>
                </c:pt>
                <c:pt idx="4372">
                  <c:v>83.6258875</c:v>
                </c:pt>
                <c:pt idx="4373">
                  <c:v>83.6388</c:v>
                </c:pt>
                <c:pt idx="4374">
                  <c:v>83.6517125</c:v>
                </c:pt>
                <c:pt idx="4375">
                  <c:v>83.664625</c:v>
                </c:pt>
                <c:pt idx="4376">
                  <c:v>83.6775375</c:v>
                </c:pt>
                <c:pt idx="4377">
                  <c:v>83.69045</c:v>
                </c:pt>
                <c:pt idx="4378">
                  <c:v>83.7033625</c:v>
                </c:pt>
                <c:pt idx="4379">
                  <c:v>83.716275</c:v>
                </c:pt>
                <c:pt idx="4380">
                  <c:v>83.7291875</c:v>
                </c:pt>
                <c:pt idx="4381">
                  <c:v>83.74210000000001</c:v>
                </c:pt>
                <c:pt idx="4382">
                  <c:v>83.75501249999999</c:v>
                </c:pt>
                <c:pt idx="4383">
                  <c:v>83.76792499999999</c:v>
                </c:pt>
                <c:pt idx="4384">
                  <c:v>83.7808375</c:v>
                </c:pt>
                <c:pt idx="4385">
                  <c:v>83.79374999999999</c:v>
                </c:pt>
                <c:pt idx="4386">
                  <c:v>83.8066625</c:v>
                </c:pt>
                <c:pt idx="4387">
                  <c:v>83.819575</c:v>
                </c:pt>
                <c:pt idx="4388">
                  <c:v>83.8324875</c:v>
                </c:pt>
                <c:pt idx="4389">
                  <c:v>83.8454</c:v>
                </c:pt>
                <c:pt idx="4390">
                  <c:v>83.8583125</c:v>
                </c:pt>
                <c:pt idx="4391">
                  <c:v>83.871225</c:v>
                </c:pt>
                <c:pt idx="4392">
                  <c:v>83.8841375</c:v>
                </c:pt>
                <c:pt idx="4393">
                  <c:v>83.89705000000001</c:v>
                </c:pt>
                <c:pt idx="4394">
                  <c:v>83.90996249999999</c:v>
                </c:pt>
                <c:pt idx="4395">
                  <c:v>83.922875</c:v>
                </c:pt>
                <c:pt idx="4396">
                  <c:v>83.93578749999999</c:v>
                </c:pt>
                <c:pt idx="4397">
                  <c:v>83.9487</c:v>
                </c:pt>
                <c:pt idx="4398">
                  <c:v>83.9616125</c:v>
                </c:pt>
                <c:pt idx="4399">
                  <c:v>83.974525</c:v>
                </c:pt>
                <c:pt idx="4400">
                  <c:v>83.9874375</c:v>
                </c:pt>
                <c:pt idx="4401">
                  <c:v>84.00035</c:v>
                </c:pt>
                <c:pt idx="4402">
                  <c:v>84.0132625</c:v>
                </c:pt>
                <c:pt idx="4403">
                  <c:v>84.026175</c:v>
                </c:pt>
                <c:pt idx="4404">
                  <c:v>84.03908750000001</c:v>
                </c:pt>
                <c:pt idx="4405">
                  <c:v>84.05199999999999</c:v>
                </c:pt>
                <c:pt idx="4406">
                  <c:v>84.06491249999999</c:v>
                </c:pt>
                <c:pt idx="4407">
                  <c:v>84.077825</c:v>
                </c:pt>
                <c:pt idx="4408">
                  <c:v>84.09073749999999</c:v>
                </c:pt>
                <c:pt idx="4409">
                  <c:v>84.10365</c:v>
                </c:pt>
                <c:pt idx="4410">
                  <c:v>84.1165625</c:v>
                </c:pt>
                <c:pt idx="4411">
                  <c:v>84.129475</c:v>
                </c:pt>
                <c:pt idx="4412">
                  <c:v>84.1423875</c:v>
                </c:pt>
                <c:pt idx="4413">
                  <c:v>84.1553</c:v>
                </c:pt>
                <c:pt idx="4414">
                  <c:v>84.1682125</c:v>
                </c:pt>
                <c:pt idx="4415">
                  <c:v>84.181125</c:v>
                </c:pt>
                <c:pt idx="4416">
                  <c:v>84.19403750000001</c:v>
                </c:pt>
                <c:pt idx="4417">
                  <c:v>84.20694999999999</c:v>
                </c:pt>
                <c:pt idx="4418">
                  <c:v>84.2198625</c:v>
                </c:pt>
                <c:pt idx="4419">
                  <c:v>84.23277499999999</c:v>
                </c:pt>
                <c:pt idx="4420">
                  <c:v>84.2456875</c:v>
                </c:pt>
                <c:pt idx="4421">
                  <c:v>84.2586</c:v>
                </c:pt>
                <c:pt idx="4422">
                  <c:v>84.2715125</c:v>
                </c:pt>
                <c:pt idx="4423">
                  <c:v>84.284425</c:v>
                </c:pt>
                <c:pt idx="4424">
                  <c:v>84.2973375</c:v>
                </c:pt>
                <c:pt idx="4425">
                  <c:v>84.31025</c:v>
                </c:pt>
                <c:pt idx="4426">
                  <c:v>84.3231625</c:v>
                </c:pt>
                <c:pt idx="4427">
                  <c:v>84.33607500000001</c:v>
                </c:pt>
                <c:pt idx="4428">
                  <c:v>84.34898749999999</c:v>
                </c:pt>
                <c:pt idx="4429">
                  <c:v>84.36189999999999</c:v>
                </c:pt>
                <c:pt idx="4430">
                  <c:v>84.3748125</c:v>
                </c:pt>
                <c:pt idx="4431">
                  <c:v>84.38772499999999</c:v>
                </c:pt>
                <c:pt idx="4432">
                  <c:v>84.4006375</c:v>
                </c:pt>
                <c:pt idx="4433">
                  <c:v>84.41355</c:v>
                </c:pt>
                <c:pt idx="4434">
                  <c:v>84.4264625</c:v>
                </c:pt>
                <c:pt idx="4435">
                  <c:v>84.439375</c:v>
                </c:pt>
                <c:pt idx="4436">
                  <c:v>84.4522875</c:v>
                </c:pt>
                <c:pt idx="4437">
                  <c:v>84.4652</c:v>
                </c:pt>
                <c:pt idx="4438">
                  <c:v>84.4781125</c:v>
                </c:pt>
                <c:pt idx="4439">
                  <c:v>84.49102500000001</c:v>
                </c:pt>
                <c:pt idx="4440">
                  <c:v>84.50393749999999</c:v>
                </c:pt>
                <c:pt idx="4441">
                  <c:v>84.51685</c:v>
                </c:pt>
                <c:pt idx="4442">
                  <c:v>84.52976249999999</c:v>
                </c:pt>
                <c:pt idx="4443">
                  <c:v>84.542675</c:v>
                </c:pt>
                <c:pt idx="4444">
                  <c:v>84.5555875</c:v>
                </c:pt>
                <c:pt idx="4445">
                  <c:v>84.5685</c:v>
                </c:pt>
                <c:pt idx="4446">
                  <c:v>84.5814125</c:v>
                </c:pt>
                <c:pt idx="4447">
                  <c:v>84.594325</c:v>
                </c:pt>
                <c:pt idx="4448">
                  <c:v>84.6072375</c:v>
                </c:pt>
                <c:pt idx="4449">
                  <c:v>84.62015</c:v>
                </c:pt>
                <c:pt idx="4450">
                  <c:v>84.63306250000001</c:v>
                </c:pt>
                <c:pt idx="4451">
                  <c:v>84.64597499999999</c:v>
                </c:pt>
                <c:pt idx="4452">
                  <c:v>84.65888749999999</c:v>
                </c:pt>
                <c:pt idx="4453">
                  <c:v>84.6718</c:v>
                </c:pt>
                <c:pt idx="4454">
                  <c:v>84.68471249999999</c:v>
                </c:pt>
                <c:pt idx="4455">
                  <c:v>84.697625</c:v>
                </c:pt>
                <c:pt idx="4456">
                  <c:v>84.7105375</c:v>
                </c:pt>
                <c:pt idx="4457">
                  <c:v>84.72345</c:v>
                </c:pt>
                <c:pt idx="4458">
                  <c:v>84.7363625</c:v>
                </c:pt>
                <c:pt idx="4459">
                  <c:v>84.749275</c:v>
                </c:pt>
                <c:pt idx="4460">
                  <c:v>84.7621875</c:v>
                </c:pt>
                <c:pt idx="4461">
                  <c:v>84.7751</c:v>
                </c:pt>
                <c:pt idx="4462">
                  <c:v>84.78801250000001</c:v>
                </c:pt>
                <c:pt idx="4463">
                  <c:v>84.80092499999999</c:v>
                </c:pt>
                <c:pt idx="4464">
                  <c:v>84.8138375</c:v>
                </c:pt>
                <c:pt idx="4465">
                  <c:v>84.82674999999999</c:v>
                </c:pt>
                <c:pt idx="4466">
                  <c:v>84.8396625</c:v>
                </c:pt>
                <c:pt idx="4467">
                  <c:v>84.852575</c:v>
                </c:pt>
                <c:pt idx="4468">
                  <c:v>84.86548749999999</c:v>
                </c:pt>
                <c:pt idx="4469">
                  <c:v>84.8784</c:v>
                </c:pt>
                <c:pt idx="4470">
                  <c:v>84.8913125</c:v>
                </c:pt>
                <c:pt idx="4471">
                  <c:v>84.904225</c:v>
                </c:pt>
                <c:pt idx="4472">
                  <c:v>84.9171375</c:v>
                </c:pt>
                <c:pt idx="4473">
                  <c:v>84.93005000000001</c:v>
                </c:pt>
                <c:pt idx="4474">
                  <c:v>84.9429625</c:v>
                </c:pt>
                <c:pt idx="4475">
                  <c:v>84.95587499999999</c:v>
                </c:pt>
                <c:pt idx="4476">
                  <c:v>84.9687875</c:v>
                </c:pt>
                <c:pt idx="4477">
                  <c:v>84.98169999999999</c:v>
                </c:pt>
                <c:pt idx="4478">
                  <c:v>84.9946125</c:v>
                </c:pt>
                <c:pt idx="4479">
                  <c:v>85.007525</c:v>
                </c:pt>
                <c:pt idx="4480">
                  <c:v>85.0204375</c:v>
                </c:pt>
                <c:pt idx="4481">
                  <c:v>85.03335</c:v>
                </c:pt>
                <c:pt idx="4482">
                  <c:v>85.0462625</c:v>
                </c:pt>
                <c:pt idx="4483">
                  <c:v>85.059175</c:v>
                </c:pt>
                <c:pt idx="4484">
                  <c:v>85.0720875</c:v>
                </c:pt>
                <c:pt idx="4485">
                  <c:v>85.08500000000001</c:v>
                </c:pt>
                <c:pt idx="4486">
                  <c:v>85.09791249999999</c:v>
                </c:pt>
                <c:pt idx="4487">
                  <c:v>85.110825</c:v>
                </c:pt>
                <c:pt idx="4488">
                  <c:v>85.12373749999999</c:v>
                </c:pt>
                <c:pt idx="4489">
                  <c:v>85.13665</c:v>
                </c:pt>
                <c:pt idx="4490">
                  <c:v>85.1495625</c:v>
                </c:pt>
                <c:pt idx="4491">
                  <c:v>85.16247499999999</c:v>
                </c:pt>
                <c:pt idx="4492">
                  <c:v>85.1753875</c:v>
                </c:pt>
                <c:pt idx="4493">
                  <c:v>85.1883</c:v>
                </c:pt>
                <c:pt idx="4494">
                  <c:v>85.2012125</c:v>
                </c:pt>
                <c:pt idx="4495">
                  <c:v>85.214125</c:v>
                </c:pt>
                <c:pt idx="4496">
                  <c:v>85.22703750000001</c:v>
                </c:pt>
                <c:pt idx="4497">
                  <c:v>85.23995</c:v>
                </c:pt>
                <c:pt idx="4498">
                  <c:v>85.25286249999999</c:v>
                </c:pt>
                <c:pt idx="4499">
                  <c:v>85.265775</c:v>
                </c:pt>
                <c:pt idx="4500">
                  <c:v>85.27868749999999</c:v>
                </c:pt>
                <c:pt idx="4501">
                  <c:v>85.2916</c:v>
                </c:pt>
                <c:pt idx="4502">
                  <c:v>85.3045125</c:v>
                </c:pt>
                <c:pt idx="4503">
                  <c:v>85.317425</c:v>
                </c:pt>
                <c:pt idx="4504">
                  <c:v>85.3303375</c:v>
                </c:pt>
                <c:pt idx="4505">
                  <c:v>85.34325</c:v>
                </c:pt>
                <c:pt idx="4506">
                  <c:v>85.3561625</c:v>
                </c:pt>
                <c:pt idx="4507">
                  <c:v>85.369075</c:v>
                </c:pt>
                <c:pt idx="4508">
                  <c:v>85.38198750000001</c:v>
                </c:pt>
                <c:pt idx="4509">
                  <c:v>85.39489999999999</c:v>
                </c:pt>
                <c:pt idx="4510">
                  <c:v>85.4078125</c:v>
                </c:pt>
                <c:pt idx="4511">
                  <c:v>85.42072499999999</c:v>
                </c:pt>
                <c:pt idx="4512">
                  <c:v>85.4336375</c:v>
                </c:pt>
                <c:pt idx="4513">
                  <c:v>85.44655</c:v>
                </c:pt>
                <c:pt idx="4514">
                  <c:v>85.45946249999999</c:v>
                </c:pt>
                <c:pt idx="4515">
                  <c:v>85.472375</c:v>
                </c:pt>
                <c:pt idx="4516">
                  <c:v>85.4852875</c:v>
                </c:pt>
                <c:pt idx="4517">
                  <c:v>85.4982</c:v>
                </c:pt>
                <c:pt idx="4518">
                  <c:v>85.5111125</c:v>
                </c:pt>
                <c:pt idx="4519">
                  <c:v>85.52402500000001</c:v>
                </c:pt>
                <c:pt idx="4520">
                  <c:v>85.5369375</c:v>
                </c:pt>
                <c:pt idx="4521">
                  <c:v>85.54984999999999</c:v>
                </c:pt>
                <c:pt idx="4522">
                  <c:v>85.5627625</c:v>
                </c:pt>
                <c:pt idx="4523">
                  <c:v>85.57567499999999</c:v>
                </c:pt>
                <c:pt idx="4524">
                  <c:v>85.5885875</c:v>
                </c:pt>
                <c:pt idx="4525">
                  <c:v>85.6015</c:v>
                </c:pt>
                <c:pt idx="4526">
                  <c:v>85.6144125</c:v>
                </c:pt>
                <c:pt idx="4527">
                  <c:v>85.627325</c:v>
                </c:pt>
                <c:pt idx="4528">
                  <c:v>85.6402375</c:v>
                </c:pt>
                <c:pt idx="4529">
                  <c:v>85.65315</c:v>
                </c:pt>
                <c:pt idx="4530">
                  <c:v>85.6660625</c:v>
                </c:pt>
                <c:pt idx="4531">
                  <c:v>85.67897500000001</c:v>
                </c:pt>
                <c:pt idx="4532">
                  <c:v>85.69188749999999</c:v>
                </c:pt>
                <c:pt idx="4533">
                  <c:v>85.7048</c:v>
                </c:pt>
                <c:pt idx="4534">
                  <c:v>85.71771249999999</c:v>
                </c:pt>
                <c:pt idx="4535">
                  <c:v>85.730625</c:v>
                </c:pt>
                <c:pt idx="4536">
                  <c:v>85.7435375</c:v>
                </c:pt>
                <c:pt idx="4537">
                  <c:v>85.75644999999999</c:v>
                </c:pt>
                <c:pt idx="4538">
                  <c:v>85.7693625</c:v>
                </c:pt>
                <c:pt idx="4539">
                  <c:v>85.782275</c:v>
                </c:pt>
                <c:pt idx="4540">
                  <c:v>85.7951875</c:v>
                </c:pt>
                <c:pt idx="4541">
                  <c:v>85.8081</c:v>
                </c:pt>
                <c:pt idx="4542">
                  <c:v>85.82101250000001</c:v>
                </c:pt>
                <c:pt idx="4543">
                  <c:v>85.833925</c:v>
                </c:pt>
                <c:pt idx="4544">
                  <c:v>85.84683749999999</c:v>
                </c:pt>
                <c:pt idx="4545">
                  <c:v>85.85975</c:v>
                </c:pt>
                <c:pt idx="4546">
                  <c:v>85.87266249999999</c:v>
                </c:pt>
                <c:pt idx="4547">
                  <c:v>85.885575</c:v>
                </c:pt>
                <c:pt idx="4548">
                  <c:v>85.8984875</c:v>
                </c:pt>
                <c:pt idx="4549">
                  <c:v>85.9114</c:v>
                </c:pt>
                <c:pt idx="4550">
                  <c:v>85.9243125</c:v>
                </c:pt>
                <c:pt idx="4551">
                  <c:v>85.937225</c:v>
                </c:pt>
                <c:pt idx="4552">
                  <c:v>85.9501375</c:v>
                </c:pt>
                <c:pt idx="4553">
                  <c:v>85.96305</c:v>
                </c:pt>
                <c:pt idx="4554">
                  <c:v>85.9759625</c:v>
                </c:pt>
                <c:pt idx="4555">
                  <c:v>85.988875</c:v>
                </c:pt>
                <c:pt idx="4556">
                  <c:v>86.0017875</c:v>
                </c:pt>
                <c:pt idx="4557">
                  <c:v>86.01469999999999</c:v>
                </c:pt>
                <c:pt idx="4558">
                  <c:v>86.0276125</c:v>
                </c:pt>
                <c:pt idx="4559">
                  <c:v>86.040525</c:v>
                </c:pt>
                <c:pt idx="4560">
                  <c:v>86.05343749999999</c:v>
                </c:pt>
                <c:pt idx="4561">
                  <c:v>86.06635</c:v>
                </c:pt>
                <c:pt idx="4562">
                  <c:v>86.0792625</c:v>
                </c:pt>
                <c:pt idx="4563">
                  <c:v>86.092175</c:v>
                </c:pt>
                <c:pt idx="4564">
                  <c:v>86.1050875</c:v>
                </c:pt>
                <c:pt idx="4565">
                  <c:v>86.11800000000001</c:v>
                </c:pt>
                <c:pt idx="4566">
                  <c:v>86.1309125</c:v>
                </c:pt>
                <c:pt idx="4567">
                  <c:v>86.14382499999999</c:v>
                </c:pt>
                <c:pt idx="4568">
                  <c:v>86.15673749999999</c:v>
                </c:pt>
                <c:pt idx="4569">
                  <c:v>86.16964999999999</c:v>
                </c:pt>
                <c:pt idx="4570">
                  <c:v>86.1825625</c:v>
                </c:pt>
                <c:pt idx="4571">
                  <c:v>86.195475</c:v>
                </c:pt>
                <c:pt idx="4572">
                  <c:v>86.2083875</c:v>
                </c:pt>
                <c:pt idx="4573">
                  <c:v>86.2213</c:v>
                </c:pt>
                <c:pt idx="4574">
                  <c:v>86.2342125</c:v>
                </c:pt>
                <c:pt idx="4575">
                  <c:v>86.247125</c:v>
                </c:pt>
                <c:pt idx="4576">
                  <c:v>86.2600375</c:v>
                </c:pt>
                <c:pt idx="4577">
                  <c:v>86.27295</c:v>
                </c:pt>
                <c:pt idx="4578">
                  <c:v>86.2858625</c:v>
                </c:pt>
                <c:pt idx="4579">
                  <c:v>86.298775</c:v>
                </c:pt>
                <c:pt idx="4580">
                  <c:v>86.31168749999999</c:v>
                </c:pt>
                <c:pt idx="4581">
                  <c:v>86.3246</c:v>
                </c:pt>
                <c:pt idx="4582">
                  <c:v>86.3375125</c:v>
                </c:pt>
                <c:pt idx="4583">
                  <c:v>86.35042499999999</c:v>
                </c:pt>
                <c:pt idx="4584">
                  <c:v>86.3633375</c:v>
                </c:pt>
                <c:pt idx="4585">
                  <c:v>86.37625</c:v>
                </c:pt>
                <c:pt idx="4586">
                  <c:v>86.3891625</c:v>
                </c:pt>
                <c:pt idx="4587">
                  <c:v>86.402075</c:v>
                </c:pt>
                <c:pt idx="4588">
                  <c:v>86.41498750000001</c:v>
                </c:pt>
                <c:pt idx="4589">
                  <c:v>86.4279</c:v>
                </c:pt>
                <c:pt idx="4590">
                  <c:v>86.44081249999999</c:v>
                </c:pt>
                <c:pt idx="4591">
                  <c:v>86.45372499999999</c:v>
                </c:pt>
                <c:pt idx="4592">
                  <c:v>86.46663749999999</c:v>
                </c:pt>
                <c:pt idx="4593">
                  <c:v>86.47955</c:v>
                </c:pt>
                <c:pt idx="4594">
                  <c:v>86.4924625</c:v>
                </c:pt>
                <c:pt idx="4595">
                  <c:v>86.505375</c:v>
                </c:pt>
                <c:pt idx="4596">
                  <c:v>86.5182875</c:v>
                </c:pt>
                <c:pt idx="4597">
                  <c:v>86.5312</c:v>
                </c:pt>
                <c:pt idx="4598">
                  <c:v>86.5441125</c:v>
                </c:pt>
                <c:pt idx="4599">
                  <c:v>86.557025</c:v>
                </c:pt>
                <c:pt idx="4600">
                  <c:v>86.5699375</c:v>
                </c:pt>
                <c:pt idx="4601">
                  <c:v>86.58285</c:v>
                </c:pt>
                <c:pt idx="4602">
                  <c:v>86.5957625</c:v>
                </c:pt>
                <c:pt idx="4603">
                  <c:v>86.60867499999999</c:v>
                </c:pt>
                <c:pt idx="4604">
                  <c:v>86.6215875</c:v>
                </c:pt>
                <c:pt idx="4605">
                  <c:v>86.6345</c:v>
                </c:pt>
                <c:pt idx="4606">
                  <c:v>86.64741249999999</c:v>
                </c:pt>
                <c:pt idx="4607">
                  <c:v>86.660325</c:v>
                </c:pt>
                <c:pt idx="4608">
                  <c:v>86.6732375</c:v>
                </c:pt>
                <c:pt idx="4609">
                  <c:v>86.68615</c:v>
                </c:pt>
                <c:pt idx="4610">
                  <c:v>86.6990625</c:v>
                </c:pt>
                <c:pt idx="4611">
                  <c:v>86.71197500000001</c:v>
                </c:pt>
                <c:pt idx="4612">
                  <c:v>86.7248875</c:v>
                </c:pt>
                <c:pt idx="4613">
                  <c:v>86.7378</c:v>
                </c:pt>
                <c:pt idx="4614">
                  <c:v>86.75071249999999</c:v>
                </c:pt>
                <c:pt idx="4615">
                  <c:v>86.76362499999999</c:v>
                </c:pt>
                <c:pt idx="4616">
                  <c:v>86.7765375</c:v>
                </c:pt>
                <c:pt idx="4617">
                  <c:v>86.78945</c:v>
                </c:pt>
                <c:pt idx="4618">
                  <c:v>86.8023625</c:v>
                </c:pt>
                <c:pt idx="4619">
                  <c:v>86.815275</c:v>
                </c:pt>
                <c:pt idx="4620">
                  <c:v>86.8281875</c:v>
                </c:pt>
                <c:pt idx="4621">
                  <c:v>86.8411</c:v>
                </c:pt>
                <c:pt idx="4622">
                  <c:v>86.8540125</c:v>
                </c:pt>
                <c:pt idx="4623">
                  <c:v>86.866925</c:v>
                </c:pt>
                <c:pt idx="4624">
                  <c:v>86.8798375</c:v>
                </c:pt>
                <c:pt idx="4625">
                  <c:v>86.89275</c:v>
                </c:pt>
                <c:pt idx="4626">
                  <c:v>86.90566249999999</c:v>
                </c:pt>
                <c:pt idx="4627">
                  <c:v>86.918575</c:v>
                </c:pt>
                <c:pt idx="4628">
                  <c:v>86.9314875</c:v>
                </c:pt>
                <c:pt idx="4629">
                  <c:v>86.94439999999999</c:v>
                </c:pt>
                <c:pt idx="4630">
                  <c:v>86.9573125</c:v>
                </c:pt>
                <c:pt idx="4631">
                  <c:v>86.970225</c:v>
                </c:pt>
                <c:pt idx="4632">
                  <c:v>86.9831375</c:v>
                </c:pt>
                <c:pt idx="4633">
                  <c:v>86.99605</c:v>
                </c:pt>
                <c:pt idx="4634">
                  <c:v>87.00896250000001</c:v>
                </c:pt>
                <c:pt idx="4635">
                  <c:v>87.021875</c:v>
                </c:pt>
                <c:pt idx="4636">
                  <c:v>87.0347875</c:v>
                </c:pt>
                <c:pt idx="4637">
                  <c:v>87.04769999999999</c:v>
                </c:pt>
                <c:pt idx="4638">
                  <c:v>87.06061249999999</c:v>
                </c:pt>
                <c:pt idx="4639">
                  <c:v>87.073525</c:v>
                </c:pt>
                <c:pt idx="4640">
                  <c:v>87.0864375</c:v>
                </c:pt>
                <c:pt idx="4641">
                  <c:v>87.09935</c:v>
                </c:pt>
                <c:pt idx="4642">
                  <c:v>87.1122625</c:v>
                </c:pt>
                <c:pt idx="4643">
                  <c:v>87.125175</c:v>
                </c:pt>
                <c:pt idx="4644">
                  <c:v>87.1380875</c:v>
                </c:pt>
                <c:pt idx="4645">
                  <c:v>87.151</c:v>
                </c:pt>
                <c:pt idx="4646">
                  <c:v>87.1639125</c:v>
                </c:pt>
                <c:pt idx="4647">
                  <c:v>87.176825</c:v>
                </c:pt>
                <c:pt idx="4648">
                  <c:v>87.1897375</c:v>
                </c:pt>
                <c:pt idx="4649">
                  <c:v>87.20264999999999</c:v>
                </c:pt>
                <c:pt idx="4650">
                  <c:v>87.2155625</c:v>
                </c:pt>
                <c:pt idx="4651">
                  <c:v>87.228475</c:v>
                </c:pt>
                <c:pt idx="4652">
                  <c:v>87.24138749999999</c:v>
                </c:pt>
                <c:pt idx="4653">
                  <c:v>87.2543</c:v>
                </c:pt>
                <c:pt idx="4654">
                  <c:v>87.2672125</c:v>
                </c:pt>
                <c:pt idx="4655">
                  <c:v>87.280125</c:v>
                </c:pt>
                <c:pt idx="4656">
                  <c:v>87.2930375</c:v>
                </c:pt>
                <c:pt idx="4657">
                  <c:v>87.30595000000001</c:v>
                </c:pt>
                <c:pt idx="4658">
                  <c:v>87.3188625</c:v>
                </c:pt>
                <c:pt idx="4659">
                  <c:v>87.331775</c:v>
                </c:pt>
                <c:pt idx="4660">
                  <c:v>87.34468749999999</c:v>
                </c:pt>
                <c:pt idx="4661">
                  <c:v>87.35759999999999</c:v>
                </c:pt>
                <c:pt idx="4662">
                  <c:v>87.3705125</c:v>
                </c:pt>
                <c:pt idx="4663">
                  <c:v>87.38342499999999</c:v>
                </c:pt>
                <c:pt idx="4664">
                  <c:v>87.3963375</c:v>
                </c:pt>
                <c:pt idx="4665">
                  <c:v>87.40925</c:v>
                </c:pt>
                <c:pt idx="4666">
                  <c:v>87.4221625</c:v>
                </c:pt>
                <c:pt idx="4667">
                  <c:v>87.435075</c:v>
                </c:pt>
                <c:pt idx="4668">
                  <c:v>87.4479875</c:v>
                </c:pt>
                <c:pt idx="4669">
                  <c:v>87.4609</c:v>
                </c:pt>
                <c:pt idx="4670">
                  <c:v>87.4738125</c:v>
                </c:pt>
                <c:pt idx="4671">
                  <c:v>87.486725</c:v>
                </c:pt>
                <c:pt idx="4672">
                  <c:v>87.49963749999999</c:v>
                </c:pt>
                <c:pt idx="4673">
                  <c:v>87.51255</c:v>
                </c:pt>
                <c:pt idx="4674">
                  <c:v>87.5254625</c:v>
                </c:pt>
                <c:pt idx="4675">
                  <c:v>87.53837499999999</c:v>
                </c:pt>
                <c:pt idx="4676">
                  <c:v>87.5512875</c:v>
                </c:pt>
                <c:pt idx="4677">
                  <c:v>87.56419999999999</c:v>
                </c:pt>
                <c:pt idx="4678">
                  <c:v>87.5771125</c:v>
                </c:pt>
                <c:pt idx="4679">
                  <c:v>87.590025</c:v>
                </c:pt>
                <c:pt idx="4680">
                  <c:v>87.60293750000001</c:v>
                </c:pt>
                <c:pt idx="4681">
                  <c:v>87.61585</c:v>
                </c:pt>
                <c:pt idx="4682">
                  <c:v>87.6287625</c:v>
                </c:pt>
                <c:pt idx="4683">
                  <c:v>87.64167499999999</c:v>
                </c:pt>
                <c:pt idx="4684">
                  <c:v>87.65458749999999</c:v>
                </c:pt>
                <c:pt idx="4685">
                  <c:v>87.6675</c:v>
                </c:pt>
                <c:pt idx="4686">
                  <c:v>87.68041249999999</c:v>
                </c:pt>
                <c:pt idx="4687">
                  <c:v>87.693325</c:v>
                </c:pt>
                <c:pt idx="4688">
                  <c:v>87.7062375</c:v>
                </c:pt>
                <c:pt idx="4689">
                  <c:v>87.71915</c:v>
                </c:pt>
                <c:pt idx="4690">
                  <c:v>87.7320625</c:v>
                </c:pt>
                <c:pt idx="4691">
                  <c:v>87.744975</c:v>
                </c:pt>
                <c:pt idx="4692">
                  <c:v>87.7578875</c:v>
                </c:pt>
                <c:pt idx="4693">
                  <c:v>87.7708</c:v>
                </c:pt>
                <c:pt idx="4694">
                  <c:v>87.78371250000001</c:v>
                </c:pt>
                <c:pt idx="4695">
                  <c:v>87.79662499999999</c:v>
                </c:pt>
                <c:pt idx="4696">
                  <c:v>87.8095375</c:v>
                </c:pt>
                <c:pt idx="4697">
                  <c:v>87.82245</c:v>
                </c:pt>
                <c:pt idx="4698">
                  <c:v>87.83536249999999</c:v>
                </c:pt>
                <c:pt idx="4699">
                  <c:v>87.848275</c:v>
                </c:pt>
                <c:pt idx="4700">
                  <c:v>87.86118749999999</c:v>
                </c:pt>
                <c:pt idx="4701">
                  <c:v>87.8741</c:v>
                </c:pt>
                <c:pt idx="4702">
                  <c:v>87.8870125</c:v>
                </c:pt>
                <c:pt idx="4703">
                  <c:v>87.89992500000001</c:v>
                </c:pt>
                <c:pt idx="4704">
                  <c:v>87.9128375</c:v>
                </c:pt>
                <c:pt idx="4705">
                  <c:v>87.92575</c:v>
                </c:pt>
                <c:pt idx="4706">
                  <c:v>87.93866249999999</c:v>
                </c:pt>
                <c:pt idx="4707">
                  <c:v>87.95157499999999</c:v>
                </c:pt>
                <c:pt idx="4708">
                  <c:v>87.9644875</c:v>
                </c:pt>
                <c:pt idx="4709">
                  <c:v>87.97739999999999</c:v>
                </c:pt>
                <c:pt idx="4710">
                  <c:v>87.9903125</c:v>
                </c:pt>
                <c:pt idx="4711">
                  <c:v>88.003225</c:v>
                </c:pt>
                <c:pt idx="4712">
                  <c:v>88.0161375</c:v>
                </c:pt>
                <c:pt idx="4713">
                  <c:v>88.02905</c:v>
                </c:pt>
                <c:pt idx="4714">
                  <c:v>88.0419625</c:v>
                </c:pt>
                <c:pt idx="4715">
                  <c:v>88.054875</c:v>
                </c:pt>
                <c:pt idx="4716">
                  <c:v>88.0677875</c:v>
                </c:pt>
                <c:pt idx="4717">
                  <c:v>88.08070000000001</c:v>
                </c:pt>
                <c:pt idx="4718">
                  <c:v>88.09361249999999</c:v>
                </c:pt>
                <c:pt idx="4719">
                  <c:v>88.106525</c:v>
                </c:pt>
                <c:pt idx="4720">
                  <c:v>88.1194375</c:v>
                </c:pt>
                <c:pt idx="4721">
                  <c:v>88.13234999999999</c:v>
                </c:pt>
                <c:pt idx="4722">
                  <c:v>88.1452625</c:v>
                </c:pt>
                <c:pt idx="4723">
                  <c:v>88.15817499999999</c:v>
                </c:pt>
                <c:pt idx="4724">
                  <c:v>88.1710875</c:v>
                </c:pt>
                <c:pt idx="4725">
                  <c:v>88.184</c:v>
                </c:pt>
                <c:pt idx="4726">
                  <c:v>88.19691250000001</c:v>
                </c:pt>
                <c:pt idx="4727">
                  <c:v>88.209825</c:v>
                </c:pt>
                <c:pt idx="4728">
                  <c:v>88.2227375</c:v>
                </c:pt>
                <c:pt idx="4729">
                  <c:v>88.23564999999999</c:v>
                </c:pt>
                <c:pt idx="4730">
                  <c:v>88.24856249999999</c:v>
                </c:pt>
                <c:pt idx="4731">
                  <c:v>88.261475</c:v>
                </c:pt>
                <c:pt idx="4732">
                  <c:v>88.27438749999999</c:v>
                </c:pt>
                <c:pt idx="4733">
                  <c:v>88.2873</c:v>
                </c:pt>
                <c:pt idx="4734">
                  <c:v>88.3002125</c:v>
                </c:pt>
                <c:pt idx="4735">
                  <c:v>88.313125</c:v>
                </c:pt>
                <c:pt idx="4736">
                  <c:v>88.3260375</c:v>
                </c:pt>
                <c:pt idx="4737">
                  <c:v>88.33895</c:v>
                </c:pt>
                <c:pt idx="4738">
                  <c:v>88.3518625</c:v>
                </c:pt>
                <c:pt idx="4739">
                  <c:v>88.364775</c:v>
                </c:pt>
                <c:pt idx="4740">
                  <c:v>88.37768750000001</c:v>
                </c:pt>
                <c:pt idx="4741">
                  <c:v>88.39059999999999</c:v>
                </c:pt>
                <c:pt idx="4742">
                  <c:v>88.4035125</c:v>
                </c:pt>
                <c:pt idx="4743">
                  <c:v>88.416425</c:v>
                </c:pt>
                <c:pt idx="4744">
                  <c:v>88.42933749999999</c:v>
                </c:pt>
                <c:pt idx="4745">
                  <c:v>88.44225</c:v>
                </c:pt>
                <c:pt idx="4746">
                  <c:v>88.45516249999999</c:v>
                </c:pt>
                <c:pt idx="4747">
                  <c:v>88.468075</c:v>
                </c:pt>
                <c:pt idx="4748">
                  <c:v>88.4809875</c:v>
                </c:pt>
                <c:pt idx="4749">
                  <c:v>88.4939</c:v>
                </c:pt>
                <c:pt idx="4750">
                  <c:v>88.5068125</c:v>
                </c:pt>
                <c:pt idx="4751">
                  <c:v>88.519725</c:v>
                </c:pt>
                <c:pt idx="4752">
                  <c:v>88.53263749999999</c:v>
                </c:pt>
                <c:pt idx="4753">
                  <c:v>88.54554999999999</c:v>
                </c:pt>
                <c:pt idx="4754">
                  <c:v>88.5584625</c:v>
                </c:pt>
                <c:pt idx="4755">
                  <c:v>88.57137499999999</c:v>
                </c:pt>
                <c:pt idx="4756">
                  <c:v>88.5842875</c:v>
                </c:pt>
                <c:pt idx="4757">
                  <c:v>88.5972</c:v>
                </c:pt>
                <c:pt idx="4758">
                  <c:v>88.6101125</c:v>
                </c:pt>
                <c:pt idx="4759">
                  <c:v>88.623025</c:v>
                </c:pt>
                <c:pt idx="4760">
                  <c:v>88.6359375</c:v>
                </c:pt>
                <c:pt idx="4761">
                  <c:v>88.64885</c:v>
                </c:pt>
                <c:pt idx="4762">
                  <c:v>88.6617625</c:v>
                </c:pt>
                <c:pt idx="4763">
                  <c:v>88.674675</c:v>
                </c:pt>
                <c:pt idx="4764">
                  <c:v>88.68758749999999</c:v>
                </c:pt>
                <c:pt idx="4765">
                  <c:v>88.7005</c:v>
                </c:pt>
                <c:pt idx="4766">
                  <c:v>88.7134125</c:v>
                </c:pt>
                <c:pt idx="4767">
                  <c:v>88.72632499999999</c:v>
                </c:pt>
                <c:pt idx="4768">
                  <c:v>88.7392375</c:v>
                </c:pt>
                <c:pt idx="4769">
                  <c:v>88.75214999999999</c:v>
                </c:pt>
                <c:pt idx="4770">
                  <c:v>88.7650625</c:v>
                </c:pt>
                <c:pt idx="4771">
                  <c:v>88.777975</c:v>
                </c:pt>
                <c:pt idx="4772">
                  <c:v>88.7908875</c:v>
                </c:pt>
                <c:pt idx="4773">
                  <c:v>88.8038</c:v>
                </c:pt>
                <c:pt idx="4774">
                  <c:v>88.8167125</c:v>
                </c:pt>
                <c:pt idx="4775">
                  <c:v>88.829625</c:v>
                </c:pt>
                <c:pt idx="4776">
                  <c:v>88.84253749999999</c:v>
                </c:pt>
                <c:pt idx="4777">
                  <c:v>88.85545</c:v>
                </c:pt>
                <c:pt idx="4778">
                  <c:v>88.86836249999999</c:v>
                </c:pt>
                <c:pt idx="4779">
                  <c:v>88.881275</c:v>
                </c:pt>
                <c:pt idx="4780">
                  <c:v>88.8941875</c:v>
                </c:pt>
                <c:pt idx="4781">
                  <c:v>88.9071</c:v>
                </c:pt>
                <c:pt idx="4782">
                  <c:v>88.9200125</c:v>
                </c:pt>
                <c:pt idx="4783">
                  <c:v>88.932925</c:v>
                </c:pt>
                <c:pt idx="4784">
                  <c:v>88.9458375</c:v>
                </c:pt>
                <c:pt idx="4785">
                  <c:v>88.95875</c:v>
                </c:pt>
                <c:pt idx="4786">
                  <c:v>88.9716625</c:v>
                </c:pt>
                <c:pt idx="4787">
                  <c:v>88.98457499999999</c:v>
                </c:pt>
                <c:pt idx="4788">
                  <c:v>88.9974875</c:v>
                </c:pt>
                <c:pt idx="4789">
                  <c:v>89.0104</c:v>
                </c:pt>
                <c:pt idx="4790">
                  <c:v>89.02331249999999</c:v>
                </c:pt>
                <c:pt idx="4791">
                  <c:v>89.036225</c:v>
                </c:pt>
                <c:pt idx="4792">
                  <c:v>89.04913749999999</c:v>
                </c:pt>
                <c:pt idx="4793">
                  <c:v>89.06205</c:v>
                </c:pt>
                <c:pt idx="4794">
                  <c:v>89.0749625</c:v>
                </c:pt>
                <c:pt idx="4795">
                  <c:v>89.087875</c:v>
                </c:pt>
                <c:pt idx="4796">
                  <c:v>89.1007875</c:v>
                </c:pt>
                <c:pt idx="4797">
                  <c:v>89.1137</c:v>
                </c:pt>
                <c:pt idx="4798">
                  <c:v>89.1266125</c:v>
                </c:pt>
                <c:pt idx="4799">
                  <c:v>89.13952499999999</c:v>
                </c:pt>
                <c:pt idx="4800">
                  <c:v>89.1524375</c:v>
                </c:pt>
                <c:pt idx="4801">
                  <c:v>89.16534999999999</c:v>
                </c:pt>
                <c:pt idx="4802">
                  <c:v>89.1782625</c:v>
                </c:pt>
                <c:pt idx="4803">
                  <c:v>89.191175</c:v>
                </c:pt>
                <c:pt idx="4804">
                  <c:v>89.2040875</c:v>
                </c:pt>
                <c:pt idx="4805">
                  <c:v>89.217</c:v>
                </c:pt>
                <c:pt idx="4806">
                  <c:v>89.2299125</c:v>
                </c:pt>
                <c:pt idx="4807">
                  <c:v>89.242825</c:v>
                </c:pt>
                <c:pt idx="4808">
                  <c:v>89.2557375</c:v>
                </c:pt>
                <c:pt idx="4809">
                  <c:v>89.26865</c:v>
                </c:pt>
                <c:pt idx="4810">
                  <c:v>89.28156249999999</c:v>
                </c:pt>
                <c:pt idx="4811">
                  <c:v>89.294475</c:v>
                </c:pt>
                <c:pt idx="4812">
                  <c:v>89.30738749999999</c:v>
                </c:pt>
                <c:pt idx="4813">
                  <c:v>89.32029999999999</c:v>
                </c:pt>
                <c:pt idx="4814">
                  <c:v>89.3332125</c:v>
                </c:pt>
                <c:pt idx="4815">
                  <c:v>89.34612499999999</c:v>
                </c:pt>
                <c:pt idx="4816">
                  <c:v>89.3590375</c:v>
                </c:pt>
                <c:pt idx="4817">
                  <c:v>89.37195</c:v>
                </c:pt>
                <c:pt idx="4818">
                  <c:v>89.3848625</c:v>
                </c:pt>
                <c:pt idx="4819">
                  <c:v>89.397775</c:v>
                </c:pt>
                <c:pt idx="4820">
                  <c:v>89.4106875</c:v>
                </c:pt>
                <c:pt idx="4821">
                  <c:v>89.4236</c:v>
                </c:pt>
                <c:pt idx="4822">
                  <c:v>89.43651249999999</c:v>
                </c:pt>
                <c:pt idx="4823">
                  <c:v>89.449425</c:v>
                </c:pt>
                <c:pt idx="4824">
                  <c:v>89.46233749999999</c:v>
                </c:pt>
                <c:pt idx="4825">
                  <c:v>89.47525</c:v>
                </c:pt>
                <c:pt idx="4826">
                  <c:v>89.4881625</c:v>
                </c:pt>
                <c:pt idx="4827">
                  <c:v>89.501075</c:v>
                </c:pt>
                <c:pt idx="4828">
                  <c:v>89.5139875</c:v>
                </c:pt>
                <c:pt idx="4829">
                  <c:v>89.5269</c:v>
                </c:pt>
                <c:pt idx="4830">
                  <c:v>89.5398125</c:v>
                </c:pt>
                <c:pt idx="4831">
                  <c:v>89.552725</c:v>
                </c:pt>
                <c:pt idx="4832">
                  <c:v>89.5656375</c:v>
                </c:pt>
                <c:pt idx="4833">
                  <c:v>89.57854999999999</c:v>
                </c:pt>
                <c:pt idx="4834">
                  <c:v>89.5914625</c:v>
                </c:pt>
                <c:pt idx="4835">
                  <c:v>89.60437499999999</c:v>
                </c:pt>
                <c:pt idx="4836">
                  <c:v>89.61728749999999</c:v>
                </c:pt>
                <c:pt idx="4837">
                  <c:v>89.6302</c:v>
                </c:pt>
                <c:pt idx="4838">
                  <c:v>89.64311249999999</c:v>
                </c:pt>
                <c:pt idx="4839">
                  <c:v>89.656025</c:v>
                </c:pt>
                <c:pt idx="4840">
                  <c:v>89.6689375</c:v>
                </c:pt>
                <c:pt idx="4841">
                  <c:v>89.68185</c:v>
                </c:pt>
                <c:pt idx="4842">
                  <c:v>89.6947625</c:v>
                </c:pt>
                <c:pt idx="4843">
                  <c:v>89.707675</c:v>
                </c:pt>
                <c:pt idx="4844">
                  <c:v>89.7205875</c:v>
                </c:pt>
                <c:pt idx="4845">
                  <c:v>89.73349999999999</c:v>
                </c:pt>
                <c:pt idx="4846">
                  <c:v>89.7464125</c:v>
                </c:pt>
                <c:pt idx="4847">
                  <c:v>89.75932499999999</c:v>
                </c:pt>
                <c:pt idx="4848">
                  <c:v>89.7722375</c:v>
                </c:pt>
                <c:pt idx="4849">
                  <c:v>89.78515</c:v>
                </c:pt>
                <c:pt idx="4850">
                  <c:v>89.7980625</c:v>
                </c:pt>
                <c:pt idx="4851">
                  <c:v>89.810975</c:v>
                </c:pt>
                <c:pt idx="4852">
                  <c:v>89.8238875</c:v>
                </c:pt>
                <c:pt idx="4853">
                  <c:v>89.8368</c:v>
                </c:pt>
                <c:pt idx="4854">
                  <c:v>89.8497125</c:v>
                </c:pt>
                <c:pt idx="4855">
                  <c:v>89.862625</c:v>
                </c:pt>
                <c:pt idx="4856">
                  <c:v>89.8755375</c:v>
                </c:pt>
                <c:pt idx="4857">
                  <c:v>89.88845</c:v>
                </c:pt>
                <c:pt idx="4858">
                  <c:v>89.90136249999999</c:v>
                </c:pt>
                <c:pt idx="4859">
                  <c:v>89.91427499999999</c:v>
                </c:pt>
                <c:pt idx="4860">
                  <c:v>89.9271875</c:v>
                </c:pt>
                <c:pt idx="4861">
                  <c:v>89.94009999999999</c:v>
                </c:pt>
                <c:pt idx="4862">
                  <c:v>89.9530125</c:v>
                </c:pt>
                <c:pt idx="4863">
                  <c:v>89.965925</c:v>
                </c:pt>
                <c:pt idx="4864">
                  <c:v>89.9788375</c:v>
                </c:pt>
                <c:pt idx="4865">
                  <c:v>89.99175</c:v>
                </c:pt>
                <c:pt idx="4866">
                  <c:v>90.0046625</c:v>
                </c:pt>
                <c:pt idx="4867">
                  <c:v>90.017575</c:v>
                </c:pt>
                <c:pt idx="4868">
                  <c:v>90.03048749999999</c:v>
                </c:pt>
                <c:pt idx="4869">
                  <c:v>90.0434</c:v>
                </c:pt>
                <c:pt idx="4870">
                  <c:v>90.05631249999999</c:v>
                </c:pt>
                <c:pt idx="4871">
                  <c:v>90.069225</c:v>
                </c:pt>
                <c:pt idx="4872">
                  <c:v>90.0821375</c:v>
                </c:pt>
                <c:pt idx="4873">
                  <c:v>90.09505</c:v>
                </c:pt>
                <c:pt idx="4874">
                  <c:v>90.1079625</c:v>
                </c:pt>
                <c:pt idx="4875">
                  <c:v>90.120875</c:v>
                </c:pt>
                <c:pt idx="4876">
                  <c:v>90.1337875</c:v>
                </c:pt>
                <c:pt idx="4877">
                  <c:v>90.1467</c:v>
                </c:pt>
                <c:pt idx="4878">
                  <c:v>90.1596125</c:v>
                </c:pt>
                <c:pt idx="4879">
                  <c:v>90.172525</c:v>
                </c:pt>
                <c:pt idx="4880">
                  <c:v>90.1854375</c:v>
                </c:pt>
                <c:pt idx="4881">
                  <c:v>90.19834999999999</c:v>
                </c:pt>
                <c:pt idx="4882">
                  <c:v>90.21126249999999</c:v>
                </c:pt>
                <c:pt idx="4883">
                  <c:v>90.224175</c:v>
                </c:pt>
                <c:pt idx="4884">
                  <c:v>90.23708749999999</c:v>
                </c:pt>
                <c:pt idx="4885">
                  <c:v>90.25</c:v>
                </c:pt>
              </c:numCache>
            </c:numRef>
          </c:xVal>
          <c:yVal>
            <c:numRef>
              <c:f>HANH_TRINH!$U$6:$U$4891</c:f>
              <c:numCache>
                <c:formatCode>General</c:formatCode>
                <c:ptCount val="4886"/>
                <c:pt idx="0">
                  <c:v>0.0</c:v>
                </c:pt>
                <c:pt idx="1">
                  <c:v>0.004681174719584179</c:v>
                </c:pt>
                <c:pt idx="2">
                  <c:v>0.009358000133826082</c:v>
                </c:pt>
                <c:pt idx="3">
                  <c:v>0.014030491498796135</c:v>
                </c:pt>
                <c:pt idx="4">
                  <c:v>0.018698664008225112</c:v>
                </c:pt>
                <c:pt idx="5">
                  <c:v>0.023362532793873576</c:v>
                </c:pt>
                <c:pt idx="6">
                  <c:v>0.028022112925898665</c:v>
                </c:pt>
                <c:pt idx="7">
                  <c:v>0.032677419413220894</c:v>
                </c:pt>
                <c:pt idx="8">
                  <c:v>0.03732846720388569</c:v>
                </c:pt>
                <c:pt idx="9">
                  <c:v>0.04197527118542234</c:v>
                </c:pt>
                <c:pt idx="10">
                  <c:v>0.04661784618520303</c:v>
                </c:pt>
                <c:pt idx="11">
                  <c:v>0.051256206970796685</c:v>
                </c:pt>
                <c:pt idx="12">
                  <c:v>0.055890368250320274</c:v>
                </c:pt>
                <c:pt idx="13">
                  <c:v>0.06052034467279027</c:v>
                </c:pt>
                <c:pt idx="14">
                  <c:v>0.06514615082846899</c:v>
                </c:pt>
                <c:pt idx="15">
                  <c:v>0.06976780124920848</c:v>
                </c:pt>
                <c:pt idx="16">
                  <c:v>0.07438531040879459</c:v>
                </c:pt>
                <c:pt idx="17">
                  <c:v>0.078998692723286</c:v>
                </c:pt>
                <c:pt idx="18">
                  <c:v>0.08360796255135083</c:v>
                </c:pt>
                <c:pt idx="19">
                  <c:v>0.08821313419460361</c:v>
                </c:pt>
                <c:pt idx="20">
                  <c:v>0.09281422189793706</c:v>
                </c:pt>
                <c:pt idx="21">
                  <c:v>0.09741123984985178</c:v>
                </c:pt>
                <c:pt idx="22">
                  <c:v>0.10200420218278605</c:v>
                </c:pt>
                <c:pt idx="23">
                  <c:v>0.10659312297344083</c:v>
                </c:pt>
                <c:pt idx="24">
                  <c:v>0.11117801624310243</c:v>
                </c:pt>
                <c:pt idx="25">
                  <c:v>0.1157588959579656</c:v>
                </c:pt>
                <c:pt idx="26">
                  <c:v>0.12033577602945165</c:v>
                </c:pt>
                <c:pt idx="27">
                  <c:v>0.12490867031452453</c:v>
                </c:pt>
                <c:pt idx="28">
                  <c:v>0.12947759261600714</c:v>
                </c:pt>
                <c:pt idx="29">
                  <c:v>0.13404255668289264</c:v>
                </c:pt>
                <c:pt idx="30">
                  <c:v>0.1386035762106554</c:v>
                </c:pt>
                <c:pt idx="31">
                  <c:v>0.14316066484155796</c:v>
                </c:pt>
                <c:pt idx="32">
                  <c:v>0.1477138361649588</c:v>
                </c:pt>
                <c:pt idx="33">
                  <c:v>0.15226310371761548</c:v>
                </c:pt>
                <c:pt idx="34">
                  <c:v>0.15680848098398542</c:v>
                </c:pt>
                <c:pt idx="35">
                  <c:v>0.16134998139652768</c:v>
                </c:pt>
                <c:pt idx="36">
                  <c:v>0.16588761833599952</c:v>
                </c:pt>
                <c:pt idx="37">
                  <c:v>0.1704214051317514</c:v>
                </c:pt>
                <c:pt idx="38">
                  <c:v>0.1749513550620223</c:v>
                </c:pt>
                <c:pt idx="39">
                  <c:v>0.17947748135423047</c:v>
                </c:pt>
                <c:pt idx="40">
                  <c:v>0.18399979718526227</c:v>
                </c:pt>
                <c:pt idx="41">
                  <c:v>0.18851831568176156</c:v>
                </c:pt>
                <c:pt idx="42">
                  <c:v>0.19303304992041456</c:v>
                </c:pt>
                <c:pt idx="43">
                  <c:v>0.19754401292823281</c:v>
                </c:pt>
                <c:pt idx="44">
                  <c:v>0.2020512176828367</c:v>
                </c:pt>
                <c:pt idx="45">
                  <c:v>0.20655467711273467</c:v>
                </c:pt>
                <c:pt idx="46">
                  <c:v>0.21105440409760035</c:v>
                </c:pt>
                <c:pt idx="47">
                  <c:v>0.21555041146855045</c:v>
                </c:pt>
                <c:pt idx="48">
                  <c:v>0.2200427120084183</c:v>
                </c:pt>
                <c:pt idx="49">
                  <c:v>0.22453131845202545</c:v>
                </c:pt>
                <c:pt idx="50">
                  <c:v>0.22901624348645405</c:v>
                </c:pt>
                <c:pt idx="51">
                  <c:v>0.23349749975131456</c:v>
                </c:pt>
                <c:pt idx="52">
                  <c:v>0.23797509983901338</c:v>
                </c:pt>
                <c:pt idx="53">
                  <c:v>0.2424490562950169</c:v>
                </c:pt>
                <c:pt idx="54">
                  <c:v>0.24691938161811677</c:v>
                </c:pt>
                <c:pt idx="55">
                  <c:v>0.25138608826069075</c:v>
                </c:pt>
                <c:pt idx="56">
                  <c:v>0.2558491886289619</c:v>
                </c:pt>
                <c:pt idx="57">
                  <c:v>0.26030869508325843</c:v>
                </c:pt>
                <c:pt idx="58">
                  <c:v>0.26476461993826955</c:v>
                </c:pt>
                <c:pt idx="59">
                  <c:v>0.26921697546329937</c:v>
                </c:pt>
                <c:pt idx="60">
                  <c:v>0.2736657738825217</c:v>
                </c:pt>
                <c:pt idx="61">
                  <c:v>0.27811102737523097</c:v>
                </c:pt>
                <c:pt idx="62">
                  <c:v>0.2825527480760908</c:v>
                </c:pt>
                <c:pt idx="63">
                  <c:v>0.28699094807538433</c:v>
                </c:pt>
                <c:pt idx="64">
                  <c:v>0.29142563941925953</c:v>
                </c:pt>
                <c:pt idx="65">
                  <c:v>0.29585683410997354</c:v>
                </c:pt>
                <c:pt idx="66">
                  <c:v>0.30028454410613764</c:v>
                </c:pt>
                <c:pt idx="67">
                  <c:v>0.3047087813229581</c:v>
                </c:pt>
                <c:pt idx="68">
                  <c:v>0.3091295576324755</c:v>
                </c:pt>
                <c:pt idx="69">
                  <c:v>0.31354688486380516</c:v>
                </c:pt>
                <c:pt idx="70">
                  <c:v>0.31796077480337304</c:v>
                </c:pt>
                <c:pt idx="71">
                  <c:v>0.3223712391951506</c:v>
                </c:pt>
                <c:pt idx="72">
                  <c:v>0.3267782897408904</c:v>
                </c:pt>
                <c:pt idx="73">
                  <c:v>0.3311819381003578</c:v>
                </c:pt>
                <c:pt idx="74">
                  <c:v>0.33558219589156074</c:v>
                </c:pt>
                <c:pt idx="75">
                  <c:v>0.3399790746909813</c:v>
                </c:pt>
                <c:pt idx="76">
                  <c:v>0.3443725860338025</c:v>
                </c:pt>
                <c:pt idx="77">
                  <c:v>0.34876274141413405</c:v>
                </c:pt>
                <c:pt idx="78">
                  <c:v>0.35314955228523914</c:v>
                </c:pt>
                <c:pt idx="79">
                  <c:v>0.35753303005975706</c:v>
                </c:pt>
                <c:pt idx="80">
                  <c:v>0.36191318610992457</c:v>
                </c:pt>
                <c:pt idx="81">
                  <c:v>0.36629003176779834</c:v>
                </c:pt>
                <c:pt idx="82">
                  <c:v>0.37066357832547336</c:v>
                </c:pt>
                <c:pt idx="83">
                  <c:v>0.3750338370353001</c:v>
                </c:pt>
                <c:pt idx="84">
                  <c:v>0.37940081911010254</c:v>
                </c:pt>
                <c:pt idx="85">
                  <c:v>0.38376453572339264</c:v>
                </c:pt>
                <c:pt idx="86">
                  <c:v>0.3881249980095833</c:v>
                </c:pt>
                <c:pt idx="87">
                  <c:v>0.39248221706420217</c:v>
                </c:pt>
                <c:pt idx="88">
                  <c:v>0.39683620394410224</c:v>
                </c:pt>
                <c:pt idx="89">
                  <c:v>0.40118696966767053</c:v>
                </c:pt>
                <c:pt idx="90">
                  <c:v>0.4055345252150381</c:v>
                </c:pt>
                <c:pt idx="91">
                  <c:v>0.40987888152828644</c:v>
                </c:pt>
                <c:pt idx="92">
                  <c:v>0.4142200495116524</c:v>
                </c:pt>
                <c:pt idx="93">
                  <c:v>0.41855804003173436</c:v>
                </c:pt>
                <c:pt idx="94">
                  <c:v>0.4228928639176944</c:v>
                </c:pt>
                <c:pt idx="95">
                  <c:v>0.4272245319614595</c:v>
                </c:pt>
                <c:pt idx="96">
                  <c:v>0.43155305491792406</c:v>
                </c:pt>
                <c:pt idx="97">
                  <c:v>0.43587844350514815</c:v>
                </c:pt>
                <c:pt idx="98">
                  <c:v>0.44020070840455505</c:v>
                </c:pt>
                <c:pt idx="99">
                  <c:v>0.4445198602611297</c:v>
                </c:pt>
                <c:pt idx="100">
                  <c:v>0.44883590968361364</c:v>
                </c:pt>
                <c:pt idx="101">
                  <c:v>0.45314886724469855</c:v>
                </c:pt>
                <c:pt idx="102">
                  <c:v>0.45745874348122123</c:v>
                </c:pt>
                <c:pt idx="103">
                  <c:v>0.4617655488943546</c:v>
                </c:pt>
                <c:pt idx="104">
                  <c:v>0.4660692939497991</c:v>
                </c:pt>
                <c:pt idx="105">
                  <c:v>0.47036998907797123</c:v>
                </c:pt>
                <c:pt idx="106">
                  <c:v>0.4746676446741939</c:v>
                </c:pt>
                <c:pt idx="107">
                  <c:v>0.47896227109888195</c:v>
                </c:pt>
                <c:pt idx="108">
                  <c:v>0.48325387867772984</c:v>
                </c:pt>
                <c:pt idx="109">
                  <c:v>0.48754247770189585</c:v>
                </c:pt>
                <c:pt idx="110">
                  <c:v>0.49182807842818627</c:v>
                </c:pt>
                <c:pt idx="111">
                  <c:v>0.4961106910792384</c:v>
                </c:pt>
                <c:pt idx="112">
                  <c:v>0.5003903258437014</c:v>
                </c:pt>
                <c:pt idx="113">
                  <c:v>0.5046669928764174</c:v>
                </c:pt>
                <c:pt idx="114">
                  <c:v>0.5089407022986017</c:v>
                </c:pt>
                <c:pt idx="115">
                  <c:v>0.5132114641980199</c:v>
                </c:pt>
                <c:pt idx="116">
                  <c:v>0.5174792886291659</c:v>
                </c:pt>
                <c:pt idx="117">
                  <c:v>0.521744185613438</c:v>
                </c:pt>
                <c:pt idx="118">
                  <c:v>0.5260061651393138</c:v>
                </c:pt>
                <c:pt idx="119">
                  <c:v>0.5302652371625237</c:v>
                </c:pt>
                <c:pt idx="120">
                  <c:v>0.5345214116062259</c:v>
                </c:pt>
                <c:pt idx="121">
                  <c:v>0.5387746983611764</c:v>
                </c:pt>
                <c:pt idx="122">
                  <c:v>0.5430251072859009</c:v>
                </c:pt>
                <c:pt idx="123">
                  <c:v>0.5472726482068646</c:v>
                </c:pt>
                <c:pt idx="124">
                  <c:v>0.5515173309186402</c:v>
                </c:pt>
                <c:pt idx="125">
                  <c:v>0.5557591651840774</c:v>
                </c:pt>
                <c:pt idx="126">
                  <c:v>0.5599981607344682</c:v>
                </c:pt>
                <c:pt idx="127">
                  <c:v>0.5642343272697139</c:v>
                </c:pt>
                <c:pt idx="128">
                  <c:v>0.5684676744584894</c:v>
                </c:pt>
                <c:pt idx="129">
                  <c:v>0.5726982119384078</c:v>
                </c:pt>
                <c:pt idx="130">
                  <c:v>0.5769259493161812</c:v>
                </c:pt>
                <c:pt idx="131">
                  <c:v>0.5811508961677857</c:v>
                </c:pt>
                <c:pt idx="132">
                  <c:v>0.5853730620386206</c:v>
                </c:pt>
                <c:pt idx="133">
                  <c:v>0.5895924564436679</c:v>
                </c:pt>
                <c:pt idx="134">
                  <c:v>0.5938090888676528</c:v>
                </c:pt>
                <c:pt idx="135">
                  <c:v>0.5980229687652017</c:v>
                </c:pt>
                <c:pt idx="136">
                  <c:v>0.6022341055609975</c:v>
                </c:pt>
                <c:pt idx="137">
                  <c:v>0.6064425086499389</c:v>
                </c:pt>
                <c:pt idx="138">
                  <c:v>0.6106481873972933</c:v>
                </c:pt>
                <c:pt idx="139">
                  <c:v>0.614851151138852</c:v>
                </c:pt>
                <c:pt idx="140">
                  <c:v>0.6190514091810844</c:v>
                </c:pt>
                <c:pt idx="141">
                  <c:v>0.62324897080129</c:v>
                </c:pt>
                <c:pt idx="142">
                  <c:v>0.6274438452477498</c:v>
                </c:pt>
                <c:pt idx="143">
                  <c:v>0.6316360417398779</c:v>
                </c:pt>
                <c:pt idx="144">
                  <c:v>0.6358255694683714</c:v>
                </c:pt>
                <c:pt idx="145">
                  <c:v>0.6400124375953588</c:v>
                </c:pt>
                <c:pt idx="146">
                  <c:v>0.6441966552545489</c:v>
                </c:pt>
                <c:pt idx="147">
                  <c:v>0.6483782315513787</c:v>
                </c:pt>
                <c:pt idx="148">
                  <c:v>0.6525571755631581</c:v>
                </c:pt>
                <c:pt idx="149">
                  <c:v>0.6567334963392174</c:v>
                </c:pt>
                <c:pt idx="150">
                  <c:v>0.6609072029010516</c:v>
                </c:pt>
                <c:pt idx="151">
                  <c:v>0.6650783042424635</c:v>
                </c:pt>
                <c:pt idx="152">
                  <c:v>0.6692468093297081</c:v>
                </c:pt>
                <c:pt idx="153">
                  <c:v>0.6734127271016349</c:v>
                </c:pt>
                <c:pt idx="154">
                  <c:v>0.6775760664698278</c:v>
                </c:pt>
                <c:pt idx="155">
                  <c:v>0.6817368363187482</c:v>
                </c:pt>
                <c:pt idx="156">
                  <c:v>0.6858950455058731</c:v>
                </c:pt>
                <c:pt idx="157">
                  <c:v>0.6900507028618346</c:v>
                </c:pt>
                <c:pt idx="158">
                  <c:v>0.6942038171905589</c:v>
                </c:pt>
                <c:pt idx="159">
                  <c:v>0.6983543972694035</c:v>
                </c:pt>
                <c:pt idx="160">
                  <c:v>0.7025024518492929</c:v>
                </c:pt>
                <c:pt idx="161">
                  <c:v>0.7066479896548564</c:v>
                </c:pt>
                <c:pt idx="162">
                  <c:v>0.7107910193845621</c:v>
                </c:pt>
                <c:pt idx="163">
                  <c:v>0.714931549710851</c:v>
                </c:pt>
                <c:pt idx="164">
                  <c:v>0.7190695892802721</c:v>
                </c:pt>
                <c:pt idx="165">
                  <c:v>0.7232051467136141</c:v>
                </c:pt>
                <c:pt idx="166">
                  <c:v>0.7273382306060376</c:v>
                </c:pt>
                <c:pt idx="167">
                  <c:v>0.7314688495272074</c:v>
                </c:pt>
                <c:pt idx="168">
                  <c:v>0.7355970120214225</c:v>
                </c:pt>
                <c:pt idx="169">
                  <c:v>0.7397227266077455</c:v>
                </c:pt>
                <c:pt idx="170">
                  <c:v>0.7438460017801335</c:v>
                </c:pt>
                <c:pt idx="171">
                  <c:v>0.7479668460075654</c:v>
                </c:pt>
                <c:pt idx="172">
                  <c:v>0.7520852677341688</c:v>
                </c:pt>
                <c:pt idx="173">
                  <c:v>0.7562012753793496</c:v>
                </c:pt>
                <c:pt idx="174">
                  <c:v>0.7603148773379161</c:v>
                </c:pt>
                <c:pt idx="175">
                  <c:v>0.7644260819802053</c:v>
                </c:pt>
                <c:pt idx="176">
                  <c:v>0.7685348976522084</c:v>
                </c:pt>
                <c:pt idx="177">
                  <c:v>0.7726413326756948</c:v>
                </c:pt>
                <c:pt idx="178">
                  <c:v>0.7767453953483348</c:v>
                </c:pt>
                <c:pt idx="179">
                  <c:v>0.7808470939438239</c:v>
                </c:pt>
                <c:pt idx="180">
                  <c:v>0.7849464367120045</c:v>
                </c:pt>
                <c:pt idx="181">
                  <c:v>0.7890434318789861</c:v>
                </c:pt>
                <c:pt idx="182">
                  <c:v>0.7931380876472693</c:v>
                </c:pt>
                <c:pt idx="183">
                  <c:v>0.7972304121958627</c:v>
                </c:pt>
                <c:pt idx="184">
                  <c:v>0.8013204136804036</c:v>
                </c:pt>
                <c:pt idx="185">
                  <c:v>0.8054081002332781</c:v>
                </c:pt>
                <c:pt idx="186">
                  <c:v>0.8094934799637383</c:v>
                </c:pt>
                <c:pt idx="187">
                  <c:v>0.8135765609580188</c:v>
                </c:pt>
                <c:pt idx="188">
                  <c:v>0.8176573512794568</c:v>
                </c:pt>
                <c:pt idx="189">
                  <c:v>0.8217358589686047</c:v>
                </c:pt>
                <c:pt idx="190">
                  <c:v>0.8258120920433485</c:v>
                </c:pt>
                <c:pt idx="191">
                  <c:v>0.829886058499022</c:v>
                </c:pt>
                <c:pt idx="192">
                  <c:v>0.8339577663085206</c:v>
                </c:pt>
                <c:pt idx="193">
                  <c:v>0.8380272234224159</c:v>
                </c:pt>
                <c:pt idx="194">
                  <c:v>0.8420944377690691</c:v>
                </c:pt>
                <c:pt idx="195">
                  <c:v>0.8461594172547433</c:v>
                </c:pt>
                <c:pt idx="196">
                  <c:v>0.8502221697637148</c:v>
                </c:pt>
                <c:pt idx="197">
                  <c:v>0.8542827031583856</c:v>
                </c:pt>
                <c:pt idx="198">
                  <c:v>0.858341025279394</c:v>
                </c:pt>
                <c:pt idx="199">
                  <c:v>0.8623971439457235</c:v>
                </c:pt>
                <c:pt idx="200">
                  <c:v>0.8664510669548152</c:v>
                </c:pt>
                <c:pt idx="201">
                  <c:v>0.8705028020826733</c:v>
                </c:pt>
                <c:pt idx="202">
                  <c:v>0.8745523570839764</c:v>
                </c:pt>
                <c:pt idx="203">
                  <c:v>0.8785997396921845</c:v>
                </c:pt>
                <c:pt idx="204">
                  <c:v>0.8826449576196452</c:v>
                </c:pt>
                <c:pt idx="205">
                  <c:v>0.8866880185577023</c:v>
                </c:pt>
                <c:pt idx="206">
                  <c:v>0.8907289301768009</c:v>
                </c:pt>
                <c:pt idx="207">
                  <c:v>0.8947677001265928</c:v>
                </c:pt>
                <c:pt idx="208">
                  <c:v>0.8988043360360419</c:v>
                </c:pt>
                <c:pt idx="209">
                  <c:v>0.9028388455135293</c:v>
                </c:pt>
                <c:pt idx="210">
                  <c:v>0.9068712361469567</c:v>
                </c:pt>
                <c:pt idx="211">
                  <c:v>0.9109015155038488</c:v>
                </c:pt>
                <c:pt idx="212">
                  <c:v>0.9149296911314587</c:v>
                </c:pt>
                <c:pt idx="213">
                  <c:v>0.9189557705568674</c:v>
                </c:pt>
                <c:pt idx="214">
                  <c:v>0.9229797612870876</c:v>
                </c:pt>
                <c:pt idx="215">
                  <c:v>0.9270016708091644</c:v>
                </c:pt>
                <c:pt idx="216">
                  <c:v>0.9310215065902755</c:v>
                </c:pt>
                <c:pt idx="217">
                  <c:v>0.9350392760778313</c:v>
                </c:pt>
                <c:pt idx="218">
                  <c:v>0.9390549866995771</c:v>
                </c:pt>
                <c:pt idx="219">
                  <c:v>0.9430686458636884</c:v>
                </c:pt>
                <c:pt idx="220">
                  <c:v>0.9470802609588718</c:v>
                </c:pt>
                <c:pt idx="221">
                  <c:v>0.9510898393544641</c:v>
                </c:pt>
                <c:pt idx="222">
                  <c:v>0.9550973884005276</c:v>
                </c:pt>
                <c:pt idx="223">
                  <c:v>0.959102915427948</c:v>
                </c:pt>
                <c:pt idx="224">
                  <c:v>0.9631064277485333</c:v>
                </c:pt>
                <c:pt idx="225">
                  <c:v>0.9671079326551062</c:v>
                </c:pt>
                <c:pt idx="226">
                  <c:v>0.971107437421602</c:v>
                </c:pt>
                <c:pt idx="227">
                  <c:v>0.9751049493031648</c:v>
                </c:pt>
                <c:pt idx="228">
                  <c:v>0.9791004755362396</c:v>
                </c:pt>
                <c:pt idx="229">
                  <c:v>0.9830940233386674</c:v>
                </c:pt>
                <c:pt idx="230">
                  <c:v>0.9870855999097812</c:v>
                </c:pt>
                <c:pt idx="231">
                  <c:v>0.9910752124304956</c:v>
                </c:pt>
                <c:pt idx="232">
                  <c:v>0.9950628680634016</c:v>
                </c:pt>
                <c:pt idx="233">
                  <c:v>0.9990485739528602</c:v>
                </c:pt>
                <c:pt idx="234">
                  <c:v>1.003032337225091</c:v>
                </c:pt>
                <c:pt idx="235">
                  <c:v>1.0070141649882658</c:v>
                </c:pt>
                <c:pt idx="236">
                  <c:v>1.0109940643326003</c:v>
                </c:pt>
                <c:pt idx="237">
                  <c:v>1.014972042330442</c:v>
                </c:pt>
                <c:pt idx="238">
                  <c:v>1.0189481060363617</c:v>
                </c:pt>
                <c:pt idx="239">
                  <c:v>1.0229222624872443</c:v>
                </c:pt>
                <c:pt idx="240">
                  <c:v>1.0268945187023752</c:v>
                </c:pt>
                <c:pt idx="241">
                  <c:v>1.0308648816835309</c:v>
                </c:pt>
                <c:pt idx="242">
                  <c:v>1.0348333584150675</c:v>
                </c:pt>
                <c:pt idx="243">
                  <c:v>1.038799955864007</c:v>
                </c:pt>
                <c:pt idx="244">
                  <c:v>1.0427646809801252</c:v>
                </c:pt>
                <c:pt idx="245">
                  <c:v>1.0467275406960406</c:v>
                </c:pt>
                <c:pt idx="246">
                  <c:v>1.0506885419272973</c:v>
                </c:pt>
                <c:pt idx="247">
                  <c:v>1.0546476915724536</c:v>
                </c:pt>
                <c:pt idx="248">
                  <c:v>1.0586049965131683</c:v>
                </c:pt>
                <c:pt idx="249">
                  <c:v>1.0625604636142836</c:v>
                </c:pt>
                <c:pt idx="250">
                  <c:v>1.0665140997239106</c:v>
                </c:pt>
                <c:pt idx="251">
                  <c:v>1.0704659116735162</c:v>
                </c:pt>
                <c:pt idx="252">
                  <c:v>1.0744159062780037</c:v>
                </c:pt>
                <c:pt idx="253">
                  <c:v>1.0783640903357972</c:v>
                </c:pt>
                <c:pt idx="254">
                  <c:v>1.0823104706289275</c:v>
                </c:pt>
                <c:pt idx="255">
                  <c:v>1.0862550539231113</c:v>
                </c:pt>
                <c:pt idx="256">
                  <c:v>1.090197846967835</c:v>
                </c:pt>
                <c:pt idx="257">
                  <c:v>1.0941388564964385</c:v>
                </c:pt>
                <c:pt idx="258">
                  <c:v>1.098078089226193</c:v>
                </c:pt>
                <c:pt idx="259">
                  <c:v>1.102015551858385</c:v>
                </c:pt>
                <c:pt idx="260">
                  <c:v>1.1059512510783978</c:v>
                </c:pt>
                <c:pt idx="261">
                  <c:v>1.1098851935557883</c:v>
                </c:pt>
                <c:pt idx="262">
                  <c:v>1.1138173859443714</c:v>
                </c:pt>
                <c:pt idx="263">
                  <c:v>1.1177478348822956</c:v>
                </c:pt>
                <c:pt idx="264">
                  <c:v>1.1216765469921268</c:v>
                </c:pt>
                <c:pt idx="265">
                  <c:v>1.1256035288809212</c:v>
                </c:pt>
                <c:pt idx="266">
                  <c:v>1.1295287871403106</c:v>
                </c:pt>
                <c:pt idx="267">
                  <c:v>1.1334523283465754</c:v>
                </c:pt>
                <c:pt idx="268">
                  <c:v>1.137374159060724</c:v>
                </c:pt>
                <c:pt idx="269">
                  <c:v>1.1412942858285722</c:v>
                </c:pt>
                <c:pt idx="270">
                  <c:v>1.145212715180817</c:v>
                </c:pt>
                <c:pt idx="271">
                  <c:v>1.1491294536331145</c:v>
                </c:pt>
                <c:pt idx="272">
                  <c:v>1.1530445076861584</c:v>
                </c:pt>
                <c:pt idx="273">
                  <c:v>1.156957883825752</c:v>
                </c:pt>
                <c:pt idx="274">
                  <c:v>1.1608695885228877</c:v>
                </c:pt>
                <c:pt idx="275">
                  <c:v>1.1647796282338192</c:v>
                </c:pt>
                <c:pt idx="276">
                  <c:v>1.1686880094001388</c:v>
                </c:pt>
                <c:pt idx="277">
                  <c:v>1.1725947384488502</c:v>
                </c:pt>
                <c:pt idx="278">
                  <c:v>1.1764998217924436</c:v>
                </c:pt>
                <c:pt idx="279">
                  <c:v>1.1804032658289694</c:v>
                </c:pt>
                <c:pt idx="280">
                  <c:v>1.1843050769421115</c:v>
                </c:pt>
                <c:pt idx="281">
                  <c:v>1.188205261501262</c:v>
                </c:pt>
                <c:pt idx="282">
                  <c:v>1.1921038258615912</c:v>
                </c:pt>
                <c:pt idx="283">
                  <c:v>1.1960007763641225</c:v>
                </c:pt>
                <c:pt idx="284">
                  <c:v>1.1998961193358046</c:v>
                </c:pt>
                <c:pt idx="285">
                  <c:v>1.2037898610895819</c:v>
                </c:pt>
                <c:pt idx="286">
                  <c:v>1.207682007924466</c:v>
                </c:pt>
                <c:pt idx="287">
                  <c:v>1.2115725661256092</c:v>
                </c:pt>
                <c:pt idx="288">
                  <c:v>1.215461541964374</c:v>
                </c:pt>
                <c:pt idx="289">
                  <c:v>1.2193489416984022</c:v>
                </c:pt>
                <c:pt idx="290">
                  <c:v>1.2232347715716871</c:v>
                </c:pt>
                <c:pt idx="291">
                  <c:v>1.2271190378146442</c:v>
                </c:pt>
                <c:pt idx="292">
                  <c:v>1.2310017466441778</c:v>
                </c:pt>
                <c:pt idx="293">
                  <c:v>1.2348829042637524</c:v>
                </c:pt>
                <c:pt idx="294">
                  <c:v>1.2387625168634628</c:v>
                </c:pt>
                <c:pt idx="295">
                  <c:v>1.2426405906200986</c:v>
                </c:pt>
                <c:pt idx="296">
                  <c:v>1.246517131697218</c:v>
                </c:pt>
                <c:pt idx="297">
                  <c:v>1.250392146245213</c:v>
                </c:pt>
                <c:pt idx="298">
                  <c:v>1.2542656404013748</c:v>
                </c:pt>
                <c:pt idx="299">
                  <c:v>1.2581376202899666</c:v>
                </c:pt>
                <c:pt idx="300">
                  <c:v>1.2620080920222876</c:v>
                </c:pt>
                <c:pt idx="301">
                  <c:v>1.2658770616967396</c:v>
                </c:pt>
                <c:pt idx="302">
                  <c:v>1.2697445353988943</c:v>
                </c:pt>
                <c:pt idx="303">
                  <c:v>1.2736105192015612</c:v>
                </c:pt>
                <c:pt idx="304">
                  <c:v>1.2774750191648503</c:v>
                </c:pt>
                <c:pt idx="305">
                  <c:v>1.2813380413362399</c:v>
                </c:pt>
                <c:pt idx="306">
                  <c:v>1.2851995917506434</c:v>
                </c:pt>
                <c:pt idx="307">
                  <c:v>1.2890596764304698</c:v>
                </c:pt>
                <c:pt idx="308">
                  <c:v>1.2929183013856942</c:v>
                </c:pt>
                <c:pt idx="309">
                  <c:v>1.29677547261392</c:v>
                </c:pt>
                <c:pt idx="310">
                  <c:v>1.3006311961004398</c:v>
                </c:pt>
                <c:pt idx="311">
                  <c:v>1.3044854778183053</c:v>
                </c:pt>
                <c:pt idx="312">
                  <c:v>1.3083383237283885</c:v>
                </c:pt>
                <c:pt idx="313">
                  <c:v>1.3121897397794438</c:v>
                </c:pt>
                <c:pt idx="314">
                  <c:v>1.316039731908172</c:v>
                </c:pt>
                <c:pt idx="315">
                  <c:v>1.319888306039286</c:v>
                </c:pt>
                <c:pt idx="316">
                  <c:v>1.323735468085569</c:v>
                </c:pt>
                <c:pt idx="317">
                  <c:v>1.3275812239479396</c:v>
                </c:pt>
                <c:pt idx="318">
                  <c:v>1.3314255795155145</c:v>
                </c:pt>
                <c:pt idx="319">
                  <c:v>1.335268540665668</c:v>
                </c:pt>
                <c:pt idx="320">
                  <c:v>1.3391101132640948</c:v>
                </c:pt>
                <c:pt idx="321">
                  <c:v>1.3429503031648737</c:v>
                </c:pt>
                <c:pt idx="322">
                  <c:v>1.346789116210523</c:v>
                </c:pt>
                <c:pt idx="323">
                  <c:v>1.3506265582320678</c:v>
                </c:pt>
                <c:pt idx="324">
                  <c:v>1.354462635049097</c:v>
                </c:pt>
                <c:pt idx="325">
                  <c:v>1.3582973524698232</c:v>
                </c:pt>
                <c:pt idx="326">
                  <c:v>1.3621307162911445</c:v>
                </c:pt>
                <c:pt idx="327">
                  <c:v>1.3659627322987042</c:v>
                </c:pt>
                <c:pt idx="328">
                  <c:v>1.3697934062669495</c:v>
                </c:pt>
                <c:pt idx="329">
                  <c:v>1.3736227439591906</c:v>
                </c:pt>
                <c:pt idx="330">
                  <c:v>1.377450751127662</c:v>
                </c:pt>
                <c:pt idx="331">
                  <c:v>1.3812774335135785</c:v>
                </c:pt>
                <c:pt idx="332">
                  <c:v>1.385102796847195</c:v>
                </c:pt>
                <c:pt idx="333">
                  <c:v>1.3889268468478668</c:v>
                </c:pt>
                <c:pt idx="334">
                  <c:v>1.3927495892241042</c:v>
                </c:pt>
                <c:pt idx="335">
                  <c:v>1.3965710296736322</c:v>
                </c:pt>
                <c:pt idx="336">
                  <c:v>1.40039117388345</c:v>
                </c:pt>
                <c:pt idx="337">
                  <c:v>1.4042100275298848</c:v>
                </c:pt>
                <c:pt idx="338">
                  <c:v>1.4080275962786508</c:v>
                </c:pt>
                <c:pt idx="339">
                  <c:v>1.4118438857849078</c:v>
                </c:pt>
                <c:pt idx="340">
                  <c:v>1.4156589016933148</c:v>
                </c:pt>
                <c:pt idx="341">
                  <c:v>1.4194726496380878</c:v>
                </c:pt>
                <c:pt idx="342">
                  <c:v>1.4232851352430587</c:v>
                </c:pt>
                <c:pt idx="343">
                  <c:v>1.4270963641217267</c:v>
                </c:pt>
                <c:pt idx="344">
                  <c:v>1.4309063418773167</c:v>
                </c:pt>
                <c:pt idx="345">
                  <c:v>1.4347150741028365</c:v>
                </c:pt>
                <c:pt idx="346">
                  <c:v>1.438522566381129</c:v>
                </c:pt>
                <c:pt idx="347">
                  <c:v>1.4423288242849284</c:v>
                </c:pt>
                <c:pt idx="348">
                  <c:v>1.4461338533769172</c:v>
                </c:pt>
                <c:pt idx="349">
                  <c:v>1.4499376592097784</c:v>
                </c:pt>
                <c:pt idx="350">
                  <c:v>1.4537402473262506</c:v>
                </c:pt>
                <c:pt idx="351">
                  <c:v>1.4575416232591845</c:v>
                </c:pt>
                <c:pt idx="352">
                  <c:v>1.4613417925315935</c:v>
                </c:pt>
                <c:pt idx="353">
                  <c:v>1.4651407606567097</c:v>
                </c:pt>
                <c:pt idx="354">
                  <c:v>1.468938533138039</c:v>
                </c:pt>
                <c:pt idx="355">
                  <c:v>1.4727351154694108</c:v>
                </c:pt>
                <c:pt idx="356">
                  <c:v>1.4765305131350344</c:v>
                </c:pt>
                <c:pt idx="357">
                  <c:v>1.4803247316095518</c:v>
                </c:pt>
                <c:pt idx="358">
                  <c:v>1.484117776358089</c:v>
                </c:pt>
                <c:pt idx="359">
                  <c:v>1.4879096528363094</c:v>
                </c:pt>
                <c:pt idx="360">
                  <c:v>1.491700366490468</c:v>
                </c:pt>
                <c:pt idx="361">
                  <c:v>1.495489922757461</c:v>
                </c:pt>
                <c:pt idx="362">
                  <c:v>1.4992783270648786</c:v>
                </c:pt>
                <c:pt idx="363">
                  <c:v>1.5030655848310597</c:v>
                </c:pt>
                <c:pt idx="364">
                  <c:v>1.5068517014651392</c:v>
                </c:pt>
                <c:pt idx="365">
                  <c:v>1.510636682367102</c:v>
                </c:pt>
                <c:pt idx="366">
                  <c:v>1.5144205329278355</c:v>
                </c:pt>
                <c:pt idx="367">
                  <c:v>1.5182032585291776</c:v>
                </c:pt>
                <c:pt idx="368">
                  <c:v>1.5219848645439693</c:v>
                </c:pt>
                <c:pt idx="369">
                  <c:v>1.5257653563361069</c:v>
                </c:pt>
                <c:pt idx="370">
                  <c:v>1.5295447392605899</c:v>
                </c:pt>
                <c:pt idx="371">
                  <c:v>1.5333230186635722</c:v>
                </c:pt>
                <c:pt idx="372">
                  <c:v>1.5371001998824145</c:v>
                </c:pt>
                <c:pt idx="373">
                  <c:v>1.540876288245731</c:v>
                </c:pt>
                <c:pt idx="374">
                  <c:v>1.5446512890734405</c:v>
                </c:pt>
                <c:pt idx="375">
                  <c:v>1.5484252076768181</c:v>
                </c:pt>
                <c:pt idx="376">
                  <c:v>1.5521980493585414</c:v>
                </c:pt>
                <c:pt idx="377">
                  <c:v>1.5559698194127414</c:v>
                </c:pt>
                <c:pt idx="378">
                  <c:v>1.5597405231250523</c:v>
                </c:pt>
                <c:pt idx="379">
                  <c:v>1.5635101657726604</c:v>
                </c:pt>
                <c:pt idx="380">
                  <c:v>1.5672787526243492</c:v>
                </c:pt>
                <c:pt idx="381">
                  <c:v>1.5710462889405539</c:v>
                </c:pt>
                <c:pt idx="382">
                  <c:v>1.5748127799734066</c:v>
                </c:pt>
                <c:pt idx="383">
                  <c:v>1.5785782309667826</c:v>
                </c:pt>
                <c:pt idx="384">
                  <c:v>1.582342647156354</c:v>
                </c:pt>
                <c:pt idx="385">
                  <c:v>1.586106033769632</c:v>
                </c:pt>
                <c:pt idx="386">
                  <c:v>1.5898683960260178</c:v>
                </c:pt>
                <c:pt idx="387">
                  <c:v>1.5936297391368504</c:v>
                </c:pt>
                <c:pt idx="388">
                  <c:v>1.5973900683054516</c:v>
                </c:pt>
                <c:pt idx="389">
                  <c:v>1.6011493887271753</c:v>
                </c:pt>
                <c:pt idx="390">
                  <c:v>1.6049077055894552</c:v>
                </c:pt>
                <c:pt idx="391">
                  <c:v>1.608665024071849</c:v>
                </c:pt>
                <c:pt idx="392">
                  <c:v>1.612421349346087</c:v>
                </c:pt>
                <c:pt idx="393">
                  <c:v>1.6161766865761202</c:v>
                </c:pt>
                <c:pt idx="394">
                  <c:v>1.6199310409181635</c:v>
                </c:pt>
                <c:pt idx="395">
                  <c:v>1.6236844175207432</c:v>
                </c:pt>
                <c:pt idx="396">
                  <c:v>1.6274368215247457</c:v>
                </c:pt>
                <c:pt idx="397">
                  <c:v>1.6311882580634594</c:v>
                </c:pt>
                <c:pt idx="398">
                  <c:v>1.6349387322626225</c:v>
                </c:pt>
                <c:pt idx="399">
                  <c:v>1.6386882492404709</c:v>
                </c:pt>
                <c:pt idx="400">
                  <c:v>1.6424368141077792</c:v>
                </c:pt>
                <c:pt idx="401">
                  <c:v>1.6461844319679089</c:v>
                </c:pt>
                <c:pt idx="402">
                  <c:v>1.6499311079168542</c:v>
                </c:pt>
                <c:pt idx="403">
                  <c:v>1.6536768470432863</c:v>
                </c:pt>
                <c:pt idx="404">
                  <c:v>1.6574216544285958</c:v>
                </c:pt>
                <c:pt idx="405">
                  <c:v>1.661165535146942</c:v>
                </c:pt>
                <c:pt idx="406">
                  <c:v>1.6649084942652963</c:v>
                </c:pt>
                <c:pt idx="407">
                  <c:v>1.668650536843482</c:v>
                </c:pt>
                <c:pt idx="408">
                  <c:v>1.6723916679342263</c:v>
                </c:pt>
                <c:pt idx="409">
                  <c:v>1.6761318925831996</c:v>
                </c:pt>
                <c:pt idx="410">
                  <c:v>1.6798712158290598</c:v>
                </c:pt>
                <c:pt idx="411">
                  <c:v>1.6836096427034979</c:v>
                </c:pt>
                <c:pt idx="412">
                  <c:v>1.6873471782312817</c:v>
                </c:pt>
                <c:pt idx="413">
                  <c:v>1.6910838274302977</c:v>
                </c:pt>
                <c:pt idx="414">
                  <c:v>1.6948195953115965</c:v>
                </c:pt>
                <c:pt idx="415">
                  <c:v>1.6985544868794356</c:v>
                </c:pt>
                <c:pt idx="416">
                  <c:v>1.7022885071313214</c:v>
                </c:pt>
                <c:pt idx="417">
                  <c:v>1.7060216610580559</c:v>
                </c:pt>
                <c:pt idx="418">
                  <c:v>1.7097539536437754</c:v>
                </c:pt>
                <c:pt idx="419">
                  <c:v>1.7134853898659952</c:v>
                </c:pt>
                <c:pt idx="420">
                  <c:v>1.7172159746956541</c:v>
                </c:pt>
                <c:pt idx="421">
                  <c:v>1.7209457130971542</c:v>
                </c:pt>
                <c:pt idx="422">
                  <c:v>1.7246746100284038</c:v>
                </c:pt>
                <c:pt idx="423">
                  <c:v>1.7284026704408626</c:v>
                </c:pt>
                <c:pt idx="424">
                  <c:v>1.73212989927958</c:v>
                </c:pt>
                <c:pt idx="425">
                  <c:v>1.7358563014832389</c:v>
                </c:pt>
                <c:pt idx="426">
                  <c:v>1.7395818819841993</c:v>
                </c:pt>
                <c:pt idx="427">
                  <c:v>1.7433066457085389</c:v>
                </c:pt>
                <c:pt idx="428">
                  <c:v>1.7470305975760914</c:v>
                </c:pt>
                <c:pt idx="429">
                  <c:v>1.7507537425004944</c:v>
                </c:pt>
                <c:pt idx="430">
                  <c:v>1.754476085389228</c:v>
                </c:pt>
                <c:pt idx="431">
                  <c:v>1.758197631143653</c:v>
                </c:pt>
                <c:pt idx="432">
                  <c:v>1.7619183846590571</c:v>
                </c:pt>
                <c:pt idx="433">
                  <c:v>1.765638350824695</c:v>
                </c:pt>
                <c:pt idx="434">
                  <c:v>1.7693575345238262</c:v>
                </c:pt>
                <c:pt idx="435">
                  <c:v>1.7730759406337588</c:v>
                </c:pt>
                <c:pt idx="436">
                  <c:v>1.7767935740258909</c:v>
                </c:pt>
                <c:pt idx="437">
                  <c:v>1.7805104395657485</c:v>
                </c:pt>
                <c:pt idx="438">
                  <c:v>1.7842265421130274</c:v>
                </c:pt>
                <c:pt idx="439">
                  <c:v>1.7879418865216354</c:v>
                </c:pt>
                <c:pt idx="440">
                  <c:v>1.7916564776397295</c:v>
                </c:pt>
                <c:pt idx="441">
                  <c:v>1.795370320309758</c:v>
                </c:pt>
                <c:pt idx="442">
                  <c:v>1.7990834193685</c:v>
                </c:pt>
                <c:pt idx="443">
                  <c:v>1.8027957796471055</c:v>
                </c:pt>
                <c:pt idx="444">
                  <c:v>1.8065074059711363</c:v>
                </c:pt>
                <c:pt idx="445">
                  <c:v>1.810218303160604</c:v>
                </c:pt>
                <c:pt idx="446">
                  <c:v>1.8139284760300103</c:v>
                </c:pt>
                <c:pt idx="447">
                  <c:v>1.8176379293883878</c:v>
                </c:pt>
                <c:pt idx="448">
                  <c:v>1.8213466680393373</c:v>
                </c:pt>
                <c:pt idx="449">
                  <c:v>1.8250546967810684</c:v>
                </c:pt>
                <c:pt idx="450">
                  <c:v>1.8287620204064394</c:v>
                </c:pt>
                <c:pt idx="451">
                  <c:v>1.8324686437029964</c:v>
                </c:pt>
                <c:pt idx="452">
                  <c:v>1.8361745714530084</c:v>
                </c:pt>
                <c:pt idx="453">
                  <c:v>1.8398798084335126</c:v>
                </c:pt>
                <c:pt idx="454">
                  <c:v>1.8435843594163501</c:v>
                </c:pt>
                <c:pt idx="455">
                  <c:v>1.8472882291682018</c:v>
                </c:pt>
                <c:pt idx="456">
                  <c:v>1.8509914224506323</c:v>
                </c:pt>
                <c:pt idx="457">
                  <c:v>1.8546939440201262</c:v>
                </c:pt>
                <c:pt idx="458">
                  <c:v>1.8583957986281252</c:v>
                </c:pt>
                <c:pt idx="459">
                  <c:v>1.8620969910210676</c:v>
                </c:pt>
                <c:pt idx="460">
                  <c:v>1.865797525940428</c:v>
                </c:pt>
                <c:pt idx="461">
                  <c:v>1.869497408122753</c:v>
                </c:pt>
                <c:pt idx="462">
                  <c:v>1.8731966422996995</c:v>
                </c:pt>
                <c:pt idx="463">
                  <c:v>1.876895233198076</c:v>
                </c:pt>
                <c:pt idx="464">
                  <c:v>1.8805931855398759</c:v>
                </c:pt>
                <c:pt idx="465">
                  <c:v>1.8842905040423175</c:v>
                </c:pt>
                <c:pt idx="466">
                  <c:v>1.8879871934178831</c:v>
                </c:pt>
                <c:pt idx="467">
                  <c:v>1.891683258374354</c:v>
                </c:pt>
                <c:pt idx="468">
                  <c:v>1.8953787036148482</c:v>
                </c:pt>
                <c:pt idx="469">
                  <c:v>1.8990735338378613</c:v>
                </c:pt>
                <c:pt idx="470">
                  <c:v>1.9027677537372991</c:v>
                </c:pt>
                <c:pt idx="471">
                  <c:v>1.906461368002518</c:v>
                </c:pt>
                <c:pt idx="472">
                  <c:v>1.9101543813183608</c:v>
                </c:pt>
                <c:pt idx="473">
                  <c:v>1.9138467983651943</c:v>
                </c:pt>
                <c:pt idx="474">
                  <c:v>1.917538623818947</c:v>
                </c:pt>
                <c:pt idx="475">
                  <c:v>1.9212298623511455</c:v>
                </c:pt>
                <c:pt idx="476">
                  <c:v>1.9249205186289484</c:v>
                </c:pt>
                <c:pt idx="477">
                  <c:v>1.9286105973151888</c:v>
                </c:pt>
                <c:pt idx="478">
                  <c:v>1.9323001030684077</c:v>
                </c:pt>
                <c:pt idx="479">
                  <c:v>1.9359890405428881</c:v>
                </c:pt>
                <c:pt idx="480">
                  <c:v>1.939677414388697</c:v>
                </c:pt>
                <c:pt idx="481">
                  <c:v>1.9433652292517185</c:v>
                </c:pt>
                <c:pt idx="482">
                  <c:v>1.9470524897736903</c:v>
                </c:pt>
                <c:pt idx="483">
                  <c:v>1.9507392005922397</c:v>
                </c:pt>
                <c:pt idx="484">
                  <c:v>1.9544253663409223</c:v>
                </c:pt>
                <c:pt idx="485">
                  <c:v>1.958110991649255</c:v>
                </c:pt>
                <c:pt idx="486">
                  <c:v>1.961796081142753</c:v>
                </c:pt>
                <c:pt idx="487">
                  <c:v>1.965480639442968</c:v>
                </c:pt>
                <c:pt idx="488">
                  <c:v>1.9691646711675206</c:v>
                </c:pt>
                <c:pt idx="489">
                  <c:v>1.972848180930138</c:v>
                </c:pt>
                <c:pt idx="490">
                  <c:v>1.9765311733406905</c:v>
                </c:pt>
                <c:pt idx="491">
                  <c:v>1.9802136530052252</c:v>
                </c:pt>
                <c:pt idx="492">
                  <c:v>1.9838956245260027</c:v>
                </c:pt>
                <c:pt idx="493">
                  <c:v>1.9875770925015335</c:v>
                </c:pt>
                <c:pt idx="494">
                  <c:v>1.9912580615266113</c:v>
                </c:pt>
                <c:pt idx="495">
                  <c:v>1.9949385361923502</c:v>
                </c:pt>
                <c:pt idx="496">
                  <c:v>1.99861852108622</c:v>
                </c:pt>
                <c:pt idx="497">
                  <c:v>2.00229802079208</c:v>
                </c:pt>
                <c:pt idx="498">
                  <c:v>2.0059770398902157</c:v>
                </c:pt>
                <c:pt idx="499">
                  <c:v>2.0096555829573735</c:v>
                </c:pt>
                <c:pt idx="500">
                  <c:v>2.013333654566794</c:v>
                </c:pt>
                <c:pt idx="501">
                  <c:v>2.017011259288251</c:v>
                </c:pt>
                <c:pt idx="502">
                  <c:v>2.0206884016880835</c:v>
                </c:pt>
                <c:pt idx="503">
                  <c:v>2.024365086329229</c:v>
                </c:pt>
                <c:pt idx="504">
                  <c:v>2.028041317771263</c:v>
                </c:pt>
                <c:pt idx="505">
                  <c:v>2.0317171005704306</c:v>
                </c:pt>
                <c:pt idx="506">
                  <c:v>2.035392439279681</c:v>
                </c:pt>
                <c:pt idx="507">
                  <c:v>2.0390673384487026</c:v>
                </c:pt>
                <c:pt idx="508">
                  <c:v>2.0427418026239597</c:v>
                </c:pt>
                <c:pt idx="509">
                  <c:v>2.0464158363487233</c:v>
                </c:pt>
                <c:pt idx="510">
                  <c:v>2.050089444163108</c:v>
                </c:pt>
                <c:pt idx="511">
                  <c:v>2.053762630604106</c:v>
                </c:pt>
                <c:pt idx="512">
                  <c:v>2.0574354002056214</c:v>
                </c:pt>
                <c:pt idx="513">
                  <c:v>2.061107757498503</c:v>
                </c:pt>
                <c:pt idx="514">
                  <c:v>2.0647797070105813</c:v>
                </c:pt>
                <c:pt idx="515">
                  <c:v>2.068451253266701</c:v>
                </c:pt>
                <c:pt idx="516">
                  <c:v>2.072122400788754</c:v>
                </c:pt>
                <c:pt idx="517">
                  <c:v>2.075793154095716</c:v>
                </c:pt>
                <c:pt idx="518">
                  <c:v>2.079463517703679</c:v>
                </c:pt>
                <c:pt idx="519">
                  <c:v>2.0831334961258845</c:v>
                </c:pt>
                <c:pt idx="520">
                  <c:v>2.08680309387276</c:v>
                </c:pt>
                <c:pt idx="521">
                  <c:v>2.0904723154519496</c:v>
                </c:pt>
                <c:pt idx="522">
                  <c:v>2.0941411653683497</c:v>
                </c:pt>
                <c:pt idx="523">
                  <c:v>2.0978096481241435</c:v>
                </c:pt>
                <c:pt idx="524">
                  <c:v>2.101477768218833</c:v>
                </c:pt>
                <c:pt idx="525">
                  <c:v>2.105145530149272</c:v>
                </c:pt>
                <c:pt idx="526">
                  <c:v>2.1088129384097023</c:v>
                </c:pt>
                <c:pt idx="527">
                  <c:v>2.1124799974917865</c:v>
                </c:pt>
                <c:pt idx="528">
                  <c:v>2.1161467118846384</c:v>
                </c:pt>
                <c:pt idx="529">
                  <c:v>2.1198130860748616</c:v>
                </c:pt>
                <c:pt idx="530">
                  <c:v>2.123479124546578</c:v>
                </c:pt>
                <c:pt idx="531">
                  <c:v>2.1271448317814645</c:v>
                </c:pt>
                <c:pt idx="532">
                  <c:v>2.130810212258786</c:v>
                </c:pt>
                <c:pt idx="533">
                  <c:v>2.134475270455426</c:v>
                </c:pt>
                <c:pt idx="534">
                  <c:v>2.1381400108459223</c:v>
                </c:pt>
                <c:pt idx="535">
                  <c:v>2.1418044379025005</c:v>
                </c:pt>
                <c:pt idx="536">
                  <c:v>2.1454685560951052</c:v>
                </c:pt>
                <c:pt idx="537">
                  <c:v>2.149132369891434</c:v>
                </c:pt>
                <c:pt idx="538">
                  <c:v>2.152795883756972</c:v>
                </c:pt>
                <c:pt idx="539">
                  <c:v>2.1564591021550212</c:v>
                </c:pt>
                <c:pt idx="540">
                  <c:v>2.1601220295467374</c:v>
                </c:pt>
                <c:pt idx="541">
                  <c:v>2.163784670391162</c:v>
                </c:pt>
                <c:pt idx="542">
                  <c:v>2.167447029145252</c:v>
                </c:pt>
                <c:pt idx="543">
                  <c:v>2.1711091102639175</c:v>
                </c:pt>
                <c:pt idx="544">
                  <c:v>2.1747709182000516</c:v>
                </c:pt>
                <c:pt idx="545">
                  <c:v>2.178432457404563</c:v>
                </c:pt>
                <c:pt idx="546">
                  <c:v>2.1820937323264102</c:v>
                </c:pt>
                <c:pt idx="547">
                  <c:v>2.1857547474126338</c:v>
                </c:pt>
                <c:pt idx="548">
                  <c:v>2.18941550710839</c:v>
                </c:pt>
                <c:pt idx="549">
                  <c:v>2.193076015856979</c:v>
                </c:pt>
                <c:pt idx="550">
                  <c:v>2.1967362780998836</c:v>
                </c:pt>
                <c:pt idx="551">
                  <c:v>2.2003962982767997</c:v>
                </c:pt>
                <c:pt idx="552">
                  <c:v>2.204056080825665</c:v>
                </c:pt>
                <c:pt idx="553">
                  <c:v>2.2077156301826966</c:v>
                </c:pt>
                <c:pt idx="554">
                  <c:v>2.2113749507824227</c:v>
                </c:pt>
                <c:pt idx="555">
                  <c:v>2.2150340470577117</c:v>
                </c:pt>
                <c:pt idx="556">
                  <c:v>2.2186929234398076</c:v>
                </c:pt>
                <c:pt idx="557">
                  <c:v>2.2223515843583623</c:v>
                </c:pt>
                <c:pt idx="558">
                  <c:v>2.226010034241466</c:v>
                </c:pt>
                <c:pt idx="559">
                  <c:v>2.229668277515683</c:v>
                </c:pt>
                <c:pt idx="560">
                  <c:v>2.2333263186060797</c:v>
                </c:pt>
                <c:pt idx="561">
                  <c:v>2.2369841619362587</c:v>
                </c:pt>
                <c:pt idx="562">
                  <c:v>2.240641811928394</c:v>
                </c:pt>
                <c:pt idx="563">
                  <c:v>2.2442992730032585</c:v>
                </c:pt>
                <c:pt idx="564">
                  <c:v>2.2479565495802585</c:v>
                </c:pt>
                <c:pt idx="565">
                  <c:v>2.251613646077467</c:v>
                </c:pt>
                <c:pt idx="566">
                  <c:v>2.2552705669116526</c:v>
                </c:pt>
                <c:pt idx="567">
                  <c:v>2.2589273164983146</c:v>
                </c:pt>
                <c:pt idx="568">
                  <c:v>2.2625838992517147</c:v>
                </c:pt>
                <c:pt idx="569">
                  <c:v>2.2662403195849072</c:v>
                </c:pt>
                <c:pt idx="570">
                  <c:v>2.2698965819097725</c:v>
                </c:pt>
                <c:pt idx="571">
                  <c:v>2.27355269063705</c:v>
                </c:pt>
                <c:pt idx="572">
                  <c:v>2.277208650176369</c:v>
                </c:pt>
                <c:pt idx="573">
                  <c:v>2.280864464936279</c:v>
                </c:pt>
                <c:pt idx="574">
                  <c:v>2.284520139324285</c:v>
                </c:pt>
                <c:pt idx="575">
                  <c:v>2.288175677746879</c:v>
                </c:pt>
                <c:pt idx="576">
                  <c:v>2.291831084609567</c:v>
                </c:pt>
                <c:pt idx="577">
                  <c:v>2.295486364316909</c:v>
                </c:pt>
                <c:pt idx="578">
                  <c:v>2.2991415212725452</c:v>
                </c:pt>
                <c:pt idx="579">
                  <c:v>2.3027965598792277</c:v>
                </c:pt>
                <c:pt idx="580">
                  <c:v>2.3064514845388566</c:v>
                </c:pt>
                <c:pt idx="581">
                  <c:v>2.3101062996525092</c:v>
                </c:pt>
                <c:pt idx="582">
                  <c:v>2.3137610096204693</c:v>
                </c:pt>
                <c:pt idx="583">
                  <c:v>2.3174156188422645</c:v>
                </c:pt>
                <c:pt idx="584">
                  <c:v>2.3210701317166955</c:v>
                </c:pt>
                <c:pt idx="585">
                  <c:v>2.324724552641864</c:v>
                </c:pt>
                <c:pt idx="586">
                  <c:v>2.328378886015212</c:v>
                </c:pt>
                <c:pt idx="587">
                  <c:v>2.332033136233549</c:v>
                </c:pt>
                <c:pt idx="588">
                  <c:v>2.3356873076930817</c:v>
                </c:pt>
                <c:pt idx="589">
                  <c:v>2.3393414047894523</c:v>
                </c:pt>
                <c:pt idx="590">
                  <c:v>2.3429954319177653</c:v>
                </c:pt>
                <c:pt idx="591">
                  <c:v>2.346649393472618</c:v>
                </c:pt>
                <c:pt idx="592">
                  <c:v>2.3503032938481376</c:v>
                </c:pt>
                <c:pt idx="593">
                  <c:v>2.35395713743801</c:v>
                </c:pt>
                <c:pt idx="594">
                  <c:v>2.357610928635509</c:v>
                </c:pt>
                <c:pt idx="595">
                  <c:v>2.3612646718335326</c:v>
                </c:pt>
                <c:pt idx="596">
                  <c:v>2.364918371424633</c:v>
                </c:pt>
                <c:pt idx="597">
                  <c:v>2.3685720318010457</c:v>
                </c:pt>
                <c:pt idx="598">
                  <c:v>2.3722256573547247</c:v>
                </c:pt>
                <c:pt idx="599">
                  <c:v>2.375879252477374</c:v>
                </c:pt>
                <c:pt idx="600">
                  <c:v>2.3795328215604754</c:v>
                </c:pt>
                <c:pt idx="601">
                  <c:v>2.383186368995325</c:v>
                </c:pt>
                <c:pt idx="602">
                  <c:v>2.3868398991730637</c:v>
                </c:pt>
                <c:pt idx="603">
                  <c:v>2.3904934164847043</c:v>
                </c:pt>
                <c:pt idx="604">
                  <c:v>2.39414692532117</c:v>
                </c:pt>
                <c:pt idx="605">
                  <c:v>2.397800430073323</c:v>
                </c:pt>
                <c:pt idx="606">
                  <c:v>2.401453935131993</c:v>
                </c:pt>
                <c:pt idx="607">
                  <c:v>2.4051074448880145</c:v>
                </c:pt>
                <c:pt idx="608">
                  <c:v>2.4087609637322567</c:v>
                </c:pt>
                <c:pt idx="609">
                  <c:v>2.412414496055651</c:v>
                </c:pt>
                <c:pt idx="610">
                  <c:v>2.416068046249228</c:v>
                </c:pt>
                <c:pt idx="611">
                  <c:v>2.419721618704148</c:v>
                </c:pt>
                <c:pt idx="612">
                  <c:v>2.4233752178117314</c:v>
                </c:pt>
                <c:pt idx="613">
                  <c:v>2.4270288479634887</c:v>
                </c:pt>
                <c:pt idx="614">
                  <c:v>2.4306825135511576</c:v>
                </c:pt>
                <c:pt idx="615">
                  <c:v>2.4343362189667275</c:v>
                </c:pt>
                <c:pt idx="616">
                  <c:v>2.437989968602478</c:v>
                </c:pt>
                <c:pt idx="617">
                  <c:v>2.4416437668510085</c:v>
                </c:pt>
                <c:pt idx="618">
                  <c:v>2.445297618105265</c:v>
                </c:pt>
                <c:pt idx="619">
                  <c:v>2.4489515267585786</c:v>
                </c:pt>
                <c:pt idx="620">
                  <c:v>2.4526054972046953</c:v>
                </c:pt>
                <c:pt idx="621">
                  <c:v>2.456259533837804</c:v>
                </c:pt>
                <c:pt idx="622">
                  <c:v>2.459913641052573</c:v>
                </c:pt>
                <c:pt idx="623">
                  <c:v>2.46356782324418</c:v>
                </c:pt>
                <c:pt idx="624">
                  <c:v>2.467222084808342</c:v>
                </c:pt>
                <c:pt idx="625">
                  <c:v>2.4708764301413497</c:v>
                </c:pt>
                <c:pt idx="626">
                  <c:v>2.4745308636400996</c:v>
                </c:pt>
                <c:pt idx="627">
                  <c:v>2.478185389702121</c:v>
                </c:pt>
                <c:pt idx="628">
                  <c:v>2.4818400127256144</c:v>
                </c:pt>
                <c:pt idx="629">
                  <c:v>2.4854947371094793</c:v>
                </c:pt>
                <c:pt idx="630">
                  <c:v>2.489149567253345</c:v>
                </c:pt>
                <c:pt idx="631">
                  <c:v>2.4928045075576066</c:v>
                </c:pt>
                <c:pt idx="632">
                  <c:v>2.4964595624234542</c:v>
                </c:pt>
                <c:pt idx="633">
                  <c:v>2.5001147362529026</c:v>
                </c:pt>
                <c:pt idx="634">
                  <c:v>2.503770033448828</c:v>
                </c:pt>
                <c:pt idx="635">
                  <c:v>2.5074254584149966</c:v>
                </c:pt>
                <c:pt idx="636">
                  <c:v>2.5110810155560985</c:v>
                </c:pt>
                <c:pt idx="637">
                  <c:v>2.5147367092777757</c:v>
                </c:pt>
                <c:pt idx="638">
                  <c:v>2.5183925439866592</c:v>
                </c:pt>
                <c:pt idx="639">
                  <c:v>2.522048524090399</c:v>
                </c:pt>
                <c:pt idx="640">
                  <c:v>2.525704653997692</c:v>
                </c:pt>
                <c:pt idx="641">
                  <c:v>2.5293609381183226</c:v>
                </c:pt>
                <c:pt idx="642">
                  <c:v>2.533017380863185</c:v>
                </c:pt>
                <c:pt idx="643">
                  <c:v>2.5366739866443226</c:v>
                </c:pt>
                <c:pt idx="644">
                  <c:v>2.540330759874958</c:v>
                </c:pt>
                <c:pt idx="645">
                  <c:v>2.543987704969521</c:v>
                </c:pt>
                <c:pt idx="646">
                  <c:v>2.5476448263436873</c:v>
                </c:pt>
                <c:pt idx="647">
                  <c:v>2.5513021284144073</c:v>
                </c:pt>
                <c:pt idx="648">
                  <c:v>2.5549596155999357</c:v>
                </c:pt>
                <c:pt idx="649">
                  <c:v>2.558617292319869</c:v>
                </c:pt>
                <c:pt idx="650">
                  <c:v>2.562275162995175</c:v>
                </c:pt>
                <c:pt idx="651">
                  <c:v>2.565933232048222</c:v>
                </c:pt>
                <c:pt idx="652">
                  <c:v>2.569591503902817</c:v>
                </c:pt>
                <c:pt idx="653">
                  <c:v>2.573249982984235</c:v>
                </c:pt>
                <c:pt idx="654">
                  <c:v>2.5769086737192484</c:v>
                </c:pt>
                <c:pt idx="655">
                  <c:v>2.580567580536165</c:v>
                </c:pt>
                <c:pt idx="656">
                  <c:v>2.584226707864858</c:v>
                </c:pt>
                <c:pt idx="657">
                  <c:v>2.587886060136794</c:v>
                </c:pt>
                <c:pt idx="658">
                  <c:v>2.591545641785073</c:v>
                </c:pt>
                <c:pt idx="659">
                  <c:v>2.595205457244456</c:v>
                </c:pt>
                <c:pt idx="660">
                  <c:v>2.5988655109513994</c:v>
                </c:pt>
                <c:pt idx="661">
                  <c:v>2.602525807344084</c:v>
                </c:pt>
                <c:pt idx="662">
                  <c:v>2.6061863508624525</c:v>
                </c:pt>
                <c:pt idx="663">
                  <c:v>2.6098471459482404</c:v>
                </c:pt>
                <c:pt idx="664">
                  <c:v>2.6135081970450047</c:v>
                </c:pt>
                <c:pt idx="665">
                  <c:v>2.6171695085981628</c:v>
                </c:pt>
                <c:pt idx="666">
                  <c:v>2.6208310850550216</c:v>
                </c:pt>
                <c:pt idx="667">
                  <c:v>2.6244929308648084</c:v>
                </c:pt>
                <c:pt idx="668">
                  <c:v>2.6281550504787083</c:v>
                </c:pt>
                <c:pt idx="669">
                  <c:v>2.631817448349895</c:v>
                </c:pt>
                <c:pt idx="670">
                  <c:v>2.635480128933559</c:v>
                </c:pt>
                <c:pt idx="671">
                  <c:v>2.6391430966869507</c:v>
                </c:pt>
                <c:pt idx="672">
                  <c:v>2.6428063560694013</c:v>
                </c:pt>
                <c:pt idx="673">
                  <c:v>2.646469911542365</c:v>
                </c:pt>
                <c:pt idx="674">
                  <c:v>2.6501337675694483</c:v>
                </c:pt>
                <c:pt idx="675">
                  <c:v>2.653797928616441</c:v>
                </c:pt>
                <c:pt idx="676">
                  <c:v>2.6574623991513535</c:v>
                </c:pt>
                <c:pt idx="677">
                  <c:v>2.661127183644448</c:v>
                </c:pt>
                <c:pt idx="678">
                  <c:v>2.6647922865682685</c:v>
                </c:pt>
                <c:pt idx="679">
                  <c:v>2.6684577123976796</c:v>
                </c:pt>
                <c:pt idx="680">
                  <c:v>2.6721234656098964</c:v>
                </c:pt>
                <c:pt idx="681">
                  <c:v>2.675789550684516</c:v>
                </c:pt>
                <c:pt idx="682">
                  <c:v>2.6794559721035562</c:v>
                </c:pt>
                <c:pt idx="683">
                  <c:v>2.6831227343514836</c:v>
                </c:pt>
                <c:pt idx="684">
                  <c:v>2.6867898419152505</c:v>
                </c:pt>
                <c:pt idx="685">
                  <c:v>2.6904572992843234</c:v>
                </c:pt>
                <c:pt idx="686">
                  <c:v>2.6941251109507234</c:v>
                </c:pt>
                <c:pt idx="687">
                  <c:v>2.6977932814090555</c:v>
                </c:pt>
                <c:pt idx="688">
                  <c:v>2.7014618151565406</c:v>
                </c:pt>
                <c:pt idx="689">
                  <c:v>2.7051307166930534</c:v>
                </c:pt>
                <c:pt idx="690">
                  <c:v>2.7087999905211544</c:v>
                </c:pt>
                <c:pt idx="691">
                  <c:v>2.7124696411461198</c:v>
                </c:pt>
                <c:pt idx="692">
                  <c:v>2.7161396730759817</c:v>
                </c:pt>
                <c:pt idx="693">
                  <c:v>2.719810090821559</c:v>
                </c:pt>
                <c:pt idx="694">
                  <c:v>2.7234808988964874</c:v>
                </c:pt>
                <c:pt idx="695">
                  <c:v>2.72715210181726</c:v>
                </c:pt>
                <c:pt idx="696">
                  <c:v>2.7308237041032593</c:v>
                </c:pt>
                <c:pt idx="697">
                  <c:v>2.7344957102767853</c:v>
                </c:pt>
                <c:pt idx="698">
                  <c:v>2.738168124863099</c:v>
                </c:pt>
                <c:pt idx="699">
                  <c:v>2.741840952390448</c:v>
                </c:pt>
                <c:pt idx="700">
                  <c:v>2.745514197390108</c:v>
                </c:pt>
                <c:pt idx="701">
                  <c:v>2.7491878643964123</c:v>
                </c:pt>
                <c:pt idx="702">
                  <c:v>2.752861957946785</c:v>
                </c:pt>
                <c:pt idx="703">
                  <c:v>2.7565364825817804</c:v>
                </c:pt>
                <c:pt idx="704">
                  <c:v>2.7602114428451148</c:v>
                </c:pt>
                <c:pt idx="705">
                  <c:v>2.7638868432836974</c:v>
                </c:pt>
                <c:pt idx="706">
                  <c:v>2.7675626884476716</c:v>
                </c:pt>
                <c:pt idx="707">
                  <c:v>2.771238982890445</c:v>
                </c:pt>
                <c:pt idx="708">
                  <c:v>2.7749157311687256</c:v>
                </c:pt>
                <c:pt idx="709">
                  <c:v>2.7785929378425545</c:v>
                </c:pt>
                <c:pt idx="710">
                  <c:v>2.782270607475344</c:v>
                </c:pt>
                <c:pt idx="711">
                  <c:v>2.7859487446339104</c:v>
                </c:pt>
                <c:pt idx="712">
                  <c:v>2.7896273538885072</c:v>
                </c:pt>
                <c:pt idx="713">
                  <c:v>2.793306439812864</c:v>
                </c:pt>
                <c:pt idx="714">
                  <c:v>2.7969860069842207</c:v>
                </c:pt>
                <c:pt idx="715">
                  <c:v>2.800666059983357</c:v>
                </c:pt>
                <c:pt idx="716">
                  <c:v>2.8043466033946354</c:v>
                </c:pt>
                <c:pt idx="717">
                  <c:v>2.8080276418060333</c:v>
                </c:pt>
                <c:pt idx="718">
                  <c:v>2.8117091798091742</c:v>
                </c:pt>
                <c:pt idx="719">
                  <c:v>2.81539122199937</c:v>
                </c:pt>
                <c:pt idx="720">
                  <c:v>2.819073772975653</c:v>
                </c:pt>
                <c:pt idx="721">
                  <c:v>2.822756837340809</c:v>
                </c:pt>
                <c:pt idx="722">
                  <c:v>2.826440419701418</c:v>
                </c:pt>
                <c:pt idx="723">
                  <c:v>2.8301245246678866</c:v>
                </c:pt>
                <c:pt idx="724">
                  <c:v>2.8338091568544823</c:v>
                </c:pt>
                <c:pt idx="725">
                  <c:v>2.8374943208793733</c:v>
                </c:pt>
                <c:pt idx="726">
                  <c:v>2.841180021364663</c:v>
                </c:pt>
                <c:pt idx="727">
                  <c:v>2.8448662629364216</c:v>
                </c:pt>
                <c:pt idx="728">
                  <c:v>2.8485530502247296</c:v>
                </c:pt>
                <c:pt idx="729">
                  <c:v>2.8522403878637066</c:v>
                </c:pt>
                <c:pt idx="730">
                  <c:v>2.855928280491553</c:v>
                </c:pt>
                <c:pt idx="731">
                  <c:v>2.8596167327505837</c:v>
                </c:pt>
                <c:pt idx="732">
                  <c:v>2.8633057492872647</c:v>
                </c:pt>
                <c:pt idx="733">
                  <c:v>2.8669953347522474</c:v>
                </c:pt>
                <c:pt idx="734">
                  <c:v>2.8706854938004094</c:v>
                </c:pt>
                <c:pt idx="735">
                  <c:v>2.8743762310908885</c:v>
                </c:pt>
                <c:pt idx="736">
                  <c:v>2.878067551287117</c:v>
                </c:pt>
                <c:pt idx="737">
                  <c:v>2.881759459056864</c:v>
                </c:pt>
                <c:pt idx="738">
                  <c:v>2.885451959072268</c:v>
                </c:pt>
                <c:pt idx="739">
                  <c:v>2.8891450560098733</c:v>
                </c:pt>
                <c:pt idx="740">
                  <c:v>2.89283875455067</c:v>
                </c:pt>
                <c:pt idx="741">
                  <c:v>2.896533059380131</c:v>
                </c:pt>
                <c:pt idx="742">
                  <c:v>2.9002279751882427</c:v>
                </c:pt>
                <c:pt idx="743">
                  <c:v>2.9039235066695515</c:v>
                </c:pt>
                <c:pt idx="744">
                  <c:v>2.9076196585231955</c:v>
                </c:pt>
                <c:pt idx="745">
                  <c:v>2.9113164354529406</c:v>
                </c:pt>
                <c:pt idx="746">
                  <c:v>2.9150138421672236</c:v>
                </c:pt>
                <c:pt idx="747">
                  <c:v>2.9187118833791854</c:v>
                </c:pt>
                <c:pt idx="748">
                  <c:v>2.9224105638067077</c:v>
                </c:pt>
                <c:pt idx="749">
                  <c:v>2.9261098881724554</c:v>
                </c:pt>
                <c:pt idx="750">
                  <c:v>2.929809861203911</c:v>
                </c:pt>
                <c:pt idx="751">
                  <c:v>2.933510487633411</c:v>
                </c:pt>
                <c:pt idx="752">
                  <c:v>2.937211772198189</c:v>
                </c:pt>
                <c:pt idx="753">
                  <c:v>2.94091371964041</c:v>
                </c:pt>
                <c:pt idx="754">
                  <c:v>2.9446163347072076</c:v>
                </c:pt>
                <c:pt idx="755">
                  <c:v>2.9483196221507266</c:v>
                </c:pt>
                <c:pt idx="756">
                  <c:v>2.9520235867281577</c:v>
                </c:pt>
                <c:pt idx="757">
                  <c:v>2.955728233201778</c:v>
                </c:pt>
                <c:pt idx="758">
                  <c:v>2.959433566338986</c:v>
                </c:pt>
                <c:pt idx="759">
                  <c:v>2.9631395909123466</c:v>
                </c:pt>
                <c:pt idx="760">
                  <c:v>2.9668463116996246</c:v>
                </c:pt>
                <c:pt idx="761">
                  <c:v>2.9705537334838237</c:v>
                </c:pt>
                <c:pt idx="762">
                  <c:v>2.974261861053229</c:v>
                </c:pt>
                <c:pt idx="763">
                  <c:v>2.9779706992014443</c:v>
                </c:pt>
                <c:pt idx="764">
                  <c:v>2.981680252727428</c:v>
                </c:pt>
                <c:pt idx="765">
                  <c:v>2.9853905264355385</c:v>
                </c:pt>
                <c:pt idx="766">
                  <c:v>2.9891015251355695</c:v>
                </c:pt>
                <c:pt idx="767">
                  <c:v>2.9928132536427885</c:v>
                </c:pt>
                <c:pt idx="768">
                  <c:v>2.9965257167779815</c:v>
                </c:pt>
                <c:pt idx="769">
                  <c:v>3.0002389193674857</c:v>
                </c:pt>
                <c:pt idx="770">
                  <c:v>3.0039528662432367</c:v>
                </c:pt>
                <c:pt idx="771">
                  <c:v>3.007667562242801</c:v>
                </c:pt>
                <c:pt idx="772">
                  <c:v>3.0113830122094223</c:v>
                </c:pt>
                <c:pt idx="773">
                  <c:v>3.0150992209920595</c:v>
                </c:pt>
                <c:pt idx="774">
                  <c:v>3.0188161934454234</c:v>
                </c:pt>
                <c:pt idx="775">
                  <c:v>3.022533934430023</c:v>
                </c:pt>
                <c:pt idx="776">
                  <c:v>3.026252448812202</c:v>
                </c:pt>
                <c:pt idx="777">
                  <c:v>3.0299717414641796</c:v>
                </c:pt>
                <c:pt idx="778">
                  <c:v>3.0336918172640934</c:v>
                </c:pt>
                <c:pt idx="779">
                  <c:v>3.037412681096038</c:v>
                </c:pt>
                <c:pt idx="780">
                  <c:v>3.041134337850108</c:v>
                </c:pt>
                <c:pt idx="781">
                  <c:v>3.044856792422434</c:v>
                </c:pt>
                <c:pt idx="782">
                  <c:v>3.048580049715232</c:v>
                </c:pt>
                <c:pt idx="783">
                  <c:v>3.052304114636839</c:v>
                </c:pt>
                <c:pt idx="784">
                  <c:v>3.056028992101752</c:v>
                </c:pt>
                <c:pt idx="785">
                  <c:v>3.0597546870306767</c:v>
                </c:pt>
                <c:pt idx="786">
                  <c:v>3.063481204350566</c:v>
                </c:pt>
                <c:pt idx="787">
                  <c:v>3.0672085489946577</c:v>
                </c:pt>
                <c:pt idx="788">
                  <c:v>3.070936725902522</c:v>
                </c:pt>
                <c:pt idx="789">
                  <c:v>3.074665740020103</c:v>
                </c:pt>
                <c:pt idx="790">
                  <c:v>3.0783955962997545</c:v>
                </c:pt>
                <c:pt idx="791">
                  <c:v>3.082126299700291</c:v>
                </c:pt>
                <c:pt idx="792">
                  <c:v>3.0858578551870255</c:v>
                </c:pt>
                <c:pt idx="793">
                  <c:v>3.08959026773181</c:v>
                </c:pt>
                <c:pt idx="794">
                  <c:v>3.0933235423130827</c:v>
                </c:pt>
                <c:pt idx="795">
                  <c:v>3.0970576839159096</c:v>
                </c:pt>
                <c:pt idx="796">
                  <c:v>3.100792697532023</c:v>
                </c:pt>
                <c:pt idx="797">
                  <c:v>3.104528588159871</c:v>
                </c:pt>
                <c:pt idx="798">
                  <c:v>3.1082653608046584</c:v>
                </c:pt>
                <c:pt idx="799">
                  <c:v>3.112003020478385</c:v>
                </c:pt>
                <c:pt idx="800">
                  <c:v>3.1157415721998967</c:v>
                </c:pt>
                <c:pt idx="801">
                  <c:v>3.1657415721998965</c:v>
                </c:pt>
                <c:pt idx="802">
                  <c:v>3.2157415721998963</c:v>
                </c:pt>
                <c:pt idx="803">
                  <c:v>3.265741572199896</c:v>
                </c:pt>
                <c:pt idx="804">
                  <c:v>3.315741572199896</c:v>
                </c:pt>
                <c:pt idx="805">
                  <c:v>3.365741572199896</c:v>
                </c:pt>
                <c:pt idx="806">
                  <c:v>3.4157415721998956</c:v>
                </c:pt>
                <c:pt idx="807">
                  <c:v>3.4657415721998954</c:v>
                </c:pt>
                <c:pt idx="808">
                  <c:v>3.5157415721998952</c:v>
                </c:pt>
                <c:pt idx="809">
                  <c:v>3.565741572199895</c:v>
                </c:pt>
                <c:pt idx="810">
                  <c:v>3.615741572199895</c:v>
                </c:pt>
                <c:pt idx="811">
                  <c:v>3.6657415721998947</c:v>
                </c:pt>
                <c:pt idx="812">
                  <c:v>3.7157415721998945</c:v>
                </c:pt>
                <c:pt idx="813">
                  <c:v>3.7657415721998944</c:v>
                </c:pt>
                <c:pt idx="814">
                  <c:v>3.815741572199894</c:v>
                </c:pt>
                <c:pt idx="815">
                  <c:v>3.865741572199894</c:v>
                </c:pt>
                <c:pt idx="816">
                  <c:v>3.915741572199894</c:v>
                </c:pt>
                <c:pt idx="817">
                  <c:v>3.9657415721998936</c:v>
                </c:pt>
                <c:pt idx="818">
                  <c:v>4.015741572199894</c:v>
                </c:pt>
                <c:pt idx="819">
                  <c:v>4.065741572199894</c:v>
                </c:pt>
                <c:pt idx="820">
                  <c:v>4.115741572199894</c:v>
                </c:pt>
                <c:pt idx="821">
                  <c:v>4.115741572199894</c:v>
                </c:pt>
                <c:pt idx="822">
                  <c:v>4.1191561653413045</c:v>
                </c:pt>
                <c:pt idx="823">
                  <c:v>4.122570108516882</c:v>
                </c:pt>
                <c:pt idx="824">
                  <c:v>4.12598340343376</c:v>
                </c:pt>
                <c:pt idx="825">
                  <c:v>4.129396051797266</c:v>
                </c:pt>
                <c:pt idx="826">
                  <c:v>4.13280805531093</c:v>
                </c:pt>
                <c:pt idx="827">
                  <c:v>4.136219415676488</c:v>
                </c:pt>
                <c:pt idx="828">
                  <c:v>4.139630134593895</c:v>
                </c:pt>
                <c:pt idx="829">
                  <c:v>4.143040213761317</c:v>
                </c:pt>
                <c:pt idx="830">
                  <c:v>4.146449654875151</c:v>
                </c:pt>
                <c:pt idx="831">
                  <c:v>4.149858459630022</c:v>
                </c:pt>
                <c:pt idx="832">
                  <c:v>4.153266629718792</c:v>
                </c:pt>
                <c:pt idx="833">
                  <c:v>4.1566741668325635</c:v>
                </c:pt>
                <c:pt idx="834">
                  <c:v>4.160081072660686</c:v>
                </c:pt>
                <c:pt idx="835">
                  <c:v>4.163487348890764</c:v>
                </c:pt>
                <c:pt idx="836">
                  <c:v>4.1668929972086595</c:v>
                </c:pt>
                <c:pt idx="837">
                  <c:v>4.170298019298499</c:v>
                </c:pt>
                <c:pt idx="838">
                  <c:v>4.173702416842676</c:v>
                </c:pt>
                <c:pt idx="839">
                  <c:v>4.177106191521866</c:v>
                </c:pt>
                <c:pt idx="840">
                  <c:v>4.180509345015019</c:v>
                </c:pt>
                <c:pt idx="841">
                  <c:v>4.183911878999373</c:v>
                </c:pt>
                <c:pt idx="842">
                  <c:v>4.187313795150461</c:v>
                </c:pt>
                <c:pt idx="843">
                  <c:v>4.190715095142109</c:v>
                </c:pt>
                <c:pt idx="844">
                  <c:v>4.194115780646451</c:v>
                </c:pt>
                <c:pt idx="845">
                  <c:v>4.1975158533339245</c:v>
                </c:pt>
                <c:pt idx="846">
                  <c:v>4.200915314873286</c:v>
                </c:pt>
                <c:pt idx="847">
                  <c:v>4.204314166931607</c:v>
                </c:pt>
                <c:pt idx="848">
                  <c:v>4.207712411174288</c:v>
                </c:pt>
                <c:pt idx="849">
                  <c:v>4.211110049265057</c:v>
                </c:pt>
                <c:pt idx="850">
                  <c:v>4.214507082865977</c:v>
                </c:pt>
                <c:pt idx="851">
                  <c:v>4.2179035136374585</c:v>
                </c:pt>
                <c:pt idx="852">
                  <c:v>4.221299343238251</c:v>
                </c:pt>
                <c:pt idx="853">
                  <c:v>4.224694573325461</c:v>
                </c:pt>
                <c:pt idx="854">
                  <c:v>4.228089205554552</c:v>
                </c:pt>
                <c:pt idx="855">
                  <c:v>4.2314832415793475</c:v>
                </c:pt>
                <c:pt idx="856">
                  <c:v>4.234876683052042</c:v>
                </c:pt>
                <c:pt idx="857">
                  <c:v>4.238269531623204</c:v>
                </c:pt>
                <c:pt idx="858">
                  <c:v>4.241661788941779</c:v>
                </c:pt>
                <c:pt idx="859">
                  <c:v>4.245053456655099</c:v>
                </c:pt>
                <c:pt idx="860">
                  <c:v>4.248444536408884</c:v>
                </c:pt>
                <c:pt idx="861">
                  <c:v>4.251835029847248</c:v>
                </c:pt>
                <c:pt idx="862">
                  <c:v>4.255224938612709</c:v>
                </c:pt>
                <c:pt idx="863">
                  <c:v>4.258614264346186</c:v>
                </c:pt>
                <c:pt idx="864">
                  <c:v>4.262003008687012</c:v>
                </c:pt>
                <c:pt idx="865">
                  <c:v>4.265391173272937</c:v>
                </c:pt>
                <c:pt idx="866">
                  <c:v>4.268778759740128</c:v>
                </c:pt>
                <c:pt idx="867">
                  <c:v>4.272165769723182</c:v>
                </c:pt>
                <c:pt idx="868">
                  <c:v>4.275552204855128</c:v>
                </c:pt>
                <c:pt idx="869">
                  <c:v>4.278938066767429</c:v>
                </c:pt>
                <c:pt idx="870">
                  <c:v>4.282323357089994</c:v>
                </c:pt>
                <c:pt idx="871">
                  <c:v>4.2857080774511775</c:v>
                </c:pt>
                <c:pt idx="872">
                  <c:v>4.289092229477785</c:v>
                </c:pt>
                <c:pt idx="873">
                  <c:v>4.292475814795085</c:v>
                </c:pt>
                <c:pt idx="874">
                  <c:v>4.295858835026805</c:v>
                </c:pt>
                <c:pt idx="875">
                  <c:v>4.29924129179514</c:v>
                </c:pt>
                <c:pt idx="876">
                  <c:v>4.302623186720761</c:v>
                </c:pt>
                <c:pt idx="877">
                  <c:v>4.306004521422816</c:v>
                </c:pt>
                <c:pt idx="878">
                  <c:v>4.3093852975189355</c:v>
                </c:pt>
                <c:pt idx="879">
                  <c:v>4.31276551662524</c:v>
                </c:pt>
                <c:pt idx="880">
                  <c:v>4.3161451803563455</c:v>
                </c:pt>
                <c:pt idx="881">
                  <c:v>4.319524290325364</c:v>
                </c:pt>
                <c:pt idx="882">
                  <c:v>4.322902848143913</c:v>
                </c:pt>
                <c:pt idx="883">
                  <c:v>4.326280855422119</c:v>
                </c:pt>
                <c:pt idx="884">
                  <c:v>4.329658313768621</c:v>
                </c:pt>
                <c:pt idx="885">
                  <c:v>4.333035224790579</c:v>
                </c:pt>
                <c:pt idx="886">
                  <c:v>4.336411590093675</c:v>
                </c:pt>
                <c:pt idx="887">
                  <c:v>4.339787411282125</c:v>
                </c:pt>
                <c:pt idx="888">
                  <c:v>4.343162689958674</c:v>
                </c:pt>
                <c:pt idx="889">
                  <c:v>4.346537427724607</c:v>
                </c:pt>
                <c:pt idx="890">
                  <c:v>4.349911626179757</c:v>
                </c:pt>
                <c:pt idx="891">
                  <c:v>4.353285286922501</c:v>
                </c:pt>
                <c:pt idx="892">
                  <c:v>4.356658411549775</c:v>
                </c:pt>
                <c:pt idx="893">
                  <c:v>4.36003100165707</c:v>
                </c:pt>
                <c:pt idx="894">
                  <c:v>4.363403058838445</c:v>
                </c:pt>
                <c:pt idx="895">
                  <c:v>4.366774584686526</c:v>
                </c:pt>
                <c:pt idx="896">
                  <c:v>4.370145580792513</c:v>
                </c:pt>
                <c:pt idx="897">
                  <c:v>4.373516048746184</c:v>
                </c:pt>
                <c:pt idx="898">
                  <c:v>4.3768859901359045</c:v>
                </c:pt>
                <c:pt idx="899">
                  <c:v>4.380255406548625</c:v>
                </c:pt>
                <c:pt idx="900">
                  <c:v>4.383624299569891</c:v>
                </c:pt>
                <c:pt idx="901">
                  <c:v>4.386992670783846</c:v>
                </c:pt>
                <c:pt idx="902">
                  <c:v>4.390360521773239</c:v>
                </c:pt>
                <c:pt idx="903">
                  <c:v>4.393727854119426</c:v>
                </c:pt>
                <c:pt idx="904">
                  <c:v>4.397094669402375</c:v>
                </c:pt>
                <c:pt idx="905">
                  <c:v>4.400460969200674</c:v>
                </c:pt>
                <c:pt idx="906">
                  <c:v>4.403826755091533</c:v>
                </c:pt>
                <c:pt idx="907">
                  <c:v>4.407192028650789</c:v>
                </c:pt>
                <c:pt idx="908">
                  <c:v>4.410556791452911</c:v>
                </c:pt>
                <c:pt idx="909">
                  <c:v>4.413921045071009</c:v>
                </c:pt>
                <c:pt idx="910">
                  <c:v>4.417284791076833</c:v>
                </c:pt>
                <c:pt idx="911">
                  <c:v>4.420648031040778</c:v>
                </c:pt>
                <c:pt idx="912">
                  <c:v>4.424010766531893</c:v>
                </c:pt>
                <c:pt idx="913">
                  <c:v>4.427372999117883</c:v>
                </c:pt>
                <c:pt idx="914">
                  <c:v>4.4307347303651134</c:v>
                </c:pt>
                <c:pt idx="915">
                  <c:v>4.434095961838617</c:v>
                </c:pt>
                <c:pt idx="916">
                  <c:v>4.437456695102097</c:v>
                </c:pt>
                <c:pt idx="917">
                  <c:v>4.440816931717932</c:v>
                </c:pt>
                <c:pt idx="918">
                  <c:v>4.44417667324718</c:v>
                </c:pt>
                <c:pt idx="919">
                  <c:v>4.447535921249586</c:v>
                </c:pt>
                <c:pt idx="920">
                  <c:v>4.450894677283582</c:v>
                </c:pt>
                <c:pt idx="921">
                  <c:v>4.4542529429062965</c:v>
                </c:pt>
                <c:pt idx="922">
                  <c:v>4.457610719673554</c:v>
                </c:pt>
                <c:pt idx="923">
                  <c:v>4.460968009139889</c:v>
                </c:pt>
                <c:pt idx="924">
                  <c:v>4.464324812858538</c:v>
                </c:pt>
                <c:pt idx="925">
                  <c:v>4.467681132381454</c:v>
                </c:pt>
                <c:pt idx="926">
                  <c:v>4.471036969259306</c:v>
                </c:pt>
                <c:pt idx="927">
                  <c:v>4.474392325041488</c:v>
                </c:pt>
                <c:pt idx="928">
                  <c:v>4.4777472012761175</c:v>
                </c:pt>
                <c:pt idx="929">
                  <c:v>4.481101599510046</c:v>
                </c:pt>
                <c:pt idx="930">
                  <c:v>4.4844555212888615</c:v>
                </c:pt>
                <c:pt idx="931">
                  <c:v>4.487808968156892</c:v>
                </c:pt>
                <c:pt idx="932">
                  <c:v>4.491161941657211</c:v>
                </c:pt>
                <c:pt idx="933">
                  <c:v>4.494514443331642</c:v>
                </c:pt>
                <c:pt idx="934">
                  <c:v>4.497866474720765</c:v>
                </c:pt>
                <c:pt idx="935">
                  <c:v>4.501218037363917</c:v>
                </c:pt>
                <c:pt idx="936">
                  <c:v>4.504569132799199</c:v>
                </c:pt>
                <c:pt idx="937">
                  <c:v>4.507919762563484</c:v>
                </c:pt>
                <c:pt idx="938">
                  <c:v>4.511269928192412</c:v>
                </c:pt>
                <c:pt idx="939">
                  <c:v>4.514619631220406</c:v>
                </c:pt>
                <c:pt idx="940">
                  <c:v>4.517968873180668</c:v>
                </c:pt>
                <c:pt idx="941">
                  <c:v>4.521317655605188</c:v>
                </c:pt>
                <c:pt idx="942">
                  <c:v>4.5246659800247455</c:v>
                </c:pt>
                <c:pt idx="943">
                  <c:v>4.528013847968917</c:v>
                </c:pt>
                <c:pt idx="944">
                  <c:v>4.53136126096608</c:v>
                </c:pt>
                <c:pt idx="945">
                  <c:v>4.534708220543415</c:v>
                </c:pt>
                <c:pt idx="946">
                  <c:v>4.5380547282269115</c:v>
                </c:pt>
                <c:pt idx="947">
                  <c:v>4.5414007855413745</c:v>
                </c:pt>
                <c:pt idx="948">
                  <c:v>4.544746394010426</c:v>
                </c:pt>
                <c:pt idx="949">
                  <c:v>4.5480915551565095</c:v>
                </c:pt>
                <c:pt idx="950">
                  <c:v>4.551436270500897</c:v>
                </c:pt>
                <c:pt idx="951">
                  <c:v>4.554780541563691</c:v>
                </c:pt>
                <c:pt idx="952">
                  <c:v>4.558124369863831</c:v>
                </c:pt>
                <c:pt idx="953">
                  <c:v>4.561467756919098</c:v>
                </c:pt>
                <c:pt idx="954">
                  <c:v>4.5648107042461135</c:v>
                </c:pt>
                <c:pt idx="955">
                  <c:v>4.568153213360352</c:v>
                </c:pt>
                <c:pt idx="956">
                  <c:v>4.571495285776141</c:v>
                </c:pt>
                <c:pt idx="957">
                  <c:v>4.574836923006664</c:v>
                </c:pt>
                <c:pt idx="958">
                  <c:v>4.5781781265639685</c:v>
                </c:pt>
                <c:pt idx="959">
                  <c:v>4.58151889795897</c:v>
                </c:pt>
                <c:pt idx="960">
                  <c:v>4.584859238701453</c:v>
                </c:pt>
                <c:pt idx="961">
                  <c:v>4.5881991503000785</c:v>
                </c:pt>
                <c:pt idx="962">
                  <c:v>4.591538634262387</c:v>
                </c:pt>
                <c:pt idx="963">
                  <c:v>4.594877692094805</c:v>
                </c:pt>
                <c:pt idx="964">
                  <c:v>4.598216325302644</c:v>
                </c:pt>
                <c:pt idx="965">
                  <c:v>4.601554535390112</c:v>
                </c:pt>
                <c:pt idx="966">
                  <c:v>4.604892323860314</c:v>
                </c:pt>
                <c:pt idx="967">
                  <c:v>4.608229692215255</c:v>
                </c:pt>
                <c:pt idx="968">
                  <c:v>4.611566641955846</c:v>
                </c:pt>
                <c:pt idx="969">
                  <c:v>4.614903174581909</c:v>
                </c:pt>
                <c:pt idx="970">
                  <c:v>4.6182392915921815</c:v>
                </c:pt>
                <c:pt idx="971">
                  <c:v>4.621574994484319</c:v>
                </c:pt>
                <c:pt idx="972">
                  <c:v>4.624910284754898</c:v>
                </c:pt>
                <c:pt idx="973">
                  <c:v>4.628245163899427</c:v>
                </c:pt>
                <c:pt idx="974">
                  <c:v>4.631579633412343</c:v>
                </c:pt>
                <c:pt idx="975">
                  <c:v>4.63491369478702</c:v>
                </c:pt>
                <c:pt idx="976">
                  <c:v>4.638247349515772</c:v>
                </c:pt>
                <c:pt idx="977">
                  <c:v>4.641580599089857</c:v>
                </c:pt>
                <c:pt idx="978">
                  <c:v>4.644913444999483</c:v>
                </c:pt>
                <c:pt idx="979">
                  <c:v>4.648245888733812</c:v>
                </c:pt>
                <c:pt idx="980">
                  <c:v>4.651577931780959</c:v>
                </c:pt>
                <c:pt idx="981">
                  <c:v>4.654909575628005</c:v>
                </c:pt>
                <c:pt idx="982">
                  <c:v>4.6582408217609945</c:v>
                </c:pt>
                <c:pt idx="983">
                  <c:v>4.661571671664944</c:v>
                </c:pt>
                <c:pt idx="984">
                  <c:v>4.66490212682384</c:v>
                </c:pt>
                <c:pt idx="985">
                  <c:v>4.668232188720651</c:v>
                </c:pt>
                <c:pt idx="986">
                  <c:v>4.671561858837328</c:v>
                </c:pt>
                <c:pt idx="987">
                  <c:v>4.6748911386548055</c:v>
                </c:pt>
                <c:pt idx="988">
                  <c:v>4.678220029653013</c:v>
                </c:pt>
                <c:pt idx="989">
                  <c:v>4.681548533310873</c:v>
                </c:pt>
                <c:pt idx="990">
                  <c:v>4.684876651106307</c:v>
                </c:pt>
                <c:pt idx="991">
                  <c:v>4.68820438451624</c:v>
                </c:pt>
                <c:pt idx="992">
                  <c:v>4.691531735016605</c:v>
                </c:pt>
                <c:pt idx="993">
                  <c:v>4.694858704082348</c:v>
                </c:pt>
                <c:pt idx="994">
                  <c:v>4.698185293187427</c:v>
                </c:pt>
                <c:pt idx="995">
                  <c:v>4.701511503804825</c:v>
                </c:pt>
                <c:pt idx="996">
                  <c:v>4.704837337406547</c:v>
                </c:pt>
                <c:pt idx="997">
                  <c:v>4.708162795463624</c:v>
                </c:pt>
                <c:pt idx="998">
                  <c:v>4.711487879446121</c:v>
                </c:pt>
                <c:pt idx="999">
                  <c:v>4.714812590823142</c:v>
                </c:pt>
                <c:pt idx="1000">
                  <c:v>4.718136931062828</c:v>
                </c:pt>
                <c:pt idx="1001">
                  <c:v>4.721460901632366</c:v>
                </c:pt>
                <c:pt idx="1002">
                  <c:v>4.724784503997992</c:v>
                </c:pt>
                <c:pt idx="1003">
                  <c:v>4.7281077396249955</c:v>
                </c:pt>
                <c:pt idx="1004">
                  <c:v>4.731430609977722</c:v>
                </c:pt>
                <c:pt idx="1005">
                  <c:v>4.7347531165195775</c:v>
                </c:pt>
                <c:pt idx="1006">
                  <c:v>4.738075260713034</c:v>
                </c:pt>
                <c:pt idx="1007">
                  <c:v>4.741397044019632</c:v>
                </c:pt>
                <c:pt idx="1008">
                  <c:v>4.744718467899984</c:v>
                </c:pt>
                <c:pt idx="1009">
                  <c:v>4.7480395338137855</c:v>
                </c:pt>
                <c:pt idx="1010">
                  <c:v>4.751360243219807</c:v>
                </c:pt>
                <c:pt idx="1011">
                  <c:v>4.754680597575906</c:v>
                </c:pt>
                <c:pt idx="1012">
                  <c:v>4.75800059833903</c:v>
                </c:pt>
                <c:pt idx="1013">
                  <c:v>4.761320246965219</c:v>
                </c:pt>
                <c:pt idx="1014">
                  <c:v>4.764639544909612</c:v>
                </c:pt>
                <c:pt idx="1015">
                  <c:v>4.767958493626448</c:v>
                </c:pt>
                <c:pt idx="1016">
                  <c:v>4.771277094569073</c:v>
                </c:pt>
                <c:pt idx="1017">
                  <c:v>4.77459534918994</c:v>
                </c:pt>
                <c:pt idx="1018">
                  <c:v>4.777913258940617</c:v>
                </c:pt>
                <c:pt idx="1019">
                  <c:v>4.781230825271789</c:v>
                </c:pt>
                <c:pt idx="1020">
                  <c:v>4.784548049633264</c:v>
                </c:pt>
                <c:pt idx="1021">
                  <c:v>4.787864933473972</c:v>
                </c:pt>
                <c:pt idx="1022">
                  <c:v>4.791181478241974</c:v>
                </c:pt>
                <c:pt idx="1023">
                  <c:v>4.794497685384466</c:v>
                </c:pt>
                <c:pt idx="1024">
                  <c:v>4.79781355634778</c:v>
                </c:pt>
                <c:pt idx="1025">
                  <c:v>4.801129092577387</c:v>
                </c:pt>
                <c:pt idx="1026">
                  <c:v>4.804444295517907</c:v>
                </c:pt>
                <c:pt idx="1027">
                  <c:v>4.807759166613106</c:v>
                </c:pt>
                <c:pt idx="1028">
                  <c:v>4.811073707305906</c:v>
                </c:pt>
                <c:pt idx="1029">
                  <c:v>4.814387919038381</c:v>
                </c:pt>
                <c:pt idx="1030">
                  <c:v>4.817701803251773</c:v>
                </c:pt>
                <c:pt idx="1031">
                  <c:v>4.8210153613864835</c:v>
                </c:pt>
                <c:pt idx="1032">
                  <c:v>4.8243285948820835</c:v>
                </c:pt>
                <c:pt idx="1033">
                  <c:v>4.8276415051773185</c:v>
                </c:pt>
                <c:pt idx="1034">
                  <c:v>4.830954093710109</c:v>
                </c:pt>
                <c:pt idx="1035">
                  <c:v>4.834266361917558</c:v>
                </c:pt>
                <c:pt idx="1036">
                  <c:v>4.837578311235949</c:v>
                </c:pt>
                <c:pt idx="1037">
                  <c:v>4.840889943100758</c:v>
                </c:pt>
                <c:pt idx="1038">
                  <c:v>4.844201258946651</c:v>
                </c:pt>
                <c:pt idx="1039">
                  <c:v>4.847512260207489</c:v>
                </c:pt>
                <c:pt idx="1040">
                  <c:v>4.8508229483163365</c:v>
                </c:pt>
                <c:pt idx="1041">
                  <c:v>4.854133324705458</c:v>
                </c:pt>
                <c:pt idx="1042">
                  <c:v>4.857443390806327</c:v>
                </c:pt>
                <c:pt idx="1043">
                  <c:v>4.8607531480496275</c:v>
                </c:pt>
                <c:pt idx="1044">
                  <c:v>4.864062597865263</c:v>
                </c:pt>
                <c:pt idx="1045">
                  <c:v>4.867371741682351</c:v>
                </c:pt>
                <c:pt idx="1046">
                  <c:v>4.8706805809292355</c:v>
                </c:pt>
                <c:pt idx="1047">
                  <c:v>4.873989117033485</c:v>
                </c:pt>
                <c:pt idx="1048">
                  <c:v>4.8772973514219</c:v>
                </c:pt>
                <c:pt idx="1049">
                  <c:v>4.880605285520516</c:v>
                </c:pt>
                <c:pt idx="1050">
                  <c:v>4.883912920754605</c:v>
                </c:pt>
                <c:pt idx="1051">
                  <c:v>4.887220258548683</c:v>
                </c:pt>
                <c:pt idx="1052">
                  <c:v>4.890527300326512</c:v>
                </c:pt>
                <c:pt idx="1053">
                  <c:v>4.893834047511103</c:v>
                </c:pt>
                <c:pt idx="1054">
                  <c:v>4.89714050152472</c:v>
                </c:pt>
                <c:pt idx="1055">
                  <c:v>4.900446663788886</c:v>
                </c:pt>
                <c:pt idx="1056">
                  <c:v>4.903752535724384</c:v>
                </c:pt>
                <c:pt idx="1057">
                  <c:v>4.907058118751261</c:v>
                </c:pt>
                <c:pt idx="1058">
                  <c:v>4.910363414288838</c:v>
                </c:pt>
                <c:pt idx="1059">
                  <c:v>4.913668423755702</c:v>
                </c:pt>
                <c:pt idx="1060">
                  <c:v>4.91697314856972</c:v>
                </c:pt>
                <c:pt idx="1061">
                  <c:v>4.920277590148038</c:v>
                </c:pt>
                <c:pt idx="1062">
                  <c:v>4.923581749907086</c:v>
                </c:pt>
                <c:pt idx="1063">
                  <c:v>4.926885629262583</c:v>
                </c:pt>
                <c:pt idx="1064">
                  <c:v>4.930189229629536</c:v>
                </c:pt>
                <c:pt idx="1065">
                  <c:v>4.93349255242225</c:v>
                </c:pt>
                <c:pt idx="1066">
                  <c:v>4.936795599054331</c:v>
                </c:pt>
                <c:pt idx="1067">
                  <c:v>4.940098370938681</c:v>
                </c:pt>
                <c:pt idx="1068">
                  <c:v>4.943400869487516</c:v>
                </c:pt>
                <c:pt idx="1069">
                  <c:v>4.946703096112357</c:v>
                </c:pt>
                <c:pt idx="1070">
                  <c:v>4.950005052224039</c:v>
                </c:pt>
                <c:pt idx="1071">
                  <c:v>4.953306739232717</c:v>
                </c:pt>
                <c:pt idx="1072">
                  <c:v>4.9566081585478665</c:v>
                </c:pt>
                <c:pt idx="1073">
                  <c:v>4.959909311578286</c:v>
                </c:pt>
                <c:pt idx="1074">
                  <c:v>4.963210199732108</c:v>
                </c:pt>
                <c:pt idx="1075">
                  <c:v>4.966510824416792</c:v>
                </c:pt>
                <c:pt idx="1076">
                  <c:v>4.969811187039135</c:v>
                </c:pt>
                <c:pt idx="1077">
                  <c:v>4.973111289005276</c:v>
                </c:pt>
                <c:pt idx="1078">
                  <c:v>4.9764111317206945</c:v>
                </c:pt>
                <c:pt idx="1079">
                  <c:v>4.97971071659022</c:v>
                </c:pt>
                <c:pt idx="1080">
                  <c:v>4.98301004501803</c:v>
                </c:pt>
                <c:pt idx="1081">
                  <c:v>4.986309118407662</c:v>
                </c:pt>
                <c:pt idx="1082">
                  <c:v>4.989607938162005</c:v>
                </c:pt>
                <c:pt idx="1083">
                  <c:v>4.992906505683314</c:v>
                </c:pt>
                <c:pt idx="1084">
                  <c:v>4.99620482237321</c:v>
                </c:pt>
                <c:pt idx="1085">
                  <c:v>4.99950288963268</c:v>
                </c:pt>
                <c:pt idx="1086">
                  <c:v>5.002800708862088</c:v>
                </c:pt>
                <c:pt idx="1087">
                  <c:v>5.0060982814611705</c:v>
                </c:pt>
                <c:pt idx="1088">
                  <c:v>5.00939560882905</c:v>
                </c:pt>
                <c:pt idx="1089">
                  <c:v>5.012692692364228</c:v>
                </c:pt>
                <c:pt idx="1090">
                  <c:v>5.0159895334645945</c:v>
                </c:pt>
                <c:pt idx="1091">
                  <c:v>5.019286133527432</c:v>
                </c:pt>
                <c:pt idx="1092">
                  <c:v>5.022582493949417</c:v>
                </c:pt>
                <c:pt idx="1093">
                  <c:v>5.025878616126626</c:v>
                </c:pt>
                <c:pt idx="1094">
                  <c:v>5.029174501454534</c:v>
                </c:pt>
                <c:pt idx="1095">
                  <c:v>5.032470151328027</c:v>
                </c:pt>
                <c:pt idx="1096">
                  <c:v>5.0357655671413974</c:v>
                </c:pt>
                <c:pt idx="1097">
                  <c:v>5.03906075028835</c:v>
                </c:pt>
                <c:pt idx="1098">
                  <c:v>5.042355702162007</c:v>
                </c:pt>
                <c:pt idx="1099">
                  <c:v>5.045650424154913</c:v>
                </c:pt>
                <c:pt idx="1100">
                  <c:v>5.048944917659033</c:v>
                </c:pt>
                <c:pt idx="1101">
                  <c:v>5.052239184065761</c:v>
                </c:pt>
                <c:pt idx="1102">
                  <c:v>5.055533224765924</c:v>
                </c:pt>
                <c:pt idx="1103">
                  <c:v>5.0588270411497795</c:v>
                </c:pt>
                <c:pt idx="1104">
                  <c:v>5.0621206346070275</c:v>
                </c:pt>
                <c:pt idx="1105">
                  <c:v>5.065414006526808</c:v>
                </c:pt>
                <c:pt idx="1106">
                  <c:v>5.068707158297706</c:v>
                </c:pt>
                <c:pt idx="1107">
                  <c:v>5.072000091307757</c:v>
                </c:pt>
                <c:pt idx="1108">
                  <c:v>5.075292806944446</c:v>
                </c:pt>
                <c:pt idx="1109">
                  <c:v>5.078585306594719</c:v>
                </c:pt>
                <c:pt idx="1110">
                  <c:v>5.081877591644979</c:v>
                </c:pt>
                <c:pt idx="1111">
                  <c:v>5.085169663481092</c:v>
                </c:pt>
                <c:pt idx="1112">
                  <c:v>5.088461523488392</c:v>
                </c:pt>
                <c:pt idx="1113">
                  <c:v>5.091753173051683</c:v>
                </c:pt>
                <c:pt idx="1114">
                  <c:v>5.095044613555243</c:v>
                </c:pt>
                <c:pt idx="1115">
                  <c:v>5.0983358463828266</c:v>
                </c:pt>
                <c:pt idx="1116">
                  <c:v>5.101626872917674</c:v>
                </c:pt>
                <c:pt idx="1117">
                  <c:v>5.104917694542505</c:v>
                </c:pt>
                <c:pt idx="1118">
                  <c:v>5.108208312639531</c:v>
                </c:pt>
                <c:pt idx="1119">
                  <c:v>5.111498728590452</c:v>
                </c:pt>
                <c:pt idx="1120">
                  <c:v>5.114788943776467</c:v>
                </c:pt>
                <c:pt idx="1121">
                  <c:v>5.118078959578271</c:v>
                </c:pt>
                <c:pt idx="1122">
                  <c:v>5.121368777376063</c:v>
                </c:pt>
                <c:pt idx="1123">
                  <c:v>5.124658398549548</c:v>
                </c:pt>
                <c:pt idx="1124">
                  <c:v>5.127947824477941</c:v>
                </c:pt>
                <c:pt idx="1125">
                  <c:v>5.131237056539968</c:v>
                </c:pt>
                <c:pt idx="1126">
                  <c:v>5.134526096113873</c:v>
                </c:pt>
                <c:pt idx="1127">
                  <c:v>5.1378149445774195</c:v>
                </c:pt>
                <c:pt idx="1128">
                  <c:v>5.141103603307895</c:v>
                </c:pt>
                <c:pt idx="1129">
                  <c:v>5.144392073682115</c:v>
                </c:pt>
                <c:pt idx="1130">
                  <c:v>5.147680357076425</c:v>
                </c:pt>
                <c:pt idx="1131">
                  <c:v>5.150968454866702</c:v>
                </c:pt>
                <c:pt idx="1132">
                  <c:v>5.154256368428366</c:v>
                </c:pt>
                <c:pt idx="1133">
                  <c:v>5.157544099136374</c:v>
                </c:pt>
                <c:pt idx="1134">
                  <c:v>5.160831648365229</c:v>
                </c:pt>
                <c:pt idx="1135">
                  <c:v>5.164119017488982</c:v>
                </c:pt>
                <c:pt idx="1136">
                  <c:v>5.167406207881235</c:v>
                </c:pt>
                <c:pt idx="1137">
                  <c:v>5.1706932209151475</c:v>
                </c:pt>
                <c:pt idx="1138">
                  <c:v>5.173980057963433</c:v>
                </c:pt>
                <c:pt idx="1139">
                  <c:v>5.177266720398373</c:v>
                </c:pt>
                <c:pt idx="1140">
                  <c:v>5.18055320959181</c:v>
                </c:pt>
                <c:pt idx="1141">
                  <c:v>5.1838395269151585</c:v>
                </c:pt>
                <c:pt idx="1142">
                  <c:v>5.187125673739403</c:v>
                </c:pt>
                <c:pt idx="1143">
                  <c:v>5.190411651435105</c:v>
                </c:pt>
                <c:pt idx="1144">
                  <c:v>5.193697461372408</c:v>
                </c:pt>
                <c:pt idx="1145">
                  <c:v>5.196983104921034</c:v>
                </c:pt>
                <c:pt idx="1146">
                  <c:v>5.2002685834502955</c:v>
                </c:pt>
                <c:pt idx="1147">
                  <c:v>5.203553898329092</c:v>
                </c:pt>
                <c:pt idx="1148">
                  <c:v>5.206839050925918</c:v>
                </c:pt>
                <c:pt idx="1149">
                  <c:v>5.210124042608864</c:v>
                </c:pt>
                <c:pt idx="1150">
                  <c:v>5.213408874745622</c:v>
                </c:pt>
                <c:pt idx="1151">
                  <c:v>5.216693548703487</c:v>
                </c:pt>
                <c:pt idx="1152">
                  <c:v>5.21997806584936</c:v>
                </c:pt>
                <c:pt idx="1153">
                  <c:v>5.223262427549755</c:v>
                </c:pt>
                <c:pt idx="1154">
                  <c:v>5.226546635170798</c:v>
                </c:pt>
                <c:pt idx="1155">
                  <c:v>5.229830690078233</c:v>
                </c:pt>
                <c:pt idx="1156">
                  <c:v>5.233114593637427</c:v>
                </c:pt>
                <c:pt idx="1157">
                  <c:v>5.236398347213368</c:v>
                </c:pt>
                <c:pt idx="1158">
                  <c:v>5.239681952170676</c:v>
                </c:pt>
                <c:pt idx="1159">
                  <c:v>5.242965409873597</c:v>
                </c:pt>
                <c:pt idx="1160">
                  <c:v>5.246248721686018</c:v>
                </c:pt>
                <c:pt idx="1161">
                  <c:v>5.249531888971459</c:v>
                </c:pt>
                <c:pt idx="1162">
                  <c:v>5.252814913093084</c:v>
                </c:pt>
                <c:pt idx="1163">
                  <c:v>5.256097795413701</c:v>
                </c:pt>
                <c:pt idx="1164">
                  <c:v>5.259380537295766</c:v>
                </c:pt>
                <c:pt idx="1165">
                  <c:v>5.262663140101392</c:v>
                </c:pt>
                <c:pt idx="1166">
                  <c:v>5.2659456051923375</c:v>
                </c:pt>
                <c:pt idx="1167">
                  <c:v>5.26922793393003</c:v>
                </c:pt>
                <c:pt idx="1168">
                  <c:v>5.272510127675552</c:v>
                </c:pt>
                <c:pt idx="1169">
                  <c:v>5.275792187789656</c:v>
                </c:pt>
                <c:pt idx="1170">
                  <c:v>5.279074115632759</c:v>
                </c:pt>
                <c:pt idx="1171">
                  <c:v>5.282355912564954</c:v>
                </c:pt>
                <c:pt idx="1172">
                  <c:v>5.28563757994601</c:v>
                </c:pt>
                <c:pt idx="1173">
                  <c:v>5.288919119135371</c:v>
                </c:pt>
                <c:pt idx="1174">
                  <c:v>5.292200531492169</c:v>
                </c:pt>
                <c:pt idx="1175">
                  <c:v>5.295481818375217</c:v>
                </c:pt>
                <c:pt idx="1176">
                  <c:v>5.298762981143022</c:v>
                </c:pt>
                <c:pt idx="1177">
                  <c:v>5.30204402115378</c:v>
                </c:pt>
                <c:pt idx="1178">
                  <c:v>5.305324939765384</c:v>
                </c:pt>
                <c:pt idx="1179">
                  <c:v>5.30860573833543</c:v>
                </c:pt>
                <c:pt idx="1180">
                  <c:v>5.311886418221212</c:v>
                </c:pt>
                <c:pt idx="1181">
                  <c:v>5.315166980779733</c:v>
                </c:pt>
                <c:pt idx="1182">
                  <c:v>5.318447427367706</c:v>
                </c:pt>
                <c:pt idx="1183">
                  <c:v>5.321727759341555</c:v>
                </c:pt>
                <c:pt idx="1184">
                  <c:v>5.325007978057424</c:v>
                </c:pt>
                <c:pt idx="1185">
                  <c:v>5.328288084871173</c:v>
                </c:pt>
                <c:pt idx="1186">
                  <c:v>5.331568081138388</c:v>
                </c:pt>
                <c:pt idx="1187">
                  <c:v>5.334847968214381</c:v>
                </c:pt>
                <c:pt idx="1188">
                  <c:v>5.338127747454194</c:v>
                </c:pt>
                <c:pt idx="1189">
                  <c:v>5.3414074202126</c:v>
                </c:pt>
                <c:pt idx="1190">
                  <c:v>5.344686987844114</c:v>
                </c:pt>
                <c:pt idx="1191">
                  <c:v>5.3479664517029875</c:v>
                </c:pt>
                <c:pt idx="1192">
                  <c:v>5.3512458131432155</c:v>
                </c:pt>
                <c:pt idx="1193">
                  <c:v>5.354525073518541</c:v>
                </c:pt>
                <c:pt idx="1194">
                  <c:v>5.357804234182456</c:v>
                </c:pt>
                <c:pt idx="1195">
                  <c:v>5.36108329648821</c:v>
                </c:pt>
                <c:pt idx="1196">
                  <c:v>5.364362261788802</c:v>
                </c:pt>
                <c:pt idx="1197">
                  <c:v>5.367641131437</c:v>
                </c:pt>
                <c:pt idx="1198">
                  <c:v>5.370919906785329</c:v>
                </c:pt>
                <c:pt idx="1199">
                  <c:v>5.3741985891860855</c:v>
                </c:pt>
                <c:pt idx="1200">
                  <c:v>5.377477179991335</c:v>
                </c:pt>
                <c:pt idx="1201">
                  <c:v>5.380755680552913</c:v>
                </c:pt>
                <c:pt idx="1202">
                  <c:v>5.384034092222441</c:v>
                </c:pt>
                <c:pt idx="1203">
                  <c:v>5.387312416351311</c:v>
                </c:pt>
                <c:pt idx="1204">
                  <c:v>5.390590654290707</c:v>
                </c:pt>
                <c:pt idx="1205">
                  <c:v>5.393868807391596</c:v>
                </c:pt>
                <c:pt idx="1206">
                  <c:v>5.397146877004735</c:v>
                </c:pt>
                <c:pt idx="1207">
                  <c:v>5.4004248644806765</c:v>
                </c:pt>
                <c:pt idx="1208">
                  <c:v>5.403702771169771</c:v>
                </c:pt>
                <c:pt idx="1209">
                  <c:v>5.4069805984221695</c:v>
                </c:pt>
                <c:pt idx="1210">
                  <c:v>5.410258347587824</c:v>
                </c:pt>
                <c:pt idx="1211">
                  <c:v>5.413536020016498</c:v>
                </c:pt>
                <c:pt idx="1212">
                  <c:v>5.416813617057763</c:v>
                </c:pt>
                <c:pt idx="1213">
                  <c:v>5.420091140061006</c:v>
                </c:pt>
                <c:pt idx="1214">
                  <c:v>5.4233685903754285</c:v>
                </c:pt>
                <c:pt idx="1215">
                  <c:v>5.426645969350056</c:v>
                </c:pt>
                <c:pt idx="1216">
                  <c:v>5.429923278333738</c:v>
                </c:pt>
                <c:pt idx="1217">
                  <c:v>5.4332005186751475</c:v>
                </c:pt>
                <c:pt idx="1218">
                  <c:v>5.436477691722794</c:v>
                </c:pt>
                <c:pt idx="1219">
                  <c:v>5.439754798825015</c:v>
                </c:pt>
                <c:pt idx="1220">
                  <c:v>5.44303184132999</c:v>
                </c:pt>
                <c:pt idx="1221">
                  <c:v>5.446308820585737</c:v>
                </c:pt>
                <c:pt idx="1222">
                  <c:v>5.449585737940118</c:v>
                </c:pt>
                <c:pt idx="1223">
                  <c:v>5.452862594740845</c:v>
                </c:pt>
                <c:pt idx="1224">
                  <c:v>5.456139392335475</c:v>
                </c:pt>
                <c:pt idx="1225">
                  <c:v>5.459416132071425</c:v>
                </c:pt>
                <c:pt idx="1226">
                  <c:v>5.462692815295967</c:v>
                </c:pt>
                <c:pt idx="1227">
                  <c:v>5.465969443356234</c:v>
                </c:pt>
                <c:pt idx="1228">
                  <c:v>5.469246017599221</c:v>
                </c:pt>
                <c:pt idx="1229">
                  <c:v>5.472522539371792</c:v>
                </c:pt>
                <c:pt idx="1230">
                  <c:v>5.475799010020685</c:v>
                </c:pt>
                <c:pt idx="1231">
                  <c:v>5.479075430892505</c:v>
                </c:pt>
                <c:pt idx="1232">
                  <c:v>5.48235180333374</c:v>
                </c:pt>
                <c:pt idx="1233">
                  <c:v>5.485628128690757</c:v>
                </c:pt>
                <c:pt idx="1234">
                  <c:v>5.488904408309805</c:v>
                </c:pt>
                <c:pt idx="1235">
                  <c:v>5.492180643537024</c:v>
                </c:pt>
                <c:pt idx="1236">
                  <c:v>5.49545683571844</c:v>
                </c:pt>
                <c:pt idx="1237">
                  <c:v>5.49873298619998</c:v>
                </c:pt>
                <c:pt idx="1238">
                  <c:v>5.502009096327458</c:v>
                </c:pt>
                <c:pt idx="1239">
                  <c:v>5.505285167446599</c:v>
                </c:pt>
                <c:pt idx="1240">
                  <c:v>5.508561200903025</c:v>
                </c:pt>
                <c:pt idx="1241">
                  <c:v>5.511837198042269</c:v>
                </c:pt>
                <c:pt idx="1242">
                  <c:v>5.515113160209771</c:v>
                </c:pt>
                <c:pt idx="1243">
                  <c:v>5.5183890887508875</c:v>
                </c:pt>
                <c:pt idx="1244">
                  <c:v>5.521664985010894</c:v>
                </c:pt>
                <c:pt idx="1245">
                  <c:v>5.524940850334979</c:v>
                </c:pt>
                <c:pt idx="1246">
                  <c:v>5.528216686068265</c:v>
                </c:pt>
                <c:pt idx="1247">
                  <c:v>5.531492493555794</c:v>
                </c:pt>
                <c:pt idx="1248">
                  <c:v>5.53476827414254</c:v>
                </c:pt>
                <c:pt idx="1249">
                  <c:v>5.538044029173414</c:v>
                </c:pt>
                <c:pt idx="1250">
                  <c:v>5.54131975999326</c:v>
                </c:pt>
                <c:pt idx="1251">
                  <c:v>5.544595467946864</c:v>
                </c:pt>
                <c:pt idx="1252">
                  <c:v>5.547871154378955</c:v>
                </c:pt>
                <c:pt idx="1253">
                  <c:v>5.551146820634211</c:v>
                </c:pt>
                <c:pt idx="1254">
                  <c:v>5.55442246805726</c:v>
                </c:pt>
                <c:pt idx="1255">
                  <c:v>5.557698097992681</c:v>
                </c:pt>
                <c:pt idx="1256">
                  <c:v>5.560973711785012</c:v>
                </c:pt>
                <c:pt idx="1257">
                  <c:v>5.5642493107787505</c:v>
                </c:pt>
                <c:pt idx="1258">
                  <c:v>5.567524896318358</c:v>
                </c:pt>
                <c:pt idx="1259">
                  <c:v>5.570800469748262</c:v>
                </c:pt>
                <c:pt idx="1260">
                  <c:v>5.574076032412862</c:v>
                </c:pt>
                <c:pt idx="1261">
                  <c:v>5.5773515856565306</c:v>
                </c:pt>
                <c:pt idx="1262">
                  <c:v>5.580627130823616</c:v>
                </c:pt>
                <c:pt idx="1263">
                  <c:v>5.583902669258446</c:v>
                </c:pt>
                <c:pt idx="1264">
                  <c:v>5.587178202305333</c:v>
                </c:pt>
                <c:pt idx="1265">
                  <c:v>5.590453731308577</c:v>
                </c:pt>
                <c:pt idx="1266">
                  <c:v>5.593729257612466</c:v>
                </c:pt>
                <c:pt idx="1267">
                  <c:v>5.597004782561283</c:v>
                </c:pt>
                <c:pt idx="1268">
                  <c:v>5.6002803074993075</c:v>
                </c:pt>
                <c:pt idx="1269">
                  <c:v>5.603555833770817</c:v>
                </c:pt>
                <c:pt idx="1270">
                  <c:v>5.6068313627200945</c:v>
                </c:pt>
                <c:pt idx="1271">
                  <c:v>5.6101068956914295</c:v>
                </c:pt>
                <c:pt idx="1272">
                  <c:v>5.613382434029121</c:v>
                </c:pt>
                <c:pt idx="1273">
                  <c:v>5.616657979077479</c:v>
                </c:pt>
                <c:pt idx="1274">
                  <c:v>5.619933532180833</c:v>
                </c:pt>
                <c:pt idx="1275">
                  <c:v>5.623209094683533</c:v>
                </c:pt>
                <c:pt idx="1276">
                  <c:v>5.626484667929949</c:v>
                </c:pt>
                <c:pt idx="1277">
                  <c:v>5.62976025326448</c:v>
                </c:pt>
                <c:pt idx="1278">
                  <c:v>5.6330358520315515</c:v>
                </c:pt>
                <c:pt idx="1279">
                  <c:v>5.636311465575626</c:v>
                </c:pt>
                <c:pt idx="1280">
                  <c:v>5.6395870952412</c:v>
                </c:pt>
                <c:pt idx="1281">
                  <c:v>5.642862742372812</c:v>
                </c:pt>
                <c:pt idx="1282">
                  <c:v>5.646138408315041</c:v>
                </c:pt>
                <c:pt idx="1283">
                  <c:v>5.649414094412513</c:v>
                </c:pt>
                <c:pt idx="1284">
                  <c:v>5.652689802009903</c:v>
                </c:pt>
                <c:pt idx="1285">
                  <c:v>5.6559655324519404</c:v>
                </c:pt>
                <c:pt idx="1286">
                  <c:v>5.659241287083411</c:v>
                </c:pt>
                <c:pt idx="1287">
                  <c:v>5.6625170672491585</c:v>
                </c:pt>
                <c:pt idx="1288">
                  <c:v>5.665792874294092</c:v>
                </c:pt>
                <c:pt idx="1289">
                  <c:v>5.669068709563184</c:v>
                </c:pt>
                <c:pt idx="1290">
                  <c:v>5.672344574401478</c:v>
                </c:pt>
                <c:pt idx="1291">
                  <c:v>5.67562047015409</c:v>
                </c:pt>
                <c:pt idx="1292">
                  <c:v>5.678896398166213</c:v>
                </c:pt>
                <c:pt idx="1293">
                  <c:v>5.6821723597831175</c:v>
                </c:pt>
                <c:pt idx="1294">
                  <c:v>5.685448356350158</c:v>
                </c:pt>
                <c:pt idx="1295">
                  <c:v>5.688724389212777</c:v>
                </c:pt>
                <c:pt idx="1296">
                  <c:v>5.692000459716503</c:v>
                </c:pt>
                <c:pt idx="1297">
                  <c:v>5.69527656920696</c:v>
                </c:pt>
                <c:pt idx="1298">
                  <c:v>5.698552719029864</c:v>
                </c:pt>
                <c:pt idx="1299">
                  <c:v>5.701828910531036</c:v>
                </c:pt>
                <c:pt idx="1300">
                  <c:v>5.705105145056396</c:v>
                </c:pt>
                <c:pt idx="1301">
                  <c:v>5.70838142395197</c:v>
                </c:pt>
                <c:pt idx="1302">
                  <c:v>5.711657748563895</c:v>
                </c:pt>
                <c:pt idx="1303">
                  <c:v>5.7149341202384205</c:v>
                </c:pt>
                <c:pt idx="1304">
                  <c:v>5.718210540321911</c:v>
                </c:pt>
                <c:pt idx="1305">
                  <c:v>5.72148701016085</c:v>
                </c:pt>
                <c:pt idx="1306">
                  <c:v>5.724763531101844</c:v>
                </c:pt>
                <c:pt idx="1307">
                  <c:v>5.728040104491626</c:v>
                </c:pt>
                <c:pt idx="1308">
                  <c:v>5.731316731677057</c:v>
                </c:pt>
                <c:pt idx="1309">
                  <c:v>5.7345934140051344</c:v>
                </c:pt>
                <c:pt idx="1310">
                  <c:v>5.737870152822986</c:v>
                </c:pt>
                <c:pt idx="1311">
                  <c:v>5.7411469494778835</c:v>
                </c:pt>
                <c:pt idx="1312">
                  <c:v>5.744423805317238</c:v>
                </c:pt>
                <c:pt idx="1313">
                  <c:v>5.747700721688608</c:v>
                </c:pt>
                <c:pt idx="1314">
                  <c:v>5.750977699939701</c:v>
                </c:pt>
                <c:pt idx="1315">
                  <c:v>5.754254741418375</c:v>
                </c:pt>
                <c:pt idx="1316">
                  <c:v>5.7575318474726505</c:v>
                </c:pt>
                <c:pt idx="1317">
                  <c:v>5.760809019450698</c:v>
                </c:pt>
                <c:pt idx="1318">
                  <c:v>5.764086258700859</c:v>
                </c:pt>
                <c:pt idx="1319">
                  <c:v>5.7673635665716345</c:v>
                </c:pt>
                <c:pt idx="1320">
                  <c:v>5.770640944411699</c:v>
                </c:pt>
                <c:pt idx="1321">
                  <c:v>5.773918393569898</c:v>
                </c:pt>
                <c:pt idx="1322">
                  <c:v>5.77719591539525</c:v>
                </c:pt>
                <c:pt idx="1323">
                  <c:v>5.780473511236961</c:v>
                </c:pt>
                <c:pt idx="1324">
                  <c:v>5.783751182444409</c:v>
                </c:pt>
                <c:pt idx="1325">
                  <c:v>5.787028930367166</c:v>
                </c:pt>
                <c:pt idx="1326">
                  <c:v>5.7903067563549895</c:v>
                </c:pt>
                <c:pt idx="1327">
                  <c:v>5.793584661757832</c:v>
                </c:pt>
                <c:pt idx="1328">
                  <c:v>5.796862647925839</c:v>
                </c:pt>
                <c:pt idx="1329">
                  <c:v>5.800140716209357</c:v>
                </c:pt>
                <c:pt idx="1330">
                  <c:v>5.8034188679589365</c:v>
                </c:pt>
                <c:pt idx="1331">
                  <c:v>5.80669710452533</c:v>
                </c:pt>
                <c:pt idx="1332">
                  <c:v>5.809975427259506</c:v>
                </c:pt>
                <c:pt idx="1333">
                  <c:v>5.813253837512637</c:v>
                </c:pt>
                <c:pt idx="1334">
                  <c:v>5.816532336636119</c:v>
                </c:pt>
                <c:pt idx="1335">
                  <c:v>5.819810925981564</c:v>
                </c:pt>
                <c:pt idx="1336">
                  <c:v>5.8230896069008065</c:v>
                </c:pt>
                <c:pt idx="1337">
                  <c:v>5.826368380745911</c:v>
                </c:pt>
                <c:pt idx="1338">
                  <c:v>5.829647248869165</c:v>
                </c:pt>
                <c:pt idx="1339">
                  <c:v>5.832926212623096</c:v>
                </c:pt>
                <c:pt idx="1340">
                  <c:v>5.836205273360459</c:v>
                </c:pt>
                <c:pt idx="1341">
                  <c:v>5.839484432434259</c:v>
                </c:pt>
                <c:pt idx="1342">
                  <c:v>5.842763691197735</c:v>
                </c:pt>
                <c:pt idx="1343">
                  <c:v>5.8460430510043775</c:v>
                </c:pt>
                <c:pt idx="1344">
                  <c:v>5.849322513207927</c:v>
                </c:pt>
                <c:pt idx="1345">
                  <c:v>5.852602079162371</c:v>
                </c:pt>
                <c:pt idx="1346">
                  <c:v>5.855881750221961</c:v>
                </c:pt>
                <c:pt idx="1347">
                  <c:v>5.859161527741202</c:v>
                </c:pt>
                <c:pt idx="1348">
                  <c:v>5.862441413074867</c:v>
                </c:pt>
                <c:pt idx="1349">
                  <c:v>5.865721407577993</c:v>
                </c:pt>
                <c:pt idx="1350">
                  <c:v>5.869001512605887</c:v>
                </c:pt>
                <c:pt idx="1351">
                  <c:v>5.872281729514133</c:v>
                </c:pt>
                <c:pt idx="1352">
                  <c:v>5.8755620596585825</c:v>
                </c:pt>
                <c:pt idx="1353">
                  <c:v>5.8788425043953785</c:v>
                </c:pt>
                <c:pt idx="1354">
                  <c:v>5.882123065080937</c:v>
                </c:pt>
                <c:pt idx="1355">
                  <c:v>5.8854037430719695</c:v>
                </c:pt>
                <c:pt idx="1356">
                  <c:v>5.888684539725472</c:v>
                </c:pt>
                <c:pt idx="1357">
                  <c:v>5.8919654563987365</c:v>
                </c:pt>
                <c:pt idx="1358">
                  <c:v>5.895246494449352</c:v>
                </c:pt>
                <c:pt idx="1359">
                  <c:v>5.898527655235205</c:v>
                </c:pt>
                <c:pt idx="1360">
                  <c:v>5.901808940114492</c:v>
                </c:pt>
                <c:pt idx="1361">
                  <c:v>5.905090350445709</c:v>
                </c:pt>
                <c:pt idx="1362">
                  <c:v>5.908371887587669</c:v>
                </c:pt>
                <c:pt idx="1363">
                  <c:v>5.911653552899495</c:v>
                </c:pt>
                <c:pt idx="1364">
                  <c:v>5.914935347740629</c:v>
                </c:pt>
                <c:pt idx="1365">
                  <c:v>5.918217273470833</c:v>
                </c:pt>
                <c:pt idx="1366">
                  <c:v>5.921499331450194</c:v>
                </c:pt>
                <c:pt idx="1367">
                  <c:v>5.924781523039127</c:v>
                </c:pt>
                <c:pt idx="1368">
                  <c:v>5.928063849598375</c:v>
                </c:pt>
                <c:pt idx="1369">
                  <c:v>5.931346312489019</c:v>
                </c:pt>
                <c:pt idx="1370">
                  <c:v>5.934628913072477</c:v>
                </c:pt>
                <c:pt idx="1371">
                  <c:v>5.937911652710508</c:v>
                </c:pt>
                <c:pt idx="1372">
                  <c:v>5.941194532765213</c:v>
                </c:pt>
                <c:pt idx="1373">
                  <c:v>5.944477554599045</c:v>
                </c:pt>
                <c:pt idx="1374">
                  <c:v>5.947760719574807</c:v>
                </c:pt>
                <c:pt idx="1375">
                  <c:v>5.951044029055654</c:v>
                </c:pt>
                <c:pt idx="1376">
                  <c:v>5.954327484405106</c:v>
                </c:pt>
                <c:pt idx="1377">
                  <c:v>5.95761108698704</c:v>
                </c:pt>
                <c:pt idx="1378">
                  <c:v>5.960894838165697</c:v>
                </c:pt>
                <c:pt idx="1379">
                  <c:v>5.964178739305692</c:v>
                </c:pt>
                <c:pt idx="1380">
                  <c:v>5.967462791772006</c:v>
                </c:pt>
                <c:pt idx="1381">
                  <c:v>5.970746996929999</c:v>
                </c:pt>
                <c:pt idx="1382">
                  <c:v>5.974031356145409</c:v>
                </c:pt>
                <c:pt idx="1383">
                  <c:v>5.977315870784359</c:v>
                </c:pt>
                <c:pt idx="1384">
                  <c:v>5.980600542213354</c:v>
                </c:pt>
                <c:pt idx="1385">
                  <c:v>5.98388537179929</c:v>
                </c:pt>
                <c:pt idx="1386">
                  <c:v>5.987170360909455</c:v>
                </c:pt>
                <c:pt idx="1387">
                  <c:v>5.990455510911534</c:v>
                </c:pt>
                <c:pt idx="1388">
                  <c:v>5.993740823173612</c:v>
                </c:pt>
                <c:pt idx="1389">
                  <c:v>5.997026299064175</c:v>
                </c:pt>
                <c:pt idx="1390">
                  <c:v>6.00031193995212</c:v>
                </c:pt>
                <c:pt idx="1391">
                  <c:v>6.003597747206748</c:v>
                </c:pt>
                <c:pt idx="1392">
                  <c:v>6.006883722197779</c:v>
                </c:pt>
                <c:pt idx="1393">
                  <c:v>6.010169866295347</c:v>
                </c:pt>
                <c:pt idx="1394">
                  <c:v>6.013456180870007</c:v>
                </c:pt>
                <c:pt idx="1395">
                  <c:v>6.016742667292736</c:v>
                </c:pt>
                <c:pt idx="1396">
                  <c:v>6.020029326934943</c:v>
                </c:pt>
                <c:pt idx="1397">
                  <c:v>6.023316161168465</c:v>
                </c:pt>
                <c:pt idx="1398">
                  <c:v>6.026603171365572</c:v>
                </c:pt>
                <c:pt idx="1399">
                  <c:v>6.0298903588989745</c:v>
                </c:pt>
                <c:pt idx="1400">
                  <c:v>6.033177725141823</c:v>
                </c:pt>
                <c:pt idx="1401">
                  <c:v>6.036465271467713</c:v>
                </c:pt>
                <c:pt idx="1402">
                  <c:v>6.039752999250688</c:v>
                </c:pt>
                <c:pt idx="1403">
                  <c:v>6.043040909865243</c:v>
                </c:pt>
                <c:pt idx="1404">
                  <c:v>6.0463290046863305</c:v>
                </c:pt>
                <c:pt idx="1405">
                  <c:v>6.04961728508936</c:v>
                </c:pt>
                <c:pt idx="1406">
                  <c:v>6.052905752450202</c:v>
                </c:pt>
                <c:pt idx="1407">
                  <c:v>6.056194408145195</c:v>
                </c:pt>
                <c:pt idx="1408">
                  <c:v>6.059483253551146</c:v>
                </c:pt>
                <c:pt idx="1409">
                  <c:v>6.062772290045335</c:v>
                </c:pt>
                <c:pt idx="1410">
                  <c:v>6.066061519005517</c:v>
                </c:pt>
                <c:pt idx="1411">
                  <c:v>6.0693509418099305</c:v>
                </c:pt>
                <c:pt idx="1412">
                  <c:v>6.072640559837294</c:v>
                </c:pt>
                <c:pt idx="1413">
                  <c:v>6.075930374466813</c:v>
                </c:pt>
                <c:pt idx="1414">
                  <c:v>6.079220387078185</c:v>
                </c:pt>
                <c:pt idx="1415">
                  <c:v>6.0825105990516</c:v>
                </c:pt>
                <c:pt idx="1416">
                  <c:v>6.085801011767748</c:v>
                </c:pt>
                <c:pt idx="1417">
                  <c:v>6.089091626607814</c:v>
                </c:pt>
                <c:pt idx="1418">
                  <c:v>6.092382444953497</c:v>
                </c:pt>
                <c:pt idx="1419">
                  <c:v>6.0956734681869955</c:v>
                </c:pt>
                <c:pt idx="1420">
                  <c:v>6.098964697691025</c:v>
                </c:pt>
                <c:pt idx="1421">
                  <c:v>6.102256134848813</c:v>
                </c:pt>
                <c:pt idx="1422">
                  <c:v>6.105547781044107</c:v>
                </c:pt>
                <c:pt idx="1423">
                  <c:v>6.108839637661178</c:v>
                </c:pt>
                <c:pt idx="1424">
                  <c:v>6.11213170608482</c:v>
                </c:pt>
                <c:pt idx="1425">
                  <c:v>6.1154239877003596</c:v>
                </c:pt>
                <c:pt idx="1426">
                  <c:v>6.118716483893654</c:v>
                </c:pt>
                <c:pt idx="1427">
                  <c:v>6.122009196051098</c:v>
                </c:pt>
                <c:pt idx="1428">
                  <c:v>6.125302125559627</c:v>
                </c:pt>
                <c:pt idx="1429">
                  <c:v>6.128595273806719</c:v>
                </c:pt>
                <c:pt idx="1430">
                  <c:v>6.1318886421804</c:v>
                </c:pt>
                <c:pt idx="1431">
                  <c:v>6.135182232069247</c:v>
                </c:pt>
                <c:pt idx="1432">
                  <c:v>6.138476044862392</c:v>
                </c:pt>
                <c:pt idx="1433">
                  <c:v>6.141770081949521</c:v>
                </c:pt>
                <c:pt idx="1434">
                  <c:v>6.145064344720889</c:v>
                </c:pt>
                <c:pt idx="1435">
                  <c:v>6.1483588345673095</c:v>
                </c:pt>
                <c:pt idx="1436">
                  <c:v>6.151653552880168</c:v>
                </c:pt>
                <c:pt idx="1437">
                  <c:v>6.154948501051423</c:v>
                </c:pt>
                <c:pt idx="1438">
                  <c:v>6.158243680473605</c:v>
                </c:pt>
                <c:pt idx="1439">
                  <c:v>6.161539092539831</c:v>
                </c:pt>
                <c:pt idx="1440">
                  <c:v>6.164834738643794</c:v>
                </c:pt>
                <c:pt idx="1441">
                  <c:v>6.16813062017978</c:v>
                </c:pt>
                <c:pt idx="1442">
                  <c:v>6.171426738542662</c:v>
                </c:pt>
                <c:pt idx="1443">
                  <c:v>6.1747230951279075</c:v>
                </c:pt>
                <c:pt idx="1444">
                  <c:v>6.178019691331582</c:v>
                </c:pt>
                <c:pt idx="1445">
                  <c:v>6.181316528550353</c:v>
                </c:pt>
                <c:pt idx="1446">
                  <c:v>6.184613608181493</c:v>
                </c:pt>
                <c:pt idx="1447">
                  <c:v>6.1879109316228815</c:v>
                </c:pt>
                <c:pt idx="1448">
                  <c:v>6.191208500273015</c:v>
                </c:pt>
                <c:pt idx="1449">
                  <c:v>6.194506315530998</c:v>
                </c:pt>
                <c:pt idx="1450">
                  <c:v>6.197804378796563</c:v>
                </c:pt>
                <c:pt idx="1451">
                  <c:v>6.201102691470062</c:v>
                </c:pt>
                <c:pt idx="1452">
                  <c:v>6.204401254952471</c:v>
                </c:pt>
                <c:pt idx="1453">
                  <c:v>6.207700070645404</c:v>
                </c:pt>
                <c:pt idx="1454">
                  <c:v>6.2109991399511015</c:v>
                </c:pt>
                <c:pt idx="1455">
                  <c:v>6.214298464272448</c:v>
                </c:pt>
                <c:pt idx="1456">
                  <c:v>6.217598045012965</c:v>
                </c:pt>
                <c:pt idx="1457">
                  <c:v>6.2208978835768205</c:v>
                </c:pt>
                <c:pt idx="1458">
                  <c:v>6.224197981368836</c:v>
                </c:pt>
                <c:pt idx="1459">
                  <c:v>6.2274983397944785</c:v>
                </c:pt>
                <c:pt idx="1460">
                  <c:v>6.230798960259879</c:v>
                </c:pt>
                <c:pt idx="1461">
                  <c:v>6.234099844171819</c:v>
                </c:pt>
                <c:pt idx="1462">
                  <c:v>6.237400992937755</c:v>
                </c:pt>
                <c:pt idx="1463">
                  <c:v>6.2407024079658004</c:v>
                </c:pt>
                <c:pt idx="1464">
                  <c:v>6.244004090664748</c:v>
                </c:pt>
                <c:pt idx="1465">
                  <c:v>6.247306042444061</c:v>
                </c:pt>
                <c:pt idx="1466">
                  <c:v>6.250608264713881</c:v>
                </c:pt>
                <c:pt idx="1467">
                  <c:v>6.253910758885037</c:v>
                </c:pt>
                <c:pt idx="1468">
                  <c:v>6.257213526369036</c:v>
                </c:pt>
                <c:pt idx="1469">
                  <c:v>6.260516568578083</c:v>
                </c:pt>
                <c:pt idx="1470">
                  <c:v>6.26381988692507</c:v>
                </c:pt>
                <c:pt idx="1471">
                  <c:v>6.267123482823591</c:v>
                </c:pt>
                <c:pt idx="1472">
                  <c:v>6.270427357687938</c:v>
                </c:pt>
                <c:pt idx="1473">
                  <c:v>6.273731512933109</c:v>
                </c:pt>
                <c:pt idx="1474">
                  <c:v>6.277035949974811</c:v>
                </c:pt>
                <c:pt idx="1475">
                  <c:v>6.280340670229462</c:v>
                </c:pt>
                <c:pt idx="1476">
                  <c:v>6.283645675114198</c:v>
                </c:pt>
                <c:pt idx="1477">
                  <c:v>6.286950966046872</c:v>
                </c:pt>
                <c:pt idx="1478">
                  <c:v>6.290256544446063</c:v>
                </c:pt>
                <c:pt idx="1479">
                  <c:v>6.2935624117310764</c:v>
                </c:pt>
                <c:pt idx="1480">
                  <c:v>6.2968685693219495</c:v>
                </c:pt>
                <c:pt idx="1481">
                  <c:v>6.300175018639453</c:v>
                </c:pt>
                <c:pt idx="1482">
                  <c:v>6.303481761105096</c:v>
                </c:pt>
                <c:pt idx="1483">
                  <c:v>6.3067887981411355</c:v>
                </c:pt>
                <c:pt idx="1484">
                  <c:v>6.310096131170566</c:v>
                </c:pt>
                <c:pt idx="1485">
                  <c:v>6.313403761617139</c:v>
                </c:pt>
                <c:pt idx="1486">
                  <c:v>6.3167116909053584</c:v>
                </c:pt>
                <c:pt idx="1487">
                  <c:v>6.320019920460484</c:v>
                </c:pt>
                <c:pt idx="1488">
                  <c:v>6.323328451708539</c:v>
                </c:pt>
                <c:pt idx="1489">
                  <c:v>6.32663728607631</c:v>
                </c:pt>
                <c:pt idx="1490">
                  <c:v>6.329946424991357</c:v>
                </c:pt>
                <c:pt idx="1491">
                  <c:v>6.333255869882008</c:v>
                </c:pt>
                <c:pt idx="1492">
                  <c:v>6.33656562217737</c:v>
                </c:pt>
                <c:pt idx="1493">
                  <c:v>6.339875683307333</c:v>
                </c:pt>
                <c:pt idx="1494">
                  <c:v>6.343186054702567</c:v>
                </c:pt>
                <c:pt idx="1495">
                  <c:v>6.346496737794535</c:v>
                </c:pt>
                <c:pt idx="1496">
                  <c:v>6.349807734015488</c:v>
                </c:pt>
                <c:pt idx="1497">
                  <c:v>6.353119044798478</c:v>
                </c:pt>
                <c:pt idx="1498">
                  <c:v>6.356430671577352</c:v>
                </c:pt>
                <c:pt idx="1499">
                  <c:v>6.359742615786765</c:v>
                </c:pt>
                <c:pt idx="1500">
                  <c:v>6.363054878862179</c:v>
                </c:pt>
                <c:pt idx="1501">
                  <c:v>6.366367462239864</c:v>
                </c:pt>
                <c:pt idx="1502">
                  <c:v>6.36968036735691</c:v>
                </c:pt>
                <c:pt idx="1503">
                  <c:v>6.372993595651224</c:v>
                </c:pt>
                <c:pt idx="1504">
                  <c:v>6.37630714856154</c:v>
                </c:pt>
                <c:pt idx="1505">
                  <c:v>6.379621027527413</c:v>
                </c:pt>
                <c:pt idx="1506">
                  <c:v>6.382935233989234</c:v>
                </c:pt>
                <c:pt idx="1507">
                  <c:v>6.386249769388228</c:v>
                </c:pt>
                <c:pt idx="1508">
                  <c:v>6.389564635166459</c:v>
                </c:pt>
                <c:pt idx="1509">
                  <c:v>6.392879832766834</c:v>
                </c:pt>
                <c:pt idx="1510">
                  <c:v>6.396195363633105</c:v>
                </c:pt>
                <c:pt idx="1511">
                  <c:v>6.399511229209879</c:v>
                </c:pt>
                <c:pt idx="1512">
                  <c:v>6.4028274309426125</c:v>
                </c:pt>
                <c:pt idx="1513">
                  <c:v>6.4061439702776255</c:v>
                </c:pt>
                <c:pt idx="1514">
                  <c:v>6.409460848662098</c:v>
                </c:pt>
                <c:pt idx="1515">
                  <c:v>6.412778067544077</c:v>
                </c:pt>
                <c:pt idx="1516">
                  <c:v>6.416095628372481</c:v>
                </c:pt>
                <c:pt idx="1517">
                  <c:v>6.4194135325971</c:v>
                </c:pt>
                <c:pt idx="1518">
                  <c:v>6.42273178166861</c:v>
                </c:pt>
                <c:pt idx="1519">
                  <c:v>6.426050377038559</c:v>
                </c:pt>
                <c:pt idx="1520">
                  <c:v>6.42936932015939</c:v>
                </c:pt>
                <c:pt idx="1521">
                  <c:v>6.432688612484434</c:v>
                </c:pt>
                <c:pt idx="1522">
                  <c:v>6.436008255467914</c:v>
                </c:pt>
                <c:pt idx="1523">
                  <c:v>6.439328250564955</c:v>
                </c:pt>
                <c:pt idx="1524">
                  <c:v>6.442648599231583</c:v>
                </c:pt>
                <c:pt idx="1525">
                  <c:v>6.445969302924731</c:v>
                </c:pt>
                <c:pt idx="1526">
                  <c:v>6.449290363102241</c:v>
                </c:pt>
                <c:pt idx="1527">
                  <c:v>6.452611781222872</c:v>
                </c:pt>
                <c:pt idx="1528">
                  <c:v>6.455933558746301</c:v>
                </c:pt>
                <c:pt idx="1529">
                  <c:v>6.459255697133125</c:v>
                </c:pt>
                <c:pt idx="1530">
                  <c:v>6.462578197844873</c:v>
                </c:pt>
                <c:pt idx="1531">
                  <c:v>6.465901062343998</c:v>
                </c:pt>
                <c:pt idx="1532">
                  <c:v>6.469224292093896</c:v>
                </c:pt>
                <c:pt idx="1533">
                  <c:v>6.472547888558894</c:v>
                </c:pt>
                <c:pt idx="1534">
                  <c:v>6.475871853204267</c:v>
                </c:pt>
                <c:pt idx="1535">
                  <c:v>6.479196187496235</c:v>
                </c:pt>
                <c:pt idx="1536">
                  <c:v>6.482520892901971</c:v>
                </c:pt>
                <c:pt idx="1537">
                  <c:v>6.485845970889601</c:v>
                </c:pt>
                <c:pt idx="1538">
                  <c:v>6.489171422928211</c:v>
                </c:pt>
                <c:pt idx="1539">
                  <c:v>6.492497250487854</c:v>
                </c:pt>
                <c:pt idx="1540">
                  <c:v>6.495823455039542</c:v>
                </c:pt>
                <c:pt idx="1541">
                  <c:v>6.499150038055268</c:v>
                </c:pt>
                <c:pt idx="1542">
                  <c:v>6.502477001007995</c:v>
                </c:pt>
                <c:pt idx="1543">
                  <c:v>6.505804345371669</c:v>
                </c:pt>
                <c:pt idx="1544">
                  <c:v>6.5091320726212185</c:v>
                </c:pt>
                <c:pt idx="1545">
                  <c:v>6.51246018423256</c:v>
                </c:pt>
                <c:pt idx="1546">
                  <c:v>6.515788681682604</c:v>
                </c:pt>
                <c:pt idx="1547">
                  <c:v>6.519117566449254</c:v>
                </c:pt>
                <c:pt idx="1548">
                  <c:v>6.52244684001142</c:v>
                </c:pt>
                <c:pt idx="1549">
                  <c:v>6.525776503849011</c:v>
                </c:pt>
                <c:pt idx="1550">
                  <c:v>6.5291065594429485</c:v>
                </c:pt>
                <c:pt idx="1551">
                  <c:v>6.532437008275166</c:v>
                </c:pt>
                <c:pt idx="1552">
                  <c:v>6.535767851828614</c:v>
                </c:pt>
                <c:pt idx="1553">
                  <c:v>6.539099091587267</c:v>
                </c:pt>
                <c:pt idx="1554">
                  <c:v>6.54243072903612</c:v>
                </c:pt>
                <c:pt idx="1555">
                  <c:v>6.545762765661205</c:v>
                </c:pt>
                <c:pt idx="1556">
                  <c:v>6.549095202949582</c:v>
                </c:pt>
                <c:pt idx="1557">
                  <c:v>6.552428042389353</c:v>
                </c:pt>
                <c:pt idx="1558">
                  <c:v>6.5557612854696625</c:v>
                </c:pt>
                <c:pt idx="1559">
                  <c:v>6.559094933680699</c:v>
                </c:pt>
                <c:pt idx="1560">
                  <c:v>6.562428988513708</c:v>
                </c:pt>
                <c:pt idx="1561">
                  <c:v>6.565763451460982</c:v>
                </c:pt>
                <c:pt idx="1562">
                  <c:v>6.569098324015882</c:v>
                </c:pt>
                <c:pt idx="1563">
                  <c:v>6.572433607672825</c:v>
                </c:pt>
                <c:pt idx="1564">
                  <c:v>6.575769303927303</c:v>
                </c:pt>
                <c:pt idx="1565">
                  <c:v>6.579105414275876</c:v>
                </c:pt>
                <c:pt idx="1566">
                  <c:v>6.582441940216182</c:v>
                </c:pt>
                <c:pt idx="1567">
                  <c:v>6.585778883246941</c:v>
                </c:pt>
                <c:pt idx="1568">
                  <c:v>6.589116244867956</c:v>
                </c:pt>
                <c:pt idx="1569">
                  <c:v>6.592454026580124</c:v>
                </c:pt>
                <c:pt idx="1570">
                  <c:v>6.595792229885429</c:v>
                </c:pt>
                <c:pt idx="1571">
                  <c:v>6.599130856286961</c:v>
                </c:pt>
                <c:pt idx="1572">
                  <c:v>6.602469907288907</c:v>
                </c:pt>
                <c:pt idx="1573">
                  <c:v>6.605809384396563</c:v>
                </c:pt>
                <c:pt idx="1574">
                  <c:v>6.609149289116338</c:v>
                </c:pt>
                <c:pt idx="1575">
                  <c:v>6.612489622955753</c:v>
                </c:pt>
                <c:pt idx="1576">
                  <c:v>6.615830387423452</c:v>
                </c:pt>
                <c:pt idx="1577">
                  <c:v>6.619171584029201</c:v>
                </c:pt>
                <c:pt idx="1578">
                  <c:v>6.622513214283897</c:v>
                </c:pt>
                <c:pt idx="1579">
                  <c:v>6.62585527969957</c:v>
                </c:pt>
                <c:pt idx="1580">
                  <c:v>6.629197781789385</c:v>
                </c:pt>
                <c:pt idx="1581">
                  <c:v>6.6325407220676516</c:v>
                </c:pt>
                <c:pt idx="1582">
                  <c:v>6.635884102049823</c:v>
                </c:pt>
                <c:pt idx="1583">
                  <c:v>6.639227923252508</c:v>
                </c:pt>
                <c:pt idx="1584">
                  <c:v>6.642572187193464</c:v>
                </c:pt>
                <c:pt idx="1585">
                  <c:v>6.645916895391613</c:v>
                </c:pt>
                <c:pt idx="1586">
                  <c:v>6.64926204936704</c:v>
                </c:pt>
                <c:pt idx="1587">
                  <c:v>6.652607650640996</c:v>
                </c:pt>
                <c:pt idx="1588">
                  <c:v>6.655953700735908</c:v>
                </c:pt>
                <c:pt idx="1589">
                  <c:v>6.659300201175377</c:v>
                </c:pt>
                <c:pt idx="1590">
                  <c:v>6.662647153484191</c:v>
                </c:pt>
                <c:pt idx="1591">
                  <c:v>6.665994559188318</c:v>
                </c:pt>
                <c:pt idx="1592">
                  <c:v>6.669342419814922</c:v>
                </c:pt>
                <c:pt idx="1593">
                  <c:v>6.672690736892359</c:v>
                </c:pt>
                <c:pt idx="1594">
                  <c:v>6.6760395119501865</c:v>
                </c:pt>
                <c:pt idx="1595">
                  <c:v>6.679388746519166</c:v>
                </c:pt>
                <c:pt idx="1596">
                  <c:v>6.682738442131266</c:v>
                </c:pt>
                <c:pt idx="1597">
                  <c:v>6.686088600319674</c:v>
                </c:pt>
                <c:pt idx="1598">
                  <c:v>6.689439222618786</c:v>
                </c:pt>
                <c:pt idx="1599">
                  <c:v>6.692790310564229</c:v>
                </c:pt>
                <c:pt idx="1600">
                  <c:v>6.696141865692852</c:v>
                </c:pt>
                <c:pt idx="1601">
                  <c:v>6.6994938895427385</c:v>
                </c:pt>
                <c:pt idx="1602">
                  <c:v>6.702846383653204</c:v>
                </c:pt>
                <c:pt idx="1603">
                  <c:v>6.706199349564809</c:v>
                </c:pt>
                <c:pt idx="1604">
                  <c:v>6.709552788819359</c:v>
                </c:pt>
                <c:pt idx="1605">
                  <c:v>6.712906702959903</c:v>
                </c:pt>
                <c:pt idx="1606">
                  <c:v>6.716261093530753</c:v>
                </c:pt>
                <c:pt idx="1607">
                  <c:v>6.719615962077475</c:v>
                </c:pt>
                <c:pt idx="1608">
                  <c:v>6.7229713101468995</c:v>
                </c:pt>
                <c:pt idx="1609">
                  <c:v>6.726327139287125</c:v>
                </c:pt>
                <c:pt idx="1610">
                  <c:v>6.729683451047523</c:v>
                </c:pt>
                <c:pt idx="1611">
                  <c:v>6.733040246978746</c:v>
                </c:pt>
                <c:pt idx="1612">
                  <c:v>6.736397528632721</c:v>
                </c:pt>
                <c:pt idx="1613">
                  <c:v>6.739755297562669</c:v>
                </c:pt>
                <c:pt idx="1614">
                  <c:v>6.7431135553231005</c:v>
                </c:pt>
                <c:pt idx="1615">
                  <c:v>6.74647230346982</c:v>
                </c:pt>
                <c:pt idx="1616">
                  <c:v>6.749831543559933</c:v>
                </c:pt>
                <c:pt idx="1617">
                  <c:v>6.753191277151854</c:v>
                </c:pt>
                <c:pt idx="1618">
                  <c:v>6.756551505805306</c:v>
                </c:pt>
                <c:pt idx="1619">
                  <c:v>6.759912231081324</c:v>
                </c:pt>
                <c:pt idx="1620">
                  <c:v>6.763273454542269</c:v>
                </c:pt>
                <c:pt idx="1621">
                  <c:v>6.766635177751818</c:v>
                </c:pt>
                <c:pt idx="1622">
                  <c:v>6.8166351777518175</c:v>
                </c:pt>
                <c:pt idx="1623">
                  <c:v>6.866635177751817</c:v>
                </c:pt>
                <c:pt idx="1624">
                  <c:v>6.916635177751817</c:v>
                </c:pt>
                <c:pt idx="1625">
                  <c:v>6.966635177751817</c:v>
                </c:pt>
                <c:pt idx="1626">
                  <c:v>7.016635177751817</c:v>
                </c:pt>
                <c:pt idx="1627">
                  <c:v>7.066635177751817</c:v>
                </c:pt>
                <c:pt idx="1628">
                  <c:v>7.116635177751816</c:v>
                </c:pt>
                <c:pt idx="1629">
                  <c:v>7.166635177751816</c:v>
                </c:pt>
                <c:pt idx="1630">
                  <c:v>7.216635177751816</c:v>
                </c:pt>
                <c:pt idx="1631">
                  <c:v>7.266635177751816</c:v>
                </c:pt>
                <c:pt idx="1632">
                  <c:v>7.316635177751816</c:v>
                </c:pt>
                <c:pt idx="1633">
                  <c:v>7.3666351777518155</c:v>
                </c:pt>
                <c:pt idx="1634">
                  <c:v>7.416635177751815</c:v>
                </c:pt>
                <c:pt idx="1635">
                  <c:v>7.466635177751815</c:v>
                </c:pt>
                <c:pt idx="1636">
                  <c:v>7.516635177751815</c:v>
                </c:pt>
                <c:pt idx="1637">
                  <c:v>7.566635177751815</c:v>
                </c:pt>
                <c:pt idx="1638">
                  <c:v>7.616635177751815</c:v>
                </c:pt>
                <c:pt idx="1639">
                  <c:v>7.6666351777518145</c:v>
                </c:pt>
                <c:pt idx="1640">
                  <c:v>7.716635177751814</c:v>
                </c:pt>
                <c:pt idx="1641">
                  <c:v>7.766635177751814</c:v>
                </c:pt>
                <c:pt idx="1642">
                  <c:v>7.766635177751814</c:v>
                </c:pt>
                <c:pt idx="1643">
                  <c:v>7.773265648190067</c:v>
                </c:pt>
                <c:pt idx="1644">
                  <c:v>7.7798949664154025</c:v>
                </c:pt>
                <c:pt idx="1645">
                  <c:v>7.786523135814225</c:v>
                </c:pt>
                <c:pt idx="1646">
                  <c:v>7.793150159769629</c:v>
                </c:pt>
                <c:pt idx="1647">
                  <c:v>7.799776041661412</c:v>
                </c:pt>
                <c:pt idx="1648">
                  <c:v>7.806400784866073</c:v>
                </c:pt>
                <c:pt idx="1649">
                  <c:v>7.813024392756839</c:v>
                </c:pt>
                <c:pt idx="1650">
                  <c:v>7.8196468687036695</c:v>
                </c:pt>
                <c:pt idx="1651">
                  <c:v>7.826268216073266</c:v>
                </c:pt>
                <c:pt idx="1652">
                  <c:v>7.8328884382290855</c:v>
                </c:pt>
                <c:pt idx="1653">
                  <c:v>7.839507538531356</c:v>
                </c:pt>
                <c:pt idx="1654">
                  <c:v>7.846125520337077</c:v>
                </c:pt>
                <c:pt idx="1655">
                  <c:v>7.852742387000044</c:v>
                </c:pt>
                <c:pt idx="1656">
                  <c:v>7.8593581418708505</c:v>
                </c:pt>
                <c:pt idx="1657">
                  <c:v>7.865972788296899</c:v>
                </c:pt>
                <c:pt idx="1658">
                  <c:v>7.872586329622419</c:v>
                </c:pt>
                <c:pt idx="1659">
                  <c:v>7.8791987691884735</c:v>
                </c:pt>
                <c:pt idx="1660">
                  <c:v>7.885810110332968</c:v>
                </c:pt>
                <c:pt idx="1661">
                  <c:v>7.892420356390667</c:v>
                </c:pt>
                <c:pt idx="1662">
                  <c:v>7.899029510693202</c:v>
                </c:pt>
                <c:pt idx="1663">
                  <c:v>7.905637576569081</c:v>
                </c:pt>
                <c:pt idx="1664">
                  <c:v>7.912244557343704</c:v>
                </c:pt>
                <c:pt idx="1665">
                  <c:v>7.918850456339372</c:v>
                </c:pt>
                <c:pt idx="1666">
                  <c:v>7.925455276875293</c:v>
                </c:pt>
                <c:pt idx="1667">
                  <c:v>7.932059022267602</c:v>
                </c:pt>
                <c:pt idx="1668">
                  <c:v>7.938661695829367</c:v>
                </c:pt>
                <c:pt idx="1669">
                  <c:v>7.945263300870597</c:v>
                </c:pt>
                <c:pt idx="1670">
                  <c:v>7.951863840698258</c:v>
                </c:pt>
                <c:pt idx="1671">
                  <c:v>7.9584633186162845</c:v>
                </c:pt>
                <c:pt idx="1672">
                  <c:v>7.965061737925583</c:v>
                </c:pt>
                <c:pt idx="1673">
                  <c:v>7.971659101924052</c:v>
                </c:pt>
                <c:pt idx="1674">
                  <c:v>7.978255413906588</c:v>
                </c:pt>
                <c:pt idx="1675">
                  <c:v>7.984850677165093</c:v>
                </c:pt>
                <c:pt idx="1676">
                  <c:v>7.991444894988492</c:v>
                </c:pt>
                <c:pt idx="1677">
                  <c:v>7.998038070662742</c:v>
                </c:pt>
                <c:pt idx="1678">
                  <c:v>8.004630207470838</c:v>
                </c:pt>
                <c:pt idx="1679">
                  <c:v>8.011221308692829</c:v>
                </c:pt>
                <c:pt idx="1680">
                  <c:v>8.01781137760583</c:v>
                </c:pt>
                <c:pt idx="1681">
                  <c:v>8.024400417484022</c:v>
                </c:pt>
                <c:pt idx="1682">
                  <c:v>8.030988431598677</c:v>
                </c:pt>
                <c:pt idx="1683">
                  <c:v>8.037575423218161</c:v>
                </c:pt>
                <c:pt idx="1684">
                  <c:v>8.04416139560794</c:v>
                </c:pt>
                <c:pt idx="1685">
                  <c:v>8.0507463520306</c:v>
                </c:pt>
                <c:pt idx="1686">
                  <c:v>8.057330295745855</c:v>
                </c:pt>
                <c:pt idx="1687">
                  <c:v>8.06391323001055</c:v>
                </c:pt>
                <c:pt idx="1688">
                  <c:v>8.070495158078685</c:v>
                </c:pt>
                <c:pt idx="1689">
                  <c:v>8.077076083201414</c:v>
                </c:pt>
                <c:pt idx="1690">
                  <c:v>8.083656008627058</c:v>
                </c:pt>
                <c:pt idx="1691">
                  <c:v>8.090234937601117</c:v>
                </c:pt>
                <c:pt idx="1692">
                  <c:v>8.096812873366284</c:v>
                </c:pt>
                <c:pt idx="1693">
                  <c:v>8.10338981916245</c:v>
                </c:pt>
                <c:pt idx="1694">
                  <c:v>8.109965778226712</c:v>
                </c:pt>
                <c:pt idx="1695">
                  <c:v>8.116540753793393</c:v>
                </c:pt>
                <c:pt idx="1696">
                  <c:v>8.123114749094043</c:v>
                </c:pt>
                <c:pt idx="1697">
                  <c:v>8.129687767357455</c:v>
                </c:pt>
                <c:pt idx="1698">
                  <c:v>8.136259811809671</c:v>
                </c:pt>
                <c:pt idx="1699">
                  <c:v>8.142830885673998</c:v>
                </c:pt>
                <c:pt idx="1700">
                  <c:v>8.149400992171012</c:v>
                </c:pt>
                <c:pt idx="1701">
                  <c:v>8.155970134518572</c:v>
                </c:pt>
                <c:pt idx="1702">
                  <c:v>8.162538315931831</c:v>
                </c:pt>
                <c:pt idx="1703">
                  <c:v>8.16910553962324</c:v>
                </c:pt>
                <c:pt idx="1704">
                  <c:v>8.175671808802567</c:v>
                </c:pt>
                <c:pt idx="1705">
                  <c:v>8.182237126676904</c:v>
                </c:pt>
                <c:pt idx="1706">
                  <c:v>8.188801496450669</c:v>
                </c:pt>
                <c:pt idx="1707">
                  <c:v>8.195364921325629</c:v>
                </c:pt>
                <c:pt idx="1708">
                  <c:v>8.201927404500903</c:v>
                </c:pt>
                <c:pt idx="1709">
                  <c:v>8.208488949172972</c:v>
                </c:pt>
                <c:pt idx="1710">
                  <c:v>8.215049558535693</c:v>
                </c:pt>
                <c:pt idx="1711">
                  <c:v>8.221609235780303</c:v>
                </c:pt>
                <c:pt idx="1712">
                  <c:v>8.228167984095434</c:v>
                </c:pt>
                <c:pt idx="1713">
                  <c:v>8.23472580666712</c:v>
                </c:pt>
                <c:pt idx="1714">
                  <c:v>8.241282706678813</c:v>
                </c:pt>
                <c:pt idx="1715">
                  <c:v>8.247838687311383</c:v>
                </c:pt>
                <c:pt idx="1716">
                  <c:v>8.254393751743136</c:v>
                </c:pt>
                <c:pt idx="1717">
                  <c:v>8.260947903149821</c:v>
                </c:pt>
                <c:pt idx="1718">
                  <c:v>8.267501144704639</c:v>
                </c:pt>
                <c:pt idx="1719">
                  <c:v>8.274053479578255</c:v>
                </c:pt>
                <c:pt idx="1720">
                  <c:v>8.280604910938807</c:v>
                </c:pt>
                <c:pt idx="1721">
                  <c:v>8.287155441951917</c:v>
                </c:pt>
                <c:pt idx="1722">
                  <c:v>8.293705075780696</c:v>
                </c:pt>
                <c:pt idx="1723">
                  <c:v>8.300253815585762</c:v>
                </c:pt>
                <c:pt idx="1724">
                  <c:v>8.30680166452524</c:v>
                </c:pt>
                <c:pt idx="1725">
                  <c:v>8.313348625754783</c:v>
                </c:pt>
                <c:pt idx="1726">
                  <c:v>8.319894702427572</c:v>
                </c:pt>
                <c:pt idx="1727">
                  <c:v>8.326439897694328</c:v>
                </c:pt>
                <c:pt idx="1728">
                  <c:v>8.332984214703329</c:v>
                </c:pt>
                <c:pt idx="1729">
                  <c:v>8.339527656600408</c:v>
                </c:pt>
                <c:pt idx="1730">
                  <c:v>8.346070226528973</c:v>
                </c:pt>
                <c:pt idx="1731">
                  <c:v>8.35261192763001</c:v>
                </c:pt>
                <c:pt idx="1732">
                  <c:v>8.359152763042097</c:v>
                </c:pt>
                <c:pt idx="1733">
                  <c:v>8.36569273590141</c:v>
                </c:pt>
                <c:pt idx="1734">
                  <c:v>8.372231849341736</c:v>
                </c:pt>
                <c:pt idx="1735">
                  <c:v>8.378770106494478</c:v>
                </c:pt>
                <c:pt idx="1736">
                  <c:v>8.385307510488671</c:v>
                </c:pt>
                <c:pt idx="1737">
                  <c:v>8.391844064450986</c:v>
                </c:pt>
                <c:pt idx="1738">
                  <c:v>8.398379771505743</c:v>
                </c:pt>
                <c:pt idx="1739">
                  <c:v>8.404914634774919</c:v>
                </c:pt>
                <c:pt idx="1740">
                  <c:v>8.411448657378156</c:v>
                </c:pt>
                <c:pt idx="1741">
                  <c:v>8.417981842432773</c:v>
                </c:pt>
                <c:pt idx="1742">
                  <c:v>8.424514193053778</c:v>
                </c:pt>
                <c:pt idx="1743">
                  <c:v>8.43104571235387</c:v>
                </c:pt>
                <c:pt idx="1744">
                  <c:v>8.437576403443456</c:v>
                </c:pt>
                <c:pt idx="1745">
                  <c:v>8.444106269430653</c:v>
                </c:pt>
                <c:pt idx="1746">
                  <c:v>8.450635313421307</c:v>
                </c:pt>
                <c:pt idx="1747">
                  <c:v>8.457163538518994</c:v>
                </c:pt>
                <c:pt idx="1748">
                  <c:v>8.463690947825032</c:v>
                </c:pt>
                <c:pt idx="1749">
                  <c:v>8.470217544438492</c:v>
                </c:pt>
                <c:pt idx="1750">
                  <c:v>8.476743331456207</c:v>
                </c:pt>
                <c:pt idx="1751">
                  <c:v>8.483268311972777</c:v>
                </c:pt>
                <c:pt idx="1752">
                  <c:v>8.489792489080585</c:v>
                </c:pt>
                <c:pt idx="1753">
                  <c:v>8.496315865869805</c:v>
                </c:pt>
                <c:pt idx="1754">
                  <c:v>8.502838445428404</c:v>
                </c:pt>
                <c:pt idx="1755">
                  <c:v>8.50936023084216</c:v>
                </c:pt>
                <c:pt idx="1756">
                  <c:v>8.51588122519467</c:v>
                </c:pt>
                <c:pt idx="1757">
                  <c:v>8.522401431567353</c:v>
                </c:pt>
                <c:pt idx="1758">
                  <c:v>8.528920853039468</c:v>
                </c:pt>
                <c:pt idx="1759">
                  <c:v>8.535439492688116</c:v>
                </c:pt>
                <c:pt idx="1760">
                  <c:v>8.54195735358825</c:v>
                </c:pt>
                <c:pt idx="1761">
                  <c:v>8.548474438812692</c:v>
                </c:pt>
                <c:pt idx="1762">
                  <c:v>8.554990751432133</c:v>
                </c:pt>
                <c:pt idx="1763">
                  <c:v>8.561506294515144</c:v>
                </c:pt>
                <c:pt idx="1764">
                  <c:v>8.568021071128191</c:v>
                </c:pt>
                <c:pt idx="1765">
                  <c:v>8.574535084335636</c:v>
                </c:pt>
                <c:pt idx="1766">
                  <c:v>8.581048337199752</c:v>
                </c:pt>
                <c:pt idx="1767">
                  <c:v>8.58756083278073</c:v>
                </c:pt>
                <c:pt idx="1768">
                  <c:v>8.594072574136687</c:v>
                </c:pt>
                <c:pt idx="1769">
                  <c:v>8.600583564323678</c:v>
                </c:pt>
                <c:pt idx="1770">
                  <c:v>8.607093806395701</c:v>
                </c:pt>
                <c:pt idx="1771">
                  <c:v>8.613603303404712</c:v>
                </c:pt>
                <c:pt idx="1772">
                  <c:v>8.620112058400627</c:v>
                </c:pt>
                <c:pt idx="1773">
                  <c:v>8.626620074431337</c:v>
                </c:pt>
                <c:pt idx="1774">
                  <c:v>8.633127354542713</c:v>
                </c:pt>
                <c:pt idx="1775">
                  <c:v>8.639633901778616</c:v>
                </c:pt>
                <c:pt idx="1776">
                  <c:v>8.646139719180908</c:v>
                </c:pt>
                <c:pt idx="1777">
                  <c:v>8.65264480978946</c:v>
                </c:pt>
                <c:pt idx="1778">
                  <c:v>8.659149176642158</c:v>
                </c:pt>
                <c:pt idx="1779">
                  <c:v>8.665652822774913</c:v>
                </c:pt>
                <c:pt idx="1780">
                  <c:v>8.672155751221677</c:v>
                </c:pt>
                <c:pt idx="1781">
                  <c:v>8.678657965014441</c:v>
                </c:pt>
                <c:pt idx="1782">
                  <c:v>8.685159467183253</c:v>
                </c:pt>
                <c:pt idx="1783">
                  <c:v>8.69166026075622</c:v>
                </c:pt>
                <c:pt idx="1784">
                  <c:v>8.698160348759522</c:v>
                </c:pt>
                <c:pt idx="1785">
                  <c:v>8.704659734217415</c:v>
                </c:pt>
                <c:pt idx="1786">
                  <c:v>8.711158420152248</c:v>
                </c:pt>
                <c:pt idx="1787">
                  <c:v>8.717656409584464</c:v>
                </c:pt>
                <c:pt idx="1788">
                  <c:v>8.724153705532615</c:v>
                </c:pt>
                <c:pt idx="1789">
                  <c:v>8.730650311013367</c:v>
                </c:pt>
                <c:pt idx="1790">
                  <c:v>8.737146229041509</c:v>
                </c:pt>
                <c:pt idx="1791">
                  <c:v>8.743641462629961</c:v>
                </c:pt>
                <c:pt idx="1792">
                  <c:v>8.75013601478979</c:v>
                </c:pt>
                <c:pt idx="1793">
                  <c:v>8.756629888530206</c:v>
                </c:pt>
                <c:pt idx="1794">
                  <c:v>8.763123086858583</c:v>
                </c:pt>
                <c:pt idx="1795">
                  <c:v>8.769615612780461</c:v>
                </c:pt>
                <c:pt idx="1796">
                  <c:v>8.776107469299555</c:v>
                </c:pt>
                <c:pt idx="1797">
                  <c:v>8.782598659417769</c:v>
                </c:pt>
                <c:pt idx="1798">
                  <c:v>8.789089186135195</c:v>
                </c:pt>
                <c:pt idx="1799">
                  <c:v>8.795579052450131</c:v>
                </c:pt>
                <c:pt idx="1800">
                  <c:v>8.802068261359086</c:v>
                </c:pt>
                <c:pt idx="1801">
                  <c:v>8.808556815856788</c:v>
                </c:pt>
                <c:pt idx="1802">
                  <c:v>8.815044718936193</c:v>
                </c:pt>
                <c:pt idx="1803">
                  <c:v>8.821531973588494</c:v>
                </c:pt>
                <c:pt idx="1804">
                  <c:v>8.82801858280313</c:v>
                </c:pt>
                <c:pt idx="1805">
                  <c:v>8.834504549567795</c:v>
                </c:pt>
                <c:pt idx="1806">
                  <c:v>8.840989876868443</c:v>
                </c:pt>
                <c:pt idx="1807">
                  <c:v>8.847474567689305</c:v>
                </c:pt>
                <c:pt idx="1808">
                  <c:v>8.853958625012885</c:v>
                </c:pt>
                <c:pt idx="1809">
                  <c:v>8.860442051819978</c:v>
                </c:pt>
                <c:pt idx="1810">
                  <c:v>8.86692485108968</c:v>
                </c:pt>
                <c:pt idx="1811">
                  <c:v>8.873407025799388</c:v>
                </c:pt>
                <c:pt idx="1812">
                  <c:v>8.879888578924813</c:v>
                </c:pt>
                <c:pt idx="1813">
                  <c:v>8.886369513439993</c:v>
                </c:pt>
                <c:pt idx="1814">
                  <c:v>8.89284983231729</c:v>
                </c:pt>
                <c:pt idx="1815">
                  <c:v>8.899329538527414</c:v>
                </c:pt>
                <c:pt idx="1816">
                  <c:v>8.905808635039417</c:v>
                </c:pt>
                <c:pt idx="1817">
                  <c:v>8.912287124820711</c:v>
                </c:pt>
                <c:pt idx="1818">
                  <c:v>8.91876501083707</c:v>
                </c:pt>
                <c:pt idx="1819">
                  <c:v>8.925242296052645</c:v>
                </c:pt>
                <c:pt idx="1820">
                  <c:v>8.931718983429963</c:v>
                </c:pt>
                <c:pt idx="1821">
                  <c:v>8.938195075929949</c:v>
                </c:pt>
                <c:pt idx="1822">
                  <c:v>8.944670576511921</c:v>
                </c:pt>
                <c:pt idx="1823">
                  <c:v>8.951145488133607</c:v>
                </c:pt>
                <c:pt idx="1824">
                  <c:v>8.957619813751148</c:v>
                </c:pt>
                <c:pt idx="1825">
                  <c:v>8.964093556319114</c:v>
                </c:pt>
                <c:pt idx="1826">
                  <c:v>8.970566718790499</c:v>
                </c:pt>
                <c:pt idx="1827">
                  <c:v>8.977039304116746</c:v>
                </c:pt>
                <c:pt idx="1828">
                  <c:v>8.983511315247743</c:v>
                </c:pt>
                <c:pt idx="1829">
                  <c:v>8.989982755131836</c:v>
                </c:pt>
                <c:pt idx="1830">
                  <c:v>8.996453626715834</c:v>
                </c:pt>
                <c:pt idx="1831">
                  <c:v>9.002923932945025</c:v>
                </c:pt>
                <c:pt idx="1832">
                  <c:v>9.009393676763175</c:v>
                </c:pt>
                <c:pt idx="1833">
                  <c:v>9.015862861112542</c:v>
                </c:pt>
                <c:pt idx="1834">
                  <c:v>9.022331488933883</c:v>
                </c:pt>
                <c:pt idx="1835">
                  <c:v>9.028799563166464</c:v>
                </c:pt>
                <c:pt idx="1836">
                  <c:v>9.035267086748062</c:v>
                </c:pt>
                <c:pt idx="1837">
                  <c:v>9.041734062614982</c:v>
                </c:pt>
                <c:pt idx="1838">
                  <c:v>9.048200493702058</c:v>
                </c:pt>
                <c:pt idx="1839">
                  <c:v>9.054666382942665</c:v>
                </c:pt>
                <c:pt idx="1840">
                  <c:v>9.061131733268727</c:v>
                </c:pt>
                <c:pt idx="1841">
                  <c:v>9.067596547610725</c:v>
                </c:pt>
                <c:pt idx="1842">
                  <c:v>9.074060828897702</c:v>
                </c:pt>
                <c:pt idx="1843">
                  <c:v>9.080524580057276</c:v>
                </c:pt>
                <c:pt idx="1844">
                  <c:v>9.086987804015646</c:v>
                </c:pt>
                <c:pt idx="1845">
                  <c:v>9.0934505036976</c:v>
                </c:pt>
                <c:pt idx="1846">
                  <c:v>9.099912682026524</c:v>
                </c:pt>
                <c:pt idx="1847">
                  <c:v>9.106374341924411</c:v>
                </c:pt>
                <c:pt idx="1848">
                  <c:v>9.112835486311862</c:v>
                </c:pt>
                <c:pt idx="1849">
                  <c:v>9.119296118108108</c:v>
                </c:pt>
                <c:pt idx="1850">
                  <c:v>9.125756240231006</c:v>
                </c:pt>
                <c:pt idx="1851">
                  <c:v>9.132215855597048</c:v>
                </c:pt>
                <c:pt idx="1852">
                  <c:v>9.138674967121377</c:v>
                </c:pt>
                <c:pt idx="1853">
                  <c:v>9.14513357771779</c:v>
                </c:pt>
                <c:pt idx="1854">
                  <c:v>9.151591690298744</c:v>
                </c:pt>
                <c:pt idx="1855">
                  <c:v>9.15804930777537</c:v>
                </c:pt>
                <c:pt idx="1856">
                  <c:v>9.164506433057474</c:v>
                </c:pt>
                <c:pt idx="1857">
                  <c:v>9.170963069053549</c:v>
                </c:pt>
                <c:pt idx="1858">
                  <c:v>9.177419218670787</c:v>
                </c:pt>
                <c:pt idx="1859">
                  <c:v>9.18387488481508</c:v>
                </c:pt>
                <c:pt idx="1860">
                  <c:v>9.19033007039103</c:v>
                </c:pt>
                <c:pt idx="1861">
                  <c:v>9.196784778301955</c:v>
                </c:pt>
                <c:pt idx="1862">
                  <c:v>9.20323901144991</c:v>
                </c:pt>
                <c:pt idx="1863">
                  <c:v>9.209692772735673</c:v>
                </c:pt>
                <c:pt idx="1864">
                  <c:v>9.216146065058773</c:v>
                </c:pt>
                <c:pt idx="1865">
                  <c:v>9.222598891317487</c:v>
                </c:pt>
                <c:pt idx="1866">
                  <c:v>9.229051254408853</c:v>
                </c:pt>
                <c:pt idx="1867">
                  <c:v>9.23550315722867</c:v>
                </c:pt>
                <c:pt idx="1868">
                  <c:v>9.241954602671521</c:v>
                </c:pt>
                <c:pt idx="1869">
                  <c:v>9.248405593630762</c:v>
                </c:pt>
                <c:pt idx="1870">
                  <c:v>9.254856132998547</c:v>
                </c:pt>
                <c:pt idx="1871">
                  <c:v>9.261306223665827</c:v>
                </c:pt>
                <c:pt idx="1872">
                  <c:v>9.267755868522357</c:v>
                </c:pt>
                <c:pt idx="1873">
                  <c:v>9.27420507045671</c:v>
                </c:pt>
                <c:pt idx="1874">
                  <c:v>9.280653832356277</c:v>
                </c:pt>
                <c:pt idx="1875">
                  <c:v>9.287102157107288</c:v>
                </c:pt>
                <c:pt idx="1876">
                  <c:v>9.293550047594803</c:v>
                </c:pt>
                <c:pt idx="1877">
                  <c:v>9.299997506702729</c:v>
                </c:pt>
                <c:pt idx="1878">
                  <c:v>9.306444537313833</c:v>
                </c:pt>
                <c:pt idx="1879">
                  <c:v>9.312891142309738</c:v>
                </c:pt>
                <c:pt idx="1880">
                  <c:v>9.319337324570938</c:v>
                </c:pt>
                <c:pt idx="1881">
                  <c:v>9.32578308697681</c:v>
                </c:pt>
                <c:pt idx="1882">
                  <c:v>9.332228432405607</c:v>
                </c:pt>
                <c:pt idx="1883">
                  <c:v>9.338673363734486</c:v>
                </c:pt>
                <c:pt idx="1884">
                  <c:v>9.3451178838395</c:v>
                </c:pt>
                <c:pt idx="1885">
                  <c:v>9.351561995595608</c:v>
                </c:pt>
                <c:pt idx="1886">
                  <c:v>9.35800570187669</c:v>
                </c:pt>
                <c:pt idx="1887">
                  <c:v>9.364449005555555</c:v>
                </c:pt>
                <c:pt idx="1888">
                  <c:v>9.370891909503934</c:v>
                </c:pt>
                <c:pt idx="1889">
                  <c:v>9.377334416592507</c:v>
                </c:pt>
                <c:pt idx="1890">
                  <c:v>9.383776529690902</c:v>
                </c:pt>
                <c:pt idx="1891">
                  <c:v>9.390218251667697</c:v>
                </c:pt>
                <c:pt idx="1892">
                  <c:v>9.39665958539044</c:v>
                </c:pt>
                <c:pt idx="1893">
                  <c:v>9.403100533725647</c:v>
                </c:pt>
                <c:pt idx="1894">
                  <c:v>9.409541099538814</c:v>
                </c:pt>
                <c:pt idx="1895">
                  <c:v>9.415981285694425</c:v>
                </c:pt>
                <c:pt idx="1896">
                  <c:v>9.422421095055961</c:v>
                </c:pt>
                <c:pt idx="1897">
                  <c:v>9.4288605304859</c:v>
                </c:pt>
                <c:pt idx="1898">
                  <c:v>9.435299594845738</c:v>
                </c:pt>
                <c:pt idx="1899">
                  <c:v>9.441738290995982</c:v>
                </c:pt>
                <c:pt idx="1900">
                  <c:v>9.448176621796167</c:v>
                </c:pt>
                <c:pt idx="1901">
                  <c:v>9.454614590104864</c:v>
                </c:pt>
                <c:pt idx="1902">
                  <c:v>9.461052198779685</c:v>
                </c:pt>
                <c:pt idx="1903">
                  <c:v>9.467489450677288</c:v>
                </c:pt>
                <c:pt idx="1904">
                  <c:v>9.47392634865339</c:v>
                </c:pt>
                <c:pt idx="1905">
                  <c:v>9.480362895562774</c:v>
                </c:pt>
                <c:pt idx="1906">
                  <c:v>9.486799094259291</c:v>
                </c:pt>
                <c:pt idx="1907">
                  <c:v>9.493234947595877</c:v>
                </c:pt>
                <c:pt idx="1908">
                  <c:v>9.499670458424552</c:v>
                </c:pt>
                <c:pt idx="1909">
                  <c:v>9.506105629596432</c:v>
                </c:pt>
                <c:pt idx="1910">
                  <c:v>9.512540463961736</c:v>
                </c:pt>
                <c:pt idx="1911">
                  <c:v>9.518974964369795</c:v>
                </c:pt>
                <c:pt idx="1912">
                  <c:v>9.525409133669054</c:v>
                </c:pt>
                <c:pt idx="1913">
                  <c:v>9.53184297470709</c:v>
                </c:pt>
                <c:pt idx="1914">
                  <c:v>9.53827649033061</c:v>
                </c:pt>
                <c:pt idx="1915">
                  <c:v>9.544709683385461</c:v>
                </c:pt>
                <c:pt idx="1916">
                  <c:v>9.551142556716641</c:v>
                </c:pt>
                <c:pt idx="1917">
                  <c:v>9.557575113168307</c:v>
                </c:pt>
                <c:pt idx="1918">
                  <c:v>9.564007355583772</c:v>
                </c:pt>
                <c:pt idx="1919">
                  <c:v>9.57043928680553</c:v>
                </c:pt>
                <c:pt idx="1920">
                  <c:v>9.57687090967525</c:v>
                </c:pt>
                <c:pt idx="1921">
                  <c:v>9.583302227033785</c:v>
                </c:pt>
                <c:pt idx="1922">
                  <c:v>9.58973324172119</c:v>
                </c:pt>
                <c:pt idx="1923">
                  <c:v>9.596163956576715</c:v>
                </c:pt>
                <c:pt idx="1924">
                  <c:v>9.602594374438823</c:v>
                </c:pt>
                <c:pt idx="1925">
                  <c:v>9.609024498145194</c:v>
                </c:pt>
                <c:pt idx="1926">
                  <c:v>9.615454330532735</c:v>
                </c:pt>
                <c:pt idx="1927">
                  <c:v>9.62188387443758</c:v>
                </c:pt>
                <c:pt idx="1928">
                  <c:v>9.628313132695109</c:v>
                </c:pt>
                <c:pt idx="1929">
                  <c:v>9.634742108139946</c:v>
                </c:pt>
                <c:pt idx="1930">
                  <c:v>9.641170803605972</c:v>
                </c:pt>
                <c:pt idx="1931">
                  <c:v>9.64759922192633</c:v>
                </c:pt>
                <c:pt idx="1932">
                  <c:v>9.654027365933434</c:v>
                </c:pt>
                <c:pt idx="1933">
                  <c:v>9.660455238458974</c:v>
                </c:pt>
                <c:pt idx="1934">
                  <c:v>9.666882842333928</c:v>
                </c:pt>
                <c:pt idx="1935">
                  <c:v>9.673310180388567</c:v>
                </c:pt>
                <c:pt idx="1936">
                  <c:v>9.679737255452459</c:v>
                </c:pt>
                <c:pt idx="1937">
                  <c:v>9.686164070354481</c:v>
                </c:pt>
                <c:pt idx="1938">
                  <c:v>9.692590627922831</c:v>
                </c:pt>
                <c:pt idx="1939">
                  <c:v>9.699016930985024</c:v>
                </c:pt>
                <c:pt idx="1940">
                  <c:v>9.705442982367908</c:v>
                </c:pt>
                <c:pt idx="1941">
                  <c:v>9.71186878489767</c:v>
                </c:pt>
                <c:pt idx="1942">
                  <c:v>9.718294341399838</c:v>
                </c:pt>
                <c:pt idx="1943">
                  <c:v>9.7247196546993</c:v>
                </c:pt>
                <c:pt idx="1944">
                  <c:v>9.731144727620299</c:v>
                </c:pt>
                <c:pt idx="1945">
                  <c:v>9.737569562986447</c:v>
                </c:pt>
                <c:pt idx="1946">
                  <c:v>9.743994163620737</c:v>
                </c:pt>
                <c:pt idx="1947">
                  <c:v>9.75041853234554</c:v>
                </c:pt>
                <c:pt idx="1948">
                  <c:v>9.756842671982614</c:v>
                </c:pt>
                <c:pt idx="1949">
                  <c:v>9.763266585353124</c:v>
                </c:pt>
                <c:pt idx="1950">
                  <c:v>9.769690275277636</c:v>
                </c:pt>
                <c:pt idx="1951">
                  <c:v>9.776113744576127</c:v>
                </c:pt>
                <c:pt idx="1952">
                  <c:v>9.782536996068</c:v>
                </c:pt>
                <c:pt idx="1953">
                  <c:v>9.78896003257208</c:v>
                </c:pt>
                <c:pt idx="1954">
                  <c:v>9.79538285690663</c:v>
                </c:pt>
                <c:pt idx="1955">
                  <c:v>9.801805471889356</c:v>
                </c:pt>
                <c:pt idx="1956">
                  <c:v>9.808227880337416</c:v>
                </c:pt>
                <c:pt idx="1957">
                  <c:v>9.814650085067422</c:v>
                </c:pt>
                <c:pt idx="1958">
                  <c:v>9.821072088895455</c:v>
                </c:pt>
                <c:pt idx="1959">
                  <c:v>9.827493894637067</c:v>
                </c:pt>
                <c:pt idx="1960">
                  <c:v>9.833915505107289</c:v>
                </c:pt>
                <c:pt idx="1961">
                  <c:v>9.840336923120638</c:v>
                </c:pt>
                <c:pt idx="1962">
                  <c:v>9.846758151491134</c:v>
                </c:pt>
                <c:pt idx="1963">
                  <c:v>9.85317919303229</c:v>
                </c:pt>
                <c:pt idx="1964">
                  <c:v>9.859600050557132</c:v>
                </c:pt>
                <c:pt idx="1965">
                  <c:v>9.866020726878208</c:v>
                </c:pt>
                <c:pt idx="1966">
                  <c:v>9.872441224807583</c:v>
                </c:pt>
                <c:pt idx="1967">
                  <c:v>9.878861547156859</c:v>
                </c:pt>
                <c:pt idx="1968">
                  <c:v>9.885281696737177</c:v>
                </c:pt>
                <c:pt idx="1969">
                  <c:v>9.891701676359222</c:v>
                </c:pt>
                <c:pt idx="1970">
                  <c:v>9.898121488833237</c:v>
                </c:pt>
                <c:pt idx="1971">
                  <c:v>9.904541136969025</c:v>
                </c:pt>
                <c:pt idx="1972">
                  <c:v>9.910960623575956</c:v>
                </c:pt>
                <c:pt idx="1973">
                  <c:v>9.917379951462982</c:v>
                </c:pt>
                <c:pt idx="1974">
                  <c:v>9.923799123438634</c:v>
                </c:pt>
                <c:pt idx="1975">
                  <c:v>9.930218142311034</c:v>
                </c:pt>
                <c:pt idx="1976">
                  <c:v>9.936637010887909</c:v>
                </c:pt>
                <c:pt idx="1977">
                  <c:v>9.943055731976584</c:v>
                </c:pt>
                <c:pt idx="1978">
                  <c:v>9.949474308384</c:v>
                </c:pt>
                <c:pt idx="1979">
                  <c:v>9.955892742916724</c:v>
                </c:pt>
                <c:pt idx="1980">
                  <c:v>9.962311038380946</c:v>
                </c:pt>
                <c:pt idx="1981">
                  <c:v>9.96872919758249</c:v>
                </c:pt>
                <c:pt idx="1982">
                  <c:v>9.975147223326832</c:v>
                </c:pt>
                <c:pt idx="1983">
                  <c:v>9.981565118419088</c:v>
                </c:pt>
                <c:pt idx="1984">
                  <c:v>9.987982885664035</c:v>
                </c:pt>
                <c:pt idx="1985">
                  <c:v>9.994400527866114</c:v>
                </c:pt>
                <c:pt idx="1986">
                  <c:v>10.000818047829446</c:v>
                </c:pt>
                <c:pt idx="1987">
                  <c:v>10.007235448357822</c:v>
                </c:pt>
                <c:pt idx="1988">
                  <c:v>10.013652732254727</c:v>
                </c:pt>
                <c:pt idx="1989">
                  <c:v>10.020069902323337</c:v>
                </c:pt>
                <c:pt idx="1990">
                  <c:v>10.02648696136653</c:v>
                </c:pt>
                <c:pt idx="1991">
                  <c:v>10.032903912186896</c:v>
                </c:pt>
                <c:pt idx="1992">
                  <c:v>10.039320757586738</c:v>
                </c:pt>
                <c:pt idx="1993">
                  <c:v>10.045737500368082</c:v>
                </c:pt>
                <c:pt idx="1994">
                  <c:v>10.052154143332693</c:v>
                </c:pt>
                <c:pt idx="1995">
                  <c:v>10.058570689282067</c:v>
                </c:pt>
                <c:pt idx="1996">
                  <c:v>10.06498714101745</c:v>
                </c:pt>
                <c:pt idx="1997">
                  <c:v>10.071403501339837</c:v>
                </c:pt>
                <c:pt idx="1998">
                  <c:v>10.07781977304999</c:v>
                </c:pt>
                <c:pt idx="1999">
                  <c:v>10.084235958948433</c:v>
                </c:pt>
                <c:pt idx="2000">
                  <c:v>10.09065206183547</c:v>
                </c:pt>
                <c:pt idx="2001">
                  <c:v>10.097068084511186</c:v>
                </c:pt>
                <c:pt idx="2002">
                  <c:v>10.103484029775451</c:v>
                </c:pt>
                <c:pt idx="2003">
                  <c:v>10.109899900427944</c:v>
                </c:pt>
                <c:pt idx="2004">
                  <c:v>10.116315699268139</c:v>
                </c:pt>
                <c:pt idx="2005">
                  <c:v>10.122731429095323</c:v>
                </c:pt>
                <c:pt idx="2006">
                  <c:v>10.129147092708607</c:v>
                </c:pt>
                <c:pt idx="2007">
                  <c:v>10.135562692906925</c:v>
                </c:pt>
                <c:pt idx="2008">
                  <c:v>10.141978232489047</c:v>
                </c:pt>
                <c:pt idx="2009">
                  <c:v>10.14839371425358</c:v>
                </c:pt>
                <c:pt idx="2010">
                  <c:v>10.154809140998987</c:v>
                </c:pt>
                <c:pt idx="2011">
                  <c:v>10.161224515523582</c:v>
                </c:pt>
                <c:pt idx="2012">
                  <c:v>10.167639840625545</c:v>
                </c:pt>
                <c:pt idx="2013">
                  <c:v>10.174055119102924</c:v>
                </c:pt>
                <c:pt idx="2014">
                  <c:v>10.180470353753643</c:v>
                </c:pt>
                <c:pt idx="2015">
                  <c:v>10.186885547375521</c:v>
                </c:pt>
                <c:pt idx="2016">
                  <c:v>10.193300702766258</c:v>
                </c:pt>
                <c:pt idx="2017">
                  <c:v>10.19971582272346</c:v>
                </c:pt>
                <c:pt idx="2018">
                  <c:v>10.206130910044642</c:v>
                </c:pt>
                <c:pt idx="2019">
                  <c:v>10.21254596752723</c:v>
                </c:pt>
                <c:pt idx="2020">
                  <c:v>10.218960997968573</c:v>
                </c:pt>
                <c:pt idx="2021">
                  <c:v>10.225376004165946</c:v>
                </c:pt>
                <c:pt idx="2022">
                  <c:v>10.23179098891657</c:v>
                </c:pt>
                <c:pt idx="2023">
                  <c:v>10.238205955017598</c:v>
                </c:pt>
                <c:pt idx="2024">
                  <c:v>10.244620905266144</c:v>
                </c:pt>
                <c:pt idx="2025">
                  <c:v>10.251035842459276</c:v>
                </c:pt>
                <c:pt idx="2026">
                  <c:v>10.257450769394024</c:v>
                </c:pt>
                <c:pt idx="2027">
                  <c:v>10.263865688867401</c:v>
                </c:pt>
                <c:pt idx="2028">
                  <c:v>10.270280603676394</c:v>
                </c:pt>
                <c:pt idx="2029">
                  <c:v>10.276695516617975</c:v>
                </c:pt>
                <c:pt idx="2030">
                  <c:v>10.283110430489119</c:v>
                </c:pt>
                <c:pt idx="2031">
                  <c:v>10.289525348086798</c:v>
                </c:pt>
                <c:pt idx="2032">
                  <c:v>10.295940272207993</c:v>
                </c:pt>
                <c:pt idx="2033">
                  <c:v>10.302355205649707</c:v>
                </c:pt>
                <c:pt idx="2034">
                  <c:v>10.308770151208964</c:v>
                </c:pt>
                <c:pt idx="2035">
                  <c:v>10.315185111682819</c:v>
                </c:pt>
                <c:pt idx="2036">
                  <c:v>10.321600089868369</c:v>
                </c:pt>
                <c:pt idx="2037">
                  <c:v>10.328015088562754</c:v>
                </c:pt>
                <c:pt idx="2038">
                  <c:v>10.334430110563169</c:v>
                </c:pt>
                <c:pt idx="2039">
                  <c:v>10.340845158666871</c:v>
                </c:pt>
                <c:pt idx="2040">
                  <c:v>10.347260235671186</c:v>
                </c:pt>
                <c:pt idx="2041">
                  <c:v>10.35367534437351</c:v>
                </c:pt>
                <c:pt idx="2042">
                  <c:v>10.360090487571332</c:v>
                </c:pt>
                <c:pt idx="2043">
                  <c:v>10.36650566806222</c:v>
                </c:pt>
                <c:pt idx="2044">
                  <c:v>10.372920888643847</c:v>
                </c:pt>
                <c:pt idx="2045">
                  <c:v>10.37933615211399</c:v>
                </c:pt>
                <c:pt idx="2046">
                  <c:v>10.385751461270534</c:v>
                </c:pt>
                <c:pt idx="2047">
                  <c:v>10.392166818911486</c:v>
                </c:pt>
                <c:pt idx="2048">
                  <c:v>10.398582227834986</c:v>
                </c:pt>
                <c:pt idx="2049">
                  <c:v>10.404997690839298</c:v>
                </c:pt>
                <c:pt idx="2050">
                  <c:v>10.411413210722833</c:v>
                </c:pt>
                <c:pt idx="2051">
                  <c:v>10.41782879028415</c:v>
                </c:pt>
                <c:pt idx="2052">
                  <c:v>10.424244432321965</c:v>
                </c:pt>
                <c:pt idx="2053">
                  <c:v>10.430660139635153</c:v>
                </c:pt>
                <c:pt idx="2054">
                  <c:v>10.437075915022769</c:v>
                </c:pt>
                <c:pt idx="2055">
                  <c:v>10.443491761284037</c:v>
                </c:pt>
                <c:pt idx="2056">
                  <c:v>10.449907681218368</c:v>
                </c:pt>
                <c:pt idx="2057">
                  <c:v>10.456323677625374</c:v>
                </c:pt>
                <c:pt idx="2058">
                  <c:v>10.462739753304856</c:v>
                </c:pt>
                <c:pt idx="2059">
                  <c:v>10.469155911056827</c:v>
                </c:pt>
                <c:pt idx="2060">
                  <c:v>10.47557215368152</c:v>
                </c:pt>
                <c:pt idx="2061">
                  <c:v>10.481988483979384</c:v>
                </c:pt>
                <c:pt idx="2062">
                  <c:v>10.488404904751095</c:v>
                </c:pt>
                <c:pt idx="2063">
                  <c:v>10.494821418797574</c:v>
                </c:pt>
                <c:pt idx="2064">
                  <c:v>10.50123802891998</c:v>
                </c:pt>
                <c:pt idx="2065">
                  <c:v>10.507654737919728</c:v>
                </c:pt>
                <c:pt idx="2066">
                  <c:v>10.514071548598487</c:v>
                </c:pt>
                <c:pt idx="2067">
                  <c:v>10.520488463758197</c:v>
                </c:pt>
                <c:pt idx="2068">
                  <c:v>10.526905486201064</c:v>
                </c:pt>
                <c:pt idx="2069">
                  <c:v>10.533322618729589</c:v>
                </c:pt>
                <c:pt idx="2070">
                  <c:v>10.539739864146545</c:v>
                </c:pt>
                <c:pt idx="2071">
                  <c:v>10.54615722525501</c:v>
                </c:pt>
                <c:pt idx="2072">
                  <c:v>10.552574704858365</c:v>
                </c:pt>
                <c:pt idx="2073">
                  <c:v>10.5589923057603</c:v>
                </c:pt>
                <c:pt idx="2074">
                  <c:v>10.565410030764818</c:v>
                </c:pt>
                <c:pt idx="2075">
                  <c:v>10.571827882676256</c:v>
                </c:pt>
                <c:pt idx="2076">
                  <c:v>10.578245864299275</c:v>
                </c:pt>
                <c:pt idx="2077">
                  <c:v>10.584663978438883</c:v>
                </c:pt>
                <c:pt idx="2078">
                  <c:v>10.59108222790043</c:v>
                </c:pt>
                <c:pt idx="2079">
                  <c:v>10.59750061548962</c:v>
                </c:pt>
                <c:pt idx="2080">
                  <c:v>10.603919144012522</c:v>
                </c:pt>
                <c:pt idx="2081">
                  <c:v>10.610337816275576</c:v>
                </c:pt>
                <c:pt idx="2082">
                  <c:v>10.616756635085597</c:v>
                </c:pt>
                <c:pt idx="2083">
                  <c:v>10.623175603249777</c:v>
                </c:pt>
                <c:pt idx="2084">
                  <c:v>10.629594723575712</c:v>
                </c:pt>
                <c:pt idx="2085">
                  <c:v>10.63601399887139</c:v>
                </c:pt>
                <c:pt idx="2086">
                  <c:v>10.6424334319452</c:v>
                </c:pt>
                <c:pt idx="2087">
                  <c:v>10.648853025605957</c:v>
                </c:pt>
                <c:pt idx="2088">
                  <c:v>10.655272782662886</c:v>
                </c:pt>
                <c:pt idx="2089">
                  <c:v>10.661692705925649</c:v>
                </c:pt>
                <c:pt idx="2090">
                  <c:v>10.668112798204337</c:v>
                </c:pt>
                <c:pt idx="2091">
                  <c:v>10.674533062309488</c:v>
                </c:pt>
                <c:pt idx="2092">
                  <c:v>10.680953501052084</c:v>
                </c:pt>
                <c:pt idx="2093">
                  <c:v>10.687374117243579</c:v>
                </c:pt>
                <c:pt idx="2094">
                  <c:v>10.693794913695879</c:v>
                </c:pt>
                <c:pt idx="2095">
                  <c:v>10.700215893221365</c:v>
                </c:pt>
                <c:pt idx="2096">
                  <c:v>10.706637058632907</c:v>
                </c:pt>
                <c:pt idx="2097">
                  <c:v>10.713058412743855</c:v>
                </c:pt>
                <c:pt idx="2098">
                  <c:v>10.719479958368053</c:v>
                </c:pt>
                <c:pt idx="2099">
                  <c:v>10.725901698319854</c:v>
                </c:pt>
                <c:pt idx="2100">
                  <c:v>10.732323635414113</c:v>
                </c:pt>
                <c:pt idx="2101">
                  <c:v>10.738745772466212</c:v>
                </c:pt>
                <c:pt idx="2102">
                  <c:v>10.745168112292049</c:v>
                </c:pt>
                <c:pt idx="2103">
                  <c:v>10.751590657708059</c:v>
                </c:pt>
                <c:pt idx="2104">
                  <c:v>10.758013411531213</c:v>
                </c:pt>
                <c:pt idx="2105">
                  <c:v>10.764436376579036</c:v>
                </c:pt>
                <c:pt idx="2106">
                  <c:v>10.7708595556696</c:v>
                </c:pt>
                <c:pt idx="2107">
                  <c:v>10.777282951621547</c:v>
                </c:pt>
                <c:pt idx="2108">
                  <c:v>10.78370656725408</c:v>
                </c:pt>
                <c:pt idx="2109">
                  <c:v>10.790130405386986</c:v>
                </c:pt>
                <c:pt idx="2110">
                  <c:v>10.796554468840627</c:v>
                </c:pt>
                <c:pt idx="2111">
                  <c:v>10.802978760435971</c:v>
                </c:pt>
                <c:pt idx="2112">
                  <c:v>10.809403282994573</c:v>
                </c:pt>
                <c:pt idx="2113">
                  <c:v>10.815828039338605</c:v>
                </c:pt>
                <c:pt idx="2114">
                  <c:v>10.822253032290844</c:v>
                </c:pt>
                <c:pt idx="2115">
                  <c:v>10.828678264674695</c:v>
                </c:pt>
                <c:pt idx="2116">
                  <c:v>10.835103739314187</c:v>
                </c:pt>
                <c:pt idx="2117">
                  <c:v>10.841529459033994</c:v>
                </c:pt>
                <c:pt idx="2118">
                  <c:v>10.847955426659425</c:v>
                </c:pt>
                <c:pt idx="2119">
                  <c:v>10.85438164501645</c:v>
                </c:pt>
                <c:pt idx="2120">
                  <c:v>10.860808116931691</c:v>
                </c:pt>
                <c:pt idx="2121">
                  <c:v>10.867234845232442</c:v>
                </c:pt>
                <c:pt idx="2122">
                  <c:v>10.873661832746665</c:v>
                </c:pt>
                <c:pt idx="2123">
                  <c:v>10.880089082303012</c:v>
                </c:pt>
                <c:pt idx="2124">
                  <c:v>10.886516596730818</c:v>
                </c:pt>
                <c:pt idx="2125">
                  <c:v>10.89294437886012</c:v>
                </c:pt>
                <c:pt idx="2126">
                  <c:v>10.899372431521655</c:v>
                </c:pt>
                <c:pt idx="2127">
                  <c:v>10.905800757546876</c:v>
                </c:pt>
                <c:pt idx="2128">
                  <c:v>10.912229359767949</c:v>
                </c:pt>
                <c:pt idx="2129">
                  <c:v>10.918658241017777</c:v>
                </c:pt>
                <c:pt idx="2130">
                  <c:v>10.925087404129988</c:v>
                </c:pt>
                <c:pt idx="2131">
                  <c:v>10.93151685193896</c:v>
                </c:pt>
                <c:pt idx="2132">
                  <c:v>10.937946587279818</c:v>
                </c:pt>
                <c:pt idx="2133">
                  <c:v>10.94437661298844</c:v>
                </c:pt>
                <c:pt idx="2134">
                  <c:v>10.950806931901473</c:v>
                </c:pt>
                <c:pt idx="2135">
                  <c:v>10.95723754685634</c:v>
                </c:pt>
                <c:pt idx="2136">
                  <c:v>10.963668460691238</c:v>
                </c:pt>
                <c:pt idx="2137">
                  <c:v>10.970099676245155</c:v>
                </c:pt>
                <c:pt idx="2138">
                  <c:v>10.976531196357874</c:v>
                </c:pt>
                <c:pt idx="2139">
                  <c:v>10.982963023869978</c:v>
                </c:pt>
                <c:pt idx="2140">
                  <c:v>10.989395161622861</c:v>
                </c:pt>
                <c:pt idx="2141">
                  <c:v>10.995827612458742</c:v>
                </c:pt>
                <c:pt idx="2142">
                  <c:v>11.002260379220656</c:v>
                </c:pt>
                <c:pt idx="2143">
                  <c:v>11.008693464752481</c:v>
                </c:pt>
                <c:pt idx="2144">
                  <c:v>11.015126871898929</c:v>
                </c:pt>
                <c:pt idx="2145">
                  <c:v>11.02156060350556</c:v>
                </c:pt>
                <c:pt idx="2146">
                  <c:v>11.027994662418791</c:v>
                </c:pt>
                <c:pt idx="2147">
                  <c:v>11.034429051485912</c:v>
                </c:pt>
                <c:pt idx="2148">
                  <c:v>11.040863773555069</c:v>
                </c:pt>
                <c:pt idx="2149">
                  <c:v>11.0472988314753</c:v>
                </c:pt>
                <c:pt idx="2150">
                  <c:v>11.053734228096525</c:v>
                </c:pt>
                <c:pt idx="2151">
                  <c:v>11.060169966269559</c:v>
                </c:pt>
                <c:pt idx="2152">
                  <c:v>11.066606048846113</c:v>
                </c:pt>
                <c:pt idx="2153">
                  <c:v>11.07304247867882</c:v>
                </c:pt>
                <c:pt idx="2154">
                  <c:v>11.079479258621221</c:v>
                </c:pt>
                <c:pt idx="2155">
                  <c:v>11.085916391527789</c:v>
                </c:pt>
                <c:pt idx="2156">
                  <c:v>11.092353880253922</c:v>
                </c:pt>
                <c:pt idx="2157">
                  <c:v>11.098791727655966</c:v>
                </c:pt>
                <c:pt idx="2158">
                  <c:v>11.105229936591208</c:v>
                </c:pt>
                <c:pt idx="2159">
                  <c:v>11.1116685099179</c:v>
                </c:pt>
                <c:pt idx="2160">
                  <c:v>11.118107450495248</c:v>
                </c:pt>
                <c:pt idx="2161">
                  <c:v>11.12454676118344</c:v>
                </c:pt>
                <c:pt idx="2162">
                  <c:v>11.130986444843636</c:v>
                </c:pt>
                <c:pt idx="2163">
                  <c:v>11.137426504337984</c:v>
                </c:pt>
                <c:pt idx="2164">
                  <c:v>11.143866942529625</c:v>
                </c:pt>
                <c:pt idx="2165">
                  <c:v>11.15030776228271</c:v>
                </c:pt>
                <c:pt idx="2166">
                  <c:v>11.15674896646239</c:v>
                </c:pt>
                <c:pt idx="2167">
                  <c:v>11.163190557934843</c:v>
                </c:pt>
                <c:pt idx="2168">
                  <c:v>11.169632539567267</c:v>
                </c:pt>
                <c:pt idx="2169">
                  <c:v>11.176074914227897</c:v>
                </c:pt>
                <c:pt idx="2170">
                  <c:v>11.182517684786003</c:v>
                </c:pt>
                <c:pt idx="2171">
                  <c:v>11.188960854111915</c:v>
                </c:pt>
                <c:pt idx="2172">
                  <c:v>11.19540442507701</c:v>
                </c:pt>
                <c:pt idx="2173">
                  <c:v>11.201848400553736</c:v>
                </c:pt>
                <c:pt idx="2174">
                  <c:v>11.20829278341561</c:v>
                </c:pt>
                <c:pt idx="2175">
                  <c:v>11.214737576537228</c:v>
                </c:pt>
                <c:pt idx="2176">
                  <c:v>11.221182782794282</c:v>
                </c:pt>
                <c:pt idx="2177">
                  <c:v>11.227628405063552</c:v>
                </c:pt>
                <c:pt idx="2178">
                  <c:v>11.234074446222921</c:v>
                </c:pt>
                <c:pt idx="2179">
                  <c:v>11.240520909151394</c:v>
                </c:pt>
                <c:pt idx="2180">
                  <c:v>11.246967796729086</c:v>
                </c:pt>
                <c:pt idx="2181">
                  <c:v>11.25341511183724</c:v>
                </c:pt>
                <c:pt idx="2182">
                  <c:v>11.259862857358241</c:v>
                </c:pt>
                <c:pt idx="2183">
                  <c:v>11.266311036175612</c:v>
                </c:pt>
                <c:pt idx="2184">
                  <c:v>11.272759651174024</c:v>
                </c:pt>
                <c:pt idx="2185">
                  <c:v>11.279208705239316</c:v>
                </c:pt>
                <c:pt idx="2186">
                  <c:v>11.285658201258489</c:v>
                </c:pt>
                <c:pt idx="2187">
                  <c:v>11.292108142119716</c:v>
                </c:pt>
                <c:pt idx="2188">
                  <c:v>11.298558530712354</c:v>
                </c:pt>
                <c:pt idx="2189">
                  <c:v>11.305009369926957</c:v>
                </c:pt>
                <c:pt idx="2190">
                  <c:v>11.31146066265527</c:v>
                </c:pt>
                <c:pt idx="2191">
                  <c:v>11.31791241179025</c:v>
                </c:pt>
                <c:pt idx="2192">
                  <c:v>11.324364620226063</c:v>
                </c:pt>
                <c:pt idx="2193">
                  <c:v>11.330817290858104</c:v>
                </c:pt>
                <c:pt idx="2194">
                  <c:v>11.337270426582988</c:v>
                </c:pt>
                <c:pt idx="2195">
                  <c:v>11.343724030298583</c:v>
                </c:pt>
                <c:pt idx="2196">
                  <c:v>11.350178104903991</c:v>
                </c:pt>
                <c:pt idx="2197">
                  <c:v>11.356632653299576</c:v>
                </c:pt>
                <c:pt idx="2198">
                  <c:v>11.36308767838696</c:v>
                </c:pt>
                <c:pt idx="2199">
                  <c:v>11.369543183069034</c:v>
                </c:pt>
                <c:pt idx="2200">
                  <c:v>11.375999170249976</c:v>
                </c:pt>
                <c:pt idx="2201">
                  <c:v>11.382455642835243</c:v>
                </c:pt>
                <c:pt idx="2202">
                  <c:v>11.388912603731585</c:v>
                </c:pt>
                <c:pt idx="2203">
                  <c:v>11.395370055847062</c:v>
                </c:pt>
                <c:pt idx="2204">
                  <c:v>11.401828002091039</c:v>
                </c:pt>
                <c:pt idx="2205">
                  <c:v>11.408286445374197</c:v>
                </c:pt>
                <c:pt idx="2206">
                  <c:v>11.414745388608553</c:v>
                </c:pt>
                <c:pt idx="2207">
                  <c:v>11.421204834707453</c:v>
                </c:pt>
                <c:pt idx="2208">
                  <c:v>11.427664786585582</c:v>
                </c:pt>
                <c:pt idx="2209">
                  <c:v>11.434125247158988</c:v>
                </c:pt>
                <c:pt idx="2210">
                  <c:v>11.440586219345066</c:v>
                </c:pt>
                <c:pt idx="2211">
                  <c:v>11.447047706062582</c:v>
                </c:pt>
                <c:pt idx="2212">
                  <c:v>11.453509710231678</c:v>
                </c:pt>
                <c:pt idx="2213">
                  <c:v>11.459972234773883</c:v>
                </c:pt>
                <c:pt idx="2214">
                  <c:v>11.466435282612109</c:v>
                </c:pt>
                <c:pt idx="2215">
                  <c:v>11.472898856670678</c:v>
                </c:pt>
                <c:pt idx="2216">
                  <c:v>11.479362959875314</c:v>
                </c:pt>
                <c:pt idx="2217">
                  <c:v>11.485827595153156</c:v>
                </c:pt>
                <c:pt idx="2218">
                  <c:v>11.492292765432769</c:v>
                </c:pt>
                <c:pt idx="2219">
                  <c:v>11.498758473644154</c:v>
                </c:pt>
                <c:pt idx="2220">
                  <c:v>11.505224722718745</c:v>
                </c:pt>
                <c:pt idx="2221">
                  <c:v>11.511691515589435</c:v>
                </c:pt>
                <c:pt idx="2222">
                  <c:v>11.518158855190567</c:v>
                </c:pt>
                <c:pt idx="2223">
                  <c:v>11.524626744457947</c:v>
                </c:pt>
                <c:pt idx="2224">
                  <c:v>11.531095186328864</c:v>
                </c:pt>
                <c:pt idx="2225">
                  <c:v>11.537564183742077</c:v>
                </c:pt>
                <c:pt idx="2226">
                  <c:v>11.544033739637849</c:v>
                </c:pt>
                <c:pt idx="2227">
                  <c:v>11.550503856957928</c:v>
                </c:pt>
                <c:pt idx="2228">
                  <c:v>11.556974538645576</c:v>
                </c:pt>
                <c:pt idx="2229">
                  <c:v>11.563445787645568</c:v>
                </c:pt>
                <c:pt idx="2230">
                  <c:v>11.569917606904205</c:v>
                </c:pt>
                <c:pt idx="2231">
                  <c:v>11.576389999369317</c:v>
                </c:pt>
                <c:pt idx="2232">
                  <c:v>11.582862967990271</c:v>
                </c:pt>
                <c:pt idx="2233">
                  <c:v>11.58933651571799</c:v>
                </c:pt>
                <c:pt idx="2234">
                  <c:v>11.595810645504947</c:v>
                </c:pt>
                <c:pt idx="2235">
                  <c:v>11.60228536030518</c:v>
                </c:pt>
                <c:pt idx="2236">
                  <c:v>11.608760663074305</c:v>
                </c:pt>
                <c:pt idx="2237">
                  <c:v>11.615236556769515</c:v>
                </c:pt>
                <c:pt idx="2238">
                  <c:v>11.621713044349594</c:v>
                </c:pt>
                <c:pt idx="2239">
                  <c:v>11.628190128774929</c:v>
                </c:pt>
                <c:pt idx="2240">
                  <c:v>11.634667813007507</c:v>
                </c:pt>
                <c:pt idx="2241">
                  <c:v>11.641146100010936</c:v>
                </c:pt>
                <c:pt idx="2242">
                  <c:v>11.64762499275044</c:v>
                </c:pt>
                <c:pt idx="2243">
                  <c:v>11.654104494192888</c:v>
                </c:pt>
                <c:pt idx="2244">
                  <c:v>11.660584607306776</c:v>
                </c:pt>
                <c:pt idx="2245">
                  <c:v>11.667065335062258</c:v>
                </c:pt>
                <c:pt idx="2246">
                  <c:v>11.673546680431143</c:v>
                </c:pt>
                <c:pt idx="2247">
                  <c:v>11.680028646386901</c:v>
                </c:pt>
                <c:pt idx="2248">
                  <c:v>11.686511235904689</c:v>
                </c:pt>
                <c:pt idx="2249">
                  <c:v>11.692994451961331</c:v>
                </c:pt>
                <c:pt idx="2250">
                  <c:v>11.699478297535357</c:v>
                </c:pt>
                <c:pt idx="2251">
                  <c:v>11.705962775606988</c:v>
                </c:pt>
                <c:pt idx="2252">
                  <c:v>11.712447889158156</c:v>
                </c:pt>
                <c:pt idx="2253">
                  <c:v>11.718933641172509</c:v>
                </c:pt>
                <c:pt idx="2254">
                  <c:v>11.725420034635427</c:v>
                </c:pt>
                <c:pt idx="2255">
                  <c:v>11.731907072534016</c:v>
                </c:pt>
                <c:pt idx="2256">
                  <c:v>11.738394757857128</c:v>
                </c:pt>
                <c:pt idx="2257">
                  <c:v>11.744883093595371</c:v>
                </c:pt>
                <c:pt idx="2258">
                  <c:v>11.751372082741106</c:v>
                </c:pt>
                <c:pt idx="2259">
                  <c:v>11.757861728288466</c:v>
                </c:pt>
                <c:pt idx="2260">
                  <c:v>11.764352033233365</c:v>
                </c:pt>
                <c:pt idx="2261">
                  <c:v>11.770843000573496</c:v>
                </c:pt>
                <c:pt idx="2262">
                  <c:v>11.77733463330835</c:v>
                </c:pt>
                <c:pt idx="2263">
                  <c:v>11.783826934439222</c:v>
                </c:pt>
                <c:pt idx="2264">
                  <c:v>11.790319906969222</c:v>
                </c:pt>
                <c:pt idx="2265">
                  <c:v>11.796813553903274</c:v>
                </c:pt>
                <c:pt idx="2266">
                  <c:v>11.803307878248132</c:v>
                </c:pt>
                <c:pt idx="2267">
                  <c:v>11.809802883012399</c:v>
                </c:pt>
                <c:pt idx="2268">
                  <c:v>11.81629857120651</c:v>
                </c:pt>
                <c:pt idx="2269">
                  <c:v>11.822794945842766</c:v>
                </c:pt>
                <c:pt idx="2270">
                  <c:v>11.82929200993533</c:v>
                </c:pt>
                <c:pt idx="2271">
                  <c:v>11.835789766500234</c:v>
                </c:pt>
                <c:pt idx="2272">
                  <c:v>11.842288218555401</c:v>
                </c:pt>
                <c:pt idx="2273">
                  <c:v>11.848787369120634</c:v>
                </c:pt>
                <c:pt idx="2274">
                  <c:v>11.855287221217647</c:v>
                </c:pt>
                <c:pt idx="2275">
                  <c:v>11.861787777870052</c:v>
                </c:pt>
                <c:pt idx="2276">
                  <c:v>11.868289042103385</c:v>
                </c:pt>
                <c:pt idx="2277">
                  <c:v>11.874791016945103</c:v>
                </c:pt>
                <c:pt idx="2278">
                  <c:v>11.881293705424607</c:v>
                </c:pt>
                <c:pt idx="2279">
                  <c:v>11.88779711057323</c:v>
                </c:pt>
                <c:pt idx="2280">
                  <c:v>11.894301235424269</c:v>
                </c:pt>
                <c:pt idx="2281">
                  <c:v>11.900806083012975</c:v>
                </c:pt>
                <c:pt idx="2282">
                  <c:v>11.907311656376573</c:v>
                </c:pt>
                <c:pt idx="2283">
                  <c:v>11.913817958554263</c:v>
                </c:pt>
                <c:pt idx="2284">
                  <c:v>11.920324992587245</c:v>
                </c:pt>
                <c:pt idx="2285">
                  <c:v>11.926832761518705</c:v>
                </c:pt>
                <c:pt idx="2286">
                  <c:v>11.933341268393837</c:v>
                </c:pt>
                <c:pt idx="2287">
                  <c:v>11.93985051625986</c:v>
                </c:pt>
                <c:pt idx="2288">
                  <c:v>11.946360508166006</c:v>
                </c:pt>
                <c:pt idx="2289">
                  <c:v>11.952871247163543</c:v>
                </c:pt>
                <c:pt idx="2290">
                  <c:v>11.959382736305788</c:v>
                </c:pt>
                <c:pt idx="2291">
                  <c:v>11.965894978648103</c:v>
                </c:pt>
                <c:pt idx="2292">
                  <c:v>11.972407977247912</c:v>
                </c:pt>
                <c:pt idx="2293">
                  <c:v>11.978921735164713</c:v>
                </c:pt>
                <c:pt idx="2294">
                  <c:v>11.985436255460076</c:v>
                </c:pt>
                <c:pt idx="2295">
                  <c:v>11.991951541197663</c:v>
                </c:pt>
                <c:pt idx="2296">
                  <c:v>11.998467595443236</c:v>
                </c:pt>
                <c:pt idx="2297">
                  <c:v>12.004984421264654</c:v>
                </c:pt>
                <c:pt idx="2298">
                  <c:v>12.011502021731902</c:v>
                </c:pt>
                <c:pt idx="2299">
                  <c:v>12.018020399917082</c:v>
                </c:pt>
                <c:pt idx="2300">
                  <c:v>12.024539558894434</c:v>
                </c:pt>
                <c:pt idx="2301">
                  <c:v>12.031059501740334</c:v>
                </c:pt>
                <c:pt idx="2302">
                  <c:v>12.03758023153332</c:v>
                </c:pt>
                <c:pt idx="2303">
                  <c:v>12.044101751354084</c:v>
                </c:pt>
                <c:pt idx="2304">
                  <c:v>12.050624064285493</c:v>
                </c:pt>
                <c:pt idx="2305">
                  <c:v>12.057147173412591</c:v>
                </c:pt>
                <c:pt idx="2306">
                  <c:v>12.063671081822614</c:v>
                </c:pt>
                <c:pt idx="2307">
                  <c:v>12.070195792604988</c:v>
                </c:pt>
                <c:pt idx="2308">
                  <c:v>12.07672130885136</c:v>
                </c:pt>
                <c:pt idx="2309">
                  <c:v>12.083247633655581</c:v>
                </c:pt>
                <c:pt idx="2310">
                  <c:v>12.08977477011374</c:v>
                </c:pt>
                <c:pt idx="2311">
                  <c:v>12.096302721324154</c:v>
                </c:pt>
                <c:pt idx="2312">
                  <c:v>12.102831490387386</c:v>
                </c:pt>
                <c:pt idx="2313">
                  <c:v>12.109361080406252</c:v>
                </c:pt>
                <c:pt idx="2314">
                  <c:v>12.115891494485838</c:v>
                </c:pt>
                <c:pt idx="2315">
                  <c:v>12.1224227357335</c:v>
                </c:pt>
                <c:pt idx="2316">
                  <c:v>12.12895480725887</c:v>
                </c:pt>
                <c:pt idx="2317">
                  <c:v>12.135487712173884</c:v>
                </c:pt>
                <c:pt idx="2318">
                  <c:v>12.142021453592772</c:v>
                </c:pt>
                <c:pt idx="2319">
                  <c:v>12.148556034632074</c:v>
                </c:pt>
                <c:pt idx="2320">
                  <c:v>12.15509145841066</c:v>
                </c:pt>
                <c:pt idx="2321">
                  <c:v>12.161627728049714</c:v>
                </c:pt>
                <c:pt idx="2322">
                  <c:v>12.168164846672777</c:v>
                </c:pt>
                <c:pt idx="2323">
                  <c:v>12.174702817405729</c:v>
                </c:pt>
                <c:pt idx="2324">
                  <c:v>12.181241643376808</c:v>
                </c:pt>
                <c:pt idx="2325">
                  <c:v>12.187781327716621</c:v>
                </c:pt>
                <c:pt idx="2326">
                  <c:v>12.19432187355816</c:v>
                </c:pt>
                <c:pt idx="2327">
                  <c:v>12.200863284036792</c:v>
                </c:pt>
                <c:pt idx="2328">
                  <c:v>12.207405562290296</c:v>
                </c:pt>
                <c:pt idx="2329">
                  <c:v>12.213948711458846</c:v>
                </c:pt>
                <c:pt idx="2330">
                  <c:v>12.220492734685036</c:v>
                </c:pt>
                <c:pt idx="2331">
                  <c:v>12.227037635113884</c:v>
                </c:pt>
                <c:pt idx="2332">
                  <c:v>12.23358341589285</c:v>
                </c:pt>
                <c:pt idx="2333">
                  <c:v>12.24013008017183</c:v>
                </c:pt>
                <c:pt idx="2334">
                  <c:v>12.246677631103188</c:v>
                </c:pt>
                <c:pt idx="2335">
                  <c:v>12.25322607184174</c:v>
                </c:pt>
                <c:pt idx="2336">
                  <c:v>12.259775405544781</c:v>
                </c:pt>
                <c:pt idx="2337">
                  <c:v>12.266325635372093</c:v>
                </c:pt>
                <c:pt idx="2338">
                  <c:v>12.272876764485952</c:v>
                </c:pt>
                <c:pt idx="2339">
                  <c:v>12.279428796051135</c:v>
                </c:pt>
                <c:pt idx="2340">
                  <c:v>12.285981733234934</c:v>
                </c:pt>
                <c:pt idx="2341">
                  <c:v>12.292535579207168</c:v>
                </c:pt>
                <c:pt idx="2342">
                  <c:v>12.299090337140187</c:v>
                </c:pt>
                <c:pt idx="2343">
                  <c:v>12.305646010208882</c:v>
                </c:pt>
                <c:pt idx="2344">
                  <c:v>12.312202601590704</c:v>
                </c:pt>
                <c:pt idx="2345">
                  <c:v>12.318760114465658</c:v>
                </c:pt>
                <c:pt idx="2346">
                  <c:v>12.325318552016332</c:v>
                </c:pt>
                <c:pt idx="2347">
                  <c:v>12.331877917427892</c:v>
                </c:pt>
                <c:pt idx="2348">
                  <c:v>12.338438213888095</c:v>
                </c:pt>
                <c:pt idx="2349">
                  <c:v>12.344999444587309</c:v>
                </c:pt>
                <c:pt idx="2350">
                  <c:v>12.351561612718509</c:v>
                </c:pt>
                <c:pt idx="2351">
                  <c:v>12.358124721477292</c:v>
                </c:pt>
                <c:pt idx="2352">
                  <c:v>12.364688774061898</c:v>
                </c:pt>
                <c:pt idx="2353">
                  <c:v>12.3712537736732</c:v>
                </c:pt>
                <c:pt idx="2354">
                  <c:v>12.377819723514728</c:v>
                </c:pt>
                <c:pt idx="2355">
                  <c:v>12.384386626792674</c:v>
                </c:pt>
                <c:pt idx="2356">
                  <c:v>12.39095448671591</c:v>
                </c:pt>
                <c:pt idx="2357">
                  <c:v>12.397523306495982</c:v>
                </c:pt>
                <c:pt idx="2358">
                  <c:v>12.404093089347143</c:v>
                </c:pt>
                <c:pt idx="2359">
                  <c:v>12.410663838486338</c:v>
                </c:pt>
                <c:pt idx="2360">
                  <c:v>12.417235557133234</c:v>
                </c:pt>
                <c:pt idx="2361">
                  <c:v>12.423808248510216</c:v>
                </c:pt>
                <c:pt idx="2362">
                  <c:v>12.430381915842414</c:v>
                </c:pt>
                <c:pt idx="2363">
                  <c:v>12.436956562357691</c:v>
                </c:pt>
                <c:pt idx="2364">
                  <c:v>12.443532191286678</c:v>
                </c:pt>
                <c:pt idx="2365">
                  <c:v>12.450108805862765</c:v>
                </c:pt>
                <c:pt idx="2366">
                  <c:v>12.456686409322117</c:v>
                </c:pt>
                <c:pt idx="2367">
                  <c:v>12.463265004903684</c:v>
                </c:pt>
                <c:pt idx="2368">
                  <c:v>12.469844595849224</c:v>
                </c:pt>
                <c:pt idx="2369">
                  <c:v>12.476425185403288</c:v>
                </c:pt>
                <c:pt idx="2370">
                  <c:v>12.483006776813257</c:v>
                </c:pt>
                <c:pt idx="2371">
                  <c:v>12.489589373329332</c:v>
                </c:pt>
                <c:pt idx="2372">
                  <c:v>12.496172978204553</c:v>
                </c:pt>
                <c:pt idx="2373">
                  <c:v>12.502757594694815</c:v>
                </c:pt>
                <c:pt idx="2374">
                  <c:v>12.509343226058867</c:v>
                </c:pt>
                <c:pt idx="2375">
                  <c:v>12.515929875558326</c:v>
                </c:pt>
                <c:pt idx="2376">
                  <c:v>12.5225175464577</c:v>
                </c:pt>
                <c:pt idx="2377">
                  <c:v>12.529106242024376</c:v>
                </c:pt>
                <c:pt idx="2378">
                  <c:v>12.535695965528653</c:v>
                </c:pt>
                <c:pt idx="2379">
                  <c:v>12.542286720243732</c:v>
                </c:pt>
                <c:pt idx="2380">
                  <c:v>12.548878509445748</c:v>
                </c:pt>
                <c:pt idx="2381">
                  <c:v>12.555471336413758</c:v>
                </c:pt>
                <c:pt idx="2382">
                  <c:v>12.562065204429775</c:v>
                </c:pt>
                <c:pt idx="2383">
                  <c:v>12.568660116778759</c:v>
                </c:pt>
                <c:pt idx="2384">
                  <c:v>12.575256076748637</c:v>
                </c:pt>
                <c:pt idx="2385">
                  <c:v>12.581853087630313</c:v>
                </c:pt>
                <c:pt idx="2386">
                  <c:v>12.58845115271768</c:v>
                </c:pt>
                <c:pt idx="2387">
                  <c:v>12.595050275307623</c:v>
                </c:pt>
                <c:pt idx="2388">
                  <c:v>12.601650458700046</c:v>
                </c:pt>
                <c:pt idx="2389">
                  <c:v>12.608251706197864</c:v>
                </c:pt>
                <c:pt idx="2390">
                  <c:v>12.614854021107023</c:v>
                </c:pt>
                <c:pt idx="2391">
                  <c:v>12.62145740673651</c:v>
                </c:pt>
                <c:pt idx="2392">
                  <c:v>12.628061866398372</c:v>
                </c:pt>
                <c:pt idx="2393">
                  <c:v>12.634667403407708</c:v>
                </c:pt>
                <c:pt idx="2394">
                  <c:v>12.6412740210827</c:v>
                </c:pt>
                <c:pt idx="2395">
                  <c:v>12.647881722744607</c:v>
                </c:pt>
                <c:pt idx="2396">
                  <c:v>12.654490511717787</c:v>
                </c:pt>
                <c:pt idx="2397">
                  <c:v>12.66110039132971</c:v>
                </c:pt>
                <c:pt idx="2398">
                  <c:v>12.667711364910955</c:v>
                </c:pt>
                <c:pt idx="2399">
                  <c:v>12.674323435795234</c:v>
                </c:pt>
                <c:pt idx="2400">
                  <c:v>12.680936607319401</c:v>
                </c:pt>
                <c:pt idx="2401">
                  <c:v>12.687550882823459</c:v>
                </c:pt>
                <c:pt idx="2402">
                  <c:v>12.69416626565057</c:v>
                </c:pt>
                <c:pt idx="2403">
                  <c:v>12.700782759147076</c:v>
                </c:pt>
                <c:pt idx="2404">
                  <c:v>12.707400366662501</c:v>
                </c:pt>
                <c:pt idx="2405">
                  <c:v>12.71401909154956</c:v>
                </c:pt>
                <c:pt idx="2406">
                  <c:v>12.72063893716418</c:v>
                </c:pt>
                <c:pt idx="2407">
                  <c:v>12.727259906865505</c:v>
                </c:pt>
                <c:pt idx="2408">
                  <c:v>12.733882004015907</c:v>
                </c:pt>
                <c:pt idx="2409">
                  <c:v>12.740505231980999</c:v>
                </c:pt>
                <c:pt idx="2410">
                  <c:v>12.747129594129648</c:v>
                </c:pt>
                <c:pt idx="2411">
                  <c:v>12.753755093833979</c:v>
                </c:pt>
                <c:pt idx="2412">
                  <c:v>12.7603817344694</c:v>
                </c:pt>
                <c:pt idx="2413">
                  <c:v>12.767009519414598</c:v>
                </c:pt>
                <c:pt idx="2414">
                  <c:v>12.773638452051559</c:v>
                </c:pt>
                <c:pt idx="2415">
                  <c:v>12.780268535765577</c:v>
                </c:pt>
                <c:pt idx="2416">
                  <c:v>12.78689977394527</c:v>
                </c:pt>
                <c:pt idx="2417">
                  <c:v>12.793532169982583</c:v>
                </c:pt>
                <c:pt idx="2418">
                  <c:v>12.80016572727281</c:v>
                </c:pt>
                <c:pt idx="2419">
                  <c:v>12.806800449214595</c:v>
                </c:pt>
                <c:pt idx="2420">
                  <c:v>12.813436339209945</c:v>
                </c:pt>
                <c:pt idx="2421">
                  <c:v>12.820073400664254</c:v>
                </c:pt>
                <c:pt idx="2422">
                  <c:v>12.826711636986298</c:v>
                </c:pt>
                <c:pt idx="2423">
                  <c:v>12.833351051588261</c:v>
                </c:pt>
                <c:pt idx="2424">
                  <c:v>12.839991647885732</c:v>
                </c:pt>
                <c:pt idx="2425">
                  <c:v>12.84663342929773</c:v>
                </c:pt>
                <c:pt idx="2426">
                  <c:v>12.853276399246704</c:v>
                </c:pt>
                <c:pt idx="2427">
                  <c:v>12.859920561158562</c:v>
                </c:pt>
                <c:pt idx="2428">
                  <c:v>12.86656591846266</c:v>
                </c:pt>
                <c:pt idx="2429">
                  <c:v>12.87321247459183</c:v>
                </c:pt>
                <c:pt idx="2430">
                  <c:v>12.87986023298239</c:v>
                </c:pt>
                <c:pt idx="2431">
                  <c:v>12.88650919707415</c:v>
                </c:pt>
                <c:pt idx="2432">
                  <c:v>12.893159370310421</c:v>
                </c:pt>
                <c:pt idx="2433">
                  <c:v>12.899810756138049</c:v>
                </c:pt>
                <c:pt idx="2434">
                  <c:v>12.906463358007395</c:v>
                </c:pt>
                <c:pt idx="2435">
                  <c:v>12.913117179372366</c:v>
                </c:pt>
                <c:pt idx="2436">
                  <c:v>12.919772223690432</c:v>
                </c:pt>
                <c:pt idx="2437">
                  <c:v>12.92642849442262</c:v>
                </c:pt>
                <c:pt idx="2438">
                  <c:v>12.93308599503354</c:v>
                </c:pt>
                <c:pt idx="2439">
                  <c:v>12.939744728991391</c:v>
                </c:pt>
                <c:pt idx="2440">
                  <c:v>12.946404699767976</c:v>
                </c:pt>
                <c:pt idx="2441">
                  <c:v>12.953065910838717</c:v>
                </c:pt>
                <c:pt idx="2442">
                  <c:v>12.959728365682654</c:v>
                </c:pt>
                <c:pt idx="2443">
                  <c:v>13.009728365682655</c:v>
                </c:pt>
                <c:pt idx="2444">
                  <c:v>13.059728365682655</c:v>
                </c:pt>
                <c:pt idx="2445">
                  <c:v>13.109728365682656</c:v>
                </c:pt>
                <c:pt idx="2446">
                  <c:v>13.159728365682657</c:v>
                </c:pt>
                <c:pt idx="2447">
                  <c:v>13.209728365682658</c:v>
                </c:pt>
                <c:pt idx="2448">
                  <c:v>13.259728365682658</c:v>
                </c:pt>
                <c:pt idx="2449">
                  <c:v>13.309728365682659</c:v>
                </c:pt>
                <c:pt idx="2450">
                  <c:v>13.35972836568266</c:v>
                </c:pt>
                <c:pt idx="2451">
                  <c:v>13.40972836568266</c:v>
                </c:pt>
                <c:pt idx="2452">
                  <c:v>13.459728365682661</c:v>
                </c:pt>
                <c:pt idx="2453">
                  <c:v>13.509728365682662</c:v>
                </c:pt>
                <c:pt idx="2454">
                  <c:v>13.559728365682663</c:v>
                </c:pt>
                <c:pt idx="2455">
                  <c:v>13.609728365682663</c:v>
                </c:pt>
                <c:pt idx="2456">
                  <c:v>13.659728365682664</c:v>
                </c:pt>
                <c:pt idx="2457">
                  <c:v>13.709728365682665</c:v>
                </c:pt>
                <c:pt idx="2458">
                  <c:v>13.759728365682665</c:v>
                </c:pt>
                <c:pt idx="2459">
                  <c:v>13.809728365682666</c:v>
                </c:pt>
                <c:pt idx="2460">
                  <c:v>13.859728365682667</c:v>
                </c:pt>
                <c:pt idx="2461">
                  <c:v>13.909728365682668</c:v>
                </c:pt>
                <c:pt idx="2462">
                  <c:v>13.959728365682668</c:v>
                </c:pt>
                <c:pt idx="2463">
                  <c:v>13.959728365682668</c:v>
                </c:pt>
                <c:pt idx="2464">
                  <c:v>13.976155528411244</c:v>
                </c:pt>
                <c:pt idx="2465">
                  <c:v>13.992580864280656</c:v>
                </c:pt>
                <c:pt idx="2466">
                  <c:v>14.009004383049474</c:v>
                </c:pt>
                <c:pt idx="2467">
                  <c:v>14.025426094469934</c:v>
                </c:pt>
                <c:pt idx="2468">
                  <c:v>14.041846008287965</c:v>
                </c:pt>
                <c:pt idx="2469">
                  <c:v>14.058264134243222</c:v>
                </c:pt>
                <c:pt idx="2470">
                  <c:v>14.074680482069128</c:v>
                </c:pt>
                <c:pt idx="2471">
                  <c:v>14.091095061492915</c:v>
                </c:pt>
                <c:pt idx="2472">
                  <c:v>14.107507882235636</c:v>
                </c:pt>
                <c:pt idx="2473">
                  <c:v>14.123918954012233</c:v>
                </c:pt>
                <c:pt idx="2474">
                  <c:v>14.140328286531554</c:v>
                </c:pt>
                <c:pt idx="2475">
                  <c:v>14.156735889496385</c:v>
                </c:pt>
                <c:pt idx="2476">
                  <c:v>14.1731417726035</c:v>
                </c:pt>
                <c:pt idx="2477">
                  <c:v>14.189545945543692</c:v>
                </c:pt>
                <c:pt idx="2478">
                  <c:v>14.205948418001794</c:v>
                </c:pt>
                <c:pt idx="2479">
                  <c:v>14.222349199656737</c:v>
                </c:pt>
                <c:pt idx="2480">
                  <c:v>14.238748300181575</c:v>
                </c:pt>
                <c:pt idx="2481">
                  <c:v>14.25514572924351</c:v>
                </c:pt>
                <c:pt idx="2482">
                  <c:v>14.27154149650395</c:v>
                </c:pt>
                <c:pt idx="2483">
                  <c:v>14.287935611618526</c:v>
                </c:pt>
                <c:pt idx="2484">
                  <c:v>14.304328084237138</c:v>
                </c:pt>
                <c:pt idx="2485">
                  <c:v>14.320718924003975</c:v>
                </c:pt>
                <c:pt idx="2486">
                  <c:v>14.33710814055757</c:v>
                </c:pt>
                <c:pt idx="2487">
                  <c:v>14.353495743530827</c:v>
                </c:pt>
                <c:pt idx="2488">
                  <c:v>14.369881742551044</c:v>
                </c:pt>
                <c:pt idx="2489">
                  <c:v>14.38626614723997</c:v>
                </c:pt>
                <c:pt idx="2490">
                  <c:v>14.40264896721383</c:v>
                </c:pt>
                <c:pt idx="2491">
                  <c:v>14.419030212083344</c:v>
                </c:pt>
                <c:pt idx="2492">
                  <c:v>14.43540989145379</c:v>
                </c:pt>
                <c:pt idx="2493">
                  <c:v>14.451788014925027</c:v>
                </c:pt>
                <c:pt idx="2494">
                  <c:v>14.468164592091513</c:v>
                </c:pt>
                <c:pt idx="2495">
                  <c:v>14.48453963254237</c:v>
                </c:pt>
                <c:pt idx="2496">
                  <c:v>14.500913145861402</c:v>
                </c:pt>
                <c:pt idx="2497">
                  <c:v>14.517285141627118</c:v>
                </c:pt>
                <c:pt idx="2498">
                  <c:v>14.533655629412795</c:v>
                </c:pt>
                <c:pt idx="2499">
                  <c:v>14.550024618786495</c:v>
                </c:pt>
                <c:pt idx="2500">
                  <c:v>14.566392119311091</c:v>
                </c:pt>
                <c:pt idx="2501">
                  <c:v>14.582758140544325</c:v>
                </c:pt>
                <c:pt idx="2502">
                  <c:v>14.599122692038826</c:v>
                </c:pt>
                <c:pt idx="2503">
                  <c:v>14.61548578334214</c:v>
                </c:pt>
                <c:pt idx="2504">
                  <c:v>14.631847423996781</c:v>
                </c:pt>
                <c:pt idx="2505">
                  <c:v>14.648207623540262</c:v>
                </c:pt>
                <c:pt idx="2506">
                  <c:v>14.664566391505106</c:v>
                </c:pt>
                <c:pt idx="2507">
                  <c:v>14.680923737418913</c:v>
                </c:pt>
                <c:pt idx="2508">
                  <c:v>14.69727967080438</c:v>
                </c:pt>
                <c:pt idx="2509">
                  <c:v>14.71363420117932</c:v>
                </c:pt>
                <c:pt idx="2510">
                  <c:v>14.729987338056723</c:v>
                </c:pt>
                <c:pt idx="2511">
                  <c:v>14.746339090944778</c:v>
                </c:pt>
                <c:pt idx="2512">
                  <c:v>14.762689469346894</c:v>
                </c:pt>
                <c:pt idx="2513">
                  <c:v>14.77903848276176</c:v>
                </c:pt>
                <c:pt idx="2514">
                  <c:v>14.79538614068336</c:v>
                </c:pt>
                <c:pt idx="2515">
                  <c:v>14.811732452601007</c:v>
                </c:pt>
                <c:pt idx="2516">
                  <c:v>14.828077427999387</c:v>
                </c:pt>
                <c:pt idx="2517">
                  <c:v>14.844421076358595</c:v>
                </c:pt>
                <c:pt idx="2518">
                  <c:v>14.860763407154142</c:v>
                </c:pt>
                <c:pt idx="2519">
                  <c:v>14.877104429857024</c:v>
                </c:pt>
                <c:pt idx="2520">
                  <c:v>14.89344415393374</c:v>
                </c:pt>
                <c:pt idx="2521">
                  <c:v>14.90978258884631</c:v>
                </c:pt>
                <c:pt idx="2522">
                  <c:v>14.92611974405234</c:v>
                </c:pt>
                <c:pt idx="2523">
                  <c:v>14.942455629005035</c:v>
                </c:pt>
                <c:pt idx="2524">
                  <c:v>14.95879025315323</c:v>
                </c:pt>
                <c:pt idx="2525">
                  <c:v>14.975123625941439</c:v>
                </c:pt>
                <c:pt idx="2526">
                  <c:v>14.991455756809875</c:v>
                </c:pt>
                <c:pt idx="2527">
                  <c:v>15.007786655194494</c:v>
                </c:pt>
                <c:pt idx="2528">
                  <c:v>15.02411633052701</c:v>
                </c:pt>
                <c:pt idx="2529">
                  <c:v>15.040444792234952</c:v>
                </c:pt>
                <c:pt idx="2530">
                  <c:v>15.056772049741689</c:v>
                </c:pt>
                <c:pt idx="2531">
                  <c:v>15.073098112466443</c:v>
                </c:pt>
                <c:pt idx="2532">
                  <c:v>15.089422989824357</c:v>
                </c:pt>
                <c:pt idx="2533">
                  <c:v>15.105746691226505</c:v>
                </c:pt>
                <c:pt idx="2534">
                  <c:v>15.122069226079926</c:v>
                </c:pt>
                <c:pt idx="2535">
                  <c:v>15.138390603787668</c:v>
                </c:pt>
                <c:pt idx="2536">
                  <c:v>15.154710833748815</c:v>
                </c:pt>
                <c:pt idx="2537">
                  <c:v>15.171029925358514</c:v>
                </c:pt>
                <c:pt idx="2538">
                  <c:v>15.187347888008018</c:v>
                </c:pt>
                <c:pt idx="2539">
                  <c:v>15.203664731084721</c:v>
                </c:pt>
                <c:pt idx="2540">
                  <c:v>15.21998046397217</c:v>
                </c:pt>
                <c:pt idx="2541">
                  <c:v>15.236295096050126</c:v>
                </c:pt>
                <c:pt idx="2542">
                  <c:v>15.252608636694582</c:v>
                </c:pt>
                <c:pt idx="2543">
                  <c:v>15.268921095277786</c:v>
                </c:pt>
                <c:pt idx="2544">
                  <c:v>15.2852324811683</c:v>
                </c:pt>
                <c:pt idx="2545">
                  <c:v>15.301542803731014</c:v>
                </c:pt>
                <c:pt idx="2546">
                  <c:v>15.317852072327174</c:v>
                </c:pt>
                <c:pt idx="2547">
                  <c:v>15.334160296314431</c:v>
                </c:pt>
                <c:pt idx="2548">
                  <c:v>15.350467485046872</c:v>
                </c:pt>
                <c:pt idx="2549">
                  <c:v>15.366773647875032</c:v>
                </c:pt>
                <c:pt idx="2550">
                  <c:v>15.383078794145954</c:v>
                </c:pt>
                <c:pt idx="2551">
                  <c:v>15.399382933203205</c:v>
                </c:pt>
                <c:pt idx="2552">
                  <c:v>15.415686074386906</c:v>
                </c:pt>
                <c:pt idx="2553">
                  <c:v>15.431988227033782</c:v>
                </c:pt>
                <c:pt idx="2554">
                  <c:v>15.448289400477181</c:v>
                </c:pt>
                <c:pt idx="2555">
                  <c:v>15.464589604047099</c:v>
                </c:pt>
                <c:pt idx="2556">
                  <c:v>15.480888847070231</c:v>
                </c:pt>
                <c:pt idx="2557">
                  <c:v>15.49718713887</c:v>
                </c:pt>
                <c:pt idx="2558">
                  <c:v>15.513484488766572</c:v>
                </c:pt>
                <c:pt idx="2559">
                  <c:v>15.529780906076908</c:v>
                </c:pt>
                <c:pt idx="2560">
                  <c:v>15.546076400114792</c:v>
                </c:pt>
                <c:pt idx="2561">
                  <c:v>15.562370980190847</c:v>
                </c:pt>
                <c:pt idx="2562">
                  <c:v>15.578664655612593</c:v>
                </c:pt>
                <c:pt idx="2563">
                  <c:v>15.594957435684465</c:v>
                </c:pt>
                <c:pt idx="2564">
                  <c:v>15.611249329707846</c:v>
                </c:pt>
                <c:pt idx="2565">
                  <c:v>15.627540346981093</c:v>
                </c:pt>
                <c:pt idx="2566">
                  <c:v>15.643830496799584</c:v>
                </c:pt>
                <c:pt idx="2567">
                  <c:v>15.660119788455745</c:v>
                </c:pt>
                <c:pt idx="2568">
                  <c:v>15.67640823123907</c:v>
                </c:pt>
                <c:pt idx="2569">
                  <c:v>15.692695834436167</c:v>
                </c:pt>
                <c:pt idx="2570">
                  <c:v>15.708982607330793</c:v>
                </c:pt>
                <c:pt idx="2571">
                  <c:v>15.725268559203863</c:v>
                </c:pt>
                <c:pt idx="2572">
                  <c:v>15.741553699333513</c:v>
                </c:pt>
                <c:pt idx="2573">
                  <c:v>15.757838036995114</c:v>
                </c:pt>
                <c:pt idx="2574">
                  <c:v>15.774121581461294</c:v>
                </c:pt>
                <c:pt idx="2575">
                  <c:v>15.790404342001997</c:v>
                </c:pt>
                <c:pt idx="2576">
                  <c:v>15.806686327884497</c:v>
                </c:pt>
                <c:pt idx="2577">
                  <c:v>15.822967548373427</c:v>
                </c:pt>
                <c:pt idx="2578">
                  <c:v>15.839248012730824</c:v>
                </c:pt>
                <c:pt idx="2579">
                  <c:v>15.855527730216158</c:v>
                </c:pt>
                <c:pt idx="2580">
                  <c:v>15.871806710086346</c:v>
                </c:pt>
                <c:pt idx="2581">
                  <c:v>15.888084961595812</c:v>
                </c:pt>
                <c:pt idx="2582">
                  <c:v>15.9043624939965</c:v>
                </c:pt>
                <c:pt idx="2583">
                  <c:v>15.920639316537903</c:v>
                </c:pt>
                <c:pt idx="2584">
                  <c:v>15.936915438467112</c:v>
                </c:pt>
                <c:pt idx="2585">
                  <c:v>15.95319086902884</c:v>
                </c:pt>
                <c:pt idx="2586">
                  <c:v>15.969465617465437</c:v>
                </c:pt>
                <c:pt idx="2587">
                  <c:v>15.98573969301695</c:v>
                </c:pt>
                <c:pt idx="2588">
                  <c:v>16.002013104921136</c:v>
                </c:pt>
                <c:pt idx="2589">
                  <c:v>16.0182858624135</c:v>
                </c:pt>
                <c:pt idx="2590">
                  <c:v>16.03455797472732</c:v>
                </c:pt>
                <c:pt idx="2591">
                  <c:v>16.050829451093694</c:v>
                </c:pt>
                <c:pt idx="2592">
                  <c:v>16.067100300741547</c:v>
                </c:pt>
                <c:pt idx="2593">
                  <c:v>16.083370532897693</c:v>
                </c:pt>
                <c:pt idx="2594">
                  <c:v>16.099640156786837</c:v>
                </c:pt>
                <c:pt idx="2595">
                  <c:v>16.115909181631633</c:v>
                </c:pt>
                <c:pt idx="2596">
                  <c:v>16.132177616652687</c:v>
                </c:pt>
                <c:pt idx="2597">
                  <c:v>16.148445471068623</c:v>
                </c:pt>
                <c:pt idx="2598">
                  <c:v>16.164712754096072</c:v>
                </c:pt>
                <c:pt idx="2599">
                  <c:v>16.18097947494975</c:v>
                </c:pt>
                <c:pt idx="2600">
                  <c:v>16.197245642842454</c:v>
                </c:pt>
                <c:pt idx="2601">
                  <c:v>16.213511266985112</c:v>
                </c:pt>
                <c:pt idx="2602">
                  <c:v>16.229776356586797</c:v>
                </c:pt>
                <c:pt idx="2603">
                  <c:v>16.24604092085479</c:v>
                </c:pt>
                <c:pt idx="2604">
                  <c:v>16.262304968994567</c:v>
                </c:pt>
                <c:pt idx="2605">
                  <c:v>16.27856851020987</c:v>
                </c:pt>
                <c:pt idx="2606">
                  <c:v>16.29483155370272</c:v>
                </c:pt>
                <c:pt idx="2607">
                  <c:v>16.31109410867346</c:v>
                </c:pt>
                <c:pt idx="2608">
                  <c:v>16.327356184320752</c:v>
                </c:pt>
                <c:pt idx="2609">
                  <c:v>16.343617789841662</c:v>
                </c:pt>
                <c:pt idx="2610">
                  <c:v>16.359878934431645</c:v>
                </c:pt>
                <c:pt idx="2611">
                  <c:v>16.3761396272846</c:v>
                </c:pt>
                <c:pt idx="2612">
                  <c:v>16.392399877592904</c:v>
                </c:pt>
                <c:pt idx="2613">
                  <c:v>16.408659694547428</c:v>
                </c:pt>
                <c:pt idx="2614">
                  <c:v>16.424919087337564</c:v>
                </c:pt>
                <c:pt idx="2615">
                  <c:v>16.441178065151288</c:v>
                </c:pt>
                <c:pt idx="2616">
                  <c:v>16.457436637175153</c:v>
                </c:pt>
                <c:pt idx="2617">
                  <c:v>16.473694812594353</c:v>
                </c:pt>
                <c:pt idx="2618">
                  <c:v>16.489952600592726</c:v>
                </c:pt>
                <c:pt idx="2619">
                  <c:v>16.506210010352813</c:v>
                </c:pt>
                <c:pt idx="2620">
                  <c:v>16.52246705105586</c:v>
                </c:pt>
                <c:pt idx="2621">
                  <c:v>16.53872373188187</c:v>
                </c:pt>
                <c:pt idx="2622">
                  <c:v>16.55498006200963</c:v>
                </c:pt>
                <c:pt idx="2623">
                  <c:v>16.571236050616733</c:v>
                </c:pt>
                <c:pt idx="2624">
                  <c:v>16.58749170687962</c:v>
                </c:pt>
                <c:pt idx="2625">
                  <c:v>16.60374703997362</c:v>
                </c:pt>
                <c:pt idx="2626">
                  <c:v>16.62000205907294</c:v>
                </c:pt>
                <c:pt idx="2627">
                  <c:v>16.636256773350752</c:v>
                </c:pt>
                <c:pt idx="2628">
                  <c:v>16.652511191979183</c:v>
                </c:pt>
                <c:pt idx="2629">
                  <c:v>16.668765324129357</c:v>
                </c:pt>
                <c:pt idx="2630">
                  <c:v>16.685019178971437</c:v>
                </c:pt>
                <c:pt idx="2631">
                  <c:v>16.701272765674645</c:v>
                </c:pt>
                <c:pt idx="2632">
                  <c:v>16.717526093407297</c:v>
                </c:pt>
                <c:pt idx="2633">
                  <c:v>16.733779171336824</c:v>
                </c:pt>
                <c:pt idx="2634">
                  <c:v>16.75003200862983</c:v>
                </c:pt>
                <c:pt idx="2635">
                  <c:v>16.766284614452083</c:v>
                </c:pt>
                <c:pt idx="2636">
                  <c:v>16.782536997968585</c:v>
                </c:pt>
                <c:pt idx="2637">
                  <c:v>16.798789168343582</c:v>
                </c:pt>
                <c:pt idx="2638">
                  <c:v>16.8150411347406</c:v>
                </c:pt>
                <c:pt idx="2639">
                  <c:v>16.831292906322467</c:v>
                </c:pt>
                <c:pt idx="2640">
                  <c:v>16.847544492251362</c:v>
                </c:pt>
                <c:pt idx="2641">
                  <c:v>16.863795901688828</c:v>
                </c:pt>
                <c:pt idx="2642">
                  <c:v>16.880047143795817</c:v>
                </c:pt>
                <c:pt idx="2643">
                  <c:v>16.896298227732714</c:v>
                </c:pt>
                <c:pt idx="2644">
                  <c:v>16.912549162659374</c:v>
                </c:pt>
                <c:pt idx="2645">
                  <c:v>16.928799957735134</c:v>
                </c:pt>
                <c:pt idx="2646">
                  <c:v>16.945050622118874</c:v>
                </c:pt>
                <c:pt idx="2647">
                  <c:v>16.96130116496902</c:v>
                </c:pt>
                <c:pt idx="2648">
                  <c:v>16.977551595443593</c:v>
                </c:pt>
                <c:pt idx="2649">
                  <c:v>16.993801922700236</c:v>
                </c:pt>
                <c:pt idx="2650">
                  <c:v>17.010052155896243</c:v>
                </c:pt>
                <c:pt idx="2651">
                  <c:v>17.02630230418858</c:v>
                </c:pt>
                <c:pt idx="2652">
                  <c:v>17.042552376733937</c:v>
                </c:pt>
                <c:pt idx="2653">
                  <c:v>17.058802382688746</c:v>
                </c:pt>
                <c:pt idx="2654">
                  <c:v>17.075052331209207</c:v>
                </c:pt>
                <c:pt idx="2655">
                  <c:v>17.091302231451333</c:v>
                </c:pt>
                <c:pt idx="2656">
                  <c:v>17.107552092570977</c:v>
                </c:pt>
                <c:pt idx="2657">
                  <c:v>17.123801923723846</c:v>
                </c:pt>
                <c:pt idx="2658">
                  <c:v>17.140051734065562</c:v>
                </c:pt>
                <c:pt idx="2659">
                  <c:v>17.156301532751662</c:v>
                </c:pt>
                <c:pt idx="2660">
                  <c:v>17.172551328937654</c:v>
                </c:pt>
                <c:pt idx="2661">
                  <c:v>17.188801131779034</c:v>
                </c:pt>
                <c:pt idx="2662">
                  <c:v>17.20505095043132</c:v>
                </c:pt>
                <c:pt idx="2663">
                  <c:v>17.221300794050084</c:v>
                </c:pt>
                <c:pt idx="2664">
                  <c:v>17.237550671790977</c:v>
                </c:pt>
                <c:pt idx="2665">
                  <c:v>17.25380059280978</c:v>
                </c:pt>
                <c:pt idx="2666">
                  <c:v>17.270050566262405</c:v>
                </c:pt>
                <c:pt idx="2667">
                  <c:v>17.286300601304948</c:v>
                </c:pt>
                <c:pt idx="2668">
                  <c:v>17.302550707093715</c:v>
                </c:pt>
                <c:pt idx="2669">
                  <c:v>17.318800892785244</c:v>
                </c:pt>
                <c:pt idx="2670">
                  <c:v>17.33505116753635</c:v>
                </c:pt>
                <c:pt idx="2671">
                  <c:v>17.35130154050415</c:v>
                </c:pt>
                <c:pt idx="2672">
                  <c:v>17.367552020846084</c:v>
                </c:pt>
                <c:pt idx="2673">
                  <c:v>17.38380261771996</c:v>
                </c:pt>
                <c:pt idx="2674">
                  <c:v>17.40005334028399</c:v>
                </c:pt>
                <c:pt idx="2675">
                  <c:v>17.416304197696796</c:v>
                </c:pt>
                <c:pt idx="2676">
                  <c:v>17.43255519911746</c:v>
                </c:pt>
                <c:pt idx="2677">
                  <c:v>17.448806353705557</c:v>
                </c:pt>
                <c:pt idx="2678">
                  <c:v>17.46505767062117</c:v>
                </c:pt>
                <c:pt idx="2679">
                  <c:v>17.481309159024942</c:v>
                </c:pt>
                <c:pt idx="2680">
                  <c:v>17.497560828078086</c:v>
                </c:pt>
                <c:pt idx="2681">
                  <c:v>17.513812686942437</c:v>
                </c:pt>
                <c:pt idx="2682">
                  <c:v>17.530064744780457</c:v>
                </c:pt>
                <c:pt idx="2683">
                  <c:v>17.5463170107553</c:v>
                </c:pt>
                <c:pt idx="2684">
                  <c:v>17.5625694940308</c:v>
                </c:pt>
                <c:pt idx="2685">
                  <c:v>17.578822203771544</c:v>
                </c:pt>
                <c:pt idx="2686">
                  <c:v>17.595075149142883</c:v>
                </c:pt>
                <c:pt idx="2687">
                  <c:v>17.611328339310962</c:v>
                </c:pt>
                <c:pt idx="2688">
                  <c:v>17.62758178344275</c:v>
                </c:pt>
                <c:pt idx="2689">
                  <c:v>17.643835490706085</c:v>
                </c:pt>
                <c:pt idx="2690">
                  <c:v>17.660089470269682</c:v>
                </c:pt>
                <c:pt idx="2691">
                  <c:v>17.676343731303188</c:v>
                </c:pt>
                <c:pt idx="2692">
                  <c:v>17.692598282977197</c:v>
                </c:pt>
                <c:pt idx="2693">
                  <c:v>17.708853134463293</c:v>
                </c:pt>
                <c:pt idx="2694">
                  <c:v>17.725108294934063</c:v>
                </c:pt>
                <c:pt idx="2695">
                  <c:v>17.741363773563148</c:v>
                </c:pt>
                <c:pt idx="2696">
                  <c:v>17.75761957952527</c:v>
                </c:pt>
                <c:pt idx="2697">
                  <c:v>17.77387572199624</c:v>
                </c:pt>
                <c:pt idx="2698">
                  <c:v>17.790132210153033</c:v>
                </c:pt>
                <c:pt idx="2699">
                  <c:v>17.806389053173778</c:v>
                </c:pt>
                <c:pt idx="2700">
                  <c:v>17.8226462602378</c:v>
                </c:pt>
                <c:pt idx="2701">
                  <c:v>17.838903840525674</c:v>
                </c:pt>
                <c:pt idx="2702">
                  <c:v>17.85516180321923</c:v>
                </c:pt>
                <c:pt idx="2703">
                  <c:v>17.871420157501582</c:v>
                </c:pt>
                <c:pt idx="2704">
                  <c:v>17.88767891255719</c:v>
                </c:pt>
                <c:pt idx="2705">
                  <c:v>17.90393807757186</c:v>
                </c:pt>
                <c:pt idx="2706">
                  <c:v>17.92019766173278</c:v>
                </c:pt>
                <c:pt idx="2707">
                  <c:v>17.936457674228567</c:v>
                </c:pt>
                <c:pt idx="2708">
                  <c:v>17.95271812424929</c:v>
                </c:pt>
                <c:pt idx="2709">
                  <c:v>17.96897902098649</c:v>
                </c:pt>
                <c:pt idx="2710">
                  <c:v>17.985240373633232</c:v>
                </c:pt>
                <c:pt idx="2711">
                  <c:v>18.001502191384123</c:v>
                </c:pt>
                <c:pt idx="2712">
                  <c:v>18.017764483435336</c:v>
                </c:pt>
                <c:pt idx="2713">
                  <c:v>18.03402725898466</c:v>
                </c:pt>
                <c:pt idx="2714">
                  <c:v>18.050290527231528</c:v>
                </c:pt>
                <c:pt idx="2715">
                  <c:v>18.066554297377024</c:v>
                </c:pt>
                <c:pt idx="2716">
                  <c:v>18.082818578623954</c:v>
                </c:pt>
                <c:pt idx="2717">
                  <c:v>18.09908338017684</c:v>
                </c:pt>
                <c:pt idx="2718">
                  <c:v>18.11534871124198</c:v>
                </c:pt>
                <c:pt idx="2719">
                  <c:v>18.13161458102746</c:v>
                </c:pt>
                <c:pt idx="2720">
                  <c:v>18.147880998743194</c:v>
                </c:pt>
                <c:pt idx="2721">
                  <c:v>18.164147973600947</c:v>
                </c:pt>
                <c:pt idx="2722">
                  <c:v>18.18041551481439</c:v>
                </c:pt>
                <c:pt idx="2723">
                  <c:v>18.196683631599097</c:v>
                </c:pt>
                <c:pt idx="2724">
                  <c:v>18.212952333172613</c:v>
                </c:pt>
                <c:pt idx="2725">
                  <c:v>18.22922162875444</c:v>
                </c:pt>
                <c:pt idx="2726">
                  <c:v>18.245491527566127</c:v>
                </c:pt>
                <c:pt idx="2727">
                  <c:v>18.261762038831243</c:v>
                </c:pt>
                <c:pt idx="2728">
                  <c:v>18.278033171775448</c:v>
                </c:pt>
                <c:pt idx="2729">
                  <c:v>18.294304935626513</c:v>
                </c:pt>
                <c:pt idx="2730">
                  <c:v>18.310577339614348</c:v>
                </c:pt>
                <c:pt idx="2731">
                  <c:v>18.32685039297103</c:v>
                </c:pt>
                <c:pt idx="2732">
                  <c:v>18.343124104930848</c:v>
                </c:pt>
                <c:pt idx="2733">
                  <c:v>18.359398484730324</c:v>
                </c:pt>
                <c:pt idx="2734">
                  <c:v>18.375673541608247</c:v>
                </c:pt>
                <c:pt idx="2735">
                  <c:v>18.391949284805712</c:v>
                </c:pt>
                <c:pt idx="2736">
                  <c:v>18.408225723566137</c:v>
                </c:pt>
                <c:pt idx="2737">
                  <c:v>18.424502867135303</c:v>
                </c:pt>
                <c:pt idx="2738">
                  <c:v>18.44078072476139</c:v>
                </c:pt>
                <c:pt idx="2739">
                  <c:v>18.457059305695008</c:v>
                </c:pt>
                <c:pt idx="2740">
                  <c:v>18.47333861918921</c:v>
                </c:pt>
                <c:pt idx="2741">
                  <c:v>18.489618674499553</c:v>
                </c:pt>
                <c:pt idx="2742">
                  <c:v>18.505899480884114</c:v>
                </c:pt>
                <c:pt idx="2743">
                  <c:v>18.522181047603517</c:v>
                </c:pt>
                <c:pt idx="2744">
                  <c:v>18.538463383920973</c:v>
                </c:pt>
                <c:pt idx="2745">
                  <c:v>18.55474649910232</c:v>
                </c:pt>
                <c:pt idx="2746">
                  <c:v>18.571030402416024</c:v>
                </c:pt>
                <c:pt idx="2747">
                  <c:v>18.587315103133253</c:v>
                </c:pt>
                <c:pt idx="2748">
                  <c:v>18.603600610527877</c:v>
                </c:pt>
                <c:pt idx="2749">
                  <c:v>18.619886933876515</c:v>
                </c:pt>
                <c:pt idx="2750">
                  <c:v>18.636174082458556</c:v>
                </c:pt>
                <c:pt idx="2751">
                  <c:v>18.65246206555621</c:v>
                </c:pt>
                <c:pt idx="2752">
                  <c:v>18.668750892454515</c:v>
                </c:pt>
                <c:pt idx="2753">
                  <c:v>18.68504057244139</c:v>
                </c:pt>
                <c:pt idx="2754">
                  <c:v>18.70133111480766</c:v>
                </c:pt>
                <c:pt idx="2755">
                  <c:v>18.717622528847077</c:v>
                </c:pt>
                <c:pt idx="2756">
                  <c:v>18.73391482385637</c:v>
                </c:pt>
                <c:pt idx="2757">
                  <c:v>18.750208009135275</c:v>
                </c:pt>
                <c:pt idx="2758">
                  <c:v>18.766502093986542</c:v>
                </c:pt>
                <c:pt idx="2759">
                  <c:v>18.78279708771601</c:v>
                </c:pt>
                <c:pt idx="2760">
                  <c:v>18.7990929996326</c:v>
                </c:pt>
                <c:pt idx="2761">
                  <c:v>18.815389839048372</c:v>
                </c:pt>
                <c:pt idx="2762">
                  <c:v>18.83168761527854</c:v>
                </c:pt>
                <c:pt idx="2763">
                  <c:v>18.847986337641522</c:v>
                </c:pt>
                <c:pt idx="2764">
                  <c:v>18.86428601545895</c:v>
                </c:pt>
                <c:pt idx="2765">
                  <c:v>18.880586658055734</c:v>
                </c:pt>
                <c:pt idx="2766">
                  <c:v>18.89688827476006</c:v>
                </c:pt>
                <c:pt idx="2767">
                  <c:v>18.91319087490345</c:v>
                </c:pt>
                <c:pt idx="2768">
                  <c:v>18.92949446782077</c:v>
                </c:pt>
                <c:pt idx="2769">
                  <c:v>18.94579906285029</c:v>
                </c:pt>
                <c:pt idx="2770">
                  <c:v>18.962104669333687</c:v>
                </c:pt>
                <c:pt idx="2771">
                  <c:v>18.9784112966161</c:v>
                </c:pt>
                <c:pt idx="2772">
                  <c:v>18.994718954046153</c:v>
                </c:pt>
                <c:pt idx="2773">
                  <c:v>19.011027650975997</c:v>
                </c:pt>
                <c:pt idx="2774">
                  <c:v>19.02733739676132</c:v>
                </c:pt>
                <c:pt idx="2775">
                  <c:v>19.043648200761414</c:v>
                </c:pt>
                <c:pt idx="2776">
                  <c:v>19.059960072339162</c:v>
                </c:pt>
                <c:pt idx="2777">
                  <c:v>19.076273020861123</c:v>
                </c:pt>
                <c:pt idx="2778">
                  <c:v>19.092587055697525</c:v>
                </c:pt>
                <c:pt idx="2779">
                  <c:v>19.10890218622232</c:v>
                </c:pt>
                <c:pt idx="2780">
                  <c:v>19.125218421813194</c:v>
                </c:pt>
                <c:pt idx="2781">
                  <c:v>19.14153577185163</c:v>
                </c:pt>
                <c:pt idx="2782">
                  <c:v>19.15785424572292</c:v>
                </c:pt>
                <c:pt idx="2783">
                  <c:v>19.174173852816196</c:v>
                </c:pt>
                <c:pt idx="2784">
                  <c:v>19.19049460252448</c:v>
                </c:pt>
                <c:pt idx="2785">
                  <c:v>19.206816504244706</c:v>
                </c:pt>
                <c:pt idx="2786">
                  <c:v>19.223139567377743</c:v>
                </c:pt>
                <c:pt idx="2787">
                  <c:v>19.23946380132845</c:v>
                </c:pt>
                <c:pt idx="2788">
                  <c:v>19.255789215505704</c:v>
                </c:pt>
                <c:pt idx="2789">
                  <c:v>19.272115819322405</c:v>
                </c:pt>
                <c:pt idx="2790">
                  <c:v>19.28844362219555</c:v>
                </c:pt>
                <c:pt idx="2791">
                  <c:v>19.304772633546243</c:v>
                </c:pt>
                <c:pt idx="2792">
                  <c:v>19.321102862799734</c:v>
                </c:pt>
                <c:pt idx="2793">
                  <c:v>19.337434319385444</c:v>
                </c:pt>
                <c:pt idx="2794">
                  <c:v>19.353767012737016</c:v>
                </c:pt>
                <c:pt idx="2795">
                  <c:v>19.370100952292326</c:v>
                </c:pt>
                <c:pt idx="2796">
                  <c:v>19.386436147493534</c:v>
                </c:pt>
                <c:pt idx="2797">
                  <c:v>19.402772607787117</c:v>
                </c:pt>
                <c:pt idx="2798">
                  <c:v>19.41911034262389</c:v>
                </c:pt>
                <c:pt idx="2799">
                  <c:v>19.435449361459042</c:v>
                </c:pt>
                <c:pt idx="2800">
                  <c:v>19.451789673752188</c:v>
                </c:pt>
                <c:pt idx="2801">
                  <c:v>19.46813128896737</c:v>
                </c:pt>
                <c:pt idx="2802">
                  <c:v>19.484474216573126</c:v>
                </c:pt>
                <c:pt idx="2803">
                  <c:v>19.5008184660425</c:v>
                </c:pt>
                <c:pt idx="2804">
                  <c:v>19.51716404685308</c:v>
                </c:pt>
                <c:pt idx="2805">
                  <c:v>19.533510968487032</c:v>
                </c:pt>
                <c:pt idx="2806">
                  <c:v>19.549859240431147</c:v>
                </c:pt>
                <c:pt idx="2807">
                  <c:v>19.566208872176848</c:v>
                </c:pt>
                <c:pt idx="2808">
                  <c:v>19.58255987322025</c:v>
                </c:pt>
                <c:pt idx="2809">
                  <c:v>19.598912253062185</c:v>
                </c:pt>
                <c:pt idx="2810">
                  <c:v>19.615266021208228</c:v>
                </c:pt>
                <c:pt idx="2811">
                  <c:v>19.631621187168733</c:v>
                </c:pt>
                <c:pt idx="2812">
                  <c:v>19.647977760458886</c:v>
                </c:pt>
                <c:pt idx="2813">
                  <c:v>19.664335750598706</c:v>
                </c:pt>
                <c:pt idx="2814">
                  <c:v>19.68069516711311</c:v>
                </c:pt>
                <c:pt idx="2815">
                  <c:v>19.69705601953193</c:v>
                </c:pt>
                <c:pt idx="2816">
                  <c:v>19.71341831738996</c:v>
                </c:pt>
                <c:pt idx="2817">
                  <c:v>19.729782070226957</c:v>
                </c:pt>
                <c:pt idx="2818">
                  <c:v>19.746147287587725</c:v>
                </c:pt>
                <c:pt idx="2819">
                  <c:v>19.76251397902212</c:v>
                </c:pt>
                <c:pt idx="2820">
                  <c:v>19.77888215408508</c:v>
                </c:pt>
                <c:pt idx="2821">
                  <c:v>19.795251822336667</c:v>
                </c:pt>
                <c:pt idx="2822">
                  <c:v>19.811622993342116</c:v>
                </c:pt>
                <c:pt idx="2823">
                  <c:v>19.827995676671847</c:v>
                </c:pt>
                <c:pt idx="2824">
                  <c:v>19.8443698819015</c:v>
                </c:pt>
                <c:pt idx="2825">
                  <c:v>19.860745618611997</c:v>
                </c:pt>
                <c:pt idx="2826">
                  <c:v>19.877122896389537</c:v>
                </c:pt>
                <c:pt idx="2827">
                  <c:v>19.893501724825665</c:v>
                </c:pt>
                <c:pt idx="2828">
                  <c:v>19.90988211351729</c:v>
                </c:pt>
                <c:pt idx="2829">
                  <c:v>19.926264072066722</c:v>
                </c:pt>
                <c:pt idx="2830">
                  <c:v>19.942647610081703</c:v>
                </c:pt>
                <c:pt idx="2831">
                  <c:v>19.959032737175455</c:v>
                </c:pt>
                <c:pt idx="2832">
                  <c:v>19.9754194629667</c:v>
                </c:pt>
                <c:pt idx="2833">
                  <c:v>19.991807797079694</c:v>
                </c:pt>
                <c:pt idx="2834">
                  <c:v>20.00819774914429</c:v>
                </c:pt>
                <c:pt idx="2835">
                  <c:v>20.02458932879593</c:v>
                </c:pt>
                <c:pt idx="2836">
                  <c:v>20.040982545675714</c:v>
                </c:pt>
                <c:pt idx="2837">
                  <c:v>20.057377409430426</c:v>
                </c:pt>
                <c:pt idx="2838">
                  <c:v>20.07377392971255</c:v>
                </c:pt>
                <c:pt idx="2839">
                  <c:v>20.09017211618034</c:v>
                </c:pt>
                <c:pt idx="2840">
                  <c:v>20.10657197849783</c:v>
                </c:pt>
                <c:pt idx="2841">
                  <c:v>20.122973526334878</c:v>
                </c:pt>
                <c:pt idx="2842">
                  <c:v>20.139376769367193</c:v>
                </c:pt>
                <c:pt idx="2843">
                  <c:v>20.155781717276383</c:v>
                </c:pt>
                <c:pt idx="2844">
                  <c:v>20.172188379749983</c:v>
                </c:pt>
                <c:pt idx="2845">
                  <c:v>20.188596766481492</c:v>
                </c:pt>
                <c:pt idx="2846">
                  <c:v>20.205006887170413</c:v>
                </c:pt>
                <c:pt idx="2847">
                  <c:v>20.221418751522283</c:v>
                </c:pt>
                <c:pt idx="2848">
                  <c:v>20.237832369248697</c:v>
                </c:pt>
                <c:pt idx="2849">
                  <c:v>20.25424775006738</c:v>
                </c:pt>
                <c:pt idx="2850">
                  <c:v>20.270664903702176</c:v>
                </c:pt>
                <c:pt idx="2851">
                  <c:v>20.287083839883127</c:v>
                </c:pt>
                <c:pt idx="2852">
                  <c:v>20.30350456834648</c:v>
                </c:pt>
                <c:pt idx="2853">
                  <c:v>20.319927098834732</c:v>
                </c:pt>
                <c:pt idx="2854">
                  <c:v>20.336351441096667</c:v>
                </c:pt>
                <c:pt idx="2855">
                  <c:v>20.352777604887393</c:v>
                </c:pt>
                <c:pt idx="2856">
                  <c:v>20.36920559996838</c:v>
                </c:pt>
                <c:pt idx="2857">
                  <c:v>20.38563543610749</c:v>
                </c:pt>
                <c:pt idx="2858">
                  <c:v>20.402067123079007</c:v>
                </c:pt>
                <c:pt idx="2859">
                  <c:v>20.4185006706637</c:v>
                </c:pt>
                <c:pt idx="2860">
                  <c:v>20.434936088648826</c:v>
                </c:pt>
                <c:pt idx="2861">
                  <c:v>20.45137338682819</c:v>
                </c:pt>
                <c:pt idx="2862">
                  <c:v>20.467812575002174</c:v>
                </c:pt>
                <c:pt idx="2863">
                  <c:v>20.484253662977768</c:v>
                </c:pt>
                <c:pt idx="2864">
                  <c:v>20.500696660568618</c:v>
                </c:pt>
                <c:pt idx="2865">
                  <c:v>20.517141577595055</c:v>
                </c:pt>
                <c:pt idx="2866">
                  <c:v>20.533588423884126</c:v>
                </c:pt>
                <c:pt idx="2867">
                  <c:v>20.55003720926965</c:v>
                </c:pt>
                <c:pt idx="2868">
                  <c:v>20.566487943592236</c:v>
                </c:pt>
                <c:pt idx="2869">
                  <c:v>20.582940636699323</c:v>
                </c:pt>
                <c:pt idx="2870">
                  <c:v>20.599395298445227</c:v>
                </c:pt>
                <c:pt idx="2871">
                  <c:v>20.61585193869117</c:v>
                </c:pt>
                <c:pt idx="2872">
                  <c:v>20.632310567305318</c:v>
                </c:pt>
                <c:pt idx="2873">
                  <c:v>20.648771194162816</c:v>
                </c:pt>
                <c:pt idx="2874">
                  <c:v>20.665233829145837</c:v>
                </c:pt>
                <c:pt idx="2875">
                  <c:v>20.6816984821436</c:v>
                </c:pt>
                <c:pt idx="2876">
                  <c:v>20.698165163052423</c:v>
                </c:pt>
                <c:pt idx="2877">
                  <c:v>20.714633881775754</c:v>
                </c:pt>
                <c:pt idx="2878">
                  <c:v>20.731104648224214</c:v>
                </c:pt>
                <c:pt idx="2879">
                  <c:v>20.74757747231562</c:v>
                </c:pt>
                <c:pt idx="2880">
                  <c:v>20.764052363975043</c:v>
                </c:pt>
                <c:pt idx="2881">
                  <c:v>20.780529333134826</c:v>
                </c:pt>
                <c:pt idx="2882">
                  <c:v>20.79700838973464</c:v>
                </c:pt>
                <c:pt idx="2883">
                  <c:v>20.813489543721506</c:v>
                </c:pt>
                <c:pt idx="2884">
                  <c:v>20.829972805049838</c:v>
                </c:pt>
                <c:pt idx="2885">
                  <c:v>20.84645818368149</c:v>
                </c:pt>
                <c:pt idx="2886">
                  <c:v>20.86294568958579</c:v>
                </c:pt>
                <c:pt idx="2887">
                  <c:v>20.87943533273956</c:v>
                </c:pt>
                <c:pt idx="2888">
                  <c:v>20.895927123127176</c:v>
                </c:pt>
                <c:pt idx="2889">
                  <c:v>20.9124210707406</c:v>
                </c:pt>
                <c:pt idx="2890">
                  <c:v>20.92891718557942</c:v>
                </c:pt>
                <c:pt idx="2891">
                  <c:v>20.945415477650876</c:v>
                </c:pt>
                <c:pt idx="2892">
                  <c:v>20.961915956969918</c:v>
                </c:pt>
                <c:pt idx="2893">
                  <c:v>20.978418633559226</c:v>
                </c:pt>
                <c:pt idx="2894">
                  <c:v>20.994923517449262</c:v>
                </c:pt>
                <c:pt idx="2895">
                  <c:v>21.0114306186783</c:v>
                </c:pt>
                <c:pt idx="2896">
                  <c:v>21.027939947292477</c:v>
                </c:pt>
                <c:pt idx="2897">
                  <c:v>21.04445151334581</c:v>
                </c:pt>
                <c:pt idx="2898">
                  <c:v>21.060965326900256</c:v>
                </c:pt>
                <c:pt idx="2899">
                  <c:v>21.077481398025736</c:v>
                </c:pt>
                <c:pt idx="2900">
                  <c:v>21.093999736800185</c:v>
                </c:pt>
                <c:pt idx="2901">
                  <c:v>21.110520353309585</c:v>
                </c:pt>
                <c:pt idx="2902">
                  <c:v>21.127043257648015</c:v>
                </c:pt>
                <c:pt idx="2903">
                  <c:v>21.14356845991766</c:v>
                </c:pt>
                <c:pt idx="2904">
                  <c:v>21.160095970228888</c:v>
                </c:pt>
                <c:pt idx="2905">
                  <c:v>21.17662579870027</c:v>
                </c:pt>
                <c:pt idx="2906">
                  <c:v>21.193157955458616</c:v>
                </c:pt>
                <c:pt idx="2907">
                  <c:v>21.209692450639025</c:v>
                </c:pt>
                <c:pt idx="2908">
                  <c:v>21.22622929438492</c:v>
                </c:pt>
                <c:pt idx="2909">
                  <c:v>21.242768496848083</c:v>
                </c:pt>
                <c:pt idx="2910">
                  <c:v>21.259310068188697</c:v>
                </c:pt>
                <c:pt idx="2911">
                  <c:v>21.2758540185754</c:v>
                </c:pt>
                <c:pt idx="2912">
                  <c:v>21.292400358185297</c:v>
                </c:pt>
                <c:pt idx="2913">
                  <c:v>21.308949097204028</c:v>
                </c:pt>
                <c:pt idx="2914">
                  <c:v>21.325500245825793</c:v>
                </c:pt>
                <c:pt idx="2915">
                  <c:v>21.34205381425339</c:v>
                </c:pt>
                <c:pt idx="2916">
                  <c:v>21.358609812698262</c:v>
                </c:pt>
                <c:pt idx="2917">
                  <c:v>21.37516825138054</c:v>
                </c:pt>
                <c:pt idx="2918">
                  <c:v>21.391729140529065</c:v>
                </c:pt>
                <c:pt idx="2919">
                  <c:v>21.40829249038146</c:v>
                </c:pt>
                <c:pt idx="2920">
                  <c:v>21.424858311184135</c:v>
                </c:pt>
                <c:pt idx="2921">
                  <c:v>21.441426613192363</c:v>
                </c:pt>
                <c:pt idx="2922">
                  <c:v>21.457997406670284</c:v>
                </c:pt>
                <c:pt idx="2923">
                  <c:v>21.47457070189098</c:v>
                </c:pt>
                <c:pt idx="2924">
                  <c:v>21.491146509136485</c:v>
                </c:pt>
                <c:pt idx="2925">
                  <c:v>21.507724838697854</c:v>
                </c:pt>
                <c:pt idx="2926">
                  <c:v>21.524305700875182</c:v>
                </c:pt>
                <c:pt idx="2927">
                  <c:v>21.540889105977666</c:v>
                </c:pt>
                <c:pt idx="2928">
                  <c:v>21.557475064323615</c:v>
                </c:pt>
                <c:pt idx="2929">
                  <c:v>21.574063586240527</c:v>
                </c:pt>
                <c:pt idx="2930">
                  <c:v>21.590654682065104</c:v>
                </c:pt>
                <c:pt idx="2931">
                  <c:v>21.607248362143306</c:v>
                </c:pt>
                <c:pt idx="2932">
                  <c:v>21.623844636830395</c:v>
                </c:pt>
                <c:pt idx="2933">
                  <c:v>21.640443516490965</c:v>
                </c:pt>
                <c:pt idx="2934">
                  <c:v>21.657045011498987</c:v>
                </c:pt>
                <c:pt idx="2935">
                  <c:v>21.67364913223786</c:v>
                </c:pt>
                <c:pt idx="2936">
                  <c:v>21.690255889100442</c:v>
                </c:pt>
                <c:pt idx="2937">
                  <c:v>21.706865292489095</c:v>
                </c:pt>
                <c:pt idx="2938">
                  <c:v>21.723477352815735</c:v>
                </c:pt>
                <c:pt idx="2939">
                  <c:v>21.74009208050186</c:v>
                </c:pt>
                <c:pt idx="2940">
                  <c:v>21.75670948597861</c:v>
                </c:pt>
                <c:pt idx="2941">
                  <c:v>21.77332957968678</c:v>
                </c:pt>
                <c:pt idx="2942">
                  <c:v>21.789952372076904</c:v>
                </c:pt>
                <c:pt idx="2943">
                  <c:v>21.80657787360925</c:v>
                </c:pt>
                <c:pt idx="2944">
                  <c:v>21.823206094753907</c:v>
                </c:pt>
                <c:pt idx="2945">
                  <c:v>21.8398370459908</c:v>
                </c:pt>
                <c:pt idx="2946">
                  <c:v>21.85647073780974</c:v>
                </c:pt>
                <c:pt idx="2947">
                  <c:v>21.87310718071047</c:v>
                </c:pt>
                <c:pt idx="2948">
                  <c:v>21.889746385202695</c:v>
                </c:pt>
                <c:pt idx="2949">
                  <c:v>21.906388361806147</c:v>
                </c:pt>
                <c:pt idx="2950">
                  <c:v>21.923033121050615</c:v>
                </c:pt>
                <c:pt idx="2951">
                  <c:v>21.939680673475987</c:v>
                </c:pt>
                <c:pt idx="2952">
                  <c:v>21.956331029632288</c:v>
                </c:pt>
                <c:pt idx="2953">
                  <c:v>21.972984200079743</c:v>
                </c:pt>
                <c:pt idx="2954">
                  <c:v>21.98964019538881</c:v>
                </c:pt>
                <c:pt idx="2955">
                  <c:v>22.006299026140205</c:v>
                </c:pt>
                <c:pt idx="2956">
                  <c:v>22.022960702924976</c:v>
                </c:pt>
                <c:pt idx="2957">
                  <c:v>22.039625236344534</c:v>
                </c:pt>
                <c:pt idx="2958">
                  <c:v>22.056292637010696</c:v>
                </c:pt>
                <c:pt idx="2959">
                  <c:v>22.07296291554572</c:v>
                </c:pt>
                <c:pt idx="2960">
                  <c:v>22.08963608258237</c:v>
                </c:pt>
                <c:pt idx="2961">
                  <c:v>22.106312148763937</c:v>
                </c:pt>
                <c:pt idx="2962">
                  <c:v>22.122991124744303</c:v>
                </c:pt>
                <c:pt idx="2963">
                  <c:v>22.139673021187978</c:v>
                </c:pt>
                <c:pt idx="2964">
                  <c:v>22.156357848770142</c:v>
                </c:pt>
                <c:pt idx="2965">
                  <c:v>22.173045618176683</c:v>
                </c:pt>
                <c:pt idx="2966">
                  <c:v>22.18973634010426</c:v>
                </c:pt>
                <c:pt idx="2967">
                  <c:v>22.206430025260335</c:v>
                </c:pt>
                <c:pt idx="2968">
                  <c:v>22.223126684363216</c:v>
                </c:pt>
                <c:pt idx="2969">
                  <c:v>22.239826328142108</c:v>
                </c:pt>
                <c:pt idx="2970">
                  <c:v>22.256528967337168</c:v>
                </c:pt>
                <c:pt idx="2971">
                  <c:v>22.273234612699515</c:v>
                </c:pt>
                <c:pt idx="2972">
                  <c:v>22.289943274991323</c:v>
                </c:pt>
                <c:pt idx="2973">
                  <c:v>22.30665496498582</c:v>
                </c:pt>
                <c:pt idx="2974">
                  <c:v>22.323369693467377</c:v>
                </c:pt>
                <c:pt idx="2975">
                  <c:v>22.340087471231517</c:v>
                </c:pt>
                <c:pt idx="2976">
                  <c:v>22.356808309084983</c:v>
                </c:pt>
                <c:pt idx="2977">
                  <c:v>22.373532217845774</c:v>
                </c:pt>
                <c:pt idx="2978">
                  <c:v>22.390259208343195</c:v>
                </c:pt>
                <c:pt idx="2979">
                  <c:v>22.406989291417897</c:v>
                </c:pt>
                <c:pt idx="2980">
                  <c:v>22.423722477921935</c:v>
                </c:pt>
                <c:pt idx="2981">
                  <c:v>22.440458778718803</c:v>
                </c:pt>
                <c:pt idx="2982">
                  <c:v>22.457198204683483</c:v>
                </c:pt>
                <c:pt idx="2983">
                  <c:v>22.4739407667025</c:v>
                </c:pt>
                <c:pt idx="2984">
                  <c:v>22.49068647567395</c:v>
                </c:pt>
                <c:pt idx="2985">
                  <c:v>22.50743534250757</c:v>
                </c:pt>
                <c:pt idx="2986">
                  <c:v>22.524187378124758</c:v>
                </c:pt>
                <c:pt idx="2987">
                  <c:v>22.54094259345865</c:v>
                </c:pt>
                <c:pt idx="2988">
                  <c:v>22.557700999454138</c:v>
                </c:pt>
                <c:pt idx="2989">
                  <c:v>22.57446260706795</c:v>
                </c:pt>
                <c:pt idx="2990">
                  <c:v>22.591227427268656</c:v>
                </c:pt>
                <c:pt idx="2991">
                  <c:v>22.607995471036748</c:v>
                </c:pt>
                <c:pt idx="2992">
                  <c:v>22.624766749364674</c:v>
                </c:pt>
                <c:pt idx="2993">
                  <c:v>22.641541273256895</c:v>
                </c:pt>
                <c:pt idx="2994">
                  <c:v>22.65831905372992</c:v>
                </c:pt>
                <c:pt idx="2995">
                  <c:v>22.67510010181236</c:v>
                </c:pt>
                <c:pt idx="2996">
                  <c:v>22.691884428544984</c:v>
                </c:pt>
                <c:pt idx="2997">
                  <c:v>22.70867204498074</c:v>
                </c:pt>
                <c:pt idx="2998">
                  <c:v>22.725462962184842</c:v>
                </c:pt>
                <c:pt idx="2999">
                  <c:v>22.742257191234785</c:v>
                </c:pt>
                <c:pt idx="3000">
                  <c:v>22.759054743220418</c:v>
                </c:pt>
                <c:pt idx="3001">
                  <c:v>22.775855629243974</c:v>
                </c:pt>
                <c:pt idx="3002">
                  <c:v>22.79265986042012</c:v>
                </c:pt>
                <c:pt idx="3003">
                  <c:v>22.809467447876028</c:v>
                </c:pt>
                <c:pt idx="3004">
                  <c:v>22.826278402751388</c:v>
                </c:pt>
                <c:pt idx="3005">
                  <c:v>22.843092736198493</c:v>
                </c:pt>
                <c:pt idx="3006">
                  <c:v>22.859910459382263</c:v>
                </c:pt>
                <c:pt idx="3007">
                  <c:v>22.876731583480307</c:v>
                </c:pt>
                <c:pt idx="3008">
                  <c:v>22.89355611968297</c:v>
                </c:pt>
                <c:pt idx="3009">
                  <c:v>22.91038407919337</c:v>
                </c:pt>
                <c:pt idx="3010">
                  <c:v>22.927215473227463</c:v>
                </c:pt>
                <c:pt idx="3011">
                  <c:v>22.944050313014095</c:v>
                </c:pt>
                <c:pt idx="3012">
                  <c:v>22.960888609795038</c:v>
                </c:pt>
                <c:pt idx="3013">
                  <c:v>22.97773037482505</c:v>
                </c:pt>
                <c:pt idx="3014">
                  <c:v>22.994575619371926</c:v>
                </c:pt>
                <c:pt idx="3015">
                  <c:v>23.011424354716535</c:v>
                </c:pt>
                <c:pt idx="3016">
                  <c:v>23.02827659215288</c:v>
                </c:pt>
                <c:pt idx="3017">
                  <c:v>23.04513234298816</c:v>
                </c:pt>
                <c:pt idx="3018">
                  <c:v>23.061991618542798</c:v>
                </c:pt>
                <c:pt idx="3019">
                  <c:v>23.07885443015051</c:v>
                </c:pt>
                <c:pt idx="3020">
                  <c:v>23.09572078915834</c:v>
                </c:pt>
                <c:pt idx="3021">
                  <c:v>23.112590706926724</c:v>
                </c:pt>
                <c:pt idx="3022">
                  <c:v>23.129464194829538</c:v>
                </c:pt>
                <c:pt idx="3023">
                  <c:v>23.146341264254147</c:v>
                </c:pt>
                <c:pt idx="3024">
                  <c:v>23.163221926601455</c:v>
                </c:pt>
                <c:pt idx="3025">
                  <c:v>23.180106193285965</c:v>
                </c:pt>
                <c:pt idx="3026">
                  <c:v>23.196994075735823</c:v>
                </c:pt>
                <c:pt idx="3027">
                  <c:v>23.213885585392866</c:v>
                </c:pt>
                <c:pt idx="3028">
                  <c:v>23.23078073371268</c:v>
                </c:pt>
                <c:pt idx="3029">
                  <c:v>23.247679532164657</c:v>
                </c:pt>
                <c:pt idx="3030">
                  <c:v>23.264581992232042</c:v>
                </c:pt>
                <c:pt idx="3031">
                  <c:v>23.28148812541198</c:v>
                </c:pt>
                <c:pt idx="3032">
                  <c:v>23.29839794321558</c:v>
                </c:pt>
                <c:pt idx="3033">
                  <c:v>23.315311457167955</c:v>
                </c:pt>
                <c:pt idx="3034">
                  <c:v>23.33222867880829</c:v>
                </c:pt>
                <c:pt idx="3035">
                  <c:v>23.349149619689868</c:v>
                </c:pt>
                <c:pt idx="3036">
                  <c:v>23.366074291380162</c:v>
                </c:pt>
                <c:pt idx="3037">
                  <c:v>23.38300270546086</c:v>
                </c:pt>
                <c:pt idx="3038">
                  <c:v>23.39993487352793</c:v>
                </c:pt>
                <c:pt idx="3039">
                  <c:v>23.41687080719165</c:v>
                </c:pt>
                <c:pt idx="3040">
                  <c:v>23.433810518076708</c:v>
                </c:pt>
                <c:pt idx="3041">
                  <c:v>23.450754017822206</c:v>
                </c:pt>
                <c:pt idx="3042">
                  <c:v>23.46770131808175</c:v>
                </c:pt>
                <c:pt idx="3043">
                  <c:v>23.48465243052349</c:v>
                </c:pt>
                <c:pt idx="3044">
                  <c:v>23.50160736683017</c:v>
                </c:pt>
                <c:pt idx="3045">
                  <c:v>23.5185661386992</c:v>
                </c:pt>
                <c:pt idx="3046">
                  <c:v>23.53552875784267</c:v>
                </c:pt>
                <c:pt idx="3047">
                  <c:v>23.552495235987458</c:v>
                </c:pt>
                <c:pt idx="3048">
                  <c:v>23.569465584875253</c:v>
                </c:pt>
                <c:pt idx="3049">
                  <c:v>23.586439816262615</c:v>
                </c:pt>
                <c:pt idx="3050">
                  <c:v>23.603417941921037</c:v>
                </c:pt>
                <c:pt idx="3051">
                  <c:v>23.620399973636978</c:v>
                </c:pt>
                <c:pt idx="3052">
                  <c:v>23.63738592321196</c:v>
                </c:pt>
                <c:pt idx="3053">
                  <c:v>23.65437580246257</c:v>
                </c:pt>
                <c:pt idx="3054">
                  <c:v>23.67136962322057</c:v>
                </c:pt>
                <c:pt idx="3055">
                  <c:v>23.688367397332915</c:v>
                </c:pt>
                <c:pt idx="3056">
                  <c:v>23.705369136661822</c:v>
                </c:pt>
                <c:pt idx="3057">
                  <c:v>23.722374853084826</c:v>
                </c:pt>
                <c:pt idx="3058">
                  <c:v>23.739384558494844</c:v>
                </c:pt>
                <c:pt idx="3059">
                  <c:v>23.756398264800207</c:v>
                </c:pt>
                <c:pt idx="3060">
                  <c:v>23.77341598392475</c:v>
                </c:pt>
                <c:pt idx="3061">
                  <c:v>23.79043772780784</c:v>
                </c:pt>
                <c:pt idx="3062">
                  <c:v>23.807463508404457</c:v>
                </c:pt>
                <c:pt idx="3063">
                  <c:v>23.824493337685226</c:v>
                </c:pt>
                <c:pt idx="3064">
                  <c:v>23.841527227636494</c:v>
                </c:pt>
                <c:pt idx="3065">
                  <c:v>23.858565190260375</c:v>
                </c:pt>
                <c:pt idx="3066">
                  <c:v>23.875607237574826</c:v>
                </c:pt>
                <c:pt idx="3067">
                  <c:v>23.89265338161368</c:v>
                </c:pt>
                <c:pt idx="3068">
                  <c:v>23.909703634426723</c:v>
                </c:pt>
                <c:pt idx="3069">
                  <c:v>23.926758008079744</c:v>
                </c:pt>
                <c:pt idx="3070">
                  <c:v>23.94381651465459</c:v>
                </c:pt>
                <c:pt idx="3071">
                  <c:v>23.960879166249235</c:v>
                </c:pt>
                <c:pt idx="3072">
                  <c:v>23.977945974977825</c:v>
                </c:pt>
                <c:pt idx="3073">
                  <c:v>23.99501695297075</c:v>
                </c:pt>
                <c:pt idx="3074">
                  <c:v>24.012092112374702</c:v>
                </c:pt>
                <c:pt idx="3075">
                  <c:v>24.029171465352725</c:v>
                </c:pt>
                <c:pt idx="3076">
                  <c:v>24.046255024084275</c:v>
                </c:pt>
                <c:pt idx="3077">
                  <c:v>24.06334280076528</c:v>
                </c:pt>
                <c:pt idx="3078">
                  <c:v>24.080434807608217</c:v>
                </c:pt>
                <c:pt idx="3079">
                  <c:v>24.097531056842147</c:v>
                </c:pt>
                <c:pt idx="3080">
                  <c:v>24.114631560712787</c:v>
                </c:pt>
                <c:pt idx="3081">
                  <c:v>24.131736331482575</c:v>
                </c:pt>
                <c:pt idx="3082">
                  <c:v>24.14884538143071</c:v>
                </c:pt>
                <c:pt idx="3083">
                  <c:v>24.165958722853244</c:v>
                </c:pt>
                <c:pt idx="3084">
                  <c:v>24.18307636806311</c:v>
                </c:pt>
                <c:pt idx="3085">
                  <c:v>24.2001983293902</c:v>
                </c:pt>
                <c:pt idx="3086">
                  <c:v>24.217324619181436</c:v>
                </c:pt>
                <c:pt idx="3087">
                  <c:v>24.234455249800813</c:v>
                </c:pt>
                <c:pt idx="3088">
                  <c:v>24.251590233629457</c:v>
                </c:pt>
                <c:pt idx="3089">
                  <c:v>24.268729583065713</c:v>
                </c:pt>
                <c:pt idx="3090">
                  <c:v>24.285873310525172</c:v>
                </c:pt>
                <c:pt idx="3091">
                  <c:v>24.303021428440765</c:v>
                </c:pt>
                <c:pt idx="3092">
                  <c:v>24.320173949262802</c:v>
                </c:pt>
                <c:pt idx="3093">
                  <c:v>24.33733088545905</c:v>
                </c:pt>
                <c:pt idx="3094">
                  <c:v>24.354492249514788</c:v>
                </c:pt>
                <c:pt idx="3095">
                  <c:v>24.37165805393286</c:v>
                </c:pt>
                <c:pt idx="3096">
                  <c:v>24.38882831123376</c:v>
                </c:pt>
                <c:pt idx="3097">
                  <c:v>24.406003033955674</c:v>
                </c:pt>
                <c:pt idx="3098">
                  <c:v>24.42318223465456</c:v>
                </c:pt>
                <c:pt idx="3099">
                  <c:v>24.440365925904207</c:v>
                </c:pt>
                <c:pt idx="3100">
                  <c:v>24.457554120296283</c:v>
                </c:pt>
                <c:pt idx="3101">
                  <c:v>24.474746830440417</c:v>
                </c:pt>
                <c:pt idx="3102">
                  <c:v>24.49194406896426</c:v>
                </c:pt>
                <c:pt idx="3103">
                  <c:v>24.509145848513537</c:v>
                </c:pt>
                <c:pt idx="3104">
                  <c:v>24.52635218175213</c:v>
                </c:pt>
                <c:pt idx="3105">
                  <c:v>24.543563081362137</c:v>
                </c:pt>
                <c:pt idx="3106">
                  <c:v>24.560778560043914</c:v>
                </c:pt>
                <c:pt idx="3107">
                  <c:v>24.57799863051618</c:v>
                </c:pt>
                <c:pt idx="3108">
                  <c:v>24.595223305516047</c:v>
                </c:pt>
                <c:pt idx="3109">
                  <c:v>24.612452597799102</c:v>
                </c:pt>
                <c:pt idx="3110">
                  <c:v>24.629686520139476</c:v>
                </c:pt>
                <c:pt idx="3111">
                  <c:v>24.646925085329894</c:v>
                </c:pt>
                <c:pt idx="3112">
                  <c:v>24.664168306181764</c:v>
                </c:pt>
                <c:pt idx="3113">
                  <c:v>24.68141619552521</c:v>
                </c:pt>
                <c:pt idx="3114">
                  <c:v>24.698668766209174</c:v>
                </c:pt>
                <c:pt idx="3115">
                  <c:v>24.715926031101457</c:v>
                </c:pt>
                <c:pt idx="3116">
                  <c:v>24.733188003088802</c:v>
                </c:pt>
                <c:pt idx="3117">
                  <c:v>24.75045469507695</c:v>
                </c:pt>
                <c:pt idx="3118">
                  <c:v>24.767726119990712</c:v>
                </c:pt>
                <c:pt idx="3119">
                  <c:v>24.78500229077404</c:v>
                </c:pt>
                <c:pt idx="3120">
                  <c:v>24.802283220390084</c:v>
                </c:pt>
                <c:pt idx="3121">
                  <c:v>24.819568921821258</c:v>
                </c:pt>
                <c:pt idx="3122">
                  <c:v>24.836859408069333</c:v>
                </c:pt>
                <c:pt idx="3123">
                  <c:v>24.85415469215548</c:v>
                </c:pt>
                <c:pt idx="3124">
                  <c:v>24.871454787120342</c:v>
                </c:pt>
                <c:pt idx="3125">
                  <c:v>24.888759706024118</c:v>
                </c:pt>
                <c:pt idx="3126">
                  <c:v>24.90606946194661</c:v>
                </c:pt>
                <c:pt idx="3127">
                  <c:v>24.923384067987303</c:v>
                </c:pt>
                <c:pt idx="3128">
                  <c:v>24.940703537265442</c:v>
                </c:pt>
                <c:pt idx="3129">
                  <c:v>24.95802788292009</c:v>
                </c:pt>
                <c:pt idx="3130">
                  <c:v>24.975357118110196</c:v>
                </c:pt>
                <c:pt idx="3131">
                  <c:v>24.992691256014684</c:v>
                </c:pt>
                <c:pt idx="3132">
                  <c:v>25.01003030983248</c:v>
                </c:pt>
                <c:pt idx="3133">
                  <c:v>25.027374292782653</c:v>
                </c:pt>
                <c:pt idx="3134">
                  <c:v>25.04472321810441</c:v>
                </c:pt>
                <c:pt idx="3135">
                  <c:v>25.062077099057213</c:v>
                </c:pt>
                <c:pt idx="3136">
                  <c:v>25.079435948920842</c:v>
                </c:pt>
                <c:pt idx="3137">
                  <c:v>25.096799780995457</c:v>
                </c:pt>
                <c:pt idx="3138">
                  <c:v>25.114168608601666</c:v>
                </c:pt>
                <c:pt idx="3139">
                  <c:v>25.131542445080623</c:v>
                </c:pt>
                <c:pt idx="3140">
                  <c:v>25.14892130379407</c:v>
                </c:pt>
                <c:pt idx="3141">
                  <c:v>25.166305198124423</c:v>
                </c:pt>
                <c:pt idx="3142">
                  <c:v>25.18369414147485</c:v>
                </c:pt>
                <c:pt idx="3143">
                  <c:v>25.201088147269317</c:v>
                </c:pt>
                <c:pt idx="3144">
                  <c:v>25.218487228952707</c:v>
                </c:pt>
                <c:pt idx="3145">
                  <c:v>25.23589139999084</c:v>
                </c:pt>
                <c:pt idx="3146">
                  <c:v>25.25330067387059</c:v>
                </c:pt>
                <c:pt idx="3147">
                  <c:v>25.27071506409993</c:v>
                </c:pt>
                <c:pt idx="3148">
                  <c:v>25.288134584208027</c:v>
                </c:pt>
                <c:pt idx="3149">
                  <c:v>25.305559247745297</c:v>
                </c:pt>
                <c:pt idx="3150">
                  <c:v>25.322989068283487</c:v>
                </c:pt>
                <c:pt idx="3151">
                  <c:v>25.34042405941575</c:v>
                </c:pt>
                <c:pt idx="3152">
                  <c:v>25.35786423475673</c:v>
                </c:pt>
                <c:pt idx="3153">
                  <c:v>25.375309607942615</c:v>
                </c:pt>
                <c:pt idx="3154">
                  <c:v>25.39276019263123</c:v>
                </c:pt>
                <c:pt idx="3155">
                  <c:v>25.410216002502107</c:v>
                </c:pt>
                <c:pt idx="3156">
                  <c:v>25.42767705125656</c:v>
                </c:pt>
                <c:pt idx="3157">
                  <c:v>25.445143352617748</c:v>
                </c:pt>
                <c:pt idx="3158">
                  <c:v>25.462614920330783</c:v>
                </c:pt>
                <c:pt idx="3159">
                  <c:v>25.48009176816278</c:v>
                </c:pt>
                <c:pt idx="3160">
                  <c:v>25.49757390990294</c:v>
                </c:pt>
                <c:pt idx="3161">
                  <c:v>25.51506135936263</c:v>
                </c:pt>
                <c:pt idx="3162">
                  <c:v>25.532554130375452</c:v>
                </c:pt>
                <c:pt idx="3163">
                  <c:v>25.55005223679734</c:v>
                </c:pt>
                <c:pt idx="3164">
                  <c:v>25.56755569250661</c:v>
                </c:pt>
                <c:pt idx="3165">
                  <c:v>25.58506451140406</c:v>
                </c:pt>
                <c:pt idx="3166">
                  <c:v>25.602578707413038</c:v>
                </c:pt>
                <c:pt idx="3167">
                  <c:v>25.62009829447953</c:v>
                </c:pt>
                <c:pt idx="3168">
                  <c:v>25.637623286572214</c:v>
                </c:pt>
                <c:pt idx="3169">
                  <c:v>25.65515369768258</c:v>
                </c:pt>
                <c:pt idx="3170">
                  <c:v>25.672689541824962</c:v>
                </c:pt>
                <c:pt idx="3171">
                  <c:v>25.690230833036658</c:v>
                </c:pt>
                <c:pt idx="3172">
                  <c:v>25.70777758537799</c:v>
                </c:pt>
                <c:pt idx="3173">
                  <c:v>25.725329812932383</c:v>
                </c:pt>
                <c:pt idx="3174">
                  <c:v>25.742887529806453</c:v>
                </c:pt>
                <c:pt idx="3175">
                  <c:v>25.76045075013008</c:v>
                </c:pt>
                <c:pt idx="3176">
                  <c:v>25.778019488056486</c:v>
                </c:pt>
                <c:pt idx="3177">
                  <c:v>25.79559375776234</c:v>
                </c:pt>
                <c:pt idx="3178">
                  <c:v>25.81317357344781</c:v>
                </c:pt>
                <c:pt idx="3179">
                  <c:v>25.830758949336655</c:v>
                </c:pt>
                <c:pt idx="3180">
                  <c:v>25.84834989967632</c:v>
                </c:pt>
                <c:pt idx="3181">
                  <c:v>25.865946438737993</c:v>
                </c:pt>
                <c:pt idx="3182">
                  <c:v>25.88354858081671</c:v>
                </c:pt>
                <c:pt idx="3183">
                  <c:v>25.901156340231424</c:v>
                </c:pt>
                <c:pt idx="3184">
                  <c:v>25.918769731325092</c:v>
                </c:pt>
                <c:pt idx="3185">
                  <c:v>25.936388768464766</c:v>
                </c:pt>
                <c:pt idx="3186">
                  <c:v>25.95401346604167</c:v>
                </c:pt>
                <c:pt idx="3187">
                  <c:v>25.971643838471255</c:v>
                </c:pt>
                <c:pt idx="3188">
                  <c:v>25.98927990019336</c:v>
                </c:pt>
                <c:pt idx="3189">
                  <c:v>26.00692166567221</c:v>
                </c:pt>
                <c:pt idx="3190">
                  <c:v>26.024569149396548</c:v>
                </c:pt>
                <c:pt idx="3191">
                  <c:v>26.042222365879724</c:v>
                </c:pt>
                <c:pt idx="3192">
                  <c:v>26.059881329659742</c:v>
                </c:pt>
                <c:pt idx="3193">
                  <c:v>26.077546055299404</c:v>
                </c:pt>
                <c:pt idx="3194">
                  <c:v>26.095216557386323</c:v>
                </c:pt>
                <c:pt idx="3195">
                  <c:v>26.112892850533072</c:v>
                </c:pt>
                <c:pt idx="3196">
                  <c:v>26.130574949377245</c:v>
                </c:pt>
                <c:pt idx="3197">
                  <c:v>26.148262868581543</c:v>
                </c:pt>
                <c:pt idx="3198">
                  <c:v>26.16595662283387</c:v>
                </c:pt>
                <c:pt idx="3199">
                  <c:v>26.18365622684739</c:v>
                </c:pt>
                <c:pt idx="3200">
                  <c:v>26.201361695360664</c:v>
                </c:pt>
                <c:pt idx="3201">
                  <c:v>26.2190730431377</c:v>
                </c:pt>
                <c:pt idx="3202">
                  <c:v>26.23679028496806</c:v>
                </c:pt>
                <c:pt idx="3203">
                  <c:v>26.254513435666933</c:v>
                </c:pt>
                <c:pt idx="3204">
                  <c:v>26.272242510075245</c:v>
                </c:pt>
                <c:pt idx="3205">
                  <c:v>26.289977523059733</c:v>
                </c:pt>
                <c:pt idx="3206">
                  <c:v>26.307718489513018</c:v>
                </c:pt>
                <c:pt idx="3207">
                  <c:v>26.325465424353737</c:v>
                </c:pt>
                <c:pt idx="3208">
                  <c:v>26.3432183425266</c:v>
                </c:pt>
                <c:pt idx="3209">
                  <c:v>26.3609772590025</c:v>
                </c:pt>
                <c:pt idx="3210">
                  <c:v>26.37874218877859</c:v>
                </c:pt>
                <c:pt idx="3211">
                  <c:v>26.39651314687835</c:v>
                </c:pt>
                <c:pt idx="3212">
                  <c:v>26.414290148351764</c:v>
                </c:pt>
                <c:pt idx="3213">
                  <c:v>26.432073208275302</c:v>
                </c:pt>
                <c:pt idx="3214">
                  <c:v>26.449862341752088</c:v>
                </c:pt>
                <c:pt idx="3215">
                  <c:v>26.467657563911967</c:v>
                </c:pt>
                <c:pt idx="3216">
                  <c:v>26.485458889911595</c:v>
                </c:pt>
                <c:pt idx="3217">
                  <c:v>26.503266334934544</c:v>
                </c:pt>
                <c:pt idx="3218">
                  <c:v>26.521079914191365</c:v>
                </c:pt>
                <c:pt idx="3219">
                  <c:v>26.538899642919727</c:v>
                </c:pt>
                <c:pt idx="3220">
                  <c:v>26.55672553638448</c:v>
                </c:pt>
                <c:pt idx="3221">
                  <c:v>26.574557609877754</c:v>
                </c:pt>
                <c:pt idx="3222">
                  <c:v>26.59239587871906</c:v>
                </c:pt>
                <c:pt idx="3223">
                  <c:v>26.61024035825538</c:v>
                </c:pt>
                <c:pt idx="3224">
                  <c:v>26.62809106386127</c:v>
                </c:pt>
                <c:pt idx="3225">
                  <c:v>26.645948010938927</c:v>
                </c:pt>
                <c:pt idx="3226">
                  <c:v>26.66381121491833</c:v>
                </c:pt>
                <c:pt idx="3227">
                  <c:v>26.681680691257306</c:v>
                </c:pt>
                <c:pt idx="3228">
                  <c:v>26.699556455441634</c:v>
                </c:pt>
                <c:pt idx="3229">
                  <c:v>26.717438522985148</c:v>
                </c:pt>
                <c:pt idx="3230">
                  <c:v>26.735326909429794</c:v>
                </c:pt>
                <c:pt idx="3231">
                  <c:v>26.753221630345827</c:v>
                </c:pt>
                <c:pt idx="3232">
                  <c:v>26.771122701331777</c:v>
                </c:pt>
                <c:pt idx="3233">
                  <c:v>26.78903013801465</c:v>
                </c:pt>
                <c:pt idx="3234">
                  <c:v>26.806943956049984</c:v>
                </c:pt>
                <c:pt idx="3235">
                  <c:v>26.824864171121952</c:v>
                </c:pt>
                <c:pt idx="3236">
                  <c:v>26.842790798943476</c:v>
                </c:pt>
                <c:pt idx="3237">
                  <c:v>26.860723855256285</c:v>
                </c:pt>
                <c:pt idx="3238">
                  <c:v>26.878663355831073</c:v>
                </c:pt>
                <c:pt idx="3239">
                  <c:v>26.89660931646756</c:v>
                </c:pt>
                <c:pt idx="3240">
                  <c:v>26.91456175299461</c:v>
                </c:pt>
                <c:pt idx="3241">
                  <c:v>26.932520681270322</c:v>
                </c:pt>
                <c:pt idx="3242">
                  <c:v>26.950486117182134</c:v>
                </c:pt>
                <c:pt idx="3243">
                  <c:v>26.968458076646936</c:v>
                </c:pt>
                <c:pt idx="3244">
                  <c:v>26.986436575611144</c:v>
                </c:pt>
                <c:pt idx="3245">
                  <c:v>27.00442163005084</c:v>
                </c:pt>
                <c:pt idx="3246">
                  <c:v>27.022413255971845</c:v>
                </c:pt>
                <c:pt idx="3247">
                  <c:v>27.040411469409843</c:v>
                </c:pt>
                <c:pt idx="3248">
                  <c:v>27.058416286430482</c:v>
                </c:pt>
                <c:pt idx="3249">
                  <c:v>27.076427723129434</c:v>
                </c:pt>
                <c:pt idx="3250">
                  <c:v>27.0944457956326</c:v>
                </c:pt>
                <c:pt idx="3251">
                  <c:v>27.11247052009609</c:v>
                </c:pt>
                <c:pt idx="3252">
                  <c:v>27.13050191270643</c:v>
                </c:pt>
                <c:pt idx="3253">
                  <c:v>27.14853998968062</c:v>
                </c:pt>
                <c:pt idx="3254">
                  <c:v>27.166584767266237</c:v>
                </c:pt>
                <c:pt idx="3255">
                  <c:v>27.18463626174156</c:v>
                </c:pt>
                <c:pt idx="3256">
                  <c:v>27.202694489415673</c:v>
                </c:pt>
                <c:pt idx="3257">
                  <c:v>27.220759466628568</c:v>
                </c:pt>
                <c:pt idx="3258">
                  <c:v>27.23883120975125</c:v>
                </c:pt>
                <c:pt idx="3259">
                  <c:v>27.256909735185854</c:v>
                </c:pt>
                <c:pt idx="3260">
                  <c:v>27.274995059365747</c:v>
                </c:pt>
                <c:pt idx="3261">
                  <c:v>27.29308719875562</c:v>
                </c:pt>
                <c:pt idx="3262">
                  <c:v>27.31118616985164</c:v>
                </c:pt>
                <c:pt idx="3263">
                  <c:v>27.329291989181524</c:v>
                </c:pt>
                <c:pt idx="3264">
                  <c:v>27.379291989181525</c:v>
                </c:pt>
                <c:pt idx="3265">
                  <c:v>27.429291989181525</c:v>
                </c:pt>
                <c:pt idx="3266">
                  <c:v>27.479291989181526</c:v>
                </c:pt>
                <c:pt idx="3267">
                  <c:v>27.529291989181527</c:v>
                </c:pt>
                <c:pt idx="3268">
                  <c:v>27.579291989181527</c:v>
                </c:pt>
                <c:pt idx="3269">
                  <c:v>27.629291989181528</c:v>
                </c:pt>
                <c:pt idx="3270">
                  <c:v>27.67929198918153</c:v>
                </c:pt>
                <c:pt idx="3271">
                  <c:v>27.72929198918153</c:v>
                </c:pt>
                <c:pt idx="3272">
                  <c:v>27.77929198918153</c:v>
                </c:pt>
                <c:pt idx="3273">
                  <c:v>27.82929198918153</c:v>
                </c:pt>
                <c:pt idx="3274">
                  <c:v>27.87929198918153</c:v>
                </c:pt>
                <c:pt idx="3275">
                  <c:v>27.929291989181532</c:v>
                </c:pt>
                <c:pt idx="3276">
                  <c:v>27.979291989181533</c:v>
                </c:pt>
                <c:pt idx="3277">
                  <c:v>28.029291989181534</c:v>
                </c:pt>
                <c:pt idx="3278">
                  <c:v>28.079291989181534</c:v>
                </c:pt>
                <c:pt idx="3279">
                  <c:v>28.129291989181535</c:v>
                </c:pt>
                <c:pt idx="3280">
                  <c:v>28.179291989181536</c:v>
                </c:pt>
                <c:pt idx="3281">
                  <c:v>28.229291989181537</c:v>
                </c:pt>
                <c:pt idx="3282">
                  <c:v>28.279291989181537</c:v>
                </c:pt>
                <c:pt idx="3283">
                  <c:v>28.329291989181538</c:v>
                </c:pt>
                <c:pt idx="3284">
                  <c:v>28.329291989181538</c:v>
                </c:pt>
                <c:pt idx="3285">
                  <c:v>28.365338917425138</c:v>
                </c:pt>
                <c:pt idx="3286">
                  <c:v>28.401393276923983</c:v>
                </c:pt>
                <c:pt idx="3287">
                  <c:v>28.437455086790123</c:v>
                </c:pt>
                <c:pt idx="3288">
                  <c:v>28.47352436615743</c:v>
                </c:pt>
                <c:pt idx="3289">
                  <c:v>28.50960113418159</c:v>
                </c:pt>
                <c:pt idx="3290">
                  <c:v>28.545685410040278</c:v>
                </c:pt>
                <c:pt idx="3291">
                  <c:v>28.581777212933154</c:v>
                </c:pt>
                <c:pt idx="3292">
                  <c:v>28.617876562081964</c:v>
                </c:pt>
                <c:pt idx="3293">
                  <c:v>28.65398347673059</c:v>
                </c:pt>
                <c:pt idx="3294">
                  <c:v>28.69009797614514</c:v>
                </c:pt>
                <c:pt idx="3295">
                  <c:v>28.72622007961402</c:v>
                </c:pt>
                <c:pt idx="3296">
                  <c:v>28.76234980644794</c:v>
                </c:pt>
                <c:pt idx="3297">
                  <c:v>28.798487175980092</c:v>
                </c:pt>
                <c:pt idx="3298">
                  <c:v>28.83463220756615</c:v>
                </c:pt>
                <c:pt idx="3299">
                  <c:v>28.87078492058435</c:v>
                </c:pt>
                <c:pt idx="3300">
                  <c:v>28.906945334435573</c:v>
                </c:pt>
                <c:pt idx="3301">
                  <c:v>28.943113468543416</c:v>
                </c:pt>
                <c:pt idx="3302">
                  <c:v>28.97928934235425</c:v>
                </c:pt>
                <c:pt idx="3303">
                  <c:v>29.01547297533732</c:v>
                </c:pt>
                <c:pt idx="3304">
                  <c:v>29.05166438698475</c:v>
                </c:pt>
                <c:pt idx="3305">
                  <c:v>29.087863596811708</c:v>
                </c:pt>
                <c:pt idx="3306">
                  <c:v>29.124070624356417</c:v>
                </c:pt>
                <c:pt idx="3307">
                  <c:v>29.160285489180243</c:v>
                </c:pt>
                <c:pt idx="3308">
                  <c:v>29.196508210867762</c:v>
                </c:pt>
                <c:pt idx="3309">
                  <c:v>29.232738809026845</c:v>
                </c:pt>
                <c:pt idx="3310">
                  <c:v>29.268977303288736</c:v>
                </c:pt>
                <c:pt idx="3311">
                  <c:v>29.30522371330806</c:v>
                </c:pt>
                <c:pt idx="3312">
                  <c:v>29.341478058763</c:v>
                </c:pt>
                <c:pt idx="3313">
                  <c:v>29.377740359355304</c:v>
                </c:pt>
                <c:pt idx="3314">
                  <c:v>29.414010634810374</c:v>
                </c:pt>
                <c:pt idx="3315">
                  <c:v>29.45028890487734</c:v>
                </c:pt>
                <c:pt idx="3316">
                  <c:v>29.486575189329127</c:v>
                </c:pt>
                <c:pt idx="3317">
                  <c:v>29.522869507962557</c:v>
                </c:pt>
                <c:pt idx="3318">
                  <c:v>29.559171880598356</c:v>
                </c:pt>
                <c:pt idx="3319">
                  <c:v>29.595482327081314</c:v>
                </c:pt>
                <c:pt idx="3320">
                  <c:v>29.63180086728031</c:v>
                </c:pt>
                <c:pt idx="3321">
                  <c:v>29.668127521088397</c:v>
                </c:pt>
                <c:pt idx="3322">
                  <c:v>29.704462308422876</c:v>
                </c:pt>
                <c:pt idx="3323">
                  <c:v>29.74080524922537</c:v>
                </c:pt>
                <c:pt idx="3324">
                  <c:v>29.777156363461906</c:v>
                </c:pt>
                <c:pt idx="3325">
                  <c:v>29.813515671123</c:v>
                </c:pt>
                <c:pt idx="3326">
                  <c:v>29.84988319222367</c:v>
                </c:pt>
                <c:pt idx="3327">
                  <c:v>29.88625894680361</c:v>
                </c:pt>
                <c:pt idx="3328">
                  <c:v>29.92264295492721</c:v>
                </c:pt>
                <c:pt idx="3329">
                  <c:v>29.959035236683622</c:v>
                </c:pt>
                <c:pt idx="3330">
                  <c:v>29.995435812186873</c:v>
                </c:pt>
                <c:pt idx="3331">
                  <c:v>30.031844701575917</c:v>
                </c:pt>
                <c:pt idx="3332">
                  <c:v>30.06826192501473</c:v>
                </c:pt>
                <c:pt idx="3333">
                  <c:v>30.104687502692336</c:v>
                </c:pt>
                <c:pt idx="3334">
                  <c:v>30.141121454822965</c:v>
                </c:pt>
                <c:pt idx="3335">
                  <c:v>30.17756380164608</c:v>
                </c:pt>
                <c:pt idx="3336">
                  <c:v>30.214014563426463</c:v>
                </c:pt>
                <c:pt idx="3337">
                  <c:v>30.250473760454295</c:v>
                </c:pt>
                <c:pt idx="3338">
                  <c:v>30.286941413045234</c:v>
                </c:pt>
                <c:pt idx="3339">
                  <c:v>30.32341754154051</c:v>
                </c:pt>
                <c:pt idx="3340">
                  <c:v>30.35990216630694</c:v>
                </c:pt>
                <c:pt idx="3341">
                  <c:v>30.3963953077371</c:v>
                </c:pt>
                <c:pt idx="3342">
                  <c:v>30.43289698624935</c:v>
                </c:pt>
                <c:pt idx="3343">
                  <c:v>30.469407222287913</c:v>
                </c:pt>
                <c:pt idx="3344">
                  <c:v>30.505926036322965</c:v>
                </c:pt>
                <c:pt idx="3345">
                  <c:v>30.54245344885072</c:v>
                </c:pt>
                <c:pt idx="3346">
                  <c:v>30.57898948039351</c:v>
                </c:pt>
                <c:pt idx="3347">
                  <c:v>30.615534151499812</c:v>
                </c:pt>
                <c:pt idx="3348">
                  <c:v>30.65208748274443</c:v>
                </c:pt>
                <c:pt idx="3349">
                  <c:v>30.688649494728498</c:v>
                </c:pt>
                <c:pt idx="3350">
                  <c:v>30.725220208079584</c:v>
                </c:pt>
                <c:pt idx="3351">
                  <c:v>30.761799643451766</c:v>
                </c:pt>
                <c:pt idx="3352">
                  <c:v>30.798387821525726</c:v>
                </c:pt>
                <c:pt idx="3353">
                  <c:v>30.834984763008816</c:v>
                </c:pt>
                <c:pt idx="3354">
                  <c:v>30.871590488635164</c:v>
                </c:pt>
                <c:pt idx="3355">
                  <c:v>30.90820501916569</c:v>
                </c:pt>
                <c:pt idx="3356">
                  <c:v>30.944828375388283</c:v>
                </c:pt>
                <c:pt idx="3357">
                  <c:v>30.981460578117826</c:v>
                </c:pt>
                <c:pt idx="3358">
                  <c:v>31.018101648196282</c:v>
                </c:pt>
                <c:pt idx="3359">
                  <c:v>31.054751606492786</c:v>
                </c:pt>
                <c:pt idx="3360">
                  <c:v>31.09141047390373</c:v>
                </c:pt>
                <c:pt idx="3361">
                  <c:v>31.128078271352855</c:v>
                </c:pt>
                <c:pt idx="3362">
                  <c:v>31.164755019791272</c:v>
                </c:pt>
                <c:pt idx="3363">
                  <c:v>31.201440740197643</c:v>
                </c:pt>
                <c:pt idx="3364">
                  <c:v>31.238135453578206</c:v>
                </c:pt>
                <c:pt idx="3365">
                  <c:v>31.274839180966868</c:v>
                </c:pt>
                <c:pt idx="3366">
                  <c:v>31.31155194342529</c:v>
                </c:pt>
                <c:pt idx="3367">
                  <c:v>31.34827376204297</c:v>
                </c:pt>
                <c:pt idx="3368">
                  <c:v>31.38500465793736</c:v>
                </c:pt>
                <c:pt idx="3369">
                  <c:v>31.421744652253853</c:v>
                </c:pt>
                <c:pt idx="3370">
                  <c:v>31.458493766166004</c:v>
                </c:pt>
                <c:pt idx="3371">
                  <c:v>31.495252020875522</c:v>
                </c:pt>
                <c:pt idx="3372">
                  <c:v>31.53201943761239</c:v>
                </c:pt>
                <c:pt idx="3373">
                  <c:v>31.56879603763494</c:v>
                </c:pt>
                <c:pt idx="3374">
                  <c:v>31.605581842229938</c:v>
                </c:pt>
                <c:pt idx="3375">
                  <c:v>31.6423768727127</c:v>
                </c:pt>
                <c:pt idx="3376">
                  <c:v>31.679181150427095</c:v>
                </c:pt>
                <c:pt idx="3377">
                  <c:v>31.71599469674575</c:v>
                </c:pt>
                <c:pt idx="3378">
                  <c:v>31.752817533070054</c:v>
                </c:pt>
                <c:pt idx="3379">
                  <c:v>31.789649680830276</c:v>
                </c:pt>
                <c:pt idx="3380">
                  <c:v>31.826491161485638</c:v>
                </c:pt>
                <c:pt idx="3381">
                  <c:v>31.863341996524415</c:v>
                </c:pt>
                <c:pt idx="3382">
                  <c:v>31.900202207464023</c:v>
                </c:pt>
                <c:pt idx="3383">
                  <c:v>31.937071815851112</c:v>
                </c:pt>
                <c:pt idx="3384">
                  <c:v>31.973950843261598</c:v>
                </c:pt>
                <c:pt idx="3385">
                  <c:v>32.01083931130085</c:v>
                </c:pt>
                <c:pt idx="3386">
                  <c:v>32.04773724160372</c:v>
                </c:pt>
                <c:pt idx="3387">
                  <c:v>32.08464465583463</c:v>
                </c:pt>
                <c:pt idx="3388">
                  <c:v>32.12156157568768</c:v>
                </c:pt>
                <c:pt idx="3389">
                  <c:v>32.15848802288672</c:v>
                </c:pt>
                <c:pt idx="3390">
                  <c:v>32.19542401918549</c:v>
                </c:pt>
                <c:pt idx="3391">
                  <c:v>32.23236958636759</c:v>
                </c:pt>
                <c:pt idx="3392">
                  <c:v>32.26932474624673</c:v>
                </c:pt>
                <c:pt idx="3393">
                  <c:v>32.306289520666716</c:v>
                </c:pt>
                <c:pt idx="3394">
                  <c:v>32.34326393150156</c:v>
                </c:pt>
                <c:pt idx="3395">
                  <c:v>32.38024800065559</c:v>
                </c:pt>
                <c:pt idx="3396">
                  <c:v>32.417241750063525</c:v>
                </c:pt>
                <c:pt idx="3397">
                  <c:v>32.45424520169059</c:v>
                </c:pt>
                <c:pt idx="3398">
                  <c:v>32.49125837753254</c:v>
                </c:pt>
                <c:pt idx="3399">
                  <c:v>32.528281299615855</c:v>
                </c:pt>
                <c:pt idx="3400">
                  <c:v>32.56531398999777</c:v>
                </c:pt>
                <c:pt idx="3401">
                  <c:v>32.60235647076637</c:v>
                </c:pt>
                <c:pt idx="3402">
                  <c:v>32.639408764040695</c:v>
                </c:pt>
                <c:pt idx="3403">
                  <c:v>32.67647089197083</c:v>
                </c:pt>
                <c:pt idx="3404">
                  <c:v>32.713542876738</c:v>
                </c:pt>
                <c:pt idx="3405">
                  <c:v>32.75062474055469</c:v>
                </c:pt>
                <c:pt idx="3406">
                  <c:v>32.78771650566464</c:v>
                </c:pt>
                <c:pt idx="3407">
                  <c:v>32.82481819434308</c:v>
                </c:pt>
                <c:pt idx="3408">
                  <c:v>32.861929828896734</c:v>
                </c:pt>
                <c:pt idx="3409">
                  <c:v>32.89905143166394</c:v>
                </c:pt>
                <c:pt idx="3410">
                  <c:v>32.93618302501475</c:v>
                </c:pt>
                <c:pt idx="3411">
                  <c:v>32.973324631351005</c:v>
                </c:pt>
                <c:pt idx="3412">
                  <c:v>33.01047627310647</c:v>
                </c:pt>
                <c:pt idx="3413">
                  <c:v>33.047637972746855</c:v>
                </c:pt>
                <c:pt idx="3414">
                  <c:v>33.084809752770006</c:v>
                </c:pt>
                <c:pt idx="3415">
                  <c:v>33.12199163570595</c:v>
                </c:pt>
                <c:pt idx="3416">
                  <c:v>33.15918364411699</c:v>
                </c:pt>
                <c:pt idx="3417">
                  <c:v>33.196385800597824</c:v>
                </c:pt>
                <c:pt idx="3418">
                  <c:v>33.233598127775615</c:v>
                </c:pt>
                <c:pt idx="3419">
                  <c:v>33.27082064831013</c:v>
                </c:pt>
                <c:pt idx="3420">
                  <c:v>33.30805338489376</c:v>
                </c:pt>
                <c:pt idx="3421">
                  <c:v>33.34529636025172</c:v>
                </c:pt>
                <c:pt idx="3422">
                  <c:v>33.38254959714209</c:v>
                </c:pt>
                <c:pt idx="3423">
                  <c:v>33.419813118355904</c:v>
                </c:pt>
                <c:pt idx="3424">
                  <c:v>33.45708694671728</c:v>
                </c:pt>
                <c:pt idx="3425">
                  <c:v>33.494371105083516</c:v>
                </c:pt>
                <c:pt idx="3426">
                  <c:v>33.53166561634516</c:v>
                </c:pt>
                <c:pt idx="3427">
                  <c:v>33.568970503426165</c:v>
                </c:pt>
                <c:pt idx="3428">
                  <c:v>33.606285789283895</c:v>
                </c:pt>
                <c:pt idx="3429">
                  <c:v>33.643611496909344</c:v>
                </c:pt>
                <c:pt idx="3430">
                  <c:v>33.68094764932716</c:v>
                </c:pt>
                <c:pt idx="3431">
                  <c:v>33.71829426959576</c:v>
                </c:pt>
                <c:pt idx="3432">
                  <c:v>33.75565138080745</c:v>
                </c:pt>
                <c:pt idx="3433">
                  <c:v>33.79301900608852</c:v>
                </c:pt>
                <c:pt idx="3434">
                  <c:v>33.8303971685993</c:v>
                </c:pt>
                <c:pt idx="3435">
                  <c:v>33.86778589153434</c:v>
                </c:pt>
                <c:pt idx="3436">
                  <c:v>33.905185198122474</c:v>
                </c:pt>
                <c:pt idx="3437">
                  <c:v>33.942595111626915</c:v>
                </c:pt>
                <c:pt idx="3438">
                  <c:v>33.98001565534537</c:v>
                </c:pt>
                <c:pt idx="3439">
                  <c:v>34.01744685261014</c:v>
                </c:pt>
                <c:pt idx="3440">
                  <c:v>34.05488872678824</c:v>
                </c:pt>
                <c:pt idx="3441">
                  <c:v>34.0923413012815</c:v>
                </c:pt>
                <c:pt idx="3442">
                  <c:v>34.129804599526594</c:v>
                </c:pt>
                <c:pt idx="3443">
                  <c:v>34.16727864499528</c:v>
                </c:pt>
                <c:pt idx="3444">
                  <c:v>34.20476346119441</c:v>
                </c:pt>
                <c:pt idx="3445">
                  <c:v>34.24225907166606</c:v>
                </c:pt>
                <c:pt idx="3446">
                  <c:v>34.27976549998765</c:v>
                </c:pt>
                <c:pt idx="3447">
                  <c:v>34.317282769772014</c:v>
                </c:pt>
                <c:pt idx="3448">
                  <c:v>34.35481090466757</c:v>
                </c:pt>
                <c:pt idx="3449">
                  <c:v>34.392349928358335</c:v>
                </c:pt>
                <c:pt idx="3450">
                  <c:v>34.42989986456411</c:v>
                </c:pt>
                <c:pt idx="3451">
                  <c:v>34.467460737040575</c:v>
                </c:pt>
                <c:pt idx="3452">
                  <c:v>34.50503256957936</c:v>
                </c:pt>
                <c:pt idx="3453">
                  <c:v>34.542615386008194</c:v>
                </c:pt>
                <c:pt idx="3454">
                  <c:v>34.58020921019098</c:v>
                </c:pt>
                <c:pt idx="3455">
                  <c:v>34.61781406602794</c:v>
                </c:pt>
                <c:pt idx="3456">
                  <c:v>34.655429977455704</c:v>
                </c:pt>
                <c:pt idx="3457">
                  <c:v>34.69305696844737</c:v>
                </c:pt>
                <c:pt idx="3458">
                  <c:v>34.73069506301273</c:v>
                </c:pt>
                <c:pt idx="3459">
                  <c:v>34.76834428519828</c:v>
                </c:pt>
                <c:pt idx="3460">
                  <c:v>34.80600465908737</c:v>
                </c:pt>
                <c:pt idx="3461">
                  <c:v>34.84367620880031</c:v>
                </c:pt>
                <c:pt idx="3462">
                  <c:v>34.8813589584945</c:v>
                </c:pt>
                <c:pt idx="3463">
                  <c:v>34.91905293236446</c:v>
                </c:pt>
                <c:pt idx="3464">
                  <c:v>34.95675815464206</c:v>
                </c:pt>
                <c:pt idx="3465">
                  <c:v>34.99447464959656</c:v>
                </c:pt>
                <c:pt idx="3466">
                  <c:v>35.03220244153474</c:v>
                </c:pt>
                <c:pt idx="3467">
                  <c:v>35.069941554801005</c:v>
                </c:pt>
                <c:pt idx="3468">
                  <c:v>35.10769201377751</c:v>
                </c:pt>
                <c:pt idx="3469">
                  <c:v>35.14545384288426</c:v>
                </c:pt>
                <c:pt idx="3470">
                  <c:v>35.183227066579256</c:v>
                </c:pt>
                <c:pt idx="3471">
                  <c:v>35.22101170935853</c:v>
                </c:pt>
                <c:pt idx="3472">
                  <c:v>35.25880779575636</c:v>
                </c:pt>
                <c:pt idx="3473">
                  <c:v>35.296615350345334</c:v>
                </c:pt>
                <c:pt idx="3474">
                  <c:v>35.33443439773646</c:v>
                </c:pt>
                <c:pt idx="3475">
                  <c:v>35.3722649625793</c:v>
                </c:pt>
                <c:pt idx="3476">
                  <c:v>35.41010706956207</c:v>
                </c:pt>
                <c:pt idx="3477">
                  <c:v>35.4479607434118</c:v>
                </c:pt>
                <c:pt idx="3478">
                  <c:v>35.48582600889433</c:v>
                </c:pt>
                <c:pt idx="3479">
                  <c:v>35.52370289081459</c:v>
                </c:pt>
                <c:pt idx="3480">
                  <c:v>35.561591414016625</c:v>
                </c:pt>
                <c:pt idx="3481">
                  <c:v>35.59949160338371</c:v>
                </c:pt>
                <c:pt idx="3482">
                  <c:v>35.6374034838385</c:v>
                </c:pt>
                <c:pt idx="3483">
                  <c:v>35.675327080343116</c:v>
                </c:pt>
                <c:pt idx="3484">
                  <c:v>35.71326241789931</c:v>
                </c:pt>
                <c:pt idx="3485">
                  <c:v>35.751209521548546</c:v>
                </c:pt>
                <c:pt idx="3486">
                  <c:v>35.7891684163721</c:v>
                </c:pt>
                <c:pt idx="3487">
                  <c:v>35.82713912749124</c:v>
                </c:pt>
                <c:pt idx="3488">
                  <c:v>35.865121680067325</c:v>
                </c:pt>
                <c:pt idx="3489">
                  <c:v>35.90311609930189</c:v>
                </c:pt>
                <c:pt idx="3490">
                  <c:v>35.94112241043682</c:v>
                </c:pt>
                <c:pt idx="3491">
                  <c:v>35.97914063875444</c:v>
                </c:pt>
                <c:pt idx="3492">
                  <c:v>36.0171708095776</c:v>
                </c:pt>
                <c:pt idx="3493">
                  <c:v>36.0552129482699</c:v>
                </c:pt>
                <c:pt idx="3494">
                  <c:v>36.09326708023573</c:v>
                </c:pt>
                <c:pt idx="3495">
                  <c:v>36.131333230920404</c:v>
                </c:pt>
                <c:pt idx="3496">
                  <c:v>36.16941142581032</c:v>
                </c:pt>
                <c:pt idx="3497">
                  <c:v>36.20750169043303</c:v>
                </c:pt>
                <c:pt idx="3498">
                  <c:v>36.24560405035741</c:v>
                </c:pt>
                <c:pt idx="3499">
                  <c:v>36.283718531193784</c:v>
                </c:pt>
                <c:pt idx="3500">
                  <c:v>36.32184515859398</c:v>
                </c:pt>
                <c:pt idx="3501">
                  <c:v>36.359983958251554</c:v>
                </c:pt>
                <c:pt idx="3502">
                  <c:v>36.39813495590187</c:v>
                </c:pt>
                <c:pt idx="3503">
                  <c:v>36.43629817732219</c:v>
                </c:pt>
                <c:pt idx="3504">
                  <c:v>36.47447364833189</c:v>
                </c:pt>
                <c:pt idx="3505">
                  <c:v>36.51266139479248</c:v>
                </c:pt>
                <c:pt idx="3506">
                  <c:v>36.55086144260784</c:v>
                </c:pt>
                <c:pt idx="3507">
                  <c:v>36.58907381772421</c:v>
                </c:pt>
                <c:pt idx="3508">
                  <c:v>36.62729854613049</c:v>
                </c:pt>
                <c:pt idx="3509">
                  <c:v>36.66553565385823</c:v>
                </c:pt>
                <c:pt idx="3510">
                  <c:v>36.703785166981824</c:v>
                </c:pt>
                <c:pt idx="3511">
                  <c:v>36.74204711161862</c:v>
                </c:pt>
                <c:pt idx="3512">
                  <c:v>36.78032151392905</c:v>
                </c:pt>
                <c:pt idx="3513">
                  <c:v>36.81860840011678</c:v>
                </c:pt>
                <c:pt idx="3514">
                  <c:v>36.85690779642882</c:v>
                </c:pt>
                <c:pt idx="3515">
                  <c:v>36.89521972915562</c:v>
                </c:pt>
                <c:pt idx="3516">
                  <c:v>36.93354422463129</c:v>
                </c:pt>
                <c:pt idx="3517">
                  <c:v>36.97188130923367</c:v>
                </c:pt>
                <c:pt idx="3518">
                  <c:v>37.01023100938448</c:v>
                </c:pt>
                <c:pt idx="3519">
                  <c:v>37.04859335154944</c:v>
                </c:pt>
                <c:pt idx="3520">
                  <c:v>37.08696836223843</c:v>
                </c:pt>
                <c:pt idx="3521">
                  <c:v>37.125356068005544</c:v>
                </c:pt>
                <c:pt idx="3522">
                  <c:v>37.163756495449356</c:v>
                </c:pt>
                <c:pt idx="3523">
                  <c:v>37.20216967121296</c:v>
                </c:pt>
                <c:pt idx="3524">
                  <c:v>37.24059562198412</c:v>
                </c:pt>
                <c:pt idx="3525">
                  <c:v>37.279034374495424</c:v>
                </c:pt>
                <c:pt idx="3526">
                  <c:v>37.31748595552441</c:v>
                </c:pt>
                <c:pt idx="3527">
                  <c:v>37.35595039189369</c:v>
                </c:pt>
                <c:pt idx="3528">
                  <c:v>37.39442771047112</c:v>
                </c:pt>
                <c:pt idx="3529">
                  <c:v>37.432917938169915</c:v>
                </c:pt>
                <c:pt idx="3530">
                  <c:v>37.471421101948735</c:v>
                </c:pt>
                <c:pt idx="3531">
                  <c:v>37.50993722881194</c:v>
                </c:pt>
                <c:pt idx="3532">
                  <c:v>37.54846634580964</c:v>
                </c:pt>
                <c:pt idx="3533">
                  <c:v>37.58700848003786</c:v>
                </c:pt>
                <c:pt idx="3534">
                  <c:v>37.625563658638676</c:v>
                </c:pt>
                <c:pt idx="3535">
                  <c:v>37.66413190880037</c:v>
                </c:pt>
                <c:pt idx="3536">
                  <c:v>37.70271325775751</c:v>
                </c:pt>
                <c:pt idx="3537">
                  <c:v>37.741307732791185</c:v>
                </c:pt>
                <c:pt idx="3538">
                  <c:v>37.77991536122909</c:v>
                </c:pt>
                <c:pt idx="3539">
                  <c:v>37.818536170445654</c:v>
                </c:pt>
                <c:pt idx="3540">
                  <c:v>37.85717018786223</c:v>
                </c:pt>
                <c:pt idx="3541">
                  <c:v>37.895817440947205</c:v>
                </c:pt>
                <c:pt idx="3542">
                  <c:v>37.93447795721614</c:v>
                </c:pt>
                <c:pt idx="3543">
                  <c:v>37.97315176423194</c:v>
                </c:pt>
                <c:pt idx="3544">
                  <c:v>38.01183888960495</c:v>
                </c:pt>
                <c:pt idx="3545">
                  <c:v>38.05053936099316</c:v>
                </c:pt>
                <c:pt idx="3546">
                  <c:v>38.08925320610232</c:v>
                </c:pt>
                <c:pt idx="3547">
                  <c:v>38.12798045268607</c:v>
                </c:pt>
                <c:pt idx="3548">
                  <c:v>38.16672112854611</c:v>
                </c:pt>
                <c:pt idx="3549">
                  <c:v>38.20547526153234</c:v>
                </c:pt>
                <c:pt idx="3550">
                  <c:v>38.24424287954304</c:v>
                </c:pt>
                <c:pt idx="3551">
                  <c:v>38.28302401052489</c:v>
                </c:pt>
                <c:pt idx="3552">
                  <c:v>38.32181868247329</c:v>
                </c:pt>
                <c:pt idx="3553">
                  <c:v>38.36062692343242</c:v>
                </c:pt>
                <c:pt idx="3554">
                  <c:v>38.39944876149537</c:v>
                </c:pt>
                <c:pt idx="3555">
                  <c:v>38.43828422480434</c:v>
                </c:pt>
                <c:pt idx="3556">
                  <c:v>38.47713334155076</c:v>
                </c:pt>
                <c:pt idx="3557">
                  <c:v>38.51599613997544</c:v>
                </c:pt>
                <c:pt idx="3558">
                  <c:v>38.554872648368764</c:v>
                </c:pt>
                <c:pt idx="3559">
                  <c:v>38.59376289507073</c:v>
                </c:pt>
                <c:pt idx="3560">
                  <c:v>38.63266690847125</c:v>
                </c:pt>
                <c:pt idx="3561">
                  <c:v>38.671584717010205</c:v>
                </c:pt>
                <c:pt idx="3562">
                  <c:v>38.71051634917762</c:v>
                </c:pt>
                <c:pt idx="3563">
                  <c:v>38.74946183351381</c:v>
                </c:pt>
                <c:pt idx="3564">
                  <c:v>38.7884211986096</c:v>
                </c:pt>
                <c:pt idx="3565">
                  <c:v>38.82739447310632</c:v>
                </c:pt>
                <c:pt idx="3566">
                  <c:v>38.86638168569614</c:v>
                </c:pt>
                <c:pt idx="3567">
                  <c:v>38.90538286512214</c:v>
                </c:pt>
                <c:pt idx="3568">
                  <c:v>38.94439804017847</c:v>
                </c:pt>
                <c:pt idx="3569">
                  <c:v>38.983427239710494</c:v>
                </c:pt>
                <c:pt idx="3570">
                  <c:v>39.022470492614985</c:v>
                </c:pt>
                <c:pt idx="3571">
                  <c:v>39.06152782784025</c:v>
                </c:pt>
                <c:pt idx="3572">
                  <c:v>39.100599274386326</c:v>
                </c:pt>
                <c:pt idx="3573">
                  <c:v>39.13968486130505</c:v>
                </c:pt>
                <c:pt idx="3574">
                  <c:v>39.17878461770034</c:v>
                </c:pt>
                <c:pt idx="3575">
                  <c:v>39.217898572728274</c:v>
                </c:pt>
                <c:pt idx="3576">
                  <c:v>39.25702675559727</c:v>
                </c:pt>
                <c:pt idx="3577">
                  <c:v>39.29616919556827</c:v>
                </c:pt>
                <c:pt idx="3578">
                  <c:v>39.33532592195484</c:v>
                </c:pt>
                <c:pt idx="3579">
                  <c:v>39.37449696412342</c:v>
                </c:pt>
                <c:pt idx="3580">
                  <c:v>39.41368235149338</c:v>
                </c:pt>
                <c:pt idx="3581">
                  <c:v>39.45288211353727</c:v>
                </c:pt>
                <c:pt idx="3582">
                  <c:v>39.49209627978098</c:v>
                </c:pt>
                <c:pt idx="3583">
                  <c:v>39.53132487980384</c:v>
                </c:pt>
                <c:pt idx="3584">
                  <c:v>39.57056794323884</c:v>
                </c:pt>
                <c:pt idx="3585">
                  <c:v>39.60982549977279</c:v>
                </c:pt>
                <c:pt idx="3586">
                  <c:v>39.64909757914644</c:v>
                </c:pt>
                <c:pt idx="3587">
                  <c:v>39.68838421115474</c:v>
                </c:pt>
                <c:pt idx="3588">
                  <c:v>39.72768542564686</c:v>
                </c:pt>
                <c:pt idx="3589">
                  <c:v>39.76700125252651</c:v>
                </c:pt>
                <c:pt idx="3590">
                  <c:v>39.80633172175204</c:v>
                </c:pt>
                <c:pt idx="3591">
                  <c:v>39.845676863336585</c:v>
                </c:pt>
                <c:pt idx="3592">
                  <c:v>39.885036707348284</c:v>
                </c:pt>
                <c:pt idx="3593">
                  <c:v>39.92441128391044</c:v>
                </c:pt>
                <c:pt idx="3594">
                  <c:v>39.96380062320161</c:v>
                </c:pt>
                <c:pt idx="3595">
                  <c:v>40.003204755455904</c:v>
                </c:pt>
                <c:pt idx="3596">
                  <c:v>40.042623710963085</c:v>
                </c:pt>
                <c:pt idx="3597">
                  <c:v>40.082057520068744</c:v>
                </c:pt>
                <c:pt idx="3598">
                  <c:v>40.121506213174484</c:v>
                </c:pt>
                <c:pt idx="3599">
                  <c:v>40.160969820738096</c:v>
                </c:pt>
                <c:pt idx="3600">
                  <c:v>40.200448373273716</c:v>
                </c:pt>
                <c:pt idx="3601">
                  <c:v>40.23994190135203</c:v>
                </c:pt>
                <c:pt idx="3602">
                  <c:v>40.27945043560038</c:v>
                </c:pt>
                <c:pt idx="3603">
                  <c:v>40.318974006703044</c:v>
                </c:pt>
                <c:pt idx="3604">
                  <c:v>40.35851264540134</c:v>
                </c:pt>
                <c:pt idx="3605">
                  <c:v>40.39806638249382</c:v>
                </c:pt>
                <c:pt idx="3606">
                  <c:v>40.43763524883645</c:v>
                </c:pt>
                <c:pt idx="3607">
                  <c:v>40.477219275342776</c:v>
                </c:pt>
                <c:pt idx="3608">
                  <c:v>40.51681849298415</c:v>
                </c:pt>
                <c:pt idx="3609">
                  <c:v>40.556432932789804</c:v>
                </c:pt>
                <c:pt idx="3610">
                  <c:v>40.59606262584717</c:v>
                </c:pt>
                <c:pt idx="3611">
                  <c:v>40.635707603301945</c:v>
                </c:pt>
                <c:pt idx="3612">
                  <c:v>40.675367896358345</c:v>
                </c:pt>
                <c:pt idx="3613">
                  <c:v>40.715043536279246</c:v>
                </c:pt>
                <c:pt idx="3614">
                  <c:v>40.75473455438639</c:v>
                </c:pt>
                <c:pt idx="3615">
                  <c:v>40.794440982060536</c:v>
                </c:pt>
                <c:pt idx="3616">
                  <c:v>40.83416285074171</c:v>
                </c:pt>
                <c:pt idx="3617">
                  <c:v>40.87390019192929</c:v>
                </c:pt>
                <c:pt idx="3618">
                  <c:v>40.91365303718228</c:v>
                </c:pt>
                <c:pt idx="3619">
                  <c:v>40.95342141811946</c:v>
                </c:pt>
                <c:pt idx="3620">
                  <c:v>40.99320536641958</c:v>
                </c:pt>
                <c:pt idx="3621">
                  <c:v>41.033004913821536</c:v>
                </c:pt>
                <c:pt idx="3622">
                  <c:v>41.07282009212458</c:v>
                </c:pt>
                <c:pt idx="3623">
                  <c:v>41.11265093318845</c:v>
                </c:pt>
                <c:pt idx="3624">
                  <c:v>41.15249746893364</c:v>
                </c:pt>
                <c:pt idx="3625">
                  <c:v>41.192359731341554</c:v>
                </c:pt>
                <c:pt idx="3626">
                  <c:v>41.23223775245468</c:v>
                </c:pt>
                <c:pt idx="3627">
                  <c:v>41.27213156437681</c:v>
                </c:pt>
                <c:pt idx="3628">
                  <c:v>41.3120411992732</c:v>
                </c:pt>
                <c:pt idx="3629">
                  <c:v>41.351966689370805</c:v>
                </c:pt>
                <c:pt idx="3630">
                  <c:v>41.39190806695844</c:v>
                </c:pt>
                <c:pt idx="3631">
                  <c:v>41.43186536438695</c:v>
                </c:pt>
                <c:pt idx="3632">
                  <c:v>41.47183861406948</c:v>
                </c:pt>
                <c:pt idx="3633">
                  <c:v>41.51182784848161</c:v>
                </c:pt>
                <c:pt idx="3634">
                  <c:v>41.551833100161566</c:v>
                </c:pt>
                <c:pt idx="3635">
                  <c:v>41.59185440171043</c:v>
                </c:pt>
                <c:pt idx="3636">
                  <c:v>41.631891785792305</c:v>
                </c:pt>
                <c:pt idx="3637">
                  <c:v>41.671945285134576</c:v>
                </c:pt>
                <c:pt idx="3638">
                  <c:v>41.71201493252801</c:v>
                </c:pt>
                <c:pt idx="3639">
                  <c:v>41.75210076082704</c:v>
                </c:pt>
                <c:pt idx="3640">
                  <c:v>41.792202802949966</c:v>
                </c:pt>
                <c:pt idx="3641">
                  <c:v>41.83232109187909</c:v>
                </c:pt>
                <c:pt idx="3642">
                  <c:v>41.87245566066097</c:v>
                </c:pt>
                <c:pt idx="3643">
                  <c:v>41.912606542406614</c:v>
                </c:pt>
                <c:pt idx="3644">
                  <c:v>41.95277377029167</c:v>
                </c:pt>
                <c:pt idx="3645">
                  <c:v>41.992957377556664</c:v>
                </c:pt>
                <c:pt idx="3646">
                  <c:v>42.03315739750711</c:v>
                </c:pt>
                <c:pt idx="3647">
                  <c:v>42.07337386351386</c:v>
                </c:pt>
                <c:pt idx="3648">
                  <c:v>42.1136068090132</c:v>
                </c:pt>
                <c:pt idx="3649">
                  <c:v>42.15385626750709</c:v>
                </c:pt>
                <c:pt idx="3650">
                  <c:v>42.19412227256338</c:v>
                </c:pt>
                <c:pt idx="3651">
                  <c:v>42.23440485781602</c:v>
                </c:pt>
                <c:pt idx="3652">
                  <c:v>42.274704056965255</c:v>
                </c:pt>
                <c:pt idx="3653">
                  <c:v>42.3150199037778</c:v>
                </c:pt>
                <c:pt idx="3654">
                  <c:v>42.35535243208716</c:v>
                </c:pt>
                <c:pt idx="3655">
                  <c:v>42.395701675793724</c:v>
                </c:pt>
                <c:pt idx="3656">
                  <c:v>42.43606766886504</c:v>
                </c:pt>
                <c:pt idx="3657">
                  <c:v>42.47645044533603</c:v>
                </c:pt>
                <c:pt idx="3658">
                  <c:v>42.51685003930916</c:v>
                </c:pt>
                <c:pt idx="3659">
                  <c:v>42.5572664849547</c:v>
                </c:pt>
                <c:pt idx="3660">
                  <c:v>42.59769981651094</c:v>
                </c:pt>
                <c:pt idx="3661">
                  <c:v>42.63815006828432</c:v>
                </c:pt>
                <c:pt idx="3662">
                  <c:v>42.67861727464978</c:v>
                </c:pt>
                <c:pt idx="3663">
                  <c:v>42.7191014700509</c:v>
                </c:pt>
                <c:pt idx="3664">
                  <c:v>42.75960268900012</c:v>
                </c:pt>
                <c:pt idx="3665">
                  <c:v>42.80012096607897</c:v>
                </c:pt>
                <c:pt idx="3666">
                  <c:v>42.84065633593832</c:v>
                </c:pt>
                <c:pt idx="3667">
                  <c:v>42.8812088332985</c:v>
                </c:pt>
                <c:pt idx="3668">
                  <c:v>42.92177849294967</c:v>
                </c:pt>
                <c:pt idx="3669">
                  <c:v>42.96236534975193</c:v>
                </c:pt>
                <c:pt idx="3670">
                  <c:v>43.00296943863558</c:v>
                </c:pt>
                <c:pt idx="3671">
                  <c:v>43.043590794601364</c:v>
                </c:pt>
                <c:pt idx="3672">
                  <c:v>43.08422945272065</c:v>
                </c:pt>
                <c:pt idx="3673">
                  <c:v>43.12488544813569</c:v>
                </c:pt>
                <c:pt idx="3674">
                  <c:v>43.165558816059864</c:v>
                </c:pt>
                <c:pt idx="3675">
                  <c:v>43.20624959177781</c:v>
                </c:pt>
                <c:pt idx="3676">
                  <c:v>43.246957810645796</c:v>
                </c:pt>
                <c:pt idx="3677">
                  <c:v>43.28768350809184</c:v>
                </c:pt>
                <c:pt idx="3678">
                  <c:v>43.32842671961599</c:v>
                </c:pt>
                <c:pt idx="3679">
                  <c:v>43.36918748079054</c:v>
                </c:pt>
                <c:pt idx="3680">
                  <c:v>43.409965827260265</c:v>
                </c:pt>
                <c:pt idx="3681">
                  <c:v>43.45076179474267</c:v>
                </c:pt>
                <c:pt idx="3682">
                  <c:v>43.49157541902814</c:v>
                </c:pt>
                <c:pt idx="3683">
                  <c:v>43.53240673598031</c:v>
                </c:pt>
                <c:pt idx="3684">
                  <c:v>43.573255781536204</c:v>
                </c:pt>
                <c:pt idx="3685">
                  <c:v>43.61412259170651</c:v>
                </c:pt>
                <c:pt idx="3686">
                  <c:v>43.655007202575796</c:v>
                </c:pt>
                <c:pt idx="3687">
                  <c:v>43.69590965030275</c:v>
                </c:pt>
                <c:pt idx="3688">
                  <c:v>43.73682997112044</c:v>
                </c:pt>
                <c:pt idx="3689">
                  <c:v>43.77776820133656</c:v>
                </c:pt>
                <c:pt idx="3690">
                  <c:v>43.81872437733358</c:v>
                </c:pt>
                <c:pt idx="3691">
                  <c:v>43.85969853556912</c:v>
                </c:pt>
                <c:pt idx="3692">
                  <c:v>43.90069071257612</c:v>
                </c:pt>
                <c:pt idx="3693">
                  <c:v>43.94170094496309</c:v>
                </c:pt>
                <c:pt idx="3694">
                  <c:v>43.98272926941435</c:v>
                </c:pt>
                <c:pt idx="3695">
                  <c:v>44.02377572269032</c:v>
                </c:pt>
                <c:pt idx="3696">
                  <c:v>44.06484034162765</c:v>
                </c:pt>
                <c:pt idx="3697">
                  <c:v>44.10592316313962</c:v>
                </c:pt>
                <c:pt idx="3698">
                  <c:v>44.1470242242163</c:v>
                </c:pt>
                <c:pt idx="3699">
                  <c:v>44.188143561924804</c:v>
                </c:pt>
                <c:pt idx="3700">
                  <c:v>44.22928121340955</c:v>
                </c:pt>
                <c:pt idx="3701">
                  <c:v>44.270437215892514</c:v>
                </c:pt>
                <c:pt idx="3702">
                  <c:v>44.31161160667348</c:v>
                </c:pt>
                <c:pt idx="3703">
                  <c:v>44.352804423130316</c:v>
                </c:pt>
                <c:pt idx="3704">
                  <c:v>44.39401570271913</c:v>
                </c:pt>
                <c:pt idx="3705">
                  <c:v>44.43524548297467</c:v>
                </c:pt>
                <c:pt idx="3706">
                  <c:v>44.476493801510486</c:v>
                </c:pt>
                <c:pt idx="3707">
                  <c:v>44.517760696019195</c:v>
                </c:pt>
                <c:pt idx="3708">
                  <c:v>44.559046204272775</c:v>
                </c:pt>
                <c:pt idx="3709">
                  <c:v>44.60035036412278</c:v>
                </c:pt>
                <c:pt idx="3710">
                  <c:v>44.64167321350066</c:v>
                </c:pt>
                <c:pt idx="3711">
                  <c:v>44.6830147904179</c:v>
                </c:pt>
                <c:pt idx="3712">
                  <c:v>44.72437513296644</c:v>
                </c:pt>
                <c:pt idx="3713">
                  <c:v>44.76575427931884</c:v>
                </c:pt>
                <c:pt idx="3714">
                  <c:v>44.807152267728554</c:v>
                </c:pt>
                <c:pt idx="3715">
                  <c:v>44.848569136530216</c:v>
                </c:pt>
                <c:pt idx="3716">
                  <c:v>44.890004924139895</c:v>
                </c:pt>
                <c:pt idx="3717">
                  <c:v>44.93145966905535</c:v>
                </c:pt>
                <c:pt idx="3718">
                  <c:v>44.972933409856346</c:v>
                </c:pt>
                <c:pt idx="3719">
                  <c:v>45.01442618520481</c:v>
                </c:pt>
                <c:pt idx="3720">
                  <c:v>45.05593803384526</c:v>
                </c:pt>
                <c:pt idx="3721">
                  <c:v>45.097468994604945</c:v>
                </c:pt>
                <c:pt idx="3722">
                  <c:v>45.13901910639419</c:v>
                </c:pt>
                <c:pt idx="3723">
                  <c:v>45.18058840820662</c:v>
                </c:pt>
                <c:pt idx="3724">
                  <c:v>45.22217693911949</c:v>
                </c:pt>
                <c:pt idx="3725">
                  <c:v>45.263784738293886</c:v>
                </c:pt>
                <c:pt idx="3726">
                  <c:v>45.30541184497507</c:v>
                </c:pt>
                <c:pt idx="3727">
                  <c:v>45.347058298492726</c:v>
                </c:pt>
                <c:pt idx="3728">
                  <c:v>45.388724138261246</c:v>
                </c:pt>
                <c:pt idx="3729">
                  <c:v>45.43040940378</c:v>
                </c:pt>
                <c:pt idx="3730">
                  <c:v>45.47211413463362</c:v>
                </c:pt>
                <c:pt idx="3731">
                  <c:v>45.513838370492294</c:v>
                </c:pt>
                <c:pt idx="3732">
                  <c:v>45.55558215111204</c:v>
                </c:pt>
                <c:pt idx="3733">
                  <c:v>45.59734551633495</c:v>
                </c:pt>
                <c:pt idx="3734">
                  <c:v>45.639128506089556</c:v>
                </c:pt>
                <c:pt idx="3735">
                  <c:v>45.68093116039106</c:v>
                </c:pt>
                <c:pt idx="3736">
                  <c:v>45.72275351934164</c:v>
                </c:pt>
                <c:pt idx="3737">
                  <c:v>45.76459562313072</c:v>
                </c:pt>
                <c:pt idx="3738">
                  <c:v>45.80645751203527</c:v>
                </c:pt>
                <c:pt idx="3739">
                  <c:v>45.848339226420144</c:v>
                </c:pt>
                <c:pt idx="3740">
                  <c:v>45.89024080673823</c:v>
                </c:pt>
                <c:pt idx="3741">
                  <c:v>45.932162293530915</c:v>
                </c:pt>
                <c:pt idx="3742">
                  <c:v>45.97410372742829</c:v>
                </c:pt>
                <c:pt idx="3743">
                  <c:v>46.01606514914945</c:v>
                </c:pt>
                <c:pt idx="3744">
                  <c:v>46.05804659950279</c:v>
                </c:pt>
                <c:pt idx="3745">
                  <c:v>46.100048119386315</c:v>
                </c:pt>
                <c:pt idx="3746">
                  <c:v>46.14206974978794</c:v>
                </c:pt>
                <c:pt idx="3747">
                  <c:v>46.18411153178581</c:v>
                </c:pt>
                <c:pt idx="3748">
                  <c:v>46.226173506548484</c:v>
                </c:pt>
                <c:pt idx="3749">
                  <c:v>46.268255715335414</c:v>
                </c:pt>
                <c:pt idx="3750">
                  <c:v>46.31035819949714</c:v>
                </c:pt>
                <c:pt idx="3751">
                  <c:v>46.3524810004756</c:v>
                </c:pt>
                <c:pt idx="3752">
                  <c:v>46.39462415980447</c:v>
                </c:pt>
                <c:pt idx="3753">
                  <c:v>46.43678771910947</c:v>
                </c:pt>
                <c:pt idx="3754">
                  <c:v>46.478971720108575</c:v>
                </c:pt>
                <c:pt idx="3755">
                  <c:v>46.521176204612495</c:v>
                </c:pt>
                <c:pt idx="3756">
                  <c:v>46.56340121452485</c:v>
                </c:pt>
                <c:pt idx="3757">
                  <c:v>46.605646791842545</c:v>
                </c:pt>
                <c:pt idx="3758">
                  <c:v>46.64791297865605</c:v>
                </c:pt>
                <c:pt idx="3759">
                  <c:v>46.69019981714975</c:v>
                </c:pt>
                <c:pt idx="3760">
                  <c:v>46.732507349602216</c:v>
                </c:pt>
                <c:pt idx="3761">
                  <c:v>46.77483561838658</c:v>
                </c:pt>
                <c:pt idx="3762">
                  <c:v>46.817184665970764</c:v>
                </c:pt>
                <c:pt idx="3763">
                  <c:v>46.8595545349179</c:v>
                </c:pt>
                <c:pt idx="3764">
                  <c:v>46.901945267886596</c:v>
                </c:pt>
                <c:pt idx="3765">
                  <c:v>46.94435690763127</c:v>
                </c:pt>
                <c:pt idx="3766">
                  <c:v>46.986789497002455</c:v>
                </c:pt>
                <c:pt idx="3767">
                  <c:v>47.02924307894716</c:v>
                </c:pt>
                <c:pt idx="3768">
                  <c:v>47.07171769650918</c:v>
                </c:pt>
                <c:pt idx="3769">
                  <c:v>47.11421339282937</c:v>
                </c:pt>
                <c:pt idx="3770">
                  <c:v>47.156730211146076</c:v>
                </c:pt>
                <c:pt idx="3771">
                  <c:v>47.19926819479539</c:v>
                </c:pt>
                <c:pt idx="3772">
                  <c:v>47.2418273872115</c:v>
                </c:pt>
                <c:pt idx="3773">
                  <c:v>47.28440783192704</c:v>
                </c:pt>
                <c:pt idx="3774">
                  <c:v>47.327009572573395</c:v>
                </c:pt>
                <c:pt idx="3775">
                  <c:v>47.369632652881045</c:v>
                </c:pt>
                <c:pt idx="3776">
                  <c:v>47.412277116679945</c:v>
                </c:pt>
                <c:pt idx="3777">
                  <c:v>47.45494300789975</c:v>
                </c:pt>
                <c:pt idx="3778">
                  <c:v>47.4976303705703</c:v>
                </c:pt>
                <c:pt idx="3779">
                  <c:v>47.54033924882185</c:v>
                </c:pt>
                <c:pt idx="3780">
                  <c:v>47.58306968688548</c:v>
                </c:pt>
                <c:pt idx="3781">
                  <c:v>47.62582172909339</c:v>
                </c:pt>
                <c:pt idx="3782">
                  <c:v>47.668595419879296</c:v>
                </c:pt>
                <c:pt idx="3783">
                  <c:v>47.71139080377868</c:v>
                </c:pt>
                <c:pt idx="3784">
                  <c:v>47.754207925429256</c:v>
                </c:pt>
                <c:pt idx="3785">
                  <c:v>47.79704682957127</c:v>
                </c:pt>
                <c:pt idx="3786">
                  <c:v>47.83990756104783</c:v>
                </c:pt>
                <c:pt idx="3787">
                  <c:v>47.88279016480528</c:v>
                </c:pt>
                <c:pt idx="3788">
                  <c:v>47.92569468589354</c:v>
                </c:pt>
                <c:pt idx="3789">
                  <c:v>47.96862116946648</c:v>
                </c:pt>
                <c:pt idx="3790">
                  <c:v>48.01156966078229</c:v>
                </c:pt>
                <c:pt idx="3791">
                  <c:v>48.05454020520375</c:v>
                </c:pt>
                <c:pt idx="3792">
                  <c:v>48.0975328481987</c:v>
                </c:pt>
                <c:pt idx="3793">
                  <c:v>48.14054763534036</c:v>
                </c:pt>
                <c:pt idx="3794">
                  <c:v>48.18358461230766</c:v>
                </c:pt>
                <c:pt idx="3795">
                  <c:v>48.226643824885656</c:v>
                </c:pt>
                <c:pt idx="3796">
                  <c:v>48.26972531896585</c:v>
                </c:pt>
                <c:pt idx="3797">
                  <c:v>48.3128291405466</c:v>
                </c:pt>
                <c:pt idx="3798">
                  <c:v>48.35595533573341</c:v>
                </c:pt>
                <c:pt idx="3799">
                  <c:v>48.39910395073942</c:v>
                </c:pt>
                <c:pt idx="3800">
                  <c:v>48.442275031885686</c:v>
                </c:pt>
                <c:pt idx="3801">
                  <c:v>48.48546862560158</c:v>
                </c:pt>
                <c:pt idx="3802">
                  <c:v>48.52868477842515</c:v>
                </c:pt>
                <c:pt idx="3803">
                  <c:v>48.571923537003535</c:v>
                </c:pt>
                <c:pt idx="3804">
                  <c:v>48.6151849480933</c:v>
                </c:pt>
                <c:pt idx="3805">
                  <c:v>48.65846905856086</c:v>
                </c:pt>
                <c:pt idx="3806">
                  <c:v>48.70177591538277</c:v>
                </c:pt>
                <c:pt idx="3807">
                  <c:v>48.74510556564622</c:v>
                </c:pt>
                <c:pt idx="3808">
                  <c:v>48.78845805654937</c:v>
                </c:pt>
                <c:pt idx="3809">
                  <c:v>48.831833435401734</c:v>
                </c:pt>
                <c:pt idx="3810">
                  <c:v>48.875231749624554</c:v>
                </c:pt>
                <c:pt idx="3811">
                  <c:v>48.918653046751224</c:v>
                </c:pt>
                <c:pt idx="3812">
                  <c:v>48.962097374427614</c:v>
                </c:pt>
                <c:pt idx="3813">
                  <c:v>49.005564780412556</c:v>
                </c:pt>
                <c:pt idx="3814">
                  <c:v>49.04905531257817</c:v>
                </c:pt>
                <c:pt idx="3815">
                  <c:v>49.09256901891028</c:v>
                </c:pt>
                <c:pt idx="3816">
                  <c:v>49.13610594750882</c:v>
                </c:pt>
                <c:pt idx="3817">
                  <c:v>49.179666146588204</c:v>
                </c:pt>
                <c:pt idx="3818">
                  <c:v>49.223249664477756</c:v>
                </c:pt>
                <c:pt idx="3819">
                  <c:v>49.266856549622126</c:v>
                </c:pt>
                <c:pt idx="3820">
                  <c:v>49.3104868505816</c:v>
                </c:pt>
                <c:pt idx="3821">
                  <c:v>49.35414061603263</c:v>
                </c:pt>
                <c:pt idx="3822">
                  <c:v>49.397817894768174</c:v>
                </c:pt>
                <c:pt idx="3823">
                  <c:v>49.44151873569812</c:v>
                </c:pt>
                <c:pt idx="3824">
                  <c:v>49.48524318784968</c:v>
                </c:pt>
                <c:pt idx="3825">
                  <c:v>49.528991300367835</c:v>
                </c:pt>
                <c:pt idx="3826">
                  <c:v>49.572763122515724</c:v>
                </c:pt>
                <c:pt idx="3827">
                  <c:v>49.616558703675025</c:v>
                </c:pt>
                <c:pt idx="3828">
                  <c:v>49.660378093346466</c:v>
                </c:pt>
                <c:pt idx="3829">
                  <c:v>49.70422134115017</c:v>
                </c:pt>
                <c:pt idx="3830">
                  <c:v>49.74808849682611</c:v>
                </c:pt>
                <c:pt idx="3831">
                  <c:v>49.79197961023449</c:v>
                </c:pt>
                <c:pt idx="3832">
                  <c:v>49.83589473135624</c:v>
                </c:pt>
                <c:pt idx="3833">
                  <c:v>49.87983391029338</c:v>
                </c:pt>
                <c:pt idx="3834">
                  <c:v>49.92379719726949</c:v>
                </c:pt>
                <c:pt idx="3835">
                  <c:v>49.96778464263006</c:v>
                </c:pt>
                <c:pt idx="3836">
                  <c:v>50.01179629684305</c:v>
                </c:pt>
                <c:pt idx="3837">
                  <c:v>50.05583221049924</c:v>
                </c:pt>
                <c:pt idx="3838">
                  <c:v>50.09989243431268</c:v>
                </c:pt>
                <c:pt idx="3839">
                  <c:v>50.143977019121124</c:v>
                </c:pt>
                <c:pt idx="3840">
                  <c:v>50.18808601588651</c:v>
                </c:pt>
                <c:pt idx="3841">
                  <c:v>50.232219475695295</c:v>
                </c:pt>
                <c:pt idx="3842">
                  <c:v>50.27637744975904</c:v>
                </c:pt>
                <c:pt idx="3843">
                  <c:v>50.32055998941476</c:v>
                </c:pt>
                <c:pt idx="3844">
                  <c:v>50.364767146125416</c:v>
                </c:pt>
                <c:pt idx="3845">
                  <c:v>50.40899897148032</c:v>
                </c:pt>
                <c:pt idx="3846">
                  <c:v>50.453255517195636</c:v>
                </c:pt>
                <c:pt idx="3847">
                  <c:v>50.49753683511479</c:v>
                </c:pt>
                <c:pt idx="3848">
                  <c:v>50.54184297720897</c:v>
                </c:pt>
                <c:pt idx="3849">
                  <c:v>50.58617399557755</c:v>
                </c:pt>
                <c:pt idx="3850">
                  <c:v>50.63052994244852</c:v>
                </c:pt>
                <c:pt idx="3851">
                  <c:v>50.67491087017902</c:v>
                </c:pt>
                <c:pt idx="3852">
                  <c:v>50.719316831255775</c:v>
                </c:pt>
                <c:pt idx="3853">
                  <c:v>50.763747878295526</c:v>
                </c:pt>
                <c:pt idx="3854">
                  <c:v>50.80820406404556</c:v>
                </c:pt>
                <c:pt idx="3855">
                  <c:v>50.85268544138408</c:v>
                </c:pt>
                <c:pt idx="3856">
                  <c:v>50.897192063320794</c:v>
                </c:pt>
                <c:pt idx="3857">
                  <c:v>50.94172398299732</c:v>
                </c:pt>
                <c:pt idx="3858">
                  <c:v>50.98628125368765</c:v>
                </c:pt>
                <c:pt idx="3859">
                  <c:v>51.03086392879869</c:v>
                </c:pt>
                <c:pt idx="3860">
                  <c:v>51.07547206187066</c:v>
                </c:pt>
                <c:pt idx="3861">
                  <c:v>51.120105706577654</c:v>
                </c:pt>
                <c:pt idx="3862">
                  <c:v>51.16476491672806</c:v>
                </c:pt>
                <c:pt idx="3863">
                  <c:v>51.2094497462651</c:v>
                </c:pt>
                <c:pt idx="3864">
                  <c:v>51.25416024926723</c:v>
                </c:pt>
                <c:pt idx="3865">
                  <c:v>51.298896479948745</c:v>
                </c:pt>
                <c:pt idx="3866">
                  <c:v>51.3436584926602</c:v>
                </c:pt>
                <c:pt idx="3867">
                  <c:v>51.388446341888915</c:v>
                </c:pt>
                <c:pt idx="3868">
                  <c:v>51.433260082259494</c:v>
                </c:pt>
                <c:pt idx="3869">
                  <c:v>51.478099768534314</c:v>
                </c:pt>
                <c:pt idx="3870">
                  <c:v>51.52296545561395</c:v>
                </c:pt>
                <c:pt idx="3871">
                  <c:v>51.56785719853782</c:v>
                </c:pt>
                <c:pt idx="3872">
                  <c:v>51.6127750524846</c:v>
                </c:pt>
                <c:pt idx="3873">
                  <c:v>51.657719072772736</c:v>
                </c:pt>
                <c:pt idx="3874">
                  <c:v>51.70268931486097</c:v>
                </c:pt>
                <c:pt idx="3875">
                  <c:v>51.74768583434886</c:v>
                </c:pt>
                <c:pt idx="3876">
                  <c:v>51.79270868697727</c:v>
                </c:pt>
                <c:pt idx="3877">
                  <c:v>51.83775792862892</c:v>
                </c:pt>
                <c:pt idx="3878">
                  <c:v>51.882833615328856</c:v>
                </c:pt>
                <c:pt idx="3879">
                  <c:v>51.92793580324505</c:v>
                </c:pt>
                <c:pt idx="3880">
                  <c:v>51.97306454868879</c:v>
                </c:pt>
                <c:pt idx="3881">
                  <c:v>52.01821990811537</c:v>
                </c:pt>
                <c:pt idx="3882">
                  <c:v>52.063401938124514</c:v>
                </c:pt>
                <c:pt idx="3883">
                  <c:v>52.108610695460946</c:v>
                </c:pt>
                <c:pt idx="3884">
                  <c:v>52.153846237014854</c:v>
                </c:pt>
                <c:pt idx="3885">
                  <c:v>52.19910861982254</c:v>
                </c:pt>
                <c:pt idx="3886">
                  <c:v>52.244397901066876</c:v>
                </c:pt>
                <c:pt idx="3887">
                  <c:v>52.28971413807786</c:v>
                </c:pt>
                <c:pt idx="3888">
                  <c:v>52.33505738833319</c:v>
                </c:pt>
                <c:pt idx="3889">
                  <c:v>52.380427709458765</c:v>
                </c:pt>
                <c:pt idx="3890">
                  <c:v>52.42582515922925</c:v>
                </c:pt>
                <c:pt idx="3891">
                  <c:v>52.47124979556864</c:v>
                </c:pt>
                <c:pt idx="3892">
                  <c:v>52.516701676550795</c:v>
                </c:pt>
                <c:pt idx="3893">
                  <c:v>52.56218086040003</c:v>
                </c:pt>
                <c:pt idx="3894">
                  <c:v>52.60768740549157</c:v>
                </c:pt>
                <c:pt idx="3895">
                  <c:v>52.653221370352256</c:v>
                </c:pt>
                <c:pt idx="3896">
                  <c:v>52.69878281366101</c:v>
                </c:pt>
                <c:pt idx="3897">
                  <c:v>52.74437179424944</c:v>
                </c:pt>
                <c:pt idx="3898">
                  <c:v>52.78998837110239</c:v>
                </c:pt>
                <c:pt idx="3899">
                  <c:v>52.835632603358476</c:v>
                </c:pt>
                <c:pt idx="3900">
                  <c:v>52.881304550310745</c:v>
                </c:pt>
                <c:pt idx="3901">
                  <c:v>52.92700427140719</c:v>
                </c:pt>
                <c:pt idx="3902">
                  <c:v>52.97273182625135</c:v>
                </c:pt>
                <c:pt idx="3903">
                  <c:v>53.01848727460286</c:v>
                </c:pt>
                <c:pt idx="3904">
                  <c:v>53.06427067637808</c:v>
                </c:pt>
                <c:pt idx="3905">
                  <c:v>53.11008209165064</c:v>
                </c:pt>
                <c:pt idx="3906">
                  <c:v>53.155921580652056</c:v>
                </c:pt>
                <c:pt idx="3907">
                  <c:v>53.20178920377232</c:v>
                </c:pt>
                <c:pt idx="3908">
                  <c:v>53.2476850215605</c:v>
                </c:pt>
                <c:pt idx="3909">
                  <c:v>53.293609094725255</c:v>
                </c:pt>
                <c:pt idx="3910">
                  <c:v>53.33956148413558</c:v>
                </c:pt>
                <c:pt idx="3911">
                  <c:v>53.3855422508213</c:v>
                </c:pt>
                <c:pt idx="3912">
                  <c:v>53.43155145597375</c:v>
                </c:pt>
                <c:pt idx="3913">
                  <c:v>53.47758916094624</c:v>
                </c:pt>
                <c:pt idx="3914">
                  <c:v>53.52365542725486</c:v>
                </c:pt>
                <c:pt idx="3915">
                  <c:v>53.569750316578975</c:v>
                </c:pt>
                <c:pt idx="3916">
                  <c:v>53.61587389076187</c:v>
                </c:pt>
                <c:pt idx="3917">
                  <c:v>53.66202621181135</c:v>
                </c:pt>
                <c:pt idx="3918">
                  <c:v>53.7082073419004</c:v>
                </c:pt>
                <c:pt idx="3919">
                  <c:v>53.75441734336777</c:v>
                </c:pt>
                <c:pt idx="3920">
                  <c:v>53.800656278718634</c:v>
                </c:pt>
                <c:pt idx="3921">
                  <c:v>53.84692421062521</c:v>
                </c:pt>
                <c:pt idx="3922">
                  <c:v>53.89322120192741</c:v>
                </c:pt>
                <c:pt idx="3923">
                  <c:v>53.93954731563339</c:v>
                </c:pt>
                <c:pt idx="3924">
                  <c:v>53.985902614920334</c:v>
                </c:pt>
                <c:pt idx="3925">
                  <c:v>54.032287163134995</c:v>
                </c:pt>
                <c:pt idx="3926">
                  <c:v>54.07870102379437</c:v>
                </c:pt>
                <c:pt idx="3927">
                  <c:v>54.125144260586374</c:v>
                </c:pt>
                <c:pt idx="3928">
                  <c:v>54.17161693737039</c:v>
                </c:pt>
                <c:pt idx="3929">
                  <c:v>54.218119118178066</c:v>
                </c:pt>
                <c:pt idx="3930">
                  <c:v>54.264650867213895</c:v>
                </c:pt>
                <c:pt idx="3931">
                  <c:v>54.31121224885588</c:v>
                </c:pt>
                <c:pt idx="3932">
                  <c:v>54.3578033276562</c:v>
                </c:pt>
                <c:pt idx="3933">
                  <c:v>54.40442416834188</c:v>
                </c:pt>
                <c:pt idx="3934">
                  <c:v>54.45107483581549</c:v>
                </c:pt>
                <c:pt idx="3935">
                  <c:v>54.49775539515576</c:v>
                </c:pt>
                <c:pt idx="3936">
                  <c:v>54.544465911618296</c:v>
                </c:pt>
                <c:pt idx="3937">
                  <c:v>54.591206450636285</c:v>
                </c:pt>
                <c:pt idx="3938">
                  <c:v>54.637977077821084</c:v>
                </c:pt>
                <c:pt idx="3939">
                  <c:v>54.68477785896302</c:v>
                </c:pt>
                <c:pt idx="3940">
                  <c:v>54.73160886003201</c:v>
                </c:pt>
                <c:pt idx="3941">
                  <c:v>54.778470147178304</c:v>
                </c:pt>
                <c:pt idx="3942">
                  <c:v>54.82536178673307</c:v>
                </c:pt>
                <c:pt idx="3943">
                  <c:v>54.872283845209246</c:v>
                </c:pt>
                <c:pt idx="3944">
                  <c:v>54.91923638930215</c:v>
                </c:pt>
                <c:pt idx="3945">
                  <c:v>54.9662194858902</c:v>
                </c:pt>
                <c:pt idx="3946">
                  <c:v>55.01323320203563</c:v>
                </c:pt>
                <c:pt idx="3947">
                  <c:v>55.0602776049852</c:v>
                </c:pt>
                <c:pt idx="3948">
                  <c:v>55.107352762170926</c:v>
                </c:pt>
                <c:pt idx="3949">
                  <c:v>55.154458741210775</c:v>
                </c:pt>
                <c:pt idx="3950">
                  <c:v>55.2015956099094</c:v>
                </c:pt>
                <c:pt idx="3951">
                  <c:v>55.2487634362589</c:v>
                </c:pt>
                <c:pt idx="3952">
                  <c:v>55.29596228843944</c:v>
                </c:pt>
                <c:pt idx="3953">
                  <c:v>55.343192234820144</c:v>
                </c:pt>
                <c:pt idx="3954">
                  <c:v>55.39045334395971</c:v>
                </c:pt>
                <c:pt idx="3955">
                  <c:v>55.43774568460721</c:v>
                </c:pt>
                <c:pt idx="3956">
                  <c:v>55.48506932570281</c:v>
                </c:pt>
                <c:pt idx="3957">
                  <c:v>55.53242433637848</c:v>
                </c:pt>
                <c:pt idx="3958">
                  <c:v>55.57981078595886</c:v>
                </c:pt>
                <c:pt idx="3959">
                  <c:v>55.6272287439619</c:v>
                </c:pt>
                <c:pt idx="3960">
                  <c:v>55.67467828009967</c:v>
                </c:pt>
                <c:pt idx="3961">
                  <c:v>55.72215946427911</c:v>
                </c:pt>
                <c:pt idx="3962">
                  <c:v>55.769672366602805</c:v>
                </c:pt>
                <c:pt idx="3963">
                  <c:v>55.81721705736975</c:v>
                </c:pt>
                <c:pt idx="3964">
                  <c:v>55.86479360707613</c:v>
                </c:pt>
                <c:pt idx="3965">
                  <c:v>55.91240208641607</c:v>
                </c:pt>
                <c:pt idx="3966">
                  <c:v>55.96004256628248</c:v>
                </c:pt>
                <c:pt idx="3967">
                  <c:v>56.00771511776772</c:v>
                </c:pt>
                <c:pt idx="3968">
                  <c:v>56.05541981216451</c:v>
                </c:pt>
                <c:pt idx="3969">
                  <c:v>56.103156720966695</c:v>
                </c:pt>
                <c:pt idx="3970">
                  <c:v>56.15092591587001</c:v>
                </c:pt>
                <c:pt idx="3971">
                  <c:v>56.19872746877285</c:v>
                </c:pt>
                <c:pt idx="3972">
                  <c:v>56.246561451777175</c:v>
                </c:pt>
                <c:pt idx="3973">
                  <c:v>56.29442793718923</c:v>
                </c:pt>
                <c:pt idx="3974">
                  <c:v>56.342326997520395</c:v>
                </c:pt>
                <c:pt idx="3975">
                  <c:v>56.39025870548799</c:v>
                </c:pt>
                <c:pt idx="3976">
                  <c:v>56.43822313401609</c:v>
                </c:pt>
                <c:pt idx="3977">
                  <c:v>56.48622035623638</c:v>
                </c:pt>
                <c:pt idx="3978">
                  <c:v>56.53425044548894</c:v>
                </c:pt>
                <c:pt idx="3979">
                  <c:v>56.582313475323105</c:v>
                </c:pt>
                <c:pt idx="3980">
                  <c:v>56.63040951949826</c:v>
                </c:pt>
                <c:pt idx="3981">
                  <c:v>56.67853865198475</c:v>
                </c:pt>
                <c:pt idx="3982">
                  <c:v>56.726700946964684</c:v>
                </c:pt>
                <c:pt idx="3983">
                  <c:v>56.77489647883277</c:v>
                </c:pt>
                <c:pt idx="3984">
                  <c:v>56.8231253221972</c:v>
                </c:pt>
                <c:pt idx="3985">
                  <c:v>56.871387551880474</c:v>
                </c:pt>
                <c:pt idx="3986">
                  <c:v>56.919683242920314</c:v>
                </c:pt>
                <c:pt idx="3987">
                  <c:v>56.96801247057042</c:v>
                </c:pt>
                <c:pt idx="3988">
                  <c:v>57.01637531030149</c:v>
                </c:pt>
                <c:pt idx="3989">
                  <c:v>57.06477183780198</c:v>
                </c:pt>
                <c:pt idx="3990">
                  <c:v>57.113202128979026</c:v>
                </c:pt>
                <c:pt idx="3991">
                  <c:v>57.161666259959325</c:v>
                </c:pt>
                <c:pt idx="3992">
                  <c:v>57.21016430709001</c:v>
                </c:pt>
                <c:pt idx="3993">
                  <c:v>57.25869634693955</c:v>
                </c:pt>
                <c:pt idx="3994">
                  <c:v>57.30726245629866</c:v>
                </c:pt>
                <c:pt idx="3995">
                  <c:v>57.355862712181185</c:v>
                </c:pt>
                <c:pt idx="3996">
                  <c:v>57.40449719182496</c:v>
                </c:pt>
                <c:pt idx="3997">
                  <c:v>57.45316597269282</c:v>
                </c:pt>
                <c:pt idx="3998">
                  <c:v>57.50186913247345</c:v>
                </c:pt>
                <c:pt idx="3999">
                  <c:v>57.550606749082306</c:v>
                </c:pt>
                <c:pt idx="4000">
                  <c:v>57.59937890066257</c:v>
                </c:pt>
                <c:pt idx="4001">
                  <c:v>57.64818566558599</c:v>
                </c:pt>
                <c:pt idx="4002">
                  <c:v>57.69702712245394</c:v>
                </c:pt>
                <c:pt idx="4003">
                  <c:v>57.745903350098274</c:v>
                </c:pt>
                <c:pt idx="4004">
                  <c:v>57.79481442758229</c:v>
                </c:pt>
                <c:pt idx="4005">
                  <c:v>57.84376043420167</c:v>
                </c:pt>
                <c:pt idx="4006">
                  <c:v>57.89274144948545</c:v>
                </c:pt>
                <c:pt idx="4007">
                  <c:v>57.94175755319694</c:v>
                </c:pt>
                <c:pt idx="4008">
                  <c:v>57.99080882533474</c:v>
                </c:pt>
                <c:pt idx="4009">
                  <c:v>58.03989534613367</c:v>
                </c:pt>
                <c:pt idx="4010">
                  <c:v>58.08901719606569</c:v>
                </c:pt>
                <c:pt idx="4011">
                  <c:v>58.138174455840996</c:v>
                </c:pt>
                <c:pt idx="4012">
                  <c:v>58.187367206408915</c:v>
                </c:pt>
                <c:pt idx="4013">
                  <c:v>58.23659552895891</c:v>
                </c:pt>
                <c:pt idx="4014">
                  <c:v>58.2858595049216</c:v>
                </c:pt>
                <c:pt idx="4015">
                  <c:v>58.33515921596967</c:v>
                </c:pt>
                <c:pt idx="4016">
                  <c:v>58.38449474401897</c:v>
                </c:pt>
                <c:pt idx="4017">
                  <c:v>58.433866171229496</c:v>
                </c:pt>
                <c:pt idx="4018">
                  <c:v>58.48327358000636</c:v>
                </c:pt>
                <c:pt idx="4019">
                  <c:v>58.53271705300085</c:v>
                </c:pt>
                <c:pt idx="4020">
                  <c:v>58.58219667311143</c:v>
                </c:pt>
                <c:pt idx="4021">
                  <c:v>58.63171252348479</c:v>
                </c:pt>
                <c:pt idx="4022">
                  <c:v>58.68126468751682</c:v>
                </c:pt>
                <c:pt idx="4023">
                  <c:v>58.73085324885376</c:v>
                </c:pt>
                <c:pt idx="4024">
                  <c:v>58.780478291393074</c:v>
                </c:pt>
                <c:pt idx="4025">
                  <c:v>58.830139899284674</c:v>
                </c:pt>
                <c:pt idx="4026">
                  <c:v>58.87983815693187</c:v>
                </c:pt>
                <c:pt idx="4027">
                  <c:v>58.92957314899246</c:v>
                </c:pt>
                <c:pt idx="4028">
                  <c:v>58.97934496037981</c:v>
                </c:pt>
                <c:pt idx="4029">
                  <c:v>59.02915367626383</c:v>
                </c:pt>
                <c:pt idx="4030">
                  <c:v>59.078999382072205</c:v>
                </c:pt>
                <c:pt idx="4031">
                  <c:v>59.128882163491355</c:v>
                </c:pt>
                <c:pt idx="4032">
                  <c:v>59.17880210646758</c:v>
                </c:pt>
                <c:pt idx="4033">
                  <c:v>59.22875929720812</c:v>
                </c:pt>
                <c:pt idx="4034">
                  <c:v>59.278753822182274</c:v>
                </c:pt>
                <c:pt idx="4035">
                  <c:v>59.32878576812249</c:v>
                </c:pt>
                <c:pt idx="4036">
                  <c:v>59.3788552220255</c:v>
                </c:pt>
                <c:pt idx="4037">
                  <c:v>59.42896227115342</c:v>
                </c:pt>
                <c:pt idx="4038">
                  <c:v>59.4791070030348</c:v>
                </c:pt>
                <c:pt idx="4039">
                  <c:v>59.529289505465904</c:v>
                </c:pt>
                <c:pt idx="4040">
                  <c:v>59.579509866511735</c:v>
                </c:pt>
                <c:pt idx="4041">
                  <c:v>59.629768174507184</c:v>
                </c:pt>
                <c:pt idx="4042">
                  <c:v>59.6800645180582</c:v>
                </c:pt>
                <c:pt idx="4043">
                  <c:v>59.73039898604293</c:v>
                </c:pt>
                <c:pt idx="4044">
                  <c:v>59.78077166761289</c:v>
                </c:pt>
                <c:pt idx="4045">
                  <c:v>59.83118265219405</c:v>
                </c:pt>
                <c:pt idx="4046">
                  <c:v>59.881632029488145</c:v>
                </c:pt>
                <c:pt idx="4047">
                  <c:v>59.93211988947374</c:v>
                </c:pt>
                <c:pt idx="4048">
                  <c:v>59.98264632240745</c:v>
                </c:pt>
                <c:pt idx="4049">
                  <c:v>60.03321141882511</c:v>
                </c:pt>
                <c:pt idx="4050">
                  <c:v>60.08381526954301</c:v>
                </c:pt>
                <c:pt idx="4051">
                  <c:v>60.13445796565903</c:v>
                </c:pt>
                <c:pt idx="4052">
                  <c:v>60.18513959855392</c:v>
                </c:pt>
                <c:pt idx="4053">
                  <c:v>60.23586025989245</c:v>
                </c:pt>
                <c:pt idx="4054">
                  <c:v>60.2866200416247</c:v>
                </c:pt>
                <c:pt idx="4055">
                  <c:v>60.33741903598717</c:v>
                </c:pt>
                <c:pt idx="4056">
                  <c:v>60.388257335504136</c:v>
                </c:pt>
                <c:pt idx="4057">
                  <c:v>60.439135032988844</c:v>
                </c:pt>
                <c:pt idx="4058">
                  <c:v>60.49005222154476</c:v>
                </c:pt>
                <c:pt idx="4059">
                  <c:v>60.541008994566745</c:v>
                </c:pt>
                <c:pt idx="4060">
                  <c:v>60.592005445742465</c:v>
                </c:pt>
                <c:pt idx="4061">
                  <c:v>60.64304166905354</c:v>
                </c:pt>
                <c:pt idx="4062">
                  <c:v>60.69411775877685</c:v>
                </c:pt>
                <c:pt idx="4063">
                  <c:v>60.74523380948583</c:v>
                </c:pt>
                <c:pt idx="4064">
                  <c:v>60.796389916051744</c:v>
                </c:pt>
                <c:pt idx="4065">
                  <c:v>60.84758617364496</c:v>
                </c:pt>
                <c:pt idx="4066">
                  <c:v>60.89882267773629</c:v>
                </c:pt>
                <c:pt idx="4067">
                  <c:v>60.95009952409827</c:v>
                </c:pt>
                <c:pt idx="4068">
                  <c:v>61.001416808806496</c:v>
                </c:pt>
                <c:pt idx="4069">
                  <c:v>61.05277462824087</c:v>
                </c:pt>
                <c:pt idx="4070">
                  <c:v>61.104173079087055</c:v>
                </c:pt>
                <c:pt idx="4071">
                  <c:v>61.155612258337726</c:v>
                </c:pt>
                <c:pt idx="4072">
                  <c:v>61.20709226329396</c:v>
                </c:pt>
                <c:pt idx="4073">
                  <c:v>61.258613191566475</c:v>
                </c:pt>
                <c:pt idx="4074">
                  <c:v>61.31017514107715</c:v>
                </c:pt>
                <c:pt idx="4075">
                  <c:v>61.3617782100603</c:v>
                </c:pt>
                <c:pt idx="4076">
                  <c:v>61.41342249706404</c:v>
                </c:pt>
                <c:pt idx="4077">
                  <c:v>61.4651081009517</c:v>
                </c:pt>
                <c:pt idx="4078">
                  <c:v>61.5168351209032</c:v>
                </c:pt>
                <c:pt idx="4079">
                  <c:v>61.56860365641644</c:v>
                </c:pt>
                <c:pt idx="4080">
                  <c:v>61.62041380730871</c:v>
                </c:pt>
                <c:pt idx="4081">
                  <c:v>61.67226567371809</c:v>
                </c:pt>
                <c:pt idx="4082">
                  <c:v>61.724159356104906</c:v>
                </c:pt>
                <c:pt idx="4083">
                  <c:v>61.77609495525306</c:v>
                </c:pt>
                <c:pt idx="4084">
                  <c:v>61.82807257227159</c:v>
                </c:pt>
                <c:pt idx="4085">
                  <c:v>61.82807257227159</c:v>
                </c:pt>
                <c:pt idx="4086">
                  <c:v>61.86463388529518</c:v>
                </c:pt>
                <c:pt idx="4087">
                  <c:v>61.90122134172478</c:v>
                </c:pt>
                <c:pt idx="4088">
                  <c:v>61.93783498786343</c:v>
                </c:pt>
                <c:pt idx="4089">
                  <c:v>61.97447487013266</c:v>
                </c:pt>
                <c:pt idx="4090">
                  <c:v>62.011141035072974</c:v>
                </c:pt>
                <c:pt idx="4091">
                  <c:v>62.04783352934442</c:v>
                </c:pt>
                <c:pt idx="4092">
                  <c:v>62.084552399726746</c:v>
                </c:pt>
                <c:pt idx="4093">
                  <c:v>62.12129769311993</c:v>
                </c:pt>
                <c:pt idx="4094">
                  <c:v>62.1580694565447</c:v>
                </c:pt>
                <c:pt idx="4095">
                  <c:v>62.19486773714276</c:v>
                </c:pt>
                <c:pt idx="4096">
                  <c:v>62.231692582177274</c:v>
                </c:pt>
                <c:pt idx="4097">
                  <c:v>62.26854403903343</c:v>
                </c:pt>
                <c:pt idx="4098">
                  <c:v>62.305422155218594</c:v>
                </c:pt>
                <c:pt idx="4099">
                  <c:v>62.34232697836302</c:v>
                </c:pt>
                <c:pt idx="4100">
                  <c:v>62.37925855622004</c:v>
                </c:pt>
                <c:pt idx="4101">
                  <c:v>62.416216936666565</c:v>
                </c:pt>
                <c:pt idx="4102">
                  <c:v>62.45320216770368</c:v>
                </c:pt>
                <c:pt idx="4103">
                  <c:v>62.490214297456795</c:v>
                </c:pt>
                <c:pt idx="4104">
                  <c:v>62.527253374176226</c:v>
                </c:pt>
                <c:pt idx="4105">
                  <c:v>62.56431944623773</c:v>
                </c:pt>
                <c:pt idx="4106">
                  <c:v>62.60141256214273</c:v>
                </c:pt>
                <c:pt idx="4107">
                  <c:v>62.638532770518836</c:v>
                </c:pt>
                <c:pt idx="4108">
                  <c:v>62.67568012012043</c:v>
                </c:pt>
                <c:pt idx="4109">
                  <c:v>62.712854659828885</c:v>
                </c:pt>
                <c:pt idx="4110">
                  <c:v>62.75005643865308</c:v>
                </c:pt>
                <c:pt idx="4111">
                  <c:v>62.78728550573001</c:v>
                </c:pt>
                <c:pt idx="4112">
                  <c:v>62.82454191032498</c:v>
                </c:pt>
                <c:pt idx="4113">
                  <c:v>62.86182570183218</c:v>
                </c:pt>
                <c:pt idx="4114">
                  <c:v>62.899136929775246</c:v>
                </c:pt>
                <c:pt idx="4115">
                  <c:v>62.936475643807476</c:v>
                </c:pt>
                <c:pt idx="4116">
                  <c:v>62.97384189371243</c:v>
                </c:pt>
                <c:pt idx="4117">
                  <c:v>63.011235729404476</c:v>
                </c:pt>
                <c:pt idx="4118">
                  <c:v>63.04865720092899</c:v>
                </c:pt>
                <c:pt idx="4119">
                  <c:v>63.086106358463134</c:v>
                </c:pt>
                <c:pt idx="4120">
                  <c:v>63.12358325231603</c:v>
                </c:pt>
                <c:pt idx="4121">
                  <c:v>63.161087932929384</c:v>
                </c:pt>
                <c:pt idx="4122">
                  <c:v>63.19862045087801</c:v>
                </c:pt>
                <c:pt idx="4123">
                  <c:v>63.236180856870135</c:v>
                </c:pt>
                <c:pt idx="4124">
                  <c:v>63.27376920174793</c:v>
                </c:pt>
                <c:pt idx="4125">
                  <c:v>63.31138553648814</c:v>
                </c:pt>
                <c:pt idx="4126">
                  <c:v>63.349029912202305</c:v>
                </c:pt>
                <c:pt idx="4127">
                  <c:v>63.38670238013738</c:v>
                </c:pt>
                <c:pt idx="4128">
                  <c:v>63.424402991676295</c:v>
                </c:pt>
                <c:pt idx="4129">
                  <c:v>63.46213179833825</c:v>
                </c:pt>
                <c:pt idx="4130">
                  <c:v>63.49988885177929</c:v>
                </c:pt>
                <c:pt idx="4131">
                  <c:v>63.5376742037929</c:v>
                </c:pt>
                <c:pt idx="4132">
                  <c:v>63.5754879063103</c:v>
                </c:pt>
                <c:pt idx="4133">
                  <c:v>63.61333001140101</c:v>
                </c:pt>
                <c:pt idx="4134">
                  <c:v>63.6512005712735</c:v>
                </c:pt>
                <c:pt idx="4135">
                  <c:v>63.68909963827541</c:v>
                </c:pt>
                <c:pt idx="4136">
                  <c:v>63.72702726489421</c:v>
                </c:pt>
                <c:pt idx="4137">
                  <c:v>63.76498350375779</c:v>
                </c:pt>
                <c:pt idx="4138">
                  <c:v>63.80296840763473</c:v>
                </c:pt>
                <c:pt idx="4139">
                  <c:v>63.84098202943494</c:v>
                </c:pt>
                <c:pt idx="4140">
                  <c:v>63.87902442221027</c:v>
                </c:pt>
                <c:pt idx="4141">
                  <c:v>63.91709563915475</c:v>
                </c:pt>
                <c:pt idx="4142">
                  <c:v>63.955195733605414</c:v>
                </c:pt>
                <c:pt idx="4143">
                  <c:v>63.993324759042544</c:v>
                </c:pt>
                <c:pt idx="4144">
                  <c:v>64.0314827690903</c:v>
                </c:pt>
                <c:pt idx="4145">
                  <c:v>64.06966981751737</c:v>
                </c:pt>
                <c:pt idx="4146">
                  <c:v>64.1078859582372</c:v>
                </c:pt>
                <c:pt idx="4147">
                  <c:v>64.14613124530877</c:v>
                </c:pt>
                <c:pt idx="4148">
                  <c:v>64.18440573293705</c:v>
                </c:pt>
                <c:pt idx="4149">
                  <c:v>64.22270947547347</c:v>
                </c:pt>
                <c:pt idx="4150">
                  <c:v>64.26104252741645</c:v>
                </c:pt>
                <c:pt idx="4151">
                  <c:v>64.2994049434121</c:v>
                </c:pt>
                <c:pt idx="4152">
                  <c:v>64.33779677825451</c:v>
                </c:pt>
                <c:pt idx="4153">
                  <c:v>64.37621808688642</c:v>
                </c:pt>
                <c:pt idx="4154">
                  <c:v>64.41466892439986</c:v>
                </c:pt>
                <c:pt idx="4155">
                  <c:v>64.45314934603647</c:v>
                </c:pt>
                <c:pt idx="4156">
                  <c:v>64.49165940718815</c:v>
                </c:pt>
                <c:pt idx="4157">
                  <c:v>64.53019916339774</c:v>
                </c:pt>
                <c:pt idx="4158">
                  <c:v>64.56876867035932</c:v>
                </c:pt>
                <c:pt idx="4159">
                  <c:v>64.6073679839189</c:v>
                </c:pt>
                <c:pt idx="4160">
                  <c:v>64.6459971600751</c:v>
                </c:pt>
                <c:pt idx="4161">
                  <c:v>64.68465625497939</c:v>
                </c:pt>
                <c:pt idx="4162">
                  <c:v>64.72334532493699</c:v>
                </c:pt>
                <c:pt idx="4163">
                  <c:v>64.76206442640718</c:v>
                </c:pt>
                <c:pt idx="4164">
                  <c:v>64.80081361600396</c:v>
                </c:pt>
                <c:pt idx="4165">
                  <c:v>64.83959295049675</c:v>
                </c:pt>
                <c:pt idx="4166">
                  <c:v>64.87840248681069</c:v>
                </c:pt>
                <c:pt idx="4167">
                  <c:v>64.91724228202737</c:v>
                </c:pt>
                <c:pt idx="4168">
                  <c:v>64.95611239338554</c:v>
                </c:pt>
                <c:pt idx="4169">
                  <c:v>64.99501287828137</c:v>
                </c:pt>
                <c:pt idx="4170">
                  <c:v>65.03394379426926</c:v>
                </c:pt>
                <c:pt idx="4171">
                  <c:v>65.07290519906246</c:v>
                </c:pt>
                <c:pt idx="4172">
                  <c:v>65.11189715053347</c:v>
                </c:pt>
                <c:pt idx="4173">
                  <c:v>65.15091970671469</c:v>
                </c:pt>
                <c:pt idx="4174">
                  <c:v>65.1899729257992</c:v>
                </c:pt>
                <c:pt idx="4175">
                  <c:v>65.22905686614106</c:v>
                </c:pt>
                <c:pt idx="4176">
                  <c:v>65.2681715862561</c:v>
                </c:pt>
                <c:pt idx="4177">
                  <c:v>65.30731714482253</c:v>
                </c:pt>
                <c:pt idx="4178">
                  <c:v>65.34649360068143</c:v>
                </c:pt>
                <c:pt idx="4179">
                  <c:v>65.38570101283736</c:v>
                </c:pt>
                <c:pt idx="4180">
                  <c:v>65.42493944045918</c:v>
                </c:pt>
                <c:pt idx="4181">
                  <c:v>65.46420894288038</c:v>
                </c:pt>
                <c:pt idx="4182">
                  <c:v>65.50350957959981</c:v>
                </c:pt>
                <c:pt idx="4183">
                  <c:v>65.54284141028242</c:v>
                </c:pt>
                <c:pt idx="4184">
                  <c:v>65.58220449475965</c:v>
                </c:pt>
                <c:pt idx="4185">
                  <c:v>65.62159889303028</c:v>
                </c:pt>
                <c:pt idx="4186">
                  <c:v>65.66102466526087</c:v>
                </c:pt>
                <c:pt idx="4187">
                  <c:v>65.70048187178645</c:v>
                </c:pt>
                <c:pt idx="4188">
                  <c:v>65.7399705731113</c:v>
                </c:pt>
                <c:pt idx="4189">
                  <c:v>65.77949082990932</c:v>
                </c:pt>
                <c:pt idx="4190">
                  <c:v>65.81904270302483</c:v>
                </c:pt>
                <c:pt idx="4191">
                  <c:v>65.8586262534733</c:v>
                </c:pt>
                <c:pt idx="4192">
                  <c:v>65.89824154244175</c:v>
                </c:pt>
                <c:pt idx="4193">
                  <c:v>65.93788863128952</c:v>
                </c:pt>
                <c:pt idx="4194">
                  <c:v>65.9775675815491</c:v>
                </c:pt>
                <c:pt idx="4195">
                  <c:v>66.01727845492641</c:v>
                </c:pt>
                <c:pt idx="4196">
                  <c:v>66.05702131330175</c:v>
                </c:pt>
                <c:pt idx="4197">
                  <c:v>66.09679621873042</c:v>
                </c:pt>
                <c:pt idx="4198">
                  <c:v>66.13660323344324</c:v>
                </c:pt>
                <c:pt idx="4199">
                  <c:v>66.17644241984732</c:v>
                </c:pt>
                <c:pt idx="4200">
                  <c:v>66.21631384052681</c:v>
                </c:pt>
                <c:pt idx="4201">
                  <c:v>66.25621755824338</c:v>
                </c:pt>
                <c:pt idx="4202">
                  <c:v>66.29615363593699</c:v>
                </c:pt>
                <c:pt idx="4203">
                  <c:v>66.3361221367267</c:v>
                </c:pt>
                <c:pt idx="4204">
                  <c:v>66.3761231239111</c:v>
                </c:pt>
                <c:pt idx="4205">
                  <c:v>66.41615666096911</c:v>
                </c:pt>
                <c:pt idx="4206">
                  <c:v>66.45622281156082</c:v>
                </c:pt>
                <c:pt idx="4207">
                  <c:v>66.49632163952788</c:v>
                </c:pt>
                <c:pt idx="4208">
                  <c:v>66.5364532088945</c:v>
                </c:pt>
                <c:pt idx="4209">
                  <c:v>66.5766175838679</c:v>
                </c:pt>
                <c:pt idx="4210">
                  <c:v>66.61681482883913</c:v>
                </c:pt>
                <c:pt idx="4211">
                  <c:v>66.65704500838385</c:v>
                </c:pt>
                <c:pt idx="4212">
                  <c:v>66.69730818726286</c:v>
                </c:pt>
                <c:pt idx="4213">
                  <c:v>66.73760443042289</c:v>
                </c:pt>
                <c:pt idx="4214">
                  <c:v>66.77793380299745</c:v>
                </c:pt>
                <c:pt idx="4215">
                  <c:v>66.81829637030731</c:v>
                </c:pt>
                <c:pt idx="4216">
                  <c:v>66.85869219786133</c:v>
                </c:pt>
                <c:pt idx="4217">
                  <c:v>66.89912135135734</c:v>
                </c:pt>
                <c:pt idx="4218">
                  <c:v>66.93958389668258</c:v>
                </c:pt>
                <c:pt idx="4219">
                  <c:v>66.98007989991457</c:v>
                </c:pt>
                <c:pt idx="4220">
                  <c:v>67.02060942732201</c:v>
                </c:pt>
                <c:pt idx="4221">
                  <c:v>67.06117254536522</c:v>
                </c:pt>
                <c:pt idx="4222">
                  <c:v>67.10176932069704</c:v>
                </c:pt>
                <c:pt idx="4223">
                  <c:v>67.14239982016367</c:v>
                </c:pt>
                <c:pt idx="4224">
                  <c:v>67.1830641108052</c:v>
                </c:pt>
                <c:pt idx="4225">
                  <c:v>67.22376225985647</c:v>
                </c:pt>
                <c:pt idx="4226">
                  <c:v>67.26449433474798</c:v>
                </c:pt>
                <c:pt idx="4227">
                  <c:v>67.30526040310633</c:v>
                </c:pt>
                <c:pt idx="4228">
                  <c:v>67.34606053275535</c:v>
                </c:pt>
                <c:pt idx="4229">
                  <c:v>67.38689479171651</c:v>
                </c:pt>
                <c:pt idx="4230">
                  <c:v>67.42776324820994</c:v>
                </c:pt>
                <c:pt idx="4231">
                  <c:v>67.46866597065521</c:v>
                </c:pt>
                <c:pt idx="4232">
                  <c:v>67.5096030276719</c:v>
                </c:pt>
                <c:pt idx="4233">
                  <c:v>67.55057448808056</c:v>
                </c:pt>
                <c:pt idx="4234">
                  <c:v>67.59158042090354</c:v>
                </c:pt>
                <c:pt idx="4235">
                  <c:v>67.6326208953656</c:v>
                </c:pt>
                <c:pt idx="4236">
                  <c:v>67.67369598089482</c:v>
                </c:pt>
                <c:pt idx="4237">
                  <c:v>67.71480574712345</c:v>
                </c:pt>
                <c:pt idx="4238">
                  <c:v>67.75595026388858</c:v>
                </c:pt>
                <c:pt idx="4239">
                  <c:v>67.79712960123298</c:v>
                </c:pt>
                <c:pt idx="4240">
                  <c:v>67.8383438294061</c:v>
                </c:pt>
                <c:pt idx="4241">
                  <c:v>67.87959301886458</c:v>
                </c:pt>
                <c:pt idx="4242">
                  <c:v>67.92087724027326</c:v>
                </c:pt>
                <c:pt idx="4243">
                  <c:v>67.96219656450606</c:v>
                </c:pt>
                <c:pt idx="4244">
                  <c:v>68.0035510626466</c:v>
                </c:pt>
                <c:pt idx="4245">
                  <c:v>68.04494080598913</c:v>
                </c:pt>
                <c:pt idx="4246">
                  <c:v>68.08636586603954</c:v>
                </c:pt>
                <c:pt idx="4247">
                  <c:v>68.12782631451587</c:v>
                </c:pt>
                <c:pt idx="4248">
                  <c:v>68.16932222334947</c:v>
                </c:pt>
                <c:pt idx="4249">
                  <c:v>68.21085366468559</c:v>
                </c:pt>
                <c:pt idx="4250">
                  <c:v>68.25242071088437</c:v>
                </c:pt>
                <c:pt idx="4251">
                  <c:v>68.29402343452176</c:v>
                </c:pt>
                <c:pt idx="4252">
                  <c:v>68.33566190839022</c:v>
                </c:pt>
                <c:pt idx="4253">
                  <c:v>68.37733620549965</c:v>
                </c:pt>
                <c:pt idx="4254">
                  <c:v>68.41904639907835</c:v>
                </c:pt>
                <c:pt idx="4255">
                  <c:v>68.46079256257377</c:v>
                </c:pt>
                <c:pt idx="4256">
                  <c:v>68.50257476965338</c:v>
                </c:pt>
                <c:pt idx="4257">
                  <c:v>68.54439309420573</c:v>
                </c:pt>
                <c:pt idx="4258">
                  <c:v>68.58624761034113</c:v>
                </c:pt>
                <c:pt idx="4259">
                  <c:v>68.62813839239261</c:v>
                </c:pt>
                <c:pt idx="4260">
                  <c:v>68.67006551491697</c:v>
                </c:pt>
                <c:pt idx="4261">
                  <c:v>68.7120290526954</c:v>
                </c:pt>
                <c:pt idx="4262">
                  <c:v>68.75402908073455</c:v>
                </c:pt>
                <c:pt idx="4263">
                  <c:v>68.79606567426755</c:v>
                </c:pt>
                <c:pt idx="4264">
                  <c:v>68.83813890875466</c:v>
                </c:pt>
                <c:pt idx="4265">
                  <c:v>68.88024885988432</c:v>
                </c:pt>
                <c:pt idx="4266">
                  <c:v>68.92239560357422</c:v>
                </c:pt>
                <c:pt idx="4267">
                  <c:v>68.96457921597195</c:v>
                </c:pt>
                <c:pt idx="4268">
                  <c:v>69.0067997734561</c:v>
                </c:pt>
                <c:pt idx="4269">
                  <c:v>69.04905735263725</c:v>
                </c:pt>
                <c:pt idx="4270">
                  <c:v>69.0913520303587</c:v>
                </c:pt>
                <c:pt idx="4271">
                  <c:v>69.13368388369773</c:v>
                </c:pt>
                <c:pt idx="4272">
                  <c:v>69.17605298996621</c:v>
                </c:pt>
                <c:pt idx="4273">
                  <c:v>69.21845942671175</c:v>
                </c:pt>
                <c:pt idx="4274">
                  <c:v>69.26090327171873</c:v>
                </c:pt>
                <c:pt idx="4275">
                  <c:v>69.30338460300909</c:v>
                </c:pt>
                <c:pt idx="4276">
                  <c:v>69.34590349884334</c:v>
                </c:pt>
                <c:pt idx="4277">
                  <c:v>69.38846003772171</c:v>
                </c:pt>
                <c:pt idx="4278">
                  <c:v>69.43105429838491</c:v>
                </c:pt>
                <c:pt idx="4279">
                  <c:v>69.47368635981516</c:v>
                </c:pt>
                <c:pt idx="4280">
                  <c:v>69.51635630123741</c:v>
                </c:pt>
                <c:pt idx="4281">
                  <c:v>69.55906420211998</c:v>
                </c:pt>
                <c:pt idx="4282">
                  <c:v>69.60181014217578</c:v>
                </c:pt>
                <c:pt idx="4283">
                  <c:v>69.64459420136338</c:v>
                </c:pt>
                <c:pt idx="4284">
                  <c:v>69.6874164598878</c:v>
                </c:pt>
                <c:pt idx="4285">
                  <c:v>69.73027699820166</c:v>
                </c:pt>
                <c:pt idx="4286">
                  <c:v>69.77317589700631</c:v>
                </c:pt>
                <c:pt idx="4287">
                  <c:v>69.81611323725262</c:v>
                </c:pt>
                <c:pt idx="4288">
                  <c:v>69.85908910014213</c:v>
                </c:pt>
                <c:pt idx="4289">
                  <c:v>69.90210356712821</c:v>
                </c:pt>
                <c:pt idx="4290">
                  <c:v>69.94515671991688</c:v>
                </c:pt>
                <c:pt idx="4291">
                  <c:v>69.98824864046796</c:v>
                </c:pt>
                <c:pt idx="4292">
                  <c:v>70.03137941099627</c:v>
                </c:pt>
                <c:pt idx="4293">
                  <c:v>70.07454911397235</c:v>
                </c:pt>
                <c:pt idx="4294">
                  <c:v>70.11775783212396</c:v>
                </c:pt>
                <c:pt idx="4295">
                  <c:v>70.16100564843674</c:v>
                </c:pt>
                <c:pt idx="4296">
                  <c:v>70.20429264615552</c:v>
                </c:pt>
                <c:pt idx="4297">
                  <c:v>70.24761890878544</c:v>
                </c:pt>
                <c:pt idx="4298">
                  <c:v>70.29098452009285</c:v>
                </c:pt>
                <c:pt idx="4299">
                  <c:v>70.33438956410649</c:v>
                </c:pt>
                <c:pt idx="4300">
                  <c:v>70.37783412511875</c:v>
                </c:pt>
                <c:pt idx="4301">
                  <c:v>70.42131828768652</c:v>
                </c:pt>
                <c:pt idx="4302">
                  <c:v>70.46484213663238</c:v>
                </c:pt>
                <c:pt idx="4303">
                  <c:v>70.50840575704592</c:v>
                </c:pt>
                <c:pt idx="4304">
                  <c:v>70.55200923428455</c:v>
                </c:pt>
                <c:pt idx="4305">
                  <c:v>70.59565265397478</c:v>
                </c:pt>
                <c:pt idx="4306">
                  <c:v>70.63933610201347</c:v>
                </c:pt>
                <c:pt idx="4307">
                  <c:v>70.68305966456876</c:v>
                </c:pt>
                <c:pt idx="4308">
                  <c:v>70.72682342808126</c:v>
                </c:pt>
                <c:pt idx="4309">
                  <c:v>70.77062747926544</c:v>
                </c:pt>
                <c:pt idx="4310">
                  <c:v>70.81447190511045</c:v>
                </c:pt>
                <c:pt idx="4311">
                  <c:v>70.85835679288144</c:v>
                </c:pt>
                <c:pt idx="4312">
                  <c:v>70.90228223012086</c:v>
                </c:pt>
                <c:pt idx="4313">
                  <c:v>70.94624830464934</c:v>
                </c:pt>
                <c:pt idx="4314">
                  <c:v>70.99025510456725</c:v>
                </c:pt>
                <c:pt idx="4315">
                  <c:v>71.03430271825552</c:v>
                </c:pt>
                <c:pt idx="4316">
                  <c:v>71.07839123437702</c:v>
                </c:pt>
                <c:pt idx="4317">
                  <c:v>71.12252074187788</c:v>
                </c:pt>
                <c:pt idx="4318">
                  <c:v>71.16669132998842</c:v>
                </c:pt>
                <c:pt idx="4319">
                  <c:v>71.21090308822455</c:v>
                </c:pt>
                <c:pt idx="4320">
                  <c:v>71.25515610638908</c:v>
                </c:pt>
                <c:pt idx="4321">
                  <c:v>71.29945047457267</c:v>
                </c:pt>
                <c:pt idx="4322">
                  <c:v>71.34378628315523</c:v>
                </c:pt>
                <c:pt idx="4323">
                  <c:v>71.38816362280731</c:v>
                </c:pt>
                <c:pt idx="4324">
                  <c:v>71.43258258449106</c:v>
                </c:pt>
                <c:pt idx="4325">
                  <c:v>71.4770432594616</c:v>
                </c:pt>
                <c:pt idx="4326">
                  <c:v>71.52154573926846</c:v>
                </c:pt>
                <c:pt idx="4327">
                  <c:v>71.56609011575657</c:v>
                </c:pt>
                <c:pt idx="4328">
                  <c:v>71.61067648106763</c:v>
                </c:pt>
                <c:pt idx="4329">
                  <c:v>71.65530492764158</c:v>
                </c:pt>
                <c:pt idx="4330">
                  <c:v>71.69997554821761</c:v>
                </c:pt>
                <c:pt idx="4331">
                  <c:v>71.74468843583556</c:v>
                </c:pt>
                <c:pt idx="4332">
                  <c:v>71.7894436838374</c:v>
                </c:pt>
                <c:pt idx="4333">
                  <c:v>71.83424138586827</c:v>
                </c:pt>
                <c:pt idx="4334">
                  <c:v>71.87908163587787</c:v>
                </c:pt>
                <c:pt idx="4335">
                  <c:v>71.923964528122</c:v>
                </c:pt>
                <c:pt idx="4336">
                  <c:v>71.96889015716356</c:v>
                </c:pt>
                <c:pt idx="4337">
                  <c:v>72.01385861787422</c:v>
                </c:pt>
                <c:pt idx="4338">
                  <c:v>72.05887000543548</c:v>
                </c:pt>
                <c:pt idx="4339">
                  <c:v>72.10392441534013</c:v>
                </c:pt>
                <c:pt idx="4340">
                  <c:v>72.1490219433938</c:v>
                </c:pt>
                <c:pt idx="4341">
                  <c:v>72.19416268571601</c:v>
                </c:pt>
                <c:pt idx="4342">
                  <c:v>72.23934673874169</c:v>
                </c:pt>
                <c:pt idx="4343">
                  <c:v>72.28457419922273</c:v>
                </c:pt>
                <c:pt idx="4344">
                  <c:v>72.32984516422907</c:v>
                </c:pt>
                <c:pt idx="4345">
                  <c:v>72.37515973115026</c:v>
                </c:pt>
                <c:pt idx="4346">
                  <c:v>72.42051799769699</c:v>
                </c:pt>
                <c:pt idx="4347">
                  <c:v>72.46592006190222</c:v>
                </c:pt>
                <c:pt idx="4348">
                  <c:v>72.51136602212279</c:v>
                </c:pt>
                <c:pt idx="4349">
                  <c:v>72.5568559770409</c:v>
                </c:pt>
                <c:pt idx="4350">
                  <c:v>72.60239002566537</c:v>
                </c:pt>
                <c:pt idx="4351">
                  <c:v>72.6479682673332</c:v>
                </c:pt>
                <c:pt idx="4352">
                  <c:v>72.6935908017111</c:v>
                </c:pt>
                <c:pt idx="4353">
                  <c:v>72.73925772879676</c:v>
                </c:pt>
                <c:pt idx="4354">
                  <c:v>72.7849691489204</c:v>
                </c:pt>
                <c:pt idx="4355">
                  <c:v>72.83072516274643</c:v>
                </c:pt>
                <c:pt idx="4356">
                  <c:v>72.8765258712746</c:v>
                </c:pt>
                <c:pt idx="4357">
                  <c:v>72.92237137584183</c:v>
                </c:pt>
                <c:pt idx="4358">
                  <c:v>72.96826177812346</c:v>
                </c:pt>
                <c:pt idx="4359">
                  <c:v>73.01419718013486</c:v>
                </c:pt>
                <c:pt idx="4360">
                  <c:v>73.06017768423307</c:v>
                </c:pt>
                <c:pt idx="4361">
                  <c:v>73.10620339311811</c:v>
                </c:pt>
                <c:pt idx="4362">
                  <c:v>73.15227440983462</c:v>
                </c:pt>
                <c:pt idx="4363">
                  <c:v>73.19839083777353</c:v>
                </c:pt>
                <c:pt idx="4364">
                  <c:v>73.24455278067337</c:v>
                </c:pt>
                <c:pt idx="4365">
                  <c:v>73.290760342622</c:v>
                </c:pt>
                <c:pt idx="4366">
                  <c:v>73.3370136280582</c:v>
                </c:pt>
                <c:pt idx="4367">
                  <c:v>73.38331274177315</c:v>
                </c:pt>
                <c:pt idx="4368">
                  <c:v>73.42965778891202</c:v>
                </c:pt>
                <c:pt idx="4369">
                  <c:v>73.47604887497577</c:v>
                </c:pt>
                <c:pt idx="4370">
                  <c:v>73.52248610582248</c:v>
                </c:pt>
                <c:pt idx="4371">
                  <c:v>73.56896958766909</c:v>
                </c:pt>
                <c:pt idx="4372">
                  <c:v>73.61549942709317</c:v>
                </c:pt>
                <c:pt idx="4373">
                  <c:v>73.66207573103429</c:v>
                </c:pt>
                <c:pt idx="4374">
                  <c:v>73.70869860679579</c:v>
                </c:pt>
                <c:pt idx="4375">
                  <c:v>73.7553681620466</c:v>
                </c:pt>
                <c:pt idx="4376">
                  <c:v>73.80208450482259</c:v>
                </c:pt>
                <c:pt idx="4377">
                  <c:v>73.84884774352841</c:v>
                </c:pt>
                <c:pt idx="4378">
                  <c:v>73.89565798693931</c:v>
                </c:pt>
                <c:pt idx="4379">
                  <c:v>73.9425153442025</c:v>
                </c:pt>
                <c:pt idx="4380">
                  <c:v>73.98941992483924</c:v>
                </c:pt>
                <c:pt idx="4381">
                  <c:v>74.03637183874619</c:v>
                </c:pt>
                <c:pt idx="4382">
                  <c:v>74.08337119619733</c:v>
                </c:pt>
                <c:pt idx="4383">
                  <c:v>74.1304181078458</c:v>
                </c:pt>
                <c:pt idx="4384">
                  <c:v>74.17751268472533</c:v>
                </c:pt>
                <c:pt idx="4385">
                  <c:v>74.22465503825221</c:v>
                </c:pt>
                <c:pt idx="4386">
                  <c:v>74.27184528022711</c:v>
                </c:pt>
                <c:pt idx="4387">
                  <c:v>74.31908352283665</c:v>
                </c:pt>
                <c:pt idx="4388">
                  <c:v>74.36636987865526</c:v>
                </c:pt>
                <c:pt idx="4389">
                  <c:v>74.41370446064715</c:v>
                </c:pt>
                <c:pt idx="4390">
                  <c:v>74.46108738216783</c:v>
                </c:pt>
                <c:pt idx="4391">
                  <c:v>74.50851875696604</c:v>
                </c:pt>
                <c:pt idx="4392">
                  <c:v>74.55599869918574</c:v>
                </c:pt>
                <c:pt idx="4393">
                  <c:v>74.60352732336766</c:v>
                </c:pt>
                <c:pt idx="4394">
                  <c:v>74.65110474445127</c:v>
                </c:pt>
                <c:pt idx="4395">
                  <c:v>74.69873107777683</c:v>
                </c:pt>
                <c:pt idx="4396">
                  <c:v>74.74640643908683</c:v>
                </c:pt>
                <c:pt idx="4397">
                  <c:v>74.79413094452835</c:v>
                </c:pt>
                <c:pt idx="4398">
                  <c:v>74.84190471065457</c:v>
                </c:pt>
                <c:pt idx="4399">
                  <c:v>74.88972785442685</c:v>
                </c:pt>
                <c:pt idx="4400">
                  <c:v>74.93760049321656</c:v>
                </c:pt>
                <c:pt idx="4401">
                  <c:v>74.98552274480721</c:v>
                </c:pt>
                <c:pt idx="4402">
                  <c:v>75.03349472739602</c:v>
                </c:pt>
                <c:pt idx="4403">
                  <c:v>75.08151655959625</c:v>
                </c:pt>
                <c:pt idx="4404">
                  <c:v>75.12958836043886</c:v>
                </c:pt>
                <c:pt idx="4405">
                  <c:v>75.17771024937458</c:v>
                </c:pt>
                <c:pt idx="4406">
                  <c:v>75.22588234627607</c:v>
                </c:pt>
                <c:pt idx="4407">
                  <c:v>75.27410477143955</c:v>
                </c:pt>
                <c:pt idx="4408">
                  <c:v>75.32237764558708</c:v>
                </c:pt>
                <c:pt idx="4409">
                  <c:v>75.37070108986858</c:v>
                </c:pt>
                <c:pt idx="4410">
                  <c:v>75.41907522586364</c:v>
                </c:pt>
                <c:pt idx="4411">
                  <c:v>75.46750017558371</c:v>
                </c:pt>
                <c:pt idx="4412">
                  <c:v>75.51597606147428</c:v>
                </c:pt>
                <c:pt idx="4413">
                  <c:v>75.56450300641661</c:v>
                </c:pt>
                <c:pt idx="4414">
                  <c:v>75.61308113373006</c:v>
                </c:pt>
                <c:pt idx="4415">
                  <c:v>75.66171056717423</c:v>
                </c:pt>
                <c:pt idx="4416">
                  <c:v>75.71039143095076</c:v>
                </c:pt>
                <c:pt idx="4417">
                  <c:v>75.75912384970567</c:v>
                </c:pt>
                <c:pt idx="4418">
                  <c:v>75.8079079485316</c:v>
                </c:pt>
                <c:pt idx="4419">
                  <c:v>75.85674385296953</c:v>
                </c:pt>
                <c:pt idx="4420">
                  <c:v>75.90563168901144</c:v>
                </c:pt>
                <c:pt idx="4421">
                  <c:v>75.95457158310208</c:v>
                </c:pt>
                <c:pt idx="4422">
                  <c:v>76.00356366214133</c:v>
                </c:pt>
                <c:pt idx="4423">
                  <c:v>76.0526080534863</c:v>
                </c:pt>
                <c:pt idx="4424">
                  <c:v>76.10170488495373</c:v>
                </c:pt>
                <c:pt idx="4425">
                  <c:v>76.1508542848219</c:v>
                </c:pt>
                <c:pt idx="4426">
                  <c:v>76.20005638183319</c:v>
                </c:pt>
                <c:pt idx="4427">
                  <c:v>76.24931130519603</c:v>
                </c:pt>
                <c:pt idx="4428">
                  <c:v>76.29861918458727</c:v>
                </c:pt>
                <c:pt idx="4429">
                  <c:v>76.34798015015461</c:v>
                </c:pt>
                <c:pt idx="4430">
                  <c:v>76.39739433251863</c:v>
                </c:pt>
                <c:pt idx="4431">
                  <c:v>76.44686186277515</c:v>
                </c:pt>
                <c:pt idx="4432">
                  <c:v>76.49638287249779</c:v>
                </c:pt>
                <c:pt idx="4433">
                  <c:v>76.54595749373993</c:v>
                </c:pt>
                <c:pt idx="4434">
                  <c:v>76.59558585903721</c:v>
                </c:pt>
                <c:pt idx="4435">
                  <c:v>76.64526810141007</c:v>
                </c:pt>
                <c:pt idx="4436">
                  <c:v>76.69500435436578</c:v>
                </c:pt>
                <c:pt idx="4437">
                  <c:v>76.74479475190098</c:v>
                </c:pt>
                <c:pt idx="4438">
                  <c:v>76.79463942850428</c:v>
                </c:pt>
                <c:pt idx="4439">
                  <c:v>76.84453851915829</c:v>
                </c:pt>
                <c:pt idx="4440">
                  <c:v>76.89449215934225</c:v>
                </c:pt>
                <c:pt idx="4441">
                  <c:v>76.94450048503462</c:v>
                </c:pt>
                <c:pt idx="4442">
                  <c:v>76.99456363271518</c:v>
                </c:pt>
                <c:pt idx="4443">
                  <c:v>77.04468173936792</c:v>
                </c:pt>
                <c:pt idx="4444">
                  <c:v>77.09485494248312</c:v>
                </c:pt>
                <c:pt idx="4445">
                  <c:v>77.14508338006016</c:v>
                </c:pt>
                <c:pt idx="4446">
                  <c:v>77.19536719060983</c:v>
                </c:pt>
                <c:pt idx="4447">
                  <c:v>77.24570651315713</c:v>
                </c:pt>
                <c:pt idx="4448">
                  <c:v>77.29610148724345</c:v>
                </c:pt>
                <c:pt idx="4449">
                  <c:v>77.34655225292954</c:v>
                </c:pt>
                <c:pt idx="4450">
                  <c:v>77.39705895079774</c:v>
                </c:pt>
                <c:pt idx="4451">
                  <c:v>77.44762172195475</c:v>
                </c:pt>
                <c:pt idx="4452">
                  <c:v>77.49824070803434</c:v>
                </c:pt>
                <c:pt idx="4453">
                  <c:v>77.54891605119977</c:v>
                </c:pt>
                <c:pt idx="4454">
                  <c:v>77.59964789414647</c:v>
                </c:pt>
                <c:pt idx="4455">
                  <c:v>77.65043638010498</c:v>
                </c:pt>
                <c:pt idx="4456">
                  <c:v>77.70128165284322</c:v>
                </c:pt>
                <c:pt idx="4457">
                  <c:v>77.75218385666943</c:v>
                </c:pt>
                <c:pt idx="4458">
                  <c:v>77.80314313643498</c:v>
                </c:pt>
                <c:pt idx="4459">
                  <c:v>77.85415963753681</c:v>
                </c:pt>
                <c:pt idx="4460">
                  <c:v>77.90523350592032</c:v>
                </c:pt>
                <c:pt idx="4461">
                  <c:v>77.95636488808232</c:v>
                </c:pt>
                <c:pt idx="4462">
                  <c:v>78.00755393107349</c:v>
                </c:pt>
                <c:pt idx="4463">
                  <c:v>78.05880078250132</c:v>
                </c:pt>
                <c:pt idx="4464">
                  <c:v>78.11010559053312</c:v>
                </c:pt>
                <c:pt idx="4465">
                  <c:v>78.16146850389846</c:v>
                </c:pt>
                <c:pt idx="4466">
                  <c:v>78.21288967189246</c:v>
                </c:pt>
                <c:pt idx="4467">
                  <c:v>78.26436924437827</c:v>
                </c:pt>
                <c:pt idx="4468">
                  <c:v>78.31590737179017</c:v>
                </c:pt>
                <c:pt idx="4469">
                  <c:v>78.3675042051366</c:v>
                </c:pt>
                <c:pt idx="4470">
                  <c:v>78.41915989600277</c:v>
                </c:pt>
                <c:pt idx="4471">
                  <c:v>78.47087459655378</c:v>
                </c:pt>
                <c:pt idx="4472">
                  <c:v>78.52264845953775</c:v>
                </c:pt>
                <c:pt idx="4473">
                  <c:v>78.57448163828846</c:v>
                </c:pt>
                <c:pt idx="4474">
                  <c:v>78.62637428672853</c:v>
                </c:pt>
                <c:pt idx="4475">
                  <c:v>78.67832655937264</c:v>
                </c:pt>
                <c:pt idx="4476">
                  <c:v>78.73033861133014</c:v>
                </c:pt>
                <c:pt idx="4477">
                  <c:v>78.78241059830842</c:v>
                </c:pt>
                <c:pt idx="4478">
                  <c:v>78.83454267661604</c:v>
                </c:pt>
                <c:pt idx="4479">
                  <c:v>78.88673500316557</c:v>
                </c:pt>
                <c:pt idx="4480">
                  <c:v>78.93898773547684</c:v>
                </c:pt>
                <c:pt idx="4481">
                  <c:v>78.99130103168027</c:v>
                </c:pt>
                <c:pt idx="4482">
                  <c:v>79.04367505051962</c:v>
                </c:pt>
                <c:pt idx="4483">
                  <c:v>79.09610995135566</c:v>
                </c:pt>
                <c:pt idx="4484">
                  <c:v>79.14860589416891</c:v>
                </c:pt>
                <c:pt idx="4485">
                  <c:v>79.20116303956318</c:v>
                </c:pt>
                <c:pt idx="4486">
                  <c:v>79.25378154876866</c:v>
                </c:pt>
                <c:pt idx="4487">
                  <c:v>79.30646158364536</c:v>
                </c:pt>
                <c:pt idx="4488">
                  <c:v>79.3592033066861</c:v>
                </c:pt>
                <c:pt idx="4489">
                  <c:v>79.41200688102019</c:v>
                </c:pt>
                <c:pt idx="4490">
                  <c:v>79.46487247041642</c:v>
                </c:pt>
                <c:pt idx="4491">
                  <c:v>79.51780023928656</c:v>
                </c:pt>
                <c:pt idx="4492">
                  <c:v>79.57079035268889</c:v>
                </c:pt>
                <c:pt idx="4493">
                  <c:v>79.62384297633128</c:v>
                </c:pt>
                <c:pt idx="4494">
                  <c:v>79.67695827657478</c:v>
                </c:pt>
                <c:pt idx="4495">
                  <c:v>79.7301364204372</c:v>
                </c:pt>
                <c:pt idx="4496">
                  <c:v>79.7833775755963</c:v>
                </c:pt>
                <c:pt idx="4497">
                  <c:v>79.83668191039337</c:v>
                </c:pt>
                <c:pt idx="4498">
                  <c:v>79.89004959383693</c:v>
                </c:pt>
                <c:pt idx="4499">
                  <c:v>79.943480795606</c:v>
                </c:pt>
                <c:pt idx="4500">
                  <c:v>79.99697568605372</c:v>
                </c:pt>
                <c:pt idx="4501">
                  <c:v>80.05053443621114</c:v>
                </c:pt>
                <c:pt idx="4502">
                  <c:v>80.10415721779052</c:v>
                </c:pt>
                <c:pt idx="4503">
                  <c:v>80.15784420318909</c:v>
                </c:pt>
                <c:pt idx="4504">
                  <c:v>80.21159556549287</c:v>
                </c:pt>
                <c:pt idx="4505">
                  <c:v>80.26541147847999</c:v>
                </c:pt>
                <c:pt idx="4506">
                  <c:v>80.3192921166248</c:v>
                </c:pt>
                <c:pt idx="4507">
                  <c:v>80.3732376551012</c:v>
                </c:pt>
                <c:pt idx="4508">
                  <c:v>80.42724826978669</c:v>
                </c:pt>
                <c:pt idx="4509">
                  <c:v>80.4813241372659</c:v>
                </c:pt>
                <c:pt idx="4510">
                  <c:v>80.53546543483478</c:v>
                </c:pt>
                <c:pt idx="4511">
                  <c:v>80.58967234050388</c:v>
                </c:pt>
                <c:pt idx="4512">
                  <c:v>80.64394503300277</c:v>
                </c:pt>
                <c:pt idx="4513">
                  <c:v>80.69828369178344</c:v>
                </c:pt>
                <c:pt idx="4514">
                  <c:v>80.75268849702448</c:v>
                </c:pt>
                <c:pt idx="4515">
                  <c:v>80.80715962963502</c:v>
                </c:pt>
                <c:pt idx="4516">
                  <c:v>80.86169727125852</c:v>
                </c:pt>
                <c:pt idx="4517">
                  <c:v>80.91630160427681</c:v>
                </c:pt>
                <c:pt idx="4518">
                  <c:v>80.97097281181432</c:v>
                </c:pt>
                <c:pt idx="4519">
                  <c:v>81.02571107774178</c:v>
                </c:pt>
                <c:pt idx="4520">
                  <c:v>81.08051658668042</c:v>
                </c:pt>
                <c:pt idx="4521">
                  <c:v>81.1353895240063</c:v>
                </c:pt>
                <c:pt idx="4522">
                  <c:v>81.19033007585402</c:v>
                </c:pt>
                <c:pt idx="4523">
                  <c:v>81.24533842912112</c:v>
                </c:pt>
                <c:pt idx="4524">
                  <c:v>81.30041477147233</c:v>
                </c:pt>
                <c:pt idx="4525">
                  <c:v>81.35555929134355</c:v>
                </c:pt>
                <c:pt idx="4526">
                  <c:v>81.41077217794617</c:v>
                </c:pt>
                <c:pt idx="4527">
                  <c:v>81.46605362127153</c:v>
                </c:pt>
                <c:pt idx="4528">
                  <c:v>81.52140381209485</c:v>
                </c:pt>
                <c:pt idx="4529">
                  <c:v>81.57682294197997</c:v>
                </c:pt>
                <c:pt idx="4530">
                  <c:v>81.63231120328334</c:v>
                </c:pt>
                <c:pt idx="4531">
                  <c:v>81.6878687891586</c:v>
                </c:pt>
                <c:pt idx="4532">
                  <c:v>81.74349589356089</c:v>
                </c:pt>
                <c:pt idx="4533">
                  <c:v>81.79919271125156</c:v>
                </c:pt>
                <c:pt idx="4534">
                  <c:v>81.8549594378022</c:v>
                </c:pt>
                <c:pt idx="4535">
                  <c:v>81.9107962695996</c:v>
                </c:pt>
                <c:pt idx="4536">
                  <c:v>81.96670340384996</c:v>
                </c:pt>
                <c:pt idx="4537">
                  <c:v>82.02268103858357</c:v>
                </c:pt>
                <c:pt idx="4538">
                  <c:v>82.0787293726596</c:v>
                </c:pt>
                <c:pt idx="4539">
                  <c:v>82.13484860577036</c:v>
                </c:pt>
                <c:pt idx="4540">
                  <c:v>82.19103893844623</c:v>
                </c:pt>
                <c:pt idx="4541">
                  <c:v>82.24730057206042</c:v>
                </c:pt>
                <c:pt idx="4542">
                  <c:v>82.30363370883347</c:v>
                </c:pt>
                <c:pt idx="4543">
                  <c:v>82.36003855183809</c:v>
                </c:pt>
                <c:pt idx="4544">
                  <c:v>82.41651530500417</c:v>
                </c:pt>
                <c:pt idx="4545">
                  <c:v>82.4730641731233</c:v>
                </c:pt>
                <c:pt idx="4546">
                  <c:v>82.5296853618538</c:v>
                </c:pt>
                <c:pt idx="4547">
                  <c:v>82.58637907772572</c:v>
                </c:pt>
                <c:pt idx="4548">
                  <c:v>82.64314552814557</c:v>
                </c:pt>
                <c:pt idx="4549">
                  <c:v>82.69998492140132</c:v>
                </c:pt>
                <c:pt idx="4550">
                  <c:v>82.7568974666677</c:v>
                </c:pt>
                <c:pt idx="4551">
                  <c:v>82.81388337401073</c:v>
                </c:pt>
                <c:pt idx="4552">
                  <c:v>82.87094285439338</c:v>
                </c:pt>
                <c:pt idx="4553">
                  <c:v>82.92807611968018</c:v>
                </c:pt>
                <c:pt idx="4554">
                  <c:v>82.9852833826426</c:v>
                </c:pt>
                <c:pt idx="4555">
                  <c:v>83.0425648569644</c:v>
                </c:pt>
                <c:pt idx="4556">
                  <c:v>83.09992075724651</c:v>
                </c:pt>
                <c:pt idx="4557">
                  <c:v>83.15735129901243</c:v>
                </c:pt>
                <c:pt idx="4558">
                  <c:v>83.21485669871379</c:v>
                </c:pt>
                <c:pt idx="4559">
                  <c:v>83.27243717373524</c:v>
                </c:pt>
                <c:pt idx="4560">
                  <c:v>83.3300929424001</c:v>
                </c:pt>
                <c:pt idx="4561">
                  <c:v>83.38782422397585</c:v>
                </c:pt>
                <c:pt idx="4562">
                  <c:v>83.44563123867934</c:v>
                </c:pt>
                <c:pt idx="4563">
                  <c:v>83.50351420768239</c:v>
                </c:pt>
                <c:pt idx="4564">
                  <c:v>83.56147335311749</c:v>
                </c:pt>
                <c:pt idx="4565">
                  <c:v>83.6195088980831</c:v>
                </c:pt>
                <c:pt idx="4566">
                  <c:v>83.67762106664935</c:v>
                </c:pt>
                <c:pt idx="4567">
                  <c:v>83.73581008386397</c:v>
                </c:pt>
                <c:pt idx="4568">
                  <c:v>83.79407617575747</c:v>
                </c:pt>
                <c:pt idx="4569">
                  <c:v>83.85241956934944</c:v>
                </c:pt>
                <c:pt idx="4570">
                  <c:v>83.91084049265388</c:v>
                </c:pt>
                <c:pt idx="4571">
                  <c:v>83.96933917468523</c:v>
                </c:pt>
                <c:pt idx="4572">
                  <c:v>84.02791584546421</c:v>
                </c:pt>
                <c:pt idx="4573">
                  <c:v>84.08657073602384</c:v>
                </c:pt>
                <c:pt idx="4574">
                  <c:v>84.1453040784151</c:v>
                </c:pt>
                <c:pt idx="4575">
                  <c:v>84.2041161057133</c:v>
                </c:pt>
                <c:pt idx="4576">
                  <c:v>84.26300705202377</c:v>
                </c:pt>
                <c:pt idx="4577">
                  <c:v>84.32197715248812</c:v>
                </c:pt>
                <c:pt idx="4578">
                  <c:v>84.3810266432905</c:v>
                </c:pt>
                <c:pt idx="4579">
                  <c:v>84.44015576166348</c:v>
                </c:pt>
                <c:pt idx="4580">
                  <c:v>84.49936474589441</c:v>
                </c:pt>
                <c:pt idx="4581">
                  <c:v>84.55865383533188</c:v>
                </c:pt>
                <c:pt idx="4582">
                  <c:v>84.61802327039167</c:v>
                </c:pt>
                <c:pt idx="4583">
                  <c:v>84.67747329256332</c:v>
                </c:pt>
                <c:pt idx="4584">
                  <c:v>84.73700414441664</c:v>
                </c:pt>
                <c:pt idx="4585">
                  <c:v>84.79661606960792</c:v>
                </c:pt>
                <c:pt idx="4586">
                  <c:v>84.85630931288652</c:v>
                </c:pt>
                <c:pt idx="4587">
                  <c:v>84.91608412010164</c:v>
                </c:pt>
                <c:pt idx="4588">
                  <c:v>84.97594073820859</c:v>
                </c:pt>
                <c:pt idx="4589">
                  <c:v>85.03587941527557</c:v>
                </c:pt>
                <c:pt idx="4590">
                  <c:v>85.09590040049059</c:v>
                </c:pt>
                <c:pt idx="4591">
                  <c:v>85.15600394416778</c:v>
                </c:pt>
                <c:pt idx="4592">
                  <c:v>85.2161902977547</c:v>
                </c:pt>
                <c:pt idx="4593">
                  <c:v>85.27645971383875</c:v>
                </c:pt>
                <c:pt idx="4594">
                  <c:v>85.33681244615433</c:v>
                </c:pt>
                <c:pt idx="4595">
                  <c:v>85.39724874958969</c:v>
                </c:pt>
                <c:pt idx="4596">
                  <c:v>85.45776888019417</c:v>
                </c:pt>
                <c:pt idx="4597">
                  <c:v>85.51837309518483</c:v>
                </c:pt>
                <c:pt idx="4598">
                  <c:v>85.57906165295408</c:v>
                </c:pt>
                <c:pt idx="4599">
                  <c:v>85.63983481307643</c:v>
                </c:pt>
                <c:pt idx="4600">
                  <c:v>85.70069283631588</c:v>
                </c:pt>
                <c:pt idx="4601">
                  <c:v>85.7616359846334</c:v>
                </c:pt>
                <c:pt idx="4602">
                  <c:v>85.82266452119391</c:v>
                </c:pt>
                <c:pt idx="4603">
                  <c:v>85.88377871037386</c:v>
                </c:pt>
                <c:pt idx="4604">
                  <c:v>85.94497881776884</c:v>
                </c:pt>
                <c:pt idx="4605">
                  <c:v>86.00626511020076</c:v>
                </c:pt>
                <c:pt idx="4606">
                  <c:v>86.06763785572558</c:v>
                </c:pt>
                <c:pt idx="4607">
                  <c:v>86.12909732364113</c:v>
                </c:pt>
                <c:pt idx="4608">
                  <c:v>86.19064378449444</c:v>
                </c:pt>
                <c:pt idx="4609">
                  <c:v>86.25227751008964</c:v>
                </c:pt>
                <c:pt idx="4610">
                  <c:v>86.31399877349597</c:v>
                </c:pt>
                <c:pt idx="4611">
                  <c:v>86.37580784905528</c:v>
                </c:pt>
                <c:pt idx="4612">
                  <c:v>86.43770501239014</c:v>
                </c:pt>
                <c:pt idx="4613">
                  <c:v>86.49969054041202</c:v>
                </c:pt>
                <c:pt idx="4614">
                  <c:v>86.56176471132889</c:v>
                </c:pt>
                <c:pt idx="4615">
                  <c:v>86.62392780465386</c:v>
                </c:pt>
                <c:pt idx="4616">
                  <c:v>86.68618010121288</c:v>
                </c:pt>
                <c:pt idx="4617">
                  <c:v>86.7485218831533</c:v>
                </c:pt>
                <c:pt idx="4618">
                  <c:v>86.81095343395198</c:v>
                </c:pt>
                <c:pt idx="4619">
                  <c:v>86.87347503842396</c:v>
                </c:pt>
                <c:pt idx="4620">
                  <c:v>86.93608698273046</c:v>
                </c:pt>
                <c:pt idx="4621">
                  <c:v>86.99878955438786</c:v>
                </c:pt>
                <c:pt idx="4622">
                  <c:v>87.06158304227584</c:v>
                </c:pt>
                <c:pt idx="4623">
                  <c:v>87.12446773664624</c:v>
                </c:pt>
                <c:pt idx="4624">
                  <c:v>87.18744392913193</c:v>
                </c:pt>
                <c:pt idx="4625">
                  <c:v>87.25051191275521</c:v>
                </c:pt>
                <c:pt idx="4626">
                  <c:v>87.31367198193689</c:v>
                </c:pt>
                <c:pt idx="4627">
                  <c:v>87.37692443250532</c:v>
                </c:pt>
                <c:pt idx="4628">
                  <c:v>87.44026956170505</c:v>
                </c:pt>
                <c:pt idx="4629">
                  <c:v>87.50370766820612</c:v>
                </c:pt>
                <c:pt idx="4630">
                  <c:v>87.5672390521133</c:v>
                </c:pt>
                <c:pt idx="4631">
                  <c:v>87.63086401497497</c:v>
                </c:pt>
                <c:pt idx="4632">
                  <c:v>87.69458285979263</c:v>
                </c:pt>
                <c:pt idx="4633">
                  <c:v>87.75839589103033</c:v>
                </c:pt>
                <c:pt idx="4634">
                  <c:v>87.82230341462385</c:v>
                </c:pt>
                <c:pt idx="4635">
                  <c:v>87.88630573799028</c:v>
                </c:pt>
                <c:pt idx="4636">
                  <c:v>87.95040317003794</c:v>
                </c:pt>
                <c:pt idx="4637">
                  <c:v>88.01459602117545</c:v>
                </c:pt>
                <c:pt idx="4638">
                  <c:v>88.07888460332208</c:v>
                </c:pt>
                <c:pt idx="4639">
                  <c:v>88.14326922991707</c:v>
                </c:pt>
                <c:pt idx="4640">
                  <c:v>88.20775021592982</c:v>
                </c:pt>
                <c:pt idx="4641">
                  <c:v>88.27232787786974</c:v>
                </c:pt>
                <c:pt idx="4642">
                  <c:v>88.33700253379655</c:v>
                </c:pt>
                <c:pt idx="4643">
                  <c:v>88.40177450332997</c:v>
                </c:pt>
                <c:pt idx="4644">
                  <c:v>88.46664410766053</c:v>
                </c:pt>
                <c:pt idx="4645">
                  <c:v>88.53161166955931</c:v>
                </c:pt>
                <c:pt idx="4646">
                  <c:v>88.59667751338866</c:v>
                </c:pt>
                <c:pt idx="4647">
                  <c:v>88.66184196511279</c:v>
                </c:pt>
                <c:pt idx="4648">
                  <c:v>88.72710535230797</c:v>
                </c:pt>
                <c:pt idx="4649">
                  <c:v>88.79246800417343</c:v>
                </c:pt>
                <c:pt idx="4650">
                  <c:v>88.85793025154221</c:v>
                </c:pt>
                <c:pt idx="4651">
                  <c:v>88.92349242689168</c:v>
                </c:pt>
                <c:pt idx="4652">
                  <c:v>88.98915486435465</c:v>
                </c:pt>
                <c:pt idx="4653">
                  <c:v>89.0549178997305</c:v>
                </c:pt>
                <c:pt idx="4654">
                  <c:v>89.12078187049602</c:v>
                </c:pt>
                <c:pt idx="4655">
                  <c:v>89.18674711581671</c:v>
                </c:pt>
                <c:pt idx="4656">
                  <c:v>89.25281397655833</c:v>
                </c:pt>
                <c:pt idx="4657">
                  <c:v>89.31898279529783</c:v>
                </c:pt>
                <c:pt idx="4658">
                  <c:v>89.38525391633507</c:v>
                </c:pt>
                <c:pt idx="4659">
                  <c:v>89.45162768570461</c:v>
                </c:pt>
                <c:pt idx="4660">
                  <c:v>89.51810445118687</c:v>
                </c:pt>
                <c:pt idx="4661">
                  <c:v>89.58468456232052</c:v>
                </c:pt>
                <c:pt idx="4662">
                  <c:v>89.65136837041379</c:v>
                </c:pt>
                <c:pt idx="4663">
                  <c:v>89.71815622855674</c:v>
                </c:pt>
                <c:pt idx="4664">
                  <c:v>89.78504849163345</c:v>
                </c:pt>
                <c:pt idx="4665">
                  <c:v>89.85204551633386</c:v>
                </c:pt>
                <c:pt idx="4666">
                  <c:v>89.91914766116622</c:v>
                </c:pt>
                <c:pt idx="4667">
                  <c:v>89.9863552864697</c:v>
                </c:pt>
                <c:pt idx="4668">
                  <c:v>90.05366875442647</c:v>
                </c:pt>
                <c:pt idx="4669">
                  <c:v>90.12108842907448</c:v>
                </c:pt>
                <c:pt idx="4670">
                  <c:v>90.18861467632041</c:v>
                </c:pt>
                <c:pt idx="4671">
                  <c:v>90.25624786395205</c:v>
                </c:pt>
                <c:pt idx="4672">
                  <c:v>90.32398836165144</c:v>
                </c:pt>
                <c:pt idx="4673">
                  <c:v>90.39183654100812</c:v>
                </c:pt>
                <c:pt idx="4674">
                  <c:v>90.45979277553184</c:v>
                </c:pt>
                <c:pt idx="4675">
                  <c:v>90.52785744066605</c:v>
                </c:pt>
                <c:pt idx="4676">
                  <c:v>90.59603091380153</c:v>
                </c:pt>
                <c:pt idx="4677">
                  <c:v>90.66431357428928</c:v>
                </c:pt>
                <c:pt idx="4678">
                  <c:v>90.7327058034548</c:v>
                </c:pt>
                <c:pt idx="4679">
                  <c:v>90.80120798461131</c:v>
                </c:pt>
                <c:pt idx="4680">
                  <c:v>90.86982050307381</c:v>
                </c:pt>
                <c:pt idx="4681">
                  <c:v>90.938543746173</c:v>
                </c:pt>
                <c:pt idx="4682">
                  <c:v>91.00737810326959</c:v>
                </c:pt>
                <c:pt idx="4683">
                  <c:v>91.07632396576804</c:v>
                </c:pt>
                <c:pt idx="4684">
                  <c:v>91.14538172713148</c:v>
                </c:pt>
                <c:pt idx="4685">
                  <c:v>91.21455178289565</c:v>
                </c:pt>
                <c:pt idx="4686">
                  <c:v>91.28383453068376</c:v>
                </c:pt>
                <c:pt idx="4687">
                  <c:v>91.35323037022134</c:v>
                </c:pt>
                <c:pt idx="4688">
                  <c:v>91.42273970335073</c:v>
                </c:pt>
                <c:pt idx="4689">
                  <c:v>91.49236293404627</c:v>
                </c:pt>
                <c:pt idx="4690">
                  <c:v>91.5621004684296</c:v>
                </c:pt>
                <c:pt idx="4691">
                  <c:v>91.63195271478452</c:v>
                </c:pt>
                <c:pt idx="4692">
                  <c:v>91.70192008357255</c:v>
                </c:pt>
                <c:pt idx="4693">
                  <c:v>91.77200298744867</c:v>
                </c:pt>
                <c:pt idx="4694">
                  <c:v>91.84220184127662</c:v>
                </c:pt>
                <c:pt idx="4695">
                  <c:v>91.91251706214483</c:v>
                </c:pt>
                <c:pt idx="4696">
                  <c:v>91.9829490693826</c:v>
                </c:pt>
                <c:pt idx="4697">
                  <c:v>92.0534982845758</c:v>
                </c:pt>
                <c:pt idx="4698">
                  <c:v>92.12416513158324</c:v>
                </c:pt>
                <c:pt idx="4699">
                  <c:v>92.19495003655334</c:v>
                </c:pt>
                <c:pt idx="4700">
                  <c:v>92.2658534279401</c:v>
                </c:pt>
                <c:pt idx="4701">
                  <c:v>92.33687573652037</c:v>
                </c:pt>
                <c:pt idx="4702">
                  <c:v>92.40801739541016</c:v>
                </c:pt>
                <c:pt idx="4703">
                  <c:v>92.47927884008189</c:v>
                </c:pt>
                <c:pt idx="4704">
                  <c:v>92.55066050838144</c:v>
                </c:pt>
                <c:pt idx="4705">
                  <c:v>92.62216284054564</c:v>
                </c:pt>
                <c:pt idx="4706">
                  <c:v>92.6937862792193</c:v>
                </c:pt>
                <c:pt idx="4707">
                  <c:v>92.76553126947329</c:v>
                </c:pt>
                <c:pt idx="4708">
                  <c:v>92.83739825882188</c:v>
                </c:pt>
                <c:pt idx="4709">
                  <c:v>92.90938769724087</c:v>
                </c:pt>
                <c:pt idx="4710">
                  <c:v>92.98150003718588</c:v>
                </c:pt>
                <c:pt idx="4711">
                  <c:v>93.0537357336102</c:v>
                </c:pt>
                <c:pt idx="4712">
                  <c:v>93.12609524398339</c:v>
                </c:pt>
                <c:pt idx="4713">
                  <c:v>93.19857902831014</c:v>
                </c:pt>
                <c:pt idx="4714">
                  <c:v>93.2711875491486</c:v>
                </c:pt>
                <c:pt idx="4715">
                  <c:v>93.34392127162955</c:v>
                </c:pt>
                <c:pt idx="4716">
                  <c:v>93.41678066347569</c:v>
                </c:pt>
                <c:pt idx="4717">
                  <c:v>93.48976619502054</c:v>
                </c:pt>
                <c:pt idx="4718">
                  <c:v>93.56287833922815</c:v>
                </c:pt>
                <c:pt idx="4719">
                  <c:v>93.63611757171296</c:v>
                </c:pt>
                <c:pt idx="4720">
                  <c:v>93.7094843707592</c:v>
                </c:pt>
                <c:pt idx="4721">
                  <c:v>93.78297921734114</c:v>
                </c:pt>
                <c:pt idx="4722">
                  <c:v>93.85660259514356</c:v>
                </c:pt>
                <c:pt idx="4723">
                  <c:v>93.93035499058159</c:v>
                </c:pt>
                <c:pt idx="4724">
                  <c:v>94.00423689282196</c:v>
                </c:pt>
                <c:pt idx="4725">
                  <c:v>94.07824879380325</c:v>
                </c:pt>
                <c:pt idx="4726">
                  <c:v>94.15239118825717</c:v>
                </c:pt>
                <c:pt idx="4727">
                  <c:v>94.22666457372962</c:v>
                </c:pt>
                <c:pt idx="4728">
                  <c:v>94.30106945060237</c:v>
                </c:pt>
                <c:pt idx="4729">
                  <c:v>94.37560632211414</c:v>
                </c:pt>
                <c:pt idx="4730">
                  <c:v>94.45027569438301</c:v>
                </c:pt>
                <c:pt idx="4731">
                  <c:v>94.52507807642789</c:v>
                </c:pt>
                <c:pt idx="4732">
                  <c:v>94.600013980191</c:v>
                </c:pt>
                <c:pt idx="4733">
                  <c:v>94.67508392056047</c:v>
                </c:pt>
                <c:pt idx="4734">
                  <c:v>94.7502884153926</c:v>
                </c:pt>
                <c:pt idx="4735">
                  <c:v>94.82562798553495</c:v>
                </c:pt>
                <c:pt idx="4736">
                  <c:v>94.90110315484961</c:v>
                </c:pt>
                <c:pt idx="4737">
                  <c:v>94.97671445023609</c:v>
                </c:pt>
                <c:pt idx="4738">
                  <c:v>95.0524624016551</c:v>
                </c:pt>
                <c:pt idx="4739">
                  <c:v>95.12834754215254</c:v>
                </c:pt>
                <c:pt idx="4740">
                  <c:v>95.20437040788299</c:v>
                </c:pt>
                <c:pt idx="4741">
                  <c:v>95.28053153813426</c:v>
                </c:pt>
                <c:pt idx="4742">
                  <c:v>95.35683147535201</c:v>
                </c:pt>
                <c:pt idx="4743">
                  <c:v>95.43327076516405</c:v>
                </c:pt>
                <c:pt idx="4744">
                  <c:v>95.50984995640549</c:v>
                </c:pt>
                <c:pt idx="4745">
                  <c:v>95.58656960114418</c:v>
                </c:pt>
                <c:pt idx="4746">
                  <c:v>95.66343025470562</c:v>
                </c:pt>
                <c:pt idx="4747">
                  <c:v>95.74043247569924</c:v>
                </c:pt>
                <c:pt idx="4748">
                  <c:v>95.81757682604385</c:v>
                </c:pt>
                <c:pt idx="4749">
                  <c:v>95.89486387099404</c:v>
                </c:pt>
                <c:pt idx="4750">
                  <c:v>95.97229417916692</c:v>
                </c:pt>
                <c:pt idx="4751">
                  <c:v>96.04986832256833</c:v>
                </c:pt>
                <c:pt idx="4752">
                  <c:v>96.1275868766201</c:v>
                </c:pt>
                <c:pt idx="4753">
                  <c:v>96.20545042018755</c:v>
                </c:pt>
                <c:pt idx="4754">
                  <c:v>96.28345953560651</c:v>
                </c:pt>
                <c:pt idx="4755">
                  <c:v>96.36161480871145</c:v>
                </c:pt>
                <c:pt idx="4756">
                  <c:v>96.43991682886372</c:v>
                </c:pt>
                <c:pt idx="4757">
                  <c:v>96.5183661889795</c:v>
                </c:pt>
                <c:pt idx="4758">
                  <c:v>96.59696348555869</c:v>
                </c:pt>
                <c:pt idx="4759">
                  <c:v>96.67570931871408</c:v>
                </c:pt>
                <c:pt idx="4760">
                  <c:v>96.75460429220014</c:v>
                </c:pt>
                <c:pt idx="4761">
                  <c:v>96.83364901344275</c:v>
                </c:pt>
                <c:pt idx="4762">
                  <c:v>96.91284409356933</c:v>
                </c:pt>
                <c:pt idx="4763">
                  <c:v>96.99219014743841</c:v>
                </c:pt>
                <c:pt idx="4764">
                  <c:v>97.07168779367066</c:v>
                </c:pt>
                <c:pt idx="4765">
                  <c:v>97.1513376546792</c:v>
                </c:pt>
                <c:pt idx="4766">
                  <c:v>97.23114035670088</c:v>
                </c:pt>
                <c:pt idx="4767">
                  <c:v>97.31109652982758</c:v>
                </c:pt>
                <c:pt idx="4768">
                  <c:v>97.39120680803825</c:v>
                </c:pt>
                <c:pt idx="4769">
                  <c:v>97.47147182923035</c:v>
                </c:pt>
                <c:pt idx="4770">
                  <c:v>97.55189223525292</c:v>
                </c:pt>
                <c:pt idx="4771">
                  <c:v>97.63246867193867</c:v>
                </c:pt>
                <c:pt idx="4772">
                  <c:v>97.71320178913732</c:v>
                </c:pt>
                <c:pt idx="4773">
                  <c:v>97.79409224074918</c:v>
                </c:pt>
                <c:pt idx="4774">
                  <c:v>97.87514068475848</c:v>
                </c:pt>
                <c:pt idx="4775">
                  <c:v>97.95634778326763</c:v>
                </c:pt>
                <c:pt idx="4776">
                  <c:v>98.03771420253194</c:v>
                </c:pt>
                <c:pt idx="4777">
                  <c:v>98.11924061299398</c:v>
                </c:pt>
                <c:pt idx="4778">
                  <c:v>98.20092768931892</c:v>
                </c:pt>
                <c:pt idx="4779">
                  <c:v>98.28277611043039</c:v>
                </c:pt>
                <c:pt idx="4780">
                  <c:v>98.36478655954588</c:v>
                </c:pt>
                <c:pt idx="4781">
                  <c:v>98.44695972421326</c:v>
                </c:pt>
                <c:pt idx="4782">
                  <c:v>98.52929629634775</c:v>
                </c:pt>
                <c:pt idx="4783">
                  <c:v>98.61179697226851</c:v>
                </c:pt>
                <c:pt idx="4784">
                  <c:v>98.6944624527363</c:v>
                </c:pt>
                <c:pt idx="4785">
                  <c:v>98.77729344299163</c:v>
                </c:pt>
                <c:pt idx="4786">
                  <c:v>98.86029065279244</c:v>
                </c:pt>
                <c:pt idx="4787">
                  <c:v>98.94345479645345</c:v>
                </c:pt>
                <c:pt idx="4788">
                  <c:v>99.02678659288468</c:v>
                </c:pt>
                <c:pt idx="4789">
                  <c:v>99.11028676563126</c:v>
                </c:pt>
                <c:pt idx="4790">
                  <c:v>99.19395604291326</c:v>
                </c:pt>
                <c:pt idx="4791">
                  <c:v>99.27779515766635</c:v>
                </c:pt>
                <c:pt idx="4792">
                  <c:v>99.36180484758206</c:v>
                </c:pt>
                <c:pt idx="4793">
                  <c:v>99.44598585514967</c:v>
                </c:pt>
                <c:pt idx="4794">
                  <c:v>99.53033892769734</c:v>
                </c:pt>
                <c:pt idx="4795">
                  <c:v>99.6148648174345</c:v>
                </c:pt>
                <c:pt idx="4796">
                  <c:v>99.69956428149472</c:v>
                </c:pt>
                <c:pt idx="4797">
                  <c:v>99.78443808197831</c:v>
                </c:pt>
                <c:pt idx="4798">
                  <c:v>99.86948698599609</c:v>
                </c:pt>
                <c:pt idx="4799">
                  <c:v>99.95471176571368</c:v>
                </c:pt>
                <c:pt idx="4800">
                  <c:v>100.04011319839553</c:v>
                </c:pt>
                <c:pt idx="4801">
                  <c:v>100.12569206645014</c:v>
                </c:pt>
                <c:pt idx="4802">
                  <c:v>100.21144915747587</c:v>
                </c:pt>
                <c:pt idx="4803">
                  <c:v>100.29738526430637</c:v>
                </c:pt>
                <c:pt idx="4804">
                  <c:v>100.38350118505743</c:v>
                </c:pt>
                <c:pt idx="4805">
                  <c:v>100.46979772317421</c:v>
                </c:pt>
                <c:pt idx="4806">
                  <c:v>100.55627568747832</c:v>
                </c:pt>
                <c:pt idx="4807">
                  <c:v>100.64293589221614</c:v>
                </c:pt>
                <c:pt idx="4808">
                  <c:v>100.72977915710779</c:v>
                </c:pt>
                <c:pt idx="4809">
                  <c:v>100.81680630739555</c:v>
                </c:pt>
                <c:pt idx="4810">
                  <c:v>100.90401817389447</c:v>
                </c:pt>
                <c:pt idx="4811">
                  <c:v>100.99141559304192</c:v>
                </c:pt>
                <c:pt idx="4812">
                  <c:v>101.07899940694875</c:v>
                </c:pt>
                <c:pt idx="4813">
                  <c:v>101.16677046345102</c:v>
                </c:pt>
                <c:pt idx="4814">
                  <c:v>101.25472961616144</c:v>
                </c:pt>
                <c:pt idx="4815">
                  <c:v>101.34287772452231</c:v>
                </c:pt>
                <c:pt idx="4816">
                  <c:v>101.43121565385894</c:v>
                </c:pt>
                <c:pt idx="4817">
                  <c:v>101.51974427543298</c:v>
                </c:pt>
                <c:pt idx="4818">
                  <c:v>101.60846446649713</c:v>
                </c:pt>
                <c:pt idx="4819">
                  <c:v>101.69737711035042</c:v>
                </c:pt>
                <c:pt idx="4820">
                  <c:v>101.78648309639344</c:v>
                </c:pt>
                <c:pt idx="4821">
                  <c:v>101.87578332018491</c:v>
                </c:pt>
                <c:pt idx="4822">
                  <c:v>101.96527868349897</c:v>
                </c:pt>
                <c:pt idx="4823">
                  <c:v>102.05497009438226</c:v>
                </c:pt>
                <c:pt idx="4824">
                  <c:v>102.14485846721254</c:v>
                </c:pt>
                <c:pt idx="4825">
                  <c:v>102.23494472275797</c:v>
                </c:pt>
                <c:pt idx="4826">
                  <c:v>102.32522978823626</c:v>
                </c:pt>
                <c:pt idx="4827">
                  <c:v>102.41571459737528</c:v>
                </c:pt>
                <c:pt idx="4828">
                  <c:v>102.50640009047453</c:v>
                </c:pt>
                <c:pt idx="4829">
                  <c:v>102.59728721446633</c:v>
                </c:pt>
                <c:pt idx="4830">
                  <c:v>102.68837692297869</c:v>
                </c:pt>
                <c:pt idx="4831">
                  <c:v>102.77967017639884</c:v>
                </c:pt>
                <c:pt idx="4832">
                  <c:v>102.87116794193665</c:v>
                </c:pt>
                <c:pt idx="4833">
                  <c:v>102.96287119369013</c:v>
                </c:pt>
                <c:pt idx="4834">
                  <c:v>103.0547809127104</c:v>
                </c:pt>
                <c:pt idx="4835">
                  <c:v>103.14689808706827</c:v>
                </c:pt>
                <c:pt idx="4836">
                  <c:v>103.23922371192167</c:v>
                </c:pt>
                <c:pt idx="4837">
                  <c:v>103.33175878958306</c:v>
                </c:pt>
                <c:pt idx="4838">
                  <c:v>103.42450432958849</c:v>
                </c:pt>
                <c:pt idx="4839">
                  <c:v>103.5174613487674</c:v>
                </c:pt>
                <c:pt idx="4840">
                  <c:v>103.61063087131255</c:v>
                </c:pt>
                <c:pt idx="4841">
                  <c:v>103.70401392885158</c:v>
                </c:pt>
                <c:pt idx="4842">
                  <c:v>103.79761156051941</c:v>
                </c:pt>
                <c:pt idx="4843">
                  <c:v>103.89142481303074</c:v>
                </c:pt>
                <c:pt idx="4844">
                  <c:v>103.98545474075422</c:v>
                </c:pt>
                <c:pt idx="4845">
                  <c:v>104.07970240578757</c:v>
                </c:pt>
                <c:pt idx="4846">
                  <c:v>104.17416887803275</c:v>
                </c:pt>
                <c:pt idx="4847">
                  <c:v>104.26885523527287</c:v>
                </c:pt>
                <c:pt idx="4848">
                  <c:v>104.36376256325015</c:v>
                </c:pt>
                <c:pt idx="4849">
                  <c:v>104.45889195574387</c:v>
                </c:pt>
                <c:pt idx="4850">
                  <c:v>104.5542445146502</c:v>
                </c:pt>
                <c:pt idx="4851">
                  <c:v>104.64982135006301</c:v>
                </c:pt>
                <c:pt idx="4852">
                  <c:v>104.74562358035486</c:v>
                </c:pt>
                <c:pt idx="4853">
                  <c:v>104.84165233225978</c:v>
                </c:pt>
                <c:pt idx="4854">
                  <c:v>104.93790874095718</c:v>
                </c:pt>
                <c:pt idx="4855">
                  <c:v>105.03439395015575</c:v>
                </c:pt>
                <c:pt idx="4856">
                  <c:v>105.1311091121799</c:v>
                </c:pt>
                <c:pt idx="4857">
                  <c:v>105.22805538805595</c:v>
                </c:pt>
                <c:pt idx="4858">
                  <c:v>105.32523394760017</c:v>
                </c:pt>
                <c:pt idx="4859">
                  <c:v>105.42264596950807</c:v>
                </c:pt>
                <c:pt idx="4860">
                  <c:v>105.52029264144392</c:v>
                </c:pt>
                <c:pt idx="4861">
                  <c:v>105.6181751601323</c:v>
                </c:pt>
                <c:pt idx="4862">
                  <c:v>105.71629473145077</c:v>
                </c:pt>
                <c:pt idx="4863">
                  <c:v>105.8146525705229</c:v>
                </c:pt>
                <c:pt idx="4864">
                  <c:v>105.9132499018133</c:v>
                </c:pt>
                <c:pt idx="4865">
                  <c:v>106.01208795922398</c:v>
                </c:pt>
                <c:pt idx="4866">
                  <c:v>106.11116798619095</c:v>
                </c:pt>
                <c:pt idx="4867">
                  <c:v>106.21049123578304</c:v>
                </c:pt>
                <c:pt idx="4868">
                  <c:v>106.31005897080195</c:v>
                </c:pt>
                <c:pt idx="4869">
                  <c:v>106.40987246388272</c:v>
                </c:pt>
                <c:pt idx="4870">
                  <c:v>106.50993299759645</c:v>
                </c:pt>
                <c:pt idx="4871">
                  <c:v>106.61024186455427</c:v>
                </c:pt>
                <c:pt idx="4872">
                  <c:v>106.71080036751181</c:v>
                </c:pt>
                <c:pt idx="4873">
                  <c:v>106.81160981947599</c:v>
                </c:pt>
                <c:pt idx="4874">
                  <c:v>106.91267154381316</c:v>
                </c:pt>
                <c:pt idx="4875">
                  <c:v>107.01398687435776</c:v>
                </c:pt>
                <c:pt idx="4876">
                  <c:v>107.11555715552332</c:v>
                </c:pt>
                <c:pt idx="4877">
                  <c:v>107.21738374241501</c:v>
                </c:pt>
                <c:pt idx="4878">
                  <c:v>107.31946800094256</c:v>
                </c:pt>
                <c:pt idx="4879">
                  <c:v>107.4218113079363</c:v>
                </c:pt>
                <c:pt idx="4880">
                  <c:v>107.52441505126312</c:v>
                </c:pt>
                <c:pt idx="4881">
                  <c:v>107.62728062994513</c:v>
                </c:pt>
                <c:pt idx="4882">
                  <c:v>107.73040945427984</c:v>
                </c:pt>
                <c:pt idx="4883">
                  <c:v>107.83380294596103</c:v>
                </c:pt>
                <c:pt idx="4884">
                  <c:v>107.93746253820218</c:v>
                </c:pt>
                <c:pt idx="4885">
                  <c:v>108.04138967586165</c:v>
                </c:pt>
              </c:numCache>
            </c:numRef>
          </c:yVal>
        </c:ser>
        <c:axId val="50030001"/>
        <c:axId val="50030002"/>
      </c:scatterChart>
      <c:valAx>
        <c:axId val="50030001"/>
        <c:scaling>
          <c:orientation val="minMax"/>
        </c:scaling>
        <c:axPos val="b"/>
        <c:title>
          <c:tx>
            <c:rich>
              <a:bodyPr/>
              <a:lstStyle/>
              <a:p>
                <a:pPr>
                  <a:defRPr/>
                </a:pPr>
                <a:r>
                  <a:rPr lang="en-US"/>
                  <a:t>Vận tốc v (km/h)</a:t>
                </a:r>
              </a:p>
            </c:rich>
          </c:tx>
          <c:layout/>
        </c:title>
        <c:numFmt formatCode="General" sourceLinked="1"/>
        <c:tickLblPos val="nextTo"/>
        <c:crossAx val="50030002"/>
        <c:crosses val="autoZero"/>
        <c:crossBetween val="midCat"/>
      </c:valAx>
      <c:valAx>
        <c:axId val="50030002"/>
        <c:scaling>
          <c:orientation val="minMax"/>
        </c:scaling>
        <c:axPos val="l"/>
        <c:majorGridlines>
          <c:spPr>
            <a:ln>
              <a:solidFill>
                <a:srgbClr val="E1E1E1"/>
              </a:solidFill>
            </a:ln>
          </c:spPr>
        </c:majorGridlines>
        <c:title>
          <c:tx>
            <c:rich>
              <a:bodyPr rot="-5400000" vert="horz"/>
              <a:lstStyle/>
              <a:p>
                <a:pPr>
                  <a:defRPr/>
                </a:pPr>
                <a:r>
                  <a:rPr lang="en-US"/>
                  <a:t>t (s)</a:t>
                </a:r>
              </a:p>
            </c:rich>
          </c:tx>
          <c:layout/>
        </c:title>
        <c:numFmt formatCode="General" sourceLinked="1"/>
        <c:tickLblPos val="nextTo"/>
        <c:crossAx val="50030001"/>
        <c:crosses val="autoZero"/>
        <c:crossBetween val="midCat"/>
      </c:valAx>
    </c:plotArea>
    <c:legend>
      <c:legendPos val="b"/>
      <c:layout/>
    </c:legend>
    <c:plotVisOnly val="1"/>
  </c:chart>
  <c:printSettings>
    <c:headerFooter/>
    <c:pageMargins b="0.75" l="0.7" r="0.7" t="0.75" header="0.3" footer="0.3"/>
    <c:pageSetup/>
  </c:printSettings>
</c:chartSpace>
</file>

<file path=xl/ref/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Quãng đường toàn hành trình qua năm số</a:t>
            </a:r>
          </a:p>
        </c:rich>
      </c:tx>
      <c:layout/>
    </c:title>
    <c:plotArea>
      <c:layout/>
      <c:scatterChart>
        <c:scatterStyle val="lineMarker"/>
        <c:ser>
          <c:idx val="0"/>
          <c:order val="0"/>
          <c:tx>
            <c:v>Có bốn lần ngắt lực kéo</c:v>
          </c:tx>
          <c:spPr>
            <a:ln w="19050">
              <a:solidFill>
                <a:srgbClr val="0072B2"/>
              </a:solidFill>
            </a:ln>
          </c:spPr>
          <c:marker>
            <c:symbol val="none"/>
          </c:marker>
          <c:xVal>
            <c:numRef>
              <c:f>HANH_TRINH!$G$6:$G$4891</c:f>
              <c:numCache>
                <c:formatCode>General</c:formatCode>
                <c:ptCount val="4886"/>
                <c:pt idx="0">
                  <c:v>4.497041420118344</c:v>
                </c:pt>
                <c:pt idx="1">
                  <c:v>4.509689349112426</c:v>
                </c:pt>
                <c:pt idx="2">
                  <c:v>4.52233727810651</c:v>
                </c:pt>
                <c:pt idx="3">
                  <c:v>4.5349852071005925</c:v>
                </c:pt>
                <c:pt idx="4">
                  <c:v>4.5476331360946745</c:v>
                </c:pt>
                <c:pt idx="5">
                  <c:v>4.560281065088758</c:v>
                </c:pt>
                <c:pt idx="6">
                  <c:v>4.572928994082841</c:v>
                </c:pt>
                <c:pt idx="7">
                  <c:v>4.585576923076923</c:v>
                </c:pt>
                <c:pt idx="8">
                  <c:v>4.598224852071007</c:v>
                </c:pt>
                <c:pt idx="9">
                  <c:v>4.61087278106509</c:v>
                </c:pt>
                <c:pt idx="10">
                  <c:v>4.6235207100591715</c:v>
                </c:pt>
                <c:pt idx="11">
                  <c:v>4.636168639053255</c:v>
                </c:pt>
                <c:pt idx="12">
                  <c:v>4.648816568047338</c:v>
                </c:pt>
                <c:pt idx="13">
                  <c:v>4.66146449704142</c:v>
                </c:pt>
                <c:pt idx="14">
                  <c:v>4.674112426035504</c:v>
                </c:pt>
                <c:pt idx="15">
                  <c:v>4.686760355029587</c:v>
                </c:pt>
                <c:pt idx="16">
                  <c:v>4.699408284023669</c:v>
                </c:pt>
                <c:pt idx="17">
                  <c:v>4.712056213017752</c:v>
                </c:pt>
                <c:pt idx="18">
                  <c:v>4.724704142011835</c:v>
                </c:pt>
                <c:pt idx="19">
                  <c:v>4.737352071005917</c:v>
                </c:pt>
                <c:pt idx="20">
                  <c:v>4.750000000000001</c:v>
                </c:pt>
                <c:pt idx="21">
                  <c:v>4.762647928994084</c:v>
                </c:pt>
                <c:pt idx="22">
                  <c:v>4.775295857988166</c:v>
                </c:pt>
                <c:pt idx="23">
                  <c:v>4.787943786982249</c:v>
                </c:pt>
                <c:pt idx="24">
                  <c:v>4.800591715976332</c:v>
                </c:pt>
                <c:pt idx="25">
                  <c:v>4.813239644970414</c:v>
                </c:pt>
                <c:pt idx="26">
                  <c:v>4.825887573964498</c:v>
                </c:pt>
                <c:pt idx="27">
                  <c:v>4.838535502958581</c:v>
                </c:pt>
                <c:pt idx="28">
                  <c:v>4.851183431952663</c:v>
                </c:pt>
                <c:pt idx="29">
                  <c:v>4.863831360946746</c:v>
                </c:pt>
                <c:pt idx="30">
                  <c:v>4.876479289940829</c:v>
                </c:pt>
                <c:pt idx="31">
                  <c:v>4.889127218934911</c:v>
                </c:pt>
                <c:pt idx="32">
                  <c:v>4.901775147928994</c:v>
                </c:pt>
                <c:pt idx="33">
                  <c:v>4.914423076923078</c:v>
                </c:pt>
                <c:pt idx="34">
                  <c:v>4.92707100591716</c:v>
                </c:pt>
                <c:pt idx="35">
                  <c:v>4.939718934911243</c:v>
                </c:pt>
                <c:pt idx="36">
                  <c:v>4.952366863905326</c:v>
                </c:pt>
                <c:pt idx="37">
                  <c:v>4.965014792899408</c:v>
                </c:pt>
                <c:pt idx="38">
                  <c:v>4.977662721893491</c:v>
                </c:pt>
                <c:pt idx="39">
                  <c:v>4.990310650887575</c:v>
                </c:pt>
                <c:pt idx="40">
                  <c:v>5.002958579881657</c:v>
                </c:pt>
                <c:pt idx="41">
                  <c:v>5.01560650887574</c:v>
                </c:pt>
                <c:pt idx="42">
                  <c:v>5.0282544378698235</c:v>
                </c:pt>
                <c:pt idx="43">
                  <c:v>5.0409023668639055</c:v>
                </c:pt>
                <c:pt idx="44">
                  <c:v>5.053550295857988</c:v>
                </c:pt>
                <c:pt idx="45">
                  <c:v>5.066198224852072</c:v>
                </c:pt>
                <c:pt idx="46">
                  <c:v>5.078846153846154</c:v>
                </c:pt>
                <c:pt idx="47">
                  <c:v>5.091494082840237</c:v>
                </c:pt>
                <c:pt idx="48">
                  <c:v>5.104142011834321</c:v>
                </c:pt>
                <c:pt idx="49">
                  <c:v>5.1167899408284025</c:v>
                </c:pt>
                <c:pt idx="50">
                  <c:v>5.129437869822485</c:v>
                </c:pt>
                <c:pt idx="51">
                  <c:v>5.142085798816568</c:v>
                </c:pt>
                <c:pt idx="52">
                  <c:v>5.154733727810651</c:v>
                </c:pt>
                <c:pt idx="53">
                  <c:v>5.167381656804734</c:v>
                </c:pt>
                <c:pt idx="54">
                  <c:v>5.180029585798817</c:v>
                </c:pt>
                <c:pt idx="55">
                  <c:v>5.1926775147929</c:v>
                </c:pt>
                <c:pt idx="56">
                  <c:v>5.2053254437869825</c:v>
                </c:pt>
                <c:pt idx="57">
                  <c:v>5.217973372781065</c:v>
                </c:pt>
                <c:pt idx="58">
                  <c:v>5.230621301775148</c:v>
                </c:pt>
                <c:pt idx="59">
                  <c:v>5.243269230769231</c:v>
                </c:pt>
                <c:pt idx="60">
                  <c:v>5.255917159763314</c:v>
                </c:pt>
                <c:pt idx="61">
                  <c:v>5.268565088757397</c:v>
                </c:pt>
                <c:pt idx="62">
                  <c:v>5.2812130177514796</c:v>
                </c:pt>
                <c:pt idx="63">
                  <c:v>5.293860946745562</c:v>
                </c:pt>
                <c:pt idx="64">
                  <c:v>5.306508875739645</c:v>
                </c:pt>
                <c:pt idx="65">
                  <c:v>5.319156804733728</c:v>
                </c:pt>
                <c:pt idx="66">
                  <c:v>5.331804733727811</c:v>
                </c:pt>
                <c:pt idx="67">
                  <c:v>5.344452662721894</c:v>
                </c:pt>
                <c:pt idx="68">
                  <c:v>5.357100591715977</c:v>
                </c:pt>
                <c:pt idx="69">
                  <c:v>5.3697485207100595</c:v>
                </c:pt>
                <c:pt idx="70">
                  <c:v>5.382396449704142</c:v>
                </c:pt>
                <c:pt idx="71">
                  <c:v>5.395044378698225</c:v>
                </c:pt>
                <c:pt idx="72">
                  <c:v>5.407692307692308</c:v>
                </c:pt>
                <c:pt idx="73">
                  <c:v>5.420340236686391</c:v>
                </c:pt>
                <c:pt idx="74">
                  <c:v>5.432988165680474</c:v>
                </c:pt>
                <c:pt idx="75">
                  <c:v>5.445636094674557</c:v>
                </c:pt>
                <c:pt idx="76">
                  <c:v>5.458284023668639</c:v>
                </c:pt>
                <c:pt idx="77">
                  <c:v>5.470931952662722</c:v>
                </c:pt>
                <c:pt idx="78">
                  <c:v>5.483579881656805</c:v>
                </c:pt>
                <c:pt idx="79">
                  <c:v>5.496227810650888</c:v>
                </c:pt>
                <c:pt idx="80">
                  <c:v>5.508875739644971</c:v>
                </c:pt>
                <c:pt idx="81">
                  <c:v>5.521523668639054</c:v>
                </c:pt>
                <c:pt idx="82">
                  <c:v>5.5341715976331365</c:v>
                </c:pt>
                <c:pt idx="83">
                  <c:v>5.546819526627219</c:v>
                </c:pt>
                <c:pt idx="84">
                  <c:v>5.559467455621302</c:v>
                </c:pt>
                <c:pt idx="85">
                  <c:v>5.572115384615385</c:v>
                </c:pt>
                <c:pt idx="86">
                  <c:v>5.584763313609468</c:v>
                </c:pt>
                <c:pt idx="87">
                  <c:v>5.597411242603551</c:v>
                </c:pt>
                <c:pt idx="88">
                  <c:v>5.610059171597634</c:v>
                </c:pt>
                <c:pt idx="89">
                  <c:v>5.622707100591716</c:v>
                </c:pt>
                <c:pt idx="90">
                  <c:v>5.635355029585799</c:v>
                </c:pt>
                <c:pt idx="91">
                  <c:v>5.648002958579882</c:v>
                </c:pt>
                <c:pt idx="92">
                  <c:v>5.660650887573965</c:v>
                </c:pt>
                <c:pt idx="93">
                  <c:v>5.673298816568048</c:v>
                </c:pt>
                <c:pt idx="94">
                  <c:v>5.685946745562131</c:v>
                </c:pt>
                <c:pt idx="95">
                  <c:v>5.6985946745562135</c:v>
                </c:pt>
                <c:pt idx="96">
                  <c:v>5.711242603550296</c:v>
                </c:pt>
                <c:pt idx="97">
                  <c:v>5.723890532544379</c:v>
                </c:pt>
                <c:pt idx="98">
                  <c:v>5.736538461538462</c:v>
                </c:pt>
                <c:pt idx="99">
                  <c:v>5.749186390532545</c:v>
                </c:pt>
                <c:pt idx="100">
                  <c:v>5.761834319526628</c:v>
                </c:pt>
                <c:pt idx="101">
                  <c:v>5.774482248520711</c:v>
                </c:pt>
                <c:pt idx="102">
                  <c:v>5.787130177514793</c:v>
                </c:pt>
                <c:pt idx="103">
                  <c:v>5.799778106508875</c:v>
                </c:pt>
                <c:pt idx="104">
                  <c:v>5.812426035502959</c:v>
                </c:pt>
                <c:pt idx="105">
                  <c:v>5.825073964497042</c:v>
                </c:pt>
                <c:pt idx="106">
                  <c:v>5.837721893491125</c:v>
                </c:pt>
                <c:pt idx="107">
                  <c:v>5.850369822485208</c:v>
                </c:pt>
                <c:pt idx="108">
                  <c:v>5.8630177514792905</c:v>
                </c:pt>
                <c:pt idx="109">
                  <c:v>5.8756656804733725</c:v>
                </c:pt>
                <c:pt idx="110">
                  <c:v>5.888313609467455</c:v>
                </c:pt>
                <c:pt idx="111">
                  <c:v>5.900961538461539</c:v>
                </c:pt>
                <c:pt idx="112">
                  <c:v>5.913609467455622</c:v>
                </c:pt>
                <c:pt idx="113">
                  <c:v>5.926257396449705</c:v>
                </c:pt>
                <c:pt idx="114">
                  <c:v>5.938905325443788</c:v>
                </c:pt>
                <c:pt idx="115">
                  <c:v>5.9515532544378695</c:v>
                </c:pt>
                <c:pt idx="116">
                  <c:v>5.964201183431952</c:v>
                </c:pt>
                <c:pt idx="117">
                  <c:v>5.976849112426036</c:v>
                </c:pt>
                <c:pt idx="118">
                  <c:v>5.989497041420119</c:v>
                </c:pt>
                <c:pt idx="119">
                  <c:v>6.002144970414202</c:v>
                </c:pt>
                <c:pt idx="120">
                  <c:v>6.014792899408285</c:v>
                </c:pt>
                <c:pt idx="121">
                  <c:v>6.027440828402367</c:v>
                </c:pt>
                <c:pt idx="122">
                  <c:v>6.0400887573964495</c:v>
                </c:pt>
                <c:pt idx="123">
                  <c:v>6.052736686390533</c:v>
                </c:pt>
                <c:pt idx="124">
                  <c:v>6.065384615384615</c:v>
                </c:pt>
                <c:pt idx="125">
                  <c:v>6.078032544378699</c:v>
                </c:pt>
                <c:pt idx="126">
                  <c:v>6.090680473372782</c:v>
                </c:pt>
                <c:pt idx="127">
                  <c:v>6.103328402366864</c:v>
                </c:pt>
                <c:pt idx="128">
                  <c:v>6.1159763313609465</c:v>
                </c:pt>
                <c:pt idx="129">
                  <c:v>6.12862426035503</c:v>
                </c:pt>
                <c:pt idx="130">
                  <c:v>6.141272189349112</c:v>
                </c:pt>
                <c:pt idx="131">
                  <c:v>6.153920118343195</c:v>
                </c:pt>
                <c:pt idx="132">
                  <c:v>6.166568047337279</c:v>
                </c:pt>
                <c:pt idx="133">
                  <c:v>6.179215976331361</c:v>
                </c:pt>
                <c:pt idx="134">
                  <c:v>6.191863905325444</c:v>
                </c:pt>
                <c:pt idx="135">
                  <c:v>6.204511834319527</c:v>
                </c:pt>
                <c:pt idx="136">
                  <c:v>6.217159763313609</c:v>
                </c:pt>
                <c:pt idx="137">
                  <c:v>6.229807692307692</c:v>
                </c:pt>
                <c:pt idx="138">
                  <c:v>6.242455621301776</c:v>
                </c:pt>
                <c:pt idx="139">
                  <c:v>6.255103550295858</c:v>
                </c:pt>
                <c:pt idx="140">
                  <c:v>6.267751479289941</c:v>
                </c:pt>
                <c:pt idx="141">
                  <c:v>6.280399408284024</c:v>
                </c:pt>
                <c:pt idx="142">
                  <c:v>6.293047337278106</c:v>
                </c:pt>
                <c:pt idx="143">
                  <c:v>6.305695266272189</c:v>
                </c:pt>
                <c:pt idx="144">
                  <c:v>6.318343195266273</c:v>
                </c:pt>
                <c:pt idx="145">
                  <c:v>6.330991124260355</c:v>
                </c:pt>
                <c:pt idx="146">
                  <c:v>6.343639053254438</c:v>
                </c:pt>
                <c:pt idx="147">
                  <c:v>6.3562869822485215</c:v>
                </c:pt>
                <c:pt idx="148">
                  <c:v>6.3689349112426035</c:v>
                </c:pt>
                <c:pt idx="149">
                  <c:v>6.381582840236686</c:v>
                </c:pt>
                <c:pt idx="150">
                  <c:v>6.39423076923077</c:v>
                </c:pt>
                <c:pt idx="151">
                  <c:v>6.406878698224852</c:v>
                </c:pt>
                <c:pt idx="152">
                  <c:v>6.419526627218935</c:v>
                </c:pt>
                <c:pt idx="153">
                  <c:v>6.432174556213019</c:v>
                </c:pt>
                <c:pt idx="154">
                  <c:v>6.4448224852071005</c:v>
                </c:pt>
                <c:pt idx="155">
                  <c:v>6.457470414201183</c:v>
                </c:pt>
                <c:pt idx="156">
                  <c:v>6.470118343195267</c:v>
                </c:pt>
                <c:pt idx="157">
                  <c:v>6.482766272189349</c:v>
                </c:pt>
                <c:pt idx="158">
                  <c:v>6.495414201183432</c:v>
                </c:pt>
                <c:pt idx="159">
                  <c:v>6.508062130177516</c:v>
                </c:pt>
                <c:pt idx="160">
                  <c:v>6.520710059171598</c:v>
                </c:pt>
                <c:pt idx="161">
                  <c:v>6.5333579881656805</c:v>
                </c:pt>
                <c:pt idx="162">
                  <c:v>6.546005917159764</c:v>
                </c:pt>
                <c:pt idx="163">
                  <c:v>6.558653846153846</c:v>
                </c:pt>
                <c:pt idx="164">
                  <c:v>6.571301775147929</c:v>
                </c:pt>
                <c:pt idx="165">
                  <c:v>6.583949704142013</c:v>
                </c:pt>
                <c:pt idx="166">
                  <c:v>6.596597633136095</c:v>
                </c:pt>
                <c:pt idx="167">
                  <c:v>6.6092455621301776</c:v>
                </c:pt>
                <c:pt idx="168">
                  <c:v>6.621893491124261</c:v>
                </c:pt>
                <c:pt idx="169">
                  <c:v>6.634541420118343</c:v>
                </c:pt>
                <c:pt idx="170">
                  <c:v>6.647189349112426</c:v>
                </c:pt>
                <c:pt idx="171">
                  <c:v>6.65983727810651</c:v>
                </c:pt>
                <c:pt idx="172">
                  <c:v>6.672485207100592</c:v>
                </c:pt>
                <c:pt idx="173">
                  <c:v>6.685133136094675</c:v>
                </c:pt>
                <c:pt idx="174">
                  <c:v>6.697781065088758</c:v>
                </c:pt>
                <c:pt idx="175">
                  <c:v>6.71042899408284</c:v>
                </c:pt>
                <c:pt idx="176">
                  <c:v>6.723076923076923</c:v>
                </c:pt>
                <c:pt idx="177">
                  <c:v>6.735724852071007</c:v>
                </c:pt>
                <c:pt idx="178">
                  <c:v>6.748372781065089</c:v>
                </c:pt>
                <c:pt idx="179">
                  <c:v>6.761020710059172</c:v>
                </c:pt>
                <c:pt idx="180">
                  <c:v>6.7736686390532554</c:v>
                </c:pt>
                <c:pt idx="181">
                  <c:v>6.786316568047337</c:v>
                </c:pt>
                <c:pt idx="182">
                  <c:v>6.79896449704142</c:v>
                </c:pt>
                <c:pt idx="183">
                  <c:v>6.811612426035504</c:v>
                </c:pt>
                <c:pt idx="184">
                  <c:v>6.824260355029586</c:v>
                </c:pt>
                <c:pt idx="185">
                  <c:v>6.836908284023669</c:v>
                </c:pt>
                <c:pt idx="186">
                  <c:v>6.8495562130177525</c:v>
                </c:pt>
                <c:pt idx="187">
                  <c:v>6.8622041420118345</c:v>
                </c:pt>
                <c:pt idx="188">
                  <c:v>6.874852071005917</c:v>
                </c:pt>
                <c:pt idx="189">
                  <c:v>6.8875</c:v>
                </c:pt>
                <c:pt idx="190">
                  <c:v>6.900147928994083</c:v>
                </c:pt>
                <c:pt idx="191">
                  <c:v>6.912795857988166</c:v>
                </c:pt>
                <c:pt idx="192">
                  <c:v>6.92544378698225</c:v>
                </c:pt>
                <c:pt idx="193">
                  <c:v>6.938091715976332</c:v>
                </c:pt>
                <c:pt idx="194">
                  <c:v>6.950739644970414</c:v>
                </c:pt>
                <c:pt idx="195">
                  <c:v>6.963387573964498</c:v>
                </c:pt>
                <c:pt idx="196">
                  <c:v>6.97603550295858</c:v>
                </c:pt>
                <c:pt idx="197">
                  <c:v>6.988683431952663</c:v>
                </c:pt>
                <c:pt idx="198">
                  <c:v>7.001331360946747</c:v>
                </c:pt>
                <c:pt idx="199">
                  <c:v>7.013979289940829</c:v>
                </c:pt>
                <c:pt idx="200">
                  <c:v>7.0266272189349115</c:v>
                </c:pt>
                <c:pt idx="201">
                  <c:v>7.039275147928994</c:v>
                </c:pt>
                <c:pt idx="202">
                  <c:v>7.051923076923077</c:v>
                </c:pt>
                <c:pt idx="203">
                  <c:v>7.06457100591716</c:v>
                </c:pt>
                <c:pt idx="204">
                  <c:v>7.077218934911243</c:v>
                </c:pt>
                <c:pt idx="205">
                  <c:v>7.089866863905326</c:v>
                </c:pt>
                <c:pt idx="206">
                  <c:v>7.102514792899409</c:v>
                </c:pt>
                <c:pt idx="207">
                  <c:v>7.115162721893492</c:v>
                </c:pt>
                <c:pt idx="208">
                  <c:v>7.127810650887574</c:v>
                </c:pt>
                <c:pt idx="209">
                  <c:v>7.140458579881657</c:v>
                </c:pt>
                <c:pt idx="210">
                  <c:v>7.153106508875741</c:v>
                </c:pt>
                <c:pt idx="211">
                  <c:v>7.165754437869823</c:v>
                </c:pt>
                <c:pt idx="212">
                  <c:v>7.178402366863906</c:v>
                </c:pt>
                <c:pt idx="213">
                  <c:v>7.1910502958579885</c:v>
                </c:pt>
                <c:pt idx="214">
                  <c:v>7.203698224852071</c:v>
                </c:pt>
                <c:pt idx="215">
                  <c:v>7.216346153846154</c:v>
                </c:pt>
                <c:pt idx="216">
                  <c:v>7.228994082840238</c:v>
                </c:pt>
                <c:pt idx="217">
                  <c:v>7.24164201183432</c:v>
                </c:pt>
                <c:pt idx="218">
                  <c:v>7.254289940828403</c:v>
                </c:pt>
                <c:pt idx="219">
                  <c:v>7.2669378698224865</c:v>
                </c:pt>
                <c:pt idx="220">
                  <c:v>7.279585798816568</c:v>
                </c:pt>
                <c:pt idx="221">
                  <c:v>7.292233727810651</c:v>
                </c:pt>
                <c:pt idx="222">
                  <c:v>7.304881656804735</c:v>
                </c:pt>
                <c:pt idx="223">
                  <c:v>7.317529585798817</c:v>
                </c:pt>
                <c:pt idx="224">
                  <c:v>7.3301775147929</c:v>
                </c:pt>
                <c:pt idx="225">
                  <c:v>7.3428254437869835</c:v>
                </c:pt>
                <c:pt idx="226">
                  <c:v>7.3554733727810655</c:v>
                </c:pt>
                <c:pt idx="227">
                  <c:v>7.368121301775148</c:v>
                </c:pt>
                <c:pt idx="228">
                  <c:v>7.380769230769232</c:v>
                </c:pt>
                <c:pt idx="229">
                  <c:v>7.393417159763314</c:v>
                </c:pt>
                <c:pt idx="230">
                  <c:v>7.406065088757397</c:v>
                </c:pt>
                <c:pt idx="231">
                  <c:v>7.418713017751481</c:v>
                </c:pt>
                <c:pt idx="232">
                  <c:v>7.431360946745563</c:v>
                </c:pt>
                <c:pt idx="233">
                  <c:v>7.444008875739645</c:v>
                </c:pt>
                <c:pt idx="234">
                  <c:v>7.456656804733729</c:v>
                </c:pt>
                <c:pt idx="235">
                  <c:v>7.469304733727811</c:v>
                </c:pt>
                <c:pt idx="236">
                  <c:v>7.481952662721894</c:v>
                </c:pt>
                <c:pt idx="237">
                  <c:v>7.494600591715978</c:v>
                </c:pt>
                <c:pt idx="238">
                  <c:v>7.50724852071006</c:v>
                </c:pt>
                <c:pt idx="239">
                  <c:v>7.5198964497041425</c:v>
                </c:pt>
                <c:pt idx="240">
                  <c:v>7.532544378698226</c:v>
                </c:pt>
                <c:pt idx="241">
                  <c:v>7.545192307692308</c:v>
                </c:pt>
                <c:pt idx="242">
                  <c:v>7.557840236686391</c:v>
                </c:pt>
                <c:pt idx="243">
                  <c:v>7.570488165680475</c:v>
                </c:pt>
                <c:pt idx="244">
                  <c:v>7.583136094674557</c:v>
                </c:pt>
                <c:pt idx="245">
                  <c:v>7.59578402366864</c:v>
                </c:pt>
                <c:pt idx="246">
                  <c:v>7.608431952662723</c:v>
                </c:pt>
                <c:pt idx="247">
                  <c:v>7.621079881656805</c:v>
                </c:pt>
                <c:pt idx="248">
                  <c:v>7.633727810650888</c:v>
                </c:pt>
                <c:pt idx="249">
                  <c:v>7.646375739644972</c:v>
                </c:pt>
                <c:pt idx="250">
                  <c:v>7.659023668639054</c:v>
                </c:pt>
                <c:pt idx="251">
                  <c:v>7.671671597633137</c:v>
                </c:pt>
                <c:pt idx="252">
                  <c:v>7.68431952662722</c:v>
                </c:pt>
                <c:pt idx="253">
                  <c:v>7.696967455621302</c:v>
                </c:pt>
                <c:pt idx="254">
                  <c:v>7.709615384615385</c:v>
                </c:pt>
                <c:pt idx="255">
                  <c:v>7.722263313609469</c:v>
                </c:pt>
                <c:pt idx="256">
                  <c:v>7.734911242603551</c:v>
                </c:pt>
                <c:pt idx="257">
                  <c:v>7.747559171597634</c:v>
                </c:pt>
                <c:pt idx="258">
                  <c:v>7.7602071005917175</c:v>
                </c:pt>
                <c:pt idx="259">
                  <c:v>7.772855029585799</c:v>
                </c:pt>
                <c:pt idx="260">
                  <c:v>7.785502958579882</c:v>
                </c:pt>
                <c:pt idx="261">
                  <c:v>7.798150887573964</c:v>
                </c:pt>
                <c:pt idx="262">
                  <c:v>7.810798816568048</c:v>
                </c:pt>
                <c:pt idx="263">
                  <c:v>7.823446745562129</c:v>
                </c:pt>
                <c:pt idx="264">
                  <c:v>7.836094674556215</c:v>
                </c:pt>
                <c:pt idx="265">
                  <c:v>7.8487426035502965</c:v>
                </c:pt>
                <c:pt idx="266">
                  <c:v>7.861390532544379</c:v>
                </c:pt>
                <c:pt idx="267">
                  <c:v>7.874038461538463</c:v>
                </c:pt>
                <c:pt idx="268">
                  <c:v>7.886686390532545</c:v>
                </c:pt>
                <c:pt idx="269">
                  <c:v>7.899334319526628</c:v>
                </c:pt>
                <c:pt idx="270">
                  <c:v>7.911982248520712</c:v>
                </c:pt>
                <c:pt idx="271">
                  <c:v>7.924630177514794</c:v>
                </c:pt>
                <c:pt idx="272">
                  <c:v>7.937278106508876</c:v>
                </c:pt>
                <c:pt idx="273">
                  <c:v>7.949926035502958</c:v>
                </c:pt>
                <c:pt idx="274">
                  <c:v>7.962573964497042</c:v>
                </c:pt>
                <c:pt idx="275">
                  <c:v>7.975221893491123</c:v>
                </c:pt>
                <c:pt idx="276">
                  <c:v>7.987869822485207</c:v>
                </c:pt>
                <c:pt idx="277">
                  <c:v>8.00051775147929</c:v>
                </c:pt>
                <c:pt idx="278">
                  <c:v>8.013165680473374</c:v>
                </c:pt>
                <c:pt idx="279">
                  <c:v>8.025813609467457</c:v>
                </c:pt>
                <c:pt idx="280">
                  <c:v>8.038461538461538</c:v>
                </c:pt>
                <c:pt idx="281">
                  <c:v>8.051109467455623</c:v>
                </c:pt>
                <c:pt idx="282">
                  <c:v>8.063757396449706</c:v>
                </c:pt>
                <c:pt idx="283">
                  <c:v>8.076405325443787</c:v>
                </c:pt>
                <c:pt idx="284">
                  <c:v>8.089053254437871</c:v>
                </c:pt>
                <c:pt idx="285">
                  <c:v>8.101701183431954</c:v>
                </c:pt>
                <c:pt idx="286">
                  <c:v>8.114349112426035</c:v>
                </c:pt>
                <c:pt idx="287">
                  <c:v>8.126997041420118</c:v>
                </c:pt>
                <c:pt idx="288">
                  <c:v>8.139644970414201</c:v>
                </c:pt>
                <c:pt idx="289">
                  <c:v>8.152292899408284</c:v>
                </c:pt>
                <c:pt idx="290">
                  <c:v>8.164940828402367</c:v>
                </c:pt>
                <c:pt idx="291">
                  <c:v>8.17758875739645</c:v>
                </c:pt>
                <c:pt idx="292">
                  <c:v>8.190236686390532</c:v>
                </c:pt>
                <c:pt idx="293">
                  <c:v>8.202884615384615</c:v>
                </c:pt>
                <c:pt idx="294">
                  <c:v>8.2155325443787</c:v>
                </c:pt>
                <c:pt idx="295">
                  <c:v>8.228180473372781</c:v>
                </c:pt>
                <c:pt idx="296">
                  <c:v>8.240828402366864</c:v>
                </c:pt>
                <c:pt idx="297">
                  <c:v>8.253476331360948</c:v>
                </c:pt>
                <c:pt idx="298">
                  <c:v>8.26612426035503</c:v>
                </c:pt>
                <c:pt idx="299">
                  <c:v>8.278772189349112</c:v>
                </c:pt>
                <c:pt idx="300">
                  <c:v>8.291420118343195</c:v>
                </c:pt>
                <c:pt idx="301">
                  <c:v>8.304068047337278</c:v>
                </c:pt>
                <c:pt idx="302">
                  <c:v>8.316715976331361</c:v>
                </c:pt>
                <c:pt idx="303">
                  <c:v>8.329363905325444</c:v>
                </c:pt>
                <c:pt idx="304">
                  <c:v>8.342011834319527</c:v>
                </c:pt>
                <c:pt idx="305">
                  <c:v>8.35465976331361</c:v>
                </c:pt>
                <c:pt idx="306">
                  <c:v>8.367307692307694</c:v>
                </c:pt>
                <c:pt idx="307">
                  <c:v>8.379955621301775</c:v>
                </c:pt>
                <c:pt idx="308">
                  <c:v>8.392603550295858</c:v>
                </c:pt>
                <c:pt idx="309">
                  <c:v>8.405251479289943</c:v>
                </c:pt>
                <c:pt idx="310">
                  <c:v>8.417899408284024</c:v>
                </c:pt>
                <c:pt idx="311">
                  <c:v>8.430547337278107</c:v>
                </c:pt>
                <c:pt idx="312">
                  <c:v>8.44319526627219</c:v>
                </c:pt>
                <c:pt idx="313">
                  <c:v>8.455843195266272</c:v>
                </c:pt>
                <c:pt idx="314">
                  <c:v>8.468491124260355</c:v>
                </c:pt>
                <c:pt idx="315">
                  <c:v>8.481139053254438</c:v>
                </c:pt>
                <c:pt idx="316">
                  <c:v>8.49378698224852</c:v>
                </c:pt>
                <c:pt idx="317">
                  <c:v>8.506434911242604</c:v>
                </c:pt>
                <c:pt idx="318">
                  <c:v>8.519082840236686</c:v>
                </c:pt>
                <c:pt idx="319">
                  <c:v>8.53173076923077</c:v>
                </c:pt>
                <c:pt idx="320">
                  <c:v>8.544378698224852</c:v>
                </c:pt>
                <c:pt idx="321">
                  <c:v>8.557026627218937</c:v>
                </c:pt>
                <c:pt idx="322">
                  <c:v>8.569674556213018</c:v>
                </c:pt>
                <c:pt idx="323">
                  <c:v>8.5823224852071</c:v>
                </c:pt>
                <c:pt idx="324">
                  <c:v>8.594970414201184</c:v>
                </c:pt>
                <c:pt idx="325">
                  <c:v>8.607618343195266</c:v>
                </c:pt>
                <c:pt idx="326">
                  <c:v>8.62026627218935</c:v>
                </c:pt>
                <c:pt idx="327">
                  <c:v>8.632914201183432</c:v>
                </c:pt>
                <c:pt idx="328">
                  <c:v>8.645562130177515</c:v>
                </c:pt>
                <c:pt idx="329">
                  <c:v>8.658210059171598</c:v>
                </c:pt>
                <c:pt idx="330">
                  <c:v>8.67085798816568</c:v>
                </c:pt>
                <c:pt idx="331">
                  <c:v>8.683505917159763</c:v>
                </c:pt>
                <c:pt idx="332">
                  <c:v>8.696153846153846</c:v>
                </c:pt>
                <c:pt idx="333">
                  <c:v>8.70880177514793</c:v>
                </c:pt>
                <c:pt idx="334">
                  <c:v>8.721449704142012</c:v>
                </c:pt>
                <c:pt idx="335">
                  <c:v>8.734097633136095</c:v>
                </c:pt>
                <c:pt idx="336">
                  <c:v>8.746745562130178</c:v>
                </c:pt>
                <c:pt idx="337">
                  <c:v>8.75939349112426</c:v>
                </c:pt>
                <c:pt idx="338">
                  <c:v>8.772041420118343</c:v>
                </c:pt>
                <c:pt idx="339">
                  <c:v>8.784689349112426</c:v>
                </c:pt>
                <c:pt idx="340">
                  <c:v>8.79733727810651</c:v>
                </c:pt>
                <c:pt idx="341">
                  <c:v>8.809985207100592</c:v>
                </c:pt>
                <c:pt idx="342">
                  <c:v>8.822633136094675</c:v>
                </c:pt>
                <c:pt idx="343">
                  <c:v>8.835281065088758</c:v>
                </c:pt>
                <c:pt idx="344">
                  <c:v>8.84792899408284</c:v>
                </c:pt>
                <c:pt idx="345">
                  <c:v>8.860576923076923</c:v>
                </c:pt>
                <c:pt idx="346">
                  <c:v>8.873224852071006</c:v>
                </c:pt>
                <c:pt idx="347">
                  <c:v>8.885872781065089</c:v>
                </c:pt>
                <c:pt idx="348">
                  <c:v>8.898520710059172</c:v>
                </c:pt>
                <c:pt idx="349">
                  <c:v>8.911168639053255</c:v>
                </c:pt>
                <c:pt idx="350">
                  <c:v>8.923816568047338</c:v>
                </c:pt>
                <c:pt idx="351">
                  <c:v>8.93646449704142</c:v>
                </c:pt>
                <c:pt idx="352">
                  <c:v>8.949112426035503</c:v>
                </c:pt>
                <c:pt idx="353">
                  <c:v>8.961760355029586</c:v>
                </c:pt>
                <c:pt idx="354">
                  <c:v>8.974408284023669</c:v>
                </c:pt>
                <c:pt idx="355">
                  <c:v>8.987056213017752</c:v>
                </c:pt>
                <c:pt idx="356">
                  <c:v>8.999704142011835</c:v>
                </c:pt>
                <c:pt idx="357">
                  <c:v>9.012352071005918</c:v>
                </c:pt>
                <c:pt idx="358">
                  <c:v>9.025</c:v>
                </c:pt>
                <c:pt idx="359">
                  <c:v>9.037647928994083</c:v>
                </c:pt>
                <c:pt idx="360">
                  <c:v>9.050295857988166</c:v>
                </c:pt>
                <c:pt idx="361">
                  <c:v>9.062943786982249</c:v>
                </c:pt>
                <c:pt idx="362">
                  <c:v>9.075591715976332</c:v>
                </c:pt>
                <c:pt idx="363">
                  <c:v>9.088239644970415</c:v>
                </c:pt>
                <c:pt idx="364">
                  <c:v>9.100887573964497</c:v>
                </c:pt>
                <c:pt idx="365">
                  <c:v>9.11353550295858</c:v>
                </c:pt>
                <c:pt idx="366">
                  <c:v>9.126183431952663</c:v>
                </c:pt>
                <c:pt idx="367">
                  <c:v>9.138831360946746</c:v>
                </c:pt>
                <c:pt idx="368">
                  <c:v>9.151479289940829</c:v>
                </c:pt>
                <c:pt idx="369">
                  <c:v>9.164127218934912</c:v>
                </c:pt>
                <c:pt idx="370">
                  <c:v>9.176775147928995</c:v>
                </c:pt>
                <c:pt idx="371">
                  <c:v>9.189423076923077</c:v>
                </c:pt>
                <c:pt idx="372">
                  <c:v>9.20207100591716</c:v>
                </c:pt>
                <c:pt idx="373">
                  <c:v>9.214718934911243</c:v>
                </c:pt>
                <c:pt idx="374">
                  <c:v>9.227366863905326</c:v>
                </c:pt>
                <c:pt idx="375">
                  <c:v>9.240014792899409</c:v>
                </c:pt>
                <c:pt idx="376">
                  <c:v>9.252662721893492</c:v>
                </c:pt>
                <c:pt idx="377">
                  <c:v>9.265310650887574</c:v>
                </c:pt>
                <c:pt idx="378">
                  <c:v>9.277958579881656</c:v>
                </c:pt>
                <c:pt idx="379">
                  <c:v>9.29060650887574</c:v>
                </c:pt>
                <c:pt idx="380">
                  <c:v>9.303254437869823</c:v>
                </c:pt>
                <c:pt idx="381">
                  <c:v>9.315902366863904</c:v>
                </c:pt>
                <c:pt idx="382">
                  <c:v>9.328550295857989</c:v>
                </c:pt>
                <c:pt idx="383">
                  <c:v>9.341198224852072</c:v>
                </c:pt>
                <c:pt idx="384">
                  <c:v>9.353846153846154</c:v>
                </c:pt>
                <c:pt idx="385">
                  <c:v>9.366494082840237</c:v>
                </c:pt>
                <c:pt idx="386">
                  <c:v>9.37914201183432</c:v>
                </c:pt>
                <c:pt idx="387">
                  <c:v>9.391789940828403</c:v>
                </c:pt>
                <c:pt idx="388">
                  <c:v>9.404437869822486</c:v>
                </c:pt>
                <c:pt idx="389">
                  <c:v>9.417085798816569</c:v>
                </c:pt>
                <c:pt idx="390">
                  <c:v>9.429733727810651</c:v>
                </c:pt>
                <c:pt idx="391">
                  <c:v>9.442381656804734</c:v>
                </c:pt>
                <c:pt idx="392">
                  <c:v>9.455029585798817</c:v>
                </c:pt>
                <c:pt idx="393">
                  <c:v>9.4676775147929</c:v>
                </c:pt>
                <c:pt idx="394">
                  <c:v>9.480325443786983</c:v>
                </c:pt>
                <c:pt idx="395">
                  <c:v>9.492973372781066</c:v>
                </c:pt>
                <c:pt idx="396">
                  <c:v>9.505621301775149</c:v>
                </c:pt>
                <c:pt idx="397">
                  <c:v>9.518269230769231</c:v>
                </c:pt>
                <c:pt idx="398">
                  <c:v>9.530917159763314</c:v>
                </c:pt>
                <c:pt idx="399">
                  <c:v>9.543565088757397</c:v>
                </c:pt>
                <c:pt idx="400">
                  <c:v>9.55621301775148</c:v>
                </c:pt>
                <c:pt idx="401">
                  <c:v>9.568860946745563</c:v>
                </c:pt>
                <c:pt idx="402">
                  <c:v>9.581508875739644</c:v>
                </c:pt>
                <c:pt idx="403">
                  <c:v>9.594156804733728</c:v>
                </c:pt>
                <c:pt idx="404">
                  <c:v>9.606804733727811</c:v>
                </c:pt>
                <c:pt idx="405">
                  <c:v>9.619452662721892</c:v>
                </c:pt>
                <c:pt idx="406">
                  <c:v>9.632100591715977</c:v>
                </c:pt>
                <c:pt idx="407">
                  <c:v>9.64474852071006</c:v>
                </c:pt>
                <c:pt idx="408">
                  <c:v>9.657396449704141</c:v>
                </c:pt>
                <c:pt idx="409">
                  <c:v>9.670044378698224</c:v>
                </c:pt>
                <c:pt idx="410">
                  <c:v>9.682692307692308</c:v>
                </c:pt>
                <c:pt idx="411">
                  <c:v>9.69534023668639</c:v>
                </c:pt>
                <c:pt idx="412">
                  <c:v>9.707988165680472</c:v>
                </c:pt>
                <c:pt idx="413">
                  <c:v>9.720636094674557</c:v>
                </c:pt>
                <c:pt idx="414">
                  <c:v>9.73328402366864</c:v>
                </c:pt>
                <c:pt idx="415">
                  <c:v>9.745931952662723</c:v>
                </c:pt>
                <c:pt idx="416">
                  <c:v>9.758579881656805</c:v>
                </c:pt>
                <c:pt idx="417">
                  <c:v>9.771227810650888</c:v>
                </c:pt>
                <c:pt idx="418">
                  <c:v>9.783875739644971</c:v>
                </c:pt>
                <c:pt idx="419">
                  <c:v>9.796523668639054</c:v>
                </c:pt>
                <c:pt idx="420">
                  <c:v>9.809171597633137</c:v>
                </c:pt>
                <c:pt idx="421">
                  <c:v>9.82181952662722</c:v>
                </c:pt>
                <c:pt idx="422">
                  <c:v>9.834467455621303</c:v>
                </c:pt>
                <c:pt idx="423">
                  <c:v>9.847115384615385</c:v>
                </c:pt>
                <c:pt idx="424">
                  <c:v>9.859763313609468</c:v>
                </c:pt>
                <c:pt idx="425">
                  <c:v>9.872411242603551</c:v>
                </c:pt>
                <c:pt idx="426">
                  <c:v>9.885059171597632</c:v>
                </c:pt>
                <c:pt idx="427">
                  <c:v>9.897707100591717</c:v>
                </c:pt>
                <c:pt idx="428">
                  <c:v>9.9103550295858</c:v>
                </c:pt>
                <c:pt idx="429">
                  <c:v>9.92300295857988</c:v>
                </c:pt>
                <c:pt idx="430">
                  <c:v>9.935650887573965</c:v>
                </c:pt>
                <c:pt idx="431">
                  <c:v>9.948298816568048</c:v>
                </c:pt>
                <c:pt idx="432">
                  <c:v>9.96094674556213</c:v>
                </c:pt>
                <c:pt idx="433">
                  <c:v>9.973594674556212</c:v>
                </c:pt>
                <c:pt idx="434">
                  <c:v>9.986242603550297</c:v>
                </c:pt>
                <c:pt idx="435">
                  <c:v>9.998890532544378</c:v>
                </c:pt>
                <c:pt idx="436">
                  <c:v>10.01153846153846</c:v>
                </c:pt>
                <c:pt idx="437">
                  <c:v>10.024186390532545</c:v>
                </c:pt>
                <c:pt idx="438">
                  <c:v>10.036834319526626</c:v>
                </c:pt>
                <c:pt idx="439">
                  <c:v>10.04948224852071</c:v>
                </c:pt>
                <c:pt idx="440">
                  <c:v>10.062130177514794</c:v>
                </c:pt>
                <c:pt idx="441">
                  <c:v>10.074778106508877</c:v>
                </c:pt>
                <c:pt idx="442">
                  <c:v>10.08742603550296</c:v>
                </c:pt>
                <c:pt idx="443">
                  <c:v>10.100073964497042</c:v>
                </c:pt>
                <c:pt idx="444">
                  <c:v>10.112721893491125</c:v>
                </c:pt>
                <c:pt idx="445">
                  <c:v>10.125369822485208</c:v>
                </c:pt>
                <c:pt idx="446">
                  <c:v>10.13801775147929</c:v>
                </c:pt>
                <c:pt idx="447">
                  <c:v>10.150665680473374</c:v>
                </c:pt>
                <c:pt idx="448">
                  <c:v>10.163313609467457</c:v>
                </c:pt>
                <c:pt idx="449">
                  <c:v>10.17596153846154</c:v>
                </c:pt>
                <c:pt idx="450">
                  <c:v>10.18860946745562</c:v>
                </c:pt>
                <c:pt idx="451">
                  <c:v>10.201257396449705</c:v>
                </c:pt>
                <c:pt idx="452">
                  <c:v>10.213905325443788</c:v>
                </c:pt>
                <c:pt idx="453">
                  <c:v>10.226553254437869</c:v>
                </c:pt>
                <c:pt idx="454">
                  <c:v>10.239201183431954</c:v>
                </c:pt>
                <c:pt idx="455">
                  <c:v>10.251849112426036</c:v>
                </c:pt>
                <c:pt idx="456">
                  <c:v>10.264497041420118</c:v>
                </c:pt>
                <c:pt idx="457">
                  <c:v>10.2771449704142</c:v>
                </c:pt>
                <c:pt idx="458">
                  <c:v>10.289792899408285</c:v>
                </c:pt>
                <c:pt idx="459">
                  <c:v>10.302440828402366</c:v>
                </c:pt>
                <c:pt idx="460">
                  <c:v>10.315088757396449</c:v>
                </c:pt>
                <c:pt idx="461">
                  <c:v>10.327736686390534</c:v>
                </c:pt>
                <c:pt idx="462">
                  <c:v>10.340384615384615</c:v>
                </c:pt>
                <c:pt idx="463">
                  <c:v>10.353032544378697</c:v>
                </c:pt>
                <c:pt idx="464">
                  <c:v>10.365680473372782</c:v>
                </c:pt>
                <c:pt idx="465">
                  <c:v>10.378328402366863</c:v>
                </c:pt>
                <c:pt idx="466">
                  <c:v>10.390976331360946</c:v>
                </c:pt>
                <c:pt idx="467">
                  <c:v>10.40362426035503</c:v>
                </c:pt>
                <c:pt idx="468">
                  <c:v>10.416272189349112</c:v>
                </c:pt>
                <c:pt idx="469">
                  <c:v>10.428920118343195</c:v>
                </c:pt>
                <c:pt idx="470">
                  <c:v>10.44156804733728</c:v>
                </c:pt>
                <c:pt idx="471">
                  <c:v>10.454215976331362</c:v>
                </c:pt>
                <c:pt idx="472">
                  <c:v>10.466863905325445</c:v>
                </c:pt>
                <c:pt idx="473">
                  <c:v>10.479511834319528</c:v>
                </c:pt>
                <c:pt idx="474">
                  <c:v>10.492159763313609</c:v>
                </c:pt>
                <c:pt idx="475">
                  <c:v>10.504807692307693</c:v>
                </c:pt>
                <c:pt idx="476">
                  <c:v>10.517455621301776</c:v>
                </c:pt>
                <c:pt idx="477">
                  <c:v>10.530103550295857</c:v>
                </c:pt>
                <c:pt idx="478">
                  <c:v>10.542751479289942</c:v>
                </c:pt>
                <c:pt idx="479">
                  <c:v>10.555399408284025</c:v>
                </c:pt>
                <c:pt idx="480">
                  <c:v>10.568047337278106</c:v>
                </c:pt>
                <c:pt idx="481">
                  <c:v>10.580695266272189</c:v>
                </c:pt>
                <c:pt idx="482">
                  <c:v>10.593343195266273</c:v>
                </c:pt>
                <c:pt idx="483">
                  <c:v>10.605991124260354</c:v>
                </c:pt>
                <c:pt idx="484">
                  <c:v>10.618639053254437</c:v>
                </c:pt>
                <c:pt idx="485">
                  <c:v>10.631286982248522</c:v>
                </c:pt>
                <c:pt idx="486">
                  <c:v>10.643934911242603</c:v>
                </c:pt>
                <c:pt idx="487">
                  <c:v>10.656582840236686</c:v>
                </c:pt>
                <c:pt idx="488">
                  <c:v>10.66923076923077</c:v>
                </c:pt>
                <c:pt idx="489">
                  <c:v>10.681878698224851</c:v>
                </c:pt>
                <c:pt idx="490">
                  <c:v>10.694526627218934</c:v>
                </c:pt>
                <c:pt idx="491">
                  <c:v>10.707174556213019</c:v>
                </c:pt>
                <c:pt idx="492">
                  <c:v>10.7198224852071</c:v>
                </c:pt>
                <c:pt idx="493">
                  <c:v>10.732470414201183</c:v>
                </c:pt>
                <c:pt idx="494">
                  <c:v>10.745118343195267</c:v>
                </c:pt>
                <c:pt idx="495">
                  <c:v>10.757766272189349</c:v>
                </c:pt>
                <c:pt idx="496">
                  <c:v>10.770414201183431</c:v>
                </c:pt>
                <c:pt idx="497">
                  <c:v>10.783062130177516</c:v>
                </c:pt>
                <c:pt idx="498">
                  <c:v>10.795710059171597</c:v>
                </c:pt>
                <c:pt idx="499">
                  <c:v>10.808357988165682</c:v>
                </c:pt>
                <c:pt idx="500">
                  <c:v>10.821005917159765</c:v>
                </c:pt>
                <c:pt idx="501">
                  <c:v>10.833653846153846</c:v>
                </c:pt>
                <c:pt idx="502">
                  <c:v>10.84630177514793</c:v>
                </c:pt>
                <c:pt idx="503">
                  <c:v>10.858949704142013</c:v>
                </c:pt>
                <c:pt idx="504">
                  <c:v>10.871597633136094</c:v>
                </c:pt>
                <c:pt idx="505">
                  <c:v>10.884245562130177</c:v>
                </c:pt>
                <c:pt idx="506">
                  <c:v>10.896893491124262</c:v>
                </c:pt>
                <c:pt idx="507">
                  <c:v>10.909541420118343</c:v>
                </c:pt>
                <c:pt idx="508">
                  <c:v>10.922189349112426</c:v>
                </c:pt>
                <c:pt idx="509">
                  <c:v>10.93483727810651</c:v>
                </c:pt>
                <c:pt idx="510">
                  <c:v>10.947485207100591</c:v>
                </c:pt>
                <c:pt idx="511">
                  <c:v>10.960133136094674</c:v>
                </c:pt>
                <c:pt idx="512">
                  <c:v>10.972781065088759</c:v>
                </c:pt>
                <c:pt idx="513">
                  <c:v>10.98542899408284</c:v>
                </c:pt>
                <c:pt idx="514">
                  <c:v>10.998076923076923</c:v>
                </c:pt>
                <c:pt idx="515">
                  <c:v>11.010724852071007</c:v>
                </c:pt>
                <c:pt idx="516">
                  <c:v>11.023372781065088</c:v>
                </c:pt>
                <c:pt idx="517">
                  <c:v>11.036020710059171</c:v>
                </c:pt>
                <c:pt idx="518">
                  <c:v>11.048668639053256</c:v>
                </c:pt>
                <c:pt idx="519">
                  <c:v>11.061316568047337</c:v>
                </c:pt>
                <c:pt idx="520">
                  <c:v>11.07396449704142</c:v>
                </c:pt>
                <c:pt idx="521">
                  <c:v>11.086612426035504</c:v>
                </c:pt>
                <c:pt idx="522">
                  <c:v>11.099260355029585</c:v>
                </c:pt>
                <c:pt idx="523">
                  <c:v>11.111908284023668</c:v>
                </c:pt>
                <c:pt idx="524">
                  <c:v>11.124556213017753</c:v>
                </c:pt>
                <c:pt idx="525">
                  <c:v>11.137204142011834</c:v>
                </c:pt>
                <c:pt idx="526">
                  <c:v>11.149852071005917</c:v>
                </c:pt>
                <c:pt idx="527">
                  <c:v>11.162500000000001</c:v>
                </c:pt>
                <c:pt idx="528">
                  <c:v>11.175147928994082</c:v>
                </c:pt>
                <c:pt idx="529">
                  <c:v>11.187795857988165</c:v>
                </c:pt>
                <c:pt idx="530">
                  <c:v>11.20044378698225</c:v>
                </c:pt>
                <c:pt idx="531">
                  <c:v>11.213091715976331</c:v>
                </c:pt>
                <c:pt idx="532">
                  <c:v>11.225739644970414</c:v>
                </c:pt>
                <c:pt idx="533">
                  <c:v>11.238387573964499</c:v>
                </c:pt>
                <c:pt idx="534">
                  <c:v>11.25103550295858</c:v>
                </c:pt>
                <c:pt idx="535">
                  <c:v>11.263683431952662</c:v>
                </c:pt>
                <c:pt idx="536">
                  <c:v>11.276331360946747</c:v>
                </c:pt>
                <c:pt idx="537">
                  <c:v>11.288979289940828</c:v>
                </c:pt>
                <c:pt idx="538">
                  <c:v>11.301627218934911</c:v>
                </c:pt>
                <c:pt idx="539">
                  <c:v>11.314275147928996</c:v>
                </c:pt>
                <c:pt idx="540">
                  <c:v>11.326923076923077</c:v>
                </c:pt>
                <c:pt idx="541">
                  <c:v>11.33957100591716</c:v>
                </c:pt>
                <c:pt idx="542">
                  <c:v>11.352218934911244</c:v>
                </c:pt>
                <c:pt idx="543">
                  <c:v>11.364866863905325</c:v>
                </c:pt>
                <c:pt idx="544">
                  <c:v>11.377514792899408</c:v>
                </c:pt>
                <c:pt idx="545">
                  <c:v>11.390162721893493</c:v>
                </c:pt>
                <c:pt idx="546">
                  <c:v>11.402810650887574</c:v>
                </c:pt>
                <c:pt idx="547">
                  <c:v>11.415458579881657</c:v>
                </c:pt>
                <c:pt idx="548">
                  <c:v>11.428106508875741</c:v>
                </c:pt>
                <c:pt idx="549">
                  <c:v>11.440754437869822</c:v>
                </c:pt>
                <c:pt idx="550">
                  <c:v>11.453402366863905</c:v>
                </c:pt>
                <c:pt idx="551">
                  <c:v>11.46605029585799</c:v>
                </c:pt>
                <c:pt idx="552">
                  <c:v>11.47869822485207</c:v>
                </c:pt>
                <c:pt idx="553">
                  <c:v>11.491346153846154</c:v>
                </c:pt>
                <c:pt idx="554">
                  <c:v>11.503994082840237</c:v>
                </c:pt>
                <c:pt idx="555">
                  <c:v>11.51664201183432</c:v>
                </c:pt>
                <c:pt idx="556">
                  <c:v>11.529289940828402</c:v>
                </c:pt>
                <c:pt idx="557">
                  <c:v>11.541937869822487</c:v>
                </c:pt>
                <c:pt idx="558">
                  <c:v>11.554585798816568</c:v>
                </c:pt>
                <c:pt idx="559">
                  <c:v>11.56723372781065</c:v>
                </c:pt>
                <c:pt idx="560">
                  <c:v>11.579881656804735</c:v>
                </c:pt>
                <c:pt idx="561">
                  <c:v>11.592529585798816</c:v>
                </c:pt>
                <c:pt idx="562">
                  <c:v>11.6051775147929</c:v>
                </c:pt>
                <c:pt idx="563">
                  <c:v>11.617825443786984</c:v>
                </c:pt>
                <c:pt idx="564">
                  <c:v>11.630473372781065</c:v>
                </c:pt>
                <c:pt idx="565">
                  <c:v>11.643121301775148</c:v>
                </c:pt>
                <c:pt idx="566">
                  <c:v>11.655769230769232</c:v>
                </c:pt>
                <c:pt idx="567">
                  <c:v>11.668417159763314</c:v>
                </c:pt>
                <c:pt idx="568">
                  <c:v>11.681065088757396</c:v>
                </c:pt>
                <c:pt idx="569">
                  <c:v>11.693713017751481</c:v>
                </c:pt>
                <c:pt idx="570">
                  <c:v>11.706360946745562</c:v>
                </c:pt>
                <c:pt idx="571">
                  <c:v>11.719008875739645</c:v>
                </c:pt>
                <c:pt idx="572">
                  <c:v>11.73165680473373</c:v>
                </c:pt>
                <c:pt idx="573">
                  <c:v>11.74430473372781</c:v>
                </c:pt>
                <c:pt idx="574">
                  <c:v>11.756952662721893</c:v>
                </c:pt>
                <c:pt idx="575">
                  <c:v>11.769600591715978</c:v>
                </c:pt>
                <c:pt idx="576">
                  <c:v>11.78224852071006</c:v>
                </c:pt>
                <c:pt idx="577">
                  <c:v>11.794896449704142</c:v>
                </c:pt>
                <c:pt idx="578">
                  <c:v>11.807544378698227</c:v>
                </c:pt>
                <c:pt idx="579">
                  <c:v>11.820192307692308</c:v>
                </c:pt>
                <c:pt idx="580">
                  <c:v>11.83284023668639</c:v>
                </c:pt>
                <c:pt idx="581">
                  <c:v>11.845488165680475</c:v>
                </c:pt>
                <c:pt idx="582">
                  <c:v>11.858136094674556</c:v>
                </c:pt>
                <c:pt idx="583">
                  <c:v>11.870784023668639</c:v>
                </c:pt>
                <c:pt idx="584">
                  <c:v>11.883431952662724</c:v>
                </c:pt>
                <c:pt idx="585">
                  <c:v>11.896079881656805</c:v>
                </c:pt>
                <c:pt idx="586">
                  <c:v>11.908727810650888</c:v>
                </c:pt>
                <c:pt idx="587">
                  <c:v>11.921375739644972</c:v>
                </c:pt>
                <c:pt idx="588">
                  <c:v>11.934023668639053</c:v>
                </c:pt>
                <c:pt idx="589">
                  <c:v>11.946671597633136</c:v>
                </c:pt>
                <c:pt idx="590">
                  <c:v>11.95931952662722</c:v>
                </c:pt>
                <c:pt idx="591">
                  <c:v>11.971967455621302</c:v>
                </c:pt>
                <c:pt idx="592">
                  <c:v>11.984615384615385</c:v>
                </c:pt>
                <c:pt idx="593">
                  <c:v>11.99726331360947</c:v>
                </c:pt>
                <c:pt idx="594">
                  <c:v>12.00991124260355</c:v>
                </c:pt>
                <c:pt idx="595">
                  <c:v>12.022559171597633</c:v>
                </c:pt>
                <c:pt idx="596">
                  <c:v>12.035207100591718</c:v>
                </c:pt>
                <c:pt idx="597">
                  <c:v>12.047855029585799</c:v>
                </c:pt>
                <c:pt idx="598">
                  <c:v>12.060502958579882</c:v>
                </c:pt>
                <c:pt idx="599">
                  <c:v>12.073150887573966</c:v>
                </c:pt>
                <c:pt idx="600">
                  <c:v>12.085798816568047</c:v>
                </c:pt>
                <c:pt idx="601">
                  <c:v>12.09844674556213</c:v>
                </c:pt>
                <c:pt idx="602">
                  <c:v>12.111094674556215</c:v>
                </c:pt>
                <c:pt idx="603">
                  <c:v>12.123742603550296</c:v>
                </c:pt>
                <c:pt idx="604">
                  <c:v>12.136390532544379</c:v>
                </c:pt>
                <c:pt idx="605">
                  <c:v>12.149038461538463</c:v>
                </c:pt>
                <c:pt idx="606">
                  <c:v>12.161686390532545</c:v>
                </c:pt>
                <c:pt idx="607">
                  <c:v>12.174334319526627</c:v>
                </c:pt>
                <c:pt idx="608">
                  <c:v>12.186982248520712</c:v>
                </c:pt>
                <c:pt idx="609">
                  <c:v>12.199630177514793</c:v>
                </c:pt>
                <c:pt idx="610">
                  <c:v>12.212278106508876</c:v>
                </c:pt>
                <c:pt idx="611">
                  <c:v>12.224926035502957</c:v>
                </c:pt>
                <c:pt idx="612">
                  <c:v>12.237573964497042</c:v>
                </c:pt>
                <c:pt idx="613">
                  <c:v>12.250221893491124</c:v>
                </c:pt>
                <c:pt idx="614">
                  <c:v>12.262869822485209</c:v>
                </c:pt>
                <c:pt idx="615">
                  <c:v>12.27551775147929</c:v>
                </c:pt>
                <c:pt idx="616">
                  <c:v>12.288165680473373</c:v>
                </c:pt>
                <c:pt idx="617">
                  <c:v>12.300813609467458</c:v>
                </c:pt>
                <c:pt idx="618">
                  <c:v>12.313461538461539</c:v>
                </c:pt>
                <c:pt idx="619">
                  <c:v>12.326109467455622</c:v>
                </c:pt>
                <c:pt idx="620">
                  <c:v>12.338757396449706</c:v>
                </c:pt>
                <c:pt idx="621">
                  <c:v>12.351405325443787</c:v>
                </c:pt>
                <c:pt idx="622">
                  <c:v>12.36405325443787</c:v>
                </c:pt>
                <c:pt idx="623">
                  <c:v>12.376701183431955</c:v>
                </c:pt>
                <c:pt idx="624">
                  <c:v>12.389349112426036</c:v>
                </c:pt>
                <c:pt idx="625">
                  <c:v>12.401997041420119</c:v>
                </c:pt>
                <c:pt idx="626">
                  <c:v>12.414644970414203</c:v>
                </c:pt>
                <c:pt idx="627">
                  <c:v>12.427292899408284</c:v>
                </c:pt>
                <c:pt idx="628">
                  <c:v>12.439940828402367</c:v>
                </c:pt>
                <c:pt idx="629">
                  <c:v>12.452588757396452</c:v>
                </c:pt>
                <c:pt idx="630">
                  <c:v>12.465236686390533</c:v>
                </c:pt>
                <c:pt idx="631">
                  <c:v>12.477884615384616</c:v>
                </c:pt>
                <c:pt idx="632">
                  <c:v>12.4905325443787</c:v>
                </c:pt>
                <c:pt idx="633">
                  <c:v>12.503180473372781</c:v>
                </c:pt>
                <c:pt idx="634">
                  <c:v>12.515828402366864</c:v>
                </c:pt>
                <c:pt idx="635">
                  <c:v>12.528476331360945</c:v>
                </c:pt>
                <c:pt idx="636">
                  <c:v>12.54112426035503</c:v>
                </c:pt>
                <c:pt idx="637">
                  <c:v>12.553772189349113</c:v>
                </c:pt>
                <c:pt idx="638">
                  <c:v>12.566420118343194</c:v>
                </c:pt>
                <c:pt idx="639">
                  <c:v>12.579068047337278</c:v>
                </c:pt>
                <c:pt idx="640">
                  <c:v>12.591715976331361</c:v>
                </c:pt>
                <c:pt idx="641">
                  <c:v>12.604363905325446</c:v>
                </c:pt>
                <c:pt idx="642">
                  <c:v>12.617011834319527</c:v>
                </c:pt>
                <c:pt idx="643">
                  <c:v>12.62965976331361</c:v>
                </c:pt>
                <c:pt idx="644">
                  <c:v>12.642307692307694</c:v>
                </c:pt>
                <c:pt idx="645">
                  <c:v>12.654955621301776</c:v>
                </c:pt>
                <c:pt idx="646">
                  <c:v>12.667603550295858</c:v>
                </c:pt>
                <c:pt idx="647">
                  <c:v>12.680251479289943</c:v>
                </c:pt>
                <c:pt idx="648">
                  <c:v>12.692899408284024</c:v>
                </c:pt>
                <c:pt idx="649">
                  <c:v>12.705547337278107</c:v>
                </c:pt>
                <c:pt idx="650">
                  <c:v>12.718195266272192</c:v>
                </c:pt>
                <c:pt idx="651">
                  <c:v>12.730843195266273</c:v>
                </c:pt>
                <c:pt idx="652">
                  <c:v>12.743491124260355</c:v>
                </c:pt>
                <c:pt idx="653">
                  <c:v>12.75613905325444</c:v>
                </c:pt>
                <c:pt idx="654">
                  <c:v>12.768786982248521</c:v>
                </c:pt>
                <c:pt idx="655">
                  <c:v>12.781434911242604</c:v>
                </c:pt>
                <c:pt idx="656">
                  <c:v>12.794082840236689</c:v>
                </c:pt>
                <c:pt idx="657">
                  <c:v>12.80673076923077</c:v>
                </c:pt>
                <c:pt idx="658">
                  <c:v>12.819378698224853</c:v>
                </c:pt>
                <c:pt idx="659">
                  <c:v>12.832026627218934</c:v>
                </c:pt>
                <c:pt idx="660">
                  <c:v>12.844674556213018</c:v>
                </c:pt>
                <c:pt idx="661">
                  <c:v>12.857322485207101</c:v>
                </c:pt>
                <c:pt idx="662">
                  <c:v>12.869970414201182</c:v>
                </c:pt>
                <c:pt idx="663">
                  <c:v>12.882618343195267</c:v>
                </c:pt>
                <c:pt idx="664">
                  <c:v>12.89526627218935</c:v>
                </c:pt>
                <c:pt idx="665">
                  <c:v>12.90791420118343</c:v>
                </c:pt>
                <c:pt idx="666">
                  <c:v>12.920562130177515</c:v>
                </c:pt>
                <c:pt idx="667">
                  <c:v>12.933210059171598</c:v>
                </c:pt>
                <c:pt idx="668">
                  <c:v>12.94585798816568</c:v>
                </c:pt>
                <c:pt idx="669">
                  <c:v>12.958505917159764</c:v>
                </c:pt>
                <c:pt idx="670">
                  <c:v>12.971153846153847</c:v>
                </c:pt>
                <c:pt idx="671">
                  <c:v>12.983801775147931</c:v>
                </c:pt>
                <c:pt idx="672">
                  <c:v>12.996449704142012</c:v>
                </c:pt>
                <c:pt idx="673">
                  <c:v>13.009097633136095</c:v>
                </c:pt>
                <c:pt idx="674">
                  <c:v>13.02174556213018</c:v>
                </c:pt>
                <c:pt idx="675">
                  <c:v>13.034393491124261</c:v>
                </c:pt>
                <c:pt idx="676">
                  <c:v>13.047041420118344</c:v>
                </c:pt>
                <c:pt idx="677">
                  <c:v>13.059689349112428</c:v>
                </c:pt>
                <c:pt idx="678">
                  <c:v>13.07233727810651</c:v>
                </c:pt>
                <c:pt idx="679">
                  <c:v>13.084985207100592</c:v>
                </c:pt>
                <c:pt idx="680">
                  <c:v>13.097633136094677</c:v>
                </c:pt>
                <c:pt idx="681">
                  <c:v>13.110281065088758</c:v>
                </c:pt>
                <c:pt idx="682">
                  <c:v>13.12292899408284</c:v>
                </c:pt>
                <c:pt idx="683">
                  <c:v>13.135576923076922</c:v>
                </c:pt>
                <c:pt idx="684">
                  <c:v>13.148224852071007</c:v>
                </c:pt>
                <c:pt idx="685">
                  <c:v>13.16087278106509</c:v>
                </c:pt>
                <c:pt idx="686">
                  <c:v>13.17352071005917</c:v>
                </c:pt>
                <c:pt idx="687">
                  <c:v>13.186168639053255</c:v>
                </c:pt>
                <c:pt idx="688">
                  <c:v>13.198816568047338</c:v>
                </c:pt>
                <c:pt idx="689">
                  <c:v>13.211464497041419</c:v>
                </c:pt>
                <c:pt idx="690">
                  <c:v>13.224112426035504</c:v>
                </c:pt>
                <c:pt idx="691">
                  <c:v>13.236760355029586</c:v>
                </c:pt>
                <c:pt idx="692">
                  <c:v>13.249408284023668</c:v>
                </c:pt>
                <c:pt idx="693">
                  <c:v>13.262056213017752</c:v>
                </c:pt>
                <c:pt idx="694">
                  <c:v>13.274704142011835</c:v>
                </c:pt>
                <c:pt idx="695">
                  <c:v>13.287352071005916</c:v>
                </c:pt>
                <c:pt idx="696">
                  <c:v>13.3</c:v>
                </c:pt>
                <c:pt idx="697">
                  <c:v>13.312647928994084</c:v>
                </c:pt>
                <c:pt idx="698">
                  <c:v>13.325295857988168</c:v>
                </c:pt>
                <c:pt idx="699">
                  <c:v>13.33794378698225</c:v>
                </c:pt>
                <c:pt idx="700">
                  <c:v>13.350591715976332</c:v>
                </c:pt>
                <c:pt idx="701">
                  <c:v>13.363239644970417</c:v>
                </c:pt>
                <c:pt idx="702">
                  <c:v>13.375887573964498</c:v>
                </c:pt>
                <c:pt idx="703">
                  <c:v>13.38853550295858</c:v>
                </c:pt>
                <c:pt idx="704">
                  <c:v>13.401183431952665</c:v>
                </c:pt>
                <c:pt idx="705">
                  <c:v>13.413831360946746</c:v>
                </c:pt>
                <c:pt idx="706">
                  <c:v>13.42647928994083</c:v>
                </c:pt>
                <c:pt idx="707">
                  <c:v>13.43912721893491</c:v>
                </c:pt>
                <c:pt idx="708">
                  <c:v>13.451775147928995</c:v>
                </c:pt>
                <c:pt idx="709">
                  <c:v>13.464423076923078</c:v>
                </c:pt>
                <c:pt idx="710">
                  <c:v>13.477071005917159</c:v>
                </c:pt>
                <c:pt idx="711">
                  <c:v>13.489718934911243</c:v>
                </c:pt>
                <c:pt idx="712">
                  <c:v>13.502366863905326</c:v>
                </c:pt>
                <c:pt idx="713">
                  <c:v>13.515014792899407</c:v>
                </c:pt>
                <c:pt idx="714">
                  <c:v>13.527662721893492</c:v>
                </c:pt>
                <c:pt idx="715">
                  <c:v>13.540310650887575</c:v>
                </c:pt>
                <c:pt idx="716">
                  <c:v>13.552958579881656</c:v>
                </c:pt>
                <c:pt idx="717">
                  <c:v>13.56560650887574</c:v>
                </c:pt>
                <c:pt idx="718">
                  <c:v>13.578254437869823</c:v>
                </c:pt>
                <c:pt idx="719">
                  <c:v>13.590902366863904</c:v>
                </c:pt>
                <c:pt idx="720">
                  <c:v>13.603550295857989</c:v>
                </c:pt>
                <c:pt idx="721">
                  <c:v>13.616198224852072</c:v>
                </c:pt>
                <c:pt idx="722">
                  <c:v>13.628846153846153</c:v>
                </c:pt>
                <c:pt idx="723">
                  <c:v>13.641494082840238</c:v>
                </c:pt>
                <c:pt idx="724">
                  <c:v>13.65414201183432</c:v>
                </c:pt>
                <c:pt idx="725">
                  <c:v>13.666789940828401</c:v>
                </c:pt>
                <c:pt idx="726">
                  <c:v>13.679437869822486</c:v>
                </c:pt>
                <c:pt idx="727">
                  <c:v>13.692085798816569</c:v>
                </c:pt>
                <c:pt idx="728">
                  <c:v>13.704733727810654</c:v>
                </c:pt>
                <c:pt idx="729">
                  <c:v>13.717381656804735</c:v>
                </c:pt>
                <c:pt idx="730">
                  <c:v>13.730029585798817</c:v>
                </c:pt>
                <c:pt idx="731">
                  <c:v>13.742677514792899</c:v>
                </c:pt>
                <c:pt idx="732">
                  <c:v>13.755325443786983</c:v>
                </c:pt>
                <c:pt idx="733">
                  <c:v>13.767973372781066</c:v>
                </c:pt>
                <c:pt idx="734">
                  <c:v>13.780621301775147</c:v>
                </c:pt>
                <c:pt idx="735">
                  <c:v>13.793269230769232</c:v>
                </c:pt>
                <c:pt idx="736">
                  <c:v>13.805917159763315</c:v>
                </c:pt>
                <c:pt idx="737">
                  <c:v>13.818565088757396</c:v>
                </c:pt>
                <c:pt idx="738">
                  <c:v>13.83121301775148</c:v>
                </c:pt>
                <c:pt idx="739">
                  <c:v>13.843860946745563</c:v>
                </c:pt>
                <c:pt idx="740">
                  <c:v>13.856508875739644</c:v>
                </c:pt>
                <c:pt idx="741">
                  <c:v>13.869156804733729</c:v>
                </c:pt>
                <c:pt idx="742">
                  <c:v>13.881804733727812</c:v>
                </c:pt>
                <c:pt idx="743">
                  <c:v>13.894452662721893</c:v>
                </c:pt>
                <c:pt idx="744">
                  <c:v>13.907100591715977</c:v>
                </c:pt>
                <c:pt idx="745">
                  <c:v>13.91974852071006</c:v>
                </c:pt>
                <c:pt idx="746">
                  <c:v>13.932396449704141</c:v>
                </c:pt>
                <c:pt idx="747">
                  <c:v>13.945044378698226</c:v>
                </c:pt>
                <c:pt idx="748">
                  <c:v>13.957692307692309</c:v>
                </c:pt>
                <c:pt idx="749">
                  <c:v>13.97034023668639</c:v>
                </c:pt>
                <c:pt idx="750">
                  <c:v>13.982988165680474</c:v>
                </c:pt>
                <c:pt idx="751">
                  <c:v>13.995636094674557</c:v>
                </c:pt>
                <c:pt idx="752">
                  <c:v>14.008284023668638</c:v>
                </c:pt>
                <c:pt idx="753">
                  <c:v>14.020931952662723</c:v>
                </c:pt>
                <c:pt idx="754">
                  <c:v>14.033579881656806</c:v>
                </c:pt>
                <c:pt idx="755">
                  <c:v>14.046227810650887</c:v>
                </c:pt>
                <c:pt idx="756">
                  <c:v>14.058875739644968</c:v>
                </c:pt>
                <c:pt idx="757">
                  <c:v>14.071523668639054</c:v>
                </c:pt>
                <c:pt idx="758">
                  <c:v>14.084171597633135</c:v>
                </c:pt>
                <c:pt idx="759">
                  <c:v>14.096819526627216</c:v>
                </c:pt>
                <c:pt idx="760">
                  <c:v>14.109467455621303</c:v>
                </c:pt>
                <c:pt idx="761">
                  <c:v>14.122115384615384</c:v>
                </c:pt>
                <c:pt idx="762">
                  <c:v>14.134763313609465</c:v>
                </c:pt>
                <c:pt idx="763">
                  <c:v>14.147411242603551</c:v>
                </c:pt>
                <c:pt idx="764">
                  <c:v>14.160059171597632</c:v>
                </c:pt>
                <c:pt idx="765">
                  <c:v>14.172707100591714</c:v>
                </c:pt>
                <c:pt idx="766">
                  <c:v>14.1853550295858</c:v>
                </c:pt>
                <c:pt idx="767">
                  <c:v>14.198002958579881</c:v>
                </c:pt>
                <c:pt idx="768">
                  <c:v>14.210650887573966</c:v>
                </c:pt>
                <c:pt idx="769">
                  <c:v>14.223298816568049</c:v>
                </c:pt>
                <c:pt idx="770">
                  <c:v>14.235946745562133</c:v>
                </c:pt>
                <c:pt idx="771">
                  <c:v>14.248594674556214</c:v>
                </c:pt>
                <c:pt idx="772">
                  <c:v>14.261242603550297</c:v>
                </c:pt>
                <c:pt idx="773">
                  <c:v>14.273890532544382</c:v>
                </c:pt>
                <c:pt idx="774">
                  <c:v>14.286538461538463</c:v>
                </c:pt>
                <c:pt idx="775">
                  <c:v>14.299186390532546</c:v>
                </c:pt>
                <c:pt idx="776">
                  <c:v>14.31183431952663</c:v>
                </c:pt>
                <c:pt idx="777">
                  <c:v>14.324482248520711</c:v>
                </c:pt>
                <c:pt idx="778">
                  <c:v>14.337130177514794</c:v>
                </c:pt>
                <c:pt idx="779">
                  <c:v>14.349778106508875</c:v>
                </c:pt>
                <c:pt idx="780">
                  <c:v>14.36242603550296</c:v>
                </c:pt>
                <c:pt idx="781">
                  <c:v>14.375073964497043</c:v>
                </c:pt>
                <c:pt idx="782">
                  <c:v>14.387721893491124</c:v>
                </c:pt>
                <c:pt idx="783">
                  <c:v>14.400369822485208</c:v>
                </c:pt>
                <c:pt idx="784">
                  <c:v>14.413017751479291</c:v>
                </c:pt>
                <c:pt idx="785">
                  <c:v>14.425665680473372</c:v>
                </c:pt>
                <c:pt idx="786">
                  <c:v>14.438313609467457</c:v>
                </c:pt>
                <c:pt idx="787">
                  <c:v>14.45096153846154</c:v>
                </c:pt>
                <c:pt idx="788">
                  <c:v>14.46360946745562</c:v>
                </c:pt>
                <c:pt idx="789">
                  <c:v>14.476257396449705</c:v>
                </c:pt>
                <c:pt idx="790">
                  <c:v>14.488905325443788</c:v>
                </c:pt>
                <c:pt idx="791">
                  <c:v>14.50155325443787</c:v>
                </c:pt>
                <c:pt idx="792">
                  <c:v>14.514201183431954</c:v>
                </c:pt>
                <c:pt idx="793">
                  <c:v>14.526849112426037</c:v>
                </c:pt>
                <c:pt idx="794">
                  <c:v>14.539497041420118</c:v>
                </c:pt>
                <c:pt idx="795">
                  <c:v>14.552144970414203</c:v>
                </c:pt>
                <c:pt idx="796">
                  <c:v>14.564792899408285</c:v>
                </c:pt>
                <c:pt idx="797">
                  <c:v>14.577440828402366</c:v>
                </c:pt>
                <c:pt idx="798">
                  <c:v>14.590088757396451</c:v>
                </c:pt>
                <c:pt idx="799">
                  <c:v>14.602736686390534</c:v>
                </c:pt>
                <c:pt idx="800">
                  <c:v>14.615384615384615</c:v>
                </c:pt>
                <c:pt idx="801">
                  <c:v>14.589084709874882</c:v>
                </c:pt>
                <c:pt idx="802">
                  <c:v>14.562788670020977</c:v>
                </c:pt>
                <c:pt idx="803">
                  <c:v>14.536496488288613</c:v>
                </c:pt>
                <c:pt idx="804">
                  <c:v>14.510208157147668</c:v>
                </c:pt>
                <c:pt idx="805">
                  <c:v>14.483923669072189</c:v>
                </c:pt>
                <c:pt idx="806">
                  <c:v>14.457643016540375</c:v>
                </c:pt>
                <c:pt idx="807">
                  <c:v>14.431366192034567</c:v>
                </c:pt>
                <c:pt idx="808">
                  <c:v>14.405093188041244</c:v>
                </c:pt>
                <c:pt idx="809">
                  <c:v>14.37882399705101</c:v>
                </c:pt>
                <c:pt idx="810">
                  <c:v>14.352558611558587</c:v>
                </c:pt>
                <c:pt idx="811">
                  <c:v>14.326297024062807</c:v>
                </c:pt>
                <c:pt idx="812">
                  <c:v>14.3000392270666</c:v>
                </c:pt>
                <c:pt idx="813">
                  <c:v>14.273785213076986</c:v>
                </c:pt>
                <c:pt idx="814">
                  <c:v>14.247534974605069</c:v>
                </c:pt>
                <c:pt idx="815">
                  <c:v>14.221288504166022</c:v>
                </c:pt>
                <c:pt idx="816">
                  <c:v>14.195045794279086</c:v>
                </c:pt>
                <c:pt idx="817">
                  <c:v>14.168806837467553</c:v>
                </c:pt>
                <c:pt idx="818">
                  <c:v>14.142571626258764</c:v>
                </c:pt>
                <c:pt idx="819">
                  <c:v>14.116340153184096</c:v>
                </c:pt>
                <c:pt idx="820">
                  <c:v>14.090112410778952</c:v>
                </c:pt>
                <c:pt idx="821">
                  <c:v>14.090112410778952</c:v>
                </c:pt>
                <c:pt idx="822">
                  <c:v>14.101670587805826</c:v>
                </c:pt>
                <c:pt idx="823">
                  <c:v>14.113228764832696</c:v>
                </c:pt>
                <c:pt idx="824">
                  <c:v>14.12478694185957</c:v>
                </c:pt>
                <c:pt idx="825">
                  <c:v>14.136345118886442</c:v>
                </c:pt>
                <c:pt idx="826">
                  <c:v>14.147903295913315</c:v>
                </c:pt>
                <c:pt idx="827">
                  <c:v>14.159461472940187</c:v>
                </c:pt>
                <c:pt idx="828">
                  <c:v>14.171019649967059</c:v>
                </c:pt>
                <c:pt idx="829">
                  <c:v>14.182577826993933</c:v>
                </c:pt>
                <c:pt idx="830">
                  <c:v>14.194136004020804</c:v>
                </c:pt>
                <c:pt idx="831">
                  <c:v>14.205694181047678</c:v>
                </c:pt>
                <c:pt idx="832">
                  <c:v>14.21725235807455</c:v>
                </c:pt>
                <c:pt idx="833">
                  <c:v>14.228810535101422</c:v>
                </c:pt>
                <c:pt idx="834">
                  <c:v>14.240368712128294</c:v>
                </c:pt>
                <c:pt idx="835">
                  <c:v>14.251926889155166</c:v>
                </c:pt>
                <c:pt idx="836">
                  <c:v>14.26348506618204</c:v>
                </c:pt>
                <c:pt idx="837">
                  <c:v>14.275043243208913</c:v>
                </c:pt>
                <c:pt idx="838">
                  <c:v>14.286601420235785</c:v>
                </c:pt>
                <c:pt idx="839">
                  <c:v>14.298159597262657</c:v>
                </c:pt>
                <c:pt idx="840">
                  <c:v>14.30971777428953</c:v>
                </c:pt>
                <c:pt idx="841">
                  <c:v>14.321275951316402</c:v>
                </c:pt>
                <c:pt idx="842">
                  <c:v>14.332834128343274</c:v>
                </c:pt>
                <c:pt idx="843">
                  <c:v>14.344392305370148</c:v>
                </c:pt>
                <c:pt idx="844">
                  <c:v>14.35595048239702</c:v>
                </c:pt>
                <c:pt idx="845">
                  <c:v>14.367508659423892</c:v>
                </c:pt>
                <c:pt idx="846">
                  <c:v>14.379066836450765</c:v>
                </c:pt>
                <c:pt idx="847">
                  <c:v>14.390625013477637</c:v>
                </c:pt>
                <c:pt idx="848">
                  <c:v>14.40218319050451</c:v>
                </c:pt>
                <c:pt idx="849">
                  <c:v>14.413741367531383</c:v>
                </c:pt>
                <c:pt idx="850">
                  <c:v>14.425299544558253</c:v>
                </c:pt>
                <c:pt idx="851">
                  <c:v>14.436857721585126</c:v>
                </c:pt>
                <c:pt idx="852">
                  <c:v>14.448415898612</c:v>
                </c:pt>
                <c:pt idx="853">
                  <c:v>14.459974075638872</c:v>
                </c:pt>
                <c:pt idx="854">
                  <c:v>14.471532252665744</c:v>
                </c:pt>
                <c:pt idx="855">
                  <c:v>14.483090429692618</c:v>
                </c:pt>
                <c:pt idx="856">
                  <c:v>14.49464860671949</c:v>
                </c:pt>
                <c:pt idx="857">
                  <c:v>14.50620678374636</c:v>
                </c:pt>
                <c:pt idx="858">
                  <c:v>14.517764960773233</c:v>
                </c:pt>
                <c:pt idx="859">
                  <c:v>14.529323137800107</c:v>
                </c:pt>
                <c:pt idx="860">
                  <c:v>14.54088131482698</c:v>
                </c:pt>
                <c:pt idx="861">
                  <c:v>14.552439491853852</c:v>
                </c:pt>
                <c:pt idx="862">
                  <c:v>14.563997668880726</c:v>
                </c:pt>
                <c:pt idx="863">
                  <c:v>14.575555845907598</c:v>
                </c:pt>
                <c:pt idx="864">
                  <c:v>14.587114022934468</c:v>
                </c:pt>
                <c:pt idx="865">
                  <c:v>14.59867219996134</c:v>
                </c:pt>
                <c:pt idx="866">
                  <c:v>14.610230376988214</c:v>
                </c:pt>
                <c:pt idx="867">
                  <c:v>14.621788554015087</c:v>
                </c:pt>
                <c:pt idx="868">
                  <c:v>14.633346731041959</c:v>
                </c:pt>
                <c:pt idx="869">
                  <c:v>14.644904908068833</c:v>
                </c:pt>
                <c:pt idx="870">
                  <c:v>14.656463085095705</c:v>
                </c:pt>
                <c:pt idx="871">
                  <c:v>14.66802126212258</c:v>
                </c:pt>
                <c:pt idx="872">
                  <c:v>14.679579439149448</c:v>
                </c:pt>
                <c:pt idx="873">
                  <c:v>14.691137616176322</c:v>
                </c:pt>
                <c:pt idx="874">
                  <c:v>14.702695793203194</c:v>
                </c:pt>
                <c:pt idx="875">
                  <c:v>14.714253970230066</c:v>
                </c:pt>
                <c:pt idx="876">
                  <c:v>14.72581214725694</c:v>
                </c:pt>
                <c:pt idx="877">
                  <c:v>14.737370324283813</c:v>
                </c:pt>
                <c:pt idx="878">
                  <c:v>14.748928501310687</c:v>
                </c:pt>
                <c:pt idx="879">
                  <c:v>14.760486678337555</c:v>
                </c:pt>
                <c:pt idx="880">
                  <c:v>14.77204485536443</c:v>
                </c:pt>
                <c:pt idx="881">
                  <c:v>14.783603032391301</c:v>
                </c:pt>
                <c:pt idx="882">
                  <c:v>14.795161209418174</c:v>
                </c:pt>
                <c:pt idx="883">
                  <c:v>14.806719386445048</c:v>
                </c:pt>
                <c:pt idx="884">
                  <c:v>14.81827756347192</c:v>
                </c:pt>
                <c:pt idx="885">
                  <c:v>14.829835740498794</c:v>
                </c:pt>
                <c:pt idx="886">
                  <c:v>14.841393917525663</c:v>
                </c:pt>
                <c:pt idx="887">
                  <c:v>14.852952094552537</c:v>
                </c:pt>
                <c:pt idx="888">
                  <c:v>14.864510271579409</c:v>
                </c:pt>
                <c:pt idx="889">
                  <c:v>14.876068448606281</c:v>
                </c:pt>
                <c:pt idx="890">
                  <c:v>14.887626625633155</c:v>
                </c:pt>
                <c:pt idx="891">
                  <c:v>14.899184802660027</c:v>
                </c:pt>
                <c:pt idx="892">
                  <c:v>14.910742979686901</c:v>
                </c:pt>
                <c:pt idx="893">
                  <c:v>14.92230115671377</c:v>
                </c:pt>
                <c:pt idx="894">
                  <c:v>14.933859333740644</c:v>
                </c:pt>
                <c:pt idx="895">
                  <c:v>14.945417510767516</c:v>
                </c:pt>
                <c:pt idx="896">
                  <c:v>14.956975687794388</c:v>
                </c:pt>
                <c:pt idx="897">
                  <c:v>14.968533864821262</c:v>
                </c:pt>
                <c:pt idx="898">
                  <c:v>14.980092041848135</c:v>
                </c:pt>
                <c:pt idx="899">
                  <c:v>14.991650218875009</c:v>
                </c:pt>
                <c:pt idx="900">
                  <c:v>15.003208395901881</c:v>
                </c:pt>
                <c:pt idx="901">
                  <c:v>15.014766572928751</c:v>
                </c:pt>
                <c:pt idx="902">
                  <c:v>15.026324749955624</c:v>
                </c:pt>
                <c:pt idx="903">
                  <c:v>15.037882926982496</c:v>
                </c:pt>
                <c:pt idx="904">
                  <c:v>15.04944110400937</c:v>
                </c:pt>
                <c:pt idx="905">
                  <c:v>15.060999281036242</c:v>
                </c:pt>
                <c:pt idx="906">
                  <c:v>15.072557458063116</c:v>
                </c:pt>
                <c:pt idx="907">
                  <c:v>15.084115635089988</c:v>
                </c:pt>
                <c:pt idx="908">
                  <c:v>15.095673812116859</c:v>
                </c:pt>
                <c:pt idx="909">
                  <c:v>15.107231989143731</c:v>
                </c:pt>
                <c:pt idx="910">
                  <c:v>15.118790166170603</c:v>
                </c:pt>
                <c:pt idx="911">
                  <c:v>15.130348343197477</c:v>
                </c:pt>
                <c:pt idx="912">
                  <c:v>15.14190652022435</c:v>
                </c:pt>
                <c:pt idx="913">
                  <c:v>15.153464697251223</c:v>
                </c:pt>
                <c:pt idx="914">
                  <c:v>15.165022874278096</c:v>
                </c:pt>
                <c:pt idx="915">
                  <c:v>15.176581051304966</c:v>
                </c:pt>
                <c:pt idx="916">
                  <c:v>15.188139228331838</c:v>
                </c:pt>
                <c:pt idx="917">
                  <c:v>15.19969740535871</c:v>
                </c:pt>
                <c:pt idx="918">
                  <c:v>15.211255582385585</c:v>
                </c:pt>
                <c:pt idx="919">
                  <c:v>15.222813759412457</c:v>
                </c:pt>
                <c:pt idx="920">
                  <c:v>15.23437193643933</c:v>
                </c:pt>
                <c:pt idx="921">
                  <c:v>15.245930113466203</c:v>
                </c:pt>
                <c:pt idx="922">
                  <c:v>15.257488290493074</c:v>
                </c:pt>
                <c:pt idx="923">
                  <c:v>15.269046467519946</c:v>
                </c:pt>
                <c:pt idx="924">
                  <c:v>15.280604644546818</c:v>
                </c:pt>
                <c:pt idx="925">
                  <c:v>15.292162821573692</c:v>
                </c:pt>
                <c:pt idx="926">
                  <c:v>15.303720998600564</c:v>
                </c:pt>
                <c:pt idx="927">
                  <c:v>15.315279175627438</c:v>
                </c:pt>
                <c:pt idx="928">
                  <c:v>15.32683735265431</c:v>
                </c:pt>
                <c:pt idx="929">
                  <c:v>15.338395529681181</c:v>
                </c:pt>
                <c:pt idx="930">
                  <c:v>15.349953706708053</c:v>
                </c:pt>
                <c:pt idx="931">
                  <c:v>15.361511883734925</c:v>
                </c:pt>
                <c:pt idx="932">
                  <c:v>15.3730700607618</c:v>
                </c:pt>
                <c:pt idx="933">
                  <c:v>15.384628237788672</c:v>
                </c:pt>
                <c:pt idx="934">
                  <c:v>15.396186414815546</c:v>
                </c:pt>
                <c:pt idx="935">
                  <c:v>15.407744591842418</c:v>
                </c:pt>
                <c:pt idx="936">
                  <c:v>15.419302768869288</c:v>
                </c:pt>
                <c:pt idx="937">
                  <c:v>15.43086094589616</c:v>
                </c:pt>
                <c:pt idx="938">
                  <c:v>15.442419122923033</c:v>
                </c:pt>
                <c:pt idx="939">
                  <c:v>15.453977299949907</c:v>
                </c:pt>
                <c:pt idx="940">
                  <c:v>15.465535476976779</c:v>
                </c:pt>
                <c:pt idx="941">
                  <c:v>15.477093654003653</c:v>
                </c:pt>
                <c:pt idx="942">
                  <c:v>15.488651831030525</c:v>
                </c:pt>
                <c:pt idx="943">
                  <c:v>15.500210008057396</c:v>
                </c:pt>
                <c:pt idx="944">
                  <c:v>15.511768185084268</c:v>
                </c:pt>
                <c:pt idx="945">
                  <c:v>15.52332636211114</c:v>
                </c:pt>
                <c:pt idx="946">
                  <c:v>15.534884539138014</c:v>
                </c:pt>
                <c:pt idx="947">
                  <c:v>15.546442716164886</c:v>
                </c:pt>
                <c:pt idx="948">
                  <c:v>15.55800089319176</c:v>
                </c:pt>
                <c:pt idx="949">
                  <c:v>15.569559070218633</c:v>
                </c:pt>
                <c:pt idx="950">
                  <c:v>15.581117247245505</c:v>
                </c:pt>
                <c:pt idx="951">
                  <c:v>15.592675424272375</c:v>
                </c:pt>
                <c:pt idx="952">
                  <c:v>15.604233601299248</c:v>
                </c:pt>
                <c:pt idx="953">
                  <c:v>15.615791778326122</c:v>
                </c:pt>
                <c:pt idx="954">
                  <c:v>15.627349955352994</c:v>
                </c:pt>
                <c:pt idx="955">
                  <c:v>15.638908132379868</c:v>
                </c:pt>
                <c:pt idx="956">
                  <c:v>15.65046630940674</c:v>
                </c:pt>
                <c:pt idx="957">
                  <c:v>15.662024486433612</c:v>
                </c:pt>
                <c:pt idx="958">
                  <c:v>15.673582663460483</c:v>
                </c:pt>
                <c:pt idx="959">
                  <c:v>15.685140840487355</c:v>
                </c:pt>
                <c:pt idx="960">
                  <c:v>15.696699017514229</c:v>
                </c:pt>
                <c:pt idx="961">
                  <c:v>15.708257194541101</c:v>
                </c:pt>
                <c:pt idx="962">
                  <c:v>15.719815371567975</c:v>
                </c:pt>
                <c:pt idx="963">
                  <c:v>15.731373548594847</c:v>
                </c:pt>
                <c:pt idx="964">
                  <c:v>15.74293172562172</c:v>
                </c:pt>
                <c:pt idx="965">
                  <c:v>15.75448990264859</c:v>
                </c:pt>
                <c:pt idx="966">
                  <c:v>15.766048079675462</c:v>
                </c:pt>
                <c:pt idx="967">
                  <c:v>15.777606256702336</c:v>
                </c:pt>
                <c:pt idx="968">
                  <c:v>15.789164433729209</c:v>
                </c:pt>
                <c:pt idx="969">
                  <c:v>15.800722610756083</c:v>
                </c:pt>
                <c:pt idx="970">
                  <c:v>15.812280787782955</c:v>
                </c:pt>
                <c:pt idx="971">
                  <c:v>15.823838964809827</c:v>
                </c:pt>
                <c:pt idx="972">
                  <c:v>15.835397141836697</c:v>
                </c:pt>
                <c:pt idx="973">
                  <c:v>15.84695531886357</c:v>
                </c:pt>
                <c:pt idx="974">
                  <c:v>15.858513495890444</c:v>
                </c:pt>
                <c:pt idx="975">
                  <c:v>15.870071672917316</c:v>
                </c:pt>
                <c:pt idx="976">
                  <c:v>15.88162984994419</c:v>
                </c:pt>
                <c:pt idx="977">
                  <c:v>15.893188026971062</c:v>
                </c:pt>
                <c:pt idx="978">
                  <c:v>15.904746203997934</c:v>
                </c:pt>
                <c:pt idx="979">
                  <c:v>15.916304381024808</c:v>
                </c:pt>
                <c:pt idx="980">
                  <c:v>15.927862558051677</c:v>
                </c:pt>
                <c:pt idx="981">
                  <c:v>15.939420735078551</c:v>
                </c:pt>
                <c:pt idx="982">
                  <c:v>15.950978912105423</c:v>
                </c:pt>
                <c:pt idx="983">
                  <c:v>15.962537089132297</c:v>
                </c:pt>
                <c:pt idx="984">
                  <c:v>15.97409526615917</c:v>
                </c:pt>
                <c:pt idx="985">
                  <c:v>15.985653443186042</c:v>
                </c:pt>
                <c:pt idx="986">
                  <c:v>15.997211620212916</c:v>
                </c:pt>
                <c:pt idx="987">
                  <c:v>16.008769797239786</c:v>
                </c:pt>
                <c:pt idx="988">
                  <c:v>16.020327974266657</c:v>
                </c:pt>
                <c:pt idx="989">
                  <c:v>16.03188615129353</c:v>
                </c:pt>
                <c:pt idx="990">
                  <c:v>16.043444328320405</c:v>
                </c:pt>
                <c:pt idx="991">
                  <c:v>16.05500250534728</c:v>
                </c:pt>
                <c:pt idx="992">
                  <c:v>16.06656068237415</c:v>
                </c:pt>
                <c:pt idx="993">
                  <c:v>16.078118859401023</c:v>
                </c:pt>
                <c:pt idx="994">
                  <c:v>16.089677036427894</c:v>
                </c:pt>
                <c:pt idx="995">
                  <c:v>16.101235213454764</c:v>
                </c:pt>
                <c:pt idx="996">
                  <c:v>16.112793390481638</c:v>
                </c:pt>
                <c:pt idx="997">
                  <c:v>16.124351567508512</c:v>
                </c:pt>
                <c:pt idx="998">
                  <c:v>16.135909744535386</c:v>
                </c:pt>
                <c:pt idx="999">
                  <c:v>16.147467921562257</c:v>
                </c:pt>
                <c:pt idx="1000">
                  <c:v>16.15902609858913</c:v>
                </c:pt>
                <c:pt idx="1001">
                  <c:v>16.170584275616</c:v>
                </c:pt>
                <c:pt idx="1002">
                  <c:v>16.18214245264287</c:v>
                </c:pt>
                <c:pt idx="1003">
                  <c:v>16.193700629669745</c:v>
                </c:pt>
                <c:pt idx="1004">
                  <c:v>16.20525880669662</c:v>
                </c:pt>
                <c:pt idx="1005">
                  <c:v>16.216816983723493</c:v>
                </c:pt>
                <c:pt idx="1006">
                  <c:v>16.228375160750364</c:v>
                </c:pt>
                <c:pt idx="1007">
                  <c:v>16.239933337777238</c:v>
                </c:pt>
                <c:pt idx="1008">
                  <c:v>16.25149151480411</c:v>
                </c:pt>
                <c:pt idx="1009">
                  <c:v>16.26304969183098</c:v>
                </c:pt>
                <c:pt idx="1010">
                  <c:v>16.274607868857853</c:v>
                </c:pt>
                <c:pt idx="1011">
                  <c:v>16.286166045884727</c:v>
                </c:pt>
                <c:pt idx="1012">
                  <c:v>16.2977242229116</c:v>
                </c:pt>
                <c:pt idx="1013">
                  <c:v>16.30928239993847</c:v>
                </c:pt>
                <c:pt idx="1014">
                  <c:v>16.320840576965345</c:v>
                </c:pt>
                <c:pt idx="1015">
                  <c:v>16.332398753992216</c:v>
                </c:pt>
                <c:pt idx="1016">
                  <c:v>16.343956931019086</c:v>
                </c:pt>
                <c:pt idx="1017">
                  <c:v>16.35551510804596</c:v>
                </c:pt>
                <c:pt idx="1018">
                  <c:v>16.367073285072834</c:v>
                </c:pt>
                <c:pt idx="1019">
                  <c:v>16.378631462099708</c:v>
                </c:pt>
                <c:pt idx="1020">
                  <c:v>16.39018963912658</c:v>
                </c:pt>
                <c:pt idx="1021">
                  <c:v>16.401747816153453</c:v>
                </c:pt>
                <c:pt idx="1022">
                  <c:v>16.413305993180323</c:v>
                </c:pt>
                <c:pt idx="1023">
                  <c:v>16.424864170207194</c:v>
                </c:pt>
                <c:pt idx="1024">
                  <c:v>16.436422347234068</c:v>
                </c:pt>
                <c:pt idx="1025">
                  <c:v>16.44798052426094</c:v>
                </c:pt>
                <c:pt idx="1026">
                  <c:v>16.459538701287816</c:v>
                </c:pt>
                <c:pt idx="1027">
                  <c:v>16.471096878314686</c:v>
                </c:pt>
                <c:pt idx="1028">
                  <c:v>16.48265505534156</c:v>
                </c:pt>
                <c:pt idx="1029">
                  <c:v>16.49421323236843</c:v>
                </c:pt>
                <c:pt idx="1030">
                  <c:v>16.5057714093953</c:v>
                </c:pt>
                <c:pt idx="1031">
                  <c:v>16.517329586422175</c:v>
                </c:pt>
                <c:pt idx="1032">
                  <c:v>16.52888776344905</c:v>
                </c:pt>
                <c:pt idx="1033">
                  <c:v>16.540445940475923</c:v>
                </c:pt>
                <c:pt idx="1034">
                  <c:v>16.552004117502793</c:v>
                </c:pt>
                <c:pt idx="1035">
                  <c:v>16.563562294529667</c:v>
                </c:pt>
                <c:pt idx="1036">
                  <c:v>16.575120471556538</c:v>
                </c:pt>
                <c:pt idx="1037">
                  <c:v>16.58667864858341</c:v>
                </c:pt>
                <c:pt idx="1038">
                  <c:v>16.598236825610282</c:v>
                </c:pt>
                <c:pt idx="1039">
                  <c:v>16.609795002637156</c:v>
                </c:pt>
                <c:pt idx="1040">
                  <c:v>16.62135317966403</c:v>
                </c:pt>
                <c:pt idx="1041">
                  <c:v>16.6329113566909</c:v>
                </c:pt>
                <c:pt idx="1042">
                  <c:v>16.644469533717775</c:v>
                </c:pt>
                <c:pt idx="1043">
                  <c:v>16.656027710744645</c:v>
                </c:pt>
                <c:pt idx="1044">
                  <c:v>16.667585887771516</c:v>
                </c:pt>
                <c:pt idx="1045">
                  <c:v>16.67914406479839</c:v>
                </c:pt>
                <c:pt idx="1046">
                  <c:v>16.690702241825264</c:v>
                </c:pt>
                <c:pt idx="1047">
                  <c:v>16.702260418852138</c:v>
                </c:pt>
                <c:pt idx="1048">
                  <c:v>16.713818595879008</c:v>
                </c:pt>
                <c:pt idx="1049">
                  <c:v>16.725376772905882</c:v>
                </c:pt>
                <c:pt idx="1050">
                  <c:v>16.736934949932753</c:v>
                </c:pt>
                <c:pt idx="1051">
                  <c:v>16.748493126959623</c:v>
                </c:pt>
                <c:pt idx="1052">
                  <c:v>16.760051303986497</c:v>
                </c:pt>
                <c:pt idx="1053">
                  <c:v>16.77160948101337</c:v>
                </c:pt>
                <c:pt idx="1054">
                  <c:v>16.783167658040245</c:v>
                </c:pt>
                <c:pt idx="1055">
                  <c:v>16.794725835067116</c:v>
                </c:pt>
                <c:pt idx="1056">
                  <c:v>16.80628401209399</c:v>
                </c:pt>
                <c:pt idx="1057">
                  <c:v>16.81784218912086</c:v>
                </c:pt>
                <c:pt idx="1058">
                  <c:v>16.82940036614773</c:v>
                </c:pt>
                <c:pt idx="1059">
                  <c:v>16.840958543174605</c:v>
                </c:pt>
                <c:pt idx="1060">
                  <c:v>16.85251672020148</c:v>
                </c:pt>
                <c:pt idx="1061">
                  <c:v>16.864074897228353</c:v>
                </c:pt>
                <c:pt idx="1062">
                  <c:v>16.875633074255223</c:v>
                </c:pt>
                <c:pt idx="1063">
                  <c:v>16.887191251282097</c:v>
                </c:pt>
                <c:pt idx="1064">
                  <c:v>16.89874942830897</c:v>
                </c:pt>
                <c:pt idx="1065">
                  <c:v>16.910307605335838</c:v>
                </c:pt>
                <c:pt idx="1066">
                  <c:v>16.921865782362712</c:v>
                </c:pt>
                <c:pt idx="1067">
                  <c:v>16.933423959389586</c:v>
                </c:pt>
                <c:pt idx="1068">
                  <c:v>16.94498213641646</c:v>
                </c:pt>
                <c:pt idx="1069">
                  <c:v>16.95654031344333</c:v>
                </c:pt>
                <c:pt idx="1070">
                  <c:v>16.968098490470204</c:v>
                </c:pt>
                <c:pt idx="1071">
                  <c:v>16.97965666749708</c:v>
                </c:pt>
                <c:pt idx="1072">
                  <c:v>16.99121484452395</c:v>
                </c:pt>
                <c:pt idx="1073">
                  <c:v>17.00277302155082</c:v>
                </c:pt>
                <c:pt idx="1074">
                  <c:v>17.014331198577693</c:v>
                </c:pt>
                <c:pt idx="1075">
                  <c:v>17.025889375604567</c:v>
                </c:pt>
                <c:pt idx="1076">
                  <c:v>17.037447552631438</c:v>
                </c:pt>
                <c:pt idx="1077">
                  <c:v>17.04900572965831</c:v>
                </c:pt>
                <c:pt idx="1078">
                  <c:v>17.060563906685186</c:v>
                </c:pt>
                <c:pt idx="1079">
                  <c:v>17.072122083712056</c:v>
                </c:pt>
                <c:pt idx="1080">
                  <c:v>17.083680260738927</c:v>
                </c:pt>
                <c:pt idx="1081">
                  <c:v>17.0952384377658</c:v>
                </c:pt>
                <c:pt idx="1082">
                  <c:v>17.106796614792675</c:v>
                </c:pt>
                <c:pt idx="1083">
                  <c:v>17.118354791819545</c:v>
                </c:pt>
                <c:pt idx="1084">
                  <c:v>17.12991296884642</c:v>
                </c:pt>
                <c:pt idx="1085">
                  <c:v>17.141471145873293</c:v>
                </c:pt>
                <c:pt idx="1086">
                  <c:v>17.153029322900164</c:v>
                </c:pt>
                <c:pt idx="1087">
                  <c:v>17.164587499927034</c:v>
                </c:pt>
                <c:pt idx="1088">
                  <c:v>17.176145676953908</c:v>
                </c:pt>
                <c:pt idx="1089">
                  <c:v>17.187703853980782</c:v>
                </c:pt>
                <c:pt idx="1090">
                  <c:v>17.199262031007652</c:v>
                </c:pt>
                <c:pt idx="1091">
                  <c:v>17.210820208034527</c:v>
                </c:pt>
                <c:pt idx="1092">
                  <c:v>17.2223783850614</c:v>
                </c:pt>
                <c:pt idx="1093">
                  <c:v>17.23393656208827</c:v>
                </c:pt>
                <c:pt idx="1094">
                  <c:v>17.24549473911514</c:v>
                </c:pt>
                <c:pt idx="1095">
                  <c:v>17.257052916142015</c:v>
                </c:pt>
                <c:pt idx="1096">
                  <c:v>17.26861109316889</c:v>
                </c:pt>
                <c:pt idx="1097">
                  <c:v>17.28016927019576</c:v>
                </c:pt>
                <c:pt idx="1098">
                  <c:v>17.291727447222634</c:v>
                </c:pt>
                <c:pt idx="1099">
                  <c:v>17.303285624249508</c:v>
                </c:pt>
                <c:pt idx="1100">
                  <c:v>17.31484380127638</c:v>
                </c:pt>
                <c:pt idx="1101">
                  <c:v>17.32640197830325</c:v>
                </c:pt>
                <c:pt idx="1102">
                  <c:v>17.337960155330123</c:v>
                </c:pt>
                <c:pt idx="1103">
                  <c:v>17.349518332356997</c:v>
                </c:pt>
                <c:pt idx="1104">
                  <c:v>17.361076509383867</c:v>
                </c:pt>
                <c:pt idx="1105">
                  <c:v>17.37263468641074</c:v>
                </c:pt>
                <c:pt idx="1106">
                  <c:v>17.384192863437615</c:v>
                </c:pt>
                <c:pt idx="1107">
                  <c:v>17.395751040464486</c:v>
                </c:pt>
                <c:pt idx="1108">
                  <c:v>17.407309217491356</c:v>
                </c:pt>
                <c:pt idx="1109">
                  <c:v>17.41886739451823</c:v>
                </c:pt>
                <c:pt idx="1110">
                  <c:v>17.430425571545104</c:v>
                </c:pt>
                <c:pt idx="1111">
                  <c:v>17.441983748571975</c:v>
                </c:pt>
                <c:pt idx="1112">
                  <c:v>17.45354192559885</c:v>
                </c:pt>
                <c:pt idx="1113">
                  <c:v>17.465100102625723</c:v>
                </c:pt>
                <c:pt idx="1114">
                  <c:v>17.476658279652593</c:v>
                </c:pt>
                <c:pt idx="1115">
                  <c:v>17.488216456679464</c:v>
                </c:pt>
                <c:pt idx="1116">
                  <c:v>17.499774633706338</c:v>
                </c:pt>
                <c:pt idx="1117">
                  <c:v>17.51133281073321</c:v>
                </c:pt>
                <c:pt idx="1118">
                  <c:v>17.522890987760082</c:v>
                </c:pt>
                <c:pt idx="1119">
                  <c:v>17.534449164786956</c:v>
                </c:pt>
                <c:pt idx="1120">
                  <c:v>17.54600734181383</c:v>
                </c:pt>
                <c:pt idx="1121">
                  <c:v>17.5575655188407</c:v>
                </c:pt>
                <c:pt idx="1122">
                  <c:v>17.569123695867574</c:v>
                </c:pt>
                <c:pt idx="1123">
                  <c:v>17.580681872894445</c:v>
                </c:pt>
                <c:pt idx="1124">
                  <c:v>17.59224004992132</c:v>
                </c:pt>
                <c:pt idx="1125">
                  <c:v>17.60379822694819</c:v>
                </c:pt>
                <c:pt idx="1126">
                  <c:v>17.615356403975063</c:v>
                </c:pt>
                <c:pt idx="1127">
                  <c:v>17.626914581001937</c:v>
                </c:pt>
                <c:pt idx="1128">
                  <c:v>17.638472758028808</c:v>
                </c:pt>
                <c:pt idx="1129">
                  <c:v>17.650030935055682</c:v>
                </c:pt>
                <c:pt idx="1130">
                  <c:v>17.661589112082556</c:v>
                </c:pt>
                <c:pt idx="1131">
                  <c:v>17.673147289109426</c:v>
                </c:pt>
                <c:pt idx="1132">
                  <c:v>17.684705466136297</c:v>
                </c:pt>
                <c:pt idx="1133">
                  <c:v>17.69626364316317</c:v>
                </c:pt>
                <c:pt idx="1134">
                  <c:v>17.707821820190045</c:v>
                </c:pt>
                <c:pt idx="1135">
                  <c:v>17.719379997216915</c:v>
                </c:pt>
                <c:pt idx="1136">
                  <c:v>17.730938174243786</c:v>
                </c:pt>
                <c:pt idx="1137">
                  <c:v>17.742496351270663</c:v>
                </c:pt>
                <c:pt idx="1138">
                  <c:v>17.754054528297534</c:v>
                </c:pt>
                <c:pt idx="1139">
                  <c:v>17.765612705324404</c:v>
                </c:pt>
                <c:pt idx="1140">
                  <c:v>17.777170882351278</c:v>
                </c:pt>
                <c:pt idx="1141">
                  <c:v>17.788729059378152</c:v>
                </c:pt>
                <c:pt idx="1142">
                  <c:v>17.800287236405023</c:v>
                </c:pt>
                <c:pt idx="1143">
                  <c:v>17.811845413431893</c:v>
                </c:pt>
                <c:pt idx="1144">
                  <c:v>17.82340359045877</c:v>
                </c:pt>
                <c:pt idx="1145">
                  <c:v>17.83496176748564</c:v>
                </c:pt>
                <c:pt idx="1146">
                  <c:v>17.84651994451251</c:v>
                </c:pt>
                <c:pt idx="1147">
                  <c:v>17.858078121539386</c:v>
                </c:pt>
                <c:pt idx="1148">
                  <c:v>17.86963629856626</c:v>
                </c:pt>
                <c:pt idx="1149">
                  <c:v>17.88119447559313</c:v>
                </c:pt>
                <c:pt idx="1150">
                  <c:v>17.89275265262</c:v>
                </c:pt>
                <c:pt idx="1151">
                  <c:v>17.904310829646878</c:v>
                </c:pt>
                <c:pt idx="1152">
                  <c:v>17.91586900667375</c:v>
                </c:pt>
                <c:pt idx="1153">
                  <c:v>17.92742718370062</c:v>
                </c:pt>
                <c:pt idx="1154">
                  <c:v>17.938985360727493</c:v>
                </c:pt>
                <c:pt idx="1155">
                  <c:v>17.950543537754367</c:v>
                </c:pt>
                <c:pt idx="1156">
                  <c:v>17.962101714781237</c:v>
                </c:pt>
                <c:pt idx="1157">
                  <c:v>17.973659891808108</c:v>
                </c:pt>
                <c:pt idx="1158">
                  <c:v>17.985218068834985</c:v>
                </c:pt>
                <c:pt idx="1159">
                  <c:v>17.996776245861856</c:v>
                </c:pt>
                <c:pt idx="1160">
                  <c:v>18.008334422888726</c:v>
                </c:pt>
                <c:pt idx="1161">
                  <c:v>18.0198925999156</c:v>
                </c:pt>
                <c:pt idx="1162">
                  <c:v>18.031450776942474</c:v>
                </c:pt>
                <c:pt idx="1163">
                  <c:v>18.043008953969345</c:v>
                </c:pt>
                <c:pt idx="1164">
                  <c:v>18.054567130996215</c:v>
                </c:pt>
                <c:pt idx="1165">
                  <c:v>18.066125308023093</c:v>
                </c:pt>
                <c:pt idx="1166">
                  <c:v>18.077683485049963</c:v>
                </c:pt>
                <c:pt idx="1167">
                  <c:v>18.089241662076834</c:v>
                </c:pt>
                <c:pt idx="1168">
                  <c:v>18.100799839103708</c:v>
                </c:pt>
                <c:pt idx="1169">
                  <c:v>18.11235801613058</c:v>
                </c:pt>
                <c:pt idx="1170">
                  <c:v>18.123916193157452</c:v>
                </c:pt>
                <c:pt idx="1171">
                  <c:v>18.135474370184326</c:v>
                </c:pt>
                <c:pt idx="1172">
                  <c:v>18.1470325472112</c:v>
                </c:pt>
                <c:pt idx="1173">
                  <c:v>18.15859072423807</c:v>
                </c:pt>
                <c:pt idx="1174">
                  <c:v>18.17014890126494</c:v>
                </c:pt>
                <c:pt idx="1175">
                  <c:v>18.181707078291815</c:v>
                </c:pt>
                <c:pt idx="1176">
                  <c:v>18.19326525531869</c:v>
                </c:pt>
                <c:pt idx="1177">
                  <c:v>18.20482343234556</c:v>
                </c:pt>
                <c:pt idx="1178">
                  <c:v>18.216381609372434</c:v>
                </c:pt>
                <c:pt idx="1179">
                  <c:v>18.227939786399308</c:v>
                </c:pt>
                <c:pt idx="1180">
                  <c:v>18.239497963426178</c:v>
                </c:pt>
                <c:pt idx="1181">
                  <c:v>18.25105614045305</c:v>
                </c:pt>
                <c:pt idx="1182">
                  <c:v>18.262614317479922</c:v>
                </c:pt>
                <c:pt idx="1183">
                  <c:v>18.274172494506796</c:v>
                </c:pt>
                <c:pt idx="1184">
                  <c:v>18.285730671533667</c:v>
                </c:pt>
                <c:pt idx="1185">
                  <c:v>18.29728884856054</c:v>
                </c:pt>
                <c:pt idx="1186">
                  <c:v>18.308847025587415</c:v>
                </c:pt>
                <c:pt idx="1187">
                  <c:v>18.320405202614285</c:v>
                </c:pt>
                <c:pt idx="1188">
                  <c:v>18.33196337964116</c:v>
                </c:pt>
                <c:pt idx="1189">
                  <c:v>18.34352155666803</c:v>
                </c:pt>
                <c:pt idx="1190">
                  <c:v>18.355079733694904</c:v>
                </c:pt>
                <c:pt idx="1191">
                  <c:v>18.366637910721774</c:v>
                </c:pt>
                <c:pt idx="1192">
                  <c:v>18.37819608774865</c:v>
                </c:pt>
                <c:pt idx="1193">
                  <c:v>18.389754264775522</c:v>
                </c:pt>
                <c:pt idx="1194">
                  <c:v>18.401312441802393</c:v>
                </c:pt>
                <c:pt idx="1195">
                  <c:v>18.412870618829267</c:v>
                </c:pt>
                <c:pt idx="1196">
                  <c:v>18.424428795856137</c:v>
                </c:pt>
                <c:pt idx="1197">
                  <c:v>18.43598697288301</c:v>
                </c:pt>
                <c:pt idx="1198">
                  <c:v>18.44754514990988</c:v>
                </c:pt>
                <c:pt idx="1199">
                  <c:v>18.459103326936756</c:v>
                </c:pt>
                <c:pt idx="1200">
                  <c:v>18.47066150396363</c:v>
                </c:pt>
                <c:pt idx="1201">
                  <c:v>18.4822196809905</c:v>
                </c:pt>
                <c:pt idx="1202">
                  <c:v>18.493777858017374</c:v>
                </c:pt>
                <c:pt idx="1203">
                  <c:v>18.505336035044245</c:v>
                </c:pt>
                <c:pt idx="1204">
                  <c:v>18.51689421207112</c:v>
                </c:pt>
                <c:pt idx="1205">
                  <c:v>18.52845238909799</c:v>
                </c:pt>
                <c:pt idx="1206">
                  <c:v>18.540010566124863</c:v>
                </c:pt>
                <c:pt idx="1207">
                  <c:v>18.551568743151737</c:v>
                </c:pt>
                <c:pt idx="1208">
                  <c:v>18.563126920178608</c:v>
                </c:pt>
                <c:pt idx="1209">
                  <c:v>18.57468509720548</c:v>
                </c:pt>
                <c:pt idx="1210">
                  <c:v>18.586243274232352</c:v>
                </c:pt>
                <c:pt idx="1211">
                  <c:v>18.597801451259226</c:v>
                </c:pt>
                <c:pt idx="1212">
                  <c:v>18.609359628286096</c:v>
                </c:pt>
                <c:pt idx="1213">
                  <c:v>18.62091780531297</c:v>
                </c:pt>
                <c:pt idx="1214">
                  <c:v>18.632475982339844</c:v>
                </c:pt>
                <c:pt idx="1215">
                  <c:v>18.644034159366715</c:v>
                </c:pt>
                <c:pt idx="1216">
                  <c:v>18.65559233639359</c:v>
                </c:pt>
                <c:pt idx="1217">
                  <c:v>18.66715051342046</c:v>
                </c:pt>
                <c:pt idx="1218">
                  <c:v>18.678708690447333</c:v>
                </c:pt>
                <c:pt idx="1219">
                  <c:v>18.690266867474204</c:v>
                </c:pt>
                <c:pt idx="1220">
                  <c:v>18.701825044501078</c:v>
                </c:pt>
                <c:pt idx="1221">
                  <c:v>18.713383221527952</c:v>
                </c:pt>
                <c:pt idx="1222">
                  <c:v>18.724941398554822</c:v>
                </c:pt>
                <c:pt idx="1223">
                  <c:v>18.736499575581696</c:v>
                </c:pt>
                <c:pt idx="1224">
                  <c:v>18.748057752608567</c:v>
                </c:pt>
                <c:pt idx="1225">
                  <c:v>18.75961592963544</c:v>
                </c:pt>
                <c:pt idx="1226">
                  <c:v>18.77117410666231</c:v>
                </c:pt>
                <c:pt idx="1227">
                  <c:v>18.782732283689185</c:v>
                </c:pt>
                <c:pt idx="1228">
                  <c:v>18.79429046071606</c:v>
                </c:pt>
                <c:pt idx="1229">
                  <c:v>18.80584863774293</c:v>
                </c:pt>
                <c:pt idx="1230">
                  <c:v>18.817406814769804</c:v>
                </c:pt>
                <c:pt idx="1231">
                  <c:v>18.828964991796674</c:v>
                </c:pt>
                <c:pt idx="1232">
                  <c:v>18.840523168823548</c:v>
                </c:pt>
                <c:pt idx="1233">
                  <c:v>18.85208134585042</c:v>
                </c:pt>
                <c:pt idx="1234">
                  <c:v>18.863639522877293</c:v>
                </c:pt>
                <c:pt idx="1235">
                  <c:v>18.875197699904167</c:v>
                </c:pt>
                <c:pt idx="1236">
                  <c:v>18.886755876931037</c:v>
                </c:pt>
                <c:pt idx="1237">
                  <c:v>18.89831405395791</c:v>
                </c:pt>
                <c:pt idx="1238">
                  <c:v>18.90987223098478</c:v>
                </c:pt>
                <c:pt idx="1239">
                  <c:v>18.921430408011656</c:v>
                </c:pt>
                <c:pt idx="1240">
                  <c:v>18.932988585038526</c:v>
                </c:pt>
                <c:pt idx="1241">
                  <c:v>18.9445467620654</c:v>
                </c:pt>
                <c:pt idx="1242">
                  <c:v>18.956104939092274</c:v>
                </c:pt>
                <c:pt idx="1243">
                  <c:v>18.967663116119144</c:v>
                </c:pt>
                <c:pt idx="1244">
                  <c:v>18.97922129314602</c:v>
                </c:pt>
                <c:pt idx="1245">
                  <c:v>18.99077947017289</c:v>
                </c:pt>
                <c:pt idx="1246">
                  <c:v>19.002337647199763</c:v>
                </c:pt>
                <c:pt idx="1247">
                  <c:v>19.013895824226633</c:v>
                </c:pt>
                <c:pt idx="1248">
                  <c:v>19.025454001253507</c:v>
                </c:pt>
                <c:pt idx="1249">
                  <c:v>19.03701217828038</c:v>
                </c:pt>
                <c:pt idx="1250">
                  <c:v>19.048570355307252</c:v>
                </c:pt>
                <c:pt idx="1251">
                  <c:v>19.060128532334126</c:v>
                </c:pt>
                <c:pt idx="1252">
                  <c:v>19.071686709360996</c:v>
                </c:pt>
                <c:pt idx="1253">
                  <c:v>19.08324488638787</c:v>
                </c:pt>
                <c:pt idx="1254">
                  <c:v>19.09480306341474</c:v>
                </c:pt>
                <c:pt idx="1255">
                  <c:v>19.106361240441615</c:v>
                </c:pt>
                <c:pt idx="1256">
                  <c:v>19.11791941746849</c:v>
                </c:pt>
                <c:pt idx="1257">
                  <c:v>19.12947759449536</c:v>
                </c:pt>
                <c:pt idx="1258">
                  <c:v>19.141035771522233</c:v>
                </c:pt>
                <c:pt idx="1259">
                  <c:v>19.152593948549104</c:v>
                </c:pt>
                <c:pt idx="1260">
                  <c:v>19.164152125575978</c:v>
                </c:pt>
                <c:pt idx="1261">
                  <c:v>19.175710302602848</c:v>
                </c:pt>
                <c:pt idx="1262">
                  <c:v>19.187268479629722</c:v>
                </c:pt>
                <c:pt idx="1263">
                  <c:v>19.198826656656596</c:v>
                </c:pt>
                <c:pt idx="1264">
                  <c:v>19.210384833683467</c:v>
                </c:pt>
                <c:pt idx="1265">
                  <c:v>19.22194301071034</c:v>
                </c:pt>
                <c:pt idx="1266">
                  <c:v>19.23350118773721</c:v>
                </c:pt>
                <c:pt idx="1267">
                  <c:v>19.245059364764085</c:v>
                </c:pt>
                <c:pt idx="1268">
                  <c:v>19.256617541790956</c:v>
                </c:pt>
                <c:pt idx="1269">
                  <c:v>19.26817571881783</c:v>
                </c:pt>
                <c:pt idx="1270">
                  <c:v>19.279733895844704</c:v>
                </c:pt>
                <c:pt idx="1271">
                  <c:v>19.291292072871574</c:v>
                </c:pt>
                <c:pt idx="1272">
                  <c:v>19.302850249898448</c:v>
                </c:pt>
                <c:pt idx="1273">
                  <c:v>19.31440842692532</c:v>
                </c:pt>
                <c:pt idx="1274">
                  <c:v>19.325966603952192</c:v>
                </c:pt>
                <c:pt idx="1275">
                  <c:v>19.337524780979063</c:v>
                </c:pt>
                <c:pt idx="1276">
                  <c:v>19.349082958005937</c:v>
                </c:pt>
                <c:pt idx="1277">
                  <c:v>19.36064113503281</c:v>
                </c:pt>
                <c:pt idx="1278">
                  <c:v>19.37219931205968</c:v>
                </c:pt>
                <c:pt idx="1279">
                  <c:v>19.383757489086555</c:v>
                </c:pt>
                <c:pt idx="1280">
                  <c:v>19.395315666113426</c:v>
                </c:pt>
                <c:pt idx="1281">
                  <c:v>19.4068738431403</c:v>
                </c:pt>
                <c:pt idx="1282">
                  <c:v>19.41843202016717</c:v>
                </c:pt>
                <c:pt idx="1283">
                  <c:v>19.429990197194044</c:v>
                </c:pt>
                <c:pt idx="1284">
                  <c:v>19.44154837422092</c:v>
                </c:pt>
                <c:pt idx="1285">
                  <c:v>19.45310655124779</c:v>
                </c:pt>
                <c:pt idx="1286">
                  <c:v>19.464664728274663</c:v>
                </c:pt>
                <c:pt idx="1287">
                  <c:v>19.476222905301533</c:v>
                </c:pt>
                <c:pt idx="1288">
                  <c:v>19.487781082328407</c:v>
                </c:pt>
                <c:pt idx="1289">
                  <c:v>19.499339259355278</c:v>
                </c:pt>
                <c:pt idx="1290">
                  <c:v>19.51089743638215</c:v>
                </c:pt>
                <c:pt idx="1291">
                  <c:v>19.522455613409026</c:v>
                </c:pt>
                <c:pt idx="1292">
                  <c:v>19.534013790435896</c:v>
                </c:pt>
                <c:pt idx="1293">
                  <c:v>19.54557196746277</c:v>
                </c:pt>
                <c:pt idx="1294">
                  <c:v>19.55713014448964</c:v>
                </c:pt>
                <c:pt idx="1295">
                  <c:v>19.568688321516515</c:v>
                </c:pt>
                <c:pt idx="1296">
                  <c:v>19.580246498543385</c:v>
                </c:pt>
                <c:pt idx="1297">
                  <c:v>19.59180467557026</c:v>
                </c:pt>
                <c:pt idx="1298">
                  <c:v>19.603362852597133</c:v>
                </c:pt>
                <c:pt idx="1299">
                  <c:v>19.614921029624004</c:v>
                </c:pt>
                <c:pt idx="1300">
                  <c:v>19.626479206650878</c:v>
                </c:pt>
                <c:pt idx="1301">
                  <c:v>19.638037383677748</c:v>
                </c:pt>
                <c:pt idx="1302">
                  <c:v>19.649595560704622</c:v>
                </c:pt>
                <c:pt idx="1303">
                  <c:v>19.661153737731492</c:v>
                </c:pt>
                <c:pt idx="1304">
                  <c:v>19.672711914758366</c:v>
                </c:pt>
                <c:pt idx="1305">
                  <c:v>19.68427009178524</c:v>
                </c:pt>
                <c:pt idx="1306">
                  <c:v>19.69582826881211</c:v>
                </c:pt>
                <c:pt idx="1307">
                  <c:v>19.707386445838985</c:v>
                </c:pt>
                <c:pt idx="1308">
                  <c:v>19.718944622865855</c:v>
                </c:pt>
                <c:pt idx="1309">
                  <c:v>19.73050279989273</c:v>
                </c:pt>
                <c:pt idx="1310">
                  <c:v>19.7420609769196</c:v>
                </c:pt>
                <c:pt idx="1311">
                  <c:v>19.753619153946474</c:v>
                </c:pt>
                <c:pt idx="1312">
                  <c:v>19.765177330973348</c:v>
                </c:pt>
                <c:pt idx="1313">
                  <c:v>19.77673550800022</c:v>
                </c:pt>
                <c:pt idx="1314">
                  <c:v>19.788293685027092</c:v>
                </c:pt>
                <c:pt idx="1315">
                  <c:v>19.799851862053963</c:v>
                </c:pt>
                <c:pt idx="1316">
                  <c:v>19.81141003908084</c:v>
                </c:pt>
                <c:pt idx="1317">
                  <c:v>19.822968216107707</c:v>
                </c:pt>
                <c:pt idx="1318">
                  <c:v>19.83452639313458</c:v>
                </c:pt>
                <c:pt idx="1319">
                  <c:v>19.846084570161455</c:v>
                </c:pt>
                <c:pt idx="1320">
                  <c:v>19.857642747188326</c:v>
                </c:pt>
                <c:pt idx="1321">
                  <c:v>19.8692009242152</c:v>
                </c:pt>
                <c:pt idx="1322">
                  <c:v>19.88075910124207</c:v>
                </c:pt>
                <c:pt idx="1323">
                  <c:v>19.892317278268948</c:v>
                </c:pt>
                <c:pt idx="1324">
                  <c:v>19.903875455295815</c:v>
                </c:pt>
                <c:pt idx="1325">
                  <c:v>19.91543363232269</c:v>
                </c:pt>
                <c:pt idx="1326">
                  <c:v>19.926991809349563</c:v>
                </c:pt>
                <c:pt idx="1327">
                  <c:v>19.938549986376433</c:v>
                </c:pt>
                <c:pt idx="1328">
                  <c:v>19.950108163403307</c:v>
                </c:pt>
                <c:pt idx="1329">
                  <c:v>19.961666340430178</c:v>
                </c:pt>
                <c:pt idx="1330">
                  <c:v>19.973224517457055</c:v>
                </c:pt>
                <c:pt idx="1331">
                  <c:v>19.984782694483922</c:v>
                </c:pt>
                <c:pt idx="1332">
                  <c:v>19.9963408715108</c:v>
                </c:pt>
                <c:pt idx="1333">
                  <c:v>20.00789904853767</c:v>
                </c:pt>
                <c:pt idx="1334">
                  <c:v>20.01945722556454</c:v>
                </c:pt>
                <c:pt idx="1335">
                  <c:v>20.031015402591414</c:v>
                </c:pt>
                <c:pt idx="1336">
                  <c:v>20.042573579618285</c:v>
                </c:pt>
                <c:pt idx="1337">
                  <c:v>20.054131756645162</c:v>
                </c:pt>
                <c:pt idx="1338">
                  <c:v>20.06568993367203</c:v>
                </c:pt>
                <c:pt idx="1339">
                  <c:v>20.077248110698907</c:v>
                </c:pt>
                <c:pt idx="1340">
                  <c:v>20.088806287725777</c:v>
                </c:pt>
                <c:pt idx="1341">
                  <c:v>20.100364464752648</c:v>
                </c:pt>
                <c:pt idx="1342">
                  <c:v>20.111922641779522</c:v>
                </c:pt>
                <c:pt idx="1343">
                  <c:v>20.123480818806392</c:v>
                </c:pt>
                <c:pt idx="1344">
                  <c:v>20.13503899583327</c:v>
                </c:pt>
                <c:pt idx="1345">
                  <c:v>20.146597172860137</c:v>
                </c:pt>
                <c:pt idx="1346">
                  <c:v>20.158155349887014</c:v>
                </c:pt>
                <c:pt idx="1347">
                  <c:v>20.169713526913885</c:v>
                </c:pt>
                <c:pt idx="1348">
                  <c:v>20.181271703940755</c:v>
                </c:pt>
                <c:pt idx="1349">
                  <c:v>20.19282988096763</c:v>
                </c:pt>
                <c:pt idx="1350">
                  <c:v>20.2043880579945</c:v>
                </c:pt>
                <c:pt idx="1351">
                  <c:v>20.215946235021377</c:v>
                </c:pt>
                <c:pt idx="1352">
                  <c:v>20.227504412048244</c:v>
                </c:pt>
                <c:pt idx="1353">
                  <c:v>20.23906258907512</c:v>
                </c:pt>
                <c:pt idx="1354">
                  <c:v>20.250620766101992</c:v>
                </c:pt>
                <c:pt idx="1355">
                  <c:v>20.262178943128863</c:v>
                </c:pt>
                <c:pt idx="1356">
                  <c:v>20.273737120155737</c:v>
                </c:pt>
                <c:pt idx="1357">
                  <c:v>20.28529529718261</c:v>
                </c:pt>
                <c:pt idx="1358">
                  <c:v>20.296853474209485</c:v>
                </c:pt>
                <c:pt idx="1359">
                  <c:v>20.30841165123635</c:v>
                </c:pt>
                <c:pt idx="1360">
                  <c:v>20.31996982826323</c:v>
                </c:pt>
                <c:pt idx="1361">
                  <c:v>20.3315280052901</c:v>
                </c:pt>
                <c:pt idx="1362">
                  <c:v>20.34308618231697</c:v>
                </c:pt>
                <c:pt idx="1363">
                  <c:v>20.354644359343844</c:v>
                </c:pt>
                <c:pt idx="1364">
                  <c:v>20.366202536370718</c:v>
                </c:pt>
                <c:pt idx="1365">
                  <c:v>20.377760713397592</c:v>
                </c:pt>
                <c:pt idx="1366">
                  <c:v>20.389318890424462</c:v>
                </c:pt>
                <c:pt idx="1367">
                  <c:v>20.400877067451336</c:v>
                </c:pt>
                <c:pt idx="1368">
                  <c:v>20.412435244478207</c:v>
                </c:pt>
                <c:pt idx="1369">
                  <c:v>20.423993421505077</c:v>
                </c:pt>
                <c:pt idx="1370">
                  <c:v>20.43555159853195</c:v>
                </c:pt>
                <c:pt idx="1371">
                  <c:v>20.447109775558825</c:v>
                </c:pt>
                <c:pt idx="1372">
                  <c:v>20.4586679525857</c:v>
                </c:pt>
                <c:pt idx="1373">
                  <c:v>20.47022612961257</c:v>
                </c:pt>
                <c:pt idx="1374">
                  <c:v>20.481784306639444</c:v>
                </c:pt>
                <c:pt idx="1375">
                  <c:v>20.493342483666314</c:v>
                </c:pt>
                <c:pt idx="1376">
                  <c:v>20.504900660693185</c:v>
                </c:pt>
                <c:pt idx="1377">
                  <c:v>20.51645883772006</c:v>
                </c:pt>
                <c:pt idx="1378">
                  <c:v>20.528017014746933</c:v>
                </c:pt>
                <c:pt idx="1379">
                  <c:v>20.539575191773807</c:v>
                </c:pt>
                <c:pt idx="1380">
                  <c:v>20.551133368800677</c:v>
                </c:pt>
                <c:pt idx="1381">
                  <c:v>20.56269154582755</c:v>
                </c:pt>
                <c:pt idx="1382">
                  <c:v>20.57424972285442</c:v>
                </c:pt>
                <c:pt idx="1383">
                  <c:v>20.585807899881292</c:v>
                </c:pt>
                <c:pt idx="1384">
                  <c:v>20.597366076908166</c:v>
                </c:pt>
                <c:pt idx="1385">
                  <c:v>20.60892425393504</c:v>
                </c:pt>
                <c:pt idx="1386">
                  <c:v>20.620482430961914</c:v>
                </c:pt>
                <c:pt idx="1387">
                  <c:v>20.632040607988785</c:v>
                </c:pt>
                <c:pt idx="1388">
                  <c:v>20.64359878501566</c:v>
                </c:pt>
                <c:pt idx="1389">
                  <c:v>20.65515696204253</c:v>
                </c:pt>
                <c:pt idx="1390">
                  <c:v>20.6667151390694</c:v>
                </c:pt>
                <c:pt idx="1391">
                  <c:v>20.678273316096274</c:v>
                </c:pt>
                <c:pt idx="1392">
                  <c:v>20.689831493123148</c:v>
                </c:pt>
                <c:pt idx="1393">
                  <c:v>20.70138967015002</c:v>
                </c:pt>
                <c:pt idx="1394">
                  <c:v>20.712947847176892</c:v>
                </c:pt>
                <c:pt idx="1395">
                  <c:v>20.724506024203766</c:v>
                </c:pt>
                <c:pt idx="1396">
                  <c:v>20.736064201230636</c:v>
                </c:pt>
                <c:pt idx="1397">
                  <c:v>20.747622378257507</c:v>
                </c:pt>
                <c:pt idx="1398">
                  <c:v>20.75918055528438</c:v>
                </c:pt>
                <c:pt idx="1399">
                  <c:v>20.770738732311255</c:v>
                </c:pt>
                <c:pt idx="1400">
                  <c:v>20.78229690933813</c:v>
                </c:pt>
                <c:pt idx="1401">
                  <c:v>20.793855086365</c:v>
                </c:pt>
                <c:pt idx="1402">
                  <c:v>20.805413263391873</c:v>
                </c:pt>
                <c:pt idx="1403">
                  <c:v>20.816971440418744</c:v>
                </c:pt>
                <c:pt idx="1404">
                  <c:v>20.828529617445614</c:v>
                </c:pt>
                <c:pt idx="1405">
                  <c:v>20.84008779447249</c:v>
                </c:pt>
                <c:pt idx="1406">
                  <c:v>20.851645971499362</c:v>
                </c:pt>
                <c:pt idx="1407">
                  <c:v>20.863204148526236</c:v>
                </c:pt>
                <c:pt idx="1408">
                  <c:v>20.874762325553107</c:v>
                </c:pt>
                <c:pt idx="1409">
                  <c:v>20.88632050257998</c:v>
                </c:pt>
                <c:pt idx="1410">
                  <c:v>20.89787867960685</c:v>
                </c:pt>
                <c:pt idx="1411">
                  <c:v>20.90943685663372</c:v>
                </c:pt>
                <c:pt idx="1412">
                  <c:v>20.920995033660596</c:v>
                </c:pt>
                <c:pt idx="1413">
                  <c:v>20.93255321068747</c:v>
                </c:pt>
                <c:pt idx="1414">
                  <c:v>20.944111387714344</c:v>
                </c:pt>
                <c:pt idx="1415">
                  <c:v>20.955669564741214</c:v>
                </c:pt>
                <c:pt idx="1416">
                  <c:v>20.967227741768088</c:v>
                </c:pt>
                <c:pt idx="1417">
                  <c:v>20.97878591879496</c:v>
                </c:pt>
                <c:pt idx="1418">
                  <c:v>20.99034409582183</c:v>
                </c:pt>
                <c:pt idx="1419">
                  <c:v>21.001902272848703</c:v>
                </c:pt>
                <c:pt idx="1420">
                  <c:v>21.013460449875577</c:v>
                </c:pt>
                <c:pt idx="1421">
                  <c:v>21.02501862690245</c:v>
                </c:pt>
                <c:pt idx="1422">
                  <c:v>21.03657680392932</c:v>
                </c:pt>
                <c:pt idx="1423">
                  <c:v>21.048134980956196</c:v>
                </c:pt>
                <c:pt idx="1424">
                  <c:v>21.059693157983066</c:v>
                </c:pt>
                <c:pt idx="1425">
                  <c:v>21.071251335009936</c:v>
                </c:pt>
                <c:pt idx="1426">
                  <c:v>21.08280951203681</c:v>
                </c:pt>
                <c:pt idx="1427">
                  <c:v>21.094367689063684</c:v>
                </c:pt>
                <c:pt idx="1428">
                  <c:v>21.10592586609056</c:v>
                </c:pt>
                <c:pt idx="1429">
                  <c:v>21.11748404311743</c:v>
                </c:pt>
                <c:pt idx="1430">
                  <c:v>21.129042220144303</c:v>
                </c:pt>
                <c:pt idx="1431">
                  <c:v>21.140600397171173</c:v>
                </c:pt>
                <c:pt idx="1432">
                  <c:v>21.152158574198047</c:v>
                </c:pt>
                <c:pt idx="1433">
                  <c:v>21.163716751224918</c:v>
                </c:pt>
                <c:pt idx="1434">
                  <c:v>21.175274928251792</c:v>
                </c:pt>
                <c:pt idx="1435">
                  <c:v>21.186833105278666</c:v>
                </c:pt>
                <c:pt idx="1436">
                  <c:v>21.198391282305536</c:v>
                </c:pt>
                <c:pt idx="1437">
                  <c:v>21.20994945933241</c:v>
                </c:pt>
                <c:pt idx="1438">
                  <c:v>21.22150763635928</c:v>
                </c:pt>
                <c:pt idx="1439">
                  <c:v>21.233065813386155</c:v>
                </c:pt>
                <c:pt idx="1440">
                  <c:v>21.244623990413025</c:v>
                </c:pt>
                <c:pt idx="1441">
                  <c:v>21.2561821674399</c:v>
                </c:pt>
                <c:pt idx="1442">
                  <c:v>21.267740344466773</c:v>
                </c:pt>
                <c:pt idx="1443">
                  <c:v>21.279298521493644</c:v>
                </c:pt>
                <c:pt idx="1444">
                  <c:v>21.290856698520518</c:v>
                </c:pt>
                <c:pt idx="1445">
                  <c:v>21.302414875547388</c:v>
                </c:pt>
                <c:pt idx="1446">
                  <c:v>21.313973052574262</c:v>
                </c:pt>
                <c:pt idx="1447">
                  <c:v>21.325531229601133</c:v>
                </c:pt>
                <c:pt idx="1448">
                  <c:v>21.33708940662801</c:v>
                </c:pt>
                <c:pt idx="1449">
                  <c:v>21.34864758365488</c:v>
                </c:pt>
                <c:pt idx="1450">
                  <c:v>21.360205760681747</c:v>
                </c:pt>
                <c:pt idx="1451">
                  <c:v>21.371763937708625</c:v>
                </c:pt>
                <c:pt idx="1452">
                  <c:v>21.383322114735495</c:v>
                </c:pt>
                <c:pt idx="1453">
                  <c:v>21.39488029176237</c:v>
                </c:pt>
                <c:pt idx="1454">
                  <c:v>21.40643846878924</c:v>
                </c:pt>
                <c:pt idx="1455">
                  <c:v>21.417996645816118</c:v>
                </c:pt>
                <c:pt idx="1456">
                  <c:v>21.429554822842988</c:v>
                </c:pt>
                <c:pt idx="1457">
                  <c:v>21.441112999869855</c:v>
                </c:pt>
                <c:pt idx="1458">
                  <c:v>21.452671176896732</c:v>
                </c:pt>
                <c:pt idx="1459">
                  <c:v>21.464229353923603</c:v>
                </c:pt>
                <c:pt idx="1460">
                  <c:v>21.475787530950477</c:v>
                </c:pt>
                <c:pt idx="1461">
                  <c:v>21.487345707977347</c:v>
                </c:pt>
                <c:pt idx="1462">
                  <c:v>21.498903885004225</c:v>
                </c:pt>
                <c:pt idx="1463">
                  <c:v>21.510462062031095</c:v>
                </c:pt>
                <c:pt idx="1464">
                  <c:v>21.522020239057966</c:v>
                </c:pt>
                <c:pt idx="1465">
                  <c:v>21.53357841608484</c:v>
                </c:pt>
                <c:pt idx="1466">
                  <c:v>21.54513659311171</c:v>
                </c:pt>
                <c:pt idx="1467">
                  <c:v>21.556694770138584</c:v>
                </c:pt>
                <c:pt idx="1468">
                  <c:v>21.568252947165455</c:v>
                </c:pt>
                <c:pt idx="1469">
                  <c:v>21.579811124192332</c:v>
                </c:pt>
                <c:pt idx="1470">
                  <c:v>21.591369301219203</c:v>
                </c:pt>
                <c:pt idx="1471">
                  <c:v>21.602927478246073</c:v>
                </c:pt>
                <c:pt idx="1472">
                  <c:v>21.614485655272947</c:v>
                </c:pt>
                <c:pt idx="1473">
                  <c:v>21.62604383229982</c:v>
                </c:pt>
                <c:pt idx="1474">
                  <c:v>21.63760200932669</c:v>
                </c:pt>
                <c:pt idx="1475">
                  <c:v>21.649160186353562</c:v>
                </c:pt>
                <c:pt idx="1476">
                  <c:v>21.66071836338044</c:v>
                </c:pt>
                <c:pt idx="1477">
                  <c:v>21.67227654040731</c:v>
                </c:pt>
                <c:pt idx="1478">
                  <c:v>21.68383471743418</c:v>
                </c:pt>
                <c:pt idx="1479">
                  <c:v>21.695392894461055</c:v>
                </c:pt>
                <c:pt idx="1480">
                  <c:v>21.70695107148793</c:v>
                </c:pt>
                <c:pt idx="1481">
                  <c:v>21.7185092485148</c:v>
                </c:pt>
                <c:pt idx="1482">
                  <c:v>21.73006742554167</c:v>
                </c:pt>
                <c:pt idx="1483">
                  <c:v>21.741625602568547</c:v>
                </c:pt>
                <c:pt idx="1484">
                  <c:v>21.753183779595417</c:v>
                </c:pt>
                <c:pt idx="1485">
                  <c:v>21.764741956622288</c:v>
                </c:pt>
                <c:pt idx="1486">
                  <c:v>21.776300133649162</c:v>
                </c:pt>
                <c:pt idx="1487">
                  <c:v>21.787858310676036</c:v>
                </c:pt>
                <c:pt idx="1488">
                  <c:v>21.799416487702906</c:v>
                </c:pt>
                <c:pt idx="1489">
                  <c:v>21.810974664729777</c:v>
                </c:pt>
                <c:pt idx="1490">
                  <c:v>21.822532841756654</c:v>
                </c:pt>
                <c:pt idx="1491">
                  <c:v>21.834091018783525</c:v>
                </c:pt>
                <c:pt idx="1492">
                  <c:v>21.845649195810395</c:v>
                </c:pt>
                <c:pt idx="1493">
                  <c:v>21.85720737283727</c:v>
                </c:pt>
                <c:pt idx="1494">
                  <c:v>21.868765549864143</c:v>
                </c:pt>
                <c:pt idx="1495">
                  <c:v>21.880323726891014</c:v>
                </c:pt>
                <c:pt idx="1496">
                  <c:v>21.891881903917884</c:v>
                </c:pt>
                <c:pt idx="1497">
                  <c:v>21.903440080944762</c:v>
                </c:pt>
                <c:pt idx="1498">
                  <c:v>21.914998257971632</c:v>
                </c:pt>
                <c:pt idx="1499">
                  <c:v>21.926556434998503</c:v>
                </c:pt>
                <c:pt idx="1500">
                  <c:v>21.938114612025377</c:v>
                </c:pt>
                <c:pt idx="1501">
                  <c:v>21.94967278905225</c:v>
                </c:pt>
                <c:pt idx="1502">
                  <c:v>21.96123096607912</c:v>
                </c:pt>
                <c:pt idx="1503">
                  <c:v>21.97278914310599</c:v>
                </c:pt>
                <c:pt idx="1504">
                  <c:v>21.98434732013287</c:v>
                </c:pt>
                <c:pt idx="1505">
                  <c:v>21.99590549715974</c:v>
                </c:pt>
                <c:pt idx="1506">
                  <c:v>22.00746367418661</c:v>
                </c:pt>
                <c:pt idx="1507">
                  <c:v>22.019021851213484</c:v>
                </c:pt>
                <c:pt idx="1508">
                  <c:v>22.030580028240358</c:v>
                </c:pt>
                <c:pt idx="1509">
                  <c:v>22.04213820526723</c:v>
                </c:pt>
                <c:pt idx="1510">
                  <c:v>22.0536963822941</c:v>
                </c:pt>
                <c:pt idx="1511">
                  <c:v>22.065254559320977</c:v>
                </c:pt>
                <c:pt idx="1512">
                  <c:v>22.076812736347847</c:v>
                </c:pt>
                <c:pt idx="1513">
                  <c:v>22.088370913374717</c:v>
                </c:pt>
                <c:pt idx="1514">
                  <c:v>22.09992909040159</c:v>
                </c:pt>
                <c:pt idx="1515">
                  <c:v>22.111487267428465</c:v>
                </c:pt>
                <c:pt idx="1516">
                  <c:v>22.123045444455336</c:v>
                </c:pt>
                <c:pt idx="1517">
                  <c:v>22.134603621482206</c:v>
                </c:pt>
                <c:pt idx="1518">
                  <c:v>22.146161798509084</c:v>
                </c:pt>
                <c:pt idx="1519">
                  <c:v>22.157719975535954</c:v>
                </c:pt>
                <c:pt idx="1520">
                  <c:v>22.169278152562825</c:v>
                </c:pt>
                <c:pt idx="1521">
                  <c:v>22.1808363295897</c:v>
                </c:pt>
                <c:pt idx="1522">
                  <c:v>22.192394506616573</c:v>
                </c:pt>
                <c:pt idx="1523">
                  <c:v>22.203952683643443</c:v>
                </c:pt>
                <c:pt idx="1524">
                  <c:v>22.215510860670314</c:v>
                </c:pt>
                <c:pt idx="1525">
                  <c:v>22.22706903769719</c:v>
                </c:pt>
                <c:pt idx="1526">
                  <c:v>22.238627214724062</c:v>
                </c:pt>
                <c:pt idx="1527">
                  <c:v>22.250185391750932</c:v>
                </c:pt>
                <c:pt idx="1528">
                  <c:v>22.261743568777806</c:v>
                </c:pt>
                <c:pt idx="1529">
                  <c:v>22.27330174580468</c:v>
                </c:pt>
                <c:pt idx="1530">
                  <c:v>22.28485992283155</c:v>
                </c:pt>
                <c:pt idx="1531">
                  <c:v>22.29641809985842</c:v>
                </c:pt>
                <c:pt idx="1532">
                  <c:v>22.3079762768853</c:v>
                </c:pt>
                <c:pt idx="1533">
                  <c:v>22.31953445391217</c:v>
                </c:pt>
                <c:pt idx="1534">
                  <c:v>22.33109263093904</c:v>
                </c:pt>
                <c:pt idx="1535">
                  <c:v>22.342650807965914</c:v>
                </c:pt>
                <c:pt idx="1536">
                  <c:v>22.354208984992788</c:v>
                </c:pt>
                <c:pt idx="1537">
                  <c:v>22.365767162019658</c:v>
                </c:pt>
                <c:pt idx="1538">
                  <c:v>22.37732533904653</c:v>
                </c:pt>
                <c:pt idx="1539">
                  <c:v>22.388883516073406</c:v>
                </c:pt>
                <c:pt idx="1540">
                  <c:v>22.400441693100277</c:v>
                </c:pt>
                <c:pt idx="1541">
                  <c:v>22.411999870127147</c:v>
                </c:pt>
                <c:pt idx="1542">
                  <c:v>22.42355804715402</c:v>
                </c:pt>
                <c:pt idx="1543">
                  <c:v>22.435116224180895</c:v>
                </c:pt>
                <c:pt idx="1544">
                  <c:v>22.446674401207765</c:v>
                </c:pt>
                <c:pt idx="1545">
                  <c:v>22.458232578234636</c:v>
                </c:pt>
                <c:pt idx="1546">
                  <c:v>22.469790755261513</c:v>
                </c:pt>
                <c:pt idx="1547">
                  <c:v>22.481348932288384</c:v>
                </c:pt>
                <c:pt idx="1548">
                  <c:v>22.492907109315254</c:v>
                </c:pt>
                <c:pt idx="1549">
                  <c:v>22.50446528634213</c:v>
                </c:pt>
                <c:pt idx="1550">
                  <c:v>22.516023463369002</c:v>
                </c:pt>
                <c:pt idx="1551">
                  <c:v>22.527581640395873</c:v>
                </c:pt>
                <c:pt idx="1552">
                  <c:v>22.539139817422743</c:v>
                </c:pt>
                <c:pt idx="1553">
                  <c:v>22.55069799444962</c:v>
                </c:pt>
                <c:pt idx="1554">
                  <c:v>22.56225617147649</c:v>
                </c:pt>
                <c:pt idx="1555">
                  <c:v>22.573814348503365</c:v>
                </c:pt>
                <c:pt idx="1556">
                  <c:v>22.585372525530236</c:v>
                </c:pt>
                <c:pt idx="1557">
                  <c:v>22.59693070255711</c:v>
                </c:pt>
                <c:pt idx="1558">
                  <c:v>22.60848887958398</c:v>
                </c:pt>
                <c:pt idx="1559">
                  <c:v>22.62004705661085</c:v>
                </c:pt>
                <c:pt idx="1560">
                  <c:v>22.63160523363773</c:v>
                </c:pt>
                <c:pt idx="1561">
                  <c:v>22.6431634106646</c:v>
                </c:pt>
                <c:pt idx="1562">
                  <c:v>22.654721587691473</c:v>
                </c:pt>
                <c:pt idx="1563">
                  <c:v>22.666279764718343</c:v>
                </c:pt>
                <c:pt idx="1564">
                  <c:v>22.677837941745217</c:v>
                </c:pt>
                <c:pt idx="1565">
                  <c:v>22.689396118772088</c:v>
                </c:pt>
                <c:pt idx="1566">
                  <c:v>22.700954295798958</c:v>
                </c:pt>
                <c:pt idx="1567">
                  <c:v>22.712512472825836</c:v>
                </c:pt>
                <c:pt idx="1568">
                  <c:v>22.724070649852706</c:v>
                </c:pt>
                <c:pt idx="1569">
                  <c:v>22.73562882687958</c:v>
                </c:pt>
                <c:pt idx="1570">
                  <c:v>22.74718700390645</c:v>
                </c:pt>
                <c:pt idx="1571">
                  <c:v>22.758745180933325</c:v>
                </c:pt>
                <c:pt idx="1572">
                  <c:v>22.770303357960195</c:v>
                </c:pt>
                <c:pt idx="1573">
                  <c:v>22.781861534987065</c:v>
                </c:pt>
                <c:pt idx="1574">
                  <c:v>22.793419712013943</c:v>
                </c:pt>
                <c:pt idx="1575">
                  <c:v>22.804977889040813</c:v>
                </c:pt>
                <c:pt idx="1576">
                  <c:v>22.816536066067687</c:v>
                </c:pt>
                <c:pt idx="1577">
                  <c:v>22.828094243094558</c:v>
                </c:pt>
                <c:pt idx="1578">
                  <c:v>22.839652420121432</c:v>
                </c:pt>
                <c:pt idx="1579">
                  <c:v>22.851210597148302</c:v>
                </c:pt>
                <c:pt idx="1580">
                  <c:v>22.862768774175176</c:v>
                </c:pt>
                <c:pt idx="1581">
                  <c:v>22.87432695120205</c:v>
                </c:pt>
                <c:pt idx="1582">
                  <c:v>22.88588512822892</c:v>
                </c:pt>
                <c:pt idx="1583">
                  <c:v>22.897443305255795</c:v>
                </c:pt>
                <c:pt idx="1584">
                  <c:v>22.909001482282665</c:v>
                </c:pt>
                <c:pt idx="1585">
                  <c:v>22.92055965930954</c:v>
                </c:pt>
                <c:pt idx="1586">
                  <c:v>22.93211783633641</c:v>
                </c:pt>
                <c:pt idx="1587">
                  <c:v>22.943676013363284</c:v>
                </c:pt>
                <c:pt idx="1588">
                  <c:v>22.955234190390158</c:v>
                </c:pt>
                <c:pt idx="1589">
                  <c:v>22.96679236741703</c:v>
                </c:pt>
                <c:pt idx="1590">
                  <c:v>22.978350544443902</c:v>
                </c:pt>
                <c:pt idx="1591">
                  <c:v>22.989908721470773</c:v>
                </c:pt>
                <c:pt idx="1592">
                  <c:v>23.001466898497647</c:v>
                </c:pt>
                <c:pt idx="1593">
                  <c:v>23.013025075524517</c:v>
                </c:pt>
                <c:pt idx="1594">
                  <c:v>23.02458325255139</c:v>
                </c:pt>
                <c:pt idx="1595">
                  <c:v>23.036141429578265</c:v>
                </c:pt>
                <c:pt idx="1596">
                  <c:v>23.047699606605136</c:v>
                </c:pt>
                <c:pt idx="1597">
                  <c:v>23.05925778363201</c:v>
                </c:pt>
                <c:pt idx="1598">
                  <c:v>23.07081596065888</c:v>
                </c:pt>
                <c:pt idx="1599">
                  <c:v>23.082374137685754</c:v>
                </c:pt>
                <c:pt idx="1600">
                  <c:v>23.093932314712625</c:v>
                </c:pt>
                <c:pt idx="1601">
                  <c:v>23.1054904917395</c:v>
                </c:pt>
                <c:pt idx="1602">
                  <c:v>23.117048668766373</c:v>
                </c:pt>
                <c:pt idx="1603">
                  <c:v>23.128606845793243</c:v>
                </c:pt>
                <c:pt idx="1604">
                  <c:v>23.140165022820117</c:v>
                </c:pt>
                <c:pt idx="1605">
                  <c:v>23.151723199846987</c:v>
                </c:pt>
                <c:pt idx="1606">
                  <c:v>23.16328137687386</c:v>
                </c:pt>
                <c:pt idx="1607">
                  <c:v>23.174839553900732</c:v>
                </c:pt>
                <c:pt idx="1608">
                  <c:v>23.186397730927606</c:v>
                </c:pt>
                <c:pt idx="1609">
                  <c:v>23.19795590795448</c:v>
                </c:pt>
                <c:pt idx="1610">
                  <c:v>23.20951408498135</c:v>
                </c:pt>
                <c:pt idx="1611">
                  <c:v>23.221072262008224</c:v>
                </c:pt>
                <c:pt idx="1612">
                  <c:v>23.232630439035095</c:v>
                </c:pt>
                <c:pt idx="1613">
                  <c:v>23.24418861606197</c:v>
                </c:pt>
                <c:pt idx="1614">
                  <c:v>23.25574679308884</c:v>
                </c:pt>
                <c:pt idx="1615">
                  <c:v>23.267304970115713</c:v>
                </c:pt>
                <c:pt idx="1616">
                  <c:v>23.278863147142587</c:v>
                </c:pt>
                <c:pt idx="1617">
                  <c:v>23.290421324169458</c:v>
                </c:pt>
                <c:pt idx="1618">
                  <c:v>23.30197950119633</c:v>
                </c:pt>
                <c:pt idx="1619">
                  <c:v>23.313537678223202</c:v>
                </c:pt>
                <c:pt idx="1620">
                  <c:v>23.32509585525008</c:v>
                </c:pt>
                <c:pt idx="1621">
                  <c:v>23.336654032276947</c:v>
                </c:pt>
                <c:pt idx="1622">
                  <c:v>23.30868800948223</c:v>
                </c:pt>
                <c:pt idx="1623">
                  <c:v>23.280728553738843</c:v>
                </c:pt>
                <c:pt idx="1624">
                  <c:v>23.2527756556301</c:v>
                </c:pt>
                <c:pt idx="1625">
                  <c:v>23.22482930574706</c:v>
                </c:pt>
                <c:pt idx="1626">
                  <c:v>23.196889494688524</c:v>
                </c:pt>
                <c:pt idx="1627">
                  <c:v>23.168956213061</c:v>
                </c:pt>
                <c:pt idx="1628">
                  <c:v>23.141029451478722</c:v>
                </c:pt>
                <c:pt idx="1629">
                  <c:v>23.11310920056361</c:v>
                </c:pt>
                <c:pt idx="1630">
                  <c:v>23.08519545094526</c:v>
                </c:pt>
                <c:pt idx="1631">
                  <c:v>23.05728819326095</c:v>
                </c:pt>
                <c:pt idx="1632">
                  <c:v>23.029387418155594</c:v>
                </c:pt>
                <c:pt idx="1633">
                  <c:v>23.00149311628176</c:v>
                </c:pt>
                <c:pt idx="1634">
                  <c:v>22.973605278299644</c:v>
                </c:pt>
                <c:pt idx="1635">
                  <c:v>22.945723894877037</c:v>
                </c:pt>
                <c:pt idx="1636">
                  <c:v>22.917848956689348</c:v>
                </c:pt>
                <c:pt idx="1637">
                  <c:v>22.889980454419565</c:v>
                </c:pt>
                <c:pt idx="1638">
                  <c:v>22.862118378758247</c:v>
                </c:pt>
                <c:pt idx="1639">
                  <c:v>22.834262720403515</c:v>
                </c:pt>
                <c:pt idx="1640">
                  <c:v>22.806413470061038</c:v>
                </c:pt>
                <c:pt idx="1641">
                  <c:v>22.778570618444014</c:v>
                </c:pt>
                <c:pt idx="1642">
                  <c:v>22.778570618444014</c:v>
                </c:pt>
                <c:pt idx="1643">
                  <c:v>22.79667498726628</c:v>
                </c:pt>
                <c:pt idx="1644">
                  <c:v>22.814779356088543</c:v>
                </c:pt>
                <c:pt idx="1645">
                  <c:v>22.832883724910808</c:v>
                </c:pt>
                <c:pt idx="1646">
                  <c:v>22.85098809373307</c:v>
                </c:pt>
                <c:pt idx="1647">
                  <c:v>22.869092462555333</c:v>
                </c:pt>
                <c:pt idx="1648">
                  <c:v>22.887196831377597</c:v>
                </c:pt>
                <c:pt idx="1649">
                  <c:v>22.905301200199858</c:v>
                </c:pt>
                <c:pt idx="1650">
                  <c:v>22.923405569022126</c:v>
                </c:pt>
                <c:pt idx="1651">
                  <c:v>22.941509937844387</c:v>
                </c:pt>
                <c:pt idx="1652">
                  <c:v>22.95961430666665</c:v>
                </c:pt>
                <c:pt idx="1653">
                  <c:v>22.977718675488916</c:v>
                </c:pt>
                <c:pt idx="1654">
                  <c:v>22.99582304431118</c:v>
                </c:pt>
                <c:pt idx="1655">
                  <c:v>23.01392741313344</c:v>
                </c:pt>
                <c:pt idx="1656">
                  <c:v>23.03203178195571</c:v>
                </c:pt>
                <c:pt idx="1657">
                  <c:v>23.05013615077797</c:v>
                </c:pt>
                <c:pt idx="1658">
                  <c:v>23.068240519600234</c:v>
                </c:pt>
                <c:pt idx="1659">
                  <c:v>23.0863448884225</c:v>
                </c:pt>
                <c:pt idx="1660">
                  <c:v>23.104449257244763</c:v>
                </c:pt>
                <c:pt idx="1661">
                  <c:v>23.122553626067024</c:v>
                </c:pt>
                <c:pt idx="1662">
                  <c:v>23.14065799488929</c:v>
                </c:pt>
                <c:pt idx="1663">
                  <c:v>23.158762363711553</c:v>
                </c:pt>
                <c:pt idx="1664">
                  <c:v>23.176866732533814</c:v>
                </c:pt>
                <c:pt idx="1665">
                  <c:v>23.19497110135608</c:v>
                </c:pt>
                <c:pt idx="1666">
                  <c:v>23.213075470178342</c:v>
                </c:pt>
                <c:pt idx="1667">
                  <c:v>23.231179839000607</c:v>
                </c:pt>
                <c:pt idx="1668">
                  <c:v>23.24928420782287</c:v>
                </c:pt>
                <c:pt idx="1669">
                  <c:v>23.267388576645136</c:v>
                </c:pt>
                <c:pt idx="1670">
                  <c:v>23.285492945467396</c:v>
                </c:pt>
                <c:pt idx="1671">
                  <c:v>23.303597314289664</c:v>
                </c:pt>
                <c:pt idx="1672">
                  <c:v>23.321701683111925</c:v>
                </c:pt>
                <c:pt idx="1673">
                  <c:v>23.33980605193419</c:v>
                </c:pt>
                <c:pt idx="1674">
                  <c:v>23.357910420756454</c:v>
                </c:pt>
                <c:pt idx="1675">
                  <c:v>23.37601478957872</c:v>
                </c:pt>
                <c:pt idx="1676">
                  <c:v>23.39411915840098</c:v>
                </c:pt>
                <c:pt idx="1677">
                  <c:v>23.412223527223244</c:v>
                </c:pt>
                <c:pt idx="1678">
                  <c:v>23.430327896045508</c:v>
                </c:pt>
                <c:pt idx="1679">
                  <c:v>23.44843226486777</c:v>
                </c:pt>
                <c:pt idx="1680">
                  <c:v>23.466536633690037</c:v>
                </c:pt>
                <c:pt idx="1681">
                  <c:v>23.484641002512298</c:v>
                </c:pt>
                <c:pt idx="1682">
                  <c:v>23.502745371334562</c:v>
                </c:pt>
                <c:pt idx="1683">
                  <c:v>23.520849740156827</c:v>
                </c:pt>
                <c:pt idx="1684">
                  <c:v>23.53895410897909</c:v>
                </c:pt>
                <c:pt idx="1685">
                  <c:v>23.557058477801352</c:v>
                </c:pt>
                <c:pt idx="1686">
                  <c:v>23.57516284662362</c:v>
                </c:pt>
                <c:pt idx="1687">
                  <c:v>23.59326721544588</c:v>
                </c:pt>
                <c:pt idx="1688">
                  <c:v>23.611371584268145</c:v>
                </c:pt>
                <c:pt idx="1689">
                  <c:v>23.62947595309041</c:v>
                </c:pt>
                <c:pt idx="1690">
                  <c:v>23.647580321912674</c:v>
                </c:pt>
                <c:pt idx="1691">
                  <c:v>23.665684690734935</c:v>
                </c:pt>
                <c:pt idx="1692">
                  <c:v>23.6837890595572</c:v>
                </c:pt>
                <c:pt idx="1693">
                  <c:v>23.701893428379464</c:v>
                </c:pt>
                <c:pt idx="1694">
                  <c:v>23.719997797201724</c:v>
                </c:pt>
                <c:pt idx="1695">
                  <c:v>23.73810216602399</c:v>
                </c:pt>
                <c:pt idx="1696">
                  <c:v>23.756206534846253</c:v>
                </c:pt>
                <c:pt idx="1697">
                  <c:v>23.774310903668518</c:v>
                </c:pt>
                <c:pt idx="1698">
                  <c:v>23.79241527249078</c:v>
                </c:pt>
                <c:pt idx="1699">
                  <c:v>23.810519641313046</c:v>
                </c:pt>
                <c:pt idx="1700">
                  <c:v>23.828624010135307</c:v>
                </c:pt>
                <c:pt idx="1701">
                  <c:v>23.84672837895757</c:v>
                </c:pt>
                <c:pt idx="1702">
                  <c:v>23.864832747779836</c:v>
                </c:pt>
                <c:pt idx="1703">
                  <c:v>23.8829371166021</c:v>
                </c:pt>
                <c:pt idx="1704">
                  <c:v>23.90104148542436</c:v>
                </c:pt>
                <c:pt idx="1705">
                  <c:v>23.91914585424663</c:v>
                </c:pt>
                <c:pt idx="1706">
                  <c:v>23.93725022306889</c:v>
                </c:pt>
                <c:pt idx="1707">
                  <c:v>23.955354591891155</c:v>
                </c:pt>
                <c:pt idx="1708">
                  <c:v>23.97345896071342</c:v>
                </c:pt>
                <c:pt idx="1709">
                  <c:v>23.99156332953568</c:v>
                </c:pt>
                <c:pt idx="1710">
                  <c:v>24.009667698357944</c:v>
                </c:pt>
                <c:pt idx="1711">
                  <c:v>24.02777206718021</c:v>
                </c:pt>
                <c:pt idx="1712">
                  <c:v>24.045876436002473</c:v>
                </c:pt>
                <c:pt idx="1713">
                  <c:v>24.063980804824734</c:v>
                </c:pt>
                <c:pt idx="1714">
                  <c:v>24.082085173647002</c:v>
                </c:pt>
                <c:pt idx="1715">
                  <c:v>24.100189542469263</c:v>
                </c:pt>
                <c:pt idx="1716">
                  <c:v>24.118293911291527</c:v>
                </c:pt>
                <c:pt idx="1717">
                  <c:v>24.13639828011379</c:v>
                </c:pt>
                <c:pt idx="1718">
                  <c:v>24.154502648936056</c:v>
                </c:pt>
                <c:pt idx="1719">
                  <c:v>24.172607017758317</c:v>
                </c:pt>
                <c:pt idx="1720">
                  <c:v>24.190711386580585</c:v>
                </c:pt>
                <c:pt idx="1721">
                  <c:v>24.208815755402846</c:v>
                </c:pt>
                <c:pt idx="1722">
                  <c:v>24.22692012422511</c:v>
                </c:pt>
                <c:pt idx="1723">
                  <c:v>24.245024493047374</c:v>
                </c:pt>
                <c:pt idx="1724">
                  <c:v>24.263128861869635</c:v>
                </c:pt>
                <c:pt idx="1725">
                  <c:v>24.2812332306919</c:v>
                </c:pt>
                <c:pt idx="1726">
                  <c:v>24.299337599514164</c:v>
                </c:pt>
                <c:pt idx="1727">
                  <c:v>24.31744196833643</c:v>
                </c:pt>
                <c:pt idx="1728">
                  <c:v>24.33554633715869</c:v>
                </c:pt>
                <c:pt idx="1729">
                  <c:v>24.353650705980957</c:v>
                </c:pt>
                <c:pt idx="1730">
                  <c:v>24.371755074803218</c:v>
                </c:pt>
                <c:pt idx="1731">
                  <c:v>24.389859443625483</c:v>
                </c:pt>
                <c:pt idx="1732">
                  <c:v>24.407963812447747</c:v>
                </c:pt>
                <c:pt idx="1733">
                  <c:v>24.42606818127001</c:v>
                </c:pt>
                <c:pt idx="1734">
                  <c:v>24.444172550092272</c:v>
                </c:pt>
                <c:pt idx="1735">
                  <c:v>24.46227691891454</c:v>
                </c:pt>
                <c:pt idx="1736">
                  <c:v>24.4803812877368</c:v>
                </c:pt>
                <c:pt idx="1737">
                  <c:v>24.498485656559065</c:v>
                </c:pt>
                <c:pt idx="1738">
                  <c:v>24.51659002538133</c:v>
                </c:pt>
                <c:pt idx="1739">
                  <c:v>24.53469439420359</c:v>
                </c:pt>
                <c:pt idx="1740">
                  <c:v>24.552798763025855</c:v>
                </c:pt>
                <c:pt idx="1741">
                  <c:v>24.57090313184812</c:v>
                </c:pt>
                <c:pt idx="1742">
                  <c:v>24.589007500670384</c:v>
                </c:pt>
                <c:pt idx="1743">
                  <c:v>24.607111869492645</c:v>
                </c:pt>
                <c:pt idx="1744">
                  <c:v>24.625216238314913</c:v>
                </c:pt>
                <c:pt idx="1745">
                  <c:v>24.643320607137174</c:v>
                </c:pt>
                <c:pt idx="1746">
                  <c:v>24.661424975959438</c:v>
                </c:pt>
                <c:pt idx="1747">
                  <c:v>24.679529344781702</c:v>
                </c:pt>
                <c:pt idx="1748">
                  <c:v>24.697633713603967</c:v>
                </c:pt>
                <c:pt idx="1749">
                  <c:v>24.715738082426228</c:v>
                </c:pt>
                <c:pt idx="1750">
                  <c:v>24.733842451248496</c:v>
                </c:pt>
                <c:pt idx="1751">
                  <c:v>24.751946820070756</c:v>
                </c:pt>
                <c:pt idx="1752">
                  <c:v>24.77005118889302</c:v>
                </c:pt>
                <c:pt idx="1753">
                  <c:v>24.788155557715285</c:v>
                </c:pt>
                <c:pt idx="1754">
                  <c:v>24.806259926537546</c:v>
                </c:pt>
                <c:pt idx="1755">
                  <c:v>24.82436429535981</c:v>
                </c:pt>
                <c:pt idx="1756">
                  <c:v>24.842468664182075</c:v>
                </c:pt>
                <c:pt idx="1757">
                  <c:v>24.86057303300434</c:v>
                </c:pt>
                <c:pt idx="1758">
                  <c:v>24.8786774018266</c:v>
                </c:pt>
                <c:pt idx="1759">
                  <c:v>24.896781770648868</c:v>
                </c:pt>
                <c:pt idx="1760">
                  <c:v>24.91488613947113</c:v>
                </c:pt>
                <c:pt idx="1761">
                  <c:v>24.932990508293393</c:v>
                </c:pt>
                <c:pt idx="1762">
                  <c:v>24.951094877115658</c:v>
                </c:pt>
                <c:pt idx="1763">
                  <c:v>24.969199245937922</c:v>
                </c:pt>
                <c:pt idx="1764">
                  <c:v>24.987303614760183</c:v>
                </c:pt>
                <c:pt idx="1765">
                  <c:v>25.00540798358245</c:v>
                </c:pt>
                <c:pt idx="1766">
                  <c:v>25.023512352404712</c:v>
                </c:pt>
                <c:pt idx="1767">
                  <c:v>25.041616721226976</c:v>
                </c:pt>
                <c:pt idx="1768">
                  <c:v>25.05972109004924</c:v>
                </c:pt>
                <c:pt idx="1769">
                  <c:v>25.0778254588715</c:v>
                </c:pt>
                <c:pt idx="1770">
                  <c:v>25.095929827693766</c:v>
                </c:pt>
                <c:pt idx="1771">
                  <c:v>25.11403419651603</c:v>
                </c:pt>
                <c:pt idx="1772">
                  <c:v>25.132138565338295</c:v>
                </c:pt>
                <c:pt idx="1773">
                  <c:v>25.150242934160556</c:v>
                </c:pt>
                <c:pt idx="1774">
                  <c:v>25.168347302982824</c:v>
                </c:pt>
                <c:pt idx="1775">
                  <c:v>25.186451671805084</c:v>
                </c:pt>
                <c:pt idx="1776">
                  <c:v>25.20455604062735</c:v>
                </c:pt>
                <c:pt idx="1777">
                  <c:v>25.222660409449613</c:v>
                </c:pt>
                <c:pt idx="1778">
                  <c:v>25.240764778271878</c:v>
                </c:pt>
                <c:pt idx="1779">
                  <c:v>25.25886914709414</c:v>
                </c:pt>
                <c:pt idx="1780">
                  <c:v>25.276973515916406</c:v>
                </c:pt>
                <c:pt idx="1781">
                  <c:v>25.295077884738667</c:v>
                </c:pt>
                <c:pt idx="1782">
                  <c:v>25.31318225356093</c:v>
                </c:pt>
                <c:pt idx="1783">
                  <c:v>25.331286622383196</c:v>
                </c:pt>
                <c:pt idx="1784">
                  <c:v>25.349390991205457</c:v>
                </c:pt>
                <c:pt idx="1785">
                  <c:v>25.36749536002772</c:v>
                </c:pt>
                <c:pt idx="1786">
                  <c:v>25.385599728849986</c:v>
                </c:pt>
                <c:pt idx="1787">
                  <c:v>25.40370409767225</c:v>
                </c:pt>
                <c:pt idx="1788">
                  <c:v>25.42180846649451</c:v>
                </c:pt>
                <c:pt idx="1789">
                  <c:v>25.43991283531678</c:v>
                </c:pt>
                <c:pt idx="1790">
                  <c:v>25.45801720413904</c:v>
                </c:pt>
                <c:pt idx="1791">
                  <c:v>25.476121572961304</c:v>
                </c:pt>
                <c:pt idx="1792">
                  <c:v>25.49422594178357</c:v>
                </c:pt>
                <c:pt idx="1793">
                  <c:v>25.512330310605833</c:v>
                </c:pt>
                <c:pt idx="1794">
                  <c:v>25.530434679428094</c:v>
                </c:pt>
                <c:pt idx="1795">
                  <c:v>25.548539048250362</c:v>
                </c:pt>
                <c:pt idx="1796">
                  <c:v>25.566643417072623</c:v>
                </c:pt>
                <c:pt idx="1797">
                  <c:v>25.584747785894887</c:v>
                </c:pt>
                <c:pt idx="1798">
                  <c:v>25.60285215471715</c:v>
                </c:pt>
                <c:pt idx="1799">
                  <c:v>25.620956523539412</c:v>
                </c:pt>
                <c:pt idx="1800">
                  <c:v>25.639060892361677</c:v>
                </c:pt>
                <c:pt idx="1801">
                  <c:v>25.65716526118394</c:v>
                </c:pt>
                <c:pt idx="1802">
                  <c:v>25.675269630006206</c:v>
                </c:pt>
                <c:pt idx="1803">
                  <c:v>25.693373998828466</c:v>
                </c:pt>
                <c:pt idx="1804">
                  <c:v>25.711478367650734</c:v>
                </c:pt>
                <c:pt idx="1805">
                  <c:v>25.729582736472995</c:v>
                </c:pt>
                <c:pt idx="1806">
                  <c:v>25.74768710529526</c:v>
                </c:pt>
                <c:pt idx="1807">
                  <c:v>25.765791474117524</c:v>
                </c:pt>
                <c:pt idx="1808">
                  <c:v>25.78389584293979</c:v>
                </c:pt>
                <c:pt idx="1809">
                  <c:v>25.80200021176205</c:v>
                </c:pt>
                <c:pt idx="1810">
                  <c:v>25.820104580584314</c:v>
                </c:pt>
                <c:pt idx="1811">
                  <c:v>25.838208949406578</c:v>
                </c:pt>
                <c:pt idx="1812">
                  <c:v>25.856313318228842</c:v>
                </c:pt>
                <c:pt idx="1813">
                  <c:v>25.874417687051107</c:v>
                </c:pt>
                <c:pt idx="1814">
                  <c:v>25.892522055873368</c:v>
                </c:pt>
                <c:pt idx="1815">
                  <c:v>25.910626424695632</c:v>
                </c:pt>
                <c:pt idx="1816">
                  <c:v>25.928730793517893</c:v>
                </c:pt>
                <c:pt idx="1817">
                  <c:v>25.94683516234016</c:v>
                </c:pt>
                <c:pt idx="1818">
                  <c:v>25.964939531162422</c:v>
                </c:pt>
                <c:pt idx="1819">
                  <c:v>25.98304389998469</c:v>
                </c:pt>
                <c:pt idx="1820">
                  <c:v>26.00114826880695</c:v>
                </c:pt>
                <c:pt idx="1821">
                  <c:v>26.019252637629215</c:v>
                </c:pt>
                <c:pt idx="1822">
                  <c:v>26.037357006451476</c:v>
                </c:pt>
                <c:pt idx="1823">
                  <c:v>26.055461375273744</c:v>
                </c:pt>
                <c:pt idx="1824">
                  <c:v>26.073565744096005</c:v>
                </c:pt>
                <c:pt idx="1825">
                  <c:v>26.091670112918273</c:v>
                </c:pt>
                <c:pt idx="1826">
                  <c:v>26.109774481740534</c:v>
                </c:pt>
                <c:pt idx="1827">
                  <c:v>26.127878850562798</c:v>
                </c:pt>
                <c:pt idx="1828">
                  <c:v>26.14598321938506</c:v>
                </c:pt>
                <c:pt idx="1829">
                  <c:v>26.164087588207323</c:v>
                </c:pt>
                <c:pt idx="1830">
                  <c:v>26.182191957029588</c:v>
                </c:pt>
                <c:pt idx="1831">
                  <c:v>26.200296325851852</c:v>
                </c:pt>
                <c:pt idx="1832">
                  <c:v>26.218400694674116</c:v>
                </c:pt>
                <c:pt idx="1833">
                  <c:v>26.236505063496377</c:v>
                </c:pt>
                <c:pt idx="1834">
                  <c:v>26.25460943231864</c:v>
                </c:pt>
                <c:pt idx="1835">
                  <c:v>26.272713801140906</c:v>
                </c:pt>
                <c:pt idx="1836">
                  <c:v>26.29081816996317</c:v>
                </c:pt>
                <c:pt idx="1837">
                  <c:v>26.30892253878543</c:v>
                </c:pt>
                <c:pt idx="1838">
                  <c:v>26.3270269076077</c:v>
                </c:pt>
                <c:pt idx="1839">
                  <c:v>26.34513127642996</c:v>
                </c:pt>
                <c:pt idx="1840">
                  <c:v>26.363235645252225</c:v>
                </c:pt>
                <c:pt idx="1841">
                  <c:v>26.38134001407449</c:v>
                </c:pt>
                <c:pt idx="1842">
                  <c:v>26.399444382896753</c:v>
                </c:pt>
                <c:pt idx="1843">
                  <c:v>26.417548751719014</c:v>
                </c:pt>
                <c:pt idx="1844">
                  <c:v>26.43565312054128</c:v>
                </c:pt>
                <c:pt idx="1845">
                  <c:v>26.453757489363543</c:v>
                </c:pt>
                <c:pt idx="1846">
                  <c:v>26.471861858185804</c:v>
                </c:pt>
                <c:pt idx="1847">
                  <c:v>26.489966227008072</c:v>
                </c:pt>
                <c:pt idx="1848">
                  <c:v>26.508070595830333</c:v>
                </c:pt>
                <c:pt idx="1849">
                  <c:v>26.526174964652597</c:v>
                </c:pt>
                <c:pt idx="1850">
                  <c:v>26.54427933347486</c:v>
                </c:pt>
                <c:pt idx="1851">
                  <c:v>26.562383702297126</c:v>
                </c:pt>
                <c:pt idx="1852">
                  <c:v>26.580488071119387</c:v>
                </c:pt>
                <c:pt idx="1853">
                  <c:v>26.59859243994165</c:v>
                </c:pt>
                <c:pt idx="1854">
                  <c:v>26.616696808763916</c:v>
                </c:pt>
                <c:pt idx="1855">
                  <c:v>26.63480117758618</c:v>
                </c:pt>
                <c:pt idx="1856">
                  <c:v>26.652905546408444</c:v>
                </c:pt>
                <c:pt idx="1857">
                  <c:v>26.67100991523071</c:v>
                </c:pt>
                <c:pt idx="1858">
                  <c:v>26.68911428405297</c:v>
                </c:pt>
                <c:pt idx="1859">
                  <c:v>26.707218652875234</c:v>
                </c:pt>
                <c:pt idx="1860">
                  <c:v>26.7253230216975</c:v>
                </c:pt>
                <c:pt idx="1861">
                  <c:v>26.74342739051976</c:v>
                </c:pt>
                <c:pt idx="1862">
                  <c:v>26.761531759342027</c:v>
                </c:pt>
                <c:pt idx="1863">
                  <c:v>26.779636128164288</c:v>
                </c:pt>
                <c:pt idx="1864">
                  <c:v>26.797740496986552</c:v>
                </c:pt>
                <c:pt idx="1865">
                  <c:v>26.815844865808813</c:v>
                </c:pt>
                <c:pt idx="1866">
                  <c:v>26.83394923463108</c:v>
                </c:pt>
                <c:pt idx="1867">
                  <c:v>26.852053603453342</c:v>
                </c:pt>
                <c:pt idx="1868">
                  <c:v>26.87015797227561</c:v>
                </c:pt>
                <c:pt idx="1869">
                  <c:v>26.88826234109787</c:v>
                </c:pt>
                <c:pt idx="1870">
                  <c:v>26.906366709920135</c:v>
                </c:pt>
                <c:pt idx="1871">
                  <c:v>26.924471078742396</c:v>
                </c:pt>
                <c:pt idx="1872">
                  <c:v>26.942575447564664</c:v>
                </c:pt>
                <c:pt idx="1873">
                  <c:v>26.960679816386925</c:v>
                </c:pt>
                <c:pt idx="1874">
                  <c:v>26.97878418520919</c:v>
                </c:pt>
                <c:pt idx="1875">
                  <c:v>26.996888554031454</c:v>
                </c:pt>
                <c:pt idx="1876">
                  <c:v>27.014992922853715</c:v>
                </c:pt>
                <c:pt idx="1877">
                  <c:v>27.03309729167598</c:v>
                </c:pt>
                <c:pt idx="1878">
                  <c:v>27.051201660498243</c:v>
                </c:pt>
                <c:pt idx="1879">
                  <c:v>27.069306029320508</c:v>
                </c:pt>
                <c:pt idx="1880">
                  <c:v>27.08741039814277</c:v>
                </c:pt>
                <c:pt idx="1881">
                  <c:v>27.105514766965037</c:v>
                </c:pt>
                <c:pt idx="1882">
                  <c:v>27.123619135787298</c:v>
                </c:pt>
                <c:pt idx="1883">
                  <c:v>27.141723504609562</c:v>
                </c:pt>
                <c:pt idx="1884">
                  <c:v>27.159827873431826</c:v>
                </c:pt>
                <c:pt idx="1885">
                  <c:v>27.17793224225409</c:v>
                </c:pt>
                <c:pt idx="1886">
                  <c:v>27.19603661107635</c:v>
                </c:pt>
                <c:pt idx="1887">
                  <c:v>27.21414097989862</c:v>
                </c:pt>
                <c:pt idx="1888">
                  <c:v>27.23224534872088</c:v>
                </c:pt>
                <c:pt idx="1889">
                  <c:v>27.250349717543145</c:v>
                </c:pt>
                <c:pt idx="1890">
                  <c:v>27.26845408636541</c:v>
                </c:pt>
                <c:pt idx="1891">
                  <c:v>27.28655845518767</c:v>
                </c:pt>
                <c:pt idx="1892">
                  <c:v>27.304662824009934</c:v>
                </c:pt>
                <c:pt idx="1893">
                  <c:v>27.3227671928322</c:v>
                </c:pt>
                <c:pt idx="1894">
                  <c:v>27.340871561654463</c:v>
                </c:pt>
                <c:pt idx="1895">
                  <c:v>27.358975930476724</c:v>
                </c:pt>
                <c:pt idx="1896">
                  <c:v>27.377080299298992</c:v>
                </c:pt>
                <c:pt idx="1897">
                  <c:v>27.395184668121253</c:v>
                </c:pt>
                <c:pt idx="1898">
                  <c:v>27.413289036943517</c:v>
                </c:pt>
                <c:pt idx="1899">
                  <c:v>27.431393405765782</c:v>
                </c:pt>
                <c:pt idx="1900">
                  <c:v>27.449497774588046</c:v>
                </c:pt>
                <c:pt idx="1901">
                  <c:v>27.467602143410307</c:v>
                </c:pt>
                <c:pt idx="1902">
                  <c:v>27.485706512232575</c:v>
                </c:pt>
                <c:pt idx="1903">
                  <c:v>27.503810881054836</c:v>
                </c:pt>
                <c:pt idx="1904">
                  <c:v>27.5219152498771</c:v>
                </c:pt>
                <c:pt idx="1905">
                  <c:v>27.540019618699365</c:v>
                </c:pt>
                <c:pt idx="1906">
                  <c:v>27.558123987521626</c:v>
                </c:pt>
                <c:pt idx="1907">
                  <c:v>27.57622835634389</c:v>
                </c:pt>
                <c:pt idx="1908">
                  <c:v>27.594332725166154</c:v>
                </c:pt>
                <c:pt idx="1909">
                  <c:v>27.61243709398842</c:v>
                </c:pt>
                <c:pt idx="1910">
                  <c:v>27.63054146281068</c:v>
                </c:pt>
                <c:pt idx="1911">
                  <c:v>27.648645831632948</c:v>
                </c:pt>
                <c:pt idx="1912">
                  <c:v>27.66675020045521</c:v>
                </c:pt>
                <c:pt idx="1913">
                  <c:v>27.684854569277473</c:v>
                </c:pt>
                <c:pt idx="1914">
                  <c:v>27.702958938099737</c:v>
                </c:pt>
                <c:pt idx="1915">
                  <c:v>27.721063306922</c:v>
                </c:pt>
                <c:pt idx="1916">
                  <c:v>27.739167675744262</c:v>
                </c:pt>
                <c:pt idx="1917">
                  <c:v>27.75727204456653</c:v>
                </c:pt>
                <c:pt idx="1918">
                  <c:v>27.77537641338879</c:v>
                </c:pt>
                <c:pt idx="1919">
                  <c:v>27.793480782211056</c:v>
                </c:pt>
                <c:pt idx="1920">
                  <c:v>27.81158515103332</c:v>
                </c:pt>
                <c:pt idx="1921">
                  <c:v>27.82968951985558</c:v>
                </c:pt>
                <c:pt idx="1922">
                  <c:v>27.847793888677845</c:v>
                </c:pt>
                <c:pt idx="1923">
                  <c:v>27.86589825750011</c:v>
                </c:pt>
                <c:pt idx="1924">
                  <c:v>27.884002626322374</c:v>
                </c:pt>
                <c:pt idx="1925">
                  <c:v>27.902106995144635</c:v>
                </c:pt>
                <c:pt idx="1926">
                  <c:v>27.920211363966903</c:v>
                </c:pt>
                <c:pt idx="1927">
                  <c:v>27.938315732789164</c:v>
                </c:pt>
                <c:pt idx="1928">
                  <c:v>27.956420101611428</c:v>
                </c:pt>
                <c:pt idx="1929">
                  <c:v>27.974524470433693</c:v>
                </c:pt>
                <c:pt idx="1930">
                  <c:v>27.992628839255957</c:v>
                </c:pt>
                <c:pt idx="1931">
                  <c:v>28.010733208078218</c:v>
                </c:pt>
                <c:pt idx="1932">
                  <c:v>28.028837576900486</c:v>
                </c:pt>
                <c:pt idx="1933">
                  <c:v>28.046941945722747</c:v>
                </c:pt>
                <c:pt idx="1934">
                  <c:v>28.06504631454501</c:v>
                </c:pt>
                <c:pt idx="1935">
                  <c:v>28.083150683367275</c:v>
                </c:pt>
                <c:pt idx="1936">
                  <c:v>28.101255052189536</c:v>
                </c:pt>
                <c:pt idx="1937">
                  <c:v>28.1193594210118</c:v>
                </c:pt>
                <c:pt idx="1938">
                  <c:v>28.137463789834065</c:v>
                </c:pt>
                <c:pt idx="1939">
                  <c:v>28.15556815865633</c:v>
                </c:pt>
                <c:pt idx="1940">
                  <c:v>28.17367252747859</c:v>
                </c:pt>
                <c:pt idx="1941">
                  <c:v>28.19177689630086</c:v>
                </c:pt>
                <c:pt idx="1942">
                  <c:v>28.20988126512312</c:v>
                </c:pt>
                <c:pt idx="1943">
                  <c:v>28.227985633945384</c:v>
                </c:pt>
                <c:pt idx="1944">
                  <c:v>28.246090002767648</c:v>
                </c:pt>
                <c:pt idx="1945">
                  <c:v>28.264194371589912</c:v>
                </c:pt>
                <c:pt idx="1946">
                  <c:v>28.282298740412173</c:v>
                </c:pt>
                <c:pt idx="1947">
                  <c:v>28.30040310923444</c:v>
                </c:pt>
                <c:pt idx="1948">
                  <c:v>28.318507478056702</c:v>
                </c:pt>
                <c:pt idx="1949">
                  <c:v>28.336611846878967</c:v>
                </c:pt>
                <c:pt idx="1950">
                  <c:v>28.35471621570123</c:v>
                </c:pt>
                <c:pt idx="1951">
                  <c:v>28.37282058452349</c:v>
                </c:pt>
                <c:pt idx="1952">
                  <c:v>28.390924953345756</c:v>
                </c:pt>
                <c:pt idx="1953">
                  <c:v>28.40902932216802</c:v>
                </c:pt>
                <c:pt idx="1954">
                  <c:v>28.427133690990285</c:v>
                </c:pt>
                <c:pt idx="1955">
                  <c:v>28.445238059812546</c:v>
                </c:pt>
                <c:pt idx="1956">
                  <c:v>28.463342428634814</c:v>
                </c:pt>
                <c:pt idx="1957">
                  <c:v>28.481446797457075</c:v>
                </c:pt>
                <c:pt idx="1958">
                  <c:v>28.49955116627934</c:v>
                </c:pt>
                <c:pt idx="1959">
                  <c:v>28.517655535101603</c:v>
                </c:pt>
                <c:pt idx="1960">
                  <c:v>28.535759903923868</c:v>
                </c:pt>
                <c:pt idx="1961">
                  <c:v>28.55386427274613</c:v>
                </c:pt>
                <c:pt idx="1962">
                  <c:v>28.571968641568397</c:v>
                </c:pt>
                <c:pt idx="1963">
                  <c:v>28.590073010390658</c:v>
                </c:pt>
                <c:pt idx="1964">
                  <c:v>28.608177379212922</c:v>
                </c:pt>
                <c:pt idx="1965">
                  <c:v>28.626281748035186</c:v>
                </c:pt>
                <c:pt idx="1966">
                  <c:v>28.644386116857447</c:v>
                </c:pt>
                <c:pt idx="1967">
                  <c:v>28.66249048567971</c:v>
                </c:pt>
                <c:pt idx="1968">
                  <c:v>28.680594854501976</c:v>
                </c:pt>
                <c:pt idx="1969">
                  <c:v>28.69869922332424</c:v>
                </c:pt>
                <c:pt idx="1970">
                  <c:v>28.7168035921465</c:v>
                </c:pt>
                <c:pt idx="1971">
                  <c:v>28.73490796096877</c:v>
                </c:pt>
                <c:pt idx="1972">
                  <c:v>28.75301232979103</c:v>
                </c:pt>
                <c:pt idx="1973">
                  <c:v>28.771116698613294</c:v>
                </c:pt>
                <c:pt idx="1974">
                  <c:v>28.78922106743556</c:v>
                </c:pt>
                <c:pt idx="1975">
                  <c:v>28.80732543625782</c:v>
                </c:pt>
                <c:pt idx="1976">
                  <c:v>28.825429805080084</c:v>
                </c:pt>
                <c:pt idx="1977">
                  <c:v>28.843534173902352</c:v>
                </c:pt>
                <c:pt idx="1978">
                  <c:v>28.86163854272461</c:v>
                </c:pt>
                <c:pt idx="1979">
                  <c:v>28.879742911546877</c:v>
                </c:pt>
                <c:pt idx="1980">
                  <c:v>28.89784728036914</c:v>
                </c:pt>
                <c:pt idx="1981">
                  <c:v>28.915951649191403</c:v>
                </c:pt>
                <c:pt idx="1982">
                  <c:v>28.934056018013667</c:v>
                </c:pt>
                <c:pt idx="1983">
                  <c:v>28.95216038683593</c:v>
                </c:pt>
                <c:pt idx="1984">
                  <c:v>28.9702647556582</c:v>
                </c:pt>
                <c:pt idx="1985">
                  <c:v>28.988369124480457</c:v>
                </c:pt>
                <c:pt idx="1986">
                  <c:v>29.006473493302725</c:v>
                </c:pt>
                <c:pt idx="1987">
                  <c:v>29.024577862124982</c:v>
                </c:pt>
                <c:pt idx="1988">
                  <c:v>29.04268223094725</c:v>
                </c:pt>
                <c:pt idx="1989">
                  <c:v>29.060786599769514</c:v>
                </c:pt>
                <c:pt idx="1990">
                  <c:v>29.078890968591775</c:v>
                </c:pt>
                <c:pt idx="1991">
                  <c:v>29.09699533741404</c:v>
                </c:pt>
                <c:pt idx="1992">
                  <c:v>29.115099706236307</c:v>
                </c:pt>
                <c:pt idx="1993">
                  <c:v>29.133204075058565</c:v>
                </c:pt>
                <c:pt idx="1994">
                  <c:v>29.151308443880833</c:v>
                </c:pt>
                <c:pt idx="1995">
                  <c:v>29.169412812703097</c:v>
                </c:pt>
                <c:pt idx="1996">
                  <c:v>29.18751718152536</c:v>
                </c:pt>
                <c:pt idx="1997">
                  <c:v>29.205621550347622</c:v>
                </c:pt>
                <c:pt idx="1998">
                  <c:v>29.223725919169887</c:v>
                </c:pt>
                <c:pt idx="1999">
                  <c:v>29.241830287992148</c:v>
                </c:pt>
                <c:pt idx="2000">
                  <c:v>29.259934656814412</c:v>
                </c:pt>
                <c:pt idx="2001">
                  <c:v>29.27803902563668</c:v>
                </c:pt>
                <c:pt idx="2002">
                  <c:v>29.296143394458937</c:v>
                </c:pt>
                <c:pt idx="2003">
                  <c:v>29.314247763281205</c:v>
                </c:pt>
                <c:pt idx="2004">
                  <c:v>29.33235213210347</c:v>
                </c:pt>
                <c:pt idx="2005">
                  <c:v>29.35045650092573</c:v>
                </c:pt>
                <c:pt idx="2006">
                  <c:v>29.368560869747995</c:v>
                </c:pt>
                <c:pt idx="2007">
                  <c:v>29.386665238570263</c:v>
                </c:pt>
                <c:pt idx="2008">
                  <c:v>29.404769607392527</c:v>
                </c:pt>
                <c:pt idx="2009">
                  <c:v>29.422873976214788</c:v>
                </c:pt>
                <c:pt idx="2010">
                  <c:v>29.440978345037053</c:v>
                </c:pt>
                <c:pt idx="2011">
                  <c:v>29.459082713859313</c:v>
                </c:pt>
                <c:pt idx="2012">
                  <c:v>29.477187082681578</c:v>
                </c:pt>
                <c:pt idx="2013">
                  <c:v>29.495291451503842</c:v>
                </c:pt>
                <c:pt idx="2014">
                  <c:v>29.513395820326103</c:v>
                </c:pt>
                <c:pt idx="2015">
                  <c:v>29.531500189148367</c:v>
                </c:pt>
                <c:pt idx="2016">
                  <c:v>29.549604557970635</c:v>
                </c:pt>
                <c:pt idx="2017">
                  <c:v>29.567708926792893</c:v>
                </c:pt>
                <c:pt idx="2018">
                  <c:v>29.58581329561516</c:v>
                </c:pt>
                <c:pt idx="2019">
                  <c:v>29.603917664437425</c:v>
                </c:pt>
                <c:pt idx="2020">
                  <c:v>29.622022033259693</c:v>
                </c:pt>
                <c:pt idx="2021">
                  <c:v>29.64012640208195</c:v>
                </c:pt>
                <c:pt idx="2022">
                  <c:v>29.65823077090422</c:v>
                </c:pt>
                <c:pt idx="2023">
                  <c:v>29.676335139726476</c:v>
                </c:pt>
                <c:pt idx="2024">
                  <c:v>29.694439508548744</c:v>
                </c:pt>
                <c:pt idx="2025">
                  <c:v>29.712543877371008</c:v>
                </c:pt>
                <c:pt idx="2026">
                  <c:v>29.73064824619327</c:v>
                </c:pt>
                <c:pt idx="2027">
                  <c:v>29.748752615015533</c:v>
                </c:pt>
                <c:pt idx="2028">
                  <c:v>29.766856983837798</c:v>
                </c:pt>
                <c:pt idx="2029">
                  <c:v>29.78496135266006</c:v>
                </c:pt>
                <c:pt idx="2030">
                  <c:v>29.803065721482323</c:v>
                </c:pt>
                <c:pt idx="2031">
                  <c:v>29.82117009030459</c:v>
                </c:pt>
                <c:pt idx="2032">
                  <c:v>29.839274459126848</c:v>
                </c:pt>
                <c:pt idx="2033">
                  <c:v>29.857378827949116</c:v>
                </c:pt>
                <c:pt idx="2034">
                  <c:v>29.87548319677138</c:v>
                </c:pt>
                <c:pt idx="2035">
                  <c:v>29.89358756559364</c:v>
                </c:pt>
                <c:pt idx="2036">
                  <c:v>29.911691934415906</c:v>
                </c:pt>
                <c:pt idx="2037">
                  <c:v>29.929796303238174</c:v>
                </c:pt>
                <c:pt idx="2038">
                  <c:v>29.94790067206043</c:v>
                </c:pt>
                <c:pt idx="2039">
                  <c:v>29.9660050408827</c:v>
                </c:pt>
                <c:pt idx="2040">
                  <c:v>29.984109409704963</c:v>
                </c:pt>
                <c:pt idx="2041">
                  <c:v>30.002213778527224</c:v>
                </c:pt>
                <c:pt idx="2042">
                  <c:v>30.02031814734949</c:v>
                </c:pt>
                <c:pt idx="2043">
                  <c:v>30.038422516171753</c:v>
                </c:pt>
                <c:pt idx="2044">
                  <c:v>30.056526884994014</c:v>
                </c:pt>
                <c:pt idx="2045">
                  <c:v>30.07463125381628</c:v>
                </c:pt>
                <c:pt idx="2046">
                  <c:v>30.092735622638546</c:v>
                </c:pt>
                <c:pt idx="2047">
                  <c:v>30.110839991460804</c:v>
                </c:pt>
                <c:pt idx="2048">
                  <c:v>30.12894436028307</c:v>
                </c:pt>
                <c:pt idx="2049">
                  <c:v>30.147048729105336</c:v>
                </c:pt>
                <c:pt idx="2050">
                  <c:v>30.165153097927597</c:v>
                </c:pt>
                <c:pt idx="2051">
                  <c:v>30.18325746674986</c:v>
                </c:pt>
                <c:pt idx="2052">
                  <c:v>30.20136183557213</c:v>
                </c:pt>
                <c:pt idx="2053">
                  <c:v>30.219466204394386</c:v>
                </c:pt>
                <c:pt idx="2054">
                  <c:v>30.237570573216654</c:v>
                </c:pt>
                <c:pt idx="2055">
                  <c:v>30.25567494203892</c:v>
                </c:pt>
                <c:pt idx="2056">
                  <c:v>30.27377931086118</c:v>
                </c:pt>
                <c:pt idx="2057">
                  <c:v>30.291883679683444</c:v>
                </c:pt>
                <c:pt idx="2058">
                  <c:v>30.30998804850571</c:v>
                </c:pt>
                <c:pt idx="2059">
                  <c:v>30.32809241732797</c:v>
                </c:pt>
                <c:pt idx="2060">
                  <c:v>30.346196786150234</c:v>
                </c:pt>
                <c:pt idx="2061">
                  <c:v>30.3643011549725</c:v>
                </c:pt>
                <c:pt idx="2062">
                  <c:v>30.38240552379476</c:v>
                </c:pt>
                <c:pt idx="2063">
                  <c:v>30.400509892617027</c:v>
                </c:pt>
                <c:pt idx="2064">
                  <c:v>30.418614261439284</c:v>
                </c:pt>
                <c:pt idx="2065">
                  <c:v>30.436718630261552</c:v>
                </c:pt>
                <c:pt idx="2066">
                  <c:v>30.454822999083817</c:v>
                </c:pt>
                <c:pt idx="2067">
                  <c:v>30.472927367906085</c:v>
                </c:pt>
                <c:pt idx="2068">
                  <c:v>30.491031736728342</c:v>
                </c:pt>
                <c:pt idx="2069">
                  <c:v>30.50913610555061</c:v>
                </c:pt>
                <c:pt idx="2070">
                  <c:v>30.527240474372874</c:v>
                </c:pt>
                <c:pt idx="2071">
                  <c:v>30.545344843195135</c:v>
                </c:pt>
                <c:pt idx="2072">
                  <c:v>30.5634492120174</c:v>
                </c:pt>
                <c:pt idx="2073">
                  <c:v>30.581553580839664</c:v>
                </c:pt>
                <c:pt idx="2074">
                  <c:v>30.599657949661925</c:v>
                </c:pt>
                <c:pt idx="2075">
                  <c:v>30.61776231848419</c:v>
                </c:pt>
                <c:pt idx="2076">
                  <c:v>30.63586668730645</c:v>
                </c:pt>
                <c:pt idx="2077">
                  <c:v>30.653971056128714</c:v>
                </c:pt>
                <c:pt idx="2078">
                  <c:v>30.672075424950982</c:v>
                </c:pt>
                <c:pt idx="2079">
                  <c:v>30.690179793773247</c:v>
                </c:pt>
                <c:pt idx="2080">
                  <c:v>30.708284162595508</c:v>
                </c:pt>
                <c:pt idx="2081">
                  <c:v>30.726388531417772</c:v>
                </c:pt>
                <c:pt idx="2082">
                  <c:v>30.74449290024004</c:v>
                </c:pt>
                <c:pt idx="2083">
                  <c:v>30.762597269062297</c:v>
                </c:pt>
                <c:pt idx="2084">
                  <c:v>30.780701637884565</c:v>
                </c:pt>
                <c:pt idx="2085">
                  <c:v>30.79880600670683</c:v>
                </c:pt>
                <c:pt idx="2086">
                  <c:v>30.81691037552909</c:v>
                </c:pt>
                <c:pt idx="2087">
                  <c:v>30.835014744351355</c:v>
                </c:pt>
                <c:pt idx="2088">
                  <c:v>30.853119113173616</c:v>
                </c:pt>
                <c:pt idx="2089">
                  <c:v>30.87122348199588</c:v>
                </c:pt>
                <c:pt idx="2090">
                  <c:v>30.889327850818145</c:v>
                </c:pt>
                <c:pt idx="2091">
                  <c:v>30.907432219640413</c:v>
                </c:pt>
                <c:pt idx="2092">
                  <c:v>30.92553658846267</c:v>
                </c:pt>
                <c:pt idx="2093">
                  <c:v>30.943640957284938</c:v>
                </c:pt>
                <c:pt idx="2094">
                  <c:v>30.961745326107202</c:v>
                </c:pt>
                <c:pt idx="2095">
                  <c:v>30.979849694929463</c:v>
                </c:pt>
                <c:pt idx="2096">
                  <c:v>30.997954063751727</c:v>
                </c:pt>
                <c:pt idx="2097">
                  <c:v>31.016058432573995</c:v>
                </c:pt>
                <c:pt idx="2098">
                  <c:v>31.034162801396253</c:v>
                </c:pt>
                <c:pt idx="2099">
                  <c:v>31.05226717021852</c:v>
                </c:pt>
                <c:pt idx="2100">
                  <c:v>31.070371539040778</c:v>
                </c:pt>
                <c:pt idx="2101">
                  <c:v>31.088475907863046</c:v>
                </c:pt>
                <c:pt idx="2102">
                  <c:v>31.10658027668531</c:v>
                </c:pt>
                <c:pt idx="2103">
                  <c:v>31.124684645507575</c:v>
                </c:pt>
                <c:pt idx="2104">
                  <c:v>31.142789014329836</c:v>
                </c:pt>
                <c:pt idx="2105">
                  <c:v>31.1608933831521</c:v>
                </c:pt>
                <c:pt idx="2106">
                  <c:v>31.17899775197436</c:v>
                </c:pt>
                <c:pt idx="2107">
                  <c:v>31.197102120796625</c:v>
                </c:pt>
                <c:pt idx="2108">
                  <c:v>31.215206489618893</c:v>
                </c:pt>
                <c:pt idx="2109">
                  <c:v>31.233310858441158</c:v>
                </c:pt>
                <c:pt idx="2110">
                  <c:v>31.25141522726342</c:v>
                </c:pt>
                <c:pt idx="2111">
                  <c:v>31.269519596085683</c:v>
                </c:pt>
                <c:pt idx="2112">
                  <c:v>31.287623964907944</c:v>
                </c:pt>
                <c:pt idx="2113">
                  <c:v>31.305728333730208</c:v>
                </c:pt>
                <c:pt idx="2114">
                  <c:v>31.323832702552476</c:v>
                </c:pt>
                <c:pt idx="2115">
                  <c:v>31.34193707137474</c:v>
                </c:pt>
                <c:pt idx="2116">
                  <c:v>31.360041440197</c:v>
                </c:pt>
                <c:pt idx="2117">
                  <c:v>31.378145809019266</c:v>
                </c:pt>
                <c:pt idx="2118">
                  <c:v>31.396250177841527</c:v>
                </c:pt>
                <c:pt idx="2119">
                  <c:v>31.41435454666379</c:v>
                </c:pt>
                <c:pt idx="2120">
                  <c:v>31.432458915486055</c:v>
                </c:pt>
                <c:pt idx="2121">
                  <c:v>31.450563284308323</c:v>
                </c:pt>
                <c:pt idx="2122">
                  <c:v>31.46866765313058</c:v>
                </c:pt>
                <c:pt idx="2123">
                  <c:v>31.48677202195285</c:v>
                </c:pt>
                <c:pt idx="2124">
                  <c:v>31.504876390775106</c:v>
                </c:pt>
                <c:pt idx="2125">
                  <c:v>31.522980759597374</c:v>
                </c:pt>
                <c:pt idx="2126">
                  <c:v>31.54108512841964</c:v>
                </c:pt>
                <c:pt idx="2127">
                  <c:v>31.559189497241906</c:v>
                </c:pt>
                <c:pt idx="2128">
                  <c:v>31.577293866064164</c:v>
                </c:pt>
                <c:pt idx="2129">
                  <c:v>31.59539823488643</c:v>
                </c:pt>
                <c:pt idx="2130">
                  <c:v>31.61350260370869</c:v>
                </c:pt>
                <c:pt idx="2131">
                  <c:v>31.631606972530957</c:v>
                </c:pt>
                <c:pt idx="2132">
                  <c:v>31.64971134135322</c:v>
                </c:pt>
                <c:pt idx="2133">
                  <c:v>31.667815710175486</c:v>
                </c:pt>
                <c:pt idx="2134">
                  <c:v>31.685920078997746</c:v>
                </c:pt>
                <c:pt idx="2135">
                  <c:v>31.70402444782001</c:v>
                </c:pt>
                <c:pt idx="2136">
                  <c:v>31.72212881664227</c:v>
                </c:pt>
                <c:pt idx="2137">
                  <c:v>31.740233185464536</c:v>
                </c:pt>
                <c:pt idx="2138">
                  <c:v>31.758337554286804</c:v>
                </c:pt>
                <c:pt idx="2139">
                  <c:v>31.77644192310907</c:v>
                </c:pt>
                <c:pt idx="2140">
                  <c:v>31.79454629193133</c:v>
                </c:pt>
                <c:pt idx="2141">
                  <c:v>31.812650660753594</c:v>
                </c:pt>
                <c:pt idx="2142">
                  <c:v>31.830755029575855</c:v>
                </c:pt>
                <c:pt idx="2143">
                  <c:v>31.84885939839812</c:v>
                </c:pt>
                <c:pt idx="2144">
                  <c:v>31.866963767220387</c:v>
                </c:pt>
                <c:pt idx="2145">
                  <c:v>31.88506813604265</c:v>
                </c:pt>
                <c:pt idx="2146">
                  <c:v>31.903172504864912</c:v>
                </c:pt>
                <c:pt idx="2147">
                  <c:v>31.921276873687177</c:v>
                </c:pt>
                <c:pt idx="2148">
                  <c:v>31.939381242509437</c:v>
                </c:pt>
                <c:pt idx="2149">
                  <c:v>31.957485611331702</c:v>
                </c:pt>
                <c:pt idx="2150">
                  <c:v>31.975589980153966</c:v>
                </c:pt>
                <c:pt idx="2151">
                  <c:v>31.993694348976234</c:v>
                </c:pt>
                <c:pt idx="2152">
                  <c:v>32.01179871779849</c:v>
                </c:pt>
                <c:pt idx="2153">
                  <c:v>32.029903086620756</c:v>
                </c:pt>
                <c:pt idx="2154">
                  <c:v>32.04800745544302</c:v>
                </c:pt>
                <c:pt idx="2155">
                  <c:v>32.066111824265285</c:v>
                </c:pt>
                <c:pt idx="2156">
                  <c:v>32.08421619308755</c:v>
                </c:pt>
                <c:pt idx="2157">
                  <c:v>32.10232056190981</c:v>
                </c:pt>
                <c:pt idx="2158">
                  <c:v>32.12042493073208</c:v>
                </c:pt>
                <c:pt idx="2159">
                  <c:v>32.13852929955434</c:v>
                </c:pt>
                <c:pt idx="2160">
                  <c:v>32.1566336683766</c:v>
                </c:pt>
                <c:pt idx="2161">
                  <c:v>32.174738037198864</c:v>
                </c:pt>
                <c:pt idx="2162">
                  <c:v>32.192842406021136</c:v>
                </c:pt>
                <c:pt idx="2163">
                  <c:v>32.2109467748434</c:v>
                </c:pt>
                <c:pt idx="2164">
                  <c:v>32.22905114366566</c:v>
                </c:pt>
                <c:pt idx="2165">
                  <c:v>32.24715551248792</c:v>
                </c:pt>
                <c:pt idx="2166">
                  <c:v>32.265259881310186</c:v>
                </c:pt>
                <c:pt idx="2167">
                  <c:v>32.28336425013245</c:v>
                </c:pt>
                <c:pt idx="2168">
                  <c:v>32.301468618954715</c:v>
                </c:pt>
                <c:pt idx="2169">
                  <c:v>32.31957298777698</c:v>
                </c:pt>
                <c:pt idx="2170">
                  <c:v>32.33767735659924</c:v>
                </c:pt>
                <c:pt idx="2171">
                  <c:v>32.35578172542151</c:v>
                </c:pt>
                <c:pt idx="2172">
                  <c:v>32.373886094243765</c:v>
                </c:pt>
                <c:pt idx="2173">
                  <c:v>32.39199046306603</c:v>
                </c:pt>
                <c:pt idx="2174">
                  <c:v>32.410094831888294</c:v>
                </c:pt>
                <c:pt idx="2175">
                  <c:v>32.42819920071056</c:v>
                </c:pt>
                <c:pt idx="2176">
                  <c:v>32.44630356953282</c:v>
                </c:pt>
                <c:pt idx="2177">
                  <c:v>32.46440793835509</c:v>
                </c:pt>
                <c:pt idx="2178">
                  <c:v>32.482512307177345</c:v>
                </c:pt>
                <c:pt idx="2179">
                  <c:v>32.500616675999616</c:v>
                </c:pt>
                <c:pt idx="2180">
                  <c:v>32.51872104482188</c:v>
                </c:pt>
                <c:pt idx="2181">
                  <c:v>32.53682541364414</c:v>
                </c:pt>
                <c:pt idx="2182">
                  <c:v>32.5549297824664</c:v>
                </c:pt>
                <c:pt idx="2183">
                  <c:v>32.57303415128867</c:v>
                </c:pt>
                <c:pt idx="2184">
                  <c:v>32.59113852011093</c:v>
                </c:pt>
                <c:pt idx="2185">
                  <c:v>32.609242888933196</c:v>
                </c:pt>
                <c:pt idx="2186">
                  <c:v>32.62734725775546</c:v>
                </c:pt>
                <c:pt idx="2187">
                  <c:v>32.645451626577724</c:v>
                </c:pt>
                <c:pt idx="2188">
                  <c:v>32.66355599539999</c:v>
                </c:pt>
                <c:pt idx="2189">
                  <c:v>32.68166036422225</c:v>
                </c:pt>
                <c:pt idx="2190">
                  <c:v>32.69976473304451</c:v>
                </c:pt>
                <c:pt idx="2191">
                  <c:v>32.717869101866775</c:v>
                </c:pt>
                <c:pt idx="2192">
                  <c:v>32.735973470689046</c:v>
                </c:pt>
                <c:pt idx="2193">
                  <c:v>32.75407783951131</c:v>
                </c:pt>
                <c:pt idx="2194">
                  <c:v>32.77218220833357</c:v>
                </c:pt>
                <c:pt idx="2195">
                  <c:v>32.79028657715583</c:v>
                </c:pt>
                <c:pt idx="2196">
                  <c:v>32.8083909459781</c:v>
                </c:pt>
                <c:pt idx="2197">
                  <c:v>32.82649531480036</c:v>
                </c:pt>
                <c:pt idx="2198">
                  <c:v>32.844599683622626</c:v>
                </c:pt>
                <c:pt idx="2199">
                  <c:v>32.86270405244488</c:v>
                </c:pt>
                <c:pt idx="2200">
                  <c:v>32.88080842126715</c:v>
                </c:pt>
                <c:pt idx="2201">
                  <c:v>32.89891279008942</c:v>
                </c:pt>
                <c:pt idx="2202">
                  <c:v>32.917017158911676</c:v>
                </c:pt>
                <c:pt idx="2203">
                  <c:v>32.93512152773394</c:v>
                </c:pt>
                <c:pt idx="2204">
                  <c:v>32.953225896556205</c:v>
                </c:pt>
                <c:pt idx="2205">
                  <c:v>32.97133026537847</c:v>
                </c:pt>
                <c:pt idx="2206">
                  <c:v>32.989434634200734</c:v>
                </c:pt>
                <c:pt idx="2207">
                  <c:v>33.007539003023</c:v>
                </c:pt>
                <c:pt idx="2208">
                  <c:v>33.025643371845256</c:v>
                </c:pt>
                <c:pt idx="2209">
                  <c:v>33.04374774066753</c:v>
                </c:pt>
                <c:pt idx="2210">
                  <c:v>33.06185210948979</c:v>
                </c:pt>
                <c:pt idx="2211">
                  <c:v>33.079956478312056</c:v>
                </c:pt>
                <c:pt idx="2212">
                  <c:v>33.09806084713431</c:v>
                </c:pt>
                <c:pt idx="2213">
                  <c:v>33.11616521595658</c:v>
                </c:pt>
                <c:pt idx="2214">
                  <c:v>33.13426958477884</c:v>
                </c:pt>
                <c:pt idx="2215">
                  <c:v>33.152373953601106</c:v>
                </c:pt>
                <c:pt idx="2216">
                  <c:v>33.17047832242337</c:v>
                </c:pt>
                <c:pt idx="2217">
                  <c:v>33.188582691245635</c:v>
                </c:pt>
                <c:pt idx="2218">
                  <c:v>33.2066870600679</c:v>
                </c:pt>
                <c:pt idx="2219">
                  <c:v>33.224791428890164</c:v>
                </c:pt>
                <c:pt idx="2220">
                  <c:v>33.24289579771242</c:v>
                </c:pt>
                <c:pt idx="2221">
                  <c:v>33.261000166534686</c:v>
                </c:pt>
                <c:pt idx="2222">
                  <c:v>33.27910453535696</c:v>
                </c:pt>
                <c:pt idx="2223">
                  <c:v>33.297208904179215</c:v>
                </c:pt>
                <c:pt idx="2224">
                  <c:v>33.31531327300148</c:v>
                </c:pt>
                <c:pt idx="2225">
                  <c:v>33.333417641823736</c:v>
                </c:pt>
                <c:pt idx="2226">
                  <c:v>33.35152201064601</c:v>
                </c:pt>
                <c:pt idx="2227">
                  <c:v>33.36962637946827</c:v>
                </c:pt>
                <c:pt idx="2228">
                  <c:v>33.38773074829054</c:v>
                </c:pt>
                <c:pt idx="2229">
                  <c:v>33.405835117112794</c:v>
                </c:pt>
                <c:pt idx="2230">
                  <c:v>33.42393948593506</c:v>
                </c:pt>
                <c:pt idx="2231">
                  <c:v>33.44204385475733</c:v>
                </c:pt>
                <c:pt idx="2232">
                  <c:v>33.46014822357959</c:v>
                </c:pt>
                <c:pt idx="2233">
                  <c:v>33.47825259240185</c:v>
                </c:pt>
                <c:pt idx="2234">
                  <c:v>33.496356961224116</c:v>
                </c:pt>
                <c:pt idx="2235">
                  <c:v>33.51446133004638</c:v>
                </c:pt>
                <c:pt idx="2236">
                  <c:v>33.532565698868645</c:v>
                </c:pt>
                <c:pt idx="2237">
                  <c:v>33.55067006769091</c:v>
                </c:pt>
                <c:pt idx="2238">
                  <c:v>33.568774436513166</c:v>
                </c:pt>
                <c:pt idx="2239">
                  <c:v>33.58687880533544</c:v>
                </c:pt>
                <c:pt idx="2240">
                  <c:v>33.6049831741577</c:v>
                </c:pt>
                <c:pt idx="2241">
                  <c:v>33.62308754297997</c:v>
                </c:pt>
                <c:pt idx="2242">
                  <c:v>33.641191911802224</c:v>
                </c:pt>
                <c:pt idx="2243">
                  <c:v>33.65929628062449</c:v>
                </c:pt>
                <c:pt idx="2244">
                  <c:v>33.67740064944675</c:v>
                </c:pt>
                <c:pt idx="2245">
                  <c:v>33.69550501826902</c:v>
                </c:pt>
                <c:pt idx="2246">
                  <c:v>33.71360938709128</c:v>
                </c:pt>
                <c:pt idx="2247">
                  <c:v>33.73171375591354</c:v>
                </c:pt>
                <c:pt idx="2248">
                  <c:v>33.74981812473581</c:v>
                </c:pt>
                <c:pt idx="2249">
                  <c:v>33.76792249355807</c:v>
                </c:pt>
                <c:pt idx="2250">
                  <c:v>33.78602686238033</c:v>
                </c:pt>
                <c:pt idx="2251">
                  <c:v>33.8041312312026</c:v>
                </c:pt>
                <c:pt idx="2252">
                  <c:v>33.82223560002487</c:v>
                </c:pt>
                <c:pt idx="2253">
                  <c:v>33.840339968847125</c:v>
                </c:pt>
                <c:pt idx="2254">
                  <c:v>33.85844433766939</c:v>
                </c:pt>
                <c:pt idx="2255">
                  <c:v>33.876548706491654</c:v>
                </c:pt>
                <c:pt idx="2256">
                  <c:v>33.89465307531392</c:v>
                </c:pt>
                <c:pt idx="2257">
                  <c:v>33.91275744413618</c:v>
                </c:pt>
                <c:pt idx="2258">
                  <c:v>33.93086181295845</c:v>
                </c:pt>
                <c:pt idx="2259">
                  <c:v>33.948966181780705</c:v>
                </c:pt>
                <c:pt idx="2260">
                  <c:v>33.96707055060297</c:v>
                </c:pt>
                <c:pt idx="2261">
                  <c:v>33.98517491942524</c:v>
                </c:pt>
                <c:pt idx="2262">
                  <c:v>34.0032792882475</c:v>
                </c:pt>
                <c:pt idx="2263">
                  <c:v>34.02138365706976</c:v>
                </c:pt>
                <c:pt idx="2264">
                  <c:v>34.03948802589203</c:v>
                </c:pt>
                <c:pt idx="2265">
                  <c:v>34.0575923947143</c:v>
                </c:pt>
                <c:pt idx="2266">
                  <c:v>34.075696763536556</c:v>
                </c:pt>
                <c:pt idx="2267">
                  <c:v>34.09380113235882</c:v>
                </c:pt>
                <c:pt idx="2268">
                  <c:v>34.11190550118108</c:v>
                </c:pt>
                <c:pt idx="2269">
                  <c:v>34.13000987000335</c:v>
                </c:pt>
                <c:pt idx="2270">
                  <c:v>34.14811423882561</c:v>
                </c:pt>
                <c:pt idx="2271">
                  <c:v>34.16621860764787</c:v>
                </c:pt>
                <c:pt idx="2272">
                  <c:v>34.184322976470135</c:v>
                </c:pt>
                <c:pt idx="2273">
                  <c:v>34.2024273452924</c:v>
                </c:pt>
                <c:pt idx="2274">
                  <c:v>34.220531714114664</c:v>
                </c:pt>
                <c:pt idx="2275">
                  <c:v>34.23863608293693</c:v>
                </c:pt>
                <c:pt idx="2276">
                  <c:v>34.25674045175919</c:v>
                </c:pt>
                <c:pt idx="2277">
                  <c:v>34.27484482058145</c:v>
                </c:pt>
                <c:pt idx="2278">
                  <c:v>34.29294918940372</c:v>
                </c:pt>
                <c:pt idx="2279">
                  <c:v>34.31105355822598</c:v>
                </c:pt>
                <c:pt idx="2280">
                  <c:v>34.32915792704824</c:v>
                </c:pt>
                <c:pt idx="2281">
                  <c:v>34.34726229587051</c:v>
                </c:pt>
                <c:pt idx="2282">
                  <c:v>34.36536666469278</c:v>
                </c:pt>
                <c:pt idx="2283">
                  <c:v>34.383471033515036</c:v>
                </c:pt>
                <c:pt idx="2284">
                  <c:v>34.4015754023373</c:v>
                </c:pt>
                <c:pt idx="2285">
                  <c:v>34.419679771159565</c:v>
                </c:pt>
                <c:pt idx="2286">
                  <c:v>34.43778413998183</c:v>
                </c:pt>
                <c:pt idx="2287">
                  <c:v>34.455888508804094</c:v>
                </c:pt>
                <c:pt idx="2288">
                  <c:v>34.47399287762636</c:v>
                </c:pt>
                <c:pt idx="2289">
                  <c:v>34.492097246448616</c:v>
                </c:pt>
                <c:pt idx="2290">
                  <c:v>34.51020161527088</c:v>
                </c:pt>
                <c:pt idx="2291">
                  <c:v>34.52830598409315</c:v>
                </c:pt>
                <c:pt idx="2292">
                  <c:v>34.54641035291541</c:v>
                </c:pt>
                <c:pt idx="2293">
                  <c:v>34.56451472173767</c:v>
                </c:pt>
                <c:pt idx="2294">
                  <c:v>34.58261909055994</c:v>
                </c:pt>
                <c:pt idx="2295">
                  <c:v>34.6007234593822</c:v>
                </c:pt>
                <c:pt idx="2296">
                  <c:v>34.618827828204466</c:v>
                </c:pt>
                <c:pt idx="2297">
                  <c:v>34.636932197026724</c:v>
                </c:pt>
                <c:pt idx="2298">
                  <c:v>34.65503656584899</c:v>
                </c:pt>
                <c:pt idx="2299">
                  <c:v>34.67314093467126</c:v>
                </c:pt>
                <c:pt idx="2300">
                  <c:v>34.691245303493524</c:v>
                </c:pt>
                <c:pt idx="2301">
                  <c:v>34.70934967231578</c:v>
                </c:pt>
                <c:pt idx="2302">
                  <c:v>34.727454041138046</c:v>
                </c:pt>
                <c:pt idx="2303">
                  <c:v>34.74555840996031</c:v>
                </c:pt>
                <c:pt idx="2304">
                  <c:v>34.763662778782574</c:v>
                </c:pt>
                <c:pt idx="2305">
                  <c:v>34.78176714760484</c:v>
                </c:pt>
                <c:pt idx="2306">
                  <c:v>34.7998715164271</c:v>
                </c:pt>
                <c:pt idx="2307">
                  <c:v>34.81797588524936</c:v>
                </c:pt>
                <c:pt idx="2308">
                  <c:v>34.83608025407163</c:v>
                </c:pt>
                <c:pt idx="2309">
                  <c:v>34.85418462289389</c:v>
                </c:pt>
                <c:pt idx="2310">
                  <c:v>34.872288991716154</c:v>
                </c:pt>
                <c:pt idx="2311">
                  <c:v>34.89039336053842</c:v>
                </c:pt>
                <c:pt idx="2312">
                  <c:v>34.90849772936069</c:v>
                </c:pt>
                <c:pt idx="2313">
                  <c:v>34.92660209818295</c:v>
                </c:pt>
                <c:pt idx="2314">
                  <c:v>34.94470646700521</c:v>
                </c:pt>
                <c:pt idx="2315">
                  <c:v>34.962810835827476</c:v>
                </c:pt>
                <c:pt idx="2316">
                  <c:v>34.98091520464974</c:v>
                </c:pt>
                <c:pt idx="2317">
                  <c:v>34.999019573472005</c:v>
                </c:pt>
                <c:pt idx="2318">
                  <c:v>35.01712394229427</c:v>
                </c:pt>
                <c:pt idx="2319">
                  <c:v>35.035228311116526</c:v>
                </c:pt>
                <c:pt idx="2320">
                  <c:v>35.05333267993879</c:v>
                </c:pt>
                <c:pt idx="2321">
                  <c:v>35.071437048761055</c:v>
                </c:pt>
                <c:pt idx="2322">
                  <c:v>35.08954141758332</c:v>
                </c:pt>
                <c:pt idx="2323">
                  <c:v>35.107645786405584</c:v>
                </c:pt>
                <c:pt idx="2324">
                  <c:v>35.12575015522785</c:v>
                </c:pt>
                <c:pt idx="2325">
                  <c:v>35.14385452405011</c:v>
                </c:pt>
                <c:pt idx="2326">
                  <c:v>35.16195889287238</c:v>
                </c:pt>
                <c:pt idx="2327">
                  <c:v>35.180063261694634</c:v>
                </c:pt>
                <c:pt idx="2328">
                  <c:v>35.1981676305169</c:v>
                </c:pt>
                <c:pt idx="2329">
                  <c:v>35.21627199933917</c:v>
                </c:pt>
                <c:pt idx="2330">
                  <c:v>35.234376368161435</c:v>
                </c:pt>
                <c:pt idx="2331">
                  <c:v>35.25248073698369</c:v>
                </c:pt>
                <c:pt idx="2332">
                  <c:v>35.27058510580596</c:v>
                </c:pt>
                <c:pt idx="2333">
                  <c:v>35.28868947462822</c:v>
                </c:pt>
                <c:pt idx="2334">
                  <c:v>35.306793843450485</c:v>
                </c:pt>
                <c:pt idx="2335">
                  <c:v>35.32489821227275</c:v>
                </c:pt>
                <c:pt idx="2336">
                  <c:v>35.343002581095014</c:v>
                </c:pt>
                <c:pt idx="2337">
                  <c:v>35.36110694991727</c:v>
                </c:pt>
                <c:pt idx="2338">
                  <c:v>35.37921131873954</c:v>
                </c:pt>
                <c:pt idx="2339">
                  <c:v>35.39731568756181</c:v>
                </c:pt>
                <c:pt idx="2340">
                  <c:v>35.415420056384065</c:v>
                </c:pt>
                <c:pt idx="2341">
                  <c:v>35.43352442520633</c:v>
                </c:pt>
                <c:pt idx="2342">
                  <c:v>35.4516287940286</c:v>
                </c:pt>
                <c:pt idx="2343">
                  <c:v>35.46973316285086</c:v>
                </c:pt>
                <c:pt idx="2344">
                  <c:v>35.48783753167312</c:v>
                </c:pt>
                <c:pt idx="2345">
                  <c:v>35.50594190049538</c:v>
                </c:pt>
                <c:pt idx="2346">
                  <c:v>35.52404626931765</c:v>
                </c:pt>
                <c:pt idx="2347">
                  <c:v>35.542150638139915</c:v>
                </c:pt>
                <c:pt idx="2348">
                  <c:v>35.56025500696217</c:v>
                </c:pt>
                <c:pt idx="2349">
                  <c:v>35.57835937578444</c:v>
                </c:pt>
                <c:pt idx="2350">
                  <c:v>35.5964637446067</c:v>
                </c:pt>
                <c:pt idx="2351">
                  <c:v>35.614568113428966</c:v>
                </c:pt>
                <c:pt idx="2352">
                  <c:v>35.63267248225123</c:v>
                </c:pt>
                <c:pt idx="2353">
                  <c:v>35.650776851073495</c:v>
                </c:pt>
                <c:pt idx="2354">
                  <c:v>35.66888121989576</c:v>
                </c:pt>
                <c:pt idx="2355">
                  <c:v>35.686985588718024</c:v>
                </c:pt>
                <c:pt idx="2356">
                  <c:v>35.70508995754029</c:v>
                </c:pt>
                <c:pt idx="2357">
                  <c:v>35.723194326362545</c:v>
                </c:pt>
                <c:pt idx="2358">
                  <c:v>35.74129869518481</c:v>
                </c:pt>
                <c:pt idx="2359">
                  <c:v>35.75940306400708</c:v>
                </c:pt>
                <c:pt idx="2360">
                  <c:v>35.777507432829346</c:v>
                </c:pt>
                <c:pt idx="2361">
                  <c:v>35.7956118016516</c:v>
                </c:pt>
                <c:pt idx="2362">
                  <c:v>35.81371617047387</c:v>
                </c:pt>
                <c:pt idx="2363">
                  <c:v>35.83182053929613</c:v>
                </c:pt>
                <c:pt idx="2364">
                  <c:v>35.849924908118396</c:v>
                </c:pt>
                <c:pt idx="2365">
                  <c:v>35.86802927694066</c:v>
                </c:pt>
                <c:pt idx="2366">
                  <c:v>35.886133645762925</c:v>
                </c:pt>
                <c:pt idx="2367">
                  <c:v>35.90423801458518</c:v>
                </c:pt>
                <c:pt idx="2368">
                  <c:v>35.922342383407454</c:v>
                </c:pt>
                <c:pt idx="2369">
                  <c:v>35.94044675222971</c:v>
                </c:pt>
                <c:pt idx="2370">
                  <c:v>35.958551121051975</c:v>
                </c:pt>
                <c:pt idx="2371">
                  <c:v>35.97665548987424</c:v>
                </c:pt>
                <c:pt idx="2372">
                  <c:v>35.994759858696504</c:v>
                </c:pt>
                <c:pt idx="2373">
                  <c:v>36.01286422751877</c:v>
                </c:pt>
                <c:pt idx="2374">
                  <c:v>36.03096859634103</c:v>
                </c:pt>
                <c:pt idx="2375">
                  <c:v>36.04907296516329</c:v>
                </c:pt>
                <c:pt idx="2376">
                  <c:v>36.06717733398556</c:v>
                </c:pt>
                <c:pt idx="2377">
                  <c:v>36.085281702807826</c:v>
                </c:pt>
                <c:pt idx="2378">
                  <c:v>36.10338607163009</c:v>
                </c:pt>
                <c:pt idx="2379">
                  <c:v>36.12149044045235</c:v>
                </c:pt>
                <c:pt idx="2380">
                  <c:v>36.13959480927461</c:v>
                </c:pt>
                <c:pt idx="2381">
                  <c:v>36.15769917809688</c:v>
                </c:pt>
                <c:pt idx="2382">
                  <c:v>36.17580354691914</c:v>
                </c:pt>
                <c:pt idx="2383">
                  <c:v>36.193907915741406</c:v>
                </c:pt>
                <c:pt idx="2384">
                  <c:v>36.21201228456367</c:v>
                </c:pt>
                <c:pt idx="2385">
                  <c:v>36.230116653385934</c:v>
                </c:pt>
                <c:pt idx="2386">
                  <c:v>36.2482210222082</c:v>
                </c:pt>
                <c:pt idx="2387">
                  <c:v>36.266325391030456</c:v>
                </c:pt>
                <c:pt idx="2388">
                  <c:v>36.28442975985272</c:v>
                </c:pt>
                <c:pt idx="2389">
                  <c:v>36.30253412867499</c:v>
                </c:pt>
                <c:pt idx="2390">
                  <c:v>36.32063849749726</c:v>
                </c:pt>
                <c:pt idx="2391">
                  <c:v>36.338742866319514</c:v>
                </c:pt>
                <c:pt idx="2392">
                  <c:v>36.35684723514178</c:v>
                </c:pt>
                <c:pt idx="2393">
                  <c:v>36.37495160396404</c:v>
                </c:pt>
                <c:pt idx="2394">
                  <c:v>36.39305597278631</c:v>
                </c:pt>
                <c:pt idx="2395">
                  <c:v>36.41116034160857</c:v>
                </c:pt>
                <c:pt idx="2396">
                  <c:v>36.42926471043083</c:v>
                </c:pt>
                <c:pt idx="2397">
                  <c:v>36.44736907925309</c:v>
                </c:pt>
                <c:pt idx="2398">
                  <c:v>36.465473448075365</c:v>
                </c:pt>
                <c:pt idx="2399">
                  <c:v>36.48357781689762</c:v>
                </c:pt>
                <c:pt idx="2400">
                  <c:v>36.501682185719886</c:v>
                </c:pt>
                <c:pt idx="2401">
                  <c:v>36.51978655454215</c:v>
                </c:pt>
                <c:pt idx="2402">
                  <c:v>36.537890923364415</c:v>
                </c:pt>
                <c:pt idx="2403">
                  <c:v>36.55599529218668</c:v>
                </c:pt>
                <c:pt idx="2404">
                  <c:v>36.574099661008944</c:v>
                </c:pt>
                <c:pt idx="2405">
                  <c:v>36.5922040298312</c:v>
                </c:pt>
                <c:pt idx="2406">
                  <c:v>36.61030839865347</c:v>
                </c:pt>
                <c:pt idx="2407">
                  <c:v>36.62841276747574</c:v>
                </c:pt>
                <c:pt idx="2408">
                  <c:v>36.646517136298</c:v>
                </c:pt>
                <c:pt idx="2409">
                  <c:v>36.66462150512026</c:v>
                </c:pt>
                <c:pt idx="2410">
                  <c:v>36.68272587394252</c:v>
                </c:pt>
                <c:pt idx="2411">
                  <c:v>36.70083024276479</c:v>
                </c:pt>
                <c:pt idx="2412">
                  <c:v>36.71893461158705</c:v>
                </c:pt>
                <c:pt idx="2413">
                  <c:v>36.73703898040932</c:v>
                </c:pt>
                <c:pt idx="2414">
                  <c:v>36.75514334923158</c:v>
                </c:pt>
                <c:pt idx="2415">
                  <c:v>36.773247718053845</c:v>
                </c:pt>
                <c:pt idx="2416">
                  <c:v>36.79135208687611</c:v>
                </c:pt>
                <c:pt idx="2417">
                  <c:v>36.80945645569837</c:v>
                </c:pt>
                <c:pt idx="2418">
                  <c:v>36.82756082452063</c:v>
                </c:pt>
                <c:pt idx="2419">
                  <c:v>36.8456651933429</c:v>
                </c:pt>
                <c:pt idx="2420">
                  <c:v>36.86376956216516</c:v>
                </c:pt>
                <c:pt idx="2421">
                  <c:v>36.881873930987425</c:v>
                </c:pt>
                <c:pt idx="2422">
                  <c:v>36.89997829980968</c:v>
                </c:pt>
                <c:pt idx="2423">
                  <c:v>36.91808266863195</c:v>
                </c:pt>
                <c:pt idx="2424">
                  <c:v>36.93618703745422</c:v>
                </c:pt>
                <c:pt idx="2425">
                  <c:v>36.95429140627648</c:v>
                </c:pt>
                <c:pt idx="2426">
                  <c:v>36.97239577509874</c:v>
                </c:pt>
                <c:pt idx="2427">
                  <c:v>36.990500143921004</c:v>
                </c:pt>
                <c:pt idx="2428">
                  <c:v>37.008604512743275</c:v>
                </c:pt>
                <c:pt idx="2429">
                  <c:v>37.02670888156553</c:v>
                </c:pt>
                <c:pt idx="2430">
                  <c:v>37.0448132503878</c:v>
                </c:pt>
                <c:pt idx="2431">
                  <c:v>37.06291761921006</c:v>
                </c:pt>
                <c:pt idx="2432">
                  <c:v>37.081021988032326</c:v>
                </c:pt>
                <c:pt idx="2433">
                  <c:v>37.09912635685459</c:v>
                </c:pt>
                <c:pt idx="2434">
                  <c:v>37.117230725676855</c:v>
                </c:pt>
                <c:pt idx="2435">
                  <c:v>37.13533509449911</c:v>
                </c:pt>
                <c:pt idx="2436">
                  <c:v>37.153439463321384</c:v>
                </c:pt>
                <c:pt idx="2437">
                  <c:v>37.17154383214365</c:v>
                </c:pt>
                <c:pt idx="2438">
                  <c:v>37.18964820096591</c:v>
                </c:pt>
                <c:pt idx="2439">
                  <c:v>37.20775256978817</c:v>
                </c:pt>
                <c:pt idx="2440">
                  <c:v>37.225856938610434</c:v>
                </c:pt>
                <c:pt idx="2441">
                  <c:v>37.2439613074327</c:v>
                </c:pt>
                <c:pt idx="2442">
                  <c:v>37.26206567625496</c:v>
                </c:pt>
                <c:pt idx="2443">
                  <c:v>37.229851185229585</c:v>
                </c:pt>
                <c:pt idx="2444">
                  <c:v>37.19764877606968</c:v>
                </c:pt>
                <c:pt idx="2445">
                  <c:v>37.165458433799536</c:v>
                </c:pt>
                <c:pt idx="2446">
                  <c:v>37.13328014346079</c:v>
                </c:pt>
                <c:pt idx="2447">
                  <c:v>37.1011138901124</c:v>
                </c:pt>
                <c:pt idx="2448">
                  <c:v>37.06895965883063</c:v>
                </c:pt>
                <c:pt idx="2449">
                  <c:v>37.03681743470898</c:v>
                </c:pt>
                <c:pt idx="2450">
                  <c:v>37.00468720285821</c:v>
                </c:pt>
                <c:pt idx="2451">
                  <c:v>36.972568948406256</c:v>
                </c:pt>
                <c:pt idx="2452">
                  <c:v>36.94046265649825</c:v>
                </c:pt>
                <c:pt idx="2453">
                  <c:v>36.908368312296446</c:v>
                </c:pt>
                <c:pt idx="2454">
                  <c:v>36.87628590098023</c:v>
                </c:pt>
                <c:pt idx="2455">
                  <c:v>36.844215407746056</c:v>
                </c:pt>
                <c:pt idx="2456">
                  <c:v>36.812156817807434</c:v>
                </c:pt>
                <c:pt idx="2457">
                  <c:v>36.7801101163949</c:v>
                </c:pt>
                <c:pt idx="2458">
                  <c:v>36.748075288755985</c:v>
                </c:pt>
                <c:pt idx="2459">
                  <c:v>36.716052320155164</c:v>
                </c:pt>
                <c:pt idx="2460">
                  <c:v>36.68404119587387</c:v>
                </c:pt>
                <c:pt idx="2461">
                  <c:v>36.65204190121043</c:v>
                </c:pt>
                <c:pt idx="2462">
                  <c:v>36.620054421480056</c:v>
                </c:pt>
                <c:pt idx="2463">
                  <c:v>36.620054421480056</c:v>
                </c:pt>
                <c:pt idx="2464">
                  <c:v>36.64865063738604</c:v>
                </c:pt>
                <c:pt idx="2465">
                  <c:v>36.67724685329203</c:v>
                </c:pt>
                <c:pt idx="2466">
                  <c:v>36.705843069198025</c:v>
                </c:pt>
                <c:pt idx="2467">
                  <c:v>36.73443928510401</c:v>
                </c:pt>
                <c:pt idx="2468">
                  <c:v>36.76303550101001</c:v>
                </c:pt>
                <c:pt idx="2469">
                  <c:v>36.791631716915994</c:v>
                </c:pt>
                <c:pt idx="2470">
                  <c:v>36.82022793282198</c:v>
                </c:pt>
                <c:pt idx="2471">
                  <c:v>36.84882414872798</c:v>
                </c:pt>
                <c:pt idx="2472">
                  <c:v>36.87742036463396</c:v>
                </c:pt>
                <c:pt idx="2473">
                  <c:v>36.90601658053995</c:v>
                </c:pt>
                <c:pt idx="2474">
                  <c:v>36.93461279644595</c:v>
                </c:pt>
                <c:pt idx="2475">
                  <c:v>36.96320901235193</c:v>
                </c:pt>
                <c:pt idx="2476">
                  <c:v>36.991805228257924</c:v>
                </c:pt>
                <c:pt idx="2477">
                  <c:v>37.020401444163916</c:v>
                </c:pt>
                <c:pt idx="2478">
                  <c:v>37.0489976600699</c:v>
                </c:pt>
                <c:pt idx="2479">
                  <c:v>37.07759387597589</c:v>
                </c:pt>
                <c:pt idx="2480">
                  <c:v>37.106190091881885</c:v>
                </c:pt>
                <c:pt idx="2481">
                  <c:v>37.13478630778787</c:v>
                </c:pt>
                <c:pt idx="2482">
                  <c:v>37.16338252369386</c:v>
                </c:pt>
                <c:pt idx="2483">
                  <c:v>37.19197873959985</c:v>
                </c:pt>
                <c:pt idx="2484">
                  <c:v>37.22057495550584</c:v>
                </c:pt>
                <c:pt idx="2485">
                  <c:v>37.24917117141183</c:v>
                </c:pt>
                <c:pt idx="2486">
                  <c:v>37.277767387317816</c:v>
                </c:pt>
                <c:pt idx="2487">
                  <c:v>37.306363603223815</c:v>
                </c:pt>
                <c:pt idx="2488">
                  <c:v>37.3349598191298</c:v>
                </c:pt>
                <c:pt idx="2489">
                  <c:v>37.363556035035785</c:v>
                </c:pt>
                <c:pt idx="2490">
                  <c:v>37.392152250941784</c:v>
                </c:pt>
                <c:pt idx="2491">
                  <c:v>37.42074846684777</c:v>
                </c:pt>
                <c:pt idx="2492">
                  <c:v>37.449344682753754</c:v>
                </c:pt>
                <c:pt idx="2493">
                  <c:v>37.47794089865975</c:v>
                </c:pt>
                <c:pt idx="2494">
                  <c:v>37.50653711456574</c:v>
                </c:pt>
                <c:pt idx="2495">
                  <c:v>37.53513333047173</c:v>
                </c:pt>
                <c:pt idx="2496">
                  <c:v>37.56372954637772</c:v>
                </c:pt>
                <c:pt idx="2497">
                  <c:v>37.59232576228371</c:v>
                </c:pt>
                <c:pt idx="2498">
                  <c:v>37.6209219781897</c:v>
                </c:pt>
                <c:pt idx="2499">
                  <c:v>37.64951819409569</c:v>
                </c:pt>
                <c:pt idx="2500">
                  <c:v>37.678114410001676</c:v>
                </c:pt>
                <c:pt idx="2501">
                  <c:v>37.70671062590767</c:v>
                </c:pt>
                <c:pt idx="2502">
                  <c:v>37.73530684181366</c:v>
                </c:pt>
                <c:pt idx="2503">
                  <c:v>37.763903057719645</c:v>
                </c:pt>
                <c:pt idx="2504">
                  <c:v>37.79249927362564</c:v>
                </c:pt>
                <c:pt idx="2505">
                  <c:v>37.82109548953163</c:v>
                </c:pt>
                <c:pt idx="2506">
                  <c:v>37.84969170543762</c:v>
                </c:pt>
                <c:pt idx="2507">
                  <c:v>37.878287921343606</c:v>
                </c:pt>
                <c:pt idx="2508">
                  <c:v>37.9068841372496</c:v>
                </c:pt>
                <c:pt idx="2509">
                  <c:v>37.93548035315559</c:v>
                </c:pt>
                <c:pt idx="2510">
                  <c:v>37.964076569061575</c:v>
                </c:pt>
                <c:pt idx="2511">
                  <c:v>37.99267278496757</c:v>
                </c:pt>
                <c:pt idx="2512">
                  <c:v>38.02126900087356</c:v>
                </c:pt>
                <c:pt idx="2513">
                  <c:v>38.049865216779544</c:v>
                </c:pt>
                <c:pt idx="2514">
                  <c:v>38.078461432685536</c:v>
                </c:pt>
                <c:pt idx="2515">
                  <c:v>38.10705764859153</c:v>
                </c:pt>
                <c:pt idx="2516">
                  <c:v>38.13565386449751</c:v>
                </c:pt>
                <c:pt idx="2517">
                  <c:v>38.16425008040351</c:v>
                </c:pt>
                <c:pt idx="2518">
                  <c:v>38.1928462963095</c:v>
                </c:pt>
                <c:pt idx="2519">
                  <c:v>38.22144251221548</c:v>
                </c:pt>
                <c:pt idx="2520">
                  <c:v>38.25003872812148</c:v>
                </c:pt>
                <c:pt idx="2521">
                  <c:v>38.278634944027466</c:v>
                </c:pt>
                <c:pt idx="2522">
                  <c:v>38.30723115993345</c:v>
                </c:pt>
                <c:pt idx="2523">
                  <c:v>38.33582737583945</c:v>
                </c:pt>
                <c:pt idx="2524">
                  <c:v>38.364423591745435</c:v>
                </c:pt>
                <c:pt idx="2525">
                  <c:v>38.39301980765143</c:v>
                </c:pt>
                <c:pt idx="2526">
                  <c:v>38.42161602355741</c:v>
                </c:pt>
                <c:pt idx="2527">
                  <c:v>38.450212239463404</c:v>
                </c:pt>
                <c:pt idx="2528">
                  <c:v>38.478808455369396</c:v>
                </c:pt>
                <c:pt idx="2529">
                  <c:v>38.50740467127538</c:v>
                </c:pt>
                <c:pt idx="2530">
                  <c:v>38.53600088718137</c:v>
                </c:pt>
                <c:pt idx="2531">
                  <c:v>38.564597103087365</c:v>
                </c:pt>
                <c:pt idx="2532">
                  <c:v>38.59319331899335</c:v>
                </c:pt>
                <c:pt idx="2533">
                  <c:v>38.62178953489934</c:v>
                </c:pt>
                <c:pt idx="2534">
                  <c:v>38.650385750805334</c:v>
                </c:pt>
                <c:pt idx="2535">
                  <c:v>38.67898196671132</c:v>
                </c:pt>
                <c:pt idx="2536">
                  <c:v>38.70757818261732</c:v>
                </c:pt>
                <c:pt idx="2537">
                  <c:v>38.7361743985233</c:v>
                </c:pt>
                <c:pt idx="2538">
                  <c:v>38.76477061442929</c:v>
                </c:pt>
                <c:pt idx="2539">
                  <c:v>38.79336683033529</c:v>
                </c:pt>
                <c:pt idx="2540">
                  <c:v>38.82196304624127</c:v>
                </c:pt>
                <c:pt idx="2541">
                  <c:v>38.85055926214726</c:v>
                </c:pt>
                <c:pt idx="2542">
                  <c:v>38.879155478053256</c:v>
                </c:pt>
                <c:pt idx="2543">
                  <c:v>38.90775169395924</c:v>
                </c:pt>
                <c:pt idx="2544">
                  <c:v>38.93634790986523</c:v>
                </c:pt>
                <c:pt idx="2545">
                  <c:v>38.964944125771225</c:v>
                </c:pt>
                <c:pt idx="2546">
                  <c:v>38.99354034167721</c:v>
                </c:pt>
                <c:pt idx="2547">
                  <c:v>39.0221365575832</c:v>
                </c:pt>
                <c:pt idx="2548">
                  <c:v>39.050732773489194</c:v>
                </c:pt>
                <c:pt idx="2549">
                  <c:v>39.07932898939518</c:v>
                </c:pt>
                <c:pt idx="2550">
                  <c:v>39.10792520530117</c:v>
                </c:pt>
                <c:pt idx="2551">
                  <c:v>39.13652142120716</c:v>
                </c:pt>
                <c:pt idx="2552">
                  <c:v>39.16511763711315</c:v>
                </c:pt>
                <c:pt idx="2553">
                  <c:v>39.19371385301914</c:v>
                </c:pt>
                <c:pt idx="2554">
                  <c:v>39.22231006892513</c:v>
                </c:pt>
                <c:pt idx="2555">
                  <c:v>39.250906284831125</c:v>
                </c:pt>
                <c:pt idx="2556">
                  <c:v>39.27950250073711</c:v>
                </c:pt>
                <c:pt idx="2557">
                  <c:v>39.3080987166431</c:v>
                </c:pt>
                <c:pt idx="2558">
                  <c:v>39.33669493254909</c:v>
                </c:pt>
                <c:pt idx="2559">
                  <c:v>39.36529114845508</c:v>
                </c:pt>
                <c:pt idx="2560">
                  <c:v>39.39388736436107</c:v>
                </c:pt>
                <c:pt idx="2561">
                  <c:v>39.42248358026706</c:v>
                </c:pt>
                <c:pt idx="2562">
                  <c:v>39.45107979617305</c:v>
                </c:pt>
                <c:pt idx="2563">
                  <c:v>39.47967601207904</c:v>
                </c:pt>
                <c:pt idx="2564">
                  <c:v>39.50827222798503</c:v>
                </c:pt>
                <c:pt idx="2565">
                  <c:v>39.53686844389102</c:v>
                </c:pt>
                <c:pt idx="2566">
                  <c:v>39.56546465979701</c:v>
                </c:pt>
                <c:pt idx="2567">
                  <c:v>39.594060875703</c:v>
                </c:pt>
                <c:pt idx="2568">
                  <c:v>39.622657091608986</c:v>
                </c:pt>
                <c:pt idx="2569">
                  <c:v>39.65125330751498</c:v>
                </c:pt>
                <c:pt idx="2570">
                  <c:v>39.67984952342097</c:v>
                </c:pt>
                <c:pt idx="2571">
                  <c:v>39.708445739326955</c:v>
                </c:pt>
                <c:pt idx="2572">
                  <c:v>39.73704195523295</c:v>
                </c:pt>
                <c:pt idx="2573">
                  <c:v>39.76563817113894</c:v>
                </c:pt>
                <c:pt idx="2574">
                  <c:v>39.79423438704493</c:v>
                </c:pt>
                <c:pt idx="2575">
                  <c:v>39.822830602950916</c:v>
                </c:pt>
                <c:pt idx="2576">
                  <c:v>39.85142681885691</c:v>
                </c:pt>
                <c:pt idx="2577">
                  <c:v>39.8800230347629</c:v>
                </c:pt>
                <c:pt idx="2578">
                  <c:v>39.908619250668885</c:v>
                </c:pt>
                <c:pt idx="2579">
                  <c:v>39.93721546657488</c:v>
                </c:pt>
                <c:pt idx="2580">
                  <c:v>39.96581168248087</c:v>
                </c:pt>
                <c:pt idx="2581">
                  <c:v>39.994407898386854</c:v>
                </c:pt>
                <c:pt idx="2582">
                  <c:v>40.023004114292846</c:v>
                </c:pt>
                <c:pt idx="2583">
                  <c:v>40.05160033019884</c:v>
                </c:pt>
                <c:pt idx="2584">
                  <c:v>40.08019654610482</c:v>
                </c:pt>
                <c:pt idx="2585">
                  <c:v>40.10879276201082</c:v>
                </c:pt>
                <c:pt idx="2586">
                  <c:v>40.13738897791681</c:v>
                </c:pt>
                <c:pt idx="2587">
                  <c:v>40.16598519382279</c:v>
                </c:pt>
                <c:pt idx="2588">
                  <c:v>40.19458140972879</c:v>
                </c:pt>
                <c:pt idx="2589">
                  <c:v>40.223177625634776</c:v>
                </c:pt>
                <c:pt idx="2590">
                  <c:v>40.25177384154076</c:v>
                </c:pt>
                <c:pt idx="2591">
                  <c:v>40.28037005744676</c:v>
                </c:pt>
                <c:pt idx="2592">
                  <c:v>40.308966273352745</c:v>
                </c:pt>
                <c:pt idx="2593">
                  <c:v>40.33756248925874</c:v>
                </c:pt>
                <c:pt idx="2594">
                  <c:v>40.36615870516472</c:v>
                </c:pt>
                <c:pt idx="2595">
                  <c:v>40.394754921070714</c:v>
                </c:pt>
                <c:pt idx="2596">
                  <c:v>40.423351136976706</c:v>
                </c:pt>
                <c:pt idx="2597">
                  <c:v>40.4519473528827</c:v>
                </c:pt>
                <c:pt idx="2598">
                  <c:v>40.48054356878868</c:v>
                </c:pt>
                <c:pt idx="2599">
                  <c:v>40.509139784694675</c:v>
                </c:pt>
                <c:pt idx="2600">
                  <c:v>40.53773600060066</c:v>
                </c:pt>
                <c:pt idx="2601">
                  <c:v>40.56633221650665</c:v>
                </c:pt>
                <c:pt idx="2602">
                  <c:v>40.594928432412644</c:v>
                </c:pt>
                <c:pt idx="2603">
                  <c:v>40.623524648318636</c:v>
                </c:pt>
                <c:pt idx="2604">
                  <c:v>40.65212086422463</c:v>
                </c:pt>
                <c:pt idx="2605">
                  <c:v>40.68071708013061</c:v>
                </c:pt>
                <c:pt idx="2606">
                  <c:v>40.7093132960366</c:v>
                </c:pt>
                <c:pt idx="2607">
                  <c:v>40.7379095119426</c:v>
                </c:pt>
                <c:pt idx="2608">
                  <c:v>40.76650572784858</c:v>
                </c:pt>
                <c:pt idx="2609">
                  <c:v>40.795101943754574</c:v>
                </c:pt>
                <c:pt idx="2610">
                  <c:v>40.823698159660566</c:v>
                </c:pt>
                <c:pt idx="2611">
                  <c:v>40.85229437556655</c:v>
                </c:pt>
                <c:pt idx="2612">
                  <c:v>40.88089059147254</c:v>
                </c:pt>
                <c:pt idx="2613">
                  <c:v>40.909486807378535</c:v>
                </c:pt>
                <c:pt idx="2614">
                  <c:v>40.93808302328452</c:v>
                </c:pt>
                <c:pt idx="2615">
                  <c:v>40.96667923919052</c:v>
                </c:pt>
                <c:pt idx="2616">
                  <c:v>40.995275455096504</c:v>
                </c:pt>
                <c:pt idx="2617">
                  <c:v>41.02387167100249</c:v>
                </c:pt>
                <c:pt idx="2618">
                  <c:v>41.05246788690848</c:v>
                </c:pt>
                <c:pt idx="2619">
                  <c:v>41.08106410281447</c:v>
                </c:pt>
                <c:pt idx="2620">
                  <c:v>41.10966031872046</c:v>
                </c:pt>
                <c:pt idx="2621">
                  <c:v>41.13825653462645</c:v>
                </c:pt>
                <c:pt idx="2622">
                  <c:v>41.16685275053244</c:v>
                </c:pt>
                <c:pt idx="2623">
                  <c:v>41.195448966438434</c:v>
                </c:pt>
                <c:pt idx="2624">
                  <c:v>41.22404518234442</c:v>
                </c:pt>
                <c:pt idx="2625">
                  <c:v>41.25264139825041</c:v>
                </c:pt>
                <c:pt idx="2626">
                  <c:v>41.2812376141564</c:v>
                </c:pt>
                <c:pt idx="2627">
                  <c:v>41.30983383006239</c:v>
                </c:pt>
                <c:pt idx="2628">
                  <c:v>41.33843004596838</c:v>
                </c:pt>
                <c:pt idx="2629">
                  <c:v>41.36702626187437</c:v>
                </c:pt>
                <c:pt idx="2630">
                  <c:v>41.39562247778036</c:v>
                </c:pt>
                <c:pt idx="2631">
                  <c:v>41.42421869368635</c:v>
                </c:pt>
                <c:pt idx="2632">
                  <c:v>41.45281490959234</c:v>
                </c:pt>
                <c:pt idx="2633">
                  <c:v>41.481411125498326</c:v>
                </c:pt>
                <c:pt idx="2634">
                  <c:v>41.510007341404325</c:v>
                </c:pt>
                <c:pt idx="2635">
                  <c:v>41.53860355731031</c:v>
                </c:pt>
                <c:pt idx="2636">
                  <c:v>41.567199773216295</c:v>
                </c:pt>
                <c:pt idx="2637">
                  <c:v>41.59579598912229</c:v>
                </c:pt>
                <c:pt idx="2638">
                  <c:v>41.62439220502828</c:v>
                </c:pt>
                <c:pt idx="2639">
                  <c:v>41.652988420934264</c:v>
                </c:pt>
                <c:pt idx="2640">
                  <c:v>41.68158463684026</c:v>
                </c:pt>
                <c:pt idx="2641">
                  <c:v>41.71018085274625</c:v>
                </c:pt>
                <c:pt idx="2642">
                  <c:v>41.73877706865224</c:v>
                </c:pt>
                <c:pt idx="2643">
                  <c:v>41.767373284558225</c:v>
                </c:pt>
                <c:pt idx="2644">
                  <c:v>41.79596950046422</c:v>
                </c:pt>
                <c:pt idx="2645">
                  <c:v>41.82456571637021</c:v>
                </c:pt>
                <c:pt idx="2646">
                  <c:v>41.8531619322762</c:v>
                </c:pt>
                <c:pt idx="2647">
                  <c:v>41.881758148182186</c:v>
                </c:pt>
                <c:pt idx="2648">
                  <c:v>41.91035436408818</c:v>
                </c:pt>
                <c:pt idx="2649">
                  <c:v>41.93895057999416</c:v>
                </c:pt>
                <c:pt idx="2650">
                  <c:v>41.967546795900155</c:v>
                </c:pt>
                <c:pt idx="2651">
                  <c:v>41.99614301180615</c:v>
                </c:pt>
                <c:pt idx="2652">
                  <c:v>42.02473922771213</c:v>
                </c:pt>
                <c:pt idx="2653">
                  <c:v>42.05333544361813</c:v>
                </c:pt>
                <c:pt idx="2654">
                  <c:v>42.081931659524116</c:v>
                </c:pt>
                <c:pt idx="2655">
                  <c:v>42.1105278754301</c:v>
                </c:pt>
                <c:pt idx="2656">
                  <c:v>42.1391240913361</c:v>
                </c:pt>
                <c:pt idx="2657">
                  <c:v>42.167720307242085</c:v>
                </c:pt>
                <c:pt idx="2658">
                  <c:v>42.19631652314808</c:v>
                </c:pt>
                <c:pt idx="2659">
                  <c:v>42.22491273905407</c:v>
                </c:pt>
                <c:pt idx="2660">
                  <c:v>42.253508954960054</c:v>
                </c:pt>
                <c:pt idx="2661">
                  <c:v>42.282105170866046</c:v>
                </c:pt>
                <c:pt idx="2662">
                  <c:v>42.31070138677204</c:v>
                </c:pt>
                <c:pt idx="2663">
                  <c:v>42.33929760267802</c:v>
                </c:pt>
                <c:pt idx="2664">
                  <c:v>42.367893818584015</c:v>
                </c:pt>
                <c:pt idx="2665">
                  <c:v>42.39649003449001</c:v>
                </c:pt>
                <c:pt idx="2666">
                  <c:v>42.42508625039599</c:v>
                </c:pt>
                <c:pt idx="2667">
                  <c:v>42.453682466301984</c:v>
                </c:pt>
                <c:pt idx="2668">
                  <c:v>42.482278682207976</c:v>
                </c:pt>
                <c:pt idx="2669">
                  <c:v>42.51087489811396</c:v>
                </c:pt>
                <c:pt idx="2670">
                  <c:v>42.53947111401995</c:v>
                </c:pt>
                <c:pt idx="2671">
                  <c:v>42.568067329925945</c:v>
                </c:pt>
                <c:pt idx="2672">
                  <c:v>42.59666354583194</c:v>
                </c:pt>
                <c:pt idx="2673">
                  <c:v>42.62525976173792</c:v>
                </c:pt>
                <c:pt idx="2674">
                  <c:v>42.65385597764391</c:v>
                </c:pt>
                <c:pt idx="2675">
                  <c:v>42.682452193549906</c:v>
                </c:pt>
                <c:pt idx="2676">
                  <c:v>42.71104840945589</c:v>
                </c:pt>
                <c:pt idx="2677">
                  <c:v>42.73964462536188</c:v>
                </c:pt>
                <c:pt idx="2678">
                  <c:v>42.768240841267875</c:v>
                </c:pt>
                <c:pt idx="2679">
                  <c:v>42.79683705717386</c:v>
                </c:pt>
                <c:pt idx="2680">
                  <c:v>42.82543327307985</c:v>
                </c:pt>
                <c:pt idx="2681">
                  <c:v>42.854029488985844</c:v>
                </c:pt>
                <c:pt idx="2682">
                  <c:v>42.88262570489183</c:v>
                </c:pt>
                <c:pt idx="2683">
                  <c:v>42.91122192079783</c:v>
                </c:pt>
                <c:pt idx="2684">
                  <c:v>42.93981813670381</c:v>
                </c:pt>
                <c:pt idx="2685">
                  <c:v>42.9684143526098</c:v>
                </c:pt>
                <c:pt idx="2686">
                  <c:v>42.99701056851579</c:v>
                </c:pt>
                <c:pt idx="2687">
                  <c:v>43.02560678442178</c:v>
                </c:pt>
                <c:pt idx="2688">
                  <c:v>43.05420300032777</c:v>
                </c:pt>
                <c:pt idx="2689">
                  <c:v>43.08279921623377</c:v>
                </c:pt>
                <c:pt idx="2690">
                  <c:v>43.11139543213975</c:v>
                </c:pt>
                <c:pt idx="2691">
                  <c:v>43.13999164804574</c:v>
                </c:pt>
                <c:pt idx="2692">
                  <c:v>43.16858786395173</c:v>
                </c:pt>
                <c:pt idx="2693">
                  <c:v>43.19718407985772</c:v>
                </c:pt>
                <c:pt idx="2694">
                  <c:v>43.22578029576371</c:v>
                </c:pt>
                <c:pt idx="2695">
                  <c:v>43.2543765116697</c:v>
                </c:pt>
                <c:pt idx="2696">
                  <c:v>43.28297272757569</c:v>
                </c:pt>
                <c:pt idx="2697">
                  <c:v>43.31156894348168</c:v>
                </c:pt>
                <c:pt idx="2698">
                  <c:v>43.34016515938767</c:v>
                </c:pt>
                <c:pt idx="2699">
                  <c:v>43.36876137529366</c:v>
                </c:pt>
                <c:pt idx="2700">
                  <c:v>43.39735759119965</c:v>
                </c:pt>
                <c:pt idx="2701">
                  <c:v>43.425953807105635</c:v>
                </c:pt>
                <c:pt idx="2702">
                  <c:v>43.454550023011635</c:v>
                </c:pt>
                <c:pt idx="2703">
                  <c:v>43.48314623891762</c:v>
                </c:pt>
                <c:pt idx="2704">
                  <c:v>43.511742454823604</c:v>
                </c:pt>
                <c:pt idx="2705">
                  <c:v>43.540338670729604</c:v>
                </c:pt>
                <c:pt idx="2706">
                  <c:v>43.56893488663559</c:v>
                </c:pt>
                <c:pt idx="2707">
                  <c:v>43.59753110254157</c:v>
                </c:pt>
                <c:pt idx="2708">
                  <c:v>43.62612731844757</c:v>
                </c:pt>
                <c:pt idx="2709">
                  <c:v>43.65472353435356</c:v>
                </c:pt>
                <c:pt idx="2710">
                  <c:v>43.68331975025955</c:v>
                </c:pt>
                <c:pt idx="2711">
                  <c:v>43.71191596616554</c:v>
                </c:pt>
                <c:pt idx="2712">
                  <c:v>43.74051218207153</c:v>
                </c:pt>
                <c:pt idx="2713">
                  <c:v>43.76910839797752</c:v>
                </c:pt>
                <c:pt idx="2714">
                  <c:v>43.79770461388351</c:v>
                </c:pt>
                <c:pt idx="2715">
                  <c:v>43.826300829789496</c:v>
                </c:pt>
                <c:pt idx="2716">
                  <c:v>43.85489704569549</c:v>
                </c:pt>
                <c:pt idx="2717">
                  <c:v>43.88349326160147</c:v>
                </c:pt>
                <c:pt idx="2718">
                  <c:v>43.912089477507465</c:v>
                </c:pt>
                <c:pt idx="2719">
                  <c:v>43.94068569341346</c:v>
                </c:pt>
                <c:pt idx="2720">
                  <c:v>43.96928190931945</c:v>
                </c:pt>
                <c:pt idx="2721">
                  <c:v>43.99787812522544</c:v>
                </c:pt>
                <c:pt idx="2722">
                  <c:v>44.026474341131426</c:v>
                </c:pt>
                <c:pt idx="2723">
                  <c:v>44.05507055703741</c:v>
                </c:pt>
                <c:pt idx="2724">
                  <c:v>44.08366677294341</c:v>
                </c:pt>
                <c:pt idx="2725">
                  <c:v>44.112262988849395</c:v>
                </c:pt>
                <c:pt idx="2726">
                  <c:v>44.14085920475539</c:v>
                </c:pt>
                <c:pt idx="2727">
                  <c:v>44.16945542066138</c:v>
                </c:pt>
                <c:pt idx="2728">
                  <c:v>44.198051636567364</c:v>
                </c:pt>
                <c:pt idx="2729">
                  <c:v>44.226647852473356</c:v>
                </c:pt>
                <c:pt idx="2730">
                  <c:v>44.25524406837935</c:v>
                </c:pt>
                <c:pt idx="2731">
                  <c:v>44.28384028428533</c:v>
                </c:pt>
                <c:pt idx="2732">
                  <c:v>44.31243650019133</c:v>
                </c:pt>
                <c:pt idx="2733">
                  <c:v>44.34103271609732</c:v>
                </c:pt>
                <c:pt idx="2734">
                  <c:v>44.3696289320033</c:v>
                </c:pt>
                <c:pt idx="2735">
                  <c:v>44.398225147909294</c:v>
                </c:pt>
                <c:pt idx="2736">
                  <c:v>44.426821363815286</c:v>
                </c:pt>
                <c:pt idx="2737">
                  <c:v>44.45541757972127</c:v>
                </c:pt>
                <c:pt idx="2738">
                  <c:v>44.48401379562726</c:v>
                </c:pt>
                <c:pt idx="2739">
                  <c:v>44.512610011533255</c:v>
                </c:pt>
                <c:pt idx="2740">
                  <c:v>44.54120622743925</c:v>
                </c:pt>
                <c:pt idx="2741">
                  <c:v>44.56980244334523</c:v>
                </c:pt>
                <c:pt idx="2742">
                  <c:v>44.598398659251224</c:v>
                </c:pt>
                <c:pt idx="2743">
                  <c:v>44.626994875157216</c:v>
                </c:pt>
                <c:pt idx="2744">
                  <c:v>44.6555910910632</c:v>
                </c:pt>
                <c:pt idx="2745">
                  <c:v>44.68418730696919</c:v>
                </c:pt>
                <c:pt idx="2746">
                  <c:v>44.712783522875185</c:v>
                </c:pt>
                <c:pt idx="2747">
                  <c:v>44.74137973878117</c:v>
                </c:pt>
                <c:pt idx="2748">
                  <c:v>44.76997595468716</c:v>
                </c:pt>
                <c:pt idx="2749">
                  <c:v>44.798572170593154</c:v>
                </c:pt>
                <c:pt idx="2750">
                  <c:v>44.82716838649914</c:v>
                </c:pt>
                <c:pt idx="2751">
                  <c:v>44.85576460240514</c:v>
                </c:pt>
                <c:pt idx="2752">
                  <c:v>44.88436081831112</c:v>
                </c:pt>
                <c:pt idx="2753">
                  <c:v>44.91295703421711</c:v>
                </c:pt>
                <c:pt idx="2754">
                  <c:v>44.94155325012311</c:v>
                </c:pt>
                <c:pt idx="2755">
                  <c:v>44.97014946602909</c:v>
                </c:pt>
                <c:pt idx="2756">
                  <c:v>44.99874568193508</c:v>
                </c:pt>
                <c:pt idx="2757">
                  <c:v>45.027341897841076</c:v>
                </c:pt>
                <c:pt idx="2758">
                  <c:v>45.05593811374706</c:v>
                </c:pt>
                <c:pt idx="2759">
                  <c:v>45.08453432965305</c:v>
                </c:pt>
                <c:pt idx="2760">
                  <c:v>45.11313054555904</c:v>
                </c:pt>
                <c:pt idx="2761">
                  <c:v>45.14172676146503</c:v>
                </c:pt>
                <c:pt idx="2762">
                  <c:v>45.17032297737102</c:v>
                </c:pt>
                <c:pt idx="2763">
                  <c:v>45.198919193277014</c:v>
                </c:pt>
                <c:pt idx="2764">
                  <c:v>45.227515409183</c:v>
                </c:pt>
                <c:pt idx="2765">
                  <c:v>45.25611162508899</c:v>
                </c:pt>
                <c:pt idx="2766">
                  <c:v>45.284707840994976</c:v>
                </c:pt>
                <c:pt idx="2767">
                  <c:v>45.31330405690097</c:v>
                </c:pt>
                <c:pt idx="2768">
                  <c:v>45.34190027280696</c:v>
                </c:pt>
                <c:pt idx="2769">
                  <c:v>45.37049648871295</c:v>
                </c:pt>
                <c:pt idx="2770">
                  <c:v>45.399092704618944</c:v>
                </c:pt>
                <c:pt idx="2771">
                  <c:v>45.42768892052493</c:v>
                </c:pt>
                <c:pt idx="2772">
                  <c:v>45.456285136430914</c:v>
                </c:pt>
                <c:pt idx="2773">
                  <c:v>45.48488135233691</c:v>
                </c:pt>
                <c:pt idx="2774">
                  <c:v>45.5134775682429</c:v>
                </c:pt>
                <c:pt idx="2775">
                  <c:v>45.54207378414889</c:v>
                </c:pt>
                <c:pt idx="2776">
                  <c:v>45.57067000005488</c:v>
                </c:pt>
                <c:pt idx="2777">
                  <c:v>45.59926621596087</c:v>
                </c:pt>
                <c:pt idx="2778">
                  <c:v>45.62786243186686</c:v>
                </c:pt>
                <c:pt idx="2779">
                  <c:v>45.65645864777285</c:v>
                </c:pt>
                <c:pt idx="2780">
                  <c:v>45.685054863678836</c:v>
                </c:pt>
                <c:pt idx="2781">
                  <c:v>45.71365107958483</c:v>
                </c:pt>
                <c:pt idx="2782">
                  <c:v>45.74224729549082</c:v>
                </c:pt>
                <c:pt idx="2783">
                  <c:v>45.770843511396805</c:v>
                </c:pt>
                <c:pt idx="2784">
                  <c:v>45.7994397273028</c:v>
                </c:pt>
                <c:pt idx="2785">
                  <c:v>45.82803594320879</c:v>
                </c:pt>
                <c:pt idx="2786">
                  <c:v>45.856632159114774</c:v>
                </c:pt>
                <c:pt idx="2787">
                  <c:v>45.885228375020766</c:v>
                </c:pt>
                <c:pt idx="2788">
                  <c:v>45.91382459092676</c:v>
                </c:pt>
                <c:pt idx="2789">
                  <c:v>45.94242080683275</c:v>
                </c:pt>
                <c:pt idx="2790">
                  <c:v>45.971017022738735</c:v>
                </c:pt>
                <c:pt idx="2791">
                  <c:v>45.99961323864472</c:v>
                </c:pt>
                <c:pt idx="2792">
                  <c:v>46.02820945455072</c:v>
                </c:pt>
                <c:pt idx="2793">
                  <c:v>46.056805670456704</c:v>
                </c:pt>
                <c:pt idx="2794">
                  <c:v>46.085401886362696</c:v>
                </c:pt>
                <c:pt idx="2795">
                  <c:v>46.11399810226869</c:v>
                </c:pt>
                <c:pt idx="2796">
                  <c:v>46.14259431817467</c:v>
                </c:pt>
                <c:pt idx="2797">
                  <c:v>46.171190534080665</c:v>
                </c:pt>
                <c:pt idx="2798">
                  <c:v>46.19978674998666</c:v>
                </c:pt>
                <c:pt idx="2799">
                  <c:v>46.22838296589264</c:v>
                </c:pt>
                <c:pt idx="2800">
                  <c:v>46.25697918179864</c:v>
                </c:pt>
                <c:pt idx="2801">
                  <c:v>46.285575397704626</c:v>
                </c:pt>
                <c:pt idx="2802">
                  <c:v>46.31417161361061</c:v>
                </c:pt>
                <c:pt idx="2803">
                  <c:v>46.3427678295166</c:v>
                </c:pt>
                <c:pt idx="2804">
                  <c:v>46.371364045422595</c:v>
                </c:pt>
                <c:pt idx="2805">
                  <c:v>46.39996026132858</c:v>
                </c:pt>
                <c:pt idx="2806">
                  <c:v>46.42855647723458</c:v>
                </c:pt>
                <c:pt idx="2807">
                  <c:v>46.457152693140564</c:v>
                </c:pt>
                <c:pt idx="2808">
                  <c:v>46.485748909046556</c:v>
                </c:pt>
                <c:pt idx="2809">
                  <c:v>46.51434512495254</c:v>
                </c:pt>
                <c:pt idx="2810">
                  <c:v>46.54294134085853</c:v>
                </c:pt>
                <c:pt idx="2811">
                  <c:v>46.571537556764525</c:v>
                </c:pt>
                <c:pt idx="2812">
                  <c:v>46.60013377267052</c:v>
                </c:pt>
                <c:pt idx="2813">
                  <c:v>46.6287299885765</c:v>
                </c:pt>
                <c:pt idx="2814">
                  <c:v>46.657326204482494</c:v>
                </c:pt>
                <c:pt idx="2815">
                  <c:v>46.68592242038848</c:v>
                </c:pt>
                <c:pt idx="2816">
                  <c:v>46.71451863629447</c:v>
                </c:pt>
                <c:pt idx="2817">
                  <c:v>46.74311485220046</c:v>
                </c:pt>
                <c:pt idx="2818">
                  <c:v>46.77171106810645</c:v>
                </c:pt>
                <c:pt idx="2819">
                  <c:v>46.80030728401245</c:v>
                </c:pt>
                <c:pt idx="2820">
                  <c:v>46.82890349991843</c:v>
                </c:pt>
                <c:pt idx="2821">
                  <c:v>46.85749971582442</c:v>
                </c:pt>
                <c:pt idx="2822">
                  <c:v>46.88609593173041</c:v>
                </c:pt>
                <c:pt idx="2823">
                  <c:v>46.9146921476364</c:v>
                </c:pt>
                <c:pt idx="2824">
                  <c:v>46.943288363542386</c:v>
                </c:pt>
                <c:pt idx="2825">
                  <c:v>46.971884579448385</c:v>
                </c:pt>
                <c:pt idx="2826">
                  <c:v>47.00048079535437</c:v>
                </c:pt>
                <c:pt idx="2827">
                  <c:v>47.02907701126036</c:v>
                </c:pt>
                <c:pt idx="2828">
                  <c:v>47.057673227166354</c:v>
                </c:pt>
                <c:pt idx="2829">
                  <c:v>47.08626944307234</c:v>
                </c:pt>
                <c:pt idx="2830">
                  <c:v>47.11486565897833</c:v>
                </c:pt>
                <c:pt idx="2831">
                  <c:v>47.14346187488432</c:v>
                </c:pt>
                <c:pt idx="2832">
                  <c:v>47.17205809079031</c:v>
                </c:pt>
                <c:pt idx="2833">
                  <c:v>47.2006543066963</c:v>
                </c:pt>
                <c:pt idx="2834">
                  <c:v>47.22925052260229</c:v>
                </c:pt>
                <c:pt idx="2835">
                  <c:v>47.25784673850828</c:v>
                </c:pt>
                <c:pt idx="2836">
                  <c:v>47.28644295441427</c:v>
                </c:pt>
                <c:pt idx="2837">
                  <c:v>47.31503917032026</c:v>
                </c:pt>
                <c:pt idx="2838">
                  <c:v>47.343635386226254</c:v>
                </c:pt>
                <c:pt idx="2839">
                  <c:v>47.37223160213224</c:v>
                </c:pt>
                <c:pt idx="2840">
                  <c:v>47.40082781803822</c:v>
                </c:pt>
                <c:pt idx="2841">
                  <c:v>47.42942403394422</c:v>
                </c:pt>
                <c:pt idx="2842">
                  <c:v>47.45802024985021</c:v>
                </c:pt>
                <c:pt idx="2843">
                  <c:v>47.4866164657562</c:v>
                </c:pt>
                <c:pt idx="2844">
                  <c:v>47.51521268166219</c:v>
                </c:pt>
                <c:pt idx="2845">
                  <c:v>47.54380889756818</c:v>
                </c:pt>
                <c:pt idx="2846">
                  <c:v>47.57240511347417</c:v>
                </c:pt>
                <c:pt idx="2847">
                  <c:v>47.60100132938016</c:v>
                </c:pt>
                <c:pt idx="2848">
                  <c:v>47.629597545286146</c:v>
                </c:pt>
                <c:pt idx="2849">
                  <c:v>47.658193761192145</c:v>
                </c:pt>
                <c:pt idx="2850">
                  <c:v>47.68678997709813</c:v>
                </c:pt>
                <c:pt idx="2851">
                  <c:v>47.715386193004115</c:v>
                </c:pt>
                <c:pt idx="2852">
                  <c:v>47.74398240891011</c:v>
                </c:pt>
                <c:pt idx="2853">
                  <c:v>47.7725786248161</c:v>
                </c:pt>
                <c:pt idx="2854">
                  <c:v>47.801174840722084</c:v>
                </c:pt>
                <c:pt idx="2855">
                  <c:v>47.829771056628076</c:v>
                </c:pt>
                <c:pt idx="2856">
                  <c:v>47.85836727253407</c:v>
                </c:pt>
                <c:pt idx="2857">
                  <c:v>47.88696348844006</c:v>
                </c:pt>
                <c:pt idx="2858">
                  <c:v>47.915559704346045</c:v>
                </c:pt>
                <c:pt idx="2859">
                  <c:v>47.94415592025204</c:v>
                </c:pt>
                <c:pt idx="2860">
                  <c:v>47.97275213615803</c:v>
                </c:pt>
                <c:pt idx="2861">
                  <c:v>48.00134835206402</c:v>
                </c:pt>
                <c:pt idx="2862">
                  <c:v>48.029944567970006</c:v>
                </c:pt>
                <c:pt idx="2863">
                  <c:v>48.058540783876</c:v>
                </c:pt>
                <c:pt idx="2864">
                  <c:v>48.08713699978198</c:v>
                </c:pt>
                <c:pt idx="2865">
                  <c:v>48.115733215687975</c:v>
                </c:pt>
                <c:pt idx="2866">
                  <c:v>48.14432943159397</c:v>
                </c:pt>
                <c:pt idx="2867">
                  <c:v>48.17292564749995</c:v>
                </c:pt>
                <c:pt idx="2868">
                  <c:v>48.20152186340595</c:v>
                </c:pt>
                <c:pt idx="2869">
                  <c:v>48.230118079311936</c:v>
                </c:pt>
                <c:pt idx="2870">
                  <c:v>48.25871429521792</c:v>
                </c:pt>
                <c:pt idx="2871">
                  <c:v>48.28731051112391</c:v>
                </c:pt>
                <c:pt idx="2872">
                  <c:v>48.315906727029905</c:v>
                </c:pt>
                <c:pt idx="2873">
                  <c:v>48.34450294293589</c:v>
                </c:pt>
                <c:pt idx="2874">
                  <c:v>48.37309915884189</c:v>
                </c:pt>
                <c:pt idx="2875">
                  <c:v>48.401695374747874</c:v>
                </c:pt>
                <c:pt idx="2876">
                  <c:v>48.430291590653866</c:v>
                </c:pt>
                <c:pt idx="2877">
                  <c:v>48.45888780655985</c:v>
                </c:pt>
                <c:pt idx="2878">
                  <c:v>48.48748402246584</c:v>
                </c:pt>
                <c:pt idx="2879">
                  <c:v>48.516080238371835</c:v>
                </c:pt>
                <c:pt idx="2880">
                  <c:v>48.54467645427783</c:v>
                </c:pt>
                <c:pt idx="2881">
                  <c:v>48.57327267018381</c:v>
                </c:pt>
                <c:pt idx="2882">
                  <c:v>48.601868886089804</c:v>
                </c:pt>
                <c:pt idx="2883">
                  <c:v>48.630465101995796</c:v>
                </c:pt>
                <c:pt idx="2884">
                  <c:v>48.65906131790178</c:v>
                </c:pt>
                <c:pt idx="2885">
                  <c:v>48.68765753380777</c:v>
                </c:pt>
                <c:pt idx="2886">
                  <c:v>48.71625374971376</c:v>
                </c:pt>
                <c:pt idx="2887">
                  <c:v>48.74484996561976</c:v>
                </c:pt>
                <c:pt idx="2888">
                  <c:v>48.77344618152574</c:v>
                </c:pt>
                <c:pt idx="2889">
                  <c:v>48.80204239743173</c:v>
                </c:pt>
                <c:pt idx="2890">
                  <c:v>48.830638613337726</c:v>
                </c:pt>
                <c:pt idx="2891">
                  <c:v>48.85923482924371</c:v>
                </c:pt>
                <c:pt idx="2892">
                  <c:v>48.8878310451497</c:v>
                </c:pt>
                <c:pt idx="2893">
                  <c:v>48.916427261055695</c:v>
                </c:pt>
                <c:pt idx="2894">
                  <c:v>48.94502347696168</c:v>
                </c:pt>
                <c:pt idx="2895">
                  <c:v>48.97361969286767</c:v>
                </c:pt>
                <c:pt idx="2896">
                  <c:v>49.002215908773664</c:v>
                </c:pt>
                <c:pt idx="2897">
                  <c:v>49.03081212467965</c:v>
                </c:pt>
                <c:pt idx="2898">
                  <c:v>49.05940834058565</c:v>
                </c:pt>
                <c:pt idx="2899">
                  <c:v>49.08800455649163</c:v>
                </c:pt>
                <c:pt idx="2900">
                  <c:v>49.11660077239762</c:v>
                </c:pt>
                <c:pt idx="2901">
                  <c:v>49.14519698830361</c:v>
                </c:pt>
                <c:pt idx="2902">
                  <c:v>49.1737932042096</c:v>
                </c:pt>
                <c:pt idx="2903">
                  <c:v>49.20238942011559</c:v>
                </c:pt>
                <c:pt idx="2904">
                  <c:v>49.23098563602158</c:v>
                </c:pt>
                <c:pt idx="2905">
                  <c:v>49.25958185192757</c:v>
                </c:pt>
                <c:pt idx="2906">
                  <c:v>49.28817806783356</c:v>
                </c:pt>
                <c:pt idx="2907">
                  <c:v>49.31677428373955</c:v>
                </c:pt>
                <c:pt idx="2908">
                  <c:v>49.34537049964553</c:v>
                </c:pt>
                <c:pt idx="2909">
                  <c:v>49.37396671555153</c:v>
                </c:pt>
                <c:pt idx="2910">
                  <c:v>49.40256293145752</c:v>
                </c:pt>
                <c:pt idx="2911">
                  <c:v>49.43115914736351</c:v>
                </c:pt>
                <c:pt idx="2912">
                  <c:v>49.4597553632695</c:v>
                </c:pt>
                <c:pt idx="2913">
                  <c:v>49.488351579175486</c:v>
                </c:pt>
                <c:pt idx="2914">
                  <c:v>49.51694779508148</c:v>
                </c:pt>
                <c:pt idx="2915">
                  <c:v>49.54554401098747</c:v>
                </c:pt>
                <c:pt idx="2916">
                  <c:v>49.574140226893455</c:v>
                </c:pt>
                <c:pt idx="2917">
                  <c:v>49.602736442799454</c:v>
                </c:pt>
                <c:pt idx="2918">
                  <c:v>49.63133265870544</c:v>
                </c:pt>
                <c:pt idx="2919">
                  <c:v>49.659928874611424</c:v>
                </c:pt>
                <c:pt idx="2920">
                  <c:v>49.688525090517416</c:v>
                </c:pt>
                <c:pt idx="2921">
                  <c:v>49.71712130642341</c:v>
                </c:pt>
                <c:pt idx="2922">
                  <c:v>49.74571752232939</c:v>
                </c:pt>
                <c:pt idx="2923">
                  <c:v>49.77431373823539</c:v>
                </c:pt>
                <c:pt idx="2924">
                  <c:v>49.80290995414138</c:v>
                </c:pt>
                <c:pt idx="2925">
                  <c:v>49.83150617004737</c:v>
                </c:pt>
                <c:pt idx="2926">
                  <c:v>49.860102385953354</c:v>
                </c:pt>
                <c:pt idx="2927">
                  <c:v>49.888698601859346</c:v>
                </c:pt>
                <c:pt idx="2928">
                  <c:v>49.91729481776534</c:v>
                </c:pt>
                <c:pt idx="2929">
                  <c:v>49.94589103367133</c:v>
                </c:pt>
                <c:pt idx="2930">
                  <c:v>49.974487249577315</c:v>
                </c:pt>
                <c:pt idx="2931">
                  <c:v>50.00308346548331</c:v>
                </c:pt>
                <c:pt idx="2932">
                  <c:v>50.03167968138929</c:v>
                </c:pt>
                <c:pt idx="2933">
                  <c:v>50.060275897295284</c:v>
                </c:pt>
                <c:pt idx="2934">
                  <c:v>50.088872113201276</c:v>
                </c:pt>
                <c:pt idx="2935">
                  <c:v>50.11746832910726</c:v>
                </c:pt>
                <c:pt idx="2936">
                  <c:v>50.14606454501326</c:v>
                </c:pt>
                <c:pt idx="2937">
                  <c:v>50.174660760919245</c:v>
                </c:pt>
                <c:pt idx="2938">
                  <c:v>50.20325697682523</c:v>
                </c:pt>
                <c:pt idx="2939">
                  <c:v>50.23185319273122</c:v>
                </c:pt>
                <c:pt idx="2940">
                  <c:v>50.260449408637214</c:v>
                </c:pt>
                <c:pt idx="2941">
                  <c:v>50.2890456245432</c:v>
                </c:pt>
                <c:pt idx="2942">
                  <c:v>50.3176418404492</c:v>
                </c:pt>
                <c:pt idx="2943">
                  <c:v>50.34623805635518</c:v>
                </c:pt>
                <c:pt idx="2944">
                  <c:v>50.374834272261175</c:v>
                </c:pt>
                <c:pt idx="2945">
                  <c:v>50.40343048816717</c:v>
                </c:pt>
                <c:pt idx="2946">
                  <c:v>50.43202670407315</c:v>
                </c:pt>
                <c:pt idx="2947">
                  <c:v>50.46062291997915</c:v>
                </c:pt>
                <c:pt idx="2948">
                  <c:v>50.489219135885136</c:v>
                </c:pt>
                <c:pt idx="2949">
                  <c:v>50.51781535179112</c:v>
                </c:pt>
                <c:pt idx="2950">
                  <c:v>50.54641156769711</c:v>
                </c:pt>
                <c:pt idx="2951">
                  <c:v>50.575007783603105</c:v>
                </c:pt>
                <c:pt idx="2952">
                  <c:v>50.60360399950909</c:v>
                </c:pt>
                <c:pt idx="2953">
                  <c:v>50.63220021541508</c:v>
                </c:pt>
                <c:pt idx="2954">
                  <c:v>50.660796431321074</c:v>
                </c:pt>
                <c:pt idx="2955">
                  <c:v>50.689392647227066</c:v>
                </c:pt>
                <c:pt idx="2956">
                  <c:v>50.71798886313305</c:v>
                </c:pt>
                <c:pt idx="2957">
                  <c:v>50.746585079039036</c:v>
                </c:pt>
                <c:pt idx="2958">
                  <c:v>50.775181294945035</c:v>
                </c:pt>
                <c:pt idx="2959">
                  <c:v>50.80377751085102</c:v>
                </c:pt>
                <c:pt idx="2960">
                  <c:v>50.83237372675701</c:v>
                </c:pt>
                <c:pt idx="2961">
                  <c:v>50.860969942663004</c:v>
                </c:pt>
                <c:pt idx="2962">
                  <c:v>50.88956615856899</c:v>
                </c:pt>
                <c:pt idx="2963">
                  <c:v>50.91816237447498</c:v>
                </c:pt>
                <c:pt idx="2964">
                  <c:v>50.94675859038097</c:v>
                </c:pt>
                <c:pt idx="2965">
                  <c:v>50.97535480628696</c:v>
                </c:pt>
                <c:pt idx="2966">
                  <c:v>51.00395102219296</c:v>
                </c:pt>
                <c:pt idx="2967">
                  <c:v>51.03254723809894</c:v>
                </c:pt>
                <c:pt idx="2968">
                  <c:v>51.06114345400493</c:v>
                </c:pt>
                <c:pt idx="2969">
                  <c:v>51.08973966991092</c:v>
                </c:pt>
                <c:pt idx="2970">
                  <c:v>51.11833588581691</c:v>
                </c:pt>
                <c:pt idx="2971">
                  <c:v>51.146932101722896</c:v>
                </c:pt>
                <c:pt idx="2972">
                  <c:v>51.175528317628896</c:v>
                </c:pt>
                <c:pt idx="2973">
                  <c:v>51.20412453353488</c:v>
                </c:pt>
                <c:pt idx="2974">
                  <c:v>51.23272074944087</c:v>
                </c:pt>
                <c:pt idx="2975">
                  <c:v>51.26131696534686</c:v>
                </c:pt>
                <c:pt idx="2976">
                  <c:v>51.28991318125284</c:v>
                </c:pt>
                <c:pt idx="2977">
                  <c:v>51.31850939715884</c:v>
                </c:pt>
                <c:pt idx="2978">
                  <c:v>51.347105613064834</c:v>
                </c:pt>
                <c:pt idx="2979">
                  <c:v>51.37570182897082</c:v>
                </c:pt>
                <c:pt idx="2980">
                  <c:v>51.40429804487681</c:v>
                </c:pt>
                <c:pt idx="2981">
                  <c:v>51.432894260782795</c:v>
                </c:pt>
                <c:pt idx="2982">
                  <c:v>51.46149047668879</c:v>
                </c:pt>
                <c:pt idx="2983">
                  <c:v>51.49008669259478</c:v>
                </c:pt>
                <c:pt idx="2984">
                  <c:v>51.518682908500764</c:v>
                </c:pt>
                <c:pt idx="2985">
                  <c:v>51.547279124406764</c:v>
                </c:pt>
                <c:pt idx="2986">
                  <c:v>51.57587534031275</c:v>
                </c:pt>
                <c:pt idx="2987">
                  <c:v>51.60447155621873</c:v>
                </c:pt>
                <c:pt idx="2988">
                  <c:v>51.633067772124726</c:v>
                </c:pt>
                <c:pt idx="2989">
                  <c:v>51.66166398803072</c:v>
                </c:pt>
                <c:pt idx="2990">
                  <c:v>51.69026020393671</c:v>
                </c:pt>
                <c:pt idx="2991">
                  <c:v>51.7188564198427</c:v>
                </c:pt>
                <c:pt idx="2992">
                  <c:v>51.74745263574869</c:v>
                </c:pt>
                <c:pt idx="2993">
                  <c:v>51.77604885165468</c:v>
                </c:pt>
                <c:pt idx="2994">
                  <c:v>51.804645067560664</c:v>
                </c:pt>
                <c:pt idx="2995">
                  <c:v>51.833241283466656</c:v>
                </c:pt>
                <c:pt idx="2996">
                  <c:v>51.861837499372655</c:v>
                </c:pt>
                <c:pt idx="2997">
                  <c:v>51.89043371527864</c:v>
                </c:pt>
                <c:pt idx="2998">
                  <c:v>51.919029931184625</c:v>
                </c:pt>
                <c:pt idx="2999">
                  <c:v>51.94762614709062</c:v>
                </c:pt>
                <c:pt idx="3000">
                  <c:v>51.9762223629966</c:v>
                </c:pt>
                <c:pt idx="3001">
                  <c:v>52.004818578902594</c:v>
                </c:pt>
                <c:pt idx="3002">
                  <c:v>52.033414794808586</c:v>
                </c:pt>
                <c:pt idx="3003">
                  <c:v>52.06201101071458</c:v>
                </c:pt>
                <c:pt idx="3004">
                  <c:v>52.09060722662057</c:v>
                </c:pt>
                <c:pt idx="3005">
                  <c:v>52.119203442526555</c:v>
                </c:pt>
                <c:pt idx="3006">
                  <c:v>52.14779965843254</c:v>
                </c:pt>
                <c:pt idx="3007">
                  <c:v>52.17639587433853</c:v>
                </c:pt>
                <c:pt idx="3008">
                  <c:v>52.204992090244524</c:v>
                </c:pt>
                <c:pt idx="3009">
                  <c:v>52.233588306150516</c:v>
                </c:pt>
                <c:pt idx="3010">
                  <c:v>52.26218452205651</c:v>
                </c:pt>
                <c:pt idx="3011">
                  <c:v>52.29078073796249</c:v>
                </c:pt>
                <c:pt idx="3012">
                  <c:v>52.319376953868485</c:v>
                </c:pt>
                <c:pt idx="3013">
                  <c:v>52.34797316977447</c:v>
                </c:pt>
                <c:pt idx="3014">
                  <c:v>52.37656938568046</c:v>
                </c:pt>
                <c:pt idx="3015">
                  <c:v>52.40516560158646</c:v>
                </c:pt>
                <c:pt idx="3016">
                  <c:v>52.433761817492446</c:v>
                </c:pt>
                <c:pt idx="3017">
                  <c:v>52.46235803339843</c:v>
                </c:pt>
                <c:pt idx="3018">
                  <c:v>52.49095424930442</c:v>
                </c:pt>
                <c:pt idx="3019">
                  <c:v>52.519550465210415</c:v>
                </c:pt>
                <c:pt idx="3020">
                  <c:v>52.5481466811164</c:v>
                </c:pt>
                <c:pt idx="3021">
                  <c:v>52.5767428970224</c:v>
                </c:pt>
                <c:pt idx="3022">
                  <c:v>52.605339112928384</c:v>
                </c:pt>
                <c:pt idx="3023">
                  <c:v>52.633935328834376</c:v>
                </c:pt>
                <c:pt idx="3024">
                  <c:v>52.66253154474036</c:v>
                </c:pt>
                <c:pt idx="3025">
                  <c:v>52.691127760646346</c:v>
                </c:pt>
                <c:pt idx="3026">
                  <c:v>52.719723976552345</c:v>
                </c:pt>
                <c:pt idx="3027">
                  <c:v>52.74832019245834</c:v>
                </c:pt>
                <c:pt idx="3028">
                  <c:v>52.77691640836432</c:v>
                </c:pt>
                <c:pt idx="3029">
                  <c:v>52.805512624270314</c:v>
                </c:pt>
                <c:pt idx="3030">
                  <c:v>52.8341088401763</c:v>
                </c:pt>
                <c:pt idx="3031">
                  <c:v>52.86270505608229</c:v>
                </c:pt>
                <c:pt idx="3032">
                  <c:v>52.89130127198828</c:v>
                </c:pt>
                <c:pt idx="3033">
                  <c:v>52.91989748789427</c:v>
                </c:pt>
                <c:pt idx="3034">
                  <c:v>52.94849370380027</c:v>
                </c:pt>
                <c:pt idx="3035">
                  <c:v>52.97708991970625</c:v>
                </c:pt>
                <c:pt idx="3036">
                  <c:v>53.00568613561224</c:v>
                </c:pt>
                <c:pt idx="3037">
                  <c:v>53.03428235151823</c:v>
                </c:pt>
                <c:pt idx="3038">
                  <c:v>53.06287856742422</c:v>
                </c:pt>
                <c:pt idx="3039">
                  <c:v>53.091474783330206</c:v>
                </c:pt>
                <c:pt idx="3040">
                  <c:v>53.120070999236205</c:v>
                </c:pt>
                <c:pt idx="3041">
                  <c:v>53.14866721514219</c:v>
                </c:pt>
                <c:pt idx="3042">
                  <c:v>53.17726343104818</c:v>
                </c:pt>
                <c:pt idx="3043">
                  <c:v>53.20585964695417</c:v>
                </c:pt>
                <c:pt idx="3044">
                  <c:v>53.23445586286015</c:v>
                </c:pt>
                <c:pt idx="3045">
                  <c:v>53.26305207876616</c:v>
                </c:pt>
                <c:pt idx="3046">
                  <c:v>53.29164829467214</c:v>
                </c:pt>
                <c:pt idx="3047">
                  <c:v>53.32024451057813</c:v>
                </c:pt>
                <c:pt idx="3048">
                  <c:v>53.34884072648412</c:v>
                </c:pt>
                <c:pt idx="3049">
                  <c:v>53.377436942390105</c:v>
                </c:pt>
                <c:pt idx="3050">
                  <c:v>53.4060331582961</c:v>
                </c:pt>
                <c:pt idx="3051">
                  <c:v>53.43462937420209</c:v>
                </c:pt>
                <c:pt idx="3052">
                  <c:v>53.46322559010808</c:v>
                </c:pt>
                <c:pt idx="3053">
                  <c:v>53.49182180601407</c:v>
                </c:pt>
                <c:pt idx="3054">
                  <c:v>53.52041802192006</c:v>
                </c:pt>
                <c:pt idx="3055">
                  <c:v>53.54901423782604</c:v>
                </c:pt>
                <c:pt idx="3056">
                  <c:v>53.57761045373204</c:v>
                </c:pt>
                <c:pt idx="3057">
                  <c:v>53.60620666963803</c:v>
                </c:pt>
                <c:pt idx="3058">
                  <c:v>53.63480288554402</c:v>
                </c:pt>
                <c:pt idx="3059">
                  <c:v>53.66339910145001</c:v>
                </c:pt>
                <c:pt idx="3060">
                  <c:v>53.691995317355996</c:v>
                </c:pt>
                <c:pt idx="3061">
                  <c:v>53.72059153326199</c:v>
                </c:pt>
                <c:pt idx="3062">
                  <c:v>53.74918774916797</c:v>
                </c:pt>
                <c:pt idx="3063">
                  <c:v>53.777783965073965</c:v>
                </c:pt>
                <c:pt idx="3064">
                  <c:v>53.806380180979964</c:v>
                </c:pt>
                <c:pt idx="3065">
                  <c:v>53.83497639688595</c:v>
                </c:pt>
                <c:pt idx="3066">
                  <c:v>53.863572612791934</c:v>
                </c:pt>
                <c:pt idx="3067">
                  <c:v>53.892168828697926</c:v>
                </c:pt>
                <c:pt idx="3068">
                  <c:v>53.92076504460391</c:v>
                </c:pt>
                <c:pt idx="3069">
                  <c:v>53.9493612605099</c:v>
                </c:pt>
                <c:pt idx="3070">
                  <c:v>53.977957476415895</c:v>
                </c:pt>
                <c:pt idx="3071">
                  <c:v>54.00655369232189</c:v>
                </c:pt>
                <c:pt idx="3072">
                  <c:v>54.03514990822788</c:v>
                </c:pt>
                <c:pt idx="3073">
                  <c:v>54.063746124133864</c:v>
                </c:pt>
                <c:pt idx="3074">
                  <c:v>54.09234234003985</c:v>
                </c:pt>
                <c:pt idx="3075">
                  <c:v>54.12093855594585</c:v>
                </c:pt>
                <c:pt idx="3076">
                  <c:v>54.14953477185184</c:v>
                </c:pt>
                <c:pt idx="3077">
                  <c:v>54.178130987757825</c:v>
                </c:pt>
                <c:pt idx="3078">
                  <c:v>54.20672720366382</c:v>
                </c:pt>
                <c:pt idx="3079">
                  <c:v>54.2353234195698</c:v>
                </c:pt>
                <c:pt idx="3080">
                  <c:v>54.263919635475794</c:v>
                </c:pt>
                <c:pt idx="3081">
                  <c:v>54.292515851381786</c:v>
                </c:pt>
                <c:pt idx="3082">
                  <c:v>54.32111206728777</c:v>
                </c:pt>
                <c:pt idx="3083">
                  <c:v>54.34970828319377</c:v>
                </c:pt>
                <c:pt idx="3084">
                  <c:v>54.378304499099755</c:v>
                </c:pt>
                <c:pt idx="3085">
                  <c:v>54.40690071500574</c:v>
                </c:pt>
                <c:pt idx="3086">
                  <c:v>54.43549693091173</c:v>
                </c:pt>
                <c:pt idx="3087">
                  <c:v>54.464093146817724</c:v>
                </c:pt>
                <c:pt idx="3088">
                  <c:v>54.49268936272371</c:v>
                </c:pt>
                <c:pt idx="3089">
                  <c:v>54.52128557862971</c:v>
                </c:pt>
                <c:pt idx="3090">
                  <c:v>54.54988179453569</c:v>
                </c:pt>
                <c:pt idx="3091">
                  <c:v>54.578478010441685</c:v>
                </c:pt>
                <c:pt idx="3092">
                  <c:v>54.60707422634767</c:v>
                </c:pt>
                <c:pt idx="3093">
                  <c:v>54.635670442253655</c:v>
                </c:pt>
                <c:pt idx="3094">
                  <c:v>54.664266658159654</c:v>
                </c:pt>
                <c:pt idx="3095">
                  <c:v>54.692862874065646</c:v>
                </c:pt>
                <c:pt idx="3096">
                  <c:v>54.72145908997163</c:v>
                </c:pt>
                <c:pt idx="3097">
                  <c:v>54.75005530587762</c:v>
                </c:pt>
                <c:pt idx="3098">
                  <c:v>54.77865152178361</c:v>
                </c:pt>
                <c:pt idx="3099">
                  <c:v>54.8072477376896</c:v>
                </c:pt>
                <c:pt idx="3100">
                  <c:v>54.83584395359559</c:v>
                </c:pt>
                <c:pt idx="3101">
                  <c:v>54.86444016950158</c:v>
                </c:pt>
                <c:pt idx="3102">
                  <c:v>54.89303638540758</c:v>
                </c:pt>
                <c:pt idx="3103">
                  <c:v>54.92163260131356</c:v>
                </c:pt>
                <c:pt idx="3104">
                  <c:v>54.950228817219546</c:v>
                </c:pt>
                <c:pt idx="3105">
                  <c:v>54.978825033125545</c:v>
                </c:pt>
                <c:pt idx="3106">
                  <c:v>55.00742124903153</c:v>
                </c:pt>
                <c:pt idx="3107">
                  <c:v>55.03601746493752</c:v>
                </c:pt>
                <c:pt idx="3108">
                  <c:v>55.064613680843514</c:v>
                </c:pt>
                <c:pt idx="3109">
                  <c:v>55.0932098967495</c:v>
                </c:pt>
                <c:pt idx="3110">
                  <c:v>55.12180611265549</c:v>
                </c:pt>
                <c:pt idx="3111">
                  <c:v>55.150402328561476</c:v>
                </c:pt>
                <c:pt idx="3112">
                  <c:v>55.17899854446747</c:v>
                </c:pt>
                <c:pt idx="3113">
                  <c:v>55.20759476037346</c:v>
                </c:pt>
                <c:pt idx="3114">
                  <c:v>55.23619097627945</c:v>
                </c:pt>
                <c:pt idx="3115">
                  <c:v>55.26478719218544</c:v>
                </c:pt>
                <c:pt idx="3116">
                  <c:v>55.29338340809143</c:v>
                </c:pt>
                <c:pt idx="3117">
                  <c:v>55.321979623997414</c:v>
                </c:pt>
                <c:pt idx="3118">
                  <c:v>55.35057583990341</c:v>
                </c:pt>
                <c:pt idx="3119">
                  <c:v>55.3791720558094</c:v>
                </c:pt>
                <c:pt idx="3120">
                  <c:v>55.40776827171539</c:v>
                </c:pt>
                <c:pt idx="3121">
                  <c:v>55.43636448762138</c:v>
                </c:pt>
                <c:pt idx="3122">
                  <c:v>55.46496070352737</c:v>
                </c:pt>
                <c:pt idx="3123">
                  <c:v>55.49355691943335</c:v>
                </c:pt>
                <c:pt idx="3124">
                  <c:v>55.522153135339344</c:v>
                </c:pt>
                <c:pt idx="3125">
                  <c:v>55.55074935124534</c:v>
                </c:pt>
                <c:pt idx="3126">
                  <c:v>55.57934556715133</c:v>
                </c:pt>
                <c:pt idx="3127">
                  <c:v>55.60794178305732</c:v>
                </c:pt>
                <c:pt idx="3128">
                  <c:v>55.636537998963306</c:v>
                </c:pt>
                <c:pt idx="3129">
                  <c:v>55.6651342148693</c:v>
                </c:pt>
                <c:pt idx="3130">
                  <c:v>55.69373043077528</c:v>
                </c:pt>
                <c:pt idx="3131">
                  <c:v>55.72232664668128</c:v>
                </c:pt>
                <c:pt idx="3132">
                  <c:v>55.75092286258727</c:v>
                </c:pt>
                <c:pt idx="3133">
                  <c:v>55.77951907849326</c:v>
                </c:pt>
                <c:pt idx="3134">
                  <c:v>55.808115294399244</c:v>
                </c:pt>
                <c:pt idx="3135">
                  <c:v>55.836711510305236</c:v>
                </c:pt>
                <c:pt idx="3136">
                  <c:v>55.86530772621123</c:v>
                </c:pt>
                <c:pt idx="3137">
                  <c:v>55.89390394211722</c:v>
                </c:pt>
                <c:pt idx="3138">
                  <c:v>55.92250015802321</c:v>
                </c:pt>
                <c:pt idx="3139">
                  <c:v>55.9510963739292</c:v>
                </c:pt>
                <c:pt idx="3140">
                  <c:v>55.97969258983519</c:v>
                </c:pt>
                <c:pt idx="3141">
                  <c:v>56.008288805741174</c:v>
                </c:pt>
                <c:pt idx="3142">
                  <c:v>56.036885021647166</c:v>
                </c:pt>
                <c:pt idx="3143">
                  <c:v>56.06548123755316</c:v>
                </c:pt>
                <c:pt idx="3144">
                  <c:v>56.09407745345915</c:v>
                </c:pt>
                <c:pt idx="3145">
                  <c:v>56.122673669365135</c:v>
                </c:pt>
                <c:pt idx="3146">
                  <c:v>56.15126988527113</c:v>
                </c:pt>
                <c:pt idx="3147">
                  <c:v>56.17986610117711</c:v>
                </c:pt>
                <c:pt idx="3148">
                  <c:v>56.208462317083104</c:v>
                </c:pt>
                <c:pt idx="3149">
                  <c:v>56.237058532989096</c:v>
                </c:pt>
                <c:pt idx="3150">
                  <c:v>56.26565474889509</c:v>
                </c:pt>
                <c:pt idx="3151">
                  <c:v>56.29425096480108</c:v>
                </c:pt>
                <c:pt idx="3152">
                  <c:v>56.322847180707065</c:v>
                </c:pt>
                <c:pt idx="3153">
                  <c:v>56.35144339661305</c:v>
                </c:pt>
                <c:pt idx="3154">
                  <c:v>56.38003961251904</c:v>
                </c:pt>
                <c:pt idx="3155">
                  <c:v>56.408635828425034</c:v>
                </c:pt>
                <c:pt idx="3156">
                  <c:v>56.437232044331026</c:v>
                </c:pt>
                <c:pt idx="3157">
                  <c:v>56.46582826023702</c:v>
                </c:pt>
                <c:pt idx="3158">
                  <c:v>56.494424476143</c:v>
                </c:pt>
                <c:pt idx="3159">
                  <c:v>56.523020692048995</c:v>
                </c:pt>
                <c:pt idx="3160">
                  <c:v>56.55161690795498</c:v>
                </c:pt>
                <c:pt idx="3161">
                  <c:v>56.58021312386097</c:v>
                </c:pt>
                <c:pt idx="3162">
                  <c:v>56.608809339766964</c:v>
                </c:pt>
                <c:pt idx="3163">
                  <c:v>56.637405555672956</c:v>
                </c:pt>
                <c:pt idx="3164">
                  <c:v>56.66600177157894</c:v>
                </c:pt>
                <c:pt idx="3165">
                  <c:v>56.69459798748493</c:v>
                </c:pt>
                <c:pt idx="3166">
                  <c:v>56.72319420339092</c:v>
                </c:pt>
                <c:pt idx="3167">
                  <c:v>56.75179041929691</c:v>
                </c:pt>
                <c:pt idx="3168">
                  <c:v>56.7803866352029</c:v>
                </c:pt>
                <c:pt idx="3169">
                  <c:v>56.808982851108894</c:v>
                </c:pt>
                <c:pt idx="3170">
                  <c:v>56.837579067014886</c:v>
                </c:pt>
                <c:pt idx="3171">
                  <c:v>56.86617528292087</c:v>
                </c:pt>
                <c:pt idx="3172">
                  <c:v>56.894771498826856</c:v>
                </c:pt>
                <c:pt idx="3173">
                  <c:v>56.92336771473285</c:v>
                </c:pt>
                <c:pt idx="3174">
                  <c:v>56.95196393063884</c:v>
                </c:pt>
                <c:pt idx="3175">
                  <c:v>56.98056014654483</c:v>
                </c:pt>
                <c:pt idx="3176">
                  <c:v>57.009156362450824</c:v>
                </c:pt>
                <c:pt idx="3177">
                  <c:v>57.03775257835681</c:v>
                </c:pt>
                <c:pt idx="3178">
                  <c:v>57.0663487942628</c:v>
                </c:pt>
                <c:pt idx="3179">
                  <c:v>57.094945010168786</c:v>
                </c:pt>
                <c:pt idx="3180">
                  <c:v>57.12354122607478</c:v>
                </c:pt>
                <c:pt idx="3181">
                  <c:v>57.15213744198077</c:v>
                </c:pt>
                <c:pt idx="3182">
                  <c:v>57.18073365788676</c:v>
                </c:pt>
                <c:pt idx="3183">
                  <c:v>57.20932987379275</c:v>
                </c:pt>
                <c:pt idx="3184">
                  <c:v>57.23792608969874</c:v>
                </c:pt>
                <c:pt idx="3185">
                  <c:v>57.266522305604724</c:v>
                </c:pt>
                <c:pt idx="3186">
                  <c:v>57.29511852151072</c:v>
                </c:pt>
                <c:pt idx="3187">
                  <c:v>57.32371473741671</c:v>
                </c:pt>
                <c:pt idx="3188">
                  <c:v>57.3523109533227</c:v>
                </c:pt>
                <c:pt idx="3189">
                  <c:v>57.38090716922869</c:v>
                </c:pt>
                <c:pt idx="3190">
                  <c:v>57.40950338513468</c:v>
                </c:pt>
                <c:pt idx="3191">
                  <c:v>57.43809960104067</c:v>
                </c:pt>
                <c:pt idx="3192">
                  <c:v>57.466695816946654</c:v>
                </c:pt>
                <c:pt idx="3193">
                  <c:v>57.49529203285265</c:v>
                </c:pt>
                <c:pt idx="3194">
                  <c:v>57.52388824875864</c:v>
                </c:pt>
                <c:pt idx="3195">
                  <c:v>57.55248446466463</c:v>
                </c:pt>
                <c:pt idx="3196">
                  <c:v>57.581080680570615</c:v>
                </c:pt>
                <c:pt idx="3197">
                  <c:v>57.60967689647661</c:v>
                </c:pt>
                <c:pt idx="3198">
                  <c:v>57.638273112382606</c:v>
                </c:pt>
                <c:pt idx="3199">
                  <c:v>57.66686932828859</c:v>
                </c:pt>
                <c:pt idx="3200">
                  <c:v>57.69546554419458</c:v>
                </c:pt>
                <c:pt idx="3201">
                  <c:v>57.72406176010057</c:v>
                </c:pt>
                <c:pt idx="3202">
                  <c:v>57.75265797600655</c:v>
                </c:pt>
                <c:pt idx="3203">
                  <c:v>57.781254191912545</c:v>
                </c:pt>
                <c:pt idx="3204">
                  <c:v>57.80985040781853</c:v>
                </c:pt>
                <c:pt idx="3205">
                  <c:v>57.83844662372453</c:v>
                </c:pt>
                <c:pt idx="3206">
                  <c:v>57.86704283963052</c:v>
                </c:pt>
                <c:pt idx="3207">
                  <c:v>57.895639055536506</c:v>
                </c:pt>
                <c:pt idx="3208">
                  <c:v>57.9242352714425</c:v>
                </c:pt>
                <c:pt idx="3209">
                  <c:v>57.95283148734848</c:v>
                </c:pt>
                <c:pt idx="3210">
                  <c:v>57.98142770325448</c:v>
                </c:pt>
                <c:pt idx="3211">
                  <c:v>58.01002391916046</c:v>
                </c:pt>
                <c:pt idx="3212">
                  <c:v>58.03862013506646</c:v>
                </c:pt>
                <c:pt idx="3213">
                  <c:v>58.067216350972444</c:v>
                </c:pt>
                <c:pt idx="3214">
                  <c:v>58.095812566878436</c:v>
                </c:pt>
                <c:pt idx="3215">
                  <c:v>58.12440878278442</c:v>
                </c:pt>
                <c:pt idx="3216">
                  <c:v>58.15300499869041</c:v>
                </c:pt>
                <c:pt idx="3217">
                  <c:v>58.18160121459641</c:v>
                </c:pt>
                <c:pt idx="3218">
                  <c:v>58.2101974305024</c:v>
                </c:pt>
                <c:pt idx="3219">
                  <c:v>58.23879364640839</c:v>
                </c:pt>
                <c:pt idx="3220">
                  <c:v>58.267389862314374</c:v>
                </c:pt>
                <c:pt idx="3221">
                  <c:v>58.29598607822036</c:v>
                </c:pt>
                <c:pt idx="3222">
                  <c:v>58.32458229412635</c:v>
                </c:pt>
                <c:pt idx="3223">
                  <c:v>58.353178510032336</c:v>
                </c:pt>
                <c:pt idx="3224">
                  <c:v>58.381774725938335</c:v>
                </c:pt>
                <c:pt idx="3225">
                  <c:v>58.41037094184433</c:v>
                </c:pt>
                <c:pt idx="3226">
                  <c:v>58.43896715775031</c:v>
                </c:pt>
                <c:pt idx="3227">
                  <c:v>58.467563373656304</c:v>
                </c:pt>
                <c:pt idx="3228">
                  <c:v>58.49615958956229</c:v>
                </c:pt>
                <c:pt idx="3229">
                  <c:v>58.52475580546829</c:v>
                </c:pt>
                <c:pt idx="3230">
                  <c:v>58.553352021374266</c:v>
                </c:pt>
                <c:pt idx="3231">
                  <c:v>58.581948237280265</c:v>
                </c:pt>
                <c:pt idx="3232">
                  <c:v>58.61054445318625</c:v>
                </c:pt>
                <c:pt idx="3233">
                  <c:v>58.63914066909224</c:v>
                </c:pt>
                <c:pt idx="3234">
                  <c:v>58.66773688499823</c:v>
                </c:pt>
                <c:pt idx="3235">
                  <c:v>58.69633310090422</c:v>
                </c:pt>
                <c:pt idx="3236">
                  <c:v>58.72492931681022</c:v>
                </c:pt>
                <c:pt idx="3237">
                  <c:v>58.7535255327162</c:v>
                </c:pt>
                <c:pt idx="3238">
                  <c:v>58.782121748622195</c:v>
                </c:pt>
                <c:pt idx="3239">
                  <c:v>58.81071796452818</c:v>
                </c:pt>
                <c:pt idx="3240">
                  <c:v>58.839314180434165</c:v>
                </c:pt>
                <c:pt idx="3241">
                  <c:v>58.86791039634016</c:v>
                </c:pt>
                <c:pt idx="3242">
                  <c:v>58.89650661224614</c:v>
                </c:pt>
                <c:pt idx="3243">
                  <c:v>58.92510282815214</c:v>
                </c:pt>
                <c:pt idx="3244">
                  <c:v>58.95369904405813</c:v>
                </c:pt>
                <c:pt idx="3245">
                  <c:v>58.98229525996412</c:v>
                </c:pt>
                <c:pt idx="3246">
                  <c:v>59.01089147587011</c:v>
                </c:pt>
                <c:pt idx="3247">
                  <c:v>59.039487691776095</c:v>
                </c:pt>
                <c:pt idx="3248">
                  <c:v>59.068083907682094</c:v>
                </c:pt>
                <c:pt idx="3249">
                  <c:v>59.09668012358807</c:v>
                </c:pt>
                <c:pt idx="3250">
                  <c:v>59.12527633949407</c:v>
                </c:pt>
                <c:pt idx="3251">
                  <c:v>59.153872555400056</c:v>
                </c:pt>
                <c:pt idx="3252">
                  <c:v>59.18246877130605</c:v>
                </c:pt>
                <c:pt idx="3253">
                  <c:v>59.21106498721205</c:v>
                </c:pt>
                <c:pt idx="3254">
                  <c:v>59.23966120311803</c:v>
                </c:pt>
                <c:pt idx="3255">
                  <c:v>59.268257419024025</c:v>
                </c:pt>
                <c:pt idx="3256">
                  <c:v>59.29685363493001</c:v>
                </c:pt>
                <c:pt idx="3257">
                  <c:v>59.325449850836</c:v>
                </c:pt>
                <c:pt idx="3258">
                  <c:v>59.35404606674199</c:v>
                </c:pt>
                <c:pt idx="3259">
                  <c:v>59.38264228264797</c:v>
                </c:pt>
                <c:pt idx="3260">
                  <c:v>59.41123849855398</c:v>
                </c:pt>
                <c:pt idx="3261">
                  <c:v>59.43983471445996</c:v>
                </c:pt>
                <c:pt idx="3262">
                  <c:v>59.46843093036595</c:v>
                </c:pt>
                <c:pt idx="3263">
                  <c:v>59.49702714627194</c:v>
                </c:pt>
                <c:pt idx="3264">
                  <c:v>59.45398096398909</c:v>
                </c:pt>
                <c:pt idx="3265">
                  <c:v>59.41096056025055</c:v>
                </c:pt>
                <c:pt idx="3266">
                  <c:v>59.36796590098223</c:v>
                </c:pt>
                <c:pt idx="3267">
                  <c:v>59.32499695216391</c:v>
                </c:pt>
                <c:pt idx="3268">
                  <c:v>59.2820536798291</c:v>
                </c:pt>
                <c:pt idx="3269">
                  <c:v>59.23913605006492</c:v>
                </c:pt>
                <c:pt idx="3270">
                  <c:v>59.19624402901204</c:v>
                </c:pt>
                <c:pt idx="3271">
                  <c:v>59.15337758286452</c:v>
                </c:pt>
                <c:pt idx="3272">
                  <c:v>59.11053667786971</c:v>
                </c:pt>
                <c:pt idx="3273">
                  <c:v>59.06772128032814</c:v>
                </c:pt>
                <c:pt idx="3274">
                  <c:v>59.02493135659344</c:v>
                </c:pt>
                <c:pt idx="3275">
                  <c:v>58.98216687307218</c:v>
                </c:pt>
                <c:pt idx="3276">
                  <c:v>58.93942779622379</c:v>
                </c:pt>
                <c:pt idx="3277">
                  <c:v>58.89671409256048</c:v>
                </c:pt>
                <c:pt idx="3278">
                  <c:v>58.854025728647066</c:v>
                </c:pt>
                <c:pt idx="3279">
                  <c:v>58.8113626711009</c:v>
                </c:pt>
                <c:pt idx="3280">
                  <c:v>58.768724886591784</c:v>
                </c:pt>
                <c:pt idx="3281">
                  <c:v>58.72611234184179</c:v>
                </c:pt>
                <c:pt idx="3282">
                  <c:v>58.683525003625256</c:v>
                </c:pt>
                <c:pt idx="3283">
                  <c:v>58.64096283876859</c:v>
                </c:pt>
                <c:pt idx="3284">
                  <c:v>58.64096283876859</c:v>
                </c:pt>
                <c:pt idx="3285">
                  <c:v>58.667561635220125</c:v>
                </c:pt>
                <c:pt idx="3286">
                  <c:v>58.69416043167166</c:v>
                </c:pt>
                <c:pt idx="3287">
                  <c:v>58.7207592281232</c:v>
                </c:pt>
                <c:pt idx="3288">
                  <c:v>58.747358024574744</c:v>
                </c:pt>
                <c:pt idx="3289">
                  <c:v>58.77395682102628</c:v>
                </c:pt>
                <c:pt idx="3290">
                  <c:v>58.80055561747782</c:v>
                </c:pt>
                <c:pt idx="3291">
                  <c:v>58.82715441392936</c:v>
                </c:pt>
                <c:pt idx="3292">
                  <c:v>58.853753210380894</c:v>
                </c:pt>
                <c:pt idx="3293">
                  <c:v>58.88035200683243</c:v>
                </c:pt>
                <c:pt idx="3294">
                  <c:v>58.90695080328397</c:v>
                </c:pt>
                <c:pt idx="3295">
                  <c:v>58.93354959973552</c:v>
                </c:pt>
                <c:pt idx="3296">
                  <c:v>58.96014839618706</c:v>
                </c:pt>
                <c:pt idx="3297">
                  <c:v>58.986747192638596</c:v>
                </c:pt>
                <c:pt idx="3298">
                  <c:v>59.01334598909013</c:v>
                </c:pt>
                <c:pt idx="3299">
                  <c:v>59.03994478554167</c:v>
                </c:pt>
                <c:pt idx="3300">
                  <c:v>59.06654358199321</c:v>
                </c:pt>
                <c:pt idx="3301">
                  <c:v>59.093142378444746</c:v>
                </c:pt>
                <c:pt idx="3302">
                  <c:v>59.119741174896284</c:v>
                </c:pt>
                <c:pt idx="3303">
                  <c:v>59.146339971347835</c:v>
                </c:pt>
                <c:pt idx="3304">
                  <c:v>59.17293876779937</c:v>
                </c:pt>
                <c:pt idx="3305">
                  <c:v>59.19953756425091</c:v>
                </c:pt>
                <c:pt idx="3306">
                  <c:v>59.22613636070245</c:v>
                </c:pt>
                <c:pt idx="3307">
                  <c:v>59.252735157153985</c:v>
                </c:pt>
                <c:pt idx="3308">
                  <c:v>59.27933395360552</c:v>
                </c:pt>
                <c:pt idx="3309">
                  <c:v>59.30593275005706</c:v>
                </c:pt>
                <c:pt idx="3310">
                  <c:v>59.33253154650861</c:v>
                </c:pt>
                <c:pt idx="3311">
                  <c:v>59.35913034296015</c:v>
                </c:pt>
                <c:pt idx="3312">
                  <c:v>59.38572913941169</c:v>
                </c:pt>
                <c:pt idx="3313">
                  <c:v>59.412327935863225</c:v>
                </c:pt>
                <c:pt idx="3314">
                  <c:v>59.43892673231476</c:v>
                </c:pt>
                <c:pt idx="3315">
                  <c:v>59.4655255287663</c:v>
                </c:pt>
                <c:pt idx="3316">
                  <c:v>59.49212432521784</c:v>
                </c:pt>
                <c:pt idx="3317">
                  <c:v>59.51872312166939</c:v>
                </c:pt>
                <c:pt idx="3318">
                  <c:v>59.545321918120926</c:v>
                </c:pt>
                <c:pt idx="3319">
                  <c:v>59.571920714572464</c:v>
                </c:pt>
                <c:pt idx="3320">
                  <c:v>59.598519511024</c:v>
                </c:pt>
                <c:pt idx="3321">
                  <c:v>59.62511830747554</c:v>
                </c:pt>
                <c:pt idx="3322">
                  <c:v>59.651717103927076</c:v>
                </c:pt>
                <c:pt idx="3323">
                  <c:v>59.678315900378614</c:v>
                </c:pt>
                <c:pt idx="3324">
                  <c:v>59.70491469683015</c:v>
                </c:pt>
                <c:pt idx="3325">
                  <c:v>59.731513493281696</c:v>
                </c:pt>
                <c:pt idx="3326">
                  <c:v>59.75811228973323</c:v>
                </c:pt>
                <c:pt idx="3327">
                  <c:v>59.78471108618477</c:v>
                </c:pt>
                <c:pt idx="3328">
                  <c:v>59.81130988263631</c:v>
                </c:pt>
                <c:pt idx="3329">
                  <c:v>59.837908679087846</c:v>
                </c:pt>
                <c:pt idx="3330">
                  <c:v>59.864507475539384</c:v>
                </c:pt>
                <c:pt idx="3331">
                  <c:v>59.89110627199092</c:v>
                </c:pt>
                <c:pt idx="3332">
                  <c:v>59.91770506844247</c:v>
                </c:pt>
                <c:pt idx="3333">
                  <c:v>59.94430386489401</c:v>
                </c:pt>
                <c:pt idx="3334">
                  <c:v>59.97090266134555</c:v>
                </c:pt>
                <c:pt idx="3335">
                  <c:v>59.997501457797085</c:v>
                </c:pt>
                <c:pt idx="3336">
                  <c:v>60.02410025424862</c:v>
                </c:pt>
                <c:pt idx="3337">
                  <c:v>60.05069905070016</c:v>
                </c:pt>
                <c:pt idx="3338">
                  <c:v>60.0772978471517</c:v>
                </c:pt>
                <c:pt idx="3339">
                  <c:v>60.10389664360325</c:v>
                </c:pt>
                <c:pt idx="3340">
                  <c:v>60.13049544005479</c:v>
                </c:pt>
                <c:pt idx="3341">
                  <c:v>60.157094236506325</c:v>
                </c:pt>
                <c:pt idx="3342">
                  <c:v>60.18369303295786</c:v>
                </c:pt>
                <c:pt idx="3343">
                  <c:v>60.2102918294094</c:v>
                </c:pt>
                <c:pt idx="3344">
                  <c:v>60.23689062586094</c:v>
                </c:pt>
                <c:pt idx="3345">
                  <c:v>60.263489422312475</c:v>
                </c:pt>
                <c:pt idx="3346">
                  <c:v>60.290088218764026</c:v>
                </c:pt>
                <c:pt idx="3347">
                  <c:v>60.316687015215564</c:v>
                </c:pt>
                <c:pt idx="3348">
                  <c:v>60.3432858116671</c:v>
                </c:pt>
                <c:pt idx="3349">
                  <c:v>60.36988460811864</c:v>
                </c:pt>
                <c:pt idx="3350">
                  <c:v>60.396483404570176</c:v>
                </c:pt>
                <c:pt idx="3351">
                  <c:v>60.423082201021714</c:v>
                </c:pt>
                <c:pt idx="3352">
                  <c:v>60.44968099747325</c:v>
                </c:pt>
                <c:pt idx="3353">
                  <c:v>60.47627979392479</c:v>
                </c:pt>
                <c:pt idx="3354">
                  <c:v>60.50287859037634</c:v>
                </c:pt>
                <c:pt idx="3355">
                  <c:v>60.52947738682788</c:v>
                </c:pt>
                <c:pt idx="3356">
                  <c:v>60.556076183279416</c:v>
                </c:pt>
                <c:pt idx="3357">
                  <c:v>60.58267497973095</c:v>
                </c:pt>
                <c:pt idx="3358">
                  <c:v>60.60927377618249</c:v>
                </c:pt>
                <c:pt idx="3359">
                  <c:v>60.63587257263403</c:v>
                </c:pt>
                <c:pt idx="3360">
                  <c:v>60.662471369085566</c:v>
                </c:pt>
                <c:pt idx="3361">
                  <c:v>60.68907016553711</c:v>
                </c:pt>
                <c:pt idx="3362">
                  <c:v>60.71566896198865</c:v>
                </c:pt>
                <c:pt idx="3363">
                  <c:v>60.742267758440185</c:v>
                </c:pt>
                <c:pt idx="3364">
                  <c:v>60.76886655489172</c:v>
                </c:pt>
                <c:pt idx="3365">
                  <c:v>60.79546535134326</c:v>
                </c:pt>
                <c:pt idx="3366">
                  <c:v>60.8220641477948</c:v>
                </c:pt>
                <c:pt idx="3367">
                  <c:v>60.848662944246335</c:v>
                </c:pt>
                <c:pt idx="3368">
                  <c:v>60.87526174069789</c:v>
                </c:pt>
                <c:pt idx="3369">
                  <c:v>60.901860537149425</c:v>
                </c:pt>
                <c:pt idx="3370">
                  <c:v>60.92845933360096</c:v>
                </c:pt>
                <c:pt idx="3371">
                  <c:v>60.9550581300525</c:v>
                </c:pt>
                <c:pt idx="3372">
                  <c:v>60.98165692650404</c:v>
                </c:pt>
                <c:pt idx="3373">
                  <c:v>61.008255722955575</c:v>
                </c:pt>
                <c:pt idx="3374">
                  <c:v>61.03485451940711</c:v>
                </c:pt>
                <c:pt idx="3375">
                  <c:v>61.061453315858664</c:v>
                </c:pt>
                <c:pt idx="3376">
                  <c:v>61.0880521123102</c:v>
                </c:pt>
                <c:pt idx="3377">
                  <c:v>61.11465090876174</c:v>
                </c:pt>
                <c:pt idx="3378">
                  <c:v>61.141249705213276</c:v>
                </c:pt>
                <c:pt idx="3379">
                  <c:v>61.167848501664814</c:v>
                </c:pt>
                <c:pt idx="3380">
                  <c:v>61.19444729811635</c:v>
                </c:pt>
                <c:pt idx="3381">
                  <c:v>61.22104609456789</c:v>
                </c:pt>
                <c:pt idx="3382">
                  <c:v>61.247644891019426</c:v>
                </c:pt>
                <c:pt idx="3383">
                  <c:v>61.27424368747098</c:v>
                </c:pt>
                <c:pt idx="3384">
                  <c:v>61.300842483922516</c:v>
                </c:pt>
                <c:pt idx="3385">
                  <c:v>61.32744128037405</c:v>
                </c:pt>
                <c:pt idx="3386">
                  <c:v>61.35404007682559</c:v>
                </c:pt>
                <c:pt idx="3387">
                  <c:v>61.38063887327713</c:v>
                </c:pt>
                <c:pt idx="3388">
                  <c:v>61.407237669728666</c:v>
                </c:pt>
                <c:pt idx="3389">
                  <c:v>61.4338364661802</c:v>
                </c:pt>
                <c:pt idx="3390">
                  <c:v>61.460435262631755</c:v>
                </c:pt>
                <c:pt idx="3391">
                  <c:v>61.48703405908329</c:v>
                </c:pt>
                <c:pt idx="3392">
                  <c:v>61.51363285553483</c:v>
                </c:pt>
                <c:pt idx="3393">
                  <c:v>61.54023165198637</c:v>
                </c:pt>
                <c:pt idx="3394">
                  <c:v>61.566830448437905</c:v>
                </c:pt>
                <c:pt idx="3395">
                  <c:v>61.59342924488944</c:v>
                </c:pt>
                <c:pt idx="3396">
                  <c:v>61.62002804134098</c:v>
                </c:pt>
                <c:pt idx="3397">
                  <c:v>61.646626837792525</c:v>
                </c:pt>
                <c:pt idx="3398">
                  <c:v>61.67322563424406</c:v>
                </c:pt>
                <c:pt idx="3399">
                  <c:v>61.6998244306956</c:v>
                </c:pt>
                <c:pt idx="3400">
                  <c:v>61.72642322714714</c:v>
                </c:pt>
                <c:pt idx="3401">
                  <c:v>61.753022023598675</c:v>
                </c:pt>
                <c:pt idx="3402">
                  <c:v>61.77962082005021</c:v>
                </c:pt>
                <c:pt idx="3403">
                  <c:v>61.80621961650175</c:v>
                </c:pt>
                <c:pt idx="3404">
                  <c:v>61.83281841295329</c:v>
                </c:pt>
                <c:pt idx="3405">
                  <c:v>61.85941720940484</c:v>
                </c:pt>
                <c:pt idx="3406">
                  <c:v>61.886016005856376</c:v>
                </c:pt>
                <c:pt idx="3407">
                  <c:v>61.912614802307914</c:v>
                </c:pt>
                <c:pt idx="3408">
                  <c:v>61.93921359875945</c:v>
                </c:pt>
                <c:pt idx="3409">
                  <c:v>61.96581239521099</c:v>
                </c:pt>
                <c:pt idx="3410">
                  <c:v>61.99241119166253</c:v>
                </c:pt>
                <c:pt idx="3411">
                  <c:v>62.019009988114064</c:v>
                </c:pt>
                <c:pt idx="3412">
                  <c:v>62.045608784565616</c:v>
                </c:pt>
                <c:pt idx="3413">
                  <c:v>62.07220758101715</c:v>
                </c:pt>
                <c:pt idx="3414">
                  <c:v>62.09880637746869</c:v>
                </c:pt>
                <c:pt idx="3415">
                  <c:v>62.12540517392023</c:v>
                </c:pt>
                <c:pt idx="3416">
                  <c:v>62.152003970371766</c:v>
                </c:pt>
                <c:pt idx="3417">
                  <c:v>62.1786027668233</c:v>
                </c:pt>
                <c:pt idx="3418">
                  <c:v>62.20520156327484</c:v>
                </c:pt>
                <c:pt idx="3419">
                  <c:v>62.23180035972639</c:v>
                </c:pt>
                <c:pt idx="3420">
                  <c:v>62.25839915617793</c:v>
                </c:pt>
                <c:pt idx="3421">
                  <c:v>62.28499795262947</c:v>
                </c:pt>
                <c:pt idx="3422">
                  <c:v>62.311596749081005</c:v>
                </c:pt>
                <c:pt idx="3423">
                  <c:v>62.33819554553254</c:v>
                </c:pt>
                <c:pt idx="3424">
                  <c:v>62.36479434198408</c:v>
                </c:pt>
                <c:pt idx="3425">
                  <c:v>62.39139313843562</c:v>
                </c:pt>
                <c:pt idx="3426">
                  <c:v>62.417991934887155</c:v>
                </c:pt>
                <c:pt idx="3427">
                  <c:v>62.44459073133871</c:v>
                </c:pt>
                <c:pt idx="3428">
                  <c:v>62.471189527790244</c:v>
                </c:pt>
                <c:pt idx="3429">
                  <c:v>62.49778832424178</c:v>
                </c:pt>
                <c:pt idx="3430">
                  <c:v>62.52438712069332</c:v>
                </c:pt>
                <c:pt idx="3431">
                  <c:v>62.55098591714486</c:v>
                </c:pt>
                <c:pt idx="3432">
                  <c:v>62.577584713596394</c:v>
                </c:pt>
                <c:pt idx="3433">
                  <c:v>62.60418351004794</c:v>
                </c:pt>
                <c:pt idx="3434">
                  <c:v>62.630782306499476</c:v>
                </c:pt>
                <c:pt idx="3435">
                  <c:v>62.657381102951014</c:v>
                </c:pt>
                <c:pt idx="3436">
                  <c:v>62.68397989940255</c:v>
                </c:pt>
                <c:pt idx="3437">
                  <c:v>62.71057869585409</c:v>
                </c:pt>
                <c:pt idx="3438">
                  <c:v>62.73717749230563</c:v>
                </c:pt>
                <c:pt idx="3439">
                  <c:v>62.763776288757164</c:v>
                </c:pt>
                <c:pt idx="3440">
                  <c:v>62.7903750852087</c:v>
                </c:pt>
                <c:pt idx="3441">
                  <c:v>62.81697388166025</c:v>
                </c:pt>
                <c:pt idx="3442">
                  <c:v>62.84357267811179</c:v>
                </c:pt>
                <c:pt idx="3443">
                  <c:v>62.87017147456333</c:v>
                </c:pt>
                <c:pt idx="3444">
                  <c:v>62.896770271014866</c:v>
                </c:pt>
                <c:pt idx="3445">
                  <c:v>62.9233690674664</c:v>
                </c:pt>
                <c:pt idx="3446">
                  <c:v>62.94996786391794</c:v>
                </c:pt>
                <c:pt idx="3447">
                  <c:v>62.97656666036948</c:v>
                </c:pt>
                <c:pt idx="3448">
                  <c:v>63.00316545682103</c:v>
                </c:pt>
                <c:pt idx="3449">
                  <c:v>63.02976425327257</c:v>
                </c:pt>
                <c:pt idx="3450">
                  <c:v>63.056363049724105</c:v>
                </c:pt>
                <c:pt idx="3451">
                  <c:v>63.08296184617564</c:v>
                </c:pt>
                <c:pt idx="3452">
                  <c:v>63.10956064262718</c:v>
                </c:pt>
                <c:pt idx="3453">
                  <c:v>63.13615943907872</c:v>
                </c:pt>
                <c:pt idx="3454">
                  <c:v>63.162758235530255</c:v>
                </c:pt>
                <c:pt idx="3455">
                  <c:v>63.18935703198179</c:v>
                </c:pt>
                <c:pt idx="3456">
                  <c:v>63.215955828433344</c:v>
                </c:pt>
                <c:pt idx="3457">
                  <c:v>63.24255462488488</c:v>
                </c:pt>
                <c:pt idx="3458">
                  <c:v>63.26915342133642</c:v>
                </c:pt>
                <c:pt idx="3459">
                  <c:v>63.29575221778796</c:v>
                </c:pt>
                <c:pt idx="3460">
                  <c:v>63.322351014239494</c:v>
                </c:pt>
                <c:pt idx="3461">
                  <c:v>63.34894981069103</c:v>
                </c:pt>
                <c:pt idx="3462">
                  <c:v>63.37554860714258</c:v>
                </c:pt>
                <c:pt idx="3463">
                  <c:v>63.40214740359412</c:v>
                </c:pt>
                <c:pt idx="3464">
                  <c:v>63.42874620004566</c:v>
                </c:pt>
                <c:pt idx="3465">
                  <c:v>63.455344996497196</c:v>
                </c:pt>
                <c:pt idx="3466">
                  <c:v>63.481943792948734</c:v>
                </c:pt>
                <c:pt idx="3467">
                  <c:v>63.50854258940027</c:v>
                </c:pt>
                <c:pt idx="3468">
                  <c:v>63.53514138585181</c:v>
                </c:pt>
                <c:pt idx="3469">
                  <c:v>63.561740182303346</c:v>
                </c:pt>
                <c:pt idx="3470">
                  <c:v>63.58833897875489</c:v>
                </c:pt>
                <c:pt idx="3471">
                  <c:v>63.61493777520643</c:v>
                </c:pt>
                <c:pt idx="3472">
                  <c:v>63.641536571657966</c:v>
                </c:pt>
                <c:pt idx="3473">
                  <c:v>63.6681353681095</c:v>
                </c:pt>
                <c:pt idx="3474">
                  <c:v>63.69473416456104</c:v>
                </c:pt>
                <c:pt idx="3475">
                  <c:v>63.72133296101258</c:v>
                </c:pt>
                <c:pt idx="3476">
                  <c:v>63.747931757464116</c:v>
                </c:pt>
                <c:pt idx="3477">
                  <c:v>63.77453055391567</c:v>
                </c:pt>
                <c:pt idx="3478">
                  <c:v>63.801129350367205</c:v>
                </c:pt>
                <c:pt idx="3479">
                  <c:v>63.82772814681874</c:v>
                </c:pt>
                <c:pt idx="3480">
                  <c:v>63.85432694327028</c:v>
                </c:pt>
                <c:pt idx="3481">
                  <c:v>63.88092573972182</c:v>
                </c:pt>
                <c:pt idx="3482">
                  <c:v>63.907524536173355</c:v>
                </c:pt>
                <c:pt idx="3483">
                  <c:v>63.93412333262489</c:v>
                </c:pt>
                <c:pt idx="3484">
                  <c:v>63.96072212907643</c:v>
                </c:pt>
                <c:pt idx="3485">
                  <c:v>63.98732092552798</c:v>
                </c:pt>
                <c:pt idx="3486">
                  <c:v>64.01391972197952</c:v>
                </c:pt>
                <c:pt idx="3487">
                  <c:v>64.04051851843106</c:v>
                </c:pt>
                <c:pt idx="3488">
                  <c:v>64.0671173148826</c:v>
                </c:pt>
                <c:pt idx="3489">
                  <c:v>64.09371611133413</c:v>
                </c:pt>
                <c:pt idx="3490">
                  <c:v>64.12031490778567</c:v>
                </c:pt>
                <c:pt idx="3491">
                  <c:v>64.14691370423722</c:v>
                </c:pt>
                <c:pt idx="3492">
                  <c:v>64.17351250068876</c:v>
                </c:pt>
                <c:pt idx="3493">
                  <c:v>64.2001112971403</c:v>
                </c:pt>
                <c:pt idx="3494">
                  <c:v>64.22671009359183</c:v>
                </c:pt>
                <c:pt idx="3495">
                  <c:v>64.25330889004337</c:v>
                </c:pt>
                <c:pt idx="3496">
                  <c:v>64.27990768649491</c:v>
                </c:pt>
                <c:pt idx="3497">
                  <c:v>64.30650648294645</c:v>
                </c:pt>
                <c:pt idx="3498">
                  <c:v>64.33310527939798</c:v>
                </c:pt>
                <c:pt idx="3499">
                  <c:v>64.35970407584954</c:v>
                </c:pt>
                <c:pt idx="3500">
                  <c:v>64.38630287230107</c:v>
                </c:pt>
                <c:pt idx="3501">
                  <c:v>64.41290166875261</c:v>
                </c:pt>
                <c:pt idx="3502">
                  <c:v>64.43950046520415</c:v>
                </c:pt>
                <c:pt idx="3503">
                  <c:v>64.46609926165569</c:v>
                </c:pt>
                <c:pt idx="3504">
                  <c:v>64.49269805810722</c:v>
                </c:pt>
                <c:pt idx="3505">
                  <c:v>64.51929685455876</c:v>
                </c:pt>
                <c:pt idx="3506">
                  <c:v>64.54589565101031</c:v>
                </c:pt>
                <c:pt idx="3507">
                  <c:v>64.57249444746185</c:v>
                </c:pt>
                <c:pt idx="3508">
                  <c:v>64.59909324391339</c:v>
                </c:pt>
                <c:pt idx="3509">
                  <c:v>64.62569204036492</c:v>
                </c:pt>
                <c:pt idx="3510">
                  <c:v>64.65229083681646</c:v>
                </c:pt>
                <c:pt idx="3511">
                  <c:v>64.678889633268</c:v>
                </c:pt>
                <c:pt idx="3512">
                  <c:v>64.70548842971954</c:v>
                </c:pt>
                <c:pt idx="3513">
                  <c:v>64.73208722617107</c:v>
                </c:pt>
                <c:pt idx="3514">
                  <c:v>64.75868602262263</c:v>
                </c:pt>
                <c:pt idx="3515">
                  <c:v>64.78528481907416</c:v>
                </c:pt>
                <c:pt idx="3516">
                  <c:v>64.8118836155257</c:v>
                </c:pt>
                <c:pt idx="3517">
                  <c:v>64.83848241197724</c:v>
                </c:pt>
                <c:pt idx="3518">
                  <c:v>64.86508120842878</c:v>
                </c:pt>
                <c:pt idx="3519">
                  <c:v>64.89168000488031</c:v>
                </c:pt>
                <c:pt idx="3520">
                  <c:v>64.91827880133187</c:v>
                </c:pt>
                <c:pt idx="3521">
                  <c:v>64.9448775977834</c:v>
                </c:pt>
                <c:pt idx="3522">
                  <c:v>64.97147639423494</c:v>
                </c:pt>
                <c:pt idx="3523">
                  <c:v>64.99807519068648</c:v>
                </c:pt>
                <c:pt idx="3524">
                  <c:v>65.02467398713802</c:v>
                </c:pt>
                <c:pt idx="3525">
                  <c:v>65.05127278358955</c:v>
                </c:pt>
                <c:pt idx="3526">
                  <c:v>65.07787158004109</c:v>
                </c:pt>
                <c:pt idx="3527">
                  <c:v>65.10447037649263</c:v>
                </c:pt>
                <c:pt idx="3528">
                  <c:v>65.13106917294417</c:v>
                </c:pt>
                <c:pt idx="3529">
                  <c:v>65.1576679693957</c:v>
                </c:pt>
                <c:pt idx="3530">
                  <c:v>65.18426676584724</c:v>
                </c:pt>
                <c:pt idx="3531">
                  <c:v>65.21086556229878</c:v>
                </c:pt>
                <c:pt idx="3532">
                  <c:v>65.23746435875032</c:v>
                </c:pt>
                <c:pt idx="3533">
                  <c:v>65.26406315520185</c:v>
                </c:pt>
                <c:pt idx="3534">
                  <c:v>65.29066195165339</c:v>
                </c:pt>
                <c:pt idx="3535">
                  <c:v>65.31726074810494</c:v>
                </c:pt>
                <c:pt idx="3536">
                  <c:v>65.34385954455648</c:v>
                </c:pt>
                <c:pt idx="3537">
                  <c:v>65.37045834100802</c:v>
                </c:pt>
                <c:pt idx="3538">
                  <c:v>65.39705713745956</c:v>
                </c:pt>
                <c:pt idx="3539">
                  <c:v>65.42365593391109</c:v>
                </c:pt>
                <c:pt idx="3540">
                  <c:v>65.45025473036263</c:v>
                </c:pt>
                <c:pt idx="3541">
                  <c:v>65.47685352681417</c:v>
                </c:pt>
                <c:pt idx="3542">
                  <c:v>65.5034523232657</c:v>
                </c:pt>
                <c:pt idx="3543">
                  <c:v>65.53005111971726</c:v>
                </c:pt>
                <c:pt idx="3544">
                  <c:v>65.5566499161688</c:v>
                </c:pt>
                <c:pt idx="3545">
                  <c:v>65.58324871262033</c:v>
                </c:pt>
                <c:pt idx="3546">
                  <c:v>65.60984750907187</c:v>
                </c:pt>
                <c:pt idx="3547">
                  <c:v>65.6364463055234</c:v>
                </c:pt>
                <c:pt idx="3548">
                  <c:v>65.66304510197494</c:v>
                </c:pt>
                <c:pt idx="3549">
                  <c:v>65.68964389842648</c:v>
                </c:pt>
                <c:pt idx="3550">
                  <c:v>65.71624269487803</c:v>
                </c:pt>
                <c:pt idx="3551">
                  <c:v>65.74284149132957</c:v>
                </c:pt>
                <c:pt idx="3552">
                  <c:v>65.76944028778111</c:v>
                </c:pt>
                <c:pt idx="3553">
                  <c:v>65.79603908423265</c:v>
                </c:pt>
                <c:pt idx="3554">
                  <c:v>65.82263788068418</c:v>
                </c:pt>
                <c:pt idx="3555">
                  <c:v>65.84923667713572</c:v>
                </c:pt>
                <c:pt idx="3556">
                  <c:v>65.87583547358726</c:v>
                </c:pt>
                <c:pt idx="3557">
                  <c:v>65.9024342700388</c:v>
                </c:pt>
                <c:pt idx="3558">
                  <c:v>65.92903306649035</c:v>
                </c:pt>
                <c:pt idx="3559">
                  <c:v>65.95563186294189</c:v>
                </c:pt>
                <c:pt idx="3560">
                  <c:v>65.98223065939342</c:v>
                </c:pt>
                <c:pt idx="3561">
                  <c:v>66.00882945584496</c:v>
                </c:pt>
                <c:pt idx="3562">
                  <c:v>66.0354282522965</c:v>
                </c:pt>
                <c:pt idx="3563">
                  <c:v>66.06202704874804</c:v>
                </c:pt>
                <c:pt idx="3564">
                  <c:v>66.08862584519959</c:v>
                </c:pt>
                <c:pt idx="3565">
                  <c:v>66.11522464165112</c:v>
                </c:pt>
                <c:pt idx="3566">
                  <c:v>66.14182343810266</c:v>
                </c:pt>
                <c:pt idx="3567">
                  <c:v>66.1684222345542</c:v>
                </c:pt>
                <c:pt idx="3568">
                  <c:v>66.19502103100574</c:v>
                </c:pt>
                <c:pt idx="3569">
                  <c:v>66.22161982745727</c:v>
                </c:pt>
                <c:pt idx="3570">
                  <c:v>66.24821862390881</c:v>
                </c:pt>
                <c:pt idx="3571">
                  <c:v>66.27481742036035</c:v>
                </c:pt>
                <c:pt idx="3572">
                  <c:v>66.3014162168119</c:v>
                </c:pt>
                <c:pt idx="3573">
                  <c:v>66.32801501326344</c:v>
                </c:pt>
                <c:pt idx="3574">
                  <c:v>66.35461380971498</c:v>
                </c:pt>
                <c:pt idx="3575">
                  <c:v>66.38121260616651</c:v>
                </c:pt>
                <c:pt idx="3576">
                  <c:v>66.40781140261805</c:v>
                </c:pt>
                <c:pt idx="3577">
                  <c:v>66.43441019906959</c:v>
                </c:pt>
                <c:pt idx="3578">
                  <c:v>66.46100899552113</c:v>
                </c:pt>
                <c:pt idx="3579">
                  <c:v>66.48760779197268</c:v>
                </c:pt>
                <c:pt idx="3580">
                  <c:v>66.51420658842422</c:v>
                </c:pt>
                <c:pt idx="3581">
                  <c:v>66.54080538487575</c:v>
                </c:pt>
                <c:pt idx="3582">
                  <c:v>66.56740418132729</c:v>
                </c:pt>
                <c:pt idx="3583">
                  <c:v>66.59400297777883</c:v>
                </c:pt>
                <c:pt idx="3584">
                  <c:v>66.62060177423037</c:v>
                </c:pt>
                <c:pt idx="3585">
                  <c:v>66.6472005706819</c:v>
                </c:pt>
                <c:pt idx="3586">
                  <c:v>66.67379936713344</c:v>
                </c:pt>
                <c:pt idx="3587">
                  <c:v>66.70039816358499</c:v>
                </c:pt>
                <c:pt idx="3588">
                  <c:v>66.72699696003653</c:v>
                </c:pt>
                <c:pt idx="3589">
                  <c:v>66.75359575648807</c:v>
                </c:pt>
                <c:pt idx="3590">
                  <c:v>66.7801945529396</c:v>
                </c:pt>
                <c:pt idx="3591">
                  <c:v>66.80679334939114</c:v>
                </c:pt>
                <c:pt idx="3592">
                  <c:v>66.83339214584268</c:v>
                </c:pt>
                <c:pt idx="3593">
                  <c:v>66.85999094229423</c:v>
                </c:pt>
                <c:pt idx="3594">
                  <c:v>66.88658973874577</c:v>
                </c:pt>
                <c:pt idx="3595">
                  <c:v>66.9131885351973</c:v>
                </c:pt>
                <c:pt idx="3596">
                  <c:v>66.93978733164884</c:v>
                </c:pt>
                <c:pt idx="3597">
                  <c:v>66.96638612810038</c:v>
                </c:pt>
                <c:pt idx="3598">
                  <c:v>66.99298492455192</c:v>
                </c:pt>
                <c:pt idx="3599">
                  <c:v>67.01958372100346</c:v>
                </c:pt>
                <c:pt idx="3600">
                  <c:v>67.046182517455</c:v>
                </c:pt>
                <c:pt idx="3601">
                  <c:v>67.07278131390653</c:v>
                </c:pt>
                <c:pt idx="3602">
                  <c:v>67.09938011035807</c:v>
                </c:pt>
                <c:pt idx="3603">
                  <c:v>67.1259789068096</c:v>
                </c:pt>
                <c:pt idx="3604">
                  <c:v>67.15257770326114</c:v>
                </c:pt>
                <c:pt idx="3605">
                  <c:v>67.17917649971268</c:v>
                </c:pt>
                <c:pt idx="3606">
                  <c:v>67.20577529616422</c:v>
                </c:pt>
                <c:pt idx="3607">
                  <c:v>67.23237409261576</c:v>
                </c:pt>
                <c:pt idx="3608">
                  <c:v>67.25897288906731</c:v>
                </c:pt>
                <c:pt idx="3609">
                  <c:v>67.28557168551885</c:v>
                </c:pt>
                <c:pt idx="3610">
                  <c:v>67.31217048197038</c:v>
                </c:pt>
                <c:pt idx="3611">
                  <c:v>67.33876927842192</c:v>
                </c:pt>
                <c:pt idx="3612">
                  <c:v>67.36536807487346</c:v>
                </c:pt>
                <c:pt idx="3613">
                  <c:v>67.391966871325</c:v>
                </c:pt>
                <c:pt idx="3614">
                  <c:v>67.41856566777653</c:v>
                </c:pt>
                <c:pt idx="3615">
                  <c:v>67.44516446422807</c:v>
                </c:pt>
                <c:pt idx="3616">
                  <c:v>67.47176326067962</c:v>
                </c:pt>
                <c:pt idx="3617">
                  <c:v>67.49836205713116</c:v>
                </c:pt>
                <c:pt idx="3618">
                  <c:v>67.5249608535827</c:v>
                </c:pt>
                <c:pt idx="3619">
                  <c:v>67.55155965003424</c:v>
                </c:pt>
                <c:pt idx="3620">
                  <c:v>67.57815844648577</c:v>
                </c:pt>
                <c:pt idx="3621">
                  <c:v>67.60475724293731</c:v>
                </c:pt>
                <c:pt idx="3622">
                  <c:v>67.63135603938886</c:v>
                </c:pt>
                <c:pt idx="3623">
                  <c:v>67.6579548358404</c:v>
                </c:pt>
                <c:pt idx="3624">
                  <c:v>67.68455363229194</c:v>
                </c:pt>
                <c:pt idx="3625">
                  <c:v>67.71115242874347</c:v>
                </c:pt>
                <c:pt idx="3626">
                  <c:v>67.73775122519501</c:v>
                </c:pt>
                <c:pt idx="3627">
                  <c:v>67.76435002164655</c:v>
                </c:pt>
                <c:pt idx="3628">
                  <c:v>67.79094881809809</c:v>
                </c:pt>
                <c:pt idx="3629">
                  <c:v>67.81754761454962</c:v>
                </c:pt>
                <c:pt idx="3630">
                  <c:v>67.84414641100118</c:v>
                </c:pt>
                <c:pt idx="3631">
                  <c:v>67.87074520745271</c:v>
                </c:pt>
                <c:pt idx="3632">
                  <c:v>67.89734400390425</c:v>
                </c:pt>
                <c:pt idx="3633">
                  <c:v>67.92394280035579</c:v>
                </c:pt>
                <c:pt idx="3634">
                  <c:v>67.95054159680733</c:v>
                </c:pt>
                <c:pt idx="3635">
                  <c:v>67.97714039325886</c:v>
                </c:pt>
                <c:pt idx="3636">
                  <c:v>68.0037391897104</c:v>
                </c:pt>
                <c:pt idx="3637">
                  <c:v>68.03033798616195</c:v>
                </c:pt>
                <c:pt idx="3638">
                  <c:v>68.05693678261349</c:v>
                </c:pt>
                <c:pt idx="3639">
                  <c:v>68.08353557906503</c:v>
                </c:pt>
                <c:pt idx="3640">
                  <c:v>68.11013437551657</c:v>
                </c:pt>
                <c:pt idx="3641">
                  <c:v>68.1367331719681</c:v>
                </c:pt>
                <c:pt idx="3642">
                  <c:v>68.16333196841964</c:v>
                </c:pt>
                <c:pt idx="3643">
                  <c:v>68.18993076487118</c:v>
                </c:pt>
                <c:pt idx="3644">
                  <c:v>68.21652956132272</c:v>
                </c:pt>
                <c:pt idx="3645">
                  <c:v>68.24312835777427</c:v>
                </c:pt>
                <c:pt idx="3646">
                  <c:v>68.2697271542258</c:v>
                </c:pt>
                <c:pt idx="3647">
                  <c:v>68.29632595067734</c:v>
                </c:pt>
                <c:pt idx="3648">
                  <c:v>68.32292474712888</c:v>
                </c:pt>
                <c:pt idx="3649">
                  <c:v>68.34952354358042</c:v>
                </c:pt>
                <c:pt idx="3650">
                  <c:v>68.37612234003196</c:v>
                </c:pt>
                <c:pt idx="3651">
                  <c:v>68.40272113648349</c:v>
                </c:pt>
                <c:pt idx="3652">
                  <c:v>68.42931993293504</c:v>
                </c:pt>
                <c:pt idx="3653">
                  <c:v>68.45591872938658</c:v>
                </c:pt>
                <c:pt idx="3654">
                  <c:v>68.48251752583812</c:v>
                </c:pt>
                <c:pt idx="3655">
                  <c:v>68.50911632228966</c:v>
                </c:pt>
                <c:pt idx="3656">
                  <c:v>68.5357151187412</c:v>
                </c:pt>
                <c:pt idx="3657">
                  <c:v>68.56231391519273</c:v>
                </c:pt>
                <c:pt idx="3658">
                  <c:v>68.58891271164427</c:v>
                </c:pt>
                <c:pt idx="3659">
                  <c:v>68.6155115080958</c:v>
                </c:pt>
                <c:pt idx="3660">
                  <c:v>68.64211030454736</c:v>
                </c:pt>
                <c:pt idx="3661">
                  <c:v>68.6687091009989</c:v>
                </c:pt>
                <c:pt idx="3662">
                  <c:v>68.69530789745043</c:v>
                </c:pt>
                <c:pt idx="3663">
                  <c:v>68.72190669390197</c:v>
                </c:pt>
                <c:pt idx="3664">
                  <c:v>68.74850549035351</c:v>
                </c:pt>
                <c:pt idx="3665">
                  <c:v>68.77510428680505</c:v>
                </c:pt>
                <c:pt idx="3666">
                  <c:v>68.8017030832566</c:v>
                </c:pt>
                <c:pt idx="3667">
                  <c:v>68.82830187970814</c:v>
                </c:pt>
                <c:pt idx="3668">
                  <c:v>68.85490067615967</c:v>
                </c:pt>
                <c:pt idx="3669">
                  <c:v>68.88149947261121</c:v>
                </c:pt>
                <c:pt idx="3670">
                  <c:v>68.90809826906275</c:v>
                </c:pt>
                <c:pt idx="3671">
                  <c:v>68.93469706551429</c:v>
                </c:pt>
                <c:pt idx="3672">
                  <c:v>68.96129586196582</c:v>
                </c:pt>
                <c:pt idx="3673">
                  <c:v>68.98789465841736</c:v>
                </c:pt>
                <c:pt idx="3674">
                  <c:v>69.0144934548689</c:v>
                </c:pt>
                <c:pt idx="3675">
                  <c:v>69.04109225132044</c:v>
                </c:pt>
                <c:pt idx="3676">
                  <c:v>69.06769104777197</c:v>
                </c:pt>
                <c:pt idx="3677">
                  <c:v>69.09428984422351</c:v>
                </c:pt>
                <c:pt idx="3678">
                  <c:v>69.12088864067505</c:v>
                </c:pt>
                <c:pt idx="3679">
                  <c:v>69.14748743712659</c:v>
                </c:pt>
                <c:pt idx="3680">
                  <c:v>69.17408623357812</c:v>
                </c:pt>
                <c:pt idx="3681">
                  <c:v>69.20068503002967</c:v>
                </c:pt>
                <c:pt idx="3682">
                  <c:v>69.22728382648121</c:v>
                </c:pt>
                <c:pt idx="3683">
                  <c:v>69.25388262293275</c:v>
                </c:pt>
                <c:pt idx="3684">
                  <c:v>69.28048141938429</c:v>
                </c:pt>
                <c:pt idx="3685">
                  <c:v>69.30708021583582</c:v>
                </c:pt>
                <c:pt idx="3686">
                  <c:v>69.33367901228736</c:v>
                </c:pt>
                <c:pt idx="3687">
                  <c:v>69.3602778087389</c:v>
                </c:pt>
                <c:pt idx="3688">
                  <c:v>69.38687660519044</c:v>
                </c:pt>
                <c:pt idx="3689">
                  <c:v>69.41347540164199</c:v>
                </c:pt>
                <c:pt idx="3690">
                  <c:v>69.44007419809353</c:v>
                </c:pt>
                <c:pt idx="3691">
                  <c:v>69.46667299454506</c:v>
                </c:pt>
                <c:pt idx="3692">
                  <c:v>69.4932717909966</c:v>
                </c:pt>
                <c:pt idx="3693">
                  <c:v>69.51987058744814</c:v>
                </c:pt>
                <c:pt idx="3694">
                  <c:v>69.54646938389968</c:v>
                </c:pt>
                <c:pt idx="3695">
                  <c:v>69.57306818035123</c:v>
                </c:pt>
                <c:pt idx="3696">
                  <c:v>69.59966697680277</c:v>
                </c:pt>
                <c:pt idx="3697">
                  <c:v>69.6262657732543</c:v>
                </c:pt>
                <c:pt idx="3698">
                  <c:v>69.65286456970584</c:v>
                </c:pt>
                <c:pt idx="3699">
                  <c:v>69.67946336615738</c:v>
                </c:pt>
                <c:pt idx="3700">
                  <c:v>69.70606216260892</c:v>
                </c:pt>
                <c:pt idx="3701">
                  <c:v>69.73266095906045</c:v>
                </c:pt>
                <c:pt idx="3702">
                  <c:v>69.75925975551199</c:v>
                </c:pt>
                <c:pt idx="3703">
                  <c:v>69.78585855196354</c:v>
                </c:pt>
                <c:pt idx="3704">
                  <c:v>69.81245734841508</c:v>
                </c:pt>
                <c:pt idx="3705">
                  <c:v>69.83905614486662</c:v>
                </c:pt>
                <c:pt idx="3706">
                  <c:v>69.86565494131816</c:v>
                </c:pt>
                <c:pt idx="3707">
                  <c:v>69.89225373776969</c:v>
                </c:pt>
                <c:pt idx="3708">
                  <c:v>69.91885253422123</c:v>
                </c:pt>
                <c:pt idx="3709">
                  <c:v>69.94545133067277</c:v>
                </c:pt>
                <c:pt idx="3710">
                  <c:v>69.97205012712432</c:v>
                </c:pt>
                <c:pt idx="3711">
                  <c:v>69.99864892357586</c:v>
                </c:pt>
                <c:pt idx="3712">
                  <c:v>70.0252477200274</c:v>
                </c:pt>
                <c:pt idx="3713">
                  <c:v>70.05184651647893</c:v>
                </c:pt>
                <c:pt idx="3714">
                  <c:v>70.07844531293047</c:v>
                </c:pt>
                <c:pt idx="3715">
                  <c:v>70.105044109382</c:v>
                </c:pt>
                <c:pt idx="3716">
                  <c:v>70.13164290583354</c:v>
                </c:pt>
                <c:pt idx="3717">
                  <c:v>70.15824170228508</c:v>
                </c:pt>
                <c:pt idx="3718">
                  <c:v>70.18484049873663</c:v>
                </c:pt>
                <c:pt idx="3719">
                  <c:v>70.21143929518817</c:v>
                </c:pt>
                <c:pt idx="3720">
                  <c:v>70.23803809163971</c:v>
                </c:pt>
                <c:pt idx="3721">
                  <c:v>70.26463688809125</c:v>
                </c:pt>
                <c:pt idx="3722">
                  <c:v>70.29123568454278</c:v>
                </c:pt>
                <c:pt idx="3723">
                  <c:v>70.31783448099432</c:v>
                </c:pt>
                <c:pt idx="3724">
                  <c:v>70.34443327744587</c:v>
                </c:pt>
                <c:pt idx="3725">
                  <c:v>70.37103207389741</c:v>
                </c:pt>
                <c:pt idx="3726">
                  <c:v>70.39763087034895</c:v>
                </c:pt>
                <c:pt idx="3727">
                  <c:v>70.42422966680049</c:v>
                </c:pt>
                <c:pt idx="3728">
                  <c:v>70.45082846325202</c:v>
                </c:pt>
                <c:pt idx="3729">
                  <c:v>70.47742725970356</c:v>
                </c:pt>
                <c:pt idx="3730">
                  <c:v>70.5040260561551</c:v>
                </c:pt>
                <c:pt idx="3731">
                  <c:v>70.53062485260664</c:v>
                </c:pt>
                <c:pt idx="3732">
                  <c:v>70.55722364905819</c:v>
                </c:pt>
                <c:pt idx="3733">
                  <c:v>70.58382244550972</c:v>
                </c:pt>
                <c:pt idx="3734">
                  <c:v>70.61042124196126</c:v>
                </c:pt>
                <c:pt idx="3735">
                  <c:v>70.6370200384128</c:v>
                </c:pt>
                <c:pt idx="3736">
                  <c:v>70.66361883486434</c:v>
                </c:pt>
                <c:pt idx="3737">
                  <c:v>70.69021763131587</c:v>
                </c:pt>
                <c:pt idx="3738">
                  <c:v>70.71681642776741</c:v>
                </c:pt>
                <c:pt idx="3739">
                  <c:v>70.74341522421896</c:v>
                </c:pt>
                <c:pt idx="3740">
                  <c:v>70.7700140206705</c:v>
                </c:pt>
                <c:pt idx="3741">
                  <c:v>70.79661281712204</c:v>
                </c:pt>
                <c:pt idx="3742">
                  <c:v>70.82321161357358</c:v>
                </c:pt>
                <c:pt idx="3743">
                  <c:v>70.84981041002511</c:v>
                </c:pt>
                <c:pt idx="3744">
                  <c:v>70.87640920647665</c:v>
                </c:pt>
                <c:pt idx="3745">
                  <c:v>70.90300800292819</c:v>
                </c:pt>
                <c:pt idx="3746">
                  <c:v>70.92960679937973</c:v>
                </c:pt>
                <c:pt idx="3747">
                  <c:v>70.95620559583126</c:v>
                </c:pt>
                <c:pt idx="3748">
                  <c:v>70.9828043922828</c:v>
                </c:pt>
                <c:pt idx="3749">
                  <c:v>71.00940318873434</c:v>
                </c:pt>
                <c:pt idx="3750">
                  <c:v>71.03600198518588</c:v>
                </c:pt>
                <c:pt idx="3751">
                  <c:v>71.06260078163741</c:v>
                </c:pt>
                <c:pt idx="3752">
                  <c:v>71.08919957808895</c:v>
                </c:pt>
                <c:pt idx="3753">
                  <c:v>71.1157983745405</c:v>
                </c:pt>
                <c:pt idx="3754">
                  <c:v>71.14239717099204</c:v>
                </c:pt>
                <c:pt idx="3755">
                  <c:v>71.16899596744358</c:v>
                </c:pt>
                <c:pt idx="3756">
                  <c:v>71.19559476389512</c:v>
                </c:pt>
                <c:pt idx="3757">
                  <c:v>71.22219356034665</c:v>
                </c:pt>
                <c:pt idx="3758">
                  <c:v>71.24879235679819</c:v>
                </c:pt>
                <c:pt idx="3759">
                  <c:v>71.27539115324973</c:v>
                </c:pt>
                <c:pt idx="3760">
                  <c:v>71.30198994970127</c:v>
                </c:pt>
                <c:pt idx="3761">
                  <c:v>71.32858874615282</c:v>
                </c:pt>
                <c:pt idx="3762">
                  <c:v>71.35518754260436</c:v>
                </c:pt>
                <c:pt idx="3763">
                  <c:v>71.38178633905589</c:v>
                </c:pt>
                <c:pt idx="3764">
                  <c:v>71.40838513550743</c:v>
                </c:pt>
                <c:pt idx="3765">
                  <c:v>71.43498393195897</c:v>
                </c:pt>
                <c:pt idx="3766">
                  <c:v>71.4615827284105</c:v>
                </c:pt>
                <c:pt idx="3767">
                  <c:v>71.48818152486204</c:v>
                </c:pt>
                <c:pt idx="3768">
                  <c:v>71.5147803213136</c:v>
                </c:pt>
                <c:pt idx="3769">
                  <c:v>71.54137911776513</c:v>
                </c:pt>
                <c:pt idx="3770">
                  <c:v>71.56797791421667</c:v>
                </c:pt>
                <c:pt idx="3771">
                  <c:v>71.5945767106682</c:v>
                </c:pt>
                <c:pt idx="3772">
                  <c:v>71.62117550711974</c:v>
                </c:pt>
                <c:pt idx="3773">
                  <c:v>71.64777430357128</c:v>
                </c:pt>
                <c:pt idx="3774">
                  <c:v>71.67437310002282</c:v>
                </c:pt>
                <c:pt idx="3775">
                  <c:v>71.70097189647436</c:v>
                </c:pt>
                <c:pt idx="3776">
                  <c:v>71.72757069292591</c:v>
                </c:pt>
                <c:pt idx="3777">
                  <c:v>71.75416948937745</c:v>
                </c:pt>
                <c:pt idx="3778">
                  <c:v>71.78076828582898</c:v>
                </c:pt>
                <c:pt idx="3779">
                  <c:v>71.80736708228052</c:v>
                </c:pt>
                <c:pt idx="3780">
                  <c:v>71.83396587873206</c:v>
                </c:pt>
                <c:pt idx="3781">
                  <c:v>71.8605646751836</c:v>
                </c:pt>
                <c:pt idx="3782">
                  <c:v>71.88716347163515</c:v>
                </c:pt>
                <c:pt idx="3783">
                  <c:v>71.91376226808669</c:v>
                </c:pt>
                <c:pt idx="3784">
                  <c:v>71.94036106453822</c:v>
                </c:pt>
                <c:pt idx="3785">
                  <c:v>71.96695986098976</c:v>
                </c:pt>
                <c:pt idx="3786">
                  <c:v>71.9935586574413</c:v>
                </c:pt>
                <c:pt idx="3787">
                  <c:v>72.02015745389284</c:v>
                </c:pt>
                <c:pt idx="3788">
                  <c:v>72.04675625034437</c:v>
                </c:pt>
                <c:pt idx="3789">
                  <c:v>72.07335504679591</c:v>
                </c:pt>
                <c:pt idx="3790">
                  <c:v>72.09995384324746</c:v>
                </c:pt>
                <c:pt idx="3791">
                  <c:v>72.126552639699</c:v>
                </c:pt>
                <c:pt idx="3792">
                  <c:v>72.15315143615054</c:v>
                </c:pt>
                <c:pt idx="3793">
                  <c:v>72.17975023260207</c:v>
                </c:pt>
                <c:pt idx="3794">
                  <c:v>72.20634902905361</c:v>
                </c:pt>
                <c:pt idx="3795">
                  <c:v>72.23294782550515</c:v>
                </c:pt>
                <c:pt idx="3796">
                  <c:v>72.25954662195669</c:v>
                </c:pt>
                <c:pt idx="3797">
                  <c:v>72.28614541840824</c:v>
                </c:pt>
                <c:pt idx="3798">
                  <c:v>72.31274421485978</c:v>
                </c:pt>
                <c:pt idx="3799">
                  <c:v>72.33934301131131</c:v>
                </c:pt>
                <c:pt idx="3800">
                  <c:v>72.36594180776285</c:v>
                </c:pt>
                <c:pt idx="3801">
                  <c:v>72.39254060421439</c:v>
                </c:pt>
                <c:pt idx="3802">
                  <c:v>72.41913940066593</c:v>
                </c:pt>
                <c:pt idx="3803">
                  <c:v>72.44573819711746</c:v>
                </c:pt>
                <c:pt idx="3804">
                  <c:v>72.472336993569</c:v>
                </c:pt>
                <c:pt idx="3805">
                  <c:v>72.49893579002055</c:v>
                </c:pt>
                <c:pt idx="3806">
                  <c:v>72.52553458647209</c:v>
                </c:pt>
                <c:pt idx="3807">
                  <c:v>72.55213338292363</c:v>
                </c:pt>
                <c:pt idx="3808">
                  <c:v>72.57873217937517</c:v>
                </c:pt>
                <c:pt idx="3809">
                  <c:v>72.6053309758267</c:v>
                </c:pt>
                <c:pt idx="3810">
                  <c:v>72.63192977227824</c:v>
                </c:pt>
                <c:pt idx="3811">
                  <c:v>72.65852856872979</c:v>
                </c:pt>
                <c:pt idx="3812">
                  <c:v>72.68512736518133</c:v>
                </c:pt>
                <c:pt idx="3813">
                  <c:v>72.71172616163287</c:v>
                </c:pt>
                <c:pt idx="3814">
                  <c:v>72.7383249580844</c:v>
                </c:pt>
                <c:pt idx="3815">
                  <c:v>72.76492375453594</c:v>
                </c:pt>
                <c:pt idx="3816">
                  <c:v>72.79152255098748</c:v>
                </c:pt>
                <c:pt idx="3817">
                  <c:v>72.81812134743902</c:v>
                </c:pt>
                <c:pt idx="3818">
                  <c:v>72.84472014389056</c:v>
                </c:pt>
                <c:pt idx="3819">
                  <c:v>72.87131894034209</c:v>
                </c:pt>
                <c:pt idx="3820">
                  <c:v>72.89791773679363</c:v>
                </c:pt>
                <c:pt idx="3821">
                  <c:v>72.92451653324517</c:v>
                </c:pt>
                <c:pt idx="3822">
                  <c:v>72.9511153296967</c:v>
                </c:pt>
                <c:pt idx="3823">
                  <c:v>72.97771412614824</c:v>
                </c:pt>
                <c:pt idx="3824">
                  <c:v>73.00431292259978</c:v>
                </c:pt>
                <c:pt idx="3825">
                  <c:v>73.03091171905132</c:v>
                </c:pt>
                <c:pt idx="3826">
                  <c:v>73.05751051550287</c:v>
                </c:pt>
                <c:pt idx="3827">
                  <c:v>73.0841093119544</c:v>
                </c:pt>
                <c:pt idx="3828">
                  <c:v>73.11070810840594</c:v>
                </c:pt>
                <c:pt idx="3829">
                  <c:v>73.13730690485748</c:v>
                </c:pt>
                <c:pt idx="3830">
                  <c:v>73.16390570130902</c:v>
                </c:pt>
                <c:pt idx="3831">
                  <c:v>73.19050449776056</c:v>
                </c:pt>
                <c:pt idx="3832">
                  <c:v>73.2171032942121</c:v>
                </c:pt>
                <c:pt idx="3833">
                  <c:v>73.24370209066363</c:v>
                </c:pt>
                <c:pt idx="3834">
                  <c:v>73.27030088711518</c:v>
                </c:pt>
                <c:pt idx="3835">
                  <c:v>73.29689968356672</c:v>
                </c:pt>
                <c:pt idx="3836">
                  <c:v>73.32349848001826</c:v>
                </c:pt>
                <c:pt idx="3837">
                  <c:v>73.3500972764698</c:v>
                </c:pt>
                <c:pt idx="3838">
                  <c:v>73.37669607292133</c:v>
                </c:pt>
                <c:pt idx="3839">
                  <c:v>73.40329486937287</c:v>
                </c:pt>
                <c:pt idx="3840">
                  <c:v>73.42989366582442</c:v>
                </c:pt>
                <c:pt idx="3841">
                  <c:v>73.45649246227596</c:v>
                </c:pt>
                <c:pt idx="3842">
                  <c:v>73.4830912587275</c:v>
                </c:pt>
                <c:pt idx="3843">
                  <c:v>73.50969005517904</c:v>
                </c:pt>
                <c:pt idx="3844">
                  <c:v>73.53628885163057</c:v>
                </c:pt>
                <c:pt idx="3845">
                  <c:v>73.56288764808211</c:v>
                </c:pt>
                <c:pt idx="3846">
                  <c:v>73.58948644453365</c:v>
                </c:pt>
                <c:pt idx="3847">
                  <c:v>73.61608524098519</c:v>
                </c:pt>
                <c:pt idx="3848">
                  <c:v>73.64268403743672</c:v>
                </c:pt>
                <c:pt idx="3849">
                  <c:v>73.66928283388827</c:v>
                </c:pt>
                <c:pt idx="3850">
                  <c:v>73.69588163033981</c:v>
                </c:pt>
                <c:pt idx="3851">
                  <c:v>73.72248042679135</c:v>
                </c:pt>
                <c:pt idx="3852">
                  <c:v>73.74907922324289</c:v>
                </c:pt>
                <c:pt idx="3853">
                  <c:v>73.77567801969442</c:v>
                </c:pt>
                <c:pt idx="3854">
                  <c:v>73.80227681614598</c:v>
                </c:pt>
                <c:pt idx="3855">
                  <c:v>73.82887561259751</c:v>
                </c:pt>
                <c:pt idx="3856">
                  <c:v>73.85547440904905</c:v>
                </c:pt>
                <c:pt idx="3857">
                  <c:v>73.88207320550059</c:v>
                </c:pt>
                <c:pt idx="3858">
                  <c:v>73.90867200195213</c:v>
                </c:pt>
                <c:pt idx="3859">
                  <c:v>73.93527079840366</c:v>
                </c:pt>
                <c:pt idx="3860">
                  <c:v>73.9618695948552</c:v>
                </c:pt>
                <c:pt idx="3861">
                  <c:v>73.98846839130674</c:v>
                </c:pt>
                <c:pt idx="3862">
                  <c:v>74.01506718775828</c:v>
                </c:pt>
                <c:pt idx="3863">
                  <c:v>74.04166598420983</c:v>
                </c:pt>
                <c:pt idx="3864">
                  <c:v>74.06826478066137</c:v>
                </c:pt>
                <c:pt idx="3865">
                  <c:v>74.0948635771129</c:v>
                </c:pt>
                <c:pt idx="3866">
                  <c:v>74.12146237356444</c:v>
                </c:pt>
                <c:pt idx="3867">
                  <c:v>74.14806117001598</c:v>
                </c:pt>
                <c:pt idx="3868">
                  <c:v>74.17465996646752</c:v>
                </c:pt>
                <c:pt idx="3869">
                  <c:v>74.20125876291907</c:v>
                </c:pt>
                <c:pt idx="3870">
                  <c:v>74.2278575593706</c:v>
                </c:pt>
                <c:pt idx="3871">
                  <c:v>74.25445635582214</c:v>
                </c:pt>
                <c:pt idx="3872">
                  <c:v>74.28105515227368</c:v>
                </c:pt>
                <c:pt idx="3873">
                  <c:v>74.30765394872522</c:v>
                </c:pt>
                <c:pt idx="3874">
                  <c:v>74.33425274517676</c:v>
                </c:pt>
                <c:pt idx="3875">
                  <c:v>74.36085154162829</c:v>
                </c:pt>
                <c:pt idx="3876">
                  <c:v>74.38745033807983</c:v>
                </c:pt>
                <c:pt idx="3877">
                  <c:v>74.41404913453137</c:v>
                </c:pt>
                <c:pt idx="3878">
                  <c:v>74.4406479309829</c:v>
                </c:pt>
                <c:pt idx="3879">
                  <c:v>74.46724672743446</c:v>
                </c:pt>
                <c:pt idx="3880">
                  <c:v>74.493845523886</c:v>
                </c:pt>
                <c:pt idx="3881">
                  <c:v>74.52044432033753</c:v>
                </c:pt>
                <c:pt idx="3882">
                  <c:v>74.54704311678907</c:v>
                </c:pt>
                <c:pt idx="3883">
                  <c:v>74.57364191324062</c:v>
                </c:pt>
                <c:pt idx="3884">
                  <c:v>74.60024070969216</c:v>
                </c:pt>
                <c:pt idx="3885">
                  <c:v>74.6268395061437</c:v>
                </c:pt>
                <c:pt idx="3886">
                  <c:v>74.65343830259523</c:v>
                </c:pt>
                <c:pt idx="3887">
                  <c:v>74.68003709904677</c:v>
                </c:pt>
                <c:pt idx="3888">
                  <c:v>74.70663589549831</c:v>
                </c:pt>
                <c:pt idx="3889">
                  <c:v>74.73323469194985</c:v>
                </c:pt>
                <c:pt idx="3890">
                  <c:v>74.75983348840138</c:v>
                </c:pt>
                <c:pt idx="3891">
                  <c:v>74.78643228485292</c:v>
                </c:pt>
                <c:pt idx="3892">
                  <c:v>74.81303108130446</c:v>
                </c:pt>
                <c:pt idx="3893">
                  <c:v>74.839629877756</c:v>
                </c:pt>
                <c:pt idx="3894">
                  <c:v>74.86622867420753</c:v>
                </c:pt>
                <c:pt idx="3895">
                  <c:v>74.89282747065907</c:v>
                </c:pt>
                <c:pt idx="3896">
                  <c:v>74.91942626711061</c:v>
                </c:pt>
                <c:pt idx="3897">
                  <c:v>74.94602506356215</c:v>
                </c:pt>
                <c:pt idx="3898">
                  <c:v>74.9726238600137</c:v>
                </c:pt>
                <c:pt idx="3899">
                  <c:v>74.99922265646524</c:v>
                </c:pt>
                <c:pt idx="3900">
                  <c:v>75.02582145291677</c:v>
                </c:pt>
                <c:pt idx="3901">
                  <c:v>75.05242024936831</c:v>
                </c:pt>
                <c:pt idx="3902">
                  <c:v>75.07901904581985</c:v>
                </c:pt>
                <c:pt idx="3903">
                  <c:v>75.10561784227139</c:v>
                </c:pt>
                <c:pt idx="3904">
                  <c:v>75.13221663872292</c:v>
                </c:pt>
                <c:pt idx="3905">
                  <c:v>75.15881543517446</c:v>
                </c:pt>
                <c:pt idx="3906">
                  <c:v>75.185414231626</c:v>
                </c:pt>
                <c:pt idx="3907">
                  <c:v>75.21201302807754</c:v>
                </c:pt>
                <c:pt idx="3908">
                  <c:v>75.23861182452909</c:v>
                </c:pt>
                <c:pt idx="3909">
                  <c:v>75.26521062098062</c:v>
                </c:pt>
                <c:pt idx="3910">
                  <c:v>75.29180941743216</c:v>
                </c:pt>
                <c:pt idx="3911">
                  <c:v>75.3184082138837</c:v>
                </c:pt>
                <c:pt idx="3912">
                  <c:v>75.34500701033525</c:v>
                </c:pt>
                <c:pt idx="3913">
                  <c:v>75.37160580678679</c:v>
                </c:pt>
                <c:pt idx="3914">
                  <c:v>75.39820460323833</c:v>
                </c:pt>
                <c:pt idx="3915">
                  <c:v>75.42480339968986</c:v>
                </c:pt>
                <c:pt idx="3916">
                  <c:v>75.4514021961414</c:v>
                </c:pt>
                <c:pt idx="3917">
                  <c:v>75.47800099259294</c:v>
                </c:pt>
                <c:pt idx="3918">
                  <c:v>75.50459978904448</c:v>
                </c:pt>
                <c:pt idx="3919">
                  <c:v>75.53119858549601</c:v>
                </c:pt>
                <c:pt idx="3920">
                  <c:v>75.55779738194755</c:v>
                </c:pt>
                <c:pt idx="3921">
                  <c:v>75.58439617839909</c:v>
                </c:pt>
                <c:pt idx="3922">
                  <c:v>75.61099497485064</c:v>
                </c:pt>
                <c:pt idx="3923">
                  <c:v>75.63759377130218</c:v>
                </c:pt>
                <c:pt idx="3924">
                  <c:v>75.66419256775372</c:v>
                </c:pt>
                <c:pt idx="3925">
                  <c:v>75.69079136420525</c:v>
                </c:pt>
                <c:pt idx="3926">
                  <c:v>75.71739016065679</c:v>
                </c:pt>
                <c:pt idx="3927">
                  <c:v>75.74398895710834</c:v>
                </c:pt>
                <c:pt idx="3928">
                  <c:v>75.77058775355988</c:v>
                </c:pt>
                <c:pt idx="3929">
                  <c:v>75.79718655001142</c:v>
                </c:pt>
                <c:pt idx="3930">
                  <c:v>75.82378534646296</c:v>
                </c:pt>
                <c:pt idx="3931">
                  <c:v>75.85038414291449</c:v>
                </c:pt>
                <c:pt idx="3932">
                  <c:v>75.87698293936603</c:v>
                </c:pt>
                <c:pt idx="3933">
                  <c:v>75.90358173581757</c:v>
                </c:pt>
                <c:pt idx="3934">
                  <c:v>75.9301805322691</c:v>
                </c:pt>
                <c:pt idx="3935">
                  <c:v>75.95677932872064</c:v>
                </c:pt>
                <c:pt idx="3936">
                  <c:v>75.98337812517218</c:v>
                </c:pt>
                <c:pt idx="3937">
                  <c:v>76.00997692162373</c:v>
                </c:pt>
                <c:pt idx="3938">
                  <c:v>76.03657571807527</c:v>
                </c:pt>
                <c:pt idx="3939">
                  <c:v>76.0631745145268</c:v>
                </c:pt>
                <c:pt idx="3940">
                  <c:v>76.08977331097834</c:v>
                </c:pt>
                <c:pt idx="3941">
                  <c:v>76.1163721074299</c:v>
                </c:pt>
                <c:pt idx="3942">
                  <c:v>76.14297090388143</c:v>
                </c:pt>
                <c:pt idx="3943">
                  <c:v>76.16956970033297</c:v>
                </c:pt>
                <c:pt idx="3944">
                  <c:v>76.19616849678451</c:v>
                </c:pt>
                <c:pt idx="3945">
                  <c:v>76.22276729323605</c:v>
                </c:pt>
                <c:pt idx="3946">
                  <c:v>76.24936608968758</c:v>
                </c:pt>
                <c:pt idx="3947">
                  <c:v>76.27596488613912</c:v>
                </c:pt>
                <c:pt idx="3948">
                  <c:v>76.30256368259066</c:v>
                </c:pt>
                <c:pt idx="3949">
                  <c:v>76.3291624790422</c:v>
                </c:pt>
                <c:pt idx="3950">
                  <c:v>76.35576127549373</c:v>
                </c:pt>
                <c:pt idx="3951">
                  <c:v>76.38236007194529</c:v>
                </c:pt>
                <c:pt idx="3952">
                  <c:v>76.40895886839682</c:v>
                </c:pt>
                <c:pt idx="3953">
                  <c:v>76.43555766484836</c:v>
                </c:pt>
                <c:pt idx="3954">
                  <c:v>76.4621564612999</c:v>
                </c:pt>
                <c:pt idx="3955">
                  <c:v>76.48875525775144</c:v>
                </c:pt>
                <c:pt idx="3956">
                  <c:v>76.51535405420299</c:v>
                </c:pt>
                <c:pt idx="3957">
                  <c:v>76.54195285065452</c:v>
                </c:pt>
                <c:pt idx="3958">
                  <c:v>76.56855164710606</c:v>
                </c:pt>
                <c:pt idx="3959">
                  <c:v>76.5951504435576</c:v>
                </c:pt>
                <c:pt idx="3960">
                  <c:v>76.62174924000914</c:v>
                </c:pt>
                <c:pt idx="3961">
                  <c:v>76.64834803646067</c:v>
                </c:pt>
                <c:pt idx="3962">
                  <c:v>76.67494683291221</c:v>
                </c:pt>
                <c:pt idx="3963">
                  <c:v>76.70154562936375</c:v>
                </c:pt>
                <c:pt idx="3964">
                  <c:v>76.72814442581529</c:v>
                </c:pt>
                <c:pt idx="3965">
                  <c:v>76.75474322226682</c:v>
                </c:pt>
                <c:pt idx="3966">
                  <c:v>76.78134201871836</c:v>
                </c:pt>
                <c:pt idx="3967">
                  <c:v>76.8079408151699</c:v>
                </c:pt>
                <c:pt idx="3968">
                  <c:v>76.83453961162144</c:v>
                </c:pt>
                <c:pt idx="3969">
                  <c:v>76.86113840807297</c:v>
                </c:pt>
                <c:pt idx="3970">
                  <c:v>76.88773720452453</c:v>
                </c:pt>
                <c:pt idx="3971">
                  <c:v>76.91433600097606</c:v>
                </c:pt>
                <c:pt idx="3972">
                  <c:v>76.9409347974276</c:v>
                </c:pt>
                <c:pt idx="3973">
                  <c:v>76.96753359387914</c:v>
                </c:pt>
                <c:pt idx="3974">
                  <c:v>76.99413239033068</c:v>
                </c:pt>
                <c:pt idx="3975">
                  <c:v>77.02073118678221</c:v>
                </c:pt>
                <c:pt idx="3976">
                  <c:v>77.04732998323375</c:v>
                </c:pt>
                <c:pt idx="3977">
                  <c:v>77.07392877968529</c:v>
                </c:pt>
                <c:pt idx="3978">
                  <c:v>77.10052757613683</c:v>
                </c:pt>
                <c:pt idx="3979">
                  <c:v>77.12712637258838</c:v>
                </c:pt>
                <c:pt idx="3980">
                  <c:v>77.15372516903992</c:v>
                </c:pt>
                <c:pt idx="3981">
                  <c:v>77.18032396549145</c:v>
                </c:pt>
                <c:pt idx="3982">
                  <c:v>77.20692276194299</c:v>
                </c:pt>
                <c:pt idx="3983">
                  <c:v>77.23352155839453</c:v>
                </c:pt>
                <c:pt idx="3984">
                  <c:v>77.26012035484607</c:v>
                </c:pt>
                <c:pt idx="3985">
                  <c:v>77.2867191512976</c:v>
                </c:pt>
                <c:pt idx="3986">
                  <c:v>77.31331794774916</c:v>
                </c:pt>
                <c:pt idx="3987">
                  <c:v>77.33991674420069</c:v>
                </c:pt>
                <c:pt idx="3988">
                  <c:v>77.36651554065223</c:v>
                </c:pt>
                <c:pt idx="3989">
                  <c:v>77.39311433710377</c:v>
                </c:pt>
                <c:pt idx="3990">
                  <c:v>77.4197131335553</c:v>
                </c:pt>
                <c:pt idx="3991">
                  <c:v>77.44631193000684</c:v>
                </c:pt>
                <c:pt idx="3992">
                  <c:v>77.47291072645838</c:v>
                </c:pt>
                <c:pt idx="3993">
                  <c:v>77.49950952290992</c:v>
                </c:pt>
                <c:pt idx="3994">
                  <c:v>77.52610831936146</c:v>
                </c:pt>
                <c:pt idx="3995">
                  <c:v>77.552707115813</c:v>
                </c:pt>
                <c:pt idx="3996">
                  <c:v>77.57930591226454</c:v>
                </c:pt>
                <c:pt idx="3997">
                  <c:v>77.60590470871608</c:v>
                </c:pt>
                <c:pt idx="3998">
                  <c:v>77.63250350516762</c:v>
                </c:pt>
                <c:pt idx="3999">
                  <c:v>77.65910230161916</c:v>
                </c:pt>
                <c:pt idx="4000">
                  <c:v>77.68570109807071</c:v>
                </c:pt>
                <c:pt idx="4001">
                  <c:v>77.71229989452225</c:v>
                </c:pt>
                <c:pt idx="4002">
                  <c:v>77.73889869097378</c:v>
                </c:pt>
                <c:pt idx="4003">
                  <c:v>77.76549748742532</c:v>
                </c:pt>
                <c:pt idx="4004">
                  <c:v>77.79209628387686</c:v>
                </c:pt>
                <c:pt idx="4005">
                  <c:v>77.8186950803284</c:v>
                </c:pt>
                <c:pt idx="4006">
                  <c:v>77.84529387677993</c:v>
                </c:pt>
                <c:pt idx="4007">
                  <c:v>77.87189267323147</c:v>
                </c:pt>
                <c:pt idx="4008">
                  <c:v>77.89849146968301</c:v>
                </c:pt>
                <c:pt idx="4009">
                  <c:v>77.92509026613456</c:v>
                </c:pt>
                <c:pt idx="4010">
                  <c:v>77.9516890625861</c:v>
                </c:pt>
                <c:pt idx="4011">
                  <c:v>77.97828785903764</c:v>
                </c:pt>
                <c:pt idx="4012">
                  <c:v>78.00488665548917</c:v>
                </c:pt>
                <c:pt idx="4013">
                  <c:v>78.03148545194071</c:v>
                </c:pt>
                <c:pt idx="4014">
                  <c:v>78.05808424839226</c:v>
                </c:pt>
                <c:pt idx="4015">
                  <c:v>78.0846830448438</c:v>
                </c:pt>
                <c:pt idx="4016">
                  <c:v>78.11128184129534</c:v>
                </c:pt>
                <c:pt idx="4017">
                  <c:v>78.13788063774687</c:v>
                </c:pt>
                <c:pt idx="4018">
                  <c:v>78.16447943419841</c:v>
                </c:pt>
                <c:pt idx="4019">
                  <c:v>78.19107823064995</c:v>
                </c:pt>
                <c:pt idx="4020">
                  <c:v>78.21767702710149</c:v>
                </c:pt>
                <c:pt idx="4021">
                  <c:v>78.24427582355302</c:v>
                </c:pt>
                <c:pt idx="4022">
                  <c:v>78.27087462000456</c:v>
                </c:pt>
                <c:pt idx="4023">
                  <c:v>78.29747341645611</c:v>
                </c:pt>
                <c:pt idx="4024">
                  <c:v>78.32407221290765</c:v>
                </c:pt>
                <c:pt idx="4025">
                  <c:v>78.35067100935919</c:v>
                </c:pt>
                <c:pt idx="4026">
                  <c:v>78.37726980581073</c:v>
                </c:pt>
                <c:pt idx="4027">
                  <c:v>78.40386860226226</c:v>
                </c:pt>
                <c:pt idx="4028">
                  <c:v>78.43046739871382</c:v>
                </c:pt>
                <c:pt idx="4029">
                  <c:v>78.45706619516535</c:v>
                </c:pt>
                <c:pt idx="4030">
                  <c:v>78.48366499161689</c:v>
                </c:pt>
                <c:pt idx="4031">
                  <c:v>78.51026378806843</c:v>
                </c:pt>
                <c:pt idx="4032">
                  <c:v>78.53686258451997</c:v>
                </c:pt>
                <c:pt idx="4033">
                  <c:v>78.5634613809715</c:v>
                </c:pt>
                <c:pt idx="4034">
                  <c:v>78.59006017742304</c:v>
                </c:pt>
                <c:pt idx="4035">
                  <c:v>78.61665897387458</c:v>
                </c:pt>
                <c:pt idx="4036">
                  <c:v>78.64325777032612</c:v>
                </c:pt>
                <c:pt idx="4037">
                  <c:v>78.66985656677765</c:v>
                </c:pt>
                <c:pt idx="4038">
                  <c:v>78.69645536322919</c:v>
                </c:pt>
                <c:pt idx="4039">
                  <c:v>78.72305415968073</c:v>
                </c:pt>
                <c:pt idx="4040">
                  <c:v>78.74965295613227</c:v>
                </c:pt>
                <c:pt idx="4041">
                  <c:v>78.7762517525838</c:v>
                </c:pt>
                <c:pt idx="4042">
                  <c:v>78.80285054903534</c:v>
                </c:pt>
                <c:pt idx="4043">
                  <c:v>78.82944934548688</c:v>
                </c:pt>
                <c:pt idx="4044">
                  <c:v>78.85604814193843</c:v>
                </c:pt>
                <c:pt idx="4045">
                  <c:v>78.88264693838997</c:v>
                </c:pt>
                <c:pt idx="4046">
                  <c:v>78.9092457348415</c:v>
                </c:pt>
                <c:pt idx="4047">
                  <c:v>78.93584453129304</c:v>
                </c:pt>
                <c:pt idx="4048">
                  <c:v>78.96244332774458</c:v>
                </c:pt>
                <c:pt idx="4049">
                  <c:v>78.98904212419612</c:v>
                </c:pt>
                <c:pt idx="4050">
                  <c:v>79.01564092064766</c:v>
                </c:pt>
                <c:pt idx="4051">
                  <c:v>79.04223971709919</c:v>
                </c:pt>
                <c:pt idx="4052">
                  <c:v>79.06883851355073</c:v>
                </c:pt>
                <c:pt idx="4053">
                  <c:v>79.09543731000227</c:v>
                </c:pt>
                <c:pt idx="4054">
                  <c:v>79.12203610645382</c:v>
                </c:pt>
                <c:pt idx="4055">
                  <c:v>79.14863490290536</c:v>
                </c:pt>
                <c:pt idx="4056">
                  <c:v>79.1752336993569</c:v>
                </c:pt>
                <c:pt idx="4057">
                  <c:v>79.20183249580843</c:v>
                </c:pt>
                <c:pt idx="4058">
                  <c:v>79.22843129225998</c:v>
                </c:pt>
                <c:pt idx="4059">
                  <c:v>79.25503008871152</c:v>
                </c:pt>
                <c:pt idx="4060">
                  <c:v>79.28162888516306</c:v>
                </c:pt>
                <c:pt idx="4061">
                  <c:v>79.3082276816146</c:v>
                </c:pt>
                <c:pt idx="4062">
                  <c:v>79.33482647806613</c:v>
                </c:pt>
                <c:pt idx="4063">
                  <c:v>79.36142527451767</c:v>
                </c:pt>
                <c:pt idx="4064">
                  <c:v>79.38802407096921</c:v>
                </c:pt>
                <c:pt idx="4065">
                  <c:v>79.41462286742075</c:v>
                </c:pt>
                <c:pt idx="4066">
                  <c:v>79.44122166387228</c:v>
                </c:pt>
                <c:pt idx="4067">
                  <c:v>79.46782046032382</c:v>
                </c:pt>
                <c:pt idx="4068">
                  <c:v>79.49441925677537</c:v>
                </c:pt>
                <c:pt idx="4069">
                  <c:v>79.52101805322691</c:v>
                </c:pt>
                <c:pt idx="4070">
                  <c:v>79.54761684967845</c:v>
                </c:pt>
                <c:pt idx="4071">
                  <c:v>79.57421564612999</c:v>
                </c:pt>
                <c:pt idx="4072">
                  <c:v>79.60081444258154</c:v>
                </c:pt>
                <c:pt idx="4073">
                  <c:v>79.62741323903307</c:v>
                </c:pt>
                <c:pt idx="4074">
                  <c:v>79.65401203548461</c:v>
                </c:pt>
                <c:pt idx="4075">
                  <c:v>79.68061083193615</c:v>
                </c:pt>
                <c:pt idx="4076">
                  <c:v>79.70720962838769</c:v>
                </c:pt>
                <c:pt idx="4077">
                  <c:v>79.73380842483922</c:v>
                </c:pt>
                <c:pt idx="4078">
                  <c:v>79.76040722129076</c:v>
                </c:pt>
                <c:pt idx="4079">
                  <c:v>79.7870060177423</c:v>
                </c:pt>
                <c:pt idx="4080">
                  <c:v>79.81360481419384</c:v>
                </c:pt>
                <c:pt idx="4081">
                  <c:v>79.84020361064537</c:v>
                </c:pt>
                <c:pt idx="4082">
                  <c:v>79.86680240709693</c:v>
                </c:pt>
                <c:pt idx="4083">
                  <c:v>79.89340120354846</c:v>
                </c:pt>
                <c:pt idx="4084">
                  <c:v>79.92</c:v>
                </c:pt>
                <c:pt idx="4085">
                  <c:v>79.92</c:v>
                </c:pt>
                <c:pt idx="4086">
                  <c:v>79.9329125</c:v>
                </c:pt>
                <c:pt idx="4087">
                  <c:v>79.945825</c:v>
                </c:pt>
                <c:pt idx="4088">
                  <c:v>79.9587375</c:v>
                </c:pt>
                <c:pt idx="4089">
                  <c:v>79.97165000000001</c:v>
                </c:pt>
                <c:pt idx="4090">
                  <c:v>79.9845625</c:v>
                </c:pt>
                <c:pt idx="4091">
                  <c:v>79.997475</c:v>
                </c:pt>
                <c:pt idx="4092">
                  <c:v>80.01038750000001</c:v>
                </c:pt>
                <c:pt idx="4093">
                  <c:v>80.02329999999999</c:v>
                </c:pt>
                <c:pt idx="4094">
                  <c:v>80.0362125</c:v>
                </c:pt>
                <c:pt idx="4095">
                  <c:v>80.049125</c:v>
                </c:pt>
                <c:pt idx="4096">
                  <c:v>80.0620375</c:v>
                </c:pt>
                <c:pt idx="4097">
                  <c:v>80.07495</c:v>
                </c:pt>
                <c:pt idx="4098">
                  <c:v>80.0878625</c:v>
                </c:pt>
                <c:pt idx="4099">
                  <c:v>80.100775</c:v>
                </c:pt>
                <c:pt idx="4100">
                  <c:v>80.1136875</c:v>
                </c:pt>
                <c:pt idx="4101">
                  <c:v>80.1266</c:v>
                </c:pt>
                <c:pt idx="4102">
                  <c:v>80.1395125</c:v>
                </c:pt>
                <c:pt idx="4103">
                  <c:v>80.15242500000001</c:v>
                </c:pt>
                <c:pt idx="4104">
                  <c:v>80.16533749999999</c:v>
                </c:pt>
                <c:pt idx="4105">
                  <c:v>80.17825</c:v>
                </c:pt>
                <c:pt idx="4106">
                  <c:v>80.1911625</c:v>
                </c:pt>
                <c:pt idx="4107">
                  <c:v>80.20407499999999</c:v>
                </c:pt>
                <c:pt idx="4108">
                  <c:v>80.2169875</c:v>
                </c:pt>
                <c:pt idx="4109">
                  <c:v>80.2299</c:v>
                </c:pt>
                <c:pt idx="4110">
                  <c:v>80.2428125</c:v>
                </c:pt>
                <c:pt idx="4111">
                  <c:v>80.255725</c:v>
                </c:pt>
                <c:pt idx="4112">
                  <c:v>80.26863750000001</c:v>
                </c:pt>
                <c:pt idx="4113">
                  <c:v>80.28155</c:v>
                </c:pt>
                <c:pt idx="4114">
                  <c:v>80.2944625</c:v>
                </c:pt>
                <c:pt idx="4115">
                  <c:v>80.30737500000001</c:v>
                </c:pt>
                <c:pt idx="4116">
                  <c:v>80.32028749999999</c:v>
                </c:pt>
                <c:pt idx="4117">
                  <c:v>80.3332</c:v>
                </c:pt>
                <c:pt idx="4118">
                  <c:v>80.34611249999999</c:v>
                </c:pt>
                <c:pt idx="4119">
                  <c:v>80.359025</c:v>
                </c:pt>
                <c:pt idx="4120">
                  <c:v>80.3719375</c:v>
                </c:pt>
                <c:pt idx="4121">
                  <c:v>80.38485</c:v>
                </c:pt>
                <c:pt idx="4122">
                  <c:v>80.3977625</c:v>
                </c:pt>
                <c:pt idx="4123">
                  <c:v>80.410675</c:v>
                </c:pt>
                <c:pt idx="4124">
                  <c:v>80.4235875</c:v>
                </c:pt>
                <c:pt idx="4125">
                  <c:v>80.4365</c:v>
                </c:pt>
                <c:pt idx="4126">
                  <c:v>80.44941250000001</c:v>
                </c:pt>
                <c:pt idx="4127">
                  <c:v>80.46232499999999</c:v>
                </c:pt>
                <c:pt idx="4128">
                  <c:v>80.4752375</c:v>
                </c:pt>
                <c:pt idx="4129">
                  <c:v>80.48815</c:v>
                </c:pt>
                <c:pt idx="4130">
                  <c:v>80.50106249999999</c:v>
                </c:pt>
                <c:pt idx="4131">
                  <c:v>80.513975</c:v>
                </c:pt>
                <c:pt idx="4132">
                  <c:v>80.5268875</c:v>
                </c:pt>
                <c:pt idx="4133">
                  <c:v>80.5398</c:v>
                </c:pt>
                <c:pt idx="4134">
                  <c:v>80.5527125</c:v>
                </c:pt>
                <c:pt idx="4135">
                  <c:v>80.56562500000001</c:v>
                </c:pt>
                <c:pt idx="4136">
                  <c:v>80.5785375</c:v>
                </c:pt>
                <c:pt idx="4137">
                  <c:v>80.59145</c:v>
                </c:pt>
                <c:pt idx="4138">
                  <c:v>80.60436250000001</c:v>
                </c:pt>
                <c:pt idx="4139">
                  <c:v>80.61727499999999</c:v>
                </c:pt>
                <c:pt idx="4140">
                  <c:v>80.6301875</c:v>
                </c:pt>
                <c:pt idx="4141">
                  <c:v>80.64309999999999</c:v>
                </c:pt>
                <c:pt idx="4142">
                  <c:v>80.6560125</c:v>
                </c:pt>
                <c:pt idx="4143">
                  <c:v>80.668925</c:v>
                </c:pt>
                <c:pt idx="4144">
                  <c:v>80.6818375</c:v>
                </c:pt>
                <c:pt idx="4145">
                  <c:v>80.69475</c:v>
                </c:pt>
                <c:pt idx="4146">
                  <c:v>80.7076625</c:v>
                </c:pt>
                <c:pt idx="4147">
                  <c:v>80.720575</c:v>
                </c:pt>
                <c:pt idx="4148">
                  <c:v>80.7334875</c:v>
                </c:pt>
                <c:pt idx="4149">
                  <c:v>80.74640000000001</c:v>
                </c:pt>
                <c:pt idx="4150">
                  <c:v>80.7593125</c:v>
                </c:pt>
                <c:pt idx="4151">
                  <c:v>80.772225</c:v>
                </c:pt>
                <c:pt idx="4152">
                  <c:v>80.7851375</c:v>
                </c:pt>
                <c:pt idx="4153">
                  <c:v>80.79804999999999</c:v>
                </c:pt>
                <c:pt idx="4154">
                  <c:v>80.8109625</c:v>
                </c:pt>
                <c:pt idx="4155">
                  <c:v>80.823875</c:v>
                </c:pt>
                <c:pt idx="4156">
                  <c:v>80.8367875</c:v>
                </c:pt>
                <c:pt idx="4157">
                  <c:v>80.8497</c:v>
                </c:pt>
                <c:pt idx="4158">
                  <c:v>80.86261250000001</c:v>
                </c:pt>
                <c:pt idx="4159">
                  <c:v>80.875525</c:v>
                </c:pt>
                <c:pt idx="4160">
                  <c:v>80.8884375</c:v>
                </c:pt>
                <c:pt idx="4161">
                  <c:v>80.90135</c:v>
                </c:pt>
                <c:pt idx="4162">
                  <c:v>80.91426249999999</c:v>
                </c:pt>
                <c:pt idx="4163">
                  <c:v>80.927175</c:v>
                </c:pt>
                <c:pt idx="4164">
                  <c:v>80.94008749999999</c:v>
                </c:pt>
                <c:pt idx="4165">
                  <c:v>80.953</c:v>
                </c:pt>
                <c:pt idx="4166">
                  <c:v>80.9659125</c:v>
                </c:pt>
                <c:pt idx="4167">
                  <c:v>80.978825</c:v>
                </c:pt>
                <c:pt idx="4168">
                  <c:v>80.9917375</c:v>
                </c:pt>
                <c:pt idx="4169">
                  <c:v>81.00465</c:v>
                </c:pt>
                <c:pt idx="4170">
                  <c:v>81.0175625</c:v>
                </c:pt>
                <c:pt idx="4171">
                  <c:v>81.030475</c:v>
                </c:pt>
                <c:pt idx="4172">
                  <c:v>81.04338750000001</c:v>
                </c:pt>
                <c:pt idx="4173">
                  <c:v>81.0563</c:v>
                </c:pt>
                <c:pt idx="4174">
                  <c:v>81.0692125</c:v>
                </c:pt>
                <c:pt idx="4175">
                  <c:v>81.082125</c:v>
                </c:pt>
                <c:pt idx="4176">
                  <c:v>81.09503749999999</c:v>
                </c:pt>
                <c:pt idx="4177">
                  <c:v>81.10795</c:v>
                </c:pt>
                <c:pt idx="4178">
                  <c:v>81.1208625</c:v>
                </c:pt>
                <c:pt idx="4179">
                  <c:v>81.133775</c:v>
                </c:pt>
                <c:pt idx="4180">
                  <c:v>81.1466875</c:v>
                </c:pt>
                <c:pt idx="4181">
                  <c:v>81.15960000000001</c:v>
                </c:pt>
                <c:pt idx="4182">
                  <c:v>81.1725125</c:v>
                </c:pt>
                <c:pt idx="4183">
                  <c:v>81.185425</c:v>
                </c:pt>
                <c:pt idx="4184">
                  <c:v>81.1983375</c:v>
                </c:pt>
                <c:pt idx="4185">
                  <c:v>81.21124999999999</c:v>
                </c:pt>
                <c:pt idx="4186">
                  <c:v>81.2241625</c:v>
                </c:pt>
                <c:pt idx="4187">
                  <c:v>81.23707499999999</c:v>
                </c:pt>
                <c:pt idx="4188">
                  <c:v>81.2499875</c:v>
                </c:pt>
                <c:pt idx="4189">
                  <c:v>81.2629</c:v>
                </c:pt>
                <c:pt idx="4190">
                  <c:v>81.2758125</c:v>
                </c:pt>
                <c:pt idx="4191">
                  <c:v>81.288725</c:v>
                </c:pt>
                <c:pt idx="4192">
                  <c:v>81.3016375</c:v>
                </c:pt>
                <c:pt idx="4193">
                  <c:v>81.31455</c:v>
                </c:pt>
                <c:pt idx="4194">
                  <c:v>81.3274625</c:v>
                </c:pt>
                <c:pt idx="4195">
                  <c:v>81.34037500000001</c:v>
                </c:pt>
                <c:pt idx="4196">
                  <c:v>81.3532875</c:v>
                </c:pt>
                <c:pt idx="4197">
                  <c:v>81.3662</c:v>
                </c:pt>
                <c:pt idx="4198">
                  <c:v>81.3791125</c:v>
                </c:pt>
                <c:pt idx="4199">
                  <c:v>81.39202499999999</c:v>
                </c:pt>
                <c:pt idx="4200">
                  <c:v>81.4049375</c:v>
                </c:pt>
                <c:pt idx="4201">
                  <c:v>81.41785</c:v>
                </c:pt>
                <c:pt idx="4202">
                  <c:v>81.4307625</c:v>
                </c:pt>
                <c:pt idx="4203">
                  <c:v>81.443675</c:v>
                </c:pt>
                <c:pt idx="4204">
                  <c:v>81.45658750000001</c:v>
                </c:pt>
                <c:pt idx="4205">
                  <c:v>81.4695</c:v>
                </c:pt>
                <c:pt idx="4206">
                  <c:v>81.4824125</c:v>
                </c:pt>
                <c:pt idx="4207">
                  <c:v>81.495325</c:v>
                </c:pt>
                <c:pt idx="4208">
                  <c:v>81.50823749999999</c:v>
                </c:pt>
                <c:pt idx="4209">
                  <c:v>81.52115</c:v>
                </c:pt>
                <c:pt idx="4210">
                  <c:v>81.53406249999999</c:v>
                </c:pt>
                <c:pt idx="4211">
                  <c:v>81.546975</c:v>
                </c:pt>
                <c:pt idx="4212">
                  <c:v>81.5598875</c:v>
                </c:pt>
                <c:pt idx="4213">
                  <c:v>81.5728</c:v>
                </c:pt>
                <c:pt idx="4214">
                  <c:v>81.5857125</c:v>
                </c:pt>
                <c:pt idx="4215">
                  <c:v>81.598625</c:v>
                </c:pt>
                <c:pt idx="4216">
                  <c:v>81.6115375</c:v>
                </c:pt>
                <c:pt idx="4217">
                  <c:v>81.62445</c:v>
                </c:pt>
                <c:pt idx="4218">
                  <c:v>81.63736250000001</c:v>
                </c:pt>
                <c:pt idx="4219">
                  <c:v>81.650275</c:v>
                </c:pt>
                <c:pt idx="4220">
                  <c:v>81.6631875</c:v>
                </c:pt>
                <c:pt idx="4221">
                  <c:v>81.6761</c:v>
                </c:pt>
                <c:pt idx="4222">
                  <c:v>81.68901249999999</c:v>
                </c:pt>
                <c:pt idx="4223">
                  <c:v>81.701925</c:v>
                </c:pt>
                <c:pt idx="4224">
                  <c:v>81.7148375</c:v>
                </c:pt>
                <c:pt idx="4225">
                  <c:v>81.72775</c:v>
                </c:pt>
                <c:pt idx="4226">
                  <c:v>81.7406625</c:v>
                </c:pt>
                <c:pt idx="4227">
                  <c:v>81.753575</c:v>
                </c:pt>
                <c:pt idx="4228">
                  <c:v>81.7664875</c:v>
                </c:pt>
                <c:pt idx="4229">
                  <c:v>81.7794</c:v>
                </c:pt>
                <c:pt idx="4230">
                  <c:v>81.7923125</c:v>
                </c:pt>
                <c:pt idx="4231">
                  <c:v>81.805225</c:v>
                </c:pt>
                <c:pt idx="4232">
                  <c:v>81.8181375</c:v>
                </c:pt>
                <c:pt idx="4233">
                  <c:v>81.83104999999999</c:v>
                </c:pt>
                <c:pt idx="4234">
                  <c:v>81.8439625</c:v>
                </c:pt>
                <c:pt idx="4235">
                  <c:v>81.856875</c:v>
                </c:pt>
                <c:pt idx="4236">
                  <c:v>81.8697875</c:v>
                </c:pt>
                <c:pt idx="4237">
                  <c:v>81.8827</c:v>
                </c:pt>
                <c:pt idx="4238">
                  <c:v>81.8956125</c:v>
                </c:pt>
                <c:pt idx="4239">
                  <c:v>81.908525</c:v>
                </c:pt>
                <c:pt idx="4240">
                  <c:v>81.9214375</c:v>
                </c:pt>
                <c:pt idx="4241">
                  <c:v>81.93435000000001</c:v>
                </c:pt>
                <c:pt idx="4242">
                  <c:v>81.9472625</c:v>
                </c:pt>
                <c:pt idx="4243">
                  <c:v>81.960175</c:v>
                </c:pt>
                <c:pt idx="4244">
                  <c:v>81.9730875</c:v>
                </c:pt>
                <c:pt idx="4245">
                  <c:v>81.98599999999999</c:v>
                </c:pt>
                <c:pt idx="4246">
                  <c:v>81.9989125</c:v>
                </c:pt>
                <c:pt idx="4247">
                  <c:v>82.01182499999999</c:v>
                </c:pt>
                <c:pt idx="4248">
                  <c:v>82.0247375</c:v>
                </c:pt>
                <c:pt idx="4249">
                  <c:v>82.03765</c:v>
                </c:pt>
                <c:pt idx="4250">
                  <c:v>82.0505625</c:v>
                </c:pt>
                <c:pt idx="4251">
                  <c:v>82.063475</c:v>
                </c:pt>
                <c:pt idx="4252">
                  <c:v>82.0763875</c:v>
                </c:pt>
                <c:pt idx="4253">
                  <c:v>82.0893</c:v>
                </c:pt>
                <c:pt idx="4254">
                  <c:v>82.1022125</c:v>
                </c:pt>
                <c:pt idx="4255">
                  <c:v>82.115125</c:v>
                </c:pt>
                <c:pt idx="4256">
                  <c:v>82.12803749999999</c:v>
                </c:pt>
                <c:pt idx="4257">
                  <c:v>82.14095</c:v>
                </c:pt>
                <c:pt idx="4258">
                  <c:v>82.1538625</c:v>
                </c:pt>
                <c:pt idx="4259">
                  <c:v>82.166775</c:v>
                </c:pt>
                <c:pt idx="4260">
                  <c:v>82.1796875</c:v>
                </c:pt>
                <c:pt idx="4261">
                  <c:v>82.1926</c:v>
                </c:pt>
                <c:pt idx="4262">
                  <c:v>82.2055125</c:v>
                </c:pt>
                <c:pt idx="4263">
                  <c:v>82.218425</c:v>
                </c:pt>
                <c:pt idx="4264">
                  <c:v>82.23133750000001</c:v>
                </c:pt>
                <c:pt idx="4265">
                  <c:v>82.24425</c:v>
                </c:pt>
                <c:pt idx="4266">
                  <c:v>82.2571625</c:v>
                </c:pt>
                <c:pt idx="4267">
                  <c:v>82.270075</c:v>
                </c:pt>
                <c:pt idx="4268">
                  <c:v>82.28298749999999</c:v>
                </c:pt>
                <c:pt idx="4269">
                  <c:v>82.2959</c:v>
                </c:pt>
                <c:pt idx="4270">
                  <c:v>82.30881249999999</c:v>
                </c:pt>
                <c:pt idx="4271">
                  <c:v>82.321725</c:v>
                </c:pt>
                <c:pt idx="4272">
                  <c:v>82.3346375</c:v>
                </c:pt>
                <c:pt idx="4273">
                  <c:v>82.34755</c:v>
                </c:pt>
                <c:pt idx="4274">
                  <c:v>82.3604625</c:v>
                </c:pt>
                <c:pt idx="4275">
                  <c:v>82.373375</c:v>
                </c:pt>
                <c:pt idx="4276">
                  <c:v>82.3862875</c:v>
                </c:pt>
                <c:pt idx="4277">
                  <c:v>82.3992</c:v>
                </c:pt>
                <c:pt idx="4278">
                  <c:v>82.4121125</c:v>
                </c:pt>
                <c:pt idx="4279">
                  <c:v>82.42502499999999</c:v>
                </c:pt>
                <c:pt idx="4280">
                  <c:v>82.4379375</c:v>
                </c:pt>
                <c:pt idx="4281">
                  <c:v>82.45085</c:v>
                </c:pt>
                <c:pt idx="4282">
                  <c:v>82.4637625</c:v>
                </c:pt>
                <c:pt idx="4283">
                  <c:v>82.476675</c:v>
                </c:pt>
                <c:pt idx="4284">
                  <c:v>82.4895875</c:v>
                </c:pt>
                <c:pt idx="4285">
                  <c:v>82.5025</c:v>
                </c:pt>
                <c:pt idx="4286">
                  <c:v>82.5154125</c:v>
                </c:pt>
                <c:pt idx="4287">
                  <c:v>82.52832500000001</c:v>
                </c:pt>
                <c:pt idx="4288">
                  <c:v>82.5412375</c:v>
                </c:pt>
                <c:pt idx="4289">
                  <c:v>82.55415</c:v>
                </c:pt>
                <c:pt idx="4290">
                  <c:v>82.5670625</c:v>
                </c:pt>
                <c:pt idx="4291">
                  <c:v>82.57997499999999</c:v>
                </c:pt>
                <c:pt idx="4292">
                  <c:v>82.5928875</c:v>
                </c:pt>
                <c:pt idx="4293">
                  <c:v>82.60579999999999</c:v>
                </c:pt>
                <c:pt idx="4294">
                  <c:v>82.6187125</c:v>
                </c:pt>
                <c:pt idx="4295">
                  <c:v>82.631625</c:v>
                </c:pt>
                <c:pt idx="4296">
                  <c:v>82.6445375</c:v>
                </c:pt>
                <c:pt idx="4297">
                  <c:v>82.65745</c:v>
                </c:pt>
                <c:pt idx="4298">
                  <c:v>82.6703625</c:v>
                </c:pt>
                <c:pt idx="4299">
                  <c:v>82.683275</c:v>
                </c:pt>
                <c:pt idx="4300">
                  <c:v>82.6961875</c:v>
                </c:pt>
                <c:pt idx="4301">
                  <c:v>82.7091</c:v>
                </c:pt>
                <c:pt idx="4302">
                  <c:v>82.72201249999999</c:v>
                </c:pt>
                <c:pt idx="4303">
                  <c:v>82.734925</c:v>
                </c:pt>
                <c:pt idx="4304">
                  <c:v>82.7478375</c:v>
                </c:pt>
                <c:pt idx="4305">
                  <c:v>82.76075</c:v>
                </c:pt>
                <c:pt idx="4306">
                  <c:v>82.7736625</c:v>
                </c:pt>
                <c:pt idx="4307">
                  <c:v>82.786575</c:v>
                </c:pt>
                <c:pt idx="4308">
                  <c:v>82.7994875</c:v>
                </c:pt>
                <c:pt idx="4309">
                  <c:v>82.8124</c:v>
                </c:pt>
                <c:pt idx="4310">
                  <c:v>82.82531250000001</c:v>
                </c:pt>
                <c:pt idx="4311">
                  <c:v>82.838225</c:v>
                </c:pt>
                <c:pt idx="4312">
                  <c:v>82.85113750000001</c:v>
                </c:pt>
                <c:pt idx="4313">
                  <c:v>82.86404999999999</c:v>
                </c:pt>
                <c:pt idx="4314">
                  <c:v>82.87696249999999</c:v>
                </c:pt>
                <c:pt idx="4315">
                  <c:v>82.889875</c:v>
                </c:pt>
                <c:pt idx="4316">
                  <c:v>82.90278749999999</c:v>
                </c:pt>
                <c:pt idx="4317">
                  <c:v>82.9157</c:v>
                </c:pt>
                <c:pt idx="4318">
                  <c:v>82.9286125</c:v>
                </c:pt>
                <c:pt idx="4319">
                  <c:v>82.941525</c:v>
                </c:pt>
                <c:pt idx="4320">
                  <c:v>82.9544375</c:v>
                </c:pt>
                <c:pt idx="4321">
                  <c:v>82.96735</c:v>
                </c:pt>
                <c:pt idx="4322">
                  <c:v>82.9802625</c:v>
                </c:pt>
                <c:pt idx="4323">
                  <c:v>82.993175</c:v>
                </c:pt>
                <c:pt idx="4324">
                  <c:v>83.0060875</c:v>
                </c:pt>
                <c:pt idx="4325">
                  <c:v>83.01899999999999</c:v>
                </c:pt>
                <c:pt idx="4326">
                  <c:v>83.0319125</c:v>
                </c:pt>
                <c:pt idx="4327">
                  <c:v>83.044825</c:v>
                </c:pt>
                <c:pt idx="4328">
                  <c:v>83.0577375</c:v>
                </c:pt>
                <c:pt idx="4329">
                  <c:v>83.07065</c:v>
                </c:pt>
                <c:pt idx="4330">
                  <c:v>83.0835625</c:v>
                </c:pt>
                <c:pt idx="4331">
                  <c:v>83.096475</c:v>
                </c:pt>
                <c:pt idx="4332">
                  <c:v>83.1093875</c:v>
                </c:pt>
                <c:pt idx="4333">
                  <c:v>83.12230000000001</c:v>
                </c:pt>
                <c:pt idx="4334">
                  <c:v>83.1352125</c:v>
                </c:pt>
                <c:pt idx="4335">
                  <c:v>83.14812500000001</c:v>
                </c:pt>
                <c:pt idx="4336">
                  <c:v>83.16103749999999</c:v>
                </c:pt>
                <c:pt idx="4337">
                  <c:v>83.17394999999999</c:v>
                </c:pt>
                <c:pt idx="4338">
                  <c:v>83.1868625</c:v>
                </c:pt>
                <c:pt idx="4339">
                  <c:v>83.19977499999999</c:v>
                </c:pt>
                <c:pt idx="4340">
                  <c:v>83.2126875</c:v>
                </c:pt>
                <c:pt idx="4341">
                  <c:v>83.2256</c:v>
                </c:pt>
                <c:pt idx="4342">
                  <c:v>83.2385125</c:v>
                </c:pt>
                <c:pt idx="4343">
                  <c:v>83.251425</c:v>
                </c:pt>
                <c:pt idx="4344">
                  <c:v>83.2643375</c:v>
                </c:pt>
                <c:pt idx="4345">
                  <c:v>83.27725</c:v>
                </c:pt>
                <c:pt idx="4346">
                  <c:v>83.2901625</c:v>
                </c:pt>
                <c:pt idx="4347">
                  <c:v>83.303075</c:v>
                </c:pt>
                <c:pt idx="4348">
                  <c:v>83.31598749999999</c:v>
                </c:pt>
                <c:pt idx="4349">
                  <c:v>83.3289</c:v>
                </c:pt>
                <c:pt idx="4350">
                  <c:v>83.3418125</c:v>
                </c:pt>
                <c:pt idx="4351">
                  <c:v>83.354725</c:v>
                </c:pt>
                <c:pt idx="4352">
                  <c:v>83.3676375</c:v>
                </c:pt>
                <c:pt idx="4353">
                  <c:v>83.38055</c:v>
                </c:pt>
                <c:pt idx="4354">
                  <c:v>83.3934625</c:v>
                </c:pt>
                <c:pt idx="4355">
                  <c:v>83.406375</c:v>
                </c:pt>
                <c:pt idx="4356">
                  <c:v>83.4192875</c:v>
                </c:pt>
                <c:pt idx="4357">
                  <c:v>83.4322</c:v>
                </c:pt>
                <c:pt idx="4358">
                  <c:v>83.44511250000001</c:v>
                </c:pt>
                <c:pt idx="4359">
                  <c:v>83.45802499999999</c:v>
                </c:pt>
                <c:pt idx="4360">
                  <c:v>83.47093749999999</c:v>
                </c:pt>
                <c:pt idx="4361">
                  <c:v>83.48385</c:v>
                </c:pt>
                <c:pt idx="4362">
                  <c:v>83.49676249999999</c:v>
                </c:pt>
                <c:pt idx="4363">
                  <c:v>83.509675</c:v>
                </c:pt>
                <c:pt idx="4364">
                  <c:v>83.5225875</c:v>
                </c:pt>
                <c:pt idx="4365">
                  <c:v>83.5355</c:v>
                </c:pt>
                <c:pt idx="4366">
                  <c:v>83.5484125</c:v>
                </c:pt>
                <c:pt idx="4367">
                  <c:v>83.561325</c:v>
                </c:pt>
                <c:pt idx="4368">
                  <c:v>83.5742375</c:v>
                </c:pt>
                <c:pt idx="4369">
                  <c:v>83.58715</c:v>
                </c:pt>
                <c:pt idx="4370">
                  <c:v>83.6000625</c:v>
                </c:pt>
                <c:pt idx="4371">
                  <c:v>83.61297499999999</c:v>
                </c:pt>
                <c:pt idx="4372">
                  <c:v>83.6258875</c:v>
                </c:pt>
                <c:pt idx="4373">
                  <c:v>83.6388</c:v>
                </c:pt>
                <c:pt idx="4374">
                  <c:v>83.6517125</c:v>
                </c:pt>
                <c:pt idx="4375">
                  <c:v>83.664625</c:v>
                </c:pt>
                <c:pt idx="4376">
                  <c:v>83.6775375</c:v>
                </c:pt>
                <c:pt idx="4377">
                  <c:v>83.69045</c:v>
                </c:pt>
                <c:pt idx="4378">
                  <c:v>83.7033625</c:v>
                </c:pt>
                <c:pt idx="4379">
                  <c:v>83.716275</c:v>
                </c:pt>
                <c:pt idx="4380">
                  <c:v>83.7291875</c:v>
                </c:pt>
                <c:pt idx="4381">
                  <c:v>83.74210000000001</c:v>
                </c:pt>
                <c:pt idx="4382">
                  <c:v>83.75501249999999</c:v>
                </c:pt>
                <c:pt idx="4383">
                  <c:v>83.76792499999999</c:v>
                </c:pt>
                <c:pt idx="4384">
                  <c:v>83.7808375</c:v>
                </c:pt>
                <c:pt idx="4385">
                  <c:v>83.79374999999999</c:v>
                </c:pt>
                <c:pt idx="4386">
                  <c:v>83.8066625</c:v>
                </c:pt>
                <c:pt idx="4387">
                  <c:v>83.819575</c:v>
                </c:pt>
                <c:pt idx="4388">
                  <c:v>83.8324875</c:v>
                </c:pt>
                <c:pt idx="4389">
                  <c:v>83.8454</c:v>
                </c:pt>
                <c:pt idx="4390">
                  <c:v>83.8583125</c:v>
                </c:pt>
                <c:pt idx="4391">
                  <c:v>83.871225</c:v>
                </c:pt>
                <c:pt idx="4392">
                  <c:v>83.8841375</c:v>
                </c:pt>
                <c:pt idx="4393">
                  <c:v>83.89705000000001</c:v>
                </c:pt>
                <c:pt idx="4394">
                  <c:v>83.90996249999999</c:v>
                </c:pt>
                <c:pt idx="4395">
                  <c:v>83.922875</c:v>
                </c:pt>
                <c:pt idx="4396">
                  <c:v>83.93578749999999</c:v>
                </c:pt>
                <c:pt idx="4397">
                  <c:v>83.9487</c:v>
                </c:pt>
                <c:pt idx="4398">
                  <c:v>83.9616125</c:v>
                </c:pt>
                <c:pt idx="4399">
                  <c:v>83.974525</c:v>
                </c:pt>
                <c:pt idx="4400">
                  <c:v>83.9874375</c:v>
                </c:pt>
                <c:pt idx="4401">
                  <c:v>84.00035</c:v>
                </c:pt>
                <c:pt idx="4402">
                  <c:v>84.0132625</c:v>
                </c:pt>
                <c:pt idx="4403">
                  <c:v>84.026175</c:v>
                </c:pt>
                <c:pt idx="4404">
                  <c:v>84.03908750000001</c:v>
                </c:pt>
                <c:pt idx="4405">
                  <c:v>84.05199999999999</c:v>
                </c:pt>
                <c:pt idx="4406">
                  <c:v>84.06491249999999</c:v>
                </c:pt>
                <c:pt idx="4407">
                  <c:v>84.077825</c:v>
                </c:pt>
                <c:pt idx="4408">
                  <c:v>84.09073749999999</c:v>
                </c:pt>
                <c:pt idx="4409">
                  <c:v>84.10365</c:v>
                </c:pt>
                <c:pt idx="4410">
                  <c:v>84.1165625</c:v>
                </c:pt>
                <c:pt idx="4411">
                  <c:v>84.129475</c:v>
                </c:pt>
                <c:pt idx="4412">
                  <c:v>84.1423875</c:v>
                </c:pt>
                <c:pt idx="4413">
                  <c:v>84.1553</c:v>
                </c:pt>
                <c:pt idx="4414">
                  <c:v>84.1682125</c:v>
                </c:pt>
                <c:pt idx="4415">
                  <c:v>84.181125</c:v>
                </c:pt>
                <c:pt idx="4416">
                  <c:v>84.19403750000001</c:v>
                </c:pt>
                <c:pt idx="4417">
                  <c:v>84.20694999999999</c:v>
                </c:pt>
                <c:pt idx="4418">
                  <c:v>84.2198625</c:v>
                </c:pt>
                <c:pt idx="4419">
                  <c:v>84.23277499999999</c:v>
                </c:pt>
                <c:pt idx="4420">
                  <c:v>84.2456875</c:v>
                </c:pt>
                <c:pt idx="4421">
                  <c:v>84.2586</c:v>
                </c:pt>
                <c:pt idx="4422">
                  <c:v>84.2715125</c:v>
                </c:pt>
                <c:pt idx="4423">
                  <c:v>84.284425</c:v>
                </c:pt>
                <c:pt idx="4424">
                  <c:v>84.2973375</c:v>
                </c:pt>
                <c:pt idx="4425">
                  <c:v>84.31025</c:v>
                </c:pt>
                <c:pt idx="4426">
                  <c:v>84.3231625</c:v>
                </c:pt>
                <c:pt idx="4427">
                  <c:v>84.33607500000001</c:v>
                </c:pt>
                <c:pt idx="4428">
                  <c:v>84.34898749999999</c:v>
                </c:pt>
                <c:pt idx="4429">
                  <c:v>84.36189999999999</c:v>
                </c:pt>
                <c:pt idx="4430">
                  <c:v>84.3748125</c:v>
                </c:pt>
                <c:pt idx="4431">
                  <c:v>84.38772499999999</c:v>
                </c:pt>
                <c:pt idx="4432">
                  <c:v>84.4006375</c:v>
                </c:pt>
                <c:pt idx="4433">
                  <c:v>84.41355</c:v>
                </c:pt>
                <c:pt idx="4434">
                  <c:v>84.4264625</c:v>
                </c:pt>
                <c:pt idx="4435">
                  <c:v>84.439375</c:v>
                </c:pt>
                <c:pt idx="4436">
                  <c:v>84.4522875</c:v>
                </c:pt>
                <c:pt idx="4437">
                  <c:v>84.4652</c:v>
                </c:pt>
                <c:pt idx="4438">
                  <c:v>84.4781125</c:v>
                </c:pt>
                <c:pt idx="4439">
                  <c:v>84.49102500000001</c:v>
                </c:pt>
                <c:pt idx="4440">
                  <c:v>84.50393749999999</c:v>
                </c:pt>
                <c:pt idx="4441">
                  <c:v>84.51685</c:v>
                </c:pt>
                <c:pt idx="4442">
                  <c:v>84.52976249999999</c:v>
                </c:pt>
                <c:pt idx="4443">
                  <c:v>84.542675</c:v>
                </c:pt>
                <c:pt idx="4444">
                  <c:v>84.5555875</c:v>
                </c:pt>
                <c:pt idx="4445">
                  <c:v>84.5685</c:v>
                </c:pt>
                <c:pt idx="4446">
                  <c:v>84.5814125</c:v>
                </c:pt>
                <c:pt idx="4447">
                  <c:v>84.594325</c:v>
                </c:pt>
                <c:pt idx="4448">
                  <c:v>84.6072375</c:v>
                </c:pt>
                <c:pt idx="4449">
                  <c:v>84.62015</c:v>
                </c:pt>
                <c:pt idx="4450">
                  <c:v>84.63306250000001</c:v>
                </c:pt>
                <c:pt idx="4451">
                  <c:v>84.64597499999999</c:v>
                </c:pt>
                <c:pt idx="4452">
                  <c:v>84.65888749999999</c:v>
                </c:pt>
                <c:pt idx="4453">
                  <c:v>84.6718</c:v>
                </c:pt>
                <c:pt idx="4454">
                  <c:v>84.68471249999999</c:v>
                </c:pt>
                <c:pt idx="4455">
                  <c:v>84.697625</c:v>
                </c:pt>
                <c:pt idx="4456">
                  <c:v>84.7105375</c:v>
                </c:pt>
                <c:pt idx="4457">
                  <c:v>84.72345</c:v>
                </c:pt>
                <c:pt idx="4458">
                  <c:v>84.7363625</c:v>
                </c:pt>
                <c:pt idx="4459">
                  <c:v>84.749275</c:v>
                </c:pt>
                <c:pt idx="4460">
                  <c:v>84.7621875</c:v>
                </c:pt>
                <c:pt idx="4461">
                  <c:v>84.7751</c:v>
                </c:pt>
                <c:pt idx="4462">
                  <c:v>84.78801250000001</c:v>
                </c:pt>
                <c:pt idx="4463">
                  <c:v>84.80092499999999</c:v>
                </c:pt>
                <c:pt idx="4464">
                  <c:v>84.8138375</c:v>
                </c:pt>
                <c:pt idx="4465">
                  <c:v>84.82674999999999</c:v>
                </c:pt>
                <c:pt idx="4466">
                  <c:v>84.8396625</c:v>
                </c:pt>
                <c:pt idx="4467">
                  <c:v>84.852575</c:v>
                </c:pt>
                <c:pt idx="4468">
                  <c:v>84.86548749999999</c:v>
                </c:pt>
                <c:pt idx="4469">
                  <c:v>84.8784</c:v>
                </c:pt>
                <c:pt idx="4470">
                  <c:v>84.8913125</c:v>
                </c:pt>
                <c:pt idx="4471">
                  <c:v>84.904225</c:v>
                </c:pt>
                <c:pt idx="4472">
                  <c:v>84.9171375</c:v>
                </c:pt>
                <c:pt idx="4473">
                  <c:v>84.93005000000001</c:v>
                </c:pt>
                <c:pt idx="4474">
                  <c:v>84.9429625</c:v>
                </c:pt>
                <c:pt idx="4475">
                  <c:v>84.95587499999999</c:v>
                </c:pt>
                <c:pt idx="4476">
                  <c:v>84.9687875</c:v>
                </c:pt>
                <c:pt idx="4477">
                  <c:v>84.98169999999999</c:v>
                </c:pt>
                <c:pt idx="4478">
                  <c:v>84.9946125</c:v>
                </c:pt>
                <c:pt idx="4479">
                  <c:v>85.007525</c:v>
                </c:pt>
                <c:pt idx="4480">
                  <c:v>85.0204375</c:v>
                </c:pt>
                <c:pt idx="4481">
                  <c:v>85.03335</c:v>
                </c:pt>
                <c:pt idx="4482">
                  <c:v>85.0462625</c:v>
                </c:pt>
                <c:pt idx="4483">
                  <c:v>85.059175</c:v>
                </c:pt>
                <c:pt idx="4484">
                  <c:v>85.0720875</c:v>
                </c:pt>
                <c:pt idx="4485">
                  <c:v>85.08500000000001</c:v>
                </c:pt>
                <c:pt idx="4486">
                  <c:v>85.09791249999999</c:v>
                </c:pt>
                <c:pt idx="4487">
                  <c:v>85.110825</c:v>
                </c:pt>
                <c:pt idx="4488">
                  <c:v>85.12373749999999</c:v>
                </c:pt>
                <c:pt idx="4489">
                  <c:v>85.13665</c:v>
                </c:pt>
                <c:pt idx="4490">
                  <c:v>85.1495625</c:v>
                </c:pt>
                <c:pt idx="4491">
                  <c:v>85.16247499999999</c:v>
                </c:pt>
                <c:pt idx="4492">
                  <c:v>85.1753875</c:v>
                </c:pt>
                <c:pt idx="4493">
                  <c:v>85.1883</c:v>
                </c:pt>
                <c:pt idx="4494">
                  <c:v>85.2012125</c:v>
                </c:pt>
                <c:pt idx="4495">
                  <c:v>85.214125</c:v>
                </c:pt>
                <c:pt idx="4496">
                  <c:v>85.22703750000001</c:v>
                </c:pt>
                <c:pt idx="4497">
                  <c:v>85.23995</c:v>
                </c:pt>
                <c:pt idx="4498">
                  <c:v>85.25286249999999</c:v>
                </c:pt>
                <c:pt idx="4499">
                  <c:v>85.265775</c:v>
                </c:pt>
                <c:pt idx="4500">
                  <c:v>85.27868749999999</c:v>
                </c:pt>
                <c:pt idx="4501">
                  <c:v>85.2916</c:v>
                </c:pt>
                <c:pt idx="4502">
                  <c:v>85.3045125</c:v>
                </c:pt>
                <c:pt idx="4503">
                  <c:v>85.317425</c:v>
                </c:pt>
                <c:pt idx="4504">
                  <c:v>85.3303375</c:v>
                </c:pt>
                <c:pt idx="4505">
                  <c:v>85.34325</c:v>
                </c:pt>
                <c:pt idx="4506">
                  <c:v>85.3561625</c:v>
                </c:pt>
                <c:pt idx="4507">
                  <c:v>85.369075</c:v>
                </c:pt>
                <c:pt idx="4508">
                  <c:v>85.38198750000001</c:v>
                </c:pt>
                <c:pt idx="4509">
                  <c:v>85.39489999999999</c:v>
                </c:pt>
                <c:pt idx="4510">
                  <c:v>85.4078125</c:v>
                </c:pt>
                <c:pt idx="4511">
                  <c:v>85.42072499999999</c:v>
                </c:pt>
                <c:pt idx="4512">
                  <c:v>85.4336375</c:v>
                </c:pt>
                <c:pt idx="4513">
                  <c:v>85.44655</c:v>
                </c:pt>
                <c:pt idx="4514">
                  <c:v>85.45946249999999</c:v>
                </c:pt>
                <c:pt idx="4515">
                  <c:v>85.472375</c:v>
                </c:pt>
                <c:pt idx="4516">
                  <c:v>85.4852875</c:v>
                </c:pt>
                <c:pt idx="4517">
                  <c:v>85.4982</c:v>
                </c:pt>
                <c:pt idx="4518">
                  <c:v>85.5111125</c:v>
                </c:pt>
                <c:pt idx="4519">
                  <c:v>85.52402500000001</c:v>
                </c:pt>
                <c:pt idx="4520">
                  <c:v>85.5369375</c:v>
                </c:pt>
                <c:pt idx="4521">
                  <c:v>85.54984999999999</c:v>
                </c:pt>
                <c:pt idx="4522">
                  <c:v>85.5627625</c:v>
                </c:pt>
                <c:pt idx="4523">
                  <c:v>85.57567499999999</c:v>
                </c:pt>
                <c:pt idx="4524">
                  <c:v>85.5885875</c:v>
                </c:pt>
                <c:pt idx="4525">
                  <c:v>85.6015</c:v>
                </c:pt>
                <c:pt idx="4526">
                  <c:v>85.6144125</c:v>
                </c:pt>
                <c:pt idx="4527">
                  <c:v>85.627325</c:v>
                </c:pt>
                <c:pt idx="4528">
                  <c:v>85.6402375</c:v>
                </c:pt>
                <c:pt idx="4529">
                  <c:v>85.65315</c:v>
                </c:pt>
                <c:pt idx="4530">
                  <c:v>85.6660625</c:v>
                </c:pt>
                <c:pt idx="4531">
                  <c:v>85.67897500000001</c:v>
                </c:pt>
                <c:pt idx="4532">
                  <c:v>85.69188749999999</c:v>
                </c:pt>
                <c:pt idx="4533">
                  <c:v>85.7048</c:v>
                </c:pt>
                <c:pt idx="4534">
                  <c:v>85.71771249999999</c:v>
                </c:pt>
                <c:pt idx="4535">
                  <c:v>85.730625</c:v>
                </c:pt>
                <c:pt idx="4536">
                  <c:v>85.7435375</c:v>
                </c:pt>
                <c:pt idx="4537">
                  <c:v>85.75644999999999</c:v>
                </c:pt>
                <c:pt idx="4538">
                  <c:v>85.7693625</c:v>
                </c:pt>
                <c:pt idx="4539">
                  <c:v>85.782275</c:v>
                </c:pt>
                <c:pt idx="4540">
                  <c:v>85.7951875</c:v>
                </c:pt>
                <c:pt idx="4541">
                  <c:v>85.8081</c:v>
                </c:pt>
                <c:pt idx="4542">
                  <c:v>85.82101250000001</c:v>
                </c:pt>
                <c:pt idx="4543">
                  <c:v>85.833925</c:v>
                </c:pt>
                <c:pt idx="4544">
                  <c:v>85.84683749999999</c:v>
                </c:pt>
                <c:pt idx="4545">
                  <c:v>85.85975</c:v>
                </c:pt>
                <c:pt idx="4546">
                  <c:v>85.87266249999999</c:v>
                </c:pt>
                <c:pt idx="4547">
                  <c:v>85.885575</c:v>
                </c:pt>
                <c:pt idx="4548">
                  <c:v>85.8984875</c:v>
                </c:pt>
                <c:pt idx="4549">
                  <c:v>85.9114</c:v>
                </c:pt>
                <c:pt idx="4550">
                  <c:v>85.9243125</c:v>
                </c:pt>
                <c:pt idx="4551">
                  <c:v>85.937225</c:v>
                </c:pt>
                <c:pt idx="4552">
                  <c:v>85.9501375</c:v>
                </c:pt>
                <c:pt idx="4553">
                  <c:v>85.96305</c:v>
                </c:pt>
                <c:pt idx="4554">
                  <c:v>85.9759625</c:v>
                </c:pt>
                <c:pt idx="4555">
                  <c:v>85.988875</c:v>
                </c:pt>
                <c:pt idx="4556">
                  <c:v>86.0017875</c:v>
                </c:pt>
                <c:pt idx="4557">
                  <c:v>86.01469999999999</c:v>
                </c:pt>
                <c:pt idx="4558">
                  <c:v>86.0276125</c:v>
                </c:pt>
                <c:pt idx="4559">
                  <c:v>86.040525</c:v>
                </c:pt>
                <c:pt idx="4560">
                  <c:v>86.05343749999999</c:v>
                </c:pt>
                <c:pt idx="4561">
                  <c:v>86.06635</c:v>
                </c:pt>
                <c:pt idx="4562">
                  <c:v>86.0792625</c:v>
                </c:pt>
                <c:pt idx="4563">
                  <c:v>86.092175</c:v>
                </c:pt>
                <c:pt idx="4564">
                  <c:v>86.1050875</c:v>
                </c:pt>
                <c:pt idx="4565">
                  <c:v>86.11800000000001</c:v>
                </c:pt>
                <c:pt idx="4566">
                  <c:v>86.1309125</c:v>
                </c:pt>
                <c:pt idx="4567">
                  <c:v>86.14382499999999</c:v>
                </c:pt>
                <c:pt idx="4568">
                  <c:v>86.15673749999999</c:v>
                </c:pt>
                <c:pt idx="4569">
                  <c:v>86.16964999999999</c:v>
                </c:pt>
                <c:pt idx="4570">
                  <c:v>86.1825625</c:v>
                </c:pt>
                <c:pt idx="4571">
                  <c:v>86.195475</c:v>
                </c:pt>
                <c:pt idx="4572">
                  <c:v>86.2083875</c:v>
                </c:pt>
                <c:pt idx="4573">
                  <c:v>86.2213</c:v>
                </c:pt>
                <c:pt idx="4574">
                  <c:v>86.2342125</c:v>
                </c:pt>
                <c:pt idx="4575">
                  <c:v>86.247125</c:v>
                </c:pt>
                <c:pt idx="4576">
                  <c:v>86.2600375</c:v>
                </c:pt>
                <c:pt idx="4577">
                  <c:v>86.27295</c:v>
                </c:pt>
                <c:pt idx="4578">
                  <c:v>86.2858625</c:v>
                </c:pt>
                <c:pt idx="4579">
                  <c:v>86.298775</c:v>
                </c:pt>
                <c:pt idx="4580">
                  <c:v>86.31168749999999</c:v>
                </c:pt>
                <c:pt idx="4581">
                  <c:v>86.3246</c:v>
                </c:pt>
                <c:pt idx="4582">
                  <c:v>86.3375125</c:v>
                </c:pt>
                <c:pt idx="4583">
                  <c:v>86.35042499999999</c:v>
                </c:pt>
                <c:pt idx="4584">
                  <c:v>86.3633375</c:v>
                </c:pt>
                <c:pt idx="4585">
                  <c:v>86.37625</c:v>
                </c:pt>
                <c:pt idx="4586">
                  <c:v>86.3891625</c:v>
                </c:pt>
                <c:pt idx="4587">
                  <c:v>86.402075</c:v>
                </c:pt>
                <c:pt idx="4588">
                  <c:v>86.41498750000001</c:v>
                </c:pt>
                <c:pt idx="4589">
                  <c:v>86.4279</c:v>
                </c:pt>
                <c:pt idx="4590">
                  <c:v>86.44081249999999</c:v>
                </c:pt>
                <c:pt idx="4591">
                  <c:v>86.45372499999999</c:v>
                </c:pt>
                <c:pt idx="4592">
                  <c:v>86.46663749999999</c:v>
                </c:pt>
                <c:pt idx="4593">
                  <c:v>86.47955</c:v>
                </c:pt>
                <c:pt idx="4594">
                  <c:v>86.4924625</c:v>
                </c:pt>
                <c:pt idx="4595">
                  <c:v>86.505375</c:v>
                </c:pt>
                <c:pt idx="4596">
                  <c:v>86.5182875</c:v>
                </c:pt>
                <c:pt idx="4597">
                  <c:v>86.5312</c:v>
                </c:pt>
                <c:pt idx="4598">
                  <c:v>86.5441125</c:v>
                </c:pt>
                <c:pt idx="4599">
                  <c:v>86.557025</c:v>
                </c:pt>
                <c:pt idx="4600">
                  <c:v>86.5699375</c:v>
                </c:pt>
                <c:pt idx="4601">
                  <c:v>86.58285</c:v>
                </c:pt>
                <c:pt idx="4602">
                  <c:v>86.5957625</c:v>
                </c:pt>
                <c:pt idx="4603">
                  <c:v>86.60867499999999</c:v>
                </c:pt>
                <c:pt idx="4604">
                  <c:v>86.6215875</c:v>
                </c:pt>
                <c:pt idx="4605">
                  <c:v>86.6345</c:v>
                </c:pt>
                <c:pt idx="4606">
                  <c:v>86.64741249999999</c:v>
                </c:pt>
                <c:pt idx="4607">
                  <c:v>86.660325</c:v>
                </c:pt>
                <c:pt idx="4608">
                  <c:v>86.6732375</c:v>
                </c:pt>
                <c:pt idx="4609">
                  <c:v>86.68615</c:v>
                </c:pt>
                <c:pt idx="4610">
                  <c:v>86.6990625</c:v>
                </c:pt>
                <c:pt idx="4611">
                  <c:v>86.71197500000001</c:v>
                </c:pt>
                <c:pt idx="4612">
                  <c:v>86.7248875</c:v>
                </c:pt>
                <c:pt idx="4613">
                  <c:v>86.7378</c:v>
                </c:pt>
                <c:pt idx="4614">
                  <c:v>86.75071249999999</c:v>
                </c:pt>
                <c:pt idx="4615">
                  <c:v>86.76362499999999</c:v>
                </c:pt>
                <c:pt idx="4616">
                  <c:v>86.7765375</c:v>
                </c:pt>
                <c:pt idx="4617">
                  <c:v>86.78945</c:v>
                </c:pt>
                <c:pt idx="4618">
                  <c:v>86.8023625</c:v>
                </c:pt>
                <c:pt idx="4619">
                  <c:v>86.815275</c:v>
                </c:pt>
                <c:pt idx="4620">
                  <c:v>86.8281875</c:v>
                </c:pt>
                <c:pt idx="4621">
                  <c:v>86.8411</c:v>
                </c:pt>
                <c:pt idx="4622">
                  <c:v>86.8540125</c:v>
                </c:pt>
                <c:pt idx="4623">
                  <c:v>86.866925</c:v>
                </c:pt>
                <c:pt idx="4624">
                  <c:v>86.8798375</c:v>
                </c:pt>
                <c:pt idx="4625">
                  <c:v>86.89275</c:v>
                </c:pt>
                <c:pt idx="4626">
                  <c:v>86.90566249999999</c:v>
                </c:pt>
                <c:pt idx="4627">
                  <c:v>86.918575</c:v>
                </c:pt>
                <c:pt idx="4628">
                  <c:v>86.9314875</c:v>
                </c:pt>
                <c:pt idx="4629">
                  <c:v>86.94439999999999</c:v>
                </c:pt>
                <c:pt idx="4630">
                  <c:v>86.9573125</c:v>
                </c:pt>
                <c:pt idx="4631">
                  <c:v>86.970225</c:v>
                </c:pt>
                <c:pt idx="4632">
                  <c:v>86.9831375</c:v>
                </c:pt>
                <c:pt idx="4633">
                  <c:v>86.99605</c:v>
                </c:pt>
                <c:pt idx="4634">
                  <c:v>87.00896250000001</c:v>
                </c:pt>
                <c:pt idx="4635">
                  <c:v>87.021875</c:v>
                </c:pt>
                <c:pt idx="4636">
                  <c:v>87.0347875</c:v>
                </c:pt>
                <c:pt idx="4637">
                  <c:v>87.04769999999999</c:v>
                </c:pt>
                <c:pt idx="4638">
                  <c:v>87.06061249999999</c:v>
                </c:pt>
                <c:pt idx="4639">
                  <c:v>87.073525</c:v>
                </c:pt>
                <c:pt idx="4640">
                  <c:v>87.0864375</c:v>
                </c:pt>
                <c:pt idx="4641">
                  <c:v>87.09935</c:v>
                </c:pt>
                <c:pt idx="4642">
                  <c:v>87.1122625</c:v>
                </c:pt>
                <c:pt idx="4643">
                  <c:v>87.125175</c:v>
                </c:pt>
                <c:pt idx="4644">
                  <c:v>87.1380875</c:v>
                </c:pt>
                <c:pt idx="4645">
                  <c:v>87.151</c:v>
                </c:pt>
                <c:pt idx="4646">
                  <c:v>87.1639125</c:v>
                </c:pt>
                <c:pt idx="4647">
                  <c:v>87.176825</c:v>
                </c:pt>
                <c:pt idx="4648">
                  <c:v>87.1897375</c:v>
                </c:pt>
                <c:pt idx="4649">
                  <c:v>87.20264999999999</c:v>
                </c:pt>
                <c:pt idx="4650">
                  <c:v>87.2155625</c:v>
                </c:pt>
                <c:pt idx="4651">
                  <c:v>87.228475</c:v>
                </c:pt>
                <c:pt idx="4652">
                  <c:v>87.24138749999999</c:v>
                </c:pt>
                <c:pt idx="4653">
                  <c:v>87.2543</c:v>
                </c:pt>
                <c:pt idx="4654">
                  <c:v>87.2672125</c:v>
                </c:pt>
                <c:pt idx="4655">
                  <c:v>87.280125</c:v>
                </c:pt>
                <c:pt idx="4656">
                  <c:v>87.2930375</c:v>
                </c:pt>
                <c:pt idx="4657">
                  <c:v>87.30595000000001</c:v>
                </c:pt>
                <c:pt idx="4658">
                  <c:v>87.3188625</c:v>
                </c:pt>
                <c:pt idx="4659">
                  <c:v>87.331775</c:v>
                </c:pt>
                <c:pt idx="4660">
                  <c:v>87.34468749999999</c:v>
                </c:pt>
                <c:pt idx="4661">
                  <c:v>87.35759999999999</c:v>
                </c:pt>
                <c:pt idx="4662">
                  <c:v>87.3705125</c:v>
                </c:pt>
                <c:pt idx="4663">
                  <c:v>87.38342499999999</c:v>
                </c:pt>
                <c:pt idx="4664">
                  <c:v>87.3963375</c:v>
                </c:pt>
                <c:pt idx="4665">
                  <c:v>87.40925</c:v>
                </c:pt>
                <c:pt idx="4666">
                  <c:v>87.4221625</c:v>
                </c:pt>
                <c:pt idx="4667">
                  <c:v>87.435075</c:v>
                </c:pt>
                <c:pt idx="4668">
                  <c:v>87.4479875</c:v>
                </c:pt>
                <c:pt idx="4669">
                  <c:v>87.4609</c:v>
                </c:pt>
                <c:pt idx="4670">
                  <c:v>87.4738125</c:v>
                </c:pt>
                <c:pt idx="4671">
                  <c:v>87.486725</c:v>
                </c:pt>
                <c:pt idx="4672">
                  <c:v>87.49963749999999</c:v>
                </c:pt>
                <c:pt idx="4673">
                  <c:v>87.51255</c:v>
                </c:pt>
                <c:pt idx="4674">
                  <c:v>87.5254625</c:v>
                </c:pt>
                <c:pt idx="4675">
                  <c:v>87.53837499999999</c:v>
                </c:pt>
                <c:pt idx="4676">
                  <c:v>87.5512875</c:v>
                </c:pt>
                <c:pt idx="4677">
                  <c:v>87.56419999999999</c:v>
                </c:pt>
                <c:pt idx="4678">
                  <c:v>87.5771125</c:v>
                </c:pt>
                <c:pt idx="4679">
                  <c:v>87.590025</c:v>
                </c:pt>
                <c:pt idx="4680">
                  <c:v>87.60293750000001</c:v>
                </c:pt>
                <c:pt idx="4681">
                  <c:v>87.61585</c:v>
                </c:pt>
                <c:pt idx="4682">
                  <c:v>87.6287625</c:v>
                </c:pt>
                <c:pt idx="4683">
                  <c:v>87.64167499999999</c:v>
                </c:pt>
                <c:pt idx="4684">
                  <c:v>87.65458749999999</c:v>
                </c:pt>
                <c:pt idx="4685">
                  <c:v>87.6675</c:v>
                </c:pt>
                <c:pt idx="4686">
                  <c:v>87.68041249999999</c:v>
                </c:pt>
                <c:pt idx="4687">
                  <c:v>87.693325</c:v>
                </c:pt>
                <c:pt idx="4688">
                  <c:v>87.7062375</c:v>
                </c:pt>
                <c:pt idx="4689">
                  <c:v>87.71915</c:v>
                </c:pt>
                <c:pt idx="4690">
                  <c:v>87.7320625</c:v>
                </c:pt>
                <c:pt idx="4691">
                  <c:v>87.744975</c:v>
                </c:pt>
                <c:pt idx="4692">
                  <c:v>87.7578875</c:v>
                </c:pt>
                <c:pt idx="4693">
                  <c:v>87.7708</c:v>
                </c:pt>
                <c:pt idx="4694">
                  <c:v>87.78371250000001</c:v>
                </c:pt>
                <c:pt idx="4695">
                  <c:v>87.79662499999999</c:v>
                </c:pt>
                <c:pt idx="4696">
                  <c:v>87.8095375</c:v>
                </c:pt>
                <c:pt idx="4697">
                  <c:v>87.82245</c:v>
                </c:pt>
                <c:pt idx="4698">
                  <c:v>87.83536249999999</c:v>
                </c:pt>
                <c:pt idx="4699">
                  <c:v>87.848275</c:v>
                </c:pt>
                <c:pt idx="4700">
                  <c:v>87.86118749999999</c:v>
                </c:pt>
                <c:pt idx="4701">
                  <c:v>87.8741</c:v>
                </c:pt>
                <c:pt idx="4702">
                  <c:v>87.8870125</c:v>
                </c:pt>
                <c:pt idx="4703">
                  <c:v>87.89992500000001</c:v>
                </c:pt>
                <c:pt idx="4704">
                  <c:v>87.9128375</c:v>
                </c:pt>
                <c:pt idx="4705">
                  <c:v>87.92575</c:v>
                </c:pt>
                <c:pt idx="4706">
                  <c:v>87.93866249999999</c:v>
                </c:pt>
                <c:pt idx="4707">
                  <c:v>87.95157499999999</c:v>
                </c:pt>
                <c:pt idx="4708">
                  <c:v>87.9644875</c:v>
                </c:pt>
                <c:pt idx="4709">
                  <c:v>87.97739999999999</c:v>
                </c:pt>
                <c:pt idx="4710">
                  <c:v>87.9903125</c:v>
                </c:pt>
                <c:pt idx="4711">
                  <c:v>88.003225</c:v>
                </c:pt>
                <c:pt idx="4712">
                  <c:v>88.0161375</c:v>
                </c:pt>
                <c:pt idx="4713">
                  <c:v>88.02905</c:v>
                </c:pt>
                <c:pt idx="4714">
                  <c:v>88.0419625</c:v>
                </c:pt>
                <c:pt idx="4715">
                  <c:v>88.054875</c:v>
                </c:pt>
                <c:pt idx="4716">
                  <c:v>88.0677875</c:v>
                </c:pt>
                <c:pt idx="4717">
                  <c:v>88.08070000000001</c:v>
                </c:pt>
                <c:pt idx="4718">
                  <c:v>88.09361249999999</c:v>
                </c:pt>
                <c:pt idx="4719">
                  <c:v>88.106525</c:v>
                </c:pt>
                <c:pt idx="4720">
                  <c:v>88.1194375</c:v>
                </c:pt>
                <c:pt idx="4721">
                  <c:v>88.13234999999999</c:v>
                </c:pt>
                <c:pt idx="4722">
                  <c:v>88.1452625</c:v>
                </c:pt>
                <c:pt idx="4723">
                  <c:v>88.15817499999999</c:v>
                </c:pt>
                <c:pt idx="4724">
                  <c:v>88.1710875</c:v>
                </c:pt>
                <c:pt idx="4725">
                  <c:v>88.184</c:v>
                </c:pt>
                <c:pt idx="4726">
                  <c:v>88.19691250000001</c:v>
                </c:pt>
                <c:pt idx="4727">
                  <c:v>88.209825</c:v>
                </c:pt>
                <c:pt idx="4728">
                  <c:v>88.2227375</c:v>
                </c:pt>
                <c:pt idx="4729">
                  <c:v>88.23564999999999</c:v>
                </c:pt>
                <c:pt idx="4730">
                  <c:v>88.24856249999999</c:v>
                </c:pt>
                <c:pt idx="4731">
                  <c:v>88.261475</c:v>
                </c:pt>
                <c:pt idx="4732">
                  <c:v>88.27438749999999</c:v>
                </c:pt>
                <c:pt idx="4733">
                  <c:v>88.2873</c:v>
                </c:pt>
                <c:pt idx="4734">
                  <c:v>88.3002125</c:v>
                </c:pt>
                <c:pt idx="4735">
                  <c:v>88.313125</c:v>
                </c:pt>
                <c:pt idx="4736">
                  <c:v>88.3260375</c:v>
                </c:pt>
                <c:pt idx="4737">
                  <c:v>88.33895</c:v>
                </c:pt>
                <c:pt idx="4738">
                  <c:v>88.3518625</c:v>
                </c:pt>
                <c:pt idx="4739">
                  <c:v>88.364775</c:v>
                </c:pt>
                <c:pt idx="4740">
                  <c:v>88.37768750000001</c:v>
                </c:pt>
                <c:pt idx="4741">
                  <c:v>88.39059999999999</c:v>
                </c:pt>
                <c:pt idx="4742">
                  <c:v>88.4035125</c:v>
                </c:pt>
                <c:pt idx="4743">
                  <c:v>88.416425</c:v>
                </c:pt>
                <c:pt idx="4744">
                  <c:v>88.42933749999999</c:v>
                </c:pt>
                <c:pt idx="4745">
                  <c:v>88.44225</c:v>
                </c:pt>
                <c:pt idx="4746">
                  <c:v>88.45516249999999</c:v>
                </c:pt>
                <c:pt idx="4747">
                  <c:v>88.468075</c:v>
                </c:pt>
                <c:pt idx="4748">
                  <c:v>88.4809875</c:v>
                </c:pt>
                <c:pt idx="4749">
                  <c:v>88.4939</c:v>
                </c:pt>
                <c:pt idx="4750">
                  <c:v>88.5068125</c:v>
                </c:pt>
                <c:pt idx="4751">
                  <c:v>88.519725</c:v>
                </c:pt>
                <c:pt idx="4752">
                  <c:v>88.53263749999999</c:v>
                </c:pt>
                <c:pt idx="4753">
                  <c:v>88.54554999999999</c:v>
                </c:pt>
                <c:pt idx="4754">
                  <c:v>88.5584625</c:v>
                </c:pt>
                <c:pt idx="4755">
                  <c:v>88.57137499999999</c:v>
                </c:pt>
                <c:pt idx="4756">
                  <c:v>88.5842875</c:v>
                </c:pt>
                <c:pt idx="4757">
                  <c:v>88.5972</c:v>
                </c:pt>
                <c:pt idx="4758">
                  <c:v>88.6101125</c:v>
                </c:pt>
                <c:pt idx="4759">
                  <c:v>88.623025</c:v>
                </c:pt>
                <c:pt idx="4760">
                  <c:v>88.6359375</c:v>
                </c:pt>
                <c:pt idx="4761">
                  <c:v>88.64885</c:v>
                </c:pt>
                <c:pt idx="4762">
                  <c:v>88.6617625</c:v>
                </c:pt>
                <c:pt idx="4763">
                  <c:v>88.674675</c:v>
                </c:pt>
                <c:pt idx="4764">
                  <c:v>88.68758749999999</c:v>
                </c:pt>
                <c:pt idx="4765">
                  <c:v>88.7005</c:v>
                </c:pt>
                <c:pt idx="4766">
                  <c:v>88.7134125</c:v>
                </c:pt>
                <c:pt idx="4767">
                  <c:v>88.72632499999999</c:v>
                </c:pt>
                <c:pt idx="4768">
                  <c:v>88.7392375</c:v>
                </c:pt>
                <c:pt idx="4769">
                  <c:v>88.75214999999999</c:v>
                </c:pt>
                <c:pt idx="4770">
                  <c:v>88.7650625</c:v>
                </c:pt>
                <c:pt idx="4771">
                  <c:v>88.777975</c:v>
                </c:pt>
                <c:pt idx="4772">
                  <c:v>88.7908875</c:v>
                </c:pt>
                <c:pt idx="4773">
                  <c:v>88.8038</c:v>
                </c:pt>
                <c:pt idx="4774">
                  <c:v>88.8167125</c:v>
                </c:pt>
                <c:pt idx="4775">
                  <c:v>88.829625</c:v>
                </c:pt>
                <c:pt idx="4776">
                  <c:v>88.84253749999999</c:v>
                </c:pt>
                <c:pt idx="4777">
                  <c:v>88.85545</c:v>
                </c:pt>
                <c:pt idx="4778">
                  <c:v>88.86836249999999</c:v>
                </c:pt>
                <c:pt idx="4779">
                  <c:v>88.881275</c:v>
                </c:pt>
                <c:pt idx="4780">
                  <c:v>88.8941875</c:v>
                </c:pt>
                <c:pt idx="4781">
                  <c:v>88.9071</c:v>
                </c:pt>
                <c:pt idx="4782">
                  <c:v>88.9200125</c:v>
                </c:pt>
                <c:pt idx="4783">
                  <c:v>88.932925</c:v>
                </c:pt>
                <c:pt idx="4784">
                  <c:v>88.9458375</c:v>
                </c:pt>
                <c:pt idx="4785">
                  <c:v>88.95875</c:v>
                </c:pt>
                <c:pt idx="4786">
                  <c:v>88.9716625</c:v>
                </c:pt>
                <c:pt idx="4787">
                  <c:v>88.98457499999999</c:v>
                </c:pt>
                <c:pt idx="4788">
                  <c:v>88.9974875</c:v>
                </c:pt>
                <c:pt idx="4789">
                  <c:v>89.0104</c:v>
                </c:pt>
                <c:pt idx="4790">
                  <c:v>89.02331249999999</c:v>
                </c:pt>
                <c:pt idx="4791">
                  <c:v>89.036225</c:v>
                </c:pt>
                <c:pt idx="4792">
                  <c:v>89.04913749999999</c:v>
                </c:pt>
                <c:pt idx="4793">
                  <c:v>89.06205</c:v>
                </c:pt>
                <c:pt idx="4794">
                  <c:v>89.0749625</c:v>
                </c:pt>
                <c:pt idx="4795">
                  <c:v>89.087875</c:v>
                </c:pt>
                <c:pt idx="4796">
                  <c:v>89.1007875</c:v>
                </c:pt>
                <c:pt idx="4797">
                  <c:v>89.1137</c:v>
                </c:pt>
                <c:pt idx="4798">
                  <c:v>89.1266125</c:v>
                </c:pt>
                <c:pt idx="4799">
                  <c:v>89.13952499999999</c:v>
                </c:pt>
                <c:pt idx="4800">
                  <c:v>89.1524375</c:v>
                </c:pt>
                <c:pt idx="4801">
                  <c:v>89.16534999999999</c:v>
                </c:pt>
                <c:pt idx="4802">
                  <c:v>89.1782625</c:v>
                </c:pt>
                <c:pt idx="4803">
                  <c:v>89.191175</c:v>
                </c:pt>
                <c:pt idx="4804">
                  <c:v>89.2040875</c:v>
                </c:pt>
                <c:pt idx="4805">
                  <c:v>89.217</c:v>
                </c:pt>
                <c:pt idx="4806">
                  <c:v>89.2299125</c:v>
                </c:pt>
                <c:pt idx="4807">
                  <c:v>89.242825</c:v>
                </c:pt>
                <c:pt idx="4808">
                  <c:v>89.2557375</c:v>
                </c:pt>
                <c:pt idx="4809">
                  <c:v>89.26865</c:v>
                </c:pt>
                <c:pt idx="4810">
                  <c:v>89.28156249999999</c:v>
                </c:pt>
                <c:pt idx="4811">
                  <c:v>89.294475</c:v>
                </c:pt>
                <c:pt idx="4812">
                  <c:v>89.30738749999999</c:v>
                </c:pt>
                <c:pt idx="4813">
                  <c:v>89.32029999999999</c:v>
                </c:pt>
                <c:pt idx="4814">
                  <c:v>89.3332125</c:v>
                </c:pt>
                <c:pt idx="4815">
                  <c:v>89.34612499999999</c:v>
                </c:pt>
                <c:pt idx="4816">
                  <c:v>89.3590375</c:v>
                </c:pt>
                <c:pt idx="4817">
                  <c:v>89.37195</c:v>
                </c:pt>
                <c:pt idx="4818">
                  <c:v>89.3848625</c:v>
                </c:pt>
                <c:pt idx="4819">
                  <c:v>89.397775</c:v>
                </c:pt>
                <c:pt idx="4820">
                  <c:v>89.4106875</c:v>
                </c:pt>
                <c:pt idx="4821">
                  <c:v>89.4236</c:v>
                </c:pt>
                <c:pt idx="4822">
                  <c:v>89.43651249999999</c:v>
                </c:pt>
                <c:pt idx="4823">
                  <c:v>89.449425</c:v>
                </c:pt>
                <c:pt idx="4824">
                  <c:v>89.46233749999999</c:v>
                </c:pt>
                <c:pt idx="4825">
                  <c:v>89.47525</c:v>
                </c:pt>
                <c:pt idx="4826">
                  <c:v>89.4881625</c:v>
                </c:pt>
                <c:pt idx="4827">
                  <c:v>89.501075</c:v>
                </c:pt>
                <c:pt idx="4828">
                  <c:v>89.5139875</c:v>
                </c:pt>
                <c:pt idx="4829">
                  <c:v>89.5269</c:v>
                </c:pt>
                <c:pt idx="4830">
                  <c:v>89.5398125</c:v>
                </c:pt>
                <c:pt idx="4831">
                  <c:v>89.552725</c:v>
                </c:pt>
                <c:pt idx="4832">
                  <c:v>89.5656375</c:v>
                </c:pt>
                <c:pt idx="4833">
                  <c:v>89.57854999999999</c:v>
                </c:pt>
                <c:pt idx="4834">
                  <c:v>89.5914625</c:v>
                </c:pt>
                <c:pt idx="4835">
                  <c:v>89.60437499999999</c:v>
                </c:pt>
                <c:pt idx="4836">
                  <c:v>89.61728749999999</c:v>
                </c:pt>
                <c:pt idx="4837">
                  <c:v>89.6302</c:v>
                </c:pt>
                <c:pt idx="4838">
                  <c:v>89.64311249999999</c:v>
                </c:pt>
                <c:pt idx="4839">
                  <c:v>89.656025</c:v>
                </c:pt>
                <c:pt idx="4840">
                  <c:v>89.6689375</c:v>
                </c:pt>
                <c:pt idx="4841">
                  <c:v>89.68185</c:v>
                </c:pt>
                <c:pt idx="4842">
                  <c:v>89.6947625</c:v>
                </c:pt>
                <c:pt idx="4843">
                  <c:v>89.707675</c:v>
                </c:pt>
                <c:pt idx="4844">
                  <c:v>89.7205875</c:v>
                </c:pt>
                <c:pt idx="4845">
                  <c:v>89.73349999999999</c:v>
                </c:pt>
                <c:pt idx="4846">
                  <c:v>89.7464125</c:v>
                </c:pt>
                <c:pt idx="4847">
                  <c:v>89.75932499999999</c:v>
                </c:pt>
                <c:pt idx="4848">
                  <c:v>89.7722375</c:v>
                </c:pt>
                <c:pt idx="4849">
                  <c:v>89.78515</c:v>
                </c:pt>
                <c:pt idx="4850">
                  <c:v>89.7980625</c:v>
                </c:pt>
                <c:pt idx="4851">
                  <c:v>89.810975</c:v>
                </c:pt>
                <c:pt idx="4852">
                  <c:v>89.8238875</c:v>
                </c:pt>
                <c:pt idx="4853">
                  <c:v>89.8368</c:v>
                </c:pt>
                <c:pt idx="4854">
                  <c:v>89.8497125</c:v>
                </c:pt>
                <c:pt idx="4855">
                  <c:v>89.862625</c:v>
                </c:pt>
                <c:pt idx="4856">
                  <c:v>89.8755375</c:v>
                </c:pt>
                <c:pt idx="4857">
                  <c:v>89.88845</c:v>
                </c:pt>
                <c:pt idx="4858">
                  <c:v>89.90136249999999</c:v>
                </c:pt>
                <c:pt idx="4859">
                  <c:v>89.91427499999999</c:v>
                </c:pt>
                <c:pt idx="4860">
                  <c:v>89.9271875</c:v>
                </c:pt>
                <c:pt idx="4861">
                  <c:v>89.94009999999999</c:v>
                </c:pt>
                <c:pt idx="4862">
                  <c:v>89.9530125</c:v>
                </c:pt>
                <c:pt idx="4863">
                  <c:v>89.965925</c:v>
                </c:pt>
                <c:pt idx="4864">
                  <c:v>89.9788375</c:v>
                </c:pt>
                <c:pt idx="4865">
                  <c:v>89.99175</c:v>
                </c:pt>
                <c:pt idx="4866">
                  <c:v>90.0046625</c:v>
                </c:pt>
                <c:pt idx="4867">
                  <c:v>90.017575</c:v>
                </c:pt>
                <c:pt idx="4868">
                  <c:v>90.03048749999999</c:v>
                </c:pt>
                <c:pt idx="4869">
                  <c:v>90.0434</c:v>
                </c:pt>
                <c:pt idx="4870">
                  <c:v>90.05631249999999</c:v>
                </c:pt>
                <c:pt idx="4871">
                  <c:v>90.069225</c:v>
                </c:pt>
                <c:pt idx="4872">
                  <c:v>90.0821375</c:v>
                </c:pt>
                <c:pt idx="4873">
                  <c:v>90.09505</c:v>
                </c:pt>
                <c:pt idx="4874">
                  <c:v>90.1079625</c:v>
                </c:pt>
                <c:pt idx="4875">
                  <c:v>90.120875</c:v>
                </c:pt>
                <c:pt idx="4876">
                  <c:v>90.1337875</c:v>
                </c:pt>
                <c:pt idx="4877">
                  <c:v>90.1467</c:v>
                </c:pt>
                <c:pt idx="4878">
                  <c:v>90.1596125</c:v>
                </c:pt>
                <c:pt idx="4879">
                  <c:v>90.172525</c:v>
                </c:pt>
                <c:pt idx="4880">
                  <c:v>90.1854375</c:v>
                </c:pt>
                <c:pt idx="4881">
                  <c:v>90.19834999999999</c:v>
                </c:pt>
                <c:pt idx="4882">
                  <c:v>90.21126249999999</c:v>
                </c:pt>
                <c:pt idx="4883">
                  <c:v>90.224175</c:v>
                </c:pt>
                <c:pt idx="4884">
                  <c:v>90.23708749999999</c:v>
                </c:pt>
                <c:pt idx="4885">
                  <c:v>90.25</c:v>
                </c:pt>
              </c:numCache>
            </c:numRef>
          </c:xVal>
          <c:yVal>
            <c:numRef>
              <c:f>HANH_TRINH!$V$6:$V$4891</c:f>
              <c:numCache>
                <c:formatCode>General</c:formatCode>
                <c:ptCount val="4886"/>
                <c:pt idx="0">
                  <c:v>0.0</c:v>
                </c:pt>
                <c:pt idx="1">
                  <c:v>0.005855840670810166</c:v>
                </c:pt>
                <c:pt idx="2">
                  <c:v>0.011722671811889723</c:v>
                </c:pt>
                <c:pt idx="3">
                  <c:v>0.01760048205378502</c:v>
                </c:pt>
                <c:pt idx="4">
                  <c:v>0.023489260109200914</c:v>
                </c:pt>
                <c:pt idx="5">
                  <c:v>0.029388994772592034</c:v>
                </c:pt>
                <c:pt idx="6">
                  <c:v>0.035299674919757155</c:v>
                </c:pt>
                <c:pt idx="7">
                  <c:v>0.041221289507440056</c:v>
                </c:pt>
                <c:pt idx="8">
                  <c:v>0.04715382757293009</c:v>
                </c:pt>
                <c:pt idx="9">
                  <c:v>0.053097278233665786</c:v>
                </c:pt>
                <c:pt idx="10">
                  <c:v>0.0590516306868449</c:v>
                </c:pt>
                <c:pt idx="11">
                  <c:v>0.06501687420903406</c:v>
                </c:pt>
                <c:pt idx="12">
                  <c:v>0.07099299815578138</c:v>
                </c:pt>
                <c:pt idx="13">
                  <c:v>0.07697999196123542</c:v>
                </c:pt>
                <c:pt idx="14">
                  <c:v>0.08297784513776374</c:v>
                </c:pt>
                <c:pt idx="15">
                  <c:v>0.08898654727557423</c:v>
                </c:pt>
                <c:pt idx="16">
                  <c:v>0.09500608804234285</c:v>
                </c:pt>
                <c:pt idx="17">
                  <c:v>0.10103645718284078</c:v>
                </c:pt>
                <c:pt idx="18">
                  <c:v>0.10707764451856433</c:v>
                </c:pt>
                <c:pt idx="19">
                  <c:v>0.11312963994737119</c:v>
                </c:pt>
                <c:pt idx="20">
                  <c:v>0.11919243344311593</c:v>
                </c:pt>
                <c:pt idx="21">
                  <c:v>0.12526601505528837</c:v>
                </c:pt>
                <c:pt idx="22">
                  <c:v>0.13135037490865803</c:v>
                </c:pt>
                <c:pt idx="23">
                  <c:v>0.13744550320291793</c:v>
                </c:pt>
                <c:pt idx="24">
                  <c:v>0.14355139021233101</c:v>
                </c:pt>
                <c:pt idx="25">
                  <c:v>0.14966802628538273</c:v>
                </c:pt>
                <c:pt idx="26">
                  <c:v>0.15579540184443283</c:v>
                </c:pt>
                <c:pt idx="27">
                  <c:v>0.16193350738536977</c:v>
                </c:pt>
                <c:pt idx="28">
                  <c:v>0.16808233347727114</c:v>
                </c:pt>
                <c:pt idx="29">
                  <c:v>0.17424187076206293</c:v>
                </c:pt>
                <c:pt idx="30">
                  <c:v>0.1804121099541836</c:v>
                </c:pt>
                <c:pt idx="31">
                  <c:v>0.18659304184024836</c:v>
                </c:pt>
                <c:pt idx="32">
                  <c:v>0.19278465727871982</c:v>
                </c:pt>
                <c:pt idx="33">
                  <c:v>0.19898694719957785</c:v>
                </c:pt>
                <c:pt idx="34">
                  <c:v>0.20519990260399165</c:v>
                </c:pt>
                <c:pt idx="35">
                  <c:v>0.2114235145639979</c:v>
                </c:pt>
                <c:pt idx="36">
                  <c:v>0.21765777422217797</c:v>
                </c:pt>
                <c:pt idx="37">
                  <c:v>0.2239026727913373</c:v>
                </c:pt>
                <c:pt idx="38">
                  <c:v>0.23015820155419092</c:v>
                </c:pt>
                <c:pt idx="39">
                  <c:v>0.2364243518630477</c:v>
                </c:pt>
                <c:pt idx="40">
                  <c:v>0.242701115139497</c:v>
                </c:pt>
                <c:pt idx="41">
                  <c:v>0.24898848287410125</c:v>
                </c:pt>
                <c:pt idx="42">
                  <c:v>0.25528644662608724</c:v>
                </c:pt>
                <c:pt idx="43">
                  <c:v>0.26159499802303976</c:v>
                </c:pt>
                <c:pt idx="44">
                  <c:v>0.26791412876060106</c:v>
                </c:pt>
                <c:pt idx="45">
                  <c:v>0.27424383060216906</c:v>
                </c:pt>
                <c:pt idx="46">
                  <c:v>0.28058409537859774</c:v>
                </c:pt>
                <c:pt idx="47">
                  <c:v>0.28693491498790347</c:v>
                </c:pt>
                <c:pt idx="48">
                  <c:v>0.29329628139496977</c:v>
                </c:pt>
                <c:pt idx="49">
                  <c:v>0.2996681866312545</c:v>
                </c:pt>
                <c:pt idx="50">
                  <c:v>0.3060506227945027</c:v>
                </c:pt>
                <c:pt idx="51">
                  <c:v>0.3124435820484575</c:v>
                </c:pt>
                <c:pt idx="52">
                  <c:v>0.31884705662257595</c:v>
                </c:pt>
                <c:pt idx="53">
                  <c:v>0.32526103881174406</c:v>
                </c:pt>
                <c:pt idx="54">
                  <c:v>0.33168552097599835</c:v>
                </c:pt>
                <c:pt idx="55">
                  <c:v>0.33812049554024576</c:v>
                </c:pt>
                <c:pt idx="56">
                  <c:v>0.3445659549939857</c:v>
                </c:pt>
                <c:pt idx="57">
                  <c:v>0.3510218918910375</c:v>
                </c:pt>
                <c:pt idx="58">
                  <c:v>0.35748829884926697</c:v>
                </c:pt>
                <c:pt idx="59">
                  <c:v>0.3639651685503141</c:v>
                </c:pt>
                <c:pt idx="60">
                  <c:v>0.370452493739327</c:v>
                </c:pt>
                <c:pt idx="61">
                  <c:v>0.37695026722469416</c:v>
                </c:pt>
                <c:pt idx="62">
                  <c:v>0.38345848187777853</c:v>
                </c:pt>
                <c:pt idx="63">
                  <c:v>0.38997713063265727</c:v>
                </c:pt>
                <c:pt idx="64">
                  <c:v>0.3965062064858598</c:v>
                </c:pt>
                <c:pt idx="65">
                  <c:v>0.403045702496108</c:v>
                </c:pt>
                <c:pt idx="66">
                  <c:v>0.40959561178406145</c:v>
                </c:pt>
                <c:pt idx="67">
                  <c:v>0.41615592753206165</c:v>
                </c:pt>
                <c:pt idx="68">
                  <c:v>0.4227266429838776</c:v>
                </c:pt>
                <c:pt idx="69">
                  <c:v>0.429307751444457</c:v>
                </c:pt>
                <c:pt idx="70">
                  <c:v>0.43589924627967597</c:v>
                </c:pt>
                <c:pt idx="71">
                  <c:v>0.4425011209160903</c:v>
                </c:pt>
                <c:pt idx="72">
                  <c:v>0.44911336884069225</c:v>
                </c:pt>
                <c:pt idx="73">
                  <c:v>0.45573598360066575</c:v>
                </c:pt>
                <c:pt idx="74">
                  <c:v>0.462368958803143</c:v>
                </c:pt>
                <c:pt idx="75">
                  <c:v>0.4690122881149669</c:v>
                </c:pt>
                <c:pt idx="76">
                  <c:v>0.47566596526245164</c:v>
                </c:pt>
                <c:pt idx="77">
                  <c:v>0.4823299840311445</c:v>
                </c:pt>
                <c:pt idx="78">
                  <c:v>0.48900433826559386</c:v>
                </c:pt>
                <c:pt idx="79">
                  <c:v>0.4956890218691146</c:v>
                </c:pt>
                <c:pt idx="80">
                  <c:v>0.5023840288035558</c:v>
                </c:pt>
                <c:pt idx="81">
                  <c:v>0.5090893530890733</c:v>
                </c:pt>
                <c:pt idx="82">
                  <c:v>0.5158049888039009</c:v>
                </c:pt>
                <c:pt idx="83">
                  <c:v>0.5225309300841224</c:v>
                </c:pt>
                <c:pt idx="84">
                  <c:v>0.5292671711234502</c:v>
                </c:pt>
                <c:pt idx="85">
                  <c:v>0.5360137061730005</c:v>
                </c:pt>
                <c:pt idx="86">
                  <c:v>0.5427705295410712</c:v>
                </c:pt>
                <c:pt idx="87">
                  <c:v>0.549537635592925</c:v>
                </c:pt>
                <c:pt idx="88">
                  <c:v>0.5563150187505699</c:v>
                </c:pt>
                <c:pt idx="89">
                  <c:v>0.5631026734925416</c:v>
                </c:pt>
                <c:pt idx="90">
                  <c:v>0.5699005943536917</c:v>
                </c:pt>
                <c:pt idx="91">
                  <c:v>0.5767087759249728</c:v>
                </c:pt>
                <c:pt idx="92">
                  <c:v>0.5835272128532265</c:v>
                </c:pt>
                <c:pt idx="93">
                  <c:v>0.590355899840975</c:v>
                </c:pt>
                <c:pt idx="94">
                  <c:v>0.5971948316462122</c:v>
                </c:pt>
                <c:pt idx="95">
                  <c:v>0.6040440030821953</c:v>
                </c:pt>
                <c:pt idx="96">
                  <c:v>0.6109034090172422</c:v>
                </c:pt>
                <c:pt idx="97">
                  <c:v>0.6177730443745262</c:v>
                </c:pt>
                <c:pt idx="98">
                  <c:v>0.6246529041318728</c:v>
                </c:pt>
                <c:pt idx="99">
                  <c:v>0.6315429833215613</c:v>
                </c:pt>
                <c:pt idx="100">
                  <c:v>0.6384432770301246</c:v>
                </c:pt>
                <c:pt idx="101">
                  <c:v>0.6453537803981497</c:v>
                </c:pt>
                <c:pt idx="102">
                  <c:v>0.6522744886200844</c:v>
                </c:pt>
                <c:pt idx="103">
                  <c:v>0.6592053969440405</c:v>
                </c:pt>
                <c:pt idx="104">
                  <c:v>0.6661465006716014</c:v>
                </c:pt>
                <c:pt idx="105">
                  <c:v>0.6730977951576287</c:v>
                </c:pt>
                <c:pt idx="106">
                  <c:v>0.6800592758100743</c:v>
                </c:pt>
                <c:pt idx="107">
                  <c:v>0.6870309380897882</c:v>
                </c:pt>
                <c:pt idx="108">
                  <c:v>0.694012777510334</c:v>
                </c:pt>
                <c:pt idx="109">
                  <c:v>0.7010047896378006</c:v>
                </c:pt>
                <c:pt idx="110">
                  <c:v>0.7080069700906179</c:v>
                </c:pt>
                <c:pt idx="111">
                  <c:v>0.7150193145393738</c:v>
                </c:pt>
                <c:pt idx="112">
                  <c:v>0.7220418187066312</c:v>
                </c:pt>
                <c:pt idx="113">
                  <c:v>0.7290744783667474</c:v>
                </c:pt>
                <c:pt idx="114">
                  <c:v>0.7361172893456963</c:v>
                </c:pt>
                <c:pt idx="115">
                  <c:v>0.7431702475208886</c:v>
                </c:pt>
                <c:pt idx="116">
                  <c:v>0.7502333488209957</c:v>
                </c:pt>
                <c:pt idx="117">
                  <c:v>0.7573065892257751</c:v>
                </c:pt>
                <c:pt idx="118">
                  <c:v>0.7643899647658947</c:v>
                </c:pt>
                <c:pt idx="119">
                  <c:v>0.771483471522761</c:v>
                </c:pt>
                <c:pt idx="120">
                  <c:v>0.7785871056283487</c:v>
                </c:pt>
                <c:pt idx="121">
                  <c:v>0.7857008632650289</c:v>
                </c:pt>
                <c:pt idx="122">
                  <c:v>0.7928247406654013</c:v>
                </c:pt>
                <c:pt idx="123">
                  <c:v>0.7999587341121267</c:v>
                </c:pt>
                <c:pt idx="124">
                  <c:v>0.8071028399377588</c:v>
                </c:pt>
                <c:pt idx="125">
                  <c:v>0.8142570545245823</c:v>
                </c:pt>
                <c:pt idx="126">
                  <c:v>0.821421374304446</c:v>
                </c:pt>
                <c:pt idx="127">
                  <c:v>0.8285957957586026</c:v>
                </c:pt>
                <c:pt idx="128">
                  <c:v>0.8357803154175464</c:v>
                </c:pt>
                <c:pt idx="129">
                  <c:v>0.8429749298608533</c:v>
                </c:pt>
                <c:pt idx="130">
                  <c:v>0.8501796357170207</c:v>
                </c:pt>
                <c:pt idx="131">
                  <c:v>0.8573944296633123</c:v>
                </c:pt>
                <c:pt idx="132">
                  <c:v>0.8646193084256</c:v>
                </c:pt>
                <c:pt idx="133">
                  <c:v>0.8718542687782077</c:v>
                </c:pt>
                <c:pt idx="134">
                  <c:v>0.8790993075437598</c:v>
                </c:pt>
                <c:pt idx="135">
                  <c:v>0.8863544215930265</c:v>
                </c:pt>
                <c:pt idx="136">
                  <c:v>0.8936196078447711</c:v>
                </c:pt>
                <c:pt idx="137">
                  <c:v>0.9008948632656021</c:v>
                </c:pt>
                <c:pt idx="138">
                  <c:v>0.908180184869822</c:v>
                </c:pt>
                <c:pt idx="139">
                  <c:v>0.9154755697192779</c:v>
                </c:pt>
                <c:pt idx="140">
                  <c:v>0.9227810149232171</c:v>
                </c:pt>
                <c:pt idx="141">
                  <c:v>0.9300965176381395</c:v>
                </c:pt>
                <c:pt idx="142">
                  <c:v>0.9374220750676514</c:v>
                </c:pt>
                <c:pt idx="143">
                  <c:v>0.9447576844623244</c:v>
                </c:pt>
                <c:pt idx="144">
                  <c:v>0.9521033431195514</c:v>
                </c:pt>
                <c:pt idx="145">
                  <c:v>0.9594590483834031</c:v>
                </c:pt>
                <c:pt idx="146">
                  <c:v>0.9668247976444913</c:v>
                </c:pt>
                <c:pt idx="147">
                  <c:v>0.9742005883398268</c:v>
                </c:pt>
                <c:pt idx="148">
                  <c:v>0.9815864179526809</c:v>
                </c:pt>
                <c:pt idx="149">
                  <c:v>0.9889822840124497</c:v>
                </c:pt>
                <c:pt idx="150">
                  <c:v>0.9963881840945176</c:v>
                </c:pt>
                <c:pt idx="151">
                  <c:v>1.0038041158201199</c:v>
                </c:pt>
                <c:pt idx="152">
                  <c:v>1.011230076856212</c:v>
                </c:pt>
                <c:pt idx="153">
                  <c:v>1.0186660649153345</c:v>
                </c:pt>
                <c:pt idx="154">
                  <c:v>1.0261120777554804</c:v>
                </c:pt>
                <c:pt idx="155">
                  <c:v>1.033568113179966</c:v>
                </c:pt>
                <c:pt idx="156">
                  <c:v>1.0410341690373008</c:v>
                </c:pt>
                <c:pt idx="157">
                  <c:v>1.0485102432210556</c:v>
                </c:pt>
                <c:pt idx="158">
                  <c:v>1.0559963336697384</c:v>
                </c:pt>
                <c:pt idx="159">
                  <c:v>1.0634924383666662</c:v>
                </c:pt>
                <c:pt idx="160">
                  <c:v>1.070998555339837</c:v>
                </c:pt>
                <c:pt idx="161">
                  <c:v>1.0785146826618075</c:v>
                </c:pt>
                <c:pt idx="162">
                  <c:v>1.0860408184495691</c:v>
                </c:pt>
                <c:pt idx="163">
                  <c:v>1.093576960864422</c:v>
                </c:pt>
                <c:pt idx="164">
                  <c:v>1.1011231081118567</c:v>
                </c:pt>
                <c:pt idx="165">
                  <c:v>1.1086792584414316</c:v>
                </c:pt>
                <c:pt idx="166">
                  <c:v>1.1162454101466512</c:v>
                </c:pt>
                <c:pt idx="167">
                  <c:v>1.1238215615648504</c:v>
                </c:pt>
                <c:pt idx="168">
                  <c:v>1.131407711077074</c:v>
                </c:pt>
                <c:pt idx="169">
                  <c:v>1.1390038571079588</c:v>
                </c:pt>
                <c:pt idx="170">
                  <c:v>1.1466099981256201</c:v>
                </c:pt>
                <c:pt idx="171">
                  <c:v>1.1542261326415348</c:v>
                </c:pt>
                <c:pt idx="172">
                  <c:v>1.1618522592104255</c:v>
                </c:pt>
                <c:pt idx="173">
                  <c:v>1.1694883764301498</c:v>
                </c:pt>
                <c:pt idx="174">
                  <c:v>1.1771344829415866</c:v>
                </c:pt>
                <c:pt idx="175">
                  <c:v>1.1847905774285228</c:v>
                </c:pt>
                <c:pt idx="176">
                  <c:v>1.1924566586175451</c:v>
                </c:pt>
                <c:pt idx="177">
                  <c:v>1.2001327252779295</c:v>
                </c:pt>
                <c:pt idx="178">
                  <c:v>1.20781877622153</c:v>
                </c:pt>
                <c:pt idx="179">
                  <c:v>1.215514810302674</c:v>
                </c:pt>
                <c:pt idx="180">
                  <c:v>1.223220826418054</c:v>
                </c:pt>
                <c:pt idx="181">
                  <c:v>1.2309368235066178</c:v>
                </c:pt>
                <c:pt idx="182">
                  <c:v>1.2386628005494706</c:v>
                </c:pt>
                <c:pt idx="183">
                  <c:v>1.2463987565697623</c:v>
                </c:pt>
                <c:pt idx="184">
                  <c:v>1.254144690632588</c:v>
                </c:pt>
                <c:pt idx="185">
                  <c:v>1.2619006018448853</c:v>
                </c:pt>
                <c:pt idx="186">
                  <c:v>1.2696664893553322</c:v>
                </c:pt>
                <c:pt idx="187">
                  <c:v>1.2774423523542429</c:v>
                </c:pt>
                <c:pt idx="188">
                  <c:v>1.2852281900734732</c:v>
                </c:pt>
                <c:pt idx="189">
                  <c:v>1.2930240017863148</c:v>
                </c:pt>
                <c:pt idx="190">
                  <c:v>1.3008297868074015</c:v>
                </c:pt>
                <c:pt idx="191">
                  <c:v>1.3086455444926093</c:v>
                </c:pt>
                <c:pt idx="192">
                  <c:v>1.3164712742389588</c:v>
                </c:pt>
                <c:pt idx="193">
                  <c:v>1.32430697548452</c:v>
                </c:pt>
                <c:pt idx="194">
                  <c:v>1.3321526477083176</c:v>
                </c:pt>
                <c:pt idx="195">
                  <c:v>1.3400082904302364</c:v>
                </c:pt>
                <c:pt idx="196">
                  <c:v>1.3478739032109248</c:v>
                </c:pt>
                <c:pt idx="197">
                  <c:v>1.355749485651706</c:v>
                </c:pt>
                <c:pt idx="198">
                  <c:v>1.3636350373944839</c:v>
                </c:pt>
                <c:pt idx="199">
                  <c:v>1.3715305581216495</c:v>
                </c:pt>
                <c:pt idx="200">
                  <c:v>1.3794360475559961</c:v>
                </c:pt>
                <c:pt idx="201">
                  <c:v>1.3873515054606234</c:v>
                </c:pt>
                <c:pt idx="202">
                  <c:v>1.3952769316388522</c:v>
                </c:pt>
                <c:pt idx="203">
                  <c:v>1.403212325934136</c:v>
                </c:pt>
                <c:pt idx="204">
                  <c:v>1.411157688229971</c:v>
                </c:pt>
                <c:pt idx="205">
                  <c:v>1.4191130184498126</c:v>
                </c:pt>
                <c:pt idx="206">
                  <c:v>1.4270783165569887</c:v>
                </c:pt>
                <c:pt idx="207">
                  <c:v>1.4350535825546127</c:v>
                </c:pt>
                <c:pt idx="208">
                  <c:v>1.4430388164855001</c:v>
                </c:pt>
                <c:pt idx="209">
                  <c:v>1.451034018432087</c:v>
                </c:pt>
                <c:pt idx="210">
                  <c:v>1.4590391885163447</c:v>
                </c:pt>
                <c:pt idx="211">
                  <c:v>1.4670543268996967</c:v>
                </c:pt>
                <c:pt idx="212">
                  <c:v>1.475079433782942</c:v>
                </c:pt>
                <c:pt idx="213">
                  <c:v>1.4831145094061682</c:v>
                </c:pt>
                <c:pt idx="214">
                  <c:v>1.4911595540486764</c:v>
                </c:pt>
                <c:pt idx="215">
                  <c:v>1.4992145680289004</c:v>
                </c:pt>
                <c:pt idx="216">
                  <c:v>1.507279551704327</c:v>
                </c:pt>
                <c:pt idx="217">
                  <c:v>1.5153545054714184</c:v>
                </c:pt>
                <c:pt idx="218">
                  <c:v>1.5234394297655396</c:v>
                </c:pt>
                <c:pt idx="219">
                  <c:v>1.531534325060875</c:v>
                </c:pt>
                <c:pt idx="220">
                  <c:v>1.5396391918703567</c:v>
                </c:pt>
                <c:pt idx="221">
                  <c:v>1.5477540307455915</c:v>
                </c:pt>
                <c:pt idx="222">
                  <c:v>1.5558788422767817</c:v>
                </c:pt>
                <c:pt idx="223">
                  <c:v>1.5640136270926541</c:v>
                </c:pt>
                <c:pt idx="224">
                  <c:v>1.57215838586039</c:v>
                </c:pt>
                <c:pt idx="225">
                  <c:v>1.580313119285547</c:v>
                </c:pt>
                <c:pt idx="226">
                  <c:v>1.5884778281119913</c:v>
                </c:pt>
                <c:pt idx="227">
                  <c:v>1.596652513121829</c:v>
                </c:pt>
                <c:pt idx="228">
                  <c:v>1.6048371751353303</c:v>
                </c:pt>
                <c:pt idx="229">
                  <c:v>1.6130318150108633</c:v>
                </c:pt>
                <c:pt idx="230">
                  <c:v>1.6212364336448284</c:v>
                </c:pt>
                <c:pt idx="231">
                  <c:v>1.629451031971583</c:v>
                </c:pt>
                <c:pt idx="232">
                  <c:v>1.6376756109633785</c:v>
                </c:pt>
                <c:pt idx="233">
                  <c:v>1.6459101716302962</c:v>
                </c:pt>
                <c:pt idx="234">
                  <c:v>1.6541547150201743</c:v>
                </c:pt>
                <c:pt idx="235">
                  <c:v>1.6624092422185468</c:v>
                </c:pt>
                <c:pt idx="236">
                  <c:v>1.6706737543485808</c:v>
                </c:pt>
                <c:pt idx="237">
                  <c:v>1.6789482525710067</c:v>
                </c:pt>
                <c:pt idx="238">
                  <c:v>1.6872327380840573</c:v>
                </c:pt>
                <c:pt idx="239">
                  <c:v>1.6955272121234084</c:v>
                </c:pt>
                <c:pt idx="240">
                  <c:v>1.7038316759621108</c:v>
                </c:pt>
                <c:pt idx="241">
                  <c:v>1.7121461309105308</c:v>
                </c:pt>
                <c:pt idx="242">
                  <c:v>1.7204705783162932</c:v>
                </c:pt>
                <c:pt idx="243">
                  <c:v>1.7288050195642146</c:v>
                </c:pt>
                <c:pt idx="244">
                  <c:v>1.7371494560762466</c:v>
                </c:pt>
                <c:pt idx="245">
                  <c:v>1.7455038893114199</c:v>
                </c:pt>
                <c:pt idx="246">
                  <c:v>1.7538683207657797</c:v>
                </c:pt>
                <c:pt idx="247">
                  <c:v>1.7622427519723312</c:v>
                </c:pt>
                <c:pt idx="248">
                  <c:v>1.7706271845009853</c:v>
                </c:pt>
                <c:pt idx="249">
                  <c:v>1.7790216199584958</c:v>
                </c:pt>
                <c:pt idx="250">
                  <c:v>1.7874260599884066</c:v>
                </c:pt>
                <c:pt idx="251">
                  <c:v>1.7958405062709994</c:v>
                </c:pt>
                <c:pt idx="252">
                  <c:v>1.8042649605232328</c:v>
                </c:pt>
                <c:pt idx="253">
                  <c:v>1.812699424498691</c:v>
                </c:pt>
                <c:pt idx="254">
                  <c:v>1.8211438999875333</c:v>
                </c:pt>
                <c:pt idx="255">
                  <c:v>1.829598388816436</c:v>
                </c:pt>
                <c:pt idx="256">
                  <c:v>1.8380628928485414</c:v>
                </c:pt>
                <c:pt idx="257">
                  <c:v>1.8465374139834108</c:v>
                </c:pt>
                <c:pt idx="258">
                  <c:v>1.8550219541569655</c:v>
                </c:pt>
                <c:pt idx="259">
                  <c:v>1.8635165153414406</c:v>
                </c:pt>
                <c:pt idx="260">
                  <c:v>1.872021099545338</c:v>
                </c:pt>
                <c:pt idx="261">
                  <c:v>1.8805357088133685</c:v>
                </c:pt>
                <c:pt idx="262">
                  <c:v>1.8890603452264128</c:v>
                </c:pt>
                <c:pt idx="263">
                  <c:v>1.8975950109014637</c:v>
                </c:pt>
                <c:pt idx="264">
                  <c:v>1.9061397079915887</c:v>
                </c:pt>
                <c:pt idx="265">
                  <c:v>1.9146944386858695</c:v>
                </c:pt>
                <c:pt idx="266">
                  <c:v>1.9232592052093709</c:v>
                </c:pt>
                <c:pt idx="267">
                  <c:v>1.9318340098230824</c:v>
                </c:pt>
                <c:pt idx="268">
                  <c:v>1.9404188548238779</c:v>
                </c:pt>
                <c:pt idx="269">
                  <c:v>1.9490137425444731</c:v>
                </c:pt>
                <c:pt idx="270">
                  <c:v>1.9576186753533757</c:v>
                </c:pt>
                <c:pt idx="271">
                  <c:v>1.9662336556548443</c:v>
                </c:pt>
                <c:pt idx="272">
                  <c:v>1.9748586858888482</c:v>
                </c:pt>
                <c:pt idx="273">
                  <c:v>1.9834937685310177</c:v>
                </c:pt>
                <c:pt idx="274">
                  <c:v>1.9921389060926107</c:v>
                </c:pt>
                <c:pt idx="275">
                  <c:v>2.000794101120462</c:v>
                </c:pt>
                <c:pt idx="276">
                  <c:v>2.0094593561969516</c:v>
                </c:pt>
                <c:pt idx="277">
                  <c:v>2.0181346739399557</c:v>
                </c:pt>
                <c:pt idx="278">
                  <c:v>2.0268200570028125</c:v>
                </c:pt>
                <c:pt idx="279">
                  <c:v>2.0355155080742806</c:v>
                </c:pt>
                <c:pt idx="280">
                  <c:v>2.044221029878499</c:v>
                </c:pt>
                <c:pt idx="281">
                  <c:v>2.052936625174955</c:v>
                </c:pt>
                <c:pt idx="282">
                  <c:v>2.061662296758436</c:v>
                </c:pt>
                <c:pt idx="283">
                  <c:v>2.070398047459001</c:v>
                </c:pt>
                <c:pt idx="284">
                  <c:v>2.079143880141942</c:v>
                </c:pt>
                <c:pt idx="285">
                  <c:v>2.087899797707745</c:v>
                </c:pt>
                <c:pt idx="286">
                  <c:v>2.0966658030920544</c:v>
                </c:pt>
                <c:pt idx="287">
                  <c:v>2.105441899265643</c:v>
                </c:pt>
                <c:pt idx="288">
                  <c:v>2.1142280892343743</c:v>
                </c:pt>
                <c:pt idx="289">
                  <c:v>2.1230243760391643</c:v>
                </c:pt>
                <c:pt idx="290">
                  <c:v>2.131830762755953</c:v>
                </c:pt>
                <c:pt idx="291">
                  <c:v>2.140647252495673</c:v>
                </c:pt>
                <c:pt idx="292">
                  <c:v>2.1494738484042095</c:v>
                </c:pt>
                <c:pt idx="293">
                  <c:v>2.158310553662375</c:v>
                </c:pt>
                <c:pt idx="294">
                  <c:v>2.167157371485878</c:v>
                </c:pt>
                <c:pt idx="295">
                  <c:v>2.1760143051252827</c:v>
                </c:pt>
                <c:pt idx="296">
                  <c:v>2.184881357865992</c:v>
                </c:pt>
                <c:pt idx="297">
                  <c:v>2.19375853302821</c:v>
                </c:pt>
                <c:pt idx="298">
                  <c:v>2.202645833966907</c:v>
                </c:pt>
                <c:pt idx="299">
                  <c:v>2.211543264071804</c:v>
                </c:pt>
                <c:pt idx="300">
                  <c:v>2.220450826767335</c:v>
                </c:pt>
                <c:pt idx="301">
                  <c:v>2.2293685255126197</c:v>
                </c:pt>
                <c:pt idx="302">
                  <c:v>2.238296363801436</c:v>
                </c:pt>
                <c:pt idx="303">
                  <c:v>2.247234345162199</c:v>
                </c:pt>
                <c:pt idx="304">
                  <c:v>2.2561824731579256</c:v>
                </c:pt>
                <c:pt idx="305">
                  <c:v>2.2651407513862125</c:v>
                </c:pt>
                <c:pt idx="306">
                  <c:v>2.2741091834792155</c:v>
                </c:pt>
                <c:pt idx="307">
                  <c:v>2.283087773103612</c:v>
                </c:pt>
                <c:pt idx="308">
                  <c:v>2.2920765239605903</c:v>
                </c:pt>
                <c:pt idx="309">
                  <c:v>2.3010754397858197</c:v>
                </c:pt>
                <c:pt idx="310">
                  <c:v>2.31008452434942</c:v>
                </c:pt>
                <c:pt idx="311">
                  <c:v>2.3191037814559516</c:v>
                </c:pt>
                <c:pt idx="312">
                  <c:v>2.3281332149443847</c:v>
                </c:pt>
                <c:pt idx="313">
                  <c:v>2.3371728286880766</c:v>
                </c:pt>
                <c:pt idx="314">
                  <c:v>2.346222626594752</c:v>
                </c:pt>
                <c:pt idx="315">
                  <c:v>2.3552826126064854</c:v>
                </c:pt>
                <c:pt idx="316">
                  <c:v>2.364352790699673</c:v>
                </c:pt>
                <c:pt idx="317">
                  <c:v>2.373433164885017</c:v>
                </c:pt>
                <c:pt idx="318">
                  <c:v>2.3825237392075076</c:v>
                </c:pt>
                <c:pt idx="319">
                  <c:v>2.391624517746398</c:v>
                </c:pt>
                <c:pt idx="320">
                  <c:v>2.4007355046151884</c:v>
                </c:pt>
                <c:pt idx="321">
                  <c:v>2.409856703961613</c:v>
                </c:pt>
                <c:pt idx="322">
                  <c:v>2.418988119967609</c:v>
                </c:pt>
                <c:pt idx="323">
                  <c:v>2.4281297568493128</c:v>
                </c:pt>
                <c:pt idx="324">
                  <c:v>2.4372816188570376</c:v>
                </c:pt>
                <c:pt idx="325">
                  <c:v>2.446443710275253</c:v>
                </c:pt>
                <c:pt idx="326">
                  <c:v>2.455616035422574</c:v>
                </c:pt>
                <c:pt idx="327">
                  <c:v>2.464798598651745</c:v>
                </c:pt>
                <c:pt idx="328">
                  <c:v>2.4739914043496225</c:v>
                </c:pt>
                <c:pt idx="329">
                  <c:v>2.4831944569371602</c:v>
                </c:pt>
                <c:pt idx="330">
                  <c:v>2.492407760869399</c:v>
                </c:pt>
                <c:pt idx="331">
                  <c:v>2.501631320635448</c:v>
                </c:pt>
                <c:pt idx="332">
                  <c:v>2.5108651407584723</c:v>
                </c:pt>
                <c:pt idx="333">
                  <c:v>2.5201092257956845</c:v>
                </c:pt>
                <c:pt idx="334">
                  <c:v>2.529363580338326</c:v>
                </c:pt>
                <c:pt idx="335">
                  <c:v>2.5386282090116574</c:v>
                </c:pt>
                <c:pt idx="336">
                  <c:v>2.547903116474952</c:v>
                </c:pt>
                <c:pt idx="337">
                  <c:v>2.5571883074214754</c:v>
                </c:pt>
                <c:pt idx="338">
                  <c:v>2.5664837865784804</c:v>
                </c:pt>
                <c:pt idx="339">
                  <c:v>2.575789558707199</c:v>
                </c:pt>
                <c:pt idx="340">
                  <c:v>2.5851056286028267</c:v>
                </c:pt>
                <c:pt idx="341">
                  <c:v>2.5944320010945154</c:v>
                </c:pt>
                <c:pt idx="342">
                  <c:v>2.6037686810453695</c:v>
                </c:pt>
                <c:pt idx="343">
                  <c:v>2.6131156733524294</c:v>
                </c:pt>
                <c:pt idx="344">
                  <c:v>2.6224729829466673</c:v>
                </c:pt>
                <c:pt idx="345">
                  <c:v>2.6318406147929836</c:v>
                </c:pt>
                <c:pt idx="346">
                  <c:v>2.6412185738901917</c:v>
                </c:pt>
                <c:pt idx="347">
                  <c:v>2.6506068652710155</c:v>
                </c:pt>
                <c:pt idx="348">
                  <c:v>2.660005494002087</c:v>
                </c:pt>
                <c:pt idx="349">
                  <c:v>2.6694144651839338</c:v>
                </c:pt>
                <c:pt idx="350">
                  <c:v>2.6788337839509744</c:v>
                </c:pt>
                <c:pt idx="351">
                  <c:v>2.688263455471521</c:v>
                </c:pt>
                <c:pt idx="352">
                  <c:v>2.6977034849477644</c:v>
                </c:pt>
                <c:pt idx="353">
                  <c:v>2.707153877615776</c:v>
                </c:pt>
                <c:pt idx="354">
                  <c:v>2.7166146387455057</c:v>
                </c:pt>
                <c:pt idx="355">
                  <c:v>2.7260857736407726</c:v>
                </c:pt>
                <c:pt idx="356">
                  <c:v>2.735567287639266</c:v>
                </c:pt>
                <c:pt idx="357">
                  <c:v>2.7450591861125453</c:v>
                </c:pt>
                <c:pt idx="358">
                  <c:v>2.7545614744660325</c:v>
                </c:pt>
                <c:pt idx="359">
                  <c:v>2.764074158139014</c:v>
                </c:pt>
                <c:pt idx="360">
                  <c:v>2.773597242604641</c:v>
                </c:pt>
                <c:pt idx="361">
                  <c:v>2.7831307333699247</c:v>
                </c:pt>
                <c:pt idx="362">
                  <c:v>2.7926746359757377</c:v>
                </c:pt>
                <c:pt idx="363">
                  <c:v>2.8022289559968185</c:v>
                </c:pt>
                <c:pt idx="364">
                  <c:v>2.8117936990417642</c:v>
                </c:pt>
                <c:pt idx="365">
                  <c:v>2.821368870753036</c:v>
                </c:pt>
                <c:pt idx="366">
                  <c:v>2.8309544768069634</c:v>
                </c:pt>
                <c:pt idx="367">
                  <c:v>2.84055052291374</c:v>
                </c:pt>
                <c:pt idx="368">
                  <c:v>2.8501570148174284</c:v>
                </c:pt>
                <c:pt idx="369">
                  <c:v>2.859773958295966</c:v>
                </c:pt>
                <c:pt idx="370">
                  <c:v>2.869401359161162</c:v>
                </c:pt>
                <c:pt idx="371">
                  <c:v>2.879039223258705</c:v>
                </c:pt>
                <c:pt idx="372">
                  <c:v>2.8886875564681684</c:v>
                </c:pt>
                <c:pt idx="373">
                  <c:v>2.89834636470301</c:v>
                </c:pt>
                <c:pt idx="374">
                  <c:v>2.908015653910579</c:v>
                </c:pt>
                <c:pt idx="375">
                  <c:v>2.9176954300721234</c:v>
                </c:pt>
                <c:pt idx="376">
                  <c:v>2.9273856992027927</c:v>
                </c:pt>
                <c:pt idx="377">
                  <c:v>2.9370864673516426</c:v>
                </c:pt>
                <c:pt idx="378">
                  <c:v>2.9467977406016472</c:v>
                </c:pt>
                <c:pt idx="379">
                  <c:v>2.9565195250697034</c:v>
                </c:pt>
                <c:pt idx="380">
                  <c:v>2.966251826906629</c:v>
                </c:pt>
                <c:pt idx="381">
                  <c:v>2.9759946522971865</c:v>
                </c:pt>
                <c:pt idx="382">
                  <c:v>2.9857480074600824</c:v>
                </c:pt>
                <c:pt idx="383">
                  <c:v>2.9955118986479694</c:v>
                </c:pt>
                <c:pt idx="384">
                  <c:v>3.0052863321474703</c:v>
                </c:pt>
                <c:pt idx="385">
                  <c:v>3.0150713142791745</c:v>
                </c:pt>
                <c:pt idx="386">
                  <c:v>3.024866851397652</c:v>
                </c:pt>
                <c:pt idx="387">
                  <c:v>3.0346729498914686</c:v>
                </c:pt>
                <c:pt idx="388">
                  <c:v>3.044489616183187</c:v>
                </c:pt>
                <c:pt idx="389">
                  <c:v>3.0543168567293826</c:v>
                </c:pt>
                <c:pt idx="390">
                  <c:v>3.064154678020658</c:v>
                </c:pt>
                <c:pt idx="391">
                  <c:v>3.074003086581649</c:v>
                </c:pt>
                <c:pt idx="392">
                  <c:v>3.0838620889710366</c:v>
                </c:pt>
                <c:pt idx="393">
                  <c:v>3.093731691781568</c:v>
                </c:pt>
                <c:pt idx="394">
                  <c:v>3.103611901640059</c:v>
                </c:pt>
                <c:pt idx="395">
                  <c:v>3.1135027252074114</c:v>
                </c:pt>
                <c:pt idx="396">
                  <c:v>3.123404169178632</c:v>
                </c:pt>
                <c:pt idx="397">
                  <c:v>3.1333162402828374</c:v>
                </c:pt>
                <c:pt idx="398">
                  <c:v>3.143238945283273</c:v>
                </c:pt>
                <c:pt idx="399">
                  <c:v>3.1531722909773334</c:v>
                </c:pt>
                <c:pt idx="400">
                  <c:v>3.1631162841965663</c:v>
                </c:pt>
                <c:pt idx="401">
                  <c:v>3.1730709318066963</c:v>
                </c:pt>
                <c:pt idx="402">
                  <c:v>3.183036240707641</c:v>
                </c:pt>
                <c:pt idx="403">
                  <c:v>3.1930122178335267</c:v>
                </c:pt>
                <c:pt idx="404">
                  <c:v>3.202998870152698</c:v>
                </c:pt>
                <c:pt idx="405">
                  <c:v>3.212996204667747</c:v>
                </c:pt>
                <c:pt idx="406">
                  <c:v>3.2230042284155282</c:v>
                </c:pt>
                <c:pt idx="407">
                  <c:v>3.2330229484671644</c:v>
                </c:pt>
                <c:pt idx="408">
                  <c:v>3.243052371928084</c:v>
                </c:pt>
                <c:pt idx="409">
                  <c:v>3.2530925059380285</c:v>
                </c:pt>
                <c:pt idx="410">
                  <c:v>3.263143357671072</c:v>
                </c:pt>
                <c:pt idx="411">
                  <c:v>3.2732049343356437</c:v>
                </c:pt>
                <c:pt idx="412">
                  <c:v>3.283277243174551</c:v>
                </c:pt>
                <c:pt idx="413">
                  <c:v>3.2933602914649933</c:v>
                </c:pt>
                <c:pt idx="414">
                  <c:v>3.3034540865185864</c:v>
                </c:pt>
                <c:pt idx="415">
                  <c:v>3.313558635681385</c:v>
                </c:pt>
                <c:pt idx="416">
                  <c:v>3.3236739463339013</c:v>
                </c:pt>
                <c:pt idx="417">
                  <c:v>3.3338000258911333</c:v>
                </c:pt>
                <c:pt idx="418">
                  <c:v>3.3439368818025783</c:v>
                </c:pt>
                <c:pt idx="419">
                  <c:v>3.3540845215522617</c:v>
                </c:pt>
                <c:pt idx="420">
                  <c:v>3.364242952658762</c:v>
                </c:pt>
                <c:pt idx="421">
                  <c:v>3.374412182675229</c:v>
                </c:pt>
                <c:pt idx="422">
                  <c:v>3.3845922191894107</c:v>
                </c:pt>
                <c:pt idx="423">
                  <c:v>3.3947830698236805</c:v>
                </c:pt>
                <c:pt idx="424">
                  <c:v>3.4049847422350568</c:v>
                </c:pt>
                <c:pt idx="425">
                  <c:v>3.4151972441152307</c:v>
                </c:pt>
                <c:pt idx="426">
                  <c:v>3.4254205831905944</c:v>
                </c:pt>
                <c:pt idx="427">
                  <c:v>3.4356547672222666</c:v>
                </c:pt>
                <c:pt idx="428">
                  <c:v>3.445899804006109</c:v>
                </c:pt>
                <c:pt idx="429">
                  <c:v>3.45615570137277</c:v>
                </c:pt>
                <c:pt idx="430">
                  <c:v>3.466422467187703</c:v>
                </c:pt>
                <c:pt idx="431">
                  <c:v>3.476700109351187</c:v>
                </c:pt>
                <c:pt idx="432">
                  <c:v>3.48698863579837</c:v>
                </c:pt>
                <c:pt idx="433">
                  <c:v>3.4972880544992897</c:v>
                </c:pt>
                <c:pt idx="434">
                  <c:v>3.5075983734588987</c:v>
                </c:pt>
                <c:pt idx="435">
                  <c:v>3.5179196007170983</c:v>
                </c:pt>
                <c:pt idx="436">
                  <c:v>3.528251744348771</c:v>
                </c:pt>
                <c:pt idx="437">
                  <c:v>3.538594812463804</c:v>
                </c:pt>
                <c:pt idx="438">
                  <c:v>3.5489488132071214</c:v>
                </c:pt>
                <c:pt idx="439">
                  <c:v>3.5593137547587217</c:v>
                </c:pt>
                <c:pt idx="440">
                  <c:v>3.5696896453336997</c:v>
                </c:pt>
                <c:pt idx="441">
                  <c:v>3.580076493182283</c:v>
                </c:pt>
                <c:pt idx="442">
                  <c:v>3.590474306589864</c:v>
                </c:pt>
                <c:pt idx="443">
                  <c:v>3.60088309387703</c:v>
                </c:pt>
                <c:pt idx="444">
                  <c:v>3.6113028633996023</c:v>
                </c:pt>
                <c:pt idx="445">
                  <c:v>3.62173362354866</c:v>
                </c:pt>
                <c:pt idx="446">
                  <c:v>3.6321753827505803</c:v>
                </c:pt>
                <c:pt idx="447">
                  <c:v>3.642628149467073</c:v>
                </c:pt>
                <c:pt idx="448">
                  <c:v>3.6530919321952102</c:v>
                </c:pt>
                <c:pt idx="449">
                  <c:v>3.663566739467463</c:v>
                </c:pt>
                <c:pt idx="450">
                  <c:v>3.674052579851741</c:v>
                </c:pt>
                <c:pt idx="451">
                  <c:v>3.6845494619514243</c:v>
                </c:pt>
                <c:pt idx="452">
                  <c:v>3.6950573944053935</c:v>
                </c:pt>
                <c:pt idx="453">
                  <c:v>3.7055763858880795</c:v>
                </c:pt>
                <c:pt idx="454">
                  <c:v>3.716106445109493</c:v>
                </c:pt>
                <c:pt idx="455">
                  <c:v>3.7266475808152544</c:v>
                </c:pt>
                <c:pt idx="456">
                  <c:v>3.7371998017866463</c:v>
                </c:pt>
                <c:pt idx="457">
                  <c:v>3.7477631168406442</c:v>
                </c:pt>
                <c:pt idx="458">
                  <c:v>3.758337534829951</c:v>
                </c:pt>
                <c:pt idx="459">
                  <c:v>3.7689230646430403</c:v>
                </c:pt>
                <c:pt idx="460">
                  <c:v>3.779519715204199</c:v>
                </c:pt>
                <c:pt idx="461">
                  <c:v>3.790127495473559</c:v>
                </c:pt>
                <c:pt idx="462">
                  <c:v>3.800746414447142</c:v>
                </c:pt>
                <c:pt idx="463">
                  <c:v>3.811376481156903</c:v>
                </c:pt>
                <c:pt idx="464">
                  <c:v>3.8220177046707624</c:v>
                </c:pt>
                <c:pt idx="465">
                  <c:v>3.8326700940926535</c:v>
                </c:pt>
                <c:pt idx="466">
                  <c:v>3.8433336585625666</c:v>
                </c:pt>
                <c:pt idx="467">
                  <c:v>3.8540084072565834</c:v>
                </c:pt>
                <c:pt idx="468">
                  <c:v>3.864694349386923</c:v>
                </c:pt>
                <c:pt idx="469">
                  <c:v>3.8753914942019896</c:v>
                </c:pt>
                <c:pt idx="470">
                  <c:v>3.8860998509864073</c:v>
                </c:pt>
                <c:pt idx="471">
                  <c:v>3.896819429061069</c:v>
                </c:pt>
                <c:pt idx="472">
                  <c:v>3.9075502377831794</c:v>
                </c:pt>
                <c:pt idx="473">
                  <c:v>3.918292286546298</c:v>
                </c:pt>
                <c:pt idx="474">
                  <c:v>3.929045584780388</c:v>
                </c:pt>
                <c:pt idx="475">
                  <c:v>3.93981014195186</c:v>
                </c:pt>
                <c:pt idx="476">
                  <c:v>3.9505859675636095</c:v>
                </c:pt>
                <c:pt idx="477">
                  <c:v>3.961373071155077</c:v>
                </c:pt>
                <c:pt idx="478">
                  <c:v>3.972171462302288</c:v>
                </c:pt>
                <c:pt idx="479">
                  <c:v>3.982981150617892</c:v>
                </c:pt>
                <c:pt idx="480">
                  <c:v>3.993802145751225</c:v>
                </c:pt>
                <c:pt idx="481">
                  <c:v>4.004634457388348</c:v>
                </c:pt>
                <c:pt idx="482">
                  <c:v>4.015478095252095</c:v>
                </c:pt>
                <c:pt idx="483">
                  <c:v>4.026333069102122</c:v>
                </c:pt>
                <c:pt idx="484">
                  <c:v>4.037199388734963</c:v>
                </c:pt>
                <c:pt idx="485">
                  <c:v>4.048077063984067</c:v>
                </c:pt>
                <c:pt idx="486">
                  <c:v>4.0589661047198575</c:v>
                </c:pt>
                <c:pt idx="487">
                  <c:v>4.069866520849781</c:v>
                </c:pt>
                <c:pt idx="488">
                  <c:v>4.080778322318354</c:v>
                </c:pt>
                <c:pt idx="489">
                  <c:v>4.091701519107215</c:v>
                </c:pt>
                <c:pt idx="490">
                  <c:v>4.1026361212351805</c:v>
                </c:pt>
                <c:pt idx="491">
                  <c:v>4.113582138758293</c:v>
                </c:pt>
                <c:pt idx="492">
                  <c:v>4.12453958176987</c:v>
                </c:pt>
                <c:pt idx="493">
                  <c:v>4.135508460400565</c:v>
                </c:pt>
                <c:pt idx="494">
                  <c:v>4.146488784818415</c:v>
                </c:pt>
                <c:pt idx="495">
                  <c:v>4.157480565228892</c:v>
                </c:pt>
                <c:pt idx="496">
                  <c:v>4.168483811874964</c:v>
                </c:pt>
                <c:pt idx="497">
                  <c:v>4.179498535037142</c:v>
                </c:pt>
                <c:pt idx="498">
                  <c:v>4.19052474503354</c:v>
                </c:pt>
                <c:pt idx="499">
                  <c:v>4.201562452219929</c:v>
                </c:pt>
                <c:pt idx="500">
                  <c:v>4.212611666989787</c:v>
                </c:pt>
                <c:pt idx="501">
                  <c:v>4.223672399774366</c:v>
                </c:pt>
                <c:pt idx="502">
                  <c:v>4.234744661042742</c:v>
                </c:pt>
                <c:pt idx="503">
                  <c:v>4.245828461301865</c:v>
                </c:pt>
                <c:pt idx="504">
                  <c:v>4.25692381109663</c:v>
                </c:pt>
                <c:pt idx="505">
                  <c:v>4.268030721009929</c:v>
                </c:pt>
                <c:pt idx="506">
                  <c:v>4.279149201662703</c:v>
                </c:pt>
                <c:pt idx="507">
                  <c:v>4.290279263714008</c:v>
                </c:pt>
                <c:pt idx="508">
                  <c:v>4.301420917861075</c:v>
                </c:pt>
                <c:pt idx="509">
                  <c:v>4.312574174839362</c:v>
                </c:pt>
                <c:pt idx="510">
                  <c:v>4.323739045422618</c:v>
                </c:pt>
                <c:pt idx="511">
                  <c:v>4.334915540422949</c:v>
                </c:pt>
                <c:pt idx="512">
                  <c:v>4.346103670690866</c:v>
                </c:pt>
                <c:pt idx="513">
                  <c:v>4.3573034471153544</c:v>
                </c:pt>
                <c:pt idx="514">
                  <c:v>4.368514880623939</c:v>
                </c:pt>
                <c:pt idx="515">
                  <c:v>4.379737982182737</c:v>
                </c:pt>
                <c:pt idx="516">
                  <c:v>4.390972762796525</c:v>
                </c:pt>
                <c:pt idx="517">
                  <c:v>4.402219233508804</c:v>
                </c:pt>
                <c:pt idx="518">
                  <c:v>4.413477405401857</c:v>
                </c:pt>
                <c:pt idx="519">
                  <c:v>4.424747289596817</c:v>
                </c:pt>
                <c:pt idx="520">
                  <c:v>4.436028897253731</c:v>
                </c:pt>
                <c:pt idx="521">
                  <c:v>4.447322239571624</c:v>
                </c:pt>
                <c:pt idx="522">
                  <c:v>4.458627327788559</c:v>
                </c:pt>
                <c:pt idx="523">
                  <c:v>4.469944173181713</c:v>
                </c:pt>
                <c:pt idx="524">
                  <c:v>4.4812727870674385</c:v>
                </c:pt>
                <c:pt idx="525">
                  <c:v>4.492613180801317</c:v>
                </c:pt>
                <c:pt idx="526">
                  <c:v>4.503965365778249</c:v>
                </c:pt>
                <c:pt idx="527">
                  <c:v>4.515329353432506</c:v>
                </c:pt>
                <c:pt idx="528">
                  <c:v>4.526705155237796</c:v>
                </c:pt>
                <c:pt idx="529">
                  <c:v>4.538092782707345</c:v>
                </c:pt>
                <c:pt idx="530">
                  <c:v>4.549492247393953</c:v>
                </c:pt>
                <c:pt idx="531">
                  <c:v>4.560903560890067</c:v>
                </c:pt>
                <c:pt idx="532">
                  <c:v>4.572326734827856</c:v>
                </c:pt>
                <c:pt idx="533">
                  <c:v>4.58376178087927</c:v>
                </c:pt>
                <c:pt idx="534">
                  <c:v>4.595208710756118</c:v>
                </c:pt>
                <c:pt idx="535">
                  <c:v>4.606667536210142</c:v>
                </c:pt>
                <c:pt idx="536">
                  <c:v>4.618138269033077</c:v>
                </c:pt>
                <c:pt idx="537">
                  <c:v>4.62962092105673</c:v>
                </c:pt>
                <c:pt idx="538">
                  <c:v>4.6411155041530545</c:v>
                </c:pt>
                <c:pt idx="539">
                  <c:v>4.652622030234218</c:v>
                </c:pt>
                <c:pt idx="540">
                  <c:v>4.664140511252673</c:v>
                </c:pt>
                <c:pt idx="541">
                  <c:v>4.675670959201241</c:v>
                </c:pt>
                <c:pt idx="542">
                  <c:v>4.687213386113177</c:v>
                </c:pt>
                <c:pt idx="543">
                  <c:v>4.698767804062243</c:v>
                </c:pt>
                <c:pt idx="544">
                  <c:v>4.710334225162792</c:v>
                </c:pt>
                <c:pt idx="545">
                  <c:v>4.721912661569835</c:v>
                </c:pt>
                <c:pt idx="546">
                  <c:v>4.7335031254791184</c:v>
                </c:pt>
                <c:pt idx="547">
                  <c:v>4.745105629127205</c:v>
                </c:pt>
                <c:pt idx="548">
                  <c:v>4.756720184791549</c:v>
                </c:pt>
                <c:pt idx="549">
                  <c:v>4.7683468047905615</c:v>
                </c:pt>
                <c:pt idx="550">
                  <c:v>4.779985501483709</c:v>
                </c:pt>
                <c:pt idx="551">
                  <c:v>4.791636287271578</c:v>
                </c:pt>
                <c:pt idx="552">
                  <c:v>4.803299174595948</c:v>
                </c:pt>
                <c:pt idx="553">
                  <c:v>4.8149741759398905</c:v>
                </c:pt>
                <c:pt idx="554">
                  <c:v>4.826661303827832</c:v>
                </c:pt>
                <c:pt idx="555">
                  <c:v>4.838360570825637</c:v>
                </c:pt>
                <c:pt idx="556">
                  <c:v>4.850071989540694</c:v>
                </c:pt>
                <c:pt idx="557">
                  <c:v>4.861795572621988</c:v>
                </c:pt>
                <c:pt idx="558">
                  <c:v>4.87353133276019</c:v>
                </c:pt>
                <c:pt idx="559">
                  <c:v>4.885279282687738</c:v>
                </c:pt>
                <c:pt idx="560">
                  <c:v>4.897039435178912</c:v>
                </c:pt>
                <c:pt idx="561">
                  <c:v>4.9088118030499235</c:v>
                </c:pt>
                <c:pt idx="562">
                  <c:v>4.920596399159001</c:v>
                </c:pt>
                <c:pt idx="563">
                  <c:v>4.932393236406464</c:v>
                </c:pt>
                <c:pt idx="564">
                  <c:v>4.944202327734818</c:v>
                </c:pt>
                <c:pt idx="565">
                  <c:v>4.956023686128834</c:v>
                </c:pt>
                <c:pt idx="566">
                  <c:v>4.967857324615633</c:v>
                </c:pt>
                <c:pt idx="567">
                  <c:v>4.979703256264772</c:v>
                </c:pt>
                <c:pt idx="568">
                  <c:v>4.991561494188337</c:v>
                </c:pt>
                <c:pt idx="569">
                  <c:v>5.0034320515410196</c:v>
                </c:pt>
                <c:pt idx="570">
                  <c:v>5.0153149415202085</c:v>
                </c:pt>
                <c:pt idx="571">
                  <c:v>5.027210177366082</c:v>
                </c:pt>
                <c:pt idx="572">
                  <c:v>5.039117772361692</c:v>
                </c:pt>
                <c:pt idx="573">
                  <c:v>5.051037739833045</c:v>
                </c:pt>
                <c:pt idx="574">
                  <c:v>5.0629700931492065</c:v>
                </c:pt>
                <c:pt idx="575">
                  <c:v>5.074914845722385</c:v>
                </c:pt>
                <c:pt idx="576">
                  <c:v>5.086872011008011</c:v>
                </c:pt>
                <c:pt idx="577">
                  <c:v>5.098841602504845</c:v>
                </c:pt>
                <c:pt idx="578">
                  <c:v>5.110823633755064</c:v>
                </c:pt>
                <c:pt idx="579">
                  <c:v>5.122818118344338</c:v>
                </c:pt>
                <c:pt idx="580">
                  <c:v>5.134825069901947</c:v>
                </c:pt>
                <c:pt idx="581">
                  <c:v>5.146844502100857</c:v>
                </c:pt>
                <c:pt idx="582">
                  <c:v>5.158876428657812</c:v>
                </c:pt>
                <c:pt idx="583">
                  <c:v>5.170920863333442</c:v>
                </c:pt>
                <c:pt idx="584">
                  <c:v>5.182977819932348</c:v>
                </c:pt>
                <c:pt idx="585">
                  <c:v>5.195047312303188</c:v>
                </c:pt>
                <c:pt idx="586">
                  <c:v>5.207129354338794</c:v>
                </c:pt>
                <c:pt idx="587">
                  <c:v>5.219223959976252</c:v>
                </c:pt>
                <c:pt idx="588">
                  <c:v>5.231331143196994</c:v>
                </c:pt>
                <c:pt idx="589">
                  <c:v>5.243450918026913</c:v>
                </c:pt>
                <c:pt idx="590">
                  <c:v>5.255583298536451</c:v>
                </c:pt>
                <c:pt idx="591">
                  <c:v>5.267728298840686</c:v>
                </c:pt>
                <c:pt idx="592">
                  <c:v>5.279885933099451</c:v>
                </c:pt>
                <c:pt idx="593">
                  <c:v>5.292056215517422</c:v>
                </c:pt>
                <c:pt idx="594">
                  <c:v>5.304239160344211</c:v>
                </c:pt>
                <c:pt idx="595">
                  <c:v>5.31643478187448</c:v>
                </c:pt>
                <c:pt idx="596">
                  <c:v>5.328643094448037</c:v>
                </c:pt>
                <c:pt idx="597">
                  <c:v>5.3408641124499265</c:v>
                </c:pt>
                <c:pt idx="598">
                  <c:v>5.353097850310548</c:v>
                </c:pt>
                <c:pt idx="599">
                  <c:v>5.36534432250575</c:v>
                </c:pt>
                <c:pt idx="600">
                  <c:v>5.377603543556926</c:v>
                </c:pt>
                <c:pt idx="601">
                  <c:v>5.389875528031132</c:v>
                </c:pt>
                <c:pt idx="602">
                  <c:v>5.4021602905411825</c:v>
                </c:pt>
                <c:pt idx="603">
                  <c:v>5.414457845745748</c:v>
                </c:pt>
                <c:pt idx="604">
                  <c:v>5.4267682083494755</c:v>
                </c:pt>
                <c:pt idx="605">
                  <c:v>5.439091393103087</c:v>
                </c:pt>
                <c:pt idx="606">
                  <c:v>5.451427414803475</c:v>
                </c:pt>
                <c:pt idx="607">
                  <c:v>5.463776288293826</c:v>
                </c:pt>
                <c:pt idx="608">
                  <c:v>5.476138028463724</c:v>
                </c:pt>
                <c:pt idx="609">
                  <c:v>5.488512650249242</c:v>
                </c:pt>
                <c:pt idx="610">
                  <c:v>5.5009001686330725</c:v>
                </c:pt>
                <c:pt idx="611">
                  <c:v>5.513300598644625</c:v>
                </c:pt>
                <c:pt idx="612">
                  <c:v>5.525713955360138</c:v>
                </c:pt>
                <c:pt idx="613">
                  <c:v>5.538140253902781</c:v>
                </c:pt>
                <c:pt idx="614">
                  <c:v>5.550579509442783</c:v>
                </c:pt>
                <c:pt idx="615">
                  <c:v>5.56303173719752</c:v>
                </c:pt>
                <c:pt idx="616">
                  <c:v>5.57549695243165</c:v>
                </c:pt>
                <c:pt idx="617">
                  <c:v>5.587975170457213</c:v>
                </c:pt>
                <c:pt idx="618">
                  <c:v>5.600466406633736</c:v>
                </c:pt>
                <c:pt idx="619">
                  <c:v>5.612970676368367</c:v>
                </c:pt>
                <c:pt idx="620">
                  <c:v>5.625487995115977</c:v>
                </c:pt>
                <c:pt idx="621">
                  <c:v>5.638018378379265</c:v>
                </c:pt>
                <c:pt idx="622">
                  <c:v>5.6505618417088925</c:v>
                </c:pt>
                <c:pt idx="623">
                  <c:v>5.663118400703593</c:v>
                </c:pt>
                <c:pt idx="624">
                  <c:v>5.675688071010273</c:v>
                </c:pt>
                <c:pt idx="625">
                  <c:v>5.688270868324154</c:v>
                </c:pt>
                <c:pt idx="626">
                  <c:v>5.700866808388875</c:v>
                </c:pt>
                <c:pt idx="627">
                  <c:v>5.713475906996606</c:v>
                </c:pt>
                <c:pt idx="628">
                  <c:v>5.726098179988179</c:v>
                </c:pt>
                <c:pt idx="629">
                  <c:v>5.738733643253209</c:v>
                </c:pt>
                <c:pt idx="630">
                  <c:v>5.751382312730191</c:v>
                </c:pt>
                <c:pt idx="631">
                  <c:v>5.76404420440665</c:v>
                </c:pt>
                <c:pt idx="632">
                  <c:v>5.776719334319248</c:v>
                </c:pt>
                <c:pt idx="633">
                  <c:v>5.789407718553896</c:v>
                </c:pt>
                <c:pt idx="634">
                  <c:v>5.802109373245897</c:v>
                </c:pt>
                <c:pt idx="635">
                  <c:v>5.814824314580056</c:v>
                </c:pt>
                <c:pt idx="636">
                  <c:v>5.827552558790809</c:v>
                </c:pt>
                <c:pt idx="637">
                  <c:v>5.840294122162335</c:v>
                </c:pt>
                <c:pt idx="638">
                  <c:v>5.853049021028699</c:v>
                </c:pt>
                <c:pt idx="639">
                  <c:v>5.865817271773972</c:v>
                </c:pt>
                <c:pt idx="640">
                  <c:v>5.8785988908323406</c:v>
                </c:pt>
                <c:pt idx="641">
                  <c:v>5.891393894688261</c:v>
                </c:pt>
                <c:pt idx="642">
                  <c:v>5.904202299876561</c:v>
                </c:pt>
                <c:pt idx="643">
                  <c:v>5.9170241229825855</c:v>
                </c:pt>
                <c:pt idx="644">
                  <c:v>5.9298593806423225</c:v>
                </c:pt>
                <c:pt idx="645">
                  <c:v>5.942708089542517</c:v>
                </c:pt>
                <c:pt idx="646">
                  <c:v>5.955570266420822</c:v>
                </c:pt>
                <c:pt idx="647">
                  <c:v>5.96844592806592</c:v>
                </c:pt>
                <c:pt idx="648">
                  <c:v>5.981335091317645</c:v>
                </c:pt>
                <c:pt idx="649">
                  <c:v>5.99423777306713</c:v>
                </c:pt>
                <c:pt idx="650">
                  <c:v>6.007153990256936</c:v>
                </c:pt>
                <c:pt idx="651">
                  <c:v>6.020083759881168</c:v>
                </c:pt>
                <c:pt idx="652">
                  <c:v>6.033027098985636</c:v>
                </c:pt>
                <c:pt idx="653">
                  <c:v>6.045984024667972</c:v>
                </c:pt>
                <c:pt idx="654">
                  <c:v>6.058954554077762</c:v>
                </c:pt>
                <c:pt idx="655">
                  <c:v>6.071938704416697</c:v>
                </c:pt>
                <c:pt idx="656">
                  <c:v>6.0849364929387</c:v>
                </c:pt>
                <c:pt idx="657">
                  <c:v>6.097947936950057</c:v>
                </c:pt>
                <c:pt idx="658">
                  <c:v>6.110973053809568</c:v>
                </c:pt>
                <c:pt idx="659">
                  <c:v>6.124011860928679</c:v>
                </c:pt>
                <c:pt idx="660">
                  <c:v>6.137064375771623</c:v>
                </c:pt>
                <c:pt idx="661">
                  <c:v>6.1501306158555495</c:v>
                </c:pt>
                <c:pt idx="662">
                  <c:v>6.163210598750682</c:v>
                </c:pt>
                <c:pt idx="663">
                  <c:v>6.176304342080453</c:v>
                </c:pt>
                <c:pt idx="664">
                  <c:v>6.18941186352163</c:v>
                </c:pt>
                <c:pt idx="665">
                  <c:v>6.202533180804485</c:v>
                </c:pt>
                <c:pt idx="666">
                  <c:v>6.215668311712923</c:v>
                </c:pt>
                <c:pt idx="667">
                  <c:v>6.2288172740846175</c:v>
                </c:pt>
                <c:pt idx="668">
                  <c:v>6.241980085811174</c:v>
                </c:pt>
                <c:pt idx="669">
                  <c:v>6.255156764838268</c:v>
                </c:pt>
                <c:pt idx="670">
                  <c:v>6.268347329165778</c:v>
                </c:pt>
                <c:pt idx="671">
                  <c:v>6.281551796847956</c:v>
                </c:pt>
                <c:pt idx="672">
                  <c:v>6.294770185993552</c:v>
                </c:pt>
                <c:pt idx="673">
                  <c:v>6.308002514765979</c:v>
                </c:pt>
                <c:pt idx="674">
                  <c:v>6.321248801383459</c:v>
                </c:pt>
                <c:pt idx="675">
                  <c:v>6.334509064119156</c:v>
                </c:pt>
                <c:pt idx="676">
                  <c:v>6.3477833213013515</c:v>
                </c:pt>
                <c:pt idx="677">
                  <c:v>6.361071591313583</c:v>
                </c:pt>
                <c:pt idx="678">
                  <c:v>6.374373892594786</c:v>
                </c:pt>
                <c:pt idx="679">
                  <c:v>6.387690243639467</c:v>
                </c:pt>
                <c:pt idx="680">
                  <c:v>6.401020662997847</c:v>
                </c:pt>
                <c:pt idx="681">
                  <c:v>6.414365169276004</c:v>
                </c:pt>
                <c:pt idx="682">
                  <c:v>6.4277237811360495</c:v>
                </c:pt>
                <c:pt idx="683">
                  <c:v>6.441096517296271</c:v>
                </c:pt>
                <c:pt idx="684">
                  <c:v>6.454483396531291</c:v>
                </c:pt>
                <c:pt idx="685">
                  <c:v>6.467884437672216</c:v>
                </c:pt>
                <c:pt idx="686">
                  <c:v>6.481299659606812</c:v>
                </c:pt>
                <c:pt idx="687">
                  <c:v>6.49472908127965</c:v>
                </c:pt>
                <c:pt idx="688">
                  <c:v>6.508172721692261</c:v>
                </c:pt>
                <c:pt idx="689">
                  <c:v>6.52163059990331</c:v>
                </c:pt>
                <c:pt idx="690">
                  <c:v>6.535102735028754</c:v>
                </c:pt>
                <c:pt idx="691">
                  <c:v>6.5485891462419845</c:v>
                </c:pt>
                <c:pt idx="692">
                  <c:v>6.56208985277402</c:v>
                </c:pt>
                <c:pt idx="693">
                  <c:v>6.575604873913649</c:v>
                </c:pt>
                <c:pt idx="694">
                  <c:v>6.589134229007592</c:v>
                </c:pt>
                <c:pt idx="695">
                  <c:v>6.602677937460681</c:v>
                </c:pt>
                <c:pt idx="696">
                  <c:v>6.616236018736019</c:v>
                </c:pt>
                <c:pt idx="697">
                  <c:v>6.6298084923551315</c:v>
                </c:pt>
                <c:pt idx="698">
                  <c:v>6.6433953778981625</c:v>
                </c:pt>
                <c:pt idx="699">
                  <c:v>6.656996695004011</c:v>
                </c:pt>
                <c:pt idx="700">
                  <c:v>6.670612463370525</c:v>
                </c:pt>
                <c:pt idx="701">
                  <c:v>6.684242702754662</c:v>
                </c:pt>
                <c:pt idx="702">
                  <c:v>6.697887432972646</c:v>
                </c:pt>
                <c:pt idx="703">
                  <c:v>6.711546673900163</c:v>
                </c:pt>
                <c:pt idx="704">
                  <c:v>6.725220445472519</c:v>
                </c:pt>
                <c:pt idx="705">
                  <c:v>6.738908767684805</c:v>
                </c:pt>
                <c:pt idx="706">
                  <c:v>6.75261166059209</c:v>
                </c:pt>
                <c:pt idx="707">
                  <c:v>6.766329144309582</c:v>
                </c:pt>
                <c:pt idx="708">
                  <c:v>6.780061239012809</c:v>
                </c:pt>
                <c:pt idx="709">
                  <c:v>6.793807964937785</c:v>
                </c:pt>
                <c:pt idx="710">
                  <c:v>6.8075693423812025</c:v>
                </c:pt>
                <c:pt idx="711">
                  <c:v>6.821345391700603</c:v>
                </c:pt>
                <c:pt idx="712">
                  <c:v>6.835136133314544</c:v>
                </c:pt>
                <c:pt idx="713">
                  <c:v>6.8489415877028</c:v>
                </c:pt>
                <c:pt idx="714">
                  <c:v>6.8627617754065335</c:v>
                </c:pt>
                <c:pt idx="715">
                  <c:v>6.8765967170284625</c:v>
                </c:pt>
                <c:pt idx="716">
                  <c:v>6.890446433233067</c:v>
                </c:pt>
                <c:pt idx="717">
                  <c:v>6.904310944746759</c:v>
                </c:pt>
                <c:pt idx="718">
                  <c:v>6.918190272358056</c:v>
                </c:pt>
                <c:pt idx="719">
                  <c:v>6.932084436917789</c:v>
                </c:pt>
                <c:pt idx="720">
                  <c:v>6.945993459339273</c:v>
                </c:pt>
                <c:pt idx="721">
                  <c:v>6.959917360598488</c:v>
                </c:pt>
                <c:pt idx="722">
                  <c:v>6.973856161734284</c:v>
                </c:pt>
                <c:pt idx="723">
                  <c:v>6.987809883848561</c:v>
                </c:pt>
                <c:pt idx="724">
                  <c:v>7.001778548106444</c:v>
                </c:pt>
                <c:pt idx="725">
                  <c:v>7.015762175736497</c:v>
                </c:pt>
                <c:pt idx="726">
                  <c:v>7.029760788030904</c:v>
                </c:pt>
                <c:pt idx="727">
                  <c:v>7.043774406345648</c:v>
                </c:pt>
                <c:pt idx="728">
                  <c:v>7.057803052100728</c:v>
                </c:pt>
                <c:pt idx="729">
                  <c:v>7.071846746780328</c:v>
                </c:pt>
                <c:pt idx="730">
                  <c:v>7.085905511933033</c:v>
                </c:pt>
                <c:pt idx="731">
                  <c:v>7.099979369172011</c:v>
                </c:pt>
                <c:pt idx="732">
                  <c:v>7.114068340175216</c:v>
                </c:pt>
                <c:pt idx="733">
                  <c:v>7.128172446685573</c:v>
                </c:pt>
                <c:pt idx="734">
                  <c:v>7.1422917105111985</c:v>
                </c:pt>
                <c:pt idx="735">
                  <c:v>7.156426153525583</c:v>
                </c:pt>
                <c:pt idx="736">
                  <c:v>7.170575797667788</c:v>
                </c:pt>
                <c:pt idx="737">
                  <c:v>7.184740664942664</c:v>
                </c:pt>
                <c:pt idx="738">
                  <c:v>7.198920777421043</c:v>
                </c:pt>
                <c:pt idx="739">
                  <c:v>7.213116157239932</c:v>
                </c:pt>
                <c:pt idx="740">
                  <c:v>7.227326826602734</c:v>
                </c:pt>
                <c:pt idx="741">
                  <c:v>7.241552807779451</c:v>
                </c:pt>
                <c:pt idx="742">
                  <c:v>7.2557941231068686</c:v>
                </c:pt>
                <c:pt idx="743">
                  <c:v>7.270050794988793</c:v>
                </c:pt>
                <c:pt idx="744">
                  <c:v>7.284322845896245</c:v>
                </c:pt>
                <c:pt idx="745">
                  <c:v>7.298610298367656</c:v>
                </c:pt>
                <c:pt idx="746">
                  <c:v>7.312913175009103</c:v>
                </c:pt>
                <c:pt idx="747">
                  <c:v>7.327231498494508</c:v>
                </c:pt>
                <c:pt idx="748">
                  <c:v>7.3415652915658365</c:v>
                </c:pt>
                <c:pt idx="749">
                  <c:v>7.355914577033335</c:v>
                </c:pt>
                <c:pt idx="750">
                  <c:v>7.370279377775734</c:v>
                </c:pt>
                <c:pt idx="751">
                  <c:v>7.384659716740451</c:v>
                </c:pt>
                <c:pt idx="752">
                  <c:v>7.399055616943826</c:v>
                </c:pt>
                <c:pt idx="753">
                  <c:v>7.413467101471334</c:v>
                </c:pt>
                <c:pt idx="754">
                  <c:v>7.427894193477787</c:v>
                </c:pt>
                <c:pt idx="755">
                  <c:v>7.442336916187574</c:v>
                </c:pt>
                <c:pt idx="756">
                  <c:v>7.4567952928948715</c:v>
                </c:pt>
                <c:pt idx="757">
                  <c:v>7.47126934696387</c:v>
                </c:pt>
                <c:pt idx="758">
                  <c:v>7.485759101828977</c:v>
                </c:pt>
                <c:pt idx="759">
                  <c:v>7.500264580995071</c:v>
                </c:pt>
                <c:pt idx="760">
                  <c:v>7.514785808037708</c:v>
                </c:pt>
                <c:pt idx="761">
                  <c:v>7.529322806603337</c:v>
                </c:pt>
                <c:pt idx="762">
                  <c:v>7.54387560040955</c:v>
                </c:pt>
                <c:pt idx="763">
                  <c:v>7.558444213245302</c:v>
                </c:pt>
                <c:pt idx="764">
                  <c:v>7.57302866897112</c:v>
                </c:pt>
                <c:pt idx="765">
                  <c:v>7.587628991519363</c:v>
                </c:pt>
                <c:pt idx="766">
                  <c:v>7.602245204894437</c:v>
                </c:pt>
                <c:pt idx="767">
                  <c:v>7.616877333173019</c:v>
                </c:pt>
                <c:pt idx="768">
                  <c:v>7.631525400504312</c:v>
                </c:pt>
                <c:pt idx="769">
                  <c:v>7.6461894311102565</c:v>
                </c:pt>
                <c:pt idx="770">
                  <c:v>7.660869449285788</c:v>
                </c:pt>
                <c:pt idx="771">
                  <c:v>7.675565479399048</c:v>
                </c:pt>
                <c:pt idx="772">
                  <c:v>7.690277545891646</c:v>
                </c:pt>
                <c:pt idx="773">
                  <c:v>7.705005673278888</c:v>
                </c:pt>
                <c:pt idx="774">
                  <c:v>7.719749886150005</c:v>
                </c:pt>
                <c:pt idx="775">
                  <c:v>7.734510209168417</c:v>
                </c:pt>
                <c:pt idx="776">
                  <c:v>7.749286667071962</c:v>
                </c:pt>
                <c:pt idx="777">
                  <c:v>7.764079284673129</c:v>
                </c:pt>
                <c:pt idx="778">
                  <c:v>7.778888086859329</c:v>
                </c:pt>
                <c:pt idx="779">
                  <c:v>7.793713098593117</c:v>
                </c:pt>
                <c:pt idx="780">
                  <c:v>7.808554344912455</c:v>
                </c:pt>
                <c:pt idx="781">
                  <c:v>7.823411850930941</c:v>
                </c:pt>
                <c:pt idx="782">
                  <c:v>7.8382856418380795</c:v>
                </c:pt>
                <c:pt idx="783">
                  <c:v>7.853175742899525</c:v>
                </c:pt>
                <c:pt idx="784">
                  <c:v>7.868082179457319</c:v>
                </c:pt>
                <c:pt idx="785">
                  <c:v>7.883004976930163</c:v>
                </c:pt>
                <c:pt idx="786">
                  <c:v>7.89794416081367</c:v>
                </c:pt>
                <c:pt idx="787">
                  <c:v>7.912899756680599</c:v>
                </c:pt>
                <c:pt idx="788">
                  <c:v>7.9278717901811415</c:v>
                </c:pt>
                <c:pt idx="789">
                  <c:v>7.94286028704316</c:v>
                </c:pt>
                <c:pt idx="790">
                  <c:v>7.9578652730724455</c:v>
                </c:pt>
                <c:pt idx="791">
                  <c:v>7.9728867741529905</c:v>
                </c:pt>
                <c:pt idx="792">
                  <c:v>7.987924816247246</c:v>
                </c:pt>
                <c:pt idx="793">
                  <c:v>8.002979425396372</c:v>
                </c:pt>
                <c:pt idx="794">
                  <c:v>8.01805062772052</c:v>
                </c:pt>
                <c:pt idx="795">
                  <c:v>8.033138449419093</c:v>
                </c:pt>
                <c:pt idx="796">
                  <c:v>8.048242916770995</c:v>
                </c:pt>
                <c:pt idx="797">
                  <c:v>8.063364056134926</c:v>
                </c:pt>
                <c:pt idx="798">
                  <c:v>8.078501893949637</c:v>
                </c:pt>
                <c:pt idx="799">
                  <c:v>8.09365645673419</c:v>
                </c:pt>
                <c:pt idx="800">
                  <c:v>8.108827771088253</c:v>
                </c:pt>
                <c:pt idx="801">
                  <c:v>8.311636581368498</c:v>
                </c:pt>
                <c:pt idx="802">
                  <c:v>8.514080142036887</c:v>
                </c:pt>
                <c:pt idx="803">
                  <c:v>8.716158506730755</c:v>
                </c:pt>
                <c:pt idx="804">
                  <c:v>8.917871728982828</c:v>
                </c:pt>
                <c:pt idx="805">
                  <c:v>9.119219862221271</c:v>
                </c:pt>
                <c:pt idx="806">
                  <c:v>9.320202959769757</c:v>
                </c:pt>
                <c:pt idx="807">
                  <c:v>9.520821074847513</c:v>
                </c:pt>
                <c:pt idx="808">
                  <c:v>9.721074260569385</c:v>
                </c:pt>
                <c:pt idx="809">
                  <c:v>9.920962569945894</c:v>
                </c:pt>
                <c:pt idx="810">
                  <c:v>10.12048605588329</c:v>
                </c:pt>
                <c:pt idx="811">
                  <c:v>10.319644771183615</c:v>
                </c:pt>
                <c:pt idx="812">
                  <c:v>10.518438768544755</c:v>
                </c:pt>
                <c:pt idx="813">
                  <c:v>10.716868100560495</c:v>
                </c:pt>
                <c:pt idx="814">
                  <c:v>10.914932819720585</c:v>
                </c:pt>
                <c:pt idx="815">
                  <c:v>11.112632978410787</c:v>
                </c:pt>
                <c:pt idx="816">
                  <c:v>11.309968628912937</c:v>
                </c:pt>
                <c:pt idx="817">
                  <c:v>11.506939823404998</c:v>
                </c:pt>
                <c:pt idx="818">
                  <c:v>11.703546613961121</c:v>
                </c:pt>
                <c:pt idx="819">
                  <c:v>11.899789052551695</c:v>
                </c:pt>
                <c:pt idx="820">
                  <c:v>12.095667191043407</c:v>
                </c:pt>
                <c:pt idx="821">
                  <c:v>12.095667191043407</c:v>
                </c:pt>
                <c:pt idx="822">
                  <c:v>12.109037116753125</c:v>
                </c:pt>
                <c:pt idx="823">
                  <c:v>12.122415458328582</c:v>
                </c:pt>
                <c:pt idx="824">
                  <c:v>12.135802218291493</c:v>
                </c:pt>
                <c:pt idx="825">
                  <c:v>12.149197399172932</c:v>
                </c:pt>
                <c:pt idx="826">
                  <c:v>12.162601003513336</c:v>
                </c:pt>
                <c:pt idx="827">
                  <c:v>12.176013033862501</c:v>
                </c:pt>
                <c:pt idx="828">
                  <c:v>12.18943349277959</c:v>
                </c:pt>
                <c:pt idx="829">
                  <c:v>12.20286238283312</c:v>
                </c:pt>
                <c:pt idx="830">
                  <c:v>12.216299706600966</c:v>
                </c:pt>
                <c:pt idx="831">
                  <c:v>12.229745466670371</c:v>
                </c:pt>
                <c:pt idx="832">
                  <c:v>12.243199665637931</c:v>
                </c:pt>
                <c:pt idx="833">
                  <c:v>12.256662306109602</c:v>
                </c:pt>
                <c:pt idx="834">
                  <c:v>12.270133390700696</c:v>
                </c:pt>
                <c:pt idx="835">
                  <c:v>12.283612922035887</c:v>
                </c:pt>
                <c:pt idx="836">
                  <c:v>12.297100902749206</c:v>
                </c:pt>
                <c:pt idx="837">
                  <c:v>12.31059733548404</c:v>
                </c:pt>
                <c:pt idx="838">
                  <c:v>12.324102222893133</c:v>
                </c:pt>
                <c:pt idx="839">
                  <c:v>12.337615567638592</c:v>
                </c:pt>
                <c:pt idx="840">
                  <c:v>12.351137372391875</c:v>
                </c:pt>
                <c:pt idx="841">
                  <c:v>12.3646676398338</c:v>
                </c:pt>
                <c:pt idx="842">
                  <c:v>12.378206372654544</c:v>
                </c:pt>
                <c:pt idx="843">
                  <c:v>12.391753573553641</c:v>
                </c:pt>
                <c:pt idx="844">
                  <c:v>12.405309245239982</c:v>
                </c:pt>
                <c:pt idx="845">
                  <c:v>12.418873390431813</c:v>
                </c:pt>
                <c:pt idx="846">
                  <c:v>12.432446011856744</c:v>
                </c:pt>
                <c:pt idx="847">
                  <c:v>12.446027112251741</c:v>
                </c:pt>
                <c:pt idx="848">
                  <c:v>12.459616694363127</c:v>
                </c:pt>
                <c:pt idx="849">
                  <c:v>12.473214760946586</c:v>
                </c:pt>
                <c:pt idx="850">
                  <c:v>12.486821314767155</c:v>
                </c:pt>
                <c:pt idx="851">
                  <c:v>12.500436358599245</c:v>
                </c:pt>
                <c:pt idx="852">
                  <c:v>12.514059895226612</c:v>
                </c:pt>
                <c:pt idx="853">
                  <c:v>12.52769192744238</c:v>
                </c:pt>
                <c:pt idx="854">
                  <c:v>12.541332458049032</c:v>
                </c:pt>
                <c:pt idx="855">
                  <c:v>12.554981489858415</c:v>
                </c:pt>
                <c:pt idx="856">
                  <c:v>12.568639025691734</c:v>
                </c:pt>
                <c:pt idx="857">
                  <c:v>12.582305068379558</c:v>
                </c:pt>
                <c:pt idx="858">
                  <c:v>12.595979620761828</c:v>
                </c:pt>
                <c:pt idx="859">
                  <c:v>12.609662685687836</c:v>
                </c:pt>
                <c:pt idx="860">
                  <c:v>12.623354266016246</c:v>
                </c:pt>
                <c:pt idx="861">
                  <c:v>12.63705436461509</c:v>
                </c:pt>
                <c:pt idx="862">
                  <c:v>12.650762984361759</c:v>
                </c:pt>
                <c:pt idx="863">
                  <c:v>12.664480128143017</c:v>
                </c:pt>
                <c:pt idx="864">
                  <c:v>12.678205798854993</c:v>
                </c:pt>
                <c:pt idx="865">
                  <c:v>12.691939999403195</c:v>
                </c:pt>
                <c:pt idx="866">
                  <c:v>12.705682732702487</c:v>
                </c:pt>
                <c:pt idx="867">
                  <c:v>12.719434001677113</c:v>
                </c:pt>
                <c:pt idx="868">
                  <c:v>12.733193809260687</c:v>
                </c:pt>
                <c:pt idx="869">
                  <c:v>12.746962158396197</c:v>
                </c:pt>
                <c:pt idx="870">
                  <c:v>12.760739052036005</c:v>
                </c:pt>
                <c:pt idx="871">
                  <c:v>12.774524493141849</c:v>
                </c:pt>
                <c:pt idx="872">
                  <c:v>12.78831848468484</c:v>
                </c:pt>
                <c:pt idx="873">
                  <c:v>12.80212102964548</c:v>
                </c:pt>
                <c:pt idx="874">
                  <c:v>12.815932131013637</c:v>
                </c:pt>
                <c:pt idx="875">
                  <c:v>12.829751791788565</c:v>
                </c:pt>
                <c:pt idx="876">
                  <c:v>12.8435800149789</c:v>
                </c:pt>
                <c:pt idx="877">
                  <c:v>12.857416803602659</c:v>
                </c:pt>
                <c:pt idx="878">
                  <c:v>12.87126216068725</c:v>
                </c:pt>
                <c:pt idx="879">
                  <c:v>12.885116089269458</c:v>
                </c:pt>
                <c:pt idx="880">
                  <c:v>12.89897859239547</c:v>
                </c:pt>
                <c:pt idx="881">
                  <c:v>12.912849673120851</c:v>
                </c:pt>
                <c:pt idx="882">
                  <c:v>12.926729334510561</c:v>
                </c:pt>
                <c:pt idx="883">
                  <c:v>12.940617579638953</c:v>
                </c:pt>
                <c:pt idx="884">
                  <c:v>12.954514411589775</c:v>
                </c:pt>
                <c:pt idx="885">
                  <c:v>12.96841983345617</c:v>
                </c:pt>
                <c:pt idx="886">
                  <c:v>12.982333848340676</c:v>
                </c:pt>
                <c:pt idx="887">
                  <c:v>12.99625645935524</c:v>
                </c:pt>
                <c:pt idx="888">
                  <c:v>13.010187669621205</c:v>
                </c:pt>
                <c:pt idx="889">
                  <c:v>13.024127482269314</c:v>
                </c:pt>
                <c:pt idx="890">
                  <c:v>13.038075900439722</c:v>
                </c:pt>
                <c:pt idx="891">
                  <c:v>13.052032927281985</c:v>
                </c:pt>
                <c:pt idx="892">
                  <c:v>13.065998565955073</c:v>
                </c:pt>
                <c:pt idx="893">
                  <c:v>13.079972819627363</c:v>
                </c:pt>
                <c:pt idx="894">
                  <c:v>13.093955691476657</c:v>
                </c:pt>
                <c:pt idx="895">
                  <c:v>13.107947184690158</c:v>
                </c:pt>
                <c:pt idx="896">
                  <c:v>13.121947302464493</c:v>
                </c:pt>
                <c:pt idx="897">
                  <c:v>13.135956048005708</c:v>
                </c:pt>
                <c:pt idx="898">
                  <c:v>13.149973424529271</c:v>
                </c:pt>
                <c:pt idx="899">
                  <c:v>13.163999435260077</c:v>
                </c:pt>
                <c:pt idx="900">
                  <c:v>13.178034083432443</c:v>
                </c:pt>
                <c:pt idx="901">
                  <c:v>13.192077372290116</c:v>
                </c:pt>
                <c:pt idx="902">
                  <c:v>13.20612930508628</c:v>
                </c:pt>
                <c:pt idx="903">
                  <c:v>13.220189885083547</c:v>
                </c:pt>
                <c:pt idx="904">
                  <c:v>13.234259115553964</c:v>
                </c:pt>
                <c:pt idx="905">
                  <c:v>13.24833699977902</c:v>
                </c:pt>
                <c:pt idx="906">
                  <c:v>13.262423541049644</c:v>
                </c:pt>
                <c:pt idx="907">
                  <c:v>13.276518742666207</c:v>
                </c:pt>
                <c:pt idx="908">
                  <c:v>13.290622607938525</c:v>
                </c:pt>
                <c:pt idx="909">
                  <c:v>13.304735140185874</c:v>
                </c:pt>
                <c:pt idx="910">
                  <c:v>13.318856342736968</c:v>
                </c:pt>
                <c:pt idx="911">
                  <c:v>13.332986218929982</c:v>
                </c:pt>
                <c:pt idx="912">
                  <c:v>13.347124772112544</c:v>
                </c:pt>
                <c:pt idx="913">
                  <c:v>13.361272005641746</c:v>
                </c:pt>
                <c:pt idx="914">
                  <c:v>13.37542792288414</c:v>
                </c:pt>
                <c:pt idx="915">
                  <c:v>13.389592527215742</c:v>
                </c:pt>
                <c:pt idx="916">
                  <c:v>13.403765822022043</c:v>
                </c:pt>
                <c:pt idx="917">
                  <c:v>13.417947810698</c:v>
                </c:pt>
                <c:pt idx="918">
                  <c:v>13.432138496648042</c:v>
                </c:pt>
                <c:pt idx="919">
                  <c:v>13.44633788328608</c:v>
                </c:pt>
                <c:pt idx="920">
                  <c:v>13.460545974035504</c:v>
                </c:pt>
                <c:pt idx="921">
                  <c:v>13.474762772329186</c:v>
                </c:pt>
                <c:pt idx="922">
                  <c:v>13.488988281609481</c:v>
                </c:pt>
                <c:pt idx="923">
                  <c:v>13.503222505328248</c:v>
                </c:pt>
                <c:pt idx="924">
                  <c:v>13.517465446946822</c:v>
                </c:pt>
                <c:pt idx="925">
                  <c:v>13.531717109936043</c:v>
                </c:pt>
                <c:pt idx="926">
                  <c:v>13.545977497776246</c:v>
                </c:pt>
                <c:pt idx="927">
                  <c:v>13.560246613957272</c:v>
                </c:pt>
                <c:pt idx="928">
                  <c:v>13.574524461978468</c:v>
                </c:pt>
                <c:pt idx="929">
                  <c:v>13.588811045348685</c:v>
                </c:pt>
                <c:pt idx="930">
                  <c:v>13.603106367586298</c:v>
                </c:pt>
                <c:pt idx="931">
                  <c:v>13.617410432219186</c:v>
                </c:pt>
                <c:pt idx="932">
                  <c:v>13.631723242784757</c:v>
                </c:pt>
                <c:pt idx="933">
                  <c:v>13.646044802829934</c:v>
                </c:pt>
                <c:pt idx="934">
                  <c:v>13.660375115911174</c:v>
                </c:pt>
                <c:pt idx="935">
                  <c:v>13.67471418559446</c:v>
                </c:pt>
                <c:pt idx="936">
                  <c:v>13.689062015455308</c:v>
                </c:pt>
                <c:pt idx="937">
                  <c:v>13.703418609078781</c:v>
                </c:pt>
                <c:pt idx="938">
                  <c:v>13.717783970059475</c:v>
                </c:pt>
                <c:pt idx="939">
                  <c:v>13.732158102001533</c:v>
                </c:pt>
                <c:pt idx="940">
                  <c:v>13.746541008518646</c:v>
                </c:pt>
                <c:pt idx="941">
                  <c:v>13.760932693234059</c:v>
                </c:pt>
                <c:pt idx="942">
                  <c:v>13.775333159780574</c:v>
                </c:pt>
                <c:pt idx="943">
                  <c:v>13.789742411800551</c:v>
                </c:pt>
                <c:pt idx="944">
                  <c:v>13.804160452945926</c:v>
                </c:pt>
                <c:pt idx="945">
                  <c:v>13.818587286878188</c:v>
                </c:pt>
                <c:pt idx="946">
                  <c:v>13.833022917268407</c:v>
                </c:pt>
                <c:pt idx="947">
                  <c:v>13.847467347797227</c:v>
                </c:pt>
                <c:pt idx="948">
                  <c:v>13.861920582154877</c:v>
                </c:pt>
                <c:pt idx="949">
                  <c:v>13.876382624041163</c:v>
                </c:pt>
                <c:pt idx="950">
                  <c:v>13.89085347716549</c:v>
                </c:pt>
                <c:pt idx="951">
                  <c:v>13.905333145246843</c:v>
                </c:pt>
                <c:pt idx="952">
                  <c:v>13.919821632013821</c:v>
                </c:pt>
                <c:pt idx="953">
                  <c:v>13.934318941204616</c:v>
                </c:pt>
                <c:pt idx="954">
                  <c:v>13.948825076567024</c:v>
                </c:pt>
                <c:pt idx="955">
                  <c:v>13.963340041858453</c:v>
                </c:pt>
                <c:pt idx="956">
                  <c:v>13.977863840845929</c:v>
                </c:pt>
                <c:pt idx="957">
                  <c:v>13.992396477306094</c:v>
                </c:pt>
                <c:pt idx="958">
                  <c:v>14.006937955025213</c:v>
                </c:pt>
                <c:pt idx="959">
                  <c:v>14.021488277799188</c:v>
                </c:pt>
                <c:pt idx="960">
                  <c:v>14.036047449433541</c:v>
                </c:pt>
                <c:pt idx="961">
                  <c:v>14.05061547374344</c:v>
                </c:pt>
                <c:pt idx="962">
                  <c:v>14.065192354553691</c:v>
                </c:pt>
                <c:pt idx="963">
                  <c:v>14.07977809569875</c:v>
                </c:pt>
                <c:pt idx="964">
                  <c:v>14.09437270102272</c:v>
                </c:pt>
                <c:pt idx="965">
                  <c:v>14.108976174379361</c:v>
                </c:pt>
                <c:pt idx="966">
                  <c:v>14.123588519632102</c:v>
                </c:pt>
                <c:pt idx="967">
                  <c:v>14.138209740654029</c:v>
                </c:pt>
                <c:pt idx="968">
                  <c:v>14.152839841327898</c:v>
                </c:pt>
                <c:pt idx="969">
                  <c:v>14.167478825546144</c:v>
                </c:pt>
                <c:pt idx="970">
                  <c:v>14.182126697210883</c:v>
                </c:pt>
                <c:pt idx="971">
                  <c:v>14.196783460233913</c:v>
                </c:pt>
                <c:pt idx="972">
                  <c:v>14.21144911853672</c:v>
                </c:pt>
                <c:pt idx="973">
                  <c:v>14.226123676050497</c:v>
                </c:pt>
                <c:pt idx="974">
                  <c:v>14.240807136716125</c:v>
                </c:pt>
                <c:pt idx="975">
                  <c:v>14.255499504484197</c:v>
                </c:pt>
                <c:pt idx="976">
                  <c:v>14.270200783315012</c:v>
                </c:pt>
                <c:pt idx="977">
                  <c:v>14.284910977178589</c:v>
                </c:pt>
                <c:pt idx="978">
                  <c:v>14.299630090054666</c:v>
                </c:pt>
                <c:pt idx="979">
                  <c:v>14.314358125932708</c:v>
                </c:pt>
                <c:pt idx="980">
                  <c:v>14.329095088811906</c:v>
                </c:pt>
                <c:pt idx="981">
                  <c:v>14.3438409827012</c:v>
                </c:pt>
                <c:pt idx="982">
                  <c:v>14.358595811619264</c:v>
                </c:pt>
                <c:pt idx="983">
                  <c:v>14.373359579594519</c:v>
                </c:pt>
                <c:pt idx="984">
                  <c:v>14.38813229066514</c:v>
                </c:pt>
                <c:pt idx="985">
                  <c:v>14.402913948879064</c:v>
                </c:pt>
                <c:pt idx="986">
                  <c:v>14.417704558293988</c:v>
                </c:pt>
                <c:pt idx="987">
                  <c:v>14.432504122977374</c:v>
                </c:pt>
                <c:pt idx="988">
                  <c:v>14.447312647006475</c:v>
                </c:pt>
                <c:pt idx="989">
                  <c:v>14.462130134468312</c:v>
                </c:pt>
                <c:pt idx="990">
                  <c:v>14.476956589459695</c:v>
                </c:pt>
                <c:pt idx="991">
                  <c:v>14.491792016087226</c:v>
                </c:pt>
                <c:pt idx="992">
                  <c:v>14.506636418467307</c:v>
                </c:pt>
                <c:pt idx="993">
                  <c:v>14.521489800726142</c:v>
                </c:pt>
                <c:pt idx="994">
                  <c:v>14.536352166999741</c:v>
                </c:pt>
                <c:pt idx="995">
                  <c:v>14.551223521433942</c:v>
                </c:pt>
                <c:pt idx="996">
                  <c:v>14.56610386818439</c:v>
                </c:pt>
                <c:pt idx="997">
                  <c:v>14.580993211416564</c:v>
                </c:pt>
                <c:pt idx="998">
                  <c:v>14.595891555305775</c:v>
                </c:pt>
                <c:pt idx="999">
                  <c:v>14.610798904037171</c:v>
                </c:pt>
                <c:pt idx="1000">
                  <c:v>14.625715261805752</c:v>
                </c:pt>
                <c:pt idx="1001">
                  <c:v>14.640640632816357</c:v>
                </c:pt>
                <c:pt idx="1002">
                  <c:v>14.655575021283699</c:v>
                </c:pt>
                <c:pt idx="1003">
                  <c:v>14.670518431432344</c:v>
                </c:pt>
                <c:pt idx="1004">
                  <c:v>14.685470867496727</c:v>
                </c:pt>
                <c:pt idx="1005">
                  <c:v>14.700432333721162</c:v>
                </c:pt>
                <c:pt idx="1006">
                  <c:v>14.715402834359844</c:v>
                </c:pt>
                <c:pt idx="1007">
                  <c:v>14.73038237367686</c:v>
                </c:pt>
                <c:pt idx="1008">
                  <c:v>14.745370955946184</c:v>
                </c:pt>
                <c:pt idx="1009">
                  <c:v>14.760368585451703</c:v>
                </c:pt>
                <c:pt idx="1010">
                  <c:v>14.775375266487202</c:v>
                </c:pt>
                <c:pt idx="1011">
                  <c:v>14.790391003356385</c:v>
                </c:pt>
                <c:pt idx="1012">
                  <c:v>14.805415800372874</c:v>
                </c:pt>
                <c:pt idx="1013">
                  <c:v>14.820449661860218</c:v>
                </c:pt>
                <c:pt idx="1014">
                  <c:v>14.835492592151901</c:v>
                </c:pt>
                <c:pt idx="1015">
                  <c:v>14.850544595591344</c:v>
                </c:pt>
                <c:pt idx="1016">
                  <c:v>14.865605676531928</c:v>
                </c:pt>
                <c:pt idx="1017">
                  <c:v>14.880675839336972</c:v>
                </c:pt>
                <c:pt idx="1018">
                  <c:v>14.895755088379762</c:v>
                </c:pt>
                <c:pt idx="1019">
                  <c:v>14.91084342804355</c:v>
                </c:pt>
                <c:pt idx="1020">
                  <c:v>14.925940862721564</c:v>
                </c:pt>
                <c:pt idx="1021">
                  <c:v>14.94104739681701</c:v>
                </c:pt>
                <c:pt idx="1022">
                  <c:v>14.95616303474308</c:v>
                </c:pt>
                <c:pt idx="1023">
                  <c:v>14.971287780922971</c:v>
                </c:pt>
                <c:pt idx="1024">
                  <c:v>14.986421639789869</c:v>
                </c:pt>
                <c:pt idx="1025">
                  <c:v>15.001564615786975</c:v>
                </c:pt>
                <c:pt idx="1026">
                  <c:v>15.016716713367504</c:v>
                </c:pt>
                <c:pt idx="1027">
                  <c:v>15.031877936994695</c:v>
                </c:pt>
                <c:pt idx="1028">
                  <c:v>15.047048291141813</c:v>
                </c:pt>
                <c:pt idx="1029">
                  <c:v>15.06222778029216</c:v>
                </c:pt>
                <c:pt idx="1030">
                  <c:v>15.077416408939092</c:v>
                </c:pt>
                <c:pt idx="1031">
                  <c:v>15.092614181586004</c:v>
                </c:pt>
                <c:pt idx="1032">
                  <c:v>15.107821102746355</c:v>
                </c:pt>
                <c:pt idx="1033">
                  <c:v>15.123037176943669</c:v>
                </c:pt>
                <c:pt idx="1034">
                  <c:v>15.13826240871154</c:v>
                </c:pt>
                <c:pt idx="1035">
                  <c:v>15.153496802593649</c:v>
                </c:pt>
                <c:pt idx="1036">
                  <c:v>15.168740363143755</c:v>
                </c:pt>
                <c:pt idx="1037">
                  <c:v>15.183993094925729</c:v>
                </c:pt>
                <c:pt idx="1038">
                  <c:v>15.199255002513528</c:v>
                </c:pt>
                <c:pt idx="1039">
                  <c:v>15.214526090491226</c:v>
                </c:pt>
                <c:pt idx="1040">
                  <c:v>15.229806363453015</c:v>
                </c:pt>
                <c:pt idx="1041">
                  <c:v>15.245095826003213</c:v>
                </c:pt>
                <c:pt idx="1042">
                  <c:v>15.260394482756269</c:v>
                </c:pt>
                <c:pt idx="1043">
                  <c:v>15.27570233833677</c:v>
                </c:pt>
                <c:pt idx="1044">
                  <c:v>15.291019397379463</c:v>
                </c:pt>
                <c:pt idx="1045">
                  <c:v>15.30634566452924</c:v>
                </c:pt>
                <c:pt idx="1046">
                  <c:v>15.321681144441163</c:v>
                </c:pt>
                <c:pt idx="1047">
                  <c:v>15.337025841780461</c:v>
                </c:pt>
                <c:pt idx="1048">
                  <c:v>15.352379761222547</c:v>
                </c:pt>
                <c:pt idx="1049">
                  <c:v>15.36774290745302</c:v>
                </c:pt>
                <c:pt idx="1050">
                  <c:v>15.383115285167667</c:v>
                </c:pt>
                <c:pt idx="1051">
                  <c:v>15.3984968990725</c:v>
                </c:pt>
                <c:pt idx="1052">
                  <c:v>15.41388775388372</c:v>
                </c:pt>
                <c:pt idx="1053">
                  <c:v>15.42928785432776</c:v>
                </c:pt>
                <c:pt idx="1054">
                  <c:v>15.444697205141273</c:v>
                </c:pt>
                <c:pt idx="1055">
                  <c:v>15.460115811071155</c:v>
                </c:pt>
                <c:pt idx="1056">
                  <c:v>15.475543676874542</c:v>
                </c:pt>
                <c:pt idx="1057">
                  <c:v>15.49098080731882</c:v>
                </c:pt>
                <c:pt idx="1058">
                  <c:v>15.506427207181648</c:v>
                </c:pt>
                <c:pt idx="1059">
                  <c:v>15.521882881250939</c:v>
                </c:pt>
                <c:pt idx="1060">
                  <c:v>15.537347834324889</c:v>
                </c:pt>
                <c:pt idx="1061">
                  <c:v>15.55282207121198</c:v>
                </c:pt>
                <c:pt idx="1062">
                  <c:v>15.568305596730987</c:v>
                </c:pt>
                <c:pt idx="1063">
                  <c:v>15.583798415710987</c:v>
                </c:pt>
                <c:pt idx="1064">
                  <c:v>15.59930053299137</c:v>
                </c:pt>
                <c:pt idx="1065">
                  <c:v>15.614811953421839</c:v>
                </c:pt>
                <c:pt idx="1066">
                  <c:v>15.63033268186244</c:v>
                </c:pt>
                <c:pt idx="1067">
                  <c:v>15.645862723183539</c:v>
                </c:pt>
                <c:pt idx="1068">
                  <c:v>15.661402082265855</c:v>
                </c:pt>
                <c:pt idx="1069">
                  <c:v>15.676950764000459</c:v>
                </c:pt>
                <c:pt idx="1070">
                  <c:v>15.692508773288786</c:v>
                </c:pt>
                <c:pt idx="1071">
                  <c:v>15.70807611504264</c:v>
                </c:pt>
                <c:pt idx="1072">
                  <c:v>15.72365279418421</c:v>
                </c:pt>
                <c:pt idx="1073">
                  <c:v>15.739238815646063</c:v>
                </c:pt>
                <c:pt idx="1074">
                  <c:v>15.754834184371182</c:v>
                </c:pt>
                <c:pt idx="1075">
                  <c:v>15.770438905312943</c:v>
                </c:pt>
                <c:pt idx="1076">
                  <c:v>15.786052983435141</c:v>
                </c:pt>
                <c:pt idx="1077">
                  <c:v>15.801676423711996</c:v>
                </c:pt>
                <c:pt idx="1078">
                  <c:v>15.817309231128162</c:v>
                </c:pt>
                <c:pt idx="1079">
                  <c:v>15.832951410678735</c:v>
                </c:pt>
                <c:pt idx="1080">
                  <c:v>15.84860296736926</c:v>
                </c:pt>
                <c:pt idx="1081">
                  <c:v>15.864263906215756</c:v>
                </c:pt>
                <c:pt idx="1082">
                  <c:v>15.879934232244699</c:v>
                </c:pt>
                <c:pt idx="1083">
                  <c:v>15.895613950493049</c:v>
                </c:pt>
                <c:pt idx="1084">
                  <c:v>15.911303066008253</c:v>
                </c:pt>
                <c:pt idx="1085">
                  <c:v>15.927001583848261</c:v>
                </c:pt>
                <c:pt idx="1086">
                  <c:v>15.942709509081526</c:v>
                </c:pt>
                <c:pt idx="1087">
                  <c:v>15.958426846787017</c:v>
                </c:pt>
                <c:pt idx="1088">
                  <c:v>15.974153602054239</c:v>
                </c:pt>
                <c:pt idx="1089">
                  <c:v>15.989889779983221</c:v>
                </c:pt>
                <c:pt idx="1090">
                  <c:v>16.005635385684542</c:v>
                </c:pt>
                <c:pt idx="1091">
                  <c:v>16.02139042427934</c:v>
                </c:pt>
                <c:pt idx="1092">
                  <c:v>16.037154900899306</c:v>
                </c:pt>
                <c:pt idx="1093">
                  <c:v>16.05292882068672</c:v>
                </c:pt>
                <c:pt idx="1094">
                  <c:v>16.068712188794432</c:v>
                </c:pt>
                <c:pt idx="1095">
                  <c:v>16.0845050103859</c:v>
                </c:pt>
                <c:pt idx="1096">
                  <c:v>16.100307290635172</c:v>
                </c:pt>
                <c:pt idx="1097">
                  <c:v>16.116119034726918</c:v>
                </c:pt>
                <c:pt idx="1098">
                  <c:v>16.131940247856424</c:v>
                </c:pt>
                <c:pt idx="1099">
                  <c:v>16.147770935229612</c:v>
                </c:pt>
                <c:pt idx="1100">
                  <c:v>16.16361110206305</c:v>
                </c:pt>
                <c:pt idx="1101">
                  <c:v>16.17946075358395</c:v>
                </c:pt>
                <c:pt idx="1102">
                  <c:v>16.1953198950302</c:v>
                </c:pt>
                <c:pt idx="1103">
                  <c:v>16.21118853165035</c:v>
                </c:pt>
                <c:pt idx="1104">
                  <c:v>16.227066668703635</c:v>
                </c:pt>
                <c:pt idx="1105">
                  <c:v>16.242954311459986</c:v>
                </c:pt>
                <c:pt idx="1106">
                  <c:v>16.25885146520003</c:v>
                </c:pt>
                <c:pt idx="1107">
                  <c:v>16.27475813521512</c:v>
                </c:pt>
                <c:pt idx="1108">
                  <c:v>16.290674326807313</c:v>
                </c:pt>
                <c:pt idx="1109">
                  <c:v>16.30660004528942</c:v>
                </c:pt>
                <c:pt idx="1110">
                  <c:v>16.32253529598499</c:v>
                </c:pt>
                <c:pt idx="1111">
                  <c:v>16.338480084228323</c:v>
                </c:pt>
                <c:pt idx="1112">
                  <c:v>16.35443441536448</c:v>
                </c:pt>
                <c:pt idx="1113">
                  <c:v>16.370398294749304</c:v>
                </c:pt>
                <c:pt idx="1114">
                  <c:v>16.386371727749424</c:v>
                </c:pt>
                <c:pt idx="1115">
                  <c:v>16.40235471974226</c:v>
                </c:pt>
                <c:pt idx="1116">
                  <c:v>16.418347276116048</c:v>
                </c:pt>
                <c:pt idx="1117">
                  <c:v>16.434349402269834</c:v>
                </c:pt>
                <c:pt idx="1118">
                  <c:v>16.450361103613496</c:v>
                </c:pt>
                <c:pt idx="1119">
                  <c:v>16.466382385567744</c:v>
                </c:pt>
                <c:pt idx="1120">
                  <c:v>16.482413253564147</c:v>
                </c:pt>
                <c:pt idx="1121">
                  <c:v>16.49845371304513</c:v>
                </c:pt>
                <c:pt idx="1122">
                  <c:v>16.51450376946399</c:v>
                </c:pt>
                <c:pt idx="1123">
                  <c:v>16.530563428284896</c:v>
                </c:pt>
                <c:pt idx="1124">
                  <c:v>16.546632694982936</c:v>
                </c:pt>
                <c:pt idx="1125">
                  <c:v>16.562711575044077</c:v>
                </c:pt>
                <c:pt idx="1126">
                  <c:v>16.57880007396521</c:v>
                </c:pt>
                <c:pt idx="1127">
                  <c:v>16.59489819725415</c:v>
                </c:pt>
                <c:pt idx="1128">
                  <c:v>16.611005950429654</c:v>
                </c:pt>
                <c:pt idx="1129">
                  <c:v>16.62712333902142</c:v>
                </c:pt>
                <c:pt idx="1130">
                  <c:v>16.64325036857011</c:v>
                </c:pt>
                <c:pt idx="1131">
                  <c:v>16.659387044627355</c:v>
                </c:pt>
                <c:pt idx="1132">
                  <c:v>16.67553337275577</c:v>
                </c:pt>
                <c:pt idx="1133">
                  <c:v>16.69168935852896</c:v>
                </c:pt>
                <c:pt idx="1134">
                  <c:v>16.70785500753154</c:v>
                </c:pt>
                <c:pt idx="1135">
                  <c:v>16.724030325359127</c:v>
                </c:pt>
                <c:pt idx="1136">
                  <c:v>16.740215317618375</c:v>
                </c:pt>
                <c:pt idx="1137">
                  <c:v>16.756409989926986</c:v>
                </c:pt>
                <c:pt idx="1138">
                  <c:v>16.772614347913688</c:v>
                </c:pt>
                <c:pt idx="1139">
                  <c:v>16.788828397218293</c:v>
                </c:pt>
                <c:pt idx="1140">
                  <c:v>16.805052143491675</c:v>
                </c:pt>
                <c:pt idx="1141">
                  <c:v>16.821285592395796</c:v>
                </c:pt>
                <c:pt idx="1142">
                  <c:v>16.837528749603713</c:v>
                </c:pt>
                <c:pt idx="1143">
                  <c:v>16.853781620799587</c:v>
                </c:pt>
                <c:pt idx="1144">
                  <c:v>16.870044211678717</c:v>
                </c:pt>
                <c:pt idx="1145">
                  <c:v>16.886316527947503</c:v>
                </c:pt>
                <c:pt idx="1146">
                  <c:v>16.902598575323516</c:v>
                </c:pt>
                <c:pt idx="1147">
                  <c:v>16.91889035953547</c:v>
                </c:pt>
                <c:pt idx="1148">
                  <c:v>16.935191886323246</c:v>
                </c:pt>
                <c:pt idx="1149">
                  <c:v>16.951503161437905</c:v>
                </c:pt>
                <c:pt idx="1150">
                  <c:v>16.9678241906417</c:v>
                </c:pt>
                <c:pt idx="1151">
                  <c:v>16.9841549797081</c:v>
                </c:pt>
                <c:pt idx="1152">
                  <c:v>17.00049553442176</c:v>
                </c:pt>
                <c:pt idx="1153">
                  <c:v>17.01684586057859</c:v>
                </c:pt>
                <c:pt idx="1154">
                  <c:v>17.03320596398573</c:v>
                </c:pt>
                <c:pt idx="1155">
                  <c:v>17.049575850461565</c:v>
                </c:pt>
                <c:pt idx="1156">
                  <c:v>17.065955525835754</c:v>
                </c:pt>
                <c:pt idx="1157">
                  <c:v>17.082344995949224</c:v>
                </c:pt>
                <c:pt idx="1158">
                  <c:v>17.098744266654208</c:v>
                </c:pt>
                <c:pt idx="1159">
                  <c:v>17.11515334381421</c:v>
                </c:pt>
                <c:pt idx="1160">
                  <c:v>17.131572233304077</c:v>
                </c:pt>
                <c:pt idx="1161">
                  <c:v>17.14800094100997</c:v>
                </c:pt>
                <c:pt idx="1162">
                  <c:v>17.164439472829383</c:v>
                </c:pt>
                <c:pt idx="1163">
                  <c:v>17.18088783467117</c:v>
                </c:pt>
                <c:pt idx="1164">
                  <c:v>17.197346032455545</c:v>
                </c:pt>
                <c:pt idx="1165">
                  <c:v>17.21381407211411</c:v>
                </c:pt>
                <c:pt idx="1166">
                  <c:v>17.230291959589827</c:v>
                </c:pt>
                <c:pt idx="1167">
                  <c:v>17.246779700837095</c:v>
                </c:pt>
                <c:pt idx="1168">
                  <c:v>17.263277301821702</c:v>
                </c:pt>
                <c:pt idx="1169">
                  <c:v>17.279784768520877</c:v>
                </c:pt>
                <c:pt idx="1170">
                  <c:v>17.29630210692328</c:v>
                </c:pt>
                <c:pt idx="1171">
                  <c:v>17.31282932302904</c:v>
                </c:pt>
                <c:pt idx="1172">
                  <c:v>17.32936642284973</c:v>
                </c:pt>
                <c:pt idx="1173">
                  <c:v>17.345913412408414</c:v>
                </c:pt>
                <c:pt idx="1174">
                  <c:v>17.36247029773966</c:v>
                </c:pt>
                <c:pt idx="1175">
                  <c:v>17.379037084889518</c:v>
                </c:pt>
                <c:pt idx="1176">
                  <c:v>17.395613779915575</c:v>
                </c:pt>
                <c:pt idx="1177">
                  <c:v>17.41220038888694</c:v>
                </c:pt>
                <c:pt idx="1178">
                  <c:v>17.428796917884274</c:v>
                </c:pt>
                <c:pt idx="1179">
                  <c:v>17.44540337299979</c:v>
                </c:pt>
                <c:pt idx="1180">
                  <c:v>17.462019760337274</c:v>
                </c:pt>
                <c:pt idx="1181">
                  <c:v>17.478646086012102</c:v>
                </c:pt>
                <c:pt idx="1182">
                  <c:v>17.49528235615124</c:v>
                </c:pt>
                <c:pt idx="1183">
                  <c:v>17.511928576893272</c:v>
                </c:pt>
                <c:pt idx="1184">
                  <c:v>17.528584754388408</c:v>
                </c:pt>
                <c:pt idx="1185">
                  <c:v>17.545250894798492</c:v>
                </c:pt>
                <c:pt idx="1186">
                  <c:v>17.561927004297026</c:v>
                </c:pt>
                <c:pt idx="1187">
                  <c:v>17.57861308906917</c:v>
                </c:pt>
                <c:pt idx="1188">
                  <c:v>17.595309155311778</c:v>
                </c:pt>
                <c:pt idx="1189">
                  <c:v>17.612015209233377</c:v>
                </c:pt>
                <c:pt idx="1190">
                  <c:v>17.628731257054223</c:v>
                </c:pt>
                <c:pt idx="1191">
                  <c:v>17.645457305006282</c:v>
                </c:pt>
                <c:pt idx="1192">
                  <c:v>17.66219335933325</c:v>
                </c:pt>
                <c:pt idx="1193">
                  <c:v>17.678939426290587</c:v>
                </c:pt>
                <c:pt idx="1194">
                  <c:v>17.695695512145495</c:v>
                </c:pt>
                <c:pt idx="1195">
                  <c:v>17.712461623176985</c:v>
                </c:pt>
                <c:pt idx="1196">
                  <c:v>17.729237765675816</c:v>
                </c:pt>
                <c:pt idx="1197">
                  <c:v>17.746023945944593</c:v>
                </c:pt>
                <c:pt idx="1198">
                  <c:v>17.762820170297715</c:v>
                </c:pt>
                <c:pt idx="1199">
                  <c:v>17.779626445061425</c:v>
                </c:pt>
                <c:pt idx="1200">
                  <c:v>17.796442776573805</c:v>
                </c:pt>
                <c:pt idx="1201">
                  <c:v>17.813269171184807</c:v>
                </c:pt>
                <c:pt idx="1202">
                  <c:v>17.830105635256267</c:v>
                </c:pt>
                <c:pt idx="1203">
                  <c:v>17.84695217516188</c:v>
                </c:pt>
                <c:pt idx="1204">
                  <c:v>17.86380879728729</c:v>
                </c:pt>
                <c:pt idx="1205">
                  <c:v>17.880675508030027</c:v>
                </c:pt>
                <c:pt idx="1206">
                  <c:v>17.89755231379957</c:v>
                </c:pt>
                <c:pt idx="1207">
                  <c:v>17.91443922101734</c:v>
                </c:pt>
                <c:pt idx="1208">
                  <c:v>17.93133623611672</c:v>
                </c:pt>
                <c:pt idx="1209">
                  <c:v>17.948243365543092</c:v>
                </c:pt>
                <c:pt idx="1210">
                  <c:v>17.965160615753796</c:v>
                </c:pt>
                <c:pt idx="1211">
                  <c:v>17.982087993218205</c:v>
                </c:pt>
                <c:pt idx="1212">
                  <c:v>17.999025504417705</c:v>
                </c:pt>
                <c:pt idx="1213">
                  <c:v>18.015973155845725</c:v>
                </c:pt>
                <c:pt idx="1214">
                  <c:v>18.03293095400774</c:v>
                </c:pt>
                <c:pt idx="1215">
                  <c:v>18.049898905421284</c:v>
                </c:pt>
                <c:pt idx="1216">
                  <c:v>18.066877016616</c:v>
                </c:pt>
                <c:pt idx="1217">
                  <c:v>18.083865294133595</c:v>
                </c:pt>
                <c:pt idx="1218">
                  <c:v>18.100863744527913</c:v>
                </c:pt>
                <c:pt idx="1219">
                  <c:v>18.117872374364914</c:v>
                </c:pt>
                <c:pt idx="1220">
                  <c:v>18.1348911902227</c:v>
                </c:pt>
                <c:pt idx="1221">
                  <c:v>18.15192019869153</c:v>
                </c:pt>
                <c:pt idx="1222">
                  <c:v>18.168959406373844</c:v>
                </c:pt>
                <c:pt idx="1223">
                  <c:v>18.18600881988427</c:v>
                </c:pt>
                <c:pt idx="1224">
                  <c:v>18.20306844584962</c:v>
                </c:pt>
                <c:pt idx="1225">
                  <c:v>18.220138290908952</c:v>
                </c:pt>
                <c:pt idx="1226">
                  <c:v>18.23721836171354</c:v>
                </c:pt>
                <c:pt idx="1227">
                  <c:v>18.25430866492692</c:v>
                </c:pt>
                <c:pt idx="1228">
                  <c:v>18.271409207224885</c:v>
                </c:pt>
                <c:pt idx="1229">
                  <c:v>18.288519995295506</c:v>
                </c:pt>
                <c:pt idx="1230">
                  <c:v>18.305641035839173</c:v>
                </c:pt>
                <c:pt idx="1231">
                  <c:v>18.322772335568555</c:v>
                </c:pt>
                <c:pt idx="1232">
                  <c:v>18.33991390120868</c:v>
                </c:pt>
                <c:pt idx="1233">
                  <c:v>18.357065739496903</c:v>
                </c:pt>
                <c:pt idx="1234">
                  <c:v>18.374227857182944</c:v>
                </c:pt>
                <c:pt idx="1235">
                  <c:v>18.391400261028902</c:v>
                </c:pt>
                <c:pt idx="1236">
                  <c:v>18.40858295780926</c:v>
                </c:pt>
                <c:pt idx="1237">
                  <c:v>18.42577595431092</c:v>
                </c:pt>
                <c:pt idx="1238">
                  <c:v>18.442979257333196</c:v>
                </c:pt>
                <c:pt idx="1239">
                  <c:v>18.460192873687856</c:v>
                </c:pt>
                <c:pt idx="1240">
                  <c:v>18.477416810199113</c:v>
                </c:pt>
                <c:pt idx="1241">
                  <c:v>18.494651073703654</c:v>
                </c:pt>
                <c:pt idx="1242">
                  <c:v>18.511895671050663</c:v>
                </c:pt>
                <c:pt idx="1243">
                  <c:v>18.529150609101816</c:v>
                </c:pt>
                <c:pt idx="1244">
                  <c:v>18.546415894731332</c:v>
                </c:pt>
                <c:pt idx="1245">
                  <c:v>18.56369153482594</c:v>
                </c:pt>
                <c:pt idx="1246">
                  <c:v>18.580977536284948</c:v>
                </c:pt>
                <c:pt idx="1247">
                  <c:v>18.598273906020225</c:v>
                </c:pt>
                <c:pt idx="1248">
                  <c:v>18.615580650956225</c:v>
                </c:pt>
                <c:pt idx="1249">
                  <c:v>18.63289777803001</c:v>
                </c:pt>
                <c:pt idx="1250">
                  <c:v>18.650225294191262</c:v>
                </c:pt>
                <c:pt idx="1251">
                  <c:v>18.667563206402303</c:v>
                </c:pt>
                <c:pt idx="1252">
                  <c:v>18.6849115216381</c:v>
                </c:pt>
                <c:pt idx="1253">
                  <c:v>18.702270246886307</c:v>
                </c:pt>
                <c:pt idx="1254">
                  <c:v>18.719639389147257</c:v>
                </c:pt>
                <c:pt idx="1255">
                  <c:v>18.73701895543399</c:v>
                </c:pt>
                <c:pt idx="1256">
                  <c:v>18.754408952772263</c:v>
                </c:pt>
                <c:pt idx="1257">
                  <c:v>18.771809388200577</c:v>
                </c:pt>
                <c:pt idx="1258">
                  <c:v>18.78922026877019</c:v>
                </c:pt>
                <c:pt idx="1259">
                  <c:v>18.806641601545127</c:v>
                </c:pt>
                <c:pt idx="1260">
                  <c:v>18.82407339360222</c:v>
                </c:pt>
                <c:pt idx="1261">
                  <c:v>18.841515652031088</c:v>
                </c:pt>
                <c:pt idx="1262">
                  <c:v>18.85896838393419</c:v>
                </c:pt>
                <c:pt idx="1263">
                  <c:v>18.87643159642682</c:v>
                </c:pt>
                <c:pt idx="1264">
                  <c:v>18.89390529663713</c:v>
                </c:pt>
                <c:pt idx="1265">
                  <c:v>18.911389491706156</c:v>
                </c:pt>
                <c:pt idx="1266">
                  <c:v>18.928884188787826</c:v>
                </c:pt>
                <c:pt idx="1267">
                  <c:v>18.946389395048985</c:v>
                </c:pt>
                <c:pt idx="1268">
                  <c:v>18.9639051176694</c:v>
                </c:pt>
                <c:pt idx="1269">
                  <c:v>18.981431363841786</c:v>
                </c:pt>
                <c:pt idx="1270">
                  <c:v>18.998968140771833</c:v>
                </c:pt>
                <c:pt idx="1271">
                  <c:v>19.016515455678206</c:v>
                </c:pt>
                <c:pt idx="1272">
                  <c:v>19.034073315792572</c:v>
                </c:pt>
                <c:pt idx="1273">
                  <c:v>19.051641728359613</c:v>
                </c:pt>
                <c:pt idx="1274">
                  <c:v>19.06922070063706</c:v>
                </c:pt>
                <c:pt idx="1275">
                  <c:v>19.08681023989569</c:v>
                </c:pt>
                <c:pt idx="1276">
                  <c:v>19.104410353419354</c:v>
                </c:pt>
                <c:pt idx="1277">
                  <c:v>19.122021048504994</c:v>
                </c:pt>
                <c:pt idx="1278">
                  <c:v>19.13964233246266</c:v>
                </c:pt>
                <c:pt idx="1279">
                  <c:v>19.157274212615533</c:v>
                </c:pt>
                <c:pt idx="1280">
                  <c:v>19.174916696299935</c:v>
                </c:pt>
                <c:pt idx="1281">
                  <c:v>19.19256979086536</c:v>
                </c:pt>
                <c:pt idx="1282">
                  <c:v>19.210233503674473</c:v>
                </c:pt>
                <c:pt idx="1283">
                  <c:v>19.22790784210315</c:v>
                </c:pt>
                <c:pt idx="1284">
                  <c:v>19.24559281354048</c:v>
                </c:pt>
                <c:pt idx="1285">
                  <c:v>19.26328842538879</c:v>
                </c:pt>
                <c:pt idx="1286">
                  <c:v>19.280994685063664</c:v>
                </c:pt>
                <c:pt idx="1287">
                  <c:v>19.298711599993958</c:v>
                </c:pt>
                <c:pt idx="1288">
                  <c:v>19.316439177621834</c:v>
                </c:pt>
                <c:pt idx="1289">
                  <c:v>19.334177425402753</c:v>
                </c:pt>
                <c:pt idx="1290">
                  <c:v>19.351926350805513</c:v>
                </c:pt>
                <c:pt idx="1291">
                  <c:v>19.36968596131226</c:v>
                </c:pt>
                <c:pt idx="1292">
                  <c:v>19.38745626441851</c:v>
                </c:pt>
                <c:pt idx="1293">
                  <c:v>19.405237267633165</c:v>
                </c:pt>
                <c:pt idx="1294">
                  <c:v>19.42302897847853</c:v>
                </c:pt>
                <c:pt idx="1295">
                  <c:v>19.440831404490357</c:v>
                </c:pt>
                <c:pt idx="1296">
                  <c:v>19.458644553217816</c:v>
                </c:pt>
                <c:pt idx="1297">
                  <c:v>19.47646843222356</c:v>
                </c:pt>
                <c:pt idx="1298">
                  <c:v>19.49430304908371</c:v>
                </c:pt>
                <c:pt idx="1299">
                  <c:v>19.512148411387912</c:v>
                </c:pt>
                <c:pt idx="1300">
                  <c:v>19.53000452673931</c:v>
                </c:pt>
                <c:pt idx="1301">
                  <c:v>19.547871402754605</c:v>
                </c:pt>
                <c:pt idx="1302">
                  <c:v>19.56574904706406</c:v>
                </c:pt>
                <c:pt idx="1303">
                  <c:v>19.583637467311508</c:v>
                </c:pt>
                <c:pt idx="1304">
                  <c:v>19.601536671154392</c:v>
                </c:pt>
                <c:pt idx="1305">
                  <c:v>19.61944666626377</c:v>
                </c:pt>
                <c:pt idx="1306">
                  <c:v>19.63736746032434</c:v>
                </c:pt>
                <c:pt idx="1307">
                  <c:v>19.655299061034466</c:v>
                </c:pt>
                <c:pt idx="1308">
                  <c:v>19.673241476106178</c:v>
                </c:pt>
                <c:pt idx="1309">
                  <c:v>19.691194713265222</c:v>
                </c:pt>
                <c:pt idx="1310">
                  <c:v>19.70915878025105</c:v>
                </c:pt>
                <c:pt idx="1311">
                  <c:v>19.727133684816863</c:v>
                </c:pt>
                <c:pt idx="1312">
                  <c:v>19.745119434729613</c:v>
                </c:pt>
                <c:pt idx="1313">
                  <c:v>19.763116037770033</c:v>
                </c:pt>
                <c:pt idx="1314">
                  <c:v>19.781123501732658</c:v>
                </c:pt>
                <c:pt idx="1315">
                  <c:v>19.79914183442584</c:v>
                </c:pt>
                <c:pt idx="1316">
                  <c:v>19.81717104367178</c:v>
                </c:pt>
                <c:pt idx="1317">
                  <c:v>19.835211137306523</c:v>
                </c:pt>
                <c:pt idx="1318">
                  <c:v>19.85326212318001</c:v>
                </c:pt>
                <c:pt idx="1319">
                  <c:v>19.871324009156076</c:v>
                </c:pt>
                <c:pt idx="1320">
                  <c:v>19.88939680311248</c:v>
                </c:pt>
                <c:pt idx="1321">
                  <c:v>19.90748051294092</c:v>
                </c:pt>
                <c:pt idx="1322">
                  <c:v>19.925575146547057</c:v>
                </c:pt>
                <c:pt idx="1323">
                  <c:v>19.943680711850554</c:v>
                </c:pt>
                <c:pt idx="1324">
                  <c:v>19.96179721678504</c:v>
                </c:pt>
                <c:pt idx="1325">
                  <c:v>19.97992466929821</c:v>
                </c:pt>
                <c:pt idx="1326">
                  <c:v>19.99806307735178</c:v>
                </c:pt>
                <c:pt idx="1327">
                  <c:v>20.016212448921543</c:v>
                </c:pt>
                <c:pt idx="1328">
                  <c:v>20.034372791997374</c:v>
                </c:pt>
                <c:pt idx="1329">
                  <c:v>20.05254411458326</c:v>
                </c:pt>
                <c:pt idx="1330">
                  <c:v>20.070726424697334</c:v>
                </c:pt>
                <c:pt idx="1331">
                  <c:v>20.088919730371845</c:v>
                </c:pt>
                <c:pt idx="1332">
                  <c:v>20.107124039653257</c:v>
                </c:pt>
                <c:pt idx="1333">
                  <c:v>20.125339360602187</c:v>
                </c:pt>
                <c:pt idx="1334">
                  <c:v>20.1435657012935</c:v>
                </c:pt>
                <c:pt idx="1335">
                  <c:v>20.16180306981628</c:v>
                </c:pt>
                <c:pt idx="1336">
                  <c:v>20.18005147427387</c:v>
                </c:pt>
                <c:pt idx="1337">
                  <c:v>20.198310922783918</c:v>
                </c:pt>
                <c:pt idx="1338">
                  <c:v>20.216581423478328</c:v>
                </c:pt>
                <c:pt idx="1339">
                  <c:v>20.234862984503376</c:v>
                </c:pt>
                <c:pt idx="1340">
                  <c:v>20.253155614019636</c:v>
                </c:pt>
                <c:pt idx="1341">
                  <c:v>20.27145932020209</c:v>
                </c:pt>
                <c:pt idx="1342">
                  <c:v>20.289774111240085</c:v>
                </c:pt>
                <c:pt idx="1343">
                  <c:v>20.308099995337383</c:v>
                </c:pt>
                <c:pt idx="1344">
                  <c:v>20.32643698071219</c:v>
                </c:pt>
                <c:pt idx="1345">
                  <c:v>20.34478507559714</c:v>
                </c:pt>
                <c:pt idx="1346">
                  <c:v>20.363144288239383</c:v>
                </c:pt>
                <c:pt idx="1347">
                  <c:v>20.38151462690052</c:v>
                </c:pt>
                <c:pt idx="1348">
                  <c:v>20.399896099856715</c:v>
                </c:pt>
                <c:pt idx="1349">
                  <c:v>20.418288715398656</c:v>
                </c:pt>
                <c:pt idx="1350">
                  <c:v>20.436692481831596</c:v>
                </c:pt>
                <c:pt idx="1351">
                  <c:v>20.455107407475396</c:v>
                </c:pt>
                <c:pt idx="1352">
                  <c:v>20.473533500664487</c:v>
                </c:pt>
                <c:pt idx="1353">
                  <c:v>20.491970769747986</c:v>
                </c:pt>
                <c:pt idx="1354">
                  <c:v>20.510419223089613</c:v>
                </c:pt>
                <c:pt idx="1355">
                  <c:v>20.52887886906781</c:v>
                </c:pt>
                <c:pt idx="1356">
                  <c:v>20.547349716075697</c:v>
                </c:pt>
                <c:pt idx="1357">
                  <c:v>20.565831772521122</c:v>
                </c:pt>
                <c:pt idx="1358">
                  <c:v>20.58432504682668</c:v>
                </c:pt>
                <c:pt idx="1359">
                  <c:v>20.60282954742974</c:v>
                </c:pt>
                <c:pt idx="1360">
                  <c:v>20.62134528278247</c:v>
                </c:pt>
                <c:pt idx="1361">
                  <c:v>20.63987226135183</c:v>
                </c:pt>
                <c:pt idx="1362">
                  <c:v>20.658410491619648</c:v>
                </c:pt>
                <c:pt idx="1363">
                  <c:v>20.6769599820826</c:v>
                </c:pt>
                <c:pt idx="1364">
                  <c:v>20.695520741252246</c:v>
                </c:pt>
                <c:pt idx="1365">
                  <c:v>20.71409277765506</c:v>
                </c:pt>
                <c:pt idx="1366">
                  <c:v>20.73267609983245</c:v>
                </c:pt>
                <c:pt idx="1367">
                  <c:v>20.751270716340773</c:v>
                </c:pt>
                <c:pt idx="1368">
                  <c:v>20.769876635751366</c:v>
                </c:pt>
                <c:pt idx="1369">
                  <c:v>20.788493866650583</c:v>
                </c:pt>
                <c:pt idx="1370">
                  <c:v>20.80712241763979</c:v>
                </c:pt>
                <c:pt idx="1371">
                  <c:v>20.825762297335405</c:v>
                </c:pt>
                <c:pt idx="1372">
                  <c:v>20.844413514368927</c:v>
                </c:pt>
                <c:pt idx="1373">
                  <c:v>20.863076077386946</c:v>
                </c:pt>
                <c:pt idx="1374">
                  <c:v>20.88174999505118</c:v>
                </c:pt>
                <c:pt idx="1375">
                  <c:v>20.900435276038486</c:v>
                </c:pt>
                <c:pt idx="1376">
                  <c:v>20.919131929040905</c:v>
                </c:pt>
                <c:pt idx="1377">
                  <c:v>20.937839962765658</c:v>
                </c:pt>
                <c:pt idx="1378">
                  <c:v>20.95655938593519</c:v>
                </c:pt>
                <c:pt idx="1379">
                  <c:v>20.975290207287188</c:v>
                </c:pt>
                <c:pt idx="1380">
                  <c:v>20.994032435574606</c:v>
                </c:pt>
                <c:pt idx="1381">
                  <c:v>21.012786079565693</c:v>
                </c:pt>
                <c:pt idx="1382">
                  <c:v>21.031551148044006</c:v>
                </c:pt>
                <c:pt idx="1383">
                  <c:v>21.050327649808455</c:v>
                </c:pt>
                <c:pt idx="1384">
                  <c:v>21.069115593673306</c:v>
                </c:pt>
                <c:pt idx="1385">
                  <c:v>21.087914988468217</c:v>
                </c:pt>
                <c:pt idx="1386">
                  <c:v>21.10672584303826</c:v>
                </c:pt>
                <c:pt idx="1387">
                  <c:v>21.125548166243945</c:v>
                </c:pt>
                <c:pt idx="1388">
                  <c:v>21.14438196696125</c:v>
                </c:pt>
                <c:pt idx="1389">
                  <c:v>21.16322725408164</c:v>
                </c:pt>
                <c:pt idx="1390">
                  <c:v>21.1820840365121</c:v>
                </c:pt>
                <c:pt idx="1391">
                  <c:v>21.200952323175148</c:v>
                </c:pt>
                <c:pt idx="1392">
                  <c:v>21.219832123008864</c:v>
                </c:pt>
                <c:pt idx="1393">
                  <c:v>21.238723444966926</c:v>
                </c:pt>
                <c:pt idx="1394">
                  <c:v>21.25762629801862</c:v>
                </c:pt>
                <c:pt idx="1395">
                  <c:v>21.276540691148885</c:v>
                </c:pt>
                <c:pt idx="1396">
                  <c:v>21.295466633358302</c:v>
                </c:pt>
                <c:pt idx="1397">
                  <c:v>21.314404133663174</c:v>
                </c:pt>
                <c:pt idx="1398">
                  <c:v>21.333353201095502</c:v>
                </c:pt>
                <c:pt idx="1399">
                  <c:v>21.35231384470303</c:v>
                </c:pt>
                <c:pt idx="1400">
                  <c:v>21.37128607354928</c:v>
                </c:pt>
                <c:pt idx="1401">
                  <c:v>21.390269896713555</c:v>
                </c:pt>
                <c:pt idx="1402">
                  <c:v>21.409265323290995</c:v>
                </c:pt>
                <c:pt idx="1403">
                  <c:v>21.42827236239257</c:v>
                </c:pt>
                <c:pt idx="1404">
                  <c:v>21.447291023145137</c:v>
                </c:pt>
                <c:pt idx="1405">
                  <c:v>21.46632131469144</c:v>
                </c:pt>
                <c:pt idx="1406">
                  <c:v>21.485363246190154</c:v>
                </c:pt>
                <c:pt idx="1407">
                  <c:v>21.504416826815902</c:v>
                </c:pt>
                <c:pt idx="1408">
                  <c:v>21.523482065759286</c:v>
                </c:pt>
                <c:pt idx="1409">
                  <c:v>21.542558972226907</c:v>
                </c:pt>
                <c:pt idx="1410">
                  <c:v>21.561647555441397</c:v>
                </c:pt>
                <c:pt idx="1411">
                  <c:v>21.58074782464146</c:v>
                </c:pt>
                <c:pt idx="1412">
                  <c:v>21.59985978908186</c:v>
                </c:pt>
                <c:pt idx="1413">
                  <c:v>21.618983458033487</c:v>
                </c:pt>
                <c:pt idx="1414">
                  <c:v>21.638118840783356</c:v>
                </c:pt>
                <c:pt idx="1415">
                  <c:v>21.657265946634656</c:v>
                </c:pt>
                <c:pt idx="1416">
                  <c:v>21.67642478490676</c:v>
                </c:pt>
                <c:pt idx="1417">
                  <c:v>21.695595364935258</c:v>
                </c:pt>
                <c:pt idx="1418">
                  <c:v>21.714777696071994</c:v>
                </c:pt>
                <c:pt idx="1419">
                  <c:v>21.733971787685075</c:v>
                </c:pt>
                <c:pt idx="1420">
                  <c:v>21.753177649158904</c:v>
                </c:pt>
                <c:pt idx="1421">
                  <c:v>21.772395289894217</c:v>
                </c:pt>
                <c:pt idx="1422">
                  <c:v>21.7916247193081</c:v>
                </c:pt>
                <c:pt idx="1423">
                  <c:v>21.81086594683402</c:v>
                </c:pt>
                <c:pt idx="1424">
                  <c:v>21.830118981921853</c:v>
                </c:pt>
                <c:pt idx="1425">
                  <c:v>21.849383834037916</c:v>
                </c:pt>
                <c:pt idx="1426">
                  <c:v>21.868660512664984</c:v>
                </c:pt>
                <c:pt idx="1427">
                  <c:v>21.887949027302323</c:v>
                </c:pt>
                <c:pt idx="1428">
                  <c:v>21.907249387465722</c:v>
                </c:pt>
                <c:pt idx="1429">
                  <c:v>21.926561602687514</c:v>
                </c:pt>
                <c:pt idx="1430">
                  <c:v>21.945885682516607</c:v>
                </c:pt>
                <c:pt idx="1431">
                  <c:v>21.96522163651851</c:v>
                </c:pt>
                <c:pt idx="1432">
                  <c:v>21.984569474275386</c:v>
                </c:pt>
                <c:pt idx="1433">
                  <c:v>22.003929205386015</c:v>
                </c:pt>
                <c:pt idx="1434">
                  <c:v>22.023300839465904</c:v>
                </c:pt>
                <c:pt idx="1435">
                  <c:v>22.042684386147258</c:v>
                </c:pt>
                <c:pt idx="1436">
                  <c:v>22.06207985507903</c:v>
                </c:pt>
                <c:pt idx="1437">
                  <c:v>22.081487255926945</c:v>
                </c:pt>
                <c:pt idx="1438">
                  <c:v>22.100906598373527</c:v>
                </c:pt>
                <c:pt idx="1439">
                  <c:v>22.12033789211815</c:v>
                </c:pt>
                <c:pt idx="1440">
                  <c:v>22.139781146877013</c:v>
                </c:pt>
                <c:pt idx="1441">
                  <c:v>22.159236372383234</c:v>
                </c:pt>
                <c:pt idx="1442">
                  <c:v>22.178703578386834</c:v>
                </c:pt>
                <c:pt idx="1443">
                  <c:v>22.198182774654782</c:v>
                </c:pt>
                <c:pt idx="1444">
                  <c:v>22.217673970971024</c:v>
                </c:pt>
                <c:pt idx="1445">
                  <c:v>22.237177177136505</c:v>
                </c:pt>
                <c:pt idx="1446">
                  <c:v>22.25669240296922</c:v>
                </c:pt>
                <c:pt idx="1447">
                  <c:v>22.2762196583042</c:v>
                </c:pt>
                <c:pt idx="1448">
                  <c:v>22.2957589529936</c:v>
                </c:pt>
                <c:pt idx="1449">
                  <c:v>22.315310296906663</c:v>
                </c:pt>
                <c:pt idx="1450">
                  <c:v>22.33487369992981</c:v>
                </c:pt>
                <c:pt idx="1451">
                  <c:v>22.35444917196664</c:v>
                </c:pt>
                <c:pt idx="1452">
                  <c:v>22.37403672293794</c:v>
                </c:pt>
                <c:pt idx="1453">
                  <c:v>22.393636362781777</c:v>
                </c:pt>
                <c:pt idx="1454">
                  <c:v>22.413248101453444</c:v>
                </c:pt>
                <c:pt idx="1455">
                  <c:v>22.432871948925577</c:v>
                </c:pt>
                <c:pt idx="1456">
                  <c:v>22.4525079151881</c:v>
                </c:pt>
                <c:pt idx="1457">
                  <c:v>22.472156010248334</c:v>
                </c:pt>
                <c:pt idx="1458">
                  <c:v>22.491816244130987</c:v>
                </c:pt>
                <c:pt idx="1459">
                  <c:v>22.51148862687816</c:v>
                </c:pt>
                <c:pt idx="1460">
                  <c:v>22.531173168549447</c:v>
                </c:pt>
                <c:pt idx="1461">
                  <c:v>22.550869879221874</c:v>
                </c:pt>
                <c:pt idx="1462">
                  <c:v>22.570578768990035</c:v>
                </c:pt>
                <c:pt idx="1463">
                  <c:v>22.590299847966016</c:v>
                </c:pt>
                <c:pt idx="1464">
                  <c:v>22.610033126279518</c:v>
                </c:pt>
                <c:pt idx="1465">
                  <c:v>22.62977861407783</c:v>
                </c:pt>
                <c:pt idx="1466">
                  <c:v>22.649536321525865</c:v>
                </c:pt>
                <c:pt idx="1467">
                  <c:v>22.669306258806238</c:v>
                </c:pt>
                <c:pt idx="1468">
                  <c:v>22.689088436119217</c:v>
                </c:pt>
                <c:pt idx="1469">
                  <c:v>22.708882863682845</c:v>
                </c:pt>
                <c:pt idx="1470">
                  <c:v>22.72868955173288</c:v>
                </c:pt>
                <c:pt idx="1471">
                  <c:v>22.74850851052291</c:v>
                </c:pt>
                <c:pt idx="1472">
                  <c:v>22.768339750324326</c:v>
                </c:pt>
                <c:pt idx="1473">
                  <c:v>22.78818328142638</c:v>
                </c:pt>
                <c:pt idx="1474">
                  <c:v>22.80803911413621</c:v>
                </c:pt>
                <c:pt idx="1475">
                  <c:v>22.827907258778865</c:v>
                </c:pt>
                <c:pt idx="1476">
                  <c:v>22.84778772569737</c:v>
                </c:pt>
                <c:pt idx="1477">
                  <c:v>22.867680525252684</c:v>
                </c:pt>
                <c:pt idx="1478">
                  <c:v>22.88758566782383</c:v>
                </c:pt>
                <c:pt idx="1479">
                  <c:v>22.90750316380785</c:v>
                </c:pt>
                <c:pt idx="1480">
                  <c:v>22.927433023619862</c:v>
                </c:pt>
                <c:pt idx="1481">
                  <c:v>22.947375257693107</c:v>
                </c:pt>
                <c:pt idx="1482">
                  <c:v>22.967329876478956</c:v>
                </c:pt>
                <c:pt idx="1483">
                  <c:v>22.987296890446977</c:v>
                </c:pt>
                <c:pt idx="1484">
                  <c:v>23.007276310084908</c:v>
                </c:pt>
                <c:pt idx="1485">
                  <c:v>23.027268145898763</c:v>
                </c:pt>
                <c:pt idx="1486">
                  <c:v>23.04727240841281</c:v>
                </c:pt>
                <c:pt idx="1487">
                  <c:v>23.067289108169625</c:v>
                </c:pt>
                <c:pt idx="1488">
                  <c:v>23.08731825573013</c:v>
                </c:pt>
                <c:pt idx="1489">
                  <c:v>23.1073598616736</c:v>
                </c:pt>
                <c:pt idx="1490">
                  <c:v>23.127413936597748</c:v>
                </c:pt>
                <c:pt idx="1491">
                  <c:v>23.147480491118678</c:v>
                </c:pt>
                <c:pt idx="1492">
                  <c:v>23.167559535871003</c:v>
                </c:pt>
                <c:pt idx="1493">
                  <c:v>23.187651081507827</c:v>
                </c:pt>
                <c:pt idx="1494">
                  <c:v>23.207755138700787</c:v>
                </c:pt>
                <c:pt idx="1495">
                  <c:v>23.22787171814009</c:v>
                </c:pt>
                <c:pt idx="1496">
                  <c:v>23.24800083053455</c:v>
                </c:pt>
                <c:pt idx="1497">
                  <c:v>23.26814248661164</c:v>
                </c:pt>
                <c:pt idx="1498">
                  <c:v>23.28829669711746</c:v>
                </c:pt>
                <c:pt idx="1499">
                  <c:v>23.308463472816857</c:v>
                </c:pt>
                <c:pt idx="1500">
                  <c:v>23.328642824493397</c:v>
                </c:pt>
                <c:pt idx="1501">
                  <c:v>23.348834762949426</c:v>
                </c:pt>
                <c:pt idx="1502">
                  <c:v>23.369039299006094</c:v>
                </c:pt>
                <c:pt idx="1503">
                  <c:v>23.389256443503392</c:v>
                </c:pt>
                <c:pt idx="1504">
                  <c:v>23.409486207300205</c:v>
                </c:pt>
                <c:pt idx="1505">
                  <c:v>23.429728601274295</c:v>
                </c:pt>
                <c:pt idx="1506">
                  <c:v>23.449983636322404</c:v>
                </c:pt>
                <c:pt idx="1507">
                  <c:v>23.470251323360234</c:v>
                </c:pt>
                <c:pt idx="1508">
                  <c:v>23.490531673322508</c:v>
                </c:pt>
                <c:pt idx="1509">
                  <c:v>23.510824697162995</c:v>
                </c:pt>
                <c:pt idx="1510">
                  <c:v>23.531130405854547</c:v>
                </c:pt>
                <c:pt idx="1511">
                  <c:v>23.551448810389157</c:v>
                </c:pt>
                <c:pt idx="1512">
                  <c:v>23.57177992177793</c:v>
                </c:pt>
                <c:pt idx="1513">
                  <c:v>23.592123751051208</c:v>
                </c:pt>
                <c:pt idx="1514">
                  <c:v>23.612480309258526</c:v>
                </c:pt>
                <c:pt idx="1515">
                  <c:v>23.63284960746869</c:v>
                </c:pt>
                <c:pt idx="1516">
                  <c:v>23.6532316567698</c:v>
                </c:pt>
                <c:pt idx="1517">
                  <c:v>23.67362646826929</c:v>
                </c:pt>
                <c:pt idx="1518">
                  <c:v>23.694034053093972</c:v>
                </c:pt>
                <c:pt idx="1519">
                  <c:v>23.714454422390027</c:v>
                </c:pt>
                <c:pt idx="1520">
                  <c:v>23.734887587323115</c:v>
                </c:pt>
                <c:pt idx="1521">
                  <c:v>23.75533355907835</c:v>
                </c:pt>
                <c:pt idx="1522">
                  <c:v>23.775792348860357</c:v>
                </c:pt>
                <c:pt idx="1523">
                  <c:v>23.796263967893317</c:v>
                </c:pt>
                <c:pt idx="1524">
                  <c:v>23.81674842742098</c:v>
                </c:pt>
                <c:pt idx="1525">
                  <c:v>23.83724573870674</c:v>
                </c:pt>
                <c:pt idx="1526">
                  <c:v>23.857755913033618</c:v>
                </c:pt>
                <c:pt idx="1527">
                  <c:v>23.878278961704353</c:v>
                </c:pt>
                <c:pt idx="1528">
                  <c:v>23.898814896041404</c:v>
                </c:pt>
                <c:pt idx="1529">
                  <c:v>23.919363727386994</c:v>
                </c:pt>
                <c:pt idx="1530">
                  <c:v>23.93992546710315</c:v>
                </c:pt>
                <c:pt idx="1531">
                  <c:v>23.960500126571738</c:v>
                </c:pt>
                <c:pt idx="1532">
                  <c:v>23.98108771719452</c:v>
                </c:pt>
                <c:pt idx="1533">
                  <c:v>24.001688250393133</c:v>
                </c:pt>
                <c:pt idx="1534">
                  <c:v>24.022301737609215</c:v>
                </c:pt>
                <c:pt idx="1535">
                  <c:v>24.04292819030436</c:v>
                </c:pt>
                <c:pt idx="1536">
                  <c:v>24.063567619960196</c:v>
                </c:pt>
                <c:pt idx="1537">
                  <c:v>24.08422003807842</c:v>
                </c:pt>
                <c:pt idx="1538">
                  <c:v>24.104885456180824</c:v>
                </c:pt>
                <c:pt idx="1539">
                  <c:v>24.125563885809363</c:v>
                </c:pt>
                <c:pt idx="1540">
                  <c:v>24.14625533852613</c:v>
                </c:pt>
                <c:pt idx="1541">
                  <c:v>24.166959825913477</c:v>
                </c:pt>
                <c:pt idx="1542">
                  <c:v>24.18767735957398</c:v>
                </c:pt>
                <c:pt idx="1543">
                  <c:v>24.208407951130518</c:v>
                </c:pt>
                <c:pt idx="1544">
                  <c:v>24.229151612226307</c:v>
                </c:pt>
                <c:pt idx="1545">
                  <c:v>24.249908354524916</c:v>
                </c:pt>
                <c:pt idx="1546">
                  <c:v>24.270678189710353</c:v>
                </c:pt>
                <c:pt idx="1547">
                  <c:v>24.29146112948703</c:v>
                </c:pt>
                <c:pt idx="1548">
                  <c:v>24.31225718557988</c:v>
                </c:pt>
                <c:pt idx="1549">
                  <c:v>24.333066369734347</c:v>
                </c:pt>
                <c:pt idx="1550">
                  <c:v>24.35388869371644</c:v>
                </c:pt>
                <c:pt idx="1551">
                  <c:v>24.374724169312763</c:v>
                </c:pt>
                <c:pt idx="1552">
                  <c:v>24.39557280833057</c:v>
                </c:pt>
                <c:pt idx="1553">
                  <c:v>24.41643462259781</c:v>
                </c:pt>
                <c:pt idx="1554">
                  <c:v>24.43730962396311</c:v>
                </c:pt>
                <c:pt idx="1555">
                  <c:v>24.45819782429591</c:v>
                </c:pt>
                <c:pt idx="1556">
                  <c:v>24.479099235486405</c:v>
                </c:pt>
                <c:pt idx="1557">
                  <c:v>24.500013869445663</c:v>
                </c:pt>
                <c:pt idx="1558">
                  <c:v>24.52094173810561</c:v>
                </c:pt>
                <c:pt idx="1559">
                  <c:v>24.541882853419093</c:v>
                </c:pt>
                <c:pt idx="1560">
                  <c:v>24.562837227359946</c:v>
                </c:pt>
                <c:pt idx="1561">
                  <c:v>24.583804871922958</c:v>
                </c:pt>
                <c:pt idx="1562">
                  <c:v>24.604785799124002</c:v>
                </c:pt>
                <c:pt idx="1563">
                  <c:v>24.62578002099999</c:v>
                </c:pt>
                <c:pt idx="1564">
                  <c:v>24.64678754960899</c:v>
                </c:pt>
                <c:pt idx="1565">
                  <c:v>24.667808397030218</c:v>
                </c:pt>
                <c:pt idx="1566">
                  <c:v>24.688842575364085</c:v>
                </c:pt>
                <c:pt idx="1567">
                  <c:v>24.70989009673227</c:v>
                </c:pt>
                <c:pt idx="1568">
                  <c:v>24.730950973277697</c:v>
                </c:pt>
                <c:pt idx="1569">
                  <c:v>24.752025217164665</c:v>
                </c:pt>
                <c:pt idx="1570">
                  <c:v>24.773112840578786</c:v>
                </c:pt>
                <c:pt idx="1571">
                  <c:v>24.79421385572713</c:v>
                </c:pt>
                <c:pt idx="1572">
                  <c:v>24.815328274838183</c:v>
                </c:pt>
                <c:pt idx="1573">
                  <c:v>24.836456110161937</c:v>
                </c:pt>
                <c:pt idx="1574">
                  <c:v>24.857597373969924</c:v>
                </c:pt>
                <c:pt idx="1575">
                  <c:v>24.878752078555223</c:v>
                </c:pt>
                <c:pt idx="1576">
                  <c:v>24.89992023623257</c:v>
                </c:pt>
                <c:pt idx="1577">
                  <c:v>24.921101859338314</c:v>
                </c:pt>
                <c:pt idx="1578">
                  <c:v>24.94229696023055</c:v>
                </c:pt>
                <c:pt idx="1579">
                  <c:v>24.963505551289085</c:v>
                </c:pt>
                <c:pt idx="1580">
                  <c:v>24.984727644915527</c:v>
                </c:pt>
                <c:pt idx="1581">
                  <c:v>25.005963253533306</c:v>
                </c:pt>
                <c:pt idx="1582">
                  <c:v>25.027212389587717</c:v>
                </c:pt>
                <c:pt idx="1583">
                  <c:v>25.048475065545997</c:v>
                </c:pt>
                <c:pt idx="1584">
                  <c:v>25.069751293897294</c:v>
                </c:pt>
                <c:pt idx="1585">
                  <c:v>25.091041087152803</c:v>
                </c:pt>
                <c:pt idx="1586">
                  <c:v>25.11234445784573</c:v>
                </c:pt>
                <c:pt idx="1587">
                  <c:v>25.13366141853138</c:v>
                </c:pt>
                <c:pt idx="1588">
                  <c:v>25.15499198178718</c:v>
                </c:pt>
                <c:pt idx="1589">
                  <c:v>25.176336160212735</c:v>
                </c:pt>
                <c:pt idx="1590">
                  <c:v>25.19769396642988</c:v>
                </c:pt>
                <c:pt idx="1591">
                  <c:v>25.219065413082674</c:v>
                </c:pt>
                <c:pt idx="1592">
                  <c:v>25.240450512837523</c:v>
                </c:pt>
                <c:pt idx="1593">
                  <c:v>25.26184927838315</c:v>
                </c:pt>
                <c:pt idx="1594">
                  <c:v>25.283261722430684</c:v>
                </c:pt>
                <c:pt idx="1595">
                  <c:v>25.304687857713688</c:v>
                </c:pt>
                <c:pt idx="1596">
                  <c:v>25.3261276969882</c:v>
                </c:pt>
                <c:pt idx="1597">
                  <c:v>25.347581253032804</c:v>
                </c:pt>
                <c:pt idx="1598">
                  <c:v>25.36904853864862</c:v>
                </c:pt>
                <c:pt idx="1599">
                  <c:v>25.390529566659417</c:v>
                </c:pt>
                <c:pt idx="1600">
                  <c:v>25.412024349911604</c:v>
                </c:pt>
                <c:pt idx="1601">
                  <c:v>25.4335329012743</c:v>
                </c:pt>
                <c:pt idx="1602">
                  <c:v>25.455055233639374</c:v>
                </c:pt>
                <c:pt idx="1603">
                  <c:v>25.47659135992148</c:v>
                </c:pt>
                <c:pt idx="1604">
                  <c:v>25.498141293058136</c:v>
                </c:pt>
                <c:pt idx="1605">
                  <c:v>25.519705046009715</c:v>
                </c:pt>
                <c:pt idx="1606">
                  <c:v>25.54128263175955</c:v>
                </c:pt>
                <c:pt idx="1607">
                  <c:v>25.562874063313938</c:v>
                </c:pt>
                <c:pt idx="1608">
                  <c:v>25.584479353702196</c:v>
                </c:pt>
                <c:pt idx="1609">
                  <c:v>25.606098515976715</c:v>
                </c:pt>
                <c:pt idx="1610">
                  <c:v>25.627731563212993</c:v>
                </c:pt>
                <c:pt idx="1611">
                  <c:v>25.649378508509717</c:v>
                </c:pt>
                <c:pt idx="1612">
                  <c:v>25.671039364988737</c:v>
                </c:pt>
                <c:pt idx="1613">
                  <c:v>25.6927141457952</c:v>
                </c:pt>
                <c:pt idx="1614">
                  <c:v>25.714402864097533</c:v>
                </c:pt>
                <c:pt idx="1615">
                  <c:v>25.736105533087514</c:v>
                </c:pt>
                <c:pt idx="1616">
                  <c:v>25.757822165980315</c:v>
                </c:pt>
                <c:pt idx="1617">
                  <c:v>25.779552776014548</c:v>
                </c:pt>
                <c:pt idx="1618">
                  <c:v>25.801297376452332</c:v>
                </c:pt>
                <c:pt idx="1619">
                  <c:v>25.823055980579287</c:v>
                </c:pt>
                <c:pt idx="1620">
                  <c:v>25.84482860170466</c:v>
                </c:pt>
                <c:pt idx="1621">
                  <c:v>25.866615253161285</c:v>
                </c:pt>
                <c:pt idx="1622">
                  <c:v>26.190541231956185</c:v>
                </c:pt>
                <c:pt idx="1623">
                  <c:v>26.514078839383252</c:v>
                </c:pt>
                <c:pt idx="1624">
                  <c:v>26.83722816658613</c:v>
                </c:pt>
                <c:pt idx="1625">
                  <c:v>27.159989304577724</c:v>
                </c:pt>
                <c:pt idx="1626">
                  <c:v>27.482362344240325</c:v>
                </c:pt>
                <c:pt idx="1627">
                  <c:v>27.804347376325698</c:v>
                </c:pt>
                <c:pt idx="1628">
                  <c:v>28.125944491455193</c:v>
                </c:pt>
                <c:pt idx="1629">
                  <c:v>28.447153780119862</c:v>
                </c:pt>
                <c:pt idx="1630">
                  <c:v>28.767975332680557</c:v>
                </c:pt>
                <c:pt idx="1631">
                  <c:v>29.088409239368037</c:v>
                </c:pt>
                <c:pt idx="1632">
                  <c:v>29.40845559028308</c:v>
                </c:pt>
                <c:pt idx="1633">
                  <c:v>29.72811447539658</c:v>
                </c:pt>
                <c:pt idx="1634">
                  <c:v>30.047385984549663</c:v>
                </c:pt>
                <c:pt idx="1635">
                  <c:v>30.366270207453788</c:v>
                </c:pt>
                <c:pt idx="1636">
                  <c:v>30.684767233690852</c:v>
                </c:pt>
                <c:pt idx="1637">
                  <c:v>31.002877152713296</c:v>
                </c:pt>
                <c:pt idx="1638">
                  <c:v>31.32060005384421</c:v>
                </c:pt>
                <c:pt idx="1639">
                  <c:v>31.63793602627744</c:v>
                </c:pt>
                <c:pt idx="1640">
                  <c:v>31.954885159077694</c:v>
                </c:pt>
                <c:pt idx="1641">
                  <c:v>32.27144754118064</c:v>
                </c:pt>
                <c:pt idx="1642">
                  <c:v>32.27144754118064</c:v>
                </c:pt>
                <c:pt idx="1643">
                  <c:v>32.31341772288334</c:v>
                </c:pt>
                <c:pt idx="1644">
                  <c:v>32.35541394998719</c:v>
                </c:pt>
                <c:pt idx="1645">
                  <c:v>32.397436232372904</c:v>
                </c:pt>
                <c:pt idx="1646">
                  <c:v>32.439484579951284</c:v>
                </c:pt>
                <c:pt idx="1647">
                  <c:v>32.48155900266321</c:v>
                </c:pt>
                <c:pt idx="1648">
                  <c:v>32.52365951047962</c:v>
                </c:pt>
                <c:pt idx="1649">
                  <c:v>32.56578611340157</c:v>
                </c:pt>
                <c:pt idx="1650">
                  <c:v>32.607938821460216</c:v>
                </c:pt>
                <c:pt idx="1651">
                  <c:v>32.65011764471678</c:v>
                </c:pt>
                <c:pt idx="1652">
                  <c:v>32.69232259326263</c:v>
                </c:pt>
                <c:pt idx="1653">
                  <c:v>32.73455367721925</c:v>
                </c:pt>
                <c:pt idx="1654">
                  <c:v>32.77681090673822</c:v>
                </c:pt>
                <c:pt idx="1655">
                  <c:v>32.819094292001274</c:v>
                </c:pt>
                <c:pt idx="1656">
                  <c:v>32.86140384322029</c:v>
                </c:pt>
                <c:pt idx="1657">
                  <c:v>32.90373957063725</c:v>
                </c:pt>
                <c:pt idx="1658">
                  <c:v>32.946101484524334</c:v>
                </c:pt>
                <c:pt idx="1659">
                  <c:v>32.988489595183864</c:v>
                </c:pt>
                <c:pt idx="1660">
                  <c:v>33.03090391294832</c:v>
                </c:pt>
                <c:pt idx="1661">
                  <c:v>33.07334444818037</c:v>
                </c:pt>
                <c:pt idx="1662">
                  <c:v>33.11581121127288</c:v>
                </c:pt>
                <c:pt idx="1663">
                  <c:v>33.15830421264886</c:v>
                </c:pt>
                <c:pt idx="1664">
                  <c:v>33.20082346276156</c:v>
                </c:pt>
                <c:pt idx="1665">
                  <c:v>33.243368972094444</c:v>
                </c:pt>
                <c:pt idx="1666">
                  <c:v>33.28594075116115</c:v>
                </c:pt>
                <c:pt idx="1667">
                  <c:v>33.32853881050557</c:v>
                </c:pt>
                <c:pt idx="1668">
                  <c:v>33.37116316070183</c:v>
                </c:pt>
                <c:pt idx="1669">
                  <c:v>33.41381381235429</c:v>
                </c:pt>
                <c:pt idx="1670">
                  <c:v>33.45649077609757</c:v>
                </c:pt>
                <c:pt idx="1671">
                  <c:v>33.49919406259654</c:v>
                </c:pt>
                <c:pt idx="1672">
                  <c:v>33.541923682546326</c:v>
                </c:pt>
                <c:pt idx="1673">
                  <c:v>33.58467964667237</c:v>
                </c:pt>
                <c:pt idx="1674">
                  <c:v>33.62746196573039</c:v>
                </c:pt>
                <c:pt idx="1675">
                  <c:v>33.67027065050637</c:v>
                </c:pt>
                <c:pt idx="1676">
                  <c:v>33.71310571181664</c:v>
                </c:pt>
                <c:pt idx="1677">
                  <c:v>33.755967160507836</c:v>
                </c:pt>
                <c:pt idx="1678">
                  <c:v>33.7988550074569</c:v>
                </c:pt>
                <c:pt idx="1679">
                  <c:v>33.841769263571145</c:v>
                </c:pt>
                <c:pt idx="1680">
                  <c:v>33.884709939788216</c:v>
                </c:pt>
                <c:pt idx="1681">
                  <c:v>33.92767704707611</c:v>
                </c:pt>
                <c:pt idx="1682">
                  <c:v>33.9706705964332</c:v>
                </c:pt>
                <c:pt idx="1683">
                  <c:v>34.013690598888246</c:v>
                </c:pt>
                <c:pt idx="1684">
                  <c:v>34.05673706550037</c:v>
                </c:pt>
                <c:pt idx="1685">
                  <c:v>34.099810007359125</c:v>
                </c:pt>
                <c:pt idx="1686">
                  <c:v>34.14290943558447</c:v>
                </c:pt>
                <c:pt idx="1687">
                  <c:v>34.186035361326766</c:v>
                </c:pt>
                <c:pt idx="1688">
                  <c:v>34.22918779576683</c:v>
                </c:pt>
                <c:pt idx="1689">
                  <c:v>34.27236675011593</c:v>
                </c:pt>
                <c:pt idx="1690">
                  <c:v>34.31557223561575</c:v>
                </c:pt>
                <c:pt idx="1691">
                  <c:v>34.35880426353848</c:v>
                </c:pt>
                <c:pt idx="1692">
                  <c:v>34.40206284518679</c:v>
                </c:pt>
                <c:pt idx="1693">
                  <c:v>34.44534799189384</c:v>
                </c:pt>
                <c:pt idx="1694">
                  <c:v>34.48865971502327</c:v>
                </c:pt>
                <c:pt idx="1695">
                  <c:v>34.53199802596925</c:v>
                </c:pt>
                <c:pt idx="1696">
                  <c:v>34.57536293615651</c:v>
                </c:pt>
                <c:pt idx="1697">
                  <c:v>34.61875445704026</c:v>
                </c:pt>
                <c:pt idx="1698">
                  <c:v>34.66217260010632</c:v>
                </c:pt>
                <c:pt idx="1699">
                  <c:v>34.70561737687105</c:v>
                </c:pt>
                <c:pt idx="1700">
                  <c:v>34.749088798881374</c:v>
                </c:pt>
                <c:pt idx="1701">
                  <c:v>34.79258687771484</c:v>
                </c:pt>
                <c:pt idx="1702">
                  <c:v>34.83611162497959</c:v>
                </c:pt>
                <c:pt idx="1703">
                  <c:v>34.87966305231436</c:v>
                </c:pt>
                <c:pt idx="1704">
                  <c:v>34.92324117138856</c:v>
                </c:pt>
                <c:pt idx="1705">
                  <c:v>34.966845993902226</c:v>
                </c:pt>
                <c:pt idx="1706">
                  <c:v>35.01047753158603</c:v>
                </c:pt>
                <c:pt idx="1707">
                  <c:v>35.05413579620134</c:v>
                </c:pt>
                <c:pt idx="1708">
                  <c:v>35.09782079954021</c:v>
                </c:pt>
                <c:pt idx="1709">
                  <c:v>35.14153255342538</c:v>
                </c:pt>
                <c:pt idx="1710">
                  <c:v>35.18527106971031</c:v>
                </c:pt>
                <c:pt idx="1711">
                  <c:v>35.22903636027921</c:v>
                </c:pt>
                <c:pt idx="1712">
                  <c:v>35.27282843704699</c:v>
                </c:pt>
                <c:pt idx="1713">
                  <c:v>35.31664731195934</c:v>
                </c:pt>
                <c:pt idx="1714">
                  <c:v>35.36049299699274</c:v>
                </c:pt>
                <c:pt idx="1715">
                  <c:v>35.404365504154406</c:v>
                </c:pt>
                <c:pt idx="1716">
                  <c:v>35.4482648454824</c:v>
                </c:pt>
                <c:pt idx="1717">
                  <c:v>35.492191033045586</c:v>
                </c:pt>
                <c:pt idx="1718">
                  <c:v>35.53614407894365</c:v>
                </c:pt>
                <c:pt idx="1719">
                  <c:v>35.580123995307126</c:v>
                </c:pt>
                <c:pt idx="1720">
                  <c:v>35.62413079429743</c:v>
                </c:pt>
                <c:pt idx="1721">
                  <c:v>35.66816448810682</c:v>
                </c:pt>
                <c:pt idx="1722">
                  <c:v>35.71222508895846</c:v>
                </c:pt>
                <c:pt idx="1723">
                  <c:v>35.75631260910645</c:v>
                </c:pt>
                <c:pt idx="1724">
                  <c:v>35.800427060835766</c:v>
                </c:pt>
                <c:pt idx="1725">
                  <c:v>35.84456845646235</c:v>
                </c:pt>
                <c:pt idx="1726">
                  <c:v>35.88873680833311</c:v>
                </c:pt>
                <c:pt idx="1727">
                  <c:v>35.93293212882589</c:v>
                </c:pt>
                <c:pt idx="1728">
                  <c:v>35.97715443034956</c:v>
                </c:pt>
                <c:pt idx="1729">
                  <c:v>36.02140372534398</c:v>
                </c:pt>
                <c:pt idx="1730">
                  <c:v>36.06568002628002</c:v>
                </c:pt>
                <c:pt idx="1731">
                  <c:v>36.1099833456596</c:v>
                </c:pt>
                <c:pt idx="1732">
                  <c:v>36.154313696015706</c:v>
                </c:pt>
                <c:pt idx="1733">
                  <c:v>36.19867108991237</c:v>
                </c:pt>
                <c:pt idx="1734">
                  <c:v>36.24305553994472</c:v>
                </c:pt>
                <c:pt idx="1735">
                  <c:v>36.28746705873901</c:v>
                </c:pt>
                <c:pt idx="1736">
                  <c:v>36.33190565895259</c:v>
                </c:pt>
                <c:pt idx="1737">
                  <c:v>36.376371353273974</c:v>
                </c:pt>
                <c:pt idx="1738">
                  <c:v>36.42086415442282</c:v>
                </c:pt>
                <c:pt idx="1739">
                  <c:v>36.46538407514996</c:v>
                </c:pt>
                <c:pt idx="1740">
                  <c:v>36.50993112823743</c:v>
                </c:pt>
                <c:pt idx="1741">
                  <c:v>36.554505326498486</c:v>
                </c:pt>
                <c:pt idx="1742">
                  <c:v>36.59910668277758</c:v>
                </c:pt>
                <c:pt idx="1743">
                  <c:v>36.64373520995045</c:v>
                </c:pt>
                <c:pt idx="1744">
                  <c:v>36.68839092092409</c:v>
                </c:pt>
                <c:pt idx="1745">
                  <c:v>36.73307382863676</c:v>
                </c:pt>
                <c:pt idx="1746">
                  <c:v>36.777783946058044</c:v>
                </c:pt>
                <c:pt idx="1747">
                  <c:v>36.82252128618885</c:v>
                </c:pt>
                <c:pt idx="1748">
                  <c:v>36.86728586206141</c:v>
                </c:pt>
                <c:pt idx="1749">
                  <c:v>36.91207768673932</c:v>
                </c:pt>
                <c:pt idx="1750">
                  <c:v>36.95689677331759</c:v>
                </c:pt>
                <c:pt idx="1751">
                  <c:v>37.00174313492257</c:v>
                </c:pt>
                <c:pt idx="1752">
                  <c:v>37.04661678471207</c:v>
                </c:pt>
                <c:pt idx="1753">
                  <c:v>37.09151773587534</c:v>
                </c:pt>
                <c:pt idx="1754">
                  <c:v>37.136446001633054</c:v>
                </c:pt>
                <c:pt idx="1755">
                  <c:v>37.18140159523739</c:v>
                </c:pt>
                <c:pt idx="1756">
                  <c:v>37.22638452997202</c:v>
                </c:pt>
                <c:pt idx="1757">
                  <c:v>37.27139481915213</c:v>
                </c:pt>
                <c:pt idx="1758">
                  <c:v>37.316432476124426</c:v>
                </c:pt>
                <c:pt idx="1759">
                  <c:v>37.361497514267214</c:v>
                </c:pt>
                <c:pt idx="1760">
                  <c:v>37.40658994699032</c:v>
                </c:pt>
                <c:pt idx="1761">
                  <c:v>37.451709787735226</c:v>
                </c:pt>
                <c:pt idx="1762">
                  <c:v>37.496857049975</c:v>
                </c:pt>
                <c:pt idx="1763">
                  <c:v>37.54203174721434</c:v>
                </c:pt>
                <c:pt idx="1764">
                  <c:v>37.58723389298963</c:v>
                </c:pt>
                <c:pt idx="1765">
                  <c:v>37.63246350086894</c:v>
                </c:pt>
                <c:pt idx="1766">
                  <c:v>37.677720584452004</c:v>
                </c:pt>
                <c:pt idx="1767">
                  <c:v>37.72300515737032</c:v>
                </c:pt>
                <c:pt idx="1768">
                  <c:v>37.768317233287114</c:v>
                </c:pt>
                <c:pt idx="1769">
                  <c:v>37.813656825897375</c:v>
                </c:pt>
                <c:pt idx="1770">
                  <c:v>37.8590239489279</c:v>
                </c:pt>
                <c:pt idx="1771">
                  <c:v>37.90441861613728</c:v>
                </c:pt>
                <c:pt idx="1772">
                  <c:v>37.94984084131593</c:v>
                </c:pt>
                <c:pt idx="1773">
                  <c:v>37.99529063828614</c:v>
                </c:pt>
                <c:pt idx="1774">
                  <c:v>38.040768020902085</c:v>
                </c:pt>
                <c:pt idx="1775">
                  <c:v>38.08627300304979</c:v>
                </c:pt>
                <c:pt idx="1776">
                  <c:v>38.131805598647254</c:v>
                </c:pt>
                <c:pt idx="1777">
                  <c:v>38.1773658216444</c:v>
                </c:pt>
                <c:pt idx="1778">
                  <c:v>38.22295368602311</c:v>
                </c:pt>
                <c:pt idx="1779">
                  <c:v>38.26856920579727</c:v>
                </c:pt>
                <c:pt idx="1780">
                  <c:v>38.314212395012774</c:v>
                </c:pt>
                <c:pt idx="1781">
                  <c:v>38.359883267747534</c:v>
                </c:pt>
                <c:pt idx="1782">
                  <c:v>38.40558183811155</c:v>
                </c:pt>
                <c:pt idx="1783">
                  <c:v>38.45130812024689</c:v>
                </c:pt>
                <c:pt idx="1784">
                  <c:v>38.49706212832773</c:v>
                </c:pt>
                <c:pt idx="1785">
                  <c:v>38.542843876560354</c:v>
                </c:pt>
                <c:pt idx="1786">
                  <c:v>38.58865337918325</c:v>
                </c:pt>
                <c:pt idx="1787">
                  <c:v>38.63449065046702</c:v>
                </c:pt>
                <c:pt idx="1788">
                  <c:v>38.68035570471452</c:v>
                </c:pt>
                <c:pt idx="1789">
                  <c:v>38.726248556260806</c:v>
                </c:pt>
                <c:pt idx="1790">
                  <c:v>38.77216921947318</c:v>
                </c:pt>
                <c:pt idx="1791">
                  <c:v>38.81811770875122</c:v>
                </c:pt>
                <c:pt idx="1792">
                  <c:v>38.864094038526815</c:v>
                </c:pt>
                <c:pt idx="1793">
                  <c:v>38.91009822326416</c:v>
                </c:pt>
                <c:pt idx="1794">
                  <c:v>38.956130277459806</c:v>
                </c:pt>
                <c:pt idx="1795">
                  <c:v>39.00219021564269</c:v>
                </c:pt>
                <c:pt idx="1796">
                  <c:v>39.048278052374116</c:v>
                </c:pt>
                <c:pt idx="1797">
                  <c:v>39.09439380224783</c:v>
                </c:pt>
                <c:pt idx="1798">
                  <c:v>39.14053747989003</c:v>
                </c:pt>
                <c:pt idx="1799">
                  <c:v>39.186709099959366</c:v>
                </c:pt>
                <c:pt idx="1800">
                  <c:v>39.23290867714701</c:v>
                </c:pt>
                <c:pt idx="1801">
                  <c:v>39.279136226176654</c:v>
                </c:pt>
                <c:pt idx="1802">
                  <c:v>39.325391761804525</c:v>
                </c:pt>
                <c:pt idx="1803">
                  <c:v>39.37167529881944</c:v>
                </c:pt>
                <c:pt idx="1804">
                  <c:v>39.41798685204283</c:v>
                </c:pt>
                <c:pt idx="1805">
                  <c:v>39.46432643632872</c:v>
                </c:pt>
                <c:pt idx="1806">
                  <c:v>39.51069406656381</c:v>
                </c:pt>
                <c:pt idx="1807">
                  <c:v>39.5570897576675</c:v>
                </c:pt>
                <c:pt idx="1808">
                  <c:v>39.603513524591854</c:v>
                </c:pt>
                <c:pt idx="1809">
                  <c:v>39.64996538232171</c:v>
                </c:pt>
                <c:pt idx="1810">
                  <c:v>39.69644534587465</c:v>
                </c:pt>
                <c:pt idx="1811">
                  <c:v>39.74295343030106</c:v>
                </c:pt>
                <c:pt idx="1812">
                  <c:v>39.789489650684104</c:v>
                </c:pt>
                <c:pt idx="1813">
                  <c:v>39.836054022139834</c:v>
                </c:pt>
                <c:pt idx="1814">
                  <c:v>39.88264655981714</c:v>
                </c:pt>
                <c:pt idx="1815">
                  <c:v>39.92926727889783</c:v>
                </c:pt>
                <c:pt idx="1816">
                  <c:v>39.97591619459663</c:v>
                </c:pt>
                <c:pt idx="1817">
                  <c:v>40.02259332216122</c:v>
                </c:pt>
                <c:pt idx="1818">
                  <c:v>40.06929867687225</c:v>
                </c:pt>
                <c:pt idx="1819">
                  <c:v>40.116032274043405</c:v>
                </c:pt>
                <c:pt idx="1820">
                  <c:v>40.16279412902137</c:v>
                </c:pt>
                <c:pt idx="1821">
                  <c:v>40.20958425718593</c:v>
                </c:pt>
                <c:pt idx="1822">
                  <c:v>40.25640267394995</c:v>
                </c:pt>
                <c:pt idx="1823">
                  <c:v>40.303249394759426</c:v>
                </c:pt>
                <c:pt idx="1824">
                  <c:v>40.350124435093484</c:v>
                </c:pt>
                <c:pt idx="1825">
                  <c:v>40.39702781046446</c:v>
                </c:pt>
                <c:pt idx="1826">
                  <c:v>40.44395953641786</c:v>
                </c:pt>
                <c:pt idx="1827">
                  <c:v>40.49091962853247</c:v>
                </c:pt>
                <c:pt idx="1828">
                  <c:v>40.53790810242032</c:v>
                </c:pt>
                <c:pt idx="1829">
                  <c:v>40.58492497372674</c:v>
                </c:pt>
                <c:pt idx="1830">
                  <c:v>40.631970258130394</c:v>
                </c:pt>
                <c:pt idx="1831">
                  <c:v>40.6790439713433</c:v>
                </c:pt>
                <c:pt idx="1832">
                  <c:v>40.72614612911084</c:v>
                </c:pt>
                <c:pt idx="1833">
                  <c:v>40.77327674721183</c:v>
                </c:pt>
                <c:pt idx="1834">
                  <c:v>40.82043584145855</c:v>
                </c:pt>
                <c:pt idx="1835">
                  <c:v>40.86762342769673</c:v>
                </c:pt>
                <c:pt idx="1836">
                  <c:v>40.914839521805604</c:v>
                </c:pt>
                <c:pt idx="1837">
                  <c:v>40.962084139697964</c:v>
                </c:pt>
                <c:pt idx="1838">
                  <c:v>41.00935729732016</c:v>
                </c:pt>
                <c:pt idx="1839">
                  <c:v>41.05665901065212</c:v>
                </c:pt>
                <c:pt idx="1840">
                  <c:v>41.10398929570742</c:v>
                </c:pt>
                <c:pt idx="1841">
                  <c:v>41.15134816853332</c:v>
                </c:pt>
                <c:pt idx="1842">
                  <c:v>41.19873564521071</c:v>
                </c:pt>
                <c:pt idx="1843">
                  <c:v>41.246151741854256</c:v>
                </c:pt>
                <c:pt idx="1844">
                  <c:v>41.29359647461236</c:v>
                </c:pt>
                <c:pt idx="1845">
                  <c:v>41.341069859667186</c:v>
                </c:pt>
                <c:pt idx="1846">
                  <c:v>41.38857191323475</c:v>
                </c:pt>
                <c:pt idx="1847">
                  <c:v>41.43610265156491</c:v>
                </c:pt>
                <c:pt idx="1848">
                  <c:v>41.48366209094138</c:v>
                </c:pt>
                <c:pt idx="1849">
                  <c:v>41.531250247681804</c:v>
                </c:pt>
                <c:pt idx="1850">
                  <c:v>41.57886713813779</c:v>
                </c:pt>
                <c:pt idx="1851">
                  <c:v>41.626512778694874</c:v>
                </c:pt>
                <c:pt idx="1852">
                  <c:v>41.674187185772645</c:v>
                </c:pt>
                <c:pt idx="1853">
                  <c:v>41.721890375824714</c:v>
                </c:pt>
                <c:pt idx="1854">
                  <c:v>41.76962236533878</c:v>
                </c:pt>
                <c:pt idx="1855">
                  <c:v>41.817383170836635</c:v>
                </c:pt>
                <c:pt idx="1856">
                  <c:v>41.86517280887422</c:v>
                </c:pt>
                <c:pt idx="1857">
                  <c:v>41.91299129604164</c:v>
                </c:pt>
                <c:pt idx="1858">
                  <c:v>41.96083864896322</c:v>
                </c:pt>
                <c:pt idx="1859">
                  <c:v>42.00871488429751</c:v>
                </c:pt>
                <c:pt idx="1860">
                  <c:v>42.05662001873737</c:v>
                </c:pt>
                <c:pt idx="1861">
                  <c:v>42.104554069009914</c:v>
                </c:pt>
                <c:pt idx="1862">
                  <c:v>42.15251705187665</c:v>
                </c:pt>
                <c:pt idx="1863">
                  <c:v>42.200508984133414</c:v>
                </c:pt>
                <c:pt idx="1864">
                  <c:v>42.248529882610484</c:v>
                </c:pt>
                <c:pt idx="1865">
                  <c:v>42.29657976417258</c:v>
                </c:pt>
                <c:pt idx="1866">
                  <c:v>42.344658645718894</c:v>
                </c:pt>
                <c:pt idx="1867">
                  <c:v>42.39276654418312</c:v>
                </c:pt>
                <c:pt idx="1868">
                  <c:v>42.44090347653352</c:v>
                </c:pt>
                <c:pt idx="1869">
                  <c:v>42.48906945977292</c:v>
                </c:pt>
                <c:pt idx="1870">
                  <c:v>42.537264510938776</c:v>
                </c:pt>
                <c:pt idx="1871">
                  <c:v>42.5854886471032</c:v>
                </c:pt>
                <c:pt idx="1872">
                  <c:v>42.63374188537298</c:v>
                </c:pt>
                <c:pt idx="1873">
                  <c:v>42.68202424288962</c:v>
                </c:pt>
                <c:pt idx="1874">
                  <c:v>42.7303357368294</c:v>
                </c:pt>
                <c:pt idx="1875">
                  <c:v>42.778676384403404</c:v>
                </c:pt>
                <c:pt idx="1876">
                  <c:v>42.82704620285751</c:v>
                </c:pt>
                <c:pt idx="1877">
                  <c:v>42.87544520947249</c:v>
                </c:pt>
                <c:pt idx="1878">
                  <c:v>42.92387342156401</c:v>
                </c:pt>
                <c:pt idx="1879">
                  <c:v>42.97233085648267</c:v>
                </c:pt>
                <c:pt idx="1880">
                  <c:v>43.02081753161406</c:v>
                </c:pt>
                <c:pt idx="1881">
                  <c:v>43.069333464378765</c:v>
                </c:pt>
                <c:pt idx="1882">
                  <c:v>43.117878672232415</c:v>
                </c:pt>
                <c:pt idx="1883">
                  <c:v>43.16645317266574</c:v>
                </c:pt>
                <c:pt idx="1884">
                  <c:v>43.21505698320459</c:v>
                </c:pt>
                <c:pt idx="1885">
                  <c:v>43.26369012140995</c:v>
                </c:pt>
                <c:pt idx="1886">
                  <c:v>43.312352604878036</c:v>
                </c:pt>
                <c:pt idx="1887">
                  <c:v>43.36104445124028</c:v>
                </c:pt>
                <c:pt idx="1888">
                  <c:v>43.40976567816337</c:v>
                </c:pt>
                <c:pt idx="1889">
                  <c:v>43.45851630334932</c:v>
                </c:pt>
                <c:pt idx="1890">
                  <c:v>43.5072963445355</c:v>
                </c:pt>
                <c:pt idx="1891">
                  <c:v>43.556105819494626</c:v>
                </c:pt>
                <c:pt idx="1892">
                  <c:v>43.604944746034874</c:v>
                </c:pt>
                <c:pt idx="1893">
                  <c:v>43.653813141999876</c:v>
                </c:pt>
                <c:pt idx="1894">
                  <c:v>43.702711025268734</c:v>
                </c:pt>
                <c:pt idx="1895">
                  <c:v>43.75163841375611</c:v>
                </c:pt>
                <c:pt idx="1896">
                  <c:v>43.80059532541225</c:v>
                </c:pt>
                <c:pt idx="1897">
                  <c:v>43.84958177822299</c:v>
                </c:pt>
                <c:pt idx="1898">
                  <c:v>43.89859779020983</c:v>
                </c:pt>
                <c:pt idx="1899">
                  <c:v>43.94764337942997</c:v>
                </c:pt>
                <c:pt idx="1900">
                  <c:v>43.99671856397633</c:v>
                </c:pt>
                <c:pt idx="1901">
                  <c:v>44.04582336197761</c:v>
                </c:pt>
                <c:pt idx="1902">
                  <c:v>44.094957791598326</c:v>
                </c:pt>
                <c:pt idx="1903">
                  <c:v>44.14412187103881</c:v>
                </c:pt>
                <c:pt idx="1904">
                  <c:v>44.19331561853533</c:v>
                </c:pt>
                <c:pt idx="1905">
                  <c:v>44.24253905236006</c:v>
                </c:pt>
                <c:pt idx="1906">
                  <c:v>44.291792190821134</c:v>
                </c:pt>
                <c:pt idx="1907">
                  <c:v>44.34107505226272</c:v>
                </c:pt>
                <c:pt idx="1908">
                  <c:v>44.39038765506503</c:v>
                </c:pt>
                <c:pt idx="1909">
                  <c:v>44.439730017644344</c:v>
                </c:pt>
                <c:pt idx="1910">
                  <c:v>44.48910215845311</c:v>
                </c:pt>
                <c:pt idx="1911">
                  <c:v>44.53850409597993</c:v>
                </c:pt>
                <c:pt idx="1912">
                  <c:v>44.58793584874961</c:v>
                </c:pt>
                <c:pt idx="1913">
                  <c:v>44.63739743532322</c:v>
                </c:pt>
                <c:pt idx="1914">
                  <c:v>44.686888874298155</c:v>
                </c:pt>
                <c:pt idx="1915">
                  <c:v>44.73641018430809</c:v>
                </c:pt>
                <c:pt idx="1916">
                  <c:v>44.78596138402312</c:v>
                </c:pt>
                <c:pt idx="1917">
                  <c:v>44.835542492149756</c:v>
                </c:pt>
                <c:pt idx="1918">
                  <c:v>44.88515352743095</c:v>
                </c:pt>
                <c:pt idx="1919">
                  <c:v>44.934794508646185</c:v>
                </c:pt>
                <c:pt idx="1920">
                  <c:v>44.98446545461148</c:v>
                </c:pt>
                <c:pt idx="1921">
                  <c:v>45.034166384179436</c:v>
                </c:pt>
                <c:pt idx="1922">
                  <c:v>45.083897316239295</c:v>
                </c:pt>
                <c:pt idx="1923">
                  <c:v>45.133658269716975</c:v>
                </c:pt>
                <c:pt idx="1924">
                  <c:v>45.18344926357509</c:v>
                </c:pt>
                <c:pt idx="1925">
                  <c:v>45.23327031681305</c:v>
                </c:pt>
                <c:pt idx="1926">
                  <c:v>45.28312144846704</c:v>
                </c:pt>
                <c:pt idx="1927">
                  <c:v>45.3330026776101</c:v>
                </c:pt>
                <c:pt idx="1928">
                  <c:v>45.38291402335215</c:v>
                </c:pt>
                <c:pt idx="1929">
                  <c:v>45.43285550484007</c:v>
                </c:pt>
                <c:pt idx="1930">
                  <c:v>45.48282714125767</c:v>
                </c:pt>
                <c:pt idx="1931">
                  <c:v>45.53282895182583</c:v>
                </c:pt>
                <c:pt idx="1932">
                  <c:v>45.58286095580247</c:v>
                </c:pt>
                <c:pt idx="1933">
                  <c:v>45.632923172482606</c:v>
                </c:pt>
                <c:pt idx="1934">
                  <c:v>45.683015621198436</c:v>
                </c:pt>
                <c:pt idx="1935">
                  <c:v>45.733138321319345</c:v>
                </c:pt>
                <c:pt idx="1936">
                  <c:v>45.783291292251945</c:v>
                </c:pt>
                <c:pt idx="1937">
                  <c:v>45.83347455344015</c:v>
                </c:pt>
                <c:pt idx="1938">
                  <c:v>45.8836881243652</c:v>
                </c:pt>
                <c:pt idx="1939">
                  <c:v>45.93393202454571</c:v>
                </c:pt>
                <c:pt idx="1940">
                  <c:v>45.98420627353772</c:v>
                </c:pt>
                <c:pt idx="1941">
                  <c:v>46.03451089093475</c:v>
                </c:pt>
                <c:pt idx="1942">
                  <c:v>46.08484589636779</c:v>
                </c:pt>
                <c:pt idx="1943">
                  <c:v>46.135211309505436</c:v>
                </c:pt>
                <c:pt idx="1944">
                  <c:v>46.185607150053876</c:v>
                </c:pt>
                <c:pt idx="1945">
                  <c:v>46.23603343775692</c:v>
                </c:pt>
                <c:pt idx="1946">
                  <c:v>46.28649019239611</c:v>
                </c:pt>
                <c:pt idx="1947">
                  <c:v>46.336977433790715</c:v>
                </c:pt>
                <c:pt idx="1948">
                  <c:v>46.38749518179778</c:v>
                </c:pt>
                <c:pt idx="1949">
                  <c:v>46.43804345631221</c:v>
                </c:pt>
                <c:pt idx="1950">
                  <c:v>46.48862227726678</c:v>
                </c:pt>
                <c:pt idx="1951">
                  <c:v>46.53923166463218</c:v>
                </c:pt>
                <c:pt idx="1952">
                  <c:v>46.58987163841711</c:v>
                </c:pt>
                <c:pt idx="1953">
                  <c:v>46.64054221866827</c:v>
                </c:pt>
                <c:pt idx="1954">
                  <c:v>46.69124342547043</c:v>
                </c:pt>
                <c:pt idx="1955">
                  <c:v>46.741975278946484</c:v>
                </c:pt>
                <c:pt idx="1956">
                  <c:v>46.7927377992575</c:v>
                </c:pt>
                <c:pt idx="1957">
                  <c:v>46.84353100660274</c:v>
                </c:pt>
                <c:pt idx="1958">
                  <c:v>46.89435492121974</c:v>
                </c:pt>
                <c:pt idx="1959">
                  <c:v>46.94520956338435</c:v>
                </c:pt>
                <c:pt idx="1960">
                  <c:v>46.99609495341077</c:v>
                </c:pt>
                <c:pt idx="1961">
                  <c:v>47.04701111165161</c:v>
                </c:pt>
                <c:pt idx="1962">
                  <c:v>47.097958058497944</c:v>
                </c:pt>
                <c:pt idx="1963">
                  <c:v>47.148935814379335</c:v>
                </c:pt>
                <c:pt idx="1964">
                  <c:v>47.19994439976391</c:v>
                </c:pt>
                <c:pt idx="1965">
                  <c:v>47.2509838351584</c:v>
                </c:pt>
                <c:pt idx="1966">
                  <c:v>47.30205414110817</c:v>
                </c:pt>
                <c:pt idx="1967">
                  <c:v>47.35315533819731</c:v>
                </c:pt>
                <c:pt idx="1968">
                  <c:v>47.40428744704865</c:v>
                </c:pt>
                <c:pt idx="1969">
                  <c:v>47.45545048832382</c:v>
                </c:pt>
                <c:pt idx="1970">
                  <c:v>47.506644482723296</c:v>
                </c:pt>
                <c:pt idx="1971">
                  <c:v>47.55786945098647</c:v>
                </c:pt>
                <c:pt idx="1972">
                  <c:v>47.60912541389167</c:v>
                </c:pt>
                <c:pt idx="1973">
                  <c:v>47.66041239225623</c:v>
                </c:pt>
                <c:pt idx="1974">
                  <c:v>47.71173040693654</c:v>
                </c:pt>
                <c:pt idx="1975">
                  <c:v>47.763079478828075</c:v>
                </c:pt>
                <c:pt idx="1976">
                  <c:v>47.81445962886551</c:v>
                </c:pt>
                <c:pt idx="1977">
                  <c:v>47.86587087802267</c:v>
                </c:pt>
                <c:pt idx="1978">
                  <c:v>47.91731324731265</c:v>
                </c:pt>
                <c:pt idx="1979">
                  <c:v>47.968786757787896</c:v>
                </c:pt>
                <c:pt idx="1980">
                  <c:v>48.02029143054016</c:v>
                </c:pt>
                <c:pt idx="1981">
                  <c:v>48.07182728670061</c:v>
                </c:pt>
                <c:pt idx="1982">
                  <c:v>48.12339434743993</c:v>
                </c:pt>
                <c:pt idx="1983">
                  <c:v>48.174992633968245</c:v>
                </c:pt>
                <c:pt idx="1984">
                  <c:v>48.2266221675353</c:v>
                </c:pt>
                <c:pt idx="1985">
                  <c:v>48.278282969430414</c:v>
                </c:pt>
                <c:pt idx="1986">
                  <c:v>48.32997506098265</c:v>
                </c:pt>
                <c:pt idx="1987">
                  <c:v>48.38169846356071</c:v>
                </c:pt>
                <c:pt idx="1988">
                  <c:v>48.433453198573154</c:v>
                </c:pt>
                <c:pt idx="1989">
                  <c:v>48.485239287468325</c:v>
                </c:pt>
                <c:pt idx="1990">
                  <c:v>48.53705675173443</c:v>
                </c:pt>
                <c:pt idx="1991">
                  <c:v>48.58890561289969</c:v>
                </c:pt>
                <c:pt idx="1992">
                  <c:v>48.64078589253224</c:v>
                </c:pt>
                <c:pt idx="1993">
                  <c:v>48.69269761224029</c:v>
                </c:pt>
                <c:pt idx="1994">
                  <c:v>48.744640793672176</c:v>
                </c:pt>
                <c:pt idx="1995">
                  <c:v>48.79661545851635</c:v>
                </c:pt>
                <c:pt idx="1996">
                  <c:v>48.848621628501476</c:v>
                </c:pt>
                <c:pt idx="1997">
                  <c:v>48.900659325396475</c:v>
                </c:pt>
                <c:pt idx="1998">
                  <c:v>48.95272857101063</c:v>
                </c:pt>
                <c:pt idx="1999">
                  <c:v>49.00482938719353</c:v>
                </c:pt>
                <c:pt idx="2000">
                  <c:v>49.05696179583526</c:v>
                </c:pt>
                <c:pt idx="2001">
                  <c:v>49.10912581886632</c:v>
                </c:pt>
                <c:pt idx="2002">
                  <c:v>49.16132147825776</c:v>
                </c:pt>
                <c:pt idx="2003">
                  <c:v>49.213548796021286</c:v>
                </c:pt>
                <c:pt idx="2004">
                  <c:v>49.265807794209174</c:v>
                </c:pt>
                <c:pt idx="2005">
                  <c:v>49.31809849491442</c:v>
                </c:pt>
                <c:pt idx="2006">
                  <c:v>49.37042092027083</c:v>
                </c:pt>
                <c:pt idx="2007">
                  <c:v>49.42277509245297</c:v>
                </c:pt>
                <c:pt idx="2008">
                  <c:v>49.4751610336763</c:v>
                </c:pt>
                <c:pt idx="2009">
                  <c:v>49.52757876619719</c:v>
                </c:pt>
                <c:pt idx="2010">
                  <c:v>49.58002831231304</c:v>
                </c:pt>
                <c:pt idx="2011">
                  <c:v>49.63250969436224</c:v>
                </c:pt>
                <c:pt idx="2012">
                  <c:v>49.68502293472434</c:v>
                </c:pt>
                <c:pt idx="2013">
                  <c:v>49.737568055819985</c:v>
                </c:pt>
                <c:pt idx="2014">
                  <c:v>49.790145080111046</c:v>
                </c:pt>
                <c:pt idx="2015">
                  <c:v>49.84275403010072</c:v>
                </c:pt>
                <c:pt idx="2016">
                  <c:v>49.895394928333474</c:v>
                </c:pt>
                <c:pt idx="2017">
                  <c:v>49.94806779739516</c:v>
                </c:pt>
                <c:pt idx="2018">
                  <c:v>50.000772659913146</c:v>
                </c:pt>
                <c:pt idx="2019">
                  <c:v>50.053509538556234</c:v>
                </c:pt>
                <c:pt idx="2020">
                  <c:v>50.10627845603481</c:v>
                </c:pt>
                <c:pt idx="2021">
                  <c:v>50.159079435100864</c:v>
                </c:pt>
                <c:pt idx="2022">
                  <c:v>50.21191249854812</c:v>
                </c:pt>
                <c:pt idx="2023">
                  <c:v>50.26477766921197</c:v>
                </c:pt>
                <c:pt idx="2024">
                  <c:v>50.31767496996968</c:v>
                </c:pt>
                <c:pt idx="2025">
                  <c:v>50.37060442374031</c:v>
                </c:pt>
                <c:pt idx="2026">
                  <c:v>50.42356605348485</c:v>
                </c:pt>
                <c:pt idx="2027">
                  <c:v>50.47655988220631</c:v>
                </c:pt>
                <c:pt idx="2028">
                  <c:v>50.529585932949686</c:v>
                </c:pt>
                <c:pt idx="2029">
                  <c:v>50.582644228802074</c:v>
                </c:pt>
                <c:pt idx="2030">
                  <c:v>50.635734792892784</c:v>
                </c:pt>
                <c:pt idx="2031">
                  <c:v>50.68885764839328</c:v>
                </c:pt>
                <c:pt idx="2032">
                  <c:v>50.74201281851732</c:v>
                </c:pt>
                <c:pt idx="2033">
                  <c:v>50.795200326521034</c:v>
                </c:pt>
                <c:pt idx="2034">
                  <c:v>50.84842019570292</c:v>
                </c:pt>
                <c:pt idx="2035">
                  <c:v>50.901672449403925</c:v>
                </c:pt>
                <c:pt idx="2036">
                  <c:v>50.95495711100757</c:v>
                </c:pt>
                <c:pt idx="2037">
                  <c:v>51.008274203939926</c:v>
                </c:pt>
                <c:pt idx="2038">
                  <c:v>51.06162375166969</c:v>
                </c:pt>
                <c:pt idx="2039">
                  <c:v>51.11500577770834</c:v>
                </c:pt>
                <c:pt idx="2040">
                  <c:v>51.16842030561005</c:v>
                </c:pt>
                <c:pt idx="2041">
                  <c:v>51.221867358971835</c:v>
                </c:pt>
                <c:pt idx="2042">
                  <c:v>51.27534696143367</c:v>
                </c:pt>
                <c:pt idx="2043">
                  <c:v>51.328859136678425</c:v>
                </c:pt>
                <c:pt idx="2044">
                  <c:v>51.38240390843199</c:v>
                </c:pt>
                <c:pt idx="2045">
                  <c:v>51.4359813004634</c:v>
                </c:pt>
                <c:pt idx="2046">
                  <c:v>51.48959133658479</c:v>
                </c:pt>
                <c:pt idx="2047">
                  <c:v>51.54323404065148</c:v>
                </c:pt>
                <c:pt idx="2048">
                  <c:v>51.596909436562136</c:v>
                </c:pt>
                <c:pt idx="2049">
                  <c:v>51.650617548258715</c:v>
                </c:pt>
                <c:pt idx="2050">
                  <c:v>51.70435839972657</c:v>
                </c:pt>
                <c:pt idx="2051">
                  <c:v>51.75813201499458</c:v>
                </c:pt>
                <c:pt idx="2052">
                  <c:v>51.811938418135085</c:v>
                </c:pt>
                <c:pt idx="2053">
                  <c:v>51.86577763326404</c:v>
                </c:pt>
                <c:pt idx="2054">
                  <c:v>51.9196496845411</c:v>
                </c:pt>
                <c:pt idx="2055">
                  <c:v>51.973554596169606</c:v>
                </c:pt>
                <c:pt idx="2056">
                  <c:v>52.02749239239668</c:v>
                </c:pt>
                <c:pt idx="2057">
                  <c:v>52.081463097513364</c:v>
                </c:pt>
                <c:pt idx="2058">
                  <c:v>52.135466735854564</c:v>
                </c:pt>
                <c:pt idx="2059">
                  <c:v>52.189503331799166</c:v>
                </c:pt>
                <c:pt idx="2060">
                  <c:v>52.24357290977018</c:v>
                </c:pt>
                <c:pt idx="2061">
                  <c:v>52.29767549423467</c:v>
                </c:pt>
                <c:pt idx="2062">
                  <c:v>52.35181110970388</c:v>
                </c:pt>
                <c:pt idx="2063">
                  <c:v>52.40597978073338</c:v>
                </c:pt>
                <c:pt idx="2064">
                  <c:v>52.460181531922984</c:v>
                </c:pt>
                <c:pt idx="2065">
                  <c:v>52.51441638791695</c:v>
                </c:pt>
                <c:pt idx="2066">
                  <c:v>52.56868437340396</c:v>
                </c:pt>
                <c:pt idx="2067">
                  <c:v>52.622985513117214</c:v>
                </c:pt>
                <c:pt idx="2068">
                  <c:v>52.67731983183449</c:v>
                </c:pt>
                <c:pt idx="2069">
                  <c:v>52.73168735437828</c:v>
                </c:pt>
                <c:pt idx="2070">
                  <c:v>52.78608810561575</c:v>
                </c:pt>
                <c:pt idx="2071">
                  <c:v>52.84052211045884</c:v>
                </c:pt>
                <c:pt idx="2072">
                  <c:v>52.89498939386444</c:v>
                </c:pt>
                <c:pt idx="2073">
                  <c:v>52.949489980834294</c:v>
                </c:pt>
                <c:pt idx="2074">
                  <c:v>53.004023896415134</c:v>
                </c:pt>
                <c:pt idx="2075">
                  <c:v>53.05859116569884</c:v>
                </c:pt>
                <c:pt idx="2076">
                  <c:v>53.11319181382234</c:v>
                </c:pt>
                <c:pt idx="2077">
                  <c:v>53.16782586596784</c:v>
                </c:pt>
                <c:pt idx="2078">
                  <c:v>53.222493347362786</c:v>
                </c:pt>
                <c:pt idx="2079">
                  <c:v>53.27719428327997</c:v>
                </c:pt>
                <c:pt idx="2080">
                  <c:v>53.331928699037576</c:v>
                </c:pt>
                <c:pt idx="2081">
                  <c:v>53.386696619999356</c:v>
                </c:pt>
                <c:pt idx="2082">
                  <c:v>53.441498071574536</c:v>
                </c:pt>
                <c:pt idx="2083">
                  <c:v>53.49633307921798</c:v>
                </c:pt>
                <c:pt idx="2084">
                  <c:v>53.55120166843032</c:v>
                </c:pt>
                <c:pt idx="2085">
                  <c:v>53.60610386475788</c:v>
                </c:pt>
                <c:pt idx="2086">
                  <c:v>53.66103969379282</c:v>
                </c:pt>
                <c:pt idx="2087">
                  <c:v>53.716009181173305</c:v>
                </c:pt>
                <c:pt idx="2088">
                  <c:v>53.77101235258337</c:v>
                </c:pt>
                <c:pt idx="2089">
                  <c:v>53.82604923375319</c:v>
                </c:pt>
                <c:pt idx="2090">
                  <c:v>53.88111985045902</c:v>
                </c:pt>
                <c:pt idx="2091">
                  <c:v>53.936224228523336</c:v>
                </c:pt>
                <c:pt idx="2092">
                  <c:v>53.99136239381485</c:v>
                </c:pt>
                <c:pt idx="2093">
                  <c:v>54.04653437224869</c:v>
                </c:pt>
                <c:pt idx="2094">
                  <c:v>54.10174018978635</c:v>
                </c:pt>
                <c:pt idx="2095">
                  <c:v>54.15697987243579</c:v>
                </c:pt>
                <c:pt idx="2096">
                  <c:v>54.21225344625163</c:v>
                </c:pt>
                <c:pt idx="2097">
                  <c:v>54.267560937335034</c:v>
                </c:pt>
                <c:pt idx="2098">
                  <c:v>54.3229023718339</c:v>
                </c:pt>
                <c:pt idx="2099">
                  <c:v>54.378277775942955</c:v>
                </c:pt>
                <c:pt idx="2100">
                  <c:v>54.43368717590373</c:v>
                </c:pt>
                <c:pt idx="2101">
                  <c:v>54.48913059800474</c:v>
                </c:pt>
                <c:pt idx="2102">
                  <c:v>54.54460806858148</c:v>
                </c:pt>
                <c:pt idx="2103">
                  <c:v>54.60011961401653</c:v>
                </c:pt>
                <c:pt idx="2104">
                  <c:v>54.6556652607396</c:v>
                </c:pt>
                <c:pt idx="2105">
                  <c:v>54.71124503522773</c:v>
                </c:pt>
                <c:pt idx="2106">
                  <c:v>54.76685896400516</c:v>
                </c:pt>
                <c:pt idx="2107">
                  <c:v>54.8225070736436</c:v>
                </c:pt>
                <c:pt idx="2108">
                  <c:v>54.87818939076217</c:v>
                </c:pt>
                <c:pt idx="2109">
                  <c:v>54.933905942027536</c:v>
                </c:pt>
                <c:pt idx="2110">
                  <c:v>54.989656754153984</c:v>
                </c:pt>
                <c:pt idx="2111">
                  <c:v>55.04544185390352</c:v>
                </c:pt>
                <c:pt idx="2112">
                  <c:v>55.10126126808585</c:v>
                </c:pt>
                <c:pt idx="2113">
                  <c:v>55.15711502355861</c:v>
                </c:pt>
                <c:pt idx="2114">
                  <c:v>55.2130031472273</c:v>
                </c:pt>
                <c:pt idx="2115">
                  <c:v>55.268925666045426</c:v>
                </c:pt>
                <c:pt idx="2116">
                  <c:v>55.324882607014565</c:v>
                </c:pt>
                <c:pt idx="2117">
                  <c:v>55.3808739971845</c:v>
                </c:pt>
                <c:pt idx="2118">
                  <c:v>55.436899863653174</c:v>
                </c:pt>
                <c:pt idx="2119">
                  <c:v>55.49296023356691</c:v>
                </c:pt>
                <c:pt idx="2120">
                  <c:v>55.54905513412039</c:v>
                </c:pt>
                <c:pt idx="2121">
                  <c:v>55.605184592556746</c:v>
                </c:pt>
                <c:pt idx="2122">
                  <c:v>55.66134863616767</c:v>
                </c:pt>
                <c:pt idx="2123">
                  <c:v>55.71754729229354</c:v>
                </c:pt>
                <c:pt idx="2124">
                  <c:v>55.77378058832333</c:v>
                </c:pt>
                <c:pt idx="2125">
                  <c:v>55.83004855169493</c:v>
                </c:pt>
                <c:pt idx="2126">
                  <c:v>55.886351209895</c:v>
                </c:pt>
                <c:pt idx="2127">
                  <c:v>55.94268859045917</c:v>
                </c:pt>
                <c:pt idx="2128">
                  <c:v>55.9990607209721</c:v>
                </c:pt>
                <c:pt idx="2129">
                  <c:v>56.05546762906761</c:v>
                </c:pt>
                <c:pt idx="2130">
                  <c:v>56.11190934242861</c:v>
                </c:pt>
                <c:pt idx="2131">
                  <c:v>56.168385888787384</c:v>
                </c:pt>
                <c:pt idx="2132">
                  <c:v>56.2248972959255</c:v>
                </c:pt>
                <c:pt idx="2133">
                  <c:v>56.281443591673984</c:v>
                </c:pt>
                <c:pt idx="2134">
                  <c:v>56.33802480391335</c:v>
                </c:pt>
                <c:pt idx="2135">
                  <c:v>56.394640960573774</c:v>
                </c:pt>
                <c:pt idx="2136">
                  <c:v>56.45129208963504</c:v>
                </c:pt>
                <c:pt idx="2137">
                  <c:v>56.507978219126755</c:v>
                </c:pt>
                <c:pt idx="2138">
                  <c:v>56.564699377128335</c:v>
                </c:pt>
                <c:pt idx="2139">
                  <c:v>56.62145559176913</c:v>
                </c:pt>
                <c:pt idx="2140">
                  <c:v>56.678246891228476</c:v>
                </c:pt>
                <c:pt idx="2141">
                  <c:v>56.73507330373588</c:v>
                </c:pt>
                <c:pt idx="2142">
                  <c:v>56.79193485757095</c:v>
                </c:pt>
                <c:pt idx="2143">
                  <c:v>56.84883158106362</c:v>
                </c:pt>
                <c:pt idx="2144">
                  <c:v>56.90576350259413</c:v>
                </c:pt>
                <c:pt idx="2145">
                  <c:v>56.962730650593144</c:v>
                </c:pt>
                <c:pt idx="2146">
                  <c:v>57.019733053541856</c:v>
                </c:pt>
                <c:pt idx="2147">
                  <c:v>57.076770739972105</c:v>
                </c:pt>
                <c:pt idx="2148">
                  <c:v>57.13384373846634</c:v>
                </c:pt>
                <c:pt idx="2149">
                  <c:v>57.190952077657855</c:v>
                </c:pt>
                <c:pt idx="2150">
                  <c:v>57.24809578623075</c:v>
                </c:pt>
                <c:pt idx="2151">
                  <c:v>57.30527489292009</c:v>
                </c:pt>
                <c:pt idx="2152">
                  <c:v>57.36248942651195</c:v>
                </c:pt>
                <c:pt idx="2153">
                  <c:v>57.41973941584357</c:v>
                </c:pt>
                <c:pt idx="2154">
                  <c:v>57.47702488980333</c:v>
                </c:pt>
                <c:pt idx="2155">
                  <c:v>57.53434587733097</c:v>
                </c:pt>
                <c:pt idx="2156">
                  <c:v>57.59170240741755</c:v>
                </c:pt>
                <c:pt idx="2157">
                  <c:v>57.64909450910561</c:v>
                </c:pt>
                <c:pt idx="2158">
                  <c:v>57.70652221148923</c:v>
                </c:pt>
                <c:pt idx="2159">
                  <c:v>57.76398554371419</c:v>
                </c:pt>
                <c:pt idx="2160">
                  <c:v>57.82148453497792</c:v>
                </c:pt>
                <c:pt idx="2161">
                  <c:v>57.879019214529734</c:v>
                </c:pt>
                <c:pt idx="2162">
                  <c:v>57.936589611670804</c:v>
                </c:pt>
                <c:pt idx="2163">
                  <c:v>57.99419575575431</c:v>
                </c:pt>
                <c:pt idx="2164">
                  <c:v>58.05183767618551</c:v>
                </c:pt>
                <c:pt idx="2165">
                  <c:v>58.10951540242187</c:v>
                </c:pt>
                <c:pt idx="2166">
                  <c:v>58.167228963973066</c:v>
                </c:pt>
                <c:pt idx="2167">
                  <c:v>58.22497839040119</c:v>
                </c:pt>
                <c:pt idx="2168">
                  <c:v>58.282763711320726</c:v>
                </c:pt>
                <c:pt idx="2169">
                  <c:v>58.3405849563987</c:v>
                </c:pt>
                <c:pt idx="2170">
                  <c:v>58.39844215535476</c:v>
                </c:pt>
                <c:pt idx="2171">
                  <c:v>58.456335337961306</c:v>
                </c:pt>
                <c:pt idx="2172">
                  <c:v>58.51426453404349</c:v>
                </c:pt>
                <c:pt idx="2173">
                  <c:v>58.57222977347942</c:v>
                </c:pt>
                <c:pt idx="2174">
                  <c:v>58.63023108620015</c:v>
                </c:pt>
                <c:pt idx="2175">
                  <c:v>58.68826850218981</c:v>
                </c:pt>
                <c:pt idx="2176">
                  <c:v>58.746342051485755</c:v>
                </c:pt>
                <c:pt idx="2177">
                  <c:v>58.804451764178566</c:v>
                </c:pt>
                <c:pt idx="2178">
                  <c:v>58.862597670412164</c:v>
                </c:pt>
                <c:pt idx="2179">
                  <c:v>58.920779800384</c:v>
                </c:pt>
                <c:pt idx="2180">
                  <c:v>58.97899818434499</c:v>
                </c:pt>
                <c:pt idx="2181">
                  <c:v>59.03725285259971</c:v>
                </c:pt>
                <c:pt idx="2182">
                  <c:v>59.09554383550652</c:v>
                </c:pt>
                <c:pt idx="2183">
                  <c:v>59.15387116347755</c:v>
                </c:pt>
                <c:pt idx="2184">
                  <c:v>59.21223486697885</c:v>
                </c:pt>
                <c:pt idx="2185">
                  <c:v>59.27063497653054</c:v>
                </c:pt>
                <c:pt idx="2186">
                  <c:v>59.329071522706805</c:v>
                </c:pt>
                <c:pt idx="2187">
                  <c:v>59.38754453613605</c:v>
                </c:pt>
                <c:pt idx="2188">
                  <c:v>59.44605404750096</c:v>
                </c:pt>
                <c:pt idx="2189">
                  <c:v>59.50460008753868</c:v>
                </c:pt>
                <c:pt idx="2190">
                  <c:v>59.563182687040765</c:v>
                </c:pt>
                <c:pt idx="2191">
                  <c:v>59.62180187685345</c:v>
                </c:pt>
                <c:pt idx="2192">
                  <c:v>59.6804576878776</c:v>
                </c:pt>
                <c:pt idx="2193">
                  <c:v>59.73915015106886</c:v>
                </c:pt>
                <c:pt idx="2194">
                  <c:v>59.79787929743776</c:v>
                </c:pt>
                <c:pt idx="2195">
                  <c:v>59.85664515804986</c:v>
                </c:pt>
                <c:pt idx="2196">
                  <c:v>59.9154477640257</c:v>
                </c:pt>
                <c:pt idx="2197">
                  <c:v>59.9742871465411</c:v>
                </c:pt>
                <c:pt idx="2198">
                  <c:v>60.03316333682708</c:v>
                </c:pt>
                <c:pt idx="2199">
                  <c:v>60.092076366170026</c:v>
                </c:pt>
                <c:pt idx="2200">
                  <c:v>60.15102626591187</c:v>
                </c:pt>
                <c:pt idx="2201">
                  <c:v>60.21001306745003</c:v>
                </c:pt>
                <c:pt idx="2202">
                  <c:v>60.2690368022376</c:v>
                </c:pt>
                <c:pt idx="2203">
                  <c:v>60.32809750178351</c:v>
                </c:pt>
                <c:pt idx="2204">
                  <c:v>60.38719519765249</c:v>
                </c:pt>
                <c:pt idx="2205">
                  <c:v>60.44632992146523</c:v>
                </c:pt>
                <c:pt idx="2206">
                  <c:v>60.50550170489856</c:v>
                </c:pt>
                <c:pt idx="2207">
                  <c:v>60.564710579685425</c:v>
                </c:pt>
                <c:pt idx="2208">
                  <c:v>60.62395657761502</c:v>
                </c:pt>
                <c:pt idx="2209">
                  <c:v>60.683239730532975</c:v>
                </c:pt>
                <c:pt idx="2210">
                  <c:v>60.74256007034135</c:v>
                </c:pt>
                <c:pt idx="2211">
                  <c:v>60.80191762899877</c:v>
                </c:pt>
                <c:pt idx="2212">
                  <c:v>60.86131243852055</c:v>
                </c:pt>
                <c:pt idx="2213">
                  <c:v>60.92074453097882</c:v>
                </c:pt>
                <c:pt idx="2214">
                  <c:v>60.98021393850252</c:v>
                </c:pt>
                <c:pt idx="2215">
                  <c:v>61.039720693277665</c:v>
                </c:pt>
                <c:pt idx="2216">
                  <c:v>61.09926482754728</c:v>
                </c:pt>
                <c:pt idx="2217">
                  <c:v>61.15884637361161</c:v>
                </c:pt>
                <c:pt idx="2218">
                  <c:v>61.21846536382817</c:v>
                </c:pt>
                <c:pt idx="2219">
                  <c:v>61.27812183061196</c:v>
                </c:pt>
                <c:pt idx="2220">
                  <c:v>61.337815806435366</c:v>
                </c:pt>
                <c:pt idx="2221">
                  <c:v>61.3975473238285</c:v>
                </c:pt>
                <c:pt idx="2222">
                  <c:v>61.457316415379104</c:v>
                </c:pt>
                <c:pt idx="2223">
                  <c:v>61.51712311373275</c:v>
                </c:pt>
                <c:pt idx="2224">
                  <c:v>61.576967451593</c:v>
                </c:pt>
                <c:pt idx="2225">
                  <c:v>61.636849461721354</c:v>
                </c:pt>
                <c:pt idx="2226">
                  <c:v>61.69676917693754</c:v>
                </c:pt>
                <c:pt idx="2227">
                  <c:v>61.75672663011948</c:v>
                </c:pt>
                <c:pt idx="2228">
                  <c:v>61.81672185420344</c:v>
                </c:pt>
                <c:pt idx="2229">
                  <c:v>61.87675488218416</c:v>
                </c:pt>
                <c:pt idx="2230">
                  <c:v>61.93682574711497</c:v>
                </c:pt>
                <c:pt idx="2231">
                  <c:v>61.99693448210785</c:v>
                </c:pt>
                <c:pt idx="2232">
                  <c:v>62.05708112033353</c:v>
                </c:pt>
                <c:pt idx="2233">
                  <c:v>62.117265695021715</c:v>
                </c:pt>
                <c:pt idx="2234">
                  <c:v>62.17748823946104</c:v>
                </c:pt>
                <c:pt idx="2235">
                  <c:v>62.237748786999255</c:v>
                </c:pt>
                <c:pt idx="2236">
                  <c:v>62.29804737104338</c:v>
                </c:pt>
                <c:pt idx="2237">
                  <c:v>62.358384025059706</c:v>
                </c:pt>
                <c:pt idx="2238">
                  <c:v>62.41875878257396</c:v>
                </c:pt>
                <c:pt idx="2239">
                  <c:v>62.47917167717148</c:v>
                </c:pt>
                <c:pt idx="2240">
                  <c:v>62.539622742497194</c:v>
                </c:pt>
                <c:pt idx="2241">
                  <c:v>62.600112012255835</c:v>
                </c:pt>
                <c:pt idx="2242">
                  <c:v>62.66063952021199</c:v>
                </c:pt>
                <c:pt idx="2243">
                  <c:v>62.72120530019029</c:v>
                </c:pt>
                <c:pt idx="2244">
                  <c:v>62.78180938607541</c:v>
                </c:pt>
                <c:pt idx="2245">
                  <c:v>62.842451811812296</c:v>
                </c:pt>
                <c:pt idx="2246">
                  <c:v>62.903132611406186</c:v>
                </c:pt>
                <c:pt idx="2247">
                  <c:v>62.96385181892275</c:v>
                </c:pt>
                <c:pt idx="2248">
                  <c:v>63.02460946848827</c:v>
                </c:pt>
                <c:pt idx="2249">
                  <c:v>63.085405594289625</c:v>
                </c:pt>
                <c:pt idx="2250">
                  <c:v>63.14624023057455</c:v>
                </c:pt>
                <c:pt idx="2251">
                  <c:v>63.20711341165161</c:v>
                </c:pt>
                <c:pt idx="2252">
                  <c:v>63.26802517189042</c:v>
                </c:pt>
                <c:pt idx="2253">
                  <c:v>63.32897554572169</c:v>
                </c:pt>
                <c:pt idx="2254">
                  <c:v>63.38996456763743</c:v>
                </c:pt>
                <c:pt idx="2255">
                  <c:v>63.45099227219094</c:v>
                </c:pt>
                <c:pt idx="2256">
                  <c:v>63.512058693997</c:v>
                </c:pt>
                <c:pt idx="2257">
                  <c:v>63.573163867732035</c:v>
                </c:pt>
                <c:pt idx="2258">
                  <c:v>63.634307828134126</c:v>
                </c:pt>
                <c:pt idx="2259">
                  <c:v>63.695490610003155</c:v>
                </c:pt>
                <c:pt idx="2260">
                  <c:v>63.75671224820102</c:v>
                </c:pt>
                <c:pt idx="2261">
                  <c:v>63.817972777651605</c:v>
                </c:pt>
                <c:pt idx="2262">
                  <c:v>63.87927223334097</c:v>
                </c:pt>
                <c:pt idx="2263">
                  <c:v>63.940610650317524</c:v>
                </c:pt>
                <c:pt idx="2264">
                  <c:v>64.00198806369204</c:v>
                </c:pt>
                <c:pt idx="2265">
                  <c:v>64.06340450863782</c:v>
                </c:pt>
                <c:pt idx="2266">
                  <c:v>64.12486002039078</c:v>
                </c:pt>
                <c:pt idx="2267">
                  <c:v>64.18635463424972</c:v>
                </c:pt>
                <c:pt idx="2268">
                  <c:v>64.2478883855762</c:v>
                </c:pt>
                <c:pt idx="2269">
                  <c:v>64.30946130979487</c:v>
                </c:pt>
                <c:pt idx="2270">
                  <c:v>64.37107344239347</c:v>
                </c:pt>
                <c:pt idx="2271">
                  <c:v>64.43272481892295</c:v>
                </c:pt>
                <c:pt idx="2272">
                  <c:v>64.49441547499774</c:v>
                </c:pt>
                <c:pt idx="2273">
                  <c:v>64.55614544629563</c:v>
                </c:pt>
                <c:pt idx="2274">
                  <c:v>64.61791476855815</c:v>
                </c:pt>
                <c:pt idx="2275">
                  <c:v>64.67972347759047</c:v>
                </c:pt>
                <c:pt idx="2276">
                  <c:v>64.74157160926165</c:v>
                </c:pt>
                <c:pt idx="2277">
                  <c:v>64.80345919950473</c:v>
                </c:pt>
                <c:pt idx="2278">
                  <c:v>64.86538628431687</c:v>
                </c:pt>
                <c:pt idx="2279">
                  <c:v>64.9273528997594</c:v>
                </c:pt>
                <c:pt idx="2280">
                  <c:v>64.98935908195809</c:v>
                </c:pt>
                <c:pt idx="2281">
                  <c:v>65.0514048671031</c:v>
                </c:pt>
                <c:pt idx="2282">
                  <c:v>65.11349029144924</c:v>
                </c:pt>
                <c:pt idx="2283">
                  <c:v>65.175615391316</c:v>
                </c:pt>
                <c:pt idx="2284">
                  <c:v>65.23778020308781</c:v>
                </c:pt>
                <c:pt idx="2285">
                  <c:v>65.29998476321397</c:v>
                </c:pt>
                <c:pt idx="2286">
                  <c:v>65.36222910820892</c:v>
                </c:pt>
                <c:pt idx="2287">
                  <c:v>65.42451327465238</c:v>
                </c:pt>
                <c:pt idx="2288">
                  <c:v>65.48683729918936</c:v>
                </c:pt>
                <c:pt idx="2289">
                  <c:v>65.54920121853034</c:v>
                </c:pt>
                <c:pt idx="2290">
                  <c:v>65.6116050694515</c:v>
                </c:pt>
                <c:pt idx="2291">
                  <c:v>65.67404888879467</c:v>
                </c:pt>
                <c:pt idx="2292">
                  <c:v>65.73653271346755</c:v>
                </c:pt>
                <c:pt idx="2293">
                  <c:v>65.79905658044392</c:v>
                </c:pt>
                <c:pt idx="2294">
                  <c:v>65.86162052676357</c:v>
                </c:pt>
                <c:pt idx="2295">
                  <c:v>65.9242245895326</c:v>
                </c:pt>
                <c:pt idx="2296">
                  <c:v>65.98686880592352</c:v>
                </c:pt>
                <c:pt idx="2297">
                  <c:v>66.04955321317529</c:v>
                </c:pt>
                <c:pt idx="2298">
                  <c:v>66.11227784859356</c:v>
                </c:pt>
                <c:pt idx="2299">
                  <c:v>66.17504274955074</c:v>
                </c:pt>
                <c:pt idx="2300">
                  <c:v>66.23784795348612</c:v>
                </c:pt>
                <c:pt idx="2301">
                  <c:v>66.30069349790604</c:v>
                </c:pt>
                <c:pt idx="2302">
                  <c:v>66.36357942038404</c:v>
                </c:pt>
                <c:pt idx="2303">
                  <c:v>66.42650575856091</c:v>
                </c:pt>
                <c:pt idx="2304">
                  <c:v>66.48947255014492</c:v>
                </c:pt>
                <c:pt idx="2305">
                  <c:v>66.55247983291189</c:v>
                </c:pt>
                <c:pt idx="2306">
                  <c:v>66.6155276447053</c:v>
                </c:pt>
                <c:pt idx="2307">
                  <c:v>66.67861602343649</c:v>
                </c:pt>
                <c:pt idx="2308">
                  <c:v>66.74174500708483</c:v>
                </c:pt>
                <c:pt idx="2309">
                  <c:v>66.80491463369768</c:v>
                </c:pt>
                <c:pt idx="2310">
                  <c:v>66.86812494139075</c:v>
                </c:pt>
                <c:pt idx="2311">
                  <c:v>66.93137596834802</c:v>
                </c:pt>
                <c:pt idx="2312">
                  <c:v>66.99466775282205</c:v>
                </c:pt>
                <c:pt idx="2313">
                  <c:v>67.05800033313399</c:v>
                </c:pt>
                <c:pt idx="2314">
                  <c:v>67.12137374767383</c:v>
                </c:pt>
                <c:pt idx="2315">
                  <c:v>67.18478803490044</c:v>
                </c:pt>
                <c:pt idx="2316">
                  <c:v>67.24824323334171</c:v>
                </c:pt>
                <c:pt idx="2317">
                  <c:v>67.31173938159483</c:v>
                </c:pt>
                <c:pt idx="2318">
                  <c:v>67.37527651832623</c:v>
                </c:pt>
                <c:pt idx="2319">
                  <c:v>67.43885468227181</c:v>
                </c:pt>
                <c:pt idx="2320">
                  <c:v>67.50247391223715</c:v>
                </c:pt>
                <c:pt idx="2321">
                  <c:v>67.5661342470975</c:v>
                </c:pt>
                <c:pt idx="2322">
                  <c:v>67.62983572579805</c:v>
                </c:pt>
                <c:pt idx="2323">
                  <c:v>67.69357838735398</c:v>
                </c:pt>
                <c:pt idx="2324">
                  <c:v>67.75736227085066</c:v>
                </c:pt>
                <c:pt idx="2325">
                  <c:v>67.82118741544375</c:v>
                </c:pt>
                <c:pt idx="2326">
                  <c:v>67.88505386035939</c:v>
                </c:pt>
                <c:pt idx="2327">
                  <c:v>67.94896164489428</c:v>
                </c:pt>
                <c:pt idx="2328">
                  <c:v>68.01291080841591</c:v>
                </c:pt>
                <c:pt idx="2329">
                  <c:v>68.07690139036256</c:v>
                </c:pt>
                <c:pt idx="2330">
                  <c:v>68.14093343024359</c:v>
                </c:pt>
                <c:pt idx="2331">
                  <c:v>68.20500696763949</c:v>
                </c:pt>
                <c:pt idx="2332">
                  <c:v>68.2691220422021</c:v>
                </c:pt>
                <c:pt idx="2333">
                  <c:v>68.33327869365465</c:v>
                </c:pt>
                <c:pt idx="2334">
                  <c:v>68.39747696179205</c:v>
                </c:pt>
                <c:pt idx="2335">
                  <c:v>68.46171688648087</c:v>
                </c:pt>
                <c:pt idx="2336">
                  <c:v>68.5259985076596</c:v>
                </c:pt>
                <c:pt idx="2337">
                  <c:v>68.59032186533872</c:v>
                </c:pt>
                <c:pt idx="2338">
                  <c:v>68.65468699960098</c:v>
                </c:pt>
                <c:pt idx="2339">
                  <c:v>68.71909395060138</c:v>
                </c:pt>
                <c:pt idx="2340">
                  <c:v>68.78354275856738</c:v>
                </c:pt>
                <c:pt idx="2341">
                  <c:v>68.84803346379914</c:v>
                </c:pt>
                <c:pt idx="2342">
                  <c:v>68.9125661066695</c:v>
                </c:pt>
                <c:pt idx="2343">
                  <c:v>68.97714072762425</c:v>
                </c:pt>
                <c:pt idx="2344">
                  <c:v>69.04175736718227</c:v>
                </c:pt>
                <c:pt idx="2345">
                  <c:v>69.1064160659356</c:v>
                </c:pt>
                <c:pt idx="2346">
                  <c:v>69.17111686454972</c:v>
                </c:pt>
                <c:pt idx="2347">
                  <c:v>69.23585980376353</c:v>
                </c:pt>
                <c:pt idx="2348">
                  <c:v>69.30064492438964</c:v>
                </c:pt>
                <c:pt idx="2349">
                  <c:v>69.3654722673145</c:v>
                </c:pt>
                <c:pt idx="2350">
                  <c:v>69.43034187349849</c:v>
                </c:pt>
                <c:pt idx="2351">
                  <c:v>69.4952537839761</c:v>
                </c:pt>
                <c:pt idx="2352">
                  <c:v>69.56020803985614</c:v>
                </c:pt>
                <c:pt idx="2353">
                  <c:v>69.62520468232178</c:v>
                </c:pt>
                <c:pt idx="2354">
                  <c:v>69.69024375263082</c:v>
                </c:pt>
                <c:pt idx="2355">
                  <c:v>69.75532529211573</c:v>
                </c:pt>
                <c:pt idx="2356">
                  <c:v>69.82044934218395</c:v>
                </c:pt>
                <c:pt idx="2357">
                  <c:v>69.88561594431785</c:v>
                </c:pt>
                <c:pt idx="2358">
                  <c:v>69.95082514007511</c:v>
                </c:pt>
                <c:pt idx="2359">
                  <c:v>70.01607697108868</c:v>
                </c:pt>
                <c:pt idx="2360">
                  <c:v>70.08137147906703</c:v>
                </c:pt>
                <c:pt idx="2361">
                  <c:v>70.14670870579427</c:v>
                </c:pt>
                <c:pt idx="2362">
                  <c:v>70.2120886931304</c:v>
                </c:pt>
                <c:pt idx="2363">
                  <c:v>70.2775114830113</c:v>
                </c:pt>
                <c:pt idx="2364">
                  <c:v>70.34297711744907</c:v>
                </c:pt>
                <c:pt idx="2365">
                  <c:v>70.40848563853204</c:v>
                </c:pt>
                <c:pt idx="2366">
                  <c:v>70.47403708842502</c:v>
                </c:pt>
                <c:pt idx="2367">
                  <c:v>70.53963150936939</c:v>
                </c:pt>
                <c:pt idx="2368">
                  <c:v>70.60526894368336</c:v>
                </c:pt>
                <c:pt idx="2369">
                  <c:v>70.67094943376199</c:v>
                </c:pt>
                <c:pt idx="2370">
                  <c:v>70.73667302207753</c:v>
                </c:pt>
                <c:pt idx="2371">
                  <c:v>70.80243975117938</c:v>
                </c:pt>
                <c:pt idx="2372">
                  <c:v>70.86824966369437</c:v>
                </c:pt>
                <c:pt idx="2373">
                  <c:v>70.93410280232698</c:v>
                </c:pt>
                <c:pt idx="2374">
                  <c:v>70.99999920985931</c:v>
                </c:pt>
                <c:pt idx="2375">
                  <c:v>71.06593892915143</c:v>
                </c:pt>
                <c:pt idx="2376">
                  <c:v>71.13192200314147</c:v>
                </c:pt>
                <c:pt idx="2377">
                  <c:v>71.19794847484576</c:v>
                </c:pt>
                <c:pt idx="2378">
                  <c:v>71.26401838735902</c:v>
                </c:pt>
                <c:pt idx="2379">
                  <c:v>71.3301317838545</c:v>
                </c:pt>
                <c:pt idx="2380">
                  <c:v>71.39628870758425</c:v>
                </c:pt>
                <c:pt idx="2381">
                  <c:v>71.46248920187911</c:v>
                </c:pt>
                <c:pt idx="2382">
                  <c:v>71.52873331014905</c:v>
                </c:pt>
                <c:pt idx="2383">
                  <c:v>71.5950210758832</c:v>
                </c:pt>
                <c:pt idx="2384">
                  <c:v>71.66135254265008</c:v>
                </c:pt>
                <c:pt idx="2385">
                  <c:v>71.72772775409776</c:v>
                </c:pt>
                <c:pt idx="2386">
                  <c:v>71.79414675395408</c:v>
                </c:pt>
                <c:pt idx="2387">
                  <c:v>71.86060958602668</c:v>
                </c:pt>
                <c:pt idx="2388">
                  <c:v>71.92711629420337</c:v>
                </c:pt>
                <c:pt idx="2389">
                  <c:v>71.99366692245209</c:v>
                </c:pt>
                <c:pt idx="2390">
                  <c:v>72.0602615148212</c:v>
                </c:pt>
                <c:pt idx="2391">
                  <c:v>72.12690011543962</c:v>
                </c:pt>
                <c:pt idx="2392">
                  <c:v>72.19358276851709</c:v>
                </c:pt>
                <c:pt idx="2393">
                  <c:v>72.26030951834412</c:v>
                </c:pt>
                <c:pt idx="2394">
                  <c:v>72.32708040929244</c:v>
                </c:pt>
                <c:pt idx="2395">
                  <c:v>72.39389548581494</c:v>
                </c:pt>
                <c:pt idx="2396">
                  <c:v>72.46075479244594</c:v>
                </c:pt>
                <c:pt idx="2397">
                  <c:v>72.52765837380144</c:v>
                </c:pt>
                <c:pt idx="2398">
                  <c:v>72.59460627457916</c:v>
                </c:pt>
                <c:pt idx="2399">
                  <c:v>72.66159853955874</c:v>
                </c:pt>
                <c:pt idx="2400">
                  <c:v>72.72863521360202</c:v>
                </c:pt>
                <c:pt idx="2401">
                  <c:v>72.79571634165308</c:v>
                </c:pt>
                <c:pt idx="2402">
                  <c:v>72.86284196873846</c:v>
                </c:pt>
                <c:pt idx="2403">
                  <c:v>72.93001213996746</c:v>
                </c:pt>
                <c:pt idx="2404">
                  <c:v>72.9972269005321</c:v>
                </c:pt>
                <c:pt idx="2405">
                  <c:v>73.06448629570744</c:v>
                </c:pt>
                <c:pt idx="2406">
                  <c:v>73.13179037085176</c:v>
                </c:pt>
                <c:pt idx="2407">
                  <c:v>73.19913917140667</c:v>
                </c:pt>
                <c:pt idx="2408">
                  <c:v>73.26653274289734</c:v>
                </c:pt>
                <c:pt idx="2409">
                  <c:v>73.33397113093262</c:v>
                </c:pt>
                <c:pt idx="2410">
                  <c:v>73.40145438120537</c:v>
                </c:pt>
                <c:pt idx="2411">
                  <c:v>73.4689825394924</c:v>
                </c:pt>
                <c:pt idx="2412">
                  <c:v>73.53655565165492</c:v>
                </c:pt>
                <c:pt idx="2413">
                  <c:v>73.6041737636385</c:v>
                </c:pt>
                <c:pt idx="2414">
                  <c:v>73.67183692147334</c:v>
                </c:pt>
                <c:pt idx="2415">
                  <c:v>73.73954517127449</c:v>
                </c:pt>
                <c:pt idx="2416">
                  <c:v>73.807298559242</c:v>
                </c:pt>
                <c:pt idx="2417">
                  <c:v>73.87509713166106</c:v>
                </c:pt>
                <c:pt idx="2418">
                  <c:v>73.94294093490231</c:v>
                </c:pt>
                <c:pt idx="2419">
                  <c:v>74.01083001542186</c:v>
                </c:pt>
                <c:pt idx="2420">
                  <c:v>74.07876441976155</c:v>
                </c:pt>
                <c:pt idx="2421">
                  <c:v>74.14674419454924</c:v>
                </c:pt>
                <c:pt idx="2422">
                  <c:v>74.21476938649879</c:v>
                </c:pt>
                <c:pt idx="2423">
                  <c:v>74.28284004241044</c:v>
                </c:pt>
                <c:pt idx="2424">
                  <c:v>74.35095620917087</c:v>
                </c:pt>
                <c:pt idx="2425">
                  <c:v>74.41911793375345</c:v>
                </c:pt>
                <c:pt idx="2426">
                  <c:v>74.48732526321838</c:v>
                </c:pt>
                <c:pt idx="2427">
                  <c:v>74.55557824471299</c:v>
                </c:pt>
                <c:pt idx="2428">
                  <c:v>74.62387692547179</c:v>
                </c:pt>
                <c:pt idx="2429">
                  <c:v>74.69222135281672</c:v>
                </c:pt>
                <c:pt idx="2430">
                  <c:v>74.7606115741574</c:v>
                </c:pt>
                <c:pt idx="2431">
                  <c:v>74.8290476369912</c:v>
                </c:pt>
                <c:pt idx="2432">
                  <c:v>74.89752958890355</c:v>
                </c:pt>
                <c:pt idx="2433">
                  <c:v>74.96605747756809</c:v>
                </c:pt>
                <c:pt idx="2434">
                  <c:v>75.03463135074679</c:v>
                </c:pt>
                <c:pt idx="2435">
                  <c:v>75.10325125629026</c:v>
                </c:pt>
                <c:pt idx="2436">
                  <c:v>75.17191724213792</c:v>
                </c:pt>
                <c:pt idx="2437">
                  <c:v>75.24062935631812</c:v>
                </c:pt>
                <c:pt idx="2438">
                  <c:v>75.30938764694841</c:v>
                </c:pt>
                <c:pt idx="2439">
                  <c:v>75.37819216223566</c:v>
                </c:pt>
                <c:pt idx="2440">
                  <c:v>75.44704295047642</c:v>
                </c:pt>
                <c:pt idx="2441">
                  <c:v>75.51594006005693</c:v>
                </c:pt>
                <c:pt idx="2442">
                  <c:v>75.58488353945341</c:v>
                </c:pt>
                <c:pt idx="2443">
                  <c:v>76.10218850366586</c:v>
                </c:pt>
                <c:pt idx="2444">
                  <c:v>76.61904612831103</c:v>
                </c:pt>
                <c:pt idx="2445">
                  <c:v>77.13545658108858</c:v>
                </c:pt>
                <c:pt idx="2446">
                  <c:v>77.65142002949031</c:v>
                </c:pt>
                <c:pt idx="2447">
                  <c:v>78.1669366408004</c:v>
                </c:pt>
                <c:pt idx="2448">
                  <c:v>78.6820065820956</c:v>
                </c:pt>
                <c:pt idx="2449">
                  <c:v>79.19663002024551</c:v>
                </c:pt>
                <c:pt idx="2450">
                  <c:v>79.71080712191284</c:v>
                </c:pt>
                <c:pt idx="2451">
                  <c:v>80.2245380535536</c:v>
                </c:pt>
                <c:pt idx="2452">
                  <c:v>80.73782298141738</c:v>
                </c:pt>
                <c:pt idx="2453">
                  <c:v>81.25066207154757</c:v>
                </c:pt>
                <c:pt idx="2454">
                  <c:v>81.76305548978156</c:v>
                </c:pt>
                <c:pt idx="2455">
                  <c:v>82.27500340175109</c:v>
                </c:pt>
                <c:pt idx="2456">
                  <c:v>82.78650597288235</c:v>
                </c:pt>
                <c:pt idx="2457">
                  <c:v>83.29756336839633</c:v>
                </c:pt>
                <c:pt idx="2458">
                  <c:v>83.80817575330894</c:v>
                </c:pt>
                <c:pt idx="2459">
                  <c:v>84.3183432924314</c:v>
                </c:pt>
                <c:pt idx="2460">
                  <c:v>84.82806615037029</c:v>
                </c:pt>
                <c:pt idx="2461">
                  <c:v>85.33734449152797</c:v>
                </c:pt>
                <c:pt idx="2462">
                  <c:v>85.84617848010268</c:v>
                </c:pt>
                <c:pt idx="2463">
                  <c:v>85.84617848010268</c:v>
                </c:pt>
                <c:pt idx="2464">
                  <c:v>86.01334471825874</c:v>
                </c:pt>
                <c:pt idx="2465">
                  <c:v>86.18062283883647</c:v>
                </c:pt>
                <c:pt idx="2466">
                  <c:v>86.3480129122732</c:v>
                </c:pt>
                <c:pt idx="2467">
                  <c:v>86.51551500917424</c:v>
                </c:pt>
                <c:pt idx="2468">
                  <c:v>86.68312920031289</c:v>
                </c:pt>
                <c:pt idx="2469">
                  <c:v>86.85085555663058</c:v>
                </c:pt>
                <c:pt idx="2470">
                  <c:v>87.01869414923719</c:v>
                </c:pt>
                <c:pt idx="2471">
                  <c:v>87.18664504941113</c:v>
                </c:pt>
                <c:pt idx="2472">
                  <c:v>87.35470832859939</c:v>
                </c:pt>
                <c:pt idx="2473">
                  <c:v>87.52288405841796</c:v>
                </c:pt>
                <c:pt idx="2474">
                  <c:v>87.69117231065188</c:v>
                </c:pt>
                <c:pt idx="2475">
                  <c:v>87.85957315725528</c:v>
                </c:pt>
                <c:pt idx="2476">
                  <c:v>88.02808667035183</c:v>
                </c:pt>
                <c:pt idx="2477">
                  <c:v>88.19671292223471</c:v>
                </c:pt>
                <c:pt idx="2478">
                  <c:v>88.36545198536678</c:v>
                </c:pt>
                <c:pt idx="2479">
                  <c:v>88.5343039323809</c:v>
                </c:pt>
                <c:pt idx="2480">
                  <c:v>88.70326883608006</c:v>
                </c:pt>
                <c:pt idx="2481">
                  <c:v>88.87234676943739</c:v>
                </c:pt>
                <c:pt idx="2482">
                  <c:v>89.04153780559659</c:v>
                </c:pt>
                <c:pt idx="2483">
                  <c:v>89.21084201787197</c:v>
                </c:pt>
                <c:pt idx="2484">
                  <c:v>89.38025947974869</c:v>
                </c:pt>
                <c:pt idx="2485">
                  <c:v>89.54979026488279</c:v>
                </c:pt>
                <c:pt idx="2486">
                  <c:v>89.7194344471016</c:v>
                </c:pt>
                <c:pt idx="2487">
                  <c:v>89.88919210040385</c:v>
                </c:pt>
                <c:pt idx="2488">
                  <c:v>90.05906329895964</c:v>
                </c:pt>
                <c:pt idx="2489">
                  <c:v>90.22904811711099</c:v>
                </c:pt>
                <c:pt idx="2490">
                  <c:v>90.3991466293718</c:v>
                </c:pt>
                <c:pt idx="2491">
                  <c:v>90.56935891042797</c:v>
                </c:pt>
                <c:pt idx="2492">
                  <c:v>90.73968503513781</c:v>
                </c:pt>
                <c:pt idx="2493">
                  <c:v>90.91012507853213</c:v>
                </c:pt>
                <c:pt idx="2494">
                  <c:v>91.0806791158143</c:v>
                </c:pt>
                <c:pt idx="2495">
                  <c:v>91.25134722236066</c:v>
                </c:pt>
                <c:pt idx="2496">
                  <c:v>91.4221294737206</c:v>
                </c:pt>
                <c:pt idx="2497">
                  <c:v>91.59302594561667</c:v>
                </c:pt>
                <c:pt idx="2498">
                  <c:v>91.76403671394496</c:v>
                </c:pt>
                <c:pt idx="2499">
                  <c:v>91.93516185477522</c:v>
                </c:pt>
                <c:pt idx="2500">
                  <c:v>92.10640144435088</c:v>
                </c:pt>
                <c:pt idx="2501">
                  <c:v>92.27775555908956</c:v>
                </c:pt>
                <c:pt idx="2502">
                  <c:v>92.44922427558308</c:v>
                </c:pt>
                <c:pt idx="2503">
                  <c:v>92.62080767059757</c:v>
                </c:pt>
                <c:pt idx="2504">
                  <c:v>92.79250582107392</c:v>
                </c:pt>
                <c:pt idx="2505">
                  <c:v>92.96431880412783</c:v>
                </c:pt>
                <c:pt idx="2506">
                  <c:v>93.1362466970499</c:v>
                </c:pt>
                <c:pt idx="2507">
                  <c:v>93.30828957730608</c:v>
                </c:pt>
                <c:pt idx="2508">
                  <c:v>93.48044752253776</c:v>
                </c:pt>
                <c:pt idx="2509">
                  <c:v>93.65272061056181</c:v>
                </c:pt>
                <c:pt idx="2510">
                  <c:v>93.8251089193711</c:v>
                </c:pt>
                <c:pt idx="2511">
                  <c:v>93.9976125271345</c:v>
                </c:pt>
                <c:pt idx="2512">
                  <c:v>94.17023151219705</c:v>
                </c:pt>
                <c:pt idx="2513">
                  <c:v>94.34296595308032</c:v>
                </c:pt>
                <c:pt idx="2514">
                  <c:v>94.51581592848258</c:v>
                </c:pt>
                <c:pt idx="2515">
                  <c:v>94.68878151727881</c:v>
                </c:pt>
                <c:pt idx="2516">
                  <c:v>94.86186279852123</c:v>
                </c:pt>
                <c:pt idx="2517">
                  <c:v>95.03505985143933</c:v>
                </c:pt>
                <c:pt idx="2518">
                  <c:v>95.20837275544</c:v>
                </c:pt>
                <c:pt idx="2519">
                  <c:v>95.38180159010794</c:v>
                </c:pt>
                <c:pt idx="2520">
                  <c:v>95.55534643520579</c:v>
                </c:pt>
                <c:pt idx="2521">
                  <c:v>95.72900737067424</c:v>
                </c:pt>
                <c:pt idx="2522">
                  <c:v>95.90278447663242</c:v>
                </c:pt>
                <c:pt idx="2523">
                  <c:v>96.07667783337804</c:v>
                </c:pt>
                <c:pt idx="2524">
                  <c:v>96.2506875213875</c:v>
                </c:pt>
                <c:pt idx="2525">
                  <c:v>96.42481362131633</c:v>
                </c:pt>
                <c:pt idx="2526">
                  <c:v>96.59905621399925</c:v>
                </c:pt>
                <c:pt idx="2527">
                  <c:v>96.77341538045043</c:v>
                </c:pt>
                <c:pt idx="2528">
                  <c:v>96.94789120186364</c:v>
                </c:pt>
                <c:pt idx="2529">
                  <c:v>97.12248375961263</c:v>
                </c:pt>
                <c:pt idx="2530">
                  <c:v>97.29719313525129</c:v>
                </c:pt>
                <c:pt idx="2531">
                  <c:v>97.47201941051371</c:v>
                </c:pt>
                <c:pt idx="2532">
                  <c:v>97.64696266731465</c:v>
                </c:pt>
                <c:pt idx="2533">
                  <c:v>97.8220229877497</c:v>
                </c:pt>
                <c:pt idx="2534">
                  <c:v>97.9972004540953</c:v>
                </c:pt>
                <c:pt idx="2535">
                  <c:v>98.17249514880929</c:v>
                </c:pt>
                <c:pt idx="2536">
                  <c:v>98.34790715453093</c:v>
                </c:pt>
                <c:pt idx="2537">
                  <c:v>98.52343655408112</c:v>
                </c:pt>
                <c:pt idx="2538">
                  <c:v>98.69908343046275</c:v>
                </c:pt>
                <c:pt idx="2539">
                  <c:v>98.87484786686093</c:v>
                </c:pt>
                <c:pt idx="2540">
                  <c:v>99.050729946643</c:v>
                </c:pt>
                <c:pt idx="2541">
                  <c:v>99.22672975335907</c:v>
                </c:pt>
                <c:pt idx="2542">
                  <c:v>99.4028473707421</c:v>
                </c:pt>
                <c:pt idx="2543">
                  <c:v>99.57908288270801</c:v>
                </c:pt>
                <c:pt idx="2544">
                  <c:v>99.7554363733562</c:v>
                </c:pt>
                <c:pt idx="2545">
                  <c:v>99.93190792696964</c:v>
                </c:pt>
                <c:pt idx="2546">
                  <c:v>100.10849762801496</c:v>
                </c:pt>
                <c:pt idx="2547">
                  <c:v>100.28520556114297</c:v>
                </c:pt>
                <c:pt idx="2548">
                  <c:v>100.46203181118877</c:v>
                </c:pt>
                <c:pt idx="2549">
                  <c:v>100.63897646317184</c:v>
                </c:pt>
                <c:pt idx="2550">
                  <c:v>100.81603960229658</c:v>
                </c:pt>
                <c:pt idx="2551">
                  <c:v>100.99322131395239</c:v>
                </c:pt>
                <c:pt idx="2552">
                  <c:v>101.17052168371379</c:v>
                </c:pt>
                <c:pt idx="2553">
                  <c:v>101.34794079734093</c:v>
                </c:pt>
                <c:pt idx="2554">
                  <c:v>101.5254787407797</c:v>
                </c:pt>
                <c:pt idx="2555">
                  <c:v>101.70313560016189</c:v>
                </c:pt>
                <c:pt idx="2556">
                  <c:v>101.88091146180558</c:v>
                </c:pt>
                <c:pt idx="2557">
                  <c:v>102.0588064122154</c:v>
                </c:pt>
                <c:pt idx="2558">
                  <c:v>102.23682053808258</c:v>
                </c:pt>
                <c:pt idx="2559">
                  <c:v>102.41495392628545</c:v>
                </c:pt>
                <c:pt idx="2560">
                  <c:v>102.59320666388957</c:v>
                </c:pt>
                <c:pt idx="2561">
                  <c:v>102.7715788381479</c:v>
                </c:pt>
                <c:pt idx="2562">
                  <c:v>102.95007053650123</c:v>
                </c:pt>
                <c:pt idx="2563">
                  <c:v>103.12868184657833</c:v>
                </c:pt>
                <c:pt idx="2564">
                  <c:v>103.30741285619627</c:v>
                </c:pt>
                <c:pt idx="2565">
                  <c:v>103.48626365336048</c:v>
                </c:pt>
                <c:pt idx="2566">
                  <c:v>103.6652343262653</c:v>
                </c:pt>
                <c:pt idx="2567">
                  <c:v>103.84432496329413</c:v>
                </c:pt>
                <c:pt idx="2568">
                  <c:v>104.02353565301945</c:v>
                </c:pt>
                <c:pt idx="2569">
                  <c:v>104.2028664842035</c:v>
                </c:pt>
                <c:pt idx="2570">
                  <c:v>104.38231754579826</c:v>
                </c:pt>
                <c:pt idx="2571">
                  <c:v>104.5618889269457</c:v>
                </c:pt>
                <c:pt idx="2572">
                  <c:v>104.74158071697823</c:v>
                </c:pt>
                <c:pt idx="2573">
                  <c:v>104.92139300541886</c:v>
                </c:pt>
                <c:pt idx="2574">
                  <c:v>105.10132588198134</c:v>
                </c:pt>
                <c:pt idx="2575">
                  <c:v>105.28137943657067</c:v>
                </c:pt>
                <c:pt idx="2576">
                  <c:v>105.46155375928326</c:v>
                </c:pt>
                <c:pt idx="2577">
                  <c:v>105.64184894040706</c:v>
                </c:pt>
                <c:pt idx="2578">
                  <c:v>105.82226507042208</c:v>
                </c:pt>
                <c:pt idx="2579">
                  <c:v>106.0028022400005</c:v>
                </c:pt>
                <c:pt idx="2580">
                  <c:v>106.18346054000693</c:v>
                </c:pt>
                <c:pt idx="2581">
                  <c:v>106.36424006149879</c:v>
                </c:pt>
                <c:pt idx="2582">
                  <c:v>106.54514089572655</c:v>
                </c:pt>
                <c:pt idx="2583">
                  <c:v>106.72616313413384</c:v>
                </c:pt>
                <c:pt idx="2584">
                  <c:v>106.90730686835802</c:v>
                </c:pt>
                <c:pt idx="2585">
                  <c:v>107.08857219023027</c:v>
                </c:pt>
                <c:pt idx="2586">
                  <c:v>107.26995919177578</c:v>
                </c:pt>
                <c:pt idx="2587">
                  <c:v>107.4514679652143</c:v>
                </c:pt>
                <c:pt idx="2588">
                  <c:v>107.63309860296025</c:v>
                </c:pt>
                <c:pt idx="2589">
                  <c:v>107.81485119762286</c:v>
                </c:pt>
                <c:pt idx="2590">
                  <c:v>107.99672584200678</c:v>
                </c:pt>
                <c:pt idx="2591">
                  <c:v>108.17872262911219</c:v>
                </c:pt>
                <c:pt idx="2592">
                  <c:v>108.36084165213495</c:v>
                </c:pt>
                <c:pt idx="2593">
                  <c:v>108.54308300446715</c:v>
                </c:pt>
                <c:pt idx="2594">
                  <c:v>108.72544677969722</c:v>
                </c:pt>
                <c:pt idx="2595">
                  <c:v>108.90793307161033</c:v>
                </c:pt>
                <c:pt idx="2596">
                  <c:v>109.09054197418847</c:v>
                </c:pt>
                <c:pt idx="2597">
                  <c:v>109.27327358161105</c:v>
                </c:pt>
                <c:pt idx="2598">
                  <c:v>109.45612798825488</c:v>
                </c:pt>
                <c:pt idx="2599">
                  <c:v>109.6391052886947</c:v>
                </c:pt>
                <c:pt idx="2600">
                  <c:v>109.82220557770334</c:v>
                </c:pt>
                <c:pt idx="2601">
                  <c:v>110.00542895025212</c:v>
                </c:pt>
                <c:pt idx="2602">
                  <c:v>110.18877550151093</c:v>
                </c:pt>
                <c:pt idx="2603">
                  <c:v>110.37224532684884</c:v>
                </c:pt>
                <c:pt idx="2604">
                  <c:v>110.55583852183406</c:v>
                </c:pt>
                <c:pt idx="2605">
                  <c:v>110.73955518223453</c:v>
                </c:pt>
                <c:pt idx="2606">
                  <c:v>110.92339540401805</c:v>
                </c:pt>
                <c:pt idx="2607">
                  <c:v>111.1073592833527</c:v>
                </c:pt>
                <c:pt idx="2608">
                  <c:v>111.29144691660689</c:v>
                </c:pt>
                <c:pt idx="2609">
                  <c:v>111.47565840035004</c:v>
                </c:pt>
                <c:pt idx="2610">
                  <c:v>111.65999383135252</c:v>
                </c:pt>
                <c:pt idx="2611">
                  <c:v>111.84445330658622</c:v>
                </c:pt>
                <c:pt idx="2612">
                  <c:v>112.0290369232247</c:v>
                </c:pt>
                <c:pt idx="2613">
                  <c:v>112.2137447786436</c:v>
                </c:pt>
                <c:pt idx="2614">
                  <c:v>112.39857697042079</c:v>
                </c:pt>
                <c:pt idx="2615">
                  <c:v>112.58353359633693</c:v>
                </c:pt>
                <c:pt idx="2616">
                  <c:v>112.76861475437549</c:v>
                </c:pt>
                <c:pt idx="2617">
                  <c:v>112.95382054272329</c:v>
                </c:pt>
                <c:pt idx="2618">
                  <c:v>113.13915105977071</c:v>
                </c:pt>
                <c:pt idx="2619">
                  <c:v>113.32460640411207</c:v>
                </c:pt>
                <c:pt idx="2620">
                  <c:v>113.51018667454575</c:v>
                </c:pt>
                <c:pt idx="2621">
                  <c:v>113.69589197007478</c:v>
                </c:pt>
                <c:pt idx="2622">
                  <c:v>113.88172238990704</c:v>
                </c:pt>
                <c:pt idx="2623">
                  <c:v>114.06767803345542</c:v>
                </c:pt>
                <c:pt idx="2624">
                  <c:v>114.25375900033842</c:v>
                </c:pt>
                <c:pt idx="2625">
                  <c:v>114.43996539038032</c:v>
                </c:pt>
                <c:pt idx="2626">
                  <c:v>114.62629730361141</c:v>
                </c:pt>
                <c:pt idx="2627">
                  <c:v>114.81275484026851</c:v>
                </c:pt>
                <c:pt idx="2628">
                  <c:v>114.99933810079523</c:v>
                </c:pt>
                <c:pt idx="2629">
                  <c:v>115.1860471858421</c:v>
                </c:pt>
                <c:pt idx="2630">
                  <c:v>115.37288219626723</c:v>
                </c:pt>
                <c:pt idx="2631">
                  <c:v>115.55984323313638</c:v>
                </c:pt>
                <c:pt idx="2632">
                  <c:v>115.74693039772343</c:v>
                </c:pt>
                <c:pt idx="2633">
                  <c:v>115.93414379151055</c:v>
                </c:pt>
                <c:pt idx="2634">
                  <c:v>116.12148351618876</c:v>
                </c:pt>
                <c:pt idx="2635">
                  <c:v>116.30894967365799</c:v>
                </c:pt>
                <c:pt idx="2636">
                  <c:v>116.49654236602768</c:v>
                </c:pt>
                <c:pt idx="2637">
                  <c:v>116.68426169561694</c:v>
                </c:pt>
                <c:pt idx="2638">
                  <c:v>116.87210776495498</c:v>
                </c:pt>
                <c:pt idx="2639">
                  <c:v>117.06008067678127</c:v>
                </c:pt>
                <c:pt idx="2640">
                  <c:v>117.24818053404617</c:v>
                </c:pt>
                <c:pt idx="2641">
                  <c:v>117.43640743991095</c:v>
                </c:pt>
                <c:pt idx="2642">
                  <c:v>117.6247614977484</c:v>
                </c:pt>
                <c:pt idx="2643">
                  <c:v>117.81324281114301</c:v>
                </c:pt>
                <c:pt idx="2644">
                  <c:v>118.00185148389141</c:v>
                </c:pt>
                <c:pt idx="2645">
                  <c:v>118.19058762000253</c:v>
                </c:pt>
                <c:pt idx="2646">
                  <c:v>118.37945132369825</c:v>
                </c:pt>
                <c:pt idx="2647">
                  <c:v>118.56844269941337</c:v>
                </c:pt>
                <c:pt idx="2648">
                  <c:v>118.7575618517963</c:v>
                </c:pt>
                <c:pt idx="2649">
                  <c:v>118.94680888570923</c:v>
                </c:pt>
                <c:pt idx="2650">
                  <c:v>119.13618390622854</c:v>
                </c:pt>
                <c:pt idx="2651">
                  <c:v>119.325687018645</c:v>
                </c:pt>
                <c:pt idx="2652">
                  <c:v>119.51531832846437</c:v>
                </c:pt>
                <c:pt idx="2653">
                  <c:v>119.70507794140762</c:v>
                </c:pt>
                <c:pt idx="2654">
                  <c:v>119.89496596341118</c:v>
                </c:pt>
                <c:pt idx="2655">
                  <c:v>120.0849825006275</c:v>
                </c:pt>
                <c:pt idx="2656">
                  <c:v>120.27512765942534</c:v>
                </c:pt>
                <c:pt idx="2657">
                  <c:v>120.46540154638994</c:v>
                </c:pt>
                <c:pt idx="2658">
                  <c:v>120.65580426832373</c:v>
                </c:pt>
                <c:pt idx="2659">
                  <c:v>120.84633593224632</c:v>
                </c:pt>
                <c:pt idx="2660">
                  <c:v>121.03699664539516</c:v>
                </c:pt>
                <c:pt idx="2661">
                  <c:v>121.22778651522573</c:v>
                </c:pt>
                <c:pt idx="2662">
                  <c:v>121.418705649412</c:v>
                </c:pt>
                <c:pt idx="2663">
                  <c:v>121.60975415584663</c:v>
                </c:pt>
                <c:pt idx="2664">
                  <c:v>121.80093214264156</c:v>
                </c:pt>
                <c:pt idx="2665">
                  <c:v>121.99223971812826</c:v>
                </c:pt>
                <c:pt idx="2666">
                  <c:v>122.18367699085802</c:v>
                </c:pt>
                <c:pt idx="2667">
                  <c:v>122.37524406960249</c:v>
                </c:pt>
                <c:pt idx="2668">
                  <c:v>122.56694106335401</c:v>
                </c:pt>
                <c:pt idx="2669">
                  <c:v>122.75876808132577</c:v>
                </c:pt>
                <c:pt idx="2670">
                  <c:v>122.95072523295252</c:v>
                </c:pt>
                <c:pt idx="2671">
                  <c:v>123.14281262789075</c:v>
                </c:pt>
                <c:pt idx="2672">
                  <c:v>123.33503037601898</c:v>
                </c:pt>
                <c:pt idx="2673">
                  <c:v>123.52737858743836</c:v>
                </c:pt>
                <c:pt idx="2674">
                  <c:v>123.71985737247293</c:v>
                </c:pt>
                <c:pt idx="2675">
                  <c:v>123.91246684167001</c:v>
                </c:pt>
                <c:pt idx="2676">
                  <c:v>124.10520710580049</c:v>
                </c:pt>
                <c:pt idx="2677">
                  <c:v>124.29807827585944</c:v>
                </c:pt>
                <c:pt idx="2678">
                  <c:v>124.4910804630662</c:v>
                </c:pt>
                <c:pt idx="2679">
                  <c:v>124.68421377886506</c:v>
                </c:pt>
                <c:pt idx="2680">
                  <c:v>124.87747833492543</c:v>
                </c:pt>
                <c:pt idx="2681">
                  <c:v>125.07087424314238</c:v>
                </c:pt>
                <c:pt idx="2682">
                  <c:v>125.26440161563681</c:v>
                </c:pt>
                <c:pt idx="2683">
                  <c:v>125.45806056475614</c:v>
                </c:pt>
                <c:pt idx="2684">
                  <c:v>125.65185120307439</c:v>
                </c:pt>
                <c:pt idx="2685">
                  <c:v>125.84577364339283</c:v>
                </c:pt>
                <c:pt idx="2686">
                  <c:v>126.03982799874028</c:v>
                </c:pt>
                <c:pt idx="2687">
                  <c:v>126.23401438237347</c:v>
                </c:pt>
                <c:pt idx="2688">
                  <c:v>126.42833290777737</c:v>
                </c:pt>
                <c:pt idx="2689">
                  <c:v>126.62278368866585</c:v>
                </c:pt>
                <c:pt idx="2690">
                  <c:v>126.81736683898171</c:v>
                </c:pt>
                <c:pt idx="2691">
                  <c:v>127.01208247289743</c:v>
                </c:pt>
                <c:pt idx="2692">
                  <c:v>127.20693070481539</c:v>
                </c:pt>
                <c:pt idx="2693">
                  <c:v>127.4019116493683</c:v>
                </c:pt>
                <c:pt idx="2694">
                  <c:v>127.59702542141953</c:v>
                </c:pt>
                <c:pt idx="2695">
                  <c:v>127.79227213606367</c:v>
                </c:pt>
                <c:pt idx="2696">
                  <c:v>127.98765190862692</c:v>
                </c:pt>
                <c:pt idx="2697">
                  <c:v>128.18316485466724</c:v>
                </c:pt>
                <c:pt idx="2698">
                  <c:v>128.37881108997513</c:v>
                </c:pt>
                <c:pt idx="2699">
                  <c:v>128.57459073057387</c:v>
                </c:pt>
                <c:pt idx="2700">
                  <c:v>128.7705038927198</c:v>
                </c:pt>
                <c:pt idx="2701">
                  <c:v>128.96655069290298</c:v>
                </c:pt>
                <c:pt idx="2702">
                  <c:v>129.16273124784752</c:v>
                </c:pt>
                <c:pt idx="2703">
                  <c:v>129.35904567451178</c:v>
                </c:pt>
                <c:pt idx="2704">
                  <c:v>129.55549409008916</c:v>
                </c:pt>
                <c:pt idx="2705">
                  <c:v>129.75207661200832</c:v>
                </c:pt>
                <c:pt idx="2706">
                  <c:v>129.94879335793348</c:v>
                </c:pt>
                <c:pt idx="2707">
                  <c:v>130.1456444457651</c:v>
                </c:pt>
                <c:pt idx="2708">
                  <c:v>130.3426299936402</c:v>
                </c:pt>
                <c:pt idx="2709">
                  <c:v>130.53975011993262</c:v>
                </c:pt>
                <c:pt idx="2710">
                  <c:v>130.7370049432537</c:v>
                </c:pt>
                <c:pt idx="2711">
                  <c:v>130.93439458245265</c:v>
                </c:pt>
                <c:pt idx="2712">
                  <c:v>131.13191915661676</c:v>
                </c:pt>
                <c:pt idx="2713">
                  <c:v>131.32957878507216</c:v>
                </c:pt>
                <c:pt idx="2714">
                  <c:v>131.52737358738403</c:v>
                </c:pt>
                <c:pt idx="2715">
                  <c:v>131.72530368335705</c:v>
                </c:pt>
                <c:pt idx="2716">
                  <c:v>131.92336919303594</c:v>
                </c:pt>
                <c:pt idx="2717">
                  <c:v>132.12157023670582</c:v>
                </c:pt>
                <c:pt idx="2718">
                  <c:v>132.3199069348927</c:v>
                </c:pt>
                <c:pt idx="2719">
                  <c:v>132.51837940836376</c:v>
                </c:pt>
                <c:pt idx="2720">
                  <c:v>132.71698777812804</c:v>
                </c:pt>
                <c:pt idx="2721">
                  <c:v>132.91573216543665</c:v>
                </c:pt>
                <c:pt idx="2722">
                  <c:v>133.1146126917834</c:v>
                </c:pt>
                <c:pt idx="2723">
                  <c:v>133.31362947890514</c:v>
                </c:pt>
                <c:pt idx="2724">
                  <c:v>133.51278264878223</c:v>
                </c:pt>
                <c:pt idx="2725">
                  <c:v>133.71207232363892</c:v>
                </c:pt>
                <c:pt idx="2726">
                  <c:v>133.91149862594398</c:v>
                </c:pt>
                <c:pt idx="2727">
                  <c:v>134.11106167841086</c:v>
                </c:pt>
                <c:pt idx="2728">
                  <c:v>134.31076160399851</c:v>
                </c:pt>
                <c:pt idx="2729">
                  <c:v>134.51059852591155</c:v>
                </c:pt>
                <c:pt idx="2730">
                  <c:v>134.71057256760082</c:v>
                </c:pt>
                <c:pt idx="2731">
                  <c:v>134.91068385276378</c:v>
                </c:pt>
                <c:pt idx="2732">
                  <c:v>135.11093250534515</c:v>
                </c:pt>
                <c:pt idx="2733">
                  <c:v>135.31131864953707</c:v>
                </c:pt>
                <c:pt idx="2734">
                  <c:v>135.51184240977986</c:v>
                </c:pt>
                <c:pt idx="2735">
                  <c:v>135.7125039107623</c:v>
                </c:pt>
                <c:pt idx="2736">
                  <c:v>135.91330327742222</c:v>
                </c:pt>
                <c:pt idx="2737">
                  <c:v>136.11424063494673</c:v>
                </c:pt>
                <c:pt idx="2738">
                  <c:v>136.31531610877298</c:v>
                </c:pt>
                <c:pt idx="2739">
                  <c:v>136.51652982458847</c:v>
                </c:pt>
                <c:pt idx="2740">
                  <c:v>136.7178819083315</c:v>
                </c:pt>
                <c:pt idx="2741">
                  <c:v>136.91937248619172</c:v>
                </c:pt>
                <c:pt idx="2742">
                  <c:v>137.12100168461063</c:v>
                </c:pt>
                <c:pt idx="2743">
                  <c:v>137.32276963028187</c:v>
                </c:pt>
                <c:pt idx="2744">
                  <c:v>137.5246764501519</c:v>
                </c:pt>
                <c:pt idx="2745">
                  <c:v>137.72672227142044</c:v>
                </c:pt>
                <c:pt idx="2746">
                  <c:v>137.92890722154075</c:v>
                </c:pt>
                <c:pt idx="2747">
                  <c:v>138.13123142822045</c:v>
                </c:pt>
                <c:pt idx="2748">
                  <c:v>138.3336950194217</c:v>
                </c:pt>
                <c:pt idx="2749">
                  <c:v>138.5362981233619</c:v>
                </c:pt>
                <c:pt idx="2750">
                  <c:v>138.7390408685139</c:v>
                </c:pt>
                <c:pt idx="2751">
                  <c:v>138.94192338360693</c:v>
                </c:pt>
                <c:pt idx="2752">
                  <c:v>139.14494579762658</c:v>
                </c:pt>
                <c:pt idx="2753">
                  <c:v>139.34810823981564</c:v>
                </c:pt>
                <c:pt idx="2754">
                  <c:v>139.5514108396746</c:v>
                </c:pt>
                <c:pt idx="2755">
                  <c:v>139.75485372696173</c:v>
                </c:pt>
                <c:pt idx="2756">
                  <c:v>139.95843703169416</c:v>
                </c:pt>
                <c:pt idx="2757">
                  <c:v>140.16216088414802</c:v>
                </c:pt>
                <c:pt idx="2758">
                  <c:v>140.36602541485888</c:v>
                </c:pt>
                <c:pt idx="2759">
                  <c:v>140.5700307546225</c:v>
                </c:pt>
                <c:pt idx="2760">
                  <c:v>140.7741770344952</c:v>
                </c:pt>
                <c:pt idx="2761">
                  <c:v>140.97846438579438</c:v>
                </c:pt>
                <c:pt idx="2762">
                  <c:v>141.1828929400989</c:v>
                </c:pt>
                <c:pt idx="2763">
                  <c:v>141.38746282924987</c:v>
                </c:pt>
                <c:pt idx="2764">
                  <c:v>141.5921741853508</c:v>
                </c:pt>
                <c:pt idx="2765">
                  <c:v>141.7970271407685</c:v>
                </c:pt>
                <c:pt idx="2766">
                  <c:v>142.00202182813328</c:v>
                </c:pt>
                <c:pt idx="2767">
                  <c:v>142.20715838033962</c:v>
                </c:pt>
                <c:pt idx="2768">
                  <c:v>142.4124369305465</c:v>
                </c:pt>
                <c:pt idx="2769">
                  <c:v>142.61785761217828</c:v>
                </c:pt>
                <c:pt idx="2770">
                  <c:v>142.82342055892474</c:v>
                </c:pt>
                <c:pt idx="2771">
                  <c:v>143.02912590474205</c:v>
                </c:pt>
                <c:pt idx="2772">
                  <c:v>143.23497378385298</c:v>
                </c:pt>
                <c:pt idx="2773">
                  <c:v>143.44096433074765</c:v>
                </c:pt>
                <c:pt idx="2774">
                  <c:v>143.64709768018372</c:v>
                </c:pt>
                <c:pt idx="2775">
                  <c:v>143.8533739671874</c:v>
                </c:pt>
                <c:pt idx="2776">
                  <c:v>144.05979332705346</c:v>
                </c:pt>
                <c:pt idx="2777">
                  <c:v>144.26635589534615</c:v>
                </c:pt>
                <c:pt idx="2778">
                  <c:v>144.4730618078996</c:v>
                </c:pt>
                <c:pt idx="2779">
                  <c:v>144.67991120081834</c:v>
                </c:pt>
                <c:pt idx="2780">
                  <c:v>144.8869042104777</c:v>
                </c:pt>
                <c:pt idx="2781">
                  <c:v>145.0940409735246</c:v>
                </c:pt>
                <c:pt idx="2782">
                  <c:v>145.30132162687806</c:v>
                </c:pt>
                <c:pt idx="2783">
                  <c:v>145.50874630772944</c:v>
                </c:pt>
                <c:pt idx="2784">
                  <c:v>145.71631515354332</c:v>
                </c:pt>
                <c:pt idx="2785">
                  <c:v>145.92402830205796</c:v>
                </c:pt>
                <c:pt idx="2786">
                  <c:v>146.1318858912856</c:v>
                </c:pt>
                <c:pt idx="2787">
                  <c:v>146.3398880595134</c:v>
                </c:pt>
                <c:pt idx="2788">
                  <c:v>146.5480349453038</c:v>
                </c:pt>
                <c:pt idx="2789">
                  <c:v>146.7563266874949</c:v>
                </c:pt>
                <c:pt idx="2790">
                  <c:v>146.96476342520126</c:v>
                </c:pt>
                <c:pt idx="2791">
                  <c:v>147.17334529781442</c:v>
                </c:pt>
                <c:pt idx="2792">
                  <c:v>147.3820724450034</c:v>
                </c:pt>
                <c:pt idx="2793">
                  <c:v>147.59094500671512</c:v>
                </c:pt>
                <c:pt idx="2794">
                  <c:v>147.7999631231753</c:v>
                </c:pt>
                <c:pt idx="2795">
                  <c:v>148.00912693488863</c:v>
                </c:pt>
                <c:pt idx="2796">
                  <c:v>148.21843658263964</c:v>
                </c:pt>
                <c:pt idx="2797">
                  <c:v>148.42789220749316</c:v>
                </c:pt>
                <c:pt idx="2798">
                  <c:v>148.63749395079475</c:v>
                </c:pt>
                <c:pt idx="2799">
                  <c:v>148.84724195417152</c:v>
                </c:pt>
                <c:pt idx="2800">
                  <c:v>149.0571363595326</c:v>
                </c:pt>
                <c:pt idx="2801">
                  <c:v>149.26717730906944</c:v>
                </c:pt>
                <c:pt idx="2802">
                  <c:v>149.47736494525688</c:v>
                </c:pt>
                <c:pt idx="2803">
                  <c:v>149.68769941085338</c:v>
                </c:pt>
                <c:pt idx="2804">
                  <c:v>149.89818084890175</c:v>
                </c:pt>
                <c:pt idx="2805">
                  <c:v>150.10880940272946</c:v>
                </c:pt>
                <c:pt idx="2806">
                  <c:v>150.31958521594967</c:v>
                </c:pt>
                <c:pt idx="2807">
                  <c:v>150.5305084324614</c:v>
                </c:pt>
                <c:pt idx="2808">
                  <c:v>150.74157919645037</c:v>
                </c:pt>
                <c:pt idx="2809">
                  <c:v>150.95279765238948</c:v>
                </c:pt>
                <c:pt idx="2810">
                  <c:v>151.16416394503946</c:v>
                </c:pt>
                <c:pt idx="2811">
                  <c:v>151.3756782194493</c:v>
                </c:pt>
                <c:pt idx="2812">
                  <c:v>151.5873406209571</c:v>
                </c:pt>
                <c:pt idx="2813">
                  <c:v>151.79915129519034</c:v>
                </c:pt>
                <c:pt idx="2814">
                  <c:v>152.01111038806684</c:v>
                </c:pt>
                <c:pt idx="2815">
                  <c:v>152.2232180457951</c:v>
                </c:pt>
                <c:pt idx="2816">
                  <c:v>152.43547441487507</c:v>
                </c:pt>
                <c:pt idx="2817">
                  <c:v>152.64787964209842</c:v>
                </c:pt>
                <c:pt idx="2818">
                  <c:v>152.86043387454959</c:v>
                </c:pt>
                <c:pt idx="2819">
                  <c:v>153.07313725960617</c:v>
                </c:pt>
                <c:pt idx="2820">
                  <c:v>153.28598994493942</c:v>
                </c:pt>
                <c:pt idx="2821">
                  <c:v>153.49899207851504</c:v>
                </c:pt>
                <c:pt idx="2822">
                  <c:v>153.71214380859374</c:v>
                </c:pt>
                <c:pt idx="2823">
                  <c:v>153.92544528373185</c:v>
                </c:pt>
                <c:pt idx="2824">
                  <c:v>154.1388966527818</c:v>
                </c:pt>
                <c:pt idx="2825">
                  <c:v>154.35249806489304</c:v>
                </c:pt>
                <c:pt idx="2826">
                  <c:v>154.56624966951227</c:v>
                </c:pt>
                <c:pt idx="2827">
                  <c:v>154.78015161638444</c:v>
                </c:pt>
                <c:pt idx="2828">
                  <c:v>154.99420405555318</c:v>
                </c:pt>
                <c:pt idx="2829">
                  <c:v>155.2084071373613</c:v>
                </c:pt>
                <c:pt idx="2830">
                  <c:v>155.4227610124517</c:v>
                </c:pt>
                <c:pt idx="2831">
                  <c:v>155.63726583176788</c:v>
                </c:pt>
                <c:pt idx="2832">
                  <c:v>155.8519217465544</c:v>
                </c:pt>
                <c:pt idx="2833">
                  <c:v>156.06672890835782</c:v>
                </c:pt>
                <c:pt idx="2834">
                  <c:v>156.28168746902713</c:v>
                </c:pt>
                <c:pt idx="2835">
                  <c:v>156.49679758071437</c:v>
                </c:pt>
                <c:pt idx="2836">
                  <c:v>156.7120593958754</c:v>
                </c:pt>
                <c:pt idx="2837">
                  <c:v>156.92747306727054</c:v>
                </c:pt>
                <c:pt idx="2838">
                  <c:v>157.14303874796497</c:v>
                </c:pt>
                <c:pt idx="2839">
                  <c:v>157.3587565913297</c:v>
                </c:pt>
                <c:pt idx="2840">
                  <c:v>157.57462675104202</c:v>
                </c:pt>
                <c:pt idx="2841">
                  <c:v>157.79064938108627</c:v>
                </c:pt>
                <c:pt idx="2842">
                  <c:v>158.00682463575424</c:v>
                </c:pt>
                <c:pt idx="2843">
                  <c:v>158.22315266964625</c:v>
                </c:pt>
                <c:pt idx="2844">
                  <c:v>158.43963363767134</c:v>
                </c:pt>
                <c:pt idx="2845">
                  <c:v>158.65626769504826</c:v>
                </c:pt>
                <c:pt idx="2846">
                  <c:v>158.87305499730604</c:v>
                </c:pt>
                <c:pt idx="2847">
                  <c:v>159.08999570028462</c:v>
                </c:pt>
                <c:pt idx="2848">
                  <c:v>159.30708996013541</c:v>
                </c:pt>
                <c:pt idx="2849">
                  <c:v>159.52433793332227</c:v>
                </c:pt>
                <c:pt idx="2850">
                  <c:v>159.74173977662176</c:v>
                </c:pt>
                <c:pt idx="2851">
                  <c:v>159.95929564712415</c:v>
                </c:pt>
                <c:pt idx="2852">
                  <c:v>160.177005702234</c:v>
                </c:pt>
                <c:pt idx="2853">
                  <c:v>160.39487009967078</c:v>
                </c:pt>
                <c:pt idx="2854">
                  <c:v>160.61288899746947</c:v>
                </c:pt>
                <c:pt idx="2855">
                  <c:v>160.83106255398144</c:v>
                </c:pt>
                <c:pt idx="2856">
                  <c:v>161.0493909278751</c:v>
                </c:pt>
                <c:pt idx="2857">
                  <c:v>161.2678742781363</c:v>
                </c:pt>
                <c:pt idx="2858">
                  <c:v>161.48651276406946</c:v>
                </c:pt>
                <c:pt idx="2859">
                  <c:v>161.70530654529796</c:v>
                </c:pt>
                <c:pt idx="2860">
                  <c:v>161.92425578176477</c:v>
                </c:pt>
                <c:pt idx="2861">
                  <c:v>162.14336063373347</c:v>
                </c:pt>
                <c:pt idx="2862">
                  <c:v>162.36262126178855</c:v>
                </c:pt>
                <c:pt idx="2863">
                  <c:v>162.58203782683645</c:v>
                </c:pt>
                <c:pt idx="2864">
                  <c:v>162.80161049010607</c:v>
                </c:pt>
                <c:pt idx="2865">
                  <c:v>163.02133941314955</c:v>
                </c:pt>
                <c:pt idx="2866">
                  <c:v>163.2412247578428</c:v>
                </c:pt>
                <c:pt idx="2867">
                  <c:v>163.46126668638647</c:v>
                </c:pt>
                <c:pt idx="2868">
                  <c:v>163.68146536130652</c:v>
                </c:pt>
                <c:pt idx="2869">
                  <c:v>163.90182094545483</c:v>
                </c:pt>
                <c:pt idx="2870">
                  <c:v>164.12233360201014</c:v>
                </c:pt>
                <c:pt idx="2871">
                  <c:v>164.34300349447864</c:v>
                </c:pt>
                <c:pt idx="2872">
                  <c:v>164.56383078669467</c:v>
                </c:pt>
                <c:pt idx="2873">
                  <c:v>164.78481564282134</c:v>
                </c:pt>
                <c:pt idx="2874">
                  <c:v>165.0059582273516</c:v>
                </c:pt>
                <c:pt idx="2875">
                  <c:v>165.22725870510854</c:v>
                </c:pt>
                <c:pt idx="2876">
                  <c:v>165.4487172412464</c:v>
                </c:pt>
                <c:pt idx="2877">
                  <c:v>165.67033400125126</c:v>
                </c:pt>
                <c:pt idx="2878">
                  <c:v>165.89210915094168</c:v>
                </c:pt>
                <c:pt idx="2879">
                  <c:v>166.11404285646938</c:v>
                </c:pt>
                <c:pt idx="2880">
                  <c:v>166.33613528432028</c:v>
                </c:pt>
                <c:pt idx="2881">
                  <c:v>166.5583866013148</c:v>
                </c:pt>
                <c:pt idx="2882">
                  <c:v>166.78079697460896</c:v>
                </c:pt>
                <c:pt idx="2883">
                  <c:v>167.00336657169507</c:v>
                </c:pt>
                <c:pt idx="2884">
                  <c:v>167.22609556040217</c:v>
                </c:pt>
                <c:pt idx="2885">
                  <c:v>167.4489841088972</c:v>
                </c:pt>
                <c:pt idx="2886">
                  <c:v>167.67203238568553</c:v>
                </c:pt>
                <c:pt idx="2887">
                  <c:v>167.89524055961172</c:v>
                </c:pt>
                <c:pt idx="2888">
                  <c:v>168.1186087998602</c:v>
                </c:pt>
                <c:pt idx="2889">
                  <c:v>168.34213727595622</c:v>
                </c:pt>
                <c:pt idx="2890">
                  <c:v>168.56582615776654</c:v>
                </c:pt>
                <c:pt idx="2891">
                  <c:v>168.78967561550002</c:v>
                </c:pt>
                <c:pt idx="2892">
                  <c:v>169.01368581970874</c:v>
                </c:pt>
                <c:pt idx="2893">
                  <c:v>169.2378569412883</c:v>
                </c:pt>
                <c:pt idx="2894">
                  <c:v>169.46218915147904</c:v>
                </c:pt>
                <c:pt idx="2895">
                  <c:v>169.68668262186657</c:v>
                </c:pt>
                <c:pt idx="2896">
                  <c:v>169.9113375243826</c:v>
                </c:pt>
                <c:pt idx="2897">
                  <c:v>170.13615403130558</c:v>
                </c:pt>
                <c:pt idx="2898">
                  <c:v>170.3611323152618</c:v>
                </c:pt>
                <c:pt idx="2899">
                  <c:v>170.5862725492258</c:v>
                </c:pt>
                <c:pt idx="2900">
                  <c:v>170.81157490652149</c:v>
                </c:pt>
                <c:pt idx="2901">
                  <c:v>171.03703956082265</c:v>
                </c:pt>
                <c:pt idx="2902">
                  <c:v>171.26266668615398</c:v>
                </c:pt>
                <c:pt idx="2903">
                  <c:v>171.4884564568916</c:v>
                </c:pt>
                <c:pt idx="2904">
                  <c:v>171.71440904776415</c:v>
                </c:pt>
                <c:pt idx="2905">
                  <c:v>171.9405246338534</c:v>
                </c:pt>
                <c:pt idx="2906">
                  <c:v>172.16680339059505</c:v>
                </c:pt>
                <c:pt idx="2907">
                  <c:v>172.39324549377963</c:v>
                </c:pt>
                <c:pt idx="2908">
                  <c:v>172.61985111955323</c:v>
                </c:pt>
                <c:pt idx="2909">
                  <c:v>172.8466204444184</c:v>
                </c:pt>
                <c:pt idx="2910">
                  <c:v>173.0735536452347</c:v>
                </c:pt>
                <c:pt idx="2911">
                  <c:v>173.30065089921996</c:v>
                </c:pt>
                <c:pt idx="2912">
                  <c:v>173.52791238395056</c:v>
                </c:pt>
                <c:pt idx="2913">
                  <c:v>173.75533827736277</c:v>
                </c:pt>
                <c:pt idx="2914">
                  <c:v>173.98292875775326</c:v>
                </c:pt>
                <c:pt idx="2915">
                  <c:v>174.21068400377985</c:v>
                </c:pt>
                <c:pt idx="2916">
                  <c:v>174.43860419446264</c:v>
                </c:pt>
                <c:pt idx="2917">
                  <c:v>174.6666895091847</c:v>
                </c:pt>
                <c:pt idx="2918">
                  <c:v>174.89494012769265</c:v>
                </c:pt>
                <c:pt idx="2919">
                  <c:v>175.12335623009798</c:v>
                </c:pt>
                <c:pt idx="2920">
                  <c:v>175.3519379968775</c:v>
                </c:pt>
                <c:pt idx="2921">
                  <c:v>175.58068560887438</c:v>
                </c:pt>
                <c:pt idx="2922">
                  <c:v>175.8095992472988</c:v>
                </c:pt>
                <c:pt idx="2923">
                  <c:v>176.03867909372906</c:v>
                </c:pt>
                <c:pt idx="2924">
                  <c:v>176.26792533011212</c:v>
                </c:pt>
                <c:pt idx="2925">
                  <c:v>176.4973381387648</c:v>
                </c:pt>
                <c:pt idx="2926">
                  <c:v>176.72691770237432</c:v>
                </c:pt>
                <c:pt idx="2927">
                  <c:v>176.9566642039994</c:v>
                </c:pt>
                <c:pt idx="2928">
                  <c:v>177.1865778270708</c:v>
                </c:pt>
                <c:pt idx="2929">
                  <c:v>177.41665875539266</c:v>
                </c:pt>
                <c:pt idx="2930">
                  <c:v>177.64690717314284</c:v>
                </c:pt>
                <c:pt idx="2931">
                  <c:v>177.87732326487418</c:v>
                </c:pt>
                <c:pt idx="2932">
                  <c:v>178.10790721551518</c:v>
                </c:pt>
                <c:pt idx="2933">
                  <c:v>178.33865921037102</c:v>
                </c:pt>
                <c:pt idx="2934">
                  <c:v>178.56957943512415</c:v>
                </c:pt>
                <c:pt idx="2935">
                  <c:v>178.8006680758355</c:v>
                </c:pt>
                <c:pt idx="2936">
                  <c:v>179.0319253189452</c:v>
                </c:pt>
                <c:pt idx="2937">
                  <c:v>179.26335135127346</c:v>
                </c:pt>
                <c:pt idx="2938">
                  <c:v>179.49494636002146</c:v>
                </c:pt>
                <c:pt idx="2939">
                  <c:v>179.7267105327723</c:v>
                </c:pt>
                <c:pt idx="2940">
                  <c:v>179.9586440574919</c:v>
                </c:pt>
                <c:pt idx="2941">
                  <c:v>180.1907471225297</c:v>
                </c:pt>
                <c:pt idx="2942">
                  <c:v>180.42301991661986</c:v>
                </c:pt>
                <c:pt idx="2943">
                  <c:v>180.6554626288819</c:v>
                </c:pt>
                <c:pt idx="2944">
                  <c:v>180.8880754488218</c:v>
                </c:pt>
                <c:pt idx="2945">
                  <c:v>181.12085856633286</c:v>
                </c:pt>
                <c:pt idx="2946">
                  <c:v>181.3538121716964</c:v>
                </c:pt>
                <c:pt idx="2947">
                  <c:v>181.58693645558307</c:v>
                </c:pt>
                <c:pt idx="2948">
                  <c:v>181.82023160905334</c:v>
                </c:pt>
                <c:pt idx="2949">
                  <c:v>182.0536978235588</c:v>
                </c:pt>
                <c:pt idx="2950">
                  <c:v>182.2873352909428</c:v>
                </c:pt>
                <c:pt idx="2951">
                  <c:v>182.5211442034416</c:v>
                </c:pt>
                <c:pt idx="2952">
                  <c:v>182.755124753685</c:v>
                </c:pt>
                <c:pt idx="2953">
                  <c:v>182.98927713469766</c:v>
                </c:pt>
                <c:pt idx="2954">
                  <c:v>183.22360153989976</c:v>
                </c:pt>
                <c:pt idx="2955">
                  <c:v>183.4580981631079</c:v>
                </c:pt>
                <c:pt idx="2956">
                  <c:v>183.6927671985363</c:v>
                </c:pt>
                <c:pt idx="2957">
                  <c:v>183.92760884079755</c:v>
                </c:pt>
                <c:pt idx="2958">
                  <c:v>184.16262328490365</c:v>
                </c:pt>
                <c:pt idx="2959">
                  <c:v>184.39781072626675</c:v>
                </c:pt>
                <c:pt idx="2960">
                  <c:v>184.63317136070052</c:v>
                </c:pt>
                <c:pt idx="2961">
                  <c:v>184.86870538442056</c:v>
                </c:pt>
                <c:pt idx="2962">
                  <c:v>185.10441299404593</c:v>
                </c:pt>
                <c:pt idx="2963">
                  <c:v>185.3402943865997</c:v>
                </c:pt>
                <c:pt idx="2964">
                  <c:v>185.57634975951018</c:v>
                </c:pt>
                <c:pt idx="2965">
                  <c:v>185.81257931061154</c:v>
                </c:pt>
                <c:pt idx="2966">
                  <c:v>186.04898323814524</c:v>
                </c:pt>
                <c:pt idx="2967">
                  <c:v>186.2855617407606</c:v>
                </c:pt>
                <c:pt idx="2968">
                  <c:v>186.5223150175161</c:v>
                </c:pt>
                <c:pt idx="2969">
                  <c:v>186.7592432678801</c:v>
                </c:pt>
                <c:pt idx="2970">
                  <c:v>186.99634669173207</c:v>
                </c:pt>
                <c:pt idx="2971">
                  <c:v>187.23362548936328</c:v>
                </c:pt>
                <c:pt idx="2972">
                  <c:v>187.47107986147816</c:v>
                </c:pt>
                <c:pt idx="2973">
                  <c:v>187.7087100091949</c:v>
                </c:pt>
                <c:pt idx="2974">
                  <c:v>187.94651613404682</c:v>
                </c:pt>
                <c:pt idx="2975">
                  <c:v>188.1844984379831</c:v>
                </c:pt>
                <c:pt idx="2976">
                  <c:v>188.42265712336996</c:v>
                </c:pt>
                <c:pt idx="2977">
                  <c:v>188.6609923929916</c:v>
                </c:pt>
                <c:pt idx="2978">
                  <c:v>188.8995044500511</c:v>
                </c:pt>
                <c:pt idx="2979">
                  <c:v>189.13819349817157</c:v>
                </c:pt>
                <c:pt idx="2980">
                  <c:v>189.37705974139723</c:v>
                </c:pt>
                <c:pt idx="2981">
                  <c:v>189.6161033841943</c:v>
                </c:pt>
                <c:pt idx="2982">
                  <c:v>189.85532463145208</c:v>
                </c:pt>
                <c:pt idx="2983">
                  <c:v>190.094723688484</c:v>
                </c:pt>
                <c:pt idx="2984">
                  <c:v>190.33430076102852</c:v>
                </c:pt>
                <c:pt idx="2985">
                  <c:v>190.5740560552504</c:v>
                </c:pt>
                <c:pt idx="2986">
                  <c:v>190.81398977774143</c:v>
                </c:pt>
                <c:pt idx="2987">
                  <c:v>191.05410213552184</c:v>
                </c:pt>
                <c:pt idx="2988">
                  <c:v>191.29439333604108</c:v>
                </c:pt>
                <c:pt idx="2989">
                  <c:v>191.534863587179</c:v>
                </c:pt>
                <c:pt idx="2990">
                  <c:v>191.77551309724674</c:v>
                </c:pt>
                <c:pt idx="2991">
                  <c:v>192.01634207498793</c:v>
                </c:pt>
                <c:pt idx="2992">
                  <c:v>192.2573507295798</c:v>
                </c:pt>
                <c:pt idx="2993">
                  <c:v>192.4985392706341</c:v>
                </c:pt>
                <c:pt idx="2994">
                  <c:v>192.73990790819826</c:v>
                </c:pt>
                <c:pt idx="2995">
                  <c:v>192.98145685275645</c:v>
                </c:pt>
                <c:pt idx="2996">
                  <c:v>193.22318631523058</c:v>
                </c:pt>
                <c:pt idx="2997">
                  <c:v>193.46509650698138</c:v>
                </c:pt>
                <c:pt idx="2998">
                  <c:v>193.7071876398097</c:v>
                </c:pt>
                <c:pt idx="2999">
                  <c:v>193.94945992595729</c:v>
                </c:pt>
                <c:pt idx="3000">
                  <c:v>194.1919135781081</c:v>
                </c:pt>
                <c:pt idx="3001">
                  <c:v>194.4345488093894</c:v>
                </c:pt>
                <c:pt idx="3002">
                  <c:v>194.67736583337256</c:v>
                </c:pt>
                <c:pt idx="3003">
                  <c:v>194.92036486407454</c:v>
                </c:pt>
                <c:pt idx="3004">
                  <c:v>195.1635461159587</c:v>
                </c:pt>
                <c:pt idx="3005">
                  <c:v>195.40690980393614</c:v>
                </c:pt>
                <c:pt idx="3006">
                  <c:v>195.65045614336668</c:v>
                </c:pt>
                <c:pt idx="3007">
                  <c:v>195.89418535005998</c:v>
                </c:pt>
                <c:pt idx="3008">
                  <c:v>196.13809764027675</c:v>
                </c:pt>
                <c:pt idx="3009">
                  <c:v>196.38219323072968</c:v>
                </c:pt>
                <c:pt idx="3010">
                  <c:v>196.62647233858468</c:v>
                </c:pt>
                <c:pt idx="3011">
                  <c:v>196.87093518146213</c:v>
                </c:pt>
                <c:pt idx="3012">
                  <c:v>197.11558197743784</c:v>
                </c:pt>
                <c:pt idx="3013">
                  <c:v>197.3604129450443</c:v>
                </c:pt>
                <c:pt idx="3014">
                  <c:v>197.6054283032717</c:v>
                </c:pt>
                <c:pt idx="3015">
                  <c:v>197.8506282715692</c:v>
                </c:pt>
                <c:pt idx="3016">
                  <c:v>198.09601306984592</c:v>
                </c:pt>
                <c:pt idx="3017">
                  <c:v>198.3415829184723</c:v>
                </c:pt>
                <c:pt idx="3018">
                  <c:v>198.5873380382812</c:v>
                </c:pt>
                <c:pt idx="3019">
                  <c:v>198.8332786505689</c:v>
                </c:pt>
                <c:pt idx="3020">
                  <c:v>199.0794049770964</c:v>
                </c:pt>
                <c:pt idx="3021">
                  <c:v>199.32571724009068</c:v>
                </c:pt>
                <c:pt idx="3022">
                  <c:v>199.57221566224555</c:v>
                </c:pt>
                <c:pt idx="3023">
                  <c:v>199.81890046672325</c:v>
                </c:pt>
                <c:pt idx="3024">
                  <c:v>200.06577187715533</c:v>
                </c:pt>
                <c:pt idx="3025">
                  <c:v>200.31283011764393</c:v>
                </c:pt>
                <c:pt idx="3026">
                  <c:v>200.56007541276304</c:v>
                </c:pt>
                <c:pt idx="3027">
                  <c:v>200.8075079875595</c:v>
                </c:pt>
                <c:pt idx="3028">
                  <c:v>201.05512806755425</c:v>
                </c:pt>
                <c:pt idx="3029">
                  <c:v>201.3029358787438</c:v>
                </c:pt>
                <c:pt idx="3030">
                  <c:v>201.55093164760112</c:v>
                </c:pt>
                <c:pt idx="3031">
                  <c:v>201.79911560107698</c:v>
                </c:pt>
                <c:pt idx="3032">
                  <c:v>202.04748796660118</c:v>
                </c:pt>
                <c:pt idx="3033">
                  <c:v>202.29604897208355</c:v>
                </c:pt>
                <c:pt idx="3034">
                  <c:v>202.54479884591564</c:v>
                </c:pt>
                <c:pt idx="3035">
                  <c:v>202.79373781697134</c:v>
                </c:pt>
                <c:pt idx="3036">
                  <c:v>203.04286611460864</c:v>
                </c:pt>
                <c:pt idx="3037">
                  <c:v>203.29218396867063</c:v>
                </c:pt>
                <c:pt idx="3038">
                  <c:v>203.54169160948675</c:v>
                </c:pt>
                <c:pt idx="3039">
                  <c:v>203.7913892678739</c:v>
                </c:pt>
                <c:pt idx="3040">
                  <c:v>204.04127717513808</c:v>
                </c:pt>
                <c:pt idx="3041">
                  <c:v>204.2913555630751</c:v>
                </c:pt>
                <c:pt idx="3042">
                  <c:v>204.54162466397233</c:v>
                </c:pt>
                <c:pt idx="3043">
                  <c:v>204.7920847106097</c:v>
                </c:pt>
                <c:pt idx="3044">
                  <c:v>205.04273593626104</c:v>
                </c:pt>
                <c:pt idx="3045">
                  <c:v>205.29357857469537</c:v>
                </c:pt>
                <c:pt idx="3046">
                  <c:v>205.54461286017784</c:v>
                </c:pt>
                <c:pt idx="3047">
                  <c:v>205.7958390274716</c:v>
                </c:pt>
                <c:pt idx="3048">
                  <c:v>206.04725731183873</c:v>
                </c:pt>
                <c:pt idx="3049">
                  <c:v>206.2988679490415</c:v>
                </c:pt>
                <c:pt idx="3050">
                  <c:v>206.5506711753438</c:v>
                </c:pt>
                <c:pt idx="3051">
                  <c:v>206.80266722751225</c:v>
                </c:pt>
                <c:pt idx="3052">
                  <c:v>207.05485634281774</c:v>
                </c:pt>
                <c:pt idx="3053">
                  <c:v>207.3072387590365</c:v>
                </c:pt>
                <c:pt idx="3054">
                  <c:v>207.55981471445156</c:v>
                </c:pt>
                <c:pt idx="3055">
                  <c:v>207.81258444785408</c:v>
                </c:pt>
                <c:pt idx="3056">
                  <c:v>208.0655481985446</c:v>
                </c:pt>
                <c:pt idx="3057">
                  <c:v>208.3187062063342</c:v>
                </c:pt>
                <c:pt idx="3058">
                  <c:v>208.57205871154625</c:v>
                </c:pt>
                <c:pt idx="3059">
                  <c:v>208.8256059550172</c:v>
                </c:pt>
                <c:pt idx="3060">
                  <c:v>209.07934817809843</c:v>
                </c:pt>
                <c:pt idx="3061">
                  <c:v>209.33328562265723</c:v>
                </c:pt>
                <c:pt idx="3062">
                  <c:v>209.58741853107836</c:v>
                </c:pt>
                <c:pt idx="3063">
                  <c:v>209.8417471462653</c:v>
                </c:pt>
                <c:pt idx="3064">
                  <c:v>210.09627171164152</c:v>
                </c:pt>
                <c:pt idx="3065">
                  <c:v>210.35099247115195</c:v>
                </c:pt>
                <c:pt idx="3066">
                  <c:v>210.60590966926443</c:v>
                </c:pt>
                <c:pt idx="3067">
                  <c:v>210.8610235509709</c:v>
                </c:pt>
                <c:pt idx="3068">
                  <c:v>211.1163343617889</c:v>
                </c:pt>
                <c:pt idx="3069">
                  <c:v>211.37184234776285</c:v>
                </c:pt>
                <c:pt idx="3070">
                  <c:v>211.6275477554654</c:v>
                </c:pt>
                <c:pt idx="3071">
                  <c:v>211.8834508319991</c:v>
                </c:pt>
                <c:pt idx="3072">
                  <c:v>212.13955182499737</c:v>
                </c:pt>
                <c:pt idx="3073">
                  <c:v>212.3958509826262</c:v>
                </c:pt>
                <c:pt idx="3074">
                  <c:v>212.65234855358548</c:v>
                </c:pt>
                <c:pt idx="3075">
                  <c:v>212.90904478711045</c:v>
                </c:pt>
                <c:pt idx="3076">
                  <c:v>213.1659399329729</c:v>
                </c:pt>
                <c:pt idx="3077">
                  <c:v>213.42303424148275</c:v>
                </c:pt>
                <c:pt idx="3078">
                  <c:v>213.6803279634896</c:v>
                </c:pt>
                <c:pt idx="3079">
                  <c:v>213.93782135038387</c:v>
                </c:pt>
                <c:pt idx="3080">
                  <c:v>214.1955146540985</c:v>
                </c:pt>
                <c:pt idx="3081">
                  <c:v>214.4534081271102</c:v>
                </c:pt>
                <c:pt idx="3082">
                  <c:v>214.71150202244087</c:v>
                </c:pt>
                <c:pt idx="3083">
                  <c:v>214.96979659365928</c:v>
                </c:pt>
                <c:pt idx="3084">
                  <c:v>215.2282920948822</c:v>
                </c:pt>
                <c:pt idx="3085">
                  <c:v>215.48698878077613</c:v>
                </c:pt>
                <c:pt idx="3086">
                  <c:v>215.74588690655864</c:v>
                </c:pt>
                <c:pt idx="3087">
                  <c:v>216.00498672799992</c:v>
                </c:pt>
                <c:pt idx="3088">
                  <c:v>216.264288501424</c:v>
                </c:pt>
                <c:pt idx="3089">
                  <c:v>216.52379248371062</c:v>
                </c:pt>
                <c:pt idx="3090">
                  <c:v>216.78349893229628</c:v>
                </c:pt>
                <c:pt idx="3091">
                  <c:v>217.04340810517613</c:v>
                </c:pt>
                <c:pt idx="3092">
                  <c:v>217.30352026090523</c:v>
                </c:pt>
                <c:pt idx="3093">
                  <c:v>217.56383565860006</c:v>
                </c:pt>
                <c:pt idx="3094">
                  <c:v>217.82435455794015</c:v>
                </c:pt>
                <c:pt idx="3095">
                  <c:v>218.0850772191694</c:v>
                </c:pt>
                <c:pt idx="3096">
                  <c:v>218.3460039030976</c:v>
                </c:pt>
                <c:pt idx="3097">
                  <c:v>218.60713487110226</c:v>
                </c:pt>
                <c:pt idx="3098">
                  <c:v>218.86847038512983</c:v>
                </c:pt>
                <c:pt idx="3099">
                  <c:v>219.1300107076973</c:v>
                </c:pt>
                <c:pt idx="3100">
                  <c:v>219.39175610189378</c:v>
                </c:pt>
                <c:pt idx="3101">
                  <c:v>219.65370683138187</c:v>
                </c:pt>
                <c:pt idx="3102">
                  <c:v>219.91586316039957</c:v>
                </c:pt>
                <c:pt idx="3103">
                  <c:v>220.17822535376138</c:v>
                </c:pt>
                <c:pt idx="3104">
                  <c:v>220.44079367686024</c:v>
                </c:pt>
                <c:pt idx="3105">
                  <c:v>220.70356839566892</c:v>
                </c:pt>
                <c:pt idx="3106">
                  <c:v>220.96654977674146</c:v>
                </c:pt>
                <c:pt idx="3107">
                  <c:v>221.22973808721508</c:v>
                </c:pt>
                <c:pt idx="3108">
                  <c:v>221.49313359481138</c:v>
                </c:pt>
                <c:pt idx="3109">
                  <c:v>221.75673656783823</c:v>
                </c:pt>
                <c:pt idx="3110">
                  <c:v>222.0205472751912</c:v>
                </c:pt>
                <c:pt idx="3111">
                  <c:v>222.28456598635523</c:v>
                </c:pt>
                <c:pt idx="3112">
                  <c:v>222.5487929714062</c:v>
                </c:pt>
                <c:pt idx="3113">
                  <c:v>222.81322850101233</c:v>
                </c:pt>
                <c:pt idx="3114">
                  <c:v>223.07787284643632</c:v>
                </c:pt>
                <c:pt idx="3115">
                  <c:v>223.34272627953632</c:v>
                </c:pt>
                <c:pt idx="3116">
                  <c:v>223.6077890727681</c:v>
                </c:pt>
                <c:pt idx="3117">
                  <c:v>223.8730614991864</c:v>
                </c:pt>
                <c:pt idx="3118">
                  <c:v>224.1385438324466</c:v>
                </c:pt>
                <c:pt idx="3119">
                  <c:v>224.40423634680644</c:v>
                </c:pt>
                <c:pt idx="3120">
                  <c:v>224.6701393171275</c:v>
                </c:pt>
                <c:pt idx="3121">
                  <c:v>224.93625301887698</c:v>
                </c:pt>
                <c:pt idx="3122">
                  <c:v>225.20257772812943</c:v>
                </c:pt>
                <c:pt idx="3123">
                  <c:v>225.46911372156828</c:v>
                </c:pt>
                <c:pt idx="3124">
                  <c:v>225.73586127648758</c:v>
                </c:pt>
                <c:pt idx="3125">
                  <c:v>226.0028206707937</c:v>
                </c:pt>
                <c:pt idx="3126">
                  <c:v>226.26999218300685</c:v>
                </c:pt>
                <c:pt idx="3127">
                  <c:v>226.5373760922629</c:v>
                </c:pt>
                <c:pt idx="3128">
                  <c:v>226.80497267831512</c:v>
                </c:pt>
                <c:pt idx="3129">
                  <c:v>227.07278222153587</c:v>
                </c:pt>
                <c:pt idx="3130">
                  <c:v>227.34080500291822</c:v>
                </c:pt>
                <c:pt idx="3131">
                  <c:v>227.60904130407778</c:v>
                </c:pt>
                <c:pt idx="3132">
                  <c:v>227.87749140725398</c:v>
                </c:pt>
                <c:pt idx="3133">
                  <c:v>228.14615559531276</c:v>
                </c:pt>
                <c:pt idx="3134">
                  <c:v>228.4150341517472</c:v>
                </c:pt>
                <c:pt idx="3135">
                  <c:v>228.68412736067998</c:v>
                </c:pt>
                <c:pt idx="3136">
                  <c:v>228.953435506865</c:v>
                </c:pt>
                <c:pt idx="3137">
                  <c:v>229.2229588756888</c:v>
                </c:pt>
                <c:pt idx="3138">
                  <c:v>229.49269775317262</c:v>
                </c:pt>
                <c:pt idx="3139">
                  <c:v>229.76265242597424</c:v>
                </c:pt>
                <c:pt idx="3140">
                  <c:v>230.0328231813895</c:v>
                </c:pt>
                <c:pt idx="3141">
                  <c:v>230.3032103073542</c:v>
                </c:pt>
                <c:pt idx="3142">
                  <c:v>230.57381409244593</c:v>
                </c:pt>
                <c:pt idx="3143">
                  <c:v>230.8446348258856</c:v>
                </c:pt>
                <c:pt idx="3144">
                  <c:v>231.11567279753973</c:v>
                </c:pt>
                <c:pt idx="3145">
                  <c:v>231.38692829792163</c:v>
                </c:pt>
                <c:pt idx="3146">
                  <c:v>231.65840161819378</c:v>
                </c:pt>
                <c:pt idx="3147">
                  <c:v>231.93009305016932</c:v>
                </c:pt>
                <c:pt idx="3148">
                  <c:v>232.20200288631395</c:v>
                </c:pt>
                <c:pt idx="3149">
                  <c:v>232.4741314197478</c:v>
                </c:pt>
                <c:pt idx="3150">
                  <c:v>232.74647894424714</c:v>
                </c:pt>
                <c:pt idx="3151">
                  <c:v>233.01904575424626</c:v>
                </c:pt>
                <c:pt idx="3152">
                  <c:v>233.29183214483953</c:v>
                </c:pt>
                <c:pt idx="3153">
                  <c:v>233.564838411783</c:v>
                </c:pt>
                <c:pt idx="3154">
                  <c:v>233.8380648514964</c:v>
                </c:pt>
                <c:pt idx="3155">
                  <c:v>234.11151176106495</c:v>
                </c:pt>
                <c:pt idx="3156">
                  <c:v>234.38517943824115</c:v>
                </c:pt>
                <c:pt idx="3157">
                  <c:v>234.6590681814468</c:v>
                </c:pt>
                <c:pt idx="3158">
                  <c:v>234.93317828977493</c:v>
                </c:pt>
                <c:pt idx="3159">
                  <c:v>235.20751006299156</c:v>
                </c:pt>
                <c:pt idx="3160">
                  <c:v>235.48206380153766</c:v>
                </c:pt>
                <c:pt idx="3161">
                  <c:v>235.75683980653113</c:v>
                </c:pt>
                <c:pt idx="3162">
                  <c:v>236.03183837976846</c:v>
                </c:pt>
                <c:pt idx="3163">
                  <c:v>236.30705982372706</c:v>
                </c:pt>
                <c:pt idx="3164">
                  <c:v>236.58250444156675</c:v>
                </c:pt>
                <c:pt idx="3165">
                  <c:v>236.8581725371321</c:v>
                </c:pt>
                <c:pt idx="3166">
                  <c:v>237.13406441495414</c:v>
                </c:pt>
                <c:pt idx="3167">
                  <c:v>237.41018038025243</c:v>
                </c:pt>
                <c:pt idx="3168">
                  <c:v>237.68652073893674</c:v>
                </c:pt>
                <c:pt idx="3169">
                  <c:v>237.96308579760952</c:v>
                </c:pt>
                <c:pt idx="3170">
                  <c:v>238.23987586356733</c:v>
                </c:pt>
                <c:pt idx="3171">
                  <c:v>238.51689124480328</c:v>
                </c:pt>
                <c:pt idx="3172">
                  <c:v>238.79413225000872</c:v>
                </c:pt>
                <c:pt idx="3173">
                  <c:v>239.07159918857536</c:v>
                </c:pt>
                <c:pt idx="3174">
                  <c:v>239.3492923705973</c:v>
                </c:pt>
                <c:pt idx="3175">
                  <c:v>239.62721210687292</c:v>
                </c:pt>
                <c:pt idx="3176">
                  <c:v>239.90535870890687</c:v>
                </c:pt>
                <c:pt idx="3177">
                  <c:v>240.18373248891243</c:v>
                </c:pt>
                <c:pt idx="3178">
                  <c:v>240.46233375981316</c:v>
                </c:pt>
                <c:pt idx="3179">
                  <c:v>240.74116283524512</c:v>
                </c:pt>
                <c:pt idx="3180">
                  <c:v>241.02022002955897</c:v>
                </c:pt>
                <c:pt idx="3181">
                  <c:v>241.29950565782173</c:v>
                </c:pt>
                <c:pt idx="3182">
                  <c:v>241.5790200358193</c:v>
                </c:pt>
                <c:pt idx="3183">
                  <c:v>241.8587634800581</c:v>
                </c:pt>
                <c:pt idx="3184">
                  <c:v>242.13873630776743</c:v>
                </c:pt>
                <c:pt idx="3185">
                  <c:v>242.41893883690148</c:v>
                </c:pt>
                <c:pt idx="3186">
                  <c:v>242.6993713861415</c:v>
                </c:pt>
                <c:pt idx="3187">
                  <c:v>242.9800342748974</c:v>
                </c:pt>
                <c:pt idx="3188">
                  <c:v>243.26092782331088</c:v>
                </c:pt>
                <c:pt idx="3189">
                  <c:v>243.54205235225643</c:v>
                </c:pt>
                <c:pt idx="3190">
                  <c:v>243.82340818334424</c:v>
                </c:pt>
                <c:pt idx="3191">
                  <c:v>244.10499563892205</c:v>
                </c:pt>
                <c:pt idx="3192">
                  <c:v>244.38681504207707</c:v>
                </c:pt>
                <c:pt idx="3193">
                  <c:v>244.66886671663883</c:v>
                </c:pt>
                <c:pt idx="3194">
                  <c:v>244.95115098718028</c:v>
                </c:pt>
                <c:pt idx="3195">
                  <c:v>245.23366817902098</c:v>
                </c:pt>
                <c:pt idx="3196">
                  <c:v>245.51641861822867</c:v>
                </c:pt>
                <c:pt idx="3197">
                  <c:v>245.7994026316217</c:v>
                </c:pt>
                <c:pt idx="3198">
                  <c:v>246.08262054677118</c:v>
                </c:pt>
                <c:pt idx="3199">
                  <c:v>246.36607269200286</c:v>
                </c:pt>
                <c:pt idx="3200">
                  <c:v>246.64975939639996</c:v>
                </c:pt>
                <c:pt idx="3201">
                  <c:v>246.93368098980488</c:v>
                </c:pt>
                <c:pt idx="3202">
                  <c:v>247.21783780282166</c:v>
                </c:pt>
                <c:pt idx="3203">
                  <c:v>247.5022301668181</c:v>
                </c:pt>
                <c:pt idx="3204">
                  <c:v>247.78685841392803</c:v>
                </c:pt>
                <c:pt idx="3205">
                  <c:v>248.07172287705373</c:v>
                </c:pt>
                <c:pt idx="3206">
                  <c:v>248.35682388986763</c:v>
                </c:pt>
                <c:pt idx="3207">
                  <c:v>248.64216178681536</c:v>
                </c:pt>
                <c:pt idx="3208">
                  <c:v>248.92773690311753</c:v>
                </c:pt>
                <c:pt idx="3209">
                  <c:v>249.2135495747721</c:v>
                </c:pt>
                <c:pt idx="3210">
                  <c:v>249.49960013855681</c:v>
                </c:pt>
                <c:pt idx="3211">
                  <c:v>249.7858889320309</c:v>
                </c:pt>
                <c:pt idx="3212">
                  <c:v>250.07241629353874</c:v>
                </c:pt>
                <c:pt idx="3213">
                  <c:v>250.35918256221038</c:v>
                </c:pt>
                <c:pt idx="3214">
                  <c:v>250.64618807796535</c:v>
                </c:pt>
                <c:pt idx="3215">
                  <c:v>250.9334331815143</c:v>
                </c:pt>
                <c:pt idx="3216">
                  <c:v>251.22091821436143</c:v>
                </c:pt>
                <c:pt idx="3217">
                  <c:v>251.50864351880708</c:v>
                </c:pt>
                <c:pt idx="3218">
                  <c:v>251.79660943794946</c:v>
                </c:pt>
                <c:pt idx="3219">
                  <c:v>252.0848163156879</c:v>
                </c:pt>
                <c:pt idx="3220">
                  <c:v>252.37326449672466</c:v>
                </c:pt>
                <c:pt idx="3221">
                  <c:v>252.6619543265674</c:v>
                </c:pt>
                <c:pt idx="3222">
                  <c:v>252.95088615153173</c:v>
                </c:pt>
                <c:pt idx="3223">
                  <c:v>253.24006031874345</c:v>
                </c:pt>
                <c:pt idx="3224">
                  <c:v>253.52947717614117</c:v>
                </c:pt>
                <c:pt idx="3225">
                  <c:v>253.81913707247824</c:v>
                </c:pt>
                <c:pt idx="3226">
                  <c:v>254.10904035732597</c:v>
                </c:pt>
                <c:pt idx="3227">
                  <c:v>254.39918738107545</c:v>
                </c:pt>
                <c:pt idx="3228">
                  <c:v>254.68957849494024</c:v>
                </c:pt>
                <c:pt idx="3229">
                  <c:v>254.98021405095895</c:v>
                </c:pt>
                <c:pt idx="3230">
                  <c:v>255.27109440199703</c:v>
                </c:pt>
                <c:pt idx="3231">
                  <c:v>255.56221990175072</c:v>
                </c:pt>
                <c:pt idx="3232">
                  <c:v>255.85359090474768</c:v>
                </c:pt>
                <c:pt idx="3233">
                  <c:v>256.1452077663509</c:v>
                </c:pt>
                <c:pt idx="3234">
                  <c:v>256.4370708427607</c:v>
                </c:pt>
                <c:pt idx="3235">
                  <c:v>256.7291804910172</c:v>
                </c:pt>
                <c:pt idx="3236">
                  <c:v>257.0215370690031</c:v>
                </c:pt>
                <c:pt idx="3237">
                  <c:v>257.31414093544566</c:v>
                </c:pt>
                <c:pt idx="3238">
                  <c:v>257.60699244992</c:v>
                </c:pt>
                <c:pt idx="3239">
                  <c:v>257.90009197285127</c:v>
                </c:pt>
                <c:pt idx="3240">
                  <c:v>258.1934398655171</c:v>
                </c:pt>
                <c:pt idx="3241">
                  <c:v>258.4870364900505</c:v>
                </c:pt>
                <c:pt idx="3242">
                  <c:v>258.7808822094422</c:v>
                </c:pt>
                <c:pt idx="3243">
                  <c:v>259.07497738754347</c:v>
                </c:pt>
                <c:pt idx="3244">
                  <c:v>259.3693223890682</c:v>
                </c:pt>
                <c:pt idx="3245">
                  <c:v>259.66391757959633</c:v>
                </c:pt>
                <c:pt idx="3246">
                  <c:v>259.9587633255759</c:v>
                </c:pt>
                <c:pt idx="3247">
                  <c:v>260.25385999432586</c:v>
                </c:pt>
                <c:pt idx="3248">
                  <c:v>260.5492079540389</c:v>
                </c:pt>
                <c:pt idx="3249">
                  <c:v>260.8448075737833</c:v>
                </c:pt>
                <c:pt idx="3250">
                  <c:v>261.1406592235073</c:v>
                </c:pt>
                <c:pt idx="3251">
                  <c:v>261.43676327403966</c:v>
                </c:pt>
                <c:pt idx="3252">
                  <c:v>261.73312009709394</c:v>
                </c:pt>
                <c:pt idx="3253">
                  <c:v>262.0297300652707</c:v>
                </c:pt>
                <c:pt idx="3254">
                  <c:v>262.32659355205976</c:v>
                </c:pt>
                <c:pt idx="3255">
                  <c:v>262.6237109318438</c:v>
                </c:pt>
                <c:pt idx="3256">
                  <c:v>262.9210825799004</c:v>
                </c:pt>
                <c:pt idx="3257">
                  <c:v>263.21870887240516</c:v>
                </c:pt>
                <c:pt idx="3258">
                  <c:v>263.51659018643414</c:v>
                </c:pt>
                <c:pt idx="3259">
                  <c:v>263.814726899967</c:v>
                </c:pt>
                <c:pt idx="3260">
                  <c:v>264.1131193918896</c:v>
                </c:pt>
                <c:pt idx="3261">
                  <c:v>264.4117680419963</c:v>
                </c:pt>
                <c:pt idx="3262">
                  <c:v>264.71067323099385</c:v>
                </c:pt>
                <c:pt idx="3263">
                  <c:v>265.00983534050323</c:v>
                </c:pt>
                <c:pt idx="3264">
                  <c:v>265.8358839780796</c:v>
                </c:pt>
                <c:pt idx="3265">
                  <c:v>266.66133493107026</c:v>
                </c:pt>
                <c:pt idx="3266">
                  <c:v>267.4861885572739</c:v>
                </c:pt>
                <c:pt idx="3267">
                  <c:v>268.3104452140163</c:v>
                </c:pt>
                <c:pt idx="3268">
                  <c:v>269.13410525815107</c:v>
                </c:pt>
                <c:pt idx="3269">
                  <c:v>269.95716904606047</c:v>
                </c:pt>
                <c:pt idx="3270">
                  <c:v>270.77963693365615</c:v>
                </c:pt>
                <c:pt idx="3271">
                  <c:v>271.60150927637983</c:v>
                </c:pt>
                <c:pt idx="3272">
                  <c:v>272.42278642920405</c:v>
                </c:pt>
                <c:pt idx="3273">
                  <c:v>273.24346874663297</c:v>
                </c:pt>
                <c:pt idx="3274">
                  <c:v>274.06355658270303</c:v>
                </c:pt>
                <c:pt idx="3275">
                  <c:v>274.88305029098376</c:v>
                </c:pt>
                <c:pt idx="3276">
                  <c:v>275.7019502245785</c:v>
                </c:pt>
                <c:pt idx="3277">
                  <c:v>276.52025673612513</c:v>
                </c:pt>
                <c:pt idx="3278">
                  <c:v>277.33797017779665</c:v>
                </c:pt>
                <c:pt idx="3279">
                  <c:v>278.1550909013022</c:v>
                </c:pt>
                <c:pt idx="3280">
                  <c:v>278.97161925788754</c:v>
                </c:pt>
                <c:pt idx="3281">
                  <c:v>279.787555598336</c:v>
                </c:pt>
                <c:pt idx="3282">
                  <c:v>280.60290027296895</c:v>
                </c:pt>
                <c:pt idx="3283">
                  <c:v>281.4176536316467</c:v>
                </c:pt>
                <c:pt idx="3284">
                  <c:v>281.4176536316467</c:v>
                </c:pt>
                <c:pt idx="3285">
                  <c:v>282.00496086258846</c:v>
                </c:pt>
                <c:pt idx="3286">
                  <c:v>282.59265555949975</c:v>
                </c:pt>
                <c:pt idx="3287">
                  <c:v>283.18073814386537</c:v>
                </c:pt>
                <c:pt idx="3288">
                  <c:v>283.7692090379496</c:v>
                </c:pt>
                <c:pt idx="3289">
                  <c:v>284.358068664797</c:v>
                </c:pt>
                <c:pt idx="3290">
                  <c:v>284.9473174482357</c:v>
                </c:pt>
                <c:pt idx="3291">
                  <c:v>285.5369558128783</c:v>
                </c:pt>
                <c:pt idx="3292">
                  <c:v>286.1269841841238</c:v>
                </c:pt>
                <c:pt idx="3293">
                  <c:v>286.7174029881592</c:v>
                </c:pt>
                <c:pt idx="3294">
                  <c:v>287.30821265196175</c:v>
                </c:pt>
                <c:pt idx="3295">
                  <c:v>287.8994136033007</c:v>
                </c:pt>
                <c:pt idx="3296">
                  <c:v>288.4910062707379</c:v>
                </c:pt>
                <c:pt idx="3297">
                  <c:v>289.0829910836317</c:v>
                </c:pt>
                <c:pt idx="3298">
                  <c:v>289.67536847213734</c:v>
                </c:pt>
                <c:pt idx="3299">
                  <c:v>290.26813886720913</c:v>
                </c:pt>
                <c:pt idx="3300">
                  <c:v>290.86130270060227</c:v>
                </c:pt>
                <c:pt idx="3301">
                  <c:v>291.45486040487475</c:v>
                </c:pt>
                <c:pt idx="3302">
                  <c:v>292.0488124133891</c:v>
                </c:pt>
                <c:pt idx="3303">
                  <c:v>292.64315916031467</c:v>
                </c:pt>
                <c:pt idx="3304">
                  <c:v>293.23790108062815</c:v>
                </c:pt>
                <c:pt idx="3305">
                  <c:v>293.8330386101173</c:v>
                </c:pt>
                <c:pt idx="3306">
                  <c:v>294.42857218538154</c:v>
                </c:pt>
                <c:pt idx="3307">
                  <c:v>295.02450224383426</c:v>
                </c:pt>
                <c:pt idx="3308">
                  <c:v>295.6208292237047</c:v>
                </c:pt>
                <c:pt idx="3309">
                  <c:v>296.2175535640395</c:v>
                </c:pt>
                <c:pt idx="3310">
                  <c:v>296.81467570470545</c:v>
                </c:pt>
                <c:pt idx="3311">
                  <c:v>297.4121960863896</c:v>
                </c:pt>
                <c:pt idx="3312">
                  <c:v>298.01011515060344</c:v>
                </c:pt>
                <c:pt idx="3313">
                  <c:v>298.6084333396833</c:v>
                </c:pt>
                <c:pt idx="3314">
                  <c:v>299.2071510967927</c:v>
                </c:pt>
                <c:pt idx="3315">
                  <c:v>299.8062688659242</c:v>
                </c:pt>
                <c:pt idx="3316">
                  <c:v>300.4057870919014</c:v>
                </c:pt>
                <c:pt idx="3317">
                  <c:v>301.00570622038106</c:v>
                </c:pt>
                <c:pt idx="3318">
                  <c:v>301.60602669785396</c:v>
                </c:pt>
                <c:pt idx="3319">
                  <c:v>302.2067489716486</c:v>
                </c:pt>
                <c:pt idx="3320">
                  <c:v>302.8078734899318</c:v>
                </c:pt>
                <c:pt idx="3321">
                  <c:v>303.40940070171126</c:v>
                </c:pt>
                <c:pt idx="3322">
                  <c:v>304.01133105683715</c:v>
                </c:pt>
                <c:pt idx="3323">
                  <c:v>304.6136650060044</c:v>
                </c:pt>
                <c:pt idx="3324">
                  <c:v>305.21640300075444</c:v>
                </c:pt>
                <c:pt idx="3325">
                  <c:v>305.8195454934777</c:v>
                </c:pt>
                <c:pt idx="3326">
                  <c:v>306.423092937414</c:v>
                </c:pt>
                <c:pt idx="3327">
                  <c:v>307.02704578665697</c:v>
                </c:pt>
                <c:pt idx="3328">
                  <c:v>307.6314044961542</c:v>
                </c:pt>
                <c:pt idx="3329">
                  <c:v>308.2361695217099</c:v>
                </c:pt>
                <c:pt idx="3330">
                  <c:v>308.8413413199868</c:v>
                </c:pt>
                <c:pt idx="3331">
                  <c:v>309.44692034850823</c:v>
                </c:pt>
                <c:pt idx="3332">
                  <c:v>310.05290706566035</c:v>
                </c:pt>
                <c:pt idx="3333">
                  <c:v>310.65930193069306</c:v>
                </c:pt>
                <c:pt idx="3334">
                  <c:v>311.2661054037238</c:v>
                </c:pt>
                <c:pt idx="3335">
                  <c:v>311.87331794573834</c:v>
                </c:pt>
                <c:pt idx="3336">
                  <c:v>312.4809400185931</c:v>
                </c:pt>
                <c:pt idx="3337">
                  <c:v>313.0889720850175</c:v>
                </c:pt>
                <c:pt idx="3338">
                  <c:v>313.6974146086154</c:v>
                </c:pt>
                <c:pt idx="3339">
                  <c:v>314.3062680538683</c:v>
                </c:pt>
                <c:pt idx="3340">
                  <c:v>314.91553288613534</c:v>
                </c:pt>
                <c:pt idx="3341">
                  <c:v>315.52520957165785</c:v>
                </c:pt>
                <c:pt idx="3342">
                  <c:v>316.1352985775599</c:v>
                </c:pt>
                <c:pt idx="3343">
                  <c:v>316.74580037185075</c:v>
                </c:pt>
                <c:pt idx="3344">
                  <c:v>317.3567154234269</c:v>
                </c:pt>
                <c:pt idx="3345">
                  <c:v>317.9680442020744</c:v>
                </c:pt>
                <c:pt idx="3346">
                  <c:v>318.5797871784709</c:v>
                </c:pt>
                <c:pt idx="3347">
                  <c:v>319.1919448241869</c:v>
                </c:pt>
                <c:pt idx="3348">
                  <c:v>319.80451761168956</c:v>
                </c:pt>
                <c:pt idx="3349">
                  <c:v>320.41750601434353</c:v>
                </c:pt>
                <c:pt idx="3350">
                  <c:v>321.0309105064135</c:v>
                </c:pt>
                <c:pt idx="3351">
                  <c:v>321.6447315630663</c:v>
                </c:pt>
                <c:pt idx="3352">
                  <c:v>322.258969660373</c:v>
                </c:pt>
                <c:pt idx="3353">
                  <c:v>322.8736252753112</c:v>
                </c:pt>
                <c:pt idx="3354">
                  <c:v>323.48869888576735</c:v>
                </c:pt>
                <c:pt idx="3355">
                  <c:v>324.10419097053773</c:v>
                </c:pt>
                <c:pt idx="3356">
                  <c:v>324.72010200933255</c:v>
                </c:pt>
                <c:pt idx="3357">
                  <c:v>325.3364324827768</c:v>
                </c:pt>
                <c:pt idx="3358">
                  <c:v>325.95318287241275</c:v>
                </c:pt>
                <c:pt idx="3359">
                  <c:v>326.57035366070227</c:v>
                </c:pt>
                <c:pt idx="3360">
                  <c:v>327.18794533102886</c:v>
                </c:pt>
                <c:pt idx="3361">
                  <c:v>327.80595836770027</c:v>
                </c:pt>
                <c:pt idx="3362">
                  <c:v>328.42439325594944</c:v>
                </c:pt>
                <c:pt idx="3363">
                  <c:v>329.04325048193857</c:v>
                </c:pt>
                <c:pt idx="3364">
                  <c:v>329.66253053276023</c:v>
                </c:pt>
                <c:pt idx="3365">
                  <c:v>330.28223389643966</c:v>
                </c:pt>
                <c:pt idx="3366">
                  <c:v>330.9023610619373</c:v>
                </c:pt>
                <c:pt idx="3367">
                  <c:v>331.5229125191508</c:v>
                </c:pt>
                <c:pt idx="3368">
                  <c:v>332.1438887589177</c:v>
                </c:pt>
                <c:pt idx="3369">
                  <c:v>332.7652902730165</c:v>
                </c:pt>
                <c:pt idx="3370">
                  <c:v>333.38711755417063</c:v>
                </c:pt>
                <c:pt idx="3371">
                  <c:v>334.0093710960497</c:v>
                </c:pt>
                <c:pt idx="3372">
                  <c:v>334.63205139327187</c:v>
                </c:pt>
                <c:pt idx="3373">
                  <c:v>335.25515894140636</c:v>
                </c:pt>
                <c:pt idx="3374">
                  <c:v>335.87869423697555</c:v>
                </c:pt>
                <c:pt idx="3375">
                  <c:v>336.5026577774577</c:v>
                </c:pt>
                <c:pt idx="3376">
                  <c:v>337.1270500612882</c:v>
                </c:pt>
                <c:pt idx="3377">
                  <c:v>337.7518715878632</c:v>
                </c:pt>
                <c:pt idx="3378">
                  <c:v>338.3771228575414</c:v>
                </c:pt>
                <c:pt idx="3379">
                  <c:v>339.00280437164616</c:v>
                </c:pt>
                <c:pt idx="3380">
                  <c:v>339.62891663246813</c:v>
                </c:pt>
                <c:pt idx="3381">
                  <c:v>340.25546014326744</c:v>
                </c:pt>
                <c:pt idx="3382">
                  <c:v>340.88243540827625</c:v>
                </c:pt>
                <c:pt idx="3383">
                  <c:v>341.50984293270113</c:v>
                </c:pt>
                <c:pt idx="3384">
                  <c:v>342.13768322272455</c:v>
                </c:pt>
                <c:pt idx="3385">
                  <c:v>342.76595678550876</c:v>
                </c:pt>
                <c:pt idx="3386">
                  <c:v>343.3946641291972</c:v>
                </c:pt>
                <c:pt idx="3387">
                  <c:v>344.0238057629172</c:v>
                </c:pt>
                <c:pt idx="3388">
                  <c:v>344.65338219678216</c:v>
                </c:pt>
                <c:pt idx="3389">
                  <c:v>345.2833939418941</c:v>
                </c:pt>
                <c:pt idx="3390">
                  <c:v>345.91384151034646</c:v>
                </c:pt>
                <c:pt idx="3391">
                  <c:v>346.54472541522523</c:v>
                </c:pt>
                <c:pt idx="3392">
                  <c:v>347.1760461706132</c:v>
                </c:pt>
                <c:pt idx="3393">
                  <c:v>347.8078042915911</c:v>
                </c:pt>
                <c:pt idx="3394">
                  <c:v>348.4400002942405</c:v>
                </c:pt>
                <c:pt idx="3395">
                  <c:v>349.07263469564634</c:v>
                </c:pt>
                <c:pt idx="3396">
                  <c:v>349.705708013899</c:v>
                </c:pt>
                <c:pt idx="3397">
                  <c:v>350.3392207680976</c:v>
                </c:pt>
                <c:pt idx="3398">
                  <c:v>350.9731734783509</c:v>
                </c:pt>
                <c:pt idx="3399">
                  <c:v>351.60756666578163</c:v>
                </c:pt>
                <c:pt idx="3400">
                  <c:v>352.24240085252796</c:v>
                </c:pt>
                <c:pt idx="3401">
                  <c:v>352.8776765617462</c:v>
                </c:pt>
                <c:pt idx="3402">
                  <c:v>353.5133943176133</c:v>
                </c:pt>
                <c:pt idx="3403">
                  <c:v>354.1495546453293</c:v>
                </c:pt>
                <c:pt idx="3404">
                  <c:v>354.7861580711201</c:v>
                </c:pt>
                <c:pt idx="3405">
                  <c:v>355.42320512223995</c:v>
                </c:pt>
                <c:pt idx="3406">
                  <c:v>356.06069632697313</c:v>
                </c:pt>
                <c:pt idx="3407">
                  <c:v>356.69863221463805</c:v>
                </c:pt>
                <c:pt idx="3408">
                  <c:v>357.33701331558876</c:v>
                </c:pt>
                <c:pt idx="3409">
                  <c:v>357.9758401612178</c:v>
                </c:pt>
                <c:pt idx="3410">
                  <c:v>358.6151132839586</c:v>
                </c:pt>
                <c:pt idx="3411">
                  <c:v>359.25483321728836</c:v>
                </c:pt>
                <c:pt idx="3412">
                  <c:v>359.89500049573076</c:v>
                </c:pt>
                <c:pt idx="3413">
                  <c:v>360.53561565485734</c:v>
                </c:pt>
                <c:pt idx="3414">
                  <c:v>361.176679231292</c:v>
                </c:pt>
                <c:pt idx="3415">
                  <c:v>361.8181917627123</c:v>
                </c:pt>
                <c:pt idx="3416">
                  <c:v>362.46015378785256</c:v>
                </c:pt>
                <c:pt idx="3417">
                  <c:v>363.10256584650637</c:v>
                </c:pt>
                <c:pt idx="3418">
                  <c:v>363.7454284795292</c:v>
                </c:pt>
                <c:pt idx="3419">
                  <c:v>364.3887422288415</c:v>
                </c:pt>
                <c:pt idx="3420">
                  <c:v>365.03250763743006</c:v>
                </c:pt>
                <c:pt idx="3421">
                  <c:v>365.6767252493524</c:v>
                </c:pt>
                <c:pt idx="3422">
                  <c:v>366.3213956097384</c:v>
                </c:pt>
                <c:pt idx="3423">
                  <c:v>366.9665192647932</c:v>
                </c:pt>
                <c:pt idx="3424">
                  <c:v>367.6120967618</c:v>
                </c:pt>
                <c:pt idx="3425">
                  <c:v>368.2581286491225</c:v>
                </c:pt>
                <c:pt idx="3426">
                  <c:v>368.904615476208</c:v>
                </c:pt>
                <c:pt idx="3427">
                  <c:v>369.55155779359006</c:v>
                </c:pt>
                <c:pt idx="3428">
                  <c:v>370.1989561528902</c:v>
                </c:pt>
                <c:pt idx="3429">
                  <c:v>370.8468111068225</c:v>
                </c:pt>
                <c:pt idx="3430">
                  <c:v>371.4951232091949</c:v>
                </c:pt>
                <c:pt idx="3431">
                  <c:v>372.14389301491263</c:v>
                </c:pt>
                <c:pt idx="3432">
                  <c:v>372.7931210799806</c:v>
                </c:pt>
                <c:pt idx="3433">
                  <c:v>373.44280796150673</c:v>
                </c:pt>
                <c:pt idx="3434">
                  <c:v>374.0929542177033</c:v>
                </c:pt>
                <c:pt idx="3435">
                  <c:v>374.7435604078919</c:v>
                </c:pt>
                <c:pt idx="3436">
                  <c:v>375.3946270925046</c:v>
                </c:pt>
                <c:pt idx="3437">
                  <c:v>376.0461548330874</c:v>
                </c:pt>
                <c:pt idx="3438">
                  <c:v>376.69814419230295</c:v>
                </c:pt>
                <c:pt idx="3439">
                  <c:v>377.3505957339332</c:v>
                </c:pt>
                <c:pt idx="3440">
                  <c:v>378.00351002288244</c:v>
                </c:pt>
                <c:pt idx="3441">
                  <c:v>378.65688762518045</c:v>
                </c:pt>
                <c:pt idx="3442">
                  <c:v>379.31072910798406</c:v>
                </c:pt>
                <c:pt idx="3443">
                  <c:v>379.96503503958184</c:v>
                </c:pt>
                <c:pt idx="3444">
                  <c:v>380.6198059893958</c:v>
                </c:pt>
                <c:pt idx="3445">
                  <c:v>381.2750425279845</c:v>
                </c:pt>
                <c:pt idx="3446">
                  <c:v>381.93074522704615</c:v>
                </c:pt>
                <c:pt idx="3447">
                  <c:v>382.5869146594212</c:v>
                </c:pt>
                <c:pt idx="3448">
                  <c:v>383.24355139909585</c:v>
                </c:pt>
                <c:pt idx="3449">
                  <c:v>383.9006560212035</c:v>
                </c:pt>
                <c:pt idx="3450">
                  <c:v>384.55822910202966</c:v>
                </c:pt>
                <c:pt idx="3451">
                  <c:v>385.2162712190138</c:v>
                </c:pt>
                <c:pt idx="3452">
                  <c:v>385.8747829507522</c:v>
                </c:pt>
                <c:pt idx="3453">
                  <c:v>386.5337648770014</c:v>
                </c:pt>
                <c:pt idx="3454">
                  <c:v>387.1932175786807</c:v>
                </c:pt>
                <c:pt idx="3455">
                  <c:v>387.8531416378755</c:v>
                </c:pt>
                <c:pt idx="3456">
                  <c:v>388.51353763784056</c:v>
                </c:pt>
                <c:pt idx="3457">
                  <c:v>389.17440616300144</c:v>
                </c:pt>
                <c:pt idx="3458">
                  <c:v>389.8357477989597</c:v>
                </c:pt>
                <c:pt idx="3459">
                  <c:v>390.49756313249463</c:v>
                </c:pt>
                <c:pt idx="3460">
                  <c:v>391.15985275156646</c:v>
                </c:pt>
                <c:pt idx="3461">
                  <c:v>391.82261724531946</c:v>
                </c:pt>
                <c:pt idx="3462">
                  <c:v>392.4858572040854</c:v>
                </c:pt>
                <c:pt idx="3463">
                  <c:v>393.1495732193851</c:v>
                </c:pt>
                <c:pt idx="3464">
                  <c:v>393.81376588393374</c:v>
                </c:pt>
                <c:pt idx="3465">
                  <c:v>394.47843579164237</c:v>
                </c:pt>
                <c:pt idx="3466">
                  <c:v>395.1435835376215</c:v>
                </c:pt>
                <c:pt idx="3467">
                  <c:v>395.8092097181841</c:v>
                </c:pt>
                <c:pt idx="3468">
                  <c:v>396.47531493084864</c:v>
                </c:pt>
                <c:pt idx="3469">
                  <c:v>397.1418997743425</c:v>
                </c:pt>
                <c:pt idx="3470">
                  <c:v>397.8089648486051</c:v>
                </c:pt>
                <c:pt idx="3471">
                  <c:v>398.47651075479</c:v>
                </c:pt>
                <c:pt idx="3472">
                  <c:v>399.14453809526975</c:v>
                </c:pt>
                <c:pt idx="3473">
                  <c:v>399.8130474736379</c:v>
                </c:pt>
                <c:pt idx="3474">
                  <c:v>400.4820394947125</c:v>
                </c:pt>
                <c:pt idx="3475">
                  <c:v>401.15151476453934</c:v>
                </c:pt>
                <c:pt idx="3476">
                  <c:v>401.8214738903949</c:v>
                </c:pt>
                <c:pt idx="3477">
                  <c:v>402.4919174807901</c:v>
                </c:pt>
                <c:pt idx="3478">
                  <c:v>403.16284614547226</c:v>
                </c:pt>
                <c:pt idx="3479">
                  <c:v>403.83426049543004</c:v>
                </c:pt>
                <c:pt idx="3480">
                  <c:v>404.5061611428955</c:v>
                </c:pt>
                <c:pt idx="3481">
                  <c:v>405.1785487013478</c:v>
                </c:pt>
                <c:pt idx="3482">
                  <c:v>405.8514237855162</c:v>
                </c:pt>
                <c:pt idx="3483">
                  <c:v>406.5247870113835</c:v>
                </c:pt>
                <c:pt idx="3484">
                  <c:v>407.19863899618935</c:v>
                </c:pt>
                <c:pt idx="3485">
                  <c:v>407.87298035843367</c:v>
                </c:pt>
                <c:pt idx="3486">
                  <c:v>408.54781171787886</c:v>
                </c:pt>
                <c:pt idx="3487">
                  <c:v>409.2231336955549</c:v>
                </c:pt>
                <c:pt idx="3488">
                  <c:v>409.89894691376156</c:v>
                </c:pt>
                <c:pt idx="3489">
                  <c:v>410.57525199607187</c:v>
                </c:pt>
                <c:pt idx="3490">
                  <c:v>411.2520495673356</c:v>
                </c:pt>
                <c:pt idx="3491">
                  <c:v>411.92934025368277</c:v>
                </c:pt>
                <c:pt idx="3492">
                  <c:v>412.607124682526</c:v>
                </c:pt>
                <c:pt idx="3493">
                  <c:v>413.28540348256547</c:v>
                </c:pt>
                <c:pt idx="3494">
                  <c:v>413.96417728379146</c:v>
                </c:pt>
                <c:pt idx="3495">
                  <c:v>414.6434467174876</c:v>
                </c:pt>
                <c:pt idx="3496">
                  <c:v>415.32321241623464</c:v>
                </c:pt>
                <c:pt idx="3497">
                  <c:v>416.0034750139137</c:v>
                </c:pt>
                <c:pt idx="3498">
                  <c:v>416.6842351457098</c:v>
                </c:pt>
                <c:pt idx="3499">
                  <c:v>417.36549344811556</c:v>
                </c:pt>
                <c:pt idx="3500">
                  <c:v>418.0472505589333</c:v>
                </c:pt>
                <c:pt idx="3501">
                  <c:v>418.72950711728066</c:v>
                </c:pt>
                <c:pt idx="3502">
                  <c:v>419.4122637635927</c:v>
                </c:pt>
                <c:pt idx="3503">
                  <c:v>420.0955211396256</c:v>
                </c:pt>
                <c:pt idx="3504">
                  <c:v>420.7792798884602</c:v>
                </c:pt>
                <c:pt idx="3505">
                  <c:v>421.4635406545058</c:v>
                </c:pt>
                <c:pt idx="3506">
                  <c:v>422.14830408350355</c:v>
                </c:pt>
                <c:pt idx="3507">
                  <c:v>422.83357082252905</c:v>
                </c:pt>
                <c:pt idx="3508">
                  <c:v>423.51934151999774</c:v>
                </c:pt>
                <c:pt idx="3509">
                  <c:v>424.20561682566716</c:v>
                </c:pt>
                <c:pt idx="3510">
                  <c:v>424.8923973906408</c:v>
                </c:pt>
                <c:pt idx="3511">
                  <c:v>425.5796838673718</c:v>
                </c:pt>
                <c:pt idx="3512">
                  <c:v>426.2674769096664</c:v>
                </c:pt>
                <c:pt idx="3513">
                  <c:v>426.9557771726879</c:v>
                </c:pt>
                <c:pt idx="3514">
                  <c:v>427.6445853129601</c:v>
                </c:pt>
                <c:pt idx="3515">
                  <c:v>428.33390198837</c:v>
                </c:pt>
                <c:pt idx="3516">
                  <c:v>429.02372785817334</c:v>
                </c:pt>
                <c:pt idx="3517">
                  <c:v>429.71406358299697</c:v>
                </c:pt>
                <c:pt idx="3518">
                  <c:v>430.40490982484266</c:v>
                </c:pt>
                <c:pt idx="3519">
                  <c:v>431.09626724709113</c:v>
                </c:pt>
                <c:pt idx="3520">
                  <c:v>431.78813651450577</c:v>
                </c:pt>
                <c:pt idx="3521">
                  <c:v>432.4805182932352</c:v>
                </c:pt>
                <c:pt idx="3522">
                  <c:v>433.17341325081895</c:v>
                </c:pt>
                <c:pt idx="3523">
                  <c:v>433.86682205618985</c:v>
                </c:pt>
                <c:pt idx="3524">
                  <c:v>434.5607453796781</c:v>
                </c:pt>
                <c:pt idx="3525">
                  <c:v>435.2551838930152</c:v>
                </c:pt>
                <c:pt idx="3526">
                  <c:v>435.95013826933746</c:v>
                </c:pt>
                <c:pt idx="3527">
                  <c:v>436.64560918319</c:v>
                </c:pt>
                <c:pt idx="3528">
                  <c:v>437.34159731053046</c:v>
                </c:pt>
                <c:pt idx="3529">
                  <c:v>438.03810332873314</c:v>
                </c:pt>
                <c:pt idx="3530">
                  <c:v>438.73512791659164</c:v>
                </c:pt>
                <c:pt idx="3531">
                  <c:v>439.4326717543245</c:v>
                </c:pt>
                <c:pt idx="3532">
                  <c:v>440.13073552357775</c:v>
                </c:pt>
                <c:pt idx="3533">
                  <c:v>440.8293199074294</c:v>
                </c:pt>
                <c:pt idx="3534">
                  <c:v>441.528425590393</c:v>
                </c:pt>
                <c:pt idx="3535">
                  <c:v>442.22805325842194</c:v>
                </c:pt>
                <c:pt idx="3536">
                  <c:v>442.9282035989121</c:v>
                </c:pt>
                <c:pt idx="3537">
                  <c:v>443.62887730070776</c:v>
                </c:pt>
                <c:pt idx="3538">
                  <c:v>444.33007505410416</c:v>
                </c:pt>
                <c:pt idx="3539">
                  <c:v>445.0317975508519</c:v>
                </c:pt>
                <c:pt idx="3540">
                  <c:v>445.7340454841606</c:v>
                </c:pt>
                <c:pt idx="3541">
                  <c:v>446.4368195487034</c:v>
                </c:pt>
                <c:pt idx="3542">
                  <c:v>447.1401204406204</c:v>
                </c:pt>
                <c:pt idx="3543">
                  <c:v>447.8439488575234</c:v>
                </c:pt>
                <c:pt idx="3544">
                  <c:v>448.54830549849834</c:v>
                </c:pt>
                <c:pt idx="3545">
                  <c:v>449.2531910641115</c:v>
                </c:pt>
                <c:pt idx="3546">
                  <c:v>449.95860625641205</c:v>
                </c:pt>
                <c:pt idx="3547">
                  <c:v>450.6645517789367</c:v>
                </c:pt>
                <c:pt idx="3548">
                  <c:v>451.3710283367135</c:v>
                </c:pt>
                <c:pt idx="3549">
                  <c:v>452.07803663626606</c:v>
                </c:pt>
                <c:pt idx="3550">
                  <c:v>452.785577385618</c:v>
                </c:pt>
                <c:pt idx="3551">
                  <c:v>453.4936512942958</c:v>
                </c:pt>
                <c:pt idx="3552">
                  <c:v>454.20225907333463</c:v>
                </c:pt>
                <c:pt idx="3553">
                  <c:v>454.9114014352816</c:v>
                </c:pt>
                <c:pt idx="3554">
                  <c:v>455.62107909419996</c:v>
                </c:pt>
                <c:pt idx="3555">
                  <c:v>456.33129276567337</c:v>
                </c:pt>
                <c:pt idx="3556">
                  <c:v>457.04204316681</c:v>
                </c:pt>
                <c:pt idx="3557">
                  <c:v>457.753331016247</c:v>
                </c:pt>
                <c:pt idx="3558">
                  <c:v>458.4651570341547</c:v>
                </c:pt>
                <c:pt idx="3559">
                  <c:v>459.1775219422397</c:v>
                </c:pt>
                <c:pt idx="3560">
                  <c:v>459.8904264637512</c:v>
                </c:pt>
                <c:pt idx="3561">
                  <c:v>460.6038713234838</c:v>
                </c:pt>
                <c:pt idx="3562">
                  <c:v>461.3178572477821</c:v>
                </c:pt>
                <c:pt idx="3563">
                  <c:v>462.03238496454514</c:v>
                </c:pt>
                <c:pt idx="3564">
                  <c:v>462.74745520323086</c:v>
                </c:pt>
                <c:pt idx="3565">
                  <c:v>463.46306869485926</c:v>
                </c:pt>
                <c:pt idx="3566">
                  <c:v>464.1792261720186</c:v>
                </c:pt>
                <c:pt idx="3567">
                  <c:v>464.89592836886857</c:v>
                </c:pt>
                <c:pt idx="3568">
                  <c:v>465.6131760211448</c:v>
                </c:pt>
                <c:pt idx="3569">
                  <c:v>466.33096986616346</c:v>
                </c:pt>
                <c:pt idx="3570">
                  <c:v>467.0493106428256</c:v>
                </c:pt>
                <c:pt idx="3571">
                  <c:v>467.76819909162145</c:v>
                </c:pt>
                <c:pt idx="3572">
                  <c:v>468.4876359546353</c:v>
                </c:pt>
                <c:pt idx="3573">
                  <c:v>469.2076219755486</c:v>
                </c:pt>
                <c:pt idx="3574">
                  <c:v>469.9281578996464</c:v>
                </c:pt>
                <c:pt idx="3575">
                  <c:v>470.64924447382054</c:v>
                </c:pt>
                <c:pt idx="3576">
                  <c:v>471.37088244657446</c:v>
                </c:pt>
                <c:pt idx="3577">
                  <c:v>472.09307256802765</c:v>
                </c:pt>
                <c:pt idx="3578">
                  <c:v>472.81581558992025</c:v>
                </c:pt>
                <c:pt idx="3579">
                  <c:v>473.53911226561803</c:v>
                </c:pt>
                <c:pt idx="3580">
                  <c:v>474.26296335011534</c:v>
                </c:pt>
                <c:pt idx="3581">
                  <c:v>474.987369600042</c:v>
                </c:pt>
                <c:pt idx="3582">
                  <c:v>475.7123317736663</c:v>
                </c:pt>
                <c:pt idx="3583">
                  <c:v>476.4378506309001</c:v>
                </c:pt>
                <c:pt idx="3584">
                  <c:v>477.1639269333034</c:v>
                </c:pt>
                <c:pt idx="3585">
                  <c:v>477.8905614440891</c:v>
                </c:pt>
                <c:pt idx="3586">
                  <c:v>478.6177549281274</c:v>
                </c:pt>
                <c:pt idx="3587">
                  <c:v>479.3455081519511</c:v>
                </c:pt>
                <c:pt idx="3588">
                  <c:v>480.07382188375874</c:v>
                </c:pt>
                <c:pt idx="3589">
                  <c:v>480.80269689342146</c:v>
                </c:pt>
                <c:pt idx="3590">
                  <c:v>481.5321339524863</c:v>
                </c:pt>
                <c:pt idx="3591">
                  <c:v>482.26213383418127</c:v>
                </c:pt>
                <c:pt idx="3592">
                  <c:v>482.99269731342025</c:v>
                </c:pt>
                <c:pt idx="3593">
                  <c:v>483.72382516680796</c:v>
                </c:pt>
                <c:pt idx="3594">
                  <c:v>484.4555181726434</c:v>
                </c:pt>
                <c:pt idx="3595">
                  <c:v>485.1877771109268</c:v>
                </c:pt>
                <c:pt idx="3596">
                  <c:v>485.92060276336304</c:v>
                </c:pt>
                <c:pt idx="3597">
                  <c:v>486.65399591336677</c:v>
                </c:pt>
                <c:pt idx="3598">
                  <c:v>487.3879573460675</c:v>
                </c:pt>
                <c:pt idx="3599">
                  <c:v>488.1224878483141</c:v>
                </c:pt>
                <c:pt idx="3600">
                  <c:v>488.85758820868006</c:v>
                </c:pt>
                <c:pt idx="3601">
                  <c:v>489.5932592174686</c:v>
                </c:pt>
                <c:pt idx="3602">
                  <c:v>490.3295016667162</c:v>
                </c:pt>
                <c:pt idx="3603">
                  <c:v>491.0663163501997</c:v>
                </c:pt>
                <c:pt idx="3604">
                  <c:v>491.80370406343985</c:v>
                </c:pt>
                <c:pt idx="3605">
                  <c:v>492.5416656037066</c:v>
                </c:pt>
                <c:pt idx="3606">
                  <c:v>493.2802017700242</c:v>
                </c:pt>
                <c:pt idx="3607">
                  <c:v>494.01931336317614</c:v>
                </c:pt>
                <c:pt idx="3608">
                  <c:v>494.75900118571064</c:v>
                </c:pt>
                <c:pt idx="3609">
                  <c:v>495.49926604194417</c:v>
                </c:pt>
                <c:pt idx="3610">
                  <c:v>496.2401087379688</c:v>
                </c:pt>
                <c:pt idx="3611">
                  <c:v>496.98153008165576</c:v>
                </c:pt>
                <c:pt idx="3612">
                  <c:v>497.72353088266095</c:v>
                </c:pt>
                <c:pt idx="3613">
                  <c:v>498.46611195243014</c:v>
                </c:pt>
                <c:pt idx="3614">
                  <c:v>499.209274104204</c:v>
                </c:pt>
                <c:pt idx="3615">
                  <c:v>499.9530181530234</c:v>
                </c:pt>
                <c:pt idx="3616">
                  <c:v>500.6973449157348</c:v>
                </c:pt>
                <c:pt idx="3617">
                  <c:v>501.4422552109943</c:v>
                </c:pt>
                <c:pt idx="3618">
                  <c:v>502.1877498592747</c:v>
                </c:pt>
                <c:pt idx="3619">
                  <c:v>502.9338296828695</c:v>
                </c:pt>
                <c:pt idx="3620">
                  <c:v>503.6804955058985</c:v>
                </c:pt>
                <c:pt idx="3621">
                  <c:v>504.4277481543131</c:v>
                </c:pt>
                <c:pt idx="3622">
                  <c:v>505.17558845590196</c:v>
                </c:pt>
                <c:pt idx="3623">
                  <c:v>505.9240172402948</c:v>
                </c:pt>
                <c:pt idx="3624">
                  <c:v>506.67303533897</c:v>
                </c:pt>
                <c:pt idx="3625">
                  <c:v>507.4226435852586</c:v>
                </c:pt>
                <c:pt idx="3626">
                  <c:v>508.17284281434974</c:v>
                </c:pt>
                <c:pt idx="3627">
                  <c:v>508.9236338632965</c:v>
                </c:pt>
                <c:pt idx="3628">
                  <c:v>509.675017571021</c:v>
                </c:pt>
                <c:pt idx="3629">
                  <c:v>510.42699477831985</c:v>
                </c:pt>
                <c:pt idx="3630">
                  <c:v>511.1795663278702</c:v>
                </c:pt>
                <c:pt idx="3631">
                  <c:v>511.93273306423356</c:v>
                </c:pt>
                <c:pt idx="3632">
                  <c:v>512.6864958338637</c:v>
                </c:pt>
                <c:pt idx="3633">
                  <c:v>513.4408554851103</c:v>
                </c:pt>
                <c:pt idx="3634">
                  <c:v>514.1958128682255</c:v>
                </c:pt>
                <c:pt idx="3635">
                  <c:v>514.951368835369</c:v>
                </c:pt>
                <c:pt idx="3636">
                  <c:v>515.7075242406135</c:v>
                </c:pt>
                <c:pt idx="3637">
                  <c:v>516.4642799399512</c:v>
                </c:pt>
                <c:pt idx="3638">
                  <c:v>517.2216367912978</c:v>
                </c:pt>
                <c:pt idx="3639">
                  <c:v>517.9795956544999</c:v>
                </c:pt>
                <c:pt idx="3640">
                  <c:v>518.7381573913398</c:v>
                </c:pt>
                <c:pt idx="3641">
                  <c:v>519.4973228655412</c:v>
                </c:pt>
                <c:pt idx="3642">
                  <c:v>520.2570929427751</c:v>
                </c:pt>
                <c:pt idx="3643">
                  <c:v>521.0174684906654</c:v>
                </c:pt>
                <c:pt idx="3644">
                  <c:v>521.7784503787947</c:v>
                </c:pt>
                <c:pt idx="3645">
                  <c:v>522.5400394787105</c:v>
                </c:pt>
                <c:pt idx="3646">
                  <c:v>523.3022366639293</c:v>
                </c:pt>
                <c:pt idx="3647">
                  <c:v>524.0650428099451</c:v>
                </c:pt>
                <c:pt idx="3648">
                  <c:v>524.8284587942333</c:v>
                </c:pt>
                <c:pt idx="3649">
                  <c:v>525.592485496257</c:v>
                </c:pt>
                <c:pt idx="3650">
                  <c:v>526.3571237974734</c:v>
                </c:pt>
                <c:pt idx="3651">
                  <c:v>527.1223745813387</c:v>
                </c:pt>
                <c:pt idx="3652">
                  <c:v>527.8882387333153</c:v>
                </c:pt>
                <c:pt idx="3653">
                  <c:v>528.6547171408762</c:v>
                </c:pt>
                <c:pt idx="3654">
                  <c:v>529.4218106935125</c:v>
                </c:pt>
                <c:pt idx="3655">
                  <c:v>530.1895202827387</c:v>
                </c:pt>
                <c:pt idx="3656">
                  <c:v>530.9578468020986</c:v>
                </c:pt>
                <c:pt idx="3657">
                  <c:v>531.7267911471716</c:v>
                </c:pt>
                <c:pt idx="3658">
                  <c:v>532.4963542155787</c:v>
                </c:pt>
                <c:pt idx="3659">
                  <c:v>533.2665369069883</c:v>
                </c:pt>
                <c:pt idx="3660">
                  <c:v>534.0373401231233</c:v>
                </c:pt>
                <c:pt idx="3661">
                  <c:v>534.8087647677651</c:v>
                </c:pt>
                <c:pt idx="3662">
                  <c:v>535.5808117467623</c:v>
                </c:pt>
                <c:pt idx="3663">
                  <c:v>536.3534819680355</c:v>
                </c:pt>
                <c:pt idx="3664">
                  <c:v>537.1267763415835</c:v>
                </c:pt>
                <c:pt idx="3665">
                  <c:v>537.9006957794902</c:v>
                </c:pt>
                <c:pt idx="3666">
                  <c:v>538.6752411959302</c:v>
                </c:pt>
                <c:pt idx="3667">
                  <c:v>539.4504135071745</c:v>
                </c:pt>
                <c:pt idx="3668">
                  <c:v>540.2262136315987</c:v>
                </c:pt>
                <c:pt idx="3669">
                  <c:v>541.0026424896877</c:v>
                </c:pt>
                <c:pt idx="3670">
                  <c:v>541.7797010040425</c:v>
                </c:pt>
                <c:pt idx="3671">
                  <c:v>542.5573900993868</c:v>
                </c:pt>
                <c:pt idx="3672">
                  <c:v>543.335710702573</c:v>
                </c:pt>
                <c:pt idx="3673">
                  <c:v>544.114663742589</c:v>
                </c:pt>
                <c:pt idx="3674">
                  <c:v>544.8942501505645</c:v>
                </c:pt>
                <c:pt idx="3675">
                  <c:v>545.6744708597768</c:v>
                </c:pt>
                <c:pt idx="3676">
                  <c:v>546.4553268056585</c:v>
                </c:pt>
                <c:pt idx="3677">
                  <c:v>547.2368189258035</c:v>
                </c:pt>
                <c:pt idx="3678">
                  <c:v>548.0189481599731</c:v>
                </c:pt>
                <c:pt idx="3679">
                  <c:v>548.8017154501032</c:v>
                </c:pt>
                <c:pt idx="3680">
                  <c:v>549.5851217403105</c:v>
                </c:pt>
                <c:pt idx="3681">
                  <c:v>550.3691679768996</c:v>
                </c:pt>
                <c:pt idx="3682">
                  <c:v>551.1538551083681</c:v>
                </c:pt>
                <c:pt idx="3683">
                  <c:v>551.9391840854157</c:v>
                </c:pt>
                <c:pt idx="3684">
                  <c:v>552.7251558609491</c:v>
                </c:pt>
                <c:pt idx="3685">
                  <c:v>553.5117713900895</c:v>
                </c:pt>
                <c:pt idx="3686">
                  <c:v>554.2990316301788</c:v>
                </c:pt>
                <c:pt idx="3687">
                  <c:v>555.0869375407867</c:v>
                </c:pt>
                <c:pt idx="3688">
                  <c:v>555.8754900837176</c:v>
                </c:pt>
                <c:pt idx="3689">
                  <c:v>556.6646902230176</c:v>
                </c:pt>
                <c:pt idx="3690">
                  <c:v>557.4545389249798</c:v>
                </c:pt>
                <c:pt idx="3691">
                  <c:v>558.2450371581537</c:v>
                </c:pt>
                <c:pt idx="3692">
                  <c:v>559.0361858933501</c:v>
                </c:pt>
                <c:pt idx="3693">
                  <c:v>559.827986103649</c:v>
                </c:pt>
                <c:pt idx="3694">
                  <c:v>560.6204387644061</c:v>
                </c:pt>
                <c:pt idx="3695">
                  <c:v>561.4135448532605</c:v>
                </c:pt>
                <c:pt idx="3696">
                  <c:v>562.20730535014</c:v>
                </c:pt>
                <c:pt idx="3697">
                  <c:v>563.0017212372702</c:v>
                </c:pt>
                <c:pt idx="3698">
                  <c:v>563.7967934991805</c:v>
                </c:pt>
                <c:pt idx="3699">
                  <c:v>564.5925231227112</c:v>
                </c:pt>
                <c:pt idx="3700">
                  <c:v>565.3889110970209</c:v>
                </c:pt>
                <c:pt idx="3701">
                  <c:v>566.1859584135934</c:v>
                </c:pt>
                <c:pt idx="3702">
                  <c:v>566.983666066245</c:v>
                </c:pt>
                <c:pt idx="3703">
                  <c:v>567.7820350511319</c:v>
                </c:pt>
                <c:pt idx="3704">
                  <c:v>568.5810663667563</c:v>
                </c:pt>
                <c:pt idx="3705">
                  <c:v>569.3807610139756</c:v>
                </c:pt>
                <c:pt idx="3706">
                  <c:v>570.1811199960082</c:v>
                </c:pt>
                <c:pt idx="3707">
                  <c:v>570.9821443184413</c:v>
                </c:pt>
                <c:pt idx="3708">
                  <c:v>571.7838349892381</c:v>
                </c:pt>
                <c:pt idx="3709">
                  <c:v>572.5861930187455</c:v>
                </c:pt>
                <c:pt idx="3710">
                  <c:v>573.3892194197012</c:v>
                </c:pt>
                <c:pt idx="3711">
                  <c:v>574.1929152072405</c:v>
                </c:pt>
                <c:pt idx="3712">
                  <c:v>574.9972813989052</c:v>
                </c:pt>
                <c:pt idx="3713">
                  <c:v>575.8023190146503</c:v>
                </c:pt>
                <c:pt idx="3714">
                  <c:v>576.6080290768512</c:v>
                </c:pt>
                <c:pt idx="3715">
                  <c:v>577.4144126103117</c:v>
                </c:pt>
                <c:pt idx="3716">
                  <c:v>578.2214706422717</c:v>
                </c:pt>
                <c:pt idx="3717">
                  <c:v>579.0292042024141</c:v>
                </c:pt>
                <c:pt idx="3718">
                  <c:v>579.8376143228736</c:v>
                </c:pt>
                <c:pt idx="3719">
                  <c:v>580.6467020382424</c:v>
                </c:pt>
                <c:pt idx="3720">
                  <c:v>581.4564683855804</c:v>
                </c:pt>
                <c:pt idx="3721">
                  <c:v>582.266914404421</c:v>
                </c:pt>
                <c:pt idx="3722">
                  <c:v>583.0780411367798</c:v>
                </c:pt>
                <c:pt idx="3723">
                  <c:v>583.889849627162</c:v>
                </c:pt>
                <c:pt idx="3724">
                  <c:v>584.7023409225708</c:v>
                </c:pt>
                <c:pt idx="3725">
                  <c:v>585.5155160725134</c:v>
                </c:pt>
                <c:pt idx="3726">
                  <c:v>586.3293761290116</c:v>
                </c:pt>
                <c:pt idx="3727">
                  <c:v>587.143922146608</c:v>
                </c:pt>
                <c:pt idx="3728">
                  <c:v>587.959155182374</c:v>
                </c:pt>
                <c:pt idx="3729">
                  <c:v>588.7750762959184</c:v>
                </c:pt>
                <c:pt idx="3730">
                  <c:v>589.5916865493949</c:v>
                </c:pt>
                <c:pt idx="3731">
                  <c:v>590.4089870075104</c:v>
                </c:pt>
                <c:pt idx="3732">
                  <c:v>591.2269787375332</c:v>
                </c:pt>
                <c:pt idx="3733">
                  <c:v>592.0456628092998</c:v>
                </c:pt>
                <c:pt idx="3734">
                  <c:v>592.8650402952252</c:v>
                </c:pt>
                <c:pt idx="3735">
                  <c:v>593.6851122703098</c:v>
                </c:pt>
                <c:pt idx="3736">
                  <c:v>594.5058798121474</c:v>
                </c:pt>
                <c:pt idx="3737">
                  <c:v>595.3273440009342</c:v>
                </c:pt>
                <c:pt idx="3738">
                  <c:v>596.1495059194762</c:v>
                </c:pt>
                <c:pt idx="3739">
                  <c:v>596.9723666531986</c:v>
                </c:pt>
                <c:pt idx="3740">
                  <c:v>597.7959272901523</c:v>
                </c:pt>
                <c:pt idx="3741">
                  <c:v>598.6201889210246</c:v>
                </c:pt>
                <c:pt idx="3742">
                  <c:v>599.4451526391458</c:v>
                </c:pt>
                <c:pt idx="3743">
                  <c:v>600.2708195404986</c:v>
                </c:pt>
                <c:pt idx="3744">
                  <c:v>601.0971907237259</c:v>
                </c:pt>
                <c:pt idx="3745">
                  <c:v>601.9242672901399</c:v>
                </c:pt>
                <c:pt idx="3746">
                  <c:v>602.7520503437302</c:v>
                </c:pt>
                <c:pt idx="3747">
                  <c:v>603.5805409911728</c:v>
                </c:pt>
                <c:pt idx="3748">
                  <c:v>604.4097403418374</c:v>
                </c:pt>
                <c:pt idx="3749">
                  <c:v>605.239649507798</c:v>
                </c:pt>
                <c:pt idx="3750">
                  <c:v>606.0702696038405</c:v>
                </c:pt>
                <c:pt idx="3751">
                  <c:v>606.9016017474713</c:v>
                </c:pt>
                <c:pt idx="3752">
                  <c:v>607.7336470589263</c:v>
                </c:pt>
                <c:pt idx="3753">
                  <c:v>608.56640666118</c:v>
                </c:pt>
                <c:pt idx="3754">
                  <c:v>609.3998816799528</c:v>
                </c:pt>
                <c:pt idx="3755">
                  <c:v>610.2340732437222</c:v>
                </c:pt>
                <c:pt idx="3756">
                  <c:v>611.0689824837297</c:v>
                </c:pt>
                <c:pt idx="3757">
                  <c:v>611.9046105339909</c:v>
                </c:pt>
                <c:pt idx="3758">
                  <c:v>612.7409585313038</c:v>
                </c:pt>
                <c:pt idx="3759">
                  <c:v>613.5780276152582</c:v>
                </c:pt>
                <c:pt idx="3760">
                  <c:v>614.4158189282442</c:v>
                </c:pt>
                <c:pt idx="3761">
                  <c:v>615.2543336154623</c:v>
                </c:pt>
                <c:pt idx="3762">
                  <c:v>616.0935728249306</c:v>
                </c:pt>
                <c:pt idx="3763">
                  <c:v>616.933537707496</c:v>
                </c:pt>
                <c:pt idx="3764">
                  <c:v>617.7742294168427</c:v>
                </c:pt>
                <c:pt idx="3765">
                  <c:v>618.6156491095005</c:v>
                </c:pt>
                <c:pt idx="3766">
                  <c:v>619.4577979448553</c:v>
                </c:pt>
                <c:pt idx="3767">
                  <c:v>620.3006770851576</c:v>
                </c:pt>
                <c:pt idx="3768">
                  <c:v>621.1442876955327</c:v>
                </c:pt>
                <c:pt idx="3769">
                  <c:v>621.988630943988</c:v>
                </c:pt>
                <c:pt idx="3770">
                  <c:v>622.8337080014251</c:v>
                </c:pt>
                <c:pt idx="3771">
                  <c:v>623.6795200416476</c:v>
                </c:pt>
                <c:pt idx="3772">
                  <c:v>624.526068241371</c:v>
                </c:pt>
                <c:pt idx="3773">
                  <c:v>625.3733537802322</c:v>
                </c:pt>
                <c:pt idx="3774">
                  <c:v>626.2213778407987</c:v>
                </c:pt>
                <c:pt idx="3775">
                  <c:v>627.0701416085791</c:v>
                </c:pt>
                <c:pt idx="3776">
                  <c:v>627.9196462720321</c:v>
                </c:pt>
                <c:pt idx="3777">
                  <c:v>628.7698930225753</c:v>
                </c:pt>
                <c:pt idx="3778">
                  <c:v>629.6208830545968</c:v>
                </c:pt>
                <c:pt idx="3779">
                  <c:v>630.4726175654638</c:v>
                </c:pt>
                <c:pt idx="3780">
                  <c:v>631.3250977555325</c:v>
                </c:pt>
                <c:pt idx="3781">
                  <c:v>632.1783248281581</c:v>
                </c:pt>
                <c:pt idx="3782">
                  <c:v>633.0322999897049</c:v>
                </c:pt>
                <c:pt idx="3783">
                  <c:v>633.8870244495549</c:v>
                </c:pt>
                <c:pt idx="3784">
                  <c:v>634.7424994201198</c:v>
                </c:pt>
                <c:pt idx="3785">
                  <c:v>635.5987261168495</c:v>
                </c:pt>
                <c:pt idx="3786">
                  <c:v>636.4557057582431</c:v>
                </c:pt>
                <c:pt idx="3787">
                  <c:v>637.313439565858</c:v>
                </c:pt>
                <c:pt idx="3788">
                  <c:v>638.1719287643207</c:v>
                </c:pt>
                <c:pt idx="3789">
                  <c:v>639.0311745813368</c:v>
                </c:pt>
                <c:pt idx="3790">
                  <c:v>639.8911782477016</c:v>
                </c:pt>
                <c:pt idx="3791">
                  <c:v>640.7519409973089</c:v>
                </c:pt>
                <c:pt idx="3792">
                  <c:v>641.6134640671632</c:v>
                </c:pt>
                <c:pt idx="3793">
                  <c:v>642.4757486973891</c:v>
                </c:pt>
                <c:pt idx="3794">
                  <c:v>643.3387961312417</c:v>
                </c:pt>
                <c:pt idx="3795">
                  <c:v>644.2026076151169</c:v>
                </c:pt>
                <c:pt idx="3796">
                  <c:v>645.0671843985623</c:v>
                </c:pt>
                <c:pt idx="3797">
                  <c:v>645.9325277342876</c:v>
                </c:pt>
                <c:pt idx="3798">
                  <c:v>646.7986388781743</c:v>
                </c:pt>
                <c:pt idx="3799">
                  <c:v>647.6655190892876</c:v>
                </c:pt>
                <c:pt idx="3800">
                  <c:v>648.5331696298865</c:v>
                </c:pt>
                <c:pt idx="3801">
                  <c:v>649.4015917654343</c:v>
                </c:pt>
                <c:pt idx="3802">
                  <c:v>650.2707867646095</c:v>
                </c:pt>
                <c:pt idx="3803">
                  <c:v>651.1407558993167</c:v>
                </c:pt>
                <c:pt idx="3804">
                  <c:v>652.0115004446969</c:v>
                </c:pt>
                <c:pt idx="3805">
                  <c:v>652.8830216791396</c:v>
                </c:pt>
                <c:pt idx="3806">
                  <c:v>653.7553208842913</c:v>
                </c:pt>
                <c:pt idx="3807">
                  <c:v>654.6283993450696</c:v>
                </c:pt>
                <c:pt idx="3808">
                  <c:v>655.502258349672</c:v>
                </c:pt>
                <c:pt idx="3809">
                  <c:v>656.3768991895878</c:v>
                </c:pt>
                <c:pt idx="3810">
                  <c:v>657.2523231596086</c:v>
                </c:pt>
                <c:pt idx="3811">
                  <c:v>658.1285315578407</c:v>
                </c:pt>
                <c:pt idx="3812">
                  <c:v>659.0055256857138</c:v>
                </c:pt>
                <c:pt idx="3813">
                  <c:v>659.8833068479955</c:v>
                </c:pt>
                <c:pt idx="3814">
                  <c:v>660.7618763528004</c:v>
                </c:pt>
                <c:pt idx="3815">
                  <c:v>661.641235511602</c:v>
                </c:pt>
                <c:pt idx="3816">
                  <c:v>662.521385639244</c:v>
                </c:pt>
                <c:pt idx="3817">
                  <c:v>663.4023280539521</c:v>
                </c:pt>
                <c:pt idx="3818">
                  <c:v>664.284064077345</c:v>
                </c:pt>
                <c:pt idx="3819">
                  <c:v>665.1665950344466</c:v>
                </c:pt>
                <c:pt idx="3820">
                  <c:v>666.0499222536959</c:v>
                </c:pt>
                <c:pt idx="3821">
                  <c:v>666.9340470669612</c:v>
                </c:pt>
                <c:pt idx="3822">
                  <c:v>667.8189708095499</c:v>
                </c:pt>
                <c:pt idx="3823">
                  <c:v>668.704694820221</c:v>
                </c:pt>
                <c:pt idx="3824">
                  <c:v>669.5912204411964</c:v>
                </c:pt>
                <c:pt idx="3825">
                  <c:v>670.478549018173</c:v>
                </c:pt>
                <c:pt idx="3826">
                  <c:v>671.3666819003353</c:v>
                </c:pt>
                <c:pt idx="3827">
                  <c:v>672.255620440365</c:v>
                </c:pt>
                <c:pt idx="3828">
                  <c:v>673.145365994456</c:v>
                </c:pt>
                <c:pt idx="3829">
                  <c:v>674.0359199223249</c:v>
                </c:pt>
                <c:pt idx="3830">
                  <c:v>674.9272835872226</c:v>
                </c:pt>
                <c:pt idx="3831">
                  <c:v>675.8194583559476</c:v>
                </c:pt>
                <c:pt idx="3832">
                  <c:v>676.7124455988575</c:v>
                </c:pt>
                <c:pt idx="3833">
                  <c:v>677.6062466898812</c:v>
                </c:pt>
                <c:pt idx="3834">
                  <c:v>678.5008630065322</c:v>
                </c:pt>
                <c:pt idx="3835">
                  <c:v>679.3962959299186</c:v>
                </c:pt>
                <c:pt idx="3836">
                  <c:v>680.2925468447582</c:v>
                </c:pt>
                <c:pt idx="3837">
                  <c:v>681.18961713939</c:v>
                </c:pt>
                <c:pt idx="3838">
                  <c:v>682.0875082057859</c:v>
                </c:pt>
                <c:pt idx="3839">
                  <c:v>682.9862214395641</c:v>
                </c:pt>
                <c:pt idx="3840">
                  <c:v>683.8857582400021</c:v>
                </c:pt>
                <c:pt idx="3841">
                  <c:v>684.7861200100474</c:v>
                </c:pt>
                <c:pt idx="3842">
                  <c:v>685.6873081563328</c:v>
                </c:pt>
                <c:pt idx="3843">
                  <c:v>686.5893240891879</c:v>
                </c:pt>
                <c:pt idx="3844">
                  <c:v>687.4921692226517</c:v>
                </c:pt>
                <c:pt idx="3845">
                  <c:v>688.3958449744861</c:v>
                </c:pt>
                <c:pt idx="3846">
                  <c:v>689.3003527661884</c:v>
                </c:pt>
                <c:pt idx="3847">
                  <c:v>690.2056940230049</c:v>
                </c:pt>
                <c:pt idx="3848">
                  <c:v>691.1118701739432</c:v>
                </c:pt>
                <c:pt idx="3849">
                  <c:v>692.0188826517864</c:v>
                </c:pt>
                <c:pt idx="3850">
                  <c:v>692.9267328931041</c:v>
                </c:pt>
                <c:pt idx="3851">
                  <c:v>693.8354223382688</c:v>
                </c:pt>
                <c:pt idx="3852">
                  <c:v>694.7449524314668</c:v>
                </c:pt>
                <c:pt idx="3853">
                  <c:v>695.6553246207123</c:v>
                </c:pt>
                <c:pt idx="3854">
                  <c:v>696.5665403578615</c:v>
                </c:pt>
                <c:pt idx="3855">
                  <c:v>697.4786010986238</c:v>
                </c:pt>
                <c:pt idx="3856">
                  <c:v>698.3915083025785</c:v>
                </c:pt>
                <c:pt idx="3857">
                  <c:v>699.3052634331863</c:v>
                </c:pt>
                <c:pt idx="3858">
                  <c:v>700.2198679578033</c:v>
                </c:pt>
                <c:pt idx="3859">
                  <c:v>701.1353233476952</c:v>
                </c:pt>
                <c:pt idx="3860">
                  <c:v>702.0516310780507</c:v>
                </c:pt>
                <c:pt idx="3861">
                  <c:v>702.9687926279952</c:v>
                </c:pt>
                <c:pt idx="3862">
                  <c:v>703.8868094806052</c:v>
                </c:pt>
                <c:pt idx="3863">
                  <c:v>704.8056831229221</c:v>
                </c:pt>
                <c:pt idx="3864">
                  <c:v>705.7254150459651</c:v>
                </c:pt>
                <c:pt idx="3865">
                  <c:v>706.6460067447472</c:v>
                </c:pt>
                <c:pt idx="3866">
                  <c:v>707.5674597182884</c:v>
                </c:pt>
                <c:pt idx="3867">
                  <c:v>708.4897754696296</c:v>
                </c:pt>
                <c:pt idx="3868">
                  <c:v>709.4129555058475</c:v>
                </c:pt>
                <c:pt idx="3869">
                  <c:v>710.3370013380688</c:v>
                </c:pt>
                <c:pt idx="3870">
                  <c:v>711.2619144814832</c:v>
                </c:pt>
                <c:pt idx="3871">
                  <c:v>712.1876964553604</c:v>
                </c:pt>
                <c:pt idx="3872">
                  <c:v>713.114348783063</c:v>
                </c:pt>
                <c:pt idx="3873">
                  <c:v>714.0418729920613</c:v>
                </c:pt>
                <c:pt idx="3874">
                  <c:v>714.9702706139481</c:v>
                </c:pt>
                <c:pt idx="3875">
                  <c:v>715.8995431844535</c:v>
                </c:pt>
                <c:pt idx="3876">
                  <c:v>716.8296922434595</c:v>
                </c:pt>
                <c:pt idx="3877">
                  <c:v>717.7607193350149</c:v>
                </c:pt>
                <c:pt idx="3878">
                  <c:v>718.6926260073503</c:v>
                </c:pt>
                <c:pt idx="3879">
                  <c:v>719.6254138128937</c:v>
                </c:pt>
                <c:pt idx="3880">
                  <c:v>720.5590843082834</c:v>
                </c:pt>
                <c:pt idx="3881">
                  <c:v>721.493639054386</c:v>
                </c:pt>
                <c:pt idx="3882">
                  <c:v>722.4290796163098</c:v>
                </c:pt>
                <c:pt idx="3883">
                  <c:v>723.365407563421</c:v>
                </c:pt>
                <c:pt idx="3884">
                  <c:v>724.302624469357</c:v>
                </c:pt>
                <c:pt idx="3885">
                  <c:v>725.2407319120451</c:v>
                </c:pt>
                <c:pt idx="3886">
                  <c:v>726.1797314737154</c:v>
                </c:pt>
                <c:pt idx="3887">
                  <c:v>727.1196247409172</c:v>
                </c:pt>
                <c:pt idx="3888">
                  <c:v>728.0604133045346</c:v>
                </c:pt>
                <c:pt idx="3889">
                  <c:v>729.0020987598022</c:v>
                </c:pt>
                <c:pt idx="3890">
                  <c:v>729.9446827063206</c:v>
                </c:pt>
                <c:pt idx="3891">
                  <c:v>730.8881667480725</c:v>
                </c:pt>
                <c:pt idx="3892">
                  <c:v>731.8325524934388</c:v>
                </c:pt>
                <c:pt idx="3893">
                  <c:v>732.7778415552143</c:v>
                </c:pt>
                <c:pt idx="3894">
                  <c:v>733.7240355506226</c:v>
                </c:pt>
                <c:pt idx="3895">
                  <c:v>734.6711361013346</c:v>
                </c:pt>
                <c:pt idx="3896">
                  <c:v>735.6191448334829</c:v>
                </c:pt>
                <c:pt idx="3897">
                  <c:v>736.5680633776789</c:v>
                </c:pt>
                <c:pt idx="3898">
                  <c:v>737.5178933690288</c:v>
                </c:pt>
                <c:pt idx="3899">
                  <c:v>738.4686364471492</c:v>
                </c:pt>
                <c:pt idx="3900">
                  <c:v>739.4202942561852</c:v>
                </c:pt>
                <c:pt idx="3901">
                  <c:v>740.3728684448263</c:v>
                </c:pt>
                <c:pt idx="3902">
                  <c:v>741.3263606663223</c:v>
                </c:pt>
                <c:pt idx="3903">
                  <c:v>742.2807725785012</c:v>
                </c:pt>
                <c:pt idx="3904">
                  <c:v>743.2361058437851</c:v>
                </c:pt>
                <c:pt idx="3905">
                  <c:v>744.1923621292076</c:v>
                </c:pt>
                <c:pt idx="3906">
                  <c:v>745.1495431064302</c:v>
                </c:pt>
                <c:pt idx="3907">
                  <c:v>746.1076504517599</c:v>
                </c:pt>
                <c:pt idx="3908">
                  <c:v>747.0666858461666</c:v>
                </c:pt>
                <c:pt idx="3909">
                  <c:v>748.026650975298</c:v>
                </c:pt>
                <c:pt idx="3910">
                  <c:v>748.9875475295004</c:v>
                </c:pt>
                <c:pt idx="3911">
                  <c:v>749.9493772038335</c:v>
                </c:pt>
                <c:pt idx="3912">
                  <c:v>750.912141698089</c:v>
                </c:pt>
                <c:pt idx="3913">
                  <c:v>751.8758427168067</c:v>
                </c:pt>
                <c:pt idx="3914">
                  <c:v>752.8404819692938</c:v>
                </c:pt>
                <c:pt idx="3915">
                  <c:v>753.8060611696418</c:v>
                </c:pt>
                <c:pt idx="3916">
                  <c:v>754.772582036744</c:v>
                </c:pt>
                <c:pt idx="3917">
                  <c:v>755.7400462943137</c:v>
                </c:pt>
                <c:pt idx="3918">
                  <c:v>756.7084556709021</c:v>
                </c:pt>
                <c:pt idx="3919">
                  <c:v>757.677811899916</c:v>
                </c:pt>
                <c:pt idx="3920">
                  <c:v>758.6481167196363</c:v>
                </c:pt>
                <c:pt idx="3921">
                  <c:v>759.6193718732355</c:v>
                </c:pt>
                <c:pt idx="3922">
                  <c:v>760.5915791087974</c:v>
                </c:pt>
                <c:pt idx="3923">
                  <c:v>761.5647401793326</c:v>
                </c:pt>
                <c:pt idx="3924">
                  <c:v>762.5388568428003</c:v>
                </c:pt>
                <c:pt idx="3925">
                  <c:v>763.5139308621248</c:v>
                </c:pt>
                <c:pt idx="3926">
                  <c:v>764.4899640052143</c:v>
                </c:pt>
                <c:pt idx="3927">
                  <c:v>765.4669580449809</c:v>
                </c:pt>
                <c:pt idx="3928">
                  <c:v>766.444914759356</c:v>
                </c:pt>
                <c:pt idx="3929">
                  <c:v>767.4238359313136</c:v>
                </c:pt>
                <c:pt idx="3930">
                  <c:v>768.4037233488863</c:v>
                </c:pt>
                <c:pt idx="3931">
                  <c:v>769.3845788051849</c:v>
                </c:pt>
                <c:pt idx="3932">
                  <c:v>770.3664040984182</c:v>
                </c:pt>
                <c:pt idx="3933">
                  <c:v>771.3492010319114</c:v>
                </c:pt>
                <c:pt idx="3934">
                  <c:v>772.3329714141261</c:v>
                </c:pt>
                <c:pt idx="3935">
                  <c:v>773.3177170586789</c:v>
                </c:pt>
                <c:pt idx="3936">
                  <c:v>774.3034397843618</c:v>
                </c:pt>
                <c:pt idx="3937">
                  <c:v>775.2901414151615</c:v>
                </c:pt>
                <c:pt idx="3938">
                  <c:v>776.2778237802777</c:v>
                </c:pt>
                <c:pt idx="3939">
                  <c:v>777.2664887141452</c:v>
                </c:pt>
                <c:pt idx="3940">
                  <c:v>778.2561380564525</c:v>
                </c:pt>
                <c:pt idx="3941">
                  <c:v>779.2467736521622</c:v>
                </c:pt>
                <c:pt idx="3942">
                  <c:v>780.2383973515292</c:v>
                </c:pt>
                <c:pt idx="3943">
                  <c:v>781.231011010124</c:v>
                </c:pt>
                <c:pt idx="3944">
                  <c:v>782.2246164888508</c:v>
                </c:pt>
                <c:pt idx="3945">
                  <c:v>783.2192156539681</c:v>
                </c:pt>
                <c:pt idx="3946">
                  <c:v>784.21481037711</c:v>
                </c:pt>
                <c:pt idx="3947">
                  <c:v>785.2114025353055</c:v>
                </c:pt>
                <c:pt idx="3948">
                  <c:v>786.2089940110002</c:v>
                </c:pt>
                <c:pt idx="3949">
                  <c:v>787.2075866920762</c:v>
                </c:pt>
                <c:pt idx="3950">
                  <c:v>788.2071824718738</c:v>
                </c:pt>
                <c:pt idx="3951">
                  <c:v>789.2077832492121</c:v>
                </c:pt>
                <c:pt idx="3952">
                  <c:v>790.2093909284084</c:v>
                </c:pt>
                <c:pt idx="3953">
                  <c:v>791.2120074193027</c:v>
                </c:pt>
                <c:pt idx="3954">
                  <c:v>792.2156346372761</c:v>
                </c:pt>
                <c:pt idx="3955">
                  <c:v>793.2202745032733</c:v>
                </c:pt>
                <c:pt idx="3956">
                  <c:v>794.2259289438244</c:v>
                </c:pt>
                <c:pt idx="3957">
                  <c:v>795.2325998910643</c:v>
                </c:pt>
                <c:pt idx="3958">
                  <c:v>796.2402892827572</c:v>
                </c:pt>
                <c:pt idx="3959">
                  <c:v>797.248999062317</c:v>
                </c:pt>
                <c:pt idx="3960">
                  <c:v>798.258731178829</c:v>
                </c:pt>
                <c:pt idx="3961">
                  <c:v>799.269487587072</c:v>
                </c:pt>
                <c:pt idx="3962">
                  <c:v>800.2812702475408</c:v>
                </c:pt>
                <c:pt idx="3963">
                  <c:v>801.2940811264676</c:v>
                </c:pt>
                <c:pt idx="3964">
                  <c:v>802.3079221958452</c:v>
                </c:pt>
                <c:pt idx="3965">
                  <c:v>803.3227954334485</c:v>
                </c:pt>
                <c:pt idx="3966">
                  <c:v>804.3387028228583</c:v>
                </c:pt>
                <c:pt idx="3967">
                  <c:v>805.3556463534812</c:v>
                </c:pt>
                <c:pt idx="3968">
                  <c:v>806.3736280205759</c:v>
                </c:pt>
                <c:pt idx="3969">
                  <c:v>807.3926498252737</c:v>
                </c:pt>
                <c:pt idx="3970">
                  <c:v>808.4127137746025</c:v>
                </c:pt>
                <c:pt idx="3971">
                  <c:v>809.433821881508</c:v>
                </c:pt>
                <c:pt idx="3972">
                  <c:v>810.4559761648799</c:v>
                </c:pt>
                <c:pt idx="3973">
                  <c:v>811.4791786495726</c:v>
                </c:pt>
                <c:pt idx="3974">
                  <c:v>812.5034313664302</c:v>
                </c:pt>
                <c:pt idx="3975">
                  <c:v>813.5287363523087</c:v>
                </c:pt>
                <c:pt idx="3976">
                  <c:v>814.5550956501007</c:v>
                </c:pt>
                <c:pt idx="3977">
                  <c:v>815.5825113087587</c:v>
                </c:pt>
                <c:pt idx="3978">
                  <c:v>816.6109853833191</c:v>
                </c:pt>
                <c:pt idx="3979">
                  <c:v>817.6405199349263</c:v>
                </c:pt>
                <c:pt idx="3980">
                  <c:v>818.6711170308553</c:v>
                </c:pt>
                <c:pt idx="3981">
                  <c:v>819.7027787445386</c:v>
                </c:pt>
                <c:pt idx="3982">
                  <c:v>820.7355071555888</c:v>
                </c:pt>
                <c:pt idx="3983">
                  <c:v>821.7693043498234</c:v>
                </c:pt>
                <c:pt idx="3984">
                  <c:v>822.8041724192892</c:v>
                </c:pt>
                <c:pt idx="3985">
                  <c:v>823.8401134622873</c:v>
                </c:pt>
                <c:pt idx="3986">
                  <c:v>824.8771295833983</c:v>
                </c:pt>
                <c:pt idx="3987">
                  <c:v>825.9152228935054</c:v>
                </c:pt>
                <c:pt idx="3988">
                  <c:v>826.9543955098221</c:v>
                </c:pt>
                <c:pt idx="3989">
                  <c:v>827.9946495559159</c:v>
                </c:pt>
                <c:pt idx="3990">
                  <c:v>829.0359871617336</c:v>
                </c:pt>
                <c:pt idx="3991">
                  <c:v>830.0784104636273</c:v>
                </c:pt>
                <c:pt idx="3992">
                  <c:v>831.1219216043794</c:v>
                </c:pt>
                <c:pt idx="3993">
                  <c:v>832.1665227332287</c:v>
                </c:pt>
                <c:pt idx="3994">
                  <c:v>833.2122160058963</c:v>
                </c:pt>
                <c:pt idx="3995">
                  <c:v>834.2590035846115</c:v>
                </c:pt>
                <c:pt idx="3996">
                  <c:v>835.3068876381367</c:v>
                </c:pt>
                <c:pt idx="3997">
                  <c:v>836.355870341796</c:v>
                </c:pt>
                <c:pt idx="3998">
                  <c:v>837.4059538774999</c:v>
                </c:pt>
                <c:pt idx="3999">
                  <c:v>838.4571404337719</c:v>
                </c:pt>
                <c:pt idx="4000">
                  <c:v>839.5094322057762</c:v>
                </c:pt>
                <c:pt idx="4001">
                  <c:v>840.5628313953418</c:v>
                </c:pt>
                <c:pt idx="4002">
                  <c:v>841.6173402109932</c:v>
                </c:pt>
                <c:pt idx="4003">
                  <c:v>842.6729608679746</c:v>
                </c:pt>
                <c:pt idx="4004">
                  <c:v>843.7296955882778</c:v>
                </c:pt>
                <c:pt idx="4005">
                  <c:v>844.78754660067</c:v>
                </c:pt>
                <c:pt idx="4006">
                  <c:v>845.8465161407208</c:v>
                </c:pt>
                <c:pt idx="4007">
                  <c:v>846.9066064508297</c:v>
                </c:pt>
                <c:pt idx="4008">
                  <c:v>847.967819780254</c:v>
                </c:pt>
                <c:pt idx="4009">
                  <c:v>849.0301583851373</c:v>
                </c:pt>
                <c:pt idx="4010">
                  <c:v>850.093624528535</c:v>
                </c:pt>
                <c:pt idx="4011">
                  <c:v>851.1582204804462</c:v>
                </c:pt>
                <c:pt idx="4012">
                  <c:v>852.2239485178393</c:v>
                </c:pt>
                <c:pt idx="4013">
                  <c:v>853.2908109246813</c:v>
                </c:pt>
                <c:pt idx="4014">
                  <c:v>854.3588099919667</c:v>
                </c:pt>
                <c:pt idx="4015">
                  <c:v>855.4279480177446</c:v>
                </c:pt>
                <c:pt idx="4016">
                  <c:v>856.4982273071499</c:v>
                </c:pt>
                <c:pt idx="4017">
                  <c:v>857.569650172431</c:v>
                </c:pt>
                <c:pt idx="4018">
                  <c:v>858.642218932979</c:v>
                </c:pt>
                <c:pt idx="4019">
                  <c:v>859.7159359153571</c:v>
                </c:pt>
                <c:pt idx="4020">
                  <c:v>860.7908034533307</c:v>
                </c:pt>
                <c:pt idx="4021">
                  <c:v>861.8668238878959</c:v>
                </c:pt>
                <c:pt idx="4022">
                  <c:v>862.9439995673101</c:v>
                </c:pt>
                <c:pt idx="4023">
                  <c:v>864.0223328471225</c:v>
                </c:pt>
                <c:pt idx="4024">
                  <c:v>865.1018260902011</c:v>
                </c:pt>
                <c:pt idx="4025">
                  <c:v>866.1824816667677</c:v>
                </c:pt>
                <c:pt idx="4026">
                  <c:v>867.2643019544245</c:v>
                </c:pt>
                <c:pt idx="4027">
                  <c:v>868.3472893381863</c:v>
                </c:pt>
                <c:pt idx="4028">
                  <c:v>869.4314462105115</c:v>
                </c:pt>
                <c:pt idx="4029">
                  <c:v>870.5167749713305</c:v>
                </c:pt>
                <c:pt idx="4030">
                  <c:v>871.6032780280805</c:v>
                </c:pt>
                <c:pt idx="4031">
                  <c:v>872.690957795734</c:v>
                </c:pt>
                <c:pt idx="4032">
                  <c:v>873.779816696831</c:v>
                </c:pt>
                <c:pt idx="4033">
                  <c:v>874.8698571615104</c:v>
                </c:pt>
                <c:pt idx="4034">
                  <c:v>875.9610816275417</c:v>
                </c:pt>
                <c:pt idx="4035">
                  <c:v>877.0534925403571</c:v>
                </c:pt>
                <c:pt idx="4036">
                  <c:v>878.147092353083</c:v>
                </c:pt>
                <c:pt idx="4037">
                  <c:v>879.2418835265732</c:v>
                </c:pt>
                <c:pt idx="4038">
                  <c:v>880.337868529439</c:v>
                </c:pt>
                <c:pt idx="4039">
                  <c:v>881.4350498380844</c:v>
                </c:pt>
                <c:pt idx="4040">
                  <c:v>882.5334299367377</c:v>
                </c:pt>
                <c:pt idx="4041">
                  <c:v>883.6330113174838</c:v>
                </c:pt>
                <c:pt idx="4042">
                  <c:v>884.7337964802981</c:v>
                </c:pt>
                <c:pt idx="4043">
                  <c:v>885.8357879330791</c:v>
                </c:pt>
                <c:pt idx="4044">
                  <c:v>886.9389881916827</c:v>
                </c:pt>
                <c:pt idx="4045">
                  <c:v>888.0433997799535</c:v>
                </c:pt>
                <c:pt idx="4046">
                  <c:v>889.1490252297616</c:v>
                </c:pt>
                <c:pt idx="4047">
                  <c:v>890.2558670810347</c:v>
                </c:pt>
                <c:pt idx="4048">
                  <c:v>891.3639278817923</c:v>
                </c:pt>
                <c:pt idx="4049">
                  <c:v>892.4732101881805</c:v>
                </c:pt>
                <c:pt idx="4050">
                  <c:v>893.583716564506</c:v>
                </c:pt>
                <c:pt idx="4051">
                  <c:v>894.6954495832708</c:v>
                </c:pt>
                <c:pt idx="4052">
                  <c:v>895.8084118252076</c:v>
                </c:pt>
                <c:pt idx="4053">
                  <c:v>896.922605879314</c:v>
                </c:pt>
                <c:pt idx="4054">
                  <c:v>898.0380343428886</c:v>
                </c:pt>
                <c:pt idx="4055">
                  <c:v>899.1546998215645</c:v>
                </c:pt>
                <c:pt idx="4056">
                  <c:v>900.2726049293475</c:v>
                </c:pt>
                <c:pt idx="4057">
                  <c:v>901.3917522886503</c:v>
                </c:pt>
                <c:pt idx="4058">
                  <c:v>902.5121445303292</c:v>
                </c:pt>
                <c:pt idx="4059">
                  <c:v>903.6337842937182</c:v>
                </c:pt>
                <c:pt idx="4060">
                  <c:v>904.7566742266686</c:v>
                </c:pt>
                <c:pt idx="4061">
                  <c:v>905.880816985583</c:v>
                </c:pt>
                <c:pt idx="4062">
                  <c:v>907.0062152354535</c:v>
                </c:pt>
                <c:pt idx="4063">
                  <c:v>908.1328716498975</c:v>
                </c:pt>
                <c:pt idx="4064">
                  <c:v>909.2607889111958</c:v>
                </c:pt>
                <c:pt idx="4065">
                  <c:v>910.3899697103293</c:v>
                </c:pt>
                <c:pt idx="4066">
                  <c:v>911.5204167470167</c:v>
                </c:pt>
                <c:pt idx="4067">
                  <c:v>912.6521327297525</c:v>
                </c:pt>
                <c:pt idx="4068">
                  <c:v>913.7851203758449</c:v>
                </c:pt>
                <c:pt idx="4069">
                  <c:v>914.9193824114525</c:v>
                </c:pt>
                <c:pt idx="4070">
                  <c:v>916.0549215716253</c:v>
                </c:pt>
                <c:pt idx="4071">
                  <c:v>917.1917406003415</c:v>
                </c:pt>
                <c:pt idx="4072">
                  <c:v>918.3298422505472</c:v>
                </c:pt>
                <c:pt idx="4073">
                  <c:v>919.469229284193</c:v>
                </c:pt>
                <c:pt idx="4074">
                  <c:v>920.6099044722769</c:v>
                </c:pt>
                <c:pt idx="4075">
                  <c:v>921.751870594881</c:v>
                </c:pt>
                <c:pt idx="4076">
                  <c:v>922.8951304412122</c:v>
                </c:pt>
                <c:pt idx="4077">
                  <c:v>924.0396868096418</c:v>
                </c:pt>
                <c:pt idx="4078">
                  <c:v>925.1855425077454</c:v>
                </c:pt>
                <c:pt idx="4079">
                  <c:v>926.3327003523433</c:v>
                </c:pt>
                <c:pt idx="4080">
                  <c:v>927.4811631695411</c:v>
                </c:pt>
                <c:pt idx="4081">
                  <c:v>928.6309337947704</c:v>
                </c:pt>
                <c:pt idx="4082">
                  <c:v>929.7820150728302</c:v>
                </c:pt>
                <c:pt idx="4083">
                  <c:v>930.9344098579257</c:v>
                </c:pt>
                <c:pt idx="4084">
                  <c:v>932.0881210137136</c:v>
                </c:pt>
                <c:pt idx="4085">
                  <c:v>932.0881210137136</c:v>
                </c:pt>
                <c:pt idx="4086">
                  <c:v>932.8998477554196</c:v>
                </c:pt>
                <c:pt idx="4087">
                  <c:v>933.7122861597583</c:v>
                </c:pt>
                <c:pt idx="4088">
                  <c:v>934.5254374426149</c:v>
                </c:pt>
                <c:pt idx="4089">
                  <c:v>935.339302823005</c:v>
                </c:pt>
                <c:pt idx="4090">
                  <c:v>936.1538835230872</c:v>
                </c:pt>
                <c:pt idx="4091">
                  <c:v>936.9691807681764</c:v>
                </c:pt>
                <c:pt idx="4092">
                  <c:v>937.7851957867504</c:v>
                </c:pt>
                <c:pt idx="4093">
                  <c:v>938.6019298104623</c:v>
                </c:pt>
                <c:pt idx="4094">
                  <c:v>939.4193840741544</c:v>
                </c:pt>
                <c:pt idx="4095">
                  <c:v>940.2375598158646</c:v>
                </c:pt>
                <c:pt idx="4096">
                  <c:v>941.0564582768393</c:v>
                </c:pt>
                <c:pt idx="4097">
                  <c:v>941.8760807015472</c:v>
                </c:pt>
                <c:pt idx="4098">
                  <c:v>942.6964283376847</c:v>
                </c:pt>
                <c:pt idx="4099">
                  <c:v>943.5175024361937</c:v>
                </c:pt>
                <c:pt idx="4100">
                  <c:v>944.3393042512671</c:v>
                </c:pt>
                <c:pt idx="4101">
                  <c:v>945.1618350403622</c:v>
                </c:pt>
                <c:pt idx="4102">
                  <c:v>945.9850960642152</c:v>
                </c:pt>
                <c:pt idx="4103">
                  <c:v>946.8090885868469</c:v>
                </c:pt>
                <c:pt idx="4104">
                  <c:v>947.6338138755771</c:v>
                </c:pt>
                <c:pt idx="4105">
                  <c:v>948.4592732010382</c:v>
                </c:pt>
                <c:pt idx="4106">
                  <c:v>949.2854678371822</c:v>
                </c:pt>
                <c:pt idx="4107">
                  <c:v>950.1123990612944</c:v>
                </c:pt>
                <c:pt idx="4108">
                  <c:v>950.9400681540076</c:v>
                </c:pt>
                <c:pt idx="4109">
                  <c:v>951.768476399309</c:v>
                </c:pt>
                <c:pt idx="4110">
                  <c:v>952.5976250845541</c:v>
                </c:pt>
                <c:pt idx="4111">
                  <c:v>953.4275155004813</c:v>
                </c:pt>
                <c:pt idx="4112">
                  <c:v>954.2581489412183</c:v>
                </c:pt>
                <c:pt idx="4113">
                  <c:v>955.0895267042973</c:v>
                </c:pt>
                <c:pt idx="4114">
                  <c:v>955.9216500906684</c:v>
                </c:pt>
                <c:pt idx="4115">
                  <c:v>956.7545204047075</c:v>
                </c:pt>
                <c:pt idx="4116">
                  <c:v>957.5881389542301</c:v>
                </c:pt>
                <c:pt idx="4117">
                  <c:v>958.4225070505066</c:v>
                </c:pt>
                <c:pt idx="4118">
                  <c:v>959.2576260082682</c:v>
                </c:pt>
                <c:pt idx="4119">
                  <c:v>960.0934971457256</c:v>
                </c:pt>
                <c:pt idx="4120">
                  <c:v>960.9301217845758</c:v>
                </c:pt>
                <c:pt idx="4121">
                  <c:v>961.7675012500171</c:v>
                </c:pt>
                <c:pt idx="4122">
                  <c:v>962.6056368707632</c:v>
                </c:pt>
                <c:pt idx="4123">
                  <c:v>963.4445299790514</c:v>
                </c:pt>
                <c:pt idx="4124">
                  <c:v>964.284181910657</c:v>
                </c:pt>
                <c:pt idx="4125">
                  <c:v>965.1245940049089</c:v>
                </c:pt>
                <c:pt idx="4126">
                  <c:v>965.9657676046966</c:v>
                </c:pt>
                <c:pt idx="4127">
                  <c:v>966.8077040564857</c:v>
                </c:pt>
                <c:pt idx="4128">
                  <c:v>967.6504047103331</c:v>
                </c:pt>
                <c:pt idx="4129">
                  <c:v>968.4938709198944</c:v>
                </c:pt>
                <c:pt idx="4130">
                  <c:v>969.33810404244</c:v>
                </c:pt>
                <c:pt idx="4131">
                  <c:v>970.1831054388696</c:v>
                </c:pt>
                <c:pt idx="4132">
                  <c:v>971.0288764737204</c:v>
                </c:pt>
                <c:pt idx="4133">
                  <c:v>971.875418515183</c:v>
                </c:pt>
                <c:pt idx="4134">
                  <c:v>972.7227329351164</c:v>
                </c:pt>
                <c:pt idx="4135">
                  <c:v>973.5708211090563</c:v>
                </c:pt>
                <c:pt idx="4136">
                  <c:v>974.4196844162309</c:v>
                </c:pt>
                <c:pt idx="4137">
                  <c:v>975.2693242395763</c:v>
                </c:pt>
                <c:pt idx="4138">
                  <c:v>976.1197419657453</c:v>
                </c:pt>
                <c:pt idx="4139">
                  <c:v>976.9709389851226</c:v>
                </c:pt>
                <c:pt idx="4140">
                  <c:v>977.8229166918413</c:v>
                </c:pt>
                <c:pt idx="4141">
                  <c:v>978.67567648379</c:v>
                </c:pt>
                <c:pt idx="4142">
                  <c:v>979.5292197626331</c:v>
                </c:pt>
                <c:pt idx="4143">
                  <c:v>980.3835479338192</c:v>
                </c:pt>
                <c:pt idx="4144">
                  <c:v>981.238662406596</c:v>
                </c:pt>
                <c:pt idx="4145">
                  <c:v>982.0945645940277</c:v>
                </c:pt>
                <c:pt idx="4146">
                  <c:v>982.9512559130033</c:v>
                </c:pt>
                <c:pt idx="4147">
                  <c:v>983.8087377842525</c:v>
                </c:pt>
                <c:pt idx="4148">
                  <c:v>984.6670116323628</c:v>
                </c:pt>
                <c:pt idx="4149">
                  <c:v>985.5260788857881</c:v>
                </c:pt>
                <c:pt idx="4150">
                  <c:v>986.3859409768653</c:v>
                </c:pt>
                <c:pt idx="4151">
                  <c:v>987.2465993418306</c:v>
                </c:pt>
                <c:pt idx="4152">
                  <c:v>988.108055420829</c:v>
                </c:pt>
                <c:pt idx="4153">
                  <c:v>988.970310657931</c:v>
                </c:pt>
                <c:pt idx="4154">
                  <c:v>989.833366501149</c:v>
                </c:pt>
                <c:pt idx="4155">
                  <c:v>990.6972244024471</c:v>
                </c:pt>
                <c:pt idx="4156">
                  <c:v>991.5618858177576</c:v>
                </c:pt>
                <c:pt idx="4157">
                  <c:v>992.4273522069982</c:v>
                </c:pt>
                <c:pt idx="4158">
                  <c:v>993.2936250340816</c:v>
                </c:pt>
                <c:pt idx="4159">
                  <c:v>994.1607057669324</c:v>
                </c:pt>
                <c:pt idx="4160">
                  <c:v>995.0285958775044</c:v>
                </c:pt>
                <c:pt idx="4161">
                  <c:v>995.8972968417892</c:v>
                </c:pt>
                <c:pt idx="4162">
                  <c:v>996.7668101398382</c:v>
                </c:pt>
                <c:pt idx="4163">
                  <c:v>997.6371372557712</c:v>
                </c:pt>
                <c:pt idx="4164">
                  <c:v>998.5082796777941</c:v>
                </c:pt>
                <c:pt idx="4165">
                  <c:v>999.3802388982161</c:v>
                </c:pt>
                <c:pt idx="4166">
                  <c:v>1000.2530164134602</c:v>
                </c:pt>
                <c:pt idx="4167">
                  <c:v>1001.1266137240801</c:v>
                </c:pt>
                <c:pt idx="4168">
                  <c:v>1002.0010323347791</c:v>
                </c:pt>
                <c:pt idx="4169">
                  <c:v>1002.8762737544192</c:v>
                </c:pt>
                <c:pt idx="4170">
                  <c:v>1003.7523394960397</c:v>
                </c:pt>
                <c:pt idx="4171">
                  <c:v>1004.6292310768746</c:v>
                </c:pt>
                <c:pt idx="4172">
                  <c:v>1005.5069500183637</c:v>
                </c:pt>
                <c:pt idx="4173">
                  <c:v>1006.38549784617</c:v>
                </c:pt>
                <c:pt idx="4174">
                  <c:v>1007.2648760901985</c:v>
                </c:pt>
                <c:pt idx="4175">
                  <c:v>1008.1450862846064</c:v>
                </c:pt>
                <c:pt idx="4176">
                  <c:v>1009.0261299678214</c:v>
                </c:pt>
                <c:pt idx="4177">
                  <c:v>1009.9080086825605</c:v>
                </c:pt>
                <c:pt idx="4178">
                  <c:v>1010.7907239758407</c:v>
                </c:pt>
                <c:pt idx="4179">
                  <c:v>1011.6742773989972</c:v>
                </c:pt>
                <c:pt idx="4180">
                  <c:v>1012.5586705077023</c:v>
                </c:pt>
                <c:pt idx="4181">
                  <c:v>1013.4439048619766</c:v>
                </c:pt>
                <c:pt idx="4182">
                  <c:v>1014.3299820262076</c:v>
                </c:pt>
                <c:pt idx="4183">
                  <c:v>1015.2169035691685</c:v>
                </c:pt>
                <c:pt idx="4184">
                  <c:v>1016.1046710640286</c:v>
                </c:pt>
                <c:pt idx="4185">
                  <c:v>1016.993286088377</c:v>
                </c:pt>
                <c:pt idx="4186">
                  <c:v>1017.8827502242325</c:v>
                </c:pt>
                <c:pt idx="4187">
                  <c:v>1018.7730650580634</c:v>
                </c:pt>
                <c:pt idx="4188">
                  <c:v>1019.6642321808062</c:v>
                </c:pt>
                <c:pt idx="4189">
                  <c:v>1020.5562531878777</c:v>
                </c:pt>
                <c:pt idx="4190">
                  <c:v>1021.4491296791941</c:v>
                </c:pt>
                <c:pt idx="4191">
                  <c:v>1022.342863259191</c:v>
                </c:pt>
                <c:pt idx="4192">
                  <c:v>1023.2374555368342</c:v>
                </c:pt>
                <c:pt idx="4193">
                  <c:v>1024.1329081256406</c:v>
                </c:pt>
                <c:pt idx="4194">
                  <c:v>1025.029222643697</c:v>
                </c:pt>
                <c:pt idx="4195">
                  <c:v>1025.926400713673</c:v>
                </c:pt>
                <c:pt idx="4196">
                  <c:v>1026.8244439628404</c:v>
                </c:pt>
                <c:pt idx="4197">
                  <c:v>1027.723354023093</c:v>
                </c:pt>
                <c:pt idx="4198">
                  <c:v>1028.6231325309593</c:v>
                </c:pt>
                <c:pt idx="4199">
                  <c:v>1029.5237811276227</c:v>
                </c:pt>
                <c:pt idx="4200">
                  <c:v>1030.4253014589415</c:v>
                </c:pt>
                <c:pt idx="4201">
                  <c:v>1031.3276951754617</c:v>
                </c:pt>
                <c:pt idx="4202">
                  <c:v>1032.2309639324374</c:v>
                </c:pt>
                <c:pt idx="4203">
                  <c:v>1033.1351093898509</c:v>
                </c:pt>
                <c:pt idx="4204">
                  <c:v>1034.040133212426</c:v>
                </c:pt>
                <c:pt idx="4205">
                  <c:v>1034.9460370696488</c:v>
                </c:pt>
                <c:pt idx="4206">
                  <c:v>1035.8528226357876</c:v>
                </c:pt>
                <c:pt idx="4207">
                  <c:v>1036.760491589906</c:v>
                </c:pt>
                <c:pt idx="4208">
                  <c:v>1037.6690456158879</c:v>
                </c:pt>
                <c:pt idx="4209">
                  <c:v>1038.5784864024495</c:v>
                </c:pt>
                <c:pt idx="4210">
                  <c:v>1039.488815643161</c:v>
                </c:pt>
                <c:pt idx="4211">
                  <c:v>1040.4000350364674</c:v>
                </c:pt>
                <c:pt idx="4212">
                  <c:v>1041.3121462857025</c:v>
                </c:pt>
                <c:pt idx="4213">
                  <c:v>1042.2251510991096</c:v>
                </c:pt>
                <c:pt idx="4214">
                  <c:v>1043.139051189863</c:v>
                </c:pt>
                <c:pt idx="4215">
                  <c:v>1044.0538482760828</c:v>
                </c:pt>
                <c:pt idx="4216">
                  <c:v>1044.9695440808555</c:v>
                </c:pt>
                <c:pt idx="4217">
                  <c:v>1045.8861403322558</c:v>
                </c:pt>
                <c:pt idx="4218">
                  <c:v>1046.8036387633613</c:v>
                </c:pt>
                <c:pt idx="4219">
                  <c:v>1047.722041112274</c:v>
                </c:pt>
                <c:pt idx="4220">
                  <c:v>1048.6413491221424</c:v>
                </c:pt>
                <c:pt idx="4221">
                  <c:v>1049.561564541176</c:v>
                </c:pt>
                <c:pt idx="4222">
                  <c:v>1050.482689122667</c:v>
                </c:pt>
                <c:pt idx="4223">
                  <c:v>1051.4047246250132</c:v>
                </c:pt>
                <c:pt idx="4224">
                  <c:v>1052.3276728117323</c:v>
                </c:pt>
                <c:pt idx="4225">
                  <c:v>1053.2515354514846</c:v>
                </c:pt>
                <c:pt idx="4226">
                  <c:v>1054.1763143180954</c:v>
                </c:pt>
                <c:pt idx="4227">
                  <c:v>1055.102011190569</c:v>
                </c:pt>
                <c:pt idx="4228">
                  <c:v>1056.0286278531166</c:v>
                </c:pt>
                <c:pt idx="4229">
                  <c:v>1056.956166095169</c:v>
                </c:pt>
                <c:pt idx="4230">
                  <c:v>1057.884627711401</c:v>
                </c:pt>
                <c:pt idx="4231">
                  <c:v>1058.814014501754</c:v>
                </c:pt>
                <c:pt idx="4232">
                  <c:v>1059.7443282714512</c:v>
                </c:pt>
                <c:pt idx="4233">
                  <c:v>1060.6755708310213</c:v>
                </c:pt>
                <c:pt idx="4234">
                  <c:v>1061.6077439963217</c:v>
                </c:pt>
                <c:pt idx="4235">
                  <c:v>1062.5408495885538</c:v>
                </c:pt>
                <c:pt idx="4236">
                  <c:v>1063.4748894342874</c:v>
                </c:pt>
                <c:pt idx="4237">
                  <c:v>1064.409865365484</c:v>
                </c:pt>
                <c:pt idx="4238">
                  <c:v>1065.3457792195122</c:v>
                </c:pt>
                <c:pt idx="4239">
                  <c:v>1066.2826328391732</c:v>
                </c:pt>
                <c:pt idx="4240">
                  <c:v>1067.220428072723</c:v>
                </c:pt>
                <c:pt idx="4241">
                  <c:v>1068.1591667738903</c:v>
                </c:pt>
                <c:pt idx="4242">
                  <c:v>1069.0988508018993</c:v>
                </c:pt>
                <c:pt idx="4243">
                  <c:v>1070.0394820214954</c:v>
                </c:pt>
                <c:pt idx="4244">
                  <c:v>1070.9810623029605</c:v>
                </c:pt>
                <c:pt idx="4245">
                  <c:v>1071.9235935221388</c:v>
                </c:pt>
                <c:pt idx="4246">
                  <c:v>1072.867077560461</c:v>
                </c:pt>
                <c:pt idx="4247">
                  <c:v>1073.8115163049597</c:v>
                </c:pt>
                <c:pt idx="4248">
                  <c:v>1074.7569116483</c:v>
                </c:pt>
                <c:pt idx="4249">
                  <c:v>1075.7032654887946</c:v>
                </c:pt>
                <c:pt idx="4250">
                  <c:v>1076.6505797304294</c:v>
                </c:pt>
                <c:pt idx="4251">
                  <c:v>1077.5988562828888</c:v>
                </c:pt>
                <c:pt idx="4252">
                  <c:v>1078.5480970615733</c:v>
                </c:pt>
                <c:pt idx="4253">
                  <c:v>1079.4983039876242</c:v>
                </c:pt>
                <c:pt idx="4254">
                  <c:v>1080.4494789879507</c:v>
                </c:pt>
                <c:pt idx="4255">
                  <c:v>1081.4016239952457</c:v>
                </c:pt>
                <c:pt idx="4256">
                  <c:v>1082.3547409480134</c:v>
                </c:pt>
                <c:pt idx="4257">
                  <c:v>1083.3088317905945</c:v>
                </c:pt>
                <c:pt idx="4258">
                  <c:v>1084.2638984731843</c:v>
                </c:pt>
                <c:pt idx="4259">
                  <c:v>1085.219942951859</c:v>
                </c:pt>
                <c:pt idx="4260">
                  <c:v>1086.1769671886016</c:v>
                </c:pt>
                <c:pt idx="4261">
                  <c:v>1087.1349731513212</c:v>
                </c:pt>
                <c:pt idx="4262">
                  <c:v>1088.0939628138792</c:v>
                </c:pt>
                <c:pt idx="4263">
                  <c:v>1089.0539381561155</c:v>
                </c:pt>
                <c:pt idx="4264">
                  <c:v>1090.014901163868</c:v>
                </c:pt>
                <c:pt idx="4265">
                  <c:v>1090.9768538289989</c:v>
                </c:pt>
                <c:pt idx="4266">
                  <c:v>1091.9397981494226</c:v>
                </c:pt>
                <c:pt idx="4267">
                  <c:v>1092.903736129124</c:v>
                </c:pt>
                <c:pt idx="4268">
                  <c:v>1093.8686697781857</c:v>
                </c:pt>
                <c:pt idx="4269">
                  <c:v>1094.8346011128172</c:v>
                </c:pt>
                <c:pt idx="4270">
                  <c:v>1095.8015321553708</c:v>
                </c:pt>
                <c:pt idx="4271">
                  <c:v>1096.7694649343762</c:v>
                </c:pt>
                <c:pt idx="4272">
                  <c:v>1097.738401484558</c:v>
                </c:pt>
                <c:pt idx="4273">
                  <c:v>1098.7083438468635</c:v>
                </c:pt>
                <c:pt idx="4274">
                  <c:v>1099.6792940684923</c:v>
                </c:pt>
                <c:pt idx="4275">
                  <c:v>1100.6512542029147</c:v>
                </c:pt>
                <c:pt idx="4276">
                  <c:v>1101.6242263099011</c:v>
                </c:pt>
                <c:pt idx="4277">
                  <c:v>1102.59821245555</c:v>
                </c:pt>
                <c:pt idx="4278">
                  <c:v>1103.573214712309</c:v>
                </c:pt>
                <c:pt idx="4279">
                  <c:v>1104.5492351590026</c:v>
                </c:pt>
                <c:pt idx="4280">
                  <c:v>1105.5262758808626</c:v>
                </c:pt>
                <c:pt idx="4281">
                  <c:v>1106.5043389695475</c:v>
                </c:pt>
                <c:pt idx="4282">
                  <c:v>1107.4834265231723</c:v>
                </c:pt>
                <c:pt idx="4283">
                  <c:v>1108.463540646338</c:v>
                </c:pt>
                <c:pt idx="4284">
                  <c:v>1109.444683450153</c:v>
                </c:pt>
                <c:pt idx="4285">
                  <c:v>1110.4268570522618</c:v>
                </c:pt>
                <c:pt idx="4286">
                  <c:v>1111.4100635768755</c:v>
                </c:pt>
                <c:pt idx="4287">
                  <c:v>1112.3943051547935</c:v>
                </c:pt>
                <c:pt idx="4288">
                  <c:v>1113.3795839234333</c:v>
                </c:pt>
                <c:pt idx="4289">
                  <c:v>1114.3659020268603</c:v>
                </c:pt>
                <c:pt idx="4290">
                  <c:v>1115.3532616158109</c:v>
                </c:pt>
                <c:pt idx="4291">
                  <c:v>1116.3416648477214</c:v>
                </c:pt>
                <c:pt idx="4292">
                  <c:v>1117.3311138867605</c:v>
                </c:pt>
                <c:pt idx="4293">
                  <c:v>1118.3216109038494</c:v>
                </c:pt>
                <c:pt idx="4294">
                  <c:v>1119.3131580766978</c:v>
                </c:pt>
                <c:pt idx="4295">
                  <c:v>1120.305757589826</c:v>
                </c:pt>
                <c:pt idx="4296">
                  <c:v>1121.2994116345956</c:v>
                </c:pt>
                <c:pt idx="4297">
                  <c:v>1122.294122409241</c:v>
                </c:pt>
                <c:pt idx="4298">
                  <c:v>1123.289892118893</c:v>
                </c:pt>
                <c:pt idx="4299">
                  <c:v>1124.28672297561</c:v>
                </c:pt>
                <c:pt idx="4300">
                  <c:v>1125.2846171984104</c:v>
                </c:pt>
                <c:pt idx="4301">
                  <c:v>1126.2835770132951</c:v>
                </c:pt>
                <c:pt idx="4302">
                  <c:v>1127.2836046532807</c:v>
                </c:pt>
                <c:pt idx="4303">
                  <c:v>1128.2847023584316</c:v>
                </c:pt>
                <c:pt idx="4304">
                  <c:v>1129.2868723758838</c:v>
                </c:pt>
                <c:pt idx="4305">
                  <c:v>1130.2901169598774</c:v>
                </c:pt>
                <c:pt idx="4306">
                  <c:v>1131.29443837179</c:v>
                </c:pt>
                <c:pt idx="4307">
                  <c:v>1132.2998388801602</c:v>
                </c:pt>
                <c:pt idx="4308">
                  <c:v>1133.306320760722</c:v>
                </c:pt>
                <c:pt idx="4309">
                  <c:v>1134.3138862964367</c:v>
                </c:pt>
                <c:pt idx="4310">
                  <c:v>1135.322537777519</c:v>
                </c:pt>
                <c:pt idx="4311">
                  <c:v>1136.33227750147</c:v>
                </c:pt>
                <c:pt idx="4312">
                  <c:v>1137.3431077731107</c:v>
                </c:pt>
                <c:pt idx="4313">
                  <c:v>1138.3550309046072</c:v>
                </c:pt>
                <c:pt idx="4314">
                  <c:v>1139.3680492155097</c:v>
                </c:pt>
                <c:pt idx="4315">
                  <c:v>1140.3821650327757</c:v>
                </c:pt>
                <c:pt idx="4316">
                  <c:v>1141.3973806908064</c:v>
                </c:pt>
                <c:pt idx="4317">
                  <c:v>1142.41369853148</c:v>
                </c:pt>
                <c:pt idx="4318">
                  <c:v>1143.4311209041784</c:v>
                </c:pt>
                <c:pt idx="4319">
                  <c:v>1144.4496501658227</c:v>
                </c:pt>
                <c:pt idx="4320">
                  <c:v>1145.469288680907</c:v>
                </c:pt>
                <c:pt idx="4321">
                  <c:v>1146.4900388215265</c:v>
                </c:pt>
                <c:pt idx="4322">
                  <c:v>1147.5119029674117</c:v>
                </c:pt>
                <c:pt idx="4323">
                  <c:v>1148.5348835059658</c:v>
                </c:pt>
                <c:pt idx="4324">
                  <c:v>1149.55898283229</c:v>
                </c:pt>
                <c:pt idx="4325">
                  <c:v>1150.5842033492206</c:v>
                </c:pt>
                <c:pt idx="4326">
                  <c:v>1151.6105474673652</c:v>
                </c:pt>
                <c:pt idx="4327">
                  <c:v>1152.6380176051302</c:v>
                </c:pt>
                <c:pt idx="4328">
                  <c:v>1153.6666161887574</c:v>
                </c:pt>
                <c:pt idx="4329">
                  <c:v>1154.696345652361</c:v>
                </c:pt>
                <c:pt idx="4330">
                  <c:v>1155.7272084379558</c:v>
                </c:pt>
                <c:pt idx="4331">
                  <c:v>1156.7592069954935</c:v>
                </c:pt>
                <c:pt idx="4332">
                  <c:v>1157.7923437829018</c:v>
                </c:pt>
                <c:pt idx="4333">
                  <c:v>1158.8266212661113</c:v>
                </c:pt>
                <c:pt idx="4334">
                  <c:v>1159.8620419190943</c:v>
                </c:pt>
                <c:pt idx="4335">
                  <c:v>1160.8986082239028</c:v>
                </c:pt>
                <c:pt idx="4336">
                  <c:v>1161.9363226706964</c:v>
                </c:pt>
                <c:pt idx="4337">
                  <c:v>1162.9751877577855</c:v>
                </c:pt>
                <c:pt idx="4338">
                  <c:v>1164.0152059916602</c:v>
                </c:pt>
                <c:pt idx="4339">
                  <c:v>1165.056379887029</c:v>
                </c:pt>
                <c:pt idx="4340">
                  <c:v>1166.0987119668575</c:v>
                </c:pt>
                <c:pt idx="4341">
                  <c:v>1167.1422047623992</c:v>
                </c:pt>
                <c:pt idx="4342">
                  <c:v>1168.1868608132338</c:v>
                </c:pt>
                <c:pt idx="4343">
                  <c:v>1169.232682667308</c:v>
                </c:pt>
                <c:pt idx="4344">
                  <c:v>1170.279672880965</c:v>
                </c:pt>
                <c:pt idx="4345">
                  <c:v>1171.3278340189859</c:v>
                </c:pt>
                <c:pt idx="4346">
                  <c:v>1172.3771686546281</c:v>
                </c:pt>
                <c:pt idx="4347">
                  <c:v>1173.4276793696583</c:v>
                </c:pt>
                <c:pt idx="4348">
                  <c:v>1174.479368754392</c:v>
                </c:pt>
                <c:pt idx="4349">
                  <c:v>1175.5322394077348</c:v>
                </c:pt>
                <c:pt idx="4350">
                  <c:v>1176.5862939372144</c:v>
                </c:pt>
                <c:pt idx="4351">
                  <c:v>1177.6415349590209</c:v>
                </c:pt>
                <c:pt idx="4352">
                  <c:v>1178.6979650980497</c:v>
                </c:pt>
                <c:pt idx="4353">
                  <c:v>1179.7555869879334</c:v>
                </c:pt>
                <c:pt idx="4354">
                  <c:v>1180.8144032710827</c:v>
                </c:pt>
                <c:pt idx="4355">
                  <c:v>1181.8744165987305</c:v>
                </c:pt>
                <c:pt idx="4356">
                  <c:v>1182.935629630962</c:v>
                </c:pt>
                <c:pt idx="4357">
                  <c:v>1183.9980450367639</c:v>
                </c:pt>
                <c:pt idx="4358">
                  <c:v>1185.061665494056</c:v>
                </c:pt>
                <c:pt idx="4359">
                  <c:v>1186.1264936897344</c:v>
                </c:pt>
                <c:pt idx="4360">
                  <c:v>1187.1925323197154</c:v>
                </c:pt>
                <c:pt idx="4361">
                  <c:v>1188.259784088969</c:v>
                </c:pt>
                <c:pt idx="4362">
                  <c:v>1189.3282517115622</c:v>
                </c:pt>
                <c:pt idx="4363">
                  <c:v>1190.3979379107043</c:v>
                </c:pt>
                <c:pt idx="4364">
                  <c:v>1191.4688454187806</c:v>
                </c:pt>
                <c:pt idx="4365">
                  <c:v>1192.540976977397</c:v>
                </c:pt>
                <c:pt idx="4366">
                  <c:v>1193.6143353374248</c:v>
                </c:pt>
                <c:pt idx="4367">
                  <c:v>1194.6889232590368</c:v>
                </c:pt>
                <c:pt idx="4368">
                  <c:v>1195.764743511751</c:v>
                </c:pt>
                <c:pt idx="4369">
                  <c:v>1196.8417988744773</c:v>
                </c:pt>
                <c:pt idx="4370">
                  <c:v>1197.920092135553</c:v>
                </c:pt>
                <c:pt idx="4371">
                  <c:v>1198.999626092789</c:v>
                </c:pt>
                <c:pt idx="4372">
                  <c:v>1200.0804035535155</c:v>
                </c:pt>
                <c:pt idx="4373">
                  <c:v>1201.1624273346195</c:v>
                </c:pt>
                <c:pt idx="4374">
                  <c:v>1202.2457002625906</c:v>
                </c:pt>
                <c:pt idx="4375">
                  <c:v>1203.3302251735686</c:v>
                </c:pt>
                <c:pt idx="4376">
                  <c:v>1204.4160049133807</c:v>
                </c:pt>
                <c:pt idx="4377">
                  <c:v>1205.5030423375888</c:v>
                </c:pt>
                <c:pt idx="4378">
                  <c:v>1206.5913403115374</c:v>
                </c:pt>
                <c:pt idx="4379">
                  <c:v>1207.6809017103906</c:v>
                </c:pt>
                <c:pt idx="4380">
                  <c:v>1208.771729419186</c:v>
                </c:pt>
                <c:pt idx="4381">
                  <c:v>1209.8638263328717</c:v>
                </c:pt>
                <c:pt idx="4382">
                  <c:v>1210.957195356356</c:v>
                </c:pt>
                <c:pt idx="4383">
                  <c:v>1212.0518394045548</c:v>
                </c:pt>
                <c:pt idx="4384">
                  <c:v>1213.1477614024332</c:v>
                </c:pt>
                <c:pt idx="4385">
                  <c:v>1214.2449642850531</c:v>
                </c:pt>
                <c:pt idx="4386">
                  <c:v>1215.343450997624</c:v>
                </c:pt>
                <c:pt idx="4387">
                  <c:v>1216.4432244955428</c:v>
                </c:pt>
                <c:pt idx="4388">
                  <c:v>1217.5442877444448</c:v>
                </c:pt>
                <c:pt idx="4389">
                  <c:v>1218.6466437202532</c:v>
                </c:pt>
                <c:pt idx="4390">
                  <c:v>1219.7502954092215</c:v>
                </c:pt>
                <c:pt idx="4391">
                  <c:v>1220.8552458079835</c:v>
                </c:pt>
                <c:pt idx="4392">
                  <c:v>1221.9614979236053</c:v>
                </c:pt>
                <c:pt idx="4393">
                  <c:v>1223.069054773627</c:v>
                </c:pt>
                <c:pt idx="4394">
                  <c:v>1224.1779193861148</c:v>
                </c:pt>
                <c:pt idx="4395">
                  <c:v>1225.2880947997135</c:v>
                </c:pt>
                <c:pt idx="4396">
                  <c:v>1226.3995840636874</c:v>
                </c:pt>
                <c:pt idx="4397">
                  <c:v>1227.5123902379796</c:v>
                </c:pt>
                <c:pt idx="4398">
                  <c:v>1228.6265163932535</c:v>
                </c:pt>
                <c:pt idx="4399">
                  <c:v>1229.7419656109475</c:v>
                </c:pt>
                <c:pt idx="4400">
                  <c:v>1230.8587409833233</c:v>
                </c:pt>
                <c:pt idx="4401">
                  <c:v>1231.9768456135212</c:v>
                </c:pt>
                <c:pt idx="4402">
                  <c:v>1233.096282615603</c:v>
                </c:pt>
                <c:pt idx="4403">
                  <c:v>1234.217055114613</c:v>
                </c:pt>
                <c:pt idx="4404">
                  <c:v>1235.3391662466208</c:v>
                </c:pt>
                <c:pt idx="4405">
                  <c:v>1236.4626191587774</c:v>
                </c:pt>
                <c:pt idx="4406">
                  <c:v>1237.5874170093705</c:v>
                </c:pt>
                <c:pt idx="4407">
                  <c:v>1238.7135629678703</c:v>
                </c:pt>
                <c:pt idx="4408">
                  <c:v>1239.841060214986</c:v>
                </c:pt>
                <c:pt idx="4409">
                  <c:v>1240.9699119427225</c:v>
                </c:pt>
                <c:pt idx="4410">
                  <c:v>1242.100121354426</c:v>
                </c:pt>
                <c:pt idx="4411">
                  <c:v>1243.2316916648426</c:v>
                </c:pt>
                <c:pt idx="4412">
                  <c:v>1244.3646261001752</c:v>
                </c:pt>
                <c:pt idx="4413">
                  <c:v>1245.4989278981313</c:v>
                </c:pt>
                <c:pt idx="4414">
                  <c:v>1246.6346003079811</c:v>
                </c:pt>
                <c:pt idx="4415">
                  <c:v>1247.7716465906158</c:v>
                </c:pt>
                <c:pt idx="4416">
                  <c:v>1248.9100700185968</c:v>
                </c:pt>
                <c:pt idx="4417">
                  <c:v>1250.0498738762144</c:v>
                </c:pt>
                <c:pt idx="4418">
                  <c:v>1251.1910614595474</c:v>
                </c:pt>
                <c:pt idx="4419">
                  <c:v>1252.3336360765118</c:v>
                </c:pt>
                <c:pt idx="4420">
                  <c:v>1253.4776010469263</c:v>
                </c:pt>
                <c:pt idx="4421">
                  <c:v>1254.6229597025622</c:v>
                </c:pt>
                <c:pt idx="4422">
                  <c:v>1255.7697153872043</c:v>
                </c:pt>
                <c:pt idx="4423">
                  <c:v>1256.9178714567072</c:v>
                </c:pt>
                <c:pt idx="4424">
                  <c:v>1258.0674312790582</c:v>
                </c:pt>
                <c:pt idx="4425">
                  <c:v>1259.2183982344268</c:v>
                </c:pt>
                <c:pt idx="4426">
                  <c:v>1260.370775715234</c:v>
                </c:pt>
                <c:pt idx="4427">
                  <c:v>1261.5245671262026</c:v>
                </c:pt>
                <c:pt idx="4428">
                  <c:v>1262.6797758844205</c:v>
                </c:pt>
                <c:pt idx="4429">
                  <c:v>1263.836405419404</c:v>
                </c:pt>
                <c:pt idx="4430">
                  <c:v>1264.9944591731514</c:v>
                </c:pt>
                <c:pt idx="4431">
                  <c:v>1266.153940600207</c:v>
                </c:pt>
                <c:pt idx="4432">
                  <c:v>1267.3148531677257</c:v>
                </c:pt>
                <c:pt idx="4433">
                  <c:v>1268.4772003555267</c:v>
                </c:pt>
                <c:pt idx="4434">
                  <c:v>1269.6409856561604</c:v>
                </c:pt>
                <c:pt idx="4435">
                  <c:v>1270.8062125749723</c:v>
                </c:pt>
                <c:pt idx="4436">
                  <c:v>1271.9728846301593</c:v>
                </c:pt>
                <c:pt idx="4437">
                  <c:v>1273.1410053528368</c:v>
                </c:pt>
                <c:pt idx="4438">
                  <c:v>1274.3105782871044</c:v>
                </c:pt>
                <c:pt idx="4439">
                  <c:v>1275.4816069901028</c:v>
                </c:pt>
                <c:pt idx="4440">
                  <c:v>1276.6540950320818</c:v>
                </c:pt>
                <c:pt idx="4441">
                  <c:v>1277.8280459964685</c:v>
                </c:pt>
                <c:pt idx="4442">
                  <c:v>1279.0034634799229</c:v>
                </c:pt>
                <c:pt idx="4443">
                  <c:v>1280.1803510924137</c:v>
                </c:pt>
                <c:pt idx="4444">
                  <c:v>1281.3587124572753</c:v>
                </c:pt>
                <c:pt idx="4445">
                  <c:v>1282.538551211278</c:v>
                </c:pt>
                <c:pt idx="4446">
                  <c:v>1283.7198710046937</c:v>
                </c:pt>
                <c:pt idx="4447">
                  <c:v>1284.9026755013656</c:v>
                </c:pt>
                <c:pt idx="4448">
                  <c:v>1286.086968378769</c:v>
                </c:pt>
                <c:pt idx="4449">
                  <c:v>1287.2727533280868</c:v>
                </c:pt>
                <c:pt idx="4450">
                  <c:v>1288.460034054271</c:v>
                </c:pt>
                <c:pt idx="4451">
                  <c:v>1289.648814276114</c:v>
                </c:pt>
                <c:pt idx="4452">
                  <c:v>1290.8390977263211</c:v>
                </c:pt>
                <c:pt idx="4453">
                  <c:v>1292.030888151573</c:v>
                </c:pt>
                <c:pt idx="4454">
                  <c:v>1293.2241893125993</c:v>
                </c:pt>
                <c:pt idx="4455">
                  <c:v>1294.4190049842523</c:v>
                </c:pt>
                <c:pt idx="4456">
                  <c:v>1295.6153389555707</c:v>
                </c:pt>
                <c:pt idx="4457">
                  <c:v>1296.8131950298543</c:v>
                </c:pt>
                <c:pt idx="4458">
                  <c:v>1298.0125770247391</c:v>
                </c:pt>
                <c:pt idx="4459">
                  <c:v>1299.2134887722623</c:v>
                </c:pt>
                <c:pt idx="4460">
                  <c:v>1300.4159341189388</c:v>
                </c:pt>
                <c:pt idx="4461">
                  <c:v>1301.6199169258373</c:v>
                </c:pt>
                <c:pt idx="4462">
                  <c:v>1302.8254410686466</c:v>
                </c:pt>
                <c:pt idx="4463">
                  <c:v>1304.0325104377534</c:v>
                </c:pt>
                <c:pt idx="4464">
                  <c:v>1305.2411289383206</c:v>
                </c:pt>
                <c:pt idx="4465">
                  <c:v>1306.4513004903527</c:v>
                </c:pt>
                <c:pt idx="4466">
                  <c:v>1307.6630290287817</c:v>
                </c:pt>
                <c:pt idx="4467">
                  <c:v>1308.8763185035343</c:v>
                </c:pt>
                <c:pt idx="4468">
                  <c:v>1310.0911728796118</c:v>
                </c:pt>
                <c:pt idx="4469">
                  <c:v>1311.3075961371703</c:v>
                </c:pt>
                <c:pt idx="4470">
                  <c:v>1312.5255922715908</c:v>
                </c:pt>
                <c:pt idx="4471">
                  <c:v>1313.7451652935608</c:v>
                </c:pt>
                <c:pt idx="4472">
                  <c:v>1314.9663192291564</c:v>
                </c:pt>
                <c:pt idx="4473">
                  <c:v>1316.189058119913</c:v>
                </c:pt>
                <c:pt idx="4474">
                  <c:v>1317.4133860229085</c:v>
                </c:pt>
                <c:pt idx="4475">
                  <c:v>1318.639307010848</c:v>
                </c:pt>
                <c:pt idx="4476">
                  <c:v>1319.8668251721344</c:v>
                </c:pt>
                <c:pt idx="4477">
                  <c:v>1321.0959446109555</c:v>
                </c:pt>
                <c:pt idx="4478">
                  <c:v>1322.3266694473668</c:v>
                </c:pt>
                <c:pt idx="4479">
                  <c:v>1323.5590038173673</c:v>
                </c:pt>
                <c:pt idx="4480">
                  <c:v>1324.792951872985</c:v>
                </c:pt>
                <c:pt idx="4481">
                  <c:v>1326.028517782364</c:v>
                </c:pt>
                <c:pt idx="4482">
                  <c:v>1327.2657057298388</c:v>
                </c:pt>
                <c:pt idx="4483">
                  <c:v>1328.5045199160286</c:v>
                </c:pt>
                <c:pt idx="4484">
                  <c:v>1329.744964557913</c:v>
                </c:pt>
                <c:pt idx="4485">
                  <c:v>1330.9870438889216</c:v>
                </c:pt>
                <c:pt idx="4486">
                  <c:v>1332.2307621590185</c:v>
                </c:pt>
                <c:pt idx="4487">
                  <c:v>1333.4761236347917</c:v>
                </c:pt>
                <c:pt idx="4488">
                  <c:v>1334.7231325995328</c:v>
                </c:pt>
                <c:pt idx="4489">
                  <c:v>1335.9717933533332</c:v>
                </c:pt>
                <c:pt idx="4490">
                  <c:v>1337.2221102131637</c:v>
                </c:pt>
                <c:pt idx="4491">
                  <c:v>1338.4740875129664</c:v>
                </c:pt>
                <c:pt idx="4492">
                  <c:v>1339.7277296037485</c:v>
                </c:pt>
                <c:pt idx="4493">
                  <c:v>1340.9830408536632</c:v>
                </c:pt>
                <c:pt idx="4494">
                  <c:v>1342.2400256481042</c:v>
                </c:pt>
                <c:pt idx="4495">
                  <c:v>1343.4986883898005</c:v>
                </c:pt>
                <c:pt idx="4496">
                  <c:v>1344.7590334989002</c:v>
                </c:pt>
                <c:pt idx="4497">
                  <c:v>1346.0210654130663</c:v>
                </c:pt>
                <c:pt idx="4498">
                  <c:v>1347.2847885875726</c:v>
                </c:pt>
                <c:pt idx="4499">
                  <c:v>1348.5502074953904</c:v>
                </c:pt>
                <c:pt idx="4500">
                  <c:v>1349.8173266272852</c:v>
                </c:pt>
                <c:pt idx="4501">
                  <c:v>1351.0861504919158</c:v>
                </c:pt>
                <c:pt idx="4502">
                  <c:v>1352.356683615921</c:v>
                </c:pt>
                <c:pt idx="4503">
                  <c:v>1353.6289305440198</c:v>
                </c:pt>
                <c:pt idx="4504">
                  <c:v>1354.9028958391116</c:v>
                </c:pt>
                <c:pt idx="4505">
                  <c:v>1356.178584082364</c:v>
                </c:pt>
                <c:pt idx="4506">
                  <c:v>1357.455999873321</c:v>
                </c:pt>
                <c:pt idx="4507">
                  <c:v>1358.7351478299915</c:v>
                </c:pt>
                <c:pt idx="4508">
                  <c:v>1360.0160325889553</c:v>
                </c:pt>
                <c:pt idx="4509">
                  <c:v>1361.2986588054584</c:v>
                </c:pt>
                <c:pt idx="4510">
                  <c:v>1362.5830311535194</c:v>
                </c:pt>
                <c:pt idx="4511">
                  <c:v>1363.869154326021</c:v>
                </c:pt>
                <c:pt idx="4512">
                  <c:v>1365.1570330348225</c:v>
                </c:pt>
                <c:pt idx="4513">
                  <c:v>1366.4466720108526</c:v>
                </c:pt>
                <c:pt idx="4514">
                  <c:v>1367.738076004217</c:v>
                </c:pt>
                <c:pt idx="4515">
                  <c:v>1369.0312497843056</c:v>
                </c:pt>
                <c:pt idx="4516">
                  <c:v>1370.3261981398891</c:v>
                </c:pt>
                <c:pt idx="4517">
                  <c:v>1371.6229258792287</c:v>
                </c:pt>
                <c:pt idx="4518">
                  <c:v>1372.921437830185</c:v>
                </c:pt>
                <c:pt idx="4519">
                  <c:v>1374.2217388403174</c:v>
                </c:pt>
                <c:pt idx="4520">
                  <c:v>1375.5238337769954</c:v>
                </c:pt>
                <c:pt idx="4521">
                  <c:v>1376.8277275275102</c:v>
                </c:pt>
                <c:pt idx="4522">
                  <c:v>1378.1334249991762</c:v>
                </c:pt>
                <c:pt idx="4523">
                  <c:v>1379.4409311194438</c:v>
                </c:pt>
                <c:pt idx="4524">
                  <c:v>1380.750250836014</c:v>
                </c:pt>
                <c:pt idx="4525">
                  <c:v>1382.0613891169417</c:v>
                </c:pt>
                <c:pt idx="4526">
                  <c:v>1383.3743509507515</c:v>
                </c:pt>
                <c:pt idx="4527">
                  <c:v>1384.6891413465537</c:v>
                </c:pt>
                <c:pt idx="4528">
                  <c:v>1386.0057653341494</c:v>
                </c:pt>
                <c:pt idx="4529">
                  <c:v>1387.324227964154</c:v>
                </c:pt>
                <c:pt idx="4530">
                  <c:v>1388.6445343081039</c:v>
                </c:pt>
                <c:pt idx="4531">
                  <c:v>1389.966689458577</c:v>
                </c:pt>
                <c:pt idx="4532">
                  <c:v>1391.290698529307</c:v>
                </c:pt>
                <c:pt idx="4533">
                  <c:v>1392.6165666553054</c:v>
                </c:pt>
                <c:pt idx="4534">
                  <c:v>1393.944298992971</c:v>
                </c:pt>
                <c:pt idx="4535">
                  <c:v>1395.273900720219</c:v>
                </c:pt>
                <c:pt idx="4536">
                  <c:v>1396.6053770365918</c:v>
                </c:pt>
                <c:pt idx="4537">
                  <c:v>1397.9387331633839</c:v>
                </c:pt>
                <c:pt idx="4538">
                  <c:v>1399.2739743437667</c:v>
                </c:pt>
                <c:pt idx="4539">
                  <c:v>1400.6111058429033</c:v>
                </c:pt>
                <c:pt idx="4540">
                  <c:v>1401.9501329480756</c:v>
                </c:pt>
                <c:pt idx="4541">
                  <c:v>1403.2910609688124</c:v>
                </c:pt>
                <c:pt idx="4542">
                  <c:v>1404.6338952370063</c:v>
                </c:pt>
                <c:pt idx="4543">
                  <c:v>1405.978641107043</c:v>
                </c:pt>
                <c:pt idx="4544">
                  <c:v>1407.325303955933</c:v>
                </c:pt>
                <c:pt idx="4545">
                  <c:v>1408.67388918343</c:v>
                </c:pt>
                <c:pt idx="4546">
                  <c:v>1410.024402212165</c:v>
                </c:pt>
                <c:pt idx="4547">
                  <c:v>1411.3768484877774</c:v>
                </c:pt>
                <c:pt idx="4548">
                  <c:v>1412.7312334790397</c:v>
                </c:pt>
                <c:pt idx="4549">
                  <c:v>1414.0875626779912</c:v>
                </c:pt>
                <c:pt idx="4550">
                  <c:v>1415.4458416000743</c:v>
                </c:pt>
                <c:pt idx="4551">
                  <c:v>1416.806075784259</c:v>
                </c:pt>
                <c:pt idx="4552">
                  <c:v>1418.168270793187</c:v>
                </c:pt>
                <c:pt idx="4553">
                  <c:v>1419.5324322132976</c:v>
                </c:pt>
                <c:pt idx="4554">
                  <c:v>1420.8985656549676</c:v>
                </c:pt>
                <c:pt idx="4555">
                  <c:v>1422.2666767526518</c:v>
                </c:pt>
                <c:pt idx="4556">
                  <c:v>1423.6367711650144</c:v>
                </c:pt>
                <c:pt idx="4557">
                  <c:v>1425.0088545750698</c:v>
                </c:pt>
                <c:pt idx="4558">
                  <c:v>1426.382932690328</c:v>
                </c:pt>
                <c:pt idx="4559">
                  <c:v>1427.7590112429275</c:v>
                </c:pt>
                <c:pt idx="4560">
                  <c:v>1429.1370959897802</c:v>
                </c:pt>
                <c:pt idx="4561">
                  <c:v>1430.5171927127194</c:v>
                </c:pt>
                <c:pt idx="4562">
                  <c:v>1431.8993072186352</c:v>
                </c:pt>
                <c:pt idx="4563">
                  <c:v>1433.2834453396235</c:v>
                </c:pt>
                <c:pt idx="4564">
                  <c:v>1434.669612933137</c:v>
                </c:pt>
                <c:pt idx="4565">
                  <c:v>1436.0578158821227</c:v>
                </c:pt>
                <c:pt idx="4566">
                  <c:v>1437.4480600951756</c:v>
                </c:pt>
                <c:pt idx="4567">
                  <c:v>1438.8403515066911</c:v>
                </c:pt>
                <c:pt idx="4568">
                  <c:v>1440.2346960770067</c:v>
                </c:pt>
                <c:pt idx="4569">
                  <c:v>1441.6310997925634</c:v>
                </c:pt>
                <c:pt idx="4570">
                  <c:v>1443.0295686660497</c:v>
                </c:pt>
                <c:pt idx="4571">
                  <c:v>1444.43010873656</c:v>
                </c:pt>
                <c:pt idx="4572">
                  <c:v>1445.8327260697467</c:v>
                </c:pt>
                <c:pt idx="4573">
                  <c:v>1447.2374267579826</c:v>
                </c:pt>
                <c:pt idx="4574">
                  <c:v>1448.644216920507</c:v>
                </c:pt>
                <c:pt idx="4575">
                  <c:v>1450.0531027035963</c:v>
                </c:pt>
                <c:pt idx="4576">
                  <c:v>1451.4640902807128</c:v>
                </c:pt>
                <c:pt idx="4577">
                  <c:v>1452.8771858526695</c:v>
                </c:pt>
                <c:pt idx="4578">
                  <c:v>1454.2923956477969</c:v>
                </c:pt>
                <c:pt idx="4579">
                  <c:v>1455.7097259220968</c:v>
                </c:pt>
                <c:pt idx="4580">
                  <c:v>1457.129182959411</c:v>
                </c:pt>
                <c:pt idx="4581">
                  <c:v>1458.5507730715908</c:v>
                </c:pt>
                <c:pt idx="4582">
                  <c:v>1459.9745025986554</c:v>
                </c:pt>
                <c:pt idx="4583">
                  <c:v>1461.400377908964</c:v>
                </c:pt>
                <c:pt idx="4584">
                  <c:v>1462.8284053993889</c:v>
                </c:pt>
                <c:pt idx="4585">
                  <c:v>1464.2585914954777</c:v>
                </c:pt>
                <c:pt idx="4586">
                  <c:v>1465.6909426516293</c:v>
                </c:pt>
                <c:pt idx="4587">
                  <c:v>1467.1254653512706</c:v>
                </c:pt>
                <c:pt idx="4588">
                  <c:v>1468.5621661070231</c:v>
                </c:pt>
                <c:pt idx="4589">
                  <c:v>1470.0010514608819</c:v>
                </c:pt>
                <c:pt idx="4590">
                  <c:v>1471.442127984397</c:v>
                </c:pt>
                <c:pt idx="4591">
                  <c:v>1472.8854022788425</c:v>
                </c:pt>
                <c:pt idx="4592">
                  <c:v>1474.3308809754062</c:v>
                </c:pt>
                <c:pt idx="4593">
                  <c:v>1475.7785707353614</c:v>
                </c:pt>
                <c:pt idx="4594">
                  <c:v>1477.2284782502547</c:v>
                </c:pt>
                <c:pt idx="4595">
                  <c:v>1478.680610242087</c:v>
                </c:pt>
                <c:pt idx="4596">
                  <c:v>1480.134973463504</c:v>
                </c:pt>
                <c:pt idx="4597">
                  <c:v>1481.5915746979726</c:v>
                </c:pt>
                <c:pt idx="4598">
                  <c:v>1483.0504207599813</c:v>
                </c:pt>
                <c:pt idx="4599">
                  <c:v>1484.5115184952178</c:v>
                </c:pt>
                <c:pt idx="4600">
                  <c:v>1485.9748747807653</c:v>
                </c:pt>
                <c:pt idx="4601">
                  <c:v>1487.4404965252988</c:v>
                </c:pt>
                <c:pt idx="4602">
                  <c:v>1488.9083906692704</c:v>
                </c:pt>
                <c:pt idx="4603">
                  <c:v>1490.3785641851082</c:v>
                </c:pt>
                <c:pt idx="4604">
                  <c:v>1491.8510240774178</c:v>
                </c:pt>
                <c:pt idx="4605">
                  <c:v>1493.3257773831722</c:v>
                </c:pt>
                <c:pt idx="4606">
                  <c:v>1494.8028311719147</c:v>
                </c:pt>
                <c:pt idx="4607">
                  <c:v>1496.2821925459662</c:v>
                </c:pt>
                <c:pt idx="4608">
                  <c:v>1497.763868640618</c:v>
                </c:pt>
                <c:pt idx="4609">
                  <c:v>1499.2478666243414</c:v>
                </c:pt>
                <c:pt idx="4610">
                  <c:v>1500.7341936989976</c:v>
                </c:pt>
                <c:pt idx="4611">
                  <c:v>1502.2228571000367</c:v>
                </c:pt>
                <c:pt idx="4612">
                  <c:v>1503.7138640967114</c:v>
                </c:pt>
                <c:pt idx="4613">
                  <c:v>1505.2072219922923</c:v>
                </c:pt>
                <c:pt idx="4614">
                  <c:v>1506.70293812427</c:v>
                </c:pt>
                <c:pt idx="4615">
                  <c:v>1508.2010198645814</c:v>
                </c:pt>
                <c:pt idx="4616">
                  <c:v>1509.7014746198145</c:v>
                </c:pt>
                <c:pt idx="4617">
                  <c:v>1511.2043098314327</c:v>
                </c:pt>
                <c:pt idx="4618">
                  <c:v>1512.7095329759904</c:v>
                </c:pt>
                <c:pt idx="4619">
                  <c:v>1514.2171515653606</c:v>
                </c:pt>
                <c:pt idx="4620">
                  <c:v>1515.7271731469466</c:v>
                </c:pt>
                <c:pt idx="4621">
                  <c:v>1517.2396053039188</c:v>
                </c:pt>
                <c:pt idx="4622">
                  <c:v>1518.7544556554303</c:v>
                </c:pt>
                <c:pt idx="4623">
                  <c:v>1520.2717318568496</c:v>
                </c:pt>
                <c:pt idx="4624">
                  <c:v>1521.7914415999946</c:v>
                </c:pt>
                <c:pt idx="4625">
                  <c:v>1523.313592613356</c:v>
                </c:pt>
                <c:pt idx="4626">
                  <c:v>1524.8381926623344</c:v>
                </c:pt>
                <c:pt idx="4627">
                  <c:v>1526.3652495494812</c:v>
                </c:pt>
                <c:pt idx="4628">
                  <c:v>1527.8947711147262</c:v>
                </c:pt>
                <c:pt idx="4629">
                  <c:v>1529.4267652356211</c:v>
                </c:pt>
                <c:pt idx="4630">
                  <c:v>1530.961239827586</c:v>
                </c:pt>
                <c:pt idx="4631">
                  <c:v>1532.4982028441425</c:v>
                </c:pt>
                <c:pt idx="4632">
                  <c:v>1534.0376622771637</c:v>
                </c:pt>
                <c:pt idx="4633">
                  <c:v>1535.5796261571254</c:v>
                </c:pt>
                <c:pt idx="4634">
                  <c:v>1537.1241025533461</c:v>
                </c:pt>
                <c:pt idx="4635">
                  <c:v>1538.6710995742426</c:v>
                </c:pt>
                <c:pt idx="4636">
                  <c:v>1540.2206253675872</c:v>
                </c:pt>
                <c:pt idx="4637">
                  <c:v>1541.7726881207523</c:v>
                </c:pt>
                <c:pt idx="4638">
                  <c:v>1543.32729606098</c:v>
                </c:pt>
                <c:pt idx="4639">
                  <c:v>1544.88445745563</c:v>
                </c:pt>
                <c:pt idx="4640">
                  <c:v>1546.444180612447</c:v>
                </c:pt>
                <c:pt idx="4641">
                  <c:v>1548.0064738798224</c:v>
                </c:pt>
                <c:pt idx="4642">
                  <c:v>1549.5713456470637</c:v>
                </c:pt>
                <c:pt idx="4643">
                  <c:v>1551.1388043446536</c:v>
                </c:pt>
                <c:pt idx="4644">
                  <c:v>1552.7088584445314</c:v>
                </c:pt>
                <c:pt idx="4645">
                  <c:v>1554.281516460354</c:v>
                </c:pt>
                <c:pt idx="4646">
                  <c:v>1555.8567869477752</c:v>
                </c:pt>
                <c:pt idx="4647">
                  <c:v>1557.4346785047278</c:v>
                </c:pt>
                <c:pt idx="4648">
                  <c:v>1559.015199771692</c:v>
                </c:pt>
                <c:pt idx="4649">
                  <c:v>1560.5983594319823</c:v>
                </c:pt>
                <c:pt idx="4650">
                  <c:v>1562.184166212035</c:v>
                </c:pt>
                <c:pt idx="4651">
                  <c:v>1563.7726288816853</c:v>
                </c:pt>
                <c:pt idx="4652">
                  <c:v>1565.3637562544595</c:v>
                </c:pt>
                <c:pt idx="4653">
                  <c:v>1566.957557187872</c:v>
                </c:pt>
                <c:pt idx="4654">
                  <c:v>1568.5540405837069</c:v>
                </c:pt>
                <c:pt idx="4655">
                  <c:v>1570.15321538832</c:v>
                </c:pt>
                <c:pt idx="4656">
                  <c:v>1571.7550905929406</c:v>
                </c:pt>
                <c:pt idx="4657">
                  <c:v>1573.3596752339631</c:v>
                </c:pt>
                <c:pt idx="4658">
                  <c:v>1574.9669783932543</c:v>
                </c:pt>
                <c:pt idx="4659">
                  <c:v>1576.5770091984639</c:v>
                </c:pt>
                <c:pt idx="4660">
                  <c:v>1578.189776823322</c:v>
                </c:pt>
                <c:pt idx="4661">
                  <c:v>1579.805290487962</c:v>
                </c:pt>
                <c:pt idx="4662">
                  <c:v>1581.4235594592233</c:v>
                </c:pt>
                <c:pt idx="4663">
                  <c:v>1583.0445930509713</c:v>
                </c:pt>
                <c:pt idx="4664">
                  <c:v>1584.6684006244225</c:v>
                </c:pt>
                <c:pt idx="4665">
                  <c:v>1586.2949915884542</c:v>
                </c:pt>
                <c:pt idx="4666">
                  <c:v>1587.9243753999353</c:v>
                </c:pt>
                <c:pt idx="4667">
                  <c:v>1589.5565615640571</c:v>
                </c:pt>
                <c:pt idx="4668">
                  <c:v>1591.1915596346535</c:v>
                </c:pt>
                <c:pt idx="4669">
                  <c:v>1592.8293792145382</c:v>
                </c:pt>
                <c:pt idx="4670">
                  <c:v>1594.4700299558458</c:v>
                </c:pt>
                <c:pt idx="4671">
                  <c:v>1596.113521560359</c:v>
                </c:pt>
                <c:pt idx="4672">
                  <c:v>1597.7598637798553</c:v>
                </c:pt>
                <c:pt idx="4673">
                  <c:v>1599.4090664164562</c:v>
                </c:pt>
                <c:pt idx="4674">
                  <c:v>1601.061139322964</c:v>
                </c:pt>
                <c:pt idx="4675">
                  <c:v>1602.7160924032166</c:v>
                </c:pt>
                <c:pt idx="4676">
                  <c:v>1604.3739356124465</c:v>
                </c:pt>
                <c:pt idx="4677">
                  <c:v>1606.034678957624</c:v>
                </c:pt>
                <c:pt idx="4678">
                  <c:v>1607.6983324978307</c:v>
                </c:pt>
                <c:pt idx="4679">
                  <c:v>1609.3649063446098</c:v>
                </c:pt>
                <c:pt idx="4680">
                  <c:v>1611.0344106623381</c:v>
                </c:pt>
                <c:pt idx="4681">
                  <c:v>1612.706855668592</c:v>
                </c:pt>
                <c:pt idx="4682">
                  <c:v>1614.3822516345251</c:v>
                </c:pt>
                <c:pt idx="4683">
                  <c:v>1616.0606088852323</c:v>
                </c:pt>
                <c:pt idx="4684">
                  <c:v>1617.7419378001418</c:v>
                </c:pt>
                <c:pt idx="4685">
                  <c:v>1619.4262488133847</c:v>
                </c:pt>
                <c:pt idx="4686">
                  <c:v>1621.113552414185</c:v>
                </c:pt>
                <c:pt idx="4687">
                  <c:v>1622.8038591472541</c:v>
                </c:pt>
                <c:pt idx="4688">
                  <c:v>1624.4971796131715</c:v>
                </c:pt>
                <c:pt idx="4689">
                  <c:v>1626.193524468786</c:v>
                </c:pt>
                <c:pt idx="4690">
                  <c:v>1627.89290442762</c:v>
                </c:pt>
                <c:pt idx="4691">
                  <c:v>1629.5953302602604</c:v>
                </c:pt>
                <c:pt idx="4692">
                  <c:v>1631.3008127947714</c:v>
                </c:pt>
                <c:pt idx="4693">
                  <c:v>1633.0093629171083</c:v>
                </c:pt>
                <c:pt idx="4694">
                  <c:v>1634.7209915715207</c:v>
                </c:pt>
                <c:pt idx="4695">
                  <c:v>1636.4357097609752</c:v>
                </c:pt>
                <c:pt idx="4696">
                  <c:v>1638.1535285475804</c:v>
                </c:pt>
                <c:pt idx="4697">
                  <c:v>1639.8744590530018</c:v>
                </c:pt>
                <c:pt idx="4698">
                  <c:v>1641.5985124588951</c:v>
                </c:pt>
                <c:pt idx="4699">
                  <c:v>1643.3257000073438</c:v>
                </c:pt>
                <c:pt idx="4700">
                  <c:v>1645.0560330012827</c:v>
                </c:pt>
                <c:pt idx="4701">
                  <c:v>1646.7895228049522</c:v>
                </c:pt>
                <c:pt idx="4702">
                  <c:v>1648.5261808443302</c:v>
                </c:pt>
                <c:pt idx="4703">
                  <c:v>1650.2660186075866</c:v>
                </c:pt>
                <c:pt idx="4704">
                  <c:v>1652.009047645533</c:v>
                </c:pt>
                <c:pt idx="4705">
                  <c:v>1653.7552795720844</c:v>
                </c:pt>
                <c:pt idx="4706">
                  <c:v>1655.504726064709</c:v>
                </c:pt>
                <c:pt idx="4707">
                  <c:v>1657.2573988649058</c:v>
                </c:pt>
                <c:pt idx="4708">
                  <c:v>1659.0133097786613</c:v>
                </c:pt>
                <c:pt idx="4709">
                  <c:v>1660.7724706769282</c:v>
                </c:pt>
                <c:pt idx="4710">
                  <c:v>1662.5348934961078</c:v>
                </c:pt>
                <c:pt idx="4711">
                  <c:v>1664.300590238522</c:v>
                </c:pt>
                <c:pt idx="4712">
                  <c:v>1666.0695729729048</c:v>
                </c:pt>
                <c:pt idx="4713">
                  <c:v>1667.8418538348972</c:v>
                </c:pt>
                <c:pt idx="4714">
                  <c:v>1669.6174450275337</c:v>
                </c:pt>
                <c:pt idx="4715">
                  <c:v>1671.3963588217468</c:v>
                </c:pt>
                <c:pt idx="4716">
                  <c:v>1673.178607556877</c:v>
                </c:pt>
                <c:pt idx="4717">
                  <c:v>1674.9642036411717</c:v>
                </c:pt>
                <c:pt idx="4718">
                  <c:v>1676.7531595523037</c:v>
                </c:pt>
                <c:pt idx="4719">
                  <c:v>1678.5454878378969</c:v>
                </c:pt>
                <c:pt idx="4720">
                  <c:v>1680.341201116038</c:v>
                </c:pt>
                <c:pt idx="4721">
                  <c:v>1682.1403120758116</c:v>
                </c:pt>
                <c:pt idx="4722">
                  <c:v>1683.9428334778381</c:v>
                </c:pt>
                <c:pt idx="4723">
                  <c:v>1685.7487781548007</c:v>
                </c:pt>
                <c:pt idx="4724">
                  <c:v>1687.5581590120028</c:v>
                </c:pt>
                <c:pt idx="4725">
                  <c:v>1689.3709890279047</c:v>
                </c:pt>
                <c:pt idx="4726">
                  <c:v>1691.1872812546849</c:v>
                </c:pt>
                <c:pt idx="4727">
                  <c:v>1693.0070488187955</c:v>
                </c:pt>
                <c:pt idx="4728">
                  <c:v>1694.830304921534</c:v>
                </c:pt>
                <c:pt idx="4729">
                  <c:v>1696.6570628396007</c:v>
                </c:pt>
                <c:pt idx="4730">
                  <c:v>1698.4873359256892</c:v>
                </c:pt>
                <c:pt idx="4731">
                  <c:v>1700.3211376090535</c:v>
                </c:pt>
                <c:pt idx="4732">
                  <c:v>1702.158481396101</c:v>
                </c:pt>
                <c:pt idx="4733">
                  <c:v>1703.9993808709896</c:v>
                </c:pt>
                <c:pt idx="4734">
                  <c:v>1705.8438496962146</c:v>
                </c:pt>
                <c:pt idx="4735">
                  <c:v>1707.6919016132176</c:v>
                </c:pt>
                <c:pt idx="4736">
                  <c:v>1709.5435504430015</c:v>
                </c:pt>
                <c:pt idx="4737">
                  <c:v>1711.398810086735</c:v>
                </c:pt>
                <c:pt idx="4738">
                  <c:v>1713.257694526379</c:v>
                </c:pt>
                <c:pt idx="4739">
                  <c:v>1715.1202178253197</c:v>
                </c:pt>
                <c:pt idx="4740">
                  <c:v>1716.9863941289907</c:v>
                </c:pt>
                <c:pt idx="4741">
                  <c:v>1718.856237665518</c:v>
                </c:pt>
                <c:pt idx="4742">
                  <c:v>1720.7297627463715</c:v>
                </c:pt>
                <c:pt idx="4743">
                  <c:v>1722.6069837670063</c:v>
                </c:pt>
                <c:pt idx="4744">
                  <c:v>1724.487915207526</c:v>
                </c:pt>
                <c:pt idx="4745">
                  <c:v>1726.3725716333536</c:v>
                </c:pt>
                <c:pt idx="4746">
                  <c:v>1728.26096769589</c:v>
                </c:pt>
                <c:pt idx="4747">
                  <c:v>1730.1531181332073</c:v>
                </c:pt>
                <c:pt idx="4748">
                  <c:v>1732.0490377707201</c:v>
                </c:pt>
                <c:pt idx="4749">
                  <c:v>1733.9487415218828</c:v>
                </c:pt>
                <c:pt idx="4750">
                  <c:v>1735.8522443888937</c:v>
                </c:pt>
                <c:pt idx="4751">
                  <c:v>1737.7595614633894</c:v>
                </c:pt>
                <c:pt idx="4752">
                  <c:v>1739.6707079271623</c:v>
                </c:pt>
                <c:pt idx="4753">
                  <c:v>1741.5856990528862</c:v>
                </c:pt>
                <c:pt idx="4754">
                  <c:v>1743.5045502048317</c:v>
                </c:pt>
                <c:pt idx="4755">
                  <c:v>1745.4272768396056</c:v>
                </c:pt>
                <c:pt idx="4756">
                  <c:v>1747.3538945068983</c:v>
                </c:pt>
                <c:pt idx="4757">
                  <c:v>1749.2844188502206</c:v>
                </c:pt>
                <c:pt idx="4758">
                  <c:v>1751.2188656076664</c:v>
                </c:pt>
                <c:pt idx="4759">
                  <c:v>1753.1572506126822</c:v>
                </c:pt>
                <c:pt idx="4760">
                  <c:v>1755.0995897948274</c:v>
                </c:pt>
                <c:pt idx="4761">
                  <c:v>1757.0458991805592</c:v>
                </c:pt>
                <c:pt idx="4762">
                  <c:v>1758.9961948940265</c:v>
                </c:pt>
                <c:pt idx="4763">
                  <c:v>1760.9504931578515</c:v>
                </c:pt>
                <c:pt idx="4764">
                  <c:v>1762.9088102939486</c:v>
                </c:pt>
                <c:pt idx="4765">
                  <c:v>1764.871162724323</c:v>
                </c:pt>
                <c:pt idx="4766">
                  <c:v>1766.837566971899</c:v>
                </c:pt>
                <c:pt idx="4767">
                  <c:v>1768.8080396613427</c:v>
                </c:pt>
                <c:pt idx="4768">
                  <c:v>1770.7825975199098</c:v>
                </c:pt>
                <c:pt idx="4769">
                  <c:v>1772.761257378275</c:v>
                </c:pt>
                <c:pt idx="4770">
                  <c:v>1774.7440361714039</c:v>
                </c:pt>
                <c:pt idx="4771">
                  <c:v>1776.730950939401</c:v>
                </c:pt>
                <c:pt idx="4772">
                  <c:v>1778.7220188283893</c:v>
                </c:pt>
                <c:pt idx="4773">
                  <c:v>1780.7172570913965</c:v>
                </c:pt>
                <c:pt idx="4774">
                  <c:v>1782.7166830892338</c:v>
                </c:pt>
                <c:pt idx="4775">
                  <c:v>1784.7203142914018</c:v>
                </c:pt>
                <c:pt idx="4776">
                  <c:v>1786.7281682770054</c:v>
                </c:pt>
                <c:pt idx="4777">
                  <c:v>1788.7402627356605</c:v>
                </c:pt>
                <c:pt idx="4778">
                  <c:v>1790.7566154684287</c:v>
                </c:pt>
                <c:pt idx="4779">
                  <c:v>1792.777244388761</c:v>
                </c:pt>
                <c:pt idx="4780">
                  <c:v>1794.8021675234336</c:v>
                </c:pt>
                <c:pt idx="4781">
                  <c:v>1796.8314030135125</c:v>
                </c:pt>
                <c:pt idx="4782">
                  <c:v>1798.8649691153273</c:v>
                </c:pt>
                <c:pt idx="4783">
                  <c:v>1800.9028842014375</c:v>
                </c:pt>
                <c:pt idx="4784">
                  <c:v>1802.9451667616274</c:v>
                </c:pt>
                <c:pt idx="4785">
                  <c:v>1804.9918354039116</c:v>
                </c:pt>
                <c:pt idx="4786">
                  <c:v>1807.042908855531</c:v>
                </c:pt>
                <c:pt idx="4787">
                  <c:v>1809.0984059639898</c:v>
                </c:pt>
                <c:pt idx="4788">
                  <c:v>1811.1583456980723</c:v>
                </c:pt>
                <c:pt idx="4789">
                  <c:v>1813.2227471488952</c:v>
                </c:pt>
                <c:pt idx="4790">
                  <c:v>1815.2916295309572</c:v>
                </c:pt>
                <c:pt idx="4791">
                  <c:v>1817.3650121832115</c:v>
                </c:pt>
                <c:pt idx="4792">
                  <c:v>1819.4429145701306</c:v>
                </c:pt>
                <c:pt idx="4793">
                  <c:v>1821.5253562828095</c:v>
                </c:pt>
                <c:pt idx="4794">
                  <c:v>1823.6123570400528</c:v>
                </c:pt>
                <c:pt idx="4795">
                  <c:v>1825.703936689493</c:v>
                </c:pt>
                <c:pt idx="4796">
                  <c:v>1827.8001152087222</c:v>
                </c:pt>
                <c:pt idx="4797">
                  <c:v>1829.900912706415</c:v>
                </c:pt>
                <c:pt idx="4798">
                  <c:v>1832.0063494234855</c:v>
                </c:pt>
                <c:pt idx="4799">
                  <c:v>1834.1164457342552</c:v>
                </c:pt>
                <c:pt idx="4800">
                  <c:v>1836.2312221476152</c:v>
                </c:pt>
                <c:pt idx="4801">
                  <c:v>1838.35069930822</c:v>
                </c:pt>
                <c:pt idx="4802">
                  <c:v>1840.4748979976955</c:v>
                </c:pt>
                <c:pt idx="4803">
                  <c:v>1842.6038391358395</c:v>
                </c:pt>
                <c:pt idx="4804">
                  <c:v>1844.7375437818566</c:v>
                </c:pt>
                <c:pt idx="4805">
                  <c:v>1846.876033135606</c:v>
                </c:pt>
                <c:pt idx="4806">
                  <c:v>1849.0193285388427</c:v>
                </c:pt>
                <c:pt idx="4807">
                  <c:v>1851.1674514764952</c:v>
                </c:pt>
                <c:pt idx="4808">
                  <c:v>1853.3204235779535</c:v>
                </c:pt>
                <c:pt idx="4809">
                  <c:v>1855.4782666183532</c:v>
                </c:pt>
                <c:pt idx="4810">
                  <c:v>1857.6410025199045</c:v>
                </c:pt>
                <c:pt idx="4811">
                  <c:v>1859.8086533532048</c:v>
                </c:pt>
                <c:pt idx="4812">
                  <c:v>1861.981241338587</c:v>
                </c:pt>
                <c:pt idx="4813">
                  <c:v>1864.1587888474846</c:v>
                </c:pt>
                <c:pt idx="4814">
                  <c:v>1866.3413184037904</c:v>
                </c:pt>
                <c:pt idx="4815">
                  <c:v>1868.5288526852526</c:v>
                </c:pt>
                <c:pt idx="4816">
                  <c:v>1870.7214145248845</c:v>
                </c:pt>
                <c:pt idx="4817">
                  <c:v>1872.9190269123735</c:v>
                </c:pt>
                <c:pt idx="4818">
                  <c:v>1875.1217129955232</c:v>
                </c:pt>
                <c:pt idx="4819">
                  <c:v>1877.3294960817138</c:v>
                </c:pt>
                <c:pt idx="4820">
                  <c:v>1879.542399639359</c:v>
                </c:pt>
                <c:pt idx="4821">
                  <c:v>1881.760447299399</c:v>
                </c:pt>
                <c:pt idx="4822">
                  <c:v>1883.9836628568116</c:v>
                </c:pt>
                <c:pt idx="4823">
                  <c:v>1886.212070272121</c:v>
                </c:pt>
                <c:pt idx="4824">
                  <c:v>1888.4456936729434</c:v>
                </c:pt>
                <c:pt idx="4825">
                  <c:v>1890.6845573555506</c:v>
                </c:pt>
                <c:pt idx="4826">
                  <c:v>1892.9286857864324</c:v>
                </c:pt>
                <c:pt idx="4827">
                  <c:v>1895.1781036038972</c:v>
                </c:pt>
                <c:pt idx="4828">
                  <c:v>1897.432835619691</c:v>
                </c:pt>
                <c:pt idx="4829">
                  <c:v>1899.6929068206164</c:v>
                </c:pt>
                <c:pt idx="4830">
                  <c:v>1901.9583423701881</c:v>
                </c:pt>
                <c:pt idx="4831">
                  <c:v>1904.229167610312</c:v>
                </c:pt>
                <c:pt idx="4832">
                  <c:v>1906.5054080629586</c:v>
                </c:pt>
                <c:pt idx="4833">
                  <c:v>1908.7870894318908</c:v>
                </c:pt>
                <c:pt idx="4834">
                  <c:v>1911.074237604379</c:v>
                </c:pt>
                <c:pt idx="4835">
                  <c:v>1913.366878652959</c:v>
                </c:pt>
                <c:pt idx="4836">
                  <c:v>1915.6650388372104</c:v>
                </c:pt>
                <c:pt idx="4837">
                  <c:v>1917.9687446055368</c:v>
                </c:pt>
                <c:pt idx="4838">
                  <c:v>1920.278022596987</c:v>
                </c:pt>
                <c:pt idx="4839">
                  <c:v>1922.592899643099</c:v>
                </c:pt>
                <c:pt idx="4840">
                  <c:v>1924.9134027697442</c:v>
                </c:pt>
                <c:pt idx="4841">
                  <c:v>1927.2395591990164</c:v>
                </c:pt>
                <c:pt idx="4842">
                  <c:v>1929.5713963511428</c:v>
                </c:pt>
                <c:pt idx="4843">
                  <c:v>1931.9089418463968</c:v>
                </c:pt>
                <c:pt idx="4844">
                  <c:v>1934.2522235070567</c:v>
                </c:pt>
                <c:pt idx="4845">
                  <c:v>1936.6012693593864</c:v>
                </c:pt>
                <c:pt idx="4846">
                  <c:v>1938.9561076356208</c:v>
                </c:pt>
                <c:pt idx="4847">
                  <c:v>1941.316766775996</c:v>
                </c:pt>
                <c:pt idx="4848">
                  <c:v>1943.6832754308045</c:v>
                </c:pt>
                <c:pt idx="4849">
                  <c:v>1946.0556624624546</c:v>
                </c:pt>
                <c:pt idx="4850">
                  <c:v>1948.433956947577</c:v>
                </c:pt>
                <c:pt idx="4851">
                  <c:v>1950.8181881791566</c:v>
                </c:pt>
                <c:pt idx="4852">
                  <c:v>1953.2083856686704</c:v>
                </c:pt>
                <c:pt idx="4853">
                  <c:v>1955.604579148273</c:v>
                </c:pt>
                <c:pt idx="4854">
                  <c:v>1958.0067985730086</c:v>
                </c:pt>
                <c:pt idx="4855">
                  <c:v>1960.4150741230292</c:v>
                </c:pt>
                <c:pt idx="4856">
                  <c:v>1962.8294362058734</c:v>
                </c:pt>
                <c:pt idx="4857">
                  <c:v>1965.2499154587408</c:v>
                </c:pt>
                <c:pt idx="4858">
                  <c:v>1967.6765427508167</c:v>
                </c:pt>
                <c:pt idx="4859">
                  <c:v>1970.1093491856282</c:v>
                </c:pt>
                <c:pt idx="4860">
                  <c:v>1972.5483661034073</c:v>
                </c:pt>
                <c:pt idx="4861">
                  <c:v>1974.993625083506</c:v>
                </c:pt>
                <c:pt idx="4862">
                  <c:v>1977.445157946843</c:v>
                </c:pt>
                <c:pt idx="4863">
                  <c:v>1979.9029967583579</c:v>
                </c:pt>
                <c:pt idx="4864">
                  <c:v>1982.367173829521</c:v>
                </c:pt>
                <c:pt idx="4865">
                  <c:v>1984.8377217208747</c:v>
                </c:pt>
                <c:pt idx="4866">
                  <c:v>1987.3146732445834</c:v>
                </c:pt>
                <c:pt idx="4867">
                  <c:v>1989.7980614670425</c:v>
                </c:pt>
                <c:pt idx="4868">
                  <c:v>1992.2879197115174</c:v>
                </c:pt>
                <c:pt idx="4869">
                  <c:v>1994.7842815607964</c:v>
                </c:pt>
                <c:pt idx="4870">
                  <c:v>1997.287180859901</c:v>
                </c:pt>
                <c:pt idx="4871">
                  <c:v>1999.796651718829</c:v>
                </c:pt>
                <c:pt idx="4872">
                  <c:v>2002.3127285153146</c:v>
                </c:pt>
                <c:pt idx="4873">
                  <c:v>2004.8354458976435</c:v>
                </c:pt>
                <c:pt idx="4874">
                  <c:v>2007.364838787508</c:v>
                </c:pt>
                <c:pt idx="4875">
                  <c:v>2009.9009423828757</c:v>
                </c:pt>
                <c:pt idx="4876">
                  <c:v>2012.4437921609187</c:v>
                </c:pt>
                <c:pt idx="4877">
                  <c:v>2014.9934238809828</c:v>
                </c:pt>
                <c:pt idx="4878">
                  <c:v>2017.549873587569</c:v>
                </c:pt>
                <c:pt idx="4879">
                  <c:v>2020.1131776133943</c:v>
                </c:pt>
                <c:pt idx="4880">
                  <c:v>2022.6833725824551</c:v>
                </c:pt>
                <c:pt idx="4881">
                  <c:v>2025.2604954131566</c:v>
                </c:pt>
                <c:pt idx="4882">
                  <c:v>2027.844583321484</c:v>
                </c:pt>
                <c:pt idx="4883">
                  <c:v>2030.435673824194</c:v>
                </c:pt>
                <c:pt idx="4884">
                  <c:v>2033.0338047420735</c:v>
                </c:pt>
                <c:pt idx="4885">
                  <c:v>2035.6390142032392</c:v>
                </c:pt>
              </c:numCache>
            </c:numRef>
          </c:yVal>
        </c:ser>
        <c:axId val="50040001"/>
        <c:axId val="50040002"/>
      </c:scatterChart>
      <c:valAx>
        <c:axId val="50040001"/>
        <c:scaling>
          <c:orientation val="minMax"/>
        </c:scaling>
        <c:axPos val="b"/>
        <c:title>
          <c:tx>
            <c:rich>
              <a:bodyPr/>
              <a:lstStyle/>
              <a:p>
                <a:pPr>
                  <a:defRPr/>
                </a:pPr>
                <a:r>
                  <a:rPr lang="en-US"/>
                  <a:t>Vận tốc v (km/h)</a:t>
                </a:r>
              </a:p>
            </c:rich>
          </c:tx>
          <c:layout/>
        </c:title>
        <c:numFmt formatCode="General" sourceLinked="1"/>
        <c:tickLblPos val="nextTo"/>
        <c:crossAx val="50040002"/>
        <c:crosses val="autoZero"/>
        <c:crossBetween val="midCat"/>
      </c:valAx>
      <c:valAx>
        <c:axId val="50040002"/>
        <c:scaling>
          <c:orientation val="minMax"/>
        </c:scaling>
        <c:axPos val="l"/>
        <c:majorGridlines>
          <c:spPr>
            <a:ln>
              <a:solidFill>
                <a:srgbClr val="E1E1E1"/>
              </a:solidFill>
            </a:ln>
          </c:spPr>
        </c:majorGridlines>
        <c:title>
          <c:tx>
            <c:rich>
              <a:bodyPr rot="-5400000" vert="horz"/>
              <a:lstStyle/>
              <a:p>
                <a:pPr>
                  <a:defRPr/>
                </a:pPr>
                <a:r>
                  <a:rPr lang="en-US"/>
                  <a:t>S (m)</a:t>
                </a:r>
              </a:p>
            </c:rich>
          </c:tx>
          <c:layout/>
        </c:title>
        <c:numFmt formatCode="General" sourceLinked="1"/>
        <c:tickLblPos val="nextTo"/>
        <c:crossAx val="50040001"/>
        <c:crosses val="autoZero"/>
        <c:crossBetween val="midCat"/>
      </c:valAx>
    </c:plotArea>
    <c:legend>
      <c:legendPos val="b"/>
      <c:layout/>
    </c:legend>
    <c:plotVisOnly val="1"/>
  </c:chart>
  <c:printSettings>
    <c:headerFooter/>
    <c:pageMargins b="0.75" l="0.7" r="0.7" t="0.75" header="0.3" footer="0.3"/>
    <c:pageSetup/>
  </c:printSettings>
</c:chartSpace>
</file>

<file path=xl/ref/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ref/drawings/drawing1.xml><?xml version="1.0" encoding="utf-8"?>
<xdr:wsDr xmlns:xdr="http://schemas.openxmlformats.org/drawingml/2006/spreadsheetDrawing" xmlns:a="http://schemas.openxmlformats.org/drawingml/2006/main">
  <xdr:twoCellAnchor>
    <xdr:from>
      <xdr:col>0</xdr:col>
      <xdr:colOff>0</xdr:colOff>
      <xdr:row>4</xdr:row>
      <xdr:rowOff>0</xdr:rowOff>
    </xdr:from>
    <xdr:to>
      <xdr:col>10</xdr:col>
      <xdr:colOff>476250</xdr:colOff>
      <xdr:row>21</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xdr:row>
      <xdr:rowOff>0</xdr:rowOff>
    </xdr:from>
    <xdr:to>
      <xdr:col>21</xdr:col>
      <xdr:colOff>476250</xdr:colOff>
      <xdr:row>21</xdr:row>
      <xdr:rowOff>47625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27</xdr:row>
      <xdr:rowOff>0</xdr:rowOff>
    </xdr:from>
    <xdr:to>
      <xdr:col>10</xdr:col>
      <xdr:colOff>476250</xdr:colOff>
      <xdr:row>44</xdr:row>
      <xdr:rowOff>47625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27</xdr:row>
      <xdr:rowOff>0</xdr:rowOff>
    </xdr:from>
    <xdr:to>
      <xdr:col>21</xdr:col>
      <xdr:colOff>476250</xdr:colOff>
      <xdr:row>44</xdr:row>
      <xdr:rowOff>47625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ref/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ref/worksheets/sheet1.xml><?xml version="1.0" encoding="utf-8"?>
<worksheet xmlns="http://schemas.openxmlformats.org/spreadsheetml/2006/main" xmlns:r="http://schemas.openxmlformats.org/officeDocument/2006/relationships">
  <sheetPr>
    <pageSetUpPr fitToPage="1"/>
  </sheetPr>
  <dimension ref="A1:H73"/>
  <sheetViews>
    <sheetView showGridLines="0" tabSelected="1" zoomScale="90" zoomScaleNormal="90" workbookViewId="0">
      <pane ySplit="3" topLeftCell="A4" activePane="bottomLeft" state="frozen"/>
      <selection pane="bottomLeft"/>
    </sheetView>
  </sheetViews>
  <sheetFormatPr defaultRowHeight="19" customHeight="1"/>
  <cols>
    <col min="1" max="1" width="5.7109375" customWidth="1"/>
    <col min="2" max="8" width="15.7109375" customWidth="1"/>
  </cols>
  <sheetData>
    <row r="1" spans="1:8" ht="31" customHeight="1">
      <c r="A1" s="66" t="s">
        <v>415</v>
      </c>
      <c r="B1" s="66"/>
      <c r="C1" s="66"/>
      <c r="D1" s="66"/>
      <c r="E1" s="66"/>
      <c r="F1" s="66"/>
      <c r="G1" s="66"/>
      <c r="H1" s="66"/>
    </row>
    <row r="4" spans="1:8" ht="19" customHeight="1">
      <c r="A4" s="67" t="s">
        <v>416</v>
      </c>
      <c r="B4" s="67"/>
      <c r="C4" s="67"/>
      <c r="D4" s="67"/>
      <c r="E4" s="67"/>
      <c r="F4" s="67"/>
      <c r="G4" s="67"/>
      <c r="H4" s="67"/>
    </row>
    <row r="5" spans="1:8" ht="24" customHeight="1">
      <c r="A5" s="68" t="s">
        <v>417</v>
      </c>
      <c r="B5" s="68"/>
      <c r="C5" s="68"/>
      <c r="D5" s="68"/>
      <c r="E5" s="68"/>
      <c r="F5" s="68"/>
      <c r="G5" s="68"/>
      <c r="H5" s="68"/>
    </row>
    <row r="6" spans="1:8" ht="24" customHeight="1">
      <c r="A6" s="68"/>
      <c r="B6" s="68"/>
      <c r="C6" s="68"/>
      <c r="D6" s="68"/>
      <c r="E6" s="68"/>
      <c r="F6" s="68"/>
      <c r="G6" s="68"/>
      <c r="H6" s="68"/>
    </row>
    <row r="7" spans="1:8" ht="24" customHeight="1">
      <c r="A7" s="68"/>
      <c r="B7" s="68"/>
      <c r="C7" s="68"/>
      <c r="D7" s="68"/>
      <c r="E7" s="68"/>
      <c r="F7" s="68"/>
      <c r="G7" s="68"/>
      <c r="H7" s="68"/>
    </row>
    <row r="9" spans="1:8" ht="19" customHeight="1">
      <c r="A9" s="67" t="s">
        <v>418</v>
      </c>
      <c r="B9" s="67"/>
      <c r="C9" s="67"/>
      <c r="D9" s="67"/>
      <c r="E9" s="67"/>
      <c r="F9" s="67"/>
      <c r="G9" s="67"/>
      <c r="H9" s="67"/>
    </row>
    <row r="10" spans="1:8" ht="24" customHeight="1">
      <c r="A10" s="68" t="s">
        <v>419</v>
      </c>
      <c r="B10" s="68"/>
      <c r="C10" s="68"/>
      <c r="D10" s="68"/>
      <c r="E10" s="68"/>
      <c r="F10" s="68"/>
      <c r="G10" s="68"/>
      <c r="H10" s="68"/>
    </row>
    <row r="11" spans="1:8" ht="24" customHeight="1">
      <c r="A11" s="68"/>
      <c r="B11" s="68"/>
      <c r="C11" s="68"/>
      <c r="D11" s="68"/>
      <c r="E11" s="68"/>
      <c r="F11" s="68"/>
      <c r="G11" s="68"/>
      <c r="H11" s="68"/>
    </row>
    <row r="12" spans="1:8" ht="24" customHeight="1">
      <c r="A12" s="68"/>
      <c r="B12" s="68"/>
      <c r="C12" s="68"/>
      <c r="D12" s="68"/>
      <c r="E12" s="68"/>
      <c r="F12" s="68"/>
      <c r="G12" s="68"/>
      <c r="H12" s="68"/>
    </row>
    <row r="14" spans="1:8" ht="19" customHeight="1">
      <c r="A14" s="67" t="s">
        <v>420</v>
      </c>
      <c r="B14" s="67"/>
      <c r="C14" s="67"/>
      <c r="D14" s="67"/>
      <c r="E14" s="67"/>
      <c r="F14" s="67"/>
      <c r="G14" s="67"/>
      <c r="H14" s="67"/>
    </row>
    <row r="15" spans="1:8" ht="24" customHeight="1">
      <c r="A15" s="68" t="s">
        <v>421</v>
      </c>
      <c r="B15" s="68"/>
      <c r="C15" s="68"/>
      <c r="D15" s="68"/>
      <c r="E15" s="68"/>
      <c r="F15" s="68"/>
      <c r="G15" s="68"/>
      <c r="H15" s="68"/>
    </row>
    <row r="16" spans="1:8" ht="24" customHeight="1">
      <c r="A16" s="68"/>
      <c r="B16" s="68"/>
      <c r="C16" s="68"/>
      <c r="D16" s="68"/>
      <c r="E16" s="68"/>
      <c r="F16" s="68"/>
      <c r="G16" s="68"/>
      <c r="H16" s="68"/>
    </row>
    <row r="17" spans="1:8" ht="24" customHeight="1">
      <c r="A17" s="68"/>
      <c r="B17" s="68"/>
      <c r="C17" s="68"/>
      <c r="D17" s="68"/>
      <c r="E17" s="68"/>
      <c r="F17" s="68"/>
      <c r="G17" s="68"/>
      <c r="H17" s="68"/>
    </row>
    <row r="19" spans="1:8" ht="19" customHeight="1">
      <c r="A19" s="67" t="s">
        <v>422</v>
      </c>
      <c r="B19" s="67"/>
      <c r="C19" s="67"/>
      <c r="D19" s="67"/>
      <c r="E19" s="67"/>
      <c r="F19" s="67"/>
      <c r="G19" s="67"/>
      <c r="H19" s="67"/>
    </row>
    <row r="20" spans="1:8" ht="24" customHeight="1">
      <c r="A20" s="68" t="s">
        <v>423</v>
      </c>
      <c r="B20" s="68"/>
      <c r="C20" s="68"/>
      <c r="D20" s="68"/>
      <c r="E20" s="68"/>
      <c r="F20" s="68"/>
      <c r="G20" s="68"/>
      <c r="H20" s="68"/>
    </row>
    <row r="21" spans="1:8" ht="24" customHeight="1">
      <c r="A21" s="68"/>
      <c r="B21" s="68"/>
      <c r="C21" s="68"/>
      <c r="D21" s="68"/>
      <c r="E21" s="68"/>
      <c r="F21" s="68"/>
      <c r="G21" s="68"/>
      <c r="H21" s="68"/>
    </row>
    <row r="22" spans="1:8" ht="24" customHeight="1">
      <c r="A22" s="68"/>
      <c r="B22" s="68"/>
      <c r="C22" s="68"/>
      <c r="D22" s="68"/>
      <c r="E22" s="68"/>
      <c r="F22" s="68"/>
      <c r="G22" s="68"/>
      <c r="H22" s="68"/>
    </row>
    <row r="24" spans="1:8" ht="19" customHeight="1">
      <c r="A24" s="67" t="s">
        <v>424</v>
      </c>
      <c r="B24" s="67"/>
      <c r="C24" s="67"/>
      <c r="D24" s="67"/>
      <c r="E24" s="67"/>
      <c r="F24" s="67"/>
      <c r="G24" s="67"/>
      <c r="H24" s="67"/>
    </row>
    <row r="25" spans="1:8" ht="24" customHeight="1">
      <c r="A25" s="68" t="s">
        <v>425</v>
      </c>
      <c r="B25" s="68"/>
      <c r="C25" s="68"/>
      <c r="D25" s="68"/>
      <c r="E25" s="68"/>
      <c r="F25" s="68"/>
      <c r="G25" s="68"/>
      <c r="H25" s="68"/>
    </row>
    <row r="26" spans="1:8" ht="24" customHeight="1">
      <c r="A26" s="68"/>
      <c r="B26" s="68"/>
      <c r="C26" s="68"/>
      <c r="D26" s="68"/>
      <c r="E26" s="68"/>
      <c r="F26" s="68"/>
      <c r="G26" s="68"/>
      <c r="H26" s="68"/>
    </row>
    <row r="27" spans="1:8" ht="24" customHeight="1">
      <c r="A27" s="68"/>
      <c r="B27" s="68"/>
      <c r="C27" s="68"/>
      <c r="D27" s="68"/>
      <c r="E27" s="68"/>
      <c r="F27" s="68"/>
      <c r="G27" s="68"/>
      <c r="H27" s="68"/>
    </row>
    <row r="29" spans="1:8" ht="19" customHeight="1">
      <c r="A29" s="67" t="s">
        <v>426</v>
      </c>
      <c r="B29" s="67"/>
      <c r="C29" s="67"/>
      <c r="D29" s="67"/>
      <c r="E29" s="67"/>
      <c r="F29" s="67"/>
      <c r="G29" s="67"/>
      <c r="H29" s="67"/>
    </row>
    <row r="30" spans="1:8" ht="24" customHeight="1">
      <c r="A30" s="68" t="s">
        <v>427</v>
      </c>
      <c r="B30" s="68"/>
      <c r="C30" s="68"/>
      <c r="D30" s="68"/>
      <c r="E30" s="68"/>
      <c r="F30" s="68"/>
      <c r="G30" s="68"/>
      <c r="H30" s="68"/>
    </row>
    <row r="31" spans="1:8" ht="24" customHeight="1">
      <c r="A31" s="68"/>
      <c r="B31" s="68"/>
      <c r="C31" s="68"/>
      <c r="D31" s="68"/>
      <c r="E31" s="68"/>
      <c r="F31" s="68"/>
      <c r="G31" s="68"/>
      <c r="H31" s="68"/>
    </row>
    <row r="32" spans="1:8" ht="24" customHeight="1">
      <c r="A32" s="68"/>
      <c r="B32" s="68"/>
      <c r="C32" s="68"/>
      <c r="D32" s="68"/>
      <c r="E32" s="68"/>
      <c r="F32" s="68"/>
      <c r="G32" s="68"/>
      <c r="H32" s="68"/>
    </row>
    <row r="34" spans="1:8" ht="19" customHeight="1">
      <c r="A34" s="67" t="s">
        <v>428</v>
      </c>
      <c r="B34" s="67"/>
      <c r="C34" s="67"/>
      <c r="D34" s="67"/>
      <c r="E34" s="67"/>
      <c r="F34" s="67"/>
      <c r="G34" s="67"/>
      <c r="H34" s="67"/>
    </row>
    <row r="35" spans="1:8" ht="24" customHeight="1">
      <c r="A35" s="68" t="s">
        <v>429</v>
      </c>
      <c r="B35" s="68"/>
      <c r="C35" s="68"/>
      <c r="D35" s="68"/>
      <c r="E35" s="68"/>
      <c r="F35" s="68"/>
      <c r="G35" s="68"/>
      <c r="H35" s="68"/>
    </row>
    <row r="36" spans="1:8" ht="24" customHeight="1">
      <c r="A36" s="68"/>
      <c r="B36" s="68"/>
      <c r="C36" s="68"/>
      <c r="D36" s="68"/>
      <c r="E36" s="68"/>
      <c r="F36" s="68"/>
      <c r="G36" s="68"/>
      <c r="H36" s="68"/>
    </row>
    <row r="37" spans="1:8" ht="24" customHeight="1">
      <c r="A37" s="68"/>
      <c r="B37" s="68"/>
      <c r="C37" s="68"/>
      <c r="D37" s="68"/>
      <c r="E37" s="68"/>
      <c r="F37" s="68"/>
      <c r="G37" s="68"/>
      <c r="H37" s="68"/>
    </row>
    <row r="39" spans="1:8" ht="19" customHeight="1">
      <c r="A39" s="67" t="s">
        <v>430</v>
      </c>
      <c r="B39" s="67"/>
      <c r="C39" s="67"/>
      <c r="D39" s="67"/>
      <c r="E39" s="67"/>
      <c r="F39" s="67"/>
      <c r="G39" s="67"/>
      <c r="H39" s="67"/>
    </row>
    <row r="40" spans="1:8" ht="24" customHeight="1">
      <c r="A40" s="68" t="s">
        <v>431</v>
      </c>
      <c r="B40" s="68"/>
      <c r="C40" s="68"/>
      <c r="D40" s="68"/>
      <c r="E40" s="68"/>
      <c r="F40" s="68"/>
      <c r="G40" s="68"/>
      <c r="H40" s="68"/>
    </row>
    <row r="41" spans="1:8" ht="24" customHeight="1">
      <c r="A41" s="68"/>
      <c r="B41" s="68"/>
      <c r="C41" s="68"/>
      <c r="D41" s="68"/>
      <c r="E41" s="68"/>
      <c r="F41" s="68"/>
      <c r="G41" s="68"/>
      <c r="H41" s="68"/>
    </row>
    <row r="42" spans="1:8" ht="24" customHeight="1">
      <c r="A42" s="68"/>
      <c r="B42" s="68"/>
      <c r="C42" s="68"/>
      <c r="D42" s="68"/>
      <c r="E42" s="68"/>
      <c r="F42" s="68"/>
      <c r="G42" s="68"/>
      <c r="H42" s="68"/>
    </row>
    <row r="44" spans="1:8" ht="19" customHeight="1">
      <c r="A44" s="67" t="s">
        <v>432</v>
      </c>
      <c r="B44" s="67"/>
      <c r="C44" s="67"/>
      <c r="D44" s="67"/>
      <c r="E44" s="67"/>
      <c r="F44" s="67"/>
      <c r="G44" s="67"/>
      <c r="H44" s="67"/>
    </row>
    <row r="45" spans="1:8" ht="24" customHeight="1">
      <c r="A45" s="68" t="s">
        <v>433</v>
      </c>
      <c r="B45" s="68"/>
      <c r="C45" s="68"/>
      <c r="D45" s="68"/>
      <c r="E45" s="68"/>
      <c r="F45" s="68"/>
      <c r="G45" s="68"/>
      <c r="H45" s="68"/>
    </row>
    <row r="46" spans="1:8" ht="24" customHeight="1">
      <c r="A46" s="68"/>
      <c r="B46" s="68"/>
      <c r="C46" s="68"/>
      <c r="D46" s="68"/>
      <c r="E46" s="68"/>
      <c r="F46" s="68"/>
      <c r="G46" s="68"/>
      <c r="H46" s="68"/>
    </row>
    <row r="47" spans="1:8" ht="24" customHeight="1">
      <c r="A47" s="68"/>
      <c r="B47" s="68"/>
      <c r="C47" s="68"/>
      <c r="D47" s="68"/>
      <c r="E47" s="68"/>
      <c r="F47" s="68"/>
      <c r="G47" s="68"/>
      <c r="H47" s="68"/>
    </row>
    <row r="49" spans="1:8" ht="19" customHeight="1">
      <c r="A49" s="67" t="s">
        <v>434</v>
      </c>
      <c r="B49" s="67"/>
      <c r="C49" s="67"/>
      <c r="D49" s="67"/>
      <c r="E49" s="67"/>
      <c r="F49" s="67"/>
      <c r="G49" s="67"/>
      <c r="H49" s="67"/>
    </row>
    <row r="50" spans="1:8" ht="24" customHeight="1">
      <c r="A50" s="68" t="s">
        <v>435</v>
      </c>
      <c r="B50" s="68"/>
      <c r="C50" s="68"/>
      <c r="D50" s="68"/>
      <c r="E50" s="68"/>
      <c r="F50" s="68"/>
      <c r="G50" s="68"/>
      <c r="H50" s="68"/>
    </row>
    <row r="51" spans="1:8" ht="24" customHeight="1">
      <c r="A51" s="68"/>
      <c r="B51" s="68"/>
      <c r="C51" s="68"/>
      <c r="D51" s="68"/>
      <c r="E51" s="68"/>
      <c r="F51" s="68"/>
      <c r="G51" s="68"/>
      <c r="H51" s="68"/>
    </row>
    <row r="52" spans="1:8" ht="24" customHeight="1">
      <c r="A52" s="68"/>
      <c r="B52" s="68"/>
      <c r="C52" s="68"/>
      <c r="D52" s="68"/>
      <c r="E52" s="68"/>
      <c r="F52" s="68"/>
      <c r="G52" s="68"/>
      <c r="H52" s="68"/>
    </row>
    <row r="54" spans="1:8" ht="19" customHeight="1">
      <c r="A54" s="67" t="s">
        <v>436</v>
      </c>
      <c r="B54" s="67"/>
      <c r="C54" s="67"/>
      <c r="D54" s="67"/>
      <c r="E54" s="67"/>
      <c r="F54" s="67"/>
      <c r="G54" s="67"/>
      <c r="H54" s="67"/>
    </row>
    <row r="55" spans="1:8" ht="24" customHeight="1">
      <c r="A55" s="68" t="s">
        <v>437</v>
      </c>
      <c r="B55" s="68"/>
      <c r="C55" s="68"/>
      <c r="D55" s="68"/>
      <c r="E55" s="68"/>
      <c r="F55" s="68"/>
      <c r="G55" s="68"/>
      <c r="H55" s="68"/>
    </row>
    <row r="56" spans="1:8" ht="24" customHeight="1">
      <c r="A56" s="68"/>
      <c r="B56" s="68"/>
      <c r="C56" s="68"/>
      <c r="D56" s="68"/>
      <c r="E56" s="68"/>
      <c r="F56" s="68"/>
      <c r="G56" s="68"/>
      <c r="H56" s="68"/>
    </row>
    <row r="57" spans="1:8" ht="24" customHeight="1">
      <c r="A57" s="68"/>
      <c r="B57" s="68"/>
      <c r="C57" s="68"/>
      <c r="D57" s="68"/>
      <c r="E57" s="68"/>
      <c r="F57" s="68"/>
      <c r="G57" s="68"/>
      <c r="H57" s="68"/>
    </row>
    <row r="59" spans="1:8" ht="19" customHeight="1">
      <c r="A59" s="67" t="s">
        <v>438</v>
      </c>
      <c r="B59" s="67"/>
      <c r="C59" s="67"/>
      <c r="D59" s="67"/>
      <c r="E59" s="67"/>
      <c r="F59" s="67"/>
      <c r="G59" s="67"/>
      <c r="H59" s="67"/>
    </row>
    <row r="60" spans="1:8" ht="24" customHeight="1">
      <c r="A60" s="68" t="s">
        <v>439</v>
      </c>
      <c r="B60" s="68"/>
      <c r="C60" s="68"/>
      <c r="D60" s="68"/>
      <c r="E60" s="68"/>
      <c r="F60" s="68"/>
      <c r="G60" s="68"/>
      <c r="H60" s="68"/>
    </row>
    <row r="61" spans="1:8" ht="24" customHeight="1">
      <c r="A61" s="68"/>
      <c r="B61" s="68"/>
      <c r="C61" s="68"/>
      <c r="D61" s="68"/>
      <c r="E61" s="68"/>
      <c r="F61" s="68"/>
      <c r="G61" s="68"/>
      <c r="H61" s="68"/>
    </row>
    <row r="62" spans="1:8" ht="24" customHeight="1">
      <c r="A62" s="68"/>
      <c r="B62" s="68"/>
      <c r="C62" s="68"/>
      <c r="D62" s="68"/>
      <c r="E62" s="68"/>
      <c r="F62" s="68"/>
      <c r="G62" s="68"/>
      <c r="H62" s="68"/>
    </row>
    <row r="64" spans="1:8" ht="19" customHeight="1">
      <c r="A64" s="67" t="s">
        <v>440</v>
      </c>
      <c r="B64" s="67"/>
      <c r="C64" s="67"/>
      <c r="D64" s="67"/>
      <c r="E64" s="67"/>
      <c r="F64" s="67"/>
      <c r="G64" s="67"/>
      <c r="H64" s="67"/>
    </row>
    <row r="65" spans="1:8" ht="24" customHeight="1">
      <c r="A65" s="68" t="s">
        <v>441</v>
      </c>
      <c r="B65" s="68"/>
      <c r="C65" s="68"/>
      <c r="D65" s="68"/>
      <c r="E65" s="68"/>
      <c r="F65" s="68"/>
      <c r="G65" s="68"/>
      <c r="H65" s="68"/>
    </row>
    <row r="66" spans="1:8" ht="24" customHeight="1">
      <c r="A66" s="68"/>
      <c r="B66" s="68"/>
      <c r="C66" s="68"/>
      <c r="D66" s="68"/>
      <c r="E66" s="68"/>
      <c r="F66" s="68"/>
      <c r="G66" s="68"/>
      <c r="H66" s="68"/>
    </row>
    <row r="67" spans="1:8" ht="24" customHeight="1">
      <c r="A67" s="68"/>
      <c r="B67" s="68"/>
      <c r="C67" s="68"/>
      <c r="D67" s="68"/>
      <c r="E67" s="68"/>
      <c r="F67" s="68"/>
      <c r="G67" s="68"/>
      <c r="H67" s="68"/>
    </row>
    <row r="69" spans="1:8" ht="19" customHeight="1">
      <c r="B69" s="69" t="s">
        <v>442</v>
      </c>
    </row>
    <row r="70" spans="1:8" ht="19" customHeight="1">
      <c r="B70" s="69" t="s">
        <v>443</v>
      </c>
    </row>
    <row r="71" spans="1:8" ht="19" customHeight="1">
      <c r="B71" s="69" t="s">
        <v>444</v>
      </c>
    </row>
    <row r="72" spans="1:8" ht="19" customHeight="1">
      <c r="B72" s="69" t="s">
        <v>445</v>
      </c>
    </row>
    <row r="73" spans="1:8" ht="19" customHeight="1">
      <c r="B73" s="69" t="s">
        <v>446</v>
      </c>
    </row>
  </sheetData>
  <mergeCells count="27">
    <mergeCell ref="A1:H1"/>
    <mergeCell ref="A4:H4"/>
    <mergeCell ref="A5:H7"/>
    <mergeCell ref="A9:H9"/>
    <mergeCell ref="A10:H12"/>
    <mergeCell ref="A14:H14"/>
    <mergeCell ref="A15:H17"/>
    <mergeCell ref="A19:H19"/>
    <mergeCell ref="A20:H22"/>
    <mergeCell ref="A24:H24"/>
    <mergeCell ref="A25:H27"/>
    <mergeCell ref="A29:H29"/>
    <mergeCell ref="A30:H32"/>
    <mergeCell ref="A34:H34"/>
    <mergeCell ref="A35:H37"/>
    <mergeCell ref="A39:H39"/>
    <mergeCell ref="A40:H42"/>
    <mergeCell ref="A44:H44"/>
    <mergeCell ref="A45:H47"/>
    <mergeCell ref="A49:H49"/>
    <mergeCell ref="A50:H52"/>
    <mergeCell ref="A54:H54"/>
    <mergeCell ref="A55:H57"/>
    <mergeCell ref="A59:H59"/>
    <mergeCell ref="A60:H62"/>
    <mergeCell ref="A64:H64"/>
    <mergeCell ref="A65:H67"/>
  </mergeCells>
  <hyperlinks>
    <hyperlink ref="B69" location="'THAM_SO_MOI'!A1" display="THAM_SO_MOI"/>
    <hyperlink ref="B70" location="'TICH_PHAN_SO_V'!A1" display="TICH_PHAN_SO_V"/>
    <hyperlink ref="B71" location="'HANH_TRINH'!A1" display="HANH_TRINH"/>
    <hyperlink ref="B72" location="'TONG_HOP'!A1" display="TONG_HOP"/>
    <hyperlink ref="B73" location="'DO_THI_MOI'!A1" display="DO_THI_MOI"/>
  </hyperlinks>
  <pageMargins left="0.3" right="0.3" top="0.45" bottom="0.45" header="0.3" footer="0.3"/>
  <pageSetup fitToHeight="0" orientation="landscape"/>
  <headerFooter>
    <oddHeader>&amp;LNhóm 2 — Excel tham khảo&amp;RHD_THAM_KHAO</oddHeader>
    <oddFooter>&amp;LĐọc HD_THAM_KHAO trước khi thay đầu vào&amp;P / &amp;N</oddFooter>
  </headerFooter>
</worksheet>
</file>

<file path=xl/ref/worksheets/sheet2.xml><?xml version="1.0" encoding="utf-8"?>
<worksheet xmlns="http://schemas.openxmlformats.org/spreadsheetml/2006/main" xmlns:r="http://schemas.openxmlformats.org/officeDocument/2006/relationships">
  <sheetPr>
    <pageSetUpPr fitToPage="1"/>
  </sheetPr>
  <dimension ref="A1:G53"/>
  <sheetViews>
    <sheetView showGridLines="0" zoomScale="90" zoomScaleNormal="90" workbookViewId="0">
      <pane xSplit="2" ySplit="5" topLeftCell="C6" activePane="bottomRight" state="frozen"/>
      <selection pane="topRight" activeCell="C1" sqref="C1"/>
      <selection pane="bottomLeft" activeCell="A6" sqref="A6"/>
      <selection pane="bottomRight"/>
    </sheetView>
  </sheetViews>
  <sheetFormatPr defaultRowHeight="19" customHeight="1"/>
  <cols>
    <col min="1" max="1" width="18.7109375" customWidth="1"/>
    <col min="2" max="2" width="39.7109375" customWidth="1"/>
    <col min="3" max="3" width="20.7109375" customWidth="1"/>
    <col min="4" max="4" width="14.7109375" customWidth="1"/>
    <col min="5" max="7" width="19.7109375" customWidth="1"/>
  </cols>
  <sheetData>
    <row r="1" spans="1:7" ht="31" customHeight="1">
      <c r="A1" s="66" t="s">
        <v>195</v>
      </c>
      <c r="B1" s="66"/>
      <c r="C1" s="66"/>
      <c r="D1" s="66"/>
      <c r="E1" s="66"/>
      <c r="F1" s="66"/>
      <c r="G1" s="66"/>
    </row>
    <row r="2" spans="1:7" ht="26" customHeight="1">
      <c r="A2" s="70" t="s">
        <v>196</v>
      </c>
      <c r="B2" s="70"/>
      <c r="C2" s="70"/>
      <c r="D2" s="70"/>
      <c r="E2" s="70"/>
      <c r="F2" s="70"/>
      <c r="G2" s="70"/>
    </row>
    <row r="3" spans="1:7" ht="26" customHeight="1">
      <c r="A3" s="70"/>
      <c r="B3" s="70"/>
      <c r="C3" s="70"/>
      <c r="D3" s="70"/>
      <c r="E3" s="70"/>
      <c r="F3" s="70"/>
      <c r="G3" s="70"/>
    </row>
    <row r="5" spans="1:7" ht="34" customHeight="1">
      <c r="A5" s="71" t="s">
        <v>197</v>
      </c>
      <c r="B5" s="71" t="s">
        <v>198</v>
      </c>
      <c r="C5" s="71" t="s">
        <v>199</v>
      </c>
      <c r="D5" s="71" t="s">
        <v>200</v>
      </c>
      <c r="E5" s="71" t="s">
        <v>201</v>
      </c>
      <c r="F5" s="71"/>
      <c r="G5" s="71"/>
    </row>
    <row r="6" spans="1:7" ht="30" customHeight="1">
      <c r="A6" s="68" t="s">
        <v>202</v>
      </c>
      <c r="B6" s="68" t="s">
        <v>203</v>
      </c>
      <c r="C6" s="72">
        <f>'THÔNG SỐ CHO TRƯỚC'!E9</f>
        <v>3450</v>
      </c>
      <c r="D6" s="68" t="s">
        <v>204</v>
      </c>
      <c r="E6" s="68" t="s">
        <v>205</v>
      </c>
      <c r="F6" s="68"/>
      <c r="G6" s="68"/>
    </row>
    <row r="7" spans="1:7" ht="30" customHeight="1">
      <c r="A7" s="68" t="s">
        <v>206</v>
      </c>
      <c r="B7" s="68" t="s">
        <v>207</v>
      </c>
      <c r="C7" s="72">
        <f>'THÔNG SỐ CHO TRƯỚC'!E10</f>
        <v>4100</v>
      </c>
      <c r="D7" s="68" t="s">
        <v>204</v>
      </c>
      <c r="E7" s="68" t="s">
        <v>205</v>
      </c>
      <c r="F7" s="68"/>
      <c r="G7" s="68"/>
    </row>
    <row r="8" spans="1:7" ht="30" customHeight="1">
      <c r="A8" s="68" t="s">
        <v>208</v>
      </c>
      <c r="B8" s="68" t="s">
        <v>209</v>
      </c>
      <c r="C8" s="72">
        <f>'THÔNG SỐ CHO TRƯỚC'!E8</f>
        <v>2</v>
      </c>
      <c r="D8" s="68" t="s">
        <v>210</v>
      </c>
      <c r="E8" s="68" t="s">
        <v>205</v>
      </c>
      <c r="F8" s="68"/>
      <c r="G8" s="68"/>
    </row>
    <row r="9" spans="1:7" ht="30" customHeight="1">
      <c r="A9" s="68" t="s">
        <v>211</v>
      </c>
      <c r="B9" s="68" t="s">
        <v>212</v>
      </c>
      <c r="C9" s="72">
        <f>'THÔNG SỐ CHO TRƯỚC'!E21</f>
        <v>65</v>
      </c>
      <c r="D9" s="68" t="s">
        <v>204</v>
      </c>
      <c r="E9" s="68" t="s">
        <v>205</v>
      </c>
      <c r="F9" s="68"/>
      <c r="G9" s="68"/>
    </row>
    <row r="10" spans="1:7" ht="30" customHeight="1">
      <c r="A10" s="68" t="s">
        <v>213</v>
      </c>
      <c r="B10" s="68" t="s">
        <v>214</v>
      </c>
      <c r="C10" s="73">
        <v>9.81</v>
      </c>
      <c r="D10" s="68" t="s">
        <v>215</v>
      </c>
      <c r="E10" s="68" t="s">
        <v>216</v>
      </c>
      <c r="F10" s="68"/>
      <c r="G10" s="68"/>
    </row>
    <row r="11" spans="1:7" ht="30" customHeight="1">
      <c r="A11" s="68" t="s">
        <v>217</v>
      </c>
      <c r="B11" s="68" t="s">
        <v>218</v>
      </c>
      <c r="C11" s="72">
        <f>'THAM_SO_MOI'!$C$6+'THAM_SO_MOI'!$C$7+'THAM_SO_MOI'!$C$8*'THAM_SO_MOI'!$C$9</f>
        <v>7680</v>
      </c>
      <c r="D11" s="68" t="s">
        <v>204</v>
      </c>
      <c r="E11" s="68" t="s">
        <v>219</v>
      </c>
      <c r="F11" s="68"/>
      <c r="G11" s="68"/>
    </row>
    <row r="12" spans="1:7" ht="30" customHeight="1">
      <c r="A12" s="68" t="s">
        <v>220</v>
      </c>
      <c r="B12" s="68" t="s">
        <v>221</v>
      </c>
      <c r="C12" s="72">
        <f>'THAM_SO_MOI'!$C$11*'THAM_SO_MOI'!$C$10</f>
        <v>75340.8</v>
      </c>
      <c r="D12" s="68" t="s">
        <v>222</v>
      </c>
      <c r="E12" s="68" t="s">
        <v>223</v>
      </c>
      <c r="F12" s="68"/>
      <c r="G12" s="68"/>
    </row>
    <row r="13" spans="1:7" ht="30" customHeight="1">
      <c r="A13" s="68" t="s">
        <v>224</v>
      </c>
      <c r="B13" s="68" t="s">
        <v>225</v>
      </c>
      <c r="C13" s="72">
        <f>'THÔNG SỐ CHO TRƯỚC'!E23</f>
        <v>0.015</v>
      </c>
      <c r="D13" s="68" t="s">
        <v>226</v>
      </c>
      <c r="E13" s="68" t="s">
        <v>227</v>
      </c>
      <c r="F13" s="68"/>
      <c r="G13" s="68"/>
    </row>
    <row r="14" spans="1:7" ht="30" customHeight="1">
      <c r="A14" s="68" t="s">
        <v>228</v>
      </c>
      <c r="B14" s="68" t="s">
        <v>229</v>
      </c>
      <c r="C14" s="73">
        <v>22.2</v>
      </c>
      <c r="D14" s="68" t="s">
        <v>230</v>
      </c>
      <c r="E14" s="68" t="s">
        <v>231</v>
      </c>
      <c r="F14" s="68"/>
      <c r="G14" s="68"/>
    </row>
    <row r="15" spans="1:7" ht="30" customHeight="1">
      <c r="A15" s="68" t="s">
        <v>232</v>
      </c>
      <c r="B15" s="68" t="s">
        <v>233</v>
      </c>
      <c r="C15" s="72">
        <f>'THÔNG SỐ CHO TRƯỚC'!E25</f>
        <v>0.65</v>
      </c>
      <c r="D15" s="68" t="s">
        <v>234</v>
      </c>
      <c r="E15" s="68" t="s">
        <v>205</v>
      </c>
      <c r="F15" s="68"/>
      <c r="G15" s="68"/>
    </row>
    <row r="16" spans="1:7" ht="30" customHeight="1">
      <c r="A16" s="68" t="s">
        <v>235</v>
      </c>
      <c r="B16" s="68" t="s">
        <v>236</v>
      </c>
      <c r="C16" s="72">
        <f>'THÔNG SỐ CHO TRƯỚC'!E26</f>
        <v>4.5</v>
      </c>
      <c r="D16" s="68" t="s">
        <v>237</v>
      </c>
      <c r="E16" s="68" t="s">
        <v>205</v>
      </c>
      <c r="F16" s="68"/>
      <c r="G16" s="68"/>
    </row>
    <row r="17" spans="1:7" ht="30" customHeight="1">
      <c r="A17" s="68" t="s">
        <v>238</v>
      </c>
      <c r="B17" s="68" t="s">
        <v>239</v>
      </c>
      <c r="C17" s="72">
        <f>'THÔNG SỐ CHO TRƯỚC'!E27</f>
        <v>0.85</v>
      </c>
      <c r="D17" s="68" t="s">
        <v>226</v>
      </c>
      <c r="E17" s="68" t="s">
        <v>205</v>
      </c>
      <c r="F17" s="68"/>
      <c r="G17" s="68"/>
    </row>
    <row r="18" spans="1:7" ht="30" customHeight="1">
      <c r="A18" s="68" t="s">
        <v>240</v>
      </c>
      <c r="B18" s="68" t="s">
        <v>241</v>
      </c>
      <c r="C18" s="72">
        <f>'THÔNG SỐ CHO TRƯỚC'!E13</f>
        <v>95</v>
      </c>
      <c r="D18" s="68" t="s">
        <v>242</v>
      </c>
      <c r="E18" s="68" t="s">
        <v>243</v>
      </c>
      <c r="F18" s="68"/>
      <c r="G18" s="68"/>
    </row>
    <row r="19" spans="1:7" ht="30" customHeight="1">
      <c r="A19" s="68" t="s">
        <v>244</v>
      </c>
      <c r="B19" s="68" t="s">
        <v>245</v>
      </c>
      <c r="C19" s="72">
        <f>'THAM_SO_MOI'!$C$18/3.6</f>
        <v>26.38888888888889</v>
      </c>
      <c r="D19" s="68" t="s">
        <v>230</v>
      </c>
      <c r="E19" s="68" t="s">
        <v>246</v>
      </c>
      <c r="F19" s="68"/>
      <c r="G19" s="68"/>
    </row>
    <row r="20" spans="1:7" ht="30" customHeight="1">
      <c r="A20" s="68" t="s">
        <v>247</v>
      </c>
      <c r="B20" s="68" t="s">
        <v>248</v>
      </c>
      <c r="C20" s="72">
        <f>'THÔNG SỐ CHO TRƯỚC'!E28</f>
        <v>0.9</v>
      </c>
      <c r="D20" s="68" t="s">
        <v>226</v>
      </c>
      <c r="E20" s="68" t="s">
        <v>249</v>
      </c>
      <c r="F20" s="68"/>
      <c r="G20" s="68"/>
    </row>
    <row r="21" spans="1:7" ht="30" customHeight="1">
      <c r="A21" s="68" t="s">
        <v>250</v>
      </c>
      <c r="B21" s="68" t="s">
        <v>251</v>
      </c>
      <c r="C21" s="72">
        <f>'THÔNG SỐ CHO TRƯỚC'!E29</f>
        <v>2600</v>
      </c>
      <c r="D21" s="68" t="s">
        <v>252</v>
      </c>
      <c r="E21" s="68" t="s">
        <v>253</v>
      </c>
      <c r="F21" s="68"/>
      <c r="G21" s="68"/>
    </row>
    <row r="22" spans="1:7" ht="30" customHeight="1">
      <c r="A22" s="68" t="s">
        <v>254</v>
      </c>
      <c r="B22" s="68" t="s">
        <v>255</v>
      </c>
      <c r="C22" s="72">
        <f>'THAM_SO_MOI'!$C$21/'THAM_SO_MOI'!$C$20</f>
        <v>2888.8888888888887</v>
      </c>
      <c r="D22" s="68" t="s">
        <v>252</v>
      </c>
      <c r="E22" s="68" t="s">
        <v>256</v>
      </c>
      <c r="F22" s="68"/>
      <c r="G22" s="68"/>
    </row>
    <row r="23" spans="1:7" ht="30" customHeight="1">
      <c r="A23" s="68" t="s">
        <v>257</v>
      </c>
      <c r="B23" s="68" t="s">
        <v>258</v>
      </c>
      <c r="C23" s="72">
        <f>'THÔNG SỐ CHO TRƯỚC'!E30</f>
        <v>0.5</v>
      </c>
      <c r="D23" s="68" t="s">
        <v>226</v>
      </c>
      <c r="E23" s="68" t="s">
        <v>249</v>
      </c>
      <c r="F23" s="68"/>
      <c r="G23" s="68"/>
    </row>
    <row r="24" spans="1:7" ht="30" customHeight="1">
      <c r="A24" s="68" t="s">
        <v>259</v>
      </c>
      <c r="B24" s="68" t="s">
        <v>260</v>
      </c>
      <c r="C24" s="72">
        <f>'THÔNG SỐ CHO TRƯỚC'!E31</f>
        <v>1.5</v>
      </c>
      <c r="D24" s="68" t="s">
        <v>226</v>
      </c>
      <c r="E24" s="68" t="s">
        <v>249</v>
      </c>
      <c r="F24" s="68"/>
      <c r="G24" s="68"/>
    </row>
    <row r="25" spans="1:7" ht="30" customHeight="1">
      <c r="A25" s="68" t="s">
        <v>261</v>
      </c>
      <c r="B25" s="68" t="s">
        <v>262</v>
      </c>
      <c r="C25" s="72">
        <f>'THÔNG SỐ CHO TRƯỚC'!E32</f>
        <v>1</v>
      </c>
      <c r="D25" s="68" t="s">
        <v>226</v>
      </c>
      <c r="E25" s="68" t="s">
        <v>249</v>
      </c>
      <c r="F25" s="68"/>
      <c r="G25" s="68"/>
    </row>
    <row r="26" spans="1:7" ht="30" customHeight="1">
      <c r="A26" s="68" t="s">
        <v>263</v>
      </c>
      <c r="B26" s="68" t="s">
        <v>264</v>
      </c>
      <c r="C26" s="72">
        <f>'TÍNH TOÁN '!E15</f>
        <v>0.3921125</v>
      </c>
      <c r="D26" s="68" t="s">
        <v>265</v>
      </c>
      <c r="E26" s="68" t="s">
        <v>249</v>
      </c>
      <c r="F26" s="68"/>
      <c r="G26" s="68"/>
    </row>
    <row r="27" spans="1:7" ht="30" customHeight="1">
      <c r="A27" s="68" t="s">
        <v>266</v>
      </c>
      <c r="B27" s="68" t="s">
        <v>267</v>
      </c>
      <c r="C27" s="72">
        <f>'TÍNH TOÁN '!E46</f>
        <v>1.25</v>
      </c>
      <c r="D27" s="68" t="s">
        <v>226</v>
      </c>
      <c r="E27" s="68" t="s">
        <v>249</v>
      </c>
      <c r="F27" s="68"/>
      <c r="G27" s="68"/>
    </row>
    <row r="28" spans="1:7" ht="30" customHeight="1">
      <c r="A28" s="68" t="s">
        <v>268</v>
      </c>
      <c r="B28" s="68" t="s">
        <v>269</v>
      </c>
      <c r="C28" s="72">
        <f>'TÍNH TOÁN '!E57</f>
        <v>6.5</v>
      </c>
      <c r="D28" s="68" t="s">
        <v>226</v>
      </c>
      <c r="E28" s="68" t="s">
        <v>270</v>
      </c>
      <c r="F28" s="68"/>
      <c r="G28" s="68"/>
    </row>
    <row r="29" spans="1:7" ht="30" customHeight="1">
      <c r="A29" s="68" t="s">
        <v>271</v>
      </c>
      <c r="B29" s="68" t="s">
        <v>272</v>
      </c>
      <c r="C29" s="72">
        <f>'TÍNH TOÁN '!E61</f>
        <v>1</v>
      </c>
      <c r="D29" s="68" t="s">
        <v>226</v>
      </c>
      <c r="E29" s="68" t="s">
        <v>273</v>
      </c>
      <c r="F29" s="68"/>
      <c r="G29" s="68"/>
    </row>
    <row r="30" spans="1:7" ht="30" customHeight="1">
      <c r="A30" s="68" t="s">
        <v>274</v>
      </c>
      <c r="B30" s="68" t="s">
        <v>275</v>
      </c>
      <c r="C30" s="72">
        <f>'TÍNH TOÁN '!E48</f>
        <v>3.2365441499518903</v>
      </c>
      <c r="D30" s="68" t="s">
        <v>226</v>
      </c>
      <c r="E30" s="68" t="s">
        <v>249</v>
      </c>
      <c r="F30" s="68"/>
      <c r="G30" s="68"/>
    </row>
    <row r="31" spans="1:7" ht="30" customHeight="1">
      <c r="A31" s="68" t="s">
        <v>276</v>
      </c>
      <c r="B31" s="68" t="s">
        <v>277</v>
      </c>
      <c r="C31" s="72">
        <f>10000/1.047</f>
        <v>9551.098376313277</v>
      </c>
      <c r="D31" s="68" t="s">
        <v>226</v>
      </c>
      <c r="E31" s="68" t="s">
        <v>278</v>
      </c>
      <c r="F31" s="68"/>
      <c r="G31" s="68"/>
    </row>
    <row r="32" spans="1:7" ht="30" customHeight="1">
      <c r="A32" s="68" t="s">
        <v>279</v>
      </c>
      <c r="B32" s="68" t="s">
        <v>280</v>
      </c>
      <c r="C32" s="73">
        <v>800</v>
      </c>
      <c r="D32" s="68" t="s">
        <v>252</v>
      </c>
      <c r="E32" s="68" t="s">
        <v>281</v>
      </c>
      <c r="F32" s="68"/>
      <c r="G32" s="68"/>
    </row>
    <row r="33" spans="1:7" ht="30" customHeight="1">
      <c r="A33" s="68" t="s">
        <v>282</v>
      </c>
      <c r="B33" s="68" t="s">
        <v>283</v>
      </c>
      <c r="C33" s="73">
        <v>2600</v>
      </c>
      <c r="D33" s="68" t="s">
        <v>252</v>
      </c>
      <c r="E33" s="68" t="s">
        <v>284</v>
      </c>
      <c r="F33" s="68"/>
      <c r="G33" s="68"/>
    </row>
    <row r="34" spans="1:7" ht="30" customHeight="1">
      <c r="A34" s="68" t="s">
        <v>285</v>
      </c>
      <c r="B34" s="68" t="s">
        <v>286</v>
      </c>
      <c r="C34" s="73">
        <v>1</v>
      </c>
      <c r="D34" s="68" t="s">
        <v>287</v>
      </c>
      <c r="E34" s="68" t="s">
        <v>288</v>
      </c>
      <c r="F34" s="68"/>
      <c r="G34" s="68"/>
    </row>
    <row r="35" spans="1:7" ht="30" customHeight="1">
      <c r="A35" s="68" t="s">
        <v>289</v>
      </c>
      <c r="B35" s="68" t="s">
        <v>290</v>
      </c>
      <c r="C35" s="73">
        <v>1.05</v>
      </c>
      <c r="D35" s="68" t="s">
        <v>226</v>
      </c>
      <c r="E35" s="68" t="s">
        <v>291</v>
      </c>
      <c r="F35" s="68"/>
      <c r="G35" s="68"/>
    </row>
    <row r="36" spans="1:7" ht="30" customHeight="1">
      <c r="A36" s="68" t="s">
        <v>292</v>
      </c>
      <c r="B36" s="68" t="s">
        <v>293</v>
      </c>
      <c r="C36" s="73">
        <v>0.95</v>
      </c>
      <c r="D36" s="68" t="s">
        <v>226</v>
      </c>
      <c r="E36" s="68" t="s">
        <v>294</v>
      </c>
      <c r="F36" s="68"/>
      <c r="G36" s="68"/>
    </row>
    <row r="37" spans="1:7" ht="30" customHeight="1">
      <c r="A37" s="68" t="s">
        <v>295</v>
      </c>
      <c r="B37" s="68" t="s">
        <v>296</v>
      </c>
      <c r="C37" s="72">
        <f>'THAM_SO_MOI'!$C$36*'THAM_SO_MOI'!$C$19</f>
        <v>25.069444444444443</v>
      </c>
      <c r="D37" s="68" t="s">
        <v>230</v>
      </c>
      <c r="E37" s="68" t="s">
        <v>297</v>
      </c>
      <c r="F37" s="68"/>
      <c r="G37" s="68"/>
    </row>
    <row r="38" spans="1:7" ht="30" customHeight="1">
      <c r="A38" s="68" t="s">
        <v>298</v>
      </c>
      <c r="B38" s="68" t="s">
        <v>299</v>
      </c>
      <c r="C38" s="72">
        <f>IF('THAM_SO_MOI'!$C$19&lt;='THAM_SO_MOI'!$C$14,'THAM_SO_MOI'!$C$13,'THAM_SO_MOI'!$C$13*(1+'THAM_SO_MOI'!$C$19^2/1500))</f>
        <v>0.021963734567901235</v>
      </c>
      <c r="D38" s="68" t="s">
        <v>226</v>
      </c>
      <c r="E38" s="68" t="s">
        <v>300</v>
      </c>
      <c r="F38" s="68"/>
      <c r="G38" s="68"/>
    </row>
    <row r="39" spans="1:7" ht="30" customHeight="1">
      <c r="A39" s="68" t="s">
        <v>301</v>
      </c>
      <c r="B39" s="68" t="s">
        <v>302</v>
      </c>
      <c r="C39" s="72">
        <f>('THAM_SO_MOI'!$C$12*'THAM_SO_MOI'!$C$38+'THAM_SO_MOI'!$C$15*'THAM_SO_MOI'!$C$16*'THAM_SO_MOI'!$C$19^2)*'THAM_SO_MOI'!$C$19/(1000*'THAM_SO_MOI'!$C$17)</f>
        <v>114.61028789941905</v>
      </c>
      <c r="D39" s="68" t="s">
        <v>303</v>
      </c>
      <c r="E39" s="68" t="s">
        <v>304</v>
      </c>
      <c r="F39" s="68"/>
      <c r="G39" s="68"/>
    </row>
    <row r="40" spans="1:7" ht="30" customHeight="1">
      <c r="A40" s="68" t="s">
        <v>305</v>
      </c>
      <c r="B40" s="68" t="s">
        <v>306</v>
      </c>
      <c r="C40" s="72">
        <f>'THAM_SO_MOI'!$C$39/('THAM_SO_MOI'!$C$23*'THAM_SO_MOI'!$C$20+'THAM_SO_MOI'!$C$24*'THAM_SO_MOI'!$C$20^2-'THAM_SO_MOI'!$C$25*'THAM_SO_MOI'!$C$20^3)</f>
        <v>122.44688878143062</v>
      </c>
      <c r="D40" s="68" t="s">
        <v>303</v>
      </c>
      <c r="E40" s="68" t="s">
        <v>307</v>
      </c>
      <c r="F40" s="68"/>
      <c r="G40" s="68"/>
    </row>
    <row r="41" spans="1:7" ht="30" customHeight="1">
      <c r="A41" s="68" t="s">
        <v>308</v>
      </c>
      <c r="B41" s="68" t="s">
        <v>309</v>
      </c>
      <c r="C41" s="72">
        <f>'TÍNH TOÁN '!F113</f>
        <v>39553.92</v>
      </c>
      <c r="D41" s="68" t="s">
        <v>222</v>
      </c>
      <c r="E41" s="68" t="s">
        <v>310</v>
      </c>
      <c r="F41" s="68"/>
      <c r="G41" s="68"/>
    </row>
    <row r="42" spans="1:7" ht="30" customHeight="1">
      <c r="A42" s="68" t="s">
        <v>222</v>
      </c>
      <c r="B42" s="68" t="s">
        <v>311</v>
      </c>
      <c r="C42" s="73">
        <v>800</v>
      </c>
      <c r="D42" s="68" t="s">
        <v>312</v>
      </c>
      <c r="E42" s="68" t="s">
        <v>313</v>
      </c>
      <c r="F42" s="68"/>
      <c r="G42" s="68"/>
    </row>
    <row r="43" spans="1:7" ht="30" customHeight="1">
      <c r="A43" s="68" t="s">
        <v>314</v>
      </c>
      <c r="B43" s="68" t="s">
        <v>315</v>
      </c>
      <c r="C43" s="73">
        <v>20</v>
      </c>
      <c r="D43" s="68" t="s">
        <v>316</v>
      </c>
      <c r="E43" s="68" t="s">
        <v>317</v>
      </c>
      <c r="F43" s="68"/>
      <c r="G43" s="68"/>
    </row>
    <row r="44" spans="1:7" ht="30" customHeight="1">
      <c r="A44" s="68" t="s">
        <v>318</v>
      </c>
      <c r="B44" s="68" t="s">
        <v>319</v>
      </c>
      <c r="C44" s="73">
        <v>1.05</v>
      </c>
      <c r="D44" s="68" t="s">
        <v>226</v>
      </c>
      <c r="E44" s="68" t="s">
        <v>320</v>
      </c>
      <c r="F44" s="68"/>
      <c r="G44" s="68"/>
    </row>
    <row r="45" spans="1:7" ht="30" customHeight="1">
      <c r="A45" s="68" t="s">
        <v>321</v>
      </c>
      <c r="B45" s="68" t="s">
        <v>322</v>
      </c>
      <c r="C45" s="73">
        <v>0.05</v>
      </c>
      <c r="D45" s="68" t="s">
        <v>226</v>
      </c>
      <c r="E45" s="68" t="s">
        <v>323</v>
      </c>
      <c r="F45" s="68"/>
      <c r="G45" s="68"/>
    </row>
    <row r="48" spans="1:7" ht="34" customHeight="1">
      <c r="A48" s="71" t="s">
        <v>324</v>
      </c>
      <c r="B48" s="71" t="s">
        <v>325</v>
      </c>
      <c r="C48" s="71" t="s">
        <v>326</v>
      </c>
      <c r="D48" s="71" t="s">
        <v>327</v>
      </c>
      <c r="E48" s="71" t="s">
        <v>328</v>
      </c>
      <c r="F48" s="71" t="s">
        <v>329</v>
      </c>
      <c r="G48" s="71" t="s">
        <v>330</v>
      </c>
    </row>
    <row r="49" spans="1:7" ht="19" customHeight="1">
      <c r="A49" s="74">
        <v>1</v>
      </c>
      <c r="B49" s="75">
        <f>'TÍNH TOÁN '!E57</f>
        <v>6.5</v>
      </c>
      <c r="C49" s="75">
        <f>B49*'THAM_SO_MOI'!$C$27*'THAM_SO_MOI'!$C$30</f>
        <v>26.29692121835911</v>
      </c>
      <c r="D49" s="75">
        <f>'THAM_SO_MOI'!$C$44+'THAM_SO_MOI'!$C$45*B49^2</f>
        <v>3.1625000000000005</v>
      </c>
      <c r="E49" s="75">
        <f>2*PI()*'THAM_SO_MOI'!$C$26*'THAM_SO_MOI'!$C$32/(60*C49)</f>
        <v>1.2491781722550954</v>
      </c>
      <c r="F49" s="75">
        <f>2*PI()*'THAM_SO_MOI'!$C$26*'THAM_SO_MOI'!$C$33/(60*C49)</f>
        <v>4.05982905982906</v>
      </c>
      <c r="G49" s="68" t="s">
        <v>331</v>
      </c>
    </row>
    <row r="50" spans="1:7" ht="19" customHeight="1">
      <c r="A50" s="74">
        <v>2</v>
      </c>
      <c r="B50" s="75">
        <f>'TÍNH TOÁN '!E58</f>
        <v>4.070849225797555</v>
      </c>
      <c r="C50" s="75">
        <f>B50*'THAM_SO_MOI'!$C$27*'THAM_SO_MOI'!$C$30</f>
        <v>16.469354058864074</v>
      </c>
      <c r="D50" s="75">
        <f>'THAM_SO_MOI'!$C$44+'THAM_SO_MOI'!$C$45*B50^2</f>
        <v>1.8785906709588276</v>
      </c>
      <c r="E50" s="75">
        <f>2*PI()*'THAM_SO_MOI'!$C$26*'THAM_SO_MOI'!$C$32/(60*C50)</f>
        <v>1.9945858147245257</v>
      </c>
      <c r="F50" s="75">
        <f>2*PI()*'THAM_SO_MOI'!$C$26*'THAM_SO_MOI'!$C$33/(60*C50)</f>
        <v>6.482403897854708</v>
      </c>
      <c r="G50" s="68" t="s">
        <v>331</v>
      </c>
    </row>
    <row r="51" spans="1:7" ht="19" customHeight="1">
      <c r="A51" s="74">
        <v>3</v>
      </c>
      <c r="B51" s="75">
        <f>'TÍNH TOÁN '!E59</f>
        <v>2.5495097567963927</v>
      </c>
      <c r="C51" s="75">
        <f>B51*'THAM_SO_MOI'!$C$27*'THAM_SO_MOI'!$C$30</f>
        <v>10.31450111075579</v>
      </c>
      <c r="D51" s="75">
        <f>'THAM_SO_MOI'!$C$44+'THAM_SO_MOI'!$C$45*B51^2</f>
        <v>1.375</v>
      </c>
      <c r="E51" s="75">
        <f>2*PI()*'THAM_SO_MOI'!$C$26*'THAM_SO_MOI'!$C$32/(60*C51)</f>
        <v>3.18479193814145</v>
      </c>
      <c r="F51" s="75">
        <f>2*PI()*'THAM_SO_MOI'!$C$26*'THAM_SO_MOI'!$C$33/(60*C51)</f>
        <v>10.350573798959712</v>
      </c>
      <c r="G51" s="68" t="s">
        <v>331</v>
      </c>
    </row>
    <row r="52" spans="1:7" ht="19" customHeight="1">
      <c r="A52" s="74">
        <v>4</v>
      </c>
      <c r="B52" s="75">
        <f>'TÍNH TOÁN '!E60</f>
        <v>1.5967184337873706</v>
      </c>
      <c r="C52" s="75">
        <f>B52*'THAM_SO_MOI'!$C$27*'THAM_SO_MOI'!$C$30</f>
        <v>6.459812132493574</v>
      </c>
      <c r="D52" s="75">
        <f>'THAM_SO_MOI'!$C$44+'THAM_SO_MOI'!$C$45*B52^2</f>
        <v>1.1774754878398197</v>
      </c>
      <c r="E52" s="75">
        <f>2*PI()*'THAM_SO_MOI'!$C$26*'THAM_SO_MOI'!$C$32/(60*C52)</f>
        <v>5.085215995407858</v>
      </c>
      <c r="F52" s="75">
        <f>2*PI()*'THAM_SO_MOI'!$C$26*'THAM_SO_MOI'!$C$33/(60*C52)</f>
        <v>16.526951985075538</v>
      </c>
      <c r="G52" s="68" t="s">
        <v>331</v>
      </c>
    </row>
    <row r="53" spans="1:7" ht="19" customHeight="1">
      <c r="A53" s="74">
        <v>5</v>
      </c>
      <c r="B53" s="75">
        <f>'TÍNH TOÁN '!E61</f>
        <v>1</v>
      </c>
      <c r="C53" s="75">
        <f>B53*'THAM_SO_MOI'!$C$27*'THAM_SO_MOI'!$C$30</f>
        <v>4.045680187439863</v>
      </c>
      <c r="D53" s="75">
        <f>'THAM_SO_MOI'!$C$44+'THAM_SO_MOI'!$C$45*B53^2</f>
        <v>1.1</v>
      </c>
      <c r="E53" s="75">
        <f>2*PI()*'THAM_SO_MOI'!$C$26*'THAM_SO_MOI'!$C$32/(60*C53)</f>
        <v>8.119658119658121</v>
      </c>
      <c r="F53" s="75">
        <f>2*PI()*'THAM_SO_MOI'!$C$26*'THAM_SO_MOI'!$C$33/(60*C53)</f>
        <v>26.388888888888893</v>
      </c>
      <c r="G53" s="68" t="s">
        <v>331</v>
      </c>
    </row>
  </sheetData>
  <mergeCells count="42">
    <mergeCell ref="A1:G1"/>
    <mergeCell ref="A2:G3"/>
    <mergeCell ref="E6:G6"/>
    <mergeCell ref="E7:G7"/>
    <mergeCell ref="E8:G8"/>
    <mergeCell ref="E9:G9"/>
    <mergeCell ref="E10:G10"/>
    <mergeCell ref="E11:G11"/>
    <mergeCell ref="E12:G12"/>
    <mergeCell ref="E13:G13"/>
    <mergeCell ref="E14:G14"/>
    <mergeCell ref="E15:G15"/>
    <mergeCell ref="E16:G16"/>
    <mergeCell ref="E17:G17"/>
    <mergeCell ref="E18:G18"/>
    <mergeCell ref="E19:G19"/>
    <mergeCell ref="E20:G20"/>
    <mergeCell ref="E21:G21"/>
    <mergeCell ref="E22:G22"/>
    <mergeCell ref="E23:G23"/>
    <mergeCell ref="E24:G24"/>
    <mergeCell ref="E25:G25"/>
    <mergeCell ref="E26:G26"/>
    <mergeCell ref="E27:G27"/>
    <mergeCell ref="E28:G28"/>
    <mergeCell ref="E29:G29"/>
    <mergeCell ref="E30:G30"/>
    <mergeCell ref="E31:G31"/>
    <mergeCell ref="E32:G32"/>
    <mergeCell ref="E33:G33"/>
    <mergeCell ref="E34:G34"/>
    <mergeCell ref="E35:G35"/>
    <mergeCell ref="E36:G36"/>
    <mergeCell ref="E37:G37"/>
    <mergeCell ref="E38:G38"/>
    <mergeCell ref="E39:G39"/>
    <mergeCell ref="E40:G40"/>
    <mergeCell ref="E41:G41"/>
    <mergeCell ref="E42:G42"/>
    <mergeCell ref="E43:G43"/>
    <mergeCell ref="E44:G44"/>
    <mergeCell ref="E45:G45"/>
  </mergeCells>
  <pageMargins left="0.3" right="0.3" top="0.45" bottom="0.45" header="0.3" footer="0.3"/>
  <pageSetup fitToHeight="0" orientation="landscape"/>
  <headerFooter>
    <oddHeader>&amp;LNhóm 2 — Excel tham khảo&amp;RTHAM_SO_MOI</oddHeader>
    <oddFooter>&amp;LĐọc HD_THAM_KHAO trước khi thay đầu vào&amp;P / &amp;N</oddFooter>
  </headerFooter>
</worksheet>
</file>

<file path=xl/ref/worksheets/sheet3.xml><?xml version="1.0" encoding="utf-8"?>
<worksheet xmlns="http://schemas.openxmlformats.org/spreadsheetml/2006/main" xmlns:r="http://schemas.openxmlformats.org/officeDocument/2006/relationships">
  <sheetPr>
    <pageSetUpPr fitToPage="1"/>
  </sheetPr>
  <dimension ref="A1:AC1607"/>
  <sheetViews>
    <sheetView showGridLines="0" zoomScale="90" zoomScaleNormal="90" workbookViewId="0">
      <pane xSplit="6" ySplit="5" topLeftCell="G6" activePane="bottomRight" state="frozen"/>
      <selection pane="topRight" activeCell="G1" sqref="G1"/>
      <selection pane="bottomLeft" activeCell="A6" sqref="A6"/>
      <selection pane="bottomRight"/>
    </sheetView>
  </sheetViews>
  <sheetFormatPr defaultRowHeight="19" customHeight="1"/>
  <cols>
    <col min="1" max="1" width="16.7109375" customWidth="1"/>
    <col min="2" max="4" width="9.7109375" customWidth="1"/>
    <col min="5" max="22" width="15.7109375" customWidth="1"/>
    <col min="23" max="29" width="13.7109375" hidden="1" customWidth="1"/>
  </cols>
  <sheetData>
    <row r="1" spans="1:29" ht="31" customHeight="1">
      <c r="A1" s="66" t="s">
        <v>332</v>
      </c>
      <c r="B1" s="66"/>
      <c r="C1" s="66"/>
      <c r="D1" s="66"/>
      <c r="E1" s="66"/>
      <c r="F1" s="66"/>
      <c r="G1" s="66"/>
      <c r="H1" s="66"/>
      <c r="I1" s="66"/>
      <c r="J1" s="66"/>
      <c r="K1" s="66"/>
      <c r="L1" s="66"/>
      <c r="M1" s="66"/>
      <c r="N1" s="66"/>
      <c r="O1" s="66"/>
      <c r="P1" s="66"/>
      <c r="Q1" s="66"/>
      <c r="R1" s="66"/>
      <c r="S1" s="66"/>
      <c r="T1" s="66"/>
      <c r="U1" s="66"/>
      <c r="V1" s="66"/>
    </row>
    <row r="2" spans="1:29" ht="26" customHeight="1">
      <c r="A2" s="70" t="s">
        <v>333</v>
      </c>
      <c r="B2" s="70"/>
      <c r="C2" s="70"/>
      <c r="D2" s="70"/>
      <c r="E2" s="70"/>
      <c r="F2" s="70"/>
      <c r="G2" s="70"/>
      <c r="H2" s="70"/>
      <c r="I2" s="70"/>
      <c r="J2" s="70"/>
      <c r="K2" s="70"/>
      <c r="L2" s="70"/>
      <c r="M2" s="70"/>
      <c r="N2" s="70"/>
      <c r="O2" s="70"/>
      <c r="P2" s="70"/>
      <c r="Q2" s="70"/>
      <c r="R2" s="70"/>
      <c r="S2" s="70"/>
      <c r="T2" s="70"/>
      <c r="U2" s="70"/>
      <c r="V2" s="70"/>
    </row>
    <row r="3" spans="1:29" ht="26" customHeight="1">
      <c r="A3" s="70"/>
      <c r="B3" s="70"/>
      <c r="C3" s="70"/>
      <c r="D3" s="70"/>
      <c r="E3" s="70"/>
      <c r="F3" s="70"/>
      <c r="G3" s="70"/>
      <c r="H3" s="70"/>
      <c r="I3" s="70"/>
      <c r="J3" s="70"/>
      <c r="K3" s="70"/>
      <c r="L3" s="70"/>
      <c r="M3" s="70"/>
      <c r="N3" s="70"/>
      <c r="O3" s="70"/>
      <c r="P3" s="70"/>
      <c r="Q3" s="70"/>
      <c r="R3" s="70"/>
      <c r="S3" s="70"/>
      <c r="T3" s="70"/>
      <c r="U3" s="70"/>
      <c r="V3" s="70"/>
    </row>
    <row r="5" spans="1:29" ht="34" customHeight="1">
      <c r="A5" s="71" t="s">
        <v>334</v>
      </c>
      <c r="B5" s="71" t="s">
        <v>335</v>
      </c>
      <c r="C5" s="71" t="s">
        <v>336</v>
      </c>
      <c r="D5" s="71" t="s">
        <v>337</v>
      </c>
      <c r="E5" s="71" t="s">
        <v>338</v>
      </c>
      <c r="F5" s="71" t="s">
        <v>339</v>
      </c>
      <c r="G5" s="71" t="s">
        <v>340</v>
      </c>
      <c r="H5" s="71" t="s">
        <v>327</v>
      </c>
      <c r="I5" s="71" t="s">
        <v>341</v>
      </c>
      <c r="J5" s="71" t="s">
        <v>342</v>
      </c>
      <c r="K5" s="71" t="s">
        <v>343</v>
      </c>
      <c r="L5" s="71" t="s">
        <v>344</v>
      </c>
      <c r="M5" s="71" t="s">
        <v>345</v>
      </c>
      <c r="N5" s="71" t="s">
        <v>346</v>
      </c>
      <c r="O5" s="71" t="s">
        <v>347</v>
      </c>
      <c r="P5" s="71" t="s">
        <v>348</v>
      </c>
      <c r="Q5" s="71" t="s">
        <v>349</v>
      </c>
      <c r="R5" s="71" t="s">
        <v>350</v>
      </c>
      <c r="S5" s="71" t="s">
        <v>351</v>
      </c>
      <c r="T5" s="71" t="s">
        <v>352</v>
      </c>
      <c r="U5" s="71" t="s">
        <v>353</v>
      </c>
      <c r="V5" s="71" t="s">
        <v>354</v>
      </c>
      <c r="W5" s="71" t="s">
        <v>355</v>
      </c>
      <c r="X5" s="71" t="s">
        <v>356</v>
      </c>
      <c r="Y5" s="71" t="s">
        <v>357</v>
      </c>
      <c r="Z5" s="71" t="s">
        <v>358</v>
      </c>
      <c r="AA5" s="71" t="s">
        <v>359</v>
      </c>
      <c r="AB5" s="71" t="s">
        <v>360</v>
      </c>
      <c r="AC5" s="71" t="s">
        <v>361</v>
      </c>
    </row>
    <row r="6" spans="1:29" ht="19" customHeight="1">
      <c r="A6" s="68" t="s">
        <v>362</v>
      </c>
      <c r="B6" s="74">
        <v>5</v>
      </c>
      <c r="C6" s="68" t="s">
        <v>363</v>
      </c>
      <c r="D6" s="68" t="s">
        <v>364</v>
      </c>
      <c r="E6" s="75">
        <f>60*F6*'THAM_SO_MOI'!$C$53/(2*PI()*'THAM_SO_MOI'!$C$26)</f>
        <v>799.9999999999999</v>
      </c>
      <c r="F6" s="75">
        <f>'THAM_SO_MOI'!$E$53+('THAM_SO_MOI'!$C$14-'THAM_SO_MOI'!$E$53)*0/'THAM_SO_MOI'!$C$42</f>
        <v>8.119658119658121</v>
      </c>
      <c r="G6" s="75">
        <f>3.6*F6</f>
        <v>29.230769230769237</v>
      </c>
      <c r="H6" s="75">
        <f>'THAM_SO_MOI'!$D$53</f>
        <v>1.1</v>
      </c>
      <c r="I6" s="75">
        <f>IF(F6&gt;'THAM_SO_MOI'!$C$14,'THAM_SO_MOI'!$C$13*(1+F6^2/1500),'THAM_SO_MOI'!$C$13)</f>
        <v>0.015</v>
      </c>
      <c r="J6" s="75">
        <f>'THAM_SO_MOI'!$C$40*('THAM_SO_MOI'!$C$23*(E6/'THAM_SO_MOI'!$C$22)+'THAM_SO_MOI'!$C$24*(E6/'THAM_SO_MOI'!$C$22)^2-'THAM_SO_MOI'!$C$25*(E6/'THAM_SO_MOI'!$C$22)^3)</f>
        <v>28.438889056517024</v>
      </c>
      <c r="K6" s="75">
        <f>'THAM_SO_MOI'!$C$31*J6/E6</f>
        <v>339.5282838648165</v>
      </c>
      <c r="L6" s="75">
        <f>K6*'THAM_SO_MOI'!$C$53*'THAM_SO_MOI'!$C$17/'THAM_SO_MOI'!$C$26</f>
        <v>2977.6643780579398</v>
      </c>
      <c r="M6" s="75">
        <f>'THAM_SO_MOI'!$C$15*'THAM_SO_MOI'!$C$16*F6^2</f>
        <v>192.84188034188043</v>
      </c>
      <c r="N6" s="75">
        <f>'THAM_SO_MOI'!$C$12*I6</f>
        <v>1130.112</v>
      </c>
      <c r="O6" s="75">
        <f>M6+N6</f>
        <v>1322.9538803418804</v>
      </c>
      <c r="P6" s="75">
        <f>(MIN(L6,'THAM_SO_MOI'!$C$41)-O6)/('THAM_SO_MOI'!$C$11*H6)</f>
        <v>0.19587008732434413</v>
      </c>
      <c r="Q6" s="75">
        <f>IF(P6&gt;0,1/P6,NA())</f>
        <v>5.105424792832636</v>
      </c>
      <c r="R6" s="75">
        <f>0</f>
        <v>0.0</v>
      </c>
      <c r="S6" s="75">
        <f>0</f>
        <v>0.0</v>
      </c>
      <c r="T6" s="75">
        <f>0</f>
        <v>0.0</v>
      </c>
      <c r="U6" s="76">
        <f>S6</f>
        <v>0.0</v>
      </c>
      <c r="V6" s="76">
        <f>T6</f>
        <v>0.0</v>
      </c>
    </row>
    <row r="7" spans="1:29" ht="19" customHeight="1">
      <c r="A7" s="68" t="s">
        <v>362</v>
      </c>
      <c r="B7" s="74">
        <v>5</v>
      </c>
      <c r="C7" s="68" t="s">
        <v>363</v>
      </c>
      <c r="D7" s="68" t="s">
        <v>364</v>
      </c>
      <c r="E7" s="75">
        <f>60*F7*'THAM_SO_MOI'!$C$53/(2*PI()*'THAM_SO_MOI'!$C$26)</f>
        <v>801.7341052631579</v>
      </c>
      <c r="F7" s="75">
        <f>'THAM_SO_MOI'!$E$53+('THAM_SO_MOI'!$C$14-'THAM_SO_MOI'!$E$53)*1/'THAM_SO_MOI'!$C$42</f>
        <v>8.137258547008548</v>
      </c>
      <c r="G7" s="75">
        <f>3.6*F7</f>
        <v>29.294130769230772</v>
      </c>
      <c r="H7" s="75">
        <f>'THAM_SO_MOI'!$D$53</f>
        <v>1.1</v>
      </c>
      <c r="I7" s="75">
        <f>IF(F7&gt;'THAM_SO_MOI'!$C$14,'THAM_SO_MOI'!$C$13*(1+F7^2/1500),'THAM_SO_MOI'!$C$13)</f>
        <v>0.015</v>
      </c>
      <c r="J7" s="75">
        <f>'THAM_SO_MOI'!$C$40*('THAM_SO_MOI'!$C$23*(E7/'THAM_SO_MOI'!$C$22)+'THAM_SO_MOI'!$C$24*(E7/'THAM_SO_MOI'!$C$22)^2-'THAM_SO_MOI'!$C$25*(E7/'THAM_SO_MOI'!$C$22)^3)</f>
        <v>28.519821683607542</v>
      </c>
      <c r="K7" s="75">
        <f>'THAM_SO_MOI'!$C$31*J7/E7</f>
        <v>339.75805792325394</v>
      </c>
      <c r="L7" s="75">
        <f>K7*'THAM_SO_MOI'!$C$53*'THAM_SO_MOI'!$C$17/'THAM_SO_MOI'!$C$26</f>
        <v>2979.679497449535</v>
      </c>
      <c r="M7" s="75">
        <f>'THAM_SO_MOI'!$C$15*'THAM_SO_MOI'!$C$16*F7^2</f>
        <v>193.67880673302625</v>
      </c>
      <c r="N7" s="75">
        <f>'THAM_SO_MOI'!$C$12*I7</f>
        <v>1130.112</v>
      </c>
      <c r="O7" s="75">
        <f>M7+N7</f>
        <v>1323.7908067330263</v>
      </c>
      <c r="P7" s="75">
        <f>(MIN(L7,'THAM_SO_MOI'!$C$41)-O7)/('THAM_SO_MOI'!$C$11*H7)</f>
        <v>0.19600955145792007</v>
      </c>
      <c r="Q7" s="75">
        <f>IF(P7&gt;0,1/P7,NA())</f>
        <v>5.1017921961557215</v>
      </c>
      <c r="R7" s="75">
        <f>F7-F6</f>
        <v>0.017600427350426884</v>
      </c>
      <c r="S7" s="75">
        <f>0.5*(Q6+Q7)*R7</f>
        <v>0.0898256905323663</v>
      </c>
      <c r="T7" s="75">
        <f>0.5*(F6*Q6+F7*Q7)*R7</f>
        <v>0.7301441014332862</v>
      </c>
      <c r="U7" s="76">
        <f>U6+S7</f>
        <v>0.0898256905323663</v>
      </c>
      <c r="V7" s="76">
        <f>V6+T7</f>
        <v>0.7301441014332862</v>
      </c>
    </row>
    <row r="8" spans="1:29" ht="19" customHeight="1">
      <c r="A8" s="68" t="s">
        <v>362</v>
      </c>
      <c r="B8" s="74">
        <v>5</v>
      </c>
      <c r="C8" s="68" t="s">
        <v>363</v>
      </c>
      <c r="D8" s="68" t="s">
        <v>364</v>
      </c>
      <c r="E8" s="75">
        <f>60*F8*'THAM_SO_MOI'!$C$53/(2*PI()*'THAM_SO_MOI'!$C$26)</f>
        <v>803.4682105263158</v>
      </c>
      <c r="F8" s="75">
        <f>'THAM_SO_MOI'!$E$53+('THAM_SO_MOI'!$C$14-'THAM_SO_MOI'!$E$53)*2/'THAM_SO_MOI'!$C$42</f>
        <v>8.154858974358977</v>
      </c>
      <c r="G8" s="75">
        <f>3.6*F8</f>
        <v>29.357492307692315</v>
      </c>
      <c r="H8" s="75">
        <f>'THAM_SO_MOI'!$D$53</f>
        <v>1.1</v>
      </c>
      <c r="I8" s="75">
        <f>IF(F8&gt;'THAM_SO_MOI'!$C$14,'THAM_SO_MOI'!$C$13*(1+F8^2/1500),'THAM_SO_MOI'!$C$13)</f>
        <v>0.015</v>
      </c>
      <c r="J8" s="75">
        <f>'THAM_SO_MOI'!$C$40*('THAM_SO_MOI'!$C$23*(E8/'THAM_SO_MOI'!$C$22)+'THAM_SO_MOI'!$C$24*(E8/'THAM_SO_MOI'!$C$22)^2-'THAM_SO_MOI'!$C$25*(E8/'THAM_SO_MOI'!$C$22)^3)</f>
        <v>28.600813204919998</v>
      </c>
      <c r="K8" s="75">
        <f>'THAM_SO_MOI'!$C$31*J8/E8</f>
        <v>339.9875402460664</v>
      </c>
      <c r="L8" s="75">
        <f>K8*'THAM_SO_MOI'!$C$53*'THAM_SO_MOI'!$C$17/'THAM_SO_MOI'!$C$26</f>
        <v>2981.692058318557</v>
      </c>
      <c r="M8" s="75">
        <f>'THAM_SO_MOI'!$C$15*'THAM_SO_MOI'!$C$16*F8^2</f>
        <v>194.5175453081732</v>
      </c>
      <c r="N8" s="75">
        <f>'THAM_SO_MOI'!$C$12*I8</f>
        <v>1130.112</v>
      </c>
      <c r="O8" s="75">
        <f>M8+N8</f>
        <v>1324.6295453081732</v>
      </c>
      <c r="P8" s="75">
        <f>(MIN(L8,'THAM_SO_MOI'!$C$41)-O8)/('THAM_SO_MOI'!$C$11*H8)</f>
        <v>0.19614849822566094</v>
      </c>
      <c r="Q8" s="75">
        <f>IF(P8&gt;0,1/P8,NA())</f>
        <v>5.0981782121499615</v>
      </c>
      <c r="R8" s="75">
        <f>F8-F7</f>
        <v>0.01760042735042866</v>
      </c>
      <c r="S8" s="75">
        <f>0.5*(Q7+Q8)*R8</f>
        <v>0.08976191907395317</v>
      </c>
      <c r="T8" s="75">
        <f>0.5*(F7*Q7+F8*Q8)*R8</f>
        <v>0.7312055873676504</v>
      </c>
      <c r="U8" s="76">
        <f>U7+S8</f>
        <v>0.17958760960631948</v>
      </c>
      <c r="V8" s="76">
        <f>V7+T8</f>
        <v>1.4613496888009365</v>
      </c>
    </row>
    <row r="9" spans="1:29" ht="19" customHeight="1">
      <c r="A9" s="68" t="s">
        <v>362</v>
      </c>
      <c r="B9" s="74">
        <v>5</v>
      </c>
      <c r="C9" s="68" t="s">
        <v>363</v>
      </c>
      <c r="D9" s="68" t="s">
        <v>364</v>
      </c>
      <c r="E9" s="75">
        <f>60*F9*'THAM_SO_MOI'!$C$53/(2*PI()*'THAM_SO_MOI'!$C$26)</f>
        <v>805.2023157894737</v>
      </c>
      <c r="F9" s="75">
        <f>'THAM_SO_MOI'!$E$53+('THAM_SO_MOI'!$C$14-'THAM_SO_MOI'!$E$53)*3/'THAM_SO_MOI'!$C$42</f>
        <v>8.172459401709403</v>
      </c>
      <c r="G9" s="75">
        <f>3.6*F9</f>
        <v>29.420853846153854</v>
      </c>
      <c r="H9" s="75">
        <f>'THAM_SO_MOI'!$D$53</f>
        <v>1.1</v>
      </c>
      <c r="I9" s="75">
        <f>IF(F9&gt;'THAM_SO_MOI'!$C$14,'THAM_SO_MOI'!$C$13*(1+F9^2/1500),'THAM_SO_MOI'!$C$13)</f>
        <v>0.015</v>
      </c>
      <c r="J9" s="75">
        <f>'THAM_SO_MOI'!$C$40*('THAM_SO_MOI'!$C$23*(E9/'THAM_SO_MOI'!$C$22)+'THAM_SO_MOI'!$C$24*(E9/'THAM_SO_MOI'!$C$22)^2-'THAM_SO_MOI'!$C$25*(E9/'THAM_SO_MOI'!$C$22)^3)</f>
        <v>28.68186346155111</v>
      </c>
      <c r="K9" s="75">
        <f>'THAM_SO_MOI'!$C$31*J9/E9</f>
        <v>340.2167308332537</v>
      </c>
      <c r="L9" s="75">
        <f>K9*'THAM_SO_MOI'!$C$53*'THAM_SO_MOI'!$C$17/'THAM_SO_MOI'!$C$26</f>
        <v>2983.7020606650053</v>
      </c>
      <c r="M9" s="75">
        <f>'THAM_SO_MOI'!$C$15*'THAM_SO_MOI'!$C$16*F9^2</f>
        <v>195.35809606732113</v>
      </c>
      <c r="N9" s="75">
        <f>'THAM_SO_MOI'!$C$12*I9</f>
        <v>1130.112</v>
      </c>
      <c r="O9" s="75">
        <f>M9+N9</f>
        <v>1325.4700960673213</v>
      </c>
      <c r="P9" s="75">
        <f>(MIN(L9,'THAM_SO_MOI'!$C$41)-O9)/('THAM_SO_MOI'!$C$11*H9)</f>
        <v>0.19628692762756678</v>
      </c>
      <c r="Q9" s="75">
        <f>IF(P9&gt;0,1/P9,NA())</f>
        <v>5.094582772712159</v>
      </c>
      <c r="R9" s="75">
        <f>F9-F8</f>
        <v>0.017600427350426884</v>
      </c>
      <c r="S9" s="75">
        <f>0.5*(Q8+Q9)*R9</f>
        <v>0.08969847460716567</v>
      </c>
      <c r="T9" s="75">
        <f>0.5*(F8*Q8+F9*Q9)*R9</f>
        <v>0.7322674979350879</v>
      </c>
      <c r="U9" s="76">
        <f>U8+S9</f>
        <v>0.26928608421348516</v>
      </c>
      <c r="V9" s="76">
        <f>V8+T9</f>
        <v>2.1936171867360246</v>
      </c>
    </row>
    <row r="10" spans="1:29" ht="19" customHeight="1">
      <c r="A10" s="68" t="s">
        <v>362</v>
      </c>
      <c r="B10" s="74">
        <v>5</v>
      </c>
      <c r="C10" s="68" t="s">
        <v>363</v>
      </c>
      <c r="D10" s="68" t="s">
        <v>364</v>
      </c>
      <c r="E10" s="75">
        <f>60*F10*'THAM_SO_MOI'!$C$53/(2*PI()*'THAM_SO_MOI'!$C$26)</f>
        <v>806.9364210526315</v>
      </c>
      <c r="F10" s="75">
        <f>'THAM_SO_MOI'!$E$53+('THAM_SO_MOI'!$C$14-'THAM_SO_MOI'!$E$53)*4/'THAM_SO_MOI'!$C$42</f>
        <v>8.19005982905983</v>
      </c>
      <c r="G10" s="75">
        <f>3.6*F10</f>
        <v>29.48421538461539</v>
      </c>
      <c r="H10" s="75">
        <f>'THAM_SO_MOI'!$D$53</f>
        <v>1.1</v>
      </c>
      <c r="I10" s="75">
        <f>IF(F10&gt;'THAM_SO_MOI'!$C$14,'THAM_SO_MOI'!$C$13*(1+F10^2/1500),'THAM_SO_MOI'!$C$13)</f>
        <v>0.015</v>
      </c>
      <c r="J10" s="75">
        <f>'THAM_SO_MOI'!$C$40*('THAM_SO_MOI'!$C$23*(E10/'THAM_SO_MOI'!$C$22)+'THAM_SO_MOI'!$C$24*(E10/'THAM_SO_MOI'!$C$22)^2-'THAM_SO_MOI'!$C$25*(E10/'THAM_SO_MOI'!$C$22)^3)</f>
        <v>28.762972294597606</v>
      </c>
      <c r="K10" s="75">
        <f>'THAM_SO_MOI'!$C$31*J10/E10</f>
        <v>340.445629684816</v>
      </c>
      <c r="L10" s="75">
        <f>K10*'THAM_SO_MOI'!$C$53*'THAM_SO_MOI'!$C$17/'THAM_SO_MOI'!$C$26</f>
        <v>2985.709504488881</v>
      </c>
      <c r="M10" s="75">
        <f>'THAM_SO_MOI'!$C$15*'THAM_SO_MOI'!$C$16*F10^2</f>
        <v>196.20045901047015</v>
      </c>
      <c r="N10" s="75">
        <f>'THAM_SO_MOI'!$C$12*I10</f>
        <v>1130.112</v>
      </c>
      <c r="O10" s="75">
        <f>M10+N10</f>
        <v>1326.3124590104703</v>
      </c>
      <c r="P10" s="75">
        <f>(MIN(L10,'THAM_SO_MOI'!$C$41)-O10)/('THAM_SO_MOI'!$C$11*H10)</f>
        <v>0.19642483966363763</v>
      </c>
      <c r="Q10" s="75">
        <f>IF(P10&gt;0,1/P10,NA())</f>
        <v>5.091005810224526</v>
      </c>
      <c r="R10" s="75">
        <f>F10-F9</f>
        <v>0.017600427350426884</v>
      </c>
      <c r="S10" s="75">
        <f>0.5*(Q9+Q10)*R10</f>
        <v>0.08963535593765731</v>
      </c>
      <c r="T10" s="75">
        <f>0.5*(F9*Q9+F10*Q10)*R10</f>
        <v>0.7333298406299544</v>
      </c>
      <c r="U10" s="76">
        <f>U9+S10</f>
        <v>0.35892144015114247</v>
      </c>
      <c r="V10" s="76">
        <f>V9+T10</f>
        <v>2.926947027365979</v>
      </c>
    </row>
    <row r="11" spans="1:29" ht="19" customHeight="1">
      <c r="A11" s="68" t="s">
        <v>362</v>
      </c>
      <c r="B11" s="74">
        <v>5</v>
      </c>
      <c r="C11" s="68" t="s">
        <v>363</v>
      </c>
      <c r="D11" s="68" t="s">
        <v>364</v>
      </c>
      <c r="E11" s="75">
        <f>60*F11*'THAM_SO_MOI'!$C$53/(2*PI()*'THAM_SO_MOI'!$C$26)</f>
        <v>808.6705263157894</v>
      </c>
      <c r="F11" s="75">
        <f>'THAM_SO_MOI'!$E$53+('THAM_SO_MOI'!$C$14-'THAM_SO_MOI'!$E$53)*5/'THAM_SO_MOI'!$C$42</f>
        <v>8.207660256410257</v>
      </c>
      <c r="G11" s="75">
        <f>3.6*F11</f>
        <v>29.547576923076928</v>
      </c>
      <c r="H11" s="75">
        <f>'THAM_SO_MOI'!$D$53</f>
        <v>1.1</v>
      </c>
      <c r="I11" s="75">
        <f>IF(F11&gt;'THAM_SO_MOI'!$C$14,'THAM_SO_MOI'!$C$13*(1+F11^2/1500),'THAM_SO_MOI'!$C$13)</f>
        <v>0.015</v>
      </c>
      <c r="J11" s="75">
        <f>'THAM_SO_MOI'!$C$40*('THAM_SO_MOI'!$C$23*(E11/'THAM_SO_MOI'!$C$22)+'THAM_SO_MOI'!$C$24*(E11/'THAM_SO_MOI'!$C$22)^2-'THAM_SO_MOI'!$C$25*(E11/'THAM_SO_MOI'!$C$22)^3)</f>
        <v>28.844139545156214</v>
      </c>
      <c r="K11" s="75">
        <f>'THAM_SO_MOI'!$C$31*J11/E11</f>
        <v>340.67423680075336</v>
      </c>
      <c r="L11" s="75">
        <f>K11*'THAM_SO_MOI'!$C$53*'THAM_SO_MOI'!$C$17/'THAM_SO_MOI'!$C$26</f>
        <v>2987.714389790184</v>
      </c>
      <c r="M11" s="75">
        <f>'THAM_SO_MOI'!$C$15*'THAM_SO_MOI'!$C$16*F11^2</f>
        <v>197.04463413762025</v>
      </c>
      <c r="N11" s="75">
        <f>'THAM_SO_MOI'!$C$12*I11</f>
        <v>1130.112</v>
      </c>
      <c r="O11" s="75">
        <f>M11+N11</f>
        <v>1327.1566341376204</v>
      </c>
      <c r="P11" s="75">
        <f>(MIN(L11,'THAM_SO_MOI'!$C$41)-O11)/('THAM_SO_MOI'!$C$11*H11)</f>
        <v>0.1965622343338736</v>
      </c>
      <c r="Q11" s="75">
        <f>IF(P11&gt;0,1/P11,NA())</f>
        <v>5.087447257551192</v>
      </c>
      <c r="R11" s="75">
        <f>F11-F10</f>
        <v>0.017600427350426884</v>
      </c>
      <c r="S11" s="75">
        <f>0.5*(Q10+Q11)*R11</f>
        <v>0.08957256187955807</v>
      </c>
      <c r="T11" s="75">
        <f>0.5*(F10*Q10+F11*Q11)*R11</f>
        <v>0.7343926229320191</v>
      </c>
      <c r="U11" s="76">
        <f>U10+S11</f>
        <v>0.44849400203070056</v>
      </c>
      <c r="V11" s="76">
        <f>V10+T11</f>
        <v>3.661339650297998</v>
      </c>
    </row>
    <row r="12" spans="1:29" ht="19" customHeight="1">
      <c r="A12" s="68" t="s">
        <v>362</v>
      </c>
      <c r="B12" s="74">
        <v>5</v>
      </c>
      <c r="C12" s="68" t="s">
        <v>363</v>
      </c>
      <c r="D12" s="68" t="s">
        <v>364</v>
      </c>
      <c r="E12" s="75">
        <f>60*F12*'THAM_SO_MOI'!$C$53/(2*PI()*'THAM_SO_MOI'!$C$26)</f>
        <v>810.4046315789474</v>
      </c>
      <c r="F12" s="75">
        <f>'THAM_SO_MOI'!$E$53+('THAM_SO_MOI'!$C$14-'THAM_SO_MOI'!$E$53)*6/'THAM_SO_MOI'!$C$42</f>
        <v>8.225260683760686</v>
      </c>
      <c r="G12" s="75">
        <f>3.6*F12</f>
        <v>29.61093846153847</v>
      </c>
      <c r="H12" s="75">
        <f>'THAM_SO_MOI'!$D$53</f>
        <v>1.1</v>
      </c>
      <c r="I12" s="75">
        <f>IF(F12&gt;'THAM_SO_MOI'!$C$14,'THAM_SO_MOI'!$C$13*(1+F12^2/1500),'THAM_SO_MOI'!$C$13)</f>
        <v>0.015</v>
      </c>
      <c r="J12" s="75">
        <f>'THAM_SO_MOI'!$C$40*('THAM_SO_MOI'!$C$23*(E12/'THAM_SO_MOI'!$C$22)+'THAM_SO_MOI'!$C$24*(E12/'THAM_SO_MOI'!$C$22)^2-'THAM_SO_MOI'!$C$25*(E12/'THAM_SO_MOI'!$C$22)^3)</f>
        <v>28.925365054323635</v>
      </c>
      <c r="K12" s="75">
        <f>'THAM_SO_MOI'!$C$31*J12/E12</f>
        <v>340.9025521810655</v>
      </c>
      <c r="L12" s="75">
        <f>K12*'THAM_SO_MOI'!$C$53*'THAM_SO_MOI'!$C$17/'THAM_SO_MOI'!$C$26</f>
        <v>2989.716716568913</v>
      </c>
      <c r="M12" s="75">
        <f>'THAM_SO_MOI'!$C$15*'THAM_SO_MOI'!$C$16*F12^2</f>
        <v>197.8906214487715</v>
      </c>
      <c r="N12" s="75">
        <f>'THAM_SO_MOI'!$C$12*I12</f>
        <v>1130.112</v>
      </c>
      <c r="O12" s="75">
        <f>M12+N12</f>
        <v>1328.0026214487716</v>
      </c>
      <c r="P12" s="75">
        <f>(MIN(L12,'THAM_SO_MOI'!$C$41)-O12)/('THAM_SO_MOI'!$C$11*H12)</f>
        <v>0.1966991116382743</v>
      </c>
      <c r="Q12" s="75">
        <f>IF(P12&gt;0,1/P12,NA())</f>
        <v>5.083907048034766</v>
      </c>
      <c r="R12" s="75">
        <f>F12-F11</f>
        <v>0.01760042735042866</v>
      </c>
      <c r="S12" s="75">
        <f>0.5*(Q11+Q12)*R12</f>
        <v>0.0895100912554677</v>
      </c>
      <c r="T12" s="75">
        <f>0.5*(F11*Q11+F12*Q12)*R12</f>
        <v>0.7354558523071549</v>
      </c>
      <c r="U12" s="76">
        <f>U11+S12</f>
        <v>0.5380040932861683</v>
      </c>
      <c r="V12" s="76">
        <f>V11+T12</f>
        <v>4.396795502605153</v>
      </c>
    </row>
    <row r="13" spans="1:29" ht="19" customHeight="1">
      <c r="A13" s="68" t="s">
        <v>362</v>
      </c>
      <c r="B13" s="74">
        <v>5</v>
      </c>
      <c r="C13" s="68" t="s">
        <v>363</v>
      </c>
      <c r="D13" s="68" t="s">
        <v>364</v>
      </c>
      <c r="E13" s="75">
        <f>60*F13*'THAM_SO_MOI'!$C$53/(2*PI()*'THAM_SO_MOI'!$C$26)</f>
        <v>812.1387368421053</v>
      </c>
      <c r="F13" s="75">
        <f>'THAM_SO_MOI'!$E$53+('THAM_SO_MOI'!$C$14-'THAM_SO_MOI'!$E$53)*7/'THAM_SO_MOI'!$C$42</f>
        <v>8.242861111111113</v>
      </c>
      <c r="G13" s="75">
        <f>3.6*F13</f>
        <v>29.674300000000006</v>
      </c>
      <c r="H13" s="75">
        <f>'THAM_SO_MOI'!$D$53</f>
        <v>1.1</v>
      </c>
      <c r="I13" s="75">
        <f>IF(F13&gt;'THAM_SO_MOI'!$C$14,'THAM_SO_MOI'!$C$13*(1+F13^2/1500),'THAM_SO_MOI'!$C$13)</f>
        <v>0.015</v>
      </c>
      <c r="J13" s="75">
        <f>'THAM_SO_MOI'!$C$40*('THAM_SO_MOI'!$C$23*(E13/'THAM_SO_MOI'!$C$22)+'THAM_SO_MOI'!$C$24*(E13/'THAM_SO_MOI'!$C$22)^2-'THAM_SO_MOI'!$C$25*(E13/'THAM_SO_MOI'!$C$22)^3)</f>
        <v>29.00664866319661</v>
      </c>
      <c r="K13" s="75">
        <f>'THAM_SO_MOI'!$C$31*J13/E13</f>
        <v>341.1305758257527</v>
      </c>
      <c r="L13" s="75">
        <f>K13*'THAM_SO_MOI'!$C$53*'THAM_SO_MOI'!$C$17/'THAM_SO_MOI'!$C$26</f>
        <v>2991.716484825068</v>
      </c>
      <c r="M13" s="75">
        <f>'THAM_SO_MOI'!$C$15*'THAM_SO_MOI'!$C$16*F13^2</f>
        <v>198.7384209439237</v>
      </c>
      <c r="N13" s="75">
        <f>'THAM_SO_MOI'!$C$12*I13</f>
        <v>1130.112</v>
      </c>
      <c r="O13" s="75">
        <f>M13+N13</f>
        <v>1328.8504209439238</v>
      </c>
      <c r="P13" s="75">
        <f>(MIN(L13,'THAM_SO_MOI'!$C$41)-O13)/('THAM_SO_MOI'!$C$11*H13)</f>
        <v>0.19683547157684</v>
      </c>
      <c r="Q13" s="75">
        <f>IF(P13&gt;0,1/P13,NA())</f>
        <v>5.080385115492881</v>
      </c>
      <c r="R13" s="75">
        <f>F13-F12</f>
        <v>0.017600427350426884</v>
      </c>
      <c r="S13" s="75">
        <f>0.5*(Q12+Q13)*R13</f>
        <v>0.08944794289634082</v>
      </c>
      <c r="T13" s="75">
        <f>0.5*(F12*Q12+F13*Q13)*R13</f>
        <v>0.7365195362071381</v>
      </c>
      <c r="U13" s="76">
        <f>U12+S13</f>
        <v>0.6274520361825091</v>
      </c>
      <c r="V13" s="76">
        <f>V12+T13</f>
        <v>5.133315038812291</v>
      </c>
    </row>
    <row r="14" spans="1:29" ht="19" customHeight="1">
      <c r="A14" s="68" t="s">
        <v>362</v>
      </c>
      <c r="B14" s="74">
        <v>5</v>
      </c>
      <c r="C14" s="68" t="s">
        <v>363</v>
      </c>
      <c r="D14" s="68" t="s">
        <v>364</v>
      </c>
      <c r="E14" s="75">
        <f>60*F14*'THAM_SO_MOI'!$C$53/(2*PI()*'THAM_SO_MOI'!$C$26)</f>
        <v>813.8728421052631</v>
      </c>
      <c r="F14" s="75">
        <f>'THAM_SO_MOI'!$E$53+('THAM_SO_MOI'!$C$14-'THAM_SO_MOI'!$E$53)*8/'THAM_SO_MOI'!$C$42</f>
        <v>8.26046153846154</v>
      </c>
      <c r="G14" s="75">
        <f>3.6*F14</f>
        <v>29.737661538461545</v>
      </c>
      <c r="H14" s="75">
        <f>'THAM_SO_MOI'!$D$53</f>
        <v>1.1</v>
      </c>
      <c r="I14" s="75">
        <f>IF(F14&gt;'THAM_SO_MOI'!$C$14,'THAM_SO_MOI'!$C$13*(1+F14^2/1500),'THAM_SO_MOI'!$C$13)</f>
        <v>0.015</v>
      </c>
      <c r="J14" s="75">
        <f>'THAM_SO_MOI'!$C$40*('THAM_SO_MOI'!$C$23*(E14/'THAM_SO_MOI'!$C$22)+'THAM_SO_MOI'!$C$24*(E14/'THAM_SO_MOI'!$C$22)^2-'THAM_SO_MOI'!$C$25*(E14/'THAM_SO_MOI'!$C$22)^3)</f>
        <v>29.087990212871855</v>
      </c>
      <c r="K14" s="75">
        <f>'THAM_SO_MOI'!$C$31*J14/E14</f>
        <v>341.358307734815</v>
      </c>
      <c r="L14" s="75">
        <f>K14*'THAM_SO_MOI'!$C$53*'THAM_SO_MOI'!$C$17/'THAM_SO_MOI'!$C$26</f>
        <v>2993.7136945586526</v>
      </c>
      <c r="M14" s="75">
        <f>'THAM_SO_MOI'!$C$15*'THAM_SO_MOI'!$C$16*F14^2</f>
        <v>199.588032623077</v>
      </c>
      <c r="N14" s="75">
        <f>'THAM_SO_MOI'!$C$12*I14</f>
        <v>1130.112</v>
      </c>
      <c r="O14" s="75">
        <f>M14+N14</f>
        <v>1329.700032623077</v>
      </c>
      <c r="P14" s="75">
        <f>(MIN(L14,'THAM_SO_MOI'!$C$41)-O14)/('THAM_SO_MOI'!$C$11*H14)</f>
        <v>0.19697131414957095</v>
      </c>
      <c r="Q14" s="75">
        <f>IF(P14&gt;0,1/P14,NA())</f>
        <v>5.0768813942148245</v>
      </c>
      <c r="R14" s="75">
        <f>F14-F13</f>
        <v>0.017600427350426884</v>
      </c>
      <c r="S14" s="75">
        <f>0.5*(Q13+Q14)*R14</f>
        <v>0.08938611564151726</v>
      </c>
      <c r="T14" s="75">
        <f>0.5*(F13*Q13+F14*Q14)*R14</f>
        <v>0.7375836820706337</v>
      </c>
      <c r="U14" s="76">
        <f>U13+S14</f>
        <v>0.7168381518240263</v>
      </c>
      <c r="V14" s="76">
        <f>V13+T14</f>
        <v>5.870898720882924</v>
      </c>
    </row>
    <row r="15" spans="1:29" ht="19" customHeight="1">
      <c r="A15" s="68" t="s">
        <v>362</v>
      </c>
      <c r="B15" s="74">
        <v>5</v>
      </c>
      <c r="C15" s="68" t="s">
        <v>363</v>
      </c>
      <c r="D15" s="68" t="s">
        <v>364</v>
      </c>
      <c r="E15" s="75">
        <f>60*F15*'THAM_SO_MOI'!$C$53/(2*PI()*'THAM_SO_MOI'!$C$26)</f>
        <v>815.606947368421</v>
      </c>
      <c r="F15" s="75">
        <f>'THAM_SO_MOI'!$E$53+('THAM_SO_MOI'!$C$14-'THAM_SO_MOI'!$E$53)*9/'THAM_SO_MOI'!$C$42</f>
        <v>8.278061965811967</v>
      </c>
      <c r="G15" s="75">
        <f>3.6*F15</f>
        <v>29.80102307692308</v>
      </c>
      <c r="H15" s="75">
        <f>'THAM_SO_MOI'!$D$53</f>
        <v>1.1</v>
      </c>
      <c r="I15" s="75">
        <f>IF(F15&gt;'THAM_SO_MOI'!$C$14,'THAM_SO_MOI'!$C$13*(1+F15^2/1500),'THAM_SO_MOI'!$C$13)</f>
        <v>0.015</v>
      </c>
      <c r="J15" s="75">
        <f>'THAM_SO_MOI'!$C$40*('THAM_SO_MOI'!$C$23*(E15/'THAM_SO_MOI'!$C$22)+'THAM_SO_MOI'!$C$24*(E15/'THAM_SO_MOI'!$C$22)^2-'THAM_SO_MOI'!$C$25*(E15/'THAM_SO_MOI'!$C$22)^3)</f>
        <v>29.16938954444608</v>
      </c>
      <c r="K15" s="75">
        <f>'THAM_SO_MOI'!$C$31*J15/E15</f>
        <v>341.585747908252</v>
      </c>
      <c r="L15" s="75">
        <f>K15*'THAM_SO_MOI'!$C$53*'THAM_SO_MOI'!$C$17/'THAM_SO_MOI'!$C$26</f>
        <v>2995.7083457696613</v>
      </c>
      <c r="M15" s="75">
        <f>'THAM_SO_MOI'!$C$15*'THAM_SO_MOI'!$C$16*F15^2</f>
        <v>200.43945648623134</v>
      </c>
      <c r="N15" s="75">
        <f>'THAM_SO_MOI'!$C$12*I15</f>
        <v>1130.112</v>
      </c>
      <c r="O15" s="75">
        <f>M15+N15</f>
        <v>1330.5514564862315</v>
      </c>
      <c r="P15" s="75">
        <f>(MIN(L15,'THAM_SO_MOI'!$C$41)-O15)/('THAM_SO_MOI'!$C$11*H15)</f>
        <v>0.1971066393564666</v>
      </c>
      <c r="Q15" s="75">
        <f>IF(P15&gt;0,1/P15,NA())</f>
        <v>5.073395818958202</v>
      </c>
      <c r="R15" s="75">
        <f>F15-F14</f>
        <v>0.017600427350426884</v>
      </c>
      <c r="S15" s="75">
        <f>0.5*(Q14+Q15)*R15</f>
        <v>0.08932460833857266</v>
      </c>
      <c r="T15" s="75">
        <f>0.5*(F14*Q14+F15*Q15)*R15</f>
        <v>0.7386482973226983</v>
      </c>
      <c r="U15" s="76">
        <f>U14+S15</f>
        <v>0.806162760162599</v>
      </c>
      <c r="V15" s="76">
        <f>V14+T15</f>
        <v>6.609547018205623</v>
      </c>
    </row>
    <row r="16" spans="1:29" ht="19" customHeight="1">
      <c r="A16" s="68" t="s">
        <v>362</v>
      </c>
      <c r="B16" s="74">
        <v>5</v>
      </c>
      <c r="C16" s="68" t="s">
        <v>363</v>
      </c>
      <c r="D16" s="68" t="s">
        <v>364</v>
      </c>
      <c r="E16" s="75">
        <f>60*F16*'THAM_SO_MOI'!$C$53/(2*PI()*'THAM_SO_MOI'!$C$26)</f>
        <v>817.341052631579</v>
      </c>
      <c r="F16" s="75">
        <f>'THAM_SO_MOI'!$E$53+('THAM_SO_MOI'!$C$14-'THAM_SO_MOI'!$E$53)*10/'THAM_SO_MOI'!$C$42</f>
        <v>8.295662393162395</v>
      </c>
      <c r="G16" s="75">
        <f>3.6*F16</f>
        <v>29.864384615384623</v>
      </c>
      <c r="H16" s="75">
        <f>'THAM_SO_MOI'!$D$53</f>
        <v>1.1</v>
      </c>
      <c r="I16" s="75">
        <f>IF(F16&gt;'THAM_SO_MOI'!$C$14,'THAM_SO_MOI'!$C$13*(1+F16^2/1500),'THAM_SO_MOI'!$C$13)</f>
        <v>0.015</v>
      </c>
      <c r="J16" s="75">
        <f>'THAM_SO_MOI'!$C$40*('THAM_SO_MOI'!$C$23*(E16/'THAM_SO_MOI'!$C$22)+'THAM_SO_MOI'!$C$24*(E16/'THAM_SO_MOI'!$C$22)^2-'THAM_SO_MOI'!$C$25*(E16/'THAM_SO_MOI'!$C$22)^3)</f>
        <v>29.250846499016024</v>
      </c>
      <c r="K16" s="75">
        <f>'THAM_SO_MOI'!$C$31*J16/E16</f>
        <v>341.8128963460641</v>
      </c>
      <c r="L16" s="75">
        <f>K16*'THAM_SO_MOI'!$C$53*'THAM_SO_MOI'!$C$17/'THAM_SO_MOI'!$C$26</f>
        <v>2997.7004384580982</v>
      </c>
      <c r="M16" s="75">
        <f>'THAM_SO_MOI'!$C$15*'THAM_SO_MOI'!$C$16*F16^2</f>
        <v>201.29269253338688</v>
      </c>
      <c r="N16" s="75">
        <f>'THAM_SO_MOI'!$C$12*I16</f>
        <v>1130.112</v>
      </c>
      <c r="O16" s="75">
        <f>M16+N16</f>
        <v>1331.4046925333869</v>
      </c>
      <c r="P16" s="75">
        <f>(MIN(L16,'THAM_SO_MOI'!$C$41)-O16)/('THAM_SO_MOI'!$C$11*H16)</f>
        <v>0.1972414471975274</v>
      </c>
      <c r="Q16" s="75">
        <f>IF(P16&gt;0,1/P16,NA())</f>
        <v>5.069928324945569</v>
      </c>
      <c r="R16" s="75">
        <f>F16-F15</f>
        <v>0.01760042735042866</v>
      </c>
      <c r="S16" s="75">
        <f>0.5*(Q15+Q16)*R16</f>
        <v>0.08926341984331367</v>
      </c>
      <c r="T16" s="75">
        <f>0.5*(F15*Q15+F16*Q16)*R16</f>
        <v>0.7397133893754649</v>
      </c>
      <c r="U16" s="76">
        <f>U15+S16</f>
        <v>0.8954261800059127</v>
      </c>
      <c r="V16" s="76">
        <f>V15+T16</f>
        <v>7.349260407581088</v>
      </c>
    </row>
    <row r="17" spans="1:22" ht="19" customHeight="1">
      <c r="A17" s="68" t="s">
        <v>362</v>
      </c>
      <c r="B17" s="74">
        <v>5</v>
      </c>
      <c r="C17" s="68" t="s">
        <v>363</v>
      </c>
      <c r="D17" s="68" t="s">
        <v>364</v>
      </c>
      <c r="E17" s="75">
        <f>60*F17*'THAM_SO_MOI'!$C$53/(2*PI()*'THAM_SO_MOI'!$C$26)</f>
        <v>819.0751578947369</v>
      </c>
      <c r="F17" s="75">
        <f>'THAM_SO_MOI'!$E$53+('THAM_SO_MOI'!$C$14-'THAM_SO_MOI'!$E$53)*11/'THAM_SO_MOI'!$C$42</f>
        <v>8.313262820512822</v>
      </c>
      <c r="G17" s="75">
        <f>3.6*F17</f>
        <v>29.92774615384616</v>
      </c>
      <c r="H17" s="75">
        <f>'THAM_SO_MOI'!$D$53</f>
        <v>1.1</v>
      </c>
      <c r="I17" s="75">
        <f>IF(F17&gt;'THAM_SO_MOI'!$C$14,'THAM_SO_MOI'!$C$13*(1+F17^2/1500),'THAM_SO_MOI'!$C$13)</f>
        <v>0.015</v>
      </c>
      <c r="J17" s="75">
        <f>'THAM_SO_MOI'!$C$40*('THAM_SO_MOI'!$C$23*(E17/'THAM_SO_MOI'!$C$22)+'THAM_SO_MOI'!$C$24*(E17/'THAM_SO_MOI'!$C$22)^2-'THAM_SO_MOI'!$C$25*(E17/'THAM_SO_MOI'!$C$22)^3)</f>
        <v>29.3323609176784</v>
      </c>
      <c r="K17" s="75">
        <f>'THAM_SO_MOI'!$C$31*J17/E17</f>
        <v>342.0397530482512</v>
      </c>
      <c r="L17" s="75">
        <f>K17*'THAM_SO_MOI'!$C$53*'THAM_SO_MOI'!$C$17/'THAM_SO_MOI'!$C$26</f>
        <v>2999.689972623962</v>
      </c>
      <c r="M17" s="75">
        <f>'THAM_SO_MOI'!$C$15*'THAM_SO_MOI'!$C$16*F17^2</f>
        <v>202.14774076454336</v>
      </c>
      <c r="N17" s="75">
        <f>'THAM_SO_MOI'!$C$12*I17</f>
        <v>1130.112</v>
      </c>
      <c r="O17" s="75">
        <f>M17+N17</f>
        <v>1332.2597407645435</v>
      </c>
      <c r="P17" s="75">
        <f>(MIN(L17,'THAM_SO_MOI'!$C$41)-O17)/('THAM_SO_MOI'!$C$11*H17)</f>
        <v>0.19737573767275315</v>
      </c>
      <c r="Q17" s="75">
        <f>IF(P17&gt;0,1/P17,NA())</f>
        <v>5.066478847861175</v>
      </c>
      <c r="R17" s="75">
        <f>F17-F16</f>
        <v>0.017600427350426884</v>
      </c>
      <c r="S17" s="75">
        <f>0.5*(Q16+Q17)*R17</f>
        <v>0.08920254901966554</v>
      </c>
      <c r="T17" s="75">
        <f>0.5*(F16*Q16+F17*Q17)*R17</f>
        <v>0.7407789656279332</v>
      </c>
      <c r="U17" s="76">
        <f>U16+S17</f>
        <v>0.9846287290255782</v>
      </c>
      <c r="V17" s="76">
        <f>V16+T17</f>
        <v>8.090039373209022</v>
      </c>
    </row>
    <row r="18" spans="1:22" ht="19" customHeight="1">
      <c r="A18" s="68" t="s">
        <v>362</v>
      </c>
      <c r="B18" s="74">
        <v>5</v>
      </c>
      <c r="C18" s="68" t="s">
        <v>363</v>
      </c>
      <c r="D18" s="68" t="s">
        <v>364</v>
      </c>
      <c r="E18" s="75">
        <f>60*F18*'THAM_SO_MOI'!$C$53/(2*PI()*'THAM_SO_MOI'!$C$26)</f>
        <v>820.8092631578946</v>
      </c>
      <c r="F18" s="75">
        <f>'THAM_SO_MOI'!$E$53+('THAM_SO_MOI'!$C$14-'THAM_SO_MOI'!$E$53)*12/'THAM_SO_MOI'!$C$42</f>
        <v>8.330863247863249</v>
      </c>
      <c r="G18" s="75">
        <f>3.6*F18</f>
        <v>29.991107692307697</v>
      </c>
      <c r="H18" s="75">
        <f>'THAM_SO_MOI'!$D$53</f>
        <v>1.1</v>
      </c>
      <c r="I18" s="75">
        <f>IF(F18&gt;'THAM_SO_MOI'!$C$14,'THAM_SO_MOI'!$C$13*(1+F18^2/1500),'THAM_SO_MOI'!$C$13)</f>
        <v>0.015</v>
      </c>
      <c r="J18" s="75">
        <f>'THAM_SO_MOI'!$C$40*('THAM_SO_MOI'!$C$23*(E18/'THAM_SO_MOI'!$C$22)+'THAM_SO_MOI'!$C$24*(E18/'THAM_SO_MOI'!$C$22)^2-'THAM_SO_MOI'!$C$25*(E18/'THAM_SO_MOI'!$C$22)^3)</f>
        <v>29.41393264152992</v>
      </c>
      <c r="K18" s="75">
        <f>'THAM_SO_MOI'!$C$31*J18/E18</f>
        <v>342.26631801481335</v>
      </c>
      <c r="L18" s="75">
        <f>K18*'THAM_SO_MOI'!$C$53*'THAM_SO_MOI'!$C$17/'THAM_SO_MOI'!$C$26</f>
        <v>3001.676948267254</v>
      </c>
      <c r="M18" s="75">
        <f>'THAM_SO_MOI'!$C$15*'THAM_SO_MOI'!$C$16*F18^2</f>
        <v>203.00460117970093</v>
      </c>
      <c r="N18" s="75">
        <f>'THAM_SO_MOI'!$C$12*I18</f>
        <v>1130.112</v>
      </c>
      <c r="O18" s="75">
        <f>M18+N18</f>
        <v>1333.116601179701</v>
      </c>
      <c r="P18" s="75">
        <f>(MIN(L18,'THAM_SO_MOI'!$C$41)-O18)/('THAM_SO_MOI'!$C$11*H18)</f>
        <v>0.19750951078214407</v>
      </c>
      <c r="Q18" s="75">
        <f>IF(P18&gt;0,1/P18,NA())</f>
        <v>5.063047323847685</v>
      </c>
      <c r="R18" s="75">
        <f>F18-F17</f>
        <v>0.017600427350426884</v>
      </c>
      <c r="S18" s="75">
        <f>0.5*(Q17+Q18)*R18</f>
        <v>0.08914199473970479</v>
      </c>
      <c r="T18" s="75">
        <f>0.5*(F17*Q17+F18*Q18)*R18</f>
        <v>0.7418450334669568</v>
      </c>
      <c r="U18" s="76">
        <f>U17+S18</f>
        <v>1.073770723765283</v>
      </c>
      <c r="V18" s="76">
        <f>V17+T18</f>
        <v>8.831884406675979</v>
      </c>
    </row>
    <row r="19" spans="1:22" ht="19" customHeight="1">
      <c r="A19" s="68" t="s">
        <v>362</v>
      </c>
      <c r="B19" s="74">
        <v>5</v>
      </c>
      <c r="C19" s="68" t="s">
        <v>363</v>
      </c>
      <c r="D19" s="68" t="s">
        <v>364</v>
      </c>
      <c r="E19" s="75">
        <f>60*F19*'THAM_SO_MOI'!$C$53/(2*PI()*'THAM_SO_MOI'!$C$26)</f>
        <v>822.5433684210525</v>
      </c>
      <c r="F19" s="75">
        <f>'THAM_SO_MOI'!$E$53+('THAM_SO_MOI'!$C$14-'THAM_SO_MOI'!$E$53)*13/'THAM_SO_MOI'!$C$42</f>
        <v>8.348463675213676</v>
      </c>
      <c r="G19" s="75">
        <f>3.6*F19</f>
        <v>30.054469230769232</v>
      </c>
      <c r="H19" s="75">
        <f>'THAM_SO_MOI'!$D$53</f>
        <v>1.1</v>
      </c>
      <c r="I19" s="75">
        <f>IF(F19&gt;'THAM_SO_MOI'!$C$14,'THAM_SO_MOI'!$C$13*(1+F19^2/1500),'THAM_SO_MOI'!$C$13)</f>
        <v>0.015</v>
      </c>
      <c r="J19" s="75">
        <f>'THAM_SO_MOI'!$C$40*('THAM_SO_MOI'!$C$23*(E19/'THAM_SO_MOI'!$C$22)+'THAM_SO_MOI'!$C$24*(E19/'THAM_SO_MOI'!$C$22)^2-'THAM_SO_MOI'!$C$25*(E19/'THAM_SO_MOI'!$C$22)^3)</f>
        <v>29.49556151166732</v>
      </c>
      <c r="K19" s="75">
        <f>'THAM_SO_MOI'!$C$31*J19/E19</f>
        <v>342.4925912457503</v>
      </c>
      <c r="L19" s="75">
        <f>K19*'THAM_SO_MOI'!$C$53*'THAM_SO_MOI'!$C$17/'THAM_SO_MOI'!$C$26</f>
        <v>3003.6613653879704</v>
      </c>
      <c r="M19" s="75">
        <f>'THAM_SO_MOI'!$C$15*'THAM_SO_MOI'!$C$16*F19^2</f>
        <v>203.86327377885956</v>
      </c>
      <c r="N19" s="75">
        <f>'THAM_SO_MOI'!$C$12*I19</f>
        <v>1130.112</v>
      </c>
      <c r="O19" s="75">
        <f>M19+N19</f>
        <v>1333.9752737788597</v>
      </c>
      <c r="P19" s="75">
        <f>(MIN(L19,'THAM_SO_MOI'!$C$41)-O19)/('THAM_SO_MOI'!$C$11*H19)</f>
        <v>0.19764276652569968</v>
      </c>
      <c r="Q19" s="75">
        <f>IF(P19&gt;0,1/P19,NA())</f>
        <v>5.05963368950297</v>
      </c>
      <c r="R19" s="75">
        <f>F19-F18</f>
        <v>0.017600427350426884</v>
      </c>
      <c r="S19" s="75">
        <f>0.5*(Q18+Q19)*R19</f>
        <v>0.08908175588351189</v>
      </c>
      <c r="T19" s="75">
        <f>0.5*(F18*Q18+F19*Q19)*R19</f>
        <v>0.7429116002667318</v>
      </c>
      <c r="U19" s="76">
        <f>U18+S19</f>
        <v>1.162852479648795</v>
      </c>
      <c r="V19" s="76">
        <f>V18+T19</f>
        <v>9.57479600694271</v>
      </c>
    </row>
    <row r="20" spans="1:22" ht="19" customHeight="1">
      <c r="A20" s="68" t="s">
        <v>362</v>
      </c>
      <c r="B20" s="74">
        <v>5</v>
      </c>
      <c r="C20" s="68" t="s">
        <v>363</v>
      </c>
      <c r="D20" s="68" t="s">
        <v>364</v>
      </c>
      <c r="E20" s="75">
        <f>60*F20*'THAM_SO_MOI'!$C$53/(2*PI()*'THAM_SO_MOI'!$C$26)</f>
        <v>824.2774736842105</v>
      </c>
      <c r="F20" s="75">
        <f>'THAM_SO_MOI'!$E$53+('THAM_SO_MOI'!$C$14-'THAM_SO_MOI'!$E$53)*14/'THAM_SO_MOI'!$C$42</f>
        <v>8.366064102564104</v>
      </c>
      <c r="G20" s="75">
        <f>3.6*F20</f>
        <v>30.11783076923078</v>
      </c>
      <c r="H20" s="75">
        <f>'THAM_SO_MOI'!$D$53</f>
        <v>1.1</v>
      </c>
      <c r="I20" s="75">
        <f>IF(F20&gt;'THAM_SO_MOI'!$C$14,'THAM_SO_MOI'!$C$13*(1+F20^2/1500),'THAM_SO_MOI'!$C$13)</f>
        <v>0.015</v>
      </c>
      <c r="J20" s="75">
        <f>'THAM_SO_MOI'!$C$40*('THAM_SO_MOI'!$C$23*(E20/'THAM_SO_MOI'!$C$22)+'THAM_SO_MOI'!$C$24*(E20/'THAM_SO_MOI'!$C$22)^2-'THAM_SO_MOI'!$C$25*(E20/'THAM_SO_MOI'!$C$22)^3)</f>
        <v>29.57724736918731</v>
      </c>
      <c r="K20" s="75">
        <f>'THAM_SO_MOI'!$C$31*J20/E20</f>
        <v>342.71857274106225</v>
      </c>
      <c r="L20" s="75">
        <f>K20*'THAM_SO_MOI'!$C$53*'THAM_SO_MOI'!$C$17/'THAM_SO_MOI'!$C$26</f>
        <v>3005.6432239861147</v>
      </c>
      <c r="M20" s="75">
        <f>'THAM_SO_MOI'!$C$15*'THAM_SO_MOI'!$C$16*F20^2</f>
        <v>204.72375856201936</v>
      </c>
      <c r="N20" s="75">
        <f>'THAM_SO_MOI'!$C$12*I20</f>
        <v>1130.112</v>
      </c>
      <c r="O20" s="75">
        <f>M20+N20</f>
        <v>1334.8357585620195</v>
      </c>
      <c r="P20" s="75">
        <f>(MIN(L20,'THAM_SO_MOI'!$C$41)-O20)/('THAM_SO_MOI'!$C$11*H20)</f>
        <v>0.19777550490342038</v>
      </c>
      <c r="Q20" s="75">
        <f>IF(P20&gt;0,1/P20,NA())</f>
        <v>5.056237881876876</v>
      </c>
      <c r="R20" s="75">
        <f>F20-F19</f>
        <v>0.01760042735042866</v>
      </c>
      <c r="S20" s="75">
        <f>0.5*(Q19+Q20)*R20</f>
        <v>0.08902183133916879</v>
      </c>
      <c r="T20" s="75">
        <f>0.5*(F19*Q19+F20*Q20)*R20</f>
        <v>0.7439786733894794</v>
      </c>
      <c r="U20" s="76">
        <f>U19+S20</f>
        <v>1.2518743109879638</v>
      </c>
      <c r="V20" s="76">
        <f>V19+T20</f>
        <v>10.31877468033219</v>
      </c>
    </row>
    <row r="21" spans="1:22" ht="19" customHeight="1">
      <c r="A21" s="68" t="s">
        <v>362</v>
      </c>
      <c r="B21" s="74">
        <v>5</v>
      </c>
      <c r="C21" s="68" t="s">
        <v>363</v>
      </c>
      <c r="D21" s="68" t="s">
        <v>364</v>
      </c>
      <c r="E21" s="75">
        <f>60*F21*'THAM_SO_MOI'!$C$53/(2*PI()*'THAM_SO_MOI'!$C$26)</f>
        <v>826.0115789473684</v>
      </c>
      <c r="F21" s="75">
        <f>'THAM_SO_MOI'!$E$53+('THAM_SO_MOI'!$C$14-'THAM_SO_MOI'!$E$53)*15/'THAM_SO_MOI'!$C$42</f>
        <v>8.383664529914531</v>
      </c>
      <c r="G21" s="75">
        <f>3.6*F21</f>
        <v>30.181192307692314</v>
      </c>
      <c r="H21" s="75">
        <f>'THAM_SO_MOI'!$D$53</f>
        <v>1.1</v>
      </c>
      <c r="I21" s="75">
        <f>IF(F21&gt;'THAM_SO_MOI'!$C$14,'THAM_SO_MOI'!$C$13*(1+F21^2/1500),'THAM_SO_MOI'!$C$13)</f>
        <v>0.015</v>
      </c>
      <c r="J21" s="75">
        <f>'THAM_SO_MOI'!$C$40*('THAM_SO_MOI'!$C$23*(E21/'THAM_SO_MOI'!$C$22)+'THAM_SO_MOI'!$C$24*(E21/'THAM_SO_MOI'!$C$22)^2-'THAM_SO_MOI'!$C$25*(E21/'THAM_SO_MOI'!$C$22)^3)</f>
        <v>29.65899005518663</v>
      </c>
      <c r="K21" s="75">
        <f>'THAM_SO_MOI'!$C$31*J21/E21</f>
        <v>342.94426250074923</v>
      </c>
      <c r="L21" s="75">
        <f>K21*'THAM_SO_MOI'!$C$53*'THAM_SO_MOI'!$C$17/'THAM_SO_MOI'!$C$26</f>
        <v>3007.6225240616864</v>
      </c>
      <c r="M21" s="75">
        <f>'THAM_SO_MOI'!$C$15*'THAM_SO_MOI'!$C$16*F21^2</f>
        <v>205.58605552918013</v>
      </c>
      <c r="N21" s="75">
        <f>'THAM_SO_MOI'!$C$12*I21</f>
        <v>1130.112</v>
      </c>
      <c r="O21" s="75">
        <f>M21+N21</f>
        <v>1335.6980555291802</v>
      </c>
      <c r="P21" s="75">
        <f>(MIN(L21,'THAM_SO_MOI'!$C$41)-O21)/('THAM_SO_MOI'!$C$11*H21)</f>
        <v>0.19790772591530612</v>
      </c>
      <c r="Q21" s="75">
        <f>IF(P21&gt;0,1/P21,NA())</f>
        <v>5.052859838468087</v>
      </c>
      <c r="R21" s="75">
        <f>F21-F20</f>
        <v>0.017600427350426884</v>
      </c>
      <c r="S21" s="75">
        <f>0.5*(Q20+Q21)*R21</f>
        <v>0.08896222000264876</v>
      </c>
      <c r="T21" s="75">
        <f>0.5*(F20*Q20+F21*Q21)*R21</f>
        <v>0.7450462601852295</v>
      </c>
      <c r="U21" s="76">
        <f>U20+S21</f>
        <v>1.3408365309906125</v>
      </c>
      <c r="V21" s="76">
        <f>V20+T21</f>
        <v>11.06382094051742</v>
      </c>
    </row>
    <row r="22" spans="1:22" ht="19" customHeight="1">
      <c r="A22" s="68" t="s">
        <v>362</v>
      </c>
      <c r="B22" s="74">
        <v>5</v>
      </c>
      <c r="C22" s="68" t="s">
        <v>363</v>
      </c>
      <c r="D22" s="68" t="s">
        <v>364</v>
      </c>
      <c r="E22" s="75">
        <f>60*F22*'THAM_SO_MOI'!$C$53/(2*PI()*'THAM_SO_MOI'!$C$26)</f>
        <v>827.7456842105263</v>
      </c>
      <c r="F22" s="75">
        <f>'THAM_SO_MOI'!$E$53+('THAM_SO_MOI'!$C$14-'THAM_SO_MOI'!$E$53)*16/'THAM_SO_MOI'!$C$42</f>
        <v>8.401264957264958</v>
      </c>
      <c r="G22" s="75">
        <f>3.6*F22</f>
        <v>30.24455384615385</v>
      </c>
      <c r="H22" s="75">
        <f>'THAM_SO_MOI'!$D$53</f>
        <v>1.1</v>
      </c>
      <c r="I22" s="75">
        <f>IF(F22&gt;'THAM_SO_MOI'!$C$14,'THAM_SO_MOI'!$C$13*(1+F22^2/1500),'THAM_SO_MOI'!$C$13)</f>
        <v>0.015</v>
      </c>
      <c r="J22" s="75">
        <f>'THAM_SO_MOI'!$C$40*('THAM_SO_MOI'!$C$23*(E22/'THAM_SO_MOI'!$C$22)+'THAM_SO_MOI'!$C$24*(E22/'THAM_SO_MOI'!$C$22)^2-'THAM_SO_MOI'!$C$25*(E22/'THAM_SO_MOI'!$C$22)^3)</f>
        <v>29.74078941076197</v>
      </c>
      <c r="K22" s="75">
        <f>'THAM_SO_MOI'!$C$31*J22/E22</f>
        <v>343.16966052481104</v>
      </c>
      <c r="L22" s="75">
        <f>K22*'THAM_SO_MOI'!$C$53*'THAM_SO_MOI'!$C$17/'THAM_SO_MOI'!$C$26</f>
        <v>3009.599265614684</v>
      </c>
      <c r="M22" s="75">
        <f>'THAM_SO_MOI'!$C$15*'THAM_SO_MOI'!$C$16*F22^2</f>
        <v>206.45016468034194</v>
      </c>
      <c r="N22" s="75">
        <f>'THAM_SO_MOI'!$C$12*I22</f>
        <v>1130.112</v>
      </c>
      <c r="O22" s="75">
        <f>M22+N22</f>
        <v>1336.562164680342</v>
      </c>
      <c r="P22" s="75">
        <f>(MIN(L22,'THAM_SO_MOI'!$C$41)-O22)/('THAM_SO_MOI'!$C$11*H22)</f>
        <v>0.19803942956135678</v>
      </c>
      <c r="Q22" s="75">
        <f>IF(P22&gt;0,1/P22,NA())</f>
        <v>5.049499497220976</v>
      </c>
      <c r="R22" s="75">
        <f>F22-F21</f>
        <v>0.017600427350426884</v>
      </c>
      <c r="S22" s="75">
        <f>0.5*(Q21+Q22)*R22</f>
        <v>0.08890292077785107</v>
      </c>
      <c r="T22" s="75">
        <f>0.5*(F21*Q21+F22*Q22)*R22</f>
        <v>0.7461143679928037</v>
      </c>
      <c r="U22" s="76">
        <f>U21+S22</f>
        <v>1.4297394517684636</v>
      </c>
      <c r="V22" s="76">
        <f>V21+T22</f>
        <v>11.809935308510223</v>
      </c>
    </row>
    <row r="23" spans="1:22" ht="19" customHeight="1">
      <c r="A23" s="68" t="s">
        <v>362</v>
      </c>
      <c r="B23" s="74">
        <v>5</v>
      </c>
      <c r="C23" s="68" t="s">
        <v>363</v>
      </c>
      <c r="D23" s="68" t="s">
        <v>364</v>
      </c>
      <c r="E23" s="75">
        <f>60*F23*'THAM_SO_MOI'!$C$53/(2*PI()*'THAM_SO_MOI'!$C$26)</f>
        <v>829.479789473684</v>
      </c>
      <c r="F23" s="75">
        <f>'THAM_SO_MOI'!$E$53+('THAM_SO_MOI'!$C$14-'THAM_SO_MOI'!$E$53)*17/'THAM_SO_MOI'!$C$42</f>
        <v>8.418865384615385</v>
      </c>
      <c r="G23" s="75">
        <f>3.6*F23</f>
        <v>30.307915384615388</v>
      </c>
      <c r="H23" s="75">
        <f>'THAM_SO_MOI'!$D$53</f>
        <v>1.1</v>
      </c>
      <c r="I23" s="75">
        <f>IF(F23&gt;'THAM_SO_MOI'!$C$14,'THAM_SO_MOI'!$C$13*(1+F23^2/1500),'THAM_SO_MOI'!$C$13)</f>
        <v>0.015</v>
      </c>
      <c r="J23" s="75">
        <f>'THAM_SO_MOI'!$C$40*('THAM_SO_MOI'!$C$23*(E23/'THAM_SO_MOI'!$C$22)+'THAM_SO_MOI'!$C$24*(E23/'THAM_SO_MOI'!$C$22)^2-'THAM_SO_MOI'!$C$25*(E23/'THAM_SO_MOI'!$C$22)^3)</f>
        <v>29.82264527701007</v>
      </c>
      <c r="K23" s="75">
        <f>'THAM_SO_MOI'!$C$31*J23/E23</f>
        <v>343.39476681324794</v>
      </c>
      <c r="L23" s="75">
        <f>K23*'THAM_SO_MOI'!$C$53*'THAM_SO_MOI'!$C$17/'THAM_SO_MOI'!$C$26</f>
        <v>3011.57344864511</v>
      </c>
      <c r="M23" s="75">
        <f>'THAM_SO_MOI'!$C$15*'THAM_SO_MOI'!$C$16*F23^2</f>
        <v>207.31608601550485</v>
      </c>
      <c r="N23" s="75">
        <f>'THAM_SO_MOI'!$C$12*I23</f>
        <v>1130.112</v>
      </c>
      <c r="O23" s="75">
        <f>M23+N23</f>
        <v>1337.428086015505</v>
      </c>
      <c r="P23" s="75">
        <f>(MIN(L23,'THAM_SO_MOI'!$C$41)-O23)/('THAM_SO_MOI'!$C$11*H23)</f>
        <v>0.19817061584157258</v>
      </c>
      <c r="Q23" s="75">
        <f>IF(P23&gt;0,1/P23,NA())</f>
        <v>5.046156796522496</v>
      </c>
      <c r="R23" s="75">
        <f>F23-F22</f>
        <v>0.017600427350426884</v>
      </c>
      <c r="S23" s="75">
        <f>0.5*(Q22+Q23)*R23</f>
        <v>0.08884393257645595</v>
      </c>
      <c r="T23" s="75">
        <f>0.5*(F22*Q22+F23*Q23)*R23</f>
        <v>0.7471830041392962</v>
      </c>
      <c r="U23" s="76">
        <f>U22+S23</f>
        <v>1.5185833843449195</v>
      </c>
      <c r="V23" s="76">
        <f>V22+T23</f>
        <v>12.55711831264952</v>
      </c>
    </row>
    <row r="24" spans="1:22" ht="19" customHeight="1">
      <c r="A24" s="68" t="s">
        <v>362</v>
      </c>
      <c r="B24" s="74">
        <v>5</v>
      </c>
      <c r="C24" s="68" t="s">
        <v>363</v>
      </c>
      <c r="D24" s="68" t="s">
        <v>364</v>
      </c>
      <c r="E24" s="75">
        <f>60*F24*'THAM_SO_MOI'!$C$53/(2*PI()*'THAM_SO_MOI'!$C$26)</f>
        <v>831.213894736842</v>
      </c>
      <c r="F24" s="75">
        <f>'THAM_SO_MOI'!$E$53+('THAM_SO_MOI'!$C$14-'THAM_SO_MOI'!$E$53)*18/'THAM_SO_MOI'!$C$42</f>
        <v>8.436465811965814</v>
      </c>
      <c r="G24" s="75">
        <f>3.6*F24</f>
        <v>30.37127692307693</v>
      </c>
      <c r="H24" s="75">
        <f>'THAM_SO_MOI'!$D$53</f>
        <v>1.1</v>
      </c>
      <c r="I24" s="75">
        <f>IF(F24&gt;'THAM_SO_MOI'!$C$14,'THAM_SO_MOI'!$C$13*(1+F24^2/1500),'THAM_SO_MOI'!$C$13)</f>
        <v>0.015</v>
      </c>
      <c r="J24" s="75">
        <f>'THAM_SO_MOI'!$C$40*('THAM_SO_MOI'!$C$23*(E24/'THAM_SO_MOI'!$C$22)+'THAM_SO_MOI'!$C$24*(E24/'THAM_SO_MOI'!$C$22)^2-'THAM_SO_MOI'!$C$25*(E24/'THAM_SO_MOI'!$C$22)^3)</f>
        <v>29.904557495027653</v>
      </c>
      <c r="K24" s="75">
        <f>'THAM_SO_MOI'!$C$31*J24/E24</f>
        <v>343.6195813660597</v>
      </c>
      <c r="L24" s="75">
        <f>K24*'THAM_SO_MOI'!$C$53*'THAM_SO_MOI'!$C$17/'THAM_SO_MOI'!$C$26</f>
        <v>3013.5450731529613</v>
      </c>
      <c r="M24" s="75">
        <f>'THAM_SO_MOI'!$C$15*'THAM_SO_MOI'!$C$16*F24^2</f>
        <v>208.1838195346689</v>
      </c>
      <c r="N24" s="75">
        <f>'THAM_SO_MOI'!$C$12*I24</f>
        <v>1130.112</v>
      </c>
      <c r="O24" s="75">
        <f>M24+N24</f>
        <v>1338.295819534669</v>
      </c>
      <c r="P24" s="75">
        <f>(MIN(L24,'THAM_SO_MOI'!$C$41)-O24)/('THAM_SO_MOI'!$C$11*H24)</f>
        <v>0.19830128475595316</v>
      </c>
      <c r="Q24" s="75">
        <f>IF(P24&gt;0,1/P24,NA())</f>
        <v>5.042831675199115</v>
      </c>
      <c r="R24" s="75">
        <f>F24-F23</f>
        <v>0.01760042735042866</v>
      </c>
      <c r="S24" s="75">
        <f>0.5*(Q23+Q24)*R24</f>
        <v>0.08878525431792424</v>
      </c>
      <c r="T24" s="75">
        <f>0.5*(F23*Q23+F24*Q24)*R24</f>
        <v>0.7482521759407519</v>
      </c>
      <c r="U24" s="76">
        <f>U23+S24</f>
        <v>1.6073686386628436</v>
      </c>
      <c r="V24" s="76">
        <f>V23+T24</f>
        <v>13.305370488590272</v>
      </c>
    </row>
    <row r="25" spans="1:22" ht="19" customHeight="1">
      <c r="A25" s="68" t="s">
        <v>362</v>
      </c>
      <c r="B25" s="74">
        <v>5</v>
      </c>
      <c r="C25" s="68" t="s">
        <v>363</v>
      </c>
      <c r="D25" s="68" t="s">
        <v>364</v>
      </c>
      <c r="E25" s="75">
        <f>60*F25*'THAM_SO_MOI'!$C$53/(2*PI()*'THAM_SO_MOI'!$C$26)</f>
        <v>832.948</v>
      </c>
      <c r="F25" s="75">
        <f>'THAM_SO_MOI'!$E$53+('THAM_SO_MOI'!$C$14-'THAM_SO_MOI'!$E$53)*19/'THAM_SO_MOI'!$C$42</f>
        <v>8.45406623931624</v>
      </c>
      <c r="G25" s="75">
        <f>3.6*F25</f>
        <v>30.434638461538466</v>
      </c>
      <c r="H25" s="75">
        <f>'THAM_SO_MOI'!$D$53</f>
        <v>1.1</v>
      </c>
      <c r="I25" s="75">
        <f>IF(F25&gt;'THAM_SO_MOI'!$C$14,'THAM_SO_MOI'!$C$13*(1+F25^2/1500),'THAM_SO_MOI'!$C$13)</f>
        <v>0.015</v>
      </c>
      <c r="J25" s="75">
        <f>'THAM_SO_MOI'!$C$40*('THAM_SO_MOI'!$C$23*(E25/'THAM_SO_MOI'!$C$22)+'THAM_SO_MOI'!$C$24*(E25/'THAM_SO_MOI'!$C$22)^2-'THAM_SO_MOI'!$C$25*(E25/'THAM_SO_MOI'!$C$22)^3)</f>
        <v>29.986525905911442</v>
      </c>
      <c r="K25" s="75">
        <f>'THAM_SO_MOI'!$C$31*J25/E25</f>
        <v>343.8441041832465</v>
      </c>
      <c r="L25" s="75">
        <f>K25*'THAM_SO_MOI'!$C$53*'THAM_SO_MOI'!$C$17/'THAM_SO_MOI'!$C$26</f>
        <v>3015.5141391382404</v>
      </c>
      <c r="M25" s="75">
        <f>'THAM_SO_MOI'!$C$15*'THAM_SO_MOI'!$C$16*F25^2</f>
        <v>209.05336523783393</v>
      </c>
      <c r="N25" s="75">
        <f>'THAM_SO_MOI'!$C$12*I25</f>
        <v>1130.112</v>
      </c>
      <c r="O25" s="75">
        <f>M25+N25</f>
        <v>1339.165365237834</v>
      </c>
      <c r="P25" s="75">
        <f>(MIN(L25,'THAM_SO_MOI'!$C$41)-O25)/('THAM_SO_MOI'!$C$11*H25)</f>
        <v>0.19843143630449886</v>
      </c>
      <c r="Q25" s="75">
        <f>IF(P25&gt;0,1/P25,NA())</f>
        <v>5.039524072513745</v>
      </c>
      <c r="R25" s="75">
        <f>F25-F24</f>
        <v>0.017600427350426884</v>
      </c>
      <c r="S25" s="75">
        <f>0.5*(Q24+Q25)*R25</f>
        <v>0.08872688492938956</v>
      </c>
      <c r="T25" s="75">
        <f>0.5*(F24*Q24+F25*Q25)*R25</f>
        <v>0.7493218907019437</v>
      </c>
      <c r="U25" s="76">
        <f>U24+S25</f>
        <v>1.6960955235922333</v>
      </c>
      <c r="V25" s="76">
        <f>V24+T25</f>
        <v>14.054692379292216</v>
      </c>
    </row>
    <row r="26" spans="1:22" ht="19" customHeight="1">
      <c r="A26" s="68" t="s">
        <v>362</v>
      </c>
      <c r="B26" s="74">
        <v>5</v>
      </c>
      <c r="C26" s="68" t="s">
        <v>363</v>
      </c>
      <c r="D26" s="68" t="s">
        <v>364</v>
      </c>
      <c r="E26" s="75">
        <f>60*F26*'THAM_SO_MOI'!$C$53/(2*PI()*'THAM_SO_MOI'!$C$26)</f>
        <v>834.682105263158</v>
      </c>
      <c r="F26" s="75">
        <f>'THAM_SO_MOI'!$E$53+('THAM_SO_MOI'!$C$14-'THAM_SO_MOI'!$E$53)*20/'THAM_SO_MOI'!$C$42</f>
        <v>8.471666666666668</v>
      </c>
      <c r="G26" s="75">
        <f>3.6*F26</f>
        <v>30.498000000000005</v>
      </c>
      <c r="H26" s="75">
        <f>'THAM_SO_MOI'!$D$53</f>
        <v>1.1</v>
      </c>
      <c r="I26" s="75">
        <f>IF(F26&gt;'THAM_SO_MOI'!$C$14,'THAM_SO_MOI'!$C$13*(1+F26^2/1500),'THAM_SO_MOI'!$C$13)</f>
        <v>0.015</v>
      </c>
      <c r="J26" s="75">
        <f>'THAM_SO_MOI'!$C$40*('THAM_SO_MOI'!$C$23*(E26/'THAM_SO_MOI'!$C$22)+'THAM_SO_MOI'!$C$24*(E26/'THAM_SO_MOI'!$C$22)^2-'THAM_SO_MOI'!$C$25*(E26/'THAM_SO_MOI'!$C$22)^3)</f>
        <v>30.06855035075815</v>
      </c>
      <c r="K26" s="75">
        <f>'THAM_SO_MOI'!$C$31*J26/E26</f>
        <v>344.06833526480824</v>
      </c>
      <c r="L26" s="75">
        <f>K26*'THAM_SO_MOI'!$C$53*'THAM_SO_MOI'!$C$17/'THAM_SO_MOI'!$C$26</f>
        <v>3017.4806466009454</v>
      </c>
      <c r="M26" s="75">
        <f>'THAM_SO_MOI'!$C$15*'THAM_SO_MOI'!$C$16*F26^2</f>
        <v>209.92472312500007</v>
      </c>
      <c r="N26" s="75">
        <f>'THAM_SO_MOI'!$C$12*I26</f>
        <v>1130.112</v>
      </c>
      <c r="O26" s="75">
        <f>M26+N26</f>
        <v>1340.0367231250002</v>
      </c>
      <c r="P26" s="75">
        <f>(MIN(L26,'THAM_SO_MOI'!$C$41)-O26)/('THAM_SO_MOI'!$C$11*H26)</f>
        <v>0.19856107048720942</v>
      </c>
      <c r="Q26" s="75">
        <f>IF(P26&gt;0,1/P26,NA())</f>
        <v>5.036233928162753</v>
      </c>
      <c r="R26" s="75">
        <f>F26-F25</f>
        <v>0.017600427350426884</v>
      </c>
      <c r="S26" s="75">
        <f>0.5*(Q25+Q26)*R26</f>
        <v>0.08866882334569456</v>
      </c>
      <c r="T26" s="75">
        <f>0.5*(F25*Q25+F26*Q26)*R26</f>
        <v>0.7503921557173522</v>
      </c>
      <c r="U26" s="76">
        <f>U25+S26</f>
        <v>1.7847643469379277</v>
      </c>
      <c r="V26" s="76">
        <f>V25+T26</f>
        <v>14.805084535009568</v>
      </c>
    </row>
    <row r="27" spans="1:22" ht="19" customHeight="1">
      <c r="A27" s="68" t="s">
        <v>362</v>
      </c>
      <c r="B27" s="74">
        <v>5</v>
      </c>
      <c r="C27" s="68" t="s">
        <v>363</v>
      </c>
      <c r="D27" s="68" t="s">
        <v>364</v>
      </c>
      <c r="E27" s="75">
        <f>60*F27*'THAM_SO_MOI'!$C$53/(2*PI()*'THAM_SO_MOI'!$C$26)</f>
        <v>836.4162105263157</v>
      </c>
      <c r="F27" s="75">
        <f>'THAM_SO_MOI'!$E$53+('THAM_SO_MOI'!$C$14-'THAM_SO_MOI'!$E$53)*21/'THAM_SO_MOI'!$C$42</f>
        <v>8.489267094017094</v>
      </c>
      <c r="G27" s="75">
        <f>3.6*F27</f>
        <v>30.56136153846154</v>
      </c>
      <c r="H27" s="75">
        <f>'THAM_SO_MOI'!$D$53</f>
        <v>1.1</v>
      </c>
      <c r="I27" s="75">
        <f>IF(F27&gt;'THAM_SO_MOI'!$C$14,'THAM_SO_MOI'!$C$13*(1+F27^2/1500),'THAM_SO_MOI'!$C$13)</f>
        <v>0.015</v>
      </c>
      <c r="J27" s="75">
        <f>'THAM_SO_MOI'!$C$40*('THAM_SO_MOI'!$C$23*(E27/'THAM_SO_MOI'!$C$22)+'THAM_SO_MOI'!$C$24*(E27/'THAM_SO_MOI'!$C$22)^2-'THAM_SO_MOI'!$C$25*(E27/'THAM_SO_MOI'!$C$22)^3)</f>
        <v>30.150630670664498</v>
      </c>
      <c r="K27" s="75">
        <f>'THAM_SO_MOI'!$C$31*J27/E27</f>
        <v>344.292274610745</v>
      </c>
      <c r="L27" s="75">
        <f>K27*'THAM_SO_MOI'!$C$53*'THAM_SO_MOI'!$C$17/'THAM_SO_MOI'!$C$26</f>
        <v>3019.4445955410783</v>
      </c>
      <c r="M27" s="75">
        <f>'THAM_SO_MOI'!$C$15*'THAM_SO_MOI'!$C$16*F27^2</f>
        <v>210.79789319616725</v>
      </c>
      <c r="N27" s="75">
        <f>'THAM_SO_MOI'!$C$12*I27</f>
        <v>1130.112</v>
      </c>
      <c r="O27" s="75">
        <f>M27+N27</f>
        <v>1340.9098931961673</v>
      </c>
      <c r="P27" s="75">
        <f>(MIN(L27,'THAM_SO_MOI'!$C$41)-O27)/('THAM_SO_MOI'!$C$11*H27)</f>
        <v>0.19869018730408514</v>
      </c>
      <c r="Q27" s="75">
        <f>IF(P27&gt;0,1/P27,NA())</f>
        <v>5.032961182272939</v>
      </c>
      <c r="R27" s="75">
        <f>F27-F26</f>
        <v>0.017600427350426884</v>
      </c>
      <c r="S27" s="75">
        <f>0.5*(Q26+Q27)*R27</f>
        <v>0.0886110685092485</v>
      </c>
      <c r="T27" s="75">
        <f>0.5*(F26*Q26+F27*Q27)*R27</f>
        <v>0.7514629782706377</v>
      </c>
      <c r="U27" s="76">
        <f>U26+S27</f>
        <v>1.8733754154471762</v>
      </c>
      <c r="V27" s="76">
        <f>V26+T27</f>
        <v>15.556547513280206</v>
      </c>
    </row>
    <row r="28" spans="1:22" ht="19" customHeight="1">
      <c r="A28" s="68" t="s">
        <v>362</v>
      </c>
      <c r="B28" s="74">
        <v>5</v>
      </c>
      <c r="C28" s="68" t="s">
        <v>363</v>
      </c>
      <c r="D28" s="68" t="s">
        <v>364</v>
      </c>
      <c r="E28" s="75">
        <f>60*F28*'THAM_SO_MOI'!$C$53/(2*PI()*'THAM_SO_MOI'!$C$26)</f>
        <v>838.1503157894737</v>
      </c>
      <c r="F28" s="75">
        <f>'THAM_SO_MOI'!$E$53+('THAM_SO_MOI'!$C$14-'THAM_SO_MOI'!$E$53)*22/'THAM_SO_MOI'!$C$42</f>
        <v>8.506867521367523</v>
      </c>
      <c r="G28" s="75">
        <f>3.6*F28</f>
        <v>30.624723076923082</v>
      </c>
      <c r="H28" s="75">
        <f>'THAM_SO_MOI'!$D$53</f>
        <v>1.1</v>
      </c>
      <c r="I28" s="75">
        <f>IF(F28&gt;'THAM_SO_MOI'!$C$14,'THAM_SO_MOI'!$C$13*(1+F28^2/1500),'THAM_SO_MOI'!$C$13)</f>
        <v>0.015</v>
      </c>
      <c r="J28" s="75">
        <f>'THAM_SO_MOI'!$C$40*('THAM_SO_MOI'!$C$23*(E28/'THAM_SO_MOI'!$C$22)+'THAM_SO_MOI'!$C$24*(E28/'THAM_SO_MOI'!$C$22)^2-'THAM_SO_MOI'!$C$25*(E28/'THAM_SO_MOI'!$C$22)^3)</f>
        <v>30.23276670672721</v>
      </c>
      <c r="K28" s="75">
        <f>'THAM_SO_MOI'!$C$31*J28/E28</f>
        <v>344.51592222105666</v>
      </c>
      <c r="L28" s="75">
        <f>K28*'THAM_SO_MOI'!$C$53*'THAM_SO_MOI'!$C$17/'THAM_SO_MOI'!$C$26</f>
        <v>3021.4059859586378</v>
      </c>
      <c r="M28" s="75">
        <f>'THAM_SO_MOI'!$C$15*'THAM_SO_MOI'!$C$16*F28^2</f>
        <v>211.67287545133556</v>
      </c>
      <c r="N28" s="75">
        <f>'THAM_SO_MOI'!$C$12*I28</f>
        <v>1130.112</v>
      </c>
      <c r="O28" s="75">
        <f>M28+N28</f>
        <v>1341.7848754513357</v>
      </c>
      <c r="P28" s="75">
        <f>(MIN(L28,'THAM_SO_MOI'!$C$41)-O28)/('THAM_SO_MOI'!$C$11*H28)</f>
        <v>0.1988187867551257</v>
      </c>
      <c r="Q28" s="75">
        <f>IF(P28&gt;0,1/P28,NA())</f>
        <v>5.029705775398607</v>
      </c>
      <c r="R28" s="75">
        <f>F28-F27</f>
        <v>0.01760042735042866</v>
      </c>
      <c r="S28" s="75">
        <f>0.5*(Q27+Q28)*R28</f>
        <v>0.08855361937002852</v>
      </c>
      <c r="T28" s="75">
        <f>0.5*(F27*Q27+F28*Q28)*R28</f>
        <v>0.7525343656353167</v>
      </c>
      <c r="U28" s="76">
        <f>U27+S28</f>
        <v>1.9619290348172047</v>
      </c>
      <c r="V28" s="76">
        <f>V27+T28</f>
        <v>16.309081878915524</v>
      </c>
    </row>
    <row r="29" spans="1:22" ht="19" customHeight="1">
      <c r="A29" s="68" t="s">
        <v>362</v>
      </c>
      <c r="B29" s="74">
        <v>5</v>
      </c>
      <c r="C29" s="68" t="s">
        <v>363</v>
      </c>
      <c r="D29" s="68" t="s">
        <v>364</v>
      </c>
      <c r="E29" s="75">
        <f>60*F29*'THAM_SO_MOI'!$C$53/(2*PI()*'THAM_SO_MOI'!$C$26)</f>
        <v>839.8844210526315</v>
      </c>
      <c r="F29" s="75">
        <f>'THAM_SO_MOI'!$E$53+('THAM_SO_MOI'!$C$14-'THAM_SO_MOI'!$E$53)*23/'THAM_SO_MOI'!$C$42</f>
        <v>8.52446794871795</v>
      </c>
      <c r="G29" s="75">
        <f>3.6*F29</f>
        <v>30.68808461538462</v>
      </c>
      <c r="H29" s="75">
        <f>'THAM_SO_MOI'!$D$53</f>
        <v>1.1</v>
      </c>
      <c r="I29" s="75">
        <f>IF(F29&gt;'THAM_SO_MOI'!$C$14,'THAM_SO_MOI'!$C$13*(1+F29^2/1500),'THAM_SO_MOI'!$C$13)</f>
        <v>0.015</v>
      </c>
      <c r="J29" s="75">
        <f>'THAM_SO_MOI'!$C$40*('THAM_SO_MOI'!$C$23*(E29/'THAM_SO_MOI'!$C$22)+'THAM_SO_MOI'!$C$24*(E29/'THAM_SO_MOI'!$C$22)^2-'THAM_SO_MOI'!$C$25*(E29/'THAM_SO_MOI'!$C$22)^3)</f>
        <v>30.314958300043013</v>
      </c>
      <c r="K29" s="75">
        <f>'THAM_SO_MOI'!$C$31*J29/E29</f>
        <v>344.7392780957433</v>
      </c>
      <c r="L29" s="75">
        <f>K29*'THAM_SO_MOI'!$C$53*'THAM_SO_MOI'!$C$17/'THAM_SO_MOI'!$C$26</f>
        <v>3023.3648178536246</v>
      </c>
      <c r="M29" s="75">
        <f>'THAM_SO_MOI'!$C$15*'THAM_SO_MOI'!$C$16*F29^2</f>
        <v>212.54966989050487</v>
      </c>
      <c r="N29" s="75">
        <f>'THAM_SO_MOI'!$C$12*I29</f>
        <v>1130.112</v>
      </c>
      <c r="O29" s="75">
        <f>M29+N29</f>
        <v>1342.661669890505</v>
      </c>
      <c r="P29" s="75">
        <f>(MIN(L29,'THAM_SO_MOI'!$C$41)-O29)/('THAM_SO_MOI'!$C$11*H29)</f>
        <v>0.1989468688403314</v>
      </c>
      <c r="Q29" s="75">
        <f>IF(P29&gt;0,1/P29,NA())</f>
        <v>5.026467648518606</v>
      </c>
      <c r="R29" s="75">
        <f>F29-F28</f>
        <v>0.017600427350426884</v>
      </c>
      <c r="S29" s="75">
        <f>0.5*(Q28+Q29)*R29</f>
        <v>0.08849647488547424</v>
      </c>
      <c r="T29" s="75">
        <f>0.5*(F28*Q28+F29*Q29)*R29</f>
        <v>0.7536063250745295</v>
      </c>
      <c r="U29" s="76">
        <f>U28+S29</f>
        <v>2.050425509702679</v>
      </c>
      <c r="V29" s="76">
        <f>V28+T29</f>
        <v>17.062688203990053</v>
      </c>
    </row>
    <row r="30" spans="1:22" ht="19" customHeight="1">
      <c r="A30" s="68" t="s">
        <v>362</v>
      </c>
      <c r="B30" s="74">
        <v>5</v>
      </c>
      <c r="C30" s="68" t="s">
        <v>363</v>
      </c>
      <c r="D30" s="68" t="s">
        <v>364</v>
      </c>
      <c r="E30" s="75">
        <f>60*F30*'THAM_SO_MOI'!$C$53/(2*PI()*'THAM_SO_MOI'!$C$26)</f>
        <v>841.6185263157893</v>
      </c>
      <c r="F30" s="75">
        <f>'THAM_SO_MOI'!$E$53+('THAM_SO_MOI'!$C$14-'THAM_SO_MOI'!$E$53)*24/'THAM_SO_MOI'!$C$42</f>
        <v>8.542068376068377</v>
      </c>
      <c r="G30" s="75">
        <f>3.6*F30</f>
        <v>30.751446153846157</v>
      </c>
      <c r="H30" s="75">
        <f>'THAM_SO_MOI'!$D$53</f>
        <v>1.1</v>
      </c>
      <c r="I30" s="75">
        <f>IF(F30&gt;'THAM_SO_MOI'!$C$14,'THAM_SO_MOI'!$C$13*(1+F30^2/1500),'THAM_SO_MOI'!$C$13)</f>
        <v>0.015</v>
      </c>
      <c r="J30" s="75">
        <f>'THAM_SO_MOI'!$C$40*('THAM_SO_MOI'!$C$23*(E30/'THAM_SO_MOI'!$C$22)+'THAM_SO_MOI'!$C$24*(E30/'THAM_SO_MOI'!$C$22)^2-'THAM_SO_MOI'!$C$25*(E30/'THAM_SO_MOI'!$C$22)^3)</f>
        <v>30.397205291708612</v>
      </c>
      <c r="K30" s="75">
        <f>'THAM_SO_MOI'!$C$31*J30/E30</f>
        <v>344.96234223480496</v>
      </c>
      <c r="L30" s="75">
        <f>K30*'THAM_SO_MOI'!$C$53*'THAM_SO_MOI'!$C$17/'THAM_SO_MOI'!$C$26</f>
        <v>3025.321091226038</v>
      </c>
      <c r="M30" s="75">
        <f>'THAM_SO_MOI'!$C$15*'THAM_SO_MOI'!$C$16*F30^2</f>
        <v>213.42827651367526</v>
      </c>
      <c r="N30" s="75">
        <f>'THAM_SO_MOI'!$C$12*I30</f>
        <v>1130.112</v>
      </c>
      <c r="O30" s="75">
        <f>M30+N30</f>
        <v>1343.5402765136753</v>
      </c>
      <c r="P30" s="75">
        <f>(MIN(L30,'THAM_SO_MOI'!$C$41)-O30)/('THAM_SO_MOI'!$C$11*H30)</f>
        <v>0.19907443355970197</v>
      </c>
      <c r="Q30" s="75">
        <f>IF(P30&gt;0,1/P30,NA())</f>
        <v>5.02324674303344</v>
      </c>
      <c r="R30" s="75">
        <f>F30-F29</f>
        <v>0.017600427350426884</v>
      </c>
      <c r="S30" s="75">
        <f>0.5*(Q29+Q30)*R30</f>
        <v>0.08843963402052567</v>
      </c>
      <c r="T30" s="75">
        <f>0.5*(F29*Q29+F30*Q30)*R30</f>
        <v>0.7546788638420211</v>
      </c>
      <c r="U30" s="76">
        <f>U29+S30</f>
        <v>2.1388651437232045</v>
      </c>
      <c r="V30" s="76">
        <f>V29+T30</f>
        <v>17.817367067832073</v>
      </c>
    </row>
    <row r="31" spans="1:22" ht="19" customHeight="1">
      <c r="A31" s="68" t="s">
        <v>362</v>
      </c>
      <c r="B31" s="74">
        <v>5</v>
      </c>
      <c r="C31" s="68" t="s">
        <v>363</v>
      </c>
      <c r="D31" s="68" t="s">
        <v>364</v>
      </c>
      <c r="E31" s="75">
        <f>60*F31*'THAM_SO_MOI'!$C$53/(2*PI()*'THAM_SO_MOI'!$C$26)</f>
        <v>843.3526315789472</v>
      </c>
      <c r="F31" s="75">
        <f>'THAM_SO_MOI'!$E$53+('THAM_SO_MOI'!$C$14-'THAM_SO_MOI'!$E$53)*25/'THAM_SO_MOI'!$C$42</f>
        <v>8.559668803418806</v>
      </c>
      <c r="G31" s="75">
        <f>3.6*F31</f>
        <v>30.8148076923077</v>
      </c>
      <c r="H31" s="75">
        <f>'THAM_SO_MOI'!$D$53</f>
        <v>1.1</v>
      </c>
      <c r="I31" s="75">
        <f>IF(F31&gt;'THAM_SO_MOI'!$C$14,'THAM_SO_MOI'!$C$13*(1+F31^2/1500),'THAM_SO_MOI'!$C$13)</f>
        <v>0.015</v>
      </c>
      <c r="J31" s="75">
        <f>'THAM_SO_MOI'!$C$40*('THAM_SO_MOI'!$C$23*(E31/'THAM_SO_MOI'!$C$22)+'THAM_SO_MOI'!$C$24*(E31/'THAM_SO_MOI'!$C$22)^2-'THAM_SO_MOI'!$C$25*(E31/'THAM_SO_MOI'!$C$22)^3)</f>
        <v>30.47950752282075</v>
      </c>
      <c r="K31" s="75">
        <f>'THAM_SO_MOI'!$C$31*J31/E31</f>
        <v>345.18511463824154</v>
      </c>
      <c r="L31" s="75">
        <f>K31*'THAM_SO_MOI'!$C$53*'THAM_SO_MOI'!$C$17/'THAM_SO_MOI'!$C$26</f>
        <v>3027.2748060758786</v>
      </c>
      <c r="M31" s="75">
        <f>'THAM_SO_MOI'!$C$15*'THAM_SO_MOI'!$C$16*F31^2</f>
        <v>214.30869532084682</v>
      </c>
      <c r="N31" s="75">
        <f>'THAM_SO_MOI'!$C$12*I31</f>
        <v>1130.112</v>
      </c>
      <c r="O31" s="75">
        <f>M31+N31</f>
        <v>1344.4206953208468</v>
      </c>
      <c r="P31" s="75">
        <f>(MIN(L31,'THAM_SO_MOI'!$C$41)-O31)/('THAM_SO_MOI'!$C$11*H31)</f>
        <v>0.19920148091323767</v>
      </c>
      <c r="Q31" s="75">
        <f>IF(P31&gt;0,1/P31,NA())</f>
        <v>5.020043000762382</v>
      </c>
      <c r="R31" s="75">
        <f>F31-F30</f>
        <v>0.01760042735042866</v>
      </c>
      <c r="S31" s="75">
        <f>0.5*(Q30+Q31)*R31</f>
        <v>0.08838309574749183</v>
      </c>
      <c r="T31" s="75">
        <f>0.5*(F30*Q30+F31*Q31)*R31</f>
        <v>0.7557519891816783</v>
      </c>
      <c r="U31" s="76">
        <f>U30+S31</f>
        <v>2.2272482394706965</v>
      </c>
      <c r="V31" s="76">
        <f>V30+T31</f>
        <v>18.573119057013752</v>
      </c>
    </row>
    <row r="32" spans="1:22" ht="19" customHeight="1">
      <c r="A32" s="68" t="s">
        <v>362</v>
      </c>
      <c r="B32" s="74">
        <v>5</v>
      </c>
      <c r="C32" s="68" t="s">
        <v>363</v>
      </c>
      <c r="D32" s="68" t="s">
        <v>364</v>
      </c>
      <c r="E32" s="75">
        <f>60*F32*'THAM_SO_MOI'!$C$53/(2*PI()*'THAM_SO_MOI'!$C$26)</f>
        <v>845.0867368421054</v>
      </c>
      <c r="F32" s="75">
        <f>'THAM_SO_MOI'!$E$53+('THAM_SO_MOI'!$C$14-'THAM_SO_MOI'!$E$53)*26/'THAM_SO_MOI'!$C$42</f>
        <v>8.577269230769232</v>
      </c>
      <c r="G32" s="75">
        <f>3.6*F32</f>
        <v>30.878169230769238</v>
      </c>
      <c r="H32" s="75">
        <f>'THAM_SO_MOI'!$D$53</f>
        <v>1.1</v>
      </c>
      <c r="I32" s="75">
        <f>IF(F32&gt;'THAM_SO_MOI'!$C$14,'THAM_SO_MOI'!$C$13*(1+F32^2/1500),'THAM_SO_MOI'!$C$13)</f>
        <v>0.015</v>
      </c>
      <c r="J32" s="75">
        <f>'THAM_SO_MOI'!$C$40*('THAM_SO_MOI'!$C$23*(E32/'THAM_SO_MOI'!$C$22)+'THAM_SO_MOI'!$C$24*(E32/'THAM_SO_MOI'!$C$22)^2-'THAM_SO_MOI'!$C$25*(E32/'THAM_SO_MOI'!$C$22)^3)</f>
        <v>30.561864834476136</v>
      </c>
      <c r="K32" s="75">
        <f>'THAM_SO_MOI'!$C$31*J32/E32</f>
        <v>345.407595306053</v>
      </c>
      <c r="L32" s="75">
        <f>K32*'THAM_SO_MOI'!$C$53*'THAM_SO_MOI'!$C$17/'THAM_SO_MOI'!$C$26</f>
        <v>3029.225962403145</v>
      </c>
      <c r="M32" s="75">
        <f>'THAM_SO_MOI'!$C$15*'THAM_SO_MOI'!$C$16*F32^2</f>
        <v>215.19092631201934</v>
      </c>
      <c r="N32" s="75">
        <f>'THAM_SO_MOI'!$C$12*I32</f>
        <v>1130.112</v>
      </c>
      <c r="O32" s="75">
        <f>M32+N32</f>
        <v>1345.3029263120195</v>
      </c>
      <c r="P32" s="75">
        <f>(MIN(L32,'THAM_SO_MOI'!$C$41)-O32)/('THAM_SO_MOI'!$C$11*H32)</f>
        <v>0.19932801090093816</v>
      </c>
      <c r="Q32" s="75">
        <f>IF(P32&gt;0,1/P32,NA())</f>
        <v>5.016856363940636</v>
      </c>
      <c r="R32" s="75">
        <f>F32-F31</f>
        <v>0.017600427350426884</v>
      </c>
      <c r="S32" s="75">
        <f>0.5*(Q31+Q32)*R32</f>
        <v>0.0883268590460006</v>
      </c>
      <c r="T32" s="75">
        <f>0.5*(F31*Q31+F32*Q32)*R32</f>
        <v>0.7568257083277473</v>
      </c>
      <c r="U32" s="76">
        <f>U31+S32</f>
        <v>2.315575098516697</v>
      </c>
      <c r="V32" s="76">
        <f>V31+T32</f>
        <v>19.329944765341498</v>
      </c>
    </row>
    <row r="33" spans="1:22" ht="19" customHeight="1">
      <c r="A33" s="68" t="s">
        <v>362</v>
      </c>
      <c r="B33" s="74">
        <v>5</v>
      </c>
      <c r="C33" s="68" t="s">
        <v>363</v>
      </c>
      <c r="D33" s="68" t="s">
        <v>364</v>
      </c>
      <c r="E33" s="75">
        <f>60*F33*'THAM_SO_MOI'!$C$53/(2*PI()*'THAM_SO_MOI'!$C$26)</f>
        <v>846.8208421052632</v>
      </c>
      <c r="F33" s="75">
        <f>'THAM_SO_MOI'!$E$53+('THAM_SO_MOI'!$C$14-'THAM_SO_MOI'!$E$53)*27/'THAM_SO_MOI'!$C$42</f>
        <v>8.59486965811966</v>
      </c>
      <c r="G33" s="75">
        <f>3.6*F33</f>
        <v>30.941530769230774</v>
      </c>
      <c r="H33" s="75">
        <f>'THAM_SO_MOI'!$D$53</f>
        <v>1.1</v>
      </c>
      <c r="I33" s="75">
        <f>IF(F33&gt;'THAM_SO_MOI'!$C$14,'THAM_SO_MOI'!$C$13*(1+F33^2/1500),'THAM_SO_MOI'!$C$13)</f>
        <v>0.015</v>
      </c>
      <c r="J33" s="75">
        <f>'THAM_SO_MOI'!$C$40*('THAM_SO_MOI'!$C$23*(E33/'THAM_SO_MOI'!$C$22)+'THAM_SO_MOI'!$C$24*(E33/'THAM_SO_MOI'!$C$22)^2-'THAM_SO_MOI'!$C$25*(E33/'THAM_SO_MOI'!$C$22)^3)</f>
        <v>30.64427706777149</v>
      </c>
      <c r="K33" s="75">
        <f>'THAM_SO_MOI'!$C$31*J33/E33</f>
        <v>345.6297842382396</v>
      </c>
      <c r="L33" s="75">
        <f>K33*'THAM_SO_MOI'!$C$53*'THAM_SO_MOI'!$C$17/'THAM_SO_MOI'!$C$26</f>
        <v>3031.1745602078395</v>
      </c>
      <c r="M33" s="75">
        <f>'THAM_SO_MOI'!$C$15*'THAM_SO_MOI'!$C$16*F33^2</f>
        <v>216.07496948719293</v>
      </c>
      <c r="N33" s="75">
        <f>'THAM_SO_MOI'!$C$12*I33</f>
        <v>1130.112</v>
      </c>
      <c r="O33" s="75">
        <f>M33+N33</f>
        <v>1346.186969487193</v>
      </c>
      <c r="P33" s="75">
        <f>(MIN(L33,'THAM_SO_MOI'!$C$41)-O33)/('THAM_SO_MOI'!$C$11*H33)</f>
        <v>0.1994540235228038</v>
      </c>
      <c r="Q33" s="75">
        <f>IF(P33&gt;0,1/P33,NA())</f>
        <v>5.013686775216489</v>
      </c>
      <c r="R33" s="75">
        <f>F33-F32</f>
        <v>0.017600427350426884</v>
      </c>
      <c r="S33" s="75">
        <f>0.5*(Q32+Q33)*R33</f>
        <v>0.08827092290302889</v>
      </c>
      <c r="T33" s="75">
        <f>0.5*(F32*Q32+F33*Q33)*R33</f>
        <v>0.757900028505737</v>
      </c>
      <c r="U33" s="76">
        <f>U32+S33</f>
        <v>2.4038460214197257</v>
      </c>
      <c r="V33" s="76">
        <f>V32+T33</f>
        <v>20.087844793847236</v>
      </c>
    </row>
    <row r="34" spans="1:22" ht="19" customHeight="1">
      <c r="A34" s="68" t="s">
        <v>362</v>
      </c>
      <c r="B34" s="74">
        <v>5</v>
      </c>
      <c r="C34" s="68" t="s">
        <v>363</v>
      </c>
      <c r="D34" s="68" t="s">
        <v>364</v>
      </c>
      <c r="E34" s="75">
        <f>60*F34*'THAM_SO_MOI'!$C$53/(2*PI()*'THAM_SO_MOI'!$C$26)</f>
        <v>848.554947368421</v>
      </c>
      <c r="F34" s="75">
        <f>'THAM_SO_MOI'!$E$53+('THAM_SO_MOI'!$C$14-'THAM_SO_MOI'!$E$53)*28/'THAM_SO_MOI'!$C$42</f>
        <v>8.612470085470086</v>
      </c>
      <c r="G34" s="75">
        <f>3.6*F34</f>
        <v>31.004892307692312</v>
      </c>
      <c r="H34" s="75">
        <f>'THAM_SO_MOI'!$D$53</f>
        <v>1.1</v>
      </c>
      <c r="I34" s="75">
        <f>IF(F34&gt;'THAM_SO_MOI'!$C$14,'THAM_SO_MOI'!$C$13*(1+F34^2/1500),'THAM_SO_MOI'!$C$13)</f>
        <v>0.015</v>
      </c>
      <c r="J34" s="75">
        <f>'THAM_SO_MOI'!$C$40*('THAM_SO_MOI'!$C$23*(E34/'THAM_SO_MOI'!$C$22)+'THAM_SO_MOI'!$C$24*(E34/'THAM_SO_MOI'!$C$22)^2-'THAM_SO_MOI'!$C$25*(E34/'THAM_SO_MOI'!$C$22)^3)</f>
        <v>30.72674406380353</v>
      </c>
      <c r="K34" s="75">
        <f>'THAM_SO_MOI'!$C$31*J34/E34</f>
        <v>345.85168143480104</v>
      </c>
      <c r="L34" s="75">
        <f>K34*'THAM_SO_MOI'!$C$53*'THAM_SO_MOI'!$C$17/'THAM_SO_MOI'!$C$26</f>
        <v>3033.1205994899606</v>
      </c>
      <c r="M34" s="75">
        <f>'THAM_SO_MOI'!$C$15*'THAM_SO_MOI'!$C$16*F34^2</f>
        <v>216.9608248463676</v>
      </c>
      <c r="N34" s="75">
        <f>'THAM_SO_MOI'!$C$12*I34</f>
        <v>1130.112</v>
      </c>
      <c r="O34" s="75">
        <f>M34+N34</f>
        <v>1347.0728248463677</v>
      </c>
      <c r="P34" s="75">
        <f>(MIN(L34,'THAM_SO_MOI'!$C$41)-O34)/('THAM_SO_MOI'!$C$11*H34)</f>
        <v>0.19957951877883437</v>
      </c>
      <c r="Q34" s="75">
        <f>IF(P34&gt;0,1/P34,NA())</f>
        <v>5.010534177648549</v>
      </c>
      <c r="R34" s="75">
        <f>F34-F33</f>
        <v>0.017600427350426884</v>
      </c>
      <c r="S34" s="75">
        <f>0.5*(Q33+Q34)*R34</f>
        <v>0.08821528631276403</v>
      </c>
      <c r="T34" s="75">
        <f>0.5*(F33*Q33+F34*Q34)*R34</f>
        <v>0.7589749569318748</v>
      </c>
      <c r="U34" s="76">
        <f>U33+S34</f>
        <v>2.49206130773249</v>
      </c>
      <c r="V34" s="76">
        <f>V33+T34</f>
        <v>20.84681975077911</v>
      </c>
    </row>
    <row r="35" spans="1:22" ht="19" customHeight="1">
      <c r="A35" s="68" t="s">
        <v>362</v>
      </c>
      <c r="B35" s="74">
        <v>5</v>
      </c>
      <c r="C35" s="68" t="s">
        <v>363</v>
      </c>
      <c r="D35" s="68" t="s">
        <v>364</v>
      </c>
      <c r="E35" s="75">
        <f>60*F35*'THAM_SO_MOI'!$C$53/(2*PI()*'THAM_SO_MOI'!$C$26)</f>
        <v>850.289052631579</v>
      </c>
      <c r="F35" s="75">
        <f>'THAM_SO_MOI'!$E$53+('THAM_SO_MOI'!$C$14-'THAM_SO_MOI'!$E$53)*29/'THAM_SO_MOI'!$C$42</f>
        <v>8.630070512820515</v>
      </c>
      <c r="G35" s="75">
        <f>3.6*F35</f>
        <v>31.068253846153855</v>
      </c>
      <c r="H35" s="75">
        <f>'THAM_SO_MOI'!$D$53</f>
        <v>1.1</v>
      </c>
      <c r="I35" s="75">
        <f>IF(F35&gt;'THAM_SO_MOI'!$C$14,'THAM_SO_MOI'!$C$13*(1+F35^2/1500),'THAM_SO_MOI'!$C$13)</f>
        <v>0.015</v>
      </c>
      <c r="J35" s="75">
        <f>'THAM_SO_MOI'!$C$40*('THAM_SO_MOI'!$C$23*(E35/'THAM_SO_MOI'!$C$22)+'THAM_SO_MOI'!$C$24*(E35/'THAM_SO_MOI'!$C$22)^2-'THAM_SO_MOI'!$C$25*(E35/'THAM_SO_MOI'!$C$22)^3)</f>
        <v>30.809265663668985</v>
      </c>
      <c r="K35" s="75">
        <f>'THAM_SO_MOI'!$C$31*J35/E35</f>
        <v>346.07328689573745</v>
      </c>
      <c r="L35" s="75">
        <f>K35*'THAM_SO_MOI'!$C$53*'THAM_SO_MOI'!$C$17/'THAM_SO_MOI'!$C$26</f>
        <v>3035.0640802495077</v>
      </c>
      <c r="M35" s="75">
        <f>'THAM_SO_MOI'!$C$15*'THAM_SO_MOI'!$C$16*F35^2</f>
        <v>217.8484923895434</v>
      </c>
      <c r="N35" s="75">
        <f>'THAM_SO_MOI'!$C$12*I35</f>
        <v>1130.112</v>
      </c>
      <c r="O35" s="75">
        <f>M35+N35</f>
        <v>1347.9604923895436</v>
      </c>
      <c r="P35" s="75">
        <f>(MIN(L35,'THAM_SO_MOI'!$C$41)-O35)/('THAM_SO_MOI'!$C$11*H35)</f>
        <v>0.19970449666902984</v>
      </c>
      <c r="Q35" s="75">
        <f>IF(P35&gt;0,1/P35,NA())</f>
        <v>5.007398514702949</v>
      </c>
      <c r="R35" s="75">
        <f>F35-F34</f>
        <v>0.01760042735042866</v>
      </c>
      <c r="S35" s="75">
        <f>0.5*(Q34+Q35)*R35</f>
        <v>0.08815994827660836</v>
      </c>
      <c r="T35" s="75">
        <f>0.5*(F34*Q34+F35*Q35)*R35</f>
        <v>0.7600505008137788</v>
      </c>
      <c r="U35" s="76">
        <f>U34+S35</f>
        <v>2.5802212560090982</v>
      </c>
      <c r="V35" s="76">
        <f>V34+T35</f>
        <v>21.60687025159289</v>
      </c>
    </row>
    <row r="36" spans="1:22" ht="19" customHeight="1">
      <c r="A36" s="68" t="s">
        <v>362</v>
      </c>
      <c r="B36" s="74">
        <v>5</v>
      </c>
      <c r="C36" s="68" t="s">
        <v>363</v>
      </c>
      <c r="D36" s="68" t="s">
        <v>364</v>
      </c>
      <c r="E36" s="75">
        <f>60*F36*'THAM_SO_MOI'!$C$53/(2*PI()*'THAM_SO_MOI'!$C$26)</f>
        <v>852.0231578947368</v>
      </c>
      <c r="F36" s="75">
        <f>'THAM_SO_MOI'!$E$53+('THAM_SO_MOI'!$C$14-'THAM_SO_MOI'!$E$53)*30/'THAM_SO_MOI'!$C$42</f>
        <v>8.647670940170942</v>
      </c>
      <c r="G36" s="75">
        <f>3.6*F36</f>
        <v>31.13161538461539</v>
      </c>
      <c r="H36" s="75">
        <f>'THAM_SO_MOI'!$D$53</f>
        <v>1.1</v>
      </c>
      <c r="I36" s="75">
        <f>IF(F36&gt;'THAM_SO_MOI'!$C$14,'THAM_SO_MOI'!$C$13*(1+F36^2/1500),'THAM_SO_MOI'!$C$13)</f>
        <v>0.015</v>
      </c>
      <c r="J36" s="75">
        <f>'THAM_SO_MOI'!$C$40*('THAM_SO_MOI'!$C$23*(E36/'THAM_SO_MOI'!$C$22)+'THAM_SO_MOI'!$C$24*(E36/'THAM_SO_MOI'!$C$22)^2-'THAM_SO_MOI'!$C$25*(E36/'THAM_SO_MOI'!$C$22)^3)</f>
        <v>30.89184170846457</v>
      </c>
      <c r="K36" s="75">
        <f>'THAM_SO_MOI'!$C$31*J36/E36</f>
        <v>346.29460062104886</v>
      </c>
      <c r="L36" s="75">
        <f>K36*'THAM_SO_MOI'!$C$53*'THAM_SO_MOI'!$C$17/'THAM_SO_MOI'!$C$26</f>
        <v>3037.005002486482</v>
      </c>
      <c r="M36" s="75">
        <f>'THAM_SO_MOI'!$C$15*'THAM_SO_MOI'!$C$16*F36^2</f>
        <v>218.7379721167202</v>
      </c>
      <c r="N36" s="75">
        <f>'THAM_SO_MOI'!$C$12*I36</f>
        <v>1130.112</v>
      </c>
      <c r="O36" s="75">
        <f>M36+N36</f>
        <v>1348.8499721167202</v>
      </c>
      <c r="P36" s="75">
        <f>(MIN(L36,'THAM_SO_MOI'!$C$41)-O36)/('THAM_SO_MOI'!$C$11*H36)</f>
        <v>0.19982895719339036</v>
      </c>
      <c r="Q36" s="75">
        <f>IF(P36&gt;0,1/P36,NA())</f>
        <v>5.004279730250609</v>
      </c>
      <c r="R36" s="75">
        <f>F36-F35</f>
        <v>0.017600427350426884</v>
      </c>
      <c r="S36" s="75">
        <f>0.5*(Q35+Q36)*R36</f>
        <v>0.08810490780307721</v>
      </c>
      <c r="T36" s="75">
        <f>0.5*(F35*Q35+F36*Q36)*R36</f>
        <v>0.7611266673502118</v>
      </c>
      <c r="U36" s="76">
        <f>U35+S36</f>
        <v>2.6683261638121754</v>
      </c>
      <c r="V36" s="76">
        <f>V35+T36</f>
        <v>22.367996918943103</v>
      </c>
    </row>
    <row r="37" spans="1:22" ht="19" customHeight="1">
      <c r="A37" s="68" t="s">
        <v>362</v>
      </c>
      <c r="B37" s="74">
        <v>5</v>
      </c>
      <c r="C37" s="68" t="s">
        <v>363</v>
      </c>
      <c r="D37" s="68" t="s">
        <v>364</v>
      </c>
      <c r="E37" s="75">
        <f>60*F37*'THAM_SO_MOI'!$C$53/(2*PI()*'THAM_SO_MOI'!$C$26)</f>
        <v>853.7572631578946</v>
      </c>
      <c r="F37" s="75">
        <f>'THAM_SO_MOI'!$E$53+('THAM_SO_MOI'!$C$14-'THAM_SO_MOI'!$E$53)*31/'THAM_SO_MOI'!$C$42</f>
        <v>8.665271367521369</v>
      </c>
      <c r="G37" s="75">
        <f>3.6*F37</f>
        <v>31.19497692307693</v>
      </c>
      <c r="H37" s="75">
        <f>'THAM_SO_MOI'!$D$53</f>
        <v>1.1</v>
      </c>
      <c r="I37" s="75">
        <f>IF(F37&gt;'THAM_SO_MOI'!$C$14,'THAM_SO_MOI'!$C$13*(1+F37^2/1500),'THAM_SO_MOI'!$C$13)</f>
        <v>0.015</v>
      </c>
      <c r="J37" s="75">
        <f>'THAM_SO_MOI'!$C$40*('THAM_SO_MOI'!$C$23*(E37/'THAM_SO_MOI'!$C$22)+'THAM_SO_MOI'!$C$24*(E37/'THAM_SO_MOI'!$C$22)^2-'THAM_SO_MOI'!$C$25*(E37/'THAM_SO_MOI'!$C$22)^3)</f>
        <v>30.974472039287004</v>
      </c>
      <c r="K37" s="75">
        <f>'THAM_SO_MOI'!$C$31*J37/E37</f>
        <v>346.51562261073514</v>
      </c>
      <c r="L37" s="75">
        <f>K37*'THAM_SO_MOI'!$C$53*'THAM_SO_MOI'!$C$17/'THAM_SO_MOI'!$C$26</f>
        <v>3038.943366200883</v>
      </c>
      <c r="M37" s="75">
        <f>'THAM_SO_MOI'!$C$15*'THAM_SO_MOI'!$C$16*F37^2</f>
        <v>219.62926402789805</v>
      </c>
      <c r="N37" s="75">
        <f>'THAM_SO_MOI'!$C$12*I37</f>
        <v>1130.112</v>
      </c>
      <c r="O37" s="75">
        <f>M37+N37</f>
        <v>1349.741264027898</v>
      </c>
      <c r="P37" s="75">
        <f>(MIN(L37,'THAM_SO_MOI'!$C$41)-O37)/('THAM_SO_MOI'!$C$11*H37)</f>
        <v>0.19995290035191582</v>
      </c>
      <c r="Q37" s="75">
        <f>IF(P37&gt;0,1/P37,NA())</f>
        <v>5.001177768564529</v>
      </c>
      <c r="R37" s="75">
        <f>F37-F36</f>
        <v>0.017600427350426884</v>
      </c>
      <c r="S37" s="75">
        <f>0.5*(Q36+Q37)*R37</f>
        <v>0.08805016390783985</v>
      </c>
      <c r="T37" s="75">
        <f>0.5*(F36*Q36+F37*Q37)*R37</f>
        <v>0.7622034637320628</v>
      </c>
      <c r="U37" s="76">
        <f>U36+S37</f>
        <v>2.756376327720015</v>
      </c>
      <c r="V37" s="76">
        <f>V36+T37</f>
        <v>23.130200382675167</v>
      </c>
    </row>
    <row r="38" spans="1:22" ht="19" customHeight="1">
      <c r="A38" s="68" t="s">
        <v>362</v>
      </c>
      <c r="B38" s="74">
        <v>5</v>
      </c>
      <c r="C38" s="68" t="s">
        <v>363</v>
      </c>
      <c r="D38" s="68" t="s">
        <v>364</v>
      </c>
      <c r="E38" s="75">
        <f>60*F38*'THAM_SO_MOI'!$C$53/(2*PI()*'THAM_SO_MOI'!$C$26)</f>
        <v>855.4913684210526</v>
      </c>
      <c r="F38" s="75">
        <f>'THAM_SO_MOI'!$E$53+('THAM_SO_MOI'!$C$14-'THAM_SO_MOI'!$E$53)*32/'THAM_SO_MOI'!$C$42</f>
        <v>8.682871794871796</v>
      </c>
      <c r="G38" s="75">
        <f>3.6*F38</f>
        <v>31.258338461538465</v>
      </c>
      <c r="H38" s="75">
        <f>'THAM_SO_MOI'!$D$53</f>
        <v>1.1</v>
      </c>
      <c r="I38" s="75">
        <f>IF(F38&gt;'THAM_SO_MOI'!$C$14,'THAM_SO_MOI'!$C$13*(1+F38^2/1500),'THAM_SO_MOI'!$C$13)</f>
        <v>0.015</v>
      </c>
      <c r="J38" s="75">
        <f>'THAM_SO_MOI'!$C$40*('THAM_SO_MOI'!$C$23*(E38/'THAM_SO_MOI'!$C$22)+'THAM_SO_MOI'!$C$24*(E38/'THAM_SO_MOI'!$C$22)^2-'THAM_SO_MOI'!$C$25*(E38/'THAM_SO_MOI'!$C$22)^3)</f>
        <v>31.05715649723303</v>
      </c>
      <c r="K38" s="75">
        <f>'THAM_SO_MOI'!$C$31*J38/E38</f>
        <v>346.7363528647965</v>
      </c>
      <c r="L38" s="75">
        <f>K38*'THAM_SO_MOI'!$C$53*'THAM_SO_MOI'!$C$17/'THAM_SO_MOI'!$C$26</f>
        <v>3040.8791713927117</v>
      </c>
      <c r="M38" s="75">
        <f>'THAM_SO_MOI'!$C$15*'THAM_SO_MOI'!$C$16*F38^2</f>
        <v>220.52236812307697</v>
      </c>
      <c r="N38" s="75">
        <f>'THAM_SO_MOI'!$C$12*I38</f>
        <v>1130.112</v>
      </c>
      <c r="O38" s="75">
        <f>M38+N38</f>
        <v>1350.6343681230771</v>
      </c>
      <c r="P38" s="75">
        <f>(MIN(L38,'THAM_SO_MOI'!$C$41)-O38)/('THAM_SO_MOI'!$C$11*H38)</f>
        <v>0.20007632614460638</v>
      </c>
      <c r="Q38" s="75">
        <f>IF(P38&gt;0,1/P38,NA())</f>
        <v>4.9980925743170825</v>
      </c>
      <c r="R38" s="75">
        <f>F38-F37</f>
        <v>0.017600427350426884</v>
      </c>
      <c r="S38" s="75">
        <f>0.5*(Q37+Q38)*R38</f>
        <v>0.08799571561358296</v>
      </c>
      <c r="T38" s="75">
        <f>0.5*(F37*Q37+F38*Q38)*R38</f>
        <v>0.7632808971417913</v>
      </c>
      <c r="U38" s="76">
        <f>U37+S38</f>
        <v>2.844372043333598</v>
      </c>
      <c r="V38" s="76">
        <f>V37+T38</f>
        <v>23.893481279816957</v>
      </c>
    </row>
    <row r="39" spans="1:22" ht="19" customHeight="1">
      <c r="A39" s="68" t="s">
        <v>362</v>
      </c>
      <c r="B39" s="74">
        <v>5</v>
      </c>
      <c r="C39" s="68" t="s">
        <v>363</v>
      </c>
      <c r="D39" s="68" t="s">
        <v>364</v>
      </c>
      <c r="E39" s="75">
        <f>60*F39*'THAM_SO_MOI'!$C$53/(2*PI()*'THAM_SO_MOI'!$C$26)</f>
        <v>857.2254736842106</v>
      </c>
      <c r="F39" s="75">
        <f>'THAM_SO_MOI'!$E$53+('THAM_SO_MOI'!$C$14-'THAM_SO_MOI'!$E$53)*33/'THAM_SO_MOI'!$C$42</f>
        <v>8.700472222222224</v>
      </c>
      <c r="G39" s="75">
        <f>3.6*F39</f>
        <v>31.321700000000007</v>
      </c>
      <c r="H39" s="75">
        <f>'THAM_SO_MOI'!$D$53</f>
        <v>1.1</v>
      </c>
      <c r="I39" s="75">
        <f>IF(F39&gt;'THAM_SO_MOI'!$C$14,'THAM_SO_MOI'!$C$13*(1+F39^2/1500),'THAM_SO_MOI'!$C$13)</f>
        <v>0.015</v>
      </c>
      <c r="J39" s="75">
        <f>'THAM_SO_MOI'!$C$40*('THAM_SO_MOI'!$C$23*(E39/'THAM_SO_MOI'!$C$22)+'THAM_SO_MOI'!$C$24*(E39/'THAM_SO_MOI'!$C$22)^2-'THAM_SO_MOI'!$C$25*(E39/'THAM_SO_MOI'!$C$22)^3)</f>
        <v>31.139894923399346</v>
      </c>
      <c r="K39" s="75">
        <f>'THAM_SO_MOI'!$C$31*J39/E39</f>
        <v>346.95679138323277</v>
      </c>
      <c r="L39" s="75">
        <f>K39*'THAM_SO_MOI'!$C$53*'THAM_SO_MOI'!$C$17/'THAM_SO_MOI'!$C$26</f>
        <v>3042.8124180619666</v>
      </c>
      <c r="M39" s="75">
        <f>'THAM_SO_MOI'!$C$15*'THAM_SO_MOI'!$C$16*F39^2</f>
        <v>221.41728440225705</v>
      </c>
      <c r="N39" s="75">
        <f>'THAM_SO_MOI'!$C$12*I39</f>
        <v>1130.112</v>
      </c>
      <c r="O39" s="75">
        <f>M39+N39</f>
        <v>1351.5292844022572</v>
      </c>
      <c r="P39" s="75">
        <f>(MIN(L39,'THAM_SO_MOI'!$C$41)-O39)/('THAM_SO_MOI'!$C$11*H39)</f>
        <v>0.20019923457146183</v>
      </c>
      <c r="Q39" s="75">
        <f>IF(P39&gt;0,1/P39,NA())</f>
        <v>4.99502409257737</v>
      </c>
      <c r="R39" s="75">
        <f>F39-F38</f>
        <v>0.01760042735042866</v>
      </c>
      <c r="S39" s="75">
        <f>0.5*(Q38+Q39)*R39</f>
        <v>0.08794156195001679</v>
      </c>
      <c r="T39" s="75">
        <f>0.5*(F38*Q38+F39*Q39)*R39</f>
        <v>0.7643589747540982</v>
      </c>
      <c r="U39" s="76">
        <f>U38+S39</f>
        <v>2.932313605283615</v>
      </c>
      <c r="V39" s="76">
        <f>V38+T39</f>
        <v>24.657840254571056</v>
      </c>
    </row>
    <row r="40" spans="1:22" ht="19" customHeight="1">
      <c r="A40" s="68" t="s">
        <v>362</v>
      </c>
      <c r="B40" s="74">
        <v>5</v>
      </c>
      <c r="C40" s="68" t="s">
        <v>363</v>
      </c>
      <c r="D40" s="68" t="s">
        <v>364</v>
      </c>
      <c r="E40" s="75">
        <f>60*F40*'THAM_SO_MOI'!$C$53/(2*PI()*'THAM_SO_MOI'!$C$26)</f>
        <v>858.9595789473683</v>
      </c>
      <c r="F40" s="75">
        <f>'THAM_SO_MOI'!$E$53+('THAM_SO_MOI'!$C$14-'THAM_SO_MOI'!$E$53)*34/'THAM_SO_MOI'!$C$42</f>
        <v>8.718072649572651</v>
      </c>
      <c r="G40" s="75">
        <f>3.6*F40</f>
        <v>31.385061538461546</v>
      </c>
      <c r="H40" s="75">
        <f>'THAM_SO_MOI'!$D$53</f>
        <v>1.1</v>
      </c>
      <c r="I40" s="75">
        <f>IF(F40&gt;'THAM_SO_MOI'!$C$14,'THAM_SO_MOI'!$C$13*(1+F40^2/1500),'THAM_SO_MOI'!$C$13)</f>
        <v>0.015</v>
      </c>
      <c r="J40" s="75">
        <f>'THAM_SO_MOI'!$C$40*('THAM_SO_MOI'!$C$23*(E40/'THAM_SO_MOI'!$C$22)+'THAM_SO_MOI'!$C$24*(E40/'THAM_SO_MOI'!$C$22)^2-'THAM_SO_MOI'!$C$25*(E40/'THAM_SO_MOI'!$C$22)^3)</f>
        <v>31.222687158882678</v>
      </c>
      <c r="K40" s="75">
        <f>'THAM_SO_MOI'!$C$31*J40/E40</f>
        <v>347.17693816604407</v>
      </c>
      <c r="L40" s="75">
        <f>K40*'THAM_SO_MOI'!$C$53*'THAM_SO_MOI'!$C$17/'THAM_SO_MOI'!$C$26</f>
        <v>3044.7431062086494</v>
      </c>
      <c r="M40" s="75">
        <f>'THAM_SO_MOI'!$C$15*'THAM_SO_MOI'!$C$16*F40^2</f>
        <v>222.31401286543812</v>
      </c>
      <c r="N40" s="75">
        <f>'THAM_SO_MOI'!$C$12*I40</f>
        <v>1130.112</v>
      </c>
      <c r="O40" s="75">
        <f>M40+N40</f>
        <v>1352.4260128654382</v>
      </c>
      <c r="P40" s="75">
        <f>(MIN(L40,'THAM_SO_MOI'!$C$41)-O40)/('THAM_SO_MOI'!$C$11*H40)</f>
        <v>0.20032162563248238</v>
      </c>
      <c r="Q40" s="75">
        <f>IF(P40&gt;0,1/P40,NA())</f>
        <v>4.99197226880855</v>
      </c>
      <c r="R40" s="75">
        <f>F40-F39</f>
        <v>0.017600427350426884</v>
      </c>
      <c r="S40" s="75">
        <f>0.5*(Q39+Q40)*R40</f>
        <v>0.08788770195377525</v>
      </c>
      <c r="T40" s="75">
        <f>0.5*(F39*Q39+F40*Q40)*R40</f>
        <v>0.7654377037356745</v>
      </c>
      <c r="U40" s="76">
        <f>U39+S40</f>
        <v>3.0202013072373903</v>
      </c>
      <c r="V40" s="76">
        <f>V39+T40</f>
        <v>25.42327795830673</v>
      </c>
    </row>
    <row r="41" spans="1:22" ht="19" customHeight="1">
      <c r="A41" s="68" t="s">
        <v>362</v>
      </c>
      <c r="B41" s="74">
        <v>5</v>
      </c>
      <c r="C41" s="68" t="s">
        <v>363</v>
      </c>
      <c r="D41" s="68" t="s">
        <v>364</v>
      </c>
      <c r="E41" s="75">
        <f>60*F41*'THAM_SO_MOI'!$C$53/(2*PI()*'THAM_SO_MOI'!$C$26)</f>
        <v>860.6936842105262</v>
      </c>
      <c r="F41" s="75">
        <f>'THAM_SO_MOI'!$E$53+('THAM_SO_MOI'!$C$14-'THAM_SO_MOI'!$E$53)*35/'THAM_SO_MOI'!$C$42</f>
        <v>8.735673076923078</v>
      </c>
      <c r="G41" s="75">
        <f>3.6*F41</f>
        <v>31.44842307692308</v>
      </c>
      <c r="H41" s="75">
        <f>'THAM_SO_MOI'!$D$53</f>
        <v>1.1</v>
      </c>
      <c r="I41" s="75">
        <f>IF(F41&gt;'THAM_SO_MOI'!$C$14,'THAM_SO_MOI'!$C$13*(1+F41^2/1500),'THAM_SO_MOI'!$C$13)</f>
        <v>0.015</v>
      </c>
      <c r="J41" s="75">
        <f>'THAM_SO_MOI'!$C$40*('THAM_SO_MOI'!$C$23*(E41/'THAM_SO_MOI'!$C$22)+'THAM_SO_MOI'!$C$24*(E41/'THAM_SO_MOI'!$C$22)^2-'THAM_SO_MOI'!$C$25*(E41/'THAM_SO_MOI'!$C$22)^3)</f>
        <v>31.305533044779747</v>
      </c>
      <c r="K41" s="75">
        <f>'THAM_SO_MOI'!$C$31*J41/E41</f>
        <v>347.3967932132303</v>
      </c>
      <c r="L41" s="75">
        <f>K41*'THAM_SO_MOI'!$C$53*'THAM_SO_MOI'!$C$17/'THAM_SO_MOI'!$C$26</f>
        <v>3046.6712358327586</v>
      </c>
      <c r="M41" s="75">
        <f>'THAM_SO_MOI'!$C$15*'THAM_SO_MOI'!$C$16*F41^2</f>
        <v>223.21255351262027</v>
      </c>
      <c r="N41" s="75">
        <f>'THAM_SO_MOI'!$C$12*I41</f>
        <v>1130.112</v>
      </c>
      <c r="O41" s="75">
        <f>M41+N41</f>
        <v>1353.3245535126202</v>
      </c>
      <c r="P41" s="75">
        <f>(MIN(L41,'THAM_SO_MOI'!$C$41)-O41)/('THAM_SO_MOI'!$C$11*H41)</f>
        <v>0.2004434993276679</v>
      </c>
      <c r="Q41" s="75">
        <f>IF(P41&gt;0,1/P41,NA())</f>
        <v>4.988937048865254</v>
      </c>
      <c r="R41" s="75">
        <f>F41-F40</f>
        <v>0.017600427350426884</v>
      </c>
      <c r="S41" s="75">
        <f>0.5*(Q40+Q41)*R41</f>
        <v>0.08783413466845827</v>
      </c>
      <c r="T41" s="75">
        <f>0.5*(F40*Q40+F41*Q41)*R41</f>
        <v>0.76651709124618</v>
      </c>
      <c r="U41" s="76">
        <f>U40+S41</f>
        <v>3.1080354419058485</v>
      </c>
      <c r="V41" s="76">
        <f>V40+T41</f>
        <v>26.18979504955291</v>
      </c>
    </row>
    <row r="42" spans="1:22" ht="19" customHeight="1">
      <c r="A42" s="68" t="s">
        <v>362</v>
      </c>
      <c r="B42" s="74">
        <v>5</v>
      </c>
      <c r="C42" s="68" t="s">
        <v>363</v>
      </c>
      <c r="D42" s="68" t="s">
        <v>364</v>
      </c>
      <c r="E42" s="75">
        <f>60*F42*'THAM_SO_MOI'!$C$53/(2*PI()*'THAM_SO_MOI'!$C$26)</f>
        <v>862.4277894736841</v>
      </c>
      <c r="F42" s="75">
        <f>'THAM_SO_MOI'!$E$53+('THAM_SO_MOI'!$C$14-'THAM_SO_MOI'!$E$53)*36/'THAM_SO_MOI'!$C$42</f>
        <v>8.753273504273505</v>
      </c>
      <c r="G42" s="75">
        <f>3.6*F42</f>
        <v>31.511784615384617</v>
      </c>
      <c r="H42" s="75">
        <f>'THAM_SO_MOI'!$D$53</f>
        <v>1.1</v>
      </c>
      <c r="I42" s="75">
        <f>IF(F42&gt;'THAM_SO_MOI'!$C$14,'THAM_SO_MOI'!$C$13*(1+F42^2/1500),'THAM_SO_MOI'!$C$13)</f>
        <v>0.015</v>
      </c>
      <c r="J42" s="75">
        <f>'THAM_SO_MOI'!$C$40*('THAM_SO_MOI'!$C$23*(E42/'THAM_SO_MOI'!$C$22)+'THAM_SO_MOI'!$C$24*(E42/'THAM_SO_MOI'!$C$22)^2-'THAM_SO_MOI'!$C$25*(E42/'THAM_SO_MOI'!$C$22)^3)</f>
        <v>31.388432422187275</v>
      </c>
      <c r="K42" s="75">
        <f>'THAM_SO_MOI'!$C$31*J42/E42</f>
        <v>347.6163565247914</v>
      </c>
      <c r="L42" s="75">
        <f>K42*'THAM_SO_MOI'!$C$53*'THAM_SO_MOI'!$C$17/'THAM_SO_MOI'!$C$26</f>
        <v>3048.5968069342935</v>
      </c>
      <c r="M42" s="75">
        <f>'THAM_SO_MOI'!$C$15*'THAM_SO_MOI'!$C$16*F42^2</f>
        <v>224.11290634380347</v>
      </c>
      <c r="N42" s="75">
        <f>'THAM_SO_MOI'!$C$12*I42</f>
        <v>1130.112</v>
      </c>
      <c r="O42" s="75">
        <f>M42+N42</f>
        <v>1354.2249063438035</v>
      </c>
      <c r="P42" s="75">
        <f>(MIN(L42,'THAM_SO_MOI'!$C$41)-O42)/('THAM_SO_MOI'!$C$11*H42)</f>
        <v>0.20056485565701823</v>
      </c>
      <c r="Q42" s="75">
        <f>IF(P42&gt;0,1/P42,NA())</f>
        <v>4.985918378990979</v>
      </c>
      <c r="R42" s="75">
        <f>F42-F41</f>
        <v>0.017600427350426884</v>
      </c>
      <c r="S42" s="75">
        <f>0.5*(Q41+Q42)*R42</f>
        <v>0.08778085914449746</v>
      </c>
      <c r="T42" s="75">
        <f>0.5*(F41*Q41+F42*Q42)*R42</f>
        <v>0.7675971444376811</v>
      </c>
      <c r="U42" s="76">
        <f>U41+S42</f>
        <v>3.1958163010503458</v>
      </c>
      <c r="V42" s="76">
        <f>V41+T42</f>
        <v>26.95739219399059</v>
      </c>
    </row>
    <row r="43" spans="1:22" ht="19" customHeight="1">
      <c r="A43" s="68" t="s">
        <v>362</v>
      </c>
      <c r="B43" s="74">
        <v>5</v>
      </c>
      <c r="C43" s="68" t="s">
        <v>363</v>
      </c>
      <c r="D43" s="68" t="s">
        <v>364</v>
      </c>
      <c r="E43" s="75">
        <f>60*F43*'THAM_SO_MOI'!$C$53/(2*PI()*'THAM_SO_MOI'!$C$26)</f>
        <v>864.1618947368421</v>
      </c>
      <c r="F43" s="75">
        <f>'THAM_SO_MOI'!$E$53+('THAM_SO_MOI'!$C$14-'THAM_SO_MOI'!$E$53)*37/'THAM_SO_MOI'!$C$42</f>
        <v>8.770873931623933</v>
      </c>
      <c r="G43" s="75">
        <f>3.6*F43</f>
        <v>31.575146153846163</v>
      </c>
      <c r="H43" s="75">
        <f>'THAM_SO_MOI'!$D$53</f>
        <v>1.1</v>
      </c>
      <c r="I43" s="75">
        <f>IF(F43&gt;'THAM_SO_MOI'!$C$14,'THAM_SO_MOI'!$C$13*(1+F43^2/1500),'THAM_SO_MOI'!$C$13)</f>
        <v>0.015</v>
      </c>
      <c r="J43" s="75">
        <f>'THAM_SO_MOI'!$C$40*('THAM_SO_MOI'!$C$23*(E43/'THAM_SO_MOI'!$C$22)+'THAM_SO_MOI'!$C$24*(E43/'THAM_SO_MOI'!$C$22)^2-'THAM_SO_MOI'!$C$25*(E43/'THAM_SO_MOI'!$C$22)^3)</f>
        <v>31.471385132201995</v>
      </c>
      <c r="K43" s="75">
        <f>'THAM_SO_MOI'!$C$31*J43/E43</f>
        <v>347.83562810072755</v>
      </c>
      <c r="L43" s="75">
        <f>K43*'THAM_SO_MOI'!$C$53*'THAM_SO_MOI'!$C$17/'THAM_SO_MOI'!$C$26</f>
        <v>3050.519819513257</v>
      </c>
      <c r="M43" s="75">
        <f>'THAM_SO_MOI'!$C$15*'THAM_SO_MOI'!$C$16*F43^2</f>
        <v>225.01507135898783</v>
      </c>
      <c r="N43" s="75">
        <f>'THAM_SO_MOI'!$C$12*I43</f>
        <v>1130.112</v>
      </c>
      <c r="O43" s="75">
        <f>M43+N43</f>
        <v>1355.127071358988</v>
      </c>
      <c r="P43" s="75">
        <f>(MIN(L43,'THAM_SO_MOI'!$C$41)-O43)/('THAM_SO_MOI'!$C$11*H43)</f>
        <v>0.20068569462053376</v>
      </c>
      <c r="Q43" s="75">
        <f>IF(P43&gt;0,1/P43,NA())</f>
        <v>4.982916205815509</v>
      </c>
      <c r="R43" s="75">
        <f>F43-F42</f>
        <v>0.01760042735042866</v>
      </c>
      <c r="S43" s="75">
        <f>0.5*(Q42+Q43)*R43</f>
        <v>0.08772787443916362</v>
      </c>
      <c r="T43" s="75">
        <f>0.5*(F42*Q42+F43*Q43)*R43</f>
        <v>0.7686778704553197</v>
      </c>
      <c r="U43" s="76">
        <f>U42+S43</f>
        <v>3.283544175489509</v>
      </c>
      <c r="V43" s="76">
        <f>V42+T43</f>
        <v>27.72607006444591</v>
      </c>
    </row>
    <row r="44" spans="1:22" ht="19" customHeight="1">
      <c r="A44" s="68" t="s">
        <v>362</v>
      </c>
      <c r="B44" s="74">
        <v>5</v>
      </c>
      <c r="C44" s="68" t="s">
        <v>363</v>
      </c>
      <c r="D44" s="68" t="s">
        <v>364</v>
      </c>
      <c r="E44" s="75">
        <f>60*F44*'THAM_SO_MOI'!$C$53/(2*PI()*'THAM_SO_MOI'!$C$26)</f>
        <v>865.8960000000001</v>
      </c>
      <c r="F44" s="75">
        <f>'THAM_SO_MOI'!$E$53+('THAM_SO_MOI'!$C$14-'THAM_SO_MOI'!$E$53)*38/'THAM_SO_MOI'!$C$42</f>
        <v>8.78847435897436</v>
      </c>
      <c r="G44" s="75">
        <f>3.6*F44</f>
        <v>31.638507692307698</v>
      </c>
      <c r="H44" s="75">
        <f>'THAM_SO_MOI'!$D$53</f>
        <v>1.1</v>
      </c>
      <c r="I44" s="75">
        <f>IF(F44&gt;'THAM_SO_MOI'!$C$14,'THAM_SO_MOI'!$C$13*(1+F44^2/1500),'THAM_SO_MOI'!$C$13)</f>
        <v>0.015</v>
      </c>
      <c r="J44" s="75">
        <f>'THAM_SO_MOI'!$C$40*('THAM_SO_MOI'!$C$23*(E44/'THAM_SO_MOI'!$C$22)+'THAM_SO_MOI'!$C$24*(E44/'THAM_SO_MOI'!$C$22)^2-'THAM_SO_MOI'!$C$25*(E44/'THAM_SO_MOI'!$C$22)^3)</f>
        <v>31.55439101592062</v>
      </c>
      <c r="K44" s="75">
        <f>'THAM_SO_MOI'!$C$31*J44/E44</f>
        <v>348.05460794103874</v>
      </c>
      <c r="L44" s="75">
        <f>K44*'THAM_SO_MOI'!$C$53*'THAM_SO_MOI'!$C$17/'THAM_SO_MOI'!$C$26</f>
        <v>3052.4402735696467</v>
      </c>
      <c r="M44" s="75">
        <f>'THAM_SO_MOI'!$C$15*'THAM_SO_MOI'!$C$16*F44^2</f>
        <v>225.91904855817316</v>
      </c>
      <c r="N44" s="75">
        <f>'THAM_SO_MOI'!$C$12*I44</f>
        <v>1130.112</v>
      </c>
      <c r="O44" s="75">
        <f>M44+N44</f>
        <v>1356.0310485581733</v>
      </c>
      <c r="P44" s="75">
        <f>(MIN(L44,'THAM_SO_MOI'!$C$41)-O44)/('THAM_SO_MOI'!$C$11*H44)</f>
        <v>0.2008060162182142</v>
      </c>
      <c r="Q44" s="75">
        <f>IF(P44&gt;0,1/P44,NA())</f>
        <v>4.979930476352404</v>
      </c>
      <c r="R44" s="75">
        <f>F44-F43</f>
        <v>0.017600427350426884</v>
      </c>
      <c r="S44" s="75">
        <f>0.5*(Q43+Q44)*R44</f>
        <v>0.08767517961646895</v>
      </c>
      <c r="T44" s="75">
        <f>0.5*(F43*Q43+F44*Q44)*R44</f>
        <v>0.769759276437053</v>
      </c>
      <c r="U44" s="76">
        <f>U43+S44</f>
        <v>3.371219355105978</v>
      </c>
      <c r="V44" s="76">
        <f>V43+T44</f>
        <v>28.495829340882963</v>
      </c>
    </row>
    <row r="45" spans="1:22" ht="19" customHeight="1">
      <c r="A45" s="68" t="s">
        <v>362</v>
      </c>
      <c r="B45" s="74">
        <v>5</v>
      </c>
      <c r="C45" s="68" t="s">
        <v>363</v>
      </c>
      <c r="D45" s="68" t="s">
        <v>364</v>
      </c>
      <c r="E45" s="75">
        <f>60*F45*'THAM_SO_MOI'!$C$53/(2*PI()*'THAM_SO_MOI'!$C$26)</f>
        <v>867.6301052631578</v>
      </c>
      <c r="F45" s="75">
        <f>'THAM_SO_MOI'!$E$53+('THAM_SO_MOI'!$C$14-'THAM_SO_MOI'!$E$53)*39/'THAM_SO_MOI'!$C$42</f>
        <v>8.806074786324787</v>
      </c>
      <c r="G45" s="75">
        <f>3.6*F45</f>
        <v>31.701869230769233</v>
      </c>
      <c r="H45" s="75">
        <f>'THAM_SO_MOI'!$D$53</f>
        <v>1.1</v>
      </c>
      <c r="I45" s="75">
        <f>IF(F45&gt;'THAM_SO_MOI'!$C$14,'THAM_SO_MOI'!$C$13*(1+F45^2/1500),'THAM_SO_MOI'!$C$13)</f>
        <v>0.015</v>
      </c>
      <c r="J45" s="75">
        <f>'THAM_SO_MOI'!$C$40*('THAM_SO_MOI'!$C$23*(E45/'THAM_SO_MOI'!$C$22)+'THAM_SO_MOI'!$C$24*(E45/'THAM_SO_MOI'!$C$22)^2-'THAM_SO_MOI'!$C$25*(E45/'THAM_SO_MOI'!$C$22)^3)</f>
        <v>31.637449914439863</v>
      </c>
      <c r="K45" s="75">
        <f>'THAM_SO_MOI'!$C$31*J45/E45</f>
        <v>348.2732960457249</v>
      </c>
      <c r="L45" s="75">
        <f>K45*'THAM_SO_MOI'!$C$53*'THAM_SO_MOI'!$C$17/'THAM_SO_MOI'!$C$26</f>
        <v>3054.358169103464</v>
      </c>
      <c r="M45" s="75">
        <f>'THAM_SO_MOI'!$C$15*'THAM_SO_MOI'!$C$16*F45^2</f>
        <v>226.82483794135956</v>
      </c>
      <c r="N45" s="75">
        <f>'THAM_SO_MOI'!$C$12*I45</f>
        <v>1130.112</v>
      </c>
      <c r="O45" s="75">
        <f>M45+N45</f>
        <v>1356.9368379413597</v>
      </c>
      <c r="P45" s="75">
        <f>(MIN(L45,'THAM_SO_MOI'!$C$41)-O45)/('THAM_SO_MOI'!$C$11*H45)</f>
        <v>0.20092582045005974</v>
      </c>
      <c r="Q45" s="75">
        <f>IF(P45&gt;0,1/P45,NA())</f>
        <v>4.976961137996451</v>
      </c>
      <c r="R45" s="75">
        <f>F45-F44</f>
        <v>0.017600427350426884</v>
      </c>
      <c r="S45" s="75">
        <f>0.5*(Q44+Q45)*R45</f>
        <v>0.08762277374721084</v>
      </c>
      <c r="T45" s="75">
        <f>0.5*(F44*Q44+F45*Q45)*R45</f>
        <v>0.7708413695146353</v>
      </c>
      <c r="U45" s="76">
        <f>U44+S45</f>
        <v>3.4588421288531888</v>
      </c>
      <c r="V45" s="76">
        <f>V44+T45</f>
        <v>29.266670710397598</v>
      </c>
    </row>
    <row r="46" spans="1:22" ht="19" customHeight="1">
      <c r="A46" s="68" t="s">
        <v>362</v>
      </c>
      <c r="B46" s="74">
        <v>5</v>
      </c>
      <c r="C46" s="68" t="s">
        <v>363</v>
      </c>
      <c r="D46" s="68" t="s">
        <v>364</v>
      </c>
      <c r="E46" s="75">
        <f>60*F46*'THAM_SO_MOI'!$C$53/(2*PI()*'THAM_SO_MOI'!$C$26)</f>
        <v>869.3642105263158</v>
      </c>
      <c r="F46" s="75">
        <f>'THAM_SO_MOI'!$E$53+('THAM_SO_MOI'!$C$14-'THAM_SO_MOI'!$E$53)*40/'THAM_SO_MOI'!$C$42</f>
        <v>8.823675213675216</v>
      </c>
      <c r="G46" s="75">
        <f>3.6*F46</f>
        <v>31.76523076923078</v>
      </c>
      <c r="H46" s="75">
        <f>'THAM_SO_MOI'!$D$53</f>
        <v>1.1</v>
      </c>
      <c r="I46" s="75">
        <f>IF(F46&gt;'THAM_SO_MOI'!$C$14,'THAM_SO_MOI'!$C$13*(1+F46^2/1500),'THAM_SO_MOI'!$C$13)</f>
        <v>0.015</v>
      </c>
      <c r="J46" s="75">
        <f>'THAM_SO_MOI'!$C$40*('THAM_SO_MOI'!$C$23*(E46/'THAM_SO_MOI'!$C$22)+'THAM_SO_MOI'!$C$24*(E46/'THAM_SO_MOI'!$C$22)^2-'THAM_SO_MOI'!$C$25*(E46/'THAM_SO_MOI'!$C$22)^3)</f>
        <v>31.720561668856444</v>
      </c>
      <c r="K46" s="75">
        <f>'THAM_SO_MOI'!$C$31*J46/E46</f>
        <v>348.4916924147858</v>
      </c>
      <c r="L46" s="75">
        <f>K46*'THAM_SO_MOI'!$C$53*'THAM_SO_MOI'!$C$17/'THAM_SO_MOI'!$C$26</f>
        <v>3056.2735061147064</v>
      </c>
      <c r="M46" s="75">
        <f>'THAM_SO_MOI'!$C$15*'THAM_SO_MOI'!$C$16*F46^2</f>
        <v>227.73243950854715</v>
      </c>
      <c r="N46" s="75">
        <f>'THAM_SO_MOI'!$C$12*I46</f>
        <v>1130.112</v>
      </c>
      <c r="O46" s="75">
        <f>M46+N46</f>
        <v>1357.844439508547</v>
      </c>
      <c r="P46" s="75">
        <f>(MIN(L46,'THAM_SO_MOI'!$C$41)-O46)/('THAM_SO_MOI'!$C$11*H46)</f>
        <v>0.20104510731606998</v>
      </c>
      <c r="Q46" s="75">
        <f>IF(P46&gt;0,1/P46,NA())</f>
        <v>4.974008138521199</v>
      </c>
      <c r="R46" s="75">
        <f>F46-F45</f>
        <v>0.01760042735042866</v>
      </c>
      <c r="S46" s="75">
        <f>0.5*(Q45+Q46)*R46</f>
        <v>0.08757065590884827</v>
      </c>
      <c r="T46" s="75">
        <f>0.5*(F45*Q45+F46*Q46)*R46</f>
        <v>0.7719241568131242</v>
      </c>
      <c r="U46" s="76">
        <f>U45+S46</f>
        <v>3.546412784762037</v>
      </c>
      <c r="V46" s="76">
        <f>V45+T46</f>
        <v>30.038594867210723</v>
      </c>
    </row>
    <row r="47" spans="1:22" ht="19" customHeight="1">
      <c r="A47" s="68" t="s">
        <v>362</v>
      </c>
      <c r="B47" s="74">
        <v>5</v>
      </c>
      <c r="C47" s="68" t="s">
        <v>363</v>
      </c>
      <c r="D47" s="68" t="s">
        <v>364</v>
      </c>
      <c r="E47" s="75">
        <f>60*F47*'THAM_SO_MOI'!$C$53/(2*PI()*'THAM_SO_MOI'!$C$26)</f>
        <v>871.0983157894736</v>
      </c>
      <c r="F47" s="75">
        <f>'THAM_SO_MOI'!$E$53+('THAM_SO_MOI'!$C$14-'THAM_SO_MOI'!$E$53)*41/'THAM_SO_MOI'!$C$42</f>
        <v>8.841275641025643</v>
      </c>
      <c r="G47" s="75">
        <f>3.6*F47</f>
        <v>31.828592307692315</v>
      </c>
      <c r="H47" s="75">
        <f>'THAM_SO_MOI'!$D$53</f>
        <v>1.1</v>
      </c>
      <c r="I47" s="75">
        <f>IF(F47&gt;'THAM_SO_MOI'!$C$14,'THAM_SO_MOI'!$C$13*(1+F47^2/1500),'THAM_SO_MOI'!$C$13)</f>
        <v>0.015</v>
      </c>
      <c r="J47" s="75">
        <f>'THAM_SO_MOI'!$C$40*('THAM_SO_MOI'!$C$23*(E47/'THAM_SO_MOI'!$C$22)+'THAM_SO_MOI'!$C$24*(E47/'THAM_SO_MOI'!$C$22)^2-'THAM_SO_MOI'!$C$25*(E47/'THAM_SO_MOI'!$C$22)^3)</f>
        <v>31.8037261202671</v>
      </c>
      <c r="K47" s="75">
        <f>'THAM_SO_MOI'!$C$31*J47/E47</f>
        <v>348.7097970482219</v>
      </c>
      <c r="L47" s="75">
        <f>K47*'THAM_SO_MOI'!$C$53*'THAM_SO_MOI'!$C$17/'THAM_SO_MOI'!$C$26</f>
        <v>3058.1862846033778</v>
      </c>
      <c r="M47" s="75">
        <f>'THAM_SO_MOI'!$C$15*'THAM_SO_MOI'!$C$16*F47^2</f>
        <v>228.64185325973568</v>
      </c>
      <c r="N47" s="75">
        <f>'THAM_SO_MOI'!$C$12*I47</f>
        <v>1130.112</v>
      </c>
      <c r="O47" s="75">
        <f>M47+N47</f>
        <v>1358.7538532597357</v>
      </c>
      <c r="P47" s="75">
        <f>(MIN(L47,'THAM_SO_MOI'!$C$41)-O47)/('THAM_SO_MOI'!$C$11*H47)</f>
        <v>0.20116387681624548</v>
      </c>
      <c r="Q47" s="75">
        <f>IF(P47&gt;0,1/P47,NA())</f>
        <v>4.971071426076446</v>
      </c>
      <c r="R47" s="75">
        <f>F47-F46</f>
        <v>0.017600427350426884</v>
      </c>
      <c r="S47" s="75">
        <f>0.5*(Q46+Q47)*R47</f>
        <v>0.08751882518545794</v>
      </c>
      <c r="T47" s="75">
        <f>0.5*(F46*Q46+F47*Q47)*R47</f>
        <v>0.7730076454510793</v>
      </c>
      <c r="U47" s="76">
        <f>U46+S47</f>
        <v>3.6339316099474948</v>
      </c>
      <c r="V47" s="76">
        <f>V46+T47</f>
        <v>30.811602512661803</v>
      </c>
    </row>
    <row r="48" spans="1:22" ht="19" customHeight="1">
      <c r="A48" s="68" t="s">
        <v>362</v>
      </c>
      <c r="B48" s="74">
        <v>5</v>
      </c>
      <c r="C48" s="68" t="s">
        <v>363</v>
      </c>
      <c r="D48" s="68" t="s">
        <v>364</v>
      </c>
      <c r="E48" s="75">
        <f>60*F48*'THAM_SO_MOI'!$C$53/(2*PI()*'THAM_SO_MOI'!$C$26)</f>
        <v>872.8324210526314</v>
      </c>
      <c r="F48" s="75">
        <f>'THAM_SO_MOI'!$E$53+('THAM_SO_MOI'!$C$14-'THAM_SO_MOI'!$E$53)*42/'THAM_SO_MOI'!$C$42</f>
        <v>8.85887606837607</v>
      </c>
      <c r="G48" s="75">
        <f>3.6*F48</f>
        <v>31.89195384615385</v>
      </c>
      <c r="H48" s="75">
        <f>'THAM_SO_MOI'!$D$53</f>
        <v>1.1</v>
      </c>
      <c r="I48" s="75">
        <f>IF(F48&gt;'THAM_SO_MOI'!$C$14,'THAM_SO_MOI'!$C$13*(1+F48^2/1500),'THAM_SO_MOI'!$C$13)</f>
        <v>0.015</v>
      </c>
      <c r="J48" s="75">
        <f>'THAM_SO_MOI'!$C$40*('THAM_SO_MOI'!$C$23*(E48/'THAM_SO_MOI'!$C$22)+'THAM_SO_MOI'!$C$24*(E48/'THAM_SO_MOI'!$C$22)^2-'THAM_SO_MOI'!$C$25*(E48/'THAM_SO_MOI'!$C$22)^3)</f>
        <v>31.886943109768534</v>
      </c>
      <c r="K48" s="75">
        <f>'THAM_SO_MOI'!$C$31*J48/E48</f>
        <v>348.9276099460329</v>
      </c>
      <c r="L48" s="75">
        <f>K48*'THAM_SO_MOI'!$C$53*'THAM_SO_MOI'!$C$17/'THAM_SO_MOI'!$C$26</f>
        <v>3060.096504569475</v>
      </c>
      <c r="M48" s="75">
        <f>'THAM_SO_MOI'!$C$15*'THAM_SO_MOI'!$C$16*F48^2</f>
        <v>229.5530791949253</v>
      </c>
      <c r="N48" s="75">
        <f>'THAM_SO_MOI'!$C$12*I48</f>
        <v>1130.112</v>
      </c>
      <c r="O48" s="75">
        <f>M48+N48</f>
        <v>1359.6650791949253</v>
      </c>
      <c r="P48" s="75">
        <f>(MIN(L48,'THAM_SO_MOI'!$C$41)-O48)/('THAM_SO_MOI'!$C$11*H48)</f>
        <v>0.2012821289505859</v>
      </c>
      <c r="Q48" s="75">
        <f>IF(P48&gt;0,1/P48,NA())</f>
        <v>4.968150949185841</v>
      </c>
      <c r="R48" s="75">
        <f>F48-F47</f>
        <v>0.017600427350426884</v>
      </c>
      <c r="S48" s="75">
        <f>0.5*(Q47+Q48)*R48</f>
        <v>0.0874672806677706</v>
      </c>
      <c r="T48" s="75">
        <f>0.5*(F47*Q47+F48*Q48)*R48</f>
        <v>0.7740918425414661</v>
      </c>
      <c r="U48" s="76">
        <f>U47+S48</f>
        <v>3.7213988906152653</v>
      </c>
      <c r="V48" s="76">
        <f>V47+T48</f>
        <v>31.58569435520327</v>
      </c>
    </row>
    <row r="49" spans="1:22" ht="19" customHeight="1">
      <c r="A49" s="68" t="s">
        <v>362</v>
      </c>
      <c r="B49" s="74">
        <v>5</v>
      </c>
      <c r="C49" s="68" t="s">
        <v>363</v>
      </c>
      <c r="D49" s="68" t="s">
        <v>364</v>
      </c>
      <c r="E49" s="75">
        <f>60*F49*'THAM_SO_MOI'!$C$53/(2*PI()*'THAM_SO_MOI'!$C$26)</f>
        <v>874.5665263157892</v>
      </c>
      <c r="F49" s="75">
        <f>'THAM_SO_MOI'!$E$53+('THAM_SO_MOI'!$C$14-'THAM_SO_MOI'!$E$53)*43/'THAM_SO_MOI'!$C$42</f>
        <v>8.876476495726497</v>
      </c>
      <c r="G49" s="75">
        <f>3.6*F49</f>
        <v>31.95531538461539</v>
      </c>
      <c r="H49" s="75">
        <f>'THAM_SO_MOI'!$D$53</f>
        <v>1.1</v>
      </c>
      <c r="I49" s="75">
        <f>IF(F49&gt;'THAM_SO_MOI'!$C$14,'THAM_SO_MOI'!$C$13*(1+F49^2/1500),'THAM_SO_MOI'!$C$13)</f>
        <v>0.015</v>
      </c>
      <c r="J49" s="75">
        <f>'THAM_SO_MOI'!$C$40*('THAM_SO_MOI'!$C$23*(E49/'THAM_SO_MOI'!$C$22)+'THAM_SO_MOI'!$C$24*(E49/'THAM_SO_MOI'!$C$22)^2-'THAM_SO_MOI'!$C$25*(E49/'THAM_SO_MOI'!$C$22)^3)</f>
        <v>31.970212478457476</v>
      </c>
      <c r="K49" s="75">
        <f>'THAM_SO_MOI'!$C$31*J49/E49</f>
        <v>349.1451311082188</v>
      </c>
      <c r="L49" s="75">
        <f>K49*'THAM_SO_MOI'!$C$53*'THAM_SO_MOI'!$C$17/'THAM_SO_MOI'!$C$26</f>
        <v>3062.004166012998</v>
      </c>
      <c r="M49" s="75">
        <f>'THAM_SO_MOI'!$C$15*'THAM_SO_MOI'!$C$16*F49^2</f>
        <v>230.466117314116</v>
      </c>
      <c r="N49" s="75">
        <f>'THAM_SO_MOI'!$C$12*I49</f>
        <v>1130.112</v>
      </c>
      <c r="O49" s="75">
        <f>M49+N49</f>
        <v>1360.578117314116</v>
      </c>
      <c r="P49" s="75">
        <f>(MIN(L49,'THAM_SO_MOI'!$C$41)-O49)/('THAM_SO_MOI'!$C$11*H49)</f>
        <v>0.2013998637190912</v>
      </c>
      <c r="Q49" s="75">
        <f>IF(P49&gt;0,1/P49,NA())</f>
        <v>4.965246656744423</v>
      </c>
      <c r="R49" s="75">
        <f>F49-F48</f>
        <v>0.017600427350426884</v>
      </c>
      <c r="S49" s="75">
        <f>0.5*(Q48+Q49)*R49</f>
        <v>0.08741602145303996</v>
      </c>
      <c r="T49" s="75">
        <f>0.5*(F48*Q48+F49*Q49)*R49</f>
        <v>0.7751767551910799</v>
      </c>
      <c r="U49" s="76">
        <f>U48+S49</f>
        <v>3.8088149120683052</v>
      </c>
      <c r="V49" s="76">
        <f>V48+T49</f>
        <v>32.36087111039435</v>
      </c>
    </row>
    <row r="50" spans="1:22" ht="19" customHeight="1">
      <c r="A50" s="68" t="s">
        <v>362</v>
      </c>
      <c r="B50" s="74">
        <v>5</v>
      </c>
      <c r="C50" s="68" t="s">
        <v>363</v>
      </c>
      <c r="D50" s="68" t="s">
        <v>364</v>
      </c>
      <c r="E50" s="75">
        <f>60*F50*'THAM_SO_MOI'!$C$53/(2*PI()*'THAM_SO_MOI'!$C$26)</f>
        <v>876.3006315789473</v>
      </c>
      <c r="F50" s="75">
        <f>'THAM_SO_MOI'!$E$53+('THAM_SO_MOI'!$C$14-'THAM_SO_MOI'!$E$53)*44/'THAM_SO_MOI'!$C$42</f>
        <v>8.894076923076923</v>
      </c>
      <c r="G50" s="75">
        <f>3.6*F50</f>
        <v>32.018676923076924</v>
      </c>
      <c r="H50" s="75">
        <f>'THAM_SO_MOI'!$D$53</f>
        <v>1.1</v>
      </c>
      <c r="I50" s="75">
        <f>IF(F50&gt;'THAM_SO_MOI'!$C$14,'THAM_SO_MOI'!$C$13*(1+F50^2/1500),'THAM_SO_MOI'!$C$13)</f>
        <v>0.015</v>
      </c>
      <c r="J50" s="75">
        <f>'THAM_SO_MOI'!$C$40*('THAM_SO_MOI'!$C$23*(E50/'THAM_SO_MOI'!$C$22)+'THAM_SO_MOI'!$C$24*(E50/'THAM_SO_MOI'!$C$22)^2-'THAM_SO_MOI'!$C$25*(E50/'THAM_SO_MOI'!$C$22)^3)</f>
        <v>32.05353406743067</v>
      </c>
      <c r="K50" s="75">
        <f>'THAM_SO_MOI'!$C$31*J50/E50</f>
        <v>349.3623605347797</v>
      </c>
      <c r="L50" s="75">
        <f>K50*'THAM_SO_MOI'!$C$53*'THAM_SO_MOI'!$C$17/'THAM_SO_MOI'!$C$26</f>
        <v>3063.90926893395</v>
      </c>
      <c r="M50" s="75">
        <f>'THAM_SO_MOI'!$C$15*'THAM_SO_MOI'!$C$16*F50^2</f>
        <v>231.38096761730773</v>
      </c>
      <c r="N50" s="75">
        <f>'THAM_SO_MOI'!$C$12*I50</f>
        <v>1130.112</v>
      </c>
      <c r="O50" s="75">
        <f>M50+N50</f>
        <v>1361.4929676173078</v>
      </c>
      <c r="P50" s="75">
        <f>(MIN(L50,'THAM_SO_MOI'!$C$41)-O50)/('THAM_SO_MOI'!$C$11*H50)</f>
        <v>0.20151708112176162</v>
      </c>
      <c r="Q50" s="75">
        <f>IF(P50&gt;0,1/P50,NA())</f>
        <v>4.962358498016231</v>
      </c>
      <c r="R50" s="75">
        <f>F50-F49</f>
        <v>0.017600427350426884</v>
      </c>
      <c r="S50" s="75">
        <f>0.5*(Q49+Q50)*R50</f>
        <v>0.08736504664504416</v>
      </c>
      <c r="T50" s="75">
        <f>0.5*(F49*Q49+F50*Q50)*R50</f>
        <v>0.7762623905011314</v>
      </c>
      <c r="U50" s="76">
        <f>U49+S50</f>
        <v>3.896179958713349</v>
      </c>
      <c r="V50" s="76">
        <f>V49+T50</f>
        <v>33.13713350089548</v>
      </c>
    </row>
    <row r="51" spans="1:22" ht="19" customHeight="1">
      <c r="A51" s="68" t="s">
        <v>362</v>
      </c>
      <c r="B51" s="74">
        <v>5</v>
      </c>
      <c r="C51" s="68" t="s">
        <v>363</v>
      </c>
      <c r="D51" s="68" t="s">
        <v>364</v>
      </c>
      <c r="E51" s="75">
        <f>60*F51*'THAM_SO_MOI'!$C$53/(2*PI()*'THAM_SO_MOI'!$C$26)</f>
        <v>878.0347368421053</v>
      </c>
      <c r="F51" s="75">
        <f>'THAM_SO_MOI'!$E$53+('THAM_SO_MOI'!$C$14-'THAM_SO_MOI'!$E$53)*45/'THAM_SO_MOI'!$C$42</f>
        <v>8.911677350427352</v>
      </c>
      <c r="G51" s="75">
        <f>3.6*F51</f>
        <v>32.08203846153847</v>
      </c>
      <c r="H51" s="75">
        <f>'THAM_SO_MOI'!$D$53</f>
        <v>1.1</v>
      </c>
      <c r="I51" s="75">
        <f>IF(F51&gt;'THAM_SO_MOI'!$C$14,'THAM_SO_MOI'!$C$13*(1+F51^2/1500),'THAM_SO_MOI'!$C$13)</f>
        <v>0.015</v>
      </c>
      <c r="J51" s="75">
        <f>'THAM_SO_MOI'!$C$40*('THAM_SO_MOI'!$C$23*(E51/'THAM_SO_MOI'!$C$22)+'THAM_SO_MOI'!$C$24*(E51/'THAM_SO_MOI'!$C$22)^2-'THAM_SO_MOI'!$C$25*(E51/'THAM_SO_MOI'!$C$22)^3)</f>
        <v>32.1369077177848</v>
      </c>
      <c r="K51" s="75">
        <f>'THAM_SO_MOI'!$C$31*J51/E51</f>
        <v>349.5792982257156</v>
      </c>
      <c r="L51" s="75">
        <f>K51*'THAM_SO_MOI'!$C$53*'THAM_SO_MOI'!$C$17/'THAM_SO_MOI'!$C$26</f>
        <v>3065.8118133323283</v>
      </c>
      <c r="M51" s="75">
        <f>'THAM_SO_MOI'!$C$15*'THAM_SO_MOI'!$C$16*F51^2</f>
        <v>232.29763010450066</v>
      </c>
      <c r="N51" s="75">
        <f>'THAM_SO_MOI'!$C$12*I51</f>
        <v>1130.112</v>
      </c>
      <c r="O51" s="75">
        <f>M51+N51</f>
        <v>1362.4096301045008</v>
      </c>
      <c r="P51" s="75">
        <f>(MIN(L51,'THAM_SO_MOI'!$C$41)-O51)/('THAM_SO_MOI'!$C$11*H51)</f>
        <v>0.20163378115859704</v>
      </c>
      <c r="Q51" s="75">
        <f>IF(P51&gt;0,1/P51,NA())</f>
        <v>4.95948642263193</v>
      </c>
      <c r="R51" s="75">
        <f>F51-F50</f>
        <v>0.01760042735042866</v>
      </c>
      <c r="S51" s="75">
        <f>0.5*(Q50+Q51)*R51</f>
        <v>0.08731435535404379</v>
      </c>
      <c r="T51" s="75">
        <f>0.5*(F50*Q50+F51*Q51)*R51</f>
        <v>0.7773487555674492</v>
      </c>
      <c r="U51" s="76">
        <f>U50+S51</f>
        <v>3.983494314067393</v>
      </c>
      <c r="V51" s="76">
        <f>V50+T51</f>
        <v>33.91448225646293</v>
      </c>
    </row>
    <row r="52" spans="1:22" ht="19" customHeight="1">
      <c r="A52" s="68" t="s">
        <v>362</v>
      </c>
      <c r="B52" s="74">
        <v>5</v>
      </c>
      <c r="C52" s="68" t="s">
        <v>363</v>
      </c>
      <c r="D52" s="68" t="s">
        <v>364</v>
      </c>
      <c r="E52" s="75">
        <f>60*F52*'THAM_SO_MOI'!$C$53/(2*PI()*'THAM_SO_MOI'!$C$26)</f>
        <v>879.7688421052632</v>
      </c>
      <c r="F52" s="75">
        <f>'THAM_SO_MOI'!$E$53+('THAM_SO_MOI'!$C$14-'THAM_SO_MOI'!$E$53)*46/'THAM_SO_MOI'!$C$42</f>
        <v>8.929277777777779</v>
      </c>
      <c r="G52" s="75">
        <f>3.6*F52</f>
        <v>32.1454</v>
      </c>
      <c r="H52" s="75">
        <f>'THAM_SO_MOI'!$D$53</f>
        <v>1.1</v>
      </c>
      <c r="I52" s="75">
        <f>IF(F52&gt;'THAM_SO_MOI'!$C$14,'THAM_SO_MOI'!$C$13*(1+F52^2/1500),'THAM_SO_MOI'!$C$13)</f>
        <v>0.015</v>
      </c>
      <c r="J52" s="75">
        <f>'THAM_SO_MOI'!$C$40*('THAM_SO_MOI'!$C$23*(E52/'THAM_SO_MOI'!$C$22)+'THAM_SO_MOI'!$C$24*(E52/'THAM_SO_MOI'!$C$22)^2-'THAM_SO_MOI'!$C$25*(E52/'THAM_SO_MOI'!$C$22)^3)</f>
        <v>32.22033327061661</v>
      </c>
      <c r="K52" s="75">
        <f>'THAM_SO_MOI'!$C$31*J52/E52</f>
        <v>349.79594418102647</v>
      </c>
      <c r="L52" s="75">
        <f>K52*'THAM_SO_MOI'!$C$53*'THAM_SO_MOI'!$C$17/'THAM_SO_MOI'!$C$26</f>
        <v>3067.711799208133</v>
      </c>
      <c r="M52" s="75">
        <f>'THAM_SO_MOI'!$C$15*'THAM_SO_MOI'!$C$16*F52^2</f>
        <v>233.21610477569453</v>
      </c>
      <c r="N52" s="75">
        <f>'THAM_SO_MOI'!$C$12*I52</f>
        <v>1130.112</v>
      </c>
      <c r="O52" s="75">
        <f>M52+N52</f>
        <v>1363.3281047756946</v>
      </c>
      <c r="P52" s="75">
        <f>(MIN(L52,'THAM_SO_MOI'!$C$41)-O52)/('THAM_SO_MOI'!$C$11*H52)</f>
        <v>0.20174996382959737</v>
      </c>
      <c r="Q52" s="75">
        <f>IF(P52&gt;0,1/P52,NA())</f>
        <v>4.956630380586452</v>
      </c>
      <c r="R52" s="75">
        <f>F52-F51</f>
        <v>0.017600427350426884</v>
      </c>
      <c r="S52" s="75">
        <f>0.5*(Q51+Q52)*R52</f>
        <v>0.08726394669669621</v>
      </c>
      <c r="T52" s="75">
        <f>0.5*(F51*Q51+F52*Q52)*R52</f>
        <v>0.7784358574802839</v>
      </c>
      <c r="U52" s="76">
        <f>U51+S52</f>
        <v>4.070758260764089</v>
      </c>
      <c r="V52" s="76">
        <f>V51+T52</f>
        <v>34.692918113943215</v>
      </c>
    </row>
    <row r="53" spans="1:22" ht="19" customHeight="1">
      <c r="A53" s="68" t="s">
        <v>362</v>
      </c>
      <c r="B53" s="74">
        <v>5</v>
      </c>
      <c r="C53" s="68" t="s">
        <v>363</v>
      </c>
      <c r="D53" s="68" t="s">
        <v>364</v>
      </c>
      <c r="E53" s="75">
        <f>60*F53*'THAM_SO_MOI'!$C$53/(2*PI()*'THAM_SO_MOI'!$C$26)</f>
        <v>881.5029473684209</v>
      </c>
      <c r="F53" s="75">
        <f>'THAM_SO_MOI'!$E$53+('THAM_SO_MOI'!$C$14-'THAM_SO_MOI'!$E$53)*47/'THAM_SO_MOI'!$C$42</f>
        <v>8.946878205128206</v>
      </c>
      <c r="G53" s="75">
        <f>3.6*F53</f>
        <v>32.208761538461545</v>
      </c>
      <c r="H53" s="75">
        <f>'THAM_SO_MOI'!$D$53</f>
        <v>1.1</v>
      </c>
      <c r="I53" s="75">
        <f>IF(F53&gt;'THAM_SO_MOI'!$C$14,'THAM_SO_MOI'!$C$13*(1+F53^2/1500),'THAM_SO_MOI'!$C$13)</f>
        <v>0.015</v>
      </c>
      <c r="J53" s="75">
        <f>'THAM_SO_MOI'!$C$40*('THAM_SO_MOI'!$C$23*(E53/'THAM_SO_MOI'!$C$22)+'THAM_SO_MOI'!$C$24*(E53/'THAM_SO_MOI'!$C$22)^2-'THAM_SO_MOI'!$C$25*(E53/'THAM_SO_MOI'!$C$22)^3)</f>
        <v>32.303810567022786</v>
      </c>
      <c r="K53" s="75">
        <f>'THAM_SO_MOI'!$C$31*J53/E53</f>
        <v>350.01229840071215</v>
      </c>
      <c r="L53" s="75">
        <f>K53*'THAM_SO_MOI'!$C$53*'THAM_SO_MOI'!$C$17/'THAM_SO_MOI'!$C$26</f>
        <v>3069.6092265613643</v>
      </c>
      <c r="M53" s="75">
        <f>'THAM_SO_MOI'!$C$15*'THAM_SO_MOI'!$C$16*F53^2</f>
        <v>234.13639163088948</v>
      </c>
      <c r="N53" s="75">
        <f>'THAM_SO_MOI'!$C$12*I53</f>
        <v>1130.112</v>
      </c>
      <c r="O53" s="75">
        <f>M53+N53</f>
        <v>1364.2483916308895</v>
      </c>
      <c r="P53" s="75">
        <f>(MIN(L53,'THAM_SO_MOI'!$C$41)-O53)/('THAM_SO_MOI'!$C$11*H53)</f>
        <v>0.2018656291347626</v>
      </c>
      <c r="Q53" s="75">
        <f>IF(P53&gt;0,1/P53,NA())</f>
        <v>4.953790322236651</v>
      </c>
      <c r="R53" s="75">
        <f>F53-F52</f>
        <v>0.017600427350426884</v>
      </c>
      <c r="S53" s="75">
        <f>0.5*(Q52+Q53)*R53</f>
        <v>0.08721381979610228</v>
      </c>
      <c r="T53" s="75">
        <f>0.5*(F52*Q52+F53*Q53)*R53</f>
        <v>0.7795237033252899</v>
      </c>
      <c r="U53" s="76">
        <f>U52+S53</f>
        <v>4.157972080560191</v>
      </c>
      <c r="V53" s="76">
        <f>V52+T53</f>
        <v>35.4724418172685</v>
      </c>
    </row>
    <row r="54" spans="1:22" ht="19" customHeight="1">
      <c r="A54" s="68" t="s">
        <v>362</v>
      </c>
      <c r="B54" s="74">
        <v>5</v>
      </c>
      <c r="C54" s="68" t="s">
        <v>363</v>
      </c>
      <c r="D54" s="68" t="s">
        <v>364</v>
      </c>
      <c r="E54" s="75">
        <f>60*F54*'THAM_SO_MOI'!$C$53/(2*PI()*'THAM_SO_MOI'!$C$26)</f>
        <v>883.2370526315789</v>
      </c>
      <c r="F54" s="75">
        <f>'THAM_SO_MOI'!$E$53+('THAM_SO_MOI'!$C$14-'THAM_SO_MOI'!$E$53)*48/'THAM_SO_MOI'!$C$42</f>
        <v>8.964478632478635</v>
      </c>
      <c r="G54" s="75">
        <f>3.6*F54</f>
        <v>32.27212307692309</v>
      </c>
      <c r="H54" s="75">
        <f>'THAM_SO_MOI'!$D$53</f>
        <v>1.1</v>
      </c>
      <c r="I54" s="75">
        <f>IF(F54&gt;'THAM_SO_MOI'!$C$14,'THAM_SO_MOI'!$C$13*(1+F54^2/1500),'THAM_SO_MOI'!$C$13)</f>
        <v>0.015</v>
      </c>
      <c r="J54" s="75">
        <f>'THAM_SO_MOI'!$C$40*('THAM_SO_MOI'!$C$23*(E54/'THAM_SO_MOI'!$C$22)+'THAM_SO_MOI'!$C$24*(E54/'THAM_SO_MOI'!$C$22)^2-'THAM_SO_MOI'!$C$25*(E54/'THAM_SO_MOI'!$C$22)^3)</f>
        <v>32.3873394481001</v>
      </c>
      <c r="K54" s="75">
        <f>'THAM_SO_MOI'!$C$31*J54/E54</f>
        <v>350.22836088477294</v>
      </c>
      <c r="L54" s="75">
        <f>K54*'THAM_SO_MOI'!$C$53*'THAM_SO_MOI'!$C$17/'THAM_SO_MOI'!$C$26</f>
        <v>3071.504095392023</v>
      </c>
      <c r="M54" s="75">
        <f>'THAM_SO_MOI'!$C$15*'THAM_SO_MOI'!$C$16*F54^2</f>
        <v>235.05849067008558</v>
      </c>
      <c r="N54" s="75">
        <f>'THAM_SO_MOI'!$C$12*I54</f>
        <v>1130.112</v>
      </c>
      <c r="O54" s="75">
        <f>M54+N54</f>
        <v>1365.1704906700857</v>
      </c>
      <c r="P54" s="75">
        <f>(MIN(L54,'THAM_SO_MOI'!$C$41)-O54)/('THAM_SO_MOI'!$C$11*H54)</f>
        <v>0.20198077707409295</v>
      </c>
      <c r="Q54" s="75">
        <f>IF(P54&gt;0,1/P54,NA())</f>
        <v>4.9509661982990005</v>
      </c>
      <c r="R54" s="75">
        <f>F54-F53</f>
        <v>0.01760042735042866</v>
      </c>
      <c r="S54" s="75">
        <f>0.5*(Q53+Q54)*R54</f>
        <v>0.08716397378168615</v>
      </c>
      <c r="T54" s="75">
        <f>0.5*(F53*Q53+F54*Q54)*R54</f>
        <v>0.7806123001830154</v>
      </c>
      <c r="U54" s="76">
        <f>U53+S54</f>
        <v>4.245136054341877</v>
      </c>
      <c r="V54" s="76">
        <f>V53+T54</f>
        <v>36.25305411745152</v>
      </c>
    </row>
    <row r="55" spans="1:22" ht="19" customHeight="1">
      <c r="A55" s="68" t="s">
        <v>362</v>
      </c>
      <c r="B55" s="74">
        <v>5</v>
      </c>
      <c r="C55" s="68" t="s">
        <v>363</v>
      </c>
      <c r="D55" s="68" t="s">
        <v>364</v>
      </c>
      <c r="E55" s="75">
        <f>60*F55*'THAM_SO_MOI'!$C$53/(2*PI()*'THAM_SO_MOI'!$C$26)</f>
        <v>884.9711578947368</v>
      </c>
      <c r="F55" s="75">
        <f>'THAM_SO_MOI'!$E$53+('THAM_SO_MOI'!$C$14-'THAM_SO_MOI'!$E$53)*49/'THAM_SO_MOI'!$C$42</f>
        <v>8.982079059829061</v>
      </c>
      <c r="G55" s="75">
        <f>3.6*F55</f>
        <v>32.33548461538462</v>
      </c>
      <c r="H55" s="75">
        <f>'THAM_SO_MOI'!$D$53</f>
        <v>1.1</v>
      </c>
      <c r="I55" s="75">
        <f>IF(F55&gt;'THAM_SO_MOI'!$C$14,'THAM_SO_MOI'!$C$13*(1+F55^2/1500),'THAM_SO_MOI'!$C$13)</f>
        <v>0.015</v>
      </c>
      <c r="J55" s="75">
        <f>'THAM_SO_MOI'!$C$40*('THAM_SO_MOI'!$C$23*(E55/'THAM_SO_MOI'!$C$22)+'THAM_SO_MOI'!$C$24*(E55/'THAM_SO_MOI'!$C$22)^2-'THAM_SO_MOI'!$C$25*(E55/'THAM_SO_MOI'!$C$22)^3)</f>
        <v>32.47091975494525</v>
      </c>
      <c r="K55" s="75">
        <f>'THAM_SO_MOI'!$C$31*J55/E55</f>
        <v>350.4441316332087</v>
      </c>
      <c r="L55" s="75">
        <f>K55*'THAM_SO_MOI'!$C$53*'THAM_SO_MOI'!$C$17/'THAM_SO_MOI'!$C$26</f>
        <v>3073.3964057001085</v>
      </c>
      <c r="M55" s="75">
        <f>'THAM_SO_MOI'!$C$15*'THAM_SO_MOI'!$C$16*F55^2</f>
        <v>235.98240189328268</v>
      </c>
      <c r="N55" s="75">
        <f>'THAM_SO_MOI'!$C$12*I55</f>
        <v>1130.112</v>
      </c>
      <c r="O55" s="75">
        <f>M55+N55</f>
        <v>1366.0944018932828</v>
      </c>
      <c r="P55" s="75">
        <f>(MIN(L55,'THAM_SO_MOI'!$C$41)-O55)/('THAM_SO_MOI'!$C$11*H55)</f>
        <v>0.20209540764758827</v>
      </c>
      <c r="Q55" s="75">
        <f>IF(P55&gt;0,1/P55,NA())</f>
        <v>4.948157959847306</v>
      </c>
      <c r="R55" s="75">
        <f>F55-F54</f>
        <v>0.017600427350426884</v>
      </c>
      <c r="S55" s="75">
        <f>0.5*(Q54+Q55)*R55</f>
        <v>0.08711440778915489</v>
      </c>
      <c r="T55" s="75">
        <f>0.5*(F54*Q54+F55*Q55)*R55</f>
        <v>0.7817016551290967</v>
      </c>
      <c r="U55" s="76">
        <f>U54+S55</f>
        <v>4.332250462131032</v>
      </c>
      <c r="V55" s="76">
        <f>V54+T55</f>
        <v>37.03475577258062</v>
      </c>
    </row>
    <row r="56" spans="1:22" ht="19" customHeight="1">
      <c r="A56" s="68" t="s">
        <v>362</v>
      </c>
      <c r="B56" s="74">
        <v>5</v>
      </c>
      <c r="C56" s="68" t="s">
        <v>363</v>
      </c>
      <c r="D56" s="68" t="s">
        <v>364</v>
      </c>
      <c r="E56" s="75">
        <f>60*F56*'THAM_SO_MOI'!$C$53/(2*PI()*'THAM_SO_MOI'!$C$26)</f>
        <v>886.7052631578947</v>
      </c>
      <c r="F56" s="75">
        <f>'THAM_SO_MOI'!$E$53+('THAM_SO_MOI'!$C$14-'THAM_SO_MOI'!$E$53)*50/'THAM_SO_MOI'!$C$42</f>
        <v>8.999679487179488</v>
      </c>
      <c r="G56" s="75">
        <f>3.6*F56</f>
        <v>32.39884615384616</v>
      </c>
      <c r="H56" s="75">
        <f>'THAM_SO_MOI'!$D$53</f>
        <v>1.1</v>
      </c>
      <c r="I56" s="75">
        <f>IF(F56&gt;'THAM_SO_MOI'!$C$14,'THAM_SO_MOI'!$C$13*(1+F56^2/1500),'THAM_SO_MOI'!$C$13)</f>
        <v>0.015</v>
      </c>
      <c r="J56" s="75">
        <f>'THAM_SO_MOI'!$C$40*('THAM_SO_MOI'!$C$23*(E56/'THAM_SO_MOI'!$C$22)+'THAM_SO_MOI'!$C$24*(E56/'THAM_SO_MOI'!$C$22)^2-'THAM_SO_MOI'!$C$25*(E56/'THAM_SO_MOI'!$C$22)^3)</f>
        <v>32.55455132865495</v>
      </c>
      <c r="K56" s="75">
        <f>'THAM_SO_MOI'!$C$31*J56/E56</f>
        <v>350.6596106460194</v>
      </c>
      <c r="L56" s="75">
        <f>K56*'THAM_SO_MOI'!$C$53*'THAM_SO_MOI'!$C$17/'THAM_SO_MOI'!$C$26</f>
        <v>3075.286157485621</v>
      </c>
      <c r="M56" s="75">
        <f>'THAM_SO_MOI'!$C$15*'THAM_SO_MOI'!$C$16*F56^2</f>
        <v>236.90812530048086</v>
      </c>
      <c r="N56" s="75">
        <f>'THAM_SO_MOI'!$C$12*I56</f>
        <v>1130.112</v>
      </c>
      <c r="O56" s="75">
        <f>M56+N56</f>
        <v>1367.020125300481</v>
      </c>
      <c r="P56" s="75">
        <f>(MIN(L56,'THAM_SO_MOI'!$C$41)-O56)/('THAM_SO_MOI'!$C$11*H56)</f>
        <v>0.20220952085524857</v>
      </c>
      <c r="Q56" s="75">
        <f>IF(P56&gt;0,1/P56,NA())</f>
        <v>4.945365558310425</v>
      </c>
      <c r="R56" s="75">
        <f>F56-F55</f>
        <v>0.017600427350426884</v>
      </c>
      <c r="S56" s="75">
        <f>0.5*(Q55+Q56)*R56</f>
        <v>0.08706512096053748</v>
      </c>
      <c r="T56" s="75">
        <f>0.5*(F55*Q55+F56*Q56)*R56</f>
        <v>0.7827917752351624</v>
      </c>
      <c r="U56" s="76">
        <f>U55+S56</f>
        <v>4.41931558309157</v>
      </c>
      <c r="V56" s="76">
        <f>V55+T56</f>
        <v>37.81754754781578</v>
      </c>
    </row>
    <row r="57" spans="1:22" ht="19" customHeight="1">
      <c r="A57" s="68" t="s">
        <v>362</v>
      </c>
      <c r="B57" s="74">
        <v>5</v>
      </c>
      <c r="C57" s="68" t="s">
        <v>363</v>
      </c>
      <c r="D57" s="68" t="s">
        <v>364</v>
      </c>
      <c r="E57" s="75">
        <f>60*F57*'THAM_SO_MOI'!$C$53/(2*PI()*'THAM_SO_MOI'!$C$26)</f>
        <v>888.4393684210524</v>
      </c>
      <c r="F57" s="75">
        <f>'THAM_SO_MOI'!$E$53+('THAM_SO_MOI'!$C$14-'THAM_SO_MOI'!$E$53)*51/'THAM_SO_MOI'!$C$42</f>
        <v>9.017279914529915</v>
      </c>
      <c r="G57" s="75">
        <f>3.6*F57</f>
        <v>32.46220769230769</v>
      </c>
      <c r="H57" s="75">
        <f>'THAM_SO_MOI'!$D$53</f>
        <v>1.1</v>
      </c>
      <c r="I57" s="75">
        <f>IF(F57&gt;'THAM_SO_MOI'!$C$14,'THAM_SO_MOI'!$C$13*(1+F57^2/1500),'THAM_SO_MOI'!$C$13)</f>
        <v>0.015</v>
      </c>
      <c r="J57" s="75">
        <f>'THAM_SO_MOI'!$C$40*('THAM_SO_MOI'!$C$23*(E57/'THAM_SO_MOI'!$C$22)+'THAM_SO_MOI'!$C$24*(E57/'THAM_SO_MOI'!$C$22)^2-'THAM_SO_MOI'!$C$25*(E57/'THAM_SO_MOI'!$C$22)^3)</f>
        <v>32.638234010325924</v>
      </c>
      <c r="K57" s="75">
        <f>'THAM_SO_MOI'!$C$31*J57/E57</f>
        <v>350.87479792320505</v>
      </c>
      <c r="L57" s="75">
        <f>K57*'THAM_SO_MOI'!$C$53*'THAM_SO_MOI'!$C$17/'THAM_SO_MOI'!$C$26</f>
        <v>3077.17335074856</v>
      </c>
      <c r="M57" s="75">
        <f>'THAM_SO_MOI'!$C$15*'THAM_SO_MOI'!$C$16*F57^2</f>
        <v>237.83566089168008</v>
      </c>
      <c r="N57" s="75">
        <f>'THAM_SO_MOI'!$C$12*I57</f>
        <v>1130.112</v>
      </c>
      <c r="O57" s="75">
        <f>M57+N57</f>
        <v>1367.9476608916802</v>
      </c>
      <c r="P57" s="75">
        <f>(MIN(L57,'THAM_SO_MOI'!$C$41)-O57)/('THAM_SO_MOI'!$C$11*H57)</f>
        <v>0.20232311669707384</v>
      </c>
      <c r="Q57" s="75">
        <f>IF(P57&gt;0,1/P57,NA())</f>
        <v>4.94258894547003</v>
      </c>
      <c r="R57" s="75">
        <f>F57-F56</f>
        <v>0.017600427350426884</v>
      </c>
      <c r="S57" s="75">
        <f>0.5*(Q56+Q57)*R57</f>
        <v>0.08701611244405712</v>
      </c>
      <c r="T57" s="75">
        <f>0.5*(F56*Q56+F57*Q57)*R57</f>
        <v>0.7838826675682381</v>
      </c>
      <c r="U57" s="76">
        <f>U56+S57</f>
        <v>4.506331695535627</v>
      </c>
      <c r="V57" s="76">
        <f>V56+T57</f>
        <v>38.60143021538401</v>
      </c>
    </row>
    <row r="58" spans="1:22" ht="19" customHeight="1">
      <c r="A58" s="68" t="s">
        <v>362</v>
      </c>
      <c r="B58" s="74">
        <v>5</v>
      </c>
      <c r="C58" s="68" t="s">
        <v>363</v>
      </c>
      <c r="D58" s="68" t="s">
        <v>364</v>
      </c>
      <c r="E58" s="75">
        <f>60*F58*'THAM_SO_MOI'!$C$53/(2*PI()*'THAM_SO_MOI'!$C$26)</f>
        <v>890.1734736842104</v>
      </c>
      <c r="F58" s="75">
        <f>'THAM_SO_MOI'!$E$53+('THAM_SO_MOI'!$C$14-'THAM_SO_MOI'!$E$53)*52/'THAM_SO_MOI'!$C$42</f>
        <v>9.034880341880344</v>
      </c>
      <c r="G58" s="75">
        <f>3.6*F58</f>
        <v>32.525569230769236</v>
      </c>
      <c r="H58" s="75">
        <f>'THAM_SO_MOI'!$D$53</f>
        <v>1.1</v>
      </c>
      <c r="I58" s="75">
        <f>IF(F58&gt;'THAM_SO_MOI'!$C$14,'THAM_SO_MOI'!$C$13*(1+F58^2/1500),'THAM_SO_MOI'!$C$13)</f>
        <v>0.015</v>
      </c>
      <c r="J58" s="75">
        <f>'THAM_SO_MOI'!$C$40*('THAM_SO_MOI'!$C$23*(E58/'THAM_SO_MOI'!$C$22)+'THAM_SO_MOI'!$C$24*(E58/'THAM_SO_MOI'!$C$22)^2-'THAM_SO_MOI'!$C$25*(E58/'THAM_SO_MOI'!$C$22)^3)</f>
        <v>32.7219676410549</v>
      </c>
      <c r="K58" s="75">
        <f>'THAM_SO_MOI'!$C$31*J58/E58</f>
        <v>351.0896934647657</v>
      </c>
      <c r="L58" s="75">
        <f>K58*'THAM_SO_MOI'!$C$53*'THAM_SO_MOI'!$C$17/'THAM_SO_MOI'!$C$26</f>
        <v>3079.0579854889265</v>
      </c>
      <c r="M58" s="75">
        <f>'THAM_SO_MOI'!$C$15*'THAM_SO_MOI'!$C$16*F58^2</f>
        <v>238.76500866688045</v>
      </c>
      <c r="N58" s="75">
        <f>'THAM_SO_MOI'!$C$12*I58</f>
        <v>1130.112</v>
      </c>
      <c r="O58" s="75">
        <f>M58+N58</f>
        <v>1368.8770086668806</v>
      </c>
      <c r="P58" s="75">
        <f>(MIN(L58,'THAM_SO_MOI'!$C$41)-O58)/('THAM_SO_MOI'!$C$11*H58)</f>
        <v>0.20243619517306416</v>
      </c>
      <c r="Q58" s="75">
        <f>IF(P58&gt;0,1/P58,NA())</f>
        <v>4.9398280734583695</v>
      </c>
      <c r="R58" s="75">
        <f>F58-F57</f>
        <v>0.01760042735042866</v>
      </c>
      <c r="S58" s="75">
        <f>0.5*(Q57+Q58)*R58</f>
        <v>0.08696738139414455</v>
      </c>
      <c r="T58" s="75">
        <f>0.5*(F57*Q57+F58*Q58)*R58</f>
        <v>0.784974339191413</v>
      </c>
      <c r="U58" s="76">
        <f>U57+S58</f>
        <v>4.593299076929771</v>
      </c>
      <c r="V58" s="76">
        <f>V57+T58</f>
        <v>39.38640455457543</v>
      </c>
    </row>
    <row r="59" spans="1:22" ht="19" customHeight="1">
      <c r="A59" s="68" t="s">
        <v>362</v>
      </c>
      <c r="B59" s="74">
        <v>5</v>
      </c>
      <c r="C59" s="68" t="s">
        <v>363</v>
      </c>
      <c r="D59" s="68" t="s">
        <v>364</v>
      </c>
      <c r="E59" s="75">
        <f>60*F59*'THAM_SO_MOI'!$C$53/(2*PI()*'THAM_SO_MOI'!$C$26)</f>
        <v>891.9075789473683</v>
      </c>
      <c r="F59" s="75">
        <f>'THAM_SO_MOI'!$E$53+('THAM_SO_MOI'!$C$14-'THAM_SO_MOI'!$E$53)*53/'THAM_SO_MOI'!$C$42</f>
        <v>9.05248076923077</v>
      </c>
      <c r="G59" s="75">
        <f>3.6*F59</f>
        <v>32.58893076923078</v>
      </c>
      <c r="H59" s="75">
        <f>'THAM_SO_MOI'!$D$53</f>
        <v>1.1</v>
      </c>
      <c r="I59" s="75">
        <f>IF(F59&gt;'THAM_SO_MOI'!$C$14,'THAM_SO_MOI'!$C$13*(1+F59^2/1500),'THAM_SO_MOI'!$C$13)</f>
        <v>0.015</v>
      </c>
      <c r="J59" s="75">
        <f>'THAM_SO_MOI'!$C$40*('THAM_SO_MOI'!$C$23*(E59/'THAM_SO_MOI'!$C$22)+'THAM_SO_MOI'!$C$24*(E59/'THAM_SO_MOI'!$C$22)^2-'THAM_SO_MOI'!$C$25*(E59/'THAM_SO_MOI'!$C$22)^3)</f>
        <v>32.805752061938605</v>
      </c>
      <c r="K59" s="75">
        <f>'THAM_SO_MOI'!$C$31*J59/E59</f>
        <v>351.30429727070134</v>
      </c>
      <c r="L59" s="75">
        <f>K59*'THAM_SO_MOI'!$C$53*'THAM_SO_MOI'!$C$17/'THAM_SO_MOI'!$C$26</f>
        <v>3080.9400617067204</v>
      </c>
      <c r="M59" s="75">
        <f>'THAM_SO_MOI'!$C$15*'THAM_SO_MOI'!$C$16*F59^2</f>
        <v>239.69616862608183</v>
      </c>
      <c r="N59" s="75">
        <f>'THAM_SO_MOI'!$C$12*I59</f>
        <v>1130.112</v>
      </c>
      <c r="O59" s="75">
        <f>M59+N59</f>
        <v>1369.8081686260819</v>
      </c>
      <c r="P59" s="75">
        <f>(MIN(L59,'THAM_SO_MOI'!$C$41)-O59)/('THAM_SO_MOI'!$C$11*H59)</f>
        <v>0.2025487562832195</v>
      </c>
      <c r="Q59" s="75">
        <f>IF(P59&gt;0,1/P59,NA())</f>
        <v>4.937082894756075</v>
      </c>
      <c r="R59" s="75">
        <f>F59-F58</f>
        <v>0.017600427350426884</v>
      </c>
      <c r="S59" s="75">
        <f>0.5*(Q58+Q59)*R59</f>
        <v>0.08691892697134639</v>
      </c>
      <c r="T59" s="75">
        <f>0.5*(F58*Q58+F59*Q59)*R59</f>
        <v>0.7860667971635562</v>
      </c>
      <c r="U59" s="76">
        <f>U58+S59</f>
        <v>4.680218003901118</v>
      </c>
      <c r="V59" s="76">
        <f>V58+T59</f>
        <v>40.172471351738984</v>
      </c>
    </row>
    <row r="60" spans="1:22" ht="19" customHeight="1">
      <c r="A60" s="68" t="s">
        <v>362</v>
      </c>
      <c r="B60" s="74">
        <v>5</v>
      </c>
      <c r="C60" s="68" t="s">
        <v>363</v>
      </c>
      <c r="D60" s="68" t="s">
        <v>364</v>
      </c>
      <c r="E60" s="75">
        <f>60*F60*'THAM_SO_MOI'!$C$53/(2*PI()*'THAM_SO_MOI'!$C$26)</f>
        <v>893.6416842105263</v>
      </c>
      <c r="F60" s="75">
        <f>'THAM_SO_MOI'!$E$53+('THAM_SO_MOI'!$C$14-'THAM_SO_MOI'!$E$53)*54/'THAM_SO_MOI'!$C$42</f>
        <v>9.070081196581198</v>
      </c>
      <c r="G60" s="75">
        <f>3.6*F60</f>
        <v>32.65229230769231</v>
      </c>
      <c r="H60" s="75">
        <f>'THAM_SO_MOI'!$D$53</f>
        <v>1.1</v>
      </c>
      <c r="I60" s="75">
        <f>IF(F60&gt;'THAM_SO_MOI'!$C$14,'THAM_SO_MOI'!$C$13*(1+F60^2/1500),'THAM_SO_MOI'!$C$13)</f>
        <v>0.015</v>
      </c>
      <c r="J60" s="75">
        <f>'THAM_SO_MOI'!$C$40*('THAM_SO_MOI'!$C$23*(E60/'THAM_SO_MOI'!$C$22)+'THAM_SO_MOI'!$C$24*(E60/'THAM_SO_MOI'!$C$22)^2-'THAM_SO_MOI'!$C$25*(E60/'THAM_SO_MOI'!$C$22)^3)</f>
        <v>32.88958711407374</v>
      </c>
      <c r="K60" s="75">
        <f>'THAM_SO_MOI'!$C$31*J60/E60</f>
        <v>351.51860934101177</v>
      </c>
      <c r="L60" s="75">
        <f>K60*'THAM_SO_MOI'!$C$53*'THAM_SO_MOI'!$C$17/'THAM_SO_MOI'!$C$26</f>
        <v>3082.819579401939</v>
      </c>
      <c r="M60" s="75">
        <f>'THAM_SO_MOI'!$C$15*'THAM_SO_MOI'!$C$16*F60^2</f>
        <v>240.62914076928425</v>
      </c>
      <c r="N60" s="75">
        <f>'THAM_SO_MOI'!$C$12*I60</f>
        <v>1130.112</v>
      </c>
      <c r="O60" s="75">
        <f>M60+N60</f>
        <v>1370.7411407692844</v>
      </c>
      <c r="P60" s="75">
        <f>(MIN(L60,'THAM_SO_MOI'!$C$41)-O60)/('THAM_SO_MOI'!$C$11*H60)</f>
        <v>0.2026608000275396</v>
      </c>
      <c r="Q60" s="75">
        <f>IF(P60&gt;0,1/P60,NA())</f>
        <v>4.934353362189974</v>
      </c>
      <c r="R60" s="75">
        <f>F60-F59</f>
        <v>0.017600427350426884</v>
      </c>
      <c r="S60" s="75">
        <f>0.5*(Q59+Q60)*R60</f>
        <v>0.0868707483423744</v>
      </c>
      <c r="T60" s="75">
        <f>0.5*(F59*Q59+F60*Q60)*R60</f>
        <v>0.7871600485403019</v>
      </c>
      <c r="U60" s="76">
        <f>U59+S60</f>
        <v>4.767088752243492</v>
      </c>
      <c r="V60" s="76">
        <f>V59+T60</f>
        <v>40.959631400279285</v>
      </c>
    </row>
    <row r="61" spans="1:22" ht="19" customHeight="1">
      <c r="A61" s="68" t="s">
        <v>362</v>
      </c>
      <c r="B61" s="74">
        <v>5</v>
      </c>
      <c r="C61" s="68" t="s">
        <v>363</v>
      </c>
      <c r="D61" s="68" t="s">
        <v>364</v>
      </c>
      <c r="E61" s="75">
        <f>60*F61*'THAM_SO_MOI'!$C$53/(2*PI()*'THAM_SO_MOI'!$C$26)</f>
        <v>895.3757894736842</v>
      </c>
      <c r="F61" s="75">
        <f>'THAM_SO_MOI'!$E$53+('THAM_SO_MOI'!$C$14-'THAM_SO_MOI'!$E$53)*55/'THAM_SO_MOI'!$C$42</f>
        <v>9.087681623931624</v>
      </c>
      <c r="G61" s="75">
        <f>3.6*F61</f>
        <v>32.71565384615385</v>
      </c>
      <c r="H61" s="75">
        <f>'THAM_SO_MOI'!$D$53</f>
        <v>1.1</v>
      </c>
      <c r="I61" s="75">
        <f>IF(F61&gt;'THAM_SO_MOI'!$C$14,'THAM_SO_MOI'!$C$13*(1+F61^2/1500),'THAM_SO_MOI'!$C$13)</f>
        <v>0.015</v>
      </c>
      <c r="J61" s="75">
        <f>'THAM_SO_MOI'!$C$40*('THAM_SO_MOI'!$C$23*(E61/'THAM_SO_MOI'!$C$22)+'THAM_SO_MOI'!$C$24*(E61/'THAM_SO_MOI'!$C$22)^2-'THAM_SO_MOI'!$C$25*(E61/'THAM_SO_MOI'!$C$22)^3)</f>
        <v>32.97347263855705</v>
      </c>
      <c r="K61" s="75">
        <f>'THAM_SO_MOI'!$C$31*J61/E61</f>
        <v>351.7326296756973</v>
      </c>
      <c r="L61" s="75">
        <f>K61*'THAM_SO_MOI'!$C$53*'THAM_SO_MOI'!$C$17/'THAM_SO_MOI'!$C$26</f>
        <v>3084.696538574586</v>
      </c>
      <c r="M61" s="75">
        <f>'THAM_SO_MOI'!$C$15*'THAM_SO_MOI'!$C$16*F61^2</f>
        <v>241.56392509648776</v>
      </c>
      <c r="N61" s="75">
        <f>'THAM_SO_MOI'!$C$12*I61</f>
        <v>1130.112</v>
      </c>
      <c r="O61" s="75">
        <f>M61+N61</f>
        <v>1371.6759250964878</v>
      </c>
      <c r="P61" s="75">
        <f>(MIN(L61,'THAM_SO_MOI'!$C$41)-O61)/('THAM_SO_MOI'!$C$11*H61)</f>
        <v>0.20277232640602488</v>
      </c>
      <c r="Q61" s="75">
        <f>IF(P61&gt;0,1/P61,NA())</f>
        <v>4.9316394289309065</v>
      </c>
      <c r="R61" s="75">
        <f>F61-F60</f>
        <v>0.017600427350426884</v>
      </c>
      <c r="S61" s="75">
        <f>0.5*(Q60+Q61)*R61</f>
        <v>0.08682284467997921</v>
      </c>
      <c r="T61" s="75">
        <f>0.5*(F60*Q60+F61*Q61)*R61</f>
        <v>0.788254100373445</v>
      </c>
      <c r="U61" s="76">
        <f>U60+S61</f>
        <v>4.853911596923471</v>
      </c>
      <c r="V61" s="76">
        <f>V60+T61</f>
        <v>41.74788550065273</v>
      </c>
    </row>
    <row r="62" spans="1:22" ht="19" customHeight="1">
      <c r="A62" s="68" t="s">
        <v>362</v>
      </c>
      <c r="B62" s="74">
        <v>5</v>
      </c>
      <c r="C62" s="68" t="s">
        <v>363</v>
      </c>
      <c r="D62" s="68" t="s">
        <v>364</v>
      </c>
      <c r="E62" s="75">
        <f>60*F62*'THAM_SO_MOI'!$C$53/(2*PI()*'THAM_SO_MOI'!$C$26)</f>
        <v>897.1098947368422</v>
      </c>
      <c r="F62" s="75">
        <f>'THAM_SO_MOI'!$E$53+('THAM_SO_MOI'!$C$14-'THAM_SO_MOI'!$E$53)*56/'THAM_SO_MOI'!$C$42</f>
        <v>9.105282051282053</v>
      </c>
      <c r="G62" s="75">
        <f>3.6*F62</f>
        <v>32.77901538461539</v>
      </c>
      <c r="H62" s="75">
        <f>'THAM_SO_MOI'!$D$53</f>
        <v>1.1</v>
      </c>
      <c r="I62" s="75">
        <f>IF(F62&gt;'THAM_SO_MOI'!$C$14,'THAM_SO_MOI'!$C$13*(1+F62^2/1500),'THAM_SO_MOI'!$C$13)</f>
        <v>0.015</v>
      </c>
      <c r="J62" s="75">
        <f>'THAM_SO_MOI'!$C$40*('THAM_SO_MOI'!$C$23*(E62/'THAM_SO_MOI'!$C$22)+'THAM_SO_MOI'!$C$24*(E62/'THAM_SO_MOI'!$C$22)^2-'THAM_SO_MOI'!$C$25*(E62/'THAM_SO_MOI'!$C$22)^3)</f>
        <v>33.05740847648524</v>
      </c>
      <c r="K62" s="75">
        <f>'THAM_SO_MOI'!$C$31*J62/E62</f>
        <v>351.94635827475787</v>
      </c>
      <c r="L62" s="75">
        <f>K62*'THAM_SO_MOI'!$C$53*'THAM_SO_MOI'!$C$17/'THAM_SO_MOI'!$C$26</f>
        <v>3086.5709392246604</v>
      </c>
      <c r="M62" s="75">
        <f>'THAM_SO_MOI'!$C$15*'THAM_SO_MOI'!$C$16*F62^2</f>
        <v>242.50052160769243</v>
      </c>
      <c r="N62" s="75">
        <f>'THAM_SO_MOI'!$C$12*I62</f>
        <v>1130.112</v>
      </c>
      <c r="O62" s="75">
        <f>M62+N62</f>
        <v>1372.6125216076925</v>
      </c>
      <c r="P62" s="75">
        <f>(MIN(L62,'THAM_SO_MOI'!$C$41)-O62)/('THAM_SO_MOI'!$C$11*H62)</f>
        <v>0.20288333541867518</v>
      </c>
      <c r="Q62" s="75">
        <f>IF(P62&gt;0,1/P62,NA())</f>
        <v>4.928941048491611</v>
      </c>
      <c r="R62" s="75">
        <f>F62-F61</f>
        <v>0.01760042735042866</v>
      </c>
      <c r="S62" s="75">
        <f>0.5*(Q61+Q62)*R62</f>
        <v>0.08677521516296507</v>
      </c>
      <c r="T62" s="75">
        <f>0.5*(F61*Q61+F62*Q62)*R62</f>
        <v>0.7893489597116083</v>
      </c>
      <c r="U62" s="76">
        <f>U61+S62</f>
        <v>4.940686812086436</v>
      </c>
      <c r="V62" s="76">
        <f>V61+T62</f>
        <v>42.53723446036434</v>
      </c>
    </row>
    <row r="63" spans="1:22" ht="19" customHeight="1">
      <c r="A63" s="68" t="s">
        <v>362</v>
      </c>
      <c r="B63" s="74">
        <v>5</v>
      </c>
      <c r="C63" s="68" t="s">
        <v>363</v>
      </c>
      <c r="D63" s="68" t="s">
        <v>364</v>
      </c>
      <c r="E63" s="75">
        <f>60*F63*'THAM_SO_MOI'!$C$53/(2*PI()*'THAM_SO_MOI'!$C$26)</f>
        <v>898.8439999999999</v>
      </c>
      <c r="F63" s="75">
        <f>'THAM_SO_MOI'!$E$53+('THAM_SO_MOI'!$C$14-'THAM_SO_MOI'!$E$53)*57/'THAM_SO_MOI'!$C$42</f>
        <v>9.12288247863248</v>
      </c>
      <c r="G63" s="75">
        <f>3.6*F63</f>
        <v>32.84237692307693</v>
      </c>
      <c r="H63" s="75">
        <f>'THAM_SO_MOI'!$D$53</f>
        <v>1.1</v>
      </c>
      <c r="I63" s="75">
        <f>IF(F63&gt;'THAM_SO_MOI'!$C$14,'THAM_SO_MOI'!$C$13*(1+F63^2/1500),'THAM_SO_MOI'!$C$13)</f>
        <v>0.015</v>
      </c>
      <c r="J63" s="75">
        <f>'THAM_SO_MOI'!$C$40*('THAM_SO_MOI'!$C$23*(E63/'THAM_SO_MOI'!$C$22)+'THAM_SO_MOI'!$C$24*(E63/'THAM_SO_MOI'!$C$22)^2-'THAM_SO_MOI'!$C$25*(E63/'THAM_SO_MOI'!$C$22)^3)</f>
        <v>33.14139446895502</v>
      </c>
      <c r="K63" s="75">
        <f>'THAM_SO_MOI'!$C$31*J63/E63</f>
        <v>352.1597951381932</v>
      </c>
      <c r="L63" s="75">
        <f>K63*'THAM_SO_MOI'!$C$53*'THAM_SO_MOI'!$C$17/'THAM_SO_MOI'!$C$26</f>
        <v>3088.4427813521597</v>
      </c>
      <c r="M63" s="75">
        <f>'THAM_SO_MOI'!$C$15*'THAM_SO_MOI'!$C$16*F63^2</f>
        <v>243.43893030289806</v>
      </c>
      <c r="N63" s="75">
        <f>'THAM_SO_MOI'!$C$12*I63</f>
        <v>1130.112</v>
      </c>
      <c r="O63" s="75">
        <f>M63+N63</f>
        <v>1373.5509303028982</v>
      </c>
      <c r="P63" s="75">
        <f>(MIN(L63,'THAM_SO_MOI'!$C$41)-O63)/('THAM_SO_MOI'!$C$11*H63)</f>
        <v>0.20299382706549027</v>
      </c>
      <c r="Q63" s="75">
        <f>IF(P63&gt;0,1/P63,NA())</f>
        <v>4.926258174724584</v>
      </c>
      <c r="R63" s="75">
        <f>F63-F62</f>
        <v>0.017600427350426884</v>
      </c>
      <c r="S63" s="75">
        <f>0.5*(Q62+Q63)*R63</f>
        <v>0.08672785897610005</v>
      </c>
      <c r="T63" s="75">
        <f>0.5*(F62*Q62+F63*Q63)*R63</f>
        <v>0.7904446335999542</v>
      </c>
      <c r="U63" s="76">
        <f>U62+S63</f>
        <v>5.027414671062536</v>
      </c>
      <c r="V63" s="76">
        <f>V62+T63</f>
        <v>43.32767909396429</v>
      </c>
    </row>
    <row r="64" spans="1:22" ht="19" customHeight="1">
      <c r="A64" s="68" t="s">
        <v>362</v>
      </c>
      <c r="B64" s="74">
        <v>5</v>
      </c>
      <c r="C64" s="68" t="s">
        <v>363</v>
      </c>
      <c r="D64" s="68" t="s">
        <v>364</v>
      </c>
      <c r="E64" s="75">
        <f>60*F64*'THAM_SO_MOI'!$C$53/(2*PI()*'THAM_SO_MOI'!$C$26)</f>
        <v>900.5781052631578</v>
      </c>
      <c r="F64" s="75">
        <f>'THAM_SO_MOI'!$E$53+('THAM_SO_MOI'!$C$14-'THAM_SO_MOI'!$E$53)*58/'THAM_SO_MOI'!$C$42</f>
        <v>9.140482905982907</v>
      </c>
      <c r="G64" s="75">
        <f>3.6*F64</f>
        <v>32.90573846153847</v>
      </c>
      <c r="H64" s="75">
        <f>'THAM_SO_MOI'!$D$53</f>
        <v>1.1</v>
      </c>
      <c r="I64" s="75">
        <f>IF(F64&gt;'THAM_SO_MOI'!$C$14,'THAM_SO_MOI'!$C$13*(1+F64^2/1500),'THAM_SO_MOI'!$C$13)</f>
        <v>0.015</v>
      </c>
      <c r="J64" s="75">
        <f>'THAM_SO_MOI'!$C$40*('THAM_SO_MOI'!$C$23*(E64/'THAM_SO_MOI'!$C$22)+'THAM_SO_MOI'!$C$24*(E64/'THAM_SO_MOI'!$C$22)^2-'THAM_SO_MOI'!$C$25*(E64/'THAM_SO_MOI'!$C$22)^3)</f>
        <v>33.22543045706313</v>
      </c>
      <c r="K64" s="75">
        <f>'THAM_SO_MOI'!$C$31*J64/E64</f>
        <v>352.3729402660036</v>
      </c>
      <c r="L64" s="75">
        <f>K64*'THAM_SO_MOI'!$C$53*'THAM_SO_MOI'!$C$17/'THAM_SO_MOI'!$C$26</f>
        <v>3090.312064957087</v>
      </c>
      <c r="M64" s="75">
        <f>'THAM_SO_MOI'!$C$15*'THAM_SO_MOI'!$C$16*F64^2</f>
        <v>244.37915118210478</v>
      </c>
      <c r="N64" s="75">
        <f>'THAM_SO_MOI'!$C$12*I64</f>
        <v>1130.112</v>
      </c>
      <c r="O64" s="75">
        <f>M64+N64</f>
        <v>1374.4911511821049</v>
      </c>
      <c r="P64" s="75">
        <f>(MIN(L64,'THAM_SO_MOI'!$C$41)-O64)/('THAM_SO_MOI'!$C$11*H64)</f>
        <v>0.20310380134647044</v>
      </c>
      <c r="Q64" s="75">
        <f>IF(P64&gt;0,1/P64,NA())</f>
        <v>4.923590761819969</v>
      </c>
      <c r="R64" s="75">
        <f>F64-F63</f>
        <v>0.017600427350426884</v>
      </c>
      <c r="S64" s="75">
        <f>0.5*(Q63+Q64)*R64</f>
        <v>0.08668077531016596</v>
      </c>
      <c r="T64" s="75">
        <f>0.5*(F63*Q63+F64*Q64)*R64</f>
        <v>0.7915411290811676</v>
      </c>
      <c r="U64" s="76">
        <f>U63+S64</f>
        <v>5.114095446372701</v>
      </c>
      <c r="V64" s="76">
        <f>V63+T64</f>
        <v>44.11922022304546</v>
      </c>
    </row>
    <row r="65" spans="1:22" ht="19" customHeight="1">
      <c r="A65" s="68" t="s">
        <v>362</v>
      </c>
      <c r="B65" s="74">
        <v>5</v>
      </c>
      <c r="C65" s="68" t="s">
        <v>363</v>
      </c>
      <c r="D65" s="68" t="s">
        <v>364</v>
      </c>
      <c r="E65" s="75">
        <f>60*F65*'THAM_SO_MOI'!$C$53/(2*PI()*'THAM_SO_MOI'!$C$26)</f>
        <v>902.3122105263155</v>
      </c>
      <c r="F65" s="75">
        <f>'THAM_SO_MOI'!$E$53+('THAM_SO_MOI'!$C$14-'THAM_SO_MOI'!$E$53)*59/'THAM_SO_MOI'!$C$42</f>
        <v>9.158083333333334</v>
      </c>
      <c r="G65" s="75">
        <f>3.6*F65</f>
        <v>32.969100000000005</v>
      </c>
      <c r="H65" s="75">
        <f>'THAM_SO_MOI'!$D$53</f>
        <v>1.1</v>
      </c>
      <c r="I65" s="75">
        <f>IF(F65&gt;'THAM_SO_MOI'!$C$14,'THAM_SO_MOI'!$C$13*(1+F65^2/1500),'THAM_SO_MOI'!$C$13)</f>
        <v>0.015</v>
      </c>
      <c r="J65" s="75">
        <f>'THAM_SO_MOI'!$C$40*('THAM_SO_MOI'!$C$23*(E65/'THAM_SO_MOI'!$C$22)+'THAM_SO_MOI'!$C$24*(E65/'THAM_SO_MOI'!$C$22)^2-'THAM_SO_MOI'!$C$25*(E65/'THAM_SO_MOI'!$C$22)^3)</f>
        <v>33.3095162819063</v>
      </c>
      <c r="K65" s="75">
        <f>'THAM_SO_MOI'!$C$31*J65/E65</f>
        <v>352.58579365818906</v>
      </c>
      <c r="L65" s="75">
        <f>K65*'THAM_SO_MOI'!$C$53*'THAM_SO_MOI'!$C$17/'THAM_SO_MOI'!$C$26</f>
        <v>3092.178790039442</v>
      </c>
      <c r="M65" s="75">
        <f>'THAM_SO_MOI'!$C$15*'THAM_SO_MOI'!$C$16*F65^2</f>
        <v>245.32118424531254</v>
      </c>
      <c r="N65" s="75">
        <f>'THAM_SO_MOI'!$C$12*I65</f>
        <v>1130.112</v>
      </c>
      <c r="O65" s="75">
        <f>M65+N65</f>
        <v>1375.4331842453125</v>
      </c>
      <c r="P65" s="75">
        <f>(MIN(L65,'THAM_SO_MOI'!$C$41)-O65)/('THAM_SO_MOI'!$C$11*H65)</f>
        <v>0.2032132582616157</v>
      </c>
      <c r="Q65" s="75">
        <f>IF(P65&gt;0,1/P65,NA())</f>
        <v>4.920938764303484</v>
      </c>
      <c r="R65" s="75">
        <f>F65-F64</f>
        <v>0.017600427350426884</v>
      </c>
      <c r="S65" s="75">
        <f>0.5*(Q64+Q65)*R65</f>
        <v>0.08663396336183411</v>
      </c>
      <c r="T65" s="75">
        <f>0.5*(F64*Q64+F65*Q65)*R65</f>
        <v>0.7926384531948478</v>
      </c>
      <c r="U65" s="76">
        <f>U64+S65</f>
        <v>5.200729409734535</v>
      </c>
      <c r="V65" s="76">
        <f>V64+T65</f>
        <v>44.91185867624031</v>
      </c>
    </row>
    <row r="66" spans="1:22" ht="19" customHeight="1">
      <c r="A66" s="68" t="s">
        <v>362</v>
      </c>
      <c r="B66" s="74">
        <v>5</v>
      </c>
      <c r="C66" s="68" t="s">
        <v>363</v>
      </c>
      <c r="D66" s="68" t="s">
        <v>364</v>
      </c>
      <c r="E66" s="75">
        <f>60*F66*'THAM_SO_MOI'!$C$53/(2*PI()*'THAM_SO_MOI'!$C$26)</f>
        <v>904.0463157894735</v>
      </c>
      <c r="F66" s="75">
        <f>'THAM_SO_MOI'!$E$53+('THAM_SO_MOI'!$C$14-'THAM_SO_MOI'!$E$53)*60/'THAM_SO_MOI'!$C$42</f>
        <v>9.175683760683762</v>
      </c>
      <c r="G66" s="75">
        <f>3.6*F66</f>
        <v>33.03246153846155</v>
      </c>
      <c r="H66" s="75">
        <f>'THAM_SO_MOI'!$D$53</f>
        <v>1.1</v>
      </c>
      <c r="I66" s="75">
        <f>IF(F66&gt;'THAM_SO_MOI'!$C$14,'THAM_SO_MOI'!$C$13*(1+F66^2/1500),'THAM_SO_MOI'!$C$13)</f>
        <v>0.015</v>
      </c>
      <c r="J66" s="75">
        <f>'THAM_SO_MOI'!$C$40*('THAM_SO_MOI'!$C$23*(E66/'THAM_SO_MOI'!$C$22)+'THAM_SO_MOI'!$C$24*(E66/'THAM_SO_MOI'!$C$22)^2-'THAM_SO_MOI'!$C$25*(E66/'THAM_SO_MOI'!$C$22)^3)</f>
        <v>33.39365178458123</v>
      </c>
      <c r="K66" s="75">
        <f>'THAM_SO_MOI'!$C$31*J66/E66</f>
        <v>352.79835531474936</v>
      </c>
      <c r="L66" s="75">
        <f>K66*'THAM_SO_MOI'!$C$53*'THAM_SO_MOI'!$C$17/'THAM_SO_MOI'!$C$26</f>
        <v>3094.0429565992235</v>
      </c>
      <c r="M66" s="75">
        <f>'THAM_SO_MOI'!$C$15*'THAM_SO_MOI'!$C$16*F66^2</f>
        <v>246.2650294925215</v>
      </c>
      <c r="N66" s="75">
        <f>'THAM_SO_MOI'!$C$12*I66</f>
        <v>1130.112</v>
      </c>
      <c r="O66" s="75">
        <f>M66+N66</f>
        <v>1376.3770294925216</v>
      </c>
      <c r="P66" s="75">
        <f>(MIN(L66,'THAM_SO_MOI'!$C$41)-O66)/('THAM_SO_MOI'!$C$11*H66)</f>
        <v>0.2033221978109259</v>
      </c>
      <c r="Q66" s="75">
        <f>IF(P66&gt;0,1/P66,NA())</f>
        <v>4.918302137034361</v>
      </c>
      <c r="R66" s="75">
        <f>F66-F65</f>
        <v>0.01760042735042866</v>
      </c>
      <c r="S66" s="75">
        <f>0.5*(Q65+Q66)*R66</f>
        <v>0.08658742233368148</v>
      </c>
      <c r="T66" s="75">
        <f>0.5*(F65*Q65+F66*Q66)*R66</f>
        <v>0.7937366129781739</v>
      </c>
      <c r="U66" s="76">
        <f>U65+S66</f>
        <v>5.287316832068217</v>
      </c>
      <c r="V66" s="76">
        <f>V65+T66</f>
        <v>45.70559528921848</v>
      </c>
    </row>
    <row r="67" spans="1:22" ht="19" customHeight="1">
      <c r="A67" s="68" t="s">
        <v>362</v>
      </c>
      <c r="B67" s="74">
        <v>5</v>
      </c>
      <c r="C67" s="68" t="s">
        <v>363</v>
      </c>
      <c r="D67" s="68" t="s">
        <v>364</v>
      </c>
      <c r="E67" s="75">
        <f>60*F67*'THAM_SO_MOI'!$C$53/(2*PI()*'THAM_SO_MOI'!$C$26)</f>
        <v>905.7804210526316</v>
      </c>
      <c r="F67" s="75">
        <f>'THAM_SO_MOI'!$E$53+('THAM_SO_MOI'!$C$14-'THAM_SO_MOI'!$E$53)*61/'THAM_SO_MOI'!$C$42</f>
        <v>9.19328418803419</v>
      </c>
      <c r="G67" s="75">
        <f>3.6*F67</f>
        <v>33.09582307692308</v>
      </c>
      <c r="H67" s="75">
        <f>'THAM_SO_MOI'!$D$53</f>
        <v>1.1</v>
      </c>
      <c r="I67" s="75">
        <f>IF(F67&gt;'THAM_SO_MOI'!$C$14,'THAM_SO_MOI'!$C$13*(1+F67^2/1500),'THAM_SO_MOI'!$C$13)</f>
        <v>0.015</v>
      </c>
      <c r="J67" s="75">
        <f>'THAM_SO_MOI'!$C$40*('THAM_SO_MOI'!$C$23*(E67/'THAM_SO_MOI'!$C$22)+'THAM_SO_MOI'!$C$24*(E67/'THAM_SO_MOI'!$C$22)^2-'THAM_SO_MOI'!$C$25*(E67/'THAM_SO_MOI'!$C$22)^3)</f>
        <v>33.47783680618467</v>
      </c>
      <c r="K67" s="75">
        <f>'THAM_SO_MOI'!$C$31*J67/E67</f>
        <v>353.01062523568476</v>
      </c>
      <c r="L67" s="75">
        <f>K67*'THAM_SO_MOI'!$C$53*'THAM_SO_MOI'!$C$17/'THAM_SO_MOI'!$C$26</f>
        <v>3095.9045646364325</v>
      </c>
      <c r="M67" s="75">
        <f>'THAM_SO_MOI'!$C$15*'THAM_SO_MOI'!$C$16*F67^2</f>
        <v>247.2106869237314</v>
      </c>
      <c r="N67" s="75">
        <f>'THAM_SO_MOI'!$C$12*I67</f>
        <v>1130.112</v>
      </c>
      <c r="O67" s="75">
        <f>M67+N67</f>
        <v>1377.3226869237315</v>
      </c>
      <c r="P67" s="75">
        <f>(MIN(L67,'THAM_SO_MOI'!$C$41)-O67)/('THAM_SO_MOI'!$C$11*H67)</f>
        <v>0.20343061999440115</v>
      </c>
      <c r="Q67" s="75">
        <f>IF(P67&gt;0,1/P67,NA())</f>
        <v>4.915680835203285</v>
      </c>
      <c r="R67" s="75">
        <f>F67-F66</f>
        <v>0.017600427350426884</v>
      </c>
      <c r="S67" s="75">
        <f>0.5*(Q66+Q67)*R67</f>
        <v>0.08654115143410186</v>
      </c>
      <c r="T67" s="75">
        <f>0.5*(F66*Q66+F67*Q67)*R67</f>
        <v>0.7948356154656101</v>
      </c>
      <c r="U67" s="76">
        <f>U66+S67</f>
        <v>5.373857983502319</v>
      </c>
      <c r="V67" s="76">
        <f>V66+T67</f>
        <v>46.50043090468409</v>
      </c>
    </row>
    <row r="68" spans="1:22" ht="19" customHeight="1">
      <c r="A68" s="68" t="s">
        <v>362</v>
      </c>
      <c r="B68" s="74">
        <v>5</v>
      </c>
      <c r="C68" s="68" t="s">
        <v>363</v>
      </c>
      <c r="D68" s="68" t="s">
        <v>364</v>
      </c>
      <c r="E68" s="75">
        <f>60*F68*'THAM_SO_MOI'!$C$53/(2*PI()*'THAM_SO_MOI'!$C$26)</f>
        <v>907.5145263157893</v>
      </c>
      <c r="F68" s="75">
        <f>'THAM_SO_MOI'!$E$53+('THAM_SO_MOI'!$C$14-'THAM_SO_MOI'!$E$53)*62/'THAM_SO_MOI'!$C$42</f>
        <v>9.210884615384616</v>
      </c>
      <c r="G68" s="75">
        <f>3.6*F68</f>
        <v>33.15918461538462</v>
      </c>
      <c r="H68" s="75">
        <f>'THAM_SO_MOI'!$D$53</f>
        <v>1.1</v>
      </c>
      <c r="I68" s="75">
        <f>IF(F68&gt;'THAM_SO_MOI'!$C$14,'THAM_SO_MOI'!$C$13*(1+F68^2/1500),'THAM_SO_MOI'!$C$13)</f>
        <v>0.015</v>
      </c>
      <c r="J68" s="75">
        <f>'THAM_SO_MOI'!$C$40*('THAM_SO_MOI'!$C$23*(E68/'THAM_SO_MOI'!$C$22)+'THAM_SO_MOI'!$C$24*(E68/'THAM_SO_MOI'!$C$22)^2-'THAM_SO_MOI'!$C$25*(E68/'THAM_SO_MOI'!$C$22)^3)</f>
        <v>33.56207118781329</v>
      </c>
      <c r="K68" s="75">
        <f>'THAM_SO_MOI'!$C$31*J68/E68</f>
        <v>353.2226034209949</v>
      </c>
      <c r="L68" s="75">
        <f>K68*'THAM_SO_MOI'!$C$53*'THAM_SO_MOI'!$C$17/'THAM_SO_MOI'!$C$26</f>
        <v>3097.7636141510666</v>
      </c>
      <c r="M68" s="75">
        <f>'THAM_SO_MOI'!$C$15*'THAM_SO_MOI'!$C$16*F68^2</f>
        <v>248.1581565389424</v>
      </c>
      <c r="N68" s="75">
        <f>'THAM_SO_MOI'!$C$12*I68</f>
        <v>1130.112</v>
      </c>
      <c r="O68" s="75">
        <f>M68+N68</f>
        <v>1378.2701565389425</v>
      </c>
      <c r="P68" s="75">
        <f>(MIN(L68,'THAM_SO_MOI'!$C$41)-O68)/('THAM_SO_MOI'!$C$11*H68)</f>
        <v>0.2035385248120412</v>
      </c>
      <c r="Q68" s="75">
        <f>IF(P68&gt;0,1/P68,NA())</f>
        <v>4.913074814330386</v>
      </c>
      <c r="R68" s="75">
        <f>F68-F67</f>
        <v>0.017600427350426884</v>
      </c>
      <c r="S68" s="75">
        <f>0.5*(Q67+Q68)*R68</f>
        <v>0.0864951498773576</v>
      </c>
      <c r="T68" s="75">
        <f>0.5*(F67*Q67+F68*Q68)*R68</f>
        <v>0.7959354676898923</v>
      </c>
      <c r="U68" s="76">
        <f>U67+S68</f>
        <v>5.460353133379677</v>
      </c>
      <c r="V68" s="76">
        <f>V67+T68</f>
        <v>47.29636637237398</v>
      </c>
    </row>
    <row r="69" spans="1:22" ht="19" customHeight="1">
      <c r="A69" s="68" t="s">
        <v>362</v>
      </c>
      <c r="B69" s="74">
        <v>5</v>
      </c>
      <c r="C69" s="68" t="s">
        <v>363</v>
      </c>
      <c r="D69" s="68" t="s">
        <v>364</v>
      </c>
      <c r="E69" s="75">
        <f>60*F69*'THAM_SO_MOI'!$C$53/(2*PI()*'THAM_SO_MOI'!$C$26)</f>
        <v>909.2486315789475</v>
      </c>
      <c r="F69" s="75">
        <f>'THAM_SO_MOI'!$E$53+('THAM_SO_MOI'!$C$14-'THAM_SO_MOI'!$E$53)*63/'THAM_SO_MOI'!$C$42</f>
        <v>9.228485042735045</v>
      </c>
      <c r="G69" s="75">
        <f>3.6*F69</f>
        <v>33.22254615384616</v>
      </c>
      <c r="H69" s="75">
        <f>'THAM_SO_MOI'!$D$53</f>
        <v>1.1</v>
      </c>
      <c r="I69" s="75">
        <f>IF(F69&gt;'THAM_SO_MOI'!$C$14,'THAM_SO_MOI'!$C$13*(1+F69^2/1500),'THAM_SO_MOI'!$C$13)</f>
        <v>0.015</v>
      </c>
      <c r="J69" s="75">
        <f>'THAM_SO_MOI'!$C$40*('THAM_SO_MOI'!$C$23*(E69/'THAM_SO_MOI'!$C$22)+'THAM_SO_MOI'!$C$24*(E69/'THAM_SO_MOI'!$C$22)^2-'THAM_SO_MOI'!$C$25*(E69/'THAM_SO_MOI'!$C$22)^3)</f>
        <v>33.64635477056387</v>
      </c>
      <c r="K69" s="75">
        <f>'THAM_SO_MOI'!$C$31*J69/E69</f>
        <v>353.4342898706802</v>
      </c>
      <c r="L69" s="75">
        <f>K69*'THAM_SO_MOI'!$C$53*'THAM_SO_MOI'!$C$17/'THAM_SO_MOI'!$C$26</f>
        <v>3099.6201051431285</v>
      </c>
      <c r="M69" s="75">
        <f>'THAM_SO_MOI'!$C$15*'THAM_SO_MOI'!$C$16*F69^2</f>
        <v>249.1074383381545</v>
      </c>
      <c r="N69" s="75">
        <f>'THAM_SO_MOI'!$C$12*I69</f>
        <v>1130.112</v>
      </c>
      <c r="O69" s="75">
        <f>M69+N69</f>
        <v>1379.2194383381545</v>
      </c>
      <c r="P69" s="75">
        <f>(MIN(L69,'THAM_SO_MOI'!$C$41)-O69)/('THAM_SO_MOI'!$C$11*H69)</f>
        <v>0.20364591226384632</v>
      </c>
      <c r="Q69" s="75">
        <f>IF(P69&gt;0,1/P69,NA())</f>
        <v>4.910484030263209</v>
      </c>
      <c r="R69" s="75">
        <f>F69-F68</f>
        <v>0.01760042735042866</v>
      </c>
      <c r="S69" s="75">
        <f>0.5*(Q68+Q69)*R69</f>
        <v>0.08644941688346525</v>
      </c>
      <c r="T69" s="75">
        <f>0.5*(F68*Q68+F69*Q69)*R69</f>
        <v>0.7970361766814918</v>
      </c>
      <c r="U69" s="76">
        <f>U68+S69</f>
        <v>5.546802550263142</v>
      </c>
      <c r="V69" s="76">
        <f>V68+T69</f>
        <v>48.093402549055476</v>
      </c>
    </row>
    <row r="70" spans="1:22" ht="19" customHeight="1">
      <c r="A70" s="68" t="s">
        <v>362</v>
      </c>
      <c r="B70" s="74">
        <v>5</v>
      </c>
      <c r="C70" s="68" t="s">
        <v>363</v>
      </c>
      <c r="D70" s="68" t="s">
        <v>364</v>
      </c>
      <c r="E70" s="75">
        <f>60*F70*'THAM_SO_MOI'!$C$53/(2*PI()*'THAM_SO_MOI'!$C$26)</f>
        <v>910.9827368421053</v>
      </c>
      <c r="F70" s="75">
        <f>'THAM_SO_MOI'!$E$53+('THAM_SO_MOI'!$C$14-'THAM_SO_MOI'!$E$53)*64/'THAM_SO_MOI'!$C$42</f>
        <v>9.246085470085472</v>
      </c>
      <c r="G70" s="75">
        <f>3.6*F70</f>
        <v>33.2859076923077</v>
      </c>
      <c r="H70" s="75">
        <f>'THAM_SO_MOI'!$D$53</f>
        <v>1.1</v>
      </c>
      <c r="I70" s="75">
        <f>IF(F70&gt;'THAM_SO_MOI'!$C$14,'THAM_SO_MOI'!$C$13*(1+F70^2/1500),'THAM_SO_MOI'!$C$13)</f>
        <v>0.015</v>
      </c>
      <c r="J70" s="75">
        <f>'THAM_SO_MOI'!$C$40*('THAM_SO_MOI'!$C$23*(E70/'THAM_SO_MOI'!$C$22)+'THAM_SO_MOI'!$C$24*(E70/'THAM_SO_MOI'!$C$22)^2-'THAM_SO_MOI'!$C$25*(E70/'THAM_SO_MOI'!$C$22)^3)</f>
        <v>33.73068739553308</v>
      </c>
      <c r="K70" s="75">
        <f>'THAM_SO_MOI'!$C$31*J70/E70</f>
        <v>353.6456845847404</v>
      </c>
      <c r="L70" s="75">
        <f>K70*'THAM_SO_MOI'!$C$53*'THAM_SO_MOI'!$C$17/'THAM_SO_MOI'!$C$26</f>
        <v>3101.474037612618</v>
      </c>
      <c r="M70" s="75">
        <f>'THAM_SO_MOI'!$C$15*'THAM_SO_MOI'!$C$16*F70^2</f>
        <v>250.0585323213676</v>
      </c>
      <c r="N70" s="75">
        <f>'THAM_SO_MOI'!$C$12*I70</f>
        <v>1130.112</v>
      </c>
      <c r="O70" s="75">
        <f>M70+N70</f>
        <v>1380.1705323213678</v>
      </c>
      <c r="P70" s="75">
        <f>(MIN(L70,'THAM_SO_MOI'!$C$41)-O70)/('THAM_SO_MOI'!$C$11*H70)</f>
        <v>0.20375278234981653</v>
      </c>
      <c r="Q70" s="75">
        <f>IF(P70&gt;0,1/P70,NA())</f>
        <v>4.907908439174747</v>
      </c>
      <c r="R70" s="75">
        <f>F70-F69</f>
        <v>0.017600427350426884</v>
      </c>
      <c r="S70" s="75">
        <f>0.5*(Q69+Q70)*R70</f>
        <v>0.08640395167816058</v>
      </c>
      <c r="T70" s="75">
        <f>0.5*(F69*Q69+F70*Q70)*R70</f>
        <v>0.7981377494687971</v>
      </c>
      <c r="U70" s="76">
        <f>U69+S70</f>
        <v>5.633206501941303</v>
      </c>
      <c r="V70" s="76">
        <f>V69+T70</f>
        <v>48.891540298524276</v>
      </c>
    </row>
    <row r="71" spans="1:22" ht="19" customHeight="1">
      <c r="A71" s="68" t="s">
        <v>362</v>
      </c>
      <c r="B71" s="74">
        <v>5</v>
      </c>
      <c r="C71" s="68" t="s">
        <v>363</v>
      </c>
      <c r="D71" s="68" t="s">
        <v>364</v>
      </c>
      <c r="E71" s="75">
        <f>60*F71*'THAM_SO_MOI'!$C$53/(2*PI()*'THAM_SO_MOI'!$C$26)</f>
        <v>912.7168421052631</v>
      </c>
      <c r="F71" s="75">
        <f>'THAM_SO_MOI'!$E$53+('THAM_SO_MOI'!$C$14-'THAM_SO_MOI'!$E$53)*65/'THAM_SO_MOI'!$C$42</f>
        <v>9.263685897435899</v>
      </c>
      <c r="G71" s="75">
        <f>3.6*F71</f>
        <v>33.34926923076924</v>
      </c>
      <c r="H71" s="75">
        <f>'THAM_SO_MOI'!$D$53</f>
        <v>1.1</v>
      </c>
      <c r="I71" s="75">
        <f>IF(F71&gt;'THAM_SO_MOI'!$C$14,'THAM_SO_MOI'!$C$13*(1+F71^2/1500),'THAM_SO_MOI'!$C$13)</f>
        <v>0.015</v>
      </c>
      <c r="J71" s="75">
        <f>'THAM_SO_MOI'!$C$40*('THAM_SO_MOI'!$C$23*(E71/'THAM_SO_MOI'!$C$22)+'THAM_SO_MOI'!$C$24*(E71/'THAM_SO_MOI'!$C$22)^2-'THAM_SO_MOI'!$C$25*(E71/'THAM_SO_MOI'!$C$22)^3)</f>
        <v>33.81506890381767</v>
      </c>
      <c r="K71" s="75">
        <f>'THAM_SO_MOI'!$C$31*J71/E71</f>
        <v>353.8567875631755</v>
      </c>
      <c r="L71" s="75">
        <f>K71*'THAM_SO_MOI'!$C$53*'THAM_SO_MOI'!$C$17/'THAM_SO_MOI'!$C$26</f>
        <v>3103.3254115595328</v>
      </c>
      <c r="M71" s="75">
        <f>'THAM_SO_MOI'!$C$15*'THAM_SO_MOI'!$C$16*F71^2</f>
        <v>251.01143848858183</v>
      </c>
      <c r="N71" s="75">
        <f>'THAM_SO_MOI'!$C$12*I71</f>
        <v>1130.112</v>
      </c>
      <c r="O71" s="75">
        <f>M71+N71</f>
        <v>1381.123438488582</v>
      </c>
      <c r="P71" s="75">
        <f>(MIN(L71,'THAM_SO_MOI'!$C$41)-O71)/('THAM_SO_MOI'!$C$11*H71)</f>
        <v>0.20385913506995157</v>
      </c>
      <c r="Q71" s="75">
        <f>IF(P71&gt;0,1/P71,NA())</f>
        <v>4.905347997561469</v>
      </c>
      <c r="R71" s="75">
        <f>F71-F70</f>
        <v>0.017600427350426884</v>
      </c>
      <c r="S71" s="75">
        <f>0.5*(Q70+Q71)*R71</f>
        <v>0.08635875349294238</v>
      </c>
      <c r="T71" s="75">
        <f>0.5*(F70*Q70+F71*Q71)*R71</f>
        <v>0.7992401930790229</v>
      </c>
      <c r="U71" s="76">
        <f>U70+S71</f>
        <v>5.7195652554342455</v>
      </c>
      <c r="V71" s="76">
        <f>V70+T71</f>
        <v>49.6907804916033</v>
      </c>
    </row>
    <row r="72" spans="1:22" ht="19" customHeight="1">
      <c r="A72" s="68" t="s">
        <v>362</v>
      </c>
      <c r="B72" s="74">
        <v>5</v>
      </c>
      <c r="C72" s="68" t="s">
        <v>363</v>
      </c>
      <c r="D72" s="68" t="s">
        <v>364</v>
      </c>
      <c r="E72" s="75">
        <f>60*F72*'THAM_SO_MOI'!$C$53/(2*PI()*'THAM_SO_MOI'!$C$26)</f>
        <v>914.4509473684209</v>
      </c>
      <c r="F72" s="75">
        <f>'THAM_SO_MOI'!$E$53+('THAM_SO_MOI'!$C$14-'THAM_SO_MOI'!$E$53)*66/'THAM_SO_MOI'!$C$42</f>
        <v>9.281286324786326</v>
      </c>
      <c r="G72" s="75">
        <f>3.6*F72</f>
        <v>33.41263076923077</v>
      </c>
      <c r="H72" s="75">
        <f>'THAM_SO_MOI'!$D$53</f>
        <v>1.1</v>
      </c>
      <c r="I72" s="75">
        <f>IF(F72&gt;'THAM_SO_MOI'!$C$14,'THAM_SO_MOI'!$C$13*(1+F72^2/1500),'THAM_SO_MOI'!$C$13)</f>
        <v>0.015</v>
      </c>
      <c r="J72" s="75">
        <f>'THAM_SO_MOI'!$C$40*('THAM_SO_MOI'!$C$23*(E72/'THAM_SO_MOI'!$C$22)+'THAM_SO_MOI'!$C$24*(E72/'THAM_SO_MOI'!$C$22)^2-'THAM_SO_MOI'!$C$25*(E72/'THAM_SO_MOI'!$C$22)^3)</f>
        <v>33.89949913651435</v>
      </c>
      <c r="K72" s="75">
        <f>'THAM_SO_MOI'!$C$31*J72/E72</f>
        <v>354.0675988059857</v>
      </c>
      <c r="L72" s="75">
        <f>K72*'THAM_SO_MOI'!$C$53*'THAM_SO_MOI'!$C$17/'THAM_SO_MOI'!$C$26</f>
        <v>3105.174226983876</v>
      </c>
      <c r="M72" s="75">
        <f>'THAM_SO_MOI'!$C$15*'THAM_SO_MOI'!$C$16*F72^2</f>
        <v>251.9661568397971</v>
      </c>
      <c r="N72" s="75">
        <f>'THAM_SO_MOI'!$C$12*I72</f>
        <v>1130.112</v>
      </c>
      <c r="O72" s="75">
        <f>M72+N72</f>
        <v>1382.0781568397972</v>
      </c>
      <c r="P72" s="75">
        <f>(MIN(L72,'THAM_SO_MOI'!$C$41)-O72)/('THAM_SO_MOI'!$C$11*H72)</f>
        <v>0.20396497042425177</v>
      </c>
      <c r="Q72" s="75">
        <f>IF(P72&gt;0,1/P72,NA())</f>
        <v>4.902802662241351</v>
      </c>
      <c r="R72" s="75">
        <f>F72-F71</f>
        <v>0.017600427350426884</v>
      </c>
      <c r="S72" s="75">
        <f>0.5*(Q71+Q72)*R72</f>
        <v>0.08631382156495052</v>
      </c>
      <c r="T72" s="75">
        <f>0.5*(F71*Q71+F72*Q72)*R72</f>
        <v>0.800343514537587</v>
      </c>
      <c r="U72" s="76">
        <f>U71+S72</f>
        <v>5.805879076999196</v>
      </c>
      <c r="V72" s="76">
        <f>V71+T72</f>
        <v>50.491124006140886</v>
      </c>
    </row>
    <row r="73" spans="1:22" ht="19" customHeight="1">
      <c r="A73" s="68" t="s">
        <v>362</v>
      </c>
      <c r="B73" s="74">
        <v>5</v>
      </c>
      <c r="C73" s="68" t="s">
        <v>363</v>
      </c>
      <c r="D73" s="68" t="s">
        <v>364</v>
      </c>
      <c r="E73" s="75">
        <f>60*F73*'THAM_SO_MOI'!$C$53/(2*PI()*'THAM_SO_MOI'!$C$26)</f>
        <v>916.1850526315789</v>
      </c>
      <c r="F73" s="75">
        <f>'THAM_SO_MOI'!$E$53+('THAM_SO_MOI'!$C$14-'THAM_SO_MOI'!$E$53)*67/'THAM_SO_MOI'!$C$42</f>
        <v>9.298886752136752</v>
      </c>
      <c r="G73" s="75">
        <f>3.6*F73</f>
        <v>33.47599230769231</v>
      </c>
      <c r="H73" s="75">
        <f>'THAM_SO_MOI'!$D$53</f>
        <v>1.1</v>
      </c>
      <c r="I73" s="75">
        <f>IF(F73&gt;'THAM_SO_MOI'!$C$14,'THAM_SO_MOI'!$C$13*(1+F73^2/1500),'THAM_SO_MOI'!$C$13)</f>
        <v>0.015</v>
      </c>
      <c r="J73" s="75">
        <f>'THAM_SO_MOI'!$C$40*('THAM_SO_MOI'!$C$23*(E73/'THAM_SO_MOI'!$C$22)+'THAM_SO_MOI'!$C$24*(E73/'THAM_SO_MOI'!$C$22)^2-'THAM_SO_MOI'!$C$25*(E73/'THAM_SO_MOI'!$C$22)^3)</f>
        <v>33.98397793471985</v>
      </c>
      <c r="K73" s="75">
        <f>'THAM_SO_MOI'!$C$31*J73/E73</f>
        <v>354.2781183131707</v>
      </c>
      <c r="L73" s="75">
        <f>K73*'THAM_SO_MOI'!$C$53*'THAM_SO_MOI'!$C$17/'THAM_SO_MOI'!$C$26</f>
        <v>3107.0204838856444</v>
      </c>
      <c r="M73" s="75">
        <f>'THAM_SO_MOI'!$C$15*'THAM_SO_MOI'!$C$16*F73^2</f>
        <v>252.9226873750134</v>
      </c>
      <c r="N73" s="75">
        <f>'THAM_SO_MOI'!$C$12*I73</f>
        <v>1130.112</v>
      </c>
      <c r="O73" s="75">
        <f>M73+N73</f>
        <v>1383.0346873750134</v>
      </c>
      <c r="P73" s="75">
        <f>(MIN(L73,'THAM_SO_MOI'!$C$41)-O73)/('THAM_SO_MOI'!$C$11*H73)</f>
        <v>0.2040702884127167</v>
      </c>
      <c r="Q73" s="75">
        <f>IF(P73&gt;0,1/P73,NA())</f>
        <v>4.900272390351974</v>
      </c>
      <c r="R73" s="75">
        <f>F73-F72</f>
        <v>0.017600427350426884</v>
      </c>
      <c r="S73" s="75">
        <f>0.5*(Q72+Q73)*R73</f>
        <v>0.08626915513697551</v>
      </c>
      <c r="T73" s="75">
        <f>0.5*(F72*Q72+F73*Q73)*R73</f>
        <v>0.8014477208686954</v>
      </c>
      <c r="U73" s="76">
        <f>U72+S73</f>
        <v>5.892148232136172</v>
      </c>
      <c r="V73" s="76">
        <f>V72+T73</f>
        <v>51.29257172700958</v>
      </c>
    </row>
    <row r="74" spans="1:22" ht="19" customHeight="1">
      <c r="A74" s="68" t="s">
        <v>362</v>
      </c>
      <c r="B74" s="74">
        <v>5</v>
      </c>
      <c r="C74" s="68" t="s">
        <v>363</v>
      </c>
      <c r="D74" s="68" t="s">
        <v>364</v>
      </c>
      <c r="E74" s="75">
        <f>60*F74*'THAM_SO_MOI'!$C$53/(2*PI()*'THAM_SO_MOI'!$C$26)</f>
        <v>917.9191578947368</v>
      </c>
      <c r="F74" s="75">
        <f>'THAM_SO_MOI'!$E$53+('THAM_SO_MOI'!$C$14-'THAM_SO_MOI'!$E$53)*68/'THAM_SO_MOI'!$C$42</f>
        <v>9.316487179487181</v>
      </c>
      <c r="G74" s="75">
        <f>3.6*F74</f>
        <v>33.53935384615385</v>
      </c>
      <c r="H74" s="75">
        <f>'THAM_SO_MOI'!$D$53</f>
        <v>1.1</v>
      </c>
      <c r="I74" s="75">
        <f>IF(F74&gt;'THAM_SO_MOI'!$C$14,'THAM_SO_MOI'!$C$13*(1+F74^2/1500),'THAM_SO_MOI'!$C$13)</f>
        <v>0.015</v>
      </c>
      <c r="J74" s="75">
        <f>'THAM_SO_MOI'!$C$40*('THAM_SO_MOI'!$C$23*(E74/'THAM_SO_MOI'!$C$22)+'THAM_SO_MOI'!$C$24*(E74/'THAM_SO_MOI'!$C$22)^2-'THAM_SO_MOI'!$C$25*(E74/'THAM_SO_MOI'!$C$22)^3)</f>
        <v>34.0685051395309</v>
      </c>
      <c r="K74" s="75">
        <f>'THAM_SO_MOI'!$C$31*J74/E74</f>
        <v>354.4883460847308</v>
      </c>
      <c r="L74" s="75">
        <f>K74*'THAM_SO_MOI'!$C$53*'THAM_SO_MOI'!$C$17/'THAM_SO_MOI'!$C$26</f>
        <v>3108.864182264841</v>
      </c>
      <c r="M74" s="75">
        <f>'THAM_SO_MOI'!$C$15*'THAM_SO_MOI'!$C$16*F74^2</f>
        <v>253.88103009423088</v>
      </c>
      <c r="N74" s="75">
        <f>'THAM_SO_MOI'!$C$12*I74</f>
        <v>1130.112</v>
      </c>
      <c r="O74" s="75">
        <f>M74+N74</f>
        <v>1383.993030094231</v>
      </c>
      <c r="P74" s="75">
        <f>(MIN(L74,'THAM_SO_MOI'!$C$41)-O74)/('THAM_SO_MOI'!$C$11*H74)</f>
        <v>0.20417508903534684</v>
      </c>
      <c r="Q74" s="75">
        <f>IF(P74&gt;0,1/P74,NA())</f>
        <v>4.89775713934857</v>
      </c>
      <c r="R74" s="75">
        <f>F74-F73</f>
        <v>0.01760042735042866</v>
      </c>
      <c r="S74" s="75">
        <f>0.5*(Q73+Q74)*R74</f>
        <v>0.08622475345742456</v>
      </c>
      <c r="T74" s="75">
        <f>0.5*(F73*Q73+F74*Q74)*R74</f>
        <v>0.802552819095524</v>
      </c>
      <c r="U74" s="76">
        <f>U73+S74</f>
        <v>5.978372985593597</v>
      </c>
      <c r="V74" s="76">
        <f>V73+T74</f>
        <v>52.095124546105104</v>
      </c>
    </row>
    <row r="75" spans="1:22" ht="19" customHeight="1">
      <c r="A75" s="68" t="s">
        <v>362</v>
      </c>
      <c r="B75" s="74">
        <v>5</v>
      </c>
      <c r="C75" s="68" t="s">
        <v>363</v>
      </c>
      <c r="D75" s="68" t="s">
        <v>364</v>
      </c>
      <c r="E75" s="75">
        <f>60*F75*'THAM_SO_MOI'!$C$53/(2*PI()*'THAM_SO_MOI'!$C$26)</f>
        <v>919.6532631578947</v>
      </c>
      <c r="F75" s="75">
        <f>'THAM_SO_MOI'!$E$53+('THAM_SO_MOI'!$C$14-'THAM_SO_MOI'!$E$53)*69/'THAM_SO_MOI'!$C$42</f>
        <v>9.334087606837608</v>
      </c>
      <c r="G75" s="75">
        <f>3.6*F75</f>
        <v>33.60271538461539</v>
      </c>
      <c r="H75" s="75">
        <f>'THAM_SO_MOI'!$D$53</f>
        <v>1.1</v>
      </c>
      <c r="I75" s="75">
        <f>IF(F75&gt;'THAM_SO_MOI'!$C$14,'THAM_SO_MOI'!$C$13*(1+F75^2/1500),'THAM_SO_MOI'!$C$13)</f>
        <v>0.015</v>
      </c>
      <c r="J75" s="75">
        <f>'THAM_SO_MOI'!$C$40*('THAM_SO_MOI'!$C$23*(E75/'THAM_SO_MOI'!$C$22)+'THAM_SO_MOI'!$C$24*(E75/'THAM_SO_MOI'!$C$22)^2-'THAM_SO_MOI'!$C$25*(E75/'THAM_SO_MOI'!$C$22)^3)</f>
        <v>34.153080592044205</v>
      </c>
      <c r="K75" s="75">
        <f>'THAM_SO_MOI'!$C$31*J75/E75</f>
        <v>354.69828212066585</v>
      </c>
      <c r="L75" s="75">
        <f>K75*'THAM_SO_MOI'!$C$53*'THAM_SO_MOI'!$C$17/'THAM_SO_MOI'!$C$26</f>
        <v>3110.705322121465</v>
      </c>
      <c r="M75" s="75">
        <f>'THAM_SO_MOI'!$C$15*'THAM_SO_MOI'!$C$16*F75^2</f>
        <v>254.84118499744932</v>
      </c>
      <c r="N75" s="75">
        <f>'THAM_SO_MOI'!$C$12*I75</f>
        <v>1130.112</v>
      </c>
      <c r="O75" s="75">
        <f>M75+N75</f>
        <v>1384.9531849974494</v>
      </c>
      <c r="P75" s="75">
        <f>(MIN(L75,'THAM_SO_MOI'!$C$41)-O75)/('THAM_SO_MOI'!$C$11*H75)</f>
        <v>0.204279372292142</v>
      </c>
      <c r="Q75" s="75">
        <f>IF(P75&gt;0,1/P75,NA())</f>
        <v>4.895256867002166</v>
      </c>
      <c r="R75" s="75">
        <f>F75-F74</f>
        <v>0.017600427350426884</v>
      </c>
      <c r="S75" s="75">
        <f>0.5*(Q74+Q75)*R75</f>
        <v>0.08618061578024452</v>
      </c>
      <c r="T75" s="75">
        <f>0.5*(F74*Q74+F75*Q75)*R75</f>
        <v>0.803658816239993</v>
      </c>
      <c r="U75" s="76">
        <f>U74+S75</f>
        <v>6.0645536013738415</v>
      </c>
      <c r="V75" s="76">
        <f>V74+T75</f>
        <v>52.8987833623451</v>
      </c>
    </row>
    <row r="76" spans="1:22" ht="19" customHeight="1">
      <c r="A76" s="68" t="s">
        <v>362</v>
      </c>
      <c r="B76" s="74">
        <v>5</v>
      </c>
      <c r="C76" s="68" t="s">
        <v>363</v>
      </c>
      <c r="D76" s="68" t="s">
        <v>364</v>
      </c>
      <c r="E76" s="75">
        <f>60*F76*'THAM_SO_MOI'!$C$53/(2*PI()*'THAM_SO_MOI'!$C$26)</f>
        <v>921.3873684210524</v>
      </c>
      <c r="F76" s="75">
        <f>'THAM_SO_MOI'!$E$53+('THAM_SO_MOI'!$C$14-'THAM_SO_MOI'!$E$53)*70/'THAM_SO_MOI'!$C$42</f>
        <v>9.351688034188035</v>
      </c>
      <c r="G76" s="75">
        <f>3.6*F76</f>
        <v>33.66607692307693</v>
      </c>
      <c r="H76" s="75">
        <f>'THAM_SO_MOI'!$D$53</f>
        <v>1.1</v>
      </c>
      <c r="I76" s="75">
        <f>IF(F76&gt;'THAM_SO_MOI'!$C$14,'THAM_SO_MOI'!$C$13*(1+F76^2/1500),'THAM_SO_MOI'!$C$13)</f>
        <v>0.015</v>
      </c>
      <c r="J76" s="75">
        <f>'THAM_SO_MOI'!$C$40*('THAM_SO_MOI'!$C$23*(E76/'THAM_SO_MOI'!$C$22)+'THAM_SO_MOI'!$C$24*(E76/'THAM_SO_MOI'!$C$22)^2-'THAM_SO_MOI'!$C$25*(E76/'THAM_SO_MOI'!$C$22)^3)</f>
        <v>34.23770413335647</v>
      </c>
      <c r="K76" s="75">
        <f>'THAM_SO_MOI'!$C$31*J76/E76</f>
        <v>354.9079264209758</v>
      </c>
      <c r="L76" s="75">
        <f>K76*'THAM_SO_MOI'!$C$53*'THAM_SO_MOI'!$C$17/'THAM_SO_MOI'!$C$26</f>
        <v>3112.5439034555143</v>
      </c>
      <c r="M76" s="75">
        <f>'THAM_SO_MOI'!$C$15*'THAM_SO_MOI'!$C$16*F76^2</f>
        <v>255.80315208466885</v>
      </c>
      <c r="N76" s="75">
        <f>'THAM_SO_MOI'!$C$12*I76</f>
        <v>1130.112</v>
      </c>
      <c r="O76" s="75">
        <f>M76+N76</f>
        <v>1385.915152084669</v>
      </c>
      <c r="P76" s="75">
        <f>(MIN(L76,'THAM_SO_MOI'!$C$41)-O76)/('THAM_SO_MOI'!$C$11*H76)</f>
        <v>0.20438313818310194</v>
      </c>
      <c r="Q76" s="75">
        <f>IF(P76&gt;0,1/P76,NA())</f>
        <v>4.892771531397683</v>
      </c>
      <c r="R76" s="75">
        <f>F76-F75</f>
        <v>0.017600427350426884</v>
      </c>
      <c r="S76" s="75">
        <f>0.5*(Q75+Q76)*R76</f>
        <v>0.08613674136497587</v>
      </c>
      <c r="T76" s="75">
        <f>0.5*(F75*Q75+F76*Q76)*R76</f>
        <v>0.8047657193237602</v>
      </c>
      <c r="U76" s="76">
        <f>U75+S76</f>
        <v>6.150690342738818</v>
      </c>
      <c r="V76" s="76">
        <f>V75+T76</f>
        <v>53.70354908166886</v>
      </c>
    </row>
    <row r="77" spans="1:22" ht="19" customHeight="1">
      <c r="A77" s="68" t="s">
        <v>362</v>
      </c>
      <c r="B77" s="74">
        <v>5</v>
      </c>
      <c r="C77" s="68" t="s">
        <v>363</v>
      </c>
      <c r="D77" s="68" t="s">
        <v>364</v>
      </c>
      <c r="E77" s="75">
        <f>60*F77*'THAM_SO_MOI'!$C$53/(2*PI()*'THAM_SO_MOI'!$C$26)</f>
        <v>923.1214736842104</v>
      </c>
      <c r="F77" s="75">
        <f>'THAM_SO_MOI'!$E$53+('THAM_SO_MOI'!$C$14-'THAM_SO_MOI'!$E$53)*71/'THAM_SO_MOI'!$C$42</f>
        <v>9.369288461538464</v>
      </c>
      <c r="G77" s="75">
        <f>3.6*F77</f>
        <v>33.72943846153847</v>
      </c>
      <c r="H77" s="75">
        <f>'THAM_SO_MOI'!$D$53</f>
        <v>1.1</v>
      </c>
      <c r="I77" s="75">
        <f>IF(F77&gt;'THAM_SO_MOI'!$C$14,'THAM_SO_MOI'!$C$13*(1+F77^2/1500),'THAM_SO_MOI'!$C$13)</f>
        <v>0.015</v>
      </c>
      <c r="J77" s="75">
        <f>'THAM_SO_MOI'!$C$40*('THAM_SO_MOI'!$C$23*(E77/'THAM_SO_MOI'!$C$22)+'THAM_SO_MOI'!$C$24*(E77/'THAM_SO_MOI'!$C$22)^2-'THAM_SO_MOI'!$C$25*(E77/'THAM_SO_MOI'!$C$22)^3)</f>
        <v>34.32237560456446</v>
      </c>
      <c r="K77" s="75">
        <f>'THAM_SO_MOI'!$C$31*J77/E77</f>
        <v>355.1172789856608</v>
      </c>
      <c r="L77" s="75">
        <f>K77*'THAM_SO_MOI'!$C$53*'THAM_SO_MOI'!$C$17/'THAM_SO_MOI'!$C$26</f>
        <v>3114.379926266992</v>
      </c>
      <c r="M77" s="75">
        <f>'THAM_SO_MOI'!$C$15*'THAM_SO_MOI'!$C$16*F77^2</f>
        <v>256.76693135588954</v>
      </c>
      <c r="N77" s="75">
        <f>'THAM_SO_MOI'!$C$12*I77</f>
        <v>1130.112</v>
      </c>
      <c r="O77" s="75">
        <f>M77+N77</f>
        <v>1386.8789313558896</v>
      </c>
      <c r="P77" s="75">
        <f>(MIN(L77,'THAM_SO_MOI'!$C$41)-O77)/('THAM_SO_MOI'!$C$11*H77)</f>
        <v>0.20448638670822705</v>
      </c>
      <c r="Q77" s="75">
        <f>IF(P77&gt;0,1/P77,NA())</f>
        <v>4.890301090932071</v>
      </c>
      <c r="R77" s="75">
        <f>F77-F76</f>
        <v>0.01760042735042866</v>
      </c>
      <c r="S77" s="75">
        <f>0.5*(Q76+Q77)*R77</f>
        <v>0.08609312947664122</v>
      </c>
      <c r="T77" s="75">
        <f>0.5*(F76*Q76+F77*Q77)*R77</f>
        <v>0.8058735353676688</v>
      </c>
      <c r="U77" s="76">
        <f>U76+S77</f>
        <v>6.236783472215459</v>
      </c>
      <c r="V77" s="76">
        <f>V76+T77</f>
        <v>54.50942261703653</v>
      </c>
    </row>
    <row r="78" spans="1:22" ht="19" customHeight="1">
      <c r="A78" s="68" t="s">
        <v>362</v>
      </c>
      <c r="B78" s="74">
        <v>5</v>
      </c>
      <c r="C78" s="68" t="s">
        <v>363</v>
      </c>
      <c r="D78" s="68" t="s">
        <v>364</v>
      </c>
      <c r="E78" s="75">
        <f>60*F78*'THAM_SO_MOI'!$C$53/(2*PI()*'THAM_SO_MOI'!$C$26)</f>
        <v>924.8555789473681</v>
      </c>
      <c r="F78" s="75">
        <f>'THAM_SO_MOI'!$E$53+('THAM_SO_MOI'!$C$14-'THAM_SO_MOI'!$E$53)*72/'THAM_SO_MOI'!$C$42</f>
        <v>9.38688888888889</v>
      </c>
      <c r="G78" s="75">
        <f>3.6*F78</f>
        <v>33.79280000000001</v>
      </c>
      <c r="H78" s="75">
        <f>'THAM_SO_MOI'!$D$53</f>
        <v>1.1</v>
      </c>
      <c r="I78" s="75">
        <f>IF(F78&gt;'THAM_SO_MOI'!$C$14,'THAM_SO_MOI'!$C$13*(1+F78^2/1500),'THAM_SO_MOI'!$C$13)</f>
        <v>0.015</v>
      </c>
      <c r="J78" s="75">
        <f>'THAM_SO_MOI'!$C$40*('THAM_SO_MOI'!$C$23*(E78/'THAM_SO_MOI'!$C$22)+'THAM_SO_MOI'!$C$24*(E78/'THAM_SO_MOI'!$C$22)^2-'THAM_SO_MOI'!$C$25*(E78/'THAM_SO_MOI'!$C$22)^3)</f>
        <v>34.407094846764856</v>
      </c>
      <c r="K78" s="75">
        <f>'THAM_SO_MOI'!$C$31*J78/E78</f>
        <v>355.32633981472065</v>
      </c>
      <c r="L78" s="75">
        <f>K78*'THAM_SO_MOI'!$C$53*'THAM_SO_MOI'!$C$17/'THAM_SO_MOI'!$C$26</f>
        <v>3116.213390555896</v>
      </c>
      <c r="M78" s="75">
        <f>'THAM_SO_MOI'!$C$15*'THAM_SO_MOI'!$C$16*F78^2</f>
        <v>257.7325228111112</v>
      </c>
      <c r="N78" s="75">
        <f>'THAM_SO_MOI'!$C$12*I78</f>
        <v>1130.112</v>
      </c>
      <c r="O78" s="75">
        <f>M78+N78</f>
        <v>1387.8445228111113</v>
      </c>
      <c r="P78" s="75">
        <f>(MIN(L78,'THAM_SO_MOI'!$C$41)-O78)/('THAM_SO_MOI'!$C$11*H78)</f>
        <v>0.2045891178675171</v>
      </c>
      <c r="Q78" s="75">
        <f>IF(P78&gt;0,1/P78,NA())</f>
        <v>4.887845504312482</v>
      </c>
      <c r="R78" s="75">
        <f>F78-F77</f>
        <v>0.017600427350426884</v>
      </c>
      <c r="S78" s="75">
        <f>0.5*(Q77+Q78)*R78</f>
        <v>0.08604977938571287</v>
      </c>
      <c r="T78" s="75">
        <f>0.5*(F77*Q77+F78*Q78)*R78</f>
        <v>0.8069822713919265</v>
      </c>
      <c r="U78" s="76">
        <f>U77+S78</f>
        <v>6.322833251601171</v>
      </c>
      <c r="V78" s="76">
        <f>V77+T78</f>
        <v>55.31640488842845</v>
      </c>
    </row>
    <row r="79" spans="1:22" ht="19" customHeight="1">
      <c r="A79" s="68" t="s">
        <v>362</v>
      </c>
      <c r="B79" s="74">
        <v>5</v>
      </c>
      <c r="C79" s="68" t="s">
        <v>363</v>
      </c>
      <c r="D79" s="68" t="s">
        <v>364</v>
      </c>
      <c r="E79" s="75">
        <f>60*F79*'THAM_SO_MOI'!$C$53/(2*PI()*'THAM_SO_MOI'!$C$26)</f>
        <v>926.5896842105263</v>
      </c>
      <c r="F79" s="75">
        <f>'THAM_SO_MOI'!$E$53+('THAM_SO_MOI'!$C$14-'THAM_SO_MOI'!$E$53)*73/'THAM_SO_MOI'!$C$42</f>
        <v>9.404489316239317</v>
      </c>
      <c r="G79" s="75">
        <f>3.6*F79</f>
        <v>33.85616153846154</v>
      </c>
      <c r="H79" s="75">
        <f>'THAM_SO_MOI'!$D$53</f>
        <v>1.1</v>
      </c>
      <c r="I79" s="75">
        <f>IF(F79&gt;'THAM_SO_MOI'!$C$14,'THAM_SO_MOI'!$C$13*(1+F79^2/1500),'THAM_SO_MOI'!$C$13)</f>
        <v>0.015</v>
      </c>
      <c r="J79" s="75">
        <f>'THAM_SO_MOI'!$C$40*('THAM_SO_MOI'!$C$23*(E79/'THAM_SO_MOI'!$C$22)+'THAM_SO_MOI'!$C$24*(E79/'THAM_SO_MOI'!$C$22)^2-'THAM_SO_MOI'!$C$25*(E79/'THAM_SO_MOI'!$C$22)^3)</f>
        <v>34.491861701054425</v>
      </c>
      <c r="K79" s="75">
        <f>'THAM_SO_MOI'!$C$31*J79/E79</f>
        <v>355.5351089081556</v>
      </c>
      <c r="L79" s="75">
        <f>K79*'THAM_SO_MOI'!$C$53*'THAM_SO_MOI'!$C$17/'THAM_SO_MOI'!$C$26</f>
        <v>3118.044296322227</v>
      </c>
      <c r="M79" s="75">
        <f>'THAM_SO_MOI'!$C$15*'THAM_SO_MOI'!$C$16*F79^2</f>
        <v>258.6999264503339</v>
      </c>
      <c r="N79" s="75">
        <f>'THAM_SO_MOI'!$C$12*I79</f>
        <v>1130.112</v>
      </c>
      <c r="O79" s="75">
        <f>M79+N79</f>
        <v>1388.8119264503339</v>
      </c>
      <c r="P79" s="75">
        <f>(MIN(L79,'THAM_SO_MOI'!$C$41)-O79)/('THAM_SO_MOI'!$C$11*H79)</f>
        <v>0.20469133166097223</v>
      </c>
      <c r="Q79" s="75">
        <f>IF(P79&gt;0,1/P79,NA())</f>
        <v>4.885404730554432</v>
      </c>
      <c r="R79" s="75">
        <f>F79-F78</f>
        <v>0.017600427350426884</v>
      </c>
      <c r="S79" s="75">
        <f>0.5*(Q78+Q79)*R79</f>
        <v>0.0860066903681588</v>
      </c>
      <c r="T79" s="75">
        <f>0.5*(F78*Q78+F79*Q79)*R79</f>
        <v>0.8080919344170158</v>
      </c>
      <c r="U79" s="76">
        <f>U78+S79</f>
        <v>6.40883994196933</v>
      </c>
      <c r="V79" s="76">
        <f>V78+T79</f>
        <v>56.124496822845465</v>
      </c>
    </row>
    <row r="80" spans="1:22" ht="19" customHeight="1">
      <c r="A80" s="68" t="s">
        <v>362</v>
      </c>
      <c r="B80" s="74">
        <v>5</v>
      </c>
      <c r="C80" s="68" t="s">
        <v>363</v>
      </c>
      <c r="D80" s="68" t="s">
        <v>364</v>
      </c>
      <c r="E80" s="75">
        <f>60*F80*'THAM_SO_MOI'!$C$53/(2*PI()*'THAM_SO_MOI'!$C$26)</f>
        <v>928.3237894736842</v>
      </c>
      <c r="F80" s="75">
        <f>'THAM_SO_MOI'!$E$53+('THAM_SO_MOI'!$C$14-'THAM_SO_MOI'!$E$53)*74/'THAM_SO_MOI'!$C$42</f>
        <v>9.422089743589744</v>
      </c>
      <c r="G80" s="75">
        <f>3.6*F80</f>
        <v>33.91952307692308</v>
      </c>
      <c r="H80" s="75">
        <f>'THAM_SO_MOI'!$D$53</f>
        <v>1.1</v>
      </c>
      <c r="I80" s="75">
        <f>IF(F80&gt;'THAM_SO_MOI'!$C$14,'THAM_SO_MOI'!$C$13*(1+F80^2/1500),'THAM_SO_MOI'!$C$13)</f>
        <v>0.015</v>
      </c>
      <c r="J80" s="75">
        <f>'THAM_SO_MOI'!$C$40*('THAM_SO_MOI'!$C$23*(E80/'THAM_SO_MOI'!$C$22)+'THAM_SO_MOI'!$C$24*(E80/'THAM_SO_MOI'!$C$22)^2-'THAM_SO_MOI'!$C$25*(E80/'THAM_SO_MOI'!$C$22)^3)</f>
        <v>34.57667600852982</v>
      </c>
      <c r="K80" s="75">
        <f>'THAM_SO_MOI'!$C$31*J80/E80</f>
        <v>355.74358626596535</v>
      </c>
      <c r="L80" s="75">
        <f>K80*'THAM_SO_MOI'!$C$53*'THAM_SO_MOI'!$C$17/'THAM_SO_MOI'!$C$26</f>
        <v>3119.8726435659837</v>
      </c>
      <c r="M80" s="75">
        <f>'THAM_SO_MOI'!$C$15*'THAM_SO_MOI'!$C$16*F80^2</f>
        <v>259.6691422735577</v>
      </c>
      <c r="N80" s="75">
        <f>'THAM_SO_MOI'!$C$12*I80</f>
        <v>1130.112</v>
      </c>
      <c r="O80" s="75">
        <f>M80+N80</f>
        <v>1389.7811422735579</v>
      </c>
      <c r="P80" s="75">
        <f>(MIN(L80,'THAM_SO_MOI'!$C$41)-O80)/('THAM_SO_MOI'!$C$11*H80)</f>
        <v>0.2047930280885921</v>
      </c>
      <c r="Q80" s="75">
        <f>IF(P80&gt;0,1/P80,NA())</f>
        <v>4.882978728980006</v>
      </c>
      <c r="R80" s="75">
        <f>F80-F79</f>
        <v>0.017600427350426884</v>
      </c>
      <c r="S80" s="75">
        <f>0.5*(Q79+Q80)*R80</f>
        <v>0.08596386170532375</v>
      </c>
      <c r="T80" s="75">
        <f>0.5*(F79*Q79+F80*Q80)*R80</f>
        <v>0.8092025314630593</v>
      </c>
      <c r="U80" s="76">
        <f>U79+S80</f>
        <v>6.494803803674653</v>
      </c>
      <c r="V80" s="76">
        <f>V79+T80</f>
        <v>56.93369935430852</v>
      </c>
    </row>
    <row r="81" spans="1:22" ht="19" customHeight="1">
      <c r="A81" s="68" t="s">
        <v>362</v>
      </c>
      <c r="B81" s="74">
        <v>5</v>
      </c>
      <c r="C81" s="68" t="s">
        <v>363</v>
      </c>
      <c r="D81" s="68" t="s">
        <v>364</v>
      </c>
      <c r="E81" s="75">
        <f>60*F81*'THAM_SO_MOI'!$C$53/(2*PI()*'THAM_SO_MOI'!$C$26)</f>
        <v>930.0578947368422</v>
      </c>
      <c r="F81" s="75">
        <f>'THAM_SO_MOI'!$E$53+('THAM_SO_MOI'!$C$14-'THAM_SO_MOI'!$E$53)*75/'THAM_SO_MOI'!$C$42</f>
        <v>9.439690170940173</v>
      </c>
      <c r="G81" s="75">
        <f>3.6*F81</f>
        <v>33.98288461538462</v>
      </c>
      <c r="H81" s="75">
        <f>'THAM_SO_MOI'!$D$53</f>
        <v>1.1</v>
      </c>
      <c r="I81" s="75">
        <f>IF(F81&gt;'THAM_SO_MOI'!$C$14,'THAM_SO_MOI'!$C$13*(1+F81^2/1500),'THAM_SO_MOI'!$C$13)</f>
        <v>0.015</v>
      </c>
      <c r="J81" s="75">
        <f>'THAM_SO_MOI'!$C$40*('THAM_SO_MOI'!$C$23*(E81/'THAM_SO_MOI'!$C$22)+'THAM_SO_MOI'!$C$24*(E81/'THAM_SO_MOI'!$C$22)^2-'THAM_SO_MOI'!$C$25*(E81/'THAM_SO_MOI'!$C$22)^3)</f>
        <v>34.66153761028783</v>
      </c>
      <c r="K81" s="75">
        <f>'THAM_SO_MOI'!$C$31*J81/E81</f>
        <v>355.95177188815023</v>
      </c>
      <c r="L81" s="75">
        <f>K81*'THAM_SO_MOI'!$C$53*'THAM_SO_MOI'!$C$17/'THAM_SO_MOI'!$C$26</f>
        <v>3121.6984322871685</v>
      </c>
      <c r="M81" s="75">
        <f>'THAM_SO_MOI'!$C$15*'THAM_SO_MOI'!$C$16*F81^2</f>
        <v>260.64017028078274</v>
      </c>
      <c r="N81" s="75">
        <f>'THAM_SO_MOI'!$C$12*I81</f>
        <v>1130.112</v>
      </c>
      <c r="O81" s="75">
        <f>M81+N81</f>
        <v>1390.7521702807828</v>
      </c>
      <c r="P81" s="75">
        <f>(MIN(L81,'THAM_SO_MOI'!$C$41)-O81)/('THAM_SO_MOI'!$C$11*H81)</f>
        <v>0.20489420715037712</v>
      </c>
      <c r="Q81" s="75">
        <f>IF(P81&gt;0,1/P81,NA())</f>
        <v>4.880567459216035</v>
      </c>
      <c r="R81" s="75">
        <f>F81-F80</f>
        <v>0.01760042735042866</v>
      </c>
      <c r="S81" s="75">
        <f>0.5*(Q80+Q81)*R81</f>
        <v>0.08592129268394955</v>
      </c>
      <c r="T81" s="75">
        <f>0.5*(F80*Q80+F81*Q81)*R81</f>
        <v>0.8103140695504841</v>
      </c>
      <c r="U81" s="76">
        <f>U80+S81</f>
        <v>6.580725096358603</v>
      </c>
      <c r="V81" s="76">
        <f>V80+T81</f>
        <v>57.74401342385901</v>
      </c>
    </row>
    <row r="82" spans="1:22" ht="19" customHeight="1">
      <c r="A82" s="68" t="s">
        <v>362</v>
      </c>
      <c r="B82" s="74">
        <v>5</v>
      </c>
      <c r="C82" s="68" t="s">
        <v>363</v>
      </c>
      <c r="D82" s="68" t="s">
        <v>364</v>
      </c>
      <c r="E82" s="75">
        <f>60*F82*'THAM_SO_MOI'!$C$53/(2*PI()*'THAM_SO_MOI'!$C$26)</f>
        <v>931.7919999999999</v>
      </c>
      <c r="F82" s="75">
        <f>'THAM_SO_MOI'!$E$53+('THAM_SO_MOI'!$C$14-'THAM_SO_MOI'!$E$53)*76/'THAM_SO_MOI'!$C$42</f>
        <v>9.4572905982906</v>
      </c>
      <c r="G82" s="75">
        <f>3.6*F82</f>
        <v>34.04624615384616</v>
      </c>
      <c r="H82" s="75">
        <f>'THAM_SO_MOI'!$D$53</f>
        <v>1.1</v>
      </c>
      <c r="I82" s="75">
        <f>IF(F82&gt;'THAM_SO_MOI'!$C$14,'THAM_SO_MOI'!$C$13*(1+F82^2/1500),'THAM_SO_MOI'!$C$13)</f>
        <v>0.015</v>
      </c>
      <c r="J82" s="75">
        <f>'THAM_SO_MOI'!$C$40*('THAM_SO_MOI'!$C$23*(E82/'THAM_SO_MOI'!$C$22)+'THAM_SO_MOI'!$C$24*(E82/'THAM_SO_MOI'!$C$22)^2-'THAM_SO_MOI'!$C$25*(E82/'THAM_SO_MOI'!$C$22)^3)</f>
        <v>34.746446347425135</v>
      </c>
      <c r="K82" s="75">
        <f>'THAM_SO_MOI'!$C$31*J82/E82</f>
        <v>356.1596657747101</v>
      </c>
      <c r="L82" s="75">
        <f>K82*'THAM_SO_MOI'!$C$53*'THAM_SO_MOI'!$C$17/'THAM_SO_MOI'!$C$26</f>
        <v>3123.5216624857812</v>
      </c>
      <c r="M82" s="75">
        <f>'THAM_SO_MOI'!$C$15*'THAM_SO_MOI'!$C$16*F82^2</f>
        <v>261.6130104720087</v>
      </c>
      <c r="N82" s="75">
        <f>'THAM_SO_MOI'!$C$12*I82</f>
        <v>1130.112</v>
      </c>
      <c r="O82" s="75">
        <f>M82+N82</f>
        <v>1391.7250104720088</v>
      </c>
      <c r="P82" s="75">
        <f>(MIN(L82,'THAM_SO_MOI'!$C$41)-O82)/('THAM_SO_MOI'!$C$11*H82)</f>
        <v>0.20499486884632723</v>
      </c>
      <c r="Q82" s="75">
        <f>IF(P82&gt;0,1/P82,NA())</f>
        <v>4.878170881192358</v>
      </c>
      <c r="R82" s="75">
        <f>F82-F81</f>
        <v>0.017600427350426884</v>
      </c>
      <c r="S82" s="75">
        <f>0.5*(Q81+Q82)*R82</f>
        <v>0.08587898259609167</v>
      </c>
      <c r="T82" s="75">
        <f>0.5*(F81*Q81+F82*Q82)*R82</f>
        <v>0.8114265556997092</v>
      </c>
      <c r="U82" s="76">
        <f>U81+S82</f>
        <v>6.666604078954695</v>
      </c>
      <c r="V82" s="76">
        <f>V81+T82</f>
        <v>58.55543997955872</v>
      </c>
    </row>
    <row r="83" spans="1:22" ht="19" customHeight="1">
      <c r="A83" s="68" t="s">
        <v>362</v>
      </c>
      <c r="B83" s="74">
        <v>5</v>
      </c>
      <c r="C83" s="68" t="s">
        <v>363</v>
      </c>
      <c r="D83" s="68" t="s">
        <v>364</v>
      </c>
      <c r="E83" s="75">
        <f>60*F83*'THAM_SO_MOI'!$C$53/(2*PI()*'THAM_SO_MOI'!$C$26)</f>
        <v>933.5261052631578</v>
      </c>
      <c r="F83" s="75">
        <f>'THAM_SO_MOI'!$E$53+('THAM_SO_MOI'!$C$14-'THAM_SO_MOI'!$E$53)*77/'THAM_SO_MOI'!$C$42</f>
        <v>9.474891025641027</v>
      </c>
      <c r="G83" s="75">
        <f>3.6*F83</f>
        <v>34.1096076923077</v>
      </c>
      <c r="H83" s="75">
        <f>'THAM_SO_MOI'!$D$53</f>
        <v>1.1</v>
      </c>
      <c r="I83" s="75">
        <f>IF(F83&gt;'THAM_SO_MOI'!$C$14,'THAM_SO_MOI'!$C$13*(1+F83^2/1500),'THAM_SO_MOI'!$C$13)</f>
        <v>0.015</v>
      </c>
      <c r="J83" s="75">
        <f>'THAM_SO_MOI'!$C$40*('THAM_SO_MOI'!$C$23*(E83/'THAM_SO_MOI'!$C$22)+'THAM_SO_MOI'!$C$24*(E83/'THAM_SO_MOI'!$C$22)^2-'THAM_SO_MOI'!$C$25*(E83/'THAM_SO_MOI'!$C$22)^3)</f>
        <v>34.83140206103846</v>
      </c>
      <c r="K83" s="75">
        <f>'THAM_SO_MOI'!$C$31*J83/E83</f>
        <v>356.36726792564474</v>
      </c>
      <c r="L83" s="75">
        <f>K83*'THAM_SO_MOI'!$C$53*'THAM_SO_MOI'!$C$17/'THAM_SO_MOI'!$C$26</f>
        <v>3125.3423341618186</v>
      </c>
      <c r="M83" s="75">
        <f>'THAM_SO_MOI'!$C$15*'THAM_SO_MOI'!$C$16*F83^2</f>
        <v>262.58766284723566</v>
      </c>
      <c r="N83" s="75">
        <f>'THAM_SO_MOI'!$C$12*I83</f>
        <v>1130.112</v>
      </c>
      <c r="O83" s="75">
        <f>M83+N83</f>
        <v>1392.6996628472357</v>
      </c>
      <c r="P83" s="75">
        <f>(MIN(L83,'THAM_SO_MOI'!$C$41)-O83)/('THAM_SO_MOI'!$C$11*H83)</f>
        <v>0.2050950131764421</v>
      </c>
      <c r="Q83" s="75">
        <f>IF(P83&gt;0,1/P83,NA())</f>
        <v>4.875788955140052</v>
      </c>
      <c r="R83" s="75">
        <f>F83-F82</f>
        <v>0.017600427350426884</v>
      </c>
      <c r="S83" s="75">
        <f>0.5*(Q82+Q83)*R83</f>
        <v>0.08583693073917513</v>
      </c>
      <c r="T83" s="75">
        <f>0.5*(F82*Q82+F83*Q83)*R83</f>
        <v>0.8125399969321404</v>
      </c>
      <c r="U83" s="76">
        <f>U82+S83</f>
        <v>6.75244100969387</v>
      </c>
      <c r="V83" s="76">
        <f>V82+T83</f>
        <v>59.36797997649086</v>
      </c>
    </row>
    <row r="84" spans="1:22" ht="19" customHeight="1">
      <c r="A84" s="68" t="s">
        <v>362</v>
      </c>
      <c r="B84" s="74">
        <v>5</v>
      </c>
      <c r="C84" s="68" t="s">
        <v>363</v>
      </c>
      <c r="D84" s="68" t="s">
        <v>364</v>
      </c>
      <c r="E84" s="75">
        <f>60*F84*'THAM_SO_MOI'!$C$53/(2*PI()*'THAM_SO_MOI'!$C$26)</f>
        <v>935.2602105263157</v>
      </c>
      <c r="F84" s="75">
        <f>'THAM_SO_MOI'!$E$53+('THAM_SO_MOI'!$C$14-'THAM_SO_MOI'!$E$53)*78/'THAM_SO_MOI'!$C$42</f>
        <v>9.492491452991453</v>
      </c>
      <c r="G84" s="75">
        <f>3.6*F84</f>
        <v>34.17296923076923</v>
      </c>
      <c r="H84" s="75">
        <f>'THAM_SO_MOI'!$D$53</f>
        <v>1.1</v>
      </c>
      <c r="I84" s="75">
        <f>IF(F84&gt;'THAM_SO_MOI'!$C$14,'THAM_SO_MOI'!$C$13*(1+F84^2/1500),'THAM_SO_MOI'!$C$13)</f>
        <v>0.015</v>
      </c>
      <c r="J84" s="75">
        <f>'THAM_SO_MOI'!$C$40*('THAM_SO_MOI'!$C$23*(E84/'THAM_SO_MOI'!$C$22)+'THAM_SO_MOI'!$C$24*(E84/'THAM_SO_MOI'!$C$22)^2-'THAM_SO_MOI'!$C$25*(E84/'THAM_SO_MOI'!$C$22)^3)</f>
        <v>34.91640459222455</v>
      </c>
      <c r="K84" s="75">
        <f>'THAM_SO_MOI'!$C$31*J84/E84</f>
        <v>356.57457834095453</v>
      </c>
      <c r="L84" s="75">
        <f>K84*'THAM_SO_MOI'!$C$53*'THAM_SO_MOI'!$C$17/'THAM_SO_MOI'!$C$26</f>
        <v>3127.1604473152847</v>
      </c>
      <c r="M84" s="75">
        <f>'THAM_SO_MOI'!$C$15*'THAM_SO_MOI'!$C$16*F84^2</f>
        <v>263.56412740646374</v>
      </c>
      <c r="N84" s="75">
        <f>'THAM_SO_MOI'!$C$12*I84</f>
        <v>1130.112</v>
      </c>
      <c r="O84" s="75">
        <f>M84+N84</f>
        <v>1393.6761274064638</v>
      </c>
      <c r="P84" s="75">
        <f>(MIN(L84,'THAM_SO_MOI'!$C$41)-O84)/('THAM_SO_MOI'!$C$11*H84)</f>
        <v>0.20519464014072217</v>
      </c>
      <c r="Q84" s="75">
        <f>IF(P84&gt;0,1/P84,NA())</f>
        <v>4.873421641589671</v>
      </c>
      <c r="R84" s="75">
        <f>F84-F83</f>
        <v>0.017600427350426884</v>
      </c>
      <c r="S84" s="75">
        <f>0.5*(Q83+Q84)*R84</f>
        <v>0.08579513641587672</v>
      </c>
      <c r="T84" s="75">
        <f>0.5*(F83*Q83+F84*Q84)*R84</f>
        <v>0.8136544002695274</v>
      </c>
      <c r="U84" s="76">
        <f>U83+S84</f>
        <v>6.838236146109747</v>
      </c>
      <c r="V84" s="76">
        <f>V83+T84</f>
        <v>60.181634376760385</v>
      </c>
    </row>
    <row r="85" spans="1:22" ht="19" customHeight="1">
      <c r="A85" s="68" t="s">
        <v>362</v>
      </c>
      <c r="B85" s="74">
        <v>5</v>
      </c>
      <c r="C85" s="68" t="s">
        <v>363</v>
      </c>
      <c r="D85" s="68" t="s">
        <v>364</v>
      </c>
      <c r="E85" s="75">
        <f>60*F85*'THAM_SO_MOI'!$C$53/(2*PI()*'THAM_SO_MOI'!$C$26)</f>
        <v>936.9943157894737</v>
      </c>
      <c r="F85" s="75">
        <f>'THAM_SO_MOI'!$E$53+('THAM_SO_MOI'!$C$14-'THAM_SO_MOI'!$E$53)*79/'THAM_SO_MOI'!$C$42</f>
        <v>9.510091880341882</v>
      </c>
      <c r="G85" s="75">
        <f>3.6*F85</f>
        <v>34.236330769230776</v>
      </c>
      <c r="H85" s="75">
        <f>'THAM_SO_MOI'!$D$53</f>
        <v>1.1</v>
      </c>
      <c r="I85" s="75">
        <f>IF(F85&gt;'THAM_SO_MOI'!$C$14,'THAM_SO_MOI'!$C$13*(1+F85^2/1500),'THAM_SO_MOI'!$C$13)</f>
        <v>0.015</v>
      </c>
      <c r="J85" s="75">
        <f>'THAM_SO_MOI'!$C$40*('THAM_SO_MOI'!$C$23*(E85/'THAM_SO_MOI'!$C$22)+'THAM_SO_MOI'!$C$24*(E85/'THAM_SO_MOI'!$C$22)^2-'THAM_SO_MOI'!$C$25*(E85/'THAM_SO_MOI'!$C$22)^3)</f>
        <v>35.001453782080105</v>
      </c>
      <c r="K85" s="75">
        <f>'THAM_SO_MOI'!$C$31*J85/E85</f>
        <v>356.78159702063914</v>
      </c>
      <c r="L85" s="75">
        <f>K85*'THAM_SO_MOI'!$C$53*'THAM_SO_MOI'!$C$17/'THAM_SO_MOI'!$C$26</f>
        <v>3128.976001946176</v>
      </c>
      <c r="M85" s="75">
        <f>'THAM_SO_MOI'!$C$15*'THAM_SO_MOI'!$C$16*F85^2</f>
        <v>264.54240414969297</v>
      </c>
      <c r="N85" s="75">
        <f>'THAM_SO_MOI'!$C$12*I85</f>
        <v>1130.112</v>
      </c>
      <c r="O85" s="75">
        <f>M85+N85</f>
        <v>1394.6544041496932</v>
      </c>
      <c r="P85" s="75">
        <f>(MIN(L85,'THAM_SO_MOI'!$C$41)-O85)/('THAM_SO_MOI'!$C$11*H85)</f>
        <v>0.205293749739167</v>
      </c>
      <c r="Q85" s="75">
        <f>IF(P85&gt;0,1/P85,NA())</f>
        <v>4.8710689013695525</v>
      </c>
      <c r="R85" s="75">
        <f>F85-F84</f>
        <v>0.01760042735042866</v>
      </c>
      <c r="S85" s="75">
        <f>0.5*(Q84+Q85)*R85</f>
        <v>0.08575359893414647</v>
      </c>
      <c r="T85" s="75">
        <f>0.5*(F84*Q84+F85*Q85)*R85</f>
        <v>0.8147697727346309</v>
      </c>
      <c r="U85" s="76">
        <f>U84+S85</f>
        <v>6.923989745043893</v>
      </c>
      <c r="V85" s="76">
        <f>V84+T85</f>
        <v>60.996404149495014</v>
      </c>
    </row>
    <row r="86" spans="1:22" ht="19" customHeight="1">
      <c r="A86" s="68" t="s">
        <v>362</v>
      </c>
      <c r="B86" s="74">
        <v>5</v>
      </c>
      <c r="C86" s="68" t="s">
        <v>363</v>
      </c>
      <c r="D86" s="68" t="s">
        <v>364</v>
      </c>
      <c r="E86" s="75">
        <f>60*F86*'THAM_SO_MOI'!$C$53/(2*PI()*'THAM_SO_MOI'!$C$26)</f>
        <v>938.7284210526315</v>
      </c>
      <c r="F86" s="75">
        <f>'THAM_SO_MOI'!$E$53+('THAM_SO_MOI'!$C$14-'THAM_SO_MOI'!$E$53)*80/'THAM_SO_MOI'!$C$42</f>
        <v>9.527692307692309</v>
      </c>
      <c r="G86" s="75">
        <f>3.6*F86</f>
        <v>34.29969230769231</v>
      </c>
      <c r="H86" s="75">
        <f>'THAM_SO_MOI'!$D$53</f>
        <v>1.1</v>
      </c>
      <c r="I86" s="75">
        <f>IF(F86&gt;'THAM_SO_MOI'!$C$14,'THAM_SO_MOI'!$C$13*(1+F86^2/1500),'THAM_SO_MOI'!$C$13)</f>
        <v>0.015</v>
      </c>
      <c r="J86" s="75">
        <f>'THAM_SO_MOI'!$C$40*('THAM_SO_MOI'!$C$23*(E86/'THAM_SO_MOI'!$C$22)+'THAM_SO_MOI'!$C$24*(E86/'THAM_SO_MOI'!$C$22)^2-'THAM_SO_MOI'!$C$25*(E86/'THAM_SO_MOI'!$C$22)^3)</f>
        <v>35.08654947170184</v>
      </c>
      <c r="K86" s="75">
        <f>'THAM_SO_MOI'!$C$31*J86/E86</f>
        <v>356.98832396469874</v>
      </c>
      <c r="L86" s="75">
        <f>K86*'THAM_SO_MOI'!$C$53*'THAM_SO_MOI'!$C$17/'THAM_SO_MOI'!$C$26</f>
        <v>3130.788998054495</v>
      </c>
      <c r="M86" s="75">
        <f>'THAM_SO_MOI'!$C$15*'THAM_SO_MOI'!$C$16*F86^2</f>
        <v>265.5224930769232</v>
      </c>
      <c r="N86" s="75">
        <f>'THAM_SO_MOI'!$C$12*I86</f>
        <v>1130.112</v>
      </c>
      <c r="O86" s="75">
        <f>M86+N86</f>
        <v>1395.6344930769233</v>
      </c>
      <c r="P86" s="75">
        <f>(MIN(L86,'THAM_SO_MOI'!$C$41)-O86)/('THAM_SO_MOI'!$C$11*H86)</f>
        <v>0.20539234197177697</v>
      </c>
      <c r="Q86" s="75">
        <f>IF(P86&gt;0,1/P86,NA())</f>
        <v>4.868730695604076</v>
      </c>
      <c r="R86" s="75">
        <f>F86-F85</f>
        <v>0.017600427350426884</v>
      </c>
      <c r="S86" s="75">
        <f>0.5*(Q85+Q86)*R86</f>
        <v>0.08571231760712571</v>
      </c>
      <c r="T86" s="75">
        <f>0.5*(F85*Q85+F86*Q86)*R86</f>
        <v>0.8158861213509032</v>
      </c>
      <c r="U86" s="76">
        <f>U85+S86</f>
        <v>7.0097020626510185</v>
      </c>
      <c r="V86" s="76">
        <f>V85+T86</f>
        <v>61.812290270845914</v>
      </c>
    </row>
    <row r="87" spans="1:22" ht="19" customHeight="1">
      <c r="A87" s="68" t="s">
        <v>362</v>
      </c>
      <c r="B87" s="74">
        <v>5</v>
      </c>
      <c r="C87" s="68" t="s">
        <v>363</v>
      </c>
      <c r="D87" s="68" t="s">
        <v>364</v>
      </c>
      <c r="E87" s="75">
        <f>60*F87*'THAM_SO_MOI'!$C$53/(2*PI()*'THAM_SO_MOI'!$C$26)</f>
        <v>940.4625263157894</v>
      </c>
      <c r="F87" s="75">
        <f>'THAM_SO_MOI'!$E$53+('THAM_SO_MOI'!$C$14-'THAM_SO_MOI'!$E$53)*81/'THAM_SO_MOI'!$C$42</f>
        <v>9.545292735042736</v>
      </c>
      <c r="G87" s="75">
        <f>3.6*F87</f>
        <v>34.36305384615385</v>
      </c>
      <c r="H87" s="75">
        <f>'THAM_SO_MOI'!$D$53</f>
        <v>1.1</v>
      </c>
      <c r="I87" s="75">
        <f>IF(F87&gt;'THAM_SO_MOI'!$C$14,'THAM_SO_MOI'!$C$13*(1+F87^2/1500),'THAM_SO_MOI'!$C$13)</f>
        <v>0.015</v>
      </c>
      <c r="J87" s="75">
        <f>'THAM_SO_MOI'!$C$40*('THAM_SO_MOI'!$C$23*(E87/'THAM_SO_MOI'!$C$22)+'THAM_SO_MOI'!$C$24*(E87/'THAM_SO_MOI'!$C$22)^2-'THAM_SO_MOI'!$C$25*(E87/'THAM_SO_MOI'!$C$22)^3)</f>
        <v>35.171691502186505</v>
      </c>
      <c r="K87" s="75">
        <f>'THAM_SO_MOI'!$C$31*J87/E87</f>
        <v>357.1947591731334</v>
      </c>
      <c r="L87" s="75">
        <f>K87*'THAM_SO_MOI'!$C$53*'THAM_SO_MOI'!$C$17/'THAM_SO_MOI'!$C$26</f>
        <v>3132.599435640241</v>
      </c>
      <c r="M87" s="75">
        <f>'THAM_SO_MOI'!$C$15*'THAM_SO_MOI'!$C$16*F87^2</f>
        <v>266.5043941881545</v>
      </c>
      <c r="N87" s="75">
        <f>'THAM_SO_MOI'!$C$12*I87</f>
        <v>1130.112</v>
      </c>
      <c r="O87" s="75">
        <f>M87+N87</f>
        <v>1396.6163941881546</v>
      </c>
      <c r="P87" s="75">
        <f>(MIN(L87,'THAM_SO_MOI'!$C$41)-O87)/('THAM_SO_MOI'!$C$11*H87)</f>
        <v>0.2054904168385519</v>
      </c>
      <c r="Q87" s="75">
        <f>IF(P87&gt;0,1/P87,NA())</f>
        <v>4.866406985712001</v>
      </c>
      <c r="R87" s="75">
        <f>F87-F86</f>
        <v>0.017600427350426884</v>
      </c>
      <c r="S87" s="75">
        <f>0.5*(Q86+Q87)*R87</f>
        <v>0.08567129175320343</v>
      </c>
      <c r="T87" s="75">
        <f>0.5*(F86*Q86+F87*Q87)*R87</f>
        <v>0.8170034531434865</v>
      </c>
      <c r="U87" s="76">
        <f>U86+S87</f>
        <v>7.095373354404222</v>
      </c>
      <c r="V87" s="76">
        <f>V86+T87</f>
        <v>62.6292937239894</v>
      </c>
    </row>
    <row r="88" spans="1:22" ht="19" customHeight="1">
      <c r="A88" s="68" t="s">
        <v>362</v>
      </c>
      <c r="B88" s="74">
        <v>5</v>
      </c>
      <c r="C88" s="68" t="s">
        <v>363</v>
      </c>
      <c r="D88" s="68" t="s">
        <v>364</v>
      </c>
      <c r="E88" s="75">
        <f>60*F88*'THAM_SO_MOI'!$C$53/(2*PI()*'THAM_SO_MOI'!$C$26)</f>
        <v>942.1966315789473</v>
      </c>
      <c r="F88" s="75">
        <f>'THAM_SO_MOI'!$E$53+('THAM_SO_MOI'!$C$14-'THAM_SO_MOI'!$E$53)*82/'THAM_SO_MOI'!$C$42</f>
        <v>9.562893162393163</v>
      </c>
      <c r="G88" s="75">
        <f>3.6*F88</f>
        <v>34.42641538461539</v>
      </c>
      <c r="H88" s="75">
        <f>'THAM_SO_MOI'!$D$53</f>
        <v>1.1</v>
      </c>
      <c r="I88" s="75">
        <f>IF(F88&gt;'THAM_SO_MOI'!$C$14,'THAM_SO_MOI'!$C$13*(1+F88^2/1500),'THAM_SO_MOI'!$C$13)</f>
        <v>0.015</v>
      </c>
      <c r="J88" s="75">
        <f>'THAM_SO_MOI'!$C$40*('THAM_SO_MOI'!$C$23*(E88/'THAM_SO_MOI'!$C$22)+'THAM_SO_MOI'!$C$24*(E88/'THAM_SO_MOI'!$C$22)^2-'THAM_SO_MOI'!$C$25*(E88/'THAM_SO_MOI'!$C$22)^3)</f>
        <v>35.25687971463079</v>
      </c>
      <c r="K88" s="75">
        <f>'THAM_SO_MOI'!$C$31*J88/E88</f>
        <v>357.40090264594295</v>
      </c>
      <c r="L88" s="75">
        <f>K88*'THAM_SO_MOI'!$C$53*'THAM_SO_MOI'!$C$17/'THAM_SO_MOI'!$C$26</f>
        <v>3134.407314703414</v>
      </c>
      <c r="M88" s="75">
        <f>'THAM_SO_MOI'!$C$15*'THAM_SO_MOI'!$C$16*F88^2</f>
        <v>267.4881074833868</v>
      </c>
      <c r="N88" s="75">
        <f>'THAM_SO_MOI'!$C$12*I88</f>
        <v>1130.112</v>
      </c>
      <c r="O88" s="75">
        <f>M88+N88</f>
        <v>1397.6001074833869</v>
      </c>
      <c r="P88" s="75">
        <f>(MIN(L88,'THAM_SO_MOI'!$C$41)-O88)/('THAM_SO_MOI'!$C$11*H88)</f>
        <v>0.20558797433949189</v>
      </c>
      <c r="Q88" s="75">
        <f>IF(P88&gt;0,1/P88,NA())</f>
        <v>4.864097733404767</v>
      </c>
      <c r="R88" s="75">
        <f>F88-F87</f>
        <v>0.017600427350426884</v>
      </c>
      <c r="S88" s="75">
        <f>0.5*(Q87+Q88)*R88</f>
        <v>0.08563052069590033</v>
      </c>
      <c r="T88" s="75">
        <f>0.5*(F87*Q87+F88*Q88)*R88</f>
        <v>0.8181217751385644</v>
      </c>
      <c r="U88" s="76">
        <f>U87+S88</f>
        <v>7.181003875100123</v>
      </c>
      <c r="V88" s="76">
        <f>V87+T88</f>
        <v>63.44741549912796</v>
      </c>
    </row>
    <row r="89" spans="1:22" ht="19" customHeight="1">
      <c r="A89" s="68" t="s">
        <v>362</v>
      </c>
      <c r="B89" s="74">
        <v>5</v>
      </c>
      <c r="C89" s="68" t="s">
        <v>363</v>
      </c>
      <c r="D89" s="68" t="s">
        <v>364</v>
      </c>
      <c r="E89" s="75">
        <f>60*F89*'THAM_SO_MOI'!$C$53/(2*PI()*'THAM_SO_MOI'!$C$26)</f>
        <v>943.9307368421053</v>
      </c>
      <c r="F89" s="75">
        <f>'THAM_SO_MOI'!$E$53+('THAM_SO_MOI'!$C$14-'THAM_SO_MOI'!$E$53)*83/'THAM_SO_MOI'!$C$42</f>
        <v>9.580493589743591</v>
      </c>
      <c r="G89" s="75">
        <f>3.6*F89</f>
        <v>34.48977692307693</v>
      </c>
      <c r="H89" s="75">
        <f>'THAM_SO_MOI'!$D$53</f>
        <v>1.1</v>
      </c>
      <c r="I89" s="75">
        <f>IF(F89&gt;'THAM_SO_MOI'!$C$14,'THAM_SO_MOI'!$C$13*(1+F89^2/1500),'THAM_SO_MOI'!$C$13)</f>
        <v>0.015</v>
      </c>
      <c r="J89" s="75">
        <f>'THAM_SO_MOI'!$C$40*('THAM_SO_MOI'!$C$23*(E89/'THAM_SO_MOI'!$C$22)+'THAM_SO_MOI'!$C$24*(E89/'THAM_SO_MOI'!$C$22)^2-'THAM_SO_MOI'!$C$25*(E89/'THAM_SO_MOI'!$C$22)^3)</f>
        <v>35.34211395013144</v>
      </c>
      <c r="K89" s="75">
        <f>'THAM_SO_MOI'!$C$31*J89/E89</f>
        <v>357.60675438312745</v>
      </c>
      <c r="L89" s="75">
        <f>K89*'THAM_SO_MOI'!$C$53*'THAM_SO_MOI'!$C$17/'THAM_SO_MOI'!$C$26</f>
        <v>3136.2126352440137</v>
      </c>
      <c r="M89" s="75">
        <f>'THAM_SO_MOI'!$C$15*'THAM_SO_MOI'!$C$16*F89^2</f>
        <v>268.4736329626203</v>
      </c>
      <c r="N89" s="75">
        <f>'THAM_SO_MOI'!$C$12*I89</f>
        <v>1130.112</v>
      </c>
      <c r="O89" s="75">
        <f>M89+N89</f>
        <v>1398.5856329626204</v>
      </c>
      <c r="P89" s="75">
        <f>(MIN(L89,'THAM_SO_MOI'!$C$41)-O89)/('THAM_SO_MOI'!$C$11*H89)</f>
        <v>0.20568501447459675</v>
      </c>
      <c r="Q89" s="75">
        <f>IF(P89&gt;0,1/P89,NA())</f>
        <v>4.861802900684851</v>
      </c>
      <c r="R89" s="75">
        <f>F89-F88</f>
        <v>0.01760042735042866</v>
      </c>
      <c r="S89" s="75">
        <f>0.5*(Q88+Q89)*R89</f>
        <v>0.0855900037638912</v>
      </c>
      <c r="T89" s="75">
        <f>0.5*(F88*Q88+F89*Q89)*R89</f>
        <v>0.8192410943640286</v>
      </c>
      <c r="U89" s="76">
        <f>U88+S89</f>
        <v>7.266593878864014</v>
      </c>
      <c r="V89" s="76">
        <f>V88+T89</f>
        <v>64.26665659349199</v>
      </c>
    </row>
    <row r="90" spans="1:22" ht="19" customHeight="1">
      <c r="A90" s="68" t="s">
        <v>362</v>
      </c>
      <c r="B90" s="74">
        <v>5</v>
      </c>
      <c r="C90" s="68" t="s">
        <v>363</v>
      </c>
      <c r="D90" s="68" t="s">
        <v>364</v>
      </c>
      <c r="E90" s="75">
        <f>60*F90*'THAM_SO_MOI'!$C$53/(2*PI()*'THAM_SO_MOI'!$C$26)</f>
        <v>945.6648421052632</v>
      </c>
      <c r="F90" s="75">
        <f>'THAM_SO_MOI'!$E$53+('THAM_SO_MOI'!$C$14-'THAM_SO_MOI'!$E$53)*84/'THAM_SO_MOI'!$C$42</f>
        <v>9.598094017094018</v>
      </c>
      <c r="G90" s="75">
        <f>3.6*F90</f>
        <v>34.55313846153847</v>
      </c>
      <c r="H90" s="75">
        <f>'THAM_SO_MOI'!$D$53</f>
        <v>1.1</v>
      </c>
      <c r="I90" s="75">
        <f>IF(F90&gt;'THAM_SO_MOI'!$C$14,'THAM_SO_MOI'!$C$13*(1+F90^2/1500),'THAM_SO_MOI'!$C$13)</f>
        <v>0.015</v>
      </c>
      <c r="J90" s="75">
        <f>'THAM_SO_MOI'!$C$40*('THAM_SO_MOI'!$C$23*(E90/'THAM_SO_MOI'!$C$22)+'THAM_SO_MOI'!$C$24*(E90/'THAM_SO_MOI'!$C$22)^2-'THAM_SO_MOI'!$C$25*(E90/'THAM_SO_MOI'!$C$22)^3)</f>
        <v>35.42739404978517</v>
      </c>
      <c r="K90" s="75">
        <f>'THAM_SO_MOI'!$C$31*J90/E90</f>
        <v>357.81231438468694</v>
      </c>
      <c r="L90" s="75">
        <f>K90*'THAM_SO_MOI'!$C$53*'THAM_SO_MOI'!$C$17/'THAM_SO_MOI'!$C$26</f>
        <v>3138.01539726204</v>
      </c>
      <c r="M90" s="75">
        <f>'THAM_SO_MOI'!$C$15*'THAM_SO_MOI'!$C$16*F90^2</f>
        <v>269.46097062585477</v>
      </c>
      <c r="N90" s="75">
        <f>'THAM_SO_MOI'!$C$12*I90</f>
        <v>1130.112</v>
      </c>
      <c r="O90" s="75">
        <f>M90+N90</f>
        <v>1399.5729706258549</v>
      </c>
      <c r="P90" s="75">
        <f>(MIN(L90,'THAM_SO_MOI'!$C$41)-O90)/('THAM_SO_MOI'!$C$11*H90)</f>
        <v>0.20578153724386664</v>
      </c>
      <c r="Q90" s="75">
        <f>IF(P90&gt;0,1/P90,NA())</f>
        <v>4.859522449844102</v>
      </c>
      <c r="R90" s="75">
        <f>F90-F89</f>
        <v>0.017600427350426884</v>
      </c>
      <c r="S90" s="75">
        <f>0.5*(Q89+Q90)*R90</f>
        <v>0.085549740290924</v>
      </c>
      <c r="T90" s="75">
        <f>0.5*(F89*Q89+F90*Q90)*R90</f>
        <v>0.8203614178491563</v>
      </c>
      <c r="U90" s="76">
        <f>U89+S90</f>
        <v>7.352143619154938</v>
      </c>
      <c r="V90" s="76">
        <f>V89+T90</f>
        <v>65.08701801134114</v>
      </c>
    </row>
    <row r="91" spans="1:22" ht="19" customHeight="1">
      <c r="A91" s="68" t="s">
        <v>362</v>
      </c>
      <c r="B91" s="74">
        <v>5</v>
      </c>
      <c r="C91" s="68" t="s">
        <v>363</v>
      </c>
      <c r="D91" s="68" t="s">
        <v>364</v>
      </c>
      <c r="E91" s="75">
        <f>60*F91*'THAM_SO_MOI'!$C$53/(2*PI()*'THAM_SO_MOI'!$C$26)</f>
        <v>947.398947368421</v>
      </c>
      <c r="F91" s="75">
        <f>'THAM_SO_MOI'!$E$53+('THAM_SO_MOI'!$C$14-'THAM_SO_MOI'!$E$53)*85/'THAM_SO_MOI'!$C$42</f>
        <v>9.615694444444445</v>
      </c>
      <c r="G91" s="75">
        <f>3.6*F91</f>
        <v>34.6165</v>
      </c>
      <c r="H91" s="75">
        <f>'THAM_SO_MOI'!$D$53</f>
        <v>1.1</v>
      </c>
      <c r="I91" s="75">
        <f>IF(F91&gt;'THAM_SO_MOI'!$C$14,'THAM_SO_MOI'!$C$13*(1+F91^2/1500),'THAM_SO_MOI'!$C$13)</f>
        <v>0.015</v>
      </c>
      <c r="J91" s="75">
        <f>'THAM_SO_MOI'!$C$40*('THAM_SO_MOI'!$C$23*(E91/'THAM_SO_MOI'!$C$22)+'THAM_SO_MOI'!$C$24*(E91/'THAM_SO_MOI'!$C$22)^2-'THAM_SO_MOI'!$C$25*(E91/'THAM_SO_MOI'!$C$22)^3)</f>
        <v>35.51271985468868</v>
      </c>
      <c r="K91" s="75">
        <f>'THAM_SO_MOI'!$C$31*J91/E91</f>
        <v>358.0175826506214</v>
      </c>
      <c r="L91" s="75">
        <f>K91*'THAM_SO_MOI'!$C$53*'THAM_SO_MOI'!$C$17/'THAM_SO_MOI'!$C$26</f>
        <v>3139.815600757494</v>
      </c>
      <c r="M91" s="75">
        <f>'THAM_SO_MOI'!$C$15*'THAM_SO_MOI'!$C$16*F91^2</f>
        <v>270.45012047309035</v>
      </c>
      <c r="N91" s="75">
        <f>'THAM_SO_MOI'!$C$12*I91</f>
        <v>1130.112</v>
      </c>
      <c r="O91" s="75">
        <f>M91+N91</f>
        <v>1400.5621204730905</v>
      </c>
      <c r="P91" s="75">
        <f>(MIN(L91,'THAM_SO_MOI'!$C$41)-O91)/('THAM_SO_MOI'!$C$11*H91)</f>
        <v>0.20587754264730154</v>
      </c>
      <c r="Q91" s="75">
        <f>IF(P91&gt;0,1/P91,NA())</f>
        <v>4.857256343462127</v>
      </c>
      <c r="R91" s="75">
        <f>F91-F90</f>
        <v>0.017600427350426884</v>
      </c>
      <c r="S91" s="75">
        <f>0.5*(Q90+Q91)*R91</f>
        <v>0.08550972961587744</v>
      </c>
      <c r="T91" s="75">
        <f>0.5*(F90*Q90+F91*Q91)*R91</f>
        <v>0.8214827526256094</v>
      </c>
      <c r="U91" s="76">
        <f>U90+S91</f>
        <v>7.437653348770815</v>
      </c>
      <c r="V91" s="76">
        <f>V90+T91</f>
        <v>65.90850076396676</v>
      </c>
    </row>
    <row r="92" spans="1:22" ht="19" customHeight="1">
      <c r="A92" s="68" t="s">
        <v>362</v>
      </c>
      <c r="B92" s="74">
        <v>5</v>
      </c>
      <c r="C92" s="68" t="s">
        <v>363</v>
      </c>
      <c r="D92" s="68" t="s">
        <v>364</v>
      </c>
      <c r="E92" s="75">
        <f>60*F92*'THAM_SO_MOI'!$C$53/(2*PI()*'THAM_SO_MOI'!$C$26)</f>
        <v>949.1330526315788</v>
      </c>
      <c r="F92" s="75">
        <f>'THAM_SO_MOI'!$E$53+('THAM_SO_MOI'!$C$14-'THAM_SO_MOI'!$E$53)*86/'THAM_SO_MOI'!$C$42</f>
        <v>9.633294871794872</v>
      </c>
      <c r="G92" s="75">
        <f>3.6*F92</f>
        <v>34.67986153846154</v>
      </c>
      <c r="H92" s="75">
        <f>'THAM_SO_MOI'!$D$53</f>
        <v>1.1</v>
      </c>
      <c r="I92" s="75">
        <f>IF(F92&gt;'THAM_SO_MOI'!$C$14,'THAM_SO_MOI'!$C$13*(1+F92^2/1500),'THAM_SO_MOI'!$C$13)</f>
        <v>0.015</v>
      </c>
      <c r="J92" s="75">
        <f>'THAM_SO_MOI'!$C$40*('THAM_SO_MOI'!$C$23*(E92/'THAM_SO_MOI'!$C$22)+'THAM_SO_MOI'!$C$24*(E92/'THAM_SO_MOI'!$C$22)^2-'THAM_SO_MOI'!$C$25*(E92/'THAM_SO_MOI'!$C$22)^3)</f>
        <v>35.598091205938715</v>
      </c>
      <c r="K92" s="75">
        <f>'THAM_SO_MOI'!$C$31*J92/E92</f>
        <v>358.2225591809307</v>
      </c>
      <c r="L92" s="75">
        <f>K92*'THAM_SO_MOI'!$C$53*'THAM_SO_MOI'!$C$17/'THAM_SO_MOI'!$C$26</f>
        <v>3141.6132457303734</v>
      </c>
      <c r="M92" s="75">
        <f>'THAM_SO_MOI'!$C$15*'THAM_SO_MOI'!$C$16*F92^2</f>
        <v>271.44108250432697</v>
      </c>
      <c r="N92" s="75">
        <f>'THAM_SO_MOI'!$C$12*I92</f>
        <v>1130.112</v>
      </c>
      <c r="O92" s="75">
        <f>M92+N92</f>
        <v>1401.553082504327</v>
      </c>
      <c r="P92" s="75">
        <f>(MIN(L92,'THAM_SO_MOI'!$C$41)-O92)/('THAM_SO_MOI'!$C$11*H92)</f>
        <v>0.20597303068490133</v>
      </c>
      <c r="Q92" s="75">
        <f>IF(P92&gt;0,1/P92,NA())</f>
        <v>4.855004544404677</v>
      </c>
      <c r="R92" s="75">
        <f>F92-F91</f>
        <v>0.017600427350426884</v>
      </c>
      <c r="S92" s="75">
        <f>0.5*(Q91+Q92)*R92</f>
        <v>0.0854699710826461</v>
      </c>
      <c r="T92" s="75">
        <f>0.5*(F91*Q91+F92*Q92)*R92</f>
        <v>0.8226051057267815</v>
      </c>
      <c r="U92" s="76">
        <f>U91+S92</f>
        <v>7.523123319853461</v>
      </c>
      <c r="V92" s="76">
        <f>V91+T92</f>
        <v>66.73110586969354</v>
      </c>
    </row>
    <row r="93" spans="1:22" ht="19" customHeight="1">
      <c r="A93" s="68" t="s">
        <v>362</v>
      </c>
      <c r="B93" s="74">
        <v>5</v>
      </c>
      <c r="C93" s="68" t="s">
        <v>363</v>
      </c>
      <c r="D93" s="68" t="s">
        <v>364</v>
      </c>
      <c r="E93" s="75">
        <f>60*F93*'THAM_SO_MOI'!$C$53/(2*PI()*'THAM_SO_MOI'!$C$26)</f>
        <v>950.8671578947368</v>
      </c>
      <c r="F93" s="75">
        <f>'THAM_SO_MOI'!$E$53+('THAM_SO_MOI'!$C$14-'THAM_SO_MOI'!$E$53)*87/'THAM_SO_MOI'!$C$42</f>
        <v>9.6508952991453</v>
      </c>
      <c r="G93" s="75">
        <f>3.6*F93</f>
        <v>34.74322307692309</v>
      </c>
      <c r="H93" s="75">
        <f>'THAM_SO_MOI'!$D$53</f>
        <v>1.1</v>
      </c>
      <c r="I93" s="75">
        <f>IF(F93&gt;'THAM_SO_MOI'!$C$14,'THAM_SO_MOI'!$C$13*(1+F93^2/1500),'THAM_SO_MOI'!$C$13)</f>
        <v>0.015</v>
      </c>
      <c r="J93" s="75">
        <f>'THAM_SO_MOI'!$C$40*('THAM_SO_MOI'!$C$23*(E93/'THAM_SO_MOI'!$C$22)+'THAM_SO_MOI'!$C$24*(E93/'THAM_SO_MOI'!$C$22)^2-'THAM_SO_MOI'!$C$25*(E93/'THAM_SO_MOI'!$C$22)^3)</f>
        <v>35.683507944632005</v>
      </c>
      <c r="K93" s="75">
        <f>'THAM_SO_MOI'!$C$31*J93/E93</f>
        <v>358.4272439756152</v>
      </c>
      <c r="L93" s="75">
        <f>K93*'THAM_SO_MOI'!$C$53*'THAM_SO_MOI'!$C$17/'THAM_SO_MOI'!$C$26</f>
        <v>3143.4083321806816</v>
      </c>
      <c r="M93" s="75">
        <f>'THAM_SO_MOI'!$C$15*'THAM_SO_MOI'!$C$16*F93^2</f>
        <v>272.43385671956474</v>
      </c>
      <c r="N93" s="75">
        <f>'THAM_SO_MOI'!$C$12*I93</f>
        <v>1130.112</v>
      </c>
      <c r="O93" s="75">
        <f>M93+N93</f>
        <v>1402.5458567195649</v>
      </c>
      <c r="P93" s="75">
        <f>(MIN(L93,'THAM_SO_MOI'!$C$41)-O93)/('THAM_SO_MOI'!$C$11*H93)</f>
        <v>0.2060680013566663</v>
      </c>
      <c r="Q93" s="75">
        <f>IF(P93&gt;0,1/P93,NA())</f>
        <v>4.852767015822032</v>
      </c>
      <c r="R93" s="75">
        <f>F93-F92</f>
        <v>0.01760042735042866</v>
      </c>
      <c r="S93" s="75">
        <f>0.5*(Q92+Q93)*R93</f>
        <v>0.08543046404016384</v>
      </c>
      <c r="T93" s="75">
        <f>0.5*(F92*Q92+F93*Q93)*R93</f>
        <v>0.8237284841884644</v>
      </c>
      <c r="U93" s="76">
        <f>U92+S93</f>
        <v>7.608553783893625</v>
      </c>
      <c r="V93" s="76">
        <f>V92+T93</f>
        <v>67.554834353882</v>
      </c>
    </row>
    <row r="94" spans="1:22" ht="19" customHeight="1">
      <c r="A94" s="68" t="s">
        <v>362</v>
      </c>
      <c r="B94" s="74">
        <v>5</v>
      </c>
      <c r="C94" s="68" t="s">
        <v>363</v>
      </c>
      <c r="D94" s="68" t="s">
        <v>364</v>
      </c>
      <c r="E94" s="75">
        <f>60*F94*'THAM_SO_MOI'!$C$53/(2*PI()*'THAM_SO_MOI'!$C$26)</f>
        <v>952.6012631578946</v>
      </c>
      <c r="F94" s="75">
        <f>'THAM_SO_MOI'!$E$53+('THAM_SO_MOI'!$C$14-'THAM_SO_MOI'!$E$53)*88/'THAM_SO_MOI'!$C$42</f>
        <v>9.668495726495728</v>
      </c>
      <c r="G94" s="75">
        <f>3.6*F94</f>
        <v>34.80658461538462</v>
      </c>
      <c r="H94" s="75">
        <f>'THAM_SO_MOI'!$D$53</f>
        <v>1.1</v>
      </c>
      <c r="I94" s="75">
        <f>IF(F94&gt;'THAM_SO_MOI'!$C$14,'THAM_SO_MOI'!$C$13*(1+F94^2/1500),'THAM_SO_MOI'!$C$13)</f>
        <v>0.015</v>
      </c>
      <c r="J94" s="75">
        <f>'THAM_SO_MOI'!$C$40*('THAM_SO_MOI'!$C$23*(E94/'THAM_SO_MOI'!$C$22)+'THAM_SO_MOI'!$C$24*(E94/'THAM_SO_MOI'!$C$22)^2-'THAM_SO_MOI'!$C$25*(E94/'THAM_SO_MOI'!$C$22)^3)</f>
        <v>35.768969911865234</v>
      </c>
      <c r="K94" s="75">
        <f>'THAM_SO_MOI'!$C$31*J94/E94</f>
        <v>358.6316370346745</v>
      </c>
      <c r="L94" s="75">
        <f>K94*'THAM_SO_MOI'!$C$53*'THAM_SO_MOI'!$C$17/'THAM_SO_MOI'!$C$26</f>
        <v>3145.2008601084153</v>
      </c>
      <c r="M94" s="75">
        <f>'THAM_SO_MOI'!$C$15*'THAM_SO_MOI'!$C$16*F94^2</f>
        <v>273.4284431188035</v>
      </c>
      <c r="N94" s="75">
        <f>'THAM_SO_MOI'!$C$12*I94</f>
        <v>1130.112</v>
      </c>
      <c r="O94" s="75">
        <f>M94+N94</f>
        <v>1403.5404431188035</v>
      </c>
      <c r="P94" s="75">
        <f>(MIN(L94,'THAM_SO_MOI'!$C$41)-O94)/('THAM_SO_MOI'!$C$11*H94)</f>
        <v>0.20616245466259608</v>
      </c>
      <c r="Q94" s="75">
        <f>IF(P94&gt;0,1/P94,NA())</f>
        <v>4.850543721147444</v>
      </c>
      <c r="R94" s="75">
        <f>F94-F93</f>
        <v>0.017600427350426884</v>
      </c>
      <c r="S94" s="75">
        <f>0.5*(Q93+Q94)*R94</f>
        <v>0.08539120784232421</v>
      </c>
      <c r="T94" s="75">
        <f>0.5*(F93*Q93+F94*Q94)*R94</f>
        <v>0.8248528950485222</v>
      </c>
      <c r="U94" s="76">
        <f>U93+S94</f>
        <v>7.6939449917359495</v>
      </c>
      <c r="V94" s="76">
        <f>V93+T94</f>
        <v>68.37968724893052</v>
      </c>
    </row>
    <row r="95" spans="1:22" ht="19" customHeight="1">
      <c r="A95" s="68" t="s">
        <v>362</v>
      </c>
      <c r="B95" s="74">
        <v>5</v>
      </c>
      <c r="C95" s="68" t="s">
        <v>363</v>
      </c>
      <c r="D95" s="68" t="s">
        <v>364</v>
      </c>
      <c r="E95" s="75">
        <f>60*F95*'THAM_SO_MOI'!$C$53/(2*PI()*'THAM_SO_MOI'!$C$26)</f>
        <v>954.3353684210524</v>
      </c>
      <c r="F95" s="75">
        <f>'THAM_SO_MOI'!$E$53+('THAM_SO_MOI'!$C$14-'THAM_SO_MOI'!$E$53)*89/'THAM_SO_MOI'!$C$42</f>
        <v>9.686096153846155</v>
      </c>
      <c r="G95" s="75">
        <f>3.6*F95</f>
        <v>34.86994615384616</v>
      </c>
      <c r="H95" s="75">
        <f>'THAM_SO_MOI'!$D$53</f>
        <v>1.1</v>
      </c>
      <c r="I95" s="75">
        <f>IF(F95&gt;'THAM_SO_MOI'!$C$14,'THAM_SO_MOI'!$C$13*(1+F95^2/1500),'THAM_SO_MOI'!$C$13)</f>
        <v>0.015</v>
      </c>
      <c r="J95" s="75">
        <f>'THAM_SO_MOI'!$C$40*('THAM_SO_MOI'!$C$23*(E95/'THAM_SO_MOI'!$C$22)+'THAM_SO_MOI'!$C$24*(E95/'THAM_SO_MOI'!$C$22)^2-'THAM_SO_MOI'!$C$25*(E95/'THAM_SO_MOI'!$C$22)^3)</f>
        <v>35.85447694873516</v>
      </c>
      <c r="K95" s="75">
        <f>'THAM_SO_MOI'!$C$31*J95/E95</f>
        <v>358.83573835810887</v>
      </c>
      <c r="L95" s="75">
        <f>K95*'THAM_SO_MOI'!$C$53*'THAM_SO_MOI'!$C$17/'THAM_SO_MOI'!$C$26</f>
        <v>3146.990829513576</v>
      </c>
      <c r="M95" s="75">
        <f>'THAM_SO_MOI'!$C$15*'THAM_SO_MOI'!$C$16*F95^2</f>
        <v>274.42484170204335</v>
      </c>
      <c r="N95" s="75">
        <f>'THAM_SO_MOI'!$C$12*I95</f>
        <v>1130.112</v>
      </c>
      <c r="O95" s="75">
        <f>M95+N95</f>
        <v>1404.5368417020434</v>
      </c>
      <c r="P95" s="75">
        <f>(MIN(L95,'THAM_SO_MOI'!$C$41)-O95)/('THAM_SO_MOI'!$C$11*H95)</f>
        <v>0.20625639060269085</v>
      </c>
      <c r="Q95" s="75">
        <f>IF(P95&gt;0,1/P95,NA())</f>
        <v>4.84833462409554</v>
      </c>
      <c r="R95" s="75">
        <f>F95-F94</f>
        <v>0.017600427350426884</v>
      </c>
      <c r="S95" s="75">
        <f>0.5*(Q94+Q95)*R95</f>
        <v>0.08535220184803884</v>
      </c>
      <c r="T95" s="75">
        <f>0.5*(F94*Q94+F95*Q95)*R95</f>
        <v>0.8259783453478932</v>
      </c>
      <c r="U95" s="76">
        <f>U94+S95</f>
        <v>7.7792971935839885</v>
      </c>
      <c r="V95" s="76">
        <f>V94+T95</f>
        <v>69.20566559427841</v>
      </c>
    </row>
    <row r="96" spans="1:22" ht="19" customHeight="1">
      <c r="A96" s="68" t="s">
        <v>362</v>
      </c>
      <c r="B96" s="74">
        <v>5</v>
      </c>
      <c r="C96" s="68" t="s">
        <v>363</v>
      </c>
      <c r="D96" s="68" t="s">
        <v>364</v>
      </c>
      <c r="E96" s="75">
        <f>60*F96*'THAM_SO_MOI'!$C$53/(2*PI()*'THAM_SO_MOI'!$C$26)</f>
        <v>956.0694736842104</v>
      </c>
      <c r="F96" s="75">
        <f>'THAM_SO_MOI'!$E$53+('THAM_SO_MOI'!$C$14-'THAM_SO_MOI'!$E$53)*90/'THAM_SO_MOI'!$C$42</f>
        <v>9.703696581196581</v>
      </c>
      <c r="G96" s="75">
        <f>3.6*F96</f>
        <v>34.93330769230769</v>
      </c>
      <c r="H96" s="75">
        <f>'THAM_SO_MOI'!$D$53</f>
        <v>1.1</v>
      </c>
      <c r="I96" s="75">
        <f>IF(F96&gt;'THAM_SO_MOI'!$C$14,'THAM_SO_MOI'!$C$13*(1+F96^2/1500),'THAM_SO_MOI'!$C$13)</f>
        <v>0.015</v>
      </c>
      <c r="J96" s="75">
        <f>'THAM_SO_MOI'!$C$40*('THAM_SO_MOI'!$C$23*(E96/'THAM_SO_MOI'!$C$22)+'THAM_SO_MOI'!$C$24*(E96/'THAM_SO_MOI'!$C$22)^2-'THAM_SO_MOI'!$C$25*(E96/'THAM_SO_MOI'!$C$22)^3)</f>
        <v>35.94002889633849</v>
      </c>
      <c r="K96" s="75">
        <f>'THAM_SO_MOI'!$C$31*J96/E96</f>
        <v>359.0395479459182</v>
      </c>
      <c r="L96" s="75">
        <f>K96*'THAM_SO_MOI'!$C$53*'THAM_SO_MOI'!$C$17/'THAM_SO_MOI'!$C$26</f>
        <v>3148.778240396164</v>
      </c>
      <c r="M96" s="75">
        <f>'THAM_SO_MOI'!$C$15*'THAM_SO_MOI'!$C$16*F96^2</f>
        <v>275.42305246928424</v>
      </c>
      <c r="N96" s="75">
        <f>'THAM_SO_MOI'!$C$12*I96</f>
        <v>1130.112</v>
      </c>
      <c r="O96" s="75">
        <f>M96+N96</f>
        <v>1405.5350524692844</v>
      </c>
      <c r="P96" s="75">
        <f>(MIN(L96,'THAM_SO_MOI'!$C$41)-O96)/('THAM_SO_MOI'!$C$11*H96)</f>
        <v>0.20634980917695073</v>
      </c>
      <c r="Q96" s="75">
        <f>IF(P96&gt;0,1/P96,NA())</f>
        <v>4.8461396886607835</v>
      </c>
      <c r="R96" s="75">
        <f>F96-F95</f>
        <v>0.017600427350426884</v>
      </c>
      <c r="S96" s="75">
        <f>0.5*(Q95+Q96)*R96</f>
        <v>0.08531344542112364</v>
      </c>
      <c r="T96" s="75">
        <f>0.5*(F95*Q95+F96*Q96)*R96</f>
        <v>0.8271048421299294</v>
      </c>
      <c r="U96" s="76">
        <f>U95+S96</f>
        <v>7.864610639005112</v>
      </c>
      <c r="V96" s="76">
        <f>V95+T96</f>
        <v>70.03277043640834</v>
      </c>
    </row>
    <row r="97" spans="1:22" ht="19" customHeight="1">
      <c r="A97" s="68" t="s">
        <v>362</v>
      </c>
      <c r="B97" s="74">
        <v>5</v>
      </c>
      <c r="C97" s="68" t="s">
        <v>363</v>
      </c>
      <c r="D97" s="68" t="s">
        <v>364</v>
      </c>
      <c r="E97" s="75">
        <f>60*F97*'THAM_SO_MOI'!$C$53/(2*PI()*'THAM_SO_MOI'!$C$26)</f>
        <v>957.8035789473685</v>
      </c>
      <c r="F97" s="75">
        <f>'THAM_SO_MOI'!$E$53+('THAM_SO_MOI'!$C$14-'THAM_SO_MOI'!$E$53)*91/'THAM_SO_MOI'!$C$42</f>
        <v>9.72129700854701</v>
      </c>
      <c r="G97" s="75">
        <f>3.6*F97</f>
        <v>34.996669230769236</v>
      </c>
      <c r="H97" s="75">
        <f>'THAM_SO_MOI'!$D$53</f>
        <v>1.1</v>
      </c>
      <c r="I97" s="75">
        <f>IF(F97&gt;'THAM_SO_MOI'!$C$14,'THAM_SO_MOI'!$C$13*(1+F97^2/1500),'THAM_SO_MOI'!$C$13)</f>
        <v>0.015</v>
      </c>
      <c r="J97" s="75">
        <f>'THAM_SO_MOI'!$C$40*('THAM_SO_MOI'!$C$23*(E97/'THAM_SO_MOI'!$C$22)+'THAM_SO_MOI'!$C$24*(E97/'THAM_SO_MOI'!$C$22)^2-'THAM_SO_MOI'!$C$25*(E97/'THAM_SO_MOI'!$C$22)^3)</f>
        <v>36.02562559577195</v>
      </c>
      <c r="K97" s="75">
        <f>'THAM_SO_MOI'!$C$31*J97/E97</f>
        <v>359.24306579810246</v>
      </c>
      <c r="L97" s="75">
        <f>K97*'THAM_SO_MOI'!$C$53*'THAM_SO_MOI'!$C$17/'THAM_SO_MOI'!$C$26</f>
        <v>3150.5630927561797</v>
      </c>
      <c r="M97" s="75">
        <f>'THAM_SO_MOI'!$C$15*'THAM_SO_MOI'!$C$16*F97^2</f>
        <v>276.4230754205263</v>
      </c>
      <c r="N97" s="75">
        <f>'THAM_SO_MOI'!$C$12*I97</f>
        <v>1130.112</v>
      </c>
      <c r="O97" s="75">
        <f>M97+N97</f>
        <v>1406.5350754205265</v>
      </c>
      <c r="P97" s="75">
        <f>(MIN(L97,'THAM_SO_MOI'!$C$41)-O97)/('THAM_SO_MOI'!$C$11*H97)</f>
        <v>0.20644271038537562</v>
      </c>
      <c r="Q97" s="75">
        <f>IF(P97&gt;0,1/P97,NA())</f>
        <v>4.843958879115936</v>
      </c>
      <c r="R97" s="75">
        <f>F97-F96</f>
        <v>0.01760042735042866</v>
      </c>
      <c r="S97" s="75">
        <f>0.5*(Q96+Q97)*R97</f>
        <v>0.08527493793032348</v>
      </c>
      <c r="T97" s="75">
        <f>0.5*(F96*Q96+F97*Q97)*R97</f>
        <v>0.8282323924410655</v>
      </c>
      <c r="U97" s="76">
        <f>U96+S97</f>
        <v>7.9498855769354355</v>
      </c>
      <c r="V97" s="76">
        <f>V96+T97</f>
        <v>70.86100282884941</v>
      </c>
    </row>
    <row r="98" spans="1:22" ht="19" customHeight="1">
      <c r="A98" s="68" t="s">
        <v>362</v>
      </c>
      <c r="B98" s="74">
        <v>5</v>
      </c>
      <c r="C98" s="68" t="s">
        <v>363</v>
      </c>
      <c r="D98" s="68" t="s">
        <v>364</v>
      </c>
      <c r="E98" s="75">
        <f>60*F98*'THAM_SO_MOI'!$C$53/(2*PI()*'THAM_SO_MOI'!$C$26)</f>
        <v>959.5376842105263</v>
      </c>
      <c r="F98" s="75">
        <f>'THAM_SO_MOI'!$E$53+('THAM_SO_MOI'!$C$14-'THAM_SO_MOI'!$E$53)*92/'THAM_SO_MOI'!$C$42</f>
        <v>9.738897435897437</v>
      </c>
      <c r="G98" s="75">
        <f>3.6*F98</f>
        <v>35.06003076923077</v>
      </c>
      <c r="H98" s="75">
        <f>'THAM_SO_MOI'!$D$53</f>
        <v>1.1</v>
      </c>
      <c r="I98" s="75">
        <f>IF(F98&gt;'THAM_SO_MOI'!$C$14,'THAM_SO_MOI'!$C$13*(1+F98^2/1500),'THAM_SO_MOI'!$C$13)</f>
        <v>0.015</v>
      </c>
      <c r="J98" s="75">
        <f>'THAM_SO_MOI'!$C$40*('THAM_SO_MOI'!$C$23*(E98/'THAM_SO_MOI'!$C$22)+'THAM_SO_MOI'!$C$24*(E98/'THAM_SO_MOI'!$C$22)^2-'THAM_SO_MOI'!$C$25*(E98/'THAM_SO_MOI'!$C$22)^3)</f>
        <v>36.11126688813224</v>
      </c>
      <c r="K98" s="75">
        <f>'THAM_SO_MOI'!$C$31*J98/E98</f>
        <v>359.4462919146617</v>
      </c>
      <c r="L98" s="75">
        <f>K98*'THAM_SO_MOI'!$C$53*'THAM_SO_MOI'!$C$17/'THAM_SO_MOI'!$C$26</f>
        <v>3152.3453865936212</v>
      </c>
      <c r="M98" s="75">
        <f>'THAM_SO_MOI'!$C$15*'THAM_SO_MOI'!$C$16*F98^2</f>
        <v>277.4249105557693</v>
      </c>
      <c r="N98" s="75">
        <f>'THAM_SO_MOI'!$C$12*I98</f>
        <v>1130.112</v>
      </c>
      <c r="O98" s="75">
        <f>M98+N98</f>
        <v>1407.5369105557693</v>
      </c>
      <c r="P98" s="75">
        <f>(MIN(L98,'THAM_SO_MOI'!$C$41)-O98)/('THAM_SO_MOI'!$C$11*H98)</f>
        <v>0.20653509422796543</v>
      </c>
      <c r="Q98" s="75">
        <f>IF(P98&gt;0,1/P98,NA())</f>
        <v>4.8417921600105345</v>
      </c>
      <c r="R98" s="75">
        <f>F98-F97</f>
        <v>0.017600427350426884</v>
      </c>
      <c r="S98" s="75">
        <f>0.5*(Q97+Q98)*R98</f>
        <v>0.08523667874923357</v>
      </c>
      <c r="T98" s="75">
        <f>0.5*(F97*Q97+F98*Q98)*R98</f>
        <v>0.8293610033304896</v>
      </c>
      <c r="U98" s="76">
        <f>U97+S98</f>
        <v>8.03512225568467</v>
      </c>
      <c r="V98" s="76">
        <f>V97+T98</f>
        <v>71.6903638321799</v>
      </c>
    </row>
    <row r="99" spans="1:22" ht="19" customHeight="1">
      <c r="A99" s="68" t="s">
        <v>362</v>
      </c>
      <c r="B99" s="74">
        <v>5</v>
      </c>
      <c r="C99" s="68" t="s">
        <v>363</v>
      </c>
      <c r="D99" s="68" t="s">
        <v>364</v>
      </c>
      <c r="E99" s="75">
        <f>60*F99*'THAM_SO_MOI'!$C$53/(2*PI()*'THAM_SO_MOI'!$C$26)</f>
        <v>961.2717894736841</v>
      </c>
      <c r="F99" s="75">
        <f>'THAM_SO_MOI'!$E$53+('THAM_SO_MOI'!$C$14-'THAM_SO_MOI'!$E$53)*93/'THAM_SO_MOI'!$C$42</f>
        <v>9.756497863247864</v>
      </c>
      <c r="G99" s="75">
        <f>3.6*F99</f>
        <v>35.12339230769231</v>
      </c>
      <c r="H99" s="75">
        <f>'THAM_SO_MOI'!$D$53</f>
        <v>1.1</v>
      </c>
      <c r="I99" s="75">
        <f>IF(F99&gt;'THAM_SO_MOI'!$C$14,'THAM_SO_MOI'!$C$13*(1+F99^2/1500),'THAM_SO_MOI'!$C$13)</f>
        <v>0.015</v>
      </c>
      <c r="J99" s="75">
        <f>'THAM_SO_MOI'!$C$40*('THAM_SO_MOI'!$C$23*(E99/'THAM_SO_MOI'!$C$22)+'THAM_SO_MOI'!$C$24*(E99/'THAM_SO_MOI'!$C$22)^2-'THAM_SO_MOI'!$C$25*(E99/'THAM_SO_MOI'!$C$22)^3)</f>
        <v>36.19695261451609</v>
      </c>
      <c r="K99" s="75">
        <f>'THAM_SO_MOI'!$C$31*J99/E99</f>
        <v>359.6492262955957</v>
      </c>
      <c r="L99" s="75">
        <f>K99*'THAM_SO_MOI'!$C$53*'THAM_SO_MOI'!$C$17/'THAM_SO_MOI'!$C$26</f>
        <v>3154.1251219084884</v>
      </c>
      <c r="M99" s="75">
        <f>'THAM_SO_MOI'!$C$15*'THAM_SO_MOI'!$C$16*F99^2</f>
        <v>278.42855787501344</v>
      </c>
      <c r="N99" s="75">
        <f>'THAM_SO_MOI'!$C$12*I99</f>
        <v>1130.112</v>
      </c>
      <c r="O99" s="75">
        <f>M99+N99</f>
        <v>1408.5405578750135</v>
      </c>
      <c r="P99" s="75">
        <f>(MIN(L99,'THAM_SO_MOI'!$C$41)-O99)/('THAM_SO_MOI'!$C$11*H99)</f>
        <v>0.20662696070472</v>
      </c>
      <c r="Q99" s="75">
        <f>IF(P99&gt;0,1/P99,NA())</f>
        <v>4.839639496169373</v>
      </c>
      <c r="R99" s="75">
        <f>F99-F98</f>
        <v>0.017600427350426884</v>
      </c>
      <c r="S99" s="75">
        <f>0.5*(Q98+Q99)*R99</f>
        <v>0.08519866725635873</v>
      </c>
      <c r="T99" s="75">
        <f>0.5*(F98*Q98+F99*Q99)*R99</f>
        <v>0.8304906818511472</v>
      </c>
      <c r="U99" s="76">
        <f>U98+S99</f>
        <v>8.120320922941028</v>
      </c>
      <c r="V99" s="76">
        <f>V98+T99</f>
        <v>72.52085451403104</v>
      </c>
    </row>
    <row r="100" spans="1:22" ht="19" customHeight="1">
      <c r="A100" s="68" t="s">
        <v>362</v>
      </c>
      <c r="B100" s="74">
        <v>5</v>
      </c>
      <c r="C100" s="68" t="s">
        <v>363</v>
      </c>
      <c r="D100" s="68" t="s">
        <v>364</v>
      </c>
      <c r="E100" s="75">
        <f>60*F100*'THAM_SO_MOI'!$C$53/(2*PI()*'THAM_SO_MOI'!$C$26)</f>
        <v>963.005894736842</v>
      </c>
      <c r="F100" s="75">
        <f>'THAM_SO_MOI'!$E$53+('THAM_SO_MOI'!$C$14-'THAM_SO_MOI'!$E$53)*94/'THAM_SO_MOI'!$C$42</f>
        <v>9.774098290598292</v>
      </c>
      <c r="G100" s="75">
        <f>3.6*F100</f>
        <v>35.186753846153856</v>
      </c>
      <c r="H100" s="75">
        <f>'THAM_SO_MOI'!$D$53</f>
        <v>1.1</v>
      </c>
      <c r="I100" s="75">
        <f>IF(F100&gt;'THAM_SO_MOI'!$C$14,'THAM_SO_MOI'!$C$13*(1+F100^2/1500),'THAM_SO_MOI'!$C$13)</f>
        <v>0.015</v>
      </c>
      <c r="J100" s="75">
        <f>'THAM_SO_MOI'!$C$40*('THAM_SO_MOI'!$C$23*(E100/'THAM_SO_MOI'!$C$22)+'THAM_SO_MOI'!$C$24*(E100/'THAM_SO_MOI'!$C$22)^2-'THAM_SO_MOI'!$C$25*(E100/'THAM_SO_MOI'!$C$22)^3)</f>
        <v>36.28268261602025</v>
      </c>
      <c r="K100" s="75">
        <f>'THAM_SO_MOI'!$C$31*J100/E100</f>
        <v>359.851868940905</v>
      </c>
      <c r="L100" s="75">
        <f>K100*'THAM_SO_MOI'!$C$53*'THAM_SO_MOI'!$C$17/'THAM_SO_MOI'!$C$26</f>
        <v>3155.9022987007847</v>
      </c>
      <c r="M100" s="75">
        <f>'THAM_SO_MOI'!$C$15*'THAM_SO_MOI'!$C$16*F100^2</f>
        <v>279.43401737825866</v>
      </c>
      <c r="N100" s="75">
        <f>'THAM_SO_MOI'!$C$12*I100</f>
        <v>1130.112</v>
      </c>
      <c r="O100" s="75">
        <f>M100+N100</f>
        <v>1409.5460173782587</v>
      </c>
      <c r="P100" s="75">
        <f>(MIN(L100,'THAM_SO_MOI'!$C$41)-O100)/('THAM_SO_MOI'!$C$11*H100)</f>
        <v>0.20671830981563993</v>
      </c>
      <c r="Q100" s="75">
        <f>IF(P100&gt;0,1/P100,NA())</f>
        <v>4.837500852690997</v>
      </c>
      <c r="R100" s="75">
        <f>F100-F99</f>
        <v>0.01760042735042866</v>
      </c>
      <c r="S100" s="75">
        <f>0.5*(Q99+Q100)*R100</f>
        <v>0.08516090283500939</v>
      </c>
      <c r="T100" s="75">
        <f>0.5*(F99*Q99+F100*Q100)*R100</f>
        <v>0.8316214350591566</v>
      </c>
      <c r="U100" s="76">
        <f>U99+S100</f>
        <v>8.205481825776037</v>
      </c>
      <c r="V100" s="76">
        <f>V99+T100</f>
        <v>73.3524759490902</v>
      </c>
    </row>
    <row r="101" spans="1:22" ht="19" customHeight="1">
      <c r="A101" s="68" t="s">
        <v>362</v>
      </c>
      <c r="B101" s="74">
        <v>5</v>
      </c>
      <c r="C101" s="68" t="s">
        <v>363</v>
      </c>
      <c r="D101" s="68" t="s">
        <v>364</v>
      </c>
      <c r="E101" s="75">
        <f>60*F101*'THAM_SO_MOI'!$C$53/(2*PI()*'THAM_SO_MOI'!$C$26)</f>
        <v>964.7399999999999</v>
      </c>
      <c r="F101" s="75">
        <f>'THAM_SO_MOI'!$E$53+('THAM_SO_MOI'!$C$14-'THAM_SO_MOI'!$E$53)*95/'THAM_SO_MOI'!$C$42</f>
        <v>9.79169871794872</v>
      </c>
      <c r="G101" s="75">
        <f>3.6*F101</f>
        <v>35.25011538461539</v>
      </c>
      <c r="H101" s="75">
        <f>'THAM_SO_MOI'!$D$53</f>
        <v>1.1</v>
      </c>
      <c r="I101" s="75">
        <f>IF(F101&gt;'THAM_SO_MOI'!$C$14,'THAM_SO_MOI'!$C$13*(1+F101^2/1500),'THAM_SO_MOI'!$C$13)</f>
        <v>0.015</v>
      </c>
      <c r="J101" s="75">
        <f>'THAM_SO_MOI'!$C$40*('THAM_SO_MOI'!$C$23*(E101/'THAM_SO_MOI'!$C$22)+'THAM_SO_MOI'!$C$24*(E101/'THAM_SO_MOI'!$C$22)^2-'THAM_SO_MOI'!$C$25*(E101/'THAM_SO_MOI'!$C$22)^3)</f>
        <v>36.368456733741404</v>
      </c>
      <c r="K101" s="75">
        <f>'THAM_SO_MOI'!$C$31*J101/E101</f>
        <v>360.054219850589</v>
      </c>
      <c r="L101" s="75">
        <f>K101*'THAM_SO_MOI'!$C$53*'THAM_SO_MOI'!$C$17/'THAM_SO_MOI'!$C$26</f>
        <v>3157.676916970507</v>
      </c>
      <c r="M101" s="75">
        <f>'THAM_SO_MOI'!$C$15*'THAM_SO_MOI'!$C$16*F101^2</f>
        <v>280.4412890655049</v>
      </c>
      <c r="N101" s="75">
        <f>'THAM_SO_MOI'!$C$12*I101</f>
        <v>1130.112</v>
      </c>
      <c r="O101" s="75">
        <f>M101+N101</f>
        <v>1410.553289065505</v>
      </c>
      <c r="P101" s="75">
        <f>(MIN(L101,'THAM_SO_MOI'!$C$41)-O101)/('THAM_SO_MOI'!$C$11*H101)</f>
        <v>0.2068091415607247</v>
      </c>
      <c r="Q101" s="75">
        <f>IF(P101&gt;0,1/P101,NA())</f>
        <v>4.835376194946263</v>
      </c>
      <c r="R101" s="75">
        <f>F101-F100</f>
        <v>0.017600427350426884</v>
      </c>
      <c r="S101" s="75">
        <f>0.5*(Q100+Q101)*R101</f>
        <v>0.08512338487327564</v>
      </c>
      <c r="T101" s="75">
        <f>0.5*(F100*Q100+F101*Q101)*R101</f>
        <v>0.8327532700139803</v>
      </c>
      <c r="U101" s="76">
        <f>U100+S101</f>
        <v>8.290605210649312</v>
      </c>
      <c r="V101" s="76">
        <f>V100+T101</f>
        <v>74.18522921910419</v>
      </c>
    </row>
    <row r="102" spans="1:22" ht="19" customHeight="1">
      <c r="A102" s="68" t="s">
        <v>362</v>
      </c>
      <c r="B102" s="74">
        <v>5</v>
      </c>
      <c r="C102" s="68" t="s">
        <v>363</v>
      </c>
      <c r="D102" s="68" t="s">
        <v>364</v>
      </c>
      <c r="E102" s="75">
        <f>60*F102*'THAM_SO_MOI'!$C$53/(2*PI()*'THAM_SO_MOI'!$C$26)</f>
        <v>966.4741052631579</v>
      </c>
      <c r="F102" s="75">
        <f>'THAM_SO_MOI'!$E$53+('THAM_SO_MOI'!$C$14-'THAM_SO_MOI'!$E$53)*96/'THAM_SO_MOI'!$C$42</f>
        <v>9.809299145299146</v>
      </c>
      <c r="G102" s="75">
        <f>3.6*F102</f>
        <v>35.31347692307693</v>
      </c>
      <c r="H102" s="75">
        <f>'THAM_SO_MOI'!$D$53</f>
        <v>1.1</v>
      </c>
      <c r="I102" s="75">
        <f>IF(F102&gt;'THAM_SO_MOI'!$C$14,'THAM_SO_MOI'!$C$13*(1+F102^2/1500),'THAM_SO_MOI'!$C$13)</f>
        <v>0.015</v>
      </c>
      <c r="J102" s="75">
        <f>'THAM_SO_MOI'!$C$40*('THAM_SO_MOI'!$C$23*(E102/'THAM_SO_MOI'!$C$22)+'THAM_SO_MOI'!$C$24*(E102/'THAM_SO_MOI'!$C$22)^2-'THAM_SO_MOI'!$C$25*(E102/'THAM_SO_MOI'!$C$22)^3)</f>
        <v>36.454274808776304</v>
      </c>
      <c r="K102" s="75">
        <f>'THAM_SO_MOI'!$C$31*J102/E102</f>
        <v>360.2562790246481</v>
      </c>
      <c r="L102" s="75">
        <f>K102*'THAM_SO_MOI'!$C$53*'THAM_SO_MOI'!$C$17/'THAM_SO_MOI'!$C$26</f>
        <v>3159.4489767176565</v>
      </c>
      <c r="M102" s="75">
        <f>'THAM_SO_MOI'!$C$15*'THAM_SO_MOI'!$C$16*F102^2</f>
        <v>281.4503729367522</v>
      </c>
      <c r="N102" s="75">
        <f>'THAM_SO_MOI'!$C$12*I102</f>
        <v>1130.112</v>
      </c>
      <c r="O102" s="75">
        <f>M102+N102</f>
        <v>1411.5623729367524</v>
      </c>
      <c r="P102" s="75">
        <f>(MIN(L102,'THAM_SO_MOI'!$C$41)-O102)/('THAM_SO_MOI'!$C$11*H102)</f>
        <v>0.20689945593997447</v>
      </c>
      <c r="Q102" s="75">
        <f>IF(P102&gt;0,1/P102,NA())</f>
        <v>4.833265488576825</v>
      </c>
      <c r="R102" s="75">
        <f>F102-F101</f>
        <v>0.017600427350426884</v>
      </c>
      <c r="S102" s="75">
        <f>0.5*(Q101+Q102)*R102</f>
        <v>0.0850861127640786</v>
      </c>
      <c r="T102" s="75">
        <f>0.5*(F101*Q101+F102*Q102)*R102</f>
        <v>0.8338861937793467</v>
      </c>
      <c r="U102" s="76">
        <f>U101+S102</f>
        <v>8.375691323413392</v>
      </c>
      <c r="V102" s="76">
        <f>V101+T102</f>
        <v>75.01911541288354</v>
      </c>
    </row>
    <row r="103" spans="1:22" ht="19" customHeight="1">
      <c r="A103" s="68" t="s">
        <v>362</v>
      </c>
      <c r="B103" s="74">
        <v>5</v>
      </c>
      <c r="C103" s="68" t="s">
        <v>363</v>
      </c>
      <c r="D103" s="68" t="s">
        <v>364</v>
      </c>
      <c r="E103" s="75">
        <f>60*F103*'THAM_SO_MOI'!$C$53/(2*PI()*'THAM_SO_MOI'!$C$26)</f>
        <v>968.2082105263156</v>
      </c>
      <c r="F103" s="75">
        <f>'THAM_SO_MOI'!$E$53+('THAM_SO_MOI'!$C$14-'THAM_SO_MOI'!$E$53)*97/'THAM_SO_MOI'!$C$42</f>
        <v>9.826899572649573</v>
      </c>
      <c r="G103" s="75">
        <f>3.6*F103</f>
        <v>35.37683846153846</v>
      </c>
      <c r="H103" s="75">
        <f>'THAM_SO_MOI'!$D$53</f>
        <v>1.1</v>
      </c>
      <c r="I103" s="75">
        <f>IF(F103&gt;'THAM_SO_MOI'!$C$14,'THAM_SO_MOI'!$C$13*(1+F103^2/1500),'THAM_SO_MOI'!$C$13)</f>
        <v>0.015</v>
      </c>
      <c r="J103" s="75">
        <f>'THAM_SO_MOI'!$C$40*('THAM_SO_MOI'!$C$23*(E103/'THAM_SO_MOI'!$C$22)+'THAM_SO_MOI'!$C$24*(E103/'THAM_SO_MOI'!$C$22)^2-'THAM_SO_MOI'!$C$25*(E103/'THAM_SO_MOI'!$C$22)^3)</f>
        <v>36.54013668222163</v>
      </c>
      <c r="K103" s="75">
        <f>'THAM_SO_MOI'!$C$31*J103/E103</f>
        <v>360.4580464630821</v>
      </c>
      <c r="L103" s="75">
        <f>K103*'THAM_SO_MOI'!$C$53*'THAM_SO_MOI'!$C$17/'THAM_SO_MOI'!$C$26</f>
        <v>3161.2184779422323</v>
      </c>
      <c r="M103" s="75">
        <f>'THAM_SO_MOI'!$C$15*'THAM_SO_MOI'!$C$16*F103^2</f>
        <v>282.4612689920006</v>
      </c>
      <c r="N103" s="75">
        <f>'THAM_SO_MOI'!$C$12*I103</f>
        <v>1130.112</v>
      </c>
      <c r="O103" s="75">
        <f>M103+N103</f>
        <v>1412.5732689920007</v>
      </c>
      <c r="P103" s="75">
        <f>(MIN(L103,'THAM_SO_MOI'!$C$41)-O103)/('THAM_SO_MOI'!$C$11*H103)</f>
        <v>0.20698925295338919</v>
      </c>
      <c r="Q103" s="75">
        <f>IF(P103&gt;0,1/P103,NA())</f>
        <v>4.831168699493711</v>
      </c>
      <c r="R103" s="75">
        <f>F103-F102</f>
        <v>0.017600427350426884</v>
      </c>
      <c r="S103" s="75">
        <f>0.5*(Q102+Q103)*R103</f>
        <v>0.08504908590505865</v>
      </c>
      <c r="T103" s="75">
        <f>0.5*(F102*Q102+F103*Q103)*R103</f>
        <v>0.8350202134225795</v>
      </c>
      <c r="U103" s="76">
        <f>U102+S103</f>
        <v>8.46074040931845</v>
      </c>
      <c r="V103" s="76">
        <f>V102+T103</f>
        <v>75.85413562630612</v>
      </c>
    </row>
    <row r="104" spans="1:22" ht="19" customHeight="1">
      <c r="A104" s="68" t="s">
        <v>362</v>
      </c>
      <c r="B104" s="74">
        <v>5</v>
      </c>
      <c r="C104" s="68" t="s">
        <v>363</v>
      </c>
      <c r="D104" s="68" t="s">
        <v>364</v>
      </c>
      <c r="E104" s="75">
        <f>60*F104*'THAM_SO_MOI'!$C$53/(2*PI()*'THAM_SO_MOI'!$C$26)</f>
        <v>969.9423157894736</v>
      </c>
      <c r="F104" s="75">
        <f>'THAM_SO_MOI'!$E$53+('THAM_SO_MOI'!$C$14-'THAM_SO_MOI'!$E$53)*98/'THAM_SO_MOI'!$C$42</f>
        <v>9.844500000000002</v>
      </c>
      <c r="G104" s="75">
        <f>3.6*F104</f>
        <v>35.440200000000004</v>
      </c>
      <c r="H104" s="75">
        <f>'THAM_SO_MOI'!$D$53</f>
        <v>1.1</v>
      </c>
      <c r="I104" s="75">
        <f>IF(F104&gt;'THAM_SO_MOI'!$C$14,'THAM_SO_MOI'!$C$13*(1+F104^2/1500),'THAM_SO_MOI'!$C$13)</f>
        <v>0.015</v>
      </c>
      <c r="J104" s="75">
        <f>'THAM_SO_MOI'!$C$40*('THAM_SO_MOI'!$C$23*(E104/'THAM_SO_MOI'!$C$22)+'THAM_SO_MOI'!$C$24*(E104/'THAM_SO_MOI'!$C$22)^2-'THAM_SO_MOI'!$C$25*(E104/'THAM_SO_MOI'!$C$22)^3)</f>
        <v>36.62604219517416</v>
      </c>
      <c r="K104" s="75">
        <f>'THAM_SO_MOI'!$C$31*J104/E104</f>
        <v>360.6595221658912</v>
      </c>
      <c r="L104" s="75">
        <f>K104*'THAM_SO_MOI'!$C$53*'THAM_SO_MOI'!$C$17/'THAM_SO_MOI'!$C$26</f>
        <v>3162.985420644236</v>
      </c>
      <c r="M104" s="75">
        <f>'THAM_SO_MOI'!$C$15*'THAM_SO_MOI'!$C$16*F104^2</f>
        <v>283.4739772312501</v>
      </c>
      <c r="N104" s="75">
        <f>'THAM_SO_MOI'!$C$12*I104</f>
        <v>1130.112</v>
      </c>
      <c r="O104" s="75">
        <f>M104+N104</f>
        <v>1413.5859772312501</v>
      </c>
      <c r="P104" s="75">
        <f>(MIN(L104,'THAM_SO_MOI'!$C$41)-O104)/('THAM_SO_MOI'!$C$11*H104)</f>
        <v>0.20707853260096898</v>
      </c>
      <c r="Q104" s="75">
        <f>IF(P104&gt;0,1/P104,NA())</f>
        <v>4.829085793875867</v>
      </c>
      <c r="R104" s="75">
        <f>F104-F103</f>
        <v>0.01760042735042866</v>
      </c>
      <c r="S104" s="75">
        <f>0.5*(Q103+Q104)*R104</f>
        <v>0.08501230369860165</v>
      </c>
      <c r="T104" s="75">
        <f>0.5*(F103*Q103+F104*Q104)*R104</f>
        <v>0.8361553360152698</v>
      </c>
      <c r="U104" s="76">
        <f>U103+S104</f>
        <v>8.545752713017052</v>
      </c>
      <c r="V104" s="76">
        <f>V103+T104</f>
        <v>76.69029096232138</v>
      </c>
    </row>
    <row r="105" spans="1:22" ht="19" customHeight="1">
      <c r="A105" s="68" t="s">
        <v>362</v>
      </c>
      <c r="B105" s="74">
        <v>5</v>
      </c>
      <c r="C105" s="68" t="s">
        <v>363</v>
      </c>
      <c r="D105" s="68" t="s">
        <v>364</v>
      </c>
      <c r="E105" s="75">
        <f>60*F105*'THAM_SO_MOI'!$C$53/(2*PI()*'THAM_SO_MOI'!$C$26)</f>
        <v>971.6764210526314</v>
      </c>
      <c r="F105" s="75">
        <f>'THAM_SO_MOI'!$E$53+('THAM_SO_MOI'!$C$14-'THAM_SO_MOI'!$E$53)*99/'THAM_SO_MOI'!$C$42</f>
        <v>9.862100427350429</v>
      </c>
      <c r="G105" s="75">
        <f>3.6*F105</f>
        <v>35.50356153846155</v>
      </c>
      <c r="H105" s="75">
        <f>'THAM_SO_MOI'!$D$53</f>
        <v>1.1</v>
      </c>
      <c r="I105" s="75">
        <f>IF(F105&gt;'THAM_SO_MOI'!$C$14,'THAM_SO_MOI'!$C$13*(1+F105^2/1500),'THAM_SO_MOI'!$C$13)</f>
        <v>0.015</v>
      </c>
      <c r="J105" s="75">
        <f>'THAM_SO_MOI'!$C$40*('THAM_SO_MOI'!$C$23*(E105/'THAM_SO_MOI'!$C$22)+'THAM_SO_MOI'!$C$24*(E105/'THAM_SO_MOI'!$C$22)^2-'THAM_SO_MOI'!$C$25*(E105/'THAM_SO_MOI'!$C$22)^3)</f>
        <v>36.71199118873055</v>
      </c>
      <c r="K105" s="75">
        <f>'THAM_SO_MOI'!$C$31*J105/E105</f>
        <v>360.86070613307504</v>
      </c>
      <c r="L105" s="75">
        <f>K105*'THAM_SO_MOI'!$C$53*'THAM_SO_MOI'!$C$17/'THAM_SO_MOI'!$C$26</f>
        <v>3164.7498048236644</v>
      </c>
      <c r="M105" s="75">
        <f>'THAM_SO_MOI'!$C$15*'THAM_SO_MOI'!$C$16*F105^2</f>
        <v>284.48849765450063</v>
      </c>
      <c r="N105" s="75">
        <f>'THAM_SO_MOI'!$C$12*I105</f>
        <v>1130.112</v>
      </c>
      <c r="O105" s="75">
        <f>M105+N105</f>
        <v>1414.6004976545007</v>
      </c>
      <c r="P105" s="75">
        <f>(MIN(L105,'THAM_SO_MOI'!$C$41)-O105)/('THAM_SO_MOI'!$C$11*H105)</f>
        <v>0.20716729488271352</v>
      </c>
      <c r="Q105" s="75">
        <f>IF(P105&gt;0,1/P105,NA())</f>
        <v>4.827016738168753</v>
      </c>
      <c r="R105" s="75">
        <f>F105-F104</f>
        <v>0.017600427350426884</v>
      </c>
      <c r="S105" s="75">
        <f>0.5*(Q104+Q105)*R105</f>
        <v>0.08497576555176221</v>
      </c>
      <c r="T105" s="75">
        <f>0.5*(F104*Q104+F105*Q105)*R105</f>
        <v>0.8372915686329384</v>
      </c>
      <c r="U105" s="76">
        <f>U104+S105</f>
        <v>8.630728478568814</v>
      </c>
      <c r="V105" s="76">
        <f>V104+T105</f>
        <v>77.52758253095432</v>
      </c>
    </row>
    <row r="106" spans="1:22" ht="19" customHeight="1">
      <c r="A106" s="68" t="s">
        <v>362</v>
      </c>
      <c r="B106" s="74">
        <v>5</v>
      </c>
      <c r="C106" s="68" t="s">
        <v>363</v>
      </c>
      <c r="D106" s="68" t="s">
        <v>364</v>
      </c>
      <c r="E106" s="75">
        <f>60*F106*'THAM_SO_MOI'!$C$53/(2*PI()*'THAM_SO_MOI'!$C$26)</f>
        <v>973.4105263157894</v>
      </c>
      <c r="F106" s="75">
        <f>'THAM_SO_MOI'!$E$53+('THAM_SO_MOI'!$C$14-'THAM_SO_MOI'!$E$53)*100/'THAM_SO_MOI'!$C$42</f>
        <v>9.879700854700856</v>
      </c>
      <c r="G106" s="75">
        <f>3.6*F106</f>
        <v>35.56692307692308</v>
      </c>
      <c r="H106" s="75">
        <f>'THAM_SO_MOI'!$D$53</f>
        <v>1.1</v>
      </c>
      <c r="I106" s="75">
        <f>IF(F106&gt;'THAM_SO_MOI'!$C$14,'THAM_SO_MOI'!$C$13*(1+F106^2/1500),'THAM_SO_MOI'!$C$13)</f>
        <v>0.015</v>
      </c>
      <c r="J106" s="75">
        <f>'THAM_SO_MOI'!$C$40*('THAM_SO_MOI'!$C$23*(E106/'THAM_SO_MOI'!$C$22)+'THAM_SO_MOI'!$C$24*(E106/'THAM_SO_MOI'!$C$22)^2-'THAM_SO_MOI'!$C$25*(E106/'THAM_SO_MOI'!$C$22)^3)</f>
        <v>36.79798350398758</v>
      </c>
      <c r="K106" s="75">
        <f>'THAM_SO_MOI'!$C$31*J106/E106</f>
        <v>361.061598364634</v>
      </c>
      <c r="L106" s="75">
        <f>K106*'THAM_SO_MOI'!$C$53*'THAM_SO_MOI'!$C$17/'THAM_SO_MOI'!$C$26</f>
        <v>3166.5116304805215</v>
      </c>
      <c r="M106" s="75">
        <f>'THAM_SO_MOI'!$C$15*'THAM_SO_MOI'!$C$16*F106^2</f>
        <v>285.5048302617522</v>
      </c>
      <c r="N106" s="75">
        <f>'THAM_SO_MOI'!$C$12*I106</f>
        <v>1130.112</v>
      </c>
      <c r="O106" s="75">
        <f>M106+N106</f>
        <v>1415.6168302617523</v>
      </c>
      <c r="P106" s="75">
        <f>(MIN(L106,'THAM_SO_MOI'!$C$41)-O106)/('THAM_SO_MOI'!$C$11*H106)</f>
        <v>0.2072555397986232</v>
      </c>
      <c r="Q106" s="75">
        <f>IF(P106&gt;0,1/P106,NA())</f>
        <v>4.824961499082897</v>
      </c>
      <c r="R106" s="75">
        <f>F106-F105</f>
        <v>0.017600427350426884</v>
      </c>
      <c r="S106" s="75">
        <f>0.5*(Q105+Q106)*R106</f>
        <v>0.08493947087632452</v>
      </c>
      <c r="T106" s="75">
        <f>0.5*(F105*Q105+F106*Q106)*R106</f>
        <v>0.8384289183560464</v>
      </c>
      <c r="U106" s="76">
        <f>U105+S106</f>
        <v>8.71566794944514</v>
      </c>
      <c r="V106" s="76">
        <f>V105+T106</f>
        <v>78.36601144931036</v>
      </c>
    </row>
    <row r="107" spans="1:22" ht="19" customHeight="1">
      <c r="A107" s="68" t="s">
        <v>362</v>
      </c>
      <c r="B107" s="74">
        <v>5</v>
      </c>
      <c r="C107" s="68" t="s">
        <v>363</v>
      </c>
      <c r="D107" s="68" t="s">
        <v>364</v>
      </c>
      <c r="E107" s="75">
        <f>60*F107*'THAM_SO_MOI'!$C$53/(2*PI()*'THAM_SO_MOI'!$C$26)</f>
        <v>975.1446315789472</v>
      </c>
      <c r="F107" s="75">
        <f>'THAM_SO_MOI'!$E$53+('THAM_SO_MOI'!$C$14-'THAM_SO_MOI'!$E$53)*101/'THAM_SO_MOI'!$C$42</f>
        <v>9.897301282051282</v>
      </c>
      <c r="G107" s="75">
        <f>3.6*F107</f>
        <v>35.63028461538462</v>
      </c>
      <c r="H107" s="75">
        <f>'THAM_SO_MOI'!$D$53</f>
        <v>1.1</v>
      </c>
      <c r="I107" s="75">
        <f>IF(F107&gt;'THAM_SO_MOI'!$C$14,'THAM_SO_MOI'!$C$13*(1+F107^2/1500),'THAM_SO_MOI'!$C$13)</f>
        <v>0.015</v>
      </c>
      <c r="J107" s="75">
        <f>'THAM_SO_MOI'!$C$40*('THAM_SO_MOI'!$C$23*(E107/'THAM_SO_MOI'!$C$22)+'THAM_SO_MOI'!$C$24*(E107/'THAM_SO_MOI'!$C$22)^2-'THAM_SO_MOI'!$C$25*(E107/'THAM_SO_MOI'!$C$22)^3)</f>
        <v>36.88401898204194</v>
      </c>
      <c r="K107" s="75">
        <f>'THAM_SO_MOI'!$C$31*J107/E107</f>
        <v>361.2621988605679</v>
      </c>
      <c r="L107" s="75">
        <f>K107*'THAM_SO_MOI'!$C$53*'THAM_SO_MOI'!$C$17/'THAM_SO_MOI'!$C$26</f>
        <v>3168.270897614805</v>
      </c>
      <c r="M107" s="75">
        <f>'THAM_SO_MOI'!$C$15*'THAM_SO_MOI'!$C$16*F107^2</f>
        <v>286.5229750530048</v>
      </c>
      <c r="N107" s="75">
        <f>'THAM_SO_MOI'!$C$12*I107</f>
        <v>1130.112</v>
      </c>
      <c r="O107" s="75">
        <f>M107+N107</f>
        <v>1416.6349750530048</v>
      </c>
      <c r="P107" s="75">
        <f>(MIN(L107,'THAM_SO_MOI'!$C$41)-O107)/('THAM_SO_MOI'!$C$11*H107)</f>
        <v>0.20734326734869796</v>
      </c>
      <c r="Q107" s="75">
        <f>IF(P107&gt;0,1/P107,NA())</f>
        <v>4.82292004359253</v>
      </c>
      <c r="R107" s="75">
        <f>F107-F106</f>
        <v>0.017600427350426884</v>
      </c>
      <c r="S107" s="75">
        <f>0.5*(Q106+Q107)*R107</f>
        <v>0.08490341908869166</v>
      </c>
      <c r="T107" s="75">
        <f>0.5*(F106*Q106+F107*Q107)*R107</f>
        <v>0.839567392269318</v>
      </c>
      <c r="U107" s="76">
        <f>U106+S107</f>
        <v>8.80057136853383</v>
      </c>
      <c r="V107" s="76">
        <f>V106+T107</f>
        <v>79.20557884157968</v>
      </c>
    </row>
    <row r="108" spans="1:22" ht="19" customHeight="1">
      <c r="A108" s="68" t="s">
        <v>362</v>
      </c>
      <c r="B108" s="74">
        <v>5</v>
      </c>
      <c r="C108" s="68" t="s">
        <v>363</v>
      </c>
      <c r="D108" s="68" t="s">
        <v>364</v>
      </c>
      <c r="E108" s="75">
        <f>60*F108*'THAM_SO_MOI'!$C$53/(2*PI()*'THAM_SO_MOI'!$C$26)</f>
        <v>976.8787368421054</v>
      </c>
      <c r="F108" s="75">
        <f>'THAM_SO_MOI'!$E$53+('THAM_SO_MOI'!$C$14-'THAM_SO_MOI'!$E$53)*102/'THAM_SO_MOI'!$C$42</f>
        <v>9.914901709401711</v>
      </c>
      <c r="G108" s="75">
        <f>3.6*F108</f>
        <v>35.69364615384616</v>
      </c>
      <c r="H108" s="75">
        <f>'THAM_SO_MOI'!$D$53</f>
        <v>1.1</v>
      </c>
      <c r="I108" s="75">
        <f>IF(F108&gt;'THAM_SO_MOI'!$C$14,'THAM_SO_MOI'!$C$13*(1+F108^2/1500),'THAM_SO_MOI'!$C$13)</f>
        <v>0.015</v>
      </c>
      <c r="J108" s="75">
        <f>'THAM_SO_MOI'!$C$40*('THAM_SO_MOI'!$C$23*(E108/'THAM_SO_MOI'!$C$22)+'THAM_SO_MOI'!$C$24*(E108/'THAM_SO_MOI'!$C$22)^2-'THAM_SO_MOI'!$C$25*(E108/'THAM_SO_MOI'!$C$22)^3)</f>
        <v>36.97009746399036</v>
      </c>
      <c r="K108" s="75">
        <f>'THAM_SO_MOI'!$C$31*J108/E108</f>
        <v>361.46250762087675</v>
      </c>
      <c r="L108" s="75">
        <f>K108*'THAM_SO_MOI'!$C$53*'THAM_SO_MOI'!$C$17/'THAM_SO_MOI'!$C$26</f>
        <v>3170.0276062265157</v>
      </c>
      <c r="M108" s="75">
        <f>'THAM_SO_MOI'!$C$15*'THAM_SO_MOI'!$C$16*F108^2</f>
        <v>287.5429320282587</v>
      </c>
      <c r="N108" s="75">
        <f>'THAM_SO_MOI'!$C$12*I108</f>
        <v>1130.112</v>
      </c>
      <c r="O108" s="75">
        <f>M108+N108</f>
        <v>1417.6549320282588</v>
      </c>
      <c r="P108" s="75">
        <f>(MIN(L108,'THAM_SO_MOI'!$C$41)-O108)/('THAM_SO_MOI'!$C$11*H108)</f>
        <v>0.2074304775329376</v>
      </c>
      <c r="Q108" s="75">
        <f>IF(P108&gt;0,1/P108,NA())</f>
        <v>4.8208923389341924</v>
      </c>
      <c r="R108" s="75">
        <f>F108-F107</f>
        <v>0.01760042735042866</v>
      </c>
      <c r="S108" s="75">
        <f>0.5*(Q107+Q108)*R108</f>
        <v>0.08486760960991295</v>
      </c>
      <c r="T108" s="75">
        <f>0.5*(F107*Q107+F108*Q108)*R108</f>
        <v>0.8407069974624168</v>
      </c>
      <c r="U108" s="76">
        <f>U107+S108</f>
        <v>8.885438978143744</v>
      </c>
      <c r="V108" s="76">
        <f>V107+T108</f>
        <v>80.0462858390421</v>
      </c>
    </row>
    <row r="109" spans="1:22" ht="19" customHeight="1">
      <c r="A109" s="68" t="s">
        <v>362</v>
      </c>
      <c r="B109" s="74">
        <v>5</v>
      </c>
      <c r="C109" s="68" t="s">
        <v>363</v>
      </c>
      <c r="D109" s="68" t="s">
        <v>364</v>
      </c>
      <c r="E109" s="75">
        <f>60*F109*'THAM_SO_MOI'!$C$53/(2*PI()*'THAM_SO_MOI'!$C$26)</f>
        <v>978.6128421052631</v>
      </c>
      <c r="F109" s="75">
        <f>'THAM_SO_MOI'!$E$53+('THAM_SO_MOI'!$C$14-'THAM_SO_MOI'!$E$53)*103/'THAM_SO_MOI'!$C$42</f>
        <v>9.932502136752138</v>
      </c>
      <c r="G109" s="75">
        <f>3.6*F109</f>
        <v>35.757007692307695</v>
      </c>
      <c r="H109" s="75">
        <f>'THAM_SO_MOI'!$D$53</f>
        <v>1.1</v>
      </c>
      <c r="I109" s="75">
        <f>IF(F109&gt;'THAM_SO_MOI'!$C$14,'THAM_SO_MOI'!$C$13*(1+F109^2/1500),'THAM_SO_MOI'!$C$13)</f>
        <v>0.015</v>
      </c>
      <c r="J109" s="75">
        <f>'THAM_SO_MOI'!$C$40*('THAM_SO_MOI'!$C$23*(E109/'THAM_SO_MOI'!$C$22)+'THAM_SO_MOI'!$C$24*(E109/'THAM_SO_MOI'!$C$22)^2-'THAM_SO_MOI'!$C$25*(E109/'THAM_SO_MOI'!$C$22)^3)</f>
        <v>37.056218790929556</v>
      </c>
      <c r="K109" s="75">
        <f>'THAM_SO_MOI'!$C$31*J109/E109</f>
        <v>361.66252464556067</v>
      </c>
      <c r="L109" s="75">
        <f>K109*'THAM_SO_MOI'!$C$53*'THAM_SO_MOI'!$C$17/'THAM_SO_MOI'!$C$26</f>
        <v>3171.7817563156545</v>
      </c>
      <c r="M109" s="75">
        <f>'THAM_SO_MOI'!$C$15*'THAM_SO_MOI'!$C$16*F109^2</f>
        <v>288.56470118751344</v>
      </c>
      <c r="N109" s="75">
        <f>'THAM_SO_MOI'!$C$12*I109</f>
        <v>1130.112</v>
      </c>
      <c r="O109" s="75">
        <f>M109+N109</f>
        <v>1418.6767011875136</v>
      </c>
      <c r="P109" s="75">
        <f>(MIN(L109,'THAM_SO_MOI'!$C$41)-O109)/('THAM_SO_MOI'!$C$11*H109)</f>
        <v>0.20751717035134246</v>
      </c>
      <c r="Q109" s="75">
        <f>IF(P109&gt;0,1/P109,NA())</f>
        <v>4.818878352605346</v>
      </c>
      <c r="R109" s="75">
        <f>F109-F108</f>
        <v>0.017600427350426884</v>
      </c>
      <c r="S109" s="75">
        <f>0.5*(Q108+Q109)*R109</f>
        <v>0.08483204186560798</v>
      </c>
      <c r="T109" s="75">
        <f>0.5*(F108*Q108+F109*Q109)*R109</f>
        <v>0.8418477410296007</v>
      </c>
      <c r="U109" s="76">
        <f>U108+S109</f>
        <v>8.970271020009353</v>
      </c>
      <c r="V109" s="76">
        <f>V108+T109</f>
        <v>80.8881335800717</v>
      </c>
    </row>
    <row r="110" spans="1:22" ht="19" customHeight="1">
      <c r="A110" s="68" t="s">
        <v>362</v>
      </c>
      <c r="B110" s="74">
        <v>5</v>
      </c>
      <c r="C110" s="68" t="s">
        <v>363</v>
      </c>
      <c r="D110" s="68" t="s">
        <v>364</v>
      </c>
      <c r="E110" s="75">
        <f>60*F110*'THAM_SO_MOI'!$C$53/(2*PI()*'THAM_SO_MOI'!$C$26)</f>
        <v>980.346947368421</v>
      </c>
      <c r="F110" s="75">
        <f>'THAM_SO_MOI'!$E$53+('THAM_SO_MOI'!$C$14-'THAM_SO_MOI'!$E$53)*104/'THAM_SO_MOI'!$C$42</f>
        <v>9.950102564102565</v>
      </c>
      <c r="G110" s="75">
        <f>3.6*F110</f>
        <v>35.82036923076924</v>
      </c>
      <c r="H110" s="75">
        <f>'THAM_SO_MOI'!$D$53</f>
        <v>1.1</v>
      </c>
      <c r="I110" s="75">
        <f>IF(F110&gt;'THAM_SO_MOI'!$C$14,'THAM_SO_MOI'!$C$13*(1+F110^2/1500),'THAM_SO_MOI'!$C$13)</f>
        <v>0.015</v>
      </c>
      <c r="J110" s="75">
        <f>'THAM_SO_MOI'!$C$40*('THAM_SO_MOI'!$C$23*(E110/'THAM_SO_MOI'!$C$22)+'THAM_SO_MOI'!$C$24*(E110/'THAM_SO_MOI'!$C$22)^2-'THAM_SO_MOI'!$C$25*(E110/'THAM_SO_MOI'!$C$22)^3)</f>
        <v>37.142382803956245</v>
      </c>
      <c r="K110" s="75">
        <f>'THAM_SO_MOI'!$C$31*J110/E110</f>
        <v>361.86224993461934</v>
      </c>
      <c r="L110" s="75">
        <f>K110*'THAM_SO_MOI'!$C$53*'THAM_SO_MOI'!$C$17/'THAM_SO_MOI'!$C$26</f>
        <v>3173.5333478822176</v>
      </c>
      <c r="M110" s="75">
        <f>'THAM_SO_MOI'!$C$15*'THAM_SO_MOI'!$C$16*F110^2</f>
        <v>289.5882825307693</v>
      </c>
      <c r="N110" s="75">
        <f>'THAM_SO_MOI'!$C$12*I110</f>
        <v>1130.112</v>
      </c>
      <c r="O110" s="75">
        <f>M110+N110</f>
        <v>1419.7002825307693</v>
      </c>
      <c r="P110" s="75">
        <f>(MIN(L110,'THAM_SO_MOI'!$C$41)-O110)/('THAM_SO_MOI'!$C$11*H110)</f>
        <v>0.20760334580391193</v>
      </c>
      <c r="Q110" s="75">
        <f>IF(P110&gt;0,1/P110,NA())</f>
        <v>4.81687805236305</v>
      </c>
      <c r="R110" s="75">
        <f>F110-F109</f>
        <v>0.017600427350426884</v>
      </c>
      <c r="S110" s="75">
        <f>0.5*(Q109+Q110)*R110</f>
        <v>0.08479671528602839</v>
      </c>
      <c r="T110" s="75">
        <f>0.5*(F109*Q109+F110*Q110)*R110</f>
        <v>0.8429896300707397</v>
      </c>
      <c r="U110" s="76">
        <f>U109+S110</f>
        <v>9.055067735295381</v>
      </c>
      <c r="V110" s="76">
        <f>V109+T110</f>
        <v>81.73112321014243</v>
      </c>
    </row>
    <row r="111" spans="1:22" ht="19" customHeight="1">
      <c r="A111" s="68" t="s">
        <v>362</v>
      </c>
      <c r="B111" s="74">
        <v>5</v>
      </c>
      <c r="C111" s="68" t="s">
        <v>363</v>
      </c>
      <c r="D111" s="68" t="s">
        <v>364</v>
      </c>
      <c r="E111" s="75">
        <f>60*F111*'THAM_SO_MOI'!$C$53/(2*PI()*'THAM_SO_MOI'!$C$26)</f>
        <v>982.0810526315787</v>
      </c>
      <c r="F111" s="75">
        <f>'THAM_SO_MOI'!$E$53+('THAM_SO_MOI'!$C$14-'THAM_SO_MOI'!$E$53)*105/'THAM_SO_MOI'!$C$42</f>
        <v>9.967702991452992</v>
      </c>
      <c r="G111" s="75">
        <f>3.6*F111</f>
        <v>35.88373076923077</v>
      </c>
      <c r="H111" s="75">
        <f>'THAM_SO_MOI'!$D$53</f>
        <v>1.1</v>
      </c>
      <c r="I111" s="75">
        <f>IF(F111&gt;'THAM_SO_MOI'!$C$14,'THAM_SO_MOI'!$C$13*(1+F111^2/1500),'THAM_SO_MOI'!$C$13)</f>
        <v>0.015</v>
      </c>
      <c r="J111" s="75">
        <f>'THAM_SO_MOI'!$C$40*('THAM_SO_MOI'!$C$23*(E111/'THAM_SO_MOI'!$C$22)+'THAM_SO_MOI'!$C$24*(E111/'THAM_SO_MOI'!$C$22)^2-'THAM_SO_MOI'!$C$25*(E111/'THAM_SO_MOI'!$C$22)^3)</f>
        <v>37.228589344167155</v>
      </c>
      <c r="K111" s="75">
        <f>'THAM_SO_MOI'!$C$31*J111/E111</f>
        <v>362.0616834880531</v>
      </c>
      <c r="L111" s="75">
        <f>K111*'THAM_SO_MOI'!$C$53*'THAM_SO_MOI'!$C$17/'THAM_SO_MOI'!$C$26</f>
        <v>3175.282380926209</v>
      </c>
      <c r="M111" s="75">
        <f>'THAM_SO_MOI'!$C$15*'THAM_SO_MOI'!$C$16*F111^2</f>
        <v>290.6136760580262</v>
      </c>
      <c r="N111" s="75">
        <f>'THAM_SO_MOI'!$C$12*I111</f>
        <v>1130.112</v>
      </c>
      <c r="O111" s="75">
        <f>M111+N111</f>
        <v>1420.7256760580262</v>
      </c>
      <c r="P111" s="75">
        <f>(MIN(L111,'THAM_SO_MOI'!$C$41)-O111)/('THAM_SO_MOI'!$C$11*H111)</f>
        <v>0.20768900389064665</v>
      </c>
      <c r="Q111" s="75">
        <f>IF(P111&gt;0,1/P111,NA())</f>
        <v>4.814891406222568</v>
      </c>
      <c r="R111" s="75">
        <f>F111-F110</f>
        <v>0.017600427350426884</v>
      </c>
      <c r="S111" s="75">
        <f>0.5*(Q110+Q111)*R111</f>
        <v>0.08476162930594833</v>
      </c>
      <c r="T111" s="75">
        <f>0.5*(F110*Q110+F111*Q111)*R111</f>
        <v>0.8441326716906308</v>
      </c>
      <c r="U111" s="76">
        <f>U110+S111</f>
        <v>9.13982936460133</v>
      </c>
      <c r="V111" s="76">
        <f>V110+T111</f>
        <v>82.57525588183306</v>
      </c>
    </row>
    <row r="112" spans="1:22" ht="19" customHeight="1">
      <c r="A112" s="68" t="s">
        <v>362</v>
      </c>
      <c r="B112" s="74">
        <v>5</v>
      </c>
      <c r="C112" s="68" t="s">
        <v>363</v>
      </c>
      <c r="D112" s="68" t="s">
        <v>364</v>
      </c>
      <c r="E112" s="75">
        <f>60*F112*'THAM_SO_MOI'!$C$53/(2*PI()*'THAM_SO_MOI'!$C$26)</f>
        <v>983.8151578947367</v>
      </c>
      <c r="F112" s="75">
        <f>'THAM_SO_MOI'!$E$53+('THAM_SO_MOI'!$C$14-'THAM_SO_MOI'!$E$53)*106/'THAM_SO_MOI'!$C$42</f>
        <v>9.98530341880342</v>
      </c>
      <c r="G112" s="75">
        <f>3.6*F112</f>
        <v>35.947092307692316</v>
      </c>
      <c r="H112" s="75">
        <f>'THAM_SO_MOI'!$D$53</f>
        <v>1.1</v>
      </c>
      <c r="I112" s="75">
        <f>IF(F112&gt;'THAM_SO_MOI'!$C$14,'THAM_SO_MOI'!$C$13*(1+F112^2/1500),'THAM_SO_MOI'!$C$13)</f>
        <v>0.015</v>
      </c>
      <c r="J112" s="75">
        <f>'THAM_SO_MOI'!$C$40*('THAM_SO_MOI'!$C$23*(E112/'THAM_SO_MOI'!$C$22)+'THAM_SO_MOI'!$C$24*(E112/'THAM_SO_MOI'!$C$22)^2-'THAM_SO_MOI'!$C$25*(E112/'THAM_SO_MOI'!$C$22)^3)</f>
        <v>37.314838252659015</v>
      </c>
      <c r="K112" s="75">
        <f>'THAM_SO_MOI'!$C$31*J112/E112</f>
        <v>362.26082530586183</v>
      </c>
      <c r="L112" s="75">
        <f>K112*'THAM_SO_MOI'!$C$53*'THAM_SO_MOI'!$C$17/'THAM_SO_MOI'!$C$26</f>
        <v>3177.0288554476274</v>
      </c>
      <c r="M112" s="75">
        <f>'THAM_SO_MOI'!$C$15*'THAM_SO_MOI'!$C$16*F112^2</f>
        <v>291.6408817692843</v>
      </c>
      <c r="N112" s="75">
        <f>'THAM_SO_MOI'!$C$12*I112</f>
        <v>1130.112</v>
      </c>
      <c r="O112" s="75">
        <f>M112+N112</f>
        <v>1421.7528817692844</v>
      </c>
      <c r="P112" s="75">
        <f>(MIN(L112,'THAM_SO_MOI'!$C$41)-O112)/('THAM_SO_MOI'!$C$11*H112)</f>
        <v>0.20777414461154625</v>
      </c>
      <c r="Q112" s="75">
        <f>IF(P112&gt;0,1/P112,NA())</f>
        <v>4.812918382456085</v>
      </c>
      <c r="R112" s="75">
        <f>F112-F111</f>
        <v>0.01760042735042866</v>
      </c>
      <c r="S112" s="75">
        <f>0.5*(Q111+Q112)*R112</f>
        <v>0.08472678336469228</v>
      </c>
      <c r="T112" s="75">
        <f>0.5*(F111*Q111+F112*Q112)*R112</f>
        <v>0.8452768729996751</v>
      </c>
      <c r="U112" s="76">
        <f>U111+S112</f>
        <v>9.224556147966021</v>
      </c>
      <c r="V112" s="76">
        <f>V111+T112</f>
        <v>83.42053275483273</v>
      </c>
    </row>
    <row r="113" spans="1:22" ht="19" customHeight="1">
      <c r="A113" s="68" t="s">
        <v>362</v>
      </c>
      <c r="B113" s="74">
        <v>5</v>
      </c>
      <c r="C113" s="68" t="s">
        <v>363</v>
      </c>
      <c r="D113" s="68" t="s">
        <v>364</v>
      </c>
      <c r="E113" s="75">
        <f>60*F113*'THAM_SO_MOI'!$C$53/(2*PI()*'THAM_SO_MOI'!$C$26)</f>
        <v>985.5492631578945</v>
      </c>
      <c r="F113" s="75">
        <f>'THAM_SO_MOI'!$E$53+('THAM_SO_MOI'!$C$14-'THAM_SO_MOI'!$E$53)*107/'THAM_SO_MOI'!$C$42</f>
        <v>10.002903846153847</v>
      </c>
      <c r="G113" s="75">
        <f>3.6*F113</f>
        <v>36.01045384615385</v>
      </c>
      <c r="H113" s="75">
        <f>'THAM_SO_MOI'!$D$53</f>
        <v>1.1</v>
      </c>
      <c r="I113" s="75">
        <f>IF(F113&gt;'THAM_SO_MOI'!$C$14,'THAM_SO_MOI'!$C$13*(1+F113^2/1500),'THAM_SO_MOI'!$C$13)</f>
        <v>0.015</v>
      </c>
      <c r="J113" s="75">
        <f>'THAM_SO_MOI'!$C$40*('THAM_SO_MOI'!$C$23*(E113/'THAM_SO_MOI'!$C$22)+'THAM_SO_MOI'!$C$24*(E113/'THAM_SO_MOI'!$C$22)^2-'THAM_SO_MOI'!$C$25*(E113/'THAM_SO_MOI'!$C$22)^3)</f>
        <v>37.40112937052854</v>
      </c>
      <c r="K113" s="75">
        <f>'THAM_SO_MOI'!$C$31*J113/E113</f>
        <v>362.4596753880456</v>
      </c>
      <c r="L113" s="75">
        <f>K113*'THAM_SO_MOI'!$C$53*'THAM_SO_MOI'!$C$17/'THAM_SO_MOI'!$C$26</f>
        <v>3178.772771446473</v>
      </c>
      <c r="M113" s="75">
        <f>'THAM_SO_MOI'!$C$15*'THAM_SO_MOI'!$C$16*F113^2</f>
        <v>292.6698996645434</v>
      </c>
      <c r="N113" s="75">
        <f>'THAM_SO_MOI'!$C$12*I113</f>
        <v>1130.112</v>
      </c>
      <c r="O113" s="75">
        <f>M113+N113</f>
        <v>1422.7818996645435</v>
      </c>
      <c r="P113" s="75">
        <f>(MIN(L113,'THAM_SO_MOI'!$C$41)-O113)/('THAM_SO_MOI'!$C$11*H113)</f>
        <v>0.207858767966611</v>
      </c>
      <c r="Q113" s="75">
        <f>IF(P113&gt;0,1/P113,NA())</f>
        <v>4.810958949591354</v>
      </c>
      <c r="R113" s="75">
        <f>F113-F112</f>
        <v>0.017600427350426884</v>
      </c>
      <c r="S113" s="75">
        <f>0.5*(Q112+Q113)*R113</f>
        <v>0.08469217690606053</v>
      </c>
      <c r="T113" s="75">
        <f>0.5*(F112*Q112+F113*Q113)*R113</f>
        <v>0.8464222411135327</v>
      </c>
      <c r="U113" s="76">
        <f>U112+S113</f>
        <v>9.309248324872081</v>
      </c>
      <c r="V113" s="76">
        <f>V112+T113</f>
        <v>84.26695499594626</v>
      </c>
    </row>
    <row r="114" spans="1:22" ht="19" customHeight="1">
      <c r="A114" s="68" t="s">
        <v>362</v>
      </c>
      <c r="B114" s="74">
        <v>5</v>
      </c>
      <c r="C114" s="68" t="s">
        <v>363</v>
      </c>
      <c r="D114" s="68" t="s">
        <v>364</v>
      </c>
      <c r="E114" s="75">
        <f>60*F114*'THAM_SO_MOI'!$C$53/(2*PI()*'THAM_SO_MOI'!$C$26)</f>
        <v>987.2833684210525</v>
      </c>
      <c r="F114" s="75">
        <f>'THAM_SO_MOI'!$E$53+('THAM_SO_MOI'!$C$14-'THAM_SO_MOI'!$E$53)*108/'THAM_SO_MOI'!$C$42</f>
        <v>10.020504273504274</v>
      </c>
      <c r="G114" s="75">
        <f>3.6*F114</f>
        <v>36.073815384615386</v>
      </c>
      <c r="H114" s="75">
        <f>'THAM_SO_MOI'!$D$53</f>
        <v>1.1</v>
      </c>
      <c r="I114" s="75">
        <f>IF(F114&gt;'THAM_SO_MOI'!$C$14,'THAM_SO_MOI'!$C$13*(1+F114^2/1500),'THAM_SO_MOI'!$C$13)</f>
        <v>0.015</v>
      </c>
      <c r="J114" s="75">
        <f>'THAM_SO_MOI'!$C$40*('THAM_SO_MOI'!$C$23*(E114/'THAM_SO_MOI'!$C$22)+'THAM_SO_MOI'!$C$24*(E114/'THAM_SO_MOI'!$C$22)^2-'THAM_SO_MOI'!$C$25*(E114/'THAM_SO_MOI'!$C$22)^3)</f>
        <v>37.48746253887244</v>
      </c>
      <c r="K114" s="75">
        <f>'THAM_SO_MOI'!$C$31*J114/E114</f>
        <v>362.65823373460415</v>
      </c>
      <c r="L114" s="75">
        <f>K114*'THAM_SO_MOI'!$C$53*'THAM_SO_MOI'!$C$17/'THAM_SO_MOI'!$C$26</f>
        <v>3180.514128922744</v>
      </c>
      <c r="M114" s="75">
        <f>'THAM_SO_MOI'!$C$15*'THAM_SO_MOI'!$C$16*F114^2</f>
        <v>293.7007297438035</v>
      </c>
      <c r="N114" s="75">
        <f>'THAM_SO_MOI'!$C$12*I114</f>
        <v>1130.112</v>
      </c>
      <c r="O114" s="75">
        <f>M114+N114</f>
        <v>1423.8127297438036</v>
      </c>
      <c r="P114" s="75">
        <f>(MIN(L114,'THAM_SO_MOI'!$C$41)-O114)/('THAM_SO_MOI'!$C$11*H114)</f>
        <v>0.2079428739558405</v>
      </c>
      <c r="Q114" s="75">
        <f>IF(P114&gt;0,1/P114,NA())</f>
        <v>4.809013076410417</v>
      </c>
      <c r="R114" s="75">
        <f>F114-F113</f>
        <v>0.017600427350426884</v>
      </c>
      <c r="S114" s="75">
        <f>0.5*(Q113+Q114)*R114</f>
        <v>0.08465780937839155</v>
      </c>
      <c r="T114" s="75">
        <f>0.5*(F113*Q113+F114*Q114)*R114</f>
        <v>0.8475687831541403</v>
      </c>
      <c r="U114" s="76">
        <f>U113+S114</f>
        <v>9.393906134250473</v>
      </c>
      <c r="V114" s="76">
        <f>V113+T114</f>
        <v>85.11452377910041</v>
      </c>
    </row>
    <row r="115" spans="1:22" ht="19" customHeight="1">
      <c r="A115" s="68" t="s">
        <v>362</v>
      </c>
      <c r="B115" s="74">
        <v>5</v>
      </c>
      <c r="C115" s="68" t="s">
        <v>363</v>
      </c>
      <c r="D115" s="68" t="s">
        <v>364</v>
      </c>
      <c r="E115" s="75">
        <f>60*F115*'THAM_SO_MOI'!$C$53/(2*PI()*'THAM_SO_MOI'!$C$26)</f>
        <v>989.0174736842105</v>
      </c>
      <c r="F115" s="75">
        <f>'THAM_SO_MOI'!$E$53+('THAM_SO_MOI'!$C$14-'THAM_SO_MOI'!$E$53)*109/'THAM_SO_MOI'!$C$42</f>
        <v>10.038104700854701</v>
      </c>
      <c r="G115" s="75">
        <f>3.6*F115</f>
        <v>36.13717692307692</v>
      </c>
      <c r="H115" s="75">
        <f>'THAM_SO_MOI'!$D$53</f>
        <v>1.1</v>
      </c>
      <c r="I115" s="75">
        <f>IF(F115&gt;'THAM_SO_MOI'!$C$14,'THAM_SO_MOI'!$C$13*(1+F115^2/1500),'THAM_SO_MOI'!$C$13)</f>
        <v>0.015</v>
      </c>
      <c r="J115" s="75">
        <f>'THAM_SO_MOI'!$C$40*('THAM_SO_MOI'!$C$23*(E115/'THAM_SO_MOI'!$C$22)+'THAM_SO_MOI'!$C$24*(E115/'THAM_SO_MOI'!$C$22)^2-'THAM_SO_MOI'!$C$25*(E115/'THAM_SO_MOI'!$C$22)^3)</f>
        <v>37.573837598787456</v>
      </c>
      <c r="K115" s="75">
        <f>'THAM_SO_MOI'!$C$31*J115/E115</f>
        <v>362.8565003455378</v>
      </c>
      <c r="L115" s="75">
        <f>K115*'THAM_SO_MOI'!$C$53*'THAM_SO_MOI'!$C$17/'THAM_SO_MOI'!$C$26</f>
        <v>3182.252927876443</v>
      </c>
      <c r="M115" s="75">
        <f>'THAM_SO_MOI'!$C$15*'THAM_SO_MOI'!$C$16*F115^2</f>
        <v>294.7333720070647</v>
      </c>
      <c r="N115" s="75">
        <f>'THAM_SO_MOI'!$C$12*I115</f>
        <v>1130.112</v>
      </c>
      <c r="O115" s="75">
        <f>M115+N115</f>
        <v>1424.8453720070647</v>
      </c>
      <c r="P115" s="75">
        <f>(MIN(L115,'THAM_SO_MOI'!$C$41)-O115)/('THAM_SO_MOI'!$C$11*H115)</f>
        <v>0.20802646257923516</v>
      </c>
      <c r="Q115" s="75">
        <f>IF(P115&gt;0,1/P115,NA())</f>
        <v>4.8070807319482745</v>
      </c>
      <c r="R115" s="75">
        <f>F115-F114</f>
        <v>0.017600427350426884</v>
      </c>
      <c r="S115" s="75">
        <f>0.5*(Q114+Q115)*R115</f>
        <v>0.08462368023445346</v>
      </c>
      <c r="T115" s="75">
        <f>0.5*(F114*Q114+F115*Q115)*R115</f>
        <v>0.848716506249024</v>
      </c>
      <c r="U115" s="76">
        <f>U114+S115</f>
        <v>9.478529814484927</v>
      </c>
      <c r="V115" s="76">
        <f>V114+T115</f>
        <v>85.96324028534943</v>
      </c>
    </row>
    <row r="116" spans="1:22" ht="19" customHeight="1">
      <c r="A116" s="68" t="s">
        <v>362</v>
      </c>
      <c r="B116" s="74">
        <v>5</v>
      </c>
      <c r="C116" s="68" t="s">
        <v>363</v>
      </c>
      <c r="D116" s="68" t="s">
        <v>364</v>
      </c>
      <c r="E116" s="75">
        <f>60*F116*'THAM_SO_MOI'!$C$53/(2*PI()*'THAM_SO_MOI'!$C$26)</f>
        <v>990.7515789473684</v>
      </c>
      <c r="F116" s="75">
        <f>'THAM_SO_MOI'!$E$53+('THAM_SO_MOI'!$C$14-'THAM_SO_MOI'!$E$53)*110/'THAM_SO_MOI'!$C$42</f>
        <v>10.05570512820513</v>
      </c>
      <c r="G116" s="75">
        <f>3.6*F116</f>
        <v>36.20053846153847</v>
      </c>
      <c r="H116" s="75">
        <f>'THAM_SO_MOI'!$D$53</f>
        <v>1.1</v>
      </c>
      <c r="I116" s="75">
        <f>IF(F116&gt;'THAM_SO_MOI'!$C$14,'THAM_SO_MOI'!$C$13*(1+F116^2/1500),'THAM_SO_MOI'!$C$13)</f>
        <v>0.015</v>
      </c>
      <c r="J116" s="75">
        <f>'THAM_SO_MOI'!$C$40*('THAM_SO_MOI'!$C$23*(E116/'THAM_SO_MOI'!$C$22)+'THAM_SO_MOI'!$C$24*(E116/'THAM_SO_MOI'!$C$22)^2-'THAM_SO_MOI'!$C$25*(E116/'THAM_SO_MOI'!$C$22)^3)</f>
        <v>37.660254391370295</v>
      </c>
      <c r="K116" s="75">
        <f>'THAM_SO_MOI'!$C$31*J116/E116</f>
        <v>363.05447522084637</v>
      </c>
      <c r="L116" s="75">
        <f>K116*'THAM_SO_MOI'!$C$53*'THAM_SO_MOI'!$C$17/'THAM_SO_MOI'!$C$26</f>
        <v>3183.9891683075684</v>
      </c>
      <c r="M116" s="75">
        <f>'THAM_SO_MOI'!$C$15*'THAM_SO_MOI'!$C$16*F116^2</f>
        <v>295.76782645432706</v>
      </c>
      <c r="N116" s="75">
        <f>'THAM_SO_MOI'!$C$12*I116</f>
        <v>1130.112</v>
      </c>
      <c r="O116" s="75">
        <f>M116+N116</f>
        <v>1425.879826454327</v>
      </c>
      <c r="P116" s="75">
        <f>(MIN(L116,'THAM_SO_MOI'!$C$41)-O116)/('THAM_SO_MOI'!$C$11*H116)</f>
        <v>0.20810953383679467</v>
      </c>
      <c r="Q116" s="75">
        <f>IF(P116&gt;0,1/P116,NA())</f>
        <v>4.805161885491647</v>
      </c>
      <c r="R116" s="75">
        <f>F116-F115</f>
        <v>0.01760042735042866</v>
      </c>
      <c r="S116" s="75">
        <f>0.5*(Q115+Q116)*R116</f>
        <v>0.08458978893147279</v>
      </c>
      <c r="T116" s="75">
        <f>0.5*(F115*Q115+F116*Q116)*R116</f>
        <v>0.8498654175319763</v>
      </c>
      <c r="U116" s="76">
        <f>U115+S116</f>
        <v>9.5631196034164</v>
      </c>
      <c r="V116" s="76">
        <f>V115+T116</f>
        <v>86.8131057028814</v>
      </c>
    </row>
    <row r="117" spans="1:22" ht="19" customHeight="1">
      <c r="A117" s="68" t="s">
        <v>362</v>
      </c>
      <c r="B117" s="74">
        <v>5</v>
      </c>
      <c r="C117" s="68" t="s">
        <v>363</v>
      </c>
      <c r="D117" s="68" t="s">
        <v>364</v>
      </c>
      <c r="E117" s="75">
        <f>60*F117*'THAM_SO_MOI'!$C$53/(2*PI()*'THAM_SO_MOI'!$C$26)</f>
        <v>992.4856842105262</v>
      </c>
      <c r="F117" s="75">
        <f>'THAM_SO_MOI'!$E$53+('THAM_SO_MOI'!$C$14-'THAM_SO_MOI'!$E$53)*111/'THAM_SO_MOI'!$C$42</f>
        <v>10.073305555555557</v>
      </c>
      <c r="G117" s="75">
        <f>3.6*F117</f>
        <v>36.26390000000001</v>
      </c>
      <c r="H117" s="75">
        <f>'THAM_SO_MOI'!$D$53</f>
        <v>1.1</v>
      </c>
      <c r="I117" s="75">
        <f>IF(F117&gt;'THAM_SO_MOI'!$C$14,'THAM_SO_MOI'!$C$13*(1+F117^2/1500),'THAM_SO_MOI'!$C$13)</f>
        <v>0.015</v>
      </c>
      <c r="J117" s="75">
        <f>'THAM_SO_MOI'!$C$40*('THAM_SO_MOI'!$C$23*(E117/'THAM_SO_MOI'!$C$22)+'THAM_SO_MOI'!$C$24*(E117/'THAM_SO_MOI'!$C$22)^2-'THAM_SO_MOI'!$C$25*(E117/'THAM_SO_MOI'!$C$22)^3)</f>
        <v>37.746712757717674</v>
      </c>
      <c r="K117" s="75">
        <f>'THAM_SO_MOI'!$C$31*J117/E117</f>
        <v>363.2521583605299</v>
      </c>
      <c r="L117" s="75">
        <f>K117*'THAM_SO_MOI'!$C$53*'THAM_SO_MOI'!$C$17/'THAM_SO_MOI'!$C$26</f>
        <v>3185.7228502161215</v>
      </c>
      <c r="M117" s="75">
        <f>'THAM_SO_MOI'!$C$15*'THAM_SO_MOI'!$C$16*F117^2</f>
        <v>296.8040930855904</v>
      </c>
      <c r="N117" s="75">
        <f>'THAM_SO_MOI'!$C$12*I117</f>
        <v>1130.112</v>
      </c>
      <c r="O117" s="75">
        <f>M117+N117</f>
        <v>1426.9160930855905</v>
      </c>
      <c r="P117" s="75">
        <f>(MIN(L117,'THAM_SO_MOI'!$C$41)-O117)/('THAM_SO_MOI'!$C$11*H117)</f>
        <v>0.2081920877285193</v>
      </c>
      <c r="Q117" s="75">
        <f>IF(P117&gt;0,1/P117,NA())</f>
        <v>4.8032565065776724</v>
      </c>
      <c r="R117" s="75">
        <f>F117-F116</f>
        <v>0.017600427350426884</v>
      </c>
      <c r="S117" s="75">
        <f>0.5*(Q116+Q117)*R117</f>
        <v>0.08455613493106078</v>
      </c>
      <c r="T117" s="75">
        <f>0.5*(F116*Q116+F117*Q117)*R117</f>
        <v>0.8510155241427075</v>
      </c>
      <c r="U117" s="76">
        <f>U116+S117</f>
        <v>9.647675738347461</v>
      </c>
      <c r="V117" s="76">
        <f>V116+T117</f>
        <v>87.66412122702411</v>
      </c>
    </row>
    <row r="118" spans="1:22" ht="19" customHeight="1">
      <c r="A118" s="68" t="s">
        <v>362</v>
      </c>
      <c r="B118" s="74">
        <v>5</v>
      </c>
      <c r="C118" s="68" t="s">
        <v>363</v>
      </c>
      <c r="D118" s="68" t="s">
        <v>364</v>
      </c>
      <c r="E118" s="75">
        <f>60*F118*'THAM_SO_MOI'!$C$53/(2*PI()*'THAM_SO_MOI'!$C$26)</f>
        <v>994.219789473684</v>
      </c>
      <c r="F118" s="75">
        <f>'THAM_SO_MOI'!$E$53+('THAM_SO_MOI'!$C$14-'THAM_SO_MOI'!$E$53)*112/'THAM_SO_MOI'!$C$42</f>
        <v>10.090905982905984</v>
      </c>
      <c r="G118" s="75">
        <f>3.6*F118</f>
        <v>36.32726153846154</v>
      </c>
      <c r="H118" s="75">
        <f>'THAM_SO_MOI'!$D$53</f>
        <v>1.1</v>
      </c>
      <c r="I118" s="75">
        <f>IF(F118&gt;'THAM_SO_MOI'!$C$14,'THAM_SO_MOI'!$C$13*(1+F118^2/1500),'THAM_SO_MOI'!$C$13)</f>
        <v>0.015</v>
      </c>
      <c r="J118" s="75">
        <f>'THAM_SO_MOI'!$C$40*('THAM_SO_MOI'!$C$23*(E118/'THAM_SO_MOI'!$C$22)+'THAM_SO_MOI'!$C$24*(E118/'THAM_SO_MOI'!$C$22)^2-'THAM_SO_MOI'!$C$25*(E118/'THAM_SO_MOI'!$C$22)^3)</f>
        <v>37.833212538926325</v>
      </c>
      <c r="K118" s="75">
        <f>'THAM_SO_MOI'!$C$31*J118/E118</f>
        <v>363.44954976458837</v>
      </c>
      <c r="L118" s="75">
        <f>K118*'THAM_SO_MOI'!$C$53*'THAM_SO_MOI'!$C$17/'THAM_SO_MOI'!$C$26</f>
        <v>3187.4539736021</v>
      </c>
      <c r="M118" s="75">
        <f>'THAM_SO_MOI'!$C$15*'THAM_SO_MOI'!$C$16*F118^2</f>
        <v>297.8421719008548</v>
      </c>
      <c r="N118" s="75">
        <f>'THAM_SO_MOI'!$C$12*I118</f>
        <v>1130.112</v>
      </c>
      <c r="O118" s="75">
        <f>M118+N118</f>
        <v>1427.9541719008548</v>
      </c>
      <c r="P118" s="75">
        <f>(MIN(L118,'THAM_SO_MOI'!$C$41)-O118)/('THAM_SO_MOI'!$C$11*H118)</f>
        <v>0.20827412425440878</v>
      </c>
      <c r="Q118" s="75">
        <f>IF(P118&gt;0,1/P118,NA())</f>
        <v>4.801364564992676</v>
      </c>
      <c r="R118" s="75">
        <f>F118-F117</f>
        <v>0.017600427350426884</v>
      </c>
      <c r="S118" s="75">
        <f>0.5*(Q117+Q118)*R118</f>
        <v>0.08452271769927658</v>
      </c>
      <c r="T118" s="75">
        <f>0.5*(F117*Q117+F118*Q118)*R118</f>
        <v>0.8521668332278686</v>
      </c>
      <c r="U118" s="76">
        <f>U117+S118</f>
        <v>9.732198456046737</v>
      </c>
      <c r="V118" s="76">
        <f>V117+T118</f>
        <v>88.51628806025198</v>
      </c>
    </row>
    <row r="119" spans="1:22" ht="19" customHeight="1">
      <c r="A119" s="68" t="s">
        <v>362</v>
      </c>
      <c r="B119" s="74">
        <v>5</v>
      </c>
      <c r="C119" s="68" t="s">
        <v>363</v>
      </c>
      <c r="D119" s="68" t="s">
        <v>364</v>
      </c>
      <c r="E119" s="75">
        <f>60*F119*'THAM_SO_MOI'!$C$53/(2*PI()*'THAM_SO_MOI'!$C$26)</f>
        <v>995.953894736842</v>
      </c>
      <c r="F119" s="75">
        <f>'THAM_SO_MOI'!$E$53+('THAM_SO_MOI'!$C$14-'THAM_SO_MOI'!$E$53)*113/'THAM_SO_MOI'!$C$42</f>
        <v>10.10850641025641</v>
      </c>
      <c r="G119" s="75">
        <f>3.6*F119</f>
        <v>36.39062307692308</v>
      </c>
      <c r="H119" s="75">
        <f>'THAM_SO_MOI'!$D$53</f>
        <v>1.1</v>
      </c>
      <c r="I119" s="75">
        <f>IF(F119&gt;'THAM_SO_MOI'!$C$14,'THAM_SO_MOI'!$C$13*(1+F119^2/1500),'THAM_SO_MOI'!$C$13)</f>
        <v>0.015</v>
      </c>
      <c r="J119" s="75">
        <f>'THAM_SO_MOI'!$C$40*('THAM_SO_MOI'!$C$23*(E119/'THAM_SO_MOI'!$C$22)+'THAM_SO_MOI'!$C$24*(E119/'THAM_SO_MOI'!$C$22)^2-'THAM_SO_MOI'!$C$25*(E119/'THAM_SO_MOI'!$C$22)^3)</f>
        <v>37.91975357609297</v>
      </c>
      <c r="K119" s="75">
        <f>'THAM_SO_MOI'!$C$31*J119/E119</f>
        <v>363.6466494330219</v>
      </c>
      <c r="L119" s="75">
        <f>K119*'THAM_SO_MOI'!$C$53*'THAM_SO_MOI'!$C$17/'THAM_SO_MOI'!$C$26</f>
        <v>3189.1825384655067</v>
      </c>
      <c r="M119" s="75">
        <f>'THAM_SO_MOI'!$C$15*'THAM_SO_MOI'!$C$16*F119^2</f>
        <v>298.8820629001202</v>
      </c>
      <c r="N119" s="75">
        <f>'THAM_SO_MOI'!$C$12*I119</f>
        <v>1130.112</v>
      </c>
      <c r="O119" s="75">
        <f>M119+N119</f>
        <v>1428.9940629001203</v>
      </c>
      <c r="P119" s="75">
        <f>(MIN(L119,'THAM_SO_MOI'!$C$41)-O119)/('THAM_SO_MOI'!$C$11*H119)</f>
        <v>0.20835564341446336</v>
      </c>
      <c r="Q119" s="75">
        <f>IF(P119&gt;0,1/P119,NA())</f>
        <v>4.799486030770901</v>
      </c>
      <c r="R119" s="75">
        <f>F119-F118</f>
        <v>0.017600427350426884</v>
      </c>
      <c r="S119" s="75">
        <f>0.5*(Q118+Q119)*R119</f>
        <v>0.08448953670651976</v>
      </c>
      <c r="T119" s="75">
        <f>0.5*(F118*Q118+F119*Q119)*R119</f>
        <v>0.8533193519403572</v>
      </c>
      <c r="U119" s="76">
        <f>U118+S119</f>
        <v>9.816687992753257</v>
      </c>
      <c r="V119" s="76">
        <f>V118+T119</f>
        <v>89.36960741219234</v>
      </c>
    </row>
    <row r="120" spans="1:22" ht="19" customHeight="1">
      <c r="A120" s="68" t="s">
        <v>362</v>
      </c>
      <c r="B120" s="74">
        <v>5</v>
      </c>
      <c r="C120" s="68" t="s">
        <v>363</v>
      </c>
      <c r="D120" s="68" t="s">
        <v>364</v>
      </c>
      <c r="E120" s="75">
        <f>60*F120*'THAM_SO_MOI'!$C$53/(2*PI()*'THAM_SO_MOI'!$C$26)</f>
        <v>997.688</v>
      </c>
      <c r="F120" s="75">
        <f>'THAM_SO_MOI'!$E$53+('THAM_SO_MOI'!$C$14-'THAM_SO_MOI'!$E$53)*114/'THAM_SO_MOI'!$C$42</f>
        <v>10.126106837606839</v>
      </c>
      <c r="G120" s="75">
        <f>3.6*F120</f>
        <v>36.45398461538462</v>
      </c>
      <c r="H120" s="75">
        <f>'THAM_SO_MOI'!$D$53</f>
        <v>1.1</v>
      </c>
      <c r="I120" s="75">
        <f>IF(F120&gt;'THAM_SO_MOI'!$C$14,'THAM_SO_MOI'!$C$13*(1+F120^2/1500),'THAM_SO_MOI'!$C$13)</f>
        <v>0.015</v>
      </c>
      <c r="J120" s="75">
        <f>'THAM_SO_MOI'!$C$40*('THAM_SO_MOI'!$C$23*(E120/'THAM_SO_MOI'!$C$22)+'THAM_SO_MOI'!$C$24*(E120/'THAM_SO_MOI'!$C$22)^2-'THAM_SO_MOI'!$C$25*(E120/'THAM_SO_MOI'!$C$22)^3)</f>
        <v>38.006335710314325</v>
      </c>
      <c r="K120" s="75">
        <f>'THAM_SO_MOI'!$C$31*J120/E120</f>
        <v>363.84345736583026</v>
      </c>
      <c r="L120" s="75">
        <f>K120*'THAM_SO_MOI'!$C$53*'THAM_SO_MOI'!$C$17/'THAM_SO_MOI'!$C$26</f>
        <v>3190.90854480634</v>
      </c>
      <c r="M120" s="75">
        <f>'THAM_SO_MOI'!$C$15*'THAM_SO_MOI'!$C$16*F120^2</f>
        <v>299.92376608338685</v>
      </c>
      <c r="N120" s="75">
        <f>'THAM_SO_MOI'!$C$12*I120</f>
        <v>1130.112</v>
      </c>
      <c r="O120" s="75">
        <f>M120+N120</f>
        <v>1430.035766083387</v>
      </c>
      <c r="P120" s="75">
        <f>(MIN(L120,'THAM_SO_MOI'!$C$41)-O120)/('THAM_SO_MOI'!$C$11*H120)</f>
        <v>0.2084366452086829</v>
      </c>
      <c r="Q120" s="75">
        <f>IF(P120&gt;0,1/P120,NA())</f>
        <v>4.7976208741933</v>
      </c>
      <c r="R120" s="75">
        <f>F120-F119</f>
        <v>0.01760042735042866</v>
      </c>
      <c r="S120" s="75">
        <f>0.5*(Q119+Q120)*R120</f>
        <v>0.08445659142755985</v>
      </c>
      <c r="T120" s="75">
        <f>0.5*(F119*Q119+F120*Q120)*R120</f>
        <v>0.8544730874399983</v>
      </c>
      <c r="U120" s="76">
        <f>U119+S120</f>
        <v>9.901144584180818</v>
      </c>
      <c r="V120" s="76">
        <f>V119+T120</f>
        <v>90.22408049963234</v>
      </c>
    </row>
    <row r="121" spans="1:22" ht="19" customHeight="1">
      <c r="A121" s="68" t="s">
        <v>362</v>
      </c>
      <c r="B121" s="74">
        <v>5</v>
      </c>
      <c r="C121" s="68" t="s">
        <v>363</v>
      </c>
      <c r="D121" s="68" t="s">
        <v>364</v>
      </c>
      <c r="E121" s="75">
        <f>60*F121*'THAM_SO_MOI'!$C$53/(2*PI()*'THAM_SO_MOI'!$C$26)</f>
        <v>999.4221052631577</v>
      </c>
      <c r="F121" s="75">
        <f>'THAM_SO_MOI'!$E$53+('THAM_SO_MOI'!$C$14-'THAM_SO_MOI'!$E$53)*115/'THAM_SO_MOI'!$C$42</f>
        <v>10.143707264957266</v>
      </c>
      <c r="G121" s="75">
        <f>3.6*F121</f>
        <v>36.517346153846155</v>
      </c>
      <c r="H121" s="75">
        <f>'THAM_SO_MOI'!$D$53</f>
        <v>1.1</v>
      </c>
      <c r="I121" s="75">
        <f>IF(F121&gt;'THAM_SO_MOI'!$C$14,'THAM_SO_MOI'!$C$13*(1+F121^2/1500),'THAM_SO_MOI'!$C$13)</f>
        <v>0.015</v>
      </c>
      <c r="J121" s="75">
        <f>'THAM_SO_MOI'!$C$40*('THAM_SO_MOI'!$C$23*(E121/'THAM_SO_MOI'!$C$22)+'THAM_SO_MOI'!$C$24*(E121/'THAM_SO_MOI'!$C$22)^2-'THAM_SO_MOI'!$C$25*(E121/'THAM_SO_MOI'!$C$22)^3)</f>
        <v>38.092958782687106</v>
      </c>
      <c r="K121" s="75">
        <f>'THAM_SO_MOI'!$C$31*J121/E121</f>
        <v>364.03997356301363</v>
      </c>
      <c r="L121" s="75">
        <f>K121*'THAM_SO_MOI'!$C$53*'THAM_SO_MOI'!$C$17/'THAM_SO_MOI'!$C$26</f>
        <v>3192.6319926246</v>
      </c>
      <c r="M121" s="75">
        <f>'THAM_SO_MOI'!$C$15*'THAM_SO_MOI'!$C$16*F121^2</f>
        <v>300.96728145065447</v>
      </c>
      <c r="N121" s="75">
        <f>'THAM_SO_MOI'!$C$12*I121</f>
        <v>1130.112</v>
      </c>
      <c r="O121" s="75">
        <f>M121+N121</f>
        <v>1431.0792814506544</v>
      </c>
      <c r="P121" s="75">
        <f>(MIN(L121,'THAM_SO_MOI'!$C$41)-O121)/('THAM_SO_MOI'!$C$11*H121)</f>
        <v>0.20851712963706742</v>
      </c>
      <c r="Q121" s="75">
        <f>IF(P121&gt;0,1/P121,NA())</f>
        <v>4.795769065786302</v>
      </c>
      <c r="R121" s="75">
        <f>F121-F120</f>
        <v>0.017600427350426884</v>
      </c>
      <c r="S121" s="75">
        <f>0.5*(Q120+Q121)*R121</f>
        <v>0.08442388134146356</v>
      </c>
      <c r="T121" s="75">
        <f>0.5*(F120*Q120+F121*Q121)*R121</f>
        <v>0.8556280468931912</v>
      </c>
      <c r="U121" s="76">
        <f>U120+S121</f>
        <v>9.985568465522281</v>
      </c>
      <c r="V121" s="76">
        <f>V120+T121</f>
        <v>91.07970854652552</v>
      </c>
    </row>
    <row r="122" spans="1:22" ht="19" customHeight="1">
      <c r="A122" s="68" t="s">
        <v>362</v>
      </c>
      <c r="B122" s="74">
        <v>5</v>
      </c>
      <c r="C122" s="68" t="s">
        <v>363</v>
      </c>
      <c r="D122" s="68" t="s">
        <v>364</v>
      </c>
      <c r="E122" s="75">
        <f>60*F122*'THAM_SO_MOI'!$C$53/(2*PI()*'THAM_SO_MOI'!$C$26)</f>
        <v>1001.1562105263156</v>
      </c>
      <c r="F122" s="75">
        <f>'THAM_SO_MOI'!$E$53+('THAM_SO_MOI'!$C$14-'THAM_SO_MOI'!$E$53)*116/'THAM_SO_MOI'!$C$42</f>
        <v>10.161307692307693</v>
      </c>
      <c r="G122" s="75">
        <f>3.6*F122</f>
        <v>36.5807076923077</v>
      </c>
      <c r="H122" s="75">
        <f>'THAM_SO_MOI'!$D$53</f>
        <v>1.1</v>
      </c>
      <c r="I122" s="75">
        <f>IF(F122&gt;'THAM_SO_MOI'!$C$14,'THAM_SO_MOI'!$C$13*(1+F122^2/1500),'THAM_SO_MOI'!$C$13)</f>
        <v>0.015</v>
      </c>
      <c r="J122" s="75">
        <f>'THAM_SO_MOI'!$C$40*('THAM_SO_MOI'!$C$23*(E122/'THAM_SO_MOI'!$C$22)+'THAM_SO_MOI'!$C$24*(E122/'THAM_SO_MOI'!$C$22)^2-'THAM_SO_MOI'!$C$25*(E122/'THAM_SO_MOI'!$C$22)^3)</f>
        <v>38.179622634308046</v>
      </c>
      <c r="K122" s="75">
        <f>'THAM_SO_MOI'!$C$31*J122/E122</f>
        <v>364.23619802457205</v>
      </c>
      <c r="L122" s="75">
        <f>K122*'THAM_SO_MOI'!$C$53*'THAM_SO_MOI'!$C$17/'THAM_SO_MOI'!$C$26</f>
        <v>3194.352881920287</v>
      </c>
      <c r="M122" s="75">
        <f>'THAM_SO_MOI'!$C$15*'THAM_SO_MOI'!$C$16*F122^2</f>
        <v>302.0126090019231</v>
      </c>
      <c r="N122" s="75">
        <f>'THAM_SO_MOI'!$C$12*I122</f>
        <v>1130.112</v>
      </c>
      <c r="O122" s="75">
        <f>M122+N122</f>
        <v>1432.124609001923</v>
      </c>
      <c r="P122" s="75">
        <f>(MIN(L122,'THAM_SO_MOI'!$C$41)-O122)/('THAM_SO_MOI'!$C$11*H122)</f>
        <v>0.20859709669961693</v>
      </c>
      <c r="Q122" s="75">
        <f>IF(P122&gt;0,1/P122,NA())</f>
        <v>4.793930576320607</v>
      </c>
      <c r="R122" s="75">
        <f>F122-F121</f>
        <v>0.017600427350426884</v>
      </c>
      <c r="S122" s="75">
        <f>0.5*(Q121+Q122)*R122</f>
        <v>0.08439140593165866</v>
      </c>
      <c r="T122" s="75">
        <f>0.5*(F121*Q121+F122*Q122)*R122</f>
        <v>0.8567842374739357</v>
      </c>
      <c r="U122" s="76">
        <f>U121+S122</f>
        <v>10.06995987145394</v>
      </c>
      <c r="V122" s="76">
        <f>V121+T122</f>
        <v>91.93649278399946</v>
      </c>
    </row>
    <row r="123" spans="1:22" ht="19" customHeight="1">
      <c r="A123" s="68" t="s">
        <v>362</v>
      </c>
      <c r="B123" s="74">
        <v>5</v>
      </c>
      <c r="C123" s="68" t="s">
        <v>363</v>
      </c>
      <c r="D123" s="68" t="s">
        <v>364</v>
      </c>
      <c r="E123" s="75">
        <f>60*F123*'THAM_SO_MOI'!$C$53/(2*PI()*'THAM_SO_MOI'!$C$26)</f>
        <v>1002.8903157894736</v>
      </c>
      <c r="F123" s="75">
        <f>'THAM_SO_MOI'!$E$53+('THAM_SO_MOI'!$C$14-'THAM_SO_MOI'!$E$53)*117/'THAM_SO_MOI'!$C$42</f>
        <v>10.178908119658121</v>
      </c>
      <c r="G123" s="75">
        <f>3.6*F123</f>
        <v>36.64406923076924</v>
      </c>
      <c r="H123" s="75">
        <f>'THAM_SO_MOI'!$D$53</f>
        <v>1.1</v>
      </c>
      <c r="I123" s="75">
        <f>IF(F123&gt;'THAM_SO_MOI'!$C$14,'THAM_SO_MOI'!$C$13*(1+F123^2/1500),'THAM_SO_MOI'!$C$13)</f>
        <v>0.015</v>
      </c>
      <c r="J123" s="75">
        <f>'THAM_SO_MOI'!$C$40*('THAM_SO_MOI'!$C$23*(E123/'THAM_SO_MOI'!$C$22)+'THAM_SO_MOI'!$C$24*(E123/'THAM_SO_MOI'!$C$22)^2-'THAM_SO_MOI'!$C$25*(E123/'THAM_SO_MOI'!$C$22)^3)</f>
        <v>38.26632710627386</v>
      </c>
      <c r="K123" s="75">
        <f>'THAM_SO_MOI'!$C$31*J123/E123</f>
        <v>364.4321307505054</v>
      </c>
      <c r="L123" s="75">
        <f>K123*'THAM_SO_MOI'!$C$53*'THAM_SO_MOI'!$C$17/'THAM_SO_MOI'!$C$26</f>
        <v>3196.071212693401</v>
      </c>
      <c r="M123" s="75">
        <f>'THAM_SO_MOI'!$C$15*'THAM_SO_MOI'!$C$16*F123^2</f>
        <v>303.059748737193</v>
      </c>
      <c r="N123" s="75">
        <f>'THAM_SO_MOI'!$C$12*I123</f>
        <v>1130.112</v>
      </c>
      <c r="O123" s="75">
        <f>M123+N123</f>
        <v>1433.171748737193</v>
      </c>
      <c r="P123" s="75">
        <f>(MIN(L123,'THAM_SO_MOI'!$C$41)-O123)/('THAM_SO_MOI'!$C$11*H123)</f>
        <v>0.20867654639633143</v>
      </c>
      <c r="Q123" s="75">
        <f>IF(P123&gt;0,1/P123,NA())</f>
        <v>4.792105376809994</v>
      </c>
      <c r="R123" s="75">
        <f>F123-F122</f>
        <v>0.01760042735042866</v>
      </c>
      <c r="S123" s="75">
        <f>0.5*(Q122+Q123)*R123</f>
        <v>0.08435916468583615</v>
      </c>
      <c r="T123" s="75">
        <f>0.5*(F122*Q122+F123*Q123)*R123</f>
        <v>0.8579416663632221</v>
      </c>
      <c r="U123" s="76">
        <f>U122+S123</f>
        <v>10.154319036139775</v>
      </c>
      <c r="V123" s="76">
        <f>V122+T123</f>
        <v>92.79443445036267</v>
      </c>
    </row>
    <row r="124" spans="1:22" ht="19" customHeight="1">
      <c r="A124" s="68" t="s">
        <v>362</v>
      </c>
      <c r="B124" s="74">
        <v>5</v>
      </c>
      <c r="C124" s="68" t="s">
        <v>363</v>
      </c>
      <c r="D124" s="68" t="s">
        <v>364</v>
      </c>
      <c r="E124" s="75">
        <f>60*F124*'THAM_SO_MOI'!$C$53/(2*PI()*'THAM_SO_MOI'!$C$26)</f>
        <v>1004.6244210526315</v>
      </c>
      <c r="F124" s="75">
        <f>'THAM_SO_MOI'!$E$53+('THAM_SO_MOI'!$C$14-'THAM_SO_MOI'!$E$53)*118/'THAM_SO_MOI'!$C$42</f>
        <v>10.196508547008548</v>
      </c>
      <c r="G124" s="75">
        <f>3.6*F124</f>
        <v>36.707430769230776</v>
      </c>
      <c r="H124" s="75">
        <f>'THAM_SO_MOI'!$D$53</f>
        <v>1.1</v>
      </c>
      <c r="I124" s="75">
        <f>IF(F124&gt;'THAM_SO_MOI'!$C$14,'THAM_SO_MOI'!$C$13*(1+F124^2/1500),'THAM_SO_MOI'!$C$13)</f>
        <v>0.015</v>
      </c>
      <c r="J124" s="75">
        <f>'THAM_SO_MOI'!$C$40*('THAM_SO_MOI'!$C$23*(E124/'THAM_SO_MOI'!$C$22)+'THAM_SO_MOI'!$C$24*(E124/'THAM_SO_MOI'!$C$22)^2-'THAM_SO_MOI'!$C$25*(E124/'THAM_SO_MOI'!$C$22)^3)</f>
        <v>38.35307203968128</v>
      </c>
      <c r="K124" s="75">
        <f>'THAM_SO_MOI'!$C$31*J124/E124</f>
        <v>364.62777174081367</v>
      </c>
      <c r="L124" s="75">
        <f>K124*'THAM_SO_MOI'!$C$53*'THAM_SO_MOI'!$C$17/'THAM_SO_MOI'!$C$26</f>
        <v>3197.7869849439417</v>
      </c>
      <c r="M124" s="75">
        <f>'THAM_SO_MOI'!$C$15*'THAM_SO_MOI'!$C$16*F124^2</f>
        <v>304.1087006564638</v>
      </c>
      <c r="N124" s="75">
        <f>'THAM_SO_MOI'!$C$12*I124</f>
        <v>1130.112</v>
      </c>
      <c r="O124" s="75">
        <f>M124+N124</f>
        <v>1434.2207006564638</v>
      </c>
      <c r="P124" s="75">
        <f>(MIN(L124,'THAM_SO_MOI'!$C$41)-O124)/('THAM_SO_MOI'!$C$11*H124)</f>
        <v>0.2087554787272109</v>
      </c>
      <c r="Q124" s="75">
        <f>IF(P124&gt;0,1/P124,NA())</f>
        <v>4.790293438510133</v>
      </c>
      <c r="R124" s="75">
        <f>F124-F123</f>
        <v>0.017600427350426884</v>
      </c>
      <c r="S124" s="75">
        <f>0.5*(Q123+Q124)*R124</f>
        <v>0.08432715709592926</v>
      </c>
      <c r="T124" s="75">
        <f>0.5*(F123*Q123+F124*Q124)*R124</f>
        <v>0.8591003407491917</v>
      </c>
      <c r="U124" s="76">
        <f>U123+S124</f>
        <v>10.238646193235704</v>
      </c>
      <c r="V124" s="76">
        <f>V123+T124</f>
        <v>93.65353479111187</v>
      </c>
    </row>
    <row r="125" spans="1:22" ht="19" customHeight="1">
      <c r="A125" s="68" t="s">
        <v>362</v>
      </c>
      <c r="B125" s="74">
        <v>5</v>
      </c>
      <c r="C125" s="68" t="s">
        <v>363</v>
      </c>
      <c r="D125" s="68" t="s">
        <v>364</v>
      </c>
      <c r="E125" s="75">
        <f>60*F125*'THAM_SO_MOI'!$C$53/(2*PI()*'THAM_SO_MOI'!$C$26)</f>
        <v>1006.3585263157895</v>
      </c>
      <c r="F125" s="75">
        <f>'THAM_SO_MOI'!$E$53+('THAM_SO_MOI'!$C$14-'THAM_SO_MOI'!$E$53)*119/'THAM_SO_MOI'!$C$42</f>
        <v>10.214108974358975</v>
      </c>
      <c r="G125" s="75">
        <f>3.6*F125</f>
        <v>36.77079230769231</v>
      </c>
      <c r="H125" s="75">
        <f>'THAM_SO_MOI'!$D$53</f>
        <v>1.1</v>
      </c>
      <c r="I125" s="75">
        <f>IF(F125&gt;'THAM_SO_MOI'!$C$14,'THAM_SO_MOI'!$C$13*(1+F125^2/1500),'THAM_SO_MOI'!$C$13)</f>
        <v>0.015</v>
      </c>
      <c r="J125" s="75">
        <f>'THAM_SO_MOI'!$C$40*('THAM_SO_MOI'!$C$23*(E125/'THAM_SO_MOI'!$C$22)+'THAM_SO_MOI'!$C$24*(E125/'THAM_SO_MOI'!$C$22)^2-'THAM_SO_MOI'!$C$25*(E125/'THAM_SO_MOI'!$C$22)^3)</f>
        <v>38.43985727562701</v>
      </c>
      <c r="K125" s="75">
        <f>'THAM_SO_MOI'!$C$31*J125/E125</f>
        <v>364.823120995497</v>
      </c>
      <c r="L125" s="75">
        <f>K125*'THAM_SO_MOI'!$C$53*'THAM_SO_MOI'!$C$17/'THAM_SO_MOI'!$C$26</f>
        <v>3199.5001986719103</v>
      </c>
      <c r="M125" s="75">
        <f>'THAM_SO_MOI'!$C$15*'THAM_SO_MOI'!$C$16*F125^2</f>
        <v>305.15946475973567</v>
      </c>
      <c r="N125" s="75">
        <f>'THAM_SO_MOI'!$C$12*I125</f>
        <v>1130.112</v>
      </c>
      <c r="O125" s="75">
        <f>M125+N125</f>
        <v>1435.2714647597359</v>
      </c>
      <c r="P125" s="75">
        <f>(MIN(L125,'THAM_SO_MOI'!$C$41)-O125)/('THAM_SO_MOI'!$C$11*H125)</f>
        <v>0.2088338936922555</v>
      </c>
      <c r="Q125" s="75">
        <f>IF(P125&gt;0,1/P125,NA())</f>
        <v>4.788494732917411</v>
      </c>
      <c r="R125" s="75">
        <f>F125-F124</f>
        <v>0.017600427350426884</v>
      </c>
      <c r="S125" s="75">
        <f>0.5*(Q124+Q125)*R125</f>
        <v>0.08429538265816942</v>
      </c>
      <c r="T125" s="75">
        <f>0.5*(F124*Q124+F125*Q125)*R125</f>
        <v>0.860260267828081</v>
      </c>
      <c r="U125" s="76">
        <f>U124+S125</f>
        <v>10.322941575893873</v>
      </c>
      <c r="V125" s="76">
        <f>V124+T125</f>
        <v>94.51379505893995</v>
      </c>
    </row>
    <row r="126" spans="1:22" ht="19" customHeight="1">
      <c r="A126" s="68" t="s">
        <v>362</v>
      </c>
      <c r="B126" s="74">
        <v>5</v>
      </c>
      <c r="C126" s="68" t="s">
        <v>363</v>
      </c>
      <c r="D126" s="68" t="s">
        <v>364</v>
      </c>
      <c r="E126" s="75">
        <f>60*F126*'THAM_SO_MOI'!$C$53/(2*PI()*'THAM_SO_MOI'!$C$26)</f>
        <v>1008.0926315789472</v>
      </c>
      <c r="F126" s="75">
        <f>'THAM_SO_MOI'!$E$53+('THAM_SO_MOI'!$C$14-'THAM_SO_MOI'!$E$53)*120/'THAM_SO_MOI'!$C$42</f>
        <v>10.231709401709402</v>
      </c>
      <c r="G126" s="75">
        <f>3.6*F126</f>
        <v>36.834153846153846</v>
      </c>
      <c r="H126" s="75">
        <f>'THAM_SO_MOI'!$D$53</f>
        <v>1.1</v>
      </c>
      <c r="I126" s="75">
        <f>IF(F126&gt;'THAM_SO_MOI'!$C$14,'THAM_SO_MOI'!$C$13*(1+F126^2/1500),'THAM_SO_MOI'!$C$13)</f>
        <v>0.015</v>
      </c>
      <c r="J126" s="75">
        <f>'THAM_SO_MOI'!$C$40*('THAM_SO_MOI'!$C$23*(E126/'THAM_SO_MOI'!$C$22)+'THAM_SO_MOI'!$C$24*(E126/'THAM_SO_MOI'!$C$22)^2-'THAM_SO_MOI'!$C$25*(E126/'THAM_SO_MOI'!$C$22)^3)</f>
        <v>38.52668265520777</v>
      </c>
      <c r="K126" s="75">
        <f>'THAM_SO_MOI'!$C$31*J126/E126</f>
        <v>365.01817851455513</v>
      </c>
      <c r="L126" s="75">
        <f>K126*'THAM_SO_MOI'!$C$53*'THAM_SO_MOI'!$C$17/'THAM_SO_MOI'!$C$26</f>
        <v>3201.2108538773036</v>
      </c>
      <c r="M126" s="75">
        <f>'THAM_SO_MOI'!$C$15*'THAM_SO_MOI'!$C$16*F126^2</f>
        <v>306.2120410470086</v>
      </c>
      <c r="N126" s="75">
        <f>'THAM_SO_MOI'!$C$12*I126</f>
        <v>1130.112</v>
      </c>
      <c r="O126" s="75">
        <f>M126+N126</f>
        <v>1436.3240410470087</v>
      </c>
      <c r="P126" s="75">
        <f>(MIN(L126,'THAM_SO_MOI'!$C$41)-O126)/('THAM_SO_MOI'!$C$11*H126)</f>
        <v>0.2089117912914648</v>
      </c>
      <c r="Q126" s="75">
        <f>IF(P126&gt;0,1/P126,NA())</f>
        <v>4.786709231767788</v>
      </c>
      <c r="R126" s="75">
        <f>F126-F125</f>
        <v>0.017600427350426884</v>
      </c>
      <c r="S126" s="75">
        <f>0.5*(Q125+Q126)*R126</f>
        <v>0.08426384087298065</v>
      </c>
      <c r="T126" s="75">
        <f>0.5*(F125*Q125+F126*Q126)*R126</f>
        <v>0.861421454803521</v>
      </c>
      <c r="U126" s="76">
        <f>U125+S126</f>
        <v>10.407205416766853</v>
      </c>
      <c r="V126" s="76">
        <f>V125+T126</f>
        <v>95.37521651374347</v>
      </c>
    </row>
    <row r="127" spans="1:22" ht="19" customHeight="1">
      <c r="A127" s="68" t="s">
        <v>362</v>
      </c>
      <c r="B127" s="74">
        <v>5</v>
      </c>
      <c r="C127" s="68" t="s">
        <v>363</v>
      </c>
      <c r="D127" s="68" t="s">
        <v>364</v>
      </c>
      <c r="E127" s="75">
        <f>60*F127*'THAM_SO_MOI'!$C$53/(2*PI()*'THAM_SO_MOI'!$C$26)</f>
        <v>1009.8267368421051</v>
      </c>
      <c r="F127" s="75">
        <f>'THAM_SO_MOI'!$E$53+('THAM_SO_MOI'!$C$14-'THAM_SO_MOI'!$E$53)*121/'THAM_SO_MOI'!$C$42</f>
        <v>10.249309829059829</v>
      </c>
      <c r="G127" s="75">
        <f>3.6*F127</f>
        <v>36.89751538461539</v>
      </c>
      <c r="H127" s="75">
        <f>'THAM_SO_MOI'!$D$53</f>
        <v>1.1</v>
      </c>
      <c r="I127" s="75">
        <f>IF(F127&gt;'THAM_SO_MOI'!$C$14,'THAM_SO_MOI'!$C$13*(1+F127^2/1500),'THAM_SO_MOI'!$C$13)</f>
        <v>0.015</v>
      </c>
      <c r="J127" s="75">
        <f>'THAM_SO_MOI'!$C$40*('THAM_SO_MOI'!$C$23*(E127/'THAM_SO_MOI'!$C$22)+'THAM_SO_MOI'!$C$24*(E127/'THAM_SO_MOI'!$C$22)^2-'THAM_SO_MOI'!$C$25*(E127/'THAM_SO_MOI'!$C$22)^3)</f>
        <v>38.613548019520294</v>
      </c>
      <c r="K127" s="75">
        <f>'THAM_SO_MOI'!$C$31*J127/E127</f>
        <v>365.2129442979884</v>
      </c>
      <c r="L127" s="75">
        <f>K127*'THAM_SO_MOI'!$C$53*'THAM_SO_MOI'!$C$17/'THAM_SO_MOI'!$C$26</f>
        <v>3202.918950560126</v>
      </c>
      <c r="M127" s="75">
        <f>'THAM_SO_MOI'!$C$15*'THAM_SO_MOI'!$C$16*F127^2</f>
        <v>307.2664295182826</v>
      </c>
      <c r="N127" s="75">
        <f>'THAM_SO_MOI'!$C$12*I127</f>
        <v>1130.112</v>
      </c>
      <c r="O127" s="75">
        <f>M127+N127</f>
        <v>1437.3784295182827</v>
      </c>
      <c r="P127" s="75">
        <f>(MIN(L127,'THAM_SO_MOI'!$C$41)-O127)/('THAM_SO_MOI'!$C$11*H127)</f>
        <v>0.20898917152483942</v>
      </c>
      <c r="Q127" s="75">
        <f>IF(P127&gt;0,1/P127,NA())</f>
        <v>4.784936907035611</v>
      </c>
      <c r="R127" s="75">
        <f>F127-F126</f>
        <v>0.017600427350426884</v>
      </c>
      <c r="S127" s="75">
        <f>0.5*(Q126+Q127)*R127</f>
        <v>0.0842325312450016</v>
      </c>
      <c r="T127" s="75">
        <f>0.5*(F126*Q126+F127*Q127)*R127</f>
        <v>0.8625839088871315</v>
      </c>
      <c r="U127" s="76">
        <f>U126+S127</f>
        <v>10.491437948011855</v>
      </c>
      <c r="V127" s="76">
        <f>V126+T127</f>
        <v>96.2378004226306</v>
      </c>
    </row>
    <row r="128" spans="1:22" ht="19" customHeight="1">
      <c r="A128" s="68" t="s">
        <v>362</v>
      </c>
      <c r="B128" s="74">
        <v>5</v>
      </c>
      <c r="C128" s="68" t="s">
        <v>363</v>
      </c>
      <c r="D128" s="68" t="s">
        <v>364</v>
      </c>
      <c r="E128" s="75">
        <f>60*F128*'THAM_SO_MOI'!$C$53/(2*PI()*'THAM_SO_MOI'!$C$26)</f>
        <v>1011.5608421052631</v>
      </c>
      <c r="F128" s="75">
        <f>'THAM_SO_MOI'!$E$53+('THAM_SO_MOI'!$C$14-'THAM_SO_MOI'!$E$53)*122/'THAM_SO_MOI'!$C$42</f>
        <v>10.266910256410258</v>
      </c>
      <c r="G128" s="75">
        <f>3.6*F128</f>
        <v>36.96087692307693</v>
      </c>
      <c r="H128" s="75">
        <f>'THAM_SO_MOI'!$D$53</f>
        <v>1.1</v>
      </c>
      <c r="I128" s="75">
        <f>IF(F128&gt;'THAM_SO_MOI'!$C$14,'THAM_SO_MOI'!$C$13*(1+F128^2/1500),'THAM_SO_MOI'!$C$13)</f>
        <v>0.015</v>
      </c>
      <c r="J128" s="75">
        <f>'THAM_SO_MOI'!$C$40*('THAM_SO_MOI'!$C$23*(E128/'THAM_SO_MOI'!$C$22)+'THAM_SO_MOI'!$C$24*(E128/'THAM_SO_MOI'!$C$22)^2-'THAM_SO_MOI'!$C$25*(E128/'THAM_SO_MOI'!$C$22)^3)</f>
        <v>38.70045320966131</v>
      </c>
      <c r="K128" s="75">
        <f>'THAM_SO_MOI'!$C$31*J128/E128</f>
        <v>365.40741834579654</v>
      </c>
      <c r="L128" s="75">
        <f>K128*'THAM_SO_MOI'!$C$53*'THAM_SO_MOI'!$C$17/'THAM_SO_MOI'!$C$26</f>
        <v>3204.624488720374</v>
      </c>
      <c r="M128" s="75">
        <f>'THAM_SO_MOI'!$C$15*'THAM_SO_MOI'!$C$16*F128^2</f>
        <v>308.3226301735578</v>
      </c>
      <c r="N128" s="75">
        <f>'THAM_SO_MOI'!$C$12*I128</f>
        <v>1130.112</v>
      </c>
      <c r="O128" s="75">
        <f>M128+N128</f>
        <v>1438.434630173558</v>
      </c>
      <c r="P128" s="75">
        <f>(MIN(L128,'THAM_SO_MOI'!$C$41)-O128)/('THAM_SO_MOI'!$C$11*H128)</f>
        <v>0.2090660343923788</v>
      </c>
      <c r="Q128" s="75">
        <f>IF(P128&gt;0,1/P128,NA())</f>
        <v>4.783177730932526</v>
      </c>
      <c r="R128" s="75">
        <f>F128-F127</f>
        <v>0.01760042735042866</v>
      </c>
      <c r="S128" s="75">
        <f>0.5*(Q127+Q128)*R128</f>
        <v>0.08420145328306561</v>
      </c>
      <c r="T128" s="75">
        <f>0.5*(F127*Q127+F128*Q128)*R128</f>
        <v>0.8637476372986876</v>
      </c>
      <c r="U128" s="76">
        <f>U127+S128</f>
        <v>10.575639401294922</v>
      </c>
      <c r="V128" s="76">
        <f>V127+T128</f>
        <v>97.10154805992929</v>
      </c>
    </row>
    <row r="129" spans="1:22" ht="19" customHeight="1">
      <c r="A129" s="68" t="s">
        <v>362</v>
      </c>
      <c r="B129" s="74">
        <v>5</v>
      </c>
      <c r="C129" s="68" t="s">
        <v>363</v>
      </c>
      <c r="D129" s="68" t="s">
        <v>364</v>
      </c>
      <c r="E129" s="75">
        <f>60*F129*'THAM_SO_MOI'!$C$53/(2*PI()*'THAM_SO_MOI'!$C$26)</f>
        <v>1013.2949473684208</v>
      </c>
      <c r="F129" s="75">
        <f>'THAM_SO_MOI'!$E$53+('THAM_SO_MOI'!$C$14-'THAM_SO_MOI'!$E$53)*123/'THAM_SO_MOI'!$C$42</f>
        <v>10.284510683760685</v>
      </c>
      <c r="G129" s="75">
        <f>3.6*F129</f>
        <v>37.02423846153847</v>
      </c>
      <c r="H129" s="75">
        <f>'THAM_SO_MOI'!$D$53</f>
        <v>1.1</v>
      </c>
      <c r="I129" s="75">
        <f>IF(F129&gt;'THAM_SO_MOI'!$C$14,'THAM_SO_MOI'!$C$13*(1+F129^2/1500),'THAM_SO_MOI'!$C$13)</f>
        <v>0.015</v>
      </c>
      <c r="J129" s="75">
        <f>'THAM_SO_MOI'!$C$40*('THAM_SO_MOI'!$C$23*(E129/'THAM_SO_MOI'!$C$22)+'THAM_SO_MOI'!$C$24*(E129/'THAM_SO_MOI'!$C$22)^2-'THAM_SO_MOI'!$C$25*(E129/'THAM_SO_MOI'!$C$22)^3)</f>
        <v>38.78739806672751</v>
      </c>
      <c r="K129" s="75">
        <f>'THAM_SO_MOI'!$C$31*J129/E129</f>
        <v>365.60160065797965</v>
      </c>
      <c r="L129" s="75">
        <f>K129*'THAM_SO_MOI'!$C$53*'THAM_SO_MOI'!$C$17/'THAM_SO_MOI'!$C$26</f>
        <v>3206.3274683580494</v>
      </c>
      <c r="M129" s="75">
        <f>'THAM_SO_MOI'!$C$15*'THAM_SO_MOI'!$C$16*F129^2</f>
        <v>309.38064301283396</v>
      </c>
      <c r="N129" s="75">
        <f>'THAM_SO_MOI'!$C$12*I129</f>
        <v>1130.112</v>
      </c>
      <c r="O129" s="75">
        <f>M129+N129</f>
        <v>1439.492643012834</v>
      </c>
      <c r="P129" s="75">
        <f>(MIN(L129,'THAM_SO_MOI'!$C$41)-O129)/('THAM_SO_MOI'!$C$11*H129)</f>
        <v>0.20914237989408327</v>
      </c>
      <c r="Q129" s="75">
        <f>IF(P129&gt;0,1/P129,NA())</f>
        <v>4.7814316759063065</v>
      </c>
      <c r="R129" s="75">
        <f>F129-F128</f>
        <v>0.017600427350426884</v>
      </c>
      <c r="S129" s="75">
        <f>0.5*(Q128+Q129)*R129</f>
        <v>0.08417060650013823</v>
      </c>
      <c r="T129" s="75">
        <f>0.5*(F128*Q128+F129*Q129)*R129</f>
        <v>0.8649126472658469</v>
      </c>
      <c r="U129" s="76">
        <f>U128+S129</f>
        <v>10.659810007795059</v>
      </c>
      <c r="V129" s="76">
        <f>V128+T129</f>
        <v>97.96646070719514</v>
      </c>
    </row>
    <row r="130" spans="1:22" ht="19" customHeight="1">
      <c r="A130" s="68" t="s">
        <v>362</v>
      </c>
      <c r="B130" s="74">
        <v>5</v>
      </c>
      <c r="C130" s="68" t="s">
        <v>363</v>
      </c>
      <c r="D130" s="68" t="s">
        <v>364</v>
      </c>
      <c r="E130" s="75">
        <f>60*F130*'THAM_SO_MOI'!$C$53/(2*PI()*'THAM_SO_MOI'!$C$26)</f>
        <v>1015.0290526315787</v>
      </c>
      <c r="F130" s="75">
        <f>'THAM_SO_MOI'!$E$53+('THAM_SO_MOI'!$C$14-'THAM_SO_MOI'!$E$53)*124/'THAM_SO_MOI'!$C$42</f>
        <v>10.302111111111111</v>
      </c>
      <c r="G130" s="75">
        <f>3.6*F130</f>
        <v>37.0876</v>
      </c>
      <c r="H130" s="75">
        <f>'THAM_SO_MOI'!$D$53</f>
        <v>1.1</v>
      </c>
      <c r="I130" s="75">
        <f>IF(F130&gt;'THAM_SO_MOI'!$C$14,'THAM_SO_MOI'!$C$13*(1+F130^2/1500),'THAM_SO_MOI'!$C$13)</f>
        <v>0.015</v>
      </c>
      <c r="J130" s="75">
        <f>'THAM_SO_MOI'!$C$40*('THAM_SO_MOI'!$C$23*(E130/'THAM_SO_MOI'!$C$22)+'THAM_SO_MOI'!$C$24*(E130/'THAM_SO_MOI'!$C$22)^2-'THAM_SO_MOI'!$C$25*(E130/'THAM_SO_MOI'!$C$22)^3)</f>
        <v>38.87438243181563</v>
      </c>
      <c r="K130" s="75">
        <f>'THAM_SO_MOI'!$C$31*J130/E130</f>
        <v>365.7954912345376</v>
      </c>
      <c r="L130" s="75">
        <f>K130*'THAM_SO_MOI'!$C$53*'THAM_SO_MOI'!$C$17/'THAM_SO_MOI'!$C$26</f>
        <v>3208.027889473151</v>
      </c>
      <c r="M130" s="75">
        <f>'THAM_SO_MOI'!$C$15*'THAM_SO_MOI'!$C$16*F130^2</f>
        <v>310.44046803611116</v>
      </c>
      <c r="N130" s="75">
        <f>'THAM_SO_MOI'!$C$12*I130</f>
        <v>1130.112</v>
      </c>
      <c r="O130" s="75">
        <f>M130+N130</f>
        <v>1440.5524680361113</v>
      </c>
      <c r="P130" s="75">
        <f>(MIN(L130,'THAM_SO_MOI'!$C$41)-O130)/('THAM_SO_MOI'!$C$11*H130)</f>
        <v>0.2092182080299526</v>
      </c>
      <c r="Q130" s="75">
        <f>IF(P130&gt;0,1/P130,NA())</f>
        <v>4.779698714639768</v>
      </c>
      <c r="R130" s="75">
        <f>F130-F129</f>
        <v>0.017600427350426884</v>
      </c>
      <c r="S130" s="75">
        <f>0.5*(Q129+Q130)*R130</f>
        <v>0.0841399904133824</v>
      </c>
      <c r="T130" s="75">
        <f>0.5*(F129*Q129+F130*Q130)*R130</f>
        <v>0.8660789460251834</v>
      </c>
      <c r="U130" s="76">
        <f>U129+S130</f>
        <v>10.743949998208441</v>
      </c>
      <c r="V130" s="76">
        <f>V129+T130</f>
        <v>98.83253965322032</v>
      </c>
    </row>
    <row r="131" spans="1:22" ht="19" customHeight="1">
      <c r="A131" s="68" t="s">
        <v>362</v>
      </c>
      <c r="B131" s="74">
        <v>5</v>
      </c>
      <c r="C131" s="68" t="s">
        <v>363</v>
      </c>
      <c r="D131" s="68" t="s">
        <v>364</v>
      </c>
      <c r="E131" s="75">
        <f>60*F131*'THAM_SO_MOI'!$C$53/(2*PI()*'THAM_SO_MOI'!$C$26)</f>
        <v>1016.7631578947369</v>
      </c>
      <c r="F131" s="75">
        <f>'THAM_SO_MOI'!$E$53+('THAM_SO_MOI'!$C$14-'THAM_SO_MOI'!$E$53)*125/'THAM_SO_MOI'!$C$42</f>
        <v>10.31971153846154</v>
      </c>
      <c r="G131" s="75">
        <f>3.6*F131</f>
        <v>37.150961538461544</v>
      </c>
      <c r="H131" s="75">
        <f>'THAM_SO_MOI'!$D$53</f>
        <v>1.1</v>
      </c>
      <c r="I131" s="75">
        <f>IF(F131&gt;'THAM_SO_MOI'!$C$14,'THAM_SO_MOI'!$C$13*(1+F131^2/1500),'THAM_SO_MOI'!$C$13)</f>
        <v>0.015</v>
      </c>
      <c r="J131" s="75">
        <f>'THAM_SO_MOI'!$C$40*('THAM_SO_MOI'!$C$23*(E131/'THAM_SO_MOI'!$C$22)+'THAM_SO_MOI'!$C$24*(E131/'THAM_SO_MOI'!$C$22)^2-'THAM_SO_MOI'!$C$25*(E131/'THAM_SO_MOI'!$C$22)^3)</f>
        <v>38.96140614602242</v>
      </c>
      <c r="K131" s="75">
        <f>'THAM_SO_MOI'!$C$31*J131/E131</f>
        <v>365.9890900754707</v>
      </c>
      <c r="L131" s="75">
        <f>K131*'THAM_SO_MOI'!$C$53*'THAM_SO_MOI'!$C$17/'THAM_SO_MOI'!$C$26</f>
        <v>3209.72575206568</v>
      </c>
      <c r="M131" s="75">
        <f>'THAM_SO_MOI'!$C$15*'THAM_SO_MOI'!$C$16*F131^2</f>
        <v>311.50210524338956</v>
      </c>
      <c r="N131" s="75">
        <f>'THAM_SO_MOI'!$C$12*I131</f>
        <v>1130.112</v>
      </c>
      <c r="O131" s="75">
        <f>M131+N131</f>
        <v>1441.6141052433895</v>
      </c>
      <c r="P131" s="75">
        <f>(MIN(L131,'THAM_SO_MOI'!$C$41)-O131)/('THAM_SO_MOI'!$C$11*H131)</f>
        <v>0.20929351879998703</v>
      </c>
      <c r="Q131" s="75">
        <f>IF(P131&gt;0,1/P131,NA())</f>
        <v>4.777978820049644</v>
      </c>
      <c r="R131" s="75">
        <f>F131-F130</f>
        <v>0.01760042735042866</v>
      </c>
      <c r="S131" s="75">
        <f>0.5*(Q130+Q131)*R131</f>
        <v>0.08410960454406254</v>
      </c>
      <c r="T131" s="75">
        <f>0.5*(F130*Q130+F131*Q131)*R131</f>
        <v>0.8672465408215688</v>
      </c>
      <c r="U131" s="76">
        <f>U130+S131</f>
        <v>10.828059602752504</v>
      </c>
      <c r="V131" s="76">
        <f>V130+T131</f>
        <v>99.69978619404189</v>
      </c>
    </row>
    <row r="132" spans="1:22" ht="19" customHeight="1">
      <c r="A132" s="68" t="s">
        <v>362</v>
      </c>
      <c r="B132" s="74">
        <v>5</v>
      </c>
      <c r="C132" s="68" t="s">
        <v>363</v>
      </c>
      <c r="D132" s="68" t="s">
        <v>364</v>
      </c>
      <c r="E132" s="75">
        <f>60*F132*'THAM_SO_MOI'!$C$53/(2*PI()*'THAM_SO_MOI'!$C$26)</f>
        <v>1018.4972631578946</v>
      </c>
      <c r="F132" s="75">
        <f>'THAM_SO_MOI'!$E$53+('THAM_SO_MOI'!$C$14-'THAM_SO_MOI'!$E$53)*126/'THAM_SO_MOI'!$C$42</f>
        <v>10.337311965811967</v>
      </c>
      <c r="G132" s="75">
        <f>3.6*F132</f>
        <v>37.21432307692308</v>
      </c>
      <c r="H132" s="75">
        <f>'THAM_SO_MOI'!$D$53</f>
        <v>1.1</v>
      </c>
      <c r="I132" s="75">
        <f>IF(F132&gt;'THAM_SO_MOI'!$C$14,'THAM_SO_MOI'!$C$13*(1+F132^2/1500),'THAM_SO_MOI'!$C$13)</f>
        <v>0.015</v>
      </c>
      <c r="J132" s="75">
        <f>'THAM_SO_MOI'!$C$40*('THAM_SO_MOI'!$C$23*(E132/'THAM_SO_MOI'!$C$22)+'THAM_SO_MOI'!$C$24*(E132/'THAM_SO_MOI'!$C$22)^2-'THAM_SO_MOI'!$C$25*(E132/'THAM_SO_MOI'!$C$22)^3)</f>
        <v>39.04846905044457</v>
      </c>
      <c r="K132" s="75">
        <f>'THAM_SO_MOI'!$C$31*J132/E132</f>
        <v>366.1823971807788</v>
      </c>
      <c r="L132" s="75">
        <f>K132*'THAM_SO_MOI'!$C$53*'THAM_SO_MOI'!$C$17/'THAM_SO_MOI'!$C$26</f>
        <v>3211.4210561356367</v>
      </c>
      <c r="M132" s="75">
        <f>'THAM_SO_MOI'!$C$15*'THAM_SO_MOI'!$C$16*F132^2</f>
        <v>312.5655546346689</v>
      </c>
      <c r="N132" s="75">
        <f>'THAM_SO_MOI'!$C$12*I132</f>
        <v>1130.112</v>
      </c>
      <c r="O132" s="75">
        <f>M132+N132</f>
        <v>1442.677554634669</v>
      </c>
      <c r="P132" s="75">
        <f>(MIN(L132,'THAM_SO_MOI'!$C$41)-O132)/('THAM_SO_MOI'!$C$11*H132)</f>
        <v>0.20936831220418653</v>
      </c>
      <c r="Q132" s="75">
        <f>IF(P132&gt;0,1/P132,NA())</f>
        <v>4.776271965285509</v>
      </c>
      <c r="R132" s="75">
        <f>F132-F131</f>
        <v>0.017600427350426884</v>
      </c>
      <c r="S132" s="75">
        <f>0.5*(Q131+Q132)*R132</f>
        <v>0.08407944841752518</v>
      </c>
      <c r="T132" s="75">
        <f>0.5*(F131*Q131+F132*Q132)*R132</f>
        <v>0.8684154389083328</v>
      </c>
      <c r="U132" s="76">
        <f>U131+S132</f>
        <v>10.912139051170028</v>
      </c>
      <c r="V132" s="76">
        <f>V131+T132</f>
        <v>100.56820163295022</v>
      </c>
    </row>
    <row r="133" spans="1:22" ht="19" customHeight="1">
      <c r="A133" s="68" t="s">
        <v>362</v>
      </c>
      <c r="B133" s="74">
        <v>5</v>
      </c>
      <c r="C133" s="68" t="s">
        <v>363</v>
      </c>
      <c r="D133" s="68" t="s">
        <v>364</v>
      </c>
      <c r="E133" s="75">
        <f>60*F133*'THAM_SO_MOI'!$C$53/(2*PI()*'THAM_SO_MOI'!$C$26)</f>
        <v>1020.2313684210524</v>
      </c>
      <c r="F133" s="75">
        <f>'THAM_SO_MOI'!$E$53+('THAM_SO_MOI'!$C$14-'THAM_SO_MOI'!$E$53)*127/'THAM_SO_MOI'!$C$42</f>
        <v>10.354912393162394</v>
      </c>
      <c r="G133" s="75">
        <f>3.6*F133</f>
        <v>37.27768461538462</v>
      </c>
      <c r="H133" s="75">
        <f>'THAM_SO_MOI'!$D$53</f>
        <v>1.1</v>
      </c>
      <c r="I133" s="75">
        <f>IF(F133&gt;'THAM_SO_MOI'!$C$14,'THAM_SO_MOI'!$C$13*(1+F133^2/1500),'THAM_SO_MOI'!$C$13)</f>
        <v>0.015</v>
      </c>
      <c r="J133" s="75">
        <f>'THAM_SO_MOI'!$C$40*('THAM_SO_MOI'!$C$23*(E133/'THAM_SO_MOI'!$C$22)+'THAM_SO_MOI'!$C$24*(E133/'THAM_SO_MOI'!$C$22)^2-'THAM_SO_MOI'!$C$25*(E133/'THAM_SO_MOI'!$C$22)^3)</f>
        <v>39.135570986178784</v>
      </c>
      <c r="K133" s="75">
        <f>'THAM_SO_MOI'!$C$31*J133/E133</f>
        <v>366.3754125504617</v>
      </c>
      <c r="L133" s="75">
        <f>K133*'THAM_SO_MOI'!$C$53*'THAM_SO_MOI'!$C$17/'THAM_SO_MOI'!$C$26</f>
        <v>3213.1138016830187</v>
      </c>
      <c r="M133" s="75">
        <f>'THAM_SO_MOI'!$C$15*'THAM_SO_MOI'!$C$16*F133^2</f>
        <v>313.63081620994933</v>
      </c>
      <c r="N133" s="75">
        <f>'THAM_SO_MOI'!$C$12*I133</f>
        <v>1130.112</v>
      </c>
      <c r="O133" s="75">
        <f>M133+N133</f>
        <v>1443.7428162099495</v>
      </c>
      <c r="P133" s="75">
        <f>(MIN(L133,'THAM_SO_MOI'!$C$41)-O133)/('THAM_SO_MOI'!$C$11*H133)</f>
        <v>0.2094425882425508</v>
      </c>
      <c r="Q133" s="75">
        <f>IF(P133&gt;0,1/P133,NA())</f>
        <v>4.774578123728696</v>
      </c>
      <c r="R133" s="75">
        <f>F133-F132</f>
        <v>0.017600427350426884</v>
      </c>
      <c r="S133" s="75">
        <f>0.5*(Q132+Q133)*R133</f>
        <v>0.08404952156325632</v>
      </c>
      <c r="T133" s="75">
        <f>0.5*(F132*Q132+F133*Q133)*R133</f>
        <v>0.8695856475482163</v>
      </c>
      <c r="U133" s="76">
        <f>U132+S133</f>
        <v>10.996188572733285</v>
      </c>
      <c r="V133" s="76">
        <f>V132+T133</f>
        <v>101.43778728049844</v>
      </c>
    </row>
    <row r="134" spans="1:22" ht="19" customHeight="1">
      <c r="A134" s="68" t="s">
        <v>362</v>
      </c>
      <c r="B134" s="74">
        <v>5</v>
      </c>
      <c r="C134" s="68" t="s">
        <v>363</v>
      </c>
      <c r="D134" s="68" t="s">
        <v>364</v>
      </c>
      <c r="E134" s="75">
        <f>60*F134*'THAM_SO_MOI'!$C$53/(2*PI()*'THAM_SO_MOI'!$C$26)</f>
        <v>1021.9654736842103</v>
      </c>
      <c r="F134" s="75">
        <f>'THAM_SO_MOI'!$E$53+('THAM_SO_MOI'!$C$14-'THAM_SO_MOI'!$E$53)*128/'THAM_SO_MOI'!$C$42</f>
        <v>10.37251282051282</v>
      </c>
      <c r="G134" s="75">
        <f>3.6*F134</f>
        <v>37.34104615384616</v>
      </c>
      <c r="H134" s="75">
        <f>'THAM_SO_MOI'!$D$53</f>
        <v>1.1</v>
      </c>
      <c r="I134" s="75">
        <f>IF(F134&gt;'THAM_SO_MOI'!$C$14,'THAM_SO_MOI'!$C$13*(1+F134^2/1500),'THAM_SO_MOI'!$C$13)</f>
        <v>0.015</v>
      </c>
      <c r="J134" s="75">
        <f>'THAM_SO_MOI'!$C$40*('THAM_SO_MOI'!$C$23*(E134/'THAM_SO_MOI'!$C$22)+'THAM_SO_MOI'!$C$24*(E134/'THAM_SO_MOI'!$C$22)^2-'THAM_SO_MOI'!$C$25*(E134/'THAM_SO_MOI'!$C$22)^3)</f>
        <v>39.222711794321825</v>
      </c>
      <c r="K134" s="75">
        <f>'THAM_SO_MOI'!$C$31*J134/E134</f>
        <v>366.56813618451974</v>
      </c>
      <c r="L134" s="75">
        <f>K134*'THAM_SO_MOI'!$C$53*'THAM_SO_MOI'!$C$17/'THAM_SO_MOI'!$C$26</f>
        <v>3214.8039887078294</v>
      </c>
      <c r="M134" s="75">
        <f>'THAM_SO_MOI'!$C$15*'THAM_SO_MOI'!$C$16*F134^2</f>
        <v>314.6978899692308</v>
      </c>
      <c r="N134" s="75">
        <f>'THAM_SO_MOI'!$C$12*I134</f>
        <v>1130.112</v>
      </c>
      <c r="O134" s="75">
        <f>M134+N134</f>
        <v>1444.8098899692309</v>
      </c>
      <c r="P134" s="75">
        <f>(MIN(L134,'THAM_SO_MOI'!$C$41)-O134)/('THAM_SO_MOI'!$C$11*H134)</f>
        <v>0.2095163469150803</v>
      </c>
      <c r="Q134" s="75">
        <f>IF(P134&gt;0,1/P134,NA())</f>
        <v>4.772897268991202</v>
      </c>
      <c r="R134" s="75">
        <f>F134-F133</f>
        <v>0.017600427350426884</v>
      </c>
      <c r="S134" s="75">
        <f>0.5*(Q133+Q134)*R134</f>
        <v>0.08401982351477748</v>
      </c>
      <c r="T134" s="75">
        <f>0.5*(F133*Q133+F134*Q134)*R134</f>
        <v>0.8707571740126581</v>
      </c>
      <c r="U134" s="76">
        <f>U133+S134</f>
        <v>11.080208396248063</v>
      </c>
      <c r="V134" s="76">
        <f>V133+T134</f>
        <v>102.3085444545111</v>
      </c>
    </row>
    <row r="135" spans="1:22" ht="19" customHeight="1">
      <c r="A135" s="68" t="s">
        <v>362</v>
      </c>
      <c r="B135" s="74">
        <v>5</v>
      </c>
      <c r="C135" s="68" t="s">
        <v>363</v>
      </c>
      <c r="D135" s="68" t="s">
        <v>364</v>
      </c>
      <c r="E135" s="75">
        <f>60*F135*'THAM_SO_MOI'!$C$53/(2*PI()*'THAM_SO_MOI'!$C$26)</f>
        <v>1023.6995789473684</v>
      </c>
      <c r="F135" s="75">
        <f>'THAM_SO_MOI'!$E$53+('THAM_SO_MOI'!$C$14-'THAM_SO_MOI'!$E$53)*129/'THAM_SO_MOI'!$C$42</f>
        <v>10.39011324786325</v>
      </c>
      <c r="G135" s="75">
        <f>3.6*F135</f>
        <v>37.4044076923077</v>
      </c>
      <c r="H135" s="75">
        <f>'THAM_SO_MOI'!$D$53</f>
        <v>1.1</v>
      </c>
      <c r="I135" s="75">
        <f>IF(F135&gt;'THAM_SO_MOI'!$C$14,'THAM_SO_MOI'!$C$13*(1+F135^2/1500),'THAM_SO_MOI'!$C$13)</f>
        <v>0.015</v>
      </c>
      <c r="J135" s="75">
        <f>'THAM_SO_MOI'!$C$40*('THAM_SO_MOI'!$C$23*(E135/'THAM_SO_MOI'!$C$22)+'THAM_SO_MOI'!$C$24*(E135/'THAM_SO_MOI'!$C$22)^2-'THAM_SO_MOI'!$C$25*(E135/'THAM_SO_MOI'!$C$22)^3)</f>
        <v>39.30989131597039</v>
      </c>
      <c r="K135" s="75">
        <f>'THAM_SO_MOI'!$C$31*J135/E135</f>
        <v>366.76056808295255</v>
      </c>
      <c r="L135" s="75">
        <f>K135*'THAM_SO_MOI'!$C$53*'THAM_SO_MOI'!$C$17/'THAM_SO_MOI'!$C$26</f>
        <v>3216.4916172100648</v>
      </c>
      <c r="M135" s="75">
        <f>'THAM_SO_MOI'!$C$15*'THAM_SO_MOI'!$C$16*F135^2</f>
        <v>315.7667759125135</v>
      </c>
      <c r="N135" s="75">
        <f>'THAM_SO_MOI'!$C$12*I135</f>
        <v>1130.112</v>
      </c>
      <c r="O135" s="75">
        <f>M135+N135</f>
        <v>1445.8787759125134</v>
      </c>
      <c r="P135" s="75">
        <f>(MIN(L135,'THAM_SO_MOI'!$C$41)-O135)/('THAM_SO_MOI'!$C$11*H135)</f>
        <v>0.20958958822177454</v>
      </c>
      <c r="Q135" s="75">
        <f>IF(P135&gt;0,1/P135,NA())</f>
        <v>4.771229374914668</v>
      </c>
      <c r="R135" s="75">
        <f>F135-F134</f>
        <v>0.01760042735042866</v>
      </c>
      <c r="S135" s="75">
        <f>0.5*(Q134+Q135)*R135</f>
        <v>0.08399035380967788</v>
      </c>
      <c r="T135" s="75">
        <f>0.5*(F134*Q134+F135*Q135)*R135</f>
        <v>0.871930025582484</v>
      </c>
      <c r="U135" s="76">
        <f>U134+S135</f>
        <v>11.164198750057741</v>
      </c>
      <c r="V135" s="76">
        <f>V134+T135</f>
        <v>103.18047448009358</v>
      </c>
    </row>
    <row r="136" spans="1:22" ht="19" customHeight="1">
      <c r="A136" s="68" t="s">
        <v>362</v>
      </c>
      <c r="B136" s="74">
        <v>5</v>
      </c>
      <c r="C136" s="68" t="s">
        <v>363</v>
      </c>
      <c r="D136" s="68" t="s">
        <v>364</v>
      </c>
      <c r="E136" s="75">
        <f>60*F136*'THAM_SO_MOI'!$C$53/(2*PI()*'THAM_SO_MOI'!$C$26)</f>
        <v>1025.433684210526</v>
      </c>
      <c r="F136" s="75">
        <f>'THAM_SO_MOI'!$E$53+('THAM_SO_MOI'!$C$14-'THAM_SO_MOI'!$E$53)*130/'THAM_SO_MOI'!$C$42</f>
        <v>10.407713675213676</v>
      </c>
      <c r="G136" s="75">
        <f>3.6*F136</f>
        <v>37.467769230769235</v>
      </c>
      <c r="H136" s="75">
        <f>'THAM_SO_MOI'!$D$53</f>
        <v>1.1</v>
      </c>
      <c r="I136" s="75">
        <f>IF(F136&gt;'THAM_SO_MOI'!$C$14,'THAM_SO_MOI'!$C$13*(1+F136^2/1500),'THAM_SO_MOI'!$C$13)</f>
        <v>0.015</v>
      </c>
      <c r="J136" s="75">
        <f>'THAM_SO_MOI'!$C$40*('THAM_SO_MOI'!$C$23*(E136/'THAM_SO_MOI'!$C$22)+'THAM_SO_MOI'!$C$24*(E136/'THAM_SO_MOI'!$C$22)^2-'THAM_SO_MOI'!$C$25*(E136/'THAM_SO_MOI'!$C$22)^3)</f>
        <v>39.39710939222118</v>
      </c>
      <c r="K136" s="75">
        <f>'THAM_SO_MOI'!$C$31*J136/E136</f>
        <v>366.95270824576033</v>
      </c>
      <c r="L136" s="75">
        <f>K136*'THAM_SO_MOI'!$C$53*'THAM_SO_MOI'!$C$17/'THAM_SO_MOI'!$C$26</f>
        <v>3218.1766871897275</v>
      </c>
      <c r="M136" s="75">
        <f>'THAM_SO_MOI'!$C$15*'THAM_SO_MOI'!$C$16*F136^2</f>
        <v>316.8374740397971</v>
      </c>
      <c r="N136" s="75">
        <f>'THAM_SO_MOI'!$C$12*I136</f>
        <v>1130.112</v>
      </c>
      <c r="O136" s="75">
        <f>M136+N136</f>
        <v>1446.9494740397972</v>
      </c>
      <c r="P136" s="75">
        <f>(MIN(L136,'THAM_SO_MOI'!$C$41)-O136)/('THAM_SO_MOI'!$C$11*H136)</f>
        <v>0.20966231216263378</v>
      </c>
      <c r="Q136" s="75">
        <f>IF(P136&gt;0,1/P136,NA())</f>
        <v>4.76957441556929</v>
      </c>
      <c r="R136" s="75">
        <f>F136-F135</f>
        <v>0.017600427350426884</v>
      </c>
      <c r="S136" s="75">
        <f>0.5*(Q135+Q136)*R136</f>
        <v>0.08396111198954517</v>
      </c>
      <c r="T136" s="75">
        <f>0.5*(F135*Q135+F136*Q136)*R136</f>
        <v>0.8731042095475441</v>
      </c>
      <c r="U136" s="76">
        <f>U135+S136</f>
        <v>11.248159862047286</v>
      </c>
      <c r="V136" s="76">
        <f>V135+T136</f>
        <v>104.05357868964113</v>
      </c>
    </row>
    <row r="137" spans="1:22" ht="19" customHeight="1">
      <c r="A137" s="68" t="s">
        <v>362</v>
      </c>
      <c r="B137" s="74">
        <v>5</v>
      </c>
      <c r="C137" s="68" t="s">
        <v>363</v>
      </c>
      <c r="D137" s="68" t="s">
        <v>364</v>
      </c>
      <c r="E137" s="75">
        <f>60*F137*'THAM_SO_MOI'!$C$53/(2*PI()*'THAM_SO_MOI'!$C$26)</f>
        <v>1027.1677894736843</v>
      </c>
      <c r="F137" s="75">
        <f>'THAM_SO_MOI'!$E$53+('THAM_SO_MOI'!$C$14-'THAM_SO_MOI'!$E$53)*131/'THAM_SO_MOI'!$C$42</f>
        <v>10.425314102564103</v>
      </c>
      <c r="G137" s="75">
        <f>3.6*F137</f>
        <v>37.53113076923077</v>
      </c>
      <c r="H137" s="75">
        <f>'THAM_SO_MOI'!$D$53</f>
        <v>1.1</v>
      </c>
      <c r="I137" s="75">
        <f>IF(F137&gt;'THAM_SO_MOI'!$C$14,'THAM_SO_MOI'!$C$13*(1+F137^2/1500),'THAM_SO_MOI'!$C$13)</f>
        <v>0.015</v>
      </c>
      <c r="J137" s="75">
        <f>'THAM_SO_MOI'!$C$40*('THAM_SO_MOI'!$C$23*(E137/'THAM_SO_MOI'!$C$22)+'THAM_SO_MOI'!$C$24*(E137/'THAM_SO_MOI'!$C$22)^2-'THAM_SO_MOI'!$C$25*(E137/'THAM_SO_MOI'!$C$22)^3)</f>
        <v>39.484365864171004</v>
      </c>
      <c r="K137" s="75">
        <f>'THAM_SO_MOI'!$C$31*J137/E137</f>
        <v>367.1445566729434</v>
      </c>
      <c r="L137" s="75">
        <f>K137*'THAM_SO_MOI'!$C$53*'THAM_SO_MOI'!$C$17/'THAM_SO_MOI'!$C$26</f>
        <v>3219.8591986468196</v>
      </c>
      <c r="M137" s="75">
        <f>'THAM_SO_MOI'!$C$15*'THAM_SO_MOI'!$C$16*F137^2</f>
        <v>317.9099843510818</v>
      </c>
      <c r="N137" s="75">
        <f>'THAM_SO_MOI'!$C$12*I137</f>
        <v>1130.112</v>
      </c>
      <c r="O137" s="75">
        <f>M137+N137</f>
        <v>1448.0219843510818</v>
      </c>
      <c r="P137" s="75">
        <f>(MIN(L137,'THAM_SO_MOI'!$C$41)-O137)/('THAM_SO_MOI'!$C$11*H137)</f>
        <v>0.20973451873765836</v>
      </c>
      <c r="Q137" s="75">
        <f>IF(P137&gt;0,1/P137,NA())</f>
        <v>4.767932365252794</v>
      </c>
      <c r="R137" s="75">
        <f>F137-F136</f>
        <v>0.017600427350426884</v>
      </c>
      <c r="S137" s="75">
        <f>0.5*(Q136+Q137)*R137</f>
        <v>0.08393209760003144</v>
      </c>
      <c r="T137" s="75">
        <f>0.5*(F136*Q136+F137*Q137)*R137</f>
        <v>0.8742797332077534</v>
      </c>
      <c r="U137" s="76">
        <f>U136+S137</f>
        <v>11.332091959647318</v>
      </c>
      <c r="V137" s="76">
        <f>V136+T137</f>
        <v>104.92785842284889</v>
      </c>
    </row>
    <row r="138" spans="1:22" ht="19" customHeight="1">
      <c r="A138" s="68" t="s">
        <v>362</v>
      </c>
      <c r="B138" s="74">
        <v>5</v>
      </c>
      <c r="C138" s="68" t="s">
        <v>363</v>
      </c>
      <c r="D138" s="68" t="s">
        <v>364</v>
      </c>
      <c r="E138" s="75">
        <f>60*F138*'THAM_SO_MOI'!$C$53/(2*PI()*'THAM_SO_MOI'!$C$26)</f>
        <v>1028.9018947368422</v>
      </c>
      <c r="F138" s="75">
        <f>'THAM_SO_MOI'!$E$53+('THAM_SO_MOI'!$C$14-'THAM_SO_MOI'!$E$53)*132/'THAM_SO_MOI'!$C$42</f>
        <v>10.442914529914532</v>
      </c>
      <c r="G138" s="75">
        <f>3.6*F138</f>
        <v>37.59449230769231</v>
      </c>
      <c r="H138" s="75">
        <f>'THAM_SO_MOI'!$D$53</f>
        <v>1.1</v>
      </c>
      <c r="I138" s="75">
        <f>IF(F138&gt;'THAM_SO_MOI'!$C$14,'THAM_SO_MOI'!$C$13*(1+F138^2/1500),'THAM_SO_MOI'!$C$13)</f>
        <v>0.015</v>
      </c>
      <c r="J138" s="75">
        <f>'THAM_SO_MOI'!$C$40*('THAM_SO_MOI'!$C$23*(E138/'THAM_SO_MOI'!$C$22)+'THAM_SO_MOI'!$C$24*(E138/'THAM_SO_MOI'!$C$22)^2-'THAM_SO_MOI'!$C$25*(E138/'THAM_SO_MOI'!$C$22)^3)</f>
        <v>39.57166057291648</v>
      </c>
      <c r="K138" s="75">
        <f>'THAM_SO_MOI'!$C$31*J138/E138</f>
        <v>367.33611336450116</v>
      </c>
      <c r="L138" s="75">
        <f>K138*'THAM_SO_MOI'!$C$53*'THAM_SO_MOI'!$C$17/'THAM_SO_MOI'!$C$26</f>
        <v>3221.5391515813367</v>
      </c>
      <c r="M138" s="75">
        <f>'THAM_SO_MOI'!$C$15*'THAM_SO_MOI'!$C$16*F138^2</f>
        <v>318.98430684636764</v>
      </c>
      <c r="N138" s="75">
        <f>'THAM_SO_MOI'!$C$12*I138</f>
        <v>1130.112</v>
      </c>
      <c r="O138" s="75">
        <f>M138+N138</f>
        <v>1449.0963068463677</v>
      </c>
      <c r="P138" s="75">
        <f>(MIN(L138,'THAM_SO_MOI'!$C$41)-O138)/('THAM_SO_MOI'!$C$11*H138)</f>
        <v>0.20980620794684768</v>
      </c>
      <c r="Q138" s="75">
        <f>IF(P138&gt;0,1/P138,NA())</f>
        <v>4.766303198489437</v>
      </c>
      <c r="R138" s="75">
        <f>F138-F137</f>
        <v>0.01760042735042866</v>
      </c>
      <c r="S138" s="75">
        <f>0.5*(Q137+Q138)*R138</f>
        <v>0.0839033101907592</v>
      </c>
      <c r="T138" s="75">
        <f>0.5*(F137*Q137+F138*Q138)*R138</f>
        <v>0.8754566038724677</v>
      </c>
      <c r="U138" s="76">
        <f>U137+S138</f>
        <v>11.415995269838078</v>
      </c>
      <c r="V138" s="76">
        <f>V137+T138</f>
        <v>105.80331502672135</v>
      </c>
    </row>
    <row r="139" spans="1:22" ht="19" customHeight="1">
      <c r="A139" s="68" t="s">
        <v>362</v>
      </c>
      <c r="B139" s="74">
        <v>5</v>
      </c>
      <c r="C139" s="68" t="s">
        <v>363</v>
      </c>
      <c r="D139" s="68" t="s">
        <v>364</v>
      </c>
      <c r="E139" s="75">
        <f>60*F139*'THAM_SO_MOI'!$C$53/(2*PI()*'THAM_SO_MOI'!$C$26)</f>
        <v>1030.636</v>
      </c>
      <c r="F139" s="75">
        <f>'THAM_SO_MOI'!$E$53+('THAM_SO_MOI'!$C$14-'THAM_SO_MOI'!$E$53)*133/'THAM_SO_MOI'!$C$42</f>
        <v>10.460514957264959</v>
      </c>
      <c r="G139" s="75">
        <f>3.6*F139</f>
        <v>37.657853846153856</v>
      </c>
      <c r="H139" s="75">
        <f>'THAM_SO_MOI'!$D$53</f>
        <v>1.1</v>
      </c>
      <c r="I139" s="75">
        <f>IF(F139&gt;'THAM_SO_MOI'!$C$14,'THAM_SO_MOI'!$C$13*(1+F139^2/1500),'THAM_SO_MOI'!$C$13)</f>
        <v>0.015</v>
      </c>
      <c r="J139" s="75">
        <f>'THAM_SO_MOI'!$C$40*('THAM_SO_MOI'!$C$23*(E139/'THAM_SO_MOI'!$C$22)+'THAM_SO_MOI'!$C$24*(E139/'THAM_SO_MOI'!$C$22)^2-'THAM_SO_MOI'!$C$25*(E139/'THAM_SO_MOI'!$C$22)^3)</f>
        <v>39.65899335955435</v>
      </c>
      <c r="K139" s="75">
        <f>'THAM_SO_MOI'!$C$31*J139/E139</f>
        <v>367.5273783204338</v>
      </c>
      <c r="L139" s="75">
        <f>K139*'THAM_SO_MOI'!$C$53*'THAM_SO_MOI'!$C$17/'THAM_SO_MOI'!$C$26</f>
        <v>3223.21654599328</v>
      </c>
      <c r="M139" s="75">
        <f>'THAM_SO_MOI'!$C$15*'THAM_SO_MOI'!$C$16*F139^2</f>
        <v>320.0604415256545</v>
      </c>
      <c r="N139" s="75">
        <f>'THAM_SO_MOI'!$C$12*I139</f>
        <v>1130.112</v>
      </c>
      <c r="O139" s="75">
        <f>M139+N139</f>
        <v>1450.1724415256544</v>
      </c>
      <c r="P139" s="75">
        <f>(MIN(L139,'THAM_SO_MOI'!$C$41)-O139)/('THAM_SO_MOI'!$C$11*H139)</f>
        <v>0.20987737979020188</v>
      </c>
      <c r="Q139" s="75">
        <f>IF(P139&gt;0,1/P139,NA())</f>
        <v>4.764686890028941</v>
      </c>
      <c r="R139" s="75">
        <f>F139-F138</f>
        <v>0.017600427350426884</v>
      </c>
      <c r="S139" s="75">
        <f>0.5*(Q138+Q139)*R139</f>
        <v>0.08387474931530321</v>
      </c>
      <c r="T139" s="75">
        <f>0.5*(F138*Q138+F139*Q139)*R139</f>
        <v>0.8766348288606428</v>
      </c>
      <c r="U139" s="76">
        <f>U138+S139</f>
        <v>11.49987001915338</v>
      </c>
      <c r="V139" s="76">
        <f>V138+T139</f>
        <v>106.679949855582</v>
      </c>
    </row>
    <row r="140" spans="1:22" ht="19" customHeight="1">
      <c r="A140" s="68" t="s">
        <v>362</v>
      </c>
      <c r="B140" s="74">
        <v>5</v>
      </c>
      <c r="C140" s="68" t="s">
        <v>363</v>
      </c>
      <c r="D140" s="68" t="s">
        <v>364</v>
      </c>
      <c r="E140" s="75">
        <f>60*F140*'THAM_SO_MOI'!$C$53/(2*PI()*'THAM_SO_MOI'!$C$26)</f>
        <v>1032.3701052631577</v>
      </c>
      <c r="F140" s="75">
        <f>'THAM_SO_MOI'!$E$53+('THAM_SO_MOI'!$C$14-'THAM_SO_MOI'!$E$53)*134/'THAM_SO_MOI'!$C$42</f>
        <v>10.478115384615386</v>
      </c>
      <c r="G140" s="75">
        <f>3.6*F140</f>
        <v>37.72121538461539</v>
      </c>
      <c r="H140" s="75">
        <f>'THAM_SO_MOI'!$D$53</f>
        <v>1.1</v>
      </c>
      <c r="I140" s="75">
        <f>IF(F140&gt;'THAM_SO_MOI'!$C$14,'THAM_SO_MOI'!$C$13*(1+F140^2/1500),'THAM_SO_MOI'!$C$13)</f>
        <v>0.015</v>
      </c>
      <c r="J140" s="75">
        <f>'THAM_SO_MOI'!$C$40*('THAM_SO_MOI'!$C$23*(E140/'THAM_SO_MOI'!$C$22)+'THAM_SO_MOI'!$C$24*(E140/'THAM_SO_MOI'!$C$22)^2-'THAM_SO_MOI'!$C$25*(E140/'THAM_SO_MOI'!$C$22)^3)</f>
        <v>39.74636406518137</v>
      </c>
      <c r="K140" s="75">
        <f>'THAM_SO_MOI'!$C$31*J140/E140</f>
        <v>367.7183515407415</v>
      </c>
      <c r="L140" s="75">
        <f>K140*'THAM_SO_MOI'!$C$53*'THAM_SO_MOI'!$C$17/'THAM_SO_MOI'!$C$26</f>
        <v>3224.8913818826504</v>
      </c>
      <c r="M140" s="75">
        <f>'THAM_SO_MOI'!$C$15*'THAM_SO_MOI'!$C$16*F140^2</f>
        <v>321.1383883889424</v>
      </c>
      <c r="N140" s="75">
        <f>'THAM_SO_MOI'!$C$12*I140</f>
        <v>1130.112</v>
      </c>
      <c r="O140" s="75">
        <f>M140+N140</f>
        <v>1451.2503883889426</v>
      </c>
      <c r="P140" s="75">
        <f>(MIN(L140,'THAM_SO_MOI'!$C$41)-O140)/('THAM_SO_MOI'!$C$11*H140)</f>
        <v>0.2099480342677211</v>
      </c>
      <c r="Q140" s="75">
        <f>IF(P140&gt;0,1/P140,NA())</f>
        <v>4.763083414845514</v>
      </c>
      <c r="R140" s="75">
        <f>F140-F139</f>
        <v>0.017600427350426884</v>
      </c>
      <c r="S140" s="75">
        <f>0.5*(Q139+Q140)*R140</f>
        <v>0.08384641453124872</v>
      </c>
      <c r="T140" s="75">
        <f>0.5*(F139*Q139+F140*Q140)*R140</f>
        <v>0.8778144155017924</v>
      </c>
      <c r="U140" s="76">
        <f>U139+S140</f>
        <v>11.583716433684629</v>
      </c>
      <c r="V140" s="76">
        <f>V139+T140</f>
        <v>107.55776427108378</v>
      </c>
    </row>
    <row r="141" spans="1:22" ht="19" customHeight="1">
      <c r="A141" s="68" t="s">
        <v>362</v>
      </c>
      <c r="B141" s="74">
        <v>5</v>
      </c>
      <c r="C141" s="68" t="s">
        <v>363</v>
      </c>
      <c r="D141" s="68" t="s">
        <v>364</v>
      </c>
      <c r="E141" s="75">
        <f>60*F141*'THAM_SO_MOI'!$C$53/(2*PI()*'THAM_SO_MOI'!$C$26)</f>
        <v>1034.1042105263155</v>
      </c>
      <c r="F141" s="75">
        <f>'THAM_SO_MOI'!$E$53+('THAM_SO_MOI'!$C$14-'THAM_SO_MOI'!$E$53)*135/'THAM_SO_MOI'!$C$42</f>
        <v>10.495715811965812</v>
      </c>
      <c r="G141" s="75">
        <f>3.6*F141</f>
        <v>37.784576923076926</v>
      </c>
      <c r="H141" s="75">
        <f>'THAM_SO_MOI'!$D$53</f>
        <v>1.1</v>
      </c>
      <c r="I141" s="75">
        <f>IF(F141&gt;'THAM_SO_MOI'!$C$14,'THAM_SO_MOI'!$C$13*(1+F141^2/1500),'THAM_SO_MOI'!$C$13)</f>
        <v>0.015</v>
      </c>
      <c r="J141" s="75">
        <f>'THAM_SO_MOI'!$C$40*('THAM_SO_MOI'!$C$23*(E141/'THAM_SO_MOI'!$C$22)+'THAM_SO_MOI'!$C$24*(E141/'THAM_SO_MOI'!$C$22)^2-'THAM_SO_MOI'!$C$25*(E141/'THAM_SO_MOI'!$C$22)^3)</f>
        <v>39.833772530894244</v>
      </c>
      <c r="K141" s="75">
        <f>'THAM_SO_MOI'!$C$31*J141/E141</f>
        <v>367.9090330254242</v>
      </c>
      <c r="L141" s="75">
        <f>K141*'THAM_SO_MOI'!$C$53*'THAM_SO_MOI'!$C$17/'THAM_SO_MOI'!$C$26</f>
        <v>3226.563659249449</v>
      </c>
      <c r="M141" s="75">
        <f>'THAM_SO_MOI'!$C$15*'THAM_SO_MOI'!$C$16*F141^2</f>
        <v>322.21814743623133</v>
      </c>
      <c r="N141" s="75">
        <f>'THAM_SO_MOI'!$C$12*I141</f>
        <v>1130.112</v>
      </c>
      <c r="O141" s="75">
        <f>M141+N141</f>
        <v>1452.3301474362315</v>
      </c>
      <c r="P141" s="75">
        <f>(MIN(L141,'THAM_SO_MOI'!$C$41)-O141)/('THAM_SO_MOI'!$C$11*H141)</f>
        <v>0.21001817137940545</v>
      </c>
      <c r="Q141" s="75">
        <f>IF(P141&gt;0,1/P141,NA())</f>
        <v>4.7614927481368445</v>
      </c>
      <c r="R141" s="75">
        <f>F141-F140</f>
        <v>0.017600427350426884</v>
      </c>
      <c r="S141" s="75">
        <f>0.5*(Q140+Q141)*R141</f>
        <v>0.08381830540008933</v>
      </c>
      <c r="T141" s="75">
        <f>0.5*(F140*Q140+F141*Q141)*R141</f>
        <v>0.8789953711352698</v>
      </c>
      <c r="U141" s="76">
        <f>U140+S141</f>
        <v>11.667534739084719</v>
      </c>
      <c r="V141" s="76">
        <f>V140+T141</f>
        <v>108.43675964221906</v>
      </c>
    </row>
    <row r="142" spans="1:22" ht="19" customHeight="1">
      <c r="A142" s="68" t="s">
        <v>362</v>
      </c>
      <c r="B142" s="74">
        <v>5</v>
      </c>
      <c r="C142" s="68" t="s">
        <v>363</v>
      </c>
      <c r="D142" s="68" t="s">
        <v>364</v>
      </c>
      <c r="E142" s="75">
        <f>60*F142*'THAM_SO_MOI'!$C$53/(2*PI()*'THAM_SO_MOI'!$C$26)</f>
        <v>1035.8383157894734</v>
      </c>
      <c r="F142" s="75">
        <f>'THAM_SO_MOI'!$E$53+('THAM_SO_MOI'!$C$14-'THAM_SO_MOI'!$E$53)*136/'THAM_SO_MOI'!$C$42</f>
        <v>10.51331623931624</v>
      </c>
      <c r="G142" s="75">
        <f>3.6*F142</f>
        <v>37.84793846153846</v>
      </c>
      <c r="H142" s="75">
        <f>'THAM_SO_MOI'!$D$53</f>
        <v>1.1</v>
      </c>
      <c r="I142" s="75">
        <f>IF(F142&gt;'THAM_SO_MOI'!$C$14,'THAM_SO_MOI'!$C$13*(1+F142^2/1500),'THAM_SO_MOI'!$C$13)</f>
        <v>0.015</v>
      </c>
      <c r="J142" s="75">
        <f>'THAM_SO_MOI'!$C$40*('THAM_SO_MOI'!$C$23*(E142/'THAM_SO_MOI'!$C$22)+'THAM_SO_MOI'!$C$24*(E142/'THAM_SO_MOI'!$C$22)^2-'THAM_SO_MOI'!$C$25*(E142/'THAM_SO_MOI'!$C$22)^3)</f>
        <v>39.92121859778971</v>
      </c>
      <c r="K142" s="75">
        <f>'THAM_SO_MOI'!$C$31*J142/E142</f>
        <v>368.0994227744819</v>
      </c>
      <c r="L142" s="75">
        <f>K142*'THAM_SO_MOI'!$C$53*'THAM_SO_MOI'!$C$17/'THAM_SO_MOI'!$C$26</f>
        <v>3228.2333780936733</v>
      </c>
      <c r="M142" s="75">
        <f>'THAM_SO_MOI'!$C$15*'THAM_SO_MOI'!$C$16*F142^2</f>
        <v>323.2997186675214</v>
      </c>
      <c r="N142" s="75">
        <f>'THAM_SO_MOI'!$C$12*I142</f>
        <v>1130.112</v>
      </c>
      <c r="O142" s="75">
        <f>M142+N142</f>
        <v>1453.4117186675214</v>
      </c>
      <c r="P142" s="75">
        <f>(MIN(L142,'THAM_SO_MOI'!$C$41)-O142)/('THAM_SO_MOI'!$C$11*H142)</f>
        <v>0.2100877911252547</v>
      </c>
      <c r="Q142" s="75">
        <f>IF(P142&gt;0,1/P142,NA())</f>
        <v>4.759914865323127</v>
      </c>
      <c r="R142" s="75">
        <f>F142-F141</f>
        <v>0.017600427350426884</v>
      </c>
      <c r="S142" s="75">
        <f>0.5*(Q141+Q142)*R142</f>
        <v>0.08379042148725181</v>
      </c>
      <c r="T142" s="75">
        <f>0.5*(F141*Q141+F142*Q142)*R142</f>
        <v>0.880177703110874</v>
      </c>
      <c r="U142" s="76">
        <f>U141+S142</f>
        <v>11.751325160571971</v>
      </c>
      <c r="V142" s="76">
        <f>V141+T142</f>
        <v>109.31693734532993</v>
      </c>
    </row>
    <row r="143" spans="1:22" ht="19" customHeight="1">
      <c r="A143" s="68" t="s">
        <v>362</v>
      </c>
      <c r="B143" s="74">
        <v>5</v>
      </c>
      <c r="C143" s="68" t="s">
        <v>363</v>
      </c>
      <c r="D143" s="68" t="s">
        <v>364</v>
      </c>
      <c r="E143" s="75">
        <f>60*F143*'THAM_SO_MOI'!$C$53/(2*PI()*'THAM_SO_MOI'!$C$26)</f>
        <v>1037.5724210526316</v>
      </c>
      <c r="F143" s="75">
        <f>'THAM_SO_MOI'!$E$53+('THAM_SO_MOI'!$C$14-'THAM_SO_MOI'!$E$53)*137/'THAM_SO_MOI'!$C$42</f>
        <v>10.530916666666668</v>
      </c>
      <c r="G143" s="75">
        <f>3.6*F143</f>
        <v>37.911300000000004</v>
      </c>
      <c r="H143" s="75">
        <f>'THAM_SO_MOI'!$D$53</f>
        <v>1.1</v>
      </c>
      <c r="I143" s="75">
        <f>IF(F143&gt;'THAM_SO_MOI'!$C$14,'THAM_SO_MOI'!$C$13*(1+F143^2/1500),'THAM_SO_MOI'!$C$13)</f>
        <v>0.015</v>
      </c>
      <c r="J143" s="75">
        <f>'THAM_SO_MOI'!$C$40*('THAM_SO_MOI'!$C$23*(E143/'THAM_SO_MOI'!$C$22)+'THAM_SO_MOI'!$C$24*(E143/'THAM_SO_MOI'!$C$22)^2-'THAM_SO_MOI'!$C$25*(E143/'THAM_SO_MOI'!$C$22)^3)</f>
        <v>40.00870210696447</v>
      </c>
      <c r="K143" s="75">
        <f>'THAM_SO_MOI'!$C$31*J143/E143</f>
        <v>368.2895207879145</v>
      </c>
      <c r="L143" s="75">
        <f>K143*'THAM_SO_MOI'!$C$53*'THAM_SO_MOI'!$C$17/'THAM_SO_MOI'!$C$26</f>
        <v>3229.900538415325</v>
      </c>
      <c r="M143" s="75">
        <f>'THAM_SO_MOI'!$C$15*'THAM_SO_MOI'!$C$16*F143^2</f>
        <v>324.3831020828126</v>
      </c>
      <c r="N143" s="75">
        <f>'THAM_SO_MOI'!$C$12*I143</f>
        <v>1130.112</v>
      </c>
      <c r="O143" s="75">
        <f>M143+N143</f>
        <v>1454.4951020828128</v>
      </c>
      <c r="P143" s="75">
        <f>(MIN(L143,'THAM_SO_MOI'!$C$41)-O143)/('THAM_SO_MOI'!$C$11*H143)</f>
        <v>0.210156893505269</v>
      </c>
      <c r="Q143" s="75">
        <f>IF(P143&gt;0,1/P143,NA())</f>
        <v>4.758349742046069</v>
      </c>
      <c r="R143" s="75">
        <f>F143-F142</f>
        <v>0.01760042735042866</v>
      </c>
      <c r="S143" s="75">
        <f>0.5*(Q142+Q143)*R143</f>
        <v>0.08376276236207897</v>
      </c>
      <c r="T143" s="75">
        <f>0.5*(F142*Q142+F143*Q143)*R143</f>
        <v>0.8813614187890118</v>
      </c>
      <c r="U143" s="76">
        <f>U142+S143</f>
        <v>11.83508792293405</v>
      </c>
      <c r="V143" s="76">
        <f>V142+T143</f>
        <v>110.19829876411895</v>
      </c>
    </row>
    <row r="144" spans="1:22" ht="19" customHeight="1">
      <c r="A144" s="68" t="s">
        <v>362</v>
      </c>
      <c r="B144" s="74">
        <v>5</v>
      </c>
      <c r="C144" s="68" t="s">
        <v>363</v>
      </c>
      <c r="D144" s="68" t="s">
        <v>364</v>
      </c>
      <c r="E144" s="75">
        <f>60*F144*'THAM_SO_MOI'!$C$53/(2*PI()*'THAM_SO_MOI'!$C$26)</f>
        <v>1039.3065263157894</v>
      </c>
      <c r="F144" s="75">
        <f>'THAM_SO_MOI'!$E$53+('THAM_SO_MOI'!$C$14-'THAM_SO_MOI'!$E$53)*138/'THAM_SO_MOI'!$C$42</f>
        <v>10.548517094017095</v>
      </c>
      <c r="G144" s="75">
        <f>3.6*F144</f>
        <v>37.97466153846154</v>
      </c>
      <c r="H144" s="75">
        <f>'THAM_SO_MOI'!$D$53</f>
        <v>1.1</v>
      </c>
      <c r="I144" s="75">
        <f>IF(F144&gt;'THAM_SO_MOI'!$C$14,'THAM_SO_MOI'!$C$13*(1+F144^2/1500),'THAM_SO_MOI'!$C$13)</f>
        <v>0.015</v>
      </c>
      <c r="J144" s="75">
        <f>'THAM_SO_MOI'!$C$40*('THAM_SO_MOI'!$C$23*(E144/'THAM_SO_MOI'!$C$22)+'THAM_SO_MOI'!$C$24*(E144/'THAM_SO_MOI'!$C$22)^2-'THAM_SO_MOI'!$C$25*(E144/'THAM_SO_MOI'!$C$22)^3)</f>
        <v>40.096222899515254</v>
      </c>
      <c r="K144" s="75">
        <f>'THAM_SO_MOI'!$C$31*J144/E144</f>
        <v>368.4793270657222</v>
      </c>
      <c r="L144" s="75">
        <f>K144*'THAM_SO_MOI'!$C$53*'THAM_SO_MOI'!$C$17/'THAM_SO_MOI'!$C$26</f>
        <v>3231.5651402144044</v>
      </c>
      <c r="M144" s="75">
        <f>'THAM_SO_MOI'!$C$15*'THAM_SO_MOI'!$C$16*F144^2</f>
        <v>325.4682976821048</v>
      </c>
      <c r="N144" s="75">
        <f>'THAM_SO_MOI'!$C$12*I144</f>
        <v>1130.112</v>
      </c>
      <c r="O144" s="75">
        <f>M144+N144</f>
        <v>1455.5802976821049</v>
      </c>
      <c r="P144" s="75">
        <f>(MIN(L144,'THAM_SO_MOI'!$C$41)-O144)/('THAM_SO_MOI'!$C$11*H144)</f>
        <v>0.21022547851944837</v>
      </c>
      <c r="Q144" s="75">
        <f>IF(P144&gt;0,1/P144,NA())</f>
        <v>4.756797354167935</v>
      </c>
      <c r="R144" s="75">
        <f>F144-F143</f>
        <v>0.017600427350426884</v>
      </c>
      <c r="S144" s="75">
        <f>0.5*(Q143+Q144)*R144</f>
        <v>0.08373532759776996</v>
      </c>
      <c r="T144" s="75">
        <f>0.5*(F143*Q143+F144*Q144)*R144</f>
        <v>0.8825465255404179</v>
      </c>
      <c r="U144" s="76">
        <f>U143+S144</f>
        <v>11.91882325053182</v>
      </c>
      <c r="V144" s="76">
        <f>V143+T144</f>
        <v>111.08084528965936</v>
      </c>
    </row>
    <row r="145" spans="1:22" ht="19" customHeight="1">
      <c r="A145" s="68" t="s">
        <v>362</v>
      </c>
      <c r="B145" s="74">
        <v>5</v>
      </c>
      <c r="C145" s="68" t="s">
        <v>363</v>
      </c>
      <c r="D145" s="68" t="s">
        <v>364</v>
      </c>
      <c r="E145" s="75">
        <f>60*F145*'THAM_SO_MOI'!$C$53/(2*PI()*'THAM_SO_MOI'!$C$26)</f>
        <v>1041.0406315789473</v>
      </c>
      <c r="F145" s="75">
        <f>'THAM_SO_MOI'!$E$53+('THAM_SO_MOI'!$C$14-'THAM_SO_MOI'!$E$53)*139/'THAM_SO_MOI'!$C$42</f>
        <v>10.566117521367522</v>
      </c>
      <c r="G145" s="75">
        <f>3.6*F145</f>
        <v>38.03802307692308</v>
      </c>
      <c r="H145" s="75">
        <f>'THAM_SO_MOI'!$D$53</f>
        <v>1.1</v>
      </c>
      <c r="I145" s="75">
        <f>IF(F145&gt;'THAM_SO_MOI'!$C$14,'THAM_SO_MOI'!$C$13*(1+F145^2/1500),'THAM_SO_MOI'!$C$13)</f>
        <v>0.015</v>
      </c>
      <c r="J145" s="75">
        <f>'THAM_SO_MOI'!$C$40*('THAM_SO_MOI'!$C$23*(E145/'THAM_SO_MOI'!$C$22)+'THAM_SO_MOI'!$C$24*(E145/'THAM_SO_MOI'!$C$22)^2-'THAM_SO_MOI'!$C$25*(E145/'THAM_SO_MOI'!$C$22)^3)</f>
        <v>40.18378081653876</v>
      </c>
      <c r="K145" s="75">
        <f>'THAM_SO_MOI'!$C$31*J145/E145</f>
        <v>368.66884160790465</v>
      </c>
      <c r="L145" s="75">
        <f>K145*'THAM_SO_MOI'!$C$53*'THAM_SO_MOI'!$C$17/'THAM_SO_MOI'!$C$26</f>
        <v>3233.227183490909</v>
      </c>
      <c r="M145" s="75">
        <f>'THAM_SO_MOI'!$C$15*'THAM_SO_MOI'!$C$16*F145^2</f>
        <v>326.555305465398</v>
      </c>
      <c r="N145" s="75">
        <f>'THAM_SO_MOI'!$C$12*I145</f>
        <v>1130.112</v>
      </c>
      <c r="O145" s="75">
        <f>M145+N145</f>
        <v>1456.6673054653982</v>
      </c>
      <c r="P145" s="75">
        <f>(MIN(L145,'THAM_SO_MOI'!$C$41)-O145)/('THAM_SO_MOI'!$C$11*H145)</f>
        <v>0.21029354616779247</v>
      </c>
      <c r="Q145" s="75">
        <f>IF(P145&gt;0,1/P145,NA())</f>
        <v>4.755257677770594</v>
      </c>
      <c r="R145" s="75">
        <f>F145-F144</f>
        <v>0.017600427350426884</v>
      </c>
      <c r="S145" s="75">
        <f>0.5*(Q144+Q145)*R145</f>
        <v>0.08370811677144827</v>
      </c>
      <c r="T145" s="75">
        <f>0.5*(F144*Q144+F145*Q145)*R145</f>
        <v>0.883733030747209</v>
      </c>
      <c r="U145" s="76">
        <f>U144+S145</f>
        <v>12.00253136730327</v>
      </c>
      <c r="V145" s="76">
        <f>V144+T145</f>
        <v>111.96457832040657</v>
      </c>
    </row>
    <row r="146" spans="1:22" ht="19" customHeight="1">
      <c r="A146" s="68" t="s">
        <v>362</v>
      </c>
      <c r="B146" s="74">
        <v>5</v>
      </c>
      <c r="C146" s="68" t="s">
        <v>363</v>
      </c>
      <c r="D146" s="68" t="s">
        <v>364</v>
      </c>
      <c r="E146" s="75">
        <f>60*F146*'THAM_SO_MOI'!$C$53/(2*PI()*'THAM_SO_MOI'!$C$26)</f>
        <v>1042.7747368421053</v>
      </c>
      <c r="F146" s="75">
        <f>'THAM_SO_MOI'!$E$53+('THAM_SO_MOI'!$C$14-'THAM_SO_MOI'!$E$53)*140/'THAM_SO_MOI'!$C$42</f>
        <v>10.58371794871795</v>
      </c>
      <c r="G146" s="75">
        <f>3.6*F146</f>
        <v>38.101384615384625</v>
      </c>
      <c r="H146" s="75">
        <f>'THAM_SO_MOI'!$D$53</f>
        <v>1.1</v>
      </c>
      <c r="I146" s="75">
        <f>IF(F146&gt;'THAM_SO_MOI'!$C$14,'THAM_SO_MOI'!$C$13*(1+F146^2/1500),'THAM_SO_MOI'!$C$13)</f>
        <v>0.015</v>
      </c>
      <c r="J146" s="75">
        <f>'THAM_SO_MOI'!$C$40*('THAM_SO_MOI'!$C$23*(E146/'THAM_SO_MOI'!$C$22)+'THAM_SO_MOI'!$C$24*(E146/'THAM_SO_MOI'!$C$22)^2-'THAM_SO_MOI'!$C$25*(E146/'THAM_SO_MOI'!$C$22)^3)</f>
        <v>40.27137569913173</v>
      </c>
      <c r="K146" s="75">
        <f>'THAM_SO_MOI'!$C$31*J146/E146</f>
        <v>368.8580644144621</v>
      </c>
      <c r="L146" s="75">
        <f>K146*'THAM_SO_MOI'!$C$53*'THAM_SO_MOI'!$C$17/'THAM_SO_MOI'!$C$26</f>
        <v>3234.886668244841</v>
      </c>
      <c r="M146" s="75">
        <f>'THAM_SO_MOI'!$C$15*'THAM_SO_MOI'!$C$16*F146^2</f>
        <v>327.6441254326925</v>
      </c>
      <c r="N146" s="75">
        <f>'THAM_SO_MOI'!$C$12*I146</f>
        <v>1130.112</v>
      </c>
      <c r="O146" s="75">
        <f>M146+N146</f>
        <v>1457.7561254326924</v>
      </c>
      <c r="P146" s="75">
        <f>(MIN(L146,'THAM_SO_MOI'!$C$41)-O146)/('THAM_SO_MOI'!$C$11*H146)</f>
        <v>0.21036109645030168</v>
      </c>
      <c r="Q146" s="75">
        <f>IF(P146&gt;0,1/P146,NA())</f>
        <v>4.753730689154553</v>
      </c>
      <c r="R146" s="75">
        <f>F146-F145</f>
        <v>0.01760042735042866</v>
      </c>
      <c r="S146" s="75">
        <f>0.5*(Q145+Q146)*R146</f>
        <v>0.08368112946406865</v>
      </c>
      <c r="T146" s="75">
        <f>0.5*(F145*Q145+F146*Q146)*R146</f>
        <v>0.8849209418022459</v>
      </c>
      <c r="U146" s="76">
        <f>U145+S146</f>
        <v>12.086212496767338</v>
      </c>
      <c r="V146" s="76">
        <f>V145+T146</f>
        <v>112.84949926220882</v>
      </c>
    </row>
    <row r="147" spans="1:22" ht="19" customHeight="1">
      <c r="A147" s="68" t="s">
        <v>362</v>
      </c>
      <c r="B147" s="74">
        <v>5</v>
      </c>
      <c r="C147" s="68" t="s">
        <v>363</v>
      </c>
      <c r="D147" s="68" t="s">
        <v>364</v>
      </c>
      <c r="E147" s="75">
        <f>60*F147*'THAM_SO_MOI'!$C$53/(2*PI()*'THAM_SO_MOI'!$C$26)</f>
        <v>1044.508842105263</v>
      </c>
      <c r="F147" s="75">
        <f>'THAM_SO_MOI'!$E$53+('THAM_SO_MOI'!$C$14-'THAM_SO_MOI'!$E$53)*141/'THAM_SO_MOI'!$C$42</f>
        <v>10.601318376068377</v>
      </c>
      <c r="G147" s="75">
        <f>3.6*F147</f>
        <v>38.16474615384616</v>
      </c>
      <c r="H147" s="75">
        <f>'THAM_SO_MOI'!$D$53</f>
        <v>1.1</v>
      </c>
      <c r="I147" s="75">
        <f>IF(F147&gt;'THAM_SO_MOI'!$C$14,'THAM_SO_MOI'!$C$13*(1+F147^2/1500),'THAM_SO_MOI'!$C$13)</f>
        <v>0.015</v>
      </c>
      <c r="J147" s="75">
        <f>'THAM_SO_MOI'!$C$40*('THAM_SO_MOI'!$C$23*(E147/'THAM_SO_MOI'!$C$22)+'THAM_SO_MOI'!$C$24*(E147/'THAM_SO_MOI'!$C$22)^2-'THAM_SO_MOI'!$C$25*(E147/'THAM_SO_MOI'!$C$22)^3)</f>
        <v>40.3590073883909</v>
      </c>
      <c r="K147" s="75">
        <f>'THAM_SO_MOI'!$C$31*J147/E147</f>
        <v>369.0469954853947</v>
      </c>
      <c r="L147" s="75">
        <f>K147*'THAM_SO_MOI'!$C$53*'THAM_SO_MOI'!$C$17/'THAM_SO_MOI'!$C$26</f>
        <v>3236.543594476201</v>
      </c>
      <c r="M147" s="75">
        <f>'THAM_SO_MOI'!$C$15*'THAM_SO_MOI'!$C$16*F147^2</f>
        <v>328.73475758398786</v>
      </c>
      <c r="N147" s="75">
        <f>'THAM_SO_MOI'!$C$12*I147</f>
        <v>1130.112</v>
      </c>
      <c r="O147" s="75">
        <f>M147+N147</f>
        <v>1458.846757583988</v>
      </c>
      <c r="P147" s="75">
        <f>(MIN(L147,'THAM_SO_MOI'!$C$41)-O147)/('THAM_SO_MOI'!$C$11*H147)</f>
        <v>0.21042812936697602</v>
      </c>
      <c r="Q147" s="75">
        <f>IF(P147&gt;0,1/P147,NA())</f>
        <v>4.752216364838042</v>
      </c>
      <c r="R147" s="75">
        <f>F147-F146</f>
        <v>0.017600427350426884</v>
      </c>
      <c r="S147" s="75">
        <f>0.5*(Q146+Q147)*R147</f>
        <v>0.08365436526040057</v>
      </c>
      <c r="T147" s="75">
        <f>0.5*(F146*Q146+F147*Q147)*R147</f>
        <v>0.8861102661092947</v>
      </c>
      <c r="U147" s="76">
        <f>U146+S147</f>
        <v>12.169866862027739</v>
      </c>
      <c r="V147" s="76">
        <f>V146+T147</f>
        <v>113.73560952831812</v>
      </c>
    </row>
    <row r="148" spans="1:22" ht="19" customHeight="1">
      <c r="A148" s="68" t="s">
        <v>362</v>
      </c>
      <c r="B148" s="74">
        <v>5</v>
      </c>
      <c r="C148" s="68" t="s">
        <v>363</v>
      </c>
      <c r="D148" s="68" t="s">
        <v>364</v>
      </c>
      <c r="E148" s="75">
        <f>60*F148*'THAM_SO_MOI'!$C$53/(2*PI()*'THAM_SO_MOI'!$C$26)</f>
        <v>1046.242947368421</v>
      </c>
      <c r="F148" s="75">
        <f>'THAM_SO_MOI'!$E$53+('THAM_SO_MOI'!$C$14-'THAM_SO_MOI'!$E$53)*142/'THAM_SO_MOI'!$C$42</f>
        <v>10.618918803418804</v>
      </c>
      <c r="G148" s="75">
        <f>3.6*F148</f>
        <v>38.228107692307695</v>
      </c>
      <c r="H148" s="75">
        <f>'THAM_SO_MOI'!$D$53</f>
        <v>1.1</v>
      </c>
      <c r="I148" s="75">
        <f>IF(F148&gt;'THAM_SO_MOI'!$C$14,'THAM_SO_MOI'!$C$13*(1+F148^2/1500),'THAM_SO_MOI'!$C$13)</f>
        <v>0.015</v>
      </c>
      <c r="J148" s="75">
        <f>'THAM_SO_MOI'!$C$40*('THAM_SO_MOI'!$C$23*(E148/'THAM_SO_MOI'!$C$22)+'THAM_SO_MOI'!$C$24*(E148/'THAM_SO_MOI'!$C$22)^2-'THAM_SO_MOI'!$C$25*(E148/'THAM_SO_MOI'!$C$22)^3)</f>
        <v>40.446675725412966</v>
      </c>
      <c r="K148" s="75">
        <f>'THAM_SO_MOI'!$C$31*J148/E148</f>
        <v>369.23563482070216</v>
      </c>
      <c r="L148" s="75">
        <f>K148*'THAM_SO_MOI'!$C$53*'THAM_SO_MOI'!$C$17/'THAM_SO_MOI'!$C$26</f>
        <v>3238.1979621849873</v>
      </c>
      <c r="M148" s="75">
        <f>'THAM_SO_MOI'!$C$15*'THAM_SO_MOI'!$C$16*F148^2</f>
        <v>329.8272019192843</v>
      </c>
      <c r="N148" s="75">
        <f>'THAM_SO_MOI'!$C$12*I148</f>
        <v>1130.112</v>
      </c>
      <c r="O148" s="75">
        <f>M148+N148</f>
        <v>1459.9392019192844</v>
      </c>
      <c r="P148" s="75">
        <f>(MIN(L148,'THAM_SO_MOI'!$C$41)-O148)/('THAM_SO_MOI'!$C$11*H148)</f>
        <v>0.21049464491781525</v>
      </c>
      <c r="Q148" s="75">
        <f>IF(P148&gt;0,1/P148,NA())</f>
        <v>4.750714681556086</v>
      </c>
      <c r="R148" s="75">
        <f>F148-F147</f>
        <v>0.017600427350426884</v>
      </c>
      <c r="S148" s="75">
        <f>0.5*(Q147+Q148)*R148</f>
        <v>0.08362782374908799</v>
      </c>
      <c r="T148" s="75">
        <f>0.5*(F147*Q147+F148*Q148)*R148</f>
        <v>0.8873010110839983</v>
      </c>
      <c r="U148" s="76">
        <f>U147+S148</f>
        <v>12.253494685776827</v>
      </c>
      <c r="V148" s="76">
        <f>V147+T148</f>
        <v>114.62291053940211</v>
      </c>
    </row>
    <row r="149" spans="1:22" ht="19" customHeight="1">
      <c r="A149" s="68" t="s">
        <v>362</v>
      </c>
      <c r="B149" s="74">
        <v>5</v>
      </c>
      <c r="C149" s="68" t="s">
        <v>363</v>
      </c>
      <c r="D149" s="68" t="s">
        <v>364</v>
      </c>
      <c r="E149" s="75">
        <f>60*F149*'THAM_SO_MOI'!$C$53/(2*PI()*'THAM_SO_MOI'!$C$26)</f>
        <v>1047.9770526315788</v>
      </c>
      <c r="F149" s="75">
        <f>'THAM_SO_MOI'!$E$53+('THAM_SO_MOI'!$C$14-'THAM_SO_MOI'!$E$53)*143/'THAM_SO_MOI'!$C$42</f>
        <v>10.636519230769231</v>
      </c>
      <c r="G149" s="75">
        <f>3.6*F149</f>
        <v>38.29146923076923</v>
      </c>
      <c r="H149" s="75">
        <f>'THAM_SO_MOI'!$D$53</f>
        <v>1.1</v>
      </c>
      <c r="I149" s="75">
        <f>IF(F149&gt;'THAM_SO_MOI'!$C$14,'THAM_SO_MOI'!$C$13*(1+F149^2/1500),'THAM_SO_MOI'!$C$13)</f>
        <v>0.015</v>
      </c>
      <c r="J149" s="75">
        <f>'THAM_SO_MOI'!$C$40*('THAM_SO_MOI'!$C$23*(E149/'THAM_SO_MOI'!$C$22)+'THAM_SO_MOI'!$C$24*(E149/'THAM_SO_MOI'!$C$22)^2-'THAM_SO_MOI'!$C$25*(E149/'THAM_SO_MOI'!$C$22)^3)</f>
        <v>40.534380551294646</v>
      </c>
      <c r="K149" s="75">
        <f>'THAM_SO_MOI'!$C$31*J149/E149</f>
        <v>369.42398242038456</v>
      </c>
      <c r="L149" s="75">
        <f>K149*'THAM_SO_MOI'!$C$53*'THAM_SO_MOI'!$C$17/'THAM_SO_MOI'!$C$26</f>
        <v>3239.8497713712</v>
      </c>
      <c r="M149" s="75">
        <f>'THAM_SO_MOI'!$C$15*'THAM_SO_MOI'!$C$16*F149^2</f>
        <v>330.9214584385818</v>
      </c>
      <c r="N149" s="75">
        <f>'THAM_SO_MOI'!$C$12*I149</f>
        <v>1130.112</v>
      </c>
      <c r="O149" s="75">
        <f>M149+N149</f>
        <v>1461.0334584385819</v>
      </c>
      <c r="P149" s="75">
        <f>(MIN(L149,'THAM_SO_MOI'!$C$41)-O149)/('THAM_SO_MOI'!$C$11*H149)</f>
        <v>0.21056064310281938</v>
      </c>
      <c r="Q149" s="75">
        <f>IF(P149&gt;0,1/P149,NA())</f>
        <v>4.749225616259576</v>
      </c>
      <c r="R149" s="75">
        <f>F149-F148</f>
        <v>0.017600427350426884</v>
      </c>
      <c r="S149" s="75">
        <f>0.5*(Q148+Q149)*R149</f>
        <v>0.08360150452254865</v>
      </c>
      <c r="T149" s="75">
        <f>0.5*(F148*Q148+F149*Q149)*R149</f>
        <v>0.8884931841531453</v>
      </c>
      <c r="U149" s="76">
        <f>U148+S149</f>
        <v>12.337096190299375</v>
      </c>
      <c r="V149" s="76">
        <f>V148+T149</f>
        <v>115.51140372355526</v>
      </c>
    </row>
    <row r="150" spans="1:22" ht="19" customHeight="1">
      <c r="A150" s="68" t="s">
        <v>362</v>
      </c>
      <c r="B150" s="74">
        <v>5</v>
      </c>
      <c r="C150" s="68" t="s">
        <v>363</v>
      </c>
      <c r="D150" s="68" t="s">
        <v>364</v>
      </c>
      <c r="E150" s="75">
        <f>60*F150*'THAM_SO_MOI'!$C$53/(2*PI()*'THAM_SO_MOI'!$C$26)</f>
        <v>1049.7111578947365</v>
      </c>
      <c r="F150" s="75">
        <f>'THAM_SO_MOI'!$E$53+('THAM_SO_MOI'!$C$14-'THAM_SO_MOI'!$E$53)*144/'THAM_SO_MOI'!$C$42</f>
        <v>10.654119658119658</v>
      </c>
      <c r="G150" s="75">
        <f>3.6*F150</f>
        <v>38.35483076923077</v>
      </c>
      <c r="H150" s="75">
        <f>'THAM_SO_MOI'!$D$53</f>
        <v>1.1</v>
      </c>
      <c r="I150" s="75">
        <f>IF(F150&gt;'THAM_SO_MOI'!$C$14,'THAM_SO_MOI'!$C$13*(1+F150^2/1500),'THAM_SO_MOI'!$C$13)</f>
        <v>0.015</v>
      </c>
      <c r="J150" s="75">
        <f>'THAM_SO_MOI'!$C$40*('THAM_SO_MOI'!$C$23*(E150/'THAM_SO_MOI'!$C$22)+'THAM_SO_MOI'!$C$24*(E150/'THAM_SO_MOI'!$C$22)^2-'THAM_SO_MOI'!$C$25*(E150/'THAM_SO_MOI'!$C$22)^3)</f>
        <v>40.62212170713266</v>
      </c>
      <c r="K150" s="75">
        <f>'THAM_SO_MOI'!$C$31*J150/E150</f>
        <v>369.61203828444184</v>
      </c>
      <c r="L150" s="75">
        <f>K150*'THAM_SO_MOI'!$C$53*'THAM_SO_MOI'!$C$17/'THAM_SO_MOI'!$C$26</f>
        <v>3241.499022034839</v>
      </c>
      <c r="M150" s="75">
        <f>'THAM_SO_MOI'!$C$15*'THAM_SO_MOI'!$C$16*F150^2</f>
        <v>332.01752714188035</v>
      </c>
      <c r="N150" s="75">
        <f>'THAM_SO_MOI'!$C$12*I150</f>
        <v>1130.112</v>
      </c>
      <c r="O150" s="75">
        <f>M150+N150</f>
        <v>1462.1295271418803</v>
      </c>
      <c r="P150" s="75">
        <f>(MIN(L150,'THAM_SO_MOI'!$C$41)-O150)/('THAM_SO_MOI'!$C$11*H150)</f>
        <v>0.21062612392198848</v>
      </c>
      <c r="Q150" s="75">
        <f>IF(P150&gt;0,1/P150,NA())</f>
        <v>4.747749146114368</v>
      </c>
      <c r="R150" s="75">
        <f>F150-F149</f>
        <v>0.017600427350426884</v>
      </c>
      <c r="S150" s="75">
        <f>0.5*(Q149+Q150)*R150</f>
        <v>0.08357540717700011</v>
      </c>
      <c r="T150" s="75">
        <f>0.5*(F149*Q149+F150*Q150)*R150</f>
        <v>0.8896867927552804</v>
      </c>
      <c r="U150" s="76">
        <f>U149+S150</f>
        <v>12.420671597476375</v>
      </c>
      <c r="V150" s="76">
        <f>V149+T150</f>
        <v>116.40109051631055</v>
      </c>
    </row>
    <row r="151" spans="1:22" ht="19" customHeight="1">
      <c r="A151" s="68" t="s">
        <v>362</v>
      </c>
      <c r="B151" s="74">
        <v>5</v>
      </c>
      <c r="C151" s="68" t="s">
        <v>363</v>
      </c>
      <c r="D151" s="68" t="s">
        <v>364</v>
      </c>
      <c r="E151" s="75">
        <f>60*F151*'THAM_SO_MOI'!$C$53/(2*PI()*'THAM_SO_MOI'!$C$26)</f>
        <v>1051.4452631578945</v>
      </c>
      <c r="F151" s="75">
        <f>'THAM_SO_MOI'!$E$53+('THAM_SO_MOI'!$C$14-'THAM_SO_MOI'!$E$53)*145/'THAM_SO_MOI'!$C$42</f>
        <v>10.671720085470087</v>
      </c>
      <c r="G151" s="75">
        <f>3.6*F151</f>
        <v>38.418192307692316</v>
      </c>
      <c r="H151" s="75">
        <f>'THAM_SO_MOI'!$D$53</f>
        <v>1.1</v>
      </c>
      <c r="I151" s="75">
        <f>IF(F151&gt;'THAM_SO_MOI'!$C$14,'THAM_SO_MOI'!$C$13*(1+F151^2/1500),'THAM_SO_MOI'!$C$13)</f>
        <v>0.015</v>
      </c>
      <c r="J151" s="75">
        <f>'THAM_SO_MOI'!$C$40*('THAM_SO_MOI'!$C$23*(E151/'THAM_SO_MOI'!$C$22)+'THAM_SO_MOI'!$C$24*(E151/'THAM_SO_MOI'!$C$22)^2-'THAM_SO_MOI'!$C$25*(E151/'THAM_SO_MOI'!$C$22)^3)</f>
        <v>40.70989903402377</v>
      </c>
      <c r="K151" s="75">
        <f>'THAM_SO_MOI'!$C$31*J151/E151</f>
        <v>369.7998024128742</v>
      </c>
      <c r="L151" s="75">
        <f>K151*'THAM_SO_MOI'!$C$53*'THAM_SO_MOI'!$C$17/'THAM_SO_MOI'!$C$26</f>
        <v>3243.145714175906</v>
      </c>
      <c r="M151" s="75">
        <f>'THAM_SO_MOI'!$C$15*'THAM_SO_MOI'!$C$16*F151^2</f>
        <v>333.1154080291801</v>
      </c>
      <c r="N151" s="75">
        <f>'THAM_SO_MOI'!$C$12*I151</f>
        <v>1130.112</v>
      </c>
      <c r="O151" s="75">
        <f>M151+N151</f>
        <v>1463.2274080291802</v>
      </c>
      <c r="P151" s="75">
        <f>(MIN(L151,'THAM_SO_MOI'!$C$41)-O151)/('THAM_SO_MOI'!$C$11*H151)</f>
        <v>0.21069108737532263</v>
      </c>
      <c r="Q151" s="75">
        <f>IF(P151&gt;0,1/P151,NA())</f>
        <v>4.746285248500388</v>
      </c>
      <c r="R151" s="75">
        <f>F151-F150</f>
        <v>0.01760042735042866</v>
      </c>
      <c r="S151" s="75">
        <f>0.5*(Q150+Q151)*R151</f>
        <v>0.08354953131244398</v>
      </c>
      <c r="T151" s="75">
        <f>0.5*(F150*Q150+F151*Q151)*R151</f>
        <v>0.8908818443408701</v>
      </c>
      <c r="U151" s="76">
        <f>U150+S151</f>
        <v>12.504221128788819</v>
      </c>
      <c r="V151" s="76">
        <f>V150+T151</f>
        <v>117.29197236065141</v>
      </c>
    </row>
    <row r="152" spans="1:22" ht="19" customHeight="1">
      <c r="A152" s="68" t="s">
        <v>362</v>
      </c>
      <c r="B152" s="74">
        <v>5</v>
      </c>
      <c r="C152" s="68" t="s">
        <v>363</v>
      </c>
      <c r="D152" s="68" t="s">
        <v>364</v>
      </c>
      <c r="E152" s="75">
        <f>60*F152*'THAM_SO_MOI'!$C$53/(2*PI()*'THAM_SO_MOI'!$C$26)</f>
        <v>1053.1793684210525</v>
      </c>
      <c r="F152" s="75">
        <f>'THAM_SO_MOI'!$E$53+('THAM_SO_MOI'!$C$14-'THAM_SO_MOI'!$E$53)*146/'THAM_SO_MOI'!$C$42</f>
        <v>10.689320512820514</v>
      </c>
      <c r="G152" s="75">
        <f>3.6*F152</f>
        <v>38.48155384615385</v>
      </c>
      <c r="H152" s="75">
        <f>'THAM_SO_MOI'!$D$53</f>
        <v>1.1</v>
      </c>
      <c r="I152" s="75">
        <f>IF(F152&gt;'THAM_SO_MOI'!$C$14,'THAM_SO_MOI'!$C$13*(1+F152^2/1500),'THAM_SO_MOI'!$C$13)</f>
        <v>0.015</v>
      </c>
      <c r="J152" s="75">
        <f>'THAM_SO_MOI'!$C$40*('THAM_SO_MOI'!$C$23*(E152/'THAM_SO_MOI'!$C$22)+'THAM_SO_MOI'!$C$24*(E152/'THAM_SO_MOI'!$C$22)^2-'THAM_SO_MOI'!$C$25*(E152/'THAM_SO_MOI'!$C$22)^3)</f>
        <v>40.79771237306466</v>
      </c>
      <c r="K152" s="75">
        <f>'THAM_SO_MOI'!$C$31*J152/E152</f>
        <v>369.98727480568147</v>
      </c>
      <c r="L152" s="75">
        <f>K152*'THAM_SO_MOI'!$C$53*'THAM_SO_MOI'!$C$17/'THAM_SO_MOI'!$C$26</f>
        <v>3244.7898477943995</v>
      </c>
      <c r="M152" s="75">
        <f>'THAM_SO_MOI'!$C$15*'THAM_SO_MOI'!$C$16*F152^2</f>
        <v>334.2151011004808</v>
      </c>
      <c r="N152" s="75">
        <f>'THAM_SO_MOI'!$C$12*I152</f>
        <v>1130.112</v>
      </c>
      <c r="O152" s="75">
        <f>M152+N152</f>
        <v>1464.3271011004808</v>
      </c>
      <c r="P152" s="75">
        <f>(MIN(L152,'THAM_SO_MOI'!$C$41)-O152)/('THAM_SO_MOI'!$C$11*H152)</f>
        <v>0.2107555334628218</v>
      </c>
      <c r="Q152" s="75">
        <f>IF(P152&gt;0,1/P152,NA())</f>
        <v>4.744833901010739</v>
      </c>
      <c r="R152" s="75">
        <f>F152-F151</f>
        <v>0.017600427350426884</v>
      </c>
      <c r="S152" s="75">
        <f>0.5*(Q151+Q152)*R152</f>
        <v>0.08352387653260798</v>
      </c>
      <c r="T152" s="75">
        <f>0.5*(F151*Q151+F152*Q152)*R152</f>
        <v>0.8920783463720177</v>
      </c>
      <c r="U152" s="76">
        <f>U151+S152</f>
        <v>12.587745005321427</v>
      </c>
      <c r="V152" s="76">
        <f>V151+T152</f>
        <v>118.18405070702343</v>
      </c>
    </row>
    <row r="153" spans="1:22" ht="19" customHeight="1">
      <c r="A153" s="68" t="s">
        <v>362</v>
      </c>
      <c r="B153" s="74">
        <v>5</v>
      </c>
      <c r="C153" s="68" t="s">
        <v>363</v>
      </c>
      <c r="D153" s="68" t="s">
        <v>364</v>
      </c>
      <c r="E153" s="75">
        <f>60*F153*'THAM_SO_MOI'!$C$53/(2*PI()*'THAM_SO_MOI'!$C$26)</f>
        <v>1054.9134736842104</v>
      </c>
      <c r="F153" s="75">
        <f>'THAM_SO_MOI'!$E$53+('THAM_SO_MOI'!$C$14-'THAM_SO_MOI'!$E$53)*147/'THAM_SO_MOI'!$C$42</f>
        <v>10.70692094017094</v>
      </c>
      <c r="G153" s="75">
        <f>3.6*F153</f>
        <v>38.544915384615386</v>
      </c>
      <c r="H153" s="75">
        <f>'THAM_SO_MOI'!$D$53</f>
        <v>1.1</v>
      </c>
      <c r="I153" s="75">
        <f>IF(F153&gt;'THAM_SO_MOI'!$C$14,'THAM_SO_MOI'!$C$13*(1+F153^2/1500),'THAM_SO_MOI'!$C$13)</f>
        <v>0.015</v>
      </c>
      <c r="J153" s="75">
        <f>'THAM_SO_MOI'!$C$40*('THAM_SO_MOI'!$C$23*(E153/'THAM_SO_MOI'!$C$22)+'THAM_SO_MOI'!$C$24*(E153/'THAM_SO_MOI'!$C$22)^2-'THAM_SO_MOI'!$C$25*(E153/'THAM_SO_MOI'!$C$22)^3)</f>
        <v>40.88556156535207</v>
      </c>
      <c r="K153" s="75">
        <f>'THAM_SO_MOI'!$C$31*J153/E153</f>
        <v>370.1744554628638</v>
      </c>
      <c r="L153" s="75">
        <f>K153*'THAM_SO_MOI'!$C$53*'THAM_SO_MOI'!$C$17/'THAM_SO_MOI'!$C$26</f>
        <v>3246.4314228903204</v>
      </c>
      <c r="M153" s="75">
        <f>'THAM_SO_MOI'!$C$15*'THAM_SO_MOI'!$C$16*F153^2</f>
        <v>335.31660635578265</v>
      </c>
      <c r="N153" s="75">
        <f>'THAM_SO_MOI'!$C$12*I153</f>
        <v>1130.112</v>
      </c>
      <c r="O153" s="75">
        <f>M153+N153</f>
        <v>1465.4286063557827</v>
      </c>
      <c r="P153" s="75">
        <f>(MIN(L153,'THAM_SO_MOI'!$C$41)-O153)/('THAM_SO_MOI'!$C$11*H153)</f>
        <v>0.21081946218448597</v>
      </c>
      <c r="Q153" s="75">
        <f>IF(P153&gt;0,1/P153,NA())</f>
        <v>4.74339508145083</v>
      </c>
      <c r="R153" s="75">
        <f>F153-F152</f>
        <v>0.017600427350426884</v>
      </c>
      <c r="S153" s="75">
        <f>0.5*(Q152+Q153)*R153</f>
        <v>0.08349844244501481</v>
      </c>
      <c r="T153" s="75">
        <f>0.5*(F152*Q152+F153*Q153)*R153</f>
        <v>0.8932763063235258</v>
      </c>
      <c r="U153" s="76">
        <f>U152+S153</f>
        <v>12.671243447766441</v>
      </c>
      <c r="V153" s="76">
        <f>V152+T153</f>
        <v>119.07732701334696</v>
      </c>
    </row>
    <row r="154" spans="1:22" ht="19" customHeight="1">
      <c r="A154" s="68" t="s">
        <v>362</v>
      </c>
      <c r="B154" s="74">
        <v>5</v>
      </c>
      <c r="C154" s="68" t="s">
        <v>363</v>
      </c>
      <c r="D154" s="68" t="s">
        <v>364</v>
      </c>
      <c r="E154" s="75">
        <f>60*F154*'THAM_SO_MOI'!$C$53/(2*PI()*'THAM_SO_MOI'!$C$26)</f>
        <v>1056.6475789473684</v>
      </c>
      <c r="F154" s="75">
        <f>'THAM_SO_MOI'!$E$53+('THAM_SO_MOI'!$C$14-'THAM_SO_MOI'!$E$53)*148/'THAM_SO_MOI'!$C$42</f>
        <v>10.724521367521369</v>
      </c>
      <c r="G154" s="75">
        <f>3.6*F154</f>
        <v>38.60827692307693</v>
      </c>
      <c r="H154" s="75">
        <f>'THAM_SO_MOI'!$D$53</f>
        <v>1.1</v>
      </c>
      <c r="I154" s="75">
        <f>IF(F154&gt;'THAM_SO_MOI'!$C$14,'THAM_SO_MOI'!$C$13*(1+F154^2/1500),'THAM_SO_MOI'!$C$13)</f>
        <v>0.015</v>
      </c>
      <c r="J154" s="75">
        <f>'THAM_SO_MOI'!$C$40*('THAM_SO_MOI'!$C$23*(E154/'THAM_SO_MOI'!$C$22)+'THAM_SO_MOI'!$C$24*(E154/'THAM_SO_MOI'!$C$22)^2-'THAM_SO_MOI'!$C$25*(E154/'THAM_SO_MOI'!$C$22)^3)</f>
        <v>40.9734464519827</v>
      </c>
      <c r="K154" s="75">
        <f>'THAM_SO_MOI'!$C$31*J154/E154</f>
        <v>370.361344384421</v>
      </c>
      <c r="L154" s="75">
        <f>K154*'THAM_SO_MOI'!$C$53*'THAM_SO_MOI'!$C$17/'THAM_SO_MOI'!$C$26</f>
        <v>3248.0704394636673</v>
      </c>
      <c r="M154" s="75">
        <f>'THAM_SO_MOI'!$C$15*'THAM_SO_MOI'!$C$16*F154^2</f>
        <v>336.4199237950856</v>
      </c>
      <c r="N154" s="75">
        <f>'THAM_SO_MOI'!$C$12*I154</f>
        <v>1130.112</v>
      </c>
      <c r="O154" s="75">
        <f>M154+N154</f>
        <v>1466.5319237950857</v>
      </c>
      <c r="P154" s="75">
        <f>(MIN(L154,'THAM_SO_MOI'!$C$41)-O154)/('THAM_SO_MOI'!$C$11*H154)</f>
        <v>0.21088287354031504</v>
      </c>
      <c r="Q154" s="75">
        <f>IF(P154&gt;0,1/P154,NA())</f>
        <v>4.741968767837505</v>
      </c>
      <c r="R154" s="75">
        <f>F154-F153</f>
        <v>0.01760042735042866</v>
      </c>
      <c r="S154" s="75">
        <f>0.5*(Q153+Q154)*R154</f>
        <v>0.08347322866089082</v>
      </c>
      <c r="T154" s="75">
        <f>0.5*(F153*Q153+F154*Q154)*R154</f>
        <v>0.8944757316822549</v>
      </c>
      <c r="U154" s="76">
        <f>U153+S154</f>
        <v>12.754716676427332</v>
      </c>
      <c r="V154" s="76">
        <f>V153+T154</f>
        <v>119.97180274502921</v>
      </c>
    </row>
    <row r="155" spans="1:22" ht="19" customHeight="1">
      <c r="A155" s="68" t="s">
        <v>362</v>
      </c>
      <c r="B155" s="74">
        <v>5</v>
      </c>
      <c r="C155" s="68" t="s">
        <v>363</v>
      </c>
      <c r="D155" s="68" t="s">
        <v>364</v>
      </c>
      <c r="E155" s="75">
        <f>60*F155*'THAM_SO_MOI'!$C$53/(2*PI()*'THAM_SO_MOI'!$C$26)</f>
        <v>1058.3816842105264</v>
      </c>
      <c r="F155" s="75">
        <f>'THAM_SO_MOI'!$E$53+('THAM_SO_MOI'!$C$14-'THAM_SO_MOI'!$E$53)*149/'THAM_SO_MOI'!$C$42</f>
        <v>10.742121794871796</v>
      </c>
      <c r="G155" s="75">
        <f>3.6*F155</f>
        <v>38.671638461538464</v>
      </c>
      <c r="H155" s="75">
        <f>'THAM_SO_MOI'!$D$53</f>
        <v>1.1</v>
      </c>
      <c r="I155" s="75">
        <f>IF(F155&gt;'THAM_SO_MOI'!$C$14,'THAM_SO_MOI'!$C$13*(1+F155^2/1500),'THAM_SO_MOI'!$C$13)</f>
        <v>0.015</v>
      </c>
      <c r="J155" s="75">
        <f>'THAM_SO_MOI'!$C$40*('THAM_SO_MOI'!$C$23*(E155/'THAM_SO_MOI'!$C$22)+'THAM_SO_MOI'!$C$24*(E155/'THAM_SO_MOI'!$C$22)^2-'THAM_SO_MOI'!$C$25*(E155/'THAM_SO_MOI'!$C$22)^3)</f>
        <v>41.06136687405329</v>
      </c>
      <c r="K155" s="75">
        <f>'THAM_SO_MOI'!$C$31*J155/E155</f>
        <v>370.54794157035326</v>
      </c>
      <c r="L155" s="75">
        <f>K155*'THAM_SO_MOI'!$C$53*'THAM_SO_MOI'!$C$17/'THAM_SO_MOI'!$C$26</f>
        <v>3249.7068975144425</v>
      </c>
      <c r="M155" s="75">
        <f>'THAM_SO_MOI'!$C$15*'THAM_SO_MOI'!$C$16*F155^2</f>
        <v>337.5250534183895</v>
      </c>
      <c r="N155" s="75">
        <f>'THAM_SO_MOI'!$C$12*I155</f>
        <v>1130.112</v>
      </c>
      <c r="O155" s="75">
        <f>M155+N155</f>
        <v>1467.6370534183895</v>
      </c>
      <c r="P155" s="75">
        <f>(MIN(L155,'THAM_SO_MOI'!$C$41)-O155)/('THAM_SO_MOI'!$C$11*H155)</f>
        <v>0.21094576753030927</v>
      </c>
      <c r="Q155" s="75">
        <f>IF(P155&gt;0,1/P155,NA())</f>
        <v>4.74055493839817</v>
      </c>
      <c r="R155" s="75">
        <f>F155-F154</f>
        <v>0.017600427350426884</v>
      </c>
      <c r="S155" s="75">
        <f>0.5*(Q154+Q155)*R155</f>
        <v>0.08344823479515083</v>
      </c>
      <c r="T155" s="75">
        <f>0.5*(F154*Q154+F155*Q155)*R155</f>
        <v>0.8956766299472833</v>
      </c>
      <c r="U155" s="76">
        <f>U154+S155</f>
        <v>12.838164911222483</v>
      </c>
      <c r="V155" s="76">
        <f>V154+T155</f>
        <v>120.8674793749765</v>
      </c>
    </row>
    <row r="156" spans="1:22" ht="19" customHeight="1">
      <c r="A156" s="68" t="s">
        <v>362</v>
      </c>
      <c r="B156" s="74">
        <v>5</v>
      </c>
      <c r="C156" s="68" t="s">
        <v>363</v>
      </c>
      <c r="D156" s="68" t="s">
        <v>364</v>
      </c>
      <c r="E156" s="75">
        <f>60*F156*'THAM_SO_MOI'!$C$53/(2*PI()*'THAM_SO_MOI'!$C$26)</f>
        <v>1060.1157894736841</v>
      </c>
      <c r="F156" s="75">
        <f>'THAM_SO_MOI'!$E$53+('THAM_SO_MOI'!$C$14-'THAM_SO_MOI'!$E$53)*150/'THAM_SO_MOI'!$C$42</f>
        <v>10.759722222222223</v>
      </c>
      <c r="G156" s="75">
        <f>3.6*F156</f>
        <v>38.73500000000001</v>
      </c>
      <c r="H156" s="75">
        <f>'THAM_SO_MOI'!$D$53</f>
        <v>1.1</v>
      </c>
      <c r="I156" s="75">
        <f>IF(F156&gt;'THAM_SO_MOI'!$C$14,'THAM_SO_MOI'!$C$13*(1+F156^2/1500),'THAM_SO_MOI'!$C$13)</f>
        <v>0.015</v>
      </c>
      <c r="J156" s="75">
        <f>'THAM_SO_MOI'!$C$40*('THAM_SO_MOI'!$C$23*(E156/'THAM_SO_MOI'!$C$22)+'THAM_SO_MOI'!$C$24*(E156/'THAM_SO_MOI'!$C$22)^2-'THAM_SO_MOI'!$C$25*(E156/'THAM_SO_MOI'!$C$22)^3)</f>
        <v>41.14932267266054</v>
      </c>
      <c r="K156" s="75">
        <f>'THAM_SO_MOI'!$C$31*J156/E156</f>
        <v>370.73424702066035</v>
      </c>
      <c r="L156" s="75">
        <f>K156*'THAM_SO_MOI'!$C$53*'THAM_SO_MOI'!$C$17/'THAM_SO_MOI'!$C$26</f>
        <v>3251.3407970426433</v>
      </c>
      <c r="M156" s="75">
        <f>'THAM_SO_MOI'!$C$15*'THAM_SO_MOI'!$C$16*F156^2</f>
        <v>338.6319952256945</v>
      </c>
      <c r="N156" s="75">
        <f>'THAM_SO_MOI'!$C$12*I156</f>
        <v>1130.112</v>
      </c>
      <c r="O156" s="75">
        <f>M156+N156</f>
        <v>1468.7439952256946</v>
      </c>
      <c r="P156" s="75">
        <f>(MIN(L156,'THAM_SO_MOI'!$C$41)-O156)/('THAM_SO_MOI'!$C$11*H156)</f>
        <v>0.21100814415446836</v>
      </c>
      <c r="Q156" s="75">
        <f>IF(P156&gt;0,1/P156,NA())</f>
        <v>4.739153571569971</v>
      </c>
      <c r="R156" s="75">
        <f>F156-F155</f>
        <v>0.017600427350426884</v>
      </c>
      <c r="S156" s="75">
        <f>0.5*(Q155+Q156)*R156</f>
        <v>0.08342346046645888</v>
      </c>
      <c r="T156" s="75">
        <f>0.5*(F155*Q155+F156*Q156)*R156</f>
        <v>0.8968790086308868</v>
      </c>
      <c r="U156" s="76">
        <f>U155+S156</f>
        <v>12.921588371688943</v>
      </c>
      <c r="V156" s="76">
        <f>V155+T156</f>
        <v>121.76435838360739</v>
      </c>
    </row>
    <row r="157" spans="1:22" ht="19" customHeight="1">
      <c r="A157" s="68" t="s">
        <v>362</v>
      </c>
      <c r="B157" s="74">
        <v>5</v>
      </c>
      <c r="C157" s="68" t="s">
        <v>363</v>
      </c>
      <c r="D157" s="68" t="s">
        <v>364</v>
      </c>
      <c r="E157" s="75">
        <f>60*F157*'THAM_SO_MOI'!$C$53/(2*PI()*'THAM_SO_MOI'!$C$26)</f>
        <v>1061.8498947368419</v>
      </c>
      <c r="F157" s="75">
        <f>'THAM_SO_MOI'!$E$53+('THAM_SO_MOI'!$C$14-'THAM_SO_MOI'!$E$53)*151/'THAM_SO_MOI'!$C$42</f>
        <v>10.77732264957265</v>
      </c>
      <c r="G157" s="75">
        <f>3.6*F157</f>
        <v>38.79836153846154</v>
      </c>
      <c r="H157" s="75">
        <f>'THAM_SO_MOI'!$D$53</f>
        <v>1.1</v>
      </c>
      <c r="I157" s="75">
        <f>IF(F157&gt;'THAM_SO_MOI'!$C$14,'THAM_SO_MOI'!$C$13*(1+F157^2/1500),'THAM_SO_MOI'!$C$13)</f>
        <v>0.015</v>
      </c>
      <c r="J157" s="75">
        <f>'THAM_SO_MOI'!$C$40*('THAM_SO_MOI'!$C$23*(E157/'THAM_SO_MOI'!$C$22)+'THAM_SO_MOI'!$C$24*(E157/'THAM_SO_MOI'!$C$22)^2-'THAM_SO_MOI'!$C$25*(E157/'THAM_SO_MOI'!$C$22)^3)</f>
        <v>41.23731368890119</v>
      </c>
      <c r="K157" s="75">
        <f>'THAM_SO_MOI'!$C$31*J157/E157</f>
        <v>370.92026073534254</v>
      </c>
      <c r="L157" s="75">
        <f>K157*'THAM_SO_MOI'!$C$53*'THAM_SO_MOI'!$C$17/'THAM_SO_MOI'!$C$26</f>
        <v>3252.9721380482715</v>
      </c>
      <c r="M157" s="75">
        <f>'THAM_SO_MOI'!$C$15*'THAM_SO_MOI'!$C$16*F157^2</f>
        <v>339.74074921700054</v>
      </c>
      <c r="N157" s="75">
        <f>'THAM_SO_MOI'!$C$12*I157</f>
        <v>1130.112</v>
      </c>
      <c r="O157" s="75">
        <f>M157+N157</f>
        <v>1469.8527492170006</v>
      </c>
      <c r="P157" s="75">
        <f>(MIN(L157,'THAM_SO_MOI'!$C$41)-O157)/('THAM_SO_MOI'!$C$11*H157)</f>
        <v>0.2110700034127925</v>
      </c>
      <c r="Q157" s="75">
        <f>IF(P157&gt;0,1/P157,NA())</f>
        <v>4.737764645998921</v>
      </c>
      <c r="R157" s="75">
        <f>F157-F156</f>
        <v>0.017600427350426884</v>
      </c>
      <c r="S157" s="75">
        <f>0.5*(Q156+Q157)*R157</f>
        <v>0.08339890529712916</v>
      </c>
      <c r="T157" s="75">
        <f>0.5*(F156*Q156+F157*Q157)*R157</f>
        <v>0.8980828752578013</v>
      </c>
      <c r="U157" s="76">
        <f>U156+S157</f>
        <v>13.004987276986071</v>
      </c>
      <c r="V157" s="76">
        <f>V156+T157</f>
        <v>122.66244125886519</v>
      </c>
    </row>
    <row r="158" spans="1:22" ht="19" customHeight="1">
      <c r="A158" s="68" t="s">
        <v>362</v>
      </c>
      <c r="B158" s="74">
        <v>5</v>
      </c>
      <c r="C158" s="68" t="s">
        <v>363</v>
      </c>
      <c r="D158" s="68" t="s">
        <v>364</v>
      </c>
      <c r="E158" s="75">
        <f>60*F158*'THAM_SO_MOI'!$C$53/(2*PI()*'THAM_SO_MOI'!$C$26)</f>
        <v>1063.5839999999998</v>
      </c>
      <c r="F158" s="75">
        <f>'THAM_SO_MOI'!$E$53+('THAM_SO_MOI'!$C$14-'THAM_SO_MOI'!$E$53)*152/'THAM_SO_MOI'!$C$42</f>
        <v>10.794923076923078</v>
      </c>
      <c r="G158" s="75">
        <f>3.6*F158</f>
        <v>38.861723076923084</v>
      </c>
      <c r="H158" s="75">
        <f>'THAM_SO_MOI'!$D$53</f>
        <v>1.1</v>
      </c>
      <c r="I158" s="75">
        <f>IF(F158&gt;'THAM_SO_MOI'!$C$14,'THAM_SO_MOI'!$C$13*(1+F158^2/1500),'THAM_SO_MOI'!$C$13)</f>
        <v>0.015</v>
      </c>
      <c r="J158" s="75">
        <f>'THAM_SO_MOI'!$C$40*('THAM_SO_MOI'!$C$23*(E158/'THAM_SO_MOI'!$C$22)+'THAM_SO_MOI'!$C$24*(E158/'THAM_SO_MOI'!$C$22)^2-'THAM_SO_MOI'!$C$25*(E158/'THAM_SO_MOI'!$C$22)^3)</f>
        <v>41.32533976387196</v>
      </c>
      <c r="K158" s="75">
        <f>'THAM_SO_MOI'!$C$31*J158/E158</f>
        <v>371.10598271439966</v>
      </c>
      <c r="L158" s="75">
        <f>K158*'THAM_SO_MOI'!$C$53*'THAM_SO_MOI'!$C$17/'THAM_SO_MOI'!$C$26</f>
        <v>3254.6009205313267</v>
      </c>
      <c r="M158" s="75">
        <f>'THAM_SO_MOI'!$C$15*'THAM_SO_MOI'!$C$16*F158^2</f>
        <v>340.8513153923078</v>
      </c>
      <c r="N158" s="75">
        <f>'THAM_SO_MOI'!$C$12*I158</f>
        <v>1130.112</v>
      </c>
      <c r="O158" s="75">
        <f>M158+N158</f>
        <v>1470.9633153923078</v>
      </c>
      <c r="P158" s="75">
        <f>(MIN(L158,'THAM_SO_MOI'!$C$41)-O158)/('THAM_SO_MOI'!$C$11*H158)</f>
        <v>0.2111313453052816</v>
      </c>
      <c r="Q158" s="75">
        <f>IF(P158&gt;0,1/P158,NA())</f>
        <v>4.736388140539093</v>
      </c>
      <c r="R158" s="75">
        <f>F158-F157</f>
        <v>0.01760042735042866</v>
      </c>
      <c r="S158" s="75">
        <f>0.5*(Q157+Q158)*R158</f>
        <v>0.08337456891316178</v>
      </c>
      <c r="T158" s="75">
        <f>0.5*(F157*Q157+F158*Q158)*R158</f>
        <v>0.8992882373659294</v>
      </c>
      <c r="U158" s="76">
        <f>U157+S158</f>
        <v>13.088361845899232</v>
      </c>
      <c r="V158" s="76">
        <f>V157+T158</f>
        <v>123.56172949623111</v>
      </c>
    </row>
    <row r="159" spans="1:22" ht="19" customHeight="1">
      <c r="A159" s="68" t="s">
        <v>362</v>
      </c>
      <c r="B159" s="74">
        <v>5</v>
      </c>
      <c r="C159" s="68" t="s">
        <v>363</v>
      </c>
      <c r="D159" s="68" t="s">
        <v>364</v>
      </c>
      <c r="E159" s="75">
        <f>60*F159*'THAM_SO_MOI'!$C$53/(2*PI()*'THAM_SO_MOI'!$C$26)</f>
        <v>1065.3181052631576</v>
      </c>
      <c r="F159" s="75">
        <f>'THAM_SO_MOI'!$E$53+('THAM_SO_MOI'!$C$14-'THAM_SO_MOI'!$E$53)*153/'THAM_SO_MOI'!$C$42</f>
        <v>10.812523504273505</v>
      </c>
      <c r="G159" s="75">
        <f>3.6*F159</f>
        <v>38.92508461538462</v>
      </c>
      <c r="H159" s="75">
        <f>'THAM_SO_MOI'!$D$53</f>
        <v>1.1</v>
      </c>
      <c r="I159" s="75">
        <f>IF(F159&gt;'THAM_SO_MOI'!$C$14,'THAM_SO_MOI'!$C$13*(1+F159^2/1500),'THAM_SO_MOI'!$C$13)</f>
        <v>0.015</v>
      </c>
      <c r="J159" s="75">
        <f>'THAM_SO_MOI'!$C$40*('THAM_SO_MOI'!$C$23*(E159/'THAM_SO_MOI'!$C$22)+'THAM_SO_MOI'!$C$24*(E159/'THAM_SO_MOI'!$C$22)^2-'THAM_SO_MOI'!$C$25*(E159/'THAM_SO_MOI'!$C$22)^3)</f>
        <v>41.41340073866955</v>
      </c>
      <c r="K159" s="75">
        <f>'THAM_SO_MOI'!$C$31*J159/E159</f>
        <v>371.29141295783165</v>
      </c>
      <c r="L159" s="75">
        <f>K159*'THAM_SO_MOI'!$C$53*'THAM_SO_MOI'!$C$17/'THAM_SO_MOI'!$C$26</f>
        <v>3256.2271444918083</v>
      </c>
      <c r="M159" s="75">
        <f>'THAM_SO_MOI'!$C$15*'THAM_SO_MOI'!$C$16*F159^2</f>
        <v>341.963693751616</v>
      </c>
      <c r="N159" s="75">
        <f>'THAM_SO_MOI'!$C$12*I159</f>
        <v>1130.112</v>
      </c>
      <c r="O159" s="75">
        <f>M159+N159</f>
        <v>1472.0756937516162</v>
      </c>
      <c r="P159" s="75">
        <f>(MIN(L159,'THAM_SO_MOI'!$C$41)-O159)/('THAM_SO_MOI'!$C$11*H159)</f>
        <v>0.21119216983193562</v>
      </c>
      <c r="Q159" s="75">
        <f>IF(P159&gt;0,1/P159,NA())</f>
        <v>4.7350240342517855</v>
      </c>
      <c r="R159" s="75">
        <f>F159-F158</f>
        <v>0.017600427350426884</v>
      </c>
      <c r="S159" s="75">
        <f>0.5*(Q158+Q159)*R159</f>
        <v>0.08335045094417777</v>
      </c>
      <c r="T159" s="75">
        <f>0.5*(F158*Q158+F159*Q159)*R159</f>
        <v>0.9004951025059629</v>
      </c>
      <c r="U159" s="76">
        <f>U158+S159</f>
        <v>13.17171229684341</v>
      </c>
      <c r="V159" s="76">
        <f>V158+T159</f>
        <v>124.46222459873707</v>
      </c>
    </row>
    <row r="160" spans="1:22" ht="19" customHeight="1">
      <c r="A160" s="68" t="s">
        <v>362</v>
      </c>
      <c r="B160" s="74">
        <v>5</v>
      </c>
      <c r="C160" s="68" t="s">
        <v>363</v>
      </c>
      <c r="D160" s="68" t="s">
        <v>364</v>
      </c>
      <c r="E160" s="75">
        <f>60*F160*'THAM_SO_MOI'!$C$53/(2*PI()*'THAM_SO_MOI'!$C$26)</f>
        <v>1067.0522105263155</v>
      </c>
      <c r="F160" s="75">
        <f>'THAM_SO_MOI'!$E$53+('THAM_SO_MOI'!$C$14-'THAM_SO_MOI'!$E$53)*154/'THAM_SO_MOI'!$C$42</f>
        <v>10.830123931623932</v>
      </c>
      <c r="G160" s="75">
        <f>3.6*F160</f>
        <v>38.988446153846155</v>
      </c>
      <c r="H160" s="75">
        <f>'THAM_SO_MOI'!$D$53</f>
        <v>1.1</v>
      </c>
      <c r="I160" s="75">
        <f>IF(F160&gt;'THAM_SO_MOI'!$C$14,'THAM_SO_MOI'!$C$13*(1+F160^2/1500),'THAM_SO_MOI'!$C$13)</f>
        <v>0.015</v>
      </c>
      <c r="J160" s="75">
        <f>'THAM_SO_MOI'!$C$40*('THAM_SO_MOI'!$C$23*(E160/'THAM_SO_MOI'!$C$22)+'THAM_SO_MOI'!$C$24*(E160/'THAM_SO_MOI'!$C$22)^2-'THAM_SO_MOI'!$C$25*(E160/'THAM_SO_MOI'!$C$22)^3)</f>
        <v>41.50149645439072</v>
      </c>
      <c r="K160" s="75">
        <f>'THAM_SO_MOI'!$C$31*J160/E160</f>
        <v>371.4765514656387</v>
      </c>
      <c r="L160" s="75">
        <f>K160*'THAM_SO_MOI'!$C$53*'THAM_SO_MOI'!$C$17/'THAM_SO_MOI'!$C$26</f>
        <v>3257.8508099297173</v>
      </c>
      <c r="M160" s="75">
        <f>'THAM_SO_MOI'!$C$15*'THAM_SO_MOI'!$C$16*F160^2</f>
        <v>343.0778842949253</v>
      </c>
      <c r="N160" s="75">
        <f>'THAM_SO_MOI'!$C$12*I160</f>
        <v>1130.112</v>
      </c>
      <c r="O160" s="75">
        <f>M160+N160</f>
        <v>1473.1898842949254</v>
      </c>
      <c r="P160" s="75">
        <f>(MIN(L160,'THAM_SO_MOI'!$C$41)-O160)/('THAM_SO_MOI'!$C$11*H160)</f>
        <v>0.21125247699275473</v>
      </c>
      <c r="Q160" s="75">
        <f>IF(P160&gt;0,1/P160,NA())</f>
        <v>4.733672306404704</v>
      </c>
      <c r="R160" s="75">
        <f>F160-F159</f>
        <v>0.017600427350426884</v>
      </c>
      <c r="S160" s="75">
        <f>0.5*(Q159+Q160)*R160</f>
        <v>0.08332655102348871</v>
      </c>
      <c r="T160" s="75">
        <f>0.5*(F159*Q159+F160*Q160)*R160</f>
        <v>0.9017034782424546</v>
      </c>
      <c r="U160" s="76">
        <f>U159+S160</f>
        <v>13.2550388478669</v>
      </c>
      <c r="V160" s="76">
        <f>V159+T160</f>
        <v>125.36392807697952</v>
      </c>
    </row>
    <row r="161" spans="1:22" ht="19" customHeight="1">
      <c r="A161" s="68" t="s">
        <v>362</v>
      </c>
      <c r="B161" s="74">
        <v>5</v>
      </c>
      <c r="C161" s="68" t="s">
        <v>363</v>
      </c>
      <c r="D161" s="68" t="s">
        <v>364</v>
      </c>
      <c r="E161" s="75">
        <f>60*F161*'THAM_SO_MOI'!$C$53/(2*PI()*'THAM_SO_MOI'!$C$26)</f>
        <v>1068.7863157894737</v>
      </c>
      <c r="F161" s="75">
        <f>'THAM_SO_MOI'!$E$53+('THAM_SO_MOI'!$C$14-'THAM_SO_MOI'!$E$53)*155/'THAM_SO_MOI'!$C$42</f>
        <v>10.84772435897436</v>
      </c>
      <c r="G161" s="75">
        <f>3.6*F161</f>
        <v>39.0518076923077</v>
      </c>
      <c r="H161" s="75">
        <f>'THAM_SO_MOI'!$D$53</f>
        <v>1.1</v>
      </c>
      <c r="I161" s="75">
        <f>IF(F161&gt;'THAM_SO_MOI'!$C$14,'THAM_SO_MOI'!$C$13*(1+F161^2/1500),'THAM_SO_MOI'!$C$13)</f>
        <v>0.015</v>
      </c>
      <c r="J161" s="75">
        <f>'THAM_SO_MOI'!$C$40*('THAM_SO_MOI'!$C$23*(E161/'THAM_SO_MOI'!$C$22)+'THAM_SO_MOI'!$C$24*(E161/'THAM_SO_MOI'!$C$22)^2-'THAM_SO_MOI'!$C$25*(E161/'THAM_SO_MOI'!$C$22)^3)</f>
        <v>41.58962675213217</v>
      </c>
      <c r="K161" s="75">
        <f>'THAM_SO_MOI'!$C$31*J161/E161</f>
        <v>371.66139823782066</v>
      </c>
      <c r="L161" s="75">
        <f>K161*'THAM_SO_MOI'!$C$53*'THAM_SO_MOI'!$C$17/'THAM_SO_MOI'!$C$26</f>
        <v>3259.471916845053</v>
      </c>
      <c r="M161" s="75">
        <f>'THAM_SO_MOI'!$C$15*'THAM_SO_MOI'!$C$16*F161^2</f>
        <v>344.19388702223574</v>
      </c>
      <c r="N161" s="75">
        <f>'THAM_SO_MOI'!$C$12*I161</f>
        <v>1130.112</v>
      </c>
      <c r="O161" s="75">
        <f>M161+N161</f>
        <v>1474.3058870222358</v>
      </c>
      <c r="P161" s="75">
        <f>(MIN(L161,'THAM_SO_MOI'!$C$41)-O161)/('THAM_SO_MOI'!$C$11*H161)</f>
        <v>0.21131226678773876</v>
      </c>
      <c r="Q161" s="75">
        <f>IF(P161&gt;0,1/P161,NA())</f>
        <v>4.732332936471175</v>
      </c>
      <c r="R161" s="75">
        <f>F161-F160</f>
        <v>0.01760042735042866</v>
      </c>
      <c r="S161" s="75">
        <f>0.5*(Q160+Q161)*R161</f>
        <v>0.08330286878800686</v>
      </c>
      <c r="T161" s="75">
        <f>0.5*(F160*Q160+F161*Q161)*R161</f>
        <v>0.9029133721531695</v>
      </c>
      <c r="U161" s="76">
        <f>U160+S161</f>
        <v>13.338341716654906</v>
      </c>
      <c r="V161" s="76">
        <f>V160+T161</f>
        <v>126.26684144913268</v>
      </c>
    </row>
    <row r="162" spans="1:22" ht="19" customHeight="1">
      <c r="A162" s="68" t="s">
        <v>362</v>
      </c>
      <c r="B162" s="74">
        <v>5</v>
      </c>
      <c r="C162" s="68" t="s">
        <v>363</v>
      </c>
      <c r="D162" s="68" t="s">
        <v>364</v>
      </c>
      <c r="E162" s="75">
        <f>60*F162*'THAM_SO_MOI'!$C$53/(2*PI()*'THAM_SO_MOI'!$C$26)</f>
        <v>1070.5204210526315</v>
      </c>
      <c r="F162" s="75">
        <f>'THAM_SO_MOI'!$E$53+('THAM_SO_MOI'!$C$14-'THAM_SO_MOI'!$E$53)*156/'THAM_SO_MOI'!$C$42</f>
        <v>10.865324786324788</v>
      </c>
      <c r="G162" s="75">
        <f>3.6*F162</f>
        <v>39.11516923076924</v>
      </c>
      <c r="H162" s="75">
        <f>'THAM_SO_MOI'!$D$53</f>
        <v>1.1</v>
      </c>
      <c r="I162" s="75">
        <f>IF(F162&gt;'THAM_SO_MOI'!$C$14,'THAM_SO_MOI'!$C$13*(1+F162^2/1500),'THAM_SO_MOI'!$C$13)</f>
        <v>0.015</v>
      </c>
      <c r="J162" s="75">
        <f>'THAM_SO_MOI'!$C$40*('THAM_SO_MOI'!$C$23*(E162/'THAM_SO_MOI'!$C$22)+'THAM_SO_MOI'!$C$24*(E162/'THAM_SO_MOI'!$C$22)^2-'THAM_SO_MOI'!$C$25*(E162/'THAM_SO_MOI'!$C$22)^3)</f>
        <v>41.677791472990606</v>
      </c>
      <c r="K162" s="75">
        <f>'THAM_SO_MOI'!$C$31*J162/E162</f>
        <v>371.8459532743777</v>
      </c>
      <c r="L162" s="75">
        <f>K162*'THAM_SO_MOI'!$C$53*'THAM_SO_MOI'!$C$17/'THAM_SO_MOI'!$C$26</f>
        <v>3261.0904652378154</v>
      </c>
      <c r="M162" s="75">
        <f>'THAM_SO_MOI'!$C$15*'THAM_SO_MOI'!$C$16*F162^2</f>
        <v>345.31170193354717</v>
      </c>
      <c r="N162" s="75">
        <f>'THAM_SO_MOI'!$C$12*I162</f>
        <v>1130.112</v>
      </c>
      <c r="O162" s="75">
        <f>M162+N162</f>
        <v>1475.4237019335474</v>
      </c>
      <c r="P162" s="75">
        <f>(MIN(L162,'THAM_SO_MOI'!$C$41)-O162)/('THAM_SO_MOI'!$C$11*H162)</f>
        <v>0.21137153921688778</v>
      </c>
      <c r="Q162" s="75">
        <f>IF(P162&gt;0,1/P162,NA())</f>
        <v>4.731005904129328</v>
      </c>
      <c r="R162" s="75">
        <f>F162-F161</f>
        <v>0.017600427350426884</v>
      </c>
      <c r="S162" s="75">
        <f>0.5*(Q161+Q162)*R162</f>
        <v>0.08327940387823107</v>
      </c>
      <c r="T162" s="75">
        <f>0.5*(F161*Q161+F162*Q162)*R162</f>
        <v>0.9041247918292487</v>
      </c>
      <c r="U162" s="76">
        <f>U161+S162</f>
        <v>13.421621120533137</v>
      </c>
      <c r="V162" s="76">
        <f>V161+T162</f>
        <v>127.17096624096193</v>
      </c>
    </row>
    <row r="163" spans="1:22" ht="19" customHeight="1">
      <c r="A163" s="68" t="s">
        <v>362</v>
      </c>
      <c r="B163" s="74">
        <v>5</v>
      </c>
      <c r="C163" s="68" t="s">
        <v>363</v>
      </c>
      <c r="D163" s="68" t="s">
        <v>364</v>
      </c>
      <c r="E163" s="75">
        <f>60*F163*'THAM_SO_MOI'!$C$53/(2*PI()*'THAM_SO_MOI'!$C$26)</f>
        <v>1072.2545263157895</v>
      </c>
      <c r="F163" s="75">
        <f>'THAM_SO_MOI'!$E$53+('THAM_SO_MOI'!$C$14-'THAM_SO_MOI'!$E$53)*157/'THAM_SO_MOI'!$C$42</f>
        <v>10.882925213675215</v>
      </c>
      <c r="G163" s="75">
        <f>3.6*F163</f>
        <v>39.178530769230775</v>
      </c>
      <c r="H163" s="75">
        <f>'THAM_SO_MOI'!$D$53</f>
        <v>1.1</v>
      </c>
      <c r="I163" s="75">
        <f>IF(F163&gt;'THAM_SO_MOI'!$C$14,'THAM_SO_MOI'!$C$13*(1+F163^2/1500),'THAM_SO_MOI'!$C$13)</f>
        <v>0.015</v>
      </c>
      <c r="J163" s="75">
        <f>'THAM_SO_MOI'!$C$40*('THAM_SO_MOI'!$C$23*(E163/'THAM_SO_MOI'!$C$22)+'THAM_SO_MOI'!$C$24*(E163/'THAM_SO_MOI'!$C$22)^2-'THAM_SO_MOI'!$C$25*(E163/'THAM_SO_MOI'!$C$22)^3)</f>
        <v>41.765990458062774</v>
      </c>
      <c r="K163" s="75">
        <f>'THAM_SO_MOI'!$C$31*J163/E163</f>
        <v>372.0302165753096</v>
      </c>
      <c r="L163" s="75">
        <f>K163*'THAM_SO_MOI'!$C$53*'THAM_SO_MOI'!$C$17/'THAM_SO_MOI'!$C$26</f>
        <v>3262.7064551080052</v>
      </c>
      <c r="M163" s="75">
        <f>'THAM_SO_MOI'!$C$15*'THAM_SO_MOI'!$C$16*F163^2</f>
        <v>346.43132902885964</v>
      </c>
      <c r="N163" s="75">
        <f>'THAM_SO_MOI'!$C$12*I163</f>
        <v>1130.112</v>
      </c>
      <c r="O163" s="75">
        <f>M163+N163</f>
        <v>1476.5433290288597</v>
      </c>
      <c r="P163" s="75">
        <f>(MIN(L163,'THAM_SO_MOI'!$C$41)-O163)/('THAM_SO_MOI'!$C$11*H163)</f>
        <v>0.21143029428020188</v>
      </c>
      <c r="Q163" s="75">
        <f>IF(P163&gt;0,1/P163,NA())</f>
        <v>4.729691189261326</v>
      </c>
      <c r="R163" s="75">
        <f>F163-F162</f>
        <v>0.017600427350426884</v>
      </c>
      <c r="S163" s="75">
        <f>0.5*(Q162+Q163)*R163</f>
        <v>0.08325615593830848</v>
      </c>
      <c r="T163" s="75">
        <f>0.5*(F162*Q162+F163*Q163)*R163</f>
        <v>0.9053377448761953</v>
      </c>
      <c r="U163" s="76">
        <f>U162+S163</f>
        <v>13.504877276471445</v>
      </c>
      <c r="V163" s="76">
        <f>V162+T163</f>
        <v>128.07630398583814</v>
      </c>
    </row>
    <row r="164" spans="1:22" ht="19" customHeight="1">
      <c r="A164" s="68" t="s">
        <v>362</v>
      </c>
      <c r="B164" s="74">
        <v>5</v>
      </c>
      <c r="C164" s="68" t="s">
        <v>363</v>
      </c>
      <c r="D164" s="68" t="s">
        <v>364</v>
      </c>
      <c r="E164" s="75">
        <f>60*F164*'THAM_SO_MOI'!$C$53/(2*PI()*'THAM_SO_MOI'!$C$26)</f>
        <v>1073.9886315789472</v>
      </c>
      <c r="F164" s="75">
        <f>'THAM_SO_MOI'!$E$53+('THAM_SO_MOI'!$C$14-'THAM_SO_MOI'!$E$53)*158/'THAM_SO_MOI'!$C$42</f>
        <v>10.900525641025641</v>
      </c>
      <c r="G164" s="75">
        <f>3.6*F164</f>
        <v>39.24189230769231</v>
      </c>
      <c r="H164" s="75">
        <f>'THAM_SO_MOI'!$D$53</f>
        <v>1.1</v>
      </c>
      <c r="I164" s="75">
        <f>IF(F164&gt;'THAM_SO_MOI'!$C$14,'THAM_SO_MOI'!$C$13*(1+F164^2/1500),'THAM_SO_MOI'!$C$13)</f>
        <v>0.015</v>
      </c>
      <c r="J164" s="75">
        <f>'THAM_SO_MOI'!$C$40*('THAM_SO_MOI'!$C$23*(E164/'THAM_SO_MOI'!$C$22)+'THAM_SO_MOI'!$C$24*(E164/'THAM_SO_MOI'!$C$22)^2-'THAM_SO_MOI'!$C$25*(E164/'THAM_SO_MOI'!$C$22)^3)</f>
        <v>41.85422354844537</v>
      </c>
      <c r="K164" s="75">
        <f>'THAM_SO_MOI'!$C$31*J164/E164</f>
        <v>372.2141881406165</v>
      </c>
      <c r="L164" s="75">
        <f>K164*'THAM_SO_MOI'!$C$53*'THAM_SO_MOI'!$C$17/'THAM_SO_MOI'!$C$26</f>
        <v>3264.3198864556216</v>
      </c>
      <c r="M164" s="75">
        <f>'THAM_SO_MOI'!$C$15*'THAM_SO_MOI'!$C$16*F164^2</f>
        <v>347.55276830817314</v>
      </c>
      <c r="N164" s="75">
        <f>'THAM_SO_MOI'!$C$12*I164</f>
        <v>1130.112</v>
      </c>
      <c r="O164" s="75">
        <f>M164+N164</f>
        <v>1477.6647683081733</v>
      </c>
      <c r="P164" s="75">
        <f>(MIN(L164,'THAM_SO_MOI'!$C$41)-O164)/('THAM_SO_MOI'!$C$11*H164)</f>
        <v>0.21148853197768092</v>
      </c>
      <c r="Q164" s="75">
        <f>IF(P164&gt;0,1/P164,NA())</f>
        <v>4.728388771952577</v>
      </c>
      <c r="R164" s="75">
        <f>F164-F163</f>
        <v>0.017600427350426884</v>
      </c>
      <c r="S164" s="75">
        <f>0.5*(Q163+Q164)*R164</f>
        <v>0.08323312461593681</v>
      </c>
      <c r="T164" s="75">
        <f>0.5*(F163*Q163+F164*Q164)*R164</f>
        <v>0.9065522389131313</v>
      </c>
      <c r="U164" s="76">
        <f>U163+S164</f>
        <v>13.588110401087382</v>
      </c>
      <c r="V164" s="76">
        <f>V163+T164</f>
        <v>128.98285622475126</v>
      </c>
    </row>
    <row r="165" spans="1:22" ht="19" customHeight="1">
      <c r="A165" s="68" t="s">
        <v>362</v>
      </c>
      <c r="B165" s="74">
        <v>5</v>
      </c>
      <c r="C165" s="68" t="s">
        <v>363</v>
      </c>
      <c r="D165" s="68" t="s">
        <v>364</v>
      </c>
      <c r="E165" s="75">
        <f>60*F165*'THAM_SO_MOI'!$C$53/(2*PI()*'THAM_SO_MOI'!$C$26)</f>
        <v>1075.722736842105</v>
      </c>
      <c r="F165" s="75">
        <f>'THAM_SO_MOI'!$E$53+('THAM_SO_MOI'!$C$14-'THAM_SO_MOI'!$E$53)*159/'THAM_SO_MOI'!$C$42</f>
        <v>10.918126068376068</v>
      </c>
      <c r="G165" s="75">
        <f>3.6*F165</f>
        <v>39.305253846153846</v>
      </c>
      <c r="H165" s="75">
        <f>'THAM_SO_MOI'!$D$53</f>
        <v>1.1</v>
      </c>
      <c r="I165" s="75">
        <f>IF(F165&gt;'THAM_SO_MOI'!$C$14,'THAM_SO_MOI'!$C$13*(1+F165^2/1500),'THAM_SO_MOI'!$C$13)</f>
        <v>0.015</v>
      </c>
      <c r="J165" s="75">
        <f>'THAM_SO_MOI'!$C$40*('THAM_SO_MOI'!$C$23*(E165/'THAM_SO_MOI'!$C$22)+'THAM_SO_MOI'!$C$24*(E165/'THAM_SO_MOI'!$C$22)^2-'THAM_SO_MOI'!$C$25*(E165/'THAM_SO_MOI'!$C$22)^3)</f>
        <v>41.94249058523511</v>
      </c>
      <c r="K165" s="75">
        <f>'THAM_SO_MOI'!$C$31*J165/E165</f>
        <v>372.39786797029814</v>
      </c>
      <c r="L165" s="75">
        <f>K165*'THAM_SO_MOI'!$C$53*'THAM_SO_MOI'!$C$17/'THAM_SO_MOI'!$C$26</f>
        <v>3265.9307592806626</v>
      </c>
      <c r="M165" s="75">
        <f>'THAM_SO_MOI'!$C$15*'THAM_SO_MOI'!$C$16*F165^2</f>
        <v>348.67601977148774</v>
      </c>
      <c r="N165" s="75">
        <f>'THAM_SO_MOI'!$C$12*I165</f>
        <v>1130.112</v>
      </c>
      <c r="O165" s="75">
        <f>M165+N165</f>
        <v>1478.7880197714878</v>
      </c>
      <c r="P165" s="75">
        <f>(MIN(L165,'THAM_SO_MOI'!$C$41)-O165)/('THAM_SO_MOI'!$C$11*H165)</f>
        <v>0.2115462523093247</v>
      </c>
      <c r="Q165" s="75">
        <f>IF(P165&gt;0,1/P165,NA())</f>
        <v>4.727098632490978</v>
      </c>
      <c r="R165" s="75">
        <f>F165-F164</f>
        <v>0.017600427350426884</v>
      </c>
      <c r="S165" s="75">
        <f>0.5*(Q164+Q165)*R165</f>
        <v>0.08321030956239263</v>
      </c>
      <c r="T165" s="75">
        <f>0.5*(F164*Q164+F165*Q165)*R165</f>
        <v>0.9077682815734199</v>
      </c>
      <c r="U165" s="76">
        <f>U164+S165</f>
        <v>13.671320710649775</v>
      </c>
      <c r="V165" s="76">
        <f>V164+T165</f>
        <v>129.89062450632468</v>
      </c>
    </row>
    <row r="166" spans="1:22" ht="19" customHeight="1">
      <c r="A166" s="68" t="s">
        <v>362</v>
      </c>
      <c r="B166" s="74">
        <v>5</v>
      </c>
      <c r="C166" s="68" t="s">
        <v>363</v>
      </c>
      <c r="D166" s="68" t="s">
        <v>364</v>
      </c>
      <c r="E166" s="75">
        <f>60*F166*'THAM_SO_MOI'!$C$53/(2*PI()*'THAM_SO_MOI'!$C$26)</f>
        <v>1077.4568421052631</v>
      </c>
      <c r="F166" s="75">
        <f>'THAM_SO_MOI'!$E$53+('THAM_SO_MOI'!$C$14-'THAM_SO_MOI'!$E$53)*160/'THAM_SO_MOI'!$C$42</f>
        <v>10.935726495726497</v>
      </c>
      <c r="G166" s="75">
        <f>3.6*F166</f>
        <v>39.36861538461539</v>
      </c>
      <c r="H166" s="75">
        <f>'THAM_SO_MOI'!$D$53</f>
        <v>1.1</v>
      </c>
      <c r="I166" s="75">
        <f>IF(F166&gt;'THAM_SO_MOI'!$C$14,'THAM_SO_MOI'!$C$13*(1+F166^2/1500),'THAM_SO_MOI'!$C$13)</f>
        <v>0.015</v>
      </c>
      <c r="J166" s="75">
        <f>'THAM_SO_MOI'!$C$40*('THAM_SO_MOI'!$C$23*(E166/'THAM_SO_MOI'!$C$22)+'THAM_SO_MOI'!$C$24*(E166/'THAM_SO_MOI'!$C$22)^2-'THAM_SO_MOI'!$C$25*(E166/'THAM_SO_MOI'!$C$22)^3)</f>
        <v>42.030791409528796</v>
      </c>
      <c r="K166" s="75">
        <f>'THAM_SO_MOI'!$C$31*J166/E166</f>
        <v>372.5812560643551</v>
      </c>
      <c r="L166" s="75">
        <f>K166*'THAM_SO_MOI'!$C$53*'THAM_SO_MOI'!$C$17/'THAM_SO_MOI'!$C$26</f>
        <v>3267.5390735831343</v>
      </c>
      <c r="M166" s="75">
        <f>'THAM_SO_MOI'!$C$15*'THAM_SO_MOI'!$C$16*F166^2</f>
        <v>349.8010834188035</v>
      </c>
      <c r="N166" s="75">
        <f>'THAM_SO_MOI'!$C$12*I166</f>
        <v>1130.112</v>
      </c>
      <c r="O166" s="75">
        <f>M166+N166</f>
        <v>1479.9130834188036</v>
      </c>
      <c r="P166" s="75">
        <f>(MIN(L166,'THAM_SO_MOI'!$C$41)-O166)/('THAM_SO_MOI'!$C$11*H166)</f>
        <v>0.21160345527513383</v>
      </c>
      <c r="Q166" s="75">
        <f>IF(P166&gt;0,1/P166,NA())</f>
        <v>4.725820751366119</v>
      </c>
      <c r="R166" s="75">
        <f>F166-F165</f>
        <v>0.01760042735042866</v>
      </c>
      <c r="S166" s="75">
        <f>0.5*(Q165+Q166)*R166</f>
        <v>0.08318771043251784</v>
      </c>
      <c r="T166" s="75">
        <f>0.5*(F165*Q165+F166*Q166)*R166</f>
        <v>0.9089858805048308</v>
      </c>
      <c r="U166" s="76">
        <f>U165+S166</f>
        <v>13.754508421082294</v>
      </c>
      <c r="V166" s="76">
        <f>V165+T166</f>
        <v>130.79961038682953</v>
      </c>
    </row>
    <row r="167" spans="1:22" ht="19" customHeight="1">
      <c r="A167" s="68" t="s">
        <v>362</v>
      </c>
      <c r="B167" s="74">
        <v>5</v>
      </c>
      <c r="C167" s="68" t="s">
        <v>363</v>
      </c>
      <c r="D167" s="68" t="s">
        <v>364</v>
      </c>
      <c r="E167" s="75">
        <f>60*F167*'THAM_SO_MOI'!$C$53/(2*PI()*'THAM_SO_MOI'!$C$26)</f>
        <v>1079.190947368421</v>
      </c>
      <c r="F167" s="75">
        <f>'THAM_SO_MOI'!$E$53+('THAM_SO_MOI'!$C$14-'THAM_SO_MOI'!$E$53)*161/'THAM_SO_MOI'!$C$42</f>
        <v>10.953326923076924</v>
      </c>
      <c r="G167" s="75">
        <f>3.6*F167</f>
        <v>39.431976923076924</v>
      </c>
      <c r="H167" s="75">
        <f>'THAM_SO_MOI'!$D$53</f>
        <v>1.1</v>
      </c>
      <c r="I167" s="75">
        <f>IF(F167&gt;'THAM_SO_MOI'!$C$14,'THAM_SO_MOI'!$C$13*(1+F167^2/1500),'THAM_SO_MOI'!$C$13)</f>
        <v>0.015</v>
      </c>
      <c r="J167" s="75">
        <f>'THAM_SO_MOI'!$C$40*('THAM_SO_MOI'!$C$23*(E167/'THAM_SO_MOI'!$C$22)+'THAM_SO_MOI'!$C$24*(E167/'THAM_SO_MOI'!$C$22)^2-'THAM_SO_MOI'!$C$25*(E167/'THAM_SO_MOI'!$C$22)^3)</f>
        <v>42.11912586242304</v>
      </c>
      <c r="K167" s="75">
        <f>'THAM_SO_MOI'!$C$31*J167/E167</f>
        <v>372.7643524227869</v>
      </c>
      <c r="L167" s="75">
        <f>K167*'THAM_SO_MOI'!$C$53*'THAM_SO_MOI'!$C$17/'THAM_SO_MOI'!$C$26</f>
        <v>3269.1448293630315</v>
      </c>
      <c r="M167" s="75">
        <f>'THAM_SO_MOI'!$C$15*'THAM_SO_MOI'!$C$16*F167^2</f>
        <v>350.92795925012024</v>
      </c>
      <c r="N167" s="75">
        <f>'THAM_SO_MOI'!$C$12*I167</f>
        <v>1130.112</v>
      </c>
      <c r="O167" s="75">
        <f>M167+N167</f>
        <v>1481.0399592501203</v>
      </c>
      <c r="P167" s="75">
        <f>(MIN(L167,'THAM_SO_MOI'!$C$41)-O167)/('THAM_SO_MOI'!$C$11*H167)</f>
        <v>0.21166014087510784</v>
      </c>
      <c r="Q167" s="75">
        <f>IF(P167&gt;0,1/P167,NA())</f>
        <v>4.7245551092685885</v>
      </c>
      <c r="R167" s="75">
        <f>F167-F166</f>
        <v>0.017600427350426884</v>
      </c>
      <c r="S167" s="75">
        <f>0.5*(Q166+Q167)*R167</f>
        <v>0.08316532688466456</v>
      </c>
      <c r="T167" s="75">
        <f>0.5*(F166*Q166+F167*Q167)*R167</f>
        <v>0.9102050433692516</v>
      </c>
      <c r="U167" s="76">
        <f>U166+S167</f>
        <v>13.837673747966958</v>
      </c>
      <c r="V167" s="76">
        <f>V166+T167</f>
        <v>131.70981543019877</v>
      </c>
    </row>
    <row r="168" spans="1:22" ht="19" customHeight="1">
      <c r="A168" s="68" t="s">
        <v>362</v>
      </c>
      <c r="B168" s="74">
        <v>5</v>
      </c>
      <c r="C168" s="68" t="s">
        <v>363</v>
      </c>
      <c r="D168" s="68" t="s">
        <v>364</v>
      </c>
      <c r="E168" s="75">
        <f>60*F168*'THAM_SO_MOI'!$C$53/(2*PI()*'THAM_SO_MOI'!$C$26)</f>
        <v>1080.9250526315789</v>
      </c>
      <c r="F168" s="75">
        <f>'THAM_SO_MOI'!$E$53+('THAM_SO_MOI'!$C$14-'THAM_SO_MOI'!$E$53)*162/'THAM_SO_MOI'!$C$42</f>
        <v>10.970927350427353</v>
      </c>
      <c r="G168" s="75">
        <f>3.6*F168</f>
        <v>39.49533846153847</v>
      </c>
      <c r="H168" s="75">
        <f>'THAM_SO_MOI'!$D$53</f>
        <v>1.1</v>
      </c>
      <c r="I168" s="75">
        <f>IF(F168&gt;'THAM_SO_MOI'!$C$14,'THAM_SO_MOI'!$C$13*(1+F168^2/1500),'THAM_SO_MOI'!$C$13)</f>
        <v>0.015</v>
      </c>
      <c r="J168" s="75">
        <f>'THAM_SO_MOI'!$C$40*('THAM_SO_MOI'!$C$23*(E168/'THAM_SO_MOI'!$C$22)+'THAM_SO_MOI'!$C$24*(E168/'THAM_SO_MOI'!$C$22)^2-'THAM_SO_MOI'!$C$25*(E168/'THAM_SO_MOI'!$C$22)^3)</f>
        <v>42.207493785014634</v>
      </c>
      <c r="K168" s="75">
        <f>'THAM_SO_MOI'!$C$31*J168/E168</f>
        <v>372.94715704559366</v>
      </c>
      <c r="L168" s="75">
        <f>K168*'THAM_SO_MOI'!$C$53*'THAM_SO_MOI'!$C$17/'THAM_SO_MOI'!$C$26</f>
        <v>3270.748026620355</v>
      </c>
      <c r="M168" s="75">
        <f>'THAM_SO_MOI'!$C$15*'THAM_SO_MOI'!$C$16*F168^2</f>
        <v>352.0566472654382</v>
      </c>
      <c r="N168" s="75">
        <f>'THAM_SO_MOI'!$C$12*I168</f>
        <v>1130.112</v>
      </c>
      <c r="O168" s="75">
        <f>M168+N168</f>
        <v>1482.1686472654383</v>
      </c>
      <c r="P168" s="75">
        <f>(MIN(L168,'THAM_SO_MOI'!$C$41)-O168)/('THAM_SO_MOI'!$C$11*H168)</f>
        <v>0.2117163091092468</v>
      </c>
      <c r="Q168" s="75">
        <f>IF(P168&gt;0,1/P168,NA())</f>
        <v>4.723301687089181</v>
      </c>
      <c r="R168" s="75">
        <f>F168-F167</f>
        <v>0.01760042735042866</v>
      </c>
      <c r="S168" s="75">
        <f>0.5*(Q167+Q168)*R168</f>
        <v>0.08314315858077428</v>
      </c>
      <c r="T168" s="75">
        <f>0.5*(F167*Q167+F168*Q168)*R168</f>
        <v>0.9114257778438649</v>
      </c>
      <c r="U168" s="76">
        <f>U167+S168</f>
        <v>13.920816906547733</v>
      </c>
      <c r="V168" s="76">
        <f>V167+T168</f>
        <v>132.62124120804265</v>
      </c>
    </row>
    <row r="169" spans="1:22" ht="19" customHeight="1">
      <c r="A169" s="68" t="s">
        <v>362</v>
      </c>
      <c r="B169" s="74">
        <v>5</v>
      </c>
      <c r="C169" s="68" t="s">
        <v>363</v>
      </c>
      <c r="D169" s="68" t="s">
        <v>364</v>
      </c>
      <c r="E169" s="75">
        <f>60*F169*'THAM_SO_MOI'!$C$53/(2*PI()*'THAM_SO_MOI'!$C$26)</f>
        <v>1082.6591578947366</v>
      </c>
      <c r="F169" s="75">
        <f>'THAM_SO_MOI'!$E$53+('THAM_SO_MOI'!$C$14-'THAM_SO_MOI'!$E$53)*163/'THAM_SO_MOI'!$C$42</f>
        <v>10.98852777777778</v>
      </c>
      <c r="G169" s="75">
        <f>3.6*F169</f>
        <v>39.55870000000001</v>
      </c>
      <c r="H169" s="75">
        <f>'THAM_SO_MOI'!$D$53</f>
        <v>1.1</v>
      </c>
      <c r="I169" s="75">
        <f>IF(F169&gt;'THAM_SO_MOI'!$C$14,'THAM_SO_MOI'!$C$13*(1+F169^2/1500),'THAM_SO_MOI'!$C$13)</f>
        <v>0.015</v>
      </c>
      <c r="J169" s="75">
        <f>'THAM_SO_MOI'!$C$40*('THAM_SO_MOI'!$C$23*(E169/'THAM_SO_MOI'!$C$22)+'THAM_SO_MOI'!$C$24*(E169/'THAM_SO_MOI'!$C$22)^2-'THAM_SO_MOI'!$C$25*(E169/'THAM_SO_MOI'!$C$22)^3)</f>
        <v>42.29589501840026</v>
      </c>
      <c r="K169" s="75">
        <f>'THAM_SO_MOI'!$C$31*J169/E169</f>
        <v>373.1296699327753</v>
      </c>
      <c r="L169" s="75">
        <f>K169*'THAM_SO_MOI'!$C$53*'THAM_SO_MOI'!$C$17/'THAM_SO_MOI'!$C$26</f>
        <v>3272.348665355106</v>
      </c>
      <c r="M169" s="75">
        <f>'THAM_SO_MOI'!$C$15*'THAM_SO_MOI'!$C$16*F169^2</f>
        <v>353.18714746475706</v>
      </c>
      <c r="N169" s="75">
        <f>'THAM_SO_MOI'!$C$12*I169</f>
        <v>1130.112</v>
      </c>
      <c r="O169" s="75">
        <f>M169+N169</f>
        <v>1483.2991474647572</v>
      </c>
      <c r="P169" s="75">
        <f>(MIN(L169,'THAM_SO_MOI'!$C$41)-O169)/('THAM_SO_MOI'!$C$11*H169)</f>
        <v>0.21177195997755077</v>
      </c>
      <c r="Q169" s="75">
        <f>IF(P169&gt;0,1/P169,NA())</f>
        <v>4.722060465918182</v>
      </c>
      <c r="R169" s="75">
        <f>F169-F168</f>
        <v>0.017600427350426884</v>
      </c>
      <c r="S169" s="75">
        <f>0.5*(Q168+Q169)*R169</f>
        <v>0.08312120518623888</v>
      </c>
      <c r="T169" s="75">
        <f>0.5*(F168*Q168+F169*Q169)*R169</f>
        <v>0.9126480916199369</v>
      </c>
      <c r="U169" s="76">
        <f>U168+S169</f>
        <v>14.003938111733971</v>
      </c>
      <c r="V169" s="76">
        <f>V168+T169</f>
        <v>133.53388929966258</v>
      </c>
    </row>
    <row r="170" spans="1:22" ht="19" customHeight="1">
      <c r="A170" s="68" t="s">
        <v>362</v>
      </c>
      <c r="B170" s="74">
        <v>5</v>
      </c>
      <c r="C170" s="68" t="s">
        <v>363</v>
      </c>
      <c r="D170" s="68" t="s">
        <v>364</v>
      </c>
      <c r="E170" s="75">
        <f>60*F170*'THAM_SO_MOI'!$C$53/(2*PI()*'THAM_SO_MOI'!$C$26)</f>
        <v>1084.3932631578946</v>
      </c>
      <c r="F170" s="75">
        <f>'THAM_SO_MOI'!$E$53+('THAM_SO_MOI'!$C$14-'THAM_SO_MOI'!$E$53)*164/'THAM_SO_MOI'!$C$42</f>
        <v>11.006128205128206</v>
      </c>
      <c r="G170" s="75">
        <f>3.6*F170</f>
        <v>39.622061538461544</v>
      </c>
      <c r="H170" s="75">
        <f>'THAM_SO_MOI'!$D$53</f>
        <v>1.1</v>
      </c>
      <c r="I170" s="75">
        <f>IF(F170&gt;'THAM_SO_MOI'!$C$14,'THAM_SO_MOI'!$C$13*(1+F170^2/1500),'THAM_SO_MOI'!$C$13)</f>
        <v>0.015</v>
      </c>
      <c r="J170" s="75">
        <f>'THAM_SO_MOI'!$C$40*('THAM_SO_MOI'!$C$23*(E170/'THAM_SO_MOI'!$C$22)+'THAM_SO_MOI'!$C$24*(E170/'THAM_SO_MOI'!$C$22)^2-'THAM_SO_MOI'!$C$25*(E170/'THAM_SO_MOI'!$C$22)^3)</f>
        <v>42.38432940367667</v>
      </c>
      <c r="K170" s="75">
        <f>'THAM_SO_MOI'!$C$31*J170/E170</f>
        <v>373.311891084332</v>
      </c>
      <c r="L170" s="75">
        <f>K170*'THAM_SO_MOI'!$C$53*'THAM_SO_MOI'!$C$17/'THAM_SO_MOI'!$C$26</f>
        <v>3273.9467455672834</v>
      </c>
      <c r="M170" s="75">
        <f>'THAM_SO_MOI'!$C$15*'THAM_SO_MOI'!$C$16*F170^2</f>
        <v>354.3194598480771</v>
      </c>
      <c r="N170" s="75">
        <f>'THAM_SO_MOI'!$C$12*I170</f>
        <v>1130.112</v>
      </c>
      <c r="O170" s="75">
        <f>M170+N170</f>
        <v>1484.431459848077</v>
      </c>
      <c r="P170" s="75">
        <f>(MIN(L170,'THAM_SO_MOI'!$C$41)-O170)/('THAM_SO_MOI'!$C$11*H170)</f>
        <v>0.21182709348001966</v>
      </c>
      <c r="Q170" s="75">
        <f>IF(P170&gt;0,1/P170,NA())</f>
        <v>4.720831427044642</v>
      </c>
      <c r="R170" s="75">
        <f>F170-F169</f>
        <v>0.017600427350426884</v>
      </c>
      <c r="S170" s="75">
        <f>0.5*(Q169+Q170)*R170</f>
        <v>0.08309946637001359</v>
      </c>
      <c r="T170" s="75">
        <f>0.5*(F169*Q169+F170*Q170)*R170</f>
        <v>0.9138719924043647</v>
      </c>
      <c r="U170" s="76">
        <f>U169+S170</f>
        <v>14.087037578103985</v>
      </c>
      <c r="V170" s="76">
        <f>V169+T170</f>
        <v>134.44776129206693</v>
      </c>
    </row>
    <row r="171" spans="1:22" ht="19" customHeight="1">
      <c r="A171" s="68" t="s">
        <v>362</v>
      </c>
      <c r="B171" s="74">
        <v>5</v>
      </c>
      <c r="C171" s="68" t="s">
        <v>363</v>
      </c>
      <c r="D171" s="68" t="s">
        <v>364</v>
      </c>
      <c r="E171" s="75">
        <f>60*F171*'THAM_SO_MOI'!$C$53/(2*PI()*'THAM_SO_MOI'!$C$26)</f>
        <v>1086.1273684210526</v>
      </c>
      <c r="F171" s="75">
        <f>'THAM_SO_MOI'!$E$53+('THAM_SO_MOI'!$C$14-'THAM_SO_MOI'!$E$53)*165/'THAM_SO_MOI'!$C$42</f>
        <v>11.023728632478633</v>
      </c>
      <c r="G171" s="75">
        <f>3.6*F171</f>
        <v>39.68542307692308</v>
      </c>
      <c r="H171" s="75">
        <f>'THAM_SO_MOI'!$D$53</f>
        <v>1.1</v>
      </c>
      <c r="I171" s="75">
        <f>IF(F171&gt;'THAM_SO_MOI'!$C$14,'THAM_SO_MOI'!$C$13*(1+F171^2/1500),'THAM_SO_MOI'!$C$13)</f>
        <v>0.015</v>
      </c>
      <c r="J171" s="75">
        <f>'THAM_SO_MOI'!$C$40*('THAM_SO_MOI'!$C$23*(E171/'THAM_SO_MOI'!$C$22)+'THAM_SO_MOI'!$C$24*(E171/'THAM_SO_MOI'!$C$22)^2-'THAM_SO_MOI'!$C$25*(E171/'THAM_SO_MOI'!$C$22)^3)</f>
        <v>42.47279678194056</v>
      </c>
      <c r="K171" s="75">
        <f>'THAM_SO_MOI'!$C$31*J171/E171</f>
        <v>373.49382050026355</v>
      </c>
      <c r="L171" s="75">
        <f>K171*'THAM_SO_MOI'!$C$53*'THAM_SO_MOI'!$C$17/'THAM_SO_MOI'!$C$26</f>
        <v>3275.5422672568875</v>
      </c>
      <c r="M171" s="75">
        <f>'THAM_SO_MOI'!$C$15*'THAM_SO_MOI'!$C$16*F171^2</f>
        <v>355.45358441539804</v>
      </c>
      <c r="N171" s="75">
        <f>'THAM_SO_MOI'!$C$12*I171</f>
        <v>1130.112</v>
      </c>
      <c r="O171" s="75">
        <f>M171+N171</f>
        <v>1485.565584415398</v>
      </c>
      <c r="P171" s="75">
        <f>(MIN(L171,'THAM_SO_MOI'!$C$41)-O171)/('THAM_SO_MOI'!$C$11*H171)</f>
        <v>0.2118817096166536</v>
      </c>
      <c r="Q171" s="75">
        <f>IF(P171&gt;0,1/P171,NA())</f>
        <v>4.719614551955652</v>
      </c>
      <c r="R171" s="75">
        <f>F171-F170</f>
        <v>0.017600427350426884</v>
      </c>
      <c r="S171" s="75">
        <f>0.5*(Q170+Q171)*R171</f>
        <v>0.08307794180451214</v>
      </c>
      <c r="T171" s="75">
        <f>0.5*(F170*Q170+F171*Q171)*R171</f>
        <v>0.9150974879188342</v>
      </c>
      <c r="U171" s="76">
        <f>U170+S171</f>
        <v>14.170115519908498</v>
      </c>
      <c r="V171" s="76">
        <f>V170+T171</f>
        <v>135.36285877998577</v>
      </c>
    </row>
    <row r="172" spans="1:22" ht="19" customHeight="1">
      <c r="A172" s="68" t="s">
        <v>362</v>
      </c>
      <c r="B172" s="74">
        <v>5</v>
      </c>
      <c r="C172" s="68" t="s">
        <v>363</v>
      </c>
      <c r="D172" s="68" t="s">
        <v>364</v>
      </c>
      <c r="E172" s="75">
        <f>60*F172*'THAM_SO_MOI'!$C$53/(2*PI()*'THAM_SO_MOI'!$C$26)</f>
        <v>1087.8614736842105</v>
      </c>
      <c r="F172" s="75">
        <f>'THAM_SO_MOI'!$E$53+('THAM_SO_MOI'!$C$14-'THAM_SO_MOI'!$E$53)*166/'THAM_SO_MOI'!$C$42</f>
        <v>11.04132905982906</v>
      </c>
      <c r="G172" s="75">
        <f>3.6*F172</f>
        <v>39.748784615384615</v>
      </c>
      <c r="H172" s="75">
        <f>'THAM_SO_MOI'!$D$53</f>
        <v>1.1</v>
      </c>
      <c r="I172" s="75">
        <f>IF(F172&gt;'THAM_SO_MOI'!$C$14,'THAM_SO_MOI'!$C$13*(1+F172^2/1500),'THAM_SO_MOI'!$C$13)</f>
        <v>0.015</v>
      </c>
      <c r="J172" s="75">
        <f>'THAM_SO_MOI'!$C$40*('THAM_SO_MOI'!$C$23*(E172/'THAM_SO_MOI'!$C$22)+'THAM_SO_MOI'!$C$24*(E172/'THAM_SO_MOI'!$C$22)^2-'THAM_SO_MOI'!$C$25*(E172/'THAM_SO_MOI'!$C$22)^3)</f>
        <v>42.561296994288675</v>
      </c>
      <c r="K172" s="75">
        <f>'THAM_SO_MOI'!$C$31*J172/E172</f>
        <v>373.6754581805702</v>
      </c>
      <c r="L172" s="75">
        <f>K172*'THAM_SO_MOI'!$C$53*'THAM_SO_MOI'!$C$17/'THAM_SO_MOI'!$C$26</f>
        <v>3277.135230423919</v>
      </c>
      <c r="M172" s="75">
        <f>'THAM_SO_MOI'!$C$15*'THAM_SO_MOI'!$C$16*F172^2</f>
        <v>356.58952116672015</v>
      </c>
      <c r="N172" s="75">
        <f>'THAM_SO_MOI'!$C$12*I172</f>
        <v>1130.112</v>
      </c>
      <c r="O172" s="75">
        <f>M172+N172</f>
        <v>1486.7015211667203</v>
      </c>
      <c r="P172" s="75">
        <f>(MIN(L172,'THAM_SO_MOI'!$C$41)-O172)/('THAM_SO_MOI'!$C$11*H172)</f>
        <v>0.2119358083874525</v>
      </c>
      <c r="Q172" s="75">
        <f>IF(P172&gt;0,1/P172,NA())</f>
        <v>4.71840982233564</v>
      </c>
      <c r="R172" s="75">
        <f>F172-F171</f>
        <v>0.017600427350426884</v>
      </c>
      <c r="S172" s="75">
        <f>0.5*(Q171+Q172)*R172</f>
        <v>0.08305663116563601</v>
      </c>
      <c r="T172" s="75">
        <f>0.5*(F171*Q171+F172*Q172)*R172</f>
        <v>0.9163245859004474</v>
      </c>
      <c r="U172" s="76">
        <f>U171+S172</f>
        <v>14.253172151074134</v>
      </c>
      <c r="V172" s="76">
        <f>V171+T172</f>
        <v>136.2791833658862</v>
      </c>
    </row>
    <row r="173" spans="1:22" ht="19" customHeight="1">
      <c r="A173" s="68" t="s">
        <v>362</v>
      </c>
      <c r="B173" s="74">
        <v>5</v>
      </c>
      <c r="C173" s="68" t="s">
        <v>363</v>
      </c>
      <c r="D173" s="68" t="s">
        <v>364</v>
      </c>
      <c r="E173" s="75">
        <f>60*F173*'THAM_SO_MOI'!$C$53/(2*PI()*'THAM_SO_MOI'!$C$26)</f>
        <v>1089.5955789473685</v>
      </c>
      <c r="F173" s="75">
        <f>'THAM_SO_MOI'!$E$53+('THAM_SO_MOI'!$C$14-'THAM_SO_MOI'!$E$53)*167/'THAM_SO_MOI'!$C$42</f>
        <v>11.058929487179489</v>
      </c>
      <c r="G173" s="75">
        <f>3.6*F173</f>
        <v>39.81214615384616</v>
      </c>
      <c r="H173" s="75">
        <f>'THAM_SO_MOI'!$D$53</f>
        <v>1.1</v>
      </c>
      <c r="I173" s="75">
        <f>IF(F173&gt;'THAM_SO_MOI'!$C$14,'THAM_SO_MOI'!$C$13*(1+F173^2/1500),'THAM_SO_MOI'!$C$13)</f>
        <v>0.015</v>
      </c>
      <c r="J173" s="75">
        <f>'THAM_SO_MOI'!$C$40*('THAM_SO_MOI'!$C$23*(E173/'THAM_SO_MOI'!$C$22)+'THAM_SO_MOI'!$C$24*(E173/'THAM_SO_MOI'!$C$22)^2-'THAM_SO_MOI'!$C$25*(E173/'THAM_SO_MOI'!$C$22)^3)</f>
        <v>42.64982988181772</v>
      </c>
      <c r="K173" s="75">
        <f>'THAM_SO_MOI'!$C$31*J173/E173</f>
        <v>373.85680412525187</v>
      </c>
      <c r="L173" s="75">
        <f>K173*'THAM_SO_MOI'!$C$53*'THAM_SO_MOI'!$C$17/'THAM_SO_MOI'!$C$26</f>
        <v>3278.7256350683783</v>
      </c>
      <c r="M173" s="75">
        <f>'THAM_SO_MOI'!$C$15*'THAM_SO_MOI'!$C$16*F173^2</f>
        <v>357.7272701020434</v>
      </c>
      <c r="N173" s="75">
        <f>'THAM_SO_MOI'!$C$12*I173</f>
        <v>1130.112</v>
      </c>
      <c r="O173" s="75">
        <f>M173+N173</f>
        <v>1487.8392701020434</v>
      </c>
      <c r="P173" s="75">
        <f>(MIN(L173,'THAM_SO_MOI'!$C$41)-O173)/('THAM_SO_MOI'!$C$11*H173)</f>
        <v>0.21198938979241655</v>
      </c>
      <c r="Q173" s="75">
        <f>IF(P173&gt;0,1/P173,NA())</f>
        <v>4.717217220065666</v>
      </c>
      <c r="R173" s="75">
        <f>F173-F172</f>
        <v>0.01760042735042866</v>
      </c>
      <c r="S173" s="75">
        <f>0.5*(Q172+Q173)*R173</f>
        <v>0.08303553413276211</v>
      </c>
      <c r="T173" s="75">
        <f>0.5*(F172*Q172+F173*Q173)*R173</f>
        <v>0.9175532941018932</v>
      </c>
      <c r="U173" s="76">
        <f>U172+S173</f>
        <v>14.336207685206896</v>
      </c>
      <c r="V173" s="76">
        <f>V172+T173</f>
        <v>137.19673665998812</v>
      </c>
    </row>
    <row r="174" spans="1:22" ht="19" customHeight="1">
      <c r="A174" s="68" t="s">
        <v>362</v>
      </c>
      <c r="B174" s="74">
        <v>5</v>
      </c>
      <c r="C174" s="68" t="s">
        <v>363</v>
      </c>
      <c r="D174" s="68" t="s">
        <v>364</v>
      </c>
      <c r="E174" s="75">
        <f>60*F174*'THAM_SO_MOI'!$C$53/(2*PI()*'THAM_SO_MOI'!$C$26)</f>
        <v>1091.3296842105262</v>
      </c>
      <c r="F174" s="75">
        <f>'THAM_SO_MOI'!$E$53+('THAM_SO_MOI'!$C$14-'THAM_SO_MOI'!$E$53)*168/'THAM_SO_MOI'!$C$42</f>
        <v>11.076529914529916</v>
      </c>
      <c r="G174" s="75">
        <f>3.6*F174</f>
        <v>39.8755076923077</v>
      </c>
      <c r="H174" s="75">
        <f>'THAM_SO_MOI'!$D$53</f>
        <v>1.1</v>
      </c>
      <c r="I174" s="75">
        <f>IF(F174&gt;'THAM_SO_MOI'!$C$14,'THAM_SO_MOI'!$C$13*(1+F174^2/1500),'THAM_SO_MOI'!$C$13)</f>
        <v>0.015</v>
      </c>
      <c r="J174" s="75">
        <f>'THAM_SO_MOI'!$C$40*('THAM_SO_MOI'!$C$23*(E174/'THAM_SO_MOI'!$C$22)+'THAM_SO_MOI'!$C$24*(E174/'THAM_SO_MOI'!$C$22)^2-'THAM_SO_MOI'!$C$25*(E174/'THAM_SO_MOI'!$C$22)^3)</f>
        <v>42.7383952856244</v>
      </c>
      <c r="K174" s="75">
        <f>'THAM_SO_MOI'!$C$31*J174/E174</f>
        <v>374.0378583343083</v>
      </c>
      <c r="L174" s="75">
        <f>K174*'THAM_SO_MOI'!$C$53*'THAM_SO_MOI'!$C$17/'THAM_SO_MOI'!$C$26</f>
        <v>3280.313481190263</v>
      </c>
      <c r="M174" s="75">
        <f>'THAM_SO_MOI'!$C$15*'THAM_SO_MOI'!$C$16*F174^2</f>
        <v>358.8668312213676</v>
      </c>
      <c r="N174" s="75">
        <f>'THAM_SO_MOI'!$C$12*I174</f>
        <v>1130.112</v>
      </c>
      <c r="O174" s="75">
        <f>M174+N174</f>
        <v>1488.9788312213677</v>
      </c>
      <c r="P174" s="75">
        <f>(MIN(L174,'THAM_SO_MOI'!$C$41)-O174)/('THAM_SO_MOI'!$C$11*H174)</f>
        <v>0.21204245383154535</v>
      </c>
      <c r="Q174" s="75">
        <f>IF(P174&gt;0,1/P174,NA())</f>
        <v>4.71603672722274</v>
      </c>
      <c r="R174" s="75">
        <f>F174-F173</f>
        <v>0.017600427350426884</v>
      </c>
      <c r="S174" s="75">
        <f>0.5*(Q173+Q174)*R174</f>
        <v>0.08301465038868862</v>
      </c>
      <c r="T174" s="75">
        <f>0.5*(F173*Q173+F174*Q174)*R174</f>
        <v>0.9187836202911529</v>
      </c>
      <c r="U174" s="76">
        <f>U173+S174</f>
        <v>14.419222335595585</v>
      </c>
      <c r="V174" s="76">
        <f>V173+T174</f>
        <v>138.11552028027927</v>
      </c>
    </row>
    <row r="175" spans="1:22" ht="19" customHeight="1">
      <c r="A175" s="68" t="s">
        <v>362</v>
      </c>
      <c r="B175" s="74">
        <v>5</v>
      </c>
      <c r="C175" s="68" t="s">
        <v>363</v>
      </c>
      <c r="D175" s="68" t="s">
        <v>364</v>
      </c>
      <c r="E175" s="75">
        <f>60*F175*'THAM_SO_MOI'!$C$53/(2*PI()*'THAM_SO_MOI'!$C$26)</f>
        <v>1093.063789473684</v>
      </c>
      <c r="F175" s="75">
        <f>'THAM_SO_MOI'!$E$53+('THAM_SO_MOI'!$C$14-'THAM_SO_MOI'!$E$53)*169/'THAM_SO_MOI'!$C$42</f>
        <v>11.094130341880343</v>
      </c>
      <c r="G175" s="75">
        <f>3.6*F175</f>
        <v>39.938869230769235</v>
      </c>
      <c r="H175" s="75">
        <f>'THAM_SO_MOI'!$D$53</f>
        <v>1.1</v>
      </c>
      <c r="I175" s="75">
        <f>IF(F175&gt;'THAM_SO_MOI'!$C$14,'THAM_SO_MOI'!$C$13*(1+F175^2/1500),'THAM_SO_MOI'!$C$13)</f>
        <v>0.015</v>
      </c>
      <c r="J175" s="75">
        <f>'THAM_SO_MOI'!$C$40*('THAM_SO_MOI'!$C$23*(E175/'THAM_SO_MOI'!$C$22)+'THAM_SO_MOI'!$C$24*(E175/'THAM_SO_MOI'!$C$22)^2-'THAM_SO_MOI'!$C$25*(E175/'THAM_SO_MOI'!$C$22)^3)</f>
        <v>42.82699304680546</v>
      </c>
      <c r="K175" s="75">
        <f>'THAM_SO_MOI'!$C$31*J175/E175</f>
        <v>374.2186208077398</v>
      </c>
      <c r="L175" s="75">
        <f>K175*'THAM_SO_MOI'!$C$53*'THAM_SO_MOI'!$C$17/'THAM_SO_MOI'!$C$26</f>
        <v>3281.8987687895747</v>
      </c>
      <c r="M175" s="75">
        <f>'THAM_SO_MOI'!$C$15*'THAM_SO_MOI'!$C$16*F175^2</f>
        <v>360.0082045246929</v>
      </c>
      <c r="N175" s="75">
        <f>'THAM_SO_MOI'!$C$12*I175</f>
        <v>1130.112</v>
      </c>
      <c r="O175" s="75">
        <f>M175+N175</f>
        <v>1490.120204524693</v>
      </c>
      <c r="P175" s="75">
        <f>(MIN(L175,'THAM_SO_MOI'!$C$41)-O175)/('THAM_SO_MOI'!$C$11*H175)</f>
        <v>0.21209500050483918</v>
      </c>
      <c r="Q175" s="75">
        <f>IF(P175&gt;0,1/P175,NA())</f>
        <v>4.714868326079114</v>
      </c>
      <c r="R175" s="75">
        <f>F175-F174</f>
        <v>0.017600427350426884</v>
      </c>
      <c r="S175" s="75">
        <f>0.5*(Q174+Q175)*R175</f>
        <v>0.08299397961970652</v>
      </c>
      <c r="T175" s="75">
        <f>0.5*(F174*Q174+F175*Q175)*R175</f>
        <v>0.9200155722525966</v>
      </c>
      <c r="U175" s="76">
        <f>U174+S175</f>
        <v>14.502216315215291</v>
      </c>
      <c r="V175" s="76">
        <f>V174+T175</f>
        <v>139.03553585253186</v>
      </c>
    </row>
    <row r="176" spans="1:22" ht="19" customHeight="1">
      <c r="A176" s="68" t="s">
        <v>362</v>
      </c>
      <c r="B176" s="74">
        <v>5</v>
      </c>
      <c r="C176" s="68" t="s">
        <v>363</v>
      </c>
      <c r="D176" s="68" t="s">
        <v>364</v>
      </c>
      <c r="E176" s="75">
        <f>60*F176*'THAM_SO_MOI'!$C$53/(2*PI()*'THAM_SO_MOI'!$C$26)</f>
        <v>1094.7978947368417</v>
      </c>
      <c r="F176" s="75">
        <f>'THAM_SO_MOI'!$E$53+('THAM_SO_MOI'!$C$14-'THAM_SO_MOI'!$E$53)*170/'THAM_SO_MOI'!$C$42</f>
        <v>11.11173076923077</v>
      </c>
      <c r="G176" s="75">
        <f>3.6*F176</f>
        <v>40.00223076923077</v>
      </c>
      <c r="H176" s="75">
        <f>'THAM_SO_MOI'!$D$53</f>
        <v>1.1</v>
      </c>
      <c r="I176" s="75">
        <f>IF(F176&gt;'THAM_SO_MOI'!$C$14,'THAM_SO_MOI'!$C$13*(1+F176^2/1500),'THAM_SO_MOI'!$C$13)</f>
        <v>0.015</v>
      </c>
      <c r="J176" s="75">
        <f>'THAM_SO_MOI'!$C$40*('THAM_SO_MOI'!$C$23*(E176/'THAM_SO_MOI'!$C$22)+'THAM_SO_MOI'!$C$24*(E176/'THAM_SO_MOI'!$C$22)^2-'THAM_SO_MOI'!$C$25*(E176/'THAM_SO_MOI'!$C$22)^3)</f>
        <v>42.91562300645763</v>
      </c>
      <c r="K176" s="75">
        <f>'THAM_SO_MOI'!$C$31*J176/E176</f>
        <v>374.3990915455463</v>
      </c>
      <c r="L176" s="75">
        <f>K176*'THAM_SO_MOI'!$C$53*'THAM_SO_MOI'!$C$17/'THAM_SO_MOI'!$C$26</f>
        <v>3283.481497866314</v>
      </c>
      <c r="M176" s="75">
        <f>'THAM_SO_MOI'!$C$15*'THAM_SO_MOI'!$C$16*F176^2</f>
        <v>361.1513900120193</v>
      </c>
      <c r="N176" s="75">
        <f>'THAM_SO_MOI'!$C$12*I176</f>
        <v>1130.112</v>
      </c>
      <c r="O176" s="75">
        <f>M176+N176</f>
        <v>1491.2633900120195</v>
      </c>
      <c r="P176" s="75">
        <f>(MIN(L176,'THAM_SO_MOI'!$C$41)-O176)/('THAM_SO_MOI'!$C$11*H176)</f>
        <v>0.2121470298122981</v>
      </c>
      <c r="Q176" s="75">
        <f>IF(P176&gt;0,1/P176,NA())</f>
        <v>4.713711999101626</v>
      </c>
      <c r="R176" s="75">
        <f>F176-F175</f>
        <v>0.017600427350426884</v>
      </c>
      <c r="S176" s="75">
        <f>0.5*(Q175+Q176)*R176</f>
        <v>0.08297352151550394</v>
      </c>
      <c r="T176" s="75">
        <f>0.5*(F175*Q175+F176*Q176)*R176</f>
        <v>0.9212491577862254</v>
      </c>
      <c r="U176" s="76">
        <f>U175+S176</f>
        <v>14.585189836730795</v>
      </c>
      <c r="V176" s="76">
        <f>V175+T176</f>
        <v>139.9567850103181</v>
      </c>
    </row>
    <row r="177" spans="1:22" ht="19" customHeight="1">
      <c r="A177" s="68" t="s">
        <v>362</v>
      </c>
      <c r="B177" s="74">
        <v>5</v>
      </c>
      <c r="C177" s="68" t="s">
        <v>363</v>
      </c>
      <c r="D177" s="68" t="s">
        <v>364</v>
      </c>
      <c r="E177" s="75">
        <f>60*F177*'THAM_SO_MOI'!$C$53/(2*PI()*'THAM_SO_MOI'!$C$26)</f>
        <v>1096.5319999999997</v>
      </c>
      <c r="F177" s="75">
        <f>'THAM_SO_MOI'!$E$53+('THAM_SO_MOI'!$C$14-'THAM_SO_MOI'!$E$53)*171/'THAM_SO_MOI'!$C$42</f>
        <v>11.129331196581198</v>
      </c>
      <c r="G177" s="75">
        <f>3.6*F177</f>
        <v>40.06559230769231</v>
      </c>
      <c r="H177" s="75">
        <f>'THAM_SO_MOI'!$D$53</f>
        <v>1.1</v>
      </c>
      <c r="I177" s="75">
        <f>IF(F177&gt;'THAM_SO_MOI'!$C$14,'THAM_SO_MOI'!$C$13*(1+F177^2/1500),'THAM_SO_MOI'!$C$13)</f>
        <v>0.015</v>
      </c>
      <c r="J177" s="75">
        <f>'THAM_SO_MOI'!$C$40*('THAM_SO_MOI'!$C$23*(E177/'THAM_SO_MOI'!$C$22)+'THAM_SO_MOI'!$C$24*(E177/'THAM_SO_MOI'!$C$22)^2-'THAM_SO_MOI'!$C$25*(E177/'THAM_SO_MOI'!$C$22)^3)</f>
        <v>43.0042850056776</v>
      </c>
      <c r="K177" s="75">
        <f>'THAM_SO_MOI'!$C$31*J177/E177</f>
        <v>374.5792705477276</v>
      </c>
      <c r="L177" s="75">
        <f>K177*'THAM_SO_MOI'!$C$53*'THAM_SO_MOI'!$C$17/'THAM_SO_MOI'!$C$26</f>
        <v>3285.0616684204792</v>
      </c>
      <c r="M177" s="75">
        <f>'THAM_SO_MOI'!$C$15*'THAM_SO_MOI'!$C$16*F177^2</f>
        <v>362.29638768334684</v>
      </c>
      <c r="N177" s="75">
        <f>'THAM_SO_MOI'!$C$12*I177</f>
        <v>1130.112</v>
      </c>
      <c r="O177" s="75">
        <f>M177+N177</f>
        <v>1492.408387683347</v>
      </c>
      <c r="P177" s="75">
        <f>(MIN(L177,'THAM_SO_MOI'!$C$41)-O177)/('THAM_SO_MOI'!$C$11*H177)</f>
        <v>0.21219854175392192</v>
      </c>
      <c r="Q177" s="75">
        <f>IF(P177&gt;0,1/P177,NA())</f>
        <v>4.712567728951029</v>
      </c>
      <c r="R177" s="75">
        <f>F177-F176</f>
        <v>0.01760042735042866</v>
      </c>
      <c r="S177" s="75">
        <f>0.5*(Q176+Q177)*R177</f>
        <v>0.0829532757692046</v>
      </c>
      <c r="T177" s="75">
        <f>0.5*(F176*Q176+F177*Q177)*R177</f>
        <v>0.9224843847084002</v>
      </c>
      <c r="U177" s="76">
        <f>U176+S177</f>
        <v>14.6681431125</v>
      </c>
      <c r="V177" s="76">
        <f>V176+T177</f>
        <v>140.8792693950265</v>
      </c>
    </row>
    <row r="178" spans="1:22" ht="19" customHeight="1">
      <c r="A178" s="68" t="s">
        <v>362</v>
      </c>
      <c r="B178" s="74">
        <v>5</v>
      </c>
      <c r="C178" s="68" t="s">
        <v>363</v>
      </c>
      <c r="D178" s="68" t="s">
        <v>364</v>
      </c>
      <c r="E178" s="75">
        <f>60*F178*'THAM_SO_MOI'!$C$53/(2*PI()*'THAM_SO_MOI'!$C$26)</f>
        <v>1098.2661052631577</v>
      </c>
      <c r="F178" s="75">
        <f>'THAM_SO_MOI'!$E$53+('THAM_SO_MOI'!$C$14-'THAM_SO_MOI'!$E$53)*172/'THAM_SO_MOI'!$C$42</f>
        <v>11.146931623931625</v>
      </c>
      <c r="G178" s="75">
        <f>3.6*F178</f>
        <v>40.12895384615385</v>
      </c>
      <c r="H178" s="75">
        <f>'THAM_SO_MOI'!$D$53</f>
        <v>1.1</v>
      </c>
      <c r="I178" s="75">
        <f>IF(F178&gt;'THAM_SO_MOI'!$C$14,'THAM_SO_MOI'!$C$13*(1+F178^2/1500),'THAM_SO_MOI'!$C$13)</f>
        <v>0.015</v>
      </c>
      <c r="J178" s="75">
        <f>'THAM_SO_MOI'!$C$40*('THAM_SO_MOI'!$C$23*(E178/'THAM_SO_MOI'!$C$22)+'THAM_SO_MOI'!$C$24*(E178/'THAM_SO_MOI'!$C$22)^2-'THAM_SO_MOI'!$C$25*(E178/'THAM_SO_MOI'!$C$22)^3)</f>
        <v>43.092978885562125</v>
      </c>
      <c r="K178" s="75">
        <f>'THAM_SO_MOI'!$C$31*J178/E178</f>
        <v>374.759157814284</v>
      </c>
      <c r="L178" s="75">
        <f>K178*'THAM_SO_MOI'!$C$53*'THAM_SO_MOI'!$C$17/'THAM_SO_MOI'!$C$26</f>
        <v>3286.639280452072</v>
      </c>
      <c r="M178" s="75">
        <f>'THAM_SO_MOI'!$C$15*'THAM_SO_MOI'!$C$16*F178^2</f>
        <v>363.4431975386753</v>
      </c>
      <c r="N178" s="75">
        <f>'THAM_SO_MOI'!$C$12*I178</f>
        <v>1130.112</v>
      </c>
      <c r="O178" s="75">
        <f>M178+N178</f>
        <v>1493.5551975386754</v>
      </c>
      <c r="P178" s="75">
        <f>(MIN(L178,'THAM_SO_MOI'!$C$41)-O178)/('THAM_SO_MOI'!$C$11*H178)</f>
        <v>0.21224953632971078</v>
      </c>
      <c r="Q178" s="75">
        <f>IF(P178&gt;0,1/P178,NA())</f>
        <v>4.71143549848132</v>
      </c>
      <c r="R178" s="75">
        <f>F178-F177</f>
        <v>0.017600427350426884</v>
      </c>
      <c r="S178" s="75">
        <f>0.5*(Q177+Q178)*R178</f>
        <v>0.08293324207730578</v>
      </c>
      <c r="T178" s="75">
        <f>0.5*(F177*Q177+F178*Q178)*R178</f>
        <v>0.9237212608514526</v>
      </c>
      <c r="U178" s="76">
        <f>U177+S178</f>
        <v>14.751076354577306</v>
      </c>
      <c r="V178" s="76">
        <f>V177+T178</f>
        <v>141.80299065587798</v>
      </c>
    </row>
    <row r="179" spans="1:22" ht="19" customHeight="1">
      <c r="A179" s="68" t="s">
        <v>362</v>
      </c>
      <c r="B179" s="74">
        <v>5</v>
      </c>
      <c r="C179" s="68" t="s">
        <v>363</v>
      </c>
      <c r="D179" s="68" t="s">
        <v>364</v>
      </c>
      <c r="E179" s="75">
        <f>60*F179*'THAM_SO_MOI'!$C$53/(2*PI()*'THAM_SO_MOI'!$C$26)</f>
        <v>1100.0002105263156</v>
      </c>
      <c r="F179" s="75">
        <f>'THAM_SO_MOI'!$E$53+('THAM_SO_MOI'!$C$14-'THAM_SO_MOI'!$E$53)*173/'THAM_SO_MOI'!$C$42</f>
        <v>11.164532051282052</v>
      </c>
      <c r="G179" s="75">
        <f>3.6*F179</f>
        <v>40.19231538461539</v>
      </c>
      <c r="H179" s="75">
        <f>'THAM_SO_MOI'!$D$53</f>
        <v>1.1</v>
      </c>
      <c r="I179" s="75">
        <f>IF(F179&gt;'THAM_SO_MOI'!$C$14,'THAM_SO_MOI'!$C$13*(1+F179^2/1500),'THAM_SO_MOI'!$C$13)</f>
        <v>0.015</v>
      </c>
      <c r="J179" s="75">
        <f>'THAM_SO_MOI'!$C$40*('THAM_SO_MOI'!$C$23*(E179/'THAM_SO_MOI'!$C$22)+'THAM_SO_MOI'!$C$24*(E179/'THAM_SO_MOI'!$C$22)^2-'THAM_SO_MOI'!$C$25*(E179/'THAM_SO_MOI'!$C$22)^3)</f>
        <v>43.18170448720792</v>
      </c>
      <c r="K179" s="75">
        <f>'THAM_SO_MOI'!$C$31*J179/E179</f>
        <v>374.93875334521545</v>
      </c>
      <c r="L179" s="75">
        <f>K179*'THAM_SO_MOI'!$C$53*'THAM_SO_MOI'!$C$17/'THAM_SO_MOI'!$C$26</f>
        <v>3288.214333961092</v>
      </c>
      <c r="M179" s="75">
        <f>'THAM_SO_MOI'!$C$15*'THAM_SO_MOI'!$C$16*F179^2</f>
        <v>364.5918195780049</v>
      </c>
      <c r="N179" s="75">
        <f>'THAM_SO_MOI'!$C$12*I179</f>
        <v>1130.112</v>
      </c>
      <c r="O179" s="75">
        <f>M179+N179</f>
        <v>1494.703819578005</v>
      </c>
      <c r="P179" s="75">
        <f>(MIN(L179,'THAM_SO_MOI'!$C$41)-O179)/('THAM_SO_MOI'!$C$11*H179)</f>
        <v>0.21230001353966466</v>
      </c>
      <c r="Q179" s="75">
        <f>IF(P179&gt;0,1/P179,NA())</f>
        <v>4.710315290739098</v>
      </c>
      <c r="R179" s="75">
        <f>F179-F178</f>
        <v>0.017600427350426884</v>
      </c>
      <c r="S179" s="75">
        <f>0.5*(Q178+Q179)*R179</f>
        <v>0.08291342013975056</v>
      </c>
      <c r="T179" s="75">
        <f>0.5*(F178*Q178+F179*Q179)*R179</f>
        <v>0.9249597940647869</v>
      </c>
      <c r="U179" s="76">
        <f>U178+S179</f>
        <v>14.833989774717056</v>
      </c>
      <c r="V179" s="76">
        <f>V178+T179</f>
        <v>142.72795044994277</v>
      </c>
    </row>
    <row r="180" spans="1:22" ht="19" customHeight="1">
      <c r="A180" s="68" t="s">
        <v>362</v>
      </c>
      <c r="B180" s="74">
        <v>5</v>
      </c>
      <c r="C180" s="68" t="s">
        <v>363</v>
      </c>
      <c r="D180" s="68" t="s">
        <v>364</v>
      </c>
      <c r="E180" s="75">
        <f>60*F180*'THAM_SO_MOI'!$C$53/(2*PI()*'THAM_SO_MOI'!$C$26)</f>
        <v>1101.7343157894736</v>
      </c>
      <c r="F180" s="75">
        <f>'THAM_SO_MOI'!$E$53+('THAM_SO_MOI'!$C$14-'THAM_SO_MOI'!$E$53)*174/'THAM_SO_MOI'!$C$42</f>
        <v>11.182132478632479</v>
      </c>
      <c r="G180" s="75">
        <f>3.6*F180</f>
        <v>40.255676923076926</v>
      </c>
      <c r="H180" s="75">
        <f>'THAM_SO_MOI'!$D$53</f>
        <v>1.1</v>
      </c>
      <c r="I180" s="75">
        <f>IF(F180&gt;'THAM_SO_MOI'!$C$14,'THAM_SO_MOI'!$C$13*(1+F180^2/1500),'THAM_SO_MOI'!$C$13)</f>
        <v>0.015</v>
      </c>
      <c r="J180" s="75">
        <f>'THAM_SO_MOI'!$C$40*('THAM_SO_MOI'!$C$23*(E180/'THAM_SO_MOI'!$C$22)+'THAM_SO_MOI'!$C$24*(E180/'THAM_SO_MOI'!$C$22)^2-'THAM_SO_MOI'!$C$25*(E180/'THAM_SO_MOI'!$C$22)^3)</f>
        <v>43.27046165171168</v>
      </c>
      <c r="K180" s="75">
        <f>'THAM_SO_MOI'!$C$31*J180/E180</f>
        <v>375.1180571405217</v>
      </c>
      <c r="L180" s="75">
        <f>K180*'THAM_SO_MOI'!$C$53*'THAM_SO_MOI'!$C$17/'THAM_SO_MOI'!$C$26</f>
        <v>3289.7868289475387</v>
      </c>
      <c r="M180" s="75">
        <f>'THAM_SO_MOI'!$C$15*'THAM_SO_MOI'!$C$16*F180^2</f>
        <v>365.7422538013355</v>
      </c>
      <c r="N180" s="75">
        <f>'THAM_SO_MOI'!$C$12*I180</f>
        <v>1130.112</v>
      </c>
      <c r="O180" s="75">
        <f>M180+N180</f>
        <v>1495.8542538013355</v>
      </c>
      <c r="P180" s="75">
        <f>(MIN(L180,'THAM_SO_MOI'!$C$41)-O180)/('THAM_SO_MOI'!$C$11*H180)</f>
        <v>0.21234997338378347</v>
      </c>
      <c r="Q180" s="75">
        <f>IF(P180&gt;0,1/P180,NA())</f>
        <v>4.709207088962917</v>
      </c>
      <c r="R180" s="75">
        <f>F180-F179</f>
        <v>0.017600427350426884</v>
      </c>
      <c r="S180" s="75">
        <f>0.5*(Q179+Q180)*R180</f>
        <v>0.08289380965983274</v>
      </c>
      <c r="T180" s="75">
        <f>0.5*(F179*Q179+F180*Q180)*R180</f>
        <v>0.9261999922141222</v>
      </c>
      <c r="U180" s="76">
        <f>U179+S180</f>
        <v>14.916883584376889</v>
      </c>
      <c r="V180" s="76">
        <f>V179+T180</f>
        <v>143.6541504421569</v>
      </c>
    </row>
    <row r="181" spans="1:22" ht="19" customHeight="1">
      <c r="A181" s="68" t="s">
        <v>362</v>
      </c>
      <c r="B181" s="74">
        <v>5</v>
      </c>
      <c r="C181" s="68" t="s">
        <v>363</v>
      </c>
      <c r="D181" s="68" t="s">
        <v>364</v>
      </c>
      <c r="E181" s="75">
        <f>60*F181*'THAM_SO_MOI'!$C$53/(2*PI()*'THAM_SO_MOI'!$C$26)</f>
        <v>1103.4684210526316</v>
      </c>
      <c r="F181" s="75">
        <f>'THAM_SO_MOI'!$E$53+('THAM_SO_MOI'!$C$14-'THAM_SO_MOI'!$E$53)*175/'THAM_SO_MOI'!$C$42</f>
        <v>11.199732905982907</v>
      </c>
      <c r="G181" s="75">
        <f>3.6*F181</f>
        <v>40.31903846153847</v>
      </c>
      <c r="H181" s="75">
        <f>'THAM_SO_MOI'!$D$53</f>
        <v>1.1</v>
      </c>
      <c r="I181" s="75">
        <f>IF(F181&gt;'THAM_SO_MOI'!$C$14,'THAM_SO_MOI'!$C$13*(1+F181^2/1500),'THAM_SO_MOI'!$C$13)</f>
        <v>0.015</v>
      </c>
      <c r="J181" s="75">
        <f>'THAM_SO_MOI'!$C$40*('THAM_SO_MOI'!$C$23*(E181/'THAM_SO_MOI'!$C$22)+'THAM_SO_MOI'!$C$24*(E181/'THAM_SO_MOI'!$C$22)^2-'THAM_SO_MOI'!$C$25*(E181/'THAM_SO_MOI'!$C$22)^3)</f>
        <v>43.35925022017014</v>
      </c>
      <c r="K181" s="75">
        <f>'THAM_SO_MOI'!$C$31*J181/E181</f>
        <v>375.2970692002029</v>
      </c>
      <c r="L181" s="75">
        <f>K181*'THAM_SO_MOI'!$C$53*'THAM_SO_MOI'!$C$17/'THAM_SO_MOI'!$C$26</f>
        <v>3291.3567654114104</v>
      </c>
      <c r="M181" s="75">
        <f>'THAM_SO_MOI'!$C$15*'THAM_SO_MOI'!$C$16*F181^2</f>
        <v>366.89450020866735</v>
      </c>
      <c r="N181" s="75">
        <f>'THAM_SO_MOI'!$C$12*I181</f>
        <v>1130.112</v>
      </c>
      <c r="O181" s="75">
        <f>M181+N181</f>
        <v>1497.0065002086674</v>
      </c>
      <c r="P181" s="75">
        <f>(MIN(L181,'THAM_SO_MOI'!$C$41)-O181)/('THAM_SO_MOI'!$C$11*H181)</f>
        <v>0.2123994158620671</v>
      </c>
      <c r="Q181" s="75">
        <f>IF(P181&gt;0,1/P181,NA())</f>
        <v>4.708110876582652</v>
      </c>
      <c r="R181" s="75">
        <f>F181-F180</f>
        <v>0.01760042735042866</v>
      </c>
      <c r="S181" s="75">
        <f>0.5*(Q180+Q181)*R181</f>
        <v>0.08287441034423572</v>
      </c>
      <c r="T181" s="75">
        <f>0.5*(F180*Q180+F181*Q181)*R181</f>
        <v>0.927441863182221</v>
      </c>
      <c r="U181" s="76">
        <f>U180+S181</f>
        <v>14.999757994721124</v>
      </c>
      <c r="V181" s="76">
        <f>V180+T181</f>
        <v>144.58159230533911</v>
      </c>
    </row>
    <row r="182" spans="1:22" ht="19" customHeight="1">
      <c r="A182" s="68" t="s">
        <v>362</v>
      </c>
      <c r="B182" s="74">
        <v>5</v>
      </c>
      <c r="C182" s="68" t="s">
        <v>363</v>
      </c>
      <c r="D182" s="68" t="s">
        <v>364</v>
      </c>
      <c r="E182" s="75">
        <f>60*F182*'THAM_SO_MOI'!$C$53/(2*PI()*'THAM_SO_MOI'!$C$26)</f>
        <v>1105.2025263157893</v>
      </c>
      <c r="F182" s="75">
        <f>'THAM_SO_MOI'!$E$53+('THAM_SO_MOI'!$C$14-'THAM_SO_MOI'!$E$53)*176/'THAM_SO_MOI'!$C$42</f>
        <v>11.217333333333334</v>
      </c>
      <c r="G182" s="75">
        <f>3.6*F182</f>
        <v>40.382400000000004</v>
      </c>
      <c r="H182" s="75">
        <f>'THAM_SO_MOI'!$D$53</f>
        <v>1.1</v>
      </c>
      <c r="I182" s="75">
        <f>IF(F182&gt;'THAM_SO_MOI'!$C$14,'THAM_SO_MOI'!$C$13*(1+F182^2/1500),'THAM_SO_MOI'!$C$13)</f>
        <v>0.015</v>
      </c>
      <c r="J182" s="75">
        <f>'THAM_SO_MOI'!$C$40*('THAM_SO_MOI'!$C$23*(E182/'THAM_SO_MOI'!$C$22)+'THAM_SO_MOI'!$C$24*(E182/'THAM_SO_MOI'!$C$22)^2-'THAM_SO_MOI'!$C$25*(E182/'THAM_SO_MOI'!$C$22)^3)</f>
        <v>43.44807003368003</v>
      </c>
      <c r="K182" s="75">
        <f>'THAM_SO_MOI'!$C$31*J182/E182</f>
        <v>375.47578952425926</v>
      </c>
      <c r="L182" s="75">
        <f>K182*'THAM_SO_MOI'!$C$53*'THAM_SO_MOI'!$C$17/'THAM_SO_MOI'!$C$26</f>
        <v>3292.9241433527122</v>
      </c>
      <c r="M182" s="75">
        <f>'THAM_SO_MOI'!$C$15*'THAM_SO_MOI'!$C$16*F182^2</f>
        <v>368.0485588000001</v>
      </c>
      <c r="N182" s="75">
        <f>'THAM_SO_MOI'!$C$12*I182</f>
        <v>1130.112</v>
      </c>
      <c r="O182" s="75">
        <f>M182+N182</f>
        <v>1498.1605588000002</v>
      </c>
      <c r="P182" s="75">
        <f>(MIN(L182,'THAM_SO_MOI'!$C$41)-O182)/('THAM_SO_MOI'!$C$11*H182)</f>
        <v>0.2124483409745161</v>
      </c>
      <c r="Q182" s="75">
        <f>IF(P182&gt;0,1/P182,NA())</f>
        <v>4.707026637218849</v>
      </c>
      <c r="R182" s="75">
        <f>F182-F181</f>
        <v>0.017600427350426884</v>
      </c>
      <c r="S182" s="75">
        <f>0.5*(Q181+Q182)*R182</f>
        <v>0.08285522190297105</v>
      </c>
      <c r="T182" s="75">
        <f>0.5*(F181*Q181+F182*Q182)*R182</f>
        <v>0.9286854148685002</v>
      </c>
      <c r="U182" s="76">
        <f>U181+S182</f>
        <v>15.082613216624095</v>
      </c>
      <c r="V182" s="76">
        <f>V181+T182</f>
        <v>145.51027772020763</v>
      </c>
    </row>
    <row r="183" spans="1:22" ht="19" customHeight="1">
      <c r="A183" s="68" t="s">
        <v>362</v>
      </c>
      <c r="B183" s="74">
        <v>5</v>
      </c>
      <c r="C183" s="68" t="s">
        <v>363</v>
      </c>
      <c r="D183" s="68" t="s">
        <v>364</v>
      </c>
      <c r="E183" s="75">
        <f>60*F183*'THAM_SO_MOI'!$C$53/(2*PI()*'THAM_SO_MOI'!$C$26)</f>
        <v>1106.9366315789473</v>
      </c>
      <c r="F183" s="75">
        <f>'THAM_SO_MOI'!$E$53+('THAM_SO_MOI'!$C$14-'THAM_SO_MOI'!$E$53)*177/'THAM_SO_MOI'!$C$42</f>
        <v>11.234933760683761</v>
      </c>
      <c r="G183" s="75">
        <f>3.6*F183</f>
        <v>40.44576153846154</v>
      </c>
      <c r="H183" s="75">
        <f>'THAM_SO_MOI'!$D$53</f>
        <v>1.1</v>
      </c>
      <c r="I183" s="75">
        <f>IF(F183&gt;'THAM_SO_MOI'!$C$14,'THAM_SO_MOI'!$C$13*(1+F183^2/1500),'THAM_SO_MOI'!$C$13)</f>
        <v>0.015</v>
      </c>
      <c r="J183" s="75">
        <f>'THAM_SO_MOI'!$C$40*('THAM_SO_MOI'!$C$23*(E183/'THAM_SO_MOI'!$C$22)+'THAM_SO_MOI'!$C$24*(E183/'THAM_SO_MOI'!$C$22)^2-'THAM_SO_MOI'!$C$25*(E183/'THAM_SO_MOI'!$C$22)^3)</f>
        <v>43.53692093333807</v>
      </c>
      <c r="K183" s="75">
        <f>'THAM_SO_MOI'!$C$31*J183/E183</f>
        <v>375.65421811269044</v>
      </c>
      <c r="L183" s="75">
        <f>K183*'THAM_SO_MOI'!$C$53*'THAM_SO_MOI'!$C$17/'THAM_SO_MOI'!$C$26</f>
        <v>3294.4889627714388</v>
      </c>
      <c r="M183" s="75">
        <f>'THAM_SO_MOI'!$C$15*'THAM_SO_MOI'!$C$16*F183^2</f>
        <v>369.20442957533396</v>
      </c>
      <c r="N183" s="75">
        <f>'THAM_SO_MOI'!$C$12*I183</f>
        <v>1130.112</v>
      </c>
      <c r="O183" s="75">
        <f>M183+N183</f>
        <v>1499.316429575334</v>
      </c>
      <c r="P183" s="75">
        <f>(MIN(L183,'THAM_SO_MOI'!$C$41)-O183)/('THAM_SO_MOI'!$C$11*H183)</f>
        <v>0.2124967487211298</v>
      </c>
      <c r="Q183" s="75">
        <f>IF(P183&gt;0,1/P183,NA())</f>
        <v>4.705954354682153</v>
      </c>
      <c r="R183" s="75">
        <f>F183-F182</f>
        <v>0.017600427350426884</v>
      </c>
      <c r="S183" s="75">
        <f>0.5*(Q182+Q183)*R183</f>
        <v>0.08283624404945138</v>
      </c>
      <c r="T183" s="75">
        <f>0.5*(F182*Q182+F183*Q183)*R183</f>
        <v>0.9299306551901413</v>
      </c>
      <c r="U183" s="76">
        <f>U182+S183</f>
        <v>15.165449460673546</v>
      </c>
      <c r="V183" s="76">
        <f>V182+T183</f>
        <v>146.44020837539776</v>
      </c>
    </row>
    <row r="184" spans="1:22" ht="19" customHeight="1">
      <c r="A184" s="68" t="s">
        <v>362</v>
      </c>
      <c r="B184" s="74">
        <v>5</v>
      </c>
      <c r="C184" s="68" t="s">
        <v>363</v>
      </c>
      <c r="D184" s="68" t="s">
        <v>364</v>
      </c>
      <c r="E184" s="75">
        <f>60*F184*'THAM_SO_MOI'!$C$53/(2*PI()*'THAM_SO_MOI'!$C$26)</f>
        <v>1108.6707368421053</v>
      </c>
      <c r="F184" s="75">
        <f>'THAM_SO_MOI'!$E$53+('THAM_SO_MOI'!$C$14-'THAM_SO_MOI'!$E$53)*178/'THAM_SO_MOI'!$C$42</f>
        <v>11.25253418803419</v>
      </c>
      <c r="G184" s="75">
        <f>3.6*F184</f>
        <v>40.50912307692308</v>
      </c>
      <c r="H184" s="75">
        <f>'THAM_SO_MOI'!$D$53</f>
        <v>1.1</v>
      </c>
      <c r="I184" s="75">
        <f>IF(F184&gt;'THAM_SO_MOI'!$C$14,'THAM_SO_MOI'!$C$13*(1+F184^2/1500),'THAM_SO_MOI'!$C$13)</f>
        <v>0.015</v>
      </c>
      <c r="J184" s="75">
        <f>'THAM_SO_MOI'!$C$40*('THAM_SO_MOI'!$C$23*(E184/'THAM_SO_MOI'!$C$22)+'THAM_SO_MOI'!$C$24*(E184/'THAM_SO_MOI'!$C$22)^2-'THAM_SO_MOI'!$C$25*(E184/'THAM_SO_MOI'!$C$22)^3)</f>
        <v>43.62580276024098</v>
      </c>
      <c r="K184" s="75">
        <f>'THAM_SO_MOI'!$C$31*J184/E184</f>
        <v>375.83235496549673</v>
      </c>
      <c r="L184" s="75">
        <f>K184*'THAM_SO_MOI'!$C$53*'THAM_SO_MOI'!$C$17/'THAM_SO_MOI'!$C$26</f>
        <v>3296.0512236675945</v>
      </c>
      <c r="M184" s="75">
        <f>'THAM_SO_MOI'!$C$15*'THAM_SO_MOI'!$C$16*F184^2</f>
        <v>370.36211253466894</v>
      </c>
      <c r="N184" s="75">
        <f>'THAM_SO_MOI'!$C$12*I184</f>
        <v>1130.112</v>
      </c>
      <c r="O184" s="75">
        <f>M184+N184</f>
        <v>1500.474112534669</v>
      </c>
      <c r="P184" s="75">
        <f>(MIN(L184,'THAM_SO_MOI'!$C$41)-O184)/('THAM_SO_MOI'!$C$11*H184)</f>
        <v>0.2125446391019088</v>
      </c>
      <c r="Q184" s="75">
        <f>IF(P184&gt;0,1/P184,NA())</f>
        <v>4.704894012972635</v>
      </c>
      <c r="R184" s="75">
        <f>F184-F183</f>
        <v>0.01760042735042866</v>
      </c>
      <c r="S184" s="75">
        <f>0.5*(Q183+Q184)*R184</f>
        <v>0.08281747650040412</v>
      </c>
      <c r="T184" s="75">
        <f>0.5*(F183*Q183+F184*Q184)*R184</f>
        <v>0.9311775920814203</v>
      </c>
      <c r="U184" s="76">
        <f>U183+S184</f>
        <v>15.24826693717395</v>
      </c>
      <c r="V184" s="76">
        <f>V183+T184</f>
        <v>147.37138596747917</v>
      </c>
    </row>
    <row r="185" spans="1:22" ht="19" customHeight="1">
      <c r="A185" s="68" t="s">
        <v>362</v>
      </c>
      <c r="B185" s="74">
        <v>5</v>
      </c>
      <c r="C185" s="68" t="s">
        <v>363</v>
      </c>
      <c r="D185" s="68" t="s">
        <v>364</v>
      </c>
      <c r="E185" s="75">
        <f>60*F185*'THAM_SO_MOI'!$C$53/(2*PI()*'THAM_SO_MOI'!$C$26)</f>
        <v>1110.404842105263</v>
      </c>
      <c r="F185" s="75">
        <f>'THAM_SO_MOI'!$E$53+('THAM_SO_MOI'!$C$14-'THAM_SO_MOI'!$E$53)*179/'THAM_SO_MOI'!$C$42</f>
        <v>11.270134615384617</v>
      </c>
      <c r="G185" s="75">
        <f>3.6*F185</f>
        <v>40.572484615384624</v>
      </c>
      <c r="H185" s="75">
        <f>'THAM_SO_MOI'!$D$53</f>
        <v>1.1</v>
      </c>
      <c r="I185" s="75">
        <f>IF(F185&gt;'THAM_SO_MOI'!$C$14,'THAM_SO_MOI'!$C$13*(1+F185^2/1500),'THAM_SO_MOI'!$C$13)</f>
        <v>0.015</v>
      </c>
      <c r="J185" s="75">
        <f>'THAM_SO_MOI'!$C$40*('THAM_SO_MOI'!$C$23*(E185/'THAM_SO_MOI'!$C$22)+'THAM_SO_MOI'!$C$24*(E185/'THAM_SO_MOI'!$C$22)^2-'THAM_SO_MOI'!$C$25*(E185/'THAM_SO_MOI'!$C$22)^3)</f>
        <v>43.71471535548545</v>
      </c>
      <c r="K185" s="75">
        <f>'THAM_SO_MOI'!$C$31*J185/E185</f>
        <v>376.01020008267784</v>
      </c>
      <c r="L185" s="75">
        <f>K185*'THAM_SO_MOI'!$C$53*'THAM_SO_MOI'!$C$17/'THAM_SO_MOI'!$C$26</f>
        <v>3297.610926041175</v>
      </c>
      <c r="M185" s="75">
        <f>'THAM_SO_MOI'!$C$15*'THAM_SO_MOI'!$C$16*F185^2</f>
        <v>371.52160767800495</v>
      </c>
      <c r="N185" s="75">
        <f>'THAM_SO_MOI'!$C$12*I185</f>
        <v>1130.112</v>
      </c>
      <c r="O185" s="75">
        <f>M185+N185</f>
        <v>1501.633607678005</v>
      </c>
      <c r="P185" s="75">
        <f>(MIN(L185,'THAM_SO_MOI'!$C$41)-O185)/('THAM_SO_MOI'!$C$11*H185)</f>
        <v>0.21259201211685252</v>
      </c>
      <c r="Q185" s="75">
        <f>IF(P185&gt;0,1/P185,NA())</f>
        <v>4.703845596279242</v>
      </c>
      <c r="R185" s="75">
        <f>F185-F184</f>
        <v>0.017600427350426884</v>
      </c>
      <c r="S185" s="75">
        <f>0.5*(Q184+Q185)*R185</f>
        <v>0.08279891897586075</v>
      </c>
      <c r="T185" s="75">
        <f>0.5*(F184*Q184+F185*Q185)*R185</f>
        <v>0.9324262334938785</v>
      </c>
      <c r="U185" s="76">
        <f>U184+S185</f>
        <v>15.331065856149811</v>
      </c>
      <c r="V185" s="76">
        <f>V184+T185</f>
        <v>148.30381220097306</v>
      </c>
    </row>
    <row r="186" spans="1:22" ht="19" customHeight="1">
      <c r="A186" s="68" t="s">
        <v>362</v>
      </c>
      <c r="B186" s="74">
        <v>5</v>
      </c>
      <c r="C186" s="68" t="s">
        <v>363</v>
      </c>
      <c r="D186" s="68" t="s">
        <v>364</v>
      </c>
      <c r="E186" s="75">
        <f>60*F186*'THAM_SO_MOI'!$C$53/(2*PI()*'THAM_SO_MOI'!$C$26)</f>
        <v>1112.1389473684208</v>
      </c>
      <c r="F186" s="75">
        <f>'THAM_SO_MOI'!$E$53+('THAM_SO_MOI'!$C$14-'THAM_SO_MOI'!$E$53)*180/'THAM_SO_MOI'!$C$42</f>
        <v>11.287735042735044</v>
      </c>
      <c r="G186" s="75">
        <f>3.6*F186</f>
        <v>40.63584615384616</v>
      </c>
      <c r="H186" s="75">
        <f>'THAM_SO_MOI'!$D$53</f>
        <v>1.1</v>
      </c>
      <c r="I186" s="75">
        <f>IF(F186&gt;'THAM_SO_MOI'!$C$14,'THAM_SO_MOI'!$C$13*(1+F186^2/1500),'THAM_SO_MOI'!$C$13)</f>
        <v>0.015</v>
      </c>
      <c r="J186" s="75">
        <f>'THAM_SO_MOI'!$C$40*('THAM_SO_MOI'!$C$23*(E186/'THAM_SO_MOI'!$C$22)+'THAM_SO_MOI'!$C$24*(E186/'THAM_SO_MOI'!$C$22)^2-'THAM_SO_MOI'!$C$25*(E186/'THAM_SO_MOI'!$C$22)^3)</f>
        <v>43.80365856016824</v>
      </c>
      <c r="K186" s="75">
        <f>'THAM_SO_MOI'!$C$31*J186/E186</f>
        <v>376.1877534642339</v>
      </c>
      <c r="L186" s="75">
        <f>K186*'THAM_SO_MOI'!$C$53*'THAM_SO_MOI'!$C$17/'THAM_SO_MOI'!$C$26</f>
        <v>3299.168069892182</v>
      </c>
      <c r="M186" s="75">
        <f>'THAM_SO_MOI'!$C$15*'THAM_SO_MOI'!$C$16*F186^2</f>
        <v>372.68291500534195</v>
      </c>
      <c r="N186" s="75">
        <f>'THAM_SO_MOI'!$C$12*I186</f>
        <v>1130.112</v>
      </c>
      <c r="O186" s="75">
        <f>M186+N186</f>
        <v>1502.794915005342</v>
      </c>
      <c r="P186" s="75">
        <f>(MIN(L186,'THAM_SO_MOI'!$C$41)-O186)/('THAM_SO_MOI'!$C$11*H186)</f>
        <v>0.21263886776596116</v>
      </c>
      <c r="Q186" s="75">
        <f>IF(P186&gt;0,1/P186,NA())</f>
        <v>4.70280908897916</v>
      </c>
      <c r="R186" s="75">
        <f>F186-F185</f>
        <v>0.017600427350426884</v>
      </c>
      <c r="S186" s="75">
        <f>0.5*(Q185+Q186)*R186</f>
        <v>0.0827805711992216</v>
      </c>
      <c r="T186" s="75">
        <f>0.5*(F185*Q185+F186*Q186)*R186</f>
        <v>0.9336765873973442</v>
      </c>
      <c r="U186" s="76">
        <f>U185+S186</f>
        <v>15.413846427349032</v>
      </c>
      <c r="V186" s="76">
        <f>V185+T186</f>
        <v>149.2374887883704</v>
      </c>
    </row>
    <row r="187" spans="1:22" ht="19" customHeight="1">
      <c r="A187" s="68" t="s">
        <v>362</v>
      </c>
      <c r="B187" s="74">
        <v>5</v>
      </c>
      <c r="C187" s="68" t="s">
        <v>363</v>
      </c>
      <c r="D187" s="68" t="s">
        <v>364</v>
      </c>
      <c r="E187" s="75">
        <f>60*F187*'THAM_SO_MOI'!$C$53/(2*PI()*'THAM_SO_MOI'!$C$26)</f>
        <v>1113.8730526315787</v>
      </c>
      <c r="F187" s="75">
        <f>'THAM_SO_MOI'!$E$53+('THAM_SO_MOI'!$C$14-'THAM_SO_MOI'!$E$53)*181/'THAM_SO_MOI'!$C$42</f>
        <v>11.30533547008547</v>
      </c>
      <c r="G187" s="75">
        <f>3.6*F187</f>
        <v>40.699207692307695</v>
      </c>
      <c r="H187" s="75">
        <f>'THAM_SO_MOI'!$D$53</f>
        <v>1.1</v>
      </c>
      <c r="I187" s="75">
        <f>IF(F187&gt;'THAM_SO_MOI'!$C$14,'THAM_SO_MOI'!$C$13*(1+F187^2/1500),'THAM_SO_MOI'!$C$13)</f>
        <v>0.015</v>
      </c>
      <c r="J187" s="75">
        <f>'THAM_SO_MOI'!$C$40*('THAM_SO_MOI'!$C$23*(E187/'THAM_SO_MOI'!$C$22)+'THAM_SO_MOI'!$C$24*(E187/'THAM_SO_MOI'!$C$22)^2-'THAM_SO_MOI'!$C$25*(E187/'THAM_SO_MOI'!$C$22)^3)</f>
        <v>43.89263221538606</v>
      </c>
      <c r="K187" s="75">
        <f>'THAM_SO_MOI'!$C$31*J187/E187</f>
        <v>376.3650151101649</v>
      </c>
      <c r="L187" s="75">
        <f>K187*'THAM_SO_MOI'!$C$53*'THAM_SO_MOI'!$C$17/'THAM_SO_MOI'!$C$26</f>
        <v>3300.7226552206166</v>
      </c>
      <c r="M187" s="75">
        <f>'THAM_SO_MOI'!$C$15*'THAM_SO_MOI'!$C$16*F187^2</f>
        <v>373.8460345166801</v>
      </c>
      <c r="N187" s="75">
        <f>'THAM_SO_MOI'!$C$12*I187</f>
        <v>1130.112</v>
      </c>
      <c r="O187" s="75">
        <f>M187+N187</f>
        <v>1503.95803451668</v>
      </c>
      <c r="P187" s="75">
        <f>(MIN(L187,'THAM_SO_MOI'!$C$41)-O187)/('THAM_SO_MOI'!$C$11*H187)</f>
        <v>0.2126852060492349</v>
      </c>
      <c r="Q187" s="75">
        <f>IF(P187&gt;0,1/P187,NA())</f>
        <v>4.701784475637239</v>
      </c>
      <c r="R187" s="75">
        <f>F187-F186</f>
        <v>0.017600427350426884</v>
      </c>
      <c r="S187" s="75">
        <f>0.5*(Q186+Q187)*R187</f>
        <v>0.08276243289716156</v>
      </c>
      <c r="T187" s="75">
        <f>0.5*(F186*Q186+F187*Q187)*R187</f>
        <v>0.9349286617791632</v>
      </c>
      <c r="U187" s="76">
        <f>U186+S187</f>
        <v>15.496608860246194</v>
      </c>
      <c r="V187" s="76">
        <f>V186+T187</f>
        <v>150.17241745014957</v>
      </c>
    </row>
    <row r="188" spans="1:22" ht="19" customHeight="1">
      <c r="A188" s="68" t="s">
        <v>362</v>
      </c>
      <c r="B188" s="74">
        <v>5</v>
      </c>
      <c r="C188" s="68" t="s">
        <v>363</v>
      </c>
      <c r="D188" s="68" t="s">
        <v>364</v>
      </c>
      <c r="E188" s="75">
        <f>60*F188*'THAM_SO_MOI'!$C$53/(2*PI()*'THAM_SO_MOI'!$C$26)</f>
        <v>1115.6071578947365</v>
      </c>
      <c r="F188" s="75">
        <f>'THAM_SO_MOI'!$E$53+('THAM_SO_MOI'!$C$14-'THAM_SO_MOI'!$E$53)*182/'THAM_SO_MOI'!$C$42</f>
        <v>11.322935897435897</v>
      </c>
      <c r="G188" s="75">
        <f>3.6*F188</f>
        <v>40.76256923076923</v>
      </c>
      <c r="H188" s="75">
        <f>'THAM_SO_MOI'!$D$53</f>
        <v>1.1</v>
      </c>
      <c r="I188" s="75">
        <f>IF(F188&gt;'THAM_SO_MOI'!$C$14,'THAM_SO_MOI'!$C$13*(1+F188^2/1500),'THAM_SO_MOI'!$C$13)</f>
        <v>0.015</v>
      </c>
      <c r="J188" s="75">
        <f>'THAM_SO_MOI'!$C$40*('THAM_SO_MOI'!$C$23*(E188/'THAM_SO_MOI'!$C$22)+'THAM_SO_MOI'!$C$24*(E188/'THAM_SO_MOI'!$C$22)^2-'THAM_SO_MOI'!$C$25*(E188/'THAM_SO_MOI'!$C$22)^3)</f>
        <v>43.98163616223563</v>
      </c>
      <c r="K188" s="75">
        <f>'THAM_SO_MOI'!$C$31*J188/E188</f>
        <v>376.541985020471</v>
      </c>
      <c r="L188" s="75">
        <f>K188*'THAM_SO_MOI'!$C$53*'THAM_SO_MOI'!$C$17/'THAM_SO_MOI'!$C$26</f>
        <v>3302.274682026479</v>
      </c>
      <c r="M188" s="75">
        <f>'THAM_SO_MOI'!$C$15*'THAM_SO_MOI'!$C$16*F188^2</f>
        <v>375.01096621201924</v>
      </c>
      <c r="N188" s="75">
        <f>'THAM_SO_MOI'!$C$12*I188</f>
        <v>1130.112</v>
      </c>
      <c r="O188" s="75">
        <f>M188+N188</f>
        <v>1505.1229662120193</v>
      </c>
      <c r="P188" s="75">
        <f>(MIN(L188,'THAM_SO_MOI'!$C$41)-O188)/('THAM_SO_MOI'!$C$11*H188)</f>
        <v>0.21273102696667368</v>
      </c>
      <c r="Q188" s="75">
        <f>IF(P188&gt;0,1/P188,NA())</f>
        <v>4.700771741005413</v>
      </c>
      <c r="R188" s="75">
        <f>F188-F187</f>
        <v>0.017600427350426884</v>
      </c>
      <c r="S188" s="75">
        <f>0.5*(Q187+Q188)*R188</f>
        <v>0.08274450379966182</v>
      </c>
      <c r="T188" s="75">
        <f>0.5*(F187*Q187+F188*Q188)*R188</f>
        <v>0.9361824646448468</v>
      </c>
      <c r="U188" s="76">
        <f>U187+S188</f>
        <v>15.579353364045856</v>
      </c>
      <c r="V188" s="76">
        <f>V187+T188</f>
        <v>151.1085999147944</v>
      </c>
    </row>
    <row r="189" spans="1:22" ht="19" customHeight="1">
      <c r="A189" s="68" t="s">
        <v>362</v>
      </c>
      <c r="B189" s="74">
        <v>5</v>
      </c>
      <c r="C189" s="68" t="s">
        <v>363</v>
      </c>
      <c r="D189" s="68" t="s">
        <v>364</v>
      </c>
      <c r="E189" s="75">
        <f>60*F189*'THAM_SO_MOI'!$C$53/(2*PI()*'THAM_SO_MOI'!$C$26)</f>
        <v>1117.341263157895</v>
      </c>
      <c r="F189" s="75">
        <f>'THAM_SO_MOI'!$E$53+('THAM_SO_MOI'!$C$14-'THAM_SO_MOI'!$E$53)*183/'THAM_SO_MOI'!$C$42</f>
        <v>11.340536324786326</v>
      </c>
      <c r="G189" s="75">
        <f>3.6*F189</f>
        <v>40.82593076923077</v>
      </c>
      <c r="H189" s="75">
        <f>'THAM_SO_MOI'!$D$53</f>
        <v>1.1</v>
      </c>
      <c r="I189" s="75">
        <f>IF(F189&gt;'THAM_SO_MOI'!$C$14,'THAM_SO_MOI'!$C$13*(1+F189^2/1500),'THAM_SO_MOI'!$C$13)</f>
        <v>0.015</v>
      </c>
      <c r="J189" s="75">
        <f>'THAM_SO_MOI'!$C$40*('THAM_SO_MOI'!$C$23*(E189/'THAM_SO_MOI'!$C$22)+'THAM_SO_MOI'!$C$24*(E189/'THAM_SO_MOI'!$C$22)^2-'THAM_SO_MOI'!$C$25*(E189/'THAM_SO_MOI'!$C$22)^3)</f>
        <v>44.0706702418137</v>
      </c>
      <c r="K189" s="75">
        <f>'THAM_SO_MOI'!$C$31*J189/E189</f>
        <v>376.718663195152</v>
      </c>
      <c r="L189" s="75">
        <f>K189*'THAM_SO_MOI'!$C$53*'THAM_SO_MOI'!$C$17/'THAM_SO_MOI'!$C$26</f>
        <v>3303.8241503097665</v>
      </c>
      <c r="M189" s="75">
        <f>'THAM_SO_MOI'!$C$15*'THAM_SO_MOI'!$C$16*F189^2</f>
        <v>376.1777100913596</v>
      </c>
      <c r="N189" s="75">
        <f>'THAM_SO_MOI'!$C$12*I189</f>
        <v>1130.112</v>
      </c>
      <c r="O189" s="75">
        <f>M189+N189</f>
        <v>1506.2897100913597</v>
      </c>
      <c r="P189" s="75">
        <f>(MIN(L189,'THAM_SO_MOI'!$C$41)-O189)/('THAM_SO_MOI'!$C$11*H189)</f>
        <v>0.21277633051827732</v>
      </c>
      <c r="Q189" s="75">
        <f>IF(P189&gt;0,1/P189,NA())</f>
        <v>4.699770870022127</v>
      </c>
      <c r="R189" s="75">
        <f>F189-F188</f>
        <v>0.01760042735042866</v>
      </c>
      <c r="S189" s="75">
        <f>0.5*(Q188+Q189)*R189</f>
        <v>0.08272678363999958</v>
      </c>
      <c r="T189" s="75">
        <f>0.5*(F188*Q188+F189*Q189)*R189</f>
        <v>0.9374380040182463</v>
      </c>
      <c r="U189" s="76">
        <f>U188+S189</f>
        <v>15.662080147685856</v>
      </c>
      <c r="V189" s="76">
        <f>V188+T189</f>
        <v>152.04603791881266</v>
      </c>
    </row>
    <row r="190" spans="1:22" ht="19" customHeight="1">
      <c r="A190" s="68" t="s">
        <v>362</v>
      </c>
      <c r="B190" s="74">
        <v>5</v>
      </c>
      <c r="C190" s="68" t="s">
        <v>363</v>
      </c>
      <c r="D190" s="68" t="s">
        <v>364</v>
      </c>
      <c r="E190" s="75">
        <f>60*F190*'THAM_SO_MOI'!$C$53/(2*PI()*'THAM_SO_MOI'!$C$26)</f>
        <v>1119.0753684210526</v>
      </c>
      <c r="F190" s="75">
        <f>'THAM_SO_MOI'!$E$53+('THAM_SO_MOI'!$C$14-'THAM_SO_MOI'!$E$53)*184/'THAM_SO_MOI'!$C$42</f>
        <v>11.358136752136753</v>
      </c>
      <c r="G190" s="75">
        <f>3.6*F190</f>
        <v>40.88929230769231</v>
      </c>
      <c r="H190" s="75">
        <f>'THAM_SO_MOI'!$D$53</f>
        <v>1.1</v>
      </c>
      <c r="I190" s="75">
        <f>IF(F190&gt;'THAM_SO_MOI'!$C$14,'THAM_SO_MOI'!$C$13*(1+F190^2/1500),'THAM_SO_MOI'!$C$13)</f>
        <v>0.015</v>
      </c>
      <c r="J190" s="75">
        <f>'THAM_SO_MOI'!$C$40*('THAM_SO_MOI'!$C$23*(E190/'THAM_SO_MOI'!$C$22)+'THAM_SO_MOI'!$C$24*(E190/'THAM_SO_MOI'!$C$22)^2-'THAM_SO_MOI'!$C$25*(E190/'THAM_SO_MOI'!$C$22)^3)</f>
        <v>44.159734295216936</v>
      </c>
      <c r="K190" s="75">
        <f>'THAM_SO_MOI'!$C$31*J190/E190</f>
        <v>376.895049634208</v>
      </c>
      <c r="L190" s="75">
        <f>K190*'THAM_SO_MOI'!$C$53*'THAM_SO_MOI'!$C$17/'THAM_SO_MOI'!$C$26</f>
        <v>3305.3710600704826</v>
      </c>
      <c r="M190" s="75">
        <f>'THAM_SO_MOI'!$C$15*'THAM_SO_MOI'!$C$16*F190^2</f>
        <v>377.3462661547009</v>
      </c>
      <c r="N190" s="75">
        <f>'THAM_SO_MOI'!$C$12*I190</f>
        <v>1130.112</v>
      </c>
      <c r="O190" s="75">
        <f>M190+N190</f>
        <v>1507.458266154701</v>
      </c>
      <c r="P190" s="75">
        <f>(MIN(L190,'THAM_SO_MOI'!$C$41)-O190)/('THAM_SO_MOI'!$C$11*H190)</f>
        <v>0.2128211167040461</v>
      </c>
      <c r="Q190" s="75">
        <f>IF(P190&gt;0,1/P190,NA())</f>
        <v>4.69878184781176</v>
      </c>
      <c r="R190" s="75">
        <f>F190-F189</f>
        <v>0.017600427350426884</v>
      </c>
      <c r="S190" s="75">
        <f>0.5*(Q189+Q190)*R190</f>
        <v>0.08270927215469623</v>
      </c>
      <c r="T190" s="75">
        <f>0.5*(F189*Q189+F190*Q190)*R190</f>
        <v>0.9386952879412542</v>
      </c>
      <c r="U190" s="76">
        <f>U189+S190</f>
        <v>15.744789419840552</v>
      </c>
      <c r="V190" s="76">
        <f>V189+T190</f>
        <v>152.9847332067539</v>
      </c>
    </row>
    <row r="191" spans="1:22" ht="19" customHeight="1">
      <c r="A191" s="68" t="s">
        <v>362</v>
      </c>
      <c r="B191" s="74">
        <v>5</v>
      </c>
      <c r="C191" s="68" t="s">
        <v>363</v>
      </c>
      <c r="D191" s="68" t="s">
        <v>364</v>
      </c>
      <c r="E191" s="75">
        <f>60*F191*'THAM_SO_MOI'!$C$53/(2*PI()*'THAM_SO_MOI'!$C$26)</f>
        <v>1120.8094736842106</v>
      </c>
      <c r="F191" s="75">
        <f>'THAM_SO_MOI'!$E$53+('THAM_SO_MOI'!$C$14-'THAM_SO_MOI'!$E$53)*185/'THAM_SO_MOI'!$C$42</f>
        <v>11.375737179487182</v>
      </c>
      <c r="G191" s="75">
        <f>3.6*F191</f>
        <v>40.95265384615386</v>
      </c>
      <c r="H191" s="75">
        <f>'THAM_SO_MOI'!$D$53</f>
        <v>1.1</v>
      </c>
      <c r="I191" s="75">
        <f>IF(F191&gt;'THAM_SO_MOI'!$C$14,'THAM_SO_MOI'!$C$13*(1+F191^2/1500),'THAM_SO_MOI'!$C$13)</f>
        <v>0.015</v>
      </c>
      <c r="J191" s="75">
        <f>'THAM_SO_MOI'!$C$40*('THAM_SO_MOI'!$C$23*(E191/'THAM_SO_MOI'!$C$22)+'THAM_SO_MOI'!$C$24*(E191/'THAM_SO_MOI'!$C$22)^2-'THAM_SO_MOI'!$C$25*(E191/'THAM_SO_MOI'!$C$22)^3)</f>
        <v>44.24882816354209</v>
      </c>
      <c r="K191" s="75">
        <f>'THAM_SO_MOI'!$C$31*J191/E191</f>
        <v>377.07114433763894</v>
      </c>
      <c r="L191" s="75">
        <f>K191*'THAM_SO_MOI'!$C$53*'THAM_SO_MOI'!$C$17/'THAM_SO_MOI'!$C$26</f>
        <v>3306.915411308625</v>
      </c>
      <c r="M191" s="75">
        <f>'THAM_SO_MOI'!$C$15*'THAM_SO_MOI'!$C$16*F191^2</f>
        <v>378.5166344020434</v>
      </c>
      <c r="N191" s="75">
        <f>'THAM_SO_MOI'!$C$12*I191</f>
        <v>1130.112</v>
      </c>
      <c r="O191" s="75">
        <f>M191+N191</f>
        <v>1508.6286344020434</v>
      </c>
      <c r="P191" s="75">
        <f>(MIN(L191,'THAM_SO_MOI'!$C$41)-O191)/('THAM_SO_MOI'!$C$11*H191)</f>
        <v>0.21286538552397982</v>
      </c>
      <c r="Q191" s="75">
        <f>IF(P191&gt;0,1/P191,NA())</f>
        <v>4.697804659684078</v>
      </c>
      <c r="R191" s="75">
        <f>F191-F190</f>
        <v>0.01760042735042866</v>
      </c>
      <c r="S191" s="75">
        <f>0.5*(Q190+Q191)*R191</f>
        <v>0.08269196908359933</v>
      </c>
      <c r="T191" s="75">
        <f>0.5*(F190*Q190+F191*Q191)*R191</f>
        <v>0.939954324475022</v>
      </c>
      <c r="U191" s="76">
        <f>U190+S191</f>
        <v>15.827481388924152</v>
      </c>
      <c r="V191" s="76">
        <f>V190+T191</f>
        <v>153.92468753122893</v>
      </c>
    </row>
    <row r="192" spans="1:22" ht="19" customHeight="1">
      <c r="A192" s="68" t="s">
        <v>362</v>
      </c>
      <c r="B192" s="74">
        <v>5</v>
      </c>
      <c r="C192" s="68" t="s">
        <v>363</v>
      </c>
      <c r="D192" s="68" t="s">
        <v>364</v>
      </c>
      <c r="E192" s="75">
        <f>60*F192*'THAM_SO_MOI'!$C$53/(2*PI()*'THAM_SO_MOI'!$C$26)</f>
        <v>1122.5435789473684</v>
      </c>
      <c r="F192" s="75">
        <f>'THAM_SO_MOI'!$E$53+('THAM_SO_MOI'!$C$14-'THAM_SO_MOI'!$E$53)*186/'THAM_SO_MOI'!$C$42</f>
        <v>11.393337606837608</v>
      </c>
      <c r="G192" s="75">
        <f>3.6*F192</f>
        <v>41.01601538461539</v>
      </c>
      <c r="H192" s="75">
        <f>'THAM_SO_MOI'!$D$53</f>
        <v>1.1</v>
      </c>
      <c r="I192" s="75">
        <f>IF(F192&gt;'THAM_SO_MOI'!$C$14,'THAM_SO_MOI'!$C$13*(1+F192^2/1500),'THAM_SO_MOI'!$C$13)</f>
        <v>0.015</v>
      </c>
      <c r="J192" s="75">
        <f>'THAM_SO_MOI'!$C$40*('THAM_SO_MOI'!$C$23*(E192/'THAM_SO_MOI'!$C$22)+'THAM_SO_MOI'!$C$24*(E192/'THAM_SO_MOI'!$C$22)^2-'THAM_SO_MOI'!$C$25*(E192/'THAM_SO_MOI'!$C$22)^3)</f>
        <v>44.33795168788587</v>
      </c>
      <c r="K192" s="75">
        <f>'THAM_SO_MOI'!$C$31*J192/E192</f>
        <v>377.2469473054448</v>
      </c>
      <c r="L192" s="75">
        <f>K192*'THAM_SO_MOI'!$C$53*'THAM_SO_MOI'!$C$17/'THAM_SO_MOI'!$C$26</f>
        <v>3308.457204024194</v>
      </c>
      <c r="M192" s="75">
        <f>'THAM_SO_MOI'!$C$15*'THAM_SO_MOI'!$C$16*F192^2</f>
        <v>379.6888148333869</v>
      </c>
      <c r="N192" s="75">
        <f>'THAM_SO_MOI'!$C$12*I192</f>
        <v>1130.112</v>
      </c>
      <c r="O192" s="75">
        <f>M192+N192</f>
        <v>1509.800814833387</v>
      </c>
      <c r="P192" s="75">
        <f>(MIN(L192,'THAM_SO_MOI'!$C$41)-O192)/('THAM_SO_MOI'!$C$11*H192)</f>
        <v>0.2129091369780785</v>
      </c>
      <c r="Q192" s="75">
        <f>IF(P192&gt;0,1/P192,NA())</f>
        <v>4.696839291133672</v>
      </c>
      <c r="R192" s="75">
        <f>F192-F191</f>
        <v>0.017600427350426884</v>
      </c>
      <c r="S192" s="75">
        <f>0.5*(Q191+Q192)*R192</f>
        <v>0.08267487416974759</v>
      </c>
      <c r="T192" s="75">
        <f>0.5*(F191*Q191+F192*Q192)*R192</f>
        <v>0.9412151216987162</v>
      </c>
      <c r="U192" s="76">
        <f>U191+S192</f>
        <v>15.9101562630939</v>
      </c>
      <c r="V192" s="76">
        <f>V191+T192</f>
        <v>154.86590265292764</v>
      </c>
    </row>
    <row r="193" spans="1:22" ht="19" customHeight="1">
      <c r="A193" s="68" t="s">
        <v>362</v>
      </c>
      <c r="B193" s="74">
        <v>5</v>
      </c>
      <c r="C193" s="68" t="s">
        <v>363</v>
      </c>
      <c r="D193" s="68" t="s">
        <v>364</v>
      </c>
      <c r="E193" s="75">
        <f>60*F193*'THAM_SO_MOI'!$C$53/(2*PI()*'THAM_SO_MOI'!$C$26)</f>
        <v>1124.277684210526</v>
      </c>
      <c r="F193" s="75">
        <f>'THAM_SO_MOI'!$E$53+('THAM_SO_MOI'!$C$14-'THAM_SO_MOI'!$E$53)*187/'THAM_SO_MOI'!$C$42</f>
        <v>11.410938034188035</v>
      </c>
      <c r="G193" s="75">
        <f>3.6*F193</f>
        <v>41.07937692307693</v>
      </c>
      <c r="H193" s="75">
        <f>'THAM_SO_MOI'!$D$53</f>
        <v>1.1</v>
      </c>
      <c r="I193" s="75">
        <f>IF(F193&gt;'THAM_SO_MOI'!$C$14,'THAM_SO_MOI'!$C$13*(1+F193^2/1500),'THAM_SO_MOI'!$C$13)</f>
        <v>0.015</v>
      </c>
      <c r="J193" s="75">
        <f>'THAM_SO_MOI'!$C$40*('THAM_SO_MOI'!$C$23*(E193/'THAM_SO_MOI'!$C$22)+'THAM_SO_MOI'!$C$24*(E193/'THAM_SO_MOI'!$C$22)^2-'THAM_SO_MOI'!$C$25*(E193/'THAM_SO_MOI'!$C$22)^3)</f>
        <v>44.42710470934501</v>
      </c>
      <c r="K193" s="75">
        <f>'THAM_SO_MOI'!$C$31*J193/E193</f>
        <v>377.42245853762563</v>
      </c>
      <c r="L193" s="75">
        <f>K193*'THAM_SO_MOI'!$C$53*'THAM_SO_MOI'!$C$17/'THAM_SO_MOI'!$C$26</f>
        <v>3309.9964382171897</v>
      </c>
      <c r="M193" s="75">
        <f>'THAM_SO_MOI'!$C$15*'THAM_SO_MOI'!$C$16*F193^2</f>
        <v>380.86280744873136</v>
      </c>
      <c r="N193" s="75">
        <f>'THAM_SO_MOI'!$C$12*I193</f>
        <v>1130.112</v>
      </c>
      <c r="O193" s="75">
        <f>M193+N193</f>
        <v>1510.9748074487316</v>
      </c>
      <c r="P193" s="75">
        <f>(MIN(L193,'THAM_SO_MOI'!$C$41)-O193)/('THAM_SO_MOI'!$C$11*H193)</f>
        <v>0.21295237106634213</v>
      </c>
      <c r="Q193" s="75">
        <f>IF(P193&gt;0,1/P193,NA())</f>
        <v>4.695885727839419</v>
      </c>
      <c r="R193" s="75">
        <f>F193-F192</f>
        <v>0.017600427350426884</v>
      </c>
      <c r="S193" s="75">
        <f>0.5*(Q192+Q193)*R193</f>
        <v>0.08265798715948643</v>
      </c>
      <c r="T193" s="75">
        <f>0.5*(F192*Q192+F193*Q193)*R193</f>
        <v>0.9424776877111157</v>
      </c>
      <c r="U193" s="76">
        <f>U192+S193</f>
        <v>15.992814250253385</v>
      </c>
      <c r="V193" s="76">
        <f>V192+T193</f>
        <v>155.80838034063876</v>
      </c>
    </row>
    <row r="194" spans="1:22" ht="19" customHeight="1">
      <c r="A194" s="68" t="s">
        <v>362</v>
      </c>
      <c r="B194" s="74">
        <v>5</v>
      </c>
      <c r="C194" s="68" t="s">
        <v>363</v>
      </c>
      <c r="D194" s="68" t="s">
        <v>364</v>
      </c>
      <c r="E194" s="75">
        <f>60*F194*'THAM_SO_MOI'!$C$53/(2*PI()*'THAM_SO_MOI'!$C$26)</f>
        <v>1126.0117894736838</v>
      </c>
      <c r="F194" s="75">
        <f>'THAM_SO_MOI'!$E$53+('THAM_SO_MOI'!$C$14-'THAM_SO_MOI'!$E$53)*188/'THAM_SO_MOI'!$C$42</f>
        <v>11.428538461538462</v>
      </c>
      <c r="G194" s="75">
        <f>3.6*F194</f>
        <v>41.142738461538464</v>
      </c>
      <c r="H194" s="75">
        <f>'THAM_SO_MOI'!$D$53</f>
        <v>1.1</v>
      </c>
      <c r="I194" s="75">
        <f>IF(F194&gt;'THAM_SO_MOI'!$C$14,'THAM_SO_MOI'!$C$13*(1+F194^2/1500),'THAM_SO_MOI'!$C$13)</f>
        <v>0.015</v>
      </c>
      <c r="J194" s="75">
        <f>'THAM_SO_MOI'!$C$40*('THAM_SO_MOI'!$C$23*(E194/'THAM_SO_MOI'!$C$22)+'THAM_SO_MOI'!$C$24*(E194/'THAM_SO_MOI'!$C$22)^2-'THAM_SO_MOI'!$C$25*(E194/'THAM_SO_MOI'!$C$22)^3)</f>
        <v>44.516287069016215</v>
      </c>
      <c r="K194" s="75">
        <f>'THAM_SO_MOI'!$C$31*J194/E194</f>
        <v>377.5976780341814</v>
      </c>
      <c r="L194" s="75">
        <f>K194*'THAM_SO_MOI'!$C$53*'THAM_SO_MOI'!$C$17/'THAM_SO_MOI'!$C$26</f>
        <v>3311.533113887612</v>
      </c>
      <c r="M194" s="75">
        <f>'THAM_SO_MOI'!$C$15*'THAM_SO_MOI'!$C$16*F194^2</f>
        <v>382.038612248077</v>
      </c>
      <c r="N194" s="75">
        <f>'THAM_SO_MOI'!$C$12*I194</f>
        <v>1130.112</v>
      </c>
      <c r="O194" s="75">
        <f>M194+N194</f>
        <v>1512.150612248077</v>
      </c>
      <c r="P194" s="75">
        <f>(MIN(L194,'THAM_SO_MOI'!$C$41)-O194)/('THAM_SO_MOI'!$C$11*H194)</f>
        <v>0.21299508778877072</v>
      </c>
      <c r="Q194" s="75">
        <f>IF(P194&gt;0,1/P194,NA())</f>
        <v>4.694943955663943</v>
      </c>
      <c r="R194" s="75">
        <f>F194-F193</f>
        <v>0.017600427350426884</v>
      </c>
      <c r="S194" s="75">
        <f>0.5*(Q193+Q194)*R194</f>
        <v>0.08264130780236661</v>
      </c>
      <c r="T194" s="75">
        <f>0.5*(F193*Q193+F194*Q194)*R194</f>
        <v>0.9437420306297463</v>
      </c>
      <c r="U194" s="76">
        <f>U193+S194</f>
        <v>16.07545555805575</v>
      </c>
      <c r="V194" s="76">
        <f>V193+T194</f>
        <v>156.7521223712685</v>
      </c>
    </row>
    <row r="195" spans="1:22" ht="19" customHeight="1">
      <c r="A195" s="68" t="s">
        <v>362</v>
      </c>
      <c r="B195" s="74">
        <v>5</v>
      </c>
      <c r="C195" s="68" t="s">
        <v>363</v>
      </c>
      <c r="D195" s="68" t="s">
        <v>364</v>
      </c>
      <c r="E195" s="75">
        <f>60*F195*'THAM_SO_MOI'!$C$53/(2*PI()*'THAM_SO_MOI'!$C$26)</f>
        <v>1127.7458947368418</v>
      </c>
      <c r="F195" s="75">
        <f>'THAM_SO_MOI'!$E$53+('THAM_SO_MOI'!$C$14-'THAM_SO_MOI'!$E$53)*189/'THAM_SO_MOI'!$C$42</f>
        <v>11.446138888888889</v>
      </c>
      <c r="G195" s="75">
        <f>3.6*F195</f>
        <v>41.2061</v>
      </c>
      <c r="H195" s="75">
        <f>'THAM_SO_MOI'!$D$53</f>
        <v>1.1</v>
      </c>
      <c r="I195" s="75">
        <f>IF(F195&gt;'THAM_SO_MOI'!$C$14,'THAM_SO_MOI'!$C$13*(1+F195^2/1500),'THAM_SO_MOI'!$C$13)</f>
        <v>0.015</v>
      </c>
      <c r="J195" s="75">
        <f>'THAM_SO_MOI'!$C$40*('THAM_SO_MOI'!$C$23*(E195/'THAM_SO_MOI'!$C$22)+'THAM_SO_MOI'!$C$24*(E195/'THAM_SO_MOI'!$C$22)^2-'THAM_SO_MOI'!$C$25*(E195/'THAM_SO_MOI'!$C$22)^3)</f>
        <v>44.605498607996246</v>
      </c>
      <c r="K195" s="75">
        <f>'THAM_SO_MOI'!$C$31*J195/E195</f>
        <v>377.7726057951122</v>
      </c>
      <c r="L195" s="75">
        <f>K195*'THAM_SO_MOI'!$C$53*'THAM_SO_MOI'!$C$17/'THAM_SO_MOI'!$C$26</f>
        <v>3313.0672310354626</v>
      </c>
      <c r="M195" s="75">
        <f>'THAM_SO_MOI'!$C$15*'THAM_SO_MOI'!$C$16*F195^2</f>
        <v>383.21622923142365</v>
      </c>
      <c r="N195" s="75">
        <f>'THAM_SO_MOI'!$C$12*I195</f>
        <v>1130.112</v>
      </c>
      <c r="O195" s="75">
        <f>M195+N195</f>
        <v>1513.3282292314238</v>
      </c>
      <c r="P195" s="75">
        <f>(MIN(L195,'THAM_SO_MOI'!$C$41)-O195)/('THAM_SO_MOI'!$C$11*H195)</f>
        <v>0.21303728714536443</v>
      </c>
      <c r="Q195" s="75">
        <f>IF(P195&gt;0,1/P195,NA())</f>
        <v>4.6940139606530815</v>
      </c>
      <c r="R195" s="75">
        <f>F195-F194</f>
        <v>0.017600427350426884</v>
      </c>
      <c r="S195" s="75">
        <f>0.5*(Q194+Q195)*R195</f>
        <v>0.0826248358511766</v>
      </c>
      <c r="T195" s="75">
        <f>0.5*(F194*Q194+F195*Q195)*R195</f>
        <v>0.9450081585915323</v>
      </c>
      <c r="U195" s="76">
        <f>U194+S195</f>
        <v>16.15808039390693</v>
      </c>
      <c r="V195" s="76">
        <f>V194+T195</f>
        <v>157.69713052986003</v>
      </c>
    </row>
    <row r="196" spans="1:22" ht="19" customHeight="1">
      <c r="A196" s="68" t="s">
        <v>362</v>
      </c>
      <c r="B196" s="74">
        <v>5</v>
      </c>
      <c r="C196" s="68" t="s">
        <v>363</v>
      </c>
      <c r="D196" s="68" t="s">
        <v>364</v>
      </c>
      <c r="E196" s="75">
        <f>60*F196*'THAM_SO_MOI'!$C$53/(2*PI()*'THAM_SO_MOI'!$C$26)</f>
        <v>1129.4799999999998</v>
      </c>
      <c r="F196" s="75">
        <f>'THAM_SO_MOI'!$E$53+('THAM_SO_MOI'!$C$14-'THAM_SO_MOI'!$E$53)*190/'THAM_SO_MOI'!$C$42</f>
        <v>11.463739316239318</v>
      </c>
      <c r="G196" s="75">
        <f>3.6*F196</f>
        <v>41.26946153846154</v>
      </c>
      <c r="H196" s="75">
        <f>'THAM_SO_MOI'!$D$53</f>
        <v>1.1</v>
      </c>
      <c r="I196" s="75">
        <f>IF(F196&gt;'THAM_SO_MOI'!$C$14,'THAM_SO_MOI'!$C$13*(1+F196^2/1500),'THAM_SO_MOI'!$C$13)</f>
        <v>0.015</v>
      </c>
      <c r="J196" s="75">
        <f>'THAM_SO_MOI'!$C$40*('THAM_SO_MOI'!$C$23*(E196/'THAM_SO_MOI'!$C$22)+'THAM_SO_MOI'!$C$24*(E196/'THAM_SO_MOI'!$C$22)^2-'THAM_SO_MOI'!$C$25*(E196/'THAM_SO_MOI'!$C$22)^3)</f>
        <v>44.69473916738179</v>
      </c>
      <c r="K196" s="75">
        <f>'THAM_SO_MOI'!$C$31*J196/E196</f>
        <v>377.947241820418</v>
      </c>
      <c r="L196" s="75">
        <f>K196*'THAM_SO_MOI'!$C$53*'THAM_SO_MOI'!$C$17/'THAM_SO_MOI'!$C$26</f>
        <v>3314.59878966074</v>
      </c>
      <c r="M196" s="75">
        <f>'THAM_SO_MOI'!$C$15*'THAM_SO_MOI'!$C$16*F196^2</f>
        <v>384.3956583987715</v>
      </c>
      <c r="N196" s="75">
        <f>'THAM_SO_MOI'!$C$12*I196</f>
        <v>1130.112</v>
      </c>
      <c r="O196" s="75">
        <f>M196+N196</f>
        <v>1514.5076583987716</v>
      </c>
      <c r="P196" s="75">
        <f>(MIN(L196,'THAM_SO_MOI'!$C$41)-O196)/('THAM_SO_MOI'!$C$11*H196)</f>
        <v>0.21307896913612315</v>
      </c>
      <c r="Q196" s="75">
        <f>IF(P196&gt;0,1/P196,NA())</f>
        <v>4.693095729035375</v>
      </c>
      <c r="R196" s="75">
        <f>F196-F195</f>
        <v>0.01760042735042866</v>
      </c>
      <c r="S196" s="75">
        <f>0.5*(Q195+Q196)*R196</f>
        <v>0.0826085710619333</v>
      </c>
      <c r="T196" s="75">
        <f>0.5*(F195*Q195+F196*Q196)*R196</f>
        <v>0.9462760797529755</v>
      </c>
      <c r="U196" s="76">
        <f>U195+S196</f>
        <v>16.24068896496886</v>
      </c>
      <c r="V196" s="76">
        <f>V195+T196</f>
        <v>158.643406609613</v>
      </c>
    </row>
    <row r="197" spans="1:22" ht="19" customHeight="1">
      <c r="A197" s="68" t="s">
        <v>362</v>
      </c>
      <c r="B197" s="74">
        <v>5</v>
      </c>
      <c r="C197" s="68" t="s">
        <v>363</v>
      </c>
      <c r="D197" s="68" t="s">
        <v>364</v>
      </c>
      <c r="E197" s="75">
        <f>60*F197*'THAM_SO_MOI'!$C$53/(2*PI()*'THAM_SO_MOI'!$C$26)</f>
        <v>1131.2141052631578</v>
      </c>
      <c r="F197" s="75">
        <f>'THAM_SO_MOI'!$E$53+('THAM_SO_MOI'!$C$14-'THAM_SO_MOI'!$E$53)*191/'THAM_SO_MOI'!$C$42</f>
        <v>11.481339743589745</v>
      </c>
      <c r="G197" s="75">
        <f>3.6*F197</f>
        <v>41.332823076923084</v>
      </c>
      <c r="H197" s="75">
        <f>'THAM_SO_MOI'!$D$53</f>
        <v>1.1</v>
      </c>
      <c r="I197" s="75">
        <f>IF(F197&gt;'THAM_SO_MOI'!$C$14,'THAM_SO_MOI'!$C$13*(1+F197^2/1500),'THAM_SO_MOI'!$C$13)</f>
        <v>0.015</v>
      </c>
      <c r="J197" s="75">
        <f>'THAM_SO_MOI'!$C$40*('THAM_SO_MOI'!$C$23*(E197/'THAM_SO_MOI'!$C$22)+'THAM_SO_MOI'!$C$24*(E197/'THAM_SO_MOI'!$C$22)^2-'THAM_SO_MOI'!$C$25*(E197/'THAM_SO_MOI'!$C$22)^3)</f>
        <v>44.78400858826958</v>
      </c>
      <c r="K197" s="75">
        <f>'THAM_SO_MOI'!$C$31*J197/E197</f>
        <v>378.1215861100988</v>
      </c>
      <c r="L197" s="75">
        <f>K197*'THAM_SO_MOI'!$C$53*'THAM_SO_MOI'!$C$17/'THAM_SO_MOI'!$C$26</f>
        <v>3316.127789763444</v>
      </c>
      <c r="M197" s="75">
        <f>'THAM_SO_MOI'!$C$15*'THAM_SO_MOI'!$C$16*F197^2</f>
        <v>385.5768997501203</v>
      </c>
      <c r="N197" s="75">
        <f>'THAM_SO_MOI'!$C$12*I197</f>
        <v>1130.112</v>
      </c>
      <c r="O197" s="75">
        <f>M197+N197</f>
        <v>1515.6888997501203</v>
      </c>
      <c r="P197" s="75">
        <f>(MIN(L197,'THAM_SO_MOI'!$C$41)-O197)/('THAM_SO_MOI'!$C$11*H197)</f>
        <v>0.21312013376104683</v>
      </c>
      <c r="Q197" s="75">
        <f>IF(P197&gt;0,1/P197,NA())</f>
        <v>4.692189247221539</v>
      </c>
      <c r="R197" s="75">
        <f>F197-F196</f>
        <v>0.017600427350426884</v>
      </c>
      <c r="S197" s="75">
        <f>0.5*(Q196+Q197)*R197</f>
        <v>0.08259251319383136</v>
      </c>
      <c r="T197" s="75">
        <f>0.5*(F196*Q196+F197*Q197)*R197</f>
        <v>0.9475458022898571</v>
      </c>
      <c r="U197" s="76">
        <f>U196+S197</f>
        <v>16.32328147816269</v>
      </c>
      <c r="V197" s="76">
        <f>V196+T197</f>
        <v>159.59095241190286</v>
      </c>
    </row>
    <row r="198" spans="1:22" ht="19" customHeight="1">
      <c r="A198" s="68" t="s">
        <v>362</v>
      </c>
      <c r="B198" s="74">
        <v>5</v>
      </c>
      <c r="C198" s="68" t="s">
        <v>363</v>
      </c>
      <c r="D198" s="68" t="s">
        <v>364</v>
      </c>
      <c r="E198" s="75">
        <f>60*F198*'THAM_SO_MOI'!$C$53/(2*PI()*'THAM_SO_MOI'!$C$26)</f>
        <v>1132.9482105263157</v>
      </c>
      <c r="F198" s="75">
        <f>'THAM_SO_MOI'!$E$53+('THAM_SO_MOI'!$C$14-'THAM_SO_MOI'!$E$53)*192/'THAM_SO_MOI'!$C$42</f>
        <v>11.498940170940172</v>
      </c>
      <c r="G198" s="75">
        <f>3.6*F198</f>
        <v>41.39618461538462</v>
      </c>
      <c r="H198" s="75">
        <f>'THAM_SO_MOI'!$D$53</f>
        <v>1.1</v>
      </c>
      <c r="I198" s="75">
        <f>IF(F198&gt;'THAM_SO_MOI'!$C$14,'THAM_SO_MOI'!$C$13*(1+F198^2/1500),'THAM_SO_MOI'!$C$13)</f>
        <v>0.015</v>
      </c>
      <c r="J198" s="75">
        <f>'THAM_SO_MOI'!$C$40*('THAM_SO_MOI'!$C$23*(E198/'THAM_SO_MOI'!$C$22)+'THAM_SO_MOI'!$C$24*(E198/'THAM_SO_MOI'!$C$22)^2-'THAM_SO_MOI'!$C$25*(E198/'THAM_SO_MOI'!$C$22)^3)</f>
        <v>44.87330671175632</v>
      </c>
      <c r="K198" s="75">
        <f>'THAM_SO_MOI'!$C$31*J198/E198</f>
        <v>378.2956386641544</v>
      </c>
      <c r="L198" s="75">
        <f>K198*'THAM_SO_MOI'!$C$53*'THAM_SO_MOI'!$C$17/'THAM_SO_MOI'!$C$26</f>
        <v>3317.6542313435734</v>
      </c>
      <c r="M198" s="75">
        <f>'THAM_SO_MOI'!$C$15*'THAM_SO_MOI'!$C$16*F198^2</f>
        <v>386.7599532854702</v>
      </c>
      <c r="N198" s="75">
        <f>'THAM_SO_MOI'!$C$12*I198</f>
        <v>1130.112</v>
      </c>
      <c r="O198" s="75">
        <f>M198+N198</f>
        <v>1516.8719532854702</v>
      </c>
      <c r="P198" s="75">
        <f>(MIN(L198,'THAM_SO_MOI'!$C$41)-O198)/('THAM_SO_MOI'!$C$11*H198)</f>
        <v>0.21316078102013533</v>
      </c>
      <c r="Q198" s="75">
        <f>IF(P198&gt;0,1/P198,NA())</f>
        <v>4.691294501803966</v>
      </c>
      <c r="R198" s="75">
        <f>F198-F197</f>
        <v>0.017600427350426884</v>
      </c>
      <c r="S198" s="75">
        <f>0.5*(Q197+Q198)*R198</f>
        <v>0.08257666200931735</v>
      </c>
      <c r="T198" s="75">
        <f>0.5*(F197*Q197+F198*Q198)*R198</f>
        <v>0.9488173343983705</v>
      </c>
      <c r="U198" s="76">
        <f>U197+S198</f>
        <v>16.405858140172008</v>
      </c>
      <c r="V198" s="76">
        <f>V197+T198</f>
        <v>160.53976974630123</v>
      </c>
    </row>
    <row r="199" spans="1:22" ht="19" customHeight="1">
      <c r="A199" s="68" t="s">
        <v>362</v>
      </c>
      <c r="B199" s="74">
        <v>5</v>
      </c>
      <c r="C199" s="68" t="s">
        <v>363</v>
      </c>
      <c r="D199" s="68" t="s">
        <v>364</v>
      </c>
      <c r="E199" s="75">
        <f>60*F199*'THAM_SO_MOI'!$C$53/(2*PI()*'THAM_SO_MOI'!$C$26)</f>
        <v>1134.6823157894735</v>
      </c>
      <c r="F199" s="75">
        <f>'THAM_SO_MOI'!$E$53+('THAM_SO_MOI'!$C$14-'THAM_SO_MOI'!$E$53)*193/'THAM_SO_MOI'!$C$42</f>
        <v>11.516540598290598</v>
      </c>
      <c r="G199" s="75">
        <f>3.6*F199</f>
        <v>41.459546153846155</v>
      </c>
      <c r="H199" s="75">
        <f>'THAM_SO_MOI'!$D$53</f>
        <v>1.1</v>
      </c>
      <c r="I199" s="75">
        <f>IF(F199&gt;'THAM_SO_MOI'!$C$14,'THAM_SO_MOI'!$C$13*(1+F199^2/1500),'THAM_SO_MOI'!$C$13)</f>
        <v>0.015</v>
      </c>
      <c r="J199" s="75">
        <f>'THAM_SO_MOI'!$C$40*('THAM_SO_MOI'!$C$23*(E199/'THAM_SO_MOI'!$C$22)+'THAM_SO_MOI'!$C$24*(E199/'THAM_SO_MOI'!$C$22)^2-'THAM_SO_MOI'!$C$25*(E199/'THAM_SO_MOI'!$C$22)^3)</f>
        <v>44.96263337893874</v>
      </c>
      <c r="K199" s="75">
        <f>'THAM_SO_MOI'!$C$31*J199/E199</f>
        <v>378.469399482585</v>
      </c>
      <c r="L199" s="75">
        <f>K199*'THAM_SO_MOI'!$C$53*'THAM_SO_MOI'!$C$17/'THAM_SO_MOI'!$C$26</f>
        <v>3319.17811440113</v>
      </c>
      <c r="M199" s="75">
        <f>'THAM_SO_MOI'!$C$15*'THAM_SO_MOI'!$C$16*F199^2</f>
        <v>387.94481900482106</v>
      </c>
      <c r="N199" s="75">
        <f>'THAM_SO_MOI'!$C$12*I199</f>
        <v>1130.112</v>
      </c>
      <c r="O199" s="75">
        <f>M199+N199</f>
        <v>1518.0568190048211</v>
      </c>
      <c r="P199" s="75">
        <f>(MIN(L199,'THAM_SO_MOI'!$C$41)-O199)/('THAM_SO_MOI'!$C$11*H199)</f>
        <v>0.21320091091338886</v>
      </c>
      <c r="Q199" s="75">
        <f>IF(P199&gt;0,1/P199,NA())</f>
        <v>4.69041147955621</v>
      </c>
      <c r="R199" s="75">
        <f>F199-F198</f>
        <v>0.017600427350426884</v>
      </c>
      <c r="S199" s="75">
        <f>0.5*(Q198+Q199)*R199</f>
        <v>0.08256101727399756</v>
      </c>
      <c r="T199" s="75">
        <f>0.5*(F198*Q198+F199*Q199)*R199</f>
        <v>0.9500906842943464</v>
      </c>
      <c r="U199" s="76">
        <f>U198+S199</f>
        <v>16.488419157446007</v>
      </c>
      <c r="V199" s="76">
        <f>V198+T199</f>
        <v>161.48986043059557</v>
      </c>
    </row>
    <row r="200" spans="1:22" ht="19" customHeight="1">
      <c r="A200" s="68" t="s">
        <v>362</v>
      </c>
      <c r="B200" s="74">
        <v>5</v>
      </c>
      <c r="C200" s="68" t="s">
        <v>363</v>
      </c>
      <c r="D200" s="68" t="s">
        <v>364</v>
      </c>
      <c r="E200" s="75">
        <f>60*F200*'THAM_SO_MOI'!$C$53/(2*PI()*'THAM_SO_MOI'!$C$26)</f>
        <v>1136.4164210526314</v>
      </c>
      <c r="F200" s="75">
        <f>'THAM_SO_MOI'!$E$53+('THAM_SO_MOI'!$C$14-'THAM_SO_MOI'!$E$53)*194/'THAM_SO_MOI'!$C$42</f>
        <v>11.534141025641027</v>
      </c>
      <c r="G200" s="75">
        <f>3.6*F200</f>
        <v>41.5229076923077</v>
      </c>
      <c r="H200" s="75">
        <f>'THAM_SO_MOI'!$D$53</f>
        <v>1.1</v>
      </c>
      <c r="I200" s="75">
        <f>IF(F200&gt;'THAM_SO_MOI'!$C$14,'THAM_SO_MOI'!$C$13*(1+F200^2/1500),'THAM_SO_MOI'!$C$13)</f>
        <v>0.015</v>
      </c>
      <c r="J200" s="75">
        <f>'THAM_SO_MOI'!$C$40*('THAM_SO_MOI'!$C$23*(E200/'THAM_SO_MOI'!$C$22)+'THAM_SO_MOI'!$C$24*(E200/'THAM_SO_MOI'!$C$22)^2-'THAM_SO_MOI'!$C$25*(E200/'THAM_SO_MOI'!$C$22)^3)</f>
        <v>45.051988430913575</v>
      </c>
      <c r="K200" s="75">
        <f>'THAM_SO_MOI'!$C$31*J200/E200</f>
        <v>378.64286856539064</v>
      </c>
      <c r="L200" s="75">
        <f>K200*'THAM_SO_MOI'!$C$53*'THAM_SO_MOI'!$C$17/'THAM_SO_MOI'!$C$26</f>
        <v>3320.6994389361153</v>
      </c>
      <c r="M200" s="75">
        <f>'THAM_SO_MOI'!$C$15*'THAM_SO_MOI'!$C$16*F200^2</f>
        <v>389.13149690817323</v>
      </c>
      <c r="N200" s="75">
        <f>'THAM_SO_MOI'!$C$12*I200</f>
        <v>1130.112</v>
      </c>
      <c r="O200" s="75">
        <f>M200+N200</f>
        <v>1519.2434969081733</v>
      </c>
      <c r="P200" s="75">
        <f>(MIN(L200,'THAM_SO_MOI'!$C$41)-O200)/('THAM_SO_MOI'!$C$11*H200)</f>
        <v>0.21324052344080752</v>
      </c>
      <c r="Q200" s="75">
        <f>IF(P200&gt;0,1/P200,NA())</f>
        <v>4.689540167432507</v>
      </c>
      <c r="R200" s="75">
        <f>F200-F199</f>
        <v>0.01760042735042866</v>
      </c>
      <c r="S200" s="75">
        <f>0.5*(Q199+Q200)*R200</f>
        <v>0.08254557875667928</v>
      </c>
      <c r="T200" s="75">
        <f>0.5*(F199*Q199+F200*Q200)*R200</f>
        <v>0.9513658602140064</v>
      </c>
      <c r="U200" s="76">
        <f>U199+S200</f>
        <v>16.570964736202686</v>
      </c>
      <c r="V200" s="76">
        <f>V199+T200</f>
        <v>162.44122629080957</v>
      </c>
    </row>
    <row r="201" spans="1:22" ht="19" customHeight="1">
      <c r="A201" s="68" t="s">
        <v>362</v>
      </c>
      <c r="B201" s="74">
        <v>5</v>
      </c>
      <c r="C201" s="68" t="s">
        <v>363</v>
      </c>
      <c r="D201" s="68" t="s">
        <v>364</v>
      </c>
      <c r="E201" s="75">
        <f>60*F201*'THAM_SO_MOI'!$C$53/(2*PI()*'THAM_SO_MOI'!$C$26)</f>
        <v>1138.1505263157894</v>
      </c>
      <c r="F201" s="75">
        <f>'THAM_SO_MOI'!$E$53+('THAM_SO_MOI'!$C$14-'THAM_SO_MOI'!$E$53)*195/'THAM_SO_MOI'!$C$42</f>
        <v>11.551741452991454</v>
      </c>
      <c r="G201" s="75">
        <f>3.6*F201</f>
        <v>41.58626923076923</v>
      </c>
      <c r="H201" s="75">
        <f>'THAM_SO_MOI'!$D$53</f>
        <v>1.1</v>
      </c>
      <c r="I201" s="75">
        <f>IF(F201&gt;'THAM_SO_MOI'!$C$14,'THAM_SO_MOI'!$C$13*(1+F201^2/1500),'THAM_SO_MOI'!$C$13)</f>
        <v>0.015</v>
      </c>
      <c r="J201" s="75">
        <f>'THAM_SO_MOI'!$C$40*('THAM_SO_MOI'!$C$23*(E201/'THAM_SO_MOI'!$C$22)+'THAM_SO_MOI'!$C$24*(E201/'THAM_SO_MOI'!$C$22)^2-'THAM_SO_MOI'!$C$25*(E201/'THAM_SO_MOI'!$C$22)^3)</f>
        <v>45.141371708777534</v>
      </c>
      <c r="K201" s="75">
        <f>'THAM_SO_MOI'!$C$31*J201/E201</f>
        <v>378.81604591257127</v>
      </c>
      <c r="L201" s="75">
        <f>K201*'THAM_SO_MOI'!$C$53*'THAM_SO_MOI'!$C$17/'THAM_SO_MOI'!$C$26</f>
        <v>3322.2182049485264</v>
      </c>
      <c r="M201" s="75">
        <f>'THAM_SO_MOI'!$C$15*'THAM_SO_MOI'!$C$16*F201^2</f>
        <v>390.3199869955263</v>
      </c>
      <c r="N201" s="75">
        <f>'THAM_SO_MOI'!$C$12*I201</f>
        <v>1130.112</v>
      </c>
      <c r="O201" s="75">
        <f>M201+N201</f>
        <v>1520.4319869955264</v>
      </c>
      <c r="P201" s="75">
        <f>(MIN(L201,'THAM_SO_MOI'!$C$41)-O201)/('THAM_SO_MOI'!$C$11*H201)</f>
        <v>0.2132796186023911</v>
      </c>
      <c r="Q201" s="75">
        <f>IF(P201&gt;0,1/P201,NA())</f>
        <v>4.688680552567289</v>
      </c>
      <c r="R201" s="75">
        <f>F201-F200</f>
        <v>0.017600427350426884</v>
      </c>
      <c r="S201" s="75">
        <f>0.5*(Q200+Q201)*R201</f>
        <v>0.08253034622931225</v>
      </c>
      <c r="T201" s="75">
        <f>0.5*(F200*Q200+F201*Q201)*R201</f>
        <v>0.9526428704135681</v>
      </c>
      <c r="U201" s="76">
        <f>U200+S201</f>
        <v>16.653495082432</v>
      </c>
      <c r="V201" s="76">
        <f>V200+T201</f>
        <v>163.39386916122314</v>
      </c>
    </row>
    <row r="202" spans="1:22" ht="19" customHeight="1">
      <c r="A202" s="68" t="s">
        <v>362</v>
      </c>
      <c r="B202" s="74">
        <v>5</v>
      </c>
      <c r="C202" s="68" t="s">
        <v>363</v>
      </c>
      <c r="D202" s="68" t="s">
        <v>364</v>
      </c>
      <c r="E202" s="75">
        <f>60*F202*'THAM_SO_MOI'!$C$53/(2*PI()*'THAM_SO_MOI'!$C$26)</f>
        <v>1139.8846315789472</v>
      </c>
      <c r="F202" s="75">
        <f>'THAM_SO_MOI'!$E$53+('THAM_SO_MOI'!$C$14-'THAM_SO_MOI'!$E$53)*196/'THAM_SO_MOI'!$C$42</f>
        <v>11.56934188034188</v>
      </c>
      <c r="G202" s="75">
        <f>3.6*F202</f>
        <v>41.649630769230775</v>
      </c>
      <c r="H202" s="75">
        <f>'THAM_SO_MOI'!$D$53</f>
        <v>1.1</v>
      </c>
      <c r="I202" s="75">
        <f>IF(F202&gt;'THAM_SO_MOI'!$C$14,'THAM_SO_MOI'!$C$13*(1+F202^2/1500),'THAM_SO_MOI'!$C$13)</f>
        <v>0.015</v>
      </c>
      <c r="J202" s="75">
        <f>'THAM_SO_MOI'!$C$40*('THAM_SO_MOI'!$C$23*(E202/'THAM_SO_MOI'!$C$22)+'THAM_SO_MOI'!$C$24*(E202/'THAM_SO_MOI'!$C$22)^2-'THAM_SO_MOI'!$C$25*(E202/'THAM_SO_MOI'!$C$22)^3)</f>
        <v>45.23078305362733</v>
      </c>
      <c r="K202" s="75">
        <f>'THAM_SO_MOI'!$C$31*J202/E202</f>
        <v>378.98893152412677</v>
      </c>
      <c r="L202" s="75">
        <f>K202*'THAM_SO_MOI'!$C$53*'THAM_SO_MOI'!$C$17/'THAM_SO_MOI'!$C$26</f>
        <v>3323.734412438365</v>
      </c>
      <c r="M202" s="75">
        <f>'THAM_SO_MOI'!$C$15*'THAM_SO_MOI'!$C$16*F202^2</f>
        <v>391.5102892668804</v>
      </c>
      <c r="N202" s="75">
        <f>'THAM_SO_MOI'!$C$12*I202</f>
        <v>1130.112</v>
      </c>
      <c r="O202" s="75">
        <f>M202+N202</f>
        <v>1521.6222892668804</v>
      </c>
      <c r="P202" s="75">
        <f>(MIN(L202,'THAM_SO_MOI'!$C$41)-O202)/('THAM_SO_MOI'!$C$11*H202)</f>
        <v>0.2133181963981397</v>
      </c>
      <c r="Q202" s="75">
        <f>IF(P202&gt;0,1/P202,NA())</f>
        <v>4.687832622274697</v>
      </c>
      <c r="R202" s="75">
        <f>F202-F201</f>
        <v>0.017600427350426884</v>
      </c>
      <c r="S202" s="75">
        <f>0.5*(Q201+Q202)*R202</f>
        <v>0.08251531946706345</v>
      </c>
      <c r="T202" s="75">
        <f>0.5*(F201*Q201+F202*Q202)*R202</f>
        <v>0.9539217231703875</v>
      </c>
      <c r="U202" s="76">
        <f>U201+S202</f>
        <v>16.736010401899062</v>
      </c>
      <c r="V202" s="76">
        <f>V201+T202</f>
        <v>164.34779088439353</v>
      </c>
    </row>
    <row r="203" spans="1:22" ht="19" customHeight="1">
      <c r="A203" s="68" t="s">
        <v>362</v>
      </c>
      <c r="B203" s="74">
        <v>5</v>
      </c>
      <c r="C203" s="68" t="s">
        <v>363</v>
      </c>
      <c r="D203" s="68" t="s">
        <v>364</v>
      </c>
      <c r="E203" s="75">
        <f>60*F203*'THAM_SO_MOI'!$C$53/(2*PI()*'THAM_SO_MOI'!$C$26)</f>
        <v>1141.618736842105</v>
      </c>
      <c r="F203" s="75">
        <f>'THAM_SO_MOI'!$E$53+('THAM_SO_MOI'!$C$14-'THAM_SO_MOI'!$E$53)*197/'THAM_SO_MOI'!$C$42</f>
        <v>11.586942307692308</v>
      </c>
      <c r="G203" s="75">
        <f>3.6*F203</f>
        <v>41.71299230769231</v>
      </c>
      <c r="H203" s="75">
        <f>'THAM_SO_MOI'!$D$53</f>
        <v>1.1</v>
      </c>
      <c r="I203" s="75">
        <f>IF(F203&gt;'THAM_SO_MOI'!$C$14,'THAM_SO_MOI'!$C$13*(1+F203^2/1500),'THAM_SO_MOI'!$C$13)</f>
        <v>0.015</v>
      </c>
      <c r="J203" s="75">
        <f>'THAM_SO_MOI'!$C$40*('THAM_SO_MOI'!$C$23*(E203/'THAM_SO_MOI'!$C$22)+'THAM_SO_MOI'!$C$24*(E203/'THAM_SO_MOI'!$C$22)^2-'THAM_SO_MOI'!$C$25*(E203/'THAM_SO_MOI'!$C$22)^3)</f>
        <v>45.32022230655969</v>
      </c>
      <c r="K203" s="75">
        <f>'THAM_SO_MOI'!$C$31*J203/E203</f>
        <v>379.16152540005726</v>
      </c>
      <c r="L203" s="75">
        <f>K203*'THAM_SO_MOI'!$C$53*'THAM_SO_MOI'!$C$17/'THAM_SO_MOI'!$C$26</f>
        <v>3325.248061405629</v>
      </c>
      <c r="M203" s="75">
        <f>'THAM_SO_MOI'!$C$15*'THAM_SO_MOI'!$C$16*F203^2</f>
        <v>392.7024037222356</v>
      </c>
      <c r="N203" s="75">
        <f>'THAM_SO_MOI'!$C$12*I203</f>
        <v>1130.112</v>
      </c>
      <c r="O203" s="75">
        <f>M203+N203</f>
        <v>1522.8144037222357</v>
      </c>
      <c r="P203" s="75">
        <f>(MIN(L203,'THAM_SO_MOI'!$C$41)-O203)/('THAM_SO_MOI'!$C$11*H203)</f>
        <v>0.2133562568280532</v>
      </c>
      <c r="Q203" s="75">
        <f>IF(P203&gt;0,1/P203,NA())</f>
        <v>4.68699636404811</v>
      </c>
      <c r="R203" s="75">
        <f>F203-F202</f>
        <v>0.017600427350426884</v>
      </c>
      <c r="S203" s="75">
        <f>0.5*(Q202+Q203)*R203</f>
        <v>0.08250049824822533</v>
      </c>
      <c r="T203" s="75">
        <f>0.5*(F202*Q202+F203*Q203)*R203</f>
        <v>0.9552024267821793</v>
      </c>
      <c r="U203" s="76">
        <f>U202+S203</f>
        <v>16.818510900147288</v>
      </c>
      <c r="V203" s="76">
        <f>V202+T203</f>
        <v>165.30299331117573</v>
      </c>
    </row>
    <row r="204" spans="1:22" ht="19" customHeight="1">
      <c r="A204" s="68" t="s">
        <v>362</v>
      </c>
      <c r="B204" s="74">
        <v>5</v>
      </c>
      <c r="C204" s="68" t="s">
        <v>363</v>
      </c>
      <c r="D204" s="68" t="s">
        <v>364</v>
      </c>
      <c r="E204" s="75">
        <f>60*F204*'THAM_SO_MOI'!$C$53/(2*PI()*'THAM_SO_MOI'!$C$26)</f>
        <v>1143.3528421052629</v>
      </c>
      <c r="F204" s="75">
        <f>'THAM_SO_MOI'!$E$53+('THAM_SO_MOI'!$C$14-'THAM_SO_MOI'!$E$53)*198/'THAM_SO_MOI'!$C$42</f>
        <v>11.604542735042736</v>
      </c>
      <c r="G204" s="75">
        <f>3.6*F204</f>
        <v>41.77635384615385</v>
      </c>
      <c r="H204" s="75">
        <f>'THAM_SO_MOI'!$D$53</f>
        <v>1.1</v>
      </c>
      <c r="I204" s="75">
        <f>IF(F204&gt;'THAM_SO_MOI'!$C$14,'THAM_SO_MOI'!$C$13*(1+F204^2/1500),'THAM_SO_MOI'!$C$13)</f>
        <v>0.015</v>
      </c>
      <c r="J204" s="75">
        <f>'THAM_SO_MOI'!$C$40*('THAM_SO_MOI'!$C$23*(E204/'THAM_SO_MOI'!$C$22)+'THAM_SO_MOI'!$C$24*(E204/'THAM_SO_MOI'!$C$22)^2-'THAM_SO_MOI'!$C$25*(E204/'THAM_SO_MOI'!$C$22)^3)</f>
        <v>45.40968930867136</v>
      </c>
      <c r="K204" s="75">
        <f>'THAM_SO_MOI'!$C$31*J204/E204</f>
        <v>379.3338275403628</v>
      </c>
      <c r="L204" s="75">
        <f>K204*'THAM_SO_MOI'!$C$53*'THAM_SO_MOI'!$C$17/'THAM_SO_MOI'!$C$26</f>
        <v>3326.759151850322</v>
      </c>
      <c r="M204" s="75">
        <f>'THAM_SO_MOI'!$C$15*'THAM_SO_MOI'!$C$16*F204^2</f>
        <v>393.896330361592</v>
      </c>
      <c r="N204" s="75">
        <f>'THAM_SO_MOI'!$C$12*I204</f>
        <v>1130.112</v>
      </c>
      <c r="O204" s="75">
        <f>M204+N204</f>
        <v>1524.008330361592</v>
      </c>
      <c r="P204" s="75">
        <f>(MIN(L204,'THAM_SO_MOI'!$C$41)-O204)/('THAM_SO_MOI'!$C$11*H204)</f>
        <v>0.21339379989213184</v>
      </c>
      <c r="Q204" s="75">
        <f>IF(P204&gt;0,1/P204,NA())</f>
        <v>4.686171765559678</v>
      </c>
      <c r="R204" s="75">
        <f>F204-F203</f>
        <v>0.01760042735042866</v>
      </c>
      <c r="S204" s="75">
        <f>0.5*(Q203+Q204)*R204</f>
        <v>0.08248588235425758</v>
      </c>
      <c r="T204" s="75">
        <f>0.5*(F203*Q203+F204*Q204)*R204</f>
        <v>0.9564849895677755</v>
      </c>
      <c r="U204" s="76">
        <f>U203+S204</f>
        <v>16.900996782501547</v>
      </c>
      <c r="V204" s="76">
        <f>V203+T204</f>
        <v>166.2594783007435</v>
      </c>
    </row>
    <row r="205" spans="1:22" ht="19" customHeight="1">
      <c r="A205" s="68" t="s">
        <v>362</v>
      </c>
      <c r="B205" s="74">
        <v>5</v>
      </c>
      <c r="C205" s="68" t="s">
        <v>363</v>
      </c>
      <c r="D205" s="68" t="s">
        <v>364</v>
      </c>
      <c r="E205" s="75">
        <f>60*F205*'THAM_SO_MOI'!$C$53/(2*PI()*'THAM_SO_MOI'!$C$26)</f>
        <v>1145.0869473684209</v>
      </c>
      <c r="F205" s="75">
        <f>'THAM_SO_MOI'!$E$53+('THAM_SO_MOI'!$C$14-'THAM_SO_MOI'!$E$53)*199/'THAM_SO_MOI'!$C$42</f>
        <v>11.622143162393163</v>
      </c>
      <c r="G205" s="75">
        <f>3.6*F205</f>
        <v>41.83971538461539</v>
      </c>
      <c r="H205" s="75">
        <f>'THAM_SO_MOI'!$D$53</f>
        <v>1.1</v>
      </c>
      <c r="I205" s="75">
        <f>IF(F205&gt;'THAM_SO_MOI'!$C$14,'THAM_SO_MOI'!$C$13*(1+F205^2/1500),'THAM_SO_MOI'!$C$13)</f>
        <v>0.015</v>
      </c>
      <c r="J205" s="75">
        <f>'THAM_SO_MOI'!$C$40*('THAM_SO_MOI'!$C$23*(E205/'THAM_SO_MOI'!$C$22)+'THAM_SO_MOI'!$C$24*(E205/'THAM_SO_MOI'!$C$22)^2-'THAM_SO_MOI'!$C$25*(E205/'THAM_SO_MOI'!$C$22)^3)</f>
        <v>45.49918390105903</v>
      </c>
      <c r="K205" s="75">
        <f>'THAM_SO_MOI'!$C$31*J205/E205</f>
        <v>379.50583794504314</v>
      </c>
      <c r="L205" s="75">
        <f>K205*'THAM_SO_MOI'!$C$53*'THAM_SO_MOI'!$C$17/'THAM_SO_MOI'!$C$26</f>
        <v>3328.2676837724393</v>
      </c>
      <c r="M205" s="75">
        <f>'THAM_SO_MOI'!$C$15*'THAM_SO_MOI'!$C$16*F205^2</f>
        <v>395.09206918494937</v>
      </c>
      <c r="N205" s="75">
        <f>'THAM_SO_MOI'!$C$12*I205</f>
        <v>1130.112</v>
      </c>
      <c r="O205" s="75">
        <f>M205+N205</f>
        <v>1525.2040691849495</v>
      </c>
      <c r="P205" s="75">
        <f>(MIN(L205,'THAM_SO_MOI'!$C$41)-O205)/('THAM_SO_MOI'!$C$11*H205)</f>
        <v>0.21343082559037524</v>
      </c>
      <c r="Q205" s="75">
        <f>IF(P205&gt;0,1/P205,NA())</f>
        <v>4.685358814659879</v>
      </c>
      <c r="R205" s="75">
        <f>F205-F204</f>
        <v>0.017600427350426884</v>
      </c>
      <c r="S205" s="75">
        <f>0.5*(Q204+Q205)*R205</f>
        <v>0.0824714715697291</v>
      </c>
      <c r="T205" s="75">
        <f>0.5*(F204*Q204+F205*Q205)*R205</f>
        <v>0.9577694198667314</v>
      </c>
      <c r="U205" s="76">
        <f>U204+S205</f>
        <v>16.983468254071276</v>
      </c>
      <c r="V205" s="76">
        <f>V204+T205</f>
        <v>167.21724772061023</v>
      </c>
    </row>
    <row r="206" spans="1:22" ht="19" customHeight="1">
      <c r="A206" s="68" t="s">
        <v>362</v>
      </c>
      <c r="B206" s="74">
        <v>5</v>
      </c>
      <c r="C206" s="68" t="s">
        <v>363</v>
      </c>
      <c r="D206" s="68" t="s">
        <v>364</v>
      </c>
      <c r="E206" s="75">
        <f>60*F206*'THAM_SO_MOI'!$C$53/(2*PI()*'THAM_SO_MOI'!$C$26)</f>
        <v>1146.8210526315786</v>
      </c>
      <c r="F206" s="75">
        <f>'THAM_SO_MOI'!$E$53+('THAM_SO_MOI'!$C$14-'THAM_SO_MOI'!$E$53)*200/'THAM_SO_MOI'!$C$42</f>
        <v>11.63974358974359</v>
      </c>
      <c r="G206" s="75">
        <f>3.6*F206</f>
        <v>41.903076923076924</v>
      </c>
      <c r="H206" s="75">
        <f>'THAM_SO_MOI'!$D$53</f>
        <v>1.1</v>
      </c>
      <c r="I206" s="75">
        <f>IF(F206&gt;'THAM_SO_MOI'!$C$14,'THAM_SO_MOI'!$C$13*(1+F206^2/1500),'THAM_SO_MOI'!$C$13)</f>
        <v>0.015</v>
      </c>
      <c r="J206" s="75">
        <f>'THAM_SO_MOI'!$C$40*('THAM_SO_MOI'!$C$23*(E206/'THAM_SO_MOI'!$C$22)+'THAM_SO_MOI'!$C$24*(E206/'THAM_SO_MOI'!$C$22)^2-'THAM_SO_MOI'!$C$25*(E206/'THAM_SO_MOI'!$C$22)^3)</f>
        <v>45.58870592481943</v>
      </c>
      <c r="K206" s="75">
        <f>'THAM_SO_MOI'!$C$31*J206/E206</f>
        <v>379.6775566140986</v>
      </c>
      <c r="L206" s="75">
        <f>K206*'THAM_SO_MOI'!$C$53*'THAM_SO_MOI'!$C$17/'THAM_SO_MOI'!$C$26</f>
        <v>3329.7736571719856</v>
      </c>
      <c r="M206" s="75">
        <f>'THAM_SO_MOI'!$C$15*'THAM_SO_MOI'!$C$16*F206^2</f>
        <v>396.2896201923078</v>
      </c>
      <c r="N206" s="75">
        <f>'THAM_SO_MOI'!$C$12*I206</f>
        <v>1130.112</v>
      </c>
      <c r="O206" s="75">
        <f>M206+N206</f>
        <v>1526.4016201923077</v>
      </c>
      <c r="P206" s="75">
        <f>(MIN(L206,'THAM_SO_MOI'!$C$41)-O206)/('THAM_SO_MOI'!$C$11*H206)</f>
        <v>0.21346733392278383</v>
      </c>
      <c r="Q206" s="75">
        <f>IF(P206&gt;0,1/P206,NA())</f>
        <v>4.684557499377041</v>
      </c>
      <c r="R206" s="75">
        <f>F206-F205</f>
        <v>0.017600427350426884</v>
      </c>
      <c r="S206" s="75">
        <f>0.5*(Q205+Q206)*R206</f>
        <v>0.08245726568239324</v>
      </c>
      <c r="T206" s="75">
        <f>0.5*(F205*Q205+F206*Q206)*R206</f>
        <v>0.9590557260404728</v>
      </c>
      <c r="U206" s="76">
        <f>U205+S206</f>
        <v>17.06592551975367</v>
      </c>
      <c r="V206" s="76">
        <f>V205+T206</f>
        <v>168.1763034466507</v>
      </c>
    </row>
    <row r="207" spans="1:22" ht="19" customHeight="1">
      <c r="A207" s="68" t="s">
        <v>362</v>
      </c>
      <c r="B207" s="74">
        <v>5</v>
      </c>
      <c r="C207" s="68" t="s">
        <v>363</v>
      </c>
      <c r="D207" s="68" t="s">
        <v>364</v>
      </c>
      <c r="E207" s="75">
        <f>60*F207*'THAM_SO_MOI'!$C$53/(2*PI()*'THAM_SO_MOI'!$C$26)</f>
        <v>1148.5551578947368</v>
      </c>
      <c r="F207" s="75">
        <f>'THAM_SO_MOI'!$E$53+('THAM_SO_MOI'!$C$14-'THAM_SO_MOI'!$E$53)*201/'THAM_SO_MOI'!$C$42</f>
        <v>11.657344017094019</v>
      </c>
      <c r="G207" s="75">
        <f>3.6*F207</f>
        <v>41.966438461538466</v>
      </c>
      <c r="H207" s="75">
        <f>'THAM_SO_MOI'!$D$53</f>
        <v>1.1</v>
      </c>
      <c r="I207" s="75">
        <f>IF(F207&gt;'THAM_SO_MOI'!$C$14,'THAM_SO_MOI'!$C$13*(1+F207^2/1500),'THAM_SO_MOI'!$C$13)</f>
        <v>0.015</v>
      </c>
      <c r="J207" s="75">
        <f>'THAM_SO_MOI'!$C$40*('THAM_SO_MOI'!$C$23*(E207/'THAM_SO_MOI'!$C$22)+'THAM_SO_MOI'!$C$24*(E207/'THAM_SO_MOI'!$C$22)^2-'THAM_SO_MOI'!$C$25*(E207/'THAM_SO_MOI'!$C$22)^3)</f>
        <v>45.67825522104929</v>
      </c>
      <c r="K207" s="75">
        <f>'THAM_SO_MOI'!$C$31*J207/E207</f>
        <v>379.8489835475289</v>
      </c>
      <c r="L207" s="75">
        <f>K207*'THAM_SO_MOI'!$C$53*'THAM_SO_MOI'!$C$17/'THAM_SO_MOI'!$C$26</f>
        <v>3331.277072048958</v>
      </c>
      <c r="M207" s="75">
        <f>'THAM_SO_MOI'!$C$15*'THAM_SO_MOI'!$C$16*F207^2</f>
        <v>397.48898338366735</v>
      </c>
      <c r="N207" s="75">
        <f>'THAM_SO_MOI'!$C$12*I207</f>
        <v>1130.112</v>
      </c>
      <c r="O207" s="75">
        <f>M207+N207</f>
        <v>1527.6009833836674</v>
      </c>
      <c r="P207" s="75">
        <f>(MIN(L207,'THAM_SO_MOI'!$C$41)-O207)/('THAM_SO_MOI'!$C$11*H207)</f>
        <v>0.2135033248893573</v>
      </c>
      <c r="Q207" s="75">
        <f>IF(P207&gt;0,1/P207,NA())</f>
        <v>4.683767807916924</v>
      </c>
      <c r="R207" s="75">
        <f>F207-F206</f>
        <v>0.01760042735042866</v>
      </c>
      <c r="S207" s="75">
        <f>0.5*(Q206+Q207)*R207</f>
        <v>0.08244326448310484</v>
      </c>
      <c r="T207" s="75">
        <f>0.5*(F206*Q206+F207*Q207)*R207</f>
        <v>0.960343916471612</v>
      </c>
      <c r="U207" s="76">
        <f>U206+S207</f>
        <v>17.148368784236773</v>
      </c>
      <c r="V207" s="76">
        <f>V206+T207</f>
        <v>169.1366473631223</v>
      </c>
    </row>
    <row r="208" spans="1:22" ht="19" customHeight="1">
      <c r="A208" s="68" t="s">
        <v>362</v>
      </c>
      <c r="B208" s="74">
        <v>5</v>
      </c>
      <c r="C208" s="68" t="s">
        <v>363</v>
      </c>
      <c r="D208" s="68" t="s">
        <v>364</v>
      </c>
      <c r="E208" s="75">
        <f>60*F208*'THAM_SO_MOI'!$C$53/(2*PI()*'THAM_SO_MOI'!$C$26)</f>
        <v>1150.2892631578948</v>
      </c>
      <c r="F208" s="75">
        <f>'THAM_SO_MOI'!$E$53+('THAM_SO_MOI'!$C$14-'THAM_SO_MOI'!$E$53)*202/'THAM_SO_MOI'!$C$42</f>
        <v>11.674944444444446</v>
      </c>
      <c r="G208" s="75">
        <f>3.6*F208</f>
        <v>42.02980000000001</v>
      </c>
      <c r="H208" s="75">
        <f>'THAM_SO_MOI'!$D$53</f>
        <v>1.1</v>
      </c>
      <c r="I208" s="75">
        <f>IF(F208&gt;'THAM_SO_MOI'!$C$14,'THAM_SO_MOI'!$C$13*(1+F208^2/1500),'THAM_SO_MOI'!$C$13)</f>
        <v>0.015</v>
      </c>
      <c r="J208" s="75">
        <f>'THAM_SO_MOI'!$C$40*('THAM_SO_MOI'!$C$23*(E208/'THAM_SO_MOI'!$C$22)+'THAM_SO_MOI'!$C$24*(E208/'THAM_SO_MOI'!$C$22)^2-'THAM_SO_MOI'!$C$25*(E208/'THAM_SO_MOI'!$C$22)^3)</f>
        <v>45.76783163084533</v>
      </c>
      <c r="K208" s="75">
        <f>'THAM_SO_MOI'!$C$31*J208/E208</f>
        <v>380.0201187453343</v>
      </c>
      <c r="L208" s="75">
        <f>K208*'THAM_SO_MOI'!$C$53*'THAM_SO_MOI'!$C$17/'THAM_SO_MOI'!$C$26</f>
        <v>3332.7779284033572</v>
      </c>
      <c r="M208" s="75">
        <f>'THAM_SO_MOI'!$C$15*'THAM_SO_MOI'!$C$16*F208^2</f>
        <v>398.6901587590279</v>
      </c>
      <c r="N208" s="75">
        <f>'THAM_SO_MOI'!$C$12*I208</f>
        <v>1130.112</v>
      </c>
      <c r="O208" s="75">
        <f>M208+N208</f>
        <v>1528.8021587590279</v>
      </c>
      <c r="P208" s="75">
        <f>(MIN(L208,'THAM_SO_MOI'!$C$41)-O208)/('THAM_SO_MOI'!$C$11*H208)</f>
        <v>0.2135387984900958</v>
      </c>
      <c r="Q208" s="75">
        <f>IF(P208&gt;0,1/P208,NA())</f>
        <v>4.682989728662266</v>
      </c>
      <c r="R208" s="75">
        <f>F208-F207</f>
        <v>0.017600427350426884</v>
      </c>
      <c r="S208" s="75">
        <f>0.5*(Q207+Q208)*R208</f>
        <v>0.08242946776581275</v>
      </c>
      <c r="T208" s="75">
        <f>0.5*(F207*Q207+F208*Q208)*R208</f>
        <v>0.9616339995641312</v>
      </c>
      <c r="U208" s="76">
        <f>U207+S208</f>
        <v>17.230798252002586</v>
      </c>
      <c r="V208" s="76">
        <f>V207+T208</f>
        <v>170.09828136268644</v>
      </c>
    </row>
    <row r="209" spans="1:22" ht="19" customHeight="1">
      <c r="A209" s="68" t="s">
        <v>362</v>
      </c>
      <c r="B209" s="74">
        <v>5</v>
      </c>
      <c r="C209" s="68" t="s">
        <v>363</v>
      </c>
      <c r="D209" s="68" t="s">
        <v>364</v>
      </c>
      <c r="E209" s="75">
        <f>60*F209*'THAM_SO_MOI'!$C$53/(2*PI()*'THAM_SO_MOI'!$C$26)</f>
        <v>1152.0233684210525</v>
      </c>
      <c r="F209" s="75">
        <f>'THAM_SO_MOI'!$E$53+('THAM_SO_MOI'!$C$14-'THAM_SO_MOI'!$E$53)*203/'THAM_SO_MOI'!$C$42</f>
        <v>11.692544871794873</v>
      </c>
      <c r="G209" s="75">
        <f>3.6*F209</f>
        <v>42.093161538461544</v>
      </c>
      <c r="H209" s="75">
        <f>'THAM_SO_MOI'!$D$53</f>
        <v>1.1</v>
      </c>
      <c r="I209" s="75">
        <f>IF(F209&gt;'THAM_SO_MOI'!$C$14,'THAM_SO_MOI'!$C$13*(1+F209^2/1500),'THAM_SO_MOI'!$C$13)</f>
        <v>0.015</v>
      </c>
      <c r="J209" s="75">
        <f>'THAM_SO_MOI'!$C$40*('THAM_SO_MOI'!$C$23*(E209/'THAM_SO_MOI'!$C$22)+'THAM_SO_MOI'!$C$24*(E209/'THAM_SO_MOI'!$C$22)^2-'THAM_SO_MOI'!$C$25*(E209/'THAM_SO_MOI'!$C$22)^3)</f>
        <v>45.85743499530424</v>
      </c>
      <c r="K209" s="75">
        <f>'THAM_SO_MOI'!$C$31*J209/E209</f>
        <v>380.19096220751453</v>
      </c>
      <c r="L209" s="75">
        <f>K209*'THAM_SO_MOI'!$C$53*'THAM_SO_MOI'!$C$17/'THAM_SO_MOI'!$C$26</f>
        <v>3334.276226235183</v>
      </c>
      <c r="M209" s="75">
        <f>'THAM_SO_MOI'!$C$15*'THAM_SO_MOI'!$C$16*F209^2</f>
        <v>399.89314631838954</v>
      </c>
      <c r="N209" s="75">
        <f>'THAM_SO_MOI'!$C$12*I209</f>
        <v>1130.112</v>
      </c>
      <c r="O209" s="75">
        <f>M209+N209</f>
        <v>1530.0051463183895</v>
      </c>
      <c r="P209" s="75">
        <f>(MIN(L209,'THAM_SO_MOI'!$C$41)-O209)/('THAM_SO_MOI'!$C$11*H209)</f>
        <v>0.21357375472499923</v>
      </c>
      <c r="Q209" s="75">
        <f>IF(P209&gt;0,1/P209,NA())</f>
        <v>4.682223250172359</v>
      </c>
      <c r="R209" s="75">
        <f>F209-F208</f>
        <v>0.017600427350426884</v>
      </c>
      <c r="S209" s="75">
        <f>0.5*(Q208+Q209)*R209</f>
        <v>0.08241587532762687</v>
      </c>
      <c r="T209" s="75">
        <f>0.5*(F208*Q208+F209*Q209)*R209</f>
        <v>0.9629259837444395</v>
      </c>
      <c r="U209" s="76">
        <f>U208+S209</f>
        <v>17.313214127330212</v>
      </c>
      <c r="V209" s="76">
        <f>V208+T209</f>
        <v>171.06120734643088</v>
      </c>
    </row>
    <row r="210" spans="1:22" ht="19" customHeight="1">
      <c r="A210" s="68" t="s">
        <v>362</v>
      </c>
      <c r="B210" s="74">
        <v>5</v>
      </c>
      <c r="C210" s="68" t="s">
        <v>363</v>
      </c>
      <c r="D210" s="68" t="s">
        <v>364</v>
      </c>
      <c r="E210" s="75">
        <f>60*F210*'THAM_SO_MOI'!$C$53/(2*PI()*'THAM_SO_MOI'!$C$26)</f>
        <v>1153.7574736842103</v>
      </c>
      <c r="F210" s="75">
        <f>'THAM_SO_MOI'!$E$53+('THAM_SO_MOI'!$C$14-'THAM_SO_MOI'!$E$53)*204/'THAM_SO_MOI'!$C$42</f>
        <v>11.7101452991453</v>
      </c>
      <c r="G210" s="75">
        <f>3.6*F210</f>
        <v>42.15652307692308</v>
      </c>
      <c r="H210" s="75">
        <f>'THAM_SO_MOI'!$D$53</f>
        <v>1.1</v>
      </c>
      <c r="I210" s="75">
        <f>IF(F210&gt;'THAM_SO_MOI'!$C$14,'THAM_SO_MOI'!$C$13*(1+F210^2/1500),'THAM_SO_MOI'!$C$13)</f>
        <v>0.015</v>
      </c>
      <c r="J210" s="75">
        <f>'THAM_SO_MOI'!$C$40*('THAM_SO_MOI'!$C$23*(E210/'THAM_SO_MOI'!$C$22)+'THAM_SO_MOI'!$C$24*(E210/'THAM_SO_MOI'!$C$22)^2-'THAM_SO_MOI'!$C$25*(E210/'THAM_SO_MOI'!$C$22)^3)</f>
        <v>45.94706515552277</v>
      </c>
      <c r="K210" s="75">
        <f>'THAM_SO_MOI'!$C$31*J210/E210</f>
        <v>380.3615139340698</v>
      </c>
      <c r="L210" s="75">
        <f>K210*'THAM_SO_MOI'!$C$53*'THAM_SO_MOI'!$C$17/'THAM_SO_MOI'!$C$26</f>
        <v>3335.7719655444366</v>
      </c>
      <c r="M210" s="75">
        <f>'THAM_SO_MOI'!$C$15*'THAM_SO_MOI'!$C$16*F210^2</f>
        <v>401.09794606175217</v>
      </c>
      <c r="N210" s="75">
        <f>'THAM_SO_MOI'!$C$12*I210</f>
        <v>1130.112</v>
      </c>
      <c r="O210" s="75">
        <f>M210+N210</f>
        <v>1531.2099460617524</v>
      </c>
      <c r="P210" s="75">
        <f>(MIN(L210,'THAM_SO_MOI'!$C$41)-O210)/('THAM_SO_MOI'!$C$11*H210)</f>
        <v>0.21360819359406774</v>
      </c>
      <c r="Q210" s="75">
        <f>IF(P210&gt;0,1/P210,NA())</f>
        <v>4.6814683611826196</v>
      </c>
      <c r="R210" s="75">
        <f>F210-F209</f>
        <v>0.017600427350426884</v>
      </c>
      <c r="S210" s="75">
        <f>0.5*(Q209+Q210)*R210</f>
        <v>0.08240248696872747</v>
      </c>
      <c r="T210" s="75">
        <f>0.5*(F209*Q209+F210*Q210)*R210</f>
        <v>0.9642198774605897</v>
      </c>
      <c r="U210" s="76">
        <f>U209+S210</f>
        <v>17.39561661429894</v>
      </c>
      <c r="V210" s="76">
        <f>V209+T210</f>
        <v>172.02542722389146</v>
      </c>
    </row>
    <row r="211" spans="1:22" ht="19" customHeight="1">
      <c r="A211" s="68" t="s">
        <v>362</v>
      </c>
      <c r="B211" s="74">
        <v>5</v>
      </c>
      <c r="C211" s="68" t="s">
        <v>363</v>
      </c>
      <c r="D211" s="68" t="s">
        <v>364</v>
      </c>
      <c r="E211" s="75">
        <f>60*F211*'THAM_SO_MOI'!$C$53/(2*PI()*'THAM_SO_MOI'!$C$26)</f>
        <v>1155.491578947368</v>
      </c>
      <c r="F211" s="75">
        <f>'THAM_SO_MOI'!$E$53+('THAM_SO_MOI'!$C$14-'THAM_SO_MOI'!$E$53)*205/'THAM_SO_MOI'!$C$42</f>
        <v>11.727745726495726</v>
      </c>
      <c r="G211" s="75">
        <f>3.6*F211</f>
        <v>42.219884615384615</v>
      </c>
      <c r="H211" s="75">
        <f>'THAM_SO_MOI'!$D$53</f>
        <v>1.1</v>
      </c>
      <c r="I211" s="75">
        <f>IF(F211&gt;'THAM_SO_MOI'!$C$14,'THAM_SO_MOI'!$C$13*(1+F211^2/1500),'THAM_SO_MOI'!$C$13)</f>
        <v>0.015</v>
      </c>
      <c r="J211" s="75">
        <f>'THAM_SO_MOI'!$C$40*('THAM_SO_MOI'!$C$23*(E211/'THAM_SO_MOI'!$C$22)+'THAM_SO_MOI'!$C$24*(E211/'THAM_SO_MOI'!$C$22)^2-'THAM_SO_MOI'!$C$25*(E211/'THAM_SO_MOI'!$C$22)^3)</f>
        <v>46.036721952597645</v>
      </c>
      <c r="K211" s="75">
        <f>'THAM_SO_MOI'!$C$31*J211/E211</f>
        <v>380.53177392500004</v>
      </c>
      <c r="L211" s="75">
        <f>K211*'THAM_SO_MOI'!$C$53*'THAM_SO_MOI'!$C$17/'THAM_SO_MOI'!$C$26</f>
        <v>3337.2651463311167</v>
      </c>
      <c r="M211" s="75">
        <f>'THAM_SO_MOI'!$C$15*'THAM_SO_MOI'!$C$16*F211^2</f>
        <v>402.30455798911595</v>
      </c>
      <c r="N211" s="75">
        <f>'THAM_SO_MOI'!$C$12*I211</f>
        <v>1130.112</v>
      </c>
      <c r="O211" s="75">
        <f>M211+N211</f>
        <v>1532.416557989116</v>
      </c>
      <c r="P211" s="75">
        <f>(MIN(L211,'THAM_SO_MOI'!$C$41)-O211)/('THAM_SO_MOI'!$C$11*H211)</f>
        <v>0.21364211509730122</v>
      </c>
      <c r="Q211" s="75">
        <f>IF(P211&gt;0,1/P211,NA())</f>
        <v>4.680725050604184</v>
      </c>
      <c r="R211" s="75">
        <f>F211-F210</f>
        <v>0.017600427350426884</v>
      </c>
      <c r="S211" s="75">
        <f>0.5*(Q210+Q211)*R211</f>
        <v>0.08238930249239941</v>
      </c>
      <c r="T211" s="75">
        <f>0.5*(F210*Q210+F211*Q211)*R211</f>
        <v>0.9655156891829495</v>
      </c>
      <c r="U211" s="76">
        <f>U210+S211</f>
        <v>17.47800591679134</v>
      </c>
      <c r="V211" s="76">
        <f>V210+T211</f>
        <v>172.9909429130744</v>
      </c>
    </row>
    <row r="212" spans="1:22" ht="19" customHeight="1">
      <c r="A212" s="68" t="s">
        <v>362</v>
      </c>
      <c r="B212" s="74">
        <v>5</v>
      </c>
      <c r="C212" s="68" t="s">
        <v>363</v>
      </c>
      <c r="D212" s="68" t="s">
        <v>364</v>
      </c>
      <c r="E212" s="75">
        <f>60*F212*'THAM_SO_MOI'!$C$53/(2*PI()*'THAM_SO_MOI'!$C$26)</f>
        <v>1157.2256842105262</v>
      </c>
      <c r="F212" s="75">
        <f>'THAM_SO_MOI'!$E$53+('THAM_SO_MOI'!$C$14-'THAM_SO_MOI'!$E$53)*206/'THAM_SO_MOI'!$C$42</f>
        <v>11.745346153846155</v>
      </c>
      <c r="G212" s="75">
        <f>3.6*F212</f>
        <v>42.28324615384616</v>
      </c>
      <c r="H212" s="75">
        <f>'THAM_SO_MOI'!$D$53</f>
        <v>1.1</v>
      </c>
      <c r="I212" s="75">
        <f>IF(F212&gt;'THAM_SO_MOI'!$C$14,'THAM_SO_MOI'!$C$13*(1+F212^2/1500),'THAM_SO_MOI'!$C$13)</f>
        <v>0.015</v>
      </c>
      <c r="J212" s="75">
        <f>'THAM_SO_MOI'!$C$40*('THAM_SO_MOI'!$C$23*(E212/'THAM_SO_MOI'!$C$22)+'THAM_SO_MOI'!$C$24*(E212/'THAM_SO_MOI'!$C$22)^2-'THAM_SO_MOI'!$C$25*(E212/'THAM_SO_MOI'!$C$22)^3)</f>
        <v>46.1264052276256</v>
      </c>
      <c r="K212" s="75">
        <f>'THAM_SO_MOI'!$C$31*J212/E212</f>
        <v>380.70174218030525</v>
      </c>
      <c r="L212" s="75">
        <f>K212*'THAM_SO_MOI'!$C$53*'THAM_SO_MOI'!$C$17/'THAM_SO_MOI'!$C$26</f>
        <v>3338.755768595224</v>
      </c>
      <c r="M212" s="75">
        <f>'THAM_SO_MOI'!$C$15*'THAM_SO_MOI'!$C$16*F212^2</f>
        <v>403.5129821004809</v>
      </c>
      <c r="N212" s="75">
        <f>'THAM_SO_MOI'!$C$12*I212</f>
        <v>1130.112</v>
      </c>
      <c r="O212" s="75">
        <f>M212+N212</f>
        <v>1533.624982100481</v>
      </c>
      <c r="P212" s="75">
        <f>(MIN(L212,'THAM_SO_MOI'!$C$41)-O212)/('THAM_SO_MOI'!$C$11*H212)</f>
        <v>0.21367551923469968</v>
      </c>
      <c r="Q212" s="75">
        <f>IF(P212&gt;0,1/P212,NA())</f>
        <v>4.679993307523484</v>
      </c>
      <c r="R212" s="75">
        <f>F212-F211</f>
        <v>0.01760042735042866</v>
      </c>
      <c r="S212" s="75">
        <f>0.5*(Q211+Q212)*R212</f>
        <v>0.08237632170502492</v>
      </c>
      <c r="T212" s="75">
        <f>0.5*(F211*Q211+F212*Q212)*R212</f>
        <v>0.9668134274043896</v>
      </c>
      <c r="U212" s="76">
        <f>U211+S212</f>
        <v>17.560382238496363</v>
      </c>
      <c r="V212" s="76">
        <f>V211+T212</f>
        <v>173.9577563404788</v>
      </c>
    </row>
    <row r="213" spans="1:22" ht="19" customHeight="1">
      <c r="A213" s="68" t="s">
        <v>362</v>
      </c>
      <c r="B213" s="74">
        <v>5</v>
      </c>
      <c r="C213" s="68" t="s">
        <v>363</v>
      </c>
      <c r="D213" s="68" t="s">
        <v>364</v>
      </c>
      <c r="E213" s="75">
        <f>60*F213*'THAM_SO_MOI'!$C$53/(2*PI()*'THAM_SO_MOI'!$C$26)</f>
        <v>1158.9597894736842</v>
      </c>
      <c r="F213" s="75">
        <f>'THAM_SO_MOI'!$E$53+('THAM_SO_MOI'!$C$14-'THAM_SO_MOI'!$E$53)*207/'THAM_SO_MOI'!$C$42</f>
        <v>11.762946581196582</v>
      </c>
      <c r="G213" s="75">
        <f>3.6*F213</f>
        <v>42.34660769230769</v>
      </c>
      <c r="H213" s="75">
        <f>'THAM_SO_MOI'!$D$53</f>
        <v>1.1</v>
      </c>
      <c r="I213" s="75">
        <f>IF(F213&gt;'THAM_SO_MOI'!$C$14,'THAM_SO_MOI'!$C$13*(1+F213^2/1500),'THAM_SO_MOI'!$C$13)</f>
        <v>0.015</v>
      </c>
      <c r="J213" s="75">
        <f>'THAM_SO_MOI'!$C$40*('THAM_SO_MOI'!$C$23*(E213/'THAM_SO_MOI'!$C$22)+'THAM_SO_MOI'!$C$24*(E213/'THAM_SO_MOI'!$C$22)^2-'THAM_SO_MOI'!$C$25*(E213/'THAM_SO_MOI'!$C$22)^3)</f>
        <v>46.21611482170331</v>
      </c>
      <c r="K213" s="75">
        <f>'THAM_SO_MOI'!$C$31*J213/E213</f>
        <v>380.8714186999853</v>
      </c>
      <c r="L213" s="75">
        <f>K213*'THAM_SO_MOI'!$C$53*'THAM_SO_MOI'!$C$17/'THAM_SO_MOI'!$C$26</f>
        <v>3340.243832336757</v>
      </c>
      <c r="M213" s="75">
        <f>'THAM_SO_MOI'!$C$15*'THAM_SO_MOI'!$C$16*F213^2</f>
        <v>404.7232183958468</v>
      </c>
      <c r="N213" s="75">
        <f>'THAM_SO_MOI'!$C$12*I213</f>
        <v>1130.112</v>
      </c>
      <c r="O213" s="75">
        <f>M213+N213</f>
        <v>1534.8352183958468</v>
      </c>
      <c r="P213" s="75">
        <f>(MIN(L213,'THAM_SO_MOI'!$C$41)-O213)/('THAM_SO_MOI'!$C$11*H213)</f>
        <v>0.21370840600626304</v>
      </c>
      <c r="Q213" s="75">
        <f>IF(P213&gt;0,1/P213,NA())</f>
        <v>4.679273121201857</v>
      </c>
      <c r="R213" s="75">
        <f>F213-F212</f>
        <v>0.017600427350426884</v>
      </c>
      <c r="S213" s="75">
        <f>0.5*(Q212+Q213)*R213</f>
        <v>0.08236354441603481</v>
      </c>
      <c r="T213" s="75">
        <f>0.5*(F212*Q212+F213*Q213)*R213</f>
        <v>0.9681131006399832</v>
      </c>
      <c r="U213" s="76">
        <f>U212+S213</f>
        <v>17.642745782912396</v>
      </c>
      <c r="V213" s="76">
        <f>V212+T213</f>
        <v>174.92586944111878</v>
      </c>
    </row>
    <row r="214" spans="1:22" ht="19" customHeight="1">
      <c r="A214" s="68" t="s">
        <v>362</v>
      </c>
      <c r="B214" s="74">
        <v>5</v>
      </c>
      <c r="C214" s="68" t="s">
        <v>363</v>
      </c>
      <c r="D214" s="68" t="s">
        <v>364</v>
      </c>
      <c r="E214" s="75">
        <f>60*F214*'THAM_SO_MOI'!$C$53/(2*PI()*'THAM_SO_MOI'!$C$26)</f>
        <v>1160.6938947368421</v>
      </c>
      <c r="F214" s="75">
        <f>'THAM_SO_MOI'!$E$53+('THAM_SO_MOI'!$C$14-'THAM_SO_MOI'!$E$53)*208/'THAM_SO_MOI'!$C$42</f>
        <v>11.78054700854701</v>
      </c>
      <c r="G214" s="75">
        <f>3.6*F214</f>
        <v>42.40996923076924</v>
      </c>
      <c r="H214" s="75">
        <f>'THAM_SO_MOI'!$D$53</f>
        <v>1.1</v>
      </c>
      <c r="I214" s="75">
        <f>IF(F214&gt;'THAM_SO_MOI'!$C$14,'THAM_SO_MOI'!$C$13*(1+F214^2/1500),'THAM_SO_MOI'!$C$13)</f>
        <v>0.015</v>
      </c>
      <c r="J214" s="75">
        <f>'THAM_SO_MOI'!$C$40*('THAM_SO_MOI'!$C$23*(E214/'THAM_SO_MOI'!$C$22)+'THAM_SO_MOI'!$C$24*(E214/'THAM_SO_MOI'!$C$22)^2-'THAM_SO_MOI'!$C$25*(E214/'THAM_SO_MOI'!$C$22)^3)</f>
        <v>46.30585057592753</v>
      </c>
      <c r="K214" s="75">
        <f>'THAM_SO_MOI'!$C$31*J214/E214</f>
        <v>381.0408034840405</v>
      </c>
      <c r="L214" s="75">
        <f>K214*'THAM_SO_MOI'!$C$53*'THAM_SO_MOI'!$C$17/'THAM_SO_MOI'!$C$26</f>
        <v>3341.729337555718</v>
      </c>
      <c r="M214" s="75">
        <f>'THAM_SO_MOI'!$C$15*'THAM_SO_MOI'!$C$16*F214^2</f>
        <v>405.93526687521387</v>
      </c>
      <c r="N214" s="75">
        <f>'THAM_SO_MOI'!$C$12*I214</f>
        <v>1130.112</v>
      </c>
      <c r="O214" s="75">
        <f>M214+N214</f>
        <v>1536.047266875214</v>
      </c>
      <c r="P214" s="75">
        <f>(MIN(L214,'THAM_SO_MOI'!$C$41)-O214)/('THAM_SO_MOI'!$C$11*H214)</f>
        <v>0.21374077541199146</v>
      </c>
      <c r="Q214" s="75">
        <f>IF(P214&gt;0,1/P214,NA())</f>
        <v>4.6785644810751315</v>
      </c>
      <c r="R214" s="75">
        <f>F214-F213</f>
        <v>0.01760042735042866</v>
      </c>
      <c r="S214" s="75">
        <f>0.5*(Q213+Q214)*R214</f>
        <v>0.08235097043799282</v>
      </c>
      <c r="T214" s="75">
        <f>0.5*(F213*Q213+F214*Q214)*R214</f>
        <v>0.9694147174282677</v>
      </c>
      <c r="U214" s="76">
        <f>U213+S214</f>
        <v>17.72509675335039</v>
      </c>
      <c r="V214" s="76">
        <f>V213+T214</f>
        <v>175.89528415854704</v>
      </c>
    </row>
    <row r="215" spans="1:22" ht="19" customHeight="1">
      <c r="A215" s="68" t="s">
        <v>362</v>
      </c>
      <c r="B215" s="74">
        <v>5</v>
      </c>
      <c r="C215" s="68" t="s">
        <v>363</v>
      </c>
      <c r="D215" s="68" t="s">
        <v>364</v>
      </c>
      <c r="E215" s="75">
        <f>60*F215*'THAM_SO_MOI'!$C$53/(2*PI()*'THAM_SO_MOI'!$C$26)</f>
        <v>1162.4279999999999</v>
      </c>
      <c r="F215" s="75">
        <f>'THAM_SO_MOI'!$E$53+('THAM_SO_MOI'!$C$14-'THAM_SO_MOI'!$E$53)*209/'THAM_SO_MOI'!$C$42</f>
        <v>11.798147435897437</v>
      </c>
      <c r="G215" s="75">
        <f>3.6*F215</f>
        <v>42.47333076923078</v>
      </c>
      <c r="H215" s="75">
        <f>'THAM_SO_MOI'!$D$53</f>
        <v>1.1</v>
      </c>
      <c r="I215" s="75">
        <f>IF(F215&gt;'THAM_SO_MOI'!$C$14,'THAM_SO_MOI'!$C$13*(1+F215^2/1500),'THAM_SO_MOI'!$C$13)</f>
        <v>0.015</v>
      </c>
      <c r="J215" s="75">
        <f>'THAM_SO_MOI'!$C$40*('THAM_SO_MOI'!$C$23*(E215/'THAM_SO_MOI'!$C$22)+'THAM_SO_MOI'!$C$24*(E215/'THAM_SO_MOI'!$C$22)^2-'THAM_SO_MOI'!$C$25*(E215/'THAM_SO_MOI'!$C$22)^3)</f>
        <v>46.39561233139496</v>
      </c>
      <c r="K215" s="75">
        <f>'THAM_SO_MOI'!$C$31*J215/E215</f>
        <v>381.2098965324705</v>
      </c>
      <c r="L215" s="75">
        <f>K215*'THAM_SO_MOI'!$C$53*'THAM_SO_MOI'!$C$17/'THAM_SO_MOI'!$C$26</f>
        <v>3343.212284252105</v>
      </c>
      <c r="M215" s="75">
        <f>'THAM_SO_MOI'!$C$15*'THAM_SO_MOI'!$C$16*F215^2</f>
        <v>407.1491275385819</v>
      </c>
      <c r="N215" s="75">
        <f>'THAM_SO_MOI'!$C$12*I215</f>
        <v>1130.112</v>
      </c>
      <c r="O215" s="75">
        <f>M215+N215</f>
        <v>1537.261127538582</v>
      </c>
      <c r="P215" s="75">
        <f>(MIN(L215,'THAM_SO_MOI'!$C$41)-O215)/('THAM_SO_MOI'!$C$11*H215)</f>
        <v>0.2137726274518848</v>
      </c>
      <c r="Q215" s="75">
        <f>IF(P215&gt;0,1/P215,NA())</f>
        <v>4.677867376753259</v>
      </c>
      <c r="R215" s="75">
        <f>F215-F214</f>
        <v>0.017600427350426884</v>
      </c>
      <c r="S215" s="75">
        <f>0.5*(Q214+Q215)*R215</f>
        <v>0.08233859958646411</v>
      </c>
      <c r="T215" s="75">
        <f>0.5*(F214*Q214+F215*Q215)*R215</f>
        <v>0.9707182863299684</v>
      </c>
      <c r="U215" s="76">
        <f>U214+S215</f>
        <v>17.807435352936853</v>
      </c>
      <c r="V215" s="76">
        <f>V214+T215</f>
        <v>176.866002444877</v>
      </c>
    </row>
    <row r="216" spans="1:22" ht="19" customHeight="1">
      <c r="A216" s="68" t="s">
        <v>362</v>
      </c>
      <c r="B216" s="74">
        <v>5</v>
      </c>
      <c r="C216" s="68" t="s">
        <v>363</v>
      </c>
      <c r="D216" s="68" t="s">
        <v>364</v>
      </c>
      <c r="E216" s="75">
        <f>60*F216*'THAM_SO_MOI'!$C$53/(2*PI()*'THAM_SO_MOI'!$C$26)</f>
        <v>1164.1621052631579</v>
      </c>
      <c r="F216" s="75">
        <f>'THAM_SO_MOI'!$E$53+('THAM_SO_MOI'!$C$14-'THAM_SO_MOI'!$E$53)*210/'THAM_SO_MOI'!$C$42</f>
        <v>11.815747863247864</v>
      </c>
      <c r="G216" s="75">
        <f>3.6*F216</f>
        <v>42.53669230769231</v>
      </c>
      <c r="H216" s="75">
        <f>'THAM_SO_MOI'!$D$53</f>
        <v>1.1</v>
      </c>
      <c r="I216" s="75">
        <f>IF(F216&gt;'THAM_SO_MOI'!$C$14,'THAM_SO_MOI'!$C$13*(1+F216^2/1500),'THAM_SO_MOI'!$C$13)</f>
        <v>0.015</v>
      </c>
      <c r="J216" s="75">
        <f>'THAM_SO_MOI'!$C$40*('THAM_SO_MOI'!$C$23*(E216/'THAM_SO_MOI'!$C$22)+'THAM_SO_MOI'!$C$24*(E216/'THAM_SO_MOI'!$C$22)^2-'THAM_SO_MOI'!$C$25*(E216/'THAM_SO_MOI'!$C$22)^3)</f>
        <v>46.48539992920235</v>
      </c>
      <c r="K216" s="75">
        <f>'THAM_SO_MOI'!$C$31*J216/E216</f>
        <v>381.37869784527567</v>
      </c>
      <c r="L216" s="75">
        <f>K216*'THAM_SO_MOI'!$C$53*'THAM_SO_MOI'!$C$17/'THAM_SO_MOI'!$C$26</f>
        <v>3344.6926724259206</v>
      </c>
      <c r="M216" s="75">
        <f>'THAM_SO_MOI'!$C$15*'THAM_SO_MOI'!$C$16*F216^2</f>
        <v>408.36480038595096</v>
      </c>
      <c r="N216" s="75">
        <f>'THAM_SO_MOI'!$C$12*I216</f>
        <v>1130.112</v>
      </c>
      <c r="O216" s="75">
        <f>M216+N216</f>
        <v>1538.476800385951</v>
      </c>
      <c r="P216" s="75">
        <f>(MIN(L216,'THAM_SO_MOI'!$C$41)-O216)/('THAM_SO_MOI'!$C$11*H216)</f>
        <v>0.21380396212594333</v>
      </c>
      <c r="Q216" s="75">
        <f>IF(P216&gt;0,1/P216,NA())</f>
        <v>4.677181798019908</v>
      </c>
      <c r="R216" s="75">
        <f>F216-F215</f>
        <v>0.017600427350426884</v>
      </c>
      <c r="S216" s="75">
        <f>0.5*(Q215+Q216)*R216</f>
        <v>0.08232643168013305</v>
      </c>
      <c r="T216" s="75">
        <f>0.5*(F215*Q215+F216*Q216)*R216</f>
        <v>0.9720238159296549</v>
      </c>
      <c r="U216" s="76">
        <f>U215+S216</f>
        <v>17.889761784616987</v>
      </c>
      <c r="V216" s="76">
        <f>V215+T216</f>
        <v>177.83802626080666</v>
      </c>
    </row>
    <row r="217" spans="1:22" ht="19" customHeight="1">
      <c r="A217" s="68" t="s">
        <v>362</v>
      </c>
      <c r="B217" s="74">
        <v>5</v>
      </c>
      <c r="C217" s="68" t="s">
        <v>363</v>
      </c>
      <c r="D217" s="68" t="s">
        <v>364</v>
      </c>
      <c r="E217" s="75">
        <f>60*F217*'THAM_SO_MOI'!$C$53/(2*PI()*'THAM_SO_MOI'!$C$26)</f>
        <v>1165.8962105263156</v>
      </c>
      <c r="F217" s="75">
        <f>'THAM_SO_MOI'!$E$53+('THAM_SO_MOI'!$C$14-'THAM_SO_MOI'!$E$53)*211/'THAM_SO_MOI'!$C$42</f>
        <v>11.833348290598291</v>
      </c>
      <c r="G217" s="75">
        <f>3.6*F217</f>
        <v>42.60005384615385</v>
      </c>
      <c r="H217" s="75">
        <f>'THAM_SO_MOI'!$D$53</f>
        <v>1.1</v>
      </c>
      <c r="I217" s="75">
        <f>IF(F217&gt;'THAM_SO_MOI'!$C$14,'THAM_SO_MOI'!$C$13*(1+F217^2/1500),'THAM_SO_MOI'!$C$13)</f>
        <v>0.015</v>
      </c>
      <c r="J217" s="75">
        <f>'THAM_SO_MOI'!$C$40*('THAM_SO_MOI'!$C$23*(E217/'THAM_SO_MOI'!$C$22)+'THAM_SO_MOI'!$C$24*(E217/'THAM_SO_MOI'!$C$22)^2-'THAM_SO_MOI'!$C$25*(E217/'THAM_SO_MOI'!$C$22)^3)</f>
        <v>46.575213210446385</v>
      </c>
      <c r="K217" s="75">
        <f>'THAM_SO_MOI'!$C$31*J217/E217</f>
        <v>381.54720742245564</v>
      </c>
      <c r="L217" s="75">
        <f>K217*'THAM_SO_MOI'!$C$53*'THAM_SO_MOI'!$C$17/'THAM_SO_MOI'!$C$26</f>
        <v>3346.1705020771615</v>
      </c>
      <c r="M217" s="75">
        <f>'THAM_SO_MOI'!$C$15*'THAM_SO_MOI'!$C$16*F217^2</f>
        <v>409.58228541732115</v>
      </c>
      <c r="N217" s="75">
        <f>'THAM_SO_MOI'!$C$12*I217</f>
        <v>1130.112</v>
      </c>
      <c r="O217" s="75">
        <f>M217+N217</f>
        <v>1539.6942854173212</v>
      </c>
      <c r="P217" s="75">
        <f>(MIN(L217,'THAM_SO_MOI'!$C$41)-O217)/('THAM_SO_MOI'!$C$11*H217)</f>
        <v>0.2138347794341667</v>
      </c>
      <c r="Q217" s="75">
        <f>IF(P217&gt;0,1/P217,NA())</f>
        <v>4.676507734832116</v>
      </c>
      <c r="R217" s="75">
        <f>F217-F216</f>
        <v>0.017600427350426884</v>
      </c>
      <c r="S217" s="75">
        <f>0.5*(Q216+Q217)*R217</f>
        <v>0.0823144665407052</v>
      </c>
      <c r="T217" s="75">
        <f>0.5*(F216*Q216+F217*Q217)*R217</f>
        <v>0.9733313148348566</v>
      </c>
      <c r="U217" s="76">
        <f>U216+S217</f>
        <v>17.97207625115769</v>
      </c>
      <c r="V217" s="76">
        <f>V216+T217</f>
        <v>178.81135757564152</v>
      </c>
    </row>
    <row r="218" spans="1:22" ht="19" customHeight="1">
      <c r="A218" s="68" t="s">
        <v>362</v>
      </c>
      <c r="B218" s="74">
        <v>5</v>
      </c>
      <c r="C218" s="68" t="s">
        <v>363</v>
      </c>
      <c r="D218" s="68" t="s">
        <v>364</v>
      </c>
      <c r="E218" s="75">
        <f>60*F218*'THAM_SO_MOI'!$C$53/(2*PI()*'THAM_SO_MOI'!$C$26)</f>
        <v>1167.6303157894736</v>
      </c>
      <c r="F218" s="75">
        <f>'THAM_SO_MOI'!$E$53+('THAM_SO_MOI'!$C$14-'THAM_SO_MOI'!$E$53)*212/'THAM_SO_MOI'!$C$42</f>
        <v>11.850948717948718</v>
      </c>
      <c r="G218" s="75">
        <f>3.6*F218</f>
        <v>42.663415384615384</v>
      </c>
      <c r="H218" s="75">
        <f>'THAM_SO_MOI'!$D$53</f>
        <v>1.1</v>
      </c>
      <c r="I218" s="75">
        <f>IF(F218&gt;'THAM_SO_MOI'!$C$14,'THAM_SO_MOI'!$C$13*(1+F218^2/1500),'THAM_SO_MOI'!$C$13)</f>
        <v>0.015</v>
      </c>
      <c r="J218" s="75">
        <f>'THAM_SO_MOI'!$C$40*('THAM_SO_MOI'!$C$23*(E218/'THAM_SO_MOI'!$C$22)+'THAM_SO_MOI'!$C$24*(E218/'THAM_SO_MOI'!$C$22)^2-'THAM_SO_MOI'!$C$25*(E218/'THAM_SO_MOI'!$C$22)^3)</f>
        <v>46.66505201622382</v>
      </c>
      <c r="K218" s="75">
        <f>'THAM_SO_MOI'!$C$31*J218/E218</f>
        <v>381.71542526401066</v>
      </c>
      <c r="L218" s="75">
        <f>K218*'THAM_SO_MOI'!$C$53*'THAM_SO_MOI'!$C$17/'THAM_SO_MOI'!$C$26</f>
        <v>3347.6457732058307</v>
      </c>
      <c r="M218" s="75">
        <f>'THAM_SO_MOI'!$C$15*'THAM_SO_MOI'!$C$16*F218^2</f>
        <v>410.8015826326923</v>
      </c>
      <c r="N218" s="75">
        <f>'THAM_SO_MOI'!$C$12*I218</f>
        <v>1130.112</v>
      </c>
      <c r="O218" s="75">
        <f>M218+N218</f>
        <v>1540.9135826326924</v>
      </c>
      <c r="P218" s="75">
        <f>(MIN(L218,'THAM_SO_MOI'!$C$41)-O218)/('THAM_SO_MOI'!$C$11*H218)</f>
        <v>0.2138650793765552</v>
      </c>
      <c r="Q218" s="75">
        <f>IF(P218&gt;0,1/P218,NA())</f>
        <v>4.675845177319885</v>
      </c>
      <c r="R218" s="75">
        <f>F218-F217</f>
        <v>0.017600427350426884</v>
      </c>
      <c r="S218" s="75">
        <f>0.5*(Q217+Q218)*R218</f>
        <v>0.08230270399294229</v>
      </c>
      <c r="T218" s="75">
        <f>0.5*(F217*Q217+F218*Q218)*R218</f>
        <v>0.9746407916767411</v>
      </c>
      <c r="U218" s="76">
        <f>U217+S218</f>
        <v>18.054378955150632</v>
      </c>
      <c r="V218" s="76">
        <f>V217+T218</f>
        <v>179.78599836731826</v>
      </c>
    </row>
    <row r="219" spans="1:22" ht="19" customHeight="1">
      <c r="A219" s="68" t="s">
        <v>362</v>
      </c>
      <c r="B219" s="74">
        <v>5</v>
      </c>
      <c r="C219" s="68" t="s">
        <v>363</v>
      </c>
      <c r="D219" s="68" t="s">
        <v>364</v>
      </c>
      <c r="E219" s="75">
        <f>60*F219*'THAM_SO_MOI'!$C$53/(2*PI()*'THAM_SO_MOI'!$C$26)</f>
        <v>1169.3644210526315</v>
      </c>
      <c r="F219" s="75">
        <f>'THAM_SO_MOI'!$E$53+('THAM_SO_MOI'!$C$14-'THAM_SO_MOI'!$E$53)*213/'THAM_SO_MOI'!$C$42</f>
        <v>11.868549145299147</v>
      </c>
      <c r="G219" s="75">
        <f>3.6*F219</f>
        <v>42.726776923076926</v>
      </c>
      <c r="H219" s="75">
        <f>'THAM_SO_MOI'!$D$53</f>
        <v>1.1</v>
      </c>
      <c r="I219" s="75">
        <f>IF(F219&gt;'THAM_SO_MOI'!$C$14,'THAM_SO_MOI'!$C$13*(1+F219^2/1500),'THAM_SO_MOI'!$C$13)</f>
        <v>0.015</v>
      </c>
      <c r="J219" s="75">
        <f>'THAM_SO_MOI'!$C$40*('THAM_SO_MOI'!$C$23*(E219/'THAM_SO_MOI'!$C$22)+'THAM_SO_MOI'!$C$24*(E219/'THAM_SO_MOI'!$C$22)^2-'THAM_SO_MOI'!$C$25*(E219/'THAM_SO_MOI'!$C$22)^3)</f>
        <v>46.75491618763136</v>
      </c>
      <c r="K219" s="75">
        <f>'THAM_SO_MOI'!$C$31*J219/E219</f>
        <v>381.8833513699406</v>
      </c>
      <c r="L219" s="75">
        <f>K219*'THAM_SO_MOI'!$C$53*'THAM_SO_MOI'!$C$17/'THAM_SO_MOI'!$C$26</f>
        <v>3349.1184858119254</v>
      </c>
      <c r="M219" s="75">
        <f>'THAM_SO_MOI'!$C$15*'THAM_SO_MOI'!$C$16*F219^2</f>
        <v>412.02269203206475</v>
      </c>
      <c r="N219" s="75">
        <f>'THAM_SO_MOI'!$C$12*I219</f>
        <v>1130.112</v>
      </c>
      <c r="O219" s="75">
        <f>M219+N219</f>
        <v>1542.1346920320648</v>
      </c>
      <c r="P219" s="75">
        <f>(MIN(L219,'THAM_SO_MOI'!$C$41)-O219)/('THAM_SO_MOI'!$C$11*H219)</f>
        <v>0.2138948619531085</v>
      </c>
      <c r="Q219" s="75">
        <f>IF(P219&gt;0,1/P219,NA())</f>
        <v>4.675194115785852</v>
      </c>
      <c r="R219" s="75">
        <f>F219-F218</f>
        <v>0.01760042735042866</v>
      </c>
      <c r="S219" s="75">
        <f>0.5*(Q218+Q219)*R219</f>
        <v>0.08229114386465565</v>
      </c>
      <c r="T219" s="75">
        <f>0.5*(F218*Q218+F219*Q219)*R219</f>
        <v>0.9759522551103075</v>
      </c>
      <c r="U219" s="76">
        <f>U218+S219</f>
        <v>18.136670099015287</v>
      </c>
      <c r="V219" s="76">
        <f>V218+T219</f>
        <v>180.76195062242857</v>
      </c>
    </row>
    <row r="220" spans="1:22" ht="19" customHeight="1">
      <c r="A220" s="68" t="s">
        <v>362</v>
      </c>
      <c r="B220" s="74">
        <v>5</v>
      </c>
      <c r="C220" s="68" t="s">
        <v>363</v>
      </c>
      <c r="D220" s="68" t="s">
        <v>364</v>
      </c>
      <c r="E220" s="75">
        <f>60*F220*'THAM_SO_MOI'!$C$53/(2*PI()*'THAM_SO_MOI'!$C$26)</f>
        <v>1171.0985263157893</v>
      </c>
      <c r="F220" s="75">
        <f>'THAM_SO_MOI'!$E$53+('THAM_SO_MOI'!$C$14-'THAM_SO_MOI'!$E$53)*214/'THAM_SO_MOI'!$C$42</f>
        <v>11.886149572649574</v>
      </c>
      <c r="G220" s="75">
        <f>3.6*F220</f>
        <v>42.79013846153847</v>
      </c>
      <c r="H220" s="75">
        <f>'THAM_SO_MOI'!$D$53</f>
        <v>1.1</v>
      </c>
      <c r="I220" s="75">
        <f>IF(F220&gt;'THAM_SO_MOI'!$C$14,'THAM_SO_MOI'!$C$13*(1+F220^2/1500),'THAM_SO_MOI'!$C$13)</f>
        <v>0.015</v>
      </c>
      <c r="J220" s="75">
        <f>'THAM_SO_MOI'!$C$40*('THAM_SO_MOI'!$C$23*(E220/'THAM_SO_MOI'!$C$22)+'THAM_SO_MOI'!$C$24*(E220/'THAM_SO_MOI'!$C$22)^2-'THAM_SO_MOI'!$C$25*(E220/'THAM_SO_MOI'!$C$22)^3)</f>
        <v>46.84480556576572</v>
      </c>
      <c r="K220" s="75">
        <f>'THAM_SO_MOI'!$C$31*J220/E220</f>
        <v>382.0509857402455</v>
      </c>
      <c r="L220" s="75">
        <f>K220*'THAM_SO_MOI'!$C$53*'THAM_SO_MOI'!$C$17/'THAM_SO_MOI'!$C$26</f>
        <v>3350.5886398954476</v>
      </c>
      <c r="M220" s="75">
        <f>'THAM_SO_MOI'!$C$15*'THAM_SO_MOI'!$C$16*F220^2</f>
        <v>413.2456136154381</v>
      </c>
      <c r="N220" s="75">
        <f>'THAM_SO_MOI'!$C$12*I220</f>
        <v>1130.112</v>
      </c>
      <c r="O220" s="75">
        <f>M220+N220</f>
        <v>1543.3576136154381</v>
      </c>
      <c r="P220" s="75">
        <f>(MIN(L220,'THAM_SO_MOI'!$C$41)-O220)/('THAM_SO_MOI'!$C$11*H220)</f>
        <v>0.21392412716382686</v>
      </c>
      <c r="Q220" s="75">
        <f>IF(P220&gt;0,1/P220,NA())</f>
        <v>4.674554540704904</v>
      </c>
      <c r="R220" s="75">
        <f>F220-F219</f>
        <v>0.017600427350426884</v>
      </c>
      <c r="S220" s="75">
        <f>0.5*(Q219+Q220)*R220</f>
        <v>0.08227978598665846</v>
      </c>
      <c r="T220" s="75">
        <f>0.5*(F219*Q219+F220*Q220)*R220</f>
        <v>0.9772657138140858</v>
      </c>
      <c r="U220" s="76">
        <f>U219+S220</f>
        <v>18.218949885001944</v>
      </c>
      <c r="V220" s="76">
        <f>V219+T220</f>
        <v>181.73921633624266</v>
      </c>
    </row>
    <row r="221" spans="1:22" ht="19" customHeight="1">
      <c r="A221" s="68" t="s">
        <v>362</v>
      </c>
      <c r="B221" s="74">
        <v>5</v>
      </c>
      <c r="C221" s="68" t="s">
        <v>363</v>
      </c>
      <c r="D221" s="68" t="s">
        <v>364</v>
      </c>
      <c r="E221" s="75">
        <f>60*F221*'THAM_SO_MOI'!$C$53/(2*PI()*'THAM_SO_MOI'!$C$26)</f>
        <v>1172.8326315789473</v>
      </c>
      <c r="F221" s="75">
        <f>'THAM_SO_MOI'!$E$53+('THAM_SO_MOI'!$C$14-'THAM_SO_MOI'!$E$53)*215/'THAM_SO_MOI'!$C$42</f>
        <v>11.90375</v>
      </c>
      <c r="G221" s="75">
        <f>3.6*F221</f>
        <v>42.853500000000004</v>
      </c>
      <c r="H221" s="75">
        <f>'THAM_SO_MOI'!$D$53</f>
        <v>1.1</v>
      </c>
      <c r="I221" s="75">
        <f>IF(F221&gt;'THAM_SO_MOI'!$C$14,'THAM_SO_MOI'!$C$13*(1+F221^2/1500),'THAM_SO_MOI'!$C$13)</f>
        <v>0.015</v>
      </c>
      <c r="J221" s="75">
        <f>'THAM_SO_MOI'!$C$40*('THAM_SO_MOI'!$C$23*(E221/'THAM_SO_MOI'!$C$22)+'THAM_SO_MOI'!$C$24*(E221/'THAM_SO_MOI'!$C$22)^2-'THAM_SO_MOI'!$C$25*(E221/'THAM_SO_MOI'!$C$22)^3)</f>
        <v>46.934719991723625</v>
      </c>
      <c r="K221" s="75">
        <f>'THAM_SO_MOI'!$C$31*J221/E221</f>
        <v>382.2183283749253</v>
      </c>
      <c r="L221" s="75">
        <f>K221*'THAM_SO_MOI'!$C$53*'THAM_SO_MOI'!$C$17/'THAM_SO_MOI'!$C$26</f>
        <v>3352.056235456396</v>
      </c>
      <c r="M221" s="75">
        <f>'THAM_SO_MOI'!$C$15*'THAM_SO_MOI'!$C$16*F221^2</f>
        <v>414.47034738281263</v>
      </c>
      <c r="N221" s="75">
        <f>'THAM_SO_MOI'!$C$12*I221</f>
        <v>1130.112</v>
      </c>
      <c r="O221" s="75">
        <f>M221+N221</f>
        <v>1544.5823473828127</v>
      </c>
      <c r="P221" s="75">
        <f>(MIN(L221,'THAM_SO_MOI'!$C$41)-O221)/('THAM_SO_MOI'!$C$11*H221)</f>
        <v>0.21395287500871013</v>
      </c>
      <c r="Q221" s="75">
        <f>IF(P221&gt;0,1/P221,NA())</f>
        <v>4.673926442723845</v>
      </c>
      <c r="R221" s="75">
        <f>F221-F220</f>
        <v>0.017600427350426884</v>
      </c>
      <c r="S221" s="75">
        <f>0.5*(Q220+Q221)*R221</f>
        <v>0.08226863019284247</v>
      </c>
      <c r="T221" s="75">
        <f>0.5*(F220*Q220+F221*Q221)*R221</f>
        <v>0.9785811764913148</v>
      </c>
      <c r="U221" s="76">
        <f>U220+S221</f>
        <v>18.301218515194787</v>
      </c>
      <c r="V221" s="76">
        <f>V220+T221</f>
        <v>182.71779751273397</v>
      </c>
    </row>
    <row r="222" spans="1:22" ht="19" customHeight="1">
      <c r="A222" s="68" t="s">
        <v>362</v>
      </c>
      <c r="B222" s="74">
        <v>5</v>
      </c>
      <c r="C222" s="68" t="s">
        <v>363</v>
      </c>
      <c r="D222" s="68" t="s">
        <v>364</v>
      </c>
      <c r="E222" s="75">
        <f>60*F222*'THAM_SO_MOI'!$C$53/(2*PI()*'THAM_SO_MOI'!$C$26)</f>
        <v>1174.566736842105</v>
      </c>
      <c r="F222" s="75">
        <f>'THAM_SO_MOI'!$E$53+('THAM_SO_MOI'!$C$14-'THAM_SO_MOI'!$E$53)*216/'THAM_SO_MOI'!$C$42</f>
        <v>11.921350427350427</v>
      </c>
      <c r="G222" s="75">
        <f>3.6*F222</f>
        <v>42.91686153846154</v>
      </c>
      <c r="H222" s="75">
        <f>'THAM_SO_MOI'!$D$53</f>
        <v>1.1</v>
      </c>
      <c r="I222" s="75">
        <f>IF(F222&gt;'THAM_SO_MOI'!$C$14,'THAM_SO_MOI'!$C$13*(1+F222^2/1500),'THAM_SO_MOI'!$C$13)</f>
        <v>0.015</v>
      </c>
      <c r="J222" s="75">
        <f>'THAM_SO_MOI'!$C$40*('THAM_SO_MOI'!$C$23*(E222/'THAM_SO_MOI'!$C$22)+'THAM_SO_MOI'!$C$24*(E222/'THAM_SO_MOI'!$C$22)^2-'THAM_SO_MOI'!$C$25*(E222/'THAM_SO_MOI'!$C$22)^3)</f>
        <v>47.024659306601805</v>
      </c>
      <c r="K222" s="75">
        <f>'THAM_SO_MOI'!$C$31*J222/E222</f>
        <v>382.3853792739801</v>
      </c>
      <c r="L222" s="75">
        <f>K222*'THAM_SO_MOI'!$C$53*'THAM_SO_MOI'!$C$17/'THAM_SO_MOI'!$C$26</f>
        <v>3353.521272494771</v>
      </c>
      <c r="M222" s="75">
        <f>'THAM_SO_MOI'!$C$15*'THAM_SO_MOI'!$C$16*F222^2</f>
        <v>415.6968933341881</v>
      </c>
      <c r="N222" s="75">
        <f>'THAM_SO_MOI'!$C$12*I222</f>
        <v>1130.112</v>
      </c>
      <c r="O222" s="75">
        <f>M222+N222</f>
        <v>1545.8088933341883</v>
      </c>
      <c r="P222" s="75">
        <f>(MIN(L222,'THAM_SO_MOI'!$C$41)-O222)/('THAM_SO_MOI'!$C$11*H222)</f>
        <v>0.21398110548775837</v>
      </c>
      <c r="Q222" s="75">
        <f>IF(P222&gt;0,1/P222,NA())</f>
        <v>4.673309812661048</v>
      </c>
      <c r="R222" s="75">
        <f>F222-F221</f>
        <v>0.017600427350426884</v>
      </c>
      <c r="S222" s="75">
        <f>0.5*(Q221+Q222)*R222</f>
        <v>0.08225767632008901</v>
      </c>
      <c r="T222" s="75">
        <f>0.5*(F221*Q221+F222*Q222)*R222</f>
        <v>0.979898651869152</v>
      </c>
      <c r="U222" s="76">
        <f>U221+S222</f>
        <v>18.383476191514877</v>
      </c>
      <c r="V222" s="76">
        <f>V221+T222</f>
        <v>183.69769616460312</v>
      </c>
    </row>
    <row r="223" spans="1:22" ht="19" customHeight="1">
      <c r="A223" s="68" t="s">
        <v>362</v>
      </c>
      <c r="B223" s="74">
        <v>5</v>
      </c>
      <c r="C223" s="68" t="s">
        <v>363</v>
      </c>
      <c r="D223" s="68" t="s">
        <v>364</v>
      </c>
      <c r="E223" s="75">
        <f>60*F223*'THAM_SO_MOI'!$C$53/(2*PI()*'THAM_SO_MOI'!$C$26)</f>
        <v>1176.300842105263</v>
      </c>
      <c r="F223" s="75">
        <f>'THAM_SO_MOI'!$E$53+('THAM_SO_MOI'!$C$14-'THAM_SO_MOI'!$E$53)*217/'THAM_SO_MOI'!$C$42</f>
        <v>11.938950854700856</v>
      </c>
      <c r="G223" s="75">
        <f>3.6*F223</f>
        <v>42.98022307692308</v>
      </c>
      <c r="H223" s="75">
        <f>'THAM_SO_MOI'!$D$53</f>
        <v>1.1</v>
      </c>
      <c r="I223" s="75">
        <f>IF(F223&gt;'THAM_SO_MOI'!$C$14,'THAM_SO_MOI'!$C$13*(1+F223^2/1500),'THAM_SO_MOI'!$C$13)</f>
        <v>0.015</v>
      </c>
      <c r="J223" s="75">
        <f>'THAM_SO_MOI'!$C$40*('THAM_SO_MOI'!$C$23*(E223/'THAM_SO_MOI'!$C$22)+'THAM_SO_MOI'!$C$24*(E223/'THAM_SO_MOI'!$C$22)^2-'THAM_SO_MOI'!$C$25*(E223/'THAM_SO_MOI'!$C$22)^3)</f>
        <v>47.11462335149698</v>
      </c>
      <c r="K223" s="75">
        <f>'THAM_SO_MOI'!$C$31*J223/E223</f>
        <v>382.55213843740995</v>
      </c>
      <c r="L223" s="75">
        <f>K223*'THAM_SO_MOI'!$C$53*'THAM_SO_MOI'!$C$17/'THAM_SO_MOI'!$C$26</f>
        <v>3354.983751010574</v>
      </c>
      <c r="M223" s="75">
        <f>'THAM_SO_MOI'!$C$15*'THAM_SO_MOI'!$C$16*F223^2</f>
        <v>416.9252514695647</v>
      </c>
      <c r="N223" s="75">
        <f>'THAM_SO_MOI'!$C$12*I223</f>
        <v>1130.112</v>
      </c>
      <c r="O223" s="75">
        <f>M223+N223</f>
        <v>1547.0372514695648</v>
      </c>
      <c r="P223" s="75">
        <f>(MIN(L223,'THAM_SO_MOI'!$C$41)-O223)/('THAM_SO_MOI'!$C$11*H223)</f>
        <v>0.2140088186009717</v>
      </c>
      <c r="Q223" s="75">
        <f>IF(P223&gt;0,1/P223,NA())</f>
        <v>4.672704641506112</v>
      </c>
      <c r="R223" s="75">
        <f>F223-F222</f>
        <v>0.01760042735042866</v>
      </c>
      <c r="S223" s="75">
        <f>0.5*(Q222+Q223)*R223</f>
        <v>0.08224692420831264</v>
      </c>
      <c r="T223" s="75">
        <f>0.5*(F222*Q222+F223*Q223)*R223</f>
        <v>0.9812181486994582</v>
      </c>
      <c r="U223" s="76">
        <f>U222+S223</f>
        <v>18.46572311572319</v>
      </c>
      <c r="V223" s="76">
        <f>V222+T223</f>
        <v>184.67891431330258</v>
      </c>
    </row>
    <row r="224" spans="1:22" ht="19" customHeight="1">
      <c r="A224" s="68" t="s">
        <v>362</v>
      </c>
      <c r="B224" s="74">
        <v>5</v>
      </c>
      <c r="C224" s="68" t="s">
        <v>363</v>
      </c>
      <c r="D224" s="68" t="s">
        <v>364</v>
      </c>
      <c r="E224" s="75">
        <f>60*F224*'THAM_SO_MOI'!$C$53/(2*PI()*'THAM_SO_MOI'!$C$26)</f>
        <v>1178.034947368421</v>
      </c>
      <c r="F224" s="75">
        <f>'THAM_SO_MOI'!$E$53+('THAM_SO_MOI'!$C$14-'THAM_SO_MOI'!$E$53)*218/'THAM_SO_MOI'!$C$42</f>
        <v>11.956551282051283</v>
      </c>
      <c r="G224" s="75">
        <f>3.6*F224</f>
        <v>43.04358461538462</v>
      </c>
      <c r="H224" s="75">
        <f>'THAM_SO_MOI'!$D$53</f>
        <v>1.1</v>
      </c>
      <c r="I224" s="75">
        <f>IF(F224&gt;'THAM_SO_MOI'!$C$14,'THAM_SO_MOI'!$C$13*(1+F224^2/1500),'THAM_SO_MOI'!$C$13)</f>
        <v>0.015</v>
      </c>
      <c r="J224" s="75">
        <f>'THAM_SO_MOI'!$C$40*('THAM_SO_MOI'!$C$23*(E224/'THAM_SO_MOI'!$C$22)+'THAM_SO_MOI'!$C$24*(E224/'THAM_SO_MOI'!$C$22)^2-'THAM_SO_MOI'!$C$25*(E224/'THAM_SO_MOI'!$C$22)^3)</f>
        <v>47.204611967505876</v>
      </c>
      <c r="K224" s="75">
        <f>'THAM_SO_MOI'!$C$31*J224/E224</f>
        <v>382.7186058652147</v>
      </c>
      <c r="L224" s="75">
        <f>K224*'THAM_SO_MOI'!$C$53*'THAM_SO_MOI'!$C$17/'THAM_SO_MOI'!$C$26</f>
        <v>3356.443671003804</v>
      </c>
      <c r="M224" s="75">
        <f>'THAM_SO_MOI'!$C$15*'THAM_SO_MOI'!$C$16*F224^2</f>
        <v>418.1554217889424</v>
      </c>
      <c r="N224" s="75">
        <f>'THAM_SO_MOI'!$C$12*I224</f>
        <v>1130.112</v>
      </c>
      <c r="O224" s="75">
        <f>M224+N224</f>
        <v>1548.2674217889426</v>
      </c>
      <c r="P224" s="75">
        <f>(MIN(L224,'THAM_SO_MOI'!$C$41)-O224)/('THAM_SO_MOI'!$C$11*H224)</f>
        <v>0.21403601434835007</v>
      </c>
      <c r="Q224" s="75">
        <f>IF(P224&gt;0,1/P224,NA())</f>
        <v>4.6721109204195415</v>
      </c>
      <c r="R224" s="75">
        <f>F224-F223</f>
        <v>0.017600427350426884</v>
      </c>
      <c r="S224" s="75">
        <f>0.5*(Q223+Q224)*R224</f>
        <v>0.08223637370040551</v>
      </c>
      <c r="T224" s="75">
        <f>0.5*(F223*Q223+F224*Q224)*R224</f>
        <v>0.9825396757583998</v>
      </c>
      <c r="U224" s="76">
        <f>U223+S224</f>
        <v>18.547959489423594</v>
      </c>
      <c r="V224" s="76">
        <f>V223+T224</f>
        <v>185.661453989061</v>
      </c>
    </row>
    <row r="225" spans="1:22" ht="19" customHeight="1">
      <c r="A225" s="68" t="s">
        <v>362</v>
      </c>
      <c r="B225" s="74">
        <v>5</v>
      </c>
      <c r="C225" s="68" t="s">
        <v>363</v>
      </c>
      <c r="D225" s="68" t="s">
        <v>364</v>
      </c>
      <c r="E225" s="75">
        <f>60*F225*'THAM_SO_MOI'!$C$53/(2*PI()*'THAM_SO_MOI'!$C$26)</f>
        <v>1179.7690526315787</v>
      </c>
      <c r="F225" s="75">
        <f>'THAM_SO_MOI'!$E$53+('THAM_SO_MOI'!$C$14-'THAM_SO_MOI'!$E$53)*219/'THAM_SO_MOI'!$C$42</f>
        <v>11.97415170940171</v>
      </c>
      <c r="G225" s="75">
        <f>3.6*F225</f>
        <v>43.10694615384616</v>
      </c>
      <c r="H225" s="75">
        <f>'THAM_SO_MOI'!$D$53</f>
        <v>1.1</v>
      </c>
      <c r="I225" s="75">
        <f>IF(F225&gt;'THAM_SO_MOI'!$C$14,'THAM_SO_MOI'!$C$13*(1+F225^2/1500),'THAM_SO_MOI'!$C$13)</f>
        <v>0.015</v>
      </c>
      <c r="J225" s="75">
        <f>'THAM_SO_MOI'!$C$40*('THAM_SO_MOI'!$C$23*(E225/'THAM_SO_MOI'!$C$22)+'THAM_SO_MOI'!$C$24*(E225/'THAM_SO_MOI'!$C$22)^2-'THAM_SO_MOI'!$C$25*(E225/'THAM_SO_MOI'!$C$22)^3)</f>
        <v>47.2946249957252</v>
      </c>
      <c r="K225" s="75">
        <f>'THAM_SO_MOI'!$C$31*J225/E225</f>
        <v>382.88478155739455</v>
      </c>
      <c r="L225" s="75">
        <f>K225*'THAM_SO_MOI'!$C$53*'THAM_SO_MOI'!$C$17/'THAM_SO_MOI'!$C$26</f>
        <v>3357.9010324744613</v>
      </c>
      <c r="M225" s="75">
        <f>'THAM_SO_MOI'!$C$15*'THAM_SO_MOI'!$C$16*F225^2</f>
        <v>419.3874042923211</v>
      </c>
      <c r="N225" s="75">
        <f>'THAM_SO_MOI'!$C$12*I225</f>
        <v>1130.112</v>
      </c>
      <c r="O225" s="75">
        <f>M225+N225</f>
        <v>1549.4994042923213</v>
      </c>
      <c r="P225" s="75">
        <f>(MIN(L225,'THAM_SO_MOI'!$C$41)-O225)/('THAM_SO_MOI'!$C$11*H225)</f>
        <v>0.21406269272989348</v>
      </c>
      <c r="Q225" s="75">
        <f>IF(P225&gt;0,1/P225,NA())</f>
        <v>4.671528640732416</v>
      </c>
      <c r="R225" s="75">
        <f>F225-F224</f>
        <v>0.017600427350426884</v>
      </c>
      <c r="S225" s="75">
        <f>0.5*(Q224+Q225)*R225</f>
        <v>0.08222602464231477</v>
      </c>
      <c r="T225" s="75">
        <f>0.5*(F224*Q224+F225*Q225)*R225</f>
        <v>0.9838632418476361</v>
      </c>
      <c r="U225" s="76">
        <f>U224+S225</f>
        <v>18.630185514065907</v>
      </c>
      <c r="V225" s="76">
        <f>V224+T225</f>
        <v>186.64531723090863</v>
      </c>
    </row>
    <row r="226" spans="1:22" ht="19" customHeight="1">
      <c r="A226" s="68" t="s">
        <v>362</v>
      </c>
      <c r="B226" s="74">
        <v>5</v>
      </c>
      <c r="C226" s="68" t="s">
        <v>363</v>
      </c>
      <c r="D226" s="68" t="s">
        <v>364</v>
      </c>
      <c r="E226" s="75">
        <f>60*F226*'THAM_SO_MOI'!$C$53/(2*PI()*'THAM_SO_MOI'!$C$26)</f>
        <v>1181.5031578947367</v>
      </c>
      <c r="F226" s="75">
        <f>'THAM_SO_MOI'!$E$53+('THAM_SO_MOI'!$C$14-'THAM_SO_MOI'!$E$53)*220/'THAM_SO_MOI'!$C$42</f>
        <v>11.991752136752137</v>
      </c>
      <c r="G226" s="75">
        <f>3.6*F226</f>
        <v>43.170307692307695</v>
      </c>
      <c r="H226" s="75">
        <f>'THAM_SO_MOI'!$D$53</f>
        <v>1.1</v>
      </c>
      <c r="I226" s="75">
        <f>IF(F226&gt;'THAM_SO_MOI'!$C$14,'THAM_SO_MOI'!$C$13*(1+F226^2/1500),'THAM_SO_MOI'!$C$13)</f>
        <v>0.015</v>
      </c>
      <c r="J226" s="75">
        <f>'THAM_SO_MOI'!$C$40*('THAM_SO_MOI'!$C$23*(E226/'THAM_SO_MOI'!$C$22)+'THAM_SO_MOI'!$C$24*(E226/'THAM_SO_MOI'!$C$22)^2-'THAM_SO_MOI'!$C$25*(E226/'THAM_SO_MOI'!$C$22)^3)</f>
        <v>47.38466227725168</v>
      </c>
      <c r="K226" s="75">
        <f>'THAM_SO_MOI'!$C$31*J226/E226</f>
        <v>383.05066551394924</v>
      </c>
      <c r="L226" s="75">
        <f>K226*'THAM_SO_MOI'!$C$53*'THAM_SO_MOI'!$C$17/'THAM_SO_MOI'!$C$26</f>
        <v>3359.3558354225447</v>
      </c>
      <c r="M226" s="75">
        <f>'THAM_SO_MOI'!$C$15*'THAM_SO_MOI'!$C$16*F226^2</f>
        <v>420.6211989797009</v>
      </c>
      <c r="N226" s="75">
        <f>'THAM_SO_MOI'!$C$12*I226</f>
        <v>1130.112</v>
      </c>
      <c r="O226" s="75">
        <f>M226+N226</f>
        <v>1550.733198979701</v>
      </c>
      <c r="P226" s="75">
        <f>(MIN(L226,'THAM_SO_MOI'!$C$41)-O226)/('THAM_SO_MOI'!$C$11*H226)</f>
        <v>0.2140888537456018</v>
      </c>
      <c r="Q226" s="75">
        <f>IF(P226&gt;0,1/P226,NA())</f>
        <v>4.670957793946075</v>
      </c>
      <c r="R226" s="75">
        <f>F226-F225</f>
        <v>0.017600427350426884</v>
      </c>
      <c r="S226" s="75">
        <f>0.5*(Q225+Q226)*R226</f>
        <v>0.08221587688295373</v>
      </c>
      <c r="T226" s="75">
        <f>0.5*(F225*Q225+F226*Q226)*R226</f>
        <v>0.9851888557935239</v>
      </c>
      <c r="U226" s="76">
        <f>U225+S226</f>
        <v>18.712401390948862</v>
      </c>
      <c r="V226" s="76">
        <f>V225+T226</f>
        <v>187.63050608670216</v>
      </c>
    </row>
    <row r="227" spans="1:22" ht="19" customHeight="1">
      <c r="A227" s="68" t="s">
        <v>362</v>
      </c>
      <c r="B227" s="74">
        <v>5</v>
      </c>
      <c r="C227" s="68" t="s">
        <v>363</v>
      </c>
      <c r="D227" s="68" t="s">
        <v>364</v>
      </c>
      <c r="E227" s="75">
        <f>60*F227*'THAM_SO_MOI'!$C$53/(2*PI()*'THAM_SO_MOI'!$C$26)</f>
        <v>1183.2372631578946</v>
      </c>
      <c r="F227" s="75">
        <f>'THAM_SO_MOI'!$E$53+('THAM_SO_MOI'!$C$14-'THAM_SO_MOI'!$E$53)*221/'THAM_SO_MOI'!$C$42</f>
        <v>12.009352564102565</v>
      </c>
      <c r="G227" s="75">
        <f>3.6*F227</f>
        <v>43.23366923076924</v>
      </c>
      <c r="H227" s="75">
        <f>'THAM_SO_MOI'!$D$53</f>
        <v>1.1</v>
      </c>
      <c r="I227" s="75">
        <f>IF(F227&gt;'THAM_SO_MOI'!$C$14,'THAM_SO_MOI'!$C$13*(1+F227^2/1500),'THAM_SO_MOI'!$C$13)</f>
        <v>0.015</v>
      </c>
      <c r="J227" s="75">
        <f>'THAM_SO_MOI'!$C$40*('THAM_SO_MOI'!$C$23*(E227/'THAM_SO_MOI'!$C$22)+'THAM_SO_MOI'!$C$24*(E227/'THAM_SO_MOI'!$C$22)^2-'THAM_SO_MOI'!$C$25*(E227/'THAM_SO_MOI'!$C$22)^3)</f>
        <v>47.474723653182025</v>
      </c>
      <c r="K227" s="75">
        <f>'THAM_SO_MOI'!$C$31*J227/E227</f>
        <v>383.2162577348788</v>
      </c>
      <c r="L227" s="75">
        <f>K227*'THAM_SO_MOI'!$C$53*'THAM_SO_MOI'!$C$17/'THAM_SO_MOI'!$C$26</f>
        <v>3360.808079848054</v>
      </c>
      <c r="M227" s="75">
        <f>'THAM_SO_MOI'!$C$15*'THAM_SO_MOI'!$C$16*F227^2</f>
        <v>421.85680585108184</v>
      </c>
      <c r="N227" s="75">
        <f>'THAM_SO_MOI'!$C$12*I227</f>
        <v>1130.112</v>
      </c>
      <c r="O227" s="75">
        <f>M227+N227</f>
        <v>1551.968805851082</v>
      </c>
      <c r="P227" s="75">
        <f>(MIN(L227,'THAM_SO_MOI'!$C$41)-O227)/('THAM_SO_MOI'!$C$11*H227)</f>
        <v>0.21411449739547495</v>
      </c>
      <c r="Q227" s="75">
        <f>IF(P227&gt;0,1/P227,NA())</f>
        <v>4.670398371731805</v>
      </c>
      <c r="R227" s="75">
        <f>F227-F226</f>
        <v>0.01760042735042866</v>
      </c>
      <c r="S227" s="75">
        <f>0.5*(Q226+Q227)*R227</f>
        <v>0.08220593027424618</v>
      </c>
      <c r="T227" s="75">
        <f>0.5*(F226*Q226+F227*Q227)*R227</f>
        <v>0.9865165264479119</v>
      </c>
      <c r="U227" s="76">
        <f>U226+S227</f>
        <v>18.794607321223108</v>
      </c>
      <c r="V227" s="76">
        <f>V226+T227</f>
        <v>188.61702261315006</v>
      </c>
    </row>
    <row r="228" spans="1:22" ht="19" customHeight="1">
      <c r="A228" s="68" t="s">
        <v>362</v>
      </c>
      <c r="B228" s="74">
        <v>5</v>
      </c>
      <c r="C228" s="68" t="s">
        <v>363</v>
      </c>
      <c r="D228" s="68" t="s">
        <v>364</v>
      </c>
      <c r="E228" s="75">
        <f>60*F228*'THAM_SO_MOI'!$C$53/(2*PI()*'THAM_SO_MOI'!$C$26)</f>
        <v>1184.9713684210524</v>
      </c>
      <c r="F228" s="75">
        <f>'THAM_SO_MOI'!$E$53+('THAM_SO_MOI'!$C$14-'THAM_SO_MOI'!$E$53)*222/'THAM_SO_MOI'!$C$42</f>
        <v>12.026952991452992</v>
      </c>
      <c r="G228" s="75">
        <f>3.6*F228</f>
        <v>43.29703076923077</v>
      </c>
      <c r="H228" s="75">
        <f>'THAM_SO_MOI'!$D$53</f>
        <v>1.1</v>
      </c>
      <c r="I228" s="75">
        <f>IF(F228&gt;'THAM_SO_MOI'!$C$14,'THAM_SO_MOI'!$C$13*(1+F228^2/1500),'THAM_SO_MOI'!$C$13)</f>
        <v>0.015</v>
      </c>
      <c r="J228" s="75">
        <f>'THAM_SO_MOI'!$C$40*('THAM_SO_MOI'!$C$23*(E228/'THAM_SO_MOI'!$C$22)+'THAM_SO_MOI'!$C$24*(E228/'THAM_SO_MOI'!$C$22)^2-'THAM_SO_MOI'!$C$25*(E228/'THAM_SO_MOI'!$C$22)^3)</f>
        <v>47.564808964612965</v>
      </c>
      <c r="K228" s="75">
        <f>'THAM_SO_MOI'!$C$31*J228/E228</f>
        <v>383.3815582201834</v>
      </c>
      <c r="L228" s="75">
        <f>K228*'THAM_SO_MOI'!$C$53*'THAM_SO_MOI'!$C$17/'THAM_SO_MOI'!$C$26</f>
        <v>3362.257765750991</v>
      </c>
      <c r="M228" s="75">
        <f>'THAM_SO_MOI'!$C$15*'THAM_SO_MOI'!$C$16*F228^2</f>
        <v>423.0942249064638</v>
      </c>
      <c r="N228" s="75">
        <f>'THAM_SO_MOI'!$C$12*I228</f>
        <v>1130.112</v>
      </c>
      <c r="O228" s="75">
        <f>M228+N228</f>
        <v>1553.2062249064638</v>
      </c>
      <c r="P228" s="75">
        <f>(MIN(L228,'THAM_SO_MOI'!$C$41)-O228)/('THAM_SO_MOI'!$C$11*H228)</f>
        <v>0.21413962367951317</v>
      </c>
      <c r="Q228" s="75">
        <f>IF(P228&gt;0,1/P228,NA())</f>
        <v>4.669850365930527</v>
      </c>
      <c r="R228" s="75">
        <f>F228-F227</f>
        <v>0.017600427350426884</v>
      </c>
      <c r="S228" s="75">
        <f>0.5*(Q227+Q228)*R228</f>
        <v>0.08219618467107115</v>
      </c>
      <c r="T228" s="75">
        <f>0.5*(F227*Q227+F228*Q228)*R228</f>
        <v>0.9878462626877388</v>
      </c>
      <c r="U228" s="76">
        <f>U227+S228</f>
        <v>18.87680350589418</v>
      </c>
      <c r="V228" s="76">
        <f>V227+T228</f>
        <v>189.60486887583778</v>
      </c>
    </row>
    <row r="229" spans="1:22" ht="19" customHeight="1">
      <c r="A229" s="68" t="s">
        <v>362</v>
      </c>
      <c r="B229" s="74">
        <v>5</v>
      </c>
      <c r="C229" s="68" t="s">
        <v>363</v>
      </c>
      <c r="D229" s="68" t="s">
        <v>364</v>
      </c>
      <c r="E229" s="75">
        <f>60*F229*'THAM_SO_MOI'!$C$53/(2*PI()*'THAM_SO_MOI'!$C$26)</f>
        <v>1186.7054736842103</v>
      </c>
      <c r="F229" s="75">
        <f>'THAM_SO_MOI'!$E$53+('THAM_SO_MOI'!$C$14-'THAM_SO_MOI'!$E$53)*223/'THAM_SO_MOI'!$C$42</f>
        <v>12.04455341880342</v>
      </c>
      <c r="G229" s="75">
        <f>3.6*F229</f>
        <v>43.36039230769231</v>
      </c>
      <c r="H229" s="75">
        <f>'THAM_SO_MOI'!$D$53</f>
        <v>1.1</v>
      </c>
      <c r="I229" s="75">
        <f>IF(F229&gt;'THAM_SO_MOI'!$C$14,'THAM_SO_MOI'!$C$13*(1+F229^2/1500),'THAM_SO_MOI'!$C$13)</f>
        <v>0.015</v>
      </c>
      <c r="J229" s="75">
        <f>'THAM_SO_MOI'!$C$40*('THAM_SO_MOI'!$C$23*(E229/'THAM_SO_MOI'!$C$22)+'THAM_SO_MOI'!$C$24*(E229/'THAM_SO_MOI'!$C$22)^2-'THAM_SO_MOI'!$C$25*(E229/'THAM_SO_MOI'!$C$22)^3)</f>
        <v>47.65491805264124</v>
      </c>
      <c r="K229" s="75">
        <f>'THAM_SO_MOI'!$C$31*J229/E229</f>
        <v>383.5465669698631</v>
      </c>
      <c r="L229" s="75">
        <f>K229*'THAM_SO_MOI'!$C$53*'THAM_SO_MOI'!$C$17/'THAM_SO_MOI'!$C$26</f>
        <v>3363.7048931313557</v>
      </c>
      <c r="M229" s="75">
        <f>'THAM_SO_MOI'!$C$15*'THAM_SO_MOI'!$C$16*F229^2</f>
        <v>424.3334561458467</v>
      </c>
      <c r="N229" s="75">
        <f>'THAM_SO_MOI'!$C$12*I229</f>
        <v>1130.112</v>
      </c>
      <c r="O229" s="75">
        <f>M229+N229</f>
        <v>1554.4454561458467</v>
      </c>
      <c r="P229" s="75">
        <f>(MIN(L229,'THAM_SO_MOI'!$C$41)-O229)/('THAM_SO_MOI'!$C$11*H229)</f>
        <v>0.21416423259771647</v>
      </c>
      <c r="Q229" s="75">
        <f>IF(P229&gt;0,1/P229,NA())</f>
        <v>4.669313768552511</v>
      </c>
      <c r="R229" s="75">
        <f>F229-F228</f>
        <v>0.017600427350426884</v>
      </c>
      <c r="S229" s="75">
        <f>0.5*(Q228+Q229)*R229</f>
        <v>0.08218663993134054</v>
      </c>
      <c r="T229" s="75">
        <f>0.5*(F228*Q228+F229*Q229)*R229</f>
        <v>0.9891780734162308</v>
      </c>
      <c r="U229" s="76">
        <f>U228+S229</f>
        <v>18.95899014582552</v>
      </c>
      <c r="V229" s="76">
        <f>V228+T229</f>
        <v>190.59404694925402</v>
      </c>
    </row>
    <row r="230" spans="1:22" ht="19" customHeight="1">
      <c r="A230" s="68" t="s">
        <v>362</v>
      </c>
      <c r="B230" s="74">
        <v>5</v>
      </c>
      <c r="C230" s="68" t="s">
        <v>363</v>
      </c>
      <c r="D230" s="68" t="s">
        <v>364</v>
      </c>
      <c r="E230" s="75">
        <f>60*F230*'THAM_SO_MOI'!$C$53/(2*PI()*'THAM_SO_MOI'!$C$26)</f>
        <v>1188.4395789473683</v>
      </c>
      <c r="F230" s="75">
        <f>'THAM_SO_MOI'!$E$53+('THAM_SO_MOI'!$C$14-'THAM_SO_MOI'!$E$53)*224/'THAM_SO_MOI'!$C$42</f>
        <v>12.062153846153848</v>
      </c>
      <c r="G230" s="75">
        <f>3.6*F230</f>
        <v>43.42375384615385</v>
      </c>
      <c r="H230" s="75">
        <f>'THAM_SO_MOI'!$D$53</f>
        <v>1.1</v>
      </c>
      <c r="I230" s="75">
        <f>IF(F230&gt;'THAM_SO_MOI'!$C$14,'THAM_SO_MOI'!$C$13*(1+F230^2/1500),'THAM_SO_MOI'!$C$13)</f>
        <v>0.015</v>
      </c>
      <c r="J230" s="75">
        <f>'THAM_SO_MOI'!$C$40*('THAM_SO_MOI'!$C$23*(E230/'THAM_SO_MOI'!$C$22)+'THAM_SO_MOI'!$C$24*(E230/'THAM_SO_MOI'!$C$22)^2-'THAM_SO_MOI'!$C$25*(E230/'THAM_SO_MOI'!$C$22)^3)</f>
        <v>47.745050758363554</v>
      </c>
      <c r="K230" s="75">
        <f>'THAM_SO_MOI'!$C$31*J230/E230</f>
        <v>383.71128398391767</v>
      </c>
      <c r="L230" s="75">
        <f>K230*'THAM_SO_MOI'!$C$53*'THAM_SO_MOI'!$C$17/'THAM_SO_MOI'!$C$26</f>
        <v>3365.1494619891473</v>
      </c>
      <c r="M230" s="75">
        <f>'THAM_SO_MOI'!$C$15*'THAM_SO_MOI'!$C$16*F230^2</f>
        <v>425.57449956923097</v>
      </c>
      <c r="N230" s="75">
        <f>'THAM_SO_MOI'!$C$12*I230</f>
        <v>1130.112</v>
      </c>
      <c r="O230" s="75">
        <f>M230+N230</f>
        <v>1555.686499569231</v>
      </c>
      <c r="P230" s="75">
        <f>(MIN(L230,'THAM_SO_MOI'!$C$41)-O230)/('THAM_SO_MOI'!$C$11*H230)</f>
        <v>0.21418832415008476</v>
      </c>
      <c r="Q230" s="75">
        <f>IF(P230&gt;0,1/P230,NA())</f>
        <v>4.668788571777077</v>
      </c>
      <c r="R230" s="75">
        <f>F230-F229</f>
        <v>0.01760042735042866</v>
      </c>
      <c r="S230" s="75">
        <f>0.5*(Q229+Q230)*R230</f>
        <v>0.08217729591591938</v>
      </c>
      <c r="T230" s="75">
        <f>0.5*(F229*Q229+F230*Q230)*R230</f>
        <v>0.990511967562205</v>
      </c>
      <c r="U230" s="76">
        <f>U229+S230</f>
        <v>19.04116744174144</v>
      </c>
      <c r="V230" s="76">
        <f>V229+T230</f>
        <v>191.58455891681623</v>
      </c>
    </row>
    <row r="231" spans="1:22" ht="19" customHeight="1">
      <c r="A231" s="68" t="s">
        <v>362</v>
      </c>
      <c r="B231" s="74">
        <v>5</v>
      </c>
      <c r="C231" s="68" t="s">
        <v>363</v>
      </c>
      <c r="D231" s="68" t="s">
        <v>364</v>
      </c>
      <c r="E231" s="75">
        <f>60*F231*'THAM_SO_MOI'!$C$53/(2*PI()*'THAM_SO_MOI'!$C$26)</f>
        <v>1190.1736842105263</v>
      </c>
      <c r="F231" s="75">
        <f>'THAM_SO_MOI'!$E$53+('THAM_SO_MOI'!$C$14-'THAM_SO_MOI'!$E$53)*225/'THAM_SO_MOI'!$C$42</f>
        <v>12.079754273504275</v>
      </c>
      <c r="G231" s="75">
        <f>3.6*F231</f>
        <v>43.48711538461539</v>
      </c>
      <c r="H231" s="75">
        <f>'THAM_SO_MOI'!$D$53</f>
        <v>1.1</v>
      </c>
      <c r="I231" s="75">
        <f>IF(F231&gt;'THAM_SO_MOI'!$C$14,'THAM_SO_MOI'!$C$13*(1+F231^2/1500),'THAM_SO_MOI'!$C$13)</f>
        <v>0.015</v>
      </c>
      <c r="J231" s="75">
        <f>'THAM_SO_MOI'!$C$40*('THAM_SO_MOI'!$C$23*(E231/'THAM_SO_MOI'!$C$22)+'THAM_SO_MOI'!$C$24*(E231/'THAM_SO_MOI'!$C$22)^2-'THAM_SO_MOI'!$C$25*(E231/'THAM_SO_MOI'!$C$22)^3)</f>
        <v>47.83520692287661</v>
      </c>
      <c r="K231" s="75">
        <f>'THAM_SO_MOI'!$C$31*J231/E231</f>
        <v>383.875709262347</v>
      </c>
      <c r="L231" s="75">
        <f>K231*'THAM_SO_MOI'!$C$53*'THAM_SO_MOI'!$C$17/'THAM_SO_MOI'!$C$26</f>
        <v>3366.5914723243636</v>
      </c>
      <c r="M231" s="75">
        <f>'THAM_SO_MOI'!$C$15*'THAM_SO_MOI'!$C$16*F231^2</f>
        <v>426.81735517661605</v>
      </c>
      <c r="N231" s="75">
        <f>'THAM_SO_MOI'!$C$12*I231</f>
        <v>1130.112</v>
      </c>
      <c r="O231" s="75">
        <f>M231+N231</f>
        <v>1556.9293551766161</v>
      </c>
      <c r="P231" s="75">
        <f>(MIN(L231,'THAM_SO_MOI'!$C$41)-O231)/('THAM_SO_MOI'!$C$11*H231)</f>
        <v>0.2142118983366178</v>
      </c>
      <c r="Q231" s="75">
        <f>IF(P231&gt;0,1/P231,NA())</f>
        <v>4.668274767952318</v>
      </c>
      <c r="R231" s="75">
        <f>F231-F230</f>
        <v>0.017600427350426884</v>
      </c>
      <c r="S231" s="75">
        <f>0.5*(Q230+Q231)*R231</f>
        <v>0.08216815248862072</v>
      </c>
      <c r="T231" s="75">
        <f>0.5*(F230*Q230+F231*Q231)*R231</f>
        <v>0.9918479540802692</v>
      </c>
      <c r="U231" s="76">
        <f>U230+S231</f>
        <v>19.12333559423006</v>
      </c>
      <c r="V231" s="76">
        <f>V230+T231</f>
        <v>192.5764068708965</v>
      </c>
    </row>
    <row r="232" spans="1:22" ht="19" customHeight="1">
      <c r="A232" s="68" t="s">
        <v>362</v>
      </c>
      <c r="B232" s="74">
        <v>5</v>
      </c>
      <c r="C232" s="68" t="s">
        <v>363</v>
      </c>
      <c r="D232" s="68" t="s">
        <v>364</v>
      </c>
      <c r="E232" s="75">
        <f>60*F232*'THAM_SO_MOI'!$C$53/(2*PI()*'THAM_SO_MOI'!$C$26)</f>
        <v>1191.907789473684</v>
      </c>
      <c r="F232" s="75">
        <f>'THAM_SO_MOI'!$E$53+('THAM_SO_MOI'!$C$14-'THAM_SO_MOI'!$E$53)*226/'THAM_SO_MOI'!$C$42</f>
        <v>12.097354700854702</v>
      </c>
      <c r="G232" s="75">
        <f>3.6*F232</f>
        <v>43.55047692307693</v>
      </c>
      <c r="H232" s="75">
        <f>'THAM_SO_MOI'!$D$53</f>
        <v>1.1</v>
      </c>
      <c r="I232" s="75">
        <f>IF(F232&gt;'THAM_SO_MOI'!$C$14,'THAM_SO_MOI'!$C$13*(1+F232^2/1500),'THAM_SO_MOI'!$C$13)</f>
        <v>0.015</v>
      </c>
      <c r="J232" s="75">
        <f>'THAM_SO_MOI'!$C$40*('THAM_SO_MOI'!$C$23*(E232/'THAM_SO_MOI'!$C$22)+'THAM_SO_MOI'!$C$24*(E232/'THAM_SO_MOI'!$C$22)^2-'THAM_SO_MOI'!$C$25*(E232/'THAM_SO_MOI'!$C$22)^3)</f>
        <v>47.92538638727716</v>
      </c>
      <c r="K232" s="75">
        <f>'THAM_SO_MOI'!$C$31*J232/E232</f>
        <v>384.0398428051515</v>
      </c>
      <c r="L232" s="75">
        <f>K232*'THAM_SO_MOI'!$C$53*'THAM_SO_MOI'!$C$17/'THAM_SO_MOI'!$C$26</f>
        <v>3368.0309241370087</v>
      </c>
      <c r="M232" s="75">
        <f>'THAM_SO_MOI'!$C$15*'THAM_SO_MOI'!$C$16*F232^2</f>
        <v>428.0620229680023</v>
      </c>
      <c r="N232" s="75">
        <f>'THAM_SO_MOI'!$C$12*I232</f>
        <v>1130.112</v>
      </c>
      <c r="O232" s="75">
        <f>M232+N232</f>
        <v>1558.1740229680024</v>
      </c>
      <c r="P232" s="75">
        <f>(MIN(L232,'THAM_SO_MOI'!$C$41)-O232)/('THAM_SO_MOI'!$C$11*H232)</f>
        <v>0.2142349551573161</v>
      </c>
      <c r="Q232" s="75">
        <f>IF(P232&gt;0,1/P232,NA())</f>
        <v>4.667772349594791</v>
      </c>
      <c r="R232" s="75">
        <f>F232-F231</f>
        <v>0.017600427350426884</v>
      </c>
      <c r="S232" s="75">
        <f>0.5*(Q231+Q232)*R232</f>
        <v>0.0821592095162751</v>
      </c>
      <c r="T232" s="75">
        <f>0.5*(F231*Q231+F232*Q232)*R232</f>
        <v>0.9931860419519201</v>
      </c>
      <c r="U232" s="76">
        <f>U231+S232</f>
        <v>19.205494803746333</v>
      </c>
      <c r="V232" s="76">
        <f>V231+T232</f>
        <v>193.56959291284844</v>
      </c>
    </row>
    <row r="233" spans="1:22" ht="19" customHeight="1">
      <c r="A233" s="68" t="s">
        <v>362</v>
      </c>
      <c r="B233" s="74">
        <v>5</v>
      </c>
      <c r="C233" s="68" t="s">
        <v>363</v>
      </c>
      <c r="D233" s="68" t="s">
        <v>364</v>
      </c>
      <c r="E233" s="75">
        <f>60*F233*'THAM_SO_MOI'!$C$53/(2*PI()*'THAM_SO_MOI'!$C$26)</f>
        <v>1193.6418947368418</v>
      </c>
      <c r="F233" s="75">
        <f>'THAM_SO_MOI'!$E$53+('THAM_SO_MOI'!$C$14-'THAM_SO_MOI'!$E$53)*227/'THAM_SO_MOI'!$C$42</f>
        <v>12.114955128205128</v>
      </c>
      <c r="G233" s="75">
        <f>3.6*F233</f>
        <v>43.613838461538464</v>
      </c>
      <c r="H233" s="75">
        <f>'THAM_SO_MOI'!$D$53</f>
        <v>1.1</v>
      </c>
      <c r="I233" s="75">
        <f>IF(F233&gt;'THAM_SO_MOI'!$C$14,'THAM_SO_MOI'!$C$13*(1+F233^2/1500),'THAM_SO_MOI'!$C$13)</f>
        <v>0.015</v>
      </c>
      <c r="J233" s="75">
        <f>'THAM_SO_MOI'!$C$40*('THAM_SO_MOI'!$C$23*(E233/'THAM_SO_MOI'!$C$22)+'THAM_SO_MOI'!$C$24*(E233/'THAM_SO_MOI'!$C$22)^2-'THAM_SO_MOI'!$C$25*(E233/'THAM_SO_MOI'!$C$22)^3)</f>
        <v>48.0155889926619</v>
      </c>
      <c r="K233" s="75">
        <f>'THAM_SO_MOI'!$C$31*J233/E233</f>
        <v>384.20368461233096</v>
      </c>
      <c r="L233" s="75">
        <f>K233*'THAM_SO_MOI'!$C$53*'THAM_SO_MOI'!$C$17/'THAM_SO_MOI'!$C$26</f>
        <v>3369.46781742708</v>
      </c>
      <c r="M233" s="75">
        <f>'THAM_SO_MOI'!$C$15*'THAM_SO_MOI'!$C$16*F233^2</f>
        <v>429.30850294338944</v>
      </c>
      <c r="N233" s="75">
        <f>'THAM_SO_MOI'!$C$12*I233</f>
        <v>1130.112</v>
      </c>
      <c r="O233" s="75">
        <f>M233+N233</f>
        <v>1559.4205029433895</v>
      </c>
      <c r="P233" s="75">
        <f>(MIN(L233,'THAM_SO_MOI'!$C$41)-O233)/('THAM_SO_MOI'!$C$11*H233)</f>
        <v>0.21425749461217922</v>
      </c>
      <c r="Q233" s="75">
        <f>IF(P233&gt;0,1/P233,NA())</f>
        <v>4.6672813093892875</v>
      </c>
      <c r="R233" s="75">
        <f>F233-F232</f>
        <v>0.017600427350426884</v>
      </c>
      <c r="S233" s="75">
        <f>0.5*(Q232+Q233)*R233</f>
        <v>0.08215046686864297</v>
      </c>
      <c r="T233" s="75">
        <f>0.5*(F232*Q232+F233*Q233)*R233</f>
        <v>0.9945262401847488</v>
      </c>
      <c r="U233" s="76">
        <f>U232+S233</f>
        <v>19.287645270614977</v>
      </c>
      <c r="V233" s="76">
        <f>V232+T233</f>
        <v>194.56411915303318</v>
      </c>
    </row>
    <row r="234" spans="1:22" ht="19" customHeight="1">
      <c r="A234" s="68" t="s">
        <v>362</v>
      </c>
      <c r="B234" s="74">
        <v>5</v>
      </c>
      <c r="C234" s="68" t="s">
        <v>363</v>
      </c>
      <c r="D234" s="68" t="s">
        <v>364</v>
      </c>
      <c r="E234" s="75">
        <f>60*F234*'THAM_SO_MOI'!$C$53/(2*PI()*'THAM_SO_MOI'!$C$26)</f>
        <v>1195.3759999999997</v>
      </c>
      <c r="F234" s="75">
        <f>'THAM_SO_MOI'!$E$53+('THAM_SO_MOI'!$C$14-'THAM_SO_MOI'!$E$53)*228/'THAM_SO_MOI'!$C$42</f>
        <v>12.132555555555555</v>
      </c>
      <c r="G234" s="75">
        <f>3.6*F234</f>
        <v>43.6772</v>
      </c>
      <c r="H234" s="75">
        <f>'THAM_SO_MOI'!$D$53</f>
        <v>1.1</v>
      </c>
      <c r="I234" s="75">
        <f>IF(F234&gt;'THAM_SO_MOI'!$C$14,'THAM_SO_MOI'!$C$13*(1+F234^2/1500),'THAM_SO_MOI'!$C$13)</f>
        <v>0.015</v>
      </c>
      <c r="J234" s="75">
        <f>'THAM_SO_MOI'!$C$40*('THAM_SO_MOI'!$C$23*(E234/'THAM_SO_MOI'!$C$22)+'THAM_SO_MOI'!$C$24*(E234/'THAM_SO_MOI'!$C$22)^2-'THAM_SO_MOI'!$C$25*(E234/'THAM_SO_MOI'!$C$22)^3)</f>
        <v>48.10581458012758</v>
      </c>
      <c r="K234" s="75">
        <f>'THAM_SO_MOI'!$C$31*J234/E234</f>
        <v>384.3672346838854</v>
      </c>
      <c r="L234" s="75">
        <f>K234*'THAM_SO_MOI'!$C$53*'THAM_SO_MOI'!$C$17/'THAM_SO_MOI'!$C$26</f>
        <v>3370.9021521945783</v>
      </c>
      <c r="M234" s="75">
        <f>'THAM_SO_MOI'!$C$15*'THAM_SO_MOI'!$C$16*F234^2</f>
        <v>430.5567951027778</v>
      </c>
      <c r="N234" s="75">
        <f>'THAM_SO_MOI'!$C$12*I234</f>
        <v>1130.112</v>
      </c>
      <c r="O234" s="75">
        <f>M234+N234</f>
        <v>1560.668795102778</v>
      </c>
      <c r="P234" s="75">
        <f>(MIN(L234,'THAM_SO_MOI'!$C$41)-O234)/('THAM_SO_MOI'!$C$11*H234)</f>
        <v>0.21427951670120743</v>
      </c>
      <c r="Q234" s="75">
        <f>IF(P234&gt;0,1/P234,NA())</f>
        <v>4.666801640188528</v>
      </c>
      <c r="R234" s="75">
        <f>F234-F233</f>
        <v>0.017600427350426884</v>
      </c>
      <c r="S234" s="75">
        <f>0.5*(Q233+Q234)*R234</f>
        <v>0.08214192441845132</v>
      </c>
      <c r="T234" s="75">
        <f>0.5*(F233*Q233+F234*Q234)*R234</f>
        <v>0.9958685578131438</v>
      </c>
      <c r="U234" s="76">
        <f>U233+S234</f>
        <v>19.369787195033428</v>
      </c>
      <c r="V234" s="76">
        <f>V233+T234</f>
        <v>195.55998771084631</v>
      </c>
    </row>
    <row r="235" spans="1:22" ht="19" customHeight="1">
      <c r="A235" s="68" t="s">
        <v>362</v>
      </c>
      <c r="B235" s="74">
        <v>5</v>
      </c>
      <c r="C235" s="68" t="s">
        <v>363</v>
      </c>
      <c r="D235" s="68" t="s">
        <v>364</v>
      </c>
      <c r="E235" s="75">
        <f>60*F235*'THAM_SO_MOI'!$C$53/(2*PI()*'THAM_SO_MOI'!$C$26)</f>
        <v>1197.1101052631577</v>
      </c>
      <c r="F235" s="75">
        <f>'THAM_SO_MOI'!$E$53+('THAM_SO_MOI'!$C$14-'THAM_SO_MOI'!$E$53)*229/'THAM_SO_MOI'!$C$42</f>
        <v>12.150155982905984</v>
      </c>
      <c r="G235" s="75">
        <f>3.6*F235</f>
        <v>43.74056153846154</v>
      </c>
      <c r="H235" s="75">
        <f>'THAM_SO_MOI'!$D$53</f>
        <v>1.1</v>
      </c>
      <c r="I235" s="75">
        <f>IF(F235&gt;'THAM_SO_MOI'!$C$14,'THAM_SO_MOI'!$C$13*(1+F235^2/1500),'THAM_SO_MOI'!$C$13)</f>
        <v>0.015</v>
      </c>
      <c r="J235" s="75">
        <f>'THAM_SO_MOI'!$C$40*('THAM_SO_MOI'!$C$23*(E235/'THAM_SO_MOI'!$C$22)+'THAM_SO_MOI'!$C$24*(E235/'THAM_SO_MOI'!$C$22)^2-'THAM_SO_MOI'!$C$25*(E235/'THAM_SO_MOI'!$C$22)^3)</f>
        <v>48.1960629907709</v>
      </c>
      <c r="K235" s="75">
        <f>'THAM_SO_MOI'!$C$31*J235/E235</f>
        <v>384.5304930198147</v>
      </c>
      <c r="L235" s="75">
        <f>K235*'THAM_SO_MOI'!$C$53*'THAM_SO_MOI'!$C$17/'THAM_SO_MOI'!$C$26</f>
        <v>3372.333928439503</v>
      </c>
      <c r="M235" s="75">
        <f>'THAM_SO_MOI'!$C$15*'THAM_SO_MOI'!$C$16*F235^2</f>
        <v>431.80689944616734</v>
      </c>
      <c r="N235" s="75">
        <f>'THAM_SO_MOI'!$C$12*I235</f>
        <v>1130.112</v>
      </c>
      <c r="O235" s="75">
        <f>M235+N235</f>
        <v>1561.9188994461674</v>
      </c>
      <c r="P235" s="75">
        <f>(MIN(L235,'THAM_SO_MOI'!$C$41)-O235)/('THAM_SO_MOI'!$C$11*H235)</f>
        <v>0.2143010214244005</v>
      </c>
      <c r="Q235" s="75">
        <f>IF(P235&gt;0,1/P235,NA())</f>
        <v>4.666333335012929</v>
      </c>
      <c r="R235" s="75">
        <f>F235-F234</f>
        <v>0.01760042735042866</v>
      </c>
      <c r="S235" s="75">
        <f>0.5*(Q234+Q235)*R235</f>
        <v>0.08213358204138901</v>
      </c>
      <c r="T235" s="75">
        <f>0.5*(F234*Q234+F235*Q235)*R235</f>
        <v>0.9972130038984934</v>
      </c>
      <c r="U235" s="76">
        <f>U234+S235</f>
        <v>19.451920777074818</v>
      </c>
      <c r="V235" s="76">
        <f>V234+T235</f>
        <v>196.5572007147448</v>
      </c>
    </row>
    <row r="236" spans="1:22" ht="19" customHeight="1">
      <c r="A236" s="68" t="s">
        <v>362</v>
      </c>
      <c r="B236" s="74">
        <v>5</v>
      </c>
      <c r="C236" s="68" t="s">
        <v>363</v>
      </c>
      <c r="D236" s="68" t="s">
        <v>364</v>
      </c>
      <c r="E236" s="75">
        <f>60*F236*'THAM_SO_MOI'!$C$53/(2*PI()*'THAM_SO_MOI'!$C$26)</f>
        <v>1198.8442105263157</v>
      </c>
      <c r="F236" s="75">
        <f>'THAM_SO_MOI'!$E$53+('THAM_SO_MOI'!$C$14-'THAM_SO_MOI'!$E$53)*230/'THAM_SO_MOI'!$C$42</f>
        <v>12.16775641025641</v>
      </c>
      <c r="G236" s="75">
        <f>3.6*F236</f>
        <v>43.80392307692308</v>
      </c>
      <c r="H236" s="75">
        <f>'THAM_SO_MOI'!$D$53</f>
        <v>1.1</v>
      </c>
      <c r="I236" s="75">
        <f>IF(F236&gt;'THAM_SO_MOI'!$C$14,'THAM_SO_MOI'!$C$13*(1+F236^2/1500),'THAM_SO_MOI'!$C$13)</f>
        <v>0.015</v>
      </c>
      <c r="J236" s="75">
        <f>'THAM_SO_MOI'!$C$40*('THAM_SO_MOI'!$C$23*(E236/'THAM_SO_MOI'!$C$22)+'THAM_SO_MOI'!$C$24*(E236/'THAM_SO_MOI'!$C$22)^2-'THAM_SO_MOI'!$C$25*(E236/'THAM_SO_MOI'!$C$22)^3)</f>
        <v>48.28633406568859</v>
      </c>
      <c r="K236" s="75">
        <f>'THAM_SO_MOI'!$C$31*J236/E236</f>
        <v>384.6934596201191</v>
      </c>
      <c r="L236" s="75">
        <f>K236*'THAM_SO_MOI'!$C$53*'THAM_SO_MOI'!$C$17/'THAM_SO_MOI'!$C$26</f>
        <v>3373.763146161856</v>
      </c>
      <c r="M236" s="75">
        <f>'THAM_SO_MOI'!$C$15*'THAM_SO_MOI'!$C$16*F236^2</f>
        <v>433.05881597355784</v>
      </c>
      <c r="N236" s="75">
        <f>'THAM_SO_MOI'!$C$12*I236</f>
        <v>1130.112</v>
      </c>
      <c r="O236" s="75">
        <f>M236+N236</f>
        <v>1563.1708159735579</v>
      </c>
      <c r="P236" s="75">
        <f>(MIN(L236,'THAM_SO_MOI'!$C$41)-O236)/('THAM_SO_MOI'!$C$11*H236)</f>
        <v>0.21432200878175878</v>
      </c>
      <c r="Q236" s="75">
        <f>IF(P236&gt;0,1/P236,NA())</f>
        <v>4.6658763870503215</v>
      </c>
      <c r="R236" s="75">
        <f>F236-F235</f>
        <v>0.017600427350426884</v>
      </c>
      <c r="S236" s="75">
        <f>0.5*(Q235+Q236)*R236</f>
        <v>0.08212543961606085</v>
      </c>
      <c r="T236" s="75">
        <f>0.5*(F235*Q235+F236*Q236)*R236</f>
        <v>0.9985595875288894</v>
      </c>
      <c r="U236" s="76">
        <f>U235+S236</f>
        <v>19.53404621669088</v>
      </c>
      <c r="V236" s="76">
        <f>V235+T236</f>
        <v>197.55576030227368</v>
      </c>
    </row>
    <row r="237" spans="1:22" ht="19" customHeight="1">
      <c r="A237" s="68" t="s">
        <v>362</v>
      </c>
      <c r="B237" s="74">
        <v>5</v>
      </c>
      <c r="C237" s="68" t="s">
        <v>363</v>
      </c>
      <c r="D237" s="68" t="s">
        <v>364</v>
      </c>
      <c r="E237" s="75">
        <f>60*F237*'THAM_SO_MOI'!$C$53/(2*PI()*'THAM_SO_MOI'!$C$26)</f>
        <v>1200.5783157894737</v>
      </c>
      <c r="F237" s="75">
        <f>'THAM_SO_MOI'!$E$53+('THAM_SO_MOI'!$C$14-'THAM_SO_MOI'!$E$53)*231/'THAM_SO_MOI'!$C$42</f>
        <v>12.18535683760684</v>
      </c>
      <c r="G237" s="75">
        <f>3.6*F237</f>
        <v>43.86728461538463</v>
      </c>
      <c r="H237" s="75">
        <f>'THAM_SO_MOI'!$D$53</f>
        <v>1.1</v>
      </c>
      <c r="I237" s="75">
        <f>IF(F237&gt;'THAM_SO_MOI'!$C$14,'THAM_SO_MOI'!$C$13*(1+F237^2/1500),'THAM_SO_MOI'!$C$13)</f>
        <v>0.015</v>
      </c>
      <c r="J237" s="75">
        <f>'THAM_SO_MOI'!$C$40*('THAM_SO_MOI'!$C$23*(E237/'THAM_SO_MOI'!$C$22)+'THAM_SO_MOI'!$C$24*(E237/'THAM_SO_MOI'!$C$22)^2-'THAM_SO_MOI'!$C$25*(E237/'THAM_SO_MOI'!$C$22)^3)</f>
        <v>48.37662764597738</v>
      </c>
      <c r="K237" s="75">
        <f>'THAM_SO_MOI'!$C$31*J237/E237</f>
        <v>384.8561344847985</v>
      </c>
      <c r="L237" s="75">
        <f>K237*'THAM_SO_MOI'!$C$53*'THAM_SO_MOI'!$C$17/'THAM_SO_MOI'!$C$26</f>
        <v>3375.189805361636</v>
      </c>
      <c r="M237" s="75">
        <f>'THAM_SO_MOI'!$C$15*'THAM_SO_MOI'!$C$16*F237^2</f>
        <v>434.31254468494944</v>
      </c>
      <c r="N237" s="75">
        <f>'THAM_SO_MOI'!$C$12*I237</f>
        <v>1130.112</v>
      </c>
      <c r="O237" s="75">
        <f>M237+N237</f>
        <v>1564.4245446849495</v>
      </c>
      <c r="P237" s="75">
        <f>(MIN(L237,'THAM_SO_MOI'!$C$41)-O237)/('THAM_SO_MOI'!$C$11*H237)</f>
        <v>0.21434247877328202</v>
      </c>
      <c r="Q237" s="75">
        <f>IF(P237&gt;0,1/P237,NA())</f>
        <v>4.665430789655732</v>
      </c>
      <c r="R237" s="75">
        <f>F237-F236</f>
        <v>0.01760042735042866</v>
      </c>
      <c r="S237" s="75">
        <f>0.5*(Q236+Q237)*R237</f>
        <v>0.08211749702407423</v>
      </c>
      <c r="T237" s="75">
        <f>0.5*(F236*Q236+F237*Q237)*R237</f>
        <v>0.9999083178204385</v>
      </c>
      <c r="U237" s="76">
        <f>U236+S237</f>
        <v>19.616163713714954</v>
      </c>
      <c r="V237" s="76">
        <f>V236+T237</f>
        <v>198.5556686200941</v>
      </c>
    </row>
    <row r="238" spans="1:22" ht="19" customHeight="1">
      <c r="A238" s="68" t="s">
        <v>362</v>
      </c>
      <c r="B238" s="74">
        <v>5</v>
      </c>
      <c r="C238" s="68" t="s">
        <v>363</v>
      </c>
      <c r="D238" s="68" t="s">
        <v>364</v>
      </c>
      <c r="E238" s="75">
        <f>60*F238*'THAM_SO_MOI'!$C$53/(2*PI()*'THAM_SO_MOI'!$C$26)</f>
        <v>1202.3124210526314</v>
      </c>
      <c r="F238" s="75">
        <f>'THAM_SO_MOI'!$E$53+('THAM_SO_MOI'!$C$14-'THAM_SO_MOI'!$E$53)*232/'THAM_SO_MOI'!$C$42</f>
        <v>12.202957264957266</v>
      </c>
      <c r="G238" s="75">
        <f>3.6*F238</f>
        <v>43.93064615384616</v>
      </c>
      <c r="H238" s="75">
        <f>'THAM_SO_MOI'!$D$53</f>
        <v>1.1</v>
      </c>
      <c r="I238" s="75">
        <f>IF(F238&gt;'THAM_SO_MOI'!$C$14,'THAM_SO_MOI'!$C$13*(1+F238^2/1500),'THAM_SO_MOI'!$C$13)</f>
        <v>0.015</v>
      </c>
      <c r="J238" s="75">
        <f>'THAM_SO_MOI'!$C$40*('THAM_SO_MOI'!$C$23*(E238/'THAM_SO_MOI'!$C$22)+'THAM_SO_MOI'!$C$24*(E238/'THAM_SO_MOI'!$C$22)^2-'THAM_SO_MOI'!$C$25*(E238/'THAM_SO_MOI'!$C$22)^3)</f>
        <v>48.46694357273395</v>
      </c>
      <c r="K238" s="75">
        <f>'THAM_SO_MOI'!$C$31*J238/E238</f>
        <v>385.01851761385274</v>
      </c>
      <c r="L238" s="75">
        <f>K238*'THAM_SO_MOI'!$C$53*'THAM_SO_MOI'!$C$17/'THAM_SO_MOI'!$C$26</f>
        <v>3376.613906038842</v>
      </c>
      <c r="M238" s="75">
        <f>'THAM_SO_MOI'!$C$15*'THAM_SO_MOI'!$C$16*F238^2</f>
        <v>435.568085580342</v>
      </c>
      <c r="N238" s="75">
        <f>'THAM_SO_MOI'!$C$12*I238</f>
        <v>1130.112</v>
      </c>
      <c r="O238" s="75">
        <f>M238+N238</f>
        <v>1565.6800855803422</v>
      </c>
      <c r="P238" s="75">
        <f>(MIN(L238,'THAM_SO_MOI'!$C$41)-O238)/('THAM_SO_MOI'!$C$11*H238)</f>
        <v>0.21436243139897013</v>
      </c>
      <c r="Q238" s="75">
        <f>IF(P238&gt;0,1/P238,NA())</f>
        <v>4.664996536351119</v>
      </c>
      <c r="R238" s="75">
        <f>F238-F237</f>
        <v>0.017600427350426884</v>
      </c>
      <c r="S238" s="75">
        <f>0.5*(Q237+Q238)*R238</f>
        <v>0.08210975414991069</v>
      </c>
      <c r="T238" s="75">
        <f>0.5*(F237*Q237+F238*Q238)*R238</f>
        <v>1.00125920391596</v>
      </c>
      <c r="U238" s="76">
        <f>U237+S238</f>
        <v>19.698273467864865</v>
      </c>
      <c r="V238" s="76">
        <f>V237+T238</f>
        <v>199.55692782401007</v>
      </c>
    </row>
    <row r="239" spans="1:22" ht="19" customHeight="1">
      <c r="A239" s="68" t="s">
        <v>362</v>
      </c>
      <c r="B239" s="74">
        <v>5</v>
      </c>
      <c r="C239" s="68" t="s">
        <v>363</v>
      </c>
      <c r="D239" s="68" t="s">
        <v>364</v>
      </c>
      <c r="E239" s="75">
        <f>60*F239*'THAM_SO_MOI'!$C$53/(2*PI()*'THAM_SO_MOI'!$C$26)</f>
        <v>1204.0465263157894</v>
      </c>
      <c r="F239" s="75">
        <f>'THAM_SO_MOI'!$E$53+('THAM_SO_MOI'!$C$14-'THAM_SO_MOI'!$E$53)*233/'THAM_SO_MOI'!$C$42</f>
        <v>12.220557692307693</v>
      </c>
      <c r="G239" s="75">
        <f>3.6*F239</f>
        <v>43.9940076923077</v>
      </c>
      <c r="H239" s="75">
        <f>'THAM_SO_MOI'!$D$53</f>
        <v>1.1</v>
      </c>
      <c r="I239" s="75">
        <f>IF(F239&gt;'THAM_SO_MOI'!$C$14,'THAM_SO_MOI'!$C$13*(1+F239^2/1500),'THAM_SO_MOI'!$C$13)</f>
        <v>0.015</v>
      </c>
      <c r="J239" s="75">
        <f>'THAM_SO_MOI'!$C$40*('THAM_SO_MOI'!$C$23*(E239/'THAM_SO_MOI'!$C$22)+'THAM_SO_MOI'!$C$24*(E239/'THAM_SO_MOI'!$C$22)^2-'THAM_SO_MOI'!$C$25*(E239/'THAM_SO_MOI'!$C$22)^3)</f>
        <v>48.557281687055074</v>
      </c>
      <c r="K239" s="75">
        <f>'THAM_SO_MOI'!$C$31*J239/E239</f>
        <v>385.180609007282</v>
      </c>
      <c r="L239" s="75">
        <f>K239*'THAM_SO_MOI'!$C$53*'THAM_SO_MOI'!$C$17/'THAM_SO_MOI'!$C$26</f>
        <v>3378.0354481934746</v>
      </c>
      <c r="M239" s="75">
        <f>'THAM_SO_MOI'!$C$15*'THAM_SO_MOI'!$C$16*F239^2</f>
        <v>436.8254386597357</v>
      </c>
      <c r="N239" s="75">
        <f>'THAM_SO_MOI'!$C$12*I239</f>
        <v>1130.112</v>
      </c>
      <c r="O239" s="75">
        <f>M239+N239</f>
        <v>1566.9374386597358</v>
      </c>
      <c r="P239" s="75">
        <f>(MIN(L239,'THAM_SO_MOI'!$C$41)-O239)/('THAM_SO_MOI'!$C$11*H239)</f>
        <v>0.21438186665882328</v>
      </c>
      <c r="Q239" s="75">
        <f>IF(P239&gt;0,1/P239,NA())</f>
        <v>4.664573620825141</v>
      </c>
      <c r="R239" s="75">
        <f>F239-F238</f>
        <v>0.017600427350426884</v>
      </c>
      <c r="S239" s="75">
        <f>0.5*(Q238+Q239)*R239</f>
        <v>0.08210221088104575</v>
      </c>
      <c r="T239" s="75">
        <f>0.5*(F238*Q238+F239*Q239)*R239</f>
        <v>1.0026122549867027</v>
      </c>
      <c r="U239" s="76">
        <f>U238+S239</f>
        <v>19.780375678745912</v>
      </c>
      <c r="V239" s="76">
        <f>V238+T239</f>
        <v>200.55954007899678</v>
      </c>
    </row>
    <row r="240" spans="1:22" ht="19" customHeight="1">
      <c r="A240" s="68" t="s">
        <v>362</v>
      </c>
      <c r="B240" s="74">
        <v>5</v>
      </c>
      <c r="C240" s="68" t="s">
        <v>363</v>
      </c>
      <c r="D240" s="68" t="s">
        <v>364</v>
      </c>
      <c r="E240" s="75">
        <f>60*F240*'THAM_SO_MOI'!$C$53/(2*PI()*'THAM_SO_MOI'!$C$26)</f>
        <v>1205.7806315789471</v>
      </c>
      <c r="F240" s="75">
        <f>'THAM_SO_MOI'!$E$53+('THAM_SO_MOI'!$C$14-'THAM_SO_MOI'!$E$53)*234/'THAM_SO_MOI'!$C$42</f>
        <v>12.23815811965812</v>
      </c>
      <c r="G240" s="75">
        <f>3.6*F240</f>
        <v>44.05736923076923</v>
      </c>
      <c r="H240" s="75">
        <f>'THAM_SO_MOI'!$D$53</f>
        <v>1.1</v>
      </c>
      <c r="I240" s="75">
        <f>IF(F240&gt;'THAM_SO_MOI'!$C$14,'THAM_SO_MOI'!$C$13*(1+F240^2/1500),'THAM_SO_MOI'!$C$13)</f>
        <v>0.015</v>
      </c>
      <c r="J240" s="75">
        <f>'THAM_SO_MOI'!$C$40*('THAM_SO_MOI'!$C$23*(E240/'THAM_SO_MOI'!$C$22)+'THAM_SO_MOI'!$C$24*(E240/'THAM_SO_MOI'!$C$22)^2-'THAM_SO_MOI'!$C$25*(E240/'THAM_SO_MOI'!$C$22)^3)</f>
        <v>48.647641830037436</v>
      </c>
      <c r="K240" s="75">
        <f>'THAM_SO_MOI'!$C$31*J240/E240</f>
        <v>385.3424086650862</v>
      </c>
      <c r="L240" s="75">
        <f>K240*'THAM_SO_MOI'!$C$53*'THAM_SO_MOI'!$C$17/'THAM_SO_MOI'!$C$26</f>
        <v>3379.4544318255353</v>
      </c>
      <c r="M240" s="75">
        <f>'THAM_SO_MOI'!$C$15*'THAM_SO_MOI'!$C$16*F240^2</f>
        <v>438.0846039231304</v>
      </c>
      <c r="N240" s="75">
        <f>'THAM_SO_MOI'!$C$12*I240</f>
        <v>1130.112</v>
      </c>
      <c r="O240" s="75">
        <f>M240+N240</f>
        <v>1568.1966039231304</v>
      </c>
      <c r="P240" s="75">
        <f>(MIN(L240,'THAM_SO_MOI'!$C$41)-O240)/('THAM_SO_MOI'!$C$11*H240)</f>
        <v>0.21440078455284145</v>
      </c>
      <c r="Q240" s="75">
        <f>IF(P240&gt;0,1/P240,NA())</f>
        <v>4.664162036932933</v>
      </c>
      <c r="R240" s="75">
        <f>F240-F239</f>
        <v>0.017600427350426884</v>
      </c>
      <c r="S240" s="75">
        <f>0.5*(Q239+Q240)*R240</f>
        <v>0.08209486710785387</v>
      </c>
      <c r="T240" s="75">
        <f>0.5*(F239*Q239+F240*Q240)*R240</f>
        <v>1.0039674802314444</v>
      </c>
      <c r="U240" s="76">
        <f>U239+S240</f>
        <v>19.862470545853768</v>
      </c>
      <c r="V240" s="76">
        <f>V239+T240</f>
        <v>201.5635075592282</v>
      </c>
    </row>
    <row r="241" spans="1:22" ht="19" customHeight="1">
      <c r="A241" s="68" t="s">
        <v>362</v>
      </c>
      <c r="B241" s="74">
        <v>5</v>
      </c>
      <c r="C241" s="68" t="s">
        <v>363</v>
      </c>
      <c r="D241" s="68" t="s">
        <v>364</v>
      </c>
      <c r="E241" s="75">
        <f>60*F241*'THAM_SO_MOI'!$C$53/(2*PI()*'THAM_SO_MOI'!$C$26)</f>
        <v>1207.5147368421049</v>
      </c>
      <c r="F241" s="75">
        <f>'THAM_SO_MOI'!$E$53+('THAM_SO_MOI'!$C$14-'THAM_SO_MOI'!$E$53)*235/'THAM_SO_MOI'!$C$42</f>
        <v>12.255758547008547</v>
      </c>
      <c r="G241" s="75">
        <f>3.6*F241</f>
        <v>44.12073076923077</v>
      </c>
      <c r="H241" s="75">
        <f>'THAM_SO_MOI'!$D$53</f>
        <v>1.1</v>
      </c>
      <c r="I241" s="75">
        <f>IF(F241&gt;'THAM_SO_MOI'!$C$14,'THAM_SO_MOI'!$C$13*(1+F241^2/1500),'THAM_SO_MOI'!$C$13)</f>
        <v>0.015</v>
      </c>
      <c r="J241" s="75">
        <f>'THAM_SO_MOI'!$C$40*('THAM_SO_MOI'!$C$23*(E241/'THAM_SO_MOI'!$C$22)+'THAM_SO_MOI'!$C$24*(E241/'THAM_SO_MOI'!$C$22)^2-'THAM_SO_MOI'!$C$25*(E241/'THAM_SO_MOI'!$C$22)^3)</f>
        <v>48.73802384277775</v>
      </c>
      <c r="K241" s="75">
        <f>'THAM_SO_MOI'!$C$31*J241/E241</f>
        <v>385.5039165872653</v>
      </c>
      <c r="L241" s="75">
        <f>K241*'THAM_SO_MOI'!$C$53*'THAM_SO_MOI'!$C$17/'THAM_SO_MOI'!$C$26</f>
        <v>3380.8708569350206</v>
      </c>
      <c r="M241" s="75">
        <f>'THAM_SO_MOI'!$C$15*'THAM_SO_MOI'!$C$16*F241^2</f>
        <v>439.34558137052625</v>
      </c>
      <c r="N241" s="75">
        <f>'THAM_SO_MOI'!$C$12*I241</f>
        <v>1130.112</v>
      </c>
      <c r="O241" s="75">
        <f>M241+N241</f>
        <v>1569.4575813705264</v>
      </c>
      <c r="P241" s="75">
        <f>(MIN(L241,'THAM_SO_MOI'!$C$41)-O241)/('THAM_SO_MOI'!$C$11*H241)</f>
        <v>0.2144191850810244</v>
      </c>
      <c r="Q241" s="75">
        <f>IF(P241&gt;0,1/P241,NA())</f>
        <v>4.663761778695883</v>
      </c>
      <c r="R241" s="75">
        <f>F241-F240</f>
        <v>0.017600427350426884</v>
      </c>
      <c r="S241" s="75">
        <f>0.5*(Q240+Q241)*R241</f>
        <v>0.08208772272364585</v>
      </c>
      <c r="T241" s="75">
        <f>0.5*(F240*Q240+F241*Q241)*R241</f>
        <v>1.0053248888772075</v>
      </c>
      <c r="U241" s="76">
        <f>U240+S241</f>
        <v>19.944558268577413</v>
      </c>
      <c r="V241" s="76">
        <f>V240+T241</f>
        <v>202.5688324481054</v>
      </c>
    </row>
    <row r="242" spans="1:22" ht="19" customHeight="1">
      <c r="A242" s="68" t="s">
        <v>362</v>
      </c>
      <c r="B242" s="74">
        <v>5</v>
      </c>
      <c r="C242" s="68" t="s">
        <v>363</v>
      </c>
      <c r="D242" s="68" t="s">
        <v>364</v>
      </c>
      <c r="E242" s="75">
        <f>60*F242*'THAM_SO_MOI'!$C$53/(2*PI()*'THAM_SO_MOI'!$C$26)</f>
        <v>1209.248842105263</v>
      </c>
      <c r="F242" s="75">
        <f>'THAM_SO_MOI'!$E$53+('THAM_SO_MOI'!$C$14-'THAM_SO_MOI'!$E$53)*236/'THAM_SO_MOI'!$C$42</f>
        <v>12.273358974358976</v>
      </c>
      <c r="G242" s="75">
        <f>3.6*F242</f>
        <v>44.18409230769231</v>
      </c>
      <c r="H242" s="75">
        <f>'THAM_SO_MOI'!$D$53</f>
        <v>1.1</v>
      </c>
      <c r="I242" s="75">
        <f>IF(F242&gt;'THAM_SO_MOI'!$C$14,'THAM_SO_MOI'!$C$13*(1+F242^2/1500),'THAM_SO_MOI'!$C$13)</f>
        <v>0.015</v>
      </c>
      <c r="J242" s="75">
        <f>'THAM_SO_MOI'!$C$40*('THAM_SO_MOI'!$C$23*(E242/'THAM_SO_MOI'!$C$22)+'THAM_SO_MOI'!$C$24*(E242/'THAM_SO_MOI'!$C$22)^2-'THAM_SO_MOI'!$C$25*(E242/'THAM_SO_MOI'!$C$22)^3)</f>
        <v>48.828427566372795</v>
      </c>
      <c r="K242" s="75">
        <f>'THAM_SO_MOI'!$C$31*J242/E242</f>
        <v>385.66513277381944</v>
      </c>
      <c r="L242" s="75">
        <f>K242*'THAM_SO_MOI'!$C$53*'THAM_SO_MOI'!$C$17/'THAM_SO_MOI'!$C$26</f>
        <v>3382.2847235219347</v>
      </c>
      <c r="M242" s="75">
        <f>'THAM_SO_MOI'!$C$15*'THAM_SO_MOI'!$C$16*F242^2</f>
        <v>440.6083710019232</v>
      </c>
      <c r="N242" s="75">
        <f>'THAM_SO_MOI'!$C$12*I242</f>
        <v>1130.112</v>
      </c>
      <c r="O242" s="75">
        <f>M242+N242</f>
        <v>1570.7203710019232</v>
      </c>
      <c r="P242" s="75">
        <f>(MIN(L242,'THAM_SO_MOI'!$C$41)-O242)/('THAM_SO_MOI'!$C$11*H242)</f>
        <v>0.21443706824337253</v>
      </c>
      <c r="Q242" s="75">
        <f>IF(P242&gt;0,1/P242,NA())</f>
        <v>4.663372840301394</v>
      </c>
      <c r="R242" s="75">
        <f>F242-F241</f>
        <v>0.01760042735042866</v>
      </c>
      <c r="S242" s="75">
        <f>0.5*(Q241+Q242)*R242</f>
        <v>0.08208077762466484</v>
      </c>
      <c r="T242" s="75">
        <f>0.5*(F241*Q241+F242*Q242)*R242</f>
        <v>1.006684490179467</v>
      </c>
      <c r="U242" s="76">
        <f>U241+S242</f>
        <v>20.026639046202078</v>
      </c>
      <c r="V242" s="76">
        <f>V241+T242</f>
        <v>203.5755169382849</v>
      </c>
    </row>
    <row r="243" spans="1:22" ht="19" customHeight="1">
      <c r="A243" s="68" t="s">
        <v>362</v>
      </c>
      <c r="B243" s="74">
        <v>5</v>
      </c>
      <c r="C243" s="68" t="s">
        <v>363</v>
      </c>
      <c r="D243" s="68" t="s">
        <v>364</v>
      </c>
      <c r="E243" s="75">
        <f>60*F243*'THAM_SO_MOI'!$C$53/(2*PI()*'THAM_SO_MOI'!$C$26)</f>
        <v>1210.9829473684208</v>
      </c>
      <c r="F243" s="75">
        <f>'THAM_SO_MOI'!$E$53+('THAM_SO_MOI'!$C$14-'THAM_SO_MOI'!$E$53)*237/'THAM_SO_MOI'!$C$42</f>
        <v>12.290959401709403</v>
      </c>
      <c r="G243" s="75">
        <f>3.6*F243</f>
        <v>44.24745384615385</v>
      </c>
      <c r="H243" s="75">
        <f>'THAM_SO_MOI'!$D$53</f>
        <v>1.1</v>
      </c>
      <c r="I243" s="75">
        <f>IF(F243&gt;'THAM_SO_MOI'!$C$14,'THAM_SO_MOI'!$C$13*(1+F243^2/1500),'THAM_SO_MOI'!$C$13)</f>
        <v>0.015</v>
      </c>
      <c r="J243" s="75">
        <f>'THAM_SO_MOI'!$C$40*('THAM_SO_MOI'!$C$23*(E243/'THAM_SO_MOI'!$C$22)+'THAM_SO_MOI'!$C$24*(E243/'THAM_SO_MOI'!$C$22)^2-'THAM_SO_MOI'!$C$25*(E243/'THAM_SO_MOI'!$C$22)^3)</f>
        <v>48.91885284191924</v>
      </c>
      <c r="K243" s="75">
        <f>'THAM_SO_MOI'!$C$31*J243/E243</f>
        <v>385.8260572247486</v>
      </c>
      <c r="L243" s="75">
        <f>K243*'THAM_SO_MOI'!$C$53*'THAM_SO_MOI'!$C$17/'THAM_SO_MOI'!$C$26</f>
        <v>3383.6960315862752</v>
      </c>
      <c r="M243" s="75">
        <f>'THAM_SO_MOI'!$C$15*'THAM_SO_MOI'!$C$16*F243^2</f>
        <v>441.87297281732117</v>
      </c>
      <c r="N243" s="75">
        <f>'THAM_SO_MOI'!$C$12*I243</f>
        <v>1130.112</v>
      </c>
      <c r="O243" s="75">
        <f>M243+N243</f>
        <v>1571.9849728173212</v>
      </c>
      <c r="P243" s="75">
        <f>(MIN(L243,'THAM_SO_MOI'!$C$41)-O243)/('THAM_SO_MOI'!$C$11*H243)</f>
        <v>0.21445443403988565</v>
      </c>
      <c r="Q243" s="75">
        <f>IF(P243&gt;0,1/P243,NA())</f>
        <v>4.662995216102706</v>
      </c>
      <c r="R243" s="75">
        <f>F243-F242</f>
        <v>0.017600427350426884</v>
      </c>
      <c r="S243" s="75">
        <f>0.5*(Q242+Q243)*R243</f>
        <v>0.08207403171004117</v>
      </c>
      <c r="T243" s="75">
        <f>0.5*(F242*Q242+F243*Q243)*R243</f>
        <v>1.0080462934218535</v>
      </c>
      <c r="U243" s="76">
        <f>U242+S243</f>
        <v>20.108713077912117</v>
      </c>
      <c r="V243" s="76">
        <f>V242+T243</f>
        <v>204.58356323170673</v>
      </c>
    </row>
    <row r="244" spans="1:22" ht="19" customHeight="1">
      <c r="A244" s="68" t="s">
        <v>362</v>
      </c>
      <c r="B244" s="74">
        <v>5</v>
      </c>
      <c r="C244" s="68" t="s">
        <v>363</v>
      </c>
      <c r="D244" s="68" t="s">
        <v>364</v>
      </c>
      <c r="E244" s="75">
        <f>60*F244*'THAM_SO_MOI'!$C$53/(2*PI()*'THAM_SO_MOI'!$C$26)</f>
        <v>1212.7170526315788</v>
      </c>
      <c r="F244" s="75">
        <f>'THAM_SO_MOI'!$E$53+('THAM_SO_MOI'!$C$14-'THAM_SO_MOI'!$E$53)*238/'THAM_SO_MOI'!$C$42</f>
        <v>12.30855982905983</v>
      </c>
      <c r="G244" s="75">
        <f>3.6*F244</f>
        <v>44.31081538461539</v>
      </c>
      <c r="H244" s="75">
        <f>'THAM_SO_MOI'!$D$53</f>
        <v>1.1</v>
      </c>
      <c r="I244" s="75">
        <f>IF(F244&gt;'THAM_SO_MOI'!$C$14,'THAM_SO_MOI'!$C$13*(1+F244^2/1500),'THAM_SO_MOI'!$C$13)</f>
        <v>0.015</v>
      </c>
      <c r="J244" s="75">
        <f>'THAM_SO_MOI'!$C$40*('THAM_SO_MOI'!$C$23*(E244/'THAM_SO_MOI'!$C$22)+'THAM_SO_MOI'!$C$24*(E244/'THAM_SO_MOI'!$C$22)^2-'THAM_SO_MOI'!$C$25*(E244/'THAM_SO_MOI'!$C$22)^3)</f>
        <v>49.00929951051383</v>
      </c>
      <c r="K244" s="75">
        <f>'THAM_SO_MOI'!$C$31*J244/E244</f>
        <v>385.98668994005266</v>
      </c>
      <c r="L244" s="75">
        <f>K244*'THAM_SO_MOI'!$C$53*'THAM_SO_MOI'!$C$17/'THAM_SO_MOI'!$C$26</f>
        <v>3385.104781128043</v>
      </c>
      <c r="M244" s="75">
        <f>'THAM_SO_MOI'!$C$15*'THAM_SO_MOI'!$C$16*F244^2</f>
        <v>443.1393868167201</v>
      </c>
      <c r="N244" s="75">
        <f>'THAM_SO_MOI'!$C$12*I244</f>
        <v>1130.112</v>
      </c>
      <c r="O244" s="75">
        <f>M244+N244</f>
        <v>1573.2513868167202</v>
      </c>
      <c r="P244" s="75">
        <f>(MIN(L244,'THAM_SO_MOI'!$C$41)-O244)/('THAM_SO_MOI'!$C$11*H244)</f>
        <v>0.2144712824705638</v>
      </c>
      <c r="Q244" s="75">
        <f>IF(P244&gt;0,1/P244,NA())</f>
        <v>4.662628900618665</v>
      </c>
      <c r="R244" s="75">
        <f>F244-F243</f>
        <v>0.017600427350426884</v>
      </c>
      <c r="S244" s="75">
        <f>0.5*(Q243+Q244)*R244</f>
        <v>0.08206748488187168</v>
      </c>
      <c r="T244" s="75">
        <f>0.5*(F243*Q243+F244*Q244)*R244</f>
        <v>1.0094103079173842</v>
      </c>
      <c r="U244" s="76">
        <f>U243+S244</f>
        <v>20.19078056279399</v>
      </c>
      <c r="V244" s="76">
        <f>V243+T244</f>
        <v>205.59297353962413</v>
      </c>
    </row>
    <row r="245" spans="1:22" ht="19" customHeight="1">
      <c r="A245" s="68" t="s">
        <v>362</v>
      </c>
      <c r="B245" s="74">
        <v>5</v>
      </c>
      <c r="C245" s="68" t="s">
        <v>363</v>
      </c>
      <c r="D245" s="68" t="s">
        <v>364</v>
      </c>
      <c r="E245" s="75">
        <f>60*F245*'THAM_SO_MOI'!$C$53/(2*PI()*'THAM_SO_MOI'!$C$26)</f>
        <v>1214.4511578947368</v>
      </c>
      <c r="F245" s="75">
        <f>'THAM_SO_MOI'!$E$53+('THAM_SO_MOI'!$C$14-'THAM_SO_MOI'!$E$53)*239/'THAM_SO_MOI'!$C$42</f>
        <v>12.326160256410258</v>
      </c>
      <c r="G245" s="75">
        <f>3.6*F245</f>
        <v>44.37417692307693</v>
      </c>
      <c r="H245" s="75">
        <f>'THAM_SO_MOI'!$D$53</f>
        <v>1.1</v>
      </c>
      <c r="I245" s="75">
        <f>IF(F245&gt;'THAM_SO_MOI'!$C$14,'THAM_SO_MOI'!$C$13*(1+F245^2/1500),'THAM_SO_MOI'!$C$13)</f>
        <v>0.015</v>
      </c>
      <c r="J245" s="75">
        <f>'THAM_SO_MOI'!$C$40*('THAM_SO_MOI'!$C$23*(E245/'THAM_SO_MOI'!$C$22)+'THAM_SO_MOI'!$C$24*(E245/'THAM_SO_MOI'!$C$22)^2-'THAM_SO_MOI'!$C$25*(E245/'THAM_SO_MOI'!$C$22)^3)</f>
        <v>49.099767413253254</v>
      </c>
      <c r="K245" s="75">
        <f>'THAM_SO_MOI'!$C$31*J245/E245</f>
        <v>386.14703091973155</v>
      </c>
      <c r="L245" s="75">
        <f>K245*'THAM_SO_MOI'!$C$53*'THAM_SO_MOI'!$C$17/'THAM_SO_MOI'!$C$26</f>
        <v>3386.5109721472363</v>
      </c>
      <c r="M245" s="75">
        <f>'THAM_SO_MOI'!$C$15*'THAM_SO_MOI'!$C$16*F245^2</f>
        <v>444.4076130001204</v>
      </c>
      <c r="N245" s="75">
        <f>'THAM_SO_MOI'!$C$12*I245</f>
        <v>1130.112</v>
      </c>
      <c r="O245" s="75">
        <f>M245+N245</f>
        <v>1574.5196130001204</v>
      </c>
      <c r="P245" s="75">
        <f>(MIN(L245,'THAM_SO_MOI'!$C$41)-O245)/('THAM_SO_MOI'!$C$11*H245)</f>
        <v>0.2144876135354067</v>
      </c>
      <c r="Q245" s="75">
        <f>IF(P245&gt;0,1/P245,NA())</f>
        <v>4.662273888533541</v>
      </c>
      <c r="R245" s="75">
        <f>F245-F244</f>
        <v>0.01760042735042866</v>
      </c>
      <c r="S245" s="75">
        <f>0.5*(Q244+Q245)*R245</f>
        <v>0.08206113704514148</v>
      </c>
      <c r="T245" s="75">
        <f>0.5*(F244*Q244+F245*Q245)*R245</f>
        <v>1.0107765430077593</v>
      </c>
      <c r="U245" s="76">
        <f>U244+S245</f>
        <v>20.27284169983913</v>
      </c>
      <c r="V245" s="76">
        <f>V244+T245</f>
        <v>206.60375008263188</v>
      </c>
    </row>
    <row r="246" spans="1:22" ht="19" customHeight="1">
      <c r="A246" s="68" t="s">
        <v>362</v>
      </c>
      <c r="B246" s="74">
        <v>5</v>
      </c>
      <c r="C246" s="68" t="s">
        <v>363</v>
      </c>
      <c r="D246" s="68" t="s">
        <v>364</v>
      </c>
      <c r="E246" s="75">
        <f>60*F246*'THAM_SO_MOI'!$C$53/(2*PI()*'THAM_SO_MOI'!$C$26)</f>
        <v>1216.1852631578945</v>
      </c>
      <c r="F246" s="75">
        <f>'THAM_SO_MOI'!$E$53+('THAM_SO_MOI'!$C$14-'THAM_SO_MOI'!$E$53)*240/'THAM_SO_MOI'!$C$42</f>
        <v>12.343760683760685</v>
      </c>
      <c r="G246" s="75">
        <f>3.6*F246</f>
        <v>44.437538461538466</v>
      </c>
      <c r="H246" s="75">
        <f>'THAM_SO_MOI'!$D$53</f>
        <v>1.1</v>
      </c>
      <c r="I246" s="75">
        <f>IF(F246&gt;'THAM_SO_MOI'!$C$14,'THAM_SO_MOI'!$C$13*(1+F246^2/1500),'THAM_SO_MOI'!$C$13)</f>
        <v>0.015</v>
      </c>
      <c r="J246" s="75">
        <f>'THAM_SO_MOI'!$C$40*('THAM_SO_MOI'!$C$23*(E246/'THAM_SO_MOI'!$C$22)+'THAM_SO_MOI'!$C$24*(E246/'THAM_SO_MOI'!$C$22)^2-'THAM_SO_MOI'!$C$25*(E246/'THAM_SO_MOI'!$C$22)^3)</f>
        <v>49.190256391234264</v>
      </c>
      <c r="K246" s="75">
        <f>'THAM_SO_MOI'!$C$31*J246/E246</f>
        <v>386.30708016378554</v>
      </c>
      <c r="L246" s="75">
        <f>K246*'THAM_SO_MOI'!$C$53*'THAM_SO_MOI'!$C$17/'THAM_SO_MOI'!$C$26</f>
        <v>3387.9146046438573</v>
      </c>
      <c r="M246" s="75">
        <f>'THAM_SO_MOI'!$C$15*'THAM_SO_MOI'!$C$16*F246^2</f>
        <v>445.6776513675215</v>
      </c>
      <c r="N246" s="75">
        <f>'THAM_SO_MOI'!$C$12*I246</f>
        <v>1130.112</v>
      </c>
      <c r="O246" s="75">
        <f>M246+N246</f>
        <v>1575.7896513675216</v>
      </c>
      <c r="P246" s="75">
        <f>(MIN(L246,'THAM_SO_MOI'!$C$41)-O246)/('THAM_SO_MOI'!$C$11*H246)</f>
        <v>0.21450342723441476</v>
      </c>
      <c r="Q246" s="75">
        <f>IF(P246&gt;0,1/P246,NA())</f>
        <v>4.661930174696812</v>
      </c>
      <c r="R246" s="75">
        <f>F246-F245</f>
        <v>0.017600427350426884</v>
      </c>
      <c r="S246" s="75">
        <f>0.5*(Q245+Q246)*R246</f>
        <v>0.0820549881077205</v>
      </c>
      <c r="T246" s="75">
        <f>0.5*(F245*Q245+F246*Q246)*R246</f>
        <v>1.0121450080635737</v>
      </c>
      <c r="U246" s="76">
        <f>U245+S246</f>
        <v>20.35489668794685</v>
      </c>
      <c r="V246" s="76">
        <f>V245+T246</f>
        <v>207.61589509069546</v>
      </c>
    </row>
    <row r="247" spans="1:22" ht="19" customHeight="1">
      <c r="A247" s="68" t="s">
        <v>362</v>
      </c>
      <c r="B247" s="74">
        <v>5</v>
      </c>
      <c r="C247" s="68" t="s">
        <v>363</v>
      </c>
      <c r="D247" s="68" t="s">
        <v>364</v>
      </c>
      <c r="E247" s="75">
        <f>60*F247*'THAM_SO_MOI'!$C$53/(2*PI()*'THAM_SO_MOI'!$C$26)</f>
        <v>1217.9193684210525</v>
      </c>
      <c r="F247" s="75">
        <f>'THAM_SO_MOI'!$E$53+('THAM_SO_MOI'!$C$14-'THAM_SO_MOI'!$E$53)*241/'THAM_SO_MOI'!$C$42</f>
        <v>12.361361111111112</v>
      </c>
      <c r="G247" s="75">
        <f>3.6*F247</f>
        <v>44.5009</v>
      </c>
      <c r="H247" s="75">
        <f>'THAM_SO_MOI'!$D$53</f>
        <v>1.1</v>
      </c>
      <c r="I247" s="75">
        <f>IF(F247&gt;'THAM_SO_MOI'!$C$14,'THAM_SO_MOI'!$C$13*(1+F247^2/1500),'THAM_SO_MOI'!$C$13)</f>
        <v>0.015</v>
      </c>
      <c r="J247" s="75">
        <f>'THAM_SO_MOI'!$C$40*('THAM_SO_MOI'!$C$23*(E247/'THAM_SO_MOI'!$C$22)+'THAM_SO_MOI'!$C$24*(E247/'THAM_SO_MOI'!$C$22)^2-'THAM_SO_MOI'!$C$25*(E247/'THAM_SO_MOI'!$C$22)^3)</f>
        <v>49.28076628555358</v>
      </c>
      <c r="K247" s="75">
        <f>'THAM_SO_MOI'!$C$31*J247/E247</f>
        <v>386.4668376722145</v>
      </c>
      <c r="L247" s="75">
        <f>K247*'THAM_SO_MOI'!$C$53*'THAM_SO_MOI'!$C$17/'THAM_SO_MOI'!$C$26</f>
        <v>3389.3156786179056</v>
      </c>
      <c r="M247" s="75">
        <f>'THAM_SO_MOI'!$C$15*'THAM_SO_MOI'!$C$16*F247^2</f>
        <v>446.9495019189237</v>
      </c>
      <c r="N247" s="75">
        <f>'THAM_SO_MOI'!$C$12*I247</f>
        <v>1130.112</v>
      </c>
      <c r="O247" s="75">
        <f>M247+N247</f>
        <v>1577.0615019189238</v>
      </c>
      <c r="P247" s="75">
        <f>(MIN(L247,'THAM_SO_MOI'!$C$41)-O247)/('THAM_SO_MOI'!$C$11*H247)</f>
        <v>0.21451872356758778</v>
      </c>
      <c r="Q247" s="75">
        <f>IF(P247&gt;0,1/P247,NA())</f>
        <v>4.661597754123001</v>
      </c>
      <c r="R247" s="75">
        <f>F247-F246</f>
        <v>0.017600427350426884</v>
      </c>
      <c r="S247" s="75">
        <f>0.5*(Q246+Q247)*R247</f>
        <v>0.08204903798043457</v>
      </c>
      <c r="T247" s="75">
        <f>0.5*(F246*Q246+F247*Q247)*R247</f>
        <v>1.0135157124854497</v>
      </c>
      <c r="U247" s="76">
        <f>U246+S247</f>
        <v>20.436945725927288</v>
      </c>
      <c r="V247" s="76">
        <f>V246+T247</f>
        <v>208.62941080318092</v>
      </c>
    </row>
    <row r="248" spans="1:22" ht="19" customHeight="1">
      <c r="A248" s="68" t="s">
        <v>362</v>
      </c>
      <c r="B248" s="74">
        <v>5</v>
      </c>
      <c r="C248" s="68" t="s">
        <v>363</v>
      </c>
      <c r="D248" s="68" t="s">
        <v>364</v>
      </c>
      <c r="E248" s="75">
        <f>60*F248*'THAM_SO_MOI'!$C$53/(2*PI()*'THAM_SO_MOI'!$C$26)</f>
        <v>1219.6534736842104</v>
      </c>
      <c r="F248" s="75">
        <f>'THAM_SO_MOI'!$E$53+('THAM_SO_MOI'!$C$14-'THAM_SO_MOI'!$E$53)*242/'THAM_SO_MOI'!$C$42</f>
        <v>12.378961538461539</v>
      </c>
      <c r="G248" s="75">
        <f>3.6*F248</f>
        <v>44.564261538461544</v>
      </c>
      <c r="H248" s="75">
        <f>'THAM_SO_MOI'!$D$53</f>
        <v>1.1</v>
      </c>
      <c r="I248" s="75">
        <f>IF(F248&gt;'THAM_SO_MOI'!$C$14,'THAM_SO_MOI'!$C$13*(1+F248^2/1500),'THAM_SO_MOI'!$C$13)</f>
        <v>0.015</v>
      </c>
      <c r="J248" s="75">
        <f>'THAM_SO_MOI'!$C$40*('THAM_SO_MOI'!$C$23*(E248/'THAM_SO_MOI'!$C$22)+'THAM_SO_MOI'!$C$24*(E248/'THAM_SO_MOI'!$C$22)^2-'THAM_SO_MOI'!$C$25*(E248/'THAM_SO_MOI'!$C$22)^3)</f>
        <v>49.371296937307925</v>
      </c>
      <c r="K248" s="75">
        <f>'THAM_SO_MOI'!$C$31*J248/E248</f>
        <v>386.62630344501844</v>
      </c>
      <c r="L248" s="75">
        <f>K248*'THAM_SO_MOI'!$C$53*'THAM_SO_MOI'!$C$17/'THAM_SO_MOI'!$C$26</f>
        <v>3390.71419406938</v>
      </c>
      <c r="M248" s="75">
        <f>'THAM_SO_MOI'!$C$15*'THAM_SO_MOI'!$C$16*F248^2</f>
        <v>448.223164654327</v>
      </c>
      <c r="N248" s="75">
        <f>'THAM_SO_MOI'!$C$12*I248</f>
        <v>1130.112</v>
      </c>
      <c r="O248" s="75">
        <f>M248+N248</f>
        <v>1578.335164654327</v>
      </c>
      <c r="P248" s="75">
        <f>(MIN(L248,'THAM_SO_MOI'!$C$41)-O248)/('THAM_SO_MOI'!$C$11*H248)</f>
        <v>0.21453350253492579</v>
      </c>
      <c r="Q248" s="75">
        <f>IF(P248&gt;0,1/P248,NA())</f>
        <v>4.661276621991482</v>
      </c>
      <c r="R248" s="75">
        <f>F248-F247</f>
        <v>0.017600427350426884</v>
      </c>
      <c r="S248" s="75">
        <f>0.5*(Q247+Q248)*R248</f>
        <v>0.08204328657697967</v>
      </c>
      <c r="T248" s="75">
        <f>0.5*(F247*Q247+F248*Q248)*R248</f>
        <v>1.0148886657032348</v>
      </c>
      <c r="U248" s="76">
        <f>U247+S248</f>
        <v>20.518989012504267</v>
      </c>
      <c r="V248" s="76">
        <f>V247+T248</f>
        <v>209.64429946888416</v>
      </c>
    </row>
    <row r="249" spans="1:22" ht="19" customHeight="1">
      <c r="A249" s="68" t="s">
        <v>362</v>
      </c>
      <c r="B249" s="74">
        <v>5</v>
      </c>
      <c r="C249" s="68" t="s">
        <v>363</v>
      </c>
      <c r="D249" s="68" t="s">
        <v>364</v>
      </c>
      <c r="E249" s="75">
        <f>60*F249*'THAM_SO_MOI'!$C$53/(2*PI()*'THAM_SO_MOI'!$C$26)</f>
        <v>1221.3875789473682</v>
      </c>
      <c r="F249" s="75">
        <f>'THAM_SO_MOI'!$E$53+('THAM_SO_MOI'!$C$14-'THAM_SO_MOI'!$E$53)*243/'THAM_SO_MOI'!$C$42</f>
        <v>12.396561965811966</v>
      </c>
      <c r="G249" s="75">
        <f>3.6*F249</f>
        <v>44.62762307692308</v>
      </c>
      <c r="H249" s="75">
        <f>'THAM_SO_MOI'!$D$53</f>
        <v>1.1</v>
      </c>
      <c r="I249" s="75">
        <f>IF(F249&gt;'THAM_SO_MOI'!$C$14,'THAM_SO_MOI'!$C$13*(1+F249^2/1500),'THAM_SO_MOI'!$C$13)</f>
        <v>0.015</v>
      </c>
      <c r="J249" s="75">
        <f>'THAM_SO_MOI'!$C$40*('THAM_SO_MOI'!$C$23*(E249/'THAM_SO_MOI'!$C$22)+'THAM_SO_MOI'!$C$24*(E249/'THAM_SO_MOI'!$C$22)^2-'THAM_SO_MOI'!$C$25*(E249/'THAM_SO_MOI'!$C$22)^3)</f>
        <v>49.46184818759399</v>
      </c>
      <c r="K249" s="75">
        <f>'THAM_SO_MOI'!$C$31*J249/E249</f>
        <v>386.78547748219734</v>
      </c>
      <c r="L249" s="75">
        <f>K249*'THAM_SO_MOI'!$C$53*'THAM_SO_MOI'!$C$17/'THAM_SO_MOI'!$C$26</f>
        <v>3392.1101509982823</v>
      </c>
      <c r="M249" s="75">
        <f>'THAM_SO_MOI'!$C$15*'THAM_SO_MOI'!$C$16*F249^2</f>
        <v>449.49863957373134</v>
      </c>
      <c r="N249" s="75">
        <f>'THAM_SO_MOI'!$C$12*I249</f>
        <v>1130.112</v>
      </c>
      <c r="O249" s="75">
        <f>M249+N249</f>
        <v>1579.6106395737315</v>
      </c>
      <c r="P249" s="75">
        <f>(MIN(L249,'THAM_SO_MOI'!$C$41)-O249)/('THAM_SO_MOI'!$C$11*H249)</f>
        <v>0.21454776413642884</v>
      </c>
      <c r="Q249" s="75">
        <f>IF(P249&gt;0,1/P249,NA())</f>
        <v>4.660966773646309</v>
      </c>
      <c r="R249" s="75">
        <f>F249-F248</f>
        <v>0.017600427350426884</v>
      </c>
      <c r="S249" s="75">
        <f>0.5*(Q248+Q249)*R249</f>
        <v>0.08203773381395989</v>
      </c>
      <c r="T249" s="75">
        <f>0.5*(F248*Q248+F249*Q249)*R249</f>
        <v>1.0162638771767272</v>
      </c>
      <c r="U249" s="76">
        <f>U248+S249</f>
        <v>20.601026746318226</v>
      </c>
      <c r="V249" s="76">
        <f>V248+T249</f>
        <v>210.66056334606088</v>
      </c>
    </row>
    <row r="250" spans="1:22" ht="19" customHeight="1">
      <c r="A250" s="68" t="s">
        <v>362</v>
      </c>
      <c r="B250" s="74">
        <v>5</v>
      </c>
      <c r="C250" s="68" t="s">
        <v>363</v>
      </c>
      <c r="D250" s="68" t="s">
        <v>364</v>
      </c>
      <c r="E250" s="75">
        <f>60*F250*'THAM_SO_MOI'!$C$53/(2*PI()*'THAM_SO_MOI'!$C$26)</f>
        <v>1223.121684210526</v>
      </c>
      <c r="F250" s="75">
        <f>'THAM_SO_MOI'!$E$53+('THAM_SO_MOI'!$C$14-'THAM_SO_MOI'!$E$53)*244/'THAM_SO_MOI'!$C$42</f>
        <v>12.414162393162393</v>
      </c>
      <c r="G250" s="75">
        <f>3.6*F250</f>
        <v>44.690984615384615</v>
      </c>
      <c r="H250" s="75">
        <f>'THAM_SO_MOI'!$D$53</f>
        <v>1.1</v>
      </c>
      <c r="I250" s="75">
        <f>IF(F250&gt;'THAM_SO_MOI'!$C$14,'THAM_SO_MOI'!$C$13*(1+F250^2/1500),'THAM_SO_MOI'!$C$13)</f>
        <v>0.015</v>
      </c>
      <c r="J250" s="75">
        <f>'THAM_SO_MOI'!$C$40*('THAM_SO_MOI'!$C$23*(E250/'THAM_SO_MOI'!$C$22)+'THAM_SO_MOI'!$C$24*(E250/'THAM_SO_MOI'!$C$22)^2-'THAM_SO_MOI'!$C$25*(E250/'THAM_SO_MOI'!$C$22)^3)</f>
        <v>49.552419877508534</v>
      </c>
      <c r="K250" s="75">
        <f>'THAM_SO_MOI'!$C$31*J250/E250</f>
        <v>386.9443597837512</v>
      </c>
      <c r="L250" s="75">
        <f>K250*'THAM_SO_MOI'!$C$53*'THAM_SO_MOI'!$C$17/'THAM_SO_MOI'!$C$26</f>
        <v>3393.5035494046115</v>
      </c>
      <c r="M250" s="75">
        <f>'THAM_SO_MOI'!$C$15*'THAM_SO_MOI'!$C$16*F250^2</f>
        <v>450.77592667713674</v>
      </c>
      <c r="N250" s="75">
        <f>'THAM_SO_MOI'!$C$12*I250</f>
        <v>1130.112</v>
      </c>
      <c r="O250" s="75">
        <f>M250+N250</f>
        <v>1580.8879266771369</v>
      </c>
      <c r="P250" s="75">
        <f>(MIN(L250,'THAM_SO_MOI'!$C$41)-O250)/('THAM_SO_MOI'!$C$11*H250)</f>
        <v>0.2145615083720969</v>
      </c>
      <c r="Q250" s="75">
        <f>IF(P250&gt;0,1/P250,NA())</f>
        <v>4.660668204596044</v>
      </c>
      <c r="R250" s="75">
        <f>F250-F249</f>
        <v>0.017600427350426884</v>
      </c>
      <c r="S250" s="75">
        <f>0.5*(Q249+Q250)*R250</f>
        <v>0.08203237961087632</v>
      </c>
      <c r="T250" s="75">
        <f>0.5*(F249*Q249+F250*Q250)*R250</f>
        <v>1.0176413563957902</v>
      </c>
      <c r="U250" s="76">
        <f>U249+S250</f>
        <v>20.683059125929102</v>
      </c>
      <c r="V250" s="76">
        <f>V249+T250</f>
        <v>211.67820470245667</v>
      </c>
    </row>
    <row r="251" spans="1:22" ht="19" customHeight="1">
      <c r="A251" s="68" t="s">
        <v>362</v>
      </c>
      <c r="B251" s="74">
        <v>5</v>
      </c>
      <c r="C251" s="68" t="s">
        <v>363</v>
      </c>
      <c r="D251" s="68" t="s">
        <v>364</v>
      </c>
      <c r="E251" s="75">
        <f>60*F251*'THAM_SO_MOI'!$C$53/(2*PI()*'THAM_SO_MOI'!$C$26)</f>
        <v>1224.855789473684</v>
      </c>
      <c r="F251" s="75">
        <f>'THAM_SO_MOI'!$E$53+('THAM_SO_MOI'!$C$14-'THAM_SO_MOI'!$E$53)*245/'THAM_SO_MOI'!$C$42</f>
        <v>12.431762820512821</v>
      </c>
      <c r="G251" s="75">
        <f>3.6*F251</f>
        <v>44.75434615384616</v>
      </c>
      <c r="H251" s="75">
        <f>'THAM_SO_MOI'!$D$53</f>
        <v>1.1</v>
      </c>
      <c r="I251" s="75">
        <f>IF(F251&gt;'THAM_SO_MOI'!$C$14,'THAM_SO_MOI'!$C$13*(1+F251^2/1500),'THAM_SO_MOI'!$C$13)</f>
        <v>0.015</v>
      </c>
      <c r="J251" s="75">
        <f>'THAM_SO_MOI'!$C$40*('THAM_SO_MOI'!$C$23*(E251/'THAM_SO_MOI'!$C$22)+'THAM_SO_MOI'!$C$24*(E251/'THAM_SO_MOI'!$C$22)^2-'THAM_SO_MOI'!$C$25*(E251/'THAM_SO_MOI'!$C$22)^3)</f>
        <v>49.64301184814825</v>
      </c>
      <c r="K251" s="75">
        <f>'THAM_SO_MOI'!$C$31*J251/E251</f>
        <v>387.10295034968</v>
      </c>
      <c r="L251" s="75">
        <f>K251*'THAM_SO_MOI'!$C$53*'THAM_SO_MOI'!$C$17/'THAM_SO_MOI'!$C$26</f>
        <v>3394.8943892883667</v>
      </c>
      <c r="M251" s="75">
        <f>'THAM_SO_MOI'!$C$15*'THAM_SO_MOI'!$C$16*F251^2</f>
        <v>452.0550259645434</v>
      </c>
      <c r="N251" s="75">
        <f>'THAM_SO_MOI'!$C$12*I251</f>
        <v>1130.112</v>
      </c>
      <c r="O251" s="75">
        <f>M251+N251</f>
        <v>1582.1670259645434</v>
      </c>
      <c r="P251" s="75">
        <f>(MIN(L251,'THAM_SO_MOI'!$C$41)-O251)/('THAM_SO_MOI'!$C$11*H251)</f>
        <v>0.21457473524192983</v>
      </c>
      <c r="Q251" s="75">
        <f>IF(P251&gt;0,1/P251,NA())</f>
        <v>4.660380910513602</v>
      </c>
      <c r="R251" s="75">
        <f>F251-F250</f>
        <v>0.01760042735042866</v>
      </c>
      <c r="S251" s="75">
        <f>0.5*(Q250+Q251)*R251</f>
        <v>0.08202722389013234</v>
      </c>
      <c r="T251" s="75">
        <f>0.5*(F250*Q250+F251*Q251)*R251</f>
        <v>1.0190211128806763</v>
      </c>
      <c r="U251" s="76">
        <f>U250+S251</f>
        <v>20.765086349819235</v>
      </c>
      <c r="V251" s="76">
        <f>V250+T251</f>
        <v>212.69722581533733</v>
      </c>
    </row>
    <row r="252" spans="1:22" ht="19" customHeight="1">
      <c r="A252" s="68" t="s">
        <v>362</v>
      </c>
      <c r="B252" s="74">
        <v>5</v>
      </c>
      <c r="C252" s="68" t="s">
        <v>363</v>
      </c>
      <c r="D252" s="68" t="s">
        <v>364</v>
      </c>
      <c r="E252" s="75">
        <f>60*F252*'THAM_SO_MOI'!$C$53/(2*PI()*'THAM_SO_MOI'!$C$26)</f>
        <v>1226.5898947368416</v>
      </c>
      <c r="F252" s="75">
        <f>'THAM_SO_MOI'!$E$53+('THAM_SO_MOI'!$C$14-'THAM_SO_MOI'!$E$53)*246/'THAM_SO_MOI'!$C$42</f>
        <v>12.449363247863248</v>
      </c>
      <c r="G252" s="75">
        <f>3.6*F252</f>
        <v>44.81770769230769</v>
      </c>
      <c r="H252" s="75">
        <f>'THAM_SO_MOI'!$D$53</f>
        <v>1.1</v>
      </c>
      <c r="I252" s="75">
        <f>IF(F252&gt;'THAM_SO_MOI'!$C$14,'THAM_SO_MOI'!$C$13*(1+F252^2/1500),'THAM_SO_MOI'!$C$13)</f>
        <v>0.015</v>
      </c>
      <c r="J252" s="75">
        <f>'THAM_SO_MOI'!$C$40*('THAM_SO_MOI'!$C$23*(E252/'THAM_SO_MOI'!$C$22)+'THAM_SO_MOI'!$C$24*(E252/'THAM_SO_MOI'!$C$22)^2-'THAM_SO_MOI'!$C$25*(E252/'THAM_SO_MOI'!$C$22)^3)</f>
        <v>49.733623940609874</v>
      </c>
      <c r="K252" s="75">
        <f>'THAM_SO_MOI'!$C$31*J252/E252</f>
        <v>387.26124917998374</v>
      </c>
      <c r="L252" s="75">
        <f>K252*'THAM_SO_MOI'!$C$53*'THAM_SO_MOI'!$C$17/'THAM_SO_MOI'!$C$26</f>
        <v>3396.2826706495484</v>
      </c>
      <c r="M252" s="75">
        <f>'THAM_SO_MOI'!$C$15*'THAM_SO_MOI'!$C$16*F252^2</f>
        <v>453.3359374359509</v>
      </c>
      <c r="N252" s="75">
        <f>'THAM_SO_MOI'!$C$12*I252</f>
        <v>1130.112</v>
      </c>
      <c r="O252" s="75">
        <f>M252+N252</f>
        <v>1583.447937435951</v>
      </c>
      <c r="P252" s="75">
        <f>(MIN(L252,'THAM_SO_MOI'!$C$41)-O252)/('THAM_SO_MOI'!$C$11*H252)</f>
        <v>0.2145874447459277</v>
      </c>
      <c r="Q252" s="75">
        <f>IF(P252&gt;0,1/P252,NA())</f>
        <v>4.660104887236081</v>
      </c>
      <c r="R252" s="75">
        <f>F252-F251</f>
        <v>0.017600427350426884</v>
      </c>
      <c r="S252" s="75">
        <f>0.5*(Q251+Q252)*R252</f>
        <v>0.08202226657698942</v>
      </c>
      <c r="T252" s="75">
        <f>0.5*(F251*Q251+F252*Q252)*R252</f>
        <v>1.0204031561817306</v>
      </c>
      <c r="U252" s="76">
        <f>U251+S252</f>
        <v>20.847108616396223</v>
      </c>
      <c r="V252" s="76">
        <f>V251+T252</f>
        <v>213.71762897151908</v>
      </c>
    </row>
    <row r="253" spans="1:22" ht="19" customHeight="1">
      <c r="A253" s="68" t="s">
        <v>362</v>
      </c>
      <c r="B253" s="74">
        <v>5</v>
      </c>
      <c r="C253" s="68" t="s">
        <v>363</v>
      </c>
      <c r="D253" s="68" t="s">
        <v>364</v>
      </c>
      <c r="E253" s="75">
        <f>60*F253*'THAM_SO_MOI'!$C$53/(2*PI()*'THAM_SO_MOI'!$C$26)</f>
        <v>1228.324</v>
      </c>
      <c r="F253" s="75">
        <f>'THAM_SO_MOI'!$E$53+('THAM_SO_MOI'!$C$14-'THAM_SO_MOI'!$E$53)*247/'THAM_SO_MOI'!$C$42</f>
        <v>12.466963675213677</v>
      </c>
      <c r="G253" s="75">
        <f>3.6*F253</f>
        <v>44.881069230769235</v>
      </c>
      <c r="H253" s="75">
        <f>'THAM_SO_MOI'!$D$53</f>
        <v>1.1</v>
      </c>
      <c r="I253" s="75">
        <f>IF(F253&gt;'THAM_SO_MOI'!$C$14,'THAM_SO_MOI'!$C$13*(1+F253^2/1500),'THAM_SO_MOI'!$C$13)</f>
        <v>0.015</v>
      </c>
      <c r="J253" s="75">
        <f>'THAM_SO_MOI'!$C$40*('THAM_SO_MOI'!$C$23*(E253/'THAM_SO_MOI'!$C$22)+'THAM_SO_MOI'!$C$24*(E253/'THAM_SO_MOI'!$C$22)^2-'THAM_SO_MOI'!$C$25*(E253/'THAM_SO_MOI'!$C$22)^3)</f>
        <v>49.82425599599016</v>
      </c>
      <c r="K253" s="75">
        <f>'THAM_SO_MOI'!$C$31*J253/E253</f>
        <v>387.41925627466253</v>
      </c>
      <c r="L253" s="75">
        <f>K253*'THAM_SO_MOI'!$C$53*'THAM_SO_MOI'!$C$17/'THAM_SO_MOI'!$C$26</f>
        <v>3397.6683934881585</v>
      </c>
      <c r="M253" s="75">
        <f>'THAM_SO_MOI'!$C$15*'THAM_SO_MOI'!$C$16*F253^2</f>
        <v>454.6186610913596</v>
      </c>
      <c r="N253" s="75">
        <f>'THAM_SO_MOI'!$C$12*I253</f>
        <v>1130.112</v>
      </c>
      <c r="O253" s="75">
        <f>M253+N253</f>
        <v>1584.7306610913597</v>
      </c>
      <c r="P253" s="75">
        <f>(MIN(L253,'THAM_SO_MOI'!$C$41)-O253)/('THAM_SO_MOI'!$C$11*H253)</f>
        <v>0.21459963688409076</v>
      </c>
      <c r="Q253" s="75">
        <f>IF(P253&gt;0,1/P253,NA())</f>
        <v>4.659840130764613</v>
      </c>
      <c r="R253" s="75">
        <f>F253-F252</f>
        <v>0.01760042735042866</v>
      </c>
      <c r="S253" s="75">
        <f>0.5*(Q252+Q253)*R253</f>
        <v>0.08201750759965538</v>
      </c>
      <c r="T253" s="75">
        <f>0.5*(F252*Q252+F253*Q253)*R253</f>
        <v>1.021787495880743</v>
      </c>
      <c r="U253" s="76">
        <f>U252+S253</f>
        <v>20.92912612399588</v>
      </c>
      <c r="V253" s="76">
        <f>V252+T253</f>
        <v>214.73941646739982</v>
      </c>
    </row>
    <row r="254" spans="1:22" ht="19" customHeight="1">
      <c r="A254" s="68" t="s">
        <v>362</v>
      </c>
      <c r="B254" s="74">
        <v>5</v>
      </c>
      <c r="C254" s="68" t="s">
        <v>363</v>
      </c>
      <c r="D254" s="68" t="s">
        <v>364</v>
      </c>
      <c r="E254" s="75">
        <f>60*F254*'THAM_SO_MOI'!$C$53/(2*PI()*'THAM_SO_MOI'!$C$26)</f>
        <v>1230.0581052631578</v>
      </c>
      <c r="F254" s="75">
        <f>'THAM_SO_MOI'!$E$53+('THAM_SO_MOI'!$C$14-'THAM_SO_MOI'!$E$53)*248/'THAM_SO_MOI'!$C$42</f>
        <v>12.484564102564104</v>
      </c>
      <c r="G254" s="75">
        <f>3.6*F254</f>
        <v>44.94443076923078</v>
      </c>
      <c r="H254" s="75">
        <f>'THAM_SO_MOI'!$D$53</f>
        <v>1.1</v>
      </c>
      <c r="I254" s="75">
        <f>IF(F254&gt;'THAM_SO_MOI'!$C$14,'THAM_SO_MOI'!$C$13*(1+F254^2/1500),'THAM_SO_MOI'!$C$13)</f>
        <v>0.015</v>
      </c>
      <c r="J254" s="75">
        <f>'THAM_SO_MOI'!$C$40*('THAM_SO_MOI'!$C$23*(E254/'THAM_SO_MOI'!$C$22)+'THAM_SO_MOI'!$C$24*(E254/'THAM_SO_MOI'!$C$22)^2-'THAM_SO_MOI'!$C$25*(E254/'THAM_SO_MOI'!$C$22)^3)</f>
        <v>49.914907855385756</v>
      </c>
      <c r="K254" s="75">
        <f>'THAM_SO_MOI'!$C$31*J254/E254</f>
        <v>387.5769716337163</v>
      </c>
      <c r="L254" s="75">
        <f>K254*'THAM_SO_MOI'!$C$53*'THAM_SO_MOI'!$C$17/'THAM_SO_MOI'!$C$26</f>
        <v>3399.051557804196</v>
      </c>
      <c r="M254" s="75">
        <f>'THAM_SO_MOI'!$C$15*'THAM_SO_MOI'!$C$16*F254^2</f>
        <v>455.90319693076935</v>
      </c>
      <c r="N254" s="75">
        <f>'THAM_SO_MOI'!$C$12*I254</f>
        <v>1130.112</v>
      </c>
      <c r="O254" s="75">
        <f>M254+N254</f>
        <v>1586.0151969307694</v>
      </c>
      <c r="P254" s="75">
        <f>(MIN(L254,'THAM_SO_MOI'!$C$41)-O254)/('THAM_SO_MOI'!$C$11*H254)</f>
        <v>0.21461131165641886</v>
      </c>
      <c r="Q254" s="75">
        <f>IF(P254&gt;0,1/P254,NA())</f>
        <v>4.659586637264237</v>
      </c>
      <c r="R254" s="75">
        <f>F254-F253</f>
        <v>0.017600427350426884</v>
      </c>
      <c r="S254" s="75">
        <f>0.5*(Q253+Q254)*R254</f>
        <v>0.08201294688915771</v>
      </c>
      <c r="T254" s="75">
        <f>0.5*(F253*Q253+F254*Q254)*R254</f>
        <v>1.023174141589626</v>
      </c>
      <c r="U254" s="76">
        <f>U253+S254</f>
        <v>21.011139070885037</v>
      </c>
      <c r="V254" s="76">
        <f>V253+T254</f>
        <v>215.76259060898946</v>
      </c>
    </row>
    <row r="255" spans="1:22" ht="19" customHeight="1">
      <c r="A255" s="68" t="s">
        <v>362</v>
      </c>
      <c r="B255" s="74">
        <v>5</v>
      </c>
      <c r="C255" s="68" t="s">
        <v>363</v>
      </c>
      <c r="D255" s="68" t="s">
        <v>364</v>
      </c>
      <c r="E255" s="75">
        <f>60*F255*'THAM_SO_MOI'!$C$53/(2*PI()*'THAM_SO_MOI'!$C$26)</f>
        <v>1231.7922105263156</v>
      </c>
      <c r="F255" s="75">
        <f>'THAM_SO_MOI'!$E$53+('THAM_SO_MOI'!$C$14-'THAM_SO_MOI'!$E$53)*249/'THAM_SO_MOI'!$C$42</f>
        <v>12.50216452991453</v>
      </c>
      <c r="G255" s="75">
        <f>3.6*F255</f>
        <v>45.00779230769231</v>
      </c>
      <c r="H255" s="75">
        <f>'THAM_SO_MOI'!$D$53</f>
        <v>1.1</v>
      </c>
      <c r="I255" s="75">
        <f>IF(F255&gt;'THAM_SO_MOI'!$C$14,'THAM_SO_MOI'!$C$13*(1+F255^2/1500),'THAM_SO_MOI'!$C$13)</f>
        <v>0.015</v>
      </c>
      <c r="J255" s="75">
        <f>'THAM_SO_MOI'!$C$40*('THAM_SO_MOI'!$C$23*(E255/'THAM_SO_MOI'!$C$22)+'THAM_SO_MOI'!$C$24*(E255/'THAM_SO_MOI'!$C$22)^2-'THAM_SO_MOI'!$C$25*(E255/'THAM_SO_MOI'!$C$22)^3)</f>
        <v>50.0055793598934</v>
      </c>
      <c r="K255" s="75">
        <f>'THAM_SO_MOI'!$C$31*J255/E255</f>
        <v>387.73439525714485</v>
      </c>
      <c r="L255" s="75">
        <f>K255*'THAM_SO_MOI'!$C$53*'THAM_SO_MOI'!$C$17/'THAM_SO_MOI'!$C$26</f>
        <v>3400.4321635976576</v>
      </c>
      <c r="M255" s="75">
        <f>'THAM_SO_MOI'!$C$15*'THAM_SO_MOI'!$C$16*F255^2</f>
        <v>457.18954495418006</v>
      </c>
      <c r="N255" s="75">
        <f>'THAM_SO_MOI'!$C$12*I255</f>
        <v>1130.112</v>
      </c>
      <c r="O255" s="75">
        <f>M255+N255</f>
        <v>1587.3015449541801</v>
      </c>
      <c r="P255" s="75">
        <f>(MIN(L255,'THAM_SO_MOI'!$C$41)-O255)/('THAM_SO_MOI'!$C$11*H255)</f>
        <v>0.21462246906291166</v>
      </c>
      <c r="Q255" s="75">
        <f>IF(P255&gt;0,1/P255,NA())</f>
        <v>4.6593444030637485</v>
      </c>
      <c r="R255" s="75">
        <f>F255-F254</f>
        <v>0.017600427350426884</v>
      </c>
      <c r="S255" s="75">
        <f>0.5*(Q254+Q255)*R255</f>
        <v>0.08200858437946537</v>
      </c>
      <c r="T255" s="75">
        <f>0.5*(F254*Q254+F255*Q255)*R255</f>
        <v>1.0245631029521862</v>
      </c>
      <c r="U255" s="76">
        <f>U254+S255</f>
        <v>21.093147655264502</v>
      </c>
      <c r="V255" s="76">
        <f>V254+T255</f>
        <v>216.78715371194164</v>
      </c>
    </row>
    <row r="256" spans="1:22" ht="19" customHeight="1">
      <c r="A256" s="68" t="s">
        <v>362</v>
      </c>
      <c r="B256" s="74">
        <v>5</v>
      </c>
      <c r="C256" s="68" t="s">
        <v>363</v>
      </c>
      <c r="D256" s="68" t="s">
        <v>364</v>
      </c>
      <c r="E256" s="75">
        <f>60*F256*'THAM_SO_MOI'!$C$53/(2*PI()*'THAM_SO_MOI'!$C$26)</f>
        <v>1233.5263157894735</v>
      </c>
      <c r="F256" s="75">
        <f>'THAM_SO_MOI'!$E$53+('THAM_SO_MOI'!$C$14-'THAM_SO_MOI'!$E$53)*250/'THAM_SO_MOI'!$C$42</f>
        <v>12.519764957264957</v>
      </c>
      <c r="G256" s="75">
        <f>3.6*F256</f>
        <v>45.07115384615385</v>
      </c>
      <c r="H256" s="75">
        <f>'THAM_SO_MOI'!$D$53</f>
        <v>1.1</v>
      </c>
      <c r="I256" s="75">
        <f>IF(F256&gt;'THAM_SO_MOI'!$C$14,'THAM_SO_MOI'!$C$13*(1+F256^2/1500),'THAM_SO_MOI'!$C$13)</f>
        <v>0.015</v>
      </c>
      <c r="J256" s="75">
        <f>'THAM_SO_MOI'!$C$40*('THAM_SO_MOI'!$C$23*(E256/'THAM_SO_MOI'!$C$22)+'THAM_SO_MOI'!$C$24*(E256/'THAM_SO_MOI'!$C$22)^2-'THAM_SO_MOI'!$C$25*(E256/'THAM_SO_MOI'!$C$22)^3)</f>
        <v>50.09627035060988</v>
      </c>
      <c r="K256" s="75">
        <f>'THAM_SO_MOI'!$C$31*J256/E256</f>
        <v>387.89152714494855</v>
      </c>
      <c r="L256" s="75">
        <f>K256*'THAM_SO_MOI'!$C$53*'THAM_SO_MOI'!$C$17/'THAM_SO_MOI'!$C$26</f>
        <v>3401.8102108685484</v>
      </c>
      <c r="M256" s="75">
        <f>'THAM_SO_MOI'!$C$15*'THAM_SO_MOI'!$C$16*F256^2</f>
        <v>458.4777051615919</v>
      </c>
      <c r="N256" s="75">
        <f>'THAM_SO_MOI'!$C$12*I256</f>
        <v>1130.112</v>
      </c>
      <c r="O256" s="75">
        <f>M256+N256</f>
        <v>1588.589705161592</v>
      </c>
      <c r="P256" s="75">
        <f>(MIN(L256,'THAM_SO_MOI'!$C$41)-O256)/('THAM_SO_MOI'!$C$11*H256)</f>
        <v>0.21463310910356964</v>
      </c>
      <c r="Q256" s="75">
        <f>IF(P256&gt;0,1/P256,NA())</f>
        <v>4.659113424655547</v>
      </c>
      <c r="R256" s="75">
        <f>F256-F255</f>
        <v>0.017600427350426884</v>
      </c>
      <c r="S256" s="75">
        <f>0.5*(Q255+Q256)*R256</f>
        <v>0.08200442000739509</v>
      </c>
      <c r="T256" s="75">
        <f>0.5*(F255*Q255+F256*Q256)*R256</f>
        <v>1.0259543896432088</v>
      </c>
      <c r="U256" s="76">
        <f>U255+S256</f>
        <v>21.175152075271896</v>
      </c>
      <c r="V256" s="76">
        <f>V255+T256</f>
        <v>217.81310810158485</v>
      </c>
    </row>
    <row r="257" spans="1:22" ht="19" customHeight="1">
      <c r="A257" s="68" t="s">
        <v>362</v>
      </c>
      <c r="B257" s="74">
        <v>5</v>
      </c>
      <c r="C257" s="68" t="s">
        <v>363</v>
      </c>
      <c r="D257" s="68" t="s">
        <v>364</v>
      </c>
      <c r="E257" s="75">
        <f>60*F257*'THAM_SO_MOI'!$C$53/(2*PI()*'THAM_SO_MOI'!$C$26)</f>
        <v>1235.2604210526313</v>
      </c>
      <c r="F257" s="75">
        <f>'THAM_SO_MOI'!$E$53+('THAM_SO_MOI'!$C$14-'THAM_SO_MOI'!$E$53)*251/'THAM_SO_MOI'!$C$42</f>
        <v>12.537365384615384</v>
      </c>
      <c r="G257" s="75">
        <f>3.6*F257</f>
        <v>45.13451538461538</v>
      </c>
      <c r="H257" s="75">
        <f>'THAM_SO_MOI'!$D$53</f>
        <v>1.1</v>
      </c>
      <c r="I257" s="75">
        <f>IF(F257&gt;'THAM_SO_MOI'!$C$14,'THAM_SO_MOI'!$C$13*(1+F257^2/1500),'THAM_SO_MOI'!$C$13)</f>
        <v>0.015</v>
      </c>
      <c r="J257" s="75">
        <f>'THAM_SO_MOI'!$C$40*('THAM_SO_MOI'!$C$23*(E257/'THAM_SO_MOI'!$C$22)+'THAM_SO_MOI'!$C$24*(E257/'THAM_SO_MOI'!$C$22)^2-'THAM_SO_MOI'!$C$25*(E257/'THAM_SO_MOI'!$C$22)^3)</f>
        <v>50.18698066863183</v>
      </c>
      <c r="K257" s="75">
        <f>'THAM_SO_MOI'!$C$31*J257/E257</f>
        <v>388.04836729712713</v>
      </c>
      <c r="L257" s="75">
        <f>K257*'THAM_SO_MOI'!$C$53*'THAM_SO_MOI'!$C$17/'THAM_SO_MOI'!$C$26</f>
        <v>3403.185699616865</v>
      </c>
      <c r="M257" s="75">
        <f>'THAM_SO_MOI'!$C$15*'THAM_SO_MOI'!$C$16*F257^2</f>
        <v>459.7676775530048</v>
      </c>
      <c r="N257" s="75">
        <f>'THAM_SO_MOI'!$C$12*I257</f>
        <v>1130.112</v>
      </c>
      <c r="O257" s="75">
        <f>M257+N257</f>
        <v>1589.879677553005</v>
      </c>
      <c r="P257" s="75">
        <f>(MIN(L257,'THAM_SO_MOI'!$C$41)-O257)/('THAM_SO_MOI'!$C$11*H257)</f>
        <v>0.2146432317783925</v>
      </c>
      <c r="Q257" s="75">
        <f>IF(P257&gt;0,1/P257,NA())</f>
        <v>4.658893698695544</v>
      </c>
      <c r="R257" s="75">
        <f>F257-F256</f>
        <v>0.017600427350426884</v>
      </c>
      <c r="S257" s="75">
        <f>0.5*(Q256+Q257)*R257</f>
        <v>0.08200045371265054</v>
      </c>
      <c r="T257" s="75">
        <f>0.5*(F256*Q256+F257*Q257)*R257</f>
        <v>1.0273480113692004</v>
      </c>
      <c r="U257" s="76">
        <f>U256+S257</f>
        <v>21.257152528984548</v>
      </c>
      <c r="V257" s="76">
        <f>V256+T257</f>
        <v>218.84045611295406</v>
      </c>
    </row>
    <row r="258" spans="1:22" ht="19" customHeight="1">
      <c r="A258" s="68" t="s">
        <v>362</v>
      </c>
      <c r="B258" s="74">
        <v>5</v>
      </c>
      <c r="C258" s="68" t="s">
        <v>363</v>
      </c>
      <c r="D258" s="68" t="s">
        <v>364</v>
      </c>
      <c r="E258" s="75">
        <f>60*F258*'THAM_SO_MOI'!$C$53/(2*PI()*'THAM_SO_MOI'!$C$26)</f>
        <v>1236.9945263157892</v>
      </c>
      <c r="F258" s="75">
        <f>'THAM_SO_MOI'!$E$53+('THAM_SO_MOI'!$C$14-'THAM_SO_MOI'!$E$53)*252/'THAM_SO_MOI'!$C$42</f>
        <v>12.554965811965813</v>
      </c>
      <c r="G258" s="75">
        <f>3.6*F258</f>
        <v>45.197876923076926</v>
      </c>
      <c r="H258" s="75">
        <f>'THAM_SO_MOI'!$D$53</f>
        <v>1.1</v>
      </c>
      <c r="I258" s="75">
        <f>IF(F258&gt;'THAM_SO_MOI'!$C$14,'THAM_SO_MOI'!$C$13*(1+F258^2/1500),'THAM_SO_MOI'!$C$13)</f>
        <v>0.015</v>
      </c>
      <c r="J258" s="75">
        <f>'THAM_SO_MOI'!$C$40*('THAM_SO_MOI'!$C$23*(E258/'THAM_SO_MOI'!$C$22)+'THAM_SO_MOI'!$C$24*(E258/'THAM_SO_MOI'!$C$22)^2-'THAM_SO_MOI'!$C$25*(E258/'THAM_SO_MOI'!$C$22)^3)</f>
        <v>50.27771015505604</v>
      </c>
      <c r="K258" s="75">
        <f>'THAM_SO_MOI'!$C$31*J258/E258</f>
        <v>388.2049157136807</v>
      </c>
      <c r="L258" s="75">
        <f>K258*'THAM_SO_MOI'!$C$53*'THAM_SO_MOI'!$C$17/'THAM_SO_MOI'!$C$26</f>
        <v>3404.5586298426088</v>
      </c>
      <c r="M258" s="75">
        <f>'THAM_SO_MOI'!$C$15*'THAM_SO_MOI'!$C$16*F258^2</f>
        <v>461.05946212841894</v>
      </c>
      <c r="N258" s="75">
        <f>'THAM_SO_MOI'!$C$12*I258</f>
        <v>1130.112</v>
      </c>
      <c r="O258" s="75">
        <f>M258+N258</f>
        <v>1591.171462128419</v>
      </c>
      <c r="P258" s="75">
        <f>(MIN(L258,'THAM_SO_MOI'!$C$41)-O258)/('THAM_SO_MOI'!$C$11*H258)</f>
        <v>0.2146528370873804</v>
      </c>
      <c r="Q258" s="75">
        <f>IF(P258&gt;0,1/P258,NA())</f>
        <v>4.658685222003016</v>
      </c>
      <c r="R258" s="75">
        <f>F258-F257</f>
        <v>0.01760042735042866</v>
      </c>
      <c r="S258" s="75">
        <f>0.5*(Q257+Q258)*R258</f>
        <v>0.08199668543782025</v>
      </c>
      <c r="T258" s="75">
        <f>0.5*(F257*Q257+F258*Q258)*R258</f>
        <v>1.028743977868617</v>
      </c>
      <c r="U258" s="76">
        <f>U257+S258</f>
        <v>21.339149214422367</v>
      </c>
      <c r="V258" s="76">
        <f>V257+T258</f>
        <v>219.8692000908227</v>
      </c>
    </row>
    <row r="259" spans="1:22" ht="19" customHeight="1">
      <c r="A259" s="68" t="s">
        <v>362</v>
      </c>
      <c r="B259" s="74">
        <v>5</v>
      </c>
      <c r="C259" s="68" t="s">
        <v>363</v>
      </c>
      <c r="D259" s="68" t="s">
        <v>364</v>
      </c>
      <c r="E259" s="75">
        <f>60*F259*'THAM_SO_MOI'!$C$53/(2*PI()*'THAM_SO_MOI'!$C$26)</f>
        <v>1238.7286315789472</v>
      </c>
      <c r="F259" s="75">
        <f>'THAM_SO_MOI'!$E$53+('THAM_SO_MOI'!$C$14-'THAM_SO_MOI'!$E$53)*253/'THAM_SO_MOI'!$C$42</f>
        <v>12.57256623931624</v>
      </c>
      <c r="G259" s="75">
        <f>3.6*F259</f>
        <v>45.26123846153846</v>
      </c>
      <c r="H259" s="75">
        <f>'THAM_SO_MOI'!$D$53</f>
        <v>1.1</v>
      </c>
      <c r="I259" s="75">
        <f>IF(F259&gt;'THAM_SO_MOI'!$C$14,'THAM_SO_MOI'!$C$13*(1+F259^2/1500),'THAM_SO_MOI'!$C$13)</f>
        <v>0.015</v>
      </c>
      <c r="J259" s="75">
        <f>'THAM_SO_MOI'!$C$40*('THAM_SO_MOI'!$C$23*(E259/'THAM_SO_MOI'!$C$22)+'THAM_SO_MOI'!$C$24*(E259/'THAM_SO_MOI'!$C$22)^2-'THAM_SO_MOI'!$C$25*(E259/'THAM_SO_MOI'!$C$22)^3)</f>
        <v>50.3684586509792</v>
      </c>
      <c r="K259" s="75">
        <f>'THAM_SO_MOI'!$C$31*J259/E259</f>
        <v>388.36117239460924</v>
      </c>
      <c r="L259" s="75">
        <f>K259*'THAM_SO_MOI'!$C$53*'THAM_SO_MOI'!$C$17/'THAM_SO_MOI'!$C$26</f>
        <v>3405.9290015457796</v>
      </c>
      <c r="M259" s="75">
        <f>'THAM_SO_MOI'!$C$15*'THAM_SO_MOI'!$C$16*F259^2</f>
        <v>462.3530588878339</v>
      </c>
      <c r="N259" s="75">
        <f>'THAM_SO_MOI'!$C$12*I259</f>
        <v>1130.112</v>
      </c>
      <c r="O259" s="75">
        <f>M259+N259</f>
        <v>1592.465058887834</v>
      </c>
      <c r="P259" s="75">
        <f>(MIN(L259,'THAM_SO_MOI'!$C$41)-O259)/('THAM_SO_MOI'!$C$11*H259)</f>
        <v>0.21466192503053333</v>
      </c>
      <c r="Q259" s="75">
        <f>IF(P259&gt;0,1/P259,NA())</f>
        <v>4.6584879915605</v>
      </c>
      <c r="R259" s="75">
        <f>F259-F258</f>
        <v>0.017600427350426884</v>
      </c>
      <c r="S259" s="75">
        <f>0.5*(Q258+Q259)*R259</f>
        <v>0.08199311512833404</v>
      </c>
      <c r="T259" s="75">
        <f>0.5*(F258*Q258+F259*Q259)*R259</f>
        <v>1.0301422989115692</v>
      </c>
      <c r="U259" s="76">
        <f>U258+S259</f>
        <v>21.4211423295507</v>
      </c>
      <c r="V259" s="76">
        <f>V258+T259</f>
        <v>220.89934238973424</v>
      </c>
    </row>
    <row r="260" spans="1:22" ht="19" customHeight="1">
      <c r="A260" s="68" t="s">
        <v>362</v>
      </c>
      <c r="B260" s="74">
        <v>5</v>
      </c>
      <c r="C260" s="68" t="s">
        <v>363</v>
      </c>
      <c r="D260" s="68" t="s">
        <v>364</v>
      </c>
      <c r="E260" s="75">
        <f>60*F260*'THAM_SO_MOI'!$C$53/(2*PI()*'THAM_SO_MOI'!$C$26)</f>
        <v>1240.4627368421052</v>
      </c>
      <c r="F260" s="75">
        <f>'THAM_SO_MOI'!$E$53+('THAM_SO_MOI'!$C$14-'THAM_SO_MOI'!$E$53)*254/'THAM_SO_MOI'!$C$42</f>
        <v>12.590166666666669</v>
      </c>
      <c r="G260" s="75">
        <f>3.6*F260</f>
        <v>45.32460000000001</v>
      </c>
      <c r="H260" s="75">
        <f>'THAM_SO_MOI'!$D$53</f>
        <v>1.1</v>
      </c>
      <c r="I260" s="75">
        <f>IF(F260&gt;'THAM_SO_MOI'!$C$14,'THAM_SO_MOI'!$C$13*(1+F260^2/1500),'THAM_SO_MOI'!$C$13)</f>
        <v>0.015</v>
      </c>
      <c r="J260" s="75">
        <f>'THAM_SO_MOI'!$C$40*('THAM_SO_MOI'!$C$23*(E260/'THAM_SO_MOI'!$C$22)+'THAM_SO_MOI'!$C$24*(E260/'THAM_SO_MOI'!$C$22)^2-'THAM_SO_MOI'!$C$25*(E260/'THAM_SO_MOI'!$C$22)^3)</f>
        <v>50.45922599749804</v>
      </c>
      <c r="K260" s="75">
        <f>'THAM_SO_MOI'!$C$31*J260/E260</f>
        <v>388.5171373399128</v>
      </c>
      <c r="L260" s="75">
        <f>K260*'THAM_SO_MOI'!$C$53*'THAM_SO_MOI'!$C$17/'THAM_SO_MOI'!$C$26</f>
        <v>3407.2968147263773</v>
      </c>
      <c r="M260" s="75">
        <f>'THAM_SO_MOI'!$C$15*'THAM_SO_MOI'!$C$16*F260^2</f>
        <v>463.64846783125023</v>
      </c>
      <c r="N260" s="75">
        <f>'THAM_SO_MOI'!$C$12*I260</f>
        <v>1130.112</v>
      </c>
      <c r="O260" s="75">
        <f>M260+N260</f>
        <v>1593.7604678312503</v>
      </c>
      <c r="P260" s="75">
        <f>(MIN(L260,'THAM_SO_MOI'!$C$41)-O260)/('THAM_SO_MOI'!$C$11*H260)</f>
        <v>0.21467049560785118</v>
      </c>
      <c r="Q260" s="75">
        <f>IF(P260&gt;0,1/P260,NA())</f>
        <v>4.658302004513688</v>
      </c>
      <c r="R260" s="75">
        <f>F260-F259</f>
        <v>0.01760042735042866</v>
      </c>
      <c r="S260" s="75">
        <f>0.5*(Q259+Q260)*R260</f>
        <v>0.08198974273255213</v>
      </c>
      <c r="T260" s="75">
        <f>0.5*(F259*Q259+F260*Q260)*R260</f>
        <v>1.0315429843011952</v>
      </c>
      <c r="U260" s="76">
        <f>U259+S260</f>
        <v>21.503132072283254</v>
      </c>
      <c r="V260" s="76">
        <f>V259+T260</f>
        <v>221.93088537403543</v>
      </c>
    </row>
    <row r="261" spans="1:22" ht="19" customHeight="1">
      <c r="A261" s="68" t="s">
        <v>362</v>
      </c>
      <c r="B261" s="74">
        <v>5</v>
      </c>
      <c r="C261" s="68" t="s">
        <v>363</v>
      </c>
      <c r="D261" s="68" t="s">
        <v>364</v>
      </c>
      <c r="E261" s="75">
        <f>60*F261*'THAM_SO_MOI'!$C$53/(2*PI()*'THAM_SO_MOI'!$C$26)</f>
        <v>1242.196842105263</v>
      </c>
      <c r="F261" s="75">
        <f>'THAM_SO_MOI'!$E$53+('THAM_SO_MOI'!$C$14-'THAM_SO_MOI'!$E$53)*255/'THAM_SO_MOI'!$C$42</f>
        <v>12.607767094017095</v>
      </c>
      <c r="G261" s="75">
        <f>3.6*F261</f>
        <v>45.387961538461546</v>
      </c>
      <c r="H261" s="75">
        <f>'THAM_SO_MOI'!$D$53</f>
        <v>1.1</v>
      </c>
      <c r="I261" s="75">
        <f>IF(F261&gt;'THAM_SO_MOI'!$C$14,'THAM_SO_MOI'!$C$13*(1+F261^2/1500),'THAM_SO_MOI'!$C$13)</f>
        <v>0.015</v>
      </c>
      <c r="J261" s="75">
        <f>'THAM_SO_MOI'!$C$40*('THAM_SO_MOI'!$C$23*(E261/'THAM_SO_MOI'!$C$22)+'THAM_SO_MOI'!$C$24*(E261/'THAM_SO_MOI'!$C$22)^2-'THAM_SO_MOI'!$C$25*(E261/'THAM_SO_MOI'!$C$22)^3)</f>
        <v>50.55001203570926</v>
      </c>
      <c r="K261" s="75">
        <f>'THAM_SO_MOI'!$C$31*J261/E261</f>
        <v>388.6728105495912</v>
      </c>
      <c r="L261" s="75">
        <f>K261*'THAM_SO_MOI'!$C$53*'THAM_SO_MOI'!$C$17/'THAM_SO_MOI'!$C$26</f>
        <v>3408.6620693844015</v>
      </c>
      <c r="M261" s="75">
        <f>'THAM_SO_MOI'!$C$15*'THAM_SO_MOI'!$C$16*F261^2</f>
        <v>464.94568895866735</v>
      </c>
      <c r="N261" s="75">
        <f>'THAM_SO_MOI'!$C$12*I261</f>
        <v>1130.112</v>
      </c>
      <c r="O261" s="75">
        <f>M261+N261</f>
        <v>1595.0576889586673</v>
      </c>
      <c r="P261" s="75">
        <f>(MIN(L261,'THAM_SO_MOI'!$C$41)-O261)/('THAM_SO_MOI'!$C$11*H261)</f>
        <v>0.21467854881933407</v>
      </c>
      <c r="Q261" s="75">
        <f>IF(P261&gt;0,1/P261,NA())</f>
        <v>4.658127258171309</v>
      </c>
      <c r="R261" s="75">
        <f>F261-F260</f>
        <v>0.017600427350426884</v>
      </c>
      <c r="S261" s="75">
        <f>0.5*(Q260+Q261)*R261</f>
        <v>0.08198656820163919</v>
      </c>
      <c r="T261" s="75">
        <f>0.5*(F260*Q260+F261*Q261)*R261</f>
        <v>1.032946043872329</v>
      </c>
      <c r="U261" s="76">
        <f>U260+S261</f>
        <v>21.585118640484893</v>
      </c>
      <c r="V261" s="76">
        <f>V260+T261</f>
        <v>222.96383141790776</v>
      </c>
    </row>
    <row r="262" spans="1:22" ht="19" customHeight="1">
      <c r="A262" s="68" t="s">
        <v>362</v>
      </c>
      <c r="B262" s="74">
        <v>5</v>
      </c>
      <c r="C262" s="68" t="s">
        <v>363</v>
      </c>
      <c r="D262" s="68" t="s">
        <v>364</v>
      </c>
      <c r="E262" s="75">
        <f>60*F262*'THAM_SO_MOI'!$C$53/(2*PI()*'THAM_SO_MOI'!$C$26)</f>
        <v>1243.9309473684207</v>
      </c>
      <c r="F262" s="75">
        <f>'THAM_SO_MOI'!$E$53+('THAM_SO_MOI'!$C$14-'THAM_SO_MOI'!$E$53)*256/'THAM_SO_MOI'!$C$42</f>
        <v>12.625367521367522</v>
      </c>
      <c r="G262" s="75">
        <f>3.6*F262</f>
        <v>45.45132307692308</v>
      </c>
      <c r="H262" s="75">
        <f>'THAM_SO_MOI'!$D$53</f>
        <v>1.1</v>
      </c>
      <c r="I262" s="75">
        <f>IF(F262&gt;'THAM_SO_MOI'!$C$14,'THAM_SO_MOI'!$C$13*(1+F262^2/1500),'THAM_SO_MOI'!$C$13)</f>
        <v>0.015</v>
      </c>
      <c r="J262" s="75">
        <f>'THAM_SO_MOI'!$C$40*('THAM_SO_MOI'!$C$23*(E262/'THAM_SO_MOI'!$C$22)+'THAM_SO_MOI'!$C$24*(E262/'THAM_SO_MOI'!$C$22)^2-'THAM_SO_MOI'!$C$25*(E262/'THAM_SO_MOI'!$C$22)^3)</f>
        <v>50.640816606709585</v>
      </c>
      <c r="K262" s="75">
        <f>'THAM_SO_MOI'!$C$31*J262/E262</f>
        <v>388.8281920236446</v>
      </c>
      <c r="L262" s="75">
        <f>K262*'THAM_SO_MOI'!$C$53*'THAM_SO_MOI'!$C$17/'THAM_SO_MOI'!$C$26</f>
        <v>3410.024765519853</v>
      </c>
      <c r="M262" s="75">
        <f>'THAM_SO_MOI'!$C$15*'THAM_SO_MOI'!$C$16*F262^2</f>
        <v>466.2447222700856</v>
      </c>
      <c r="N262" s="75">
        <f>'THAM_SO_MOI'!$C$12*I262</f>
        <v>1130.112</v>
      </c>
      <c r="O262" s="75">
        <f>M262+N262</f>
        <v>1596.3567222700858</v>
      </c>
      <c r="P262" s="75">
        <f>(MIN(L262,'THAM_SO_MOI'!$C$41)-O262)/('THAM_SO_MOI'!$C$11*H262)</f>
        <v>0.21468608466498193</v>
      </c>
      <c r="Q262" s="75">
        <f>IF(P262&gt;0,1/P262,NA())</f>
        <v>4.657963750005046</v>
      </c>
      <c r="R262" s="75">
        <f>F262-F261</f>
        <v>0.017600427350426884</v>
      </c>
      <c r="S262" s="75">
        <f>0.5*(Q261+Q262)*R262</f>
        <v>0.08198359148968654</v>
      </c>
      <c r="T262" s="75">
        <f>0.5*(F261*Q261+F262*Q262)*R262</f>
        <v>1.0343514874932933</v>
      </c>
      <c r="U262" s="76">
        <f>U261+S262</f>
        <v>21.667102231974578</v>
      </c>
      <c r="V262" s="76">
        <f>V261+T262</f>
        <v>223.99818290540105</v>
      </c>
    </row>
    <row r="263" spans="1:22" ht="19" customHeight="1">
      <c r="A263" s="68" t="s">
        <v>362</v>
      </c>
      <c r="B263" s="74">
        <v>5</v>
      </c>
      <c r="C263" s="68" t="s">
        <v>363</v>
      </c>
      <c r="D263" s="68" t="s">
        <v>364</v>
      </c>
      <c r="E263" s="75">
        <f>60*F263*'THAM_SO_MOI'!$C$53/(2*PI()*'THAM_SO_MOI'!$C$26)</f>
        <v>1245.6650526315786</v>
      </c>
      <c r="F263" s="75">
        <f>'THAM_SO_MOI'!$E$53+('THAM_SO_MOI'!$C$14-'THAM_SO_MOI'!$E$53)*257/'THAM_SO_MOI'!$C$42</f>
        <v>12.64296794871795</v>
      </c>
      <c r="G263" s="75">
        <f>3.6*F263</f>
        <v>45.51468461538462</v>
      </c>
      <c r="H263" s="75">
        <f>'THAM_SO_MOI'!$D$53</f>
        <v>1.1</v>
      </c>
      <c r="I263" s="75">
        <f>IF(F263&gt;'THAM_SO_MOI'!$C$14,'THAM_SO_MOI'!$C$13*(1+F263^2/1500),'THAM_SO_MOI'!$C$13)</f>
        <v>0.015</v>
      </c>
      <c r="J263" s="75">
        <f>'THAM_SO_MOI'!$C$40*('THAM_SO_MOI'!$C$23*(E263/'THAM_SO_MOI'!$C$22)+'THAM_SO_MOI'!$C$24*(E263/'THAM_SO_MOI'!$C$22)^2-'THAM_SO_MOI'!$C$25*(E263/'THAM_SO_MOI'!$C$22)^3)</f>
        <v>50.73163955159578</v>
      </c>
      <c r="K263" s="75">
        <f>'THAM_SO_MOI'!$C$31*J263/E263</f>
        <v>388.983281762073</v>
      </c>
      <c r="L263" s="75">
        <f>K263*'THAM_SO_MOI'!$C$53*'THAM_SO_MOI'!$C$17/'THAM_SO_MOI'!$C$26</f>
        <v>3411.3849031327313</v>
      </c>
      <c r="M263" s="75">
        <f>'THAM_SO_MOI'!$C$15*'THAM_SO_MOI'!$C$16*F263^2</f>
        <v>467.54556776550487</v>
      </c>
      <c r="N263" s="75">
        <f>'THAM_SO_MOI'!$C$12*I263</f>
        <v>1130.112</v>
      </c>
      <c r="O263" s="75">
        <f>M263+N263</f>
        <v>1597.657567765505</v>
      </c>
      <c r="P263" s="75">
        <f>(MIN(L263,'THAM_SO_MOI'!$C$41)-O263)/('THAM_SO_MOI'!$C$11*H263)</f>
        <v>0.21469310314479478</v>
      </c>
      <c r="Q263" s="75">
        <f>IF(P263&gt;0,1/P263,NA())</f>
        <v>4.657811477649439</v>
      </c>
      <c r="R263" s="75">
        <f>F263-F262</f>
        <v>0.017600427350426884</v>
      </c>
      <c r="S263" s="75">
        <f>0.5*(Q262+Q263)*R263</f>
        <v>0.08198081255361961</v>
      </c>
      <c r="T263" s="75">
        <f>0.5*(F262*Q262+F263*Q263)*R263</f>
        <v>1.0357593250649835</v>
      </c>
      <c r="U263" s="76">
        <f>U262+S263</f>
        <v>21.7490830445282</v>
      </c>
      <c r="V263" s="76">
        <f>V262+T263</f>
        <v>225.03394223046604</v>
      </c>
    </row>
    <row r="264" spans="1:22" ht="19" customHeight="1">
      <c r="A264" s="68" t="s">
        <v>362</v>
      </c>
      <c r="B264" s="74">
        <v>5</v>
      </c>
      <c r="C264" s="68" t="s">
        <v>363</v>
      </c>
      <c r="D264" s="68" t="s">
        <v>364</v>
      </c>
      <c r="E264" s="75">
        <f>60*F264*'THAM_SO_MOI'!$C$53/(2*PI()*'THAM_SO_MOI'!$C$26)</f>
        <v>1247.3991578947366</v>
      </c>
      <c r="F264" s="75">
        <f>'THAM_SO_MOI'!$E$53+('THAM_SO_MOI'!$C$14-'THAM_SO_MOI'!$E$53)*258/'THAM_SO_MOI'!$C$42</f>
        <v>12.660568376068376</v>
      </c>
      <c r="G264" s="75">
        <f>3.6*F264</f>
        <v>45.57804615384615</v>
      </c>
      <c r="H264" s="75">
        <f>'THAM_SO_MOI'!$D$53</f>
        <v>1.1</v>
      </c>
      <c r="I264" s="75">
        <f>IF(F264&gt;'THAM_SO_MOI'!$C$14,'THAM_SO_MOI'!$C$13*(1+F264^2/1500),'THAM_SO_MOI'!$C$13)</f>
        <v>0.015</v>
      </c>
      <c r="J264" s="75">
        <f>'THAM_SO_MOI'!$C$40*('THAM_SO_MOI'!$C$23*(E264/'THAM_SO_MOI'!$C$22)+'THAM_SO_MOI'!$C$24*(E264/'THAM_SO_MOI'!$C$22)^2-'THAM_SO_MOI'!$C$25*(E264/'THAM_SO_MOI'!$C$22)^3)</f>
        <v>50.82248071146452</v>
      </c>
      <c r="K264" s="75">
        <f>'THAM_SO_MOI'!$C$31*J264/E264</f>
        <v>389.1380797648764</v>
      </c>
      <c r="L264" s="75">
        <f>K264*'THAM_SO_MOI'!$C$53*'THAM_SO_MOI'!$C$17/'THAM_SO_MOI'!$C$26</f>
        <v>3412.742482223037</v>
      </c>
      <c r="M264" s="75">
        <f>'THAM_SO_MOI'!$C$15*'THAM_SO_MOI'!$C$16*F264^2</f>
        <v>468.8482254449253</v>
      </c>
      <c r="N264" s="75">
        <f>'THAM_SO_MOI'!$C$12*I264</f>
        <v>1130.112</v>
      </c>
      <c r="O264" s="75">
        <f>M264+N264</f>
        <v>1598.9602254449253</v>
      </c>
      <c r="P264" s="75">
        <f>(MIN(L264,'THAM_SO_MOI'!$C$41)-O264)/('THAM_SO_MOI'!$C$11*H264)</f>
        <v>0.21469960425877266</v>
      </c>
      <c r="Q264" s="75">
        <f>IF(P264&gt;0,1/P264,NA())</f>
        <v>4.657670438901798</v>
      </c>
      <c r="R264" s="75">
        <f>F264-F263</f>
        <v>0.017600427350426884</v>
      </c>
      <c r="S264" s="75">
        <f>0.5*(Q263+Q264)*R264</f>
        <v>0.08197823135323772</v>
      </c>
      <c r="T264" s="75">
        <f>0.5*(F263*Q263+F264*Q264)*R264</f>
        <v>1.0371695665216227</v>
      </c>
      <c r="U264" s="76">
        <f>U263+S264</f>
        <v>21.831061275881435</v>
      </c>
      <c r="V264" s="76">
        <f>V263+T264</f>
        <v>226.07111179698765</v>
      </c>
    </row>
    <row r="265" spans="1:22" ht="19" customHeight="1">
      <c r="A265" s="68" t="s">
        <v>362</v>
      </c>
      <c r="B265" s="74">
        <v>5</v>
      </c>
      <c r="C265" s="68" t="s">
        <v>363</v>
      </c>
      <c r="D265" s="68" t="s">
        <v>364</v>
      </c>
      <c r="E265" s="75">
        <f>60*F265*'THAM_SO_MOI'!$C$53/(2*PI()*'THAM_SO_MOI'!$C$26)</f>
        <v>1249.1332631578948</v>
      </c>
      <c r="F265" s="75">
        <f>'THAM_SO_MOI'!$E$53+('THAM_SO_MOI'!$C$14-'THAM_SO_MOI'!$E$53)*259/'THAM_SO_MOI'!$C$42</f>
        <v>12.678168803418805</v>
      </c>
      <c r="G265" s="75">
        <f>3.6*F265</f>
        <v>45.641407692307695</v>
      </c>
      <c r="H265" s="75">
        <f>'THAM_SO_MOI'!$D$53</f>
        <v>1.1</v>
      </c>
      <c r="I265" s="75">
        <f>IF(F265&gt;'THAM_SO_MOI'!$C$14,'THAM_SO_MOI'!$C$13*(1+F265^2/1500),'THAM_SO_MOI'!$C$13)</f>
        <v>0.015</v>
      </c>
      <c r="J265" s="75">
        <f>'THAM_SO_MOI'!$C$40*('THAM_SO_MOI'!$C$23*(E265/'THAM_SO_MOI'!$C$22)+'THAM_SO_MOI'!$C$24*(E265/'THAM_SO_MOI'!$C$22)^2-'THAM_SO_MOI'!$C$25*(E265/'THAM_SO_MOI'!$C$22)^3)</f>
        <v>50.91333992741256</v>
      </c>
      <c r="K265" s="75">
        <f>'THAM_SO_MOI'!$C$31*J265/E265</f>
        <v>389.2925860320547</v>
      </c>
      <c r="L265" s="75">
        <f>K265*'THAM_SO_MOI'!$C$53*'THAM_SO_MOI'!$C$17/'THAM_SO_MOI'!$C$26</f>
        <v>3414.0975027907684</v>
      </c>
      <c r="M265" s="75">
        <f>'THAM_SO_MOI'!$C$15*'THAM_SO_MOI'!$C$16*F265^2</f>
        <v>470.15269530834684</v>
      </c>
      <c r="N265" s="75">
        <f>'THAM_SO_MOI'!$C$12*I265</f>
        <v>1130.112</v>
      </c>
      <c r="O265" s="75">
        <f>M265+N265</f>
        <v>1600.264695308347</v>
      </c>
      <c r="P265" s="75">
        <f>(MIN(L265,'THAM_SO_MOI'!$C$41)-O265)/('THAM_SO_MOI'!$C$11*H265)</f>
        <v>0.21470558800691544</v>
      </c>
      <c r="Q265" s="75">
        <f>IF(P265&gt;0,1/P265,NA())</f>
        <v>4.657540631722129</v>
      </c>
      <c r="R265" s="75">
        <f>F265-F264</f>
        <v>0.01760042735042866</v>
      </c>
      <c r="S265" s="75">
        <f>0.5*(Q264+Q265)*R265</f>
        <v>0.0819758478512126</v>
      </c>
      <c r="T265" s="75">
        <f>0.5*(F264*Q264+F265*Q265)*R265</f>
        <v>1.0385822218309964</v>
      </c>
      <c r="U265" s="76">
        <f>U264+S265</f>
        <v>21.913037123732646</v>
      </c>
      <c r="V265" s="76">
        <f>V264+T265</f>
        <v>227.10969401881866</v>
      </c>
    </row>
    <row r="266" spans="1:22" ht="19" customHeight="1">
      <c r="A266" s="68" t="s">
        <v>362</v>
      </c>
      <c r="B266" s="74">
        <v>5</v>
      </c>
      <c r="C266" s="68" t="s">
        <v>363</v>
      </c>
      <c r="D266" s="68" t="s">
        <v>364</v>
      </c>
      <c r="E266" s="75">
        <f>60*F266*'THAM_SO_MOI'!$C$53/(2*PI()*'THAM_SO_MOI'!$C$26)</f>
        <v>1250.8673684210526</v>
      </c>
      <c r="F266" s="75">
        <f>'THAM_SO_MOI'!$E$53+('THAM_SO_MOI'!$C$14-'THAM_SO_MOI'!$E$53)*260/'THAM_SO_MOI'!$C$42</f>
        <v>12.695769230769232</v>
      </c>
      <c r="G266" s="75">
        <f>3.6*F266</f>
        <v>45.70476923076924</v>
      </c>
      <c r="H266" s="75">
        <f>'THAM_SO_MOI'!$D$53</f>
        <v>1.1</v>
      </c>
      <c r="I266" s="75">
        <f>IF(F266&gt;'THAM_SO_MOI'!$C$14,'THAM_SO_MOI'!$C$13*(1+F266^2/1500),'THAM_SO_MOI'!$C$13)</f>
        <v>0.015</v>
      </c>
      <c r="J266" s="75">
        <f>'THAM_SO_MOI'!$C$40*('THAM_SO_MOI'!$C$23*(E266/'THAM_SO_MOI'!$C$22)+'THAM_SO_MOI'!$C$24*(E266/'THAM_SO_MOI'!$C$22)^2-'THAM_SO_MOI'!$C$25*(E266/'THAM_SO_MOI'!$C$22)^3)</f>
        <v>51.004217040536574</v>
      </c>
      <c r="K266" s="75">
        <f>'THAM_SO_MOI'!$C$31*J266/E266</f>
        <v>389.446800563608</v>
      </c>
      <c r="L266" s="75">
        <f>K266*'THAM_SO_MOI'!$C$53*'THAM_SO_MOI'!$C$17/'THAM_SO_MOI'!$C$26</f>
        <v>3415.4499648359274</v>
      </c>
      <c r="M266" s="75">
        <f>'THAM_SO_MOI'!$C$15*'THAM_SO_MOI'!$C$16*F266^2</f>
        <v>471.4589773557694</v>
      </c>
      <c r="N266" s="75">
        <f>'THAM_SO_MOI'!$C$12*I266</f>
        <v>1130.112</v>
      </c>
      <c r="O266" s="75">
        <f>M266+N266</f>
        <v>1601.5709773557694</v>
      </c>
      <c r="P266" s="75">
        <f>(MIN(L266,'THAM_SO_MOI'!$C$41)-O266)/('THAM_SO_MOI'!$C$11*H266)</f>
        <v>0.21471105438922322</v>
      </c>
      <c r="Q266" s="75">
        <f>IF(P266&gt;0,1/P266,NA())</f>
        <v>4.65742205423305</v>
      </c>
      <c r="R266" s="75">
        <f>F266-F265</f>
        <v>0.017600427350426884</v>
      </c>
      <c r="S266" s="75">
        <f>0.5*(Q265+Q266)*R266</f>
        <v>0.08197366201304569</v>
      </c>
      <c r="T266" s="75">
        <f>0.5*(F265*Q265+F266*Q266)*R266</f>
        <v>1.039997300994161</v>
      </c>
      <c r="U266" s="76">
        <f>U265+S266</f>
        <v>21.99501078574569</v>
      </c>
      <c r="V266" s="76">
        <f>V265+T266</f>
        <v>228.14969131981283</v>
      </c>
    </row>
    <row r="267" spans="1:22" ht="19" customHeight="1">
      <c r="A267" s="68" t="s">
        <v>362</v>
      </c>
      <c r="B267" s="74">
        <v>5</v>
      </c>
      <c r="C267" s="68" t="s">
        <v>363</v>
      </c>
      <c r="D267" s="68" t="s">
        <v>364</v>
      </c>
      <c r="E267" s="75">
        <f>60*F267*'THAM_SO_MOI'!$C$53/(2*PI()*'THAM_SO_MOI'!$C$26)</f>
        <v>1252.6014736842103</v>
      </c>
      <c r="F267" s="75">
        <f>'THAM_SO_MOI'!$E$53+('THAM_SO_MOI'!$C$14-'THAM_SO_MOI'!$E$53)*261/'THAM_SO_MOI'!$C$42</f>
        <v>12.713369658119658</v>
      </c>
      <c r="G267" s="75">
        <f>3.6*F267</f>
        <v>45.76813076923077</v>
      </c>
      <c r="H267" s="75">
        <f>'THAM_SO_MOI'!$D$53</f>
        <v>1.1</v>
      </c>
      <c r="I267" s="75">
        <f>IF(F267&gt;'THAM_SO_MOI'!$C$14,'THAM_SO_MOI'!$C$13*(1+F267^2/1500),'THAM_SO_MOI'!$C$13)</f>
        <v>0.015</v>
      </c>
      <c r="J267" s="75">
        <f>'THAM_SO_MOI'!$C$40*('THAM_SO_MOI'!$C$23*(E267/'THAM_SO_MOI'!$C$22)+'THAM_SO_MOI'!$C$24*(E267/'THAM_SO_MOI'!$C$22)^2-'THAM_SO_MOI'!$C$25*(E267/'THAM_SO_MOI'!$C$22)^3)</f>
        <v>51.0951118919333</v>
      </c>
      <c r="K267" s="75">
        <f>'THAM_SO_MOI'!$C$31*J267/E267</f>
        <v>389.6007233595362</v>
      </c>
      <c r="L267" s="75">
        <f>K267*'THAM_SO_MOI'!$C$53*'THAM_SO_MOI'!$C$17/'THAM_SO_MOI'!$C$26</f>
        <v>3416.799868358513</v>
      </c>
      <c r="M267" s="75">
        <f>'THAM_SO_MOI'!$C$15*'THAM_SO_MOI'!$C$16*F267^2</f>
        <v>472.7670715871929</v>
      </c>
      <c r="N267" s="75">
        <f>'THAM_SO_MOI'!$C$12*I267</f>
        <v>1130.112</v>
      </c>
      <c r="O267" s="75">
        <f>M267+N267</f>
        <v>1602.879071587193</v>
      </c>
      <c r="P267" s="75">
        <f>(MIN(L267,'THAM_SO_MOI'!$C$41)-O267)/('THAM_SO_MOI'!$C$11*H267)</f>
        <v>0.21471600340569602</v>
      </c>
      <c r="Q267" s="75">
        <f>IF(P267&gt;0,1/P267,NA())</f>
        <v>4.657314704719731</v>
      </c>
      <c r="R267" s="75">
        <f>F267-F266</f>
        <v>0.017600427350426884</v>
      </c>
      <c r="S267" s="75">
        <f>0.5*(Q266+Q267)*R267</f>
        <v>0.08197167380714958</v>
      </c>
      <c r="T267" s="75">
        <f>0.5*(F266*Q266+F267*Q267)*R267</f>
        <v>1.0414148140467299</v>
      </c>
      <c r="U267" s="76">
        <f>U266+S267</f>
        <v>22.07698245955284</v>
      </c>
      <c r="V267" s="76">
        <f>V266+T267</f>
        <v>229.19110613385956</v>
      </c>
    </row>
    <row r="268" spans="1:22" ht="19" customHeight="1">
      <c r="A268" s="68" t="s">
        <v>362</v>
      </c>
      <c r="B268" s="74">
        <v>5</v>
      </c>
      <c r="C268" s="68" t="s">
        <v>363</v>
      </c>
      <c r="D268" s="68" t="s">
        <v>364</v>
      </c>
      <c r="E268" s="75">
        <f>60*F268*'THAM_SO_MOI'!$C$53/(2*PI()*'THAM_SO_MOI'!$C$26)</f>
        <v>1254.3355789473683</v>
      </c>
      <c r="F268" s="75">
        <f>'THAM_SO_MOI'!$E$53+('THAM_SO_MOI'!$C$14-'THAM_SO_MOI'!$E$53)*262/'THAM_SO_MOI'!$C$42</f>
        <v>12.730970085470087</v>
      </c>
      <c r="G268" s="75">
        <f>3.6*F268</f>
        <v>45.831492307692315</v>
      </c>
      <c r="H268" s="75">
        <f>'THAM_SO_MOI'!$D$53</f>
        <v>1.1</v>
      </c>
      <c r="I268" s="75">
        <f>IF(F268&gt;'THAM_SO_MOI'!$C$14,'THAM_SO_MOI'!$C$13*(1+F268^2/1500),'THAM_SO_MOI'!$C$13)</f>
        <v>0.015</v>
      </c>
      <c r="J268" s="75">
        <f>'THAM_SO_MOI'!$C$40*('THAM_SO_MOI'!$C$23*(E268/'THAM_SO_MOI'!$C$22)+'THAM_SO_MOI'!$C$24*(E268/'THAM_SO_MOI'!$C$22)^2-'THAM_SO_MOI'!$C$25*(E268/'THAM_SO_MOI'!$C$22)^3)</f>
        <v>51.18602432269949</v>
      </c>
      <c r="K268" s="75">
        <f>'THAM_SO_MOI'!$C$31*J268/E268</f>
        <v>389.7543544198394</v>
      </c>
      <c r="L268" s="75">
        <f>K268*'THAM_SO_MOI'!$C$53*'THAM_SO_MOI'!$C$17/'THAM_SO_MOI'!$C$26</f>
        <v>3418.1472133585253</v>
      </c>
      <c r="M268" s="75">
        <f>'THAM_SO_MOI'!$C$15*'THAM_SO_MOI'!$C$16*F268^2</f>
        <v>474.07697800261764</v>
      </c>
      <c r="N268" s="75">
        <f>'THAM_SO_MOI'!$C$12*I268</f>
        <v>1130.112</v>
      </c>
      <c r="O268" s="75">
        <f>M268+N268</f>
        <v>1604.1889780026177</v>
      </c>
      <c r="P268" s="75">
        <f>(MIN(L268,'THAM_SO_MOI'!$C$41)-O268)/('THAM_SO_MOI'!$C$11*H268)</f>
        <v>0.21472043505633376</v>
      </c>
      <c r="Q268" s="75">
        <f>IF(P268&gt;0,1/P268,NA())</f>
        <v>4.657218581629836</v>
      </c>
      <c r="R268" s="75">
        <f>F268-F267</f>
        <v>0.01760042735042866</v>
      </c>
      <c r="S268" s="75">
        <f>0.5*(Q267+Q268)*R268</f>
        <v>0.08196988320477254</v>
      </c>
      <c r="T268" s="75">
        <f>0.5*(F267*Q267+F268*Q268)*R268</f>
        <v>1.0428347710581682</v>
      </c>
      <c r="U268" s="76">
        <f>U267+S268</f>
        <v>22.158952342757615</v>
      </c>
      <c r="V268" s="76">
        <f>V267+T268</f>
        <v>230.23394090491774</v>
      </c>
    </row>
    <row r="269" spans="1:22" ht="19" customHeight="1">
      <c r="A269" s="68" t="s">
        <v>362</v>
      </c>
      <c r="B269" s="74">
        <v>5</v>
      </c>
      <c r="C269" s="68" t="s">
        <v>363</v>
      </c>
      <c r="D269" s="68" t="s">
        <v>364</v>
      </c>
      <c r="E269" s="75">
        <f>60*F269*'THAM_SO_MOI'!$C$53/(2*PI()*'THAM_SO_MOI'!$C$26)</f>
        <v>1256.069684210526</v>
      </c>
      <c r="F269" s="75">
        <f>'THAM_SO_MOI'!$E$53+('THAM_SO_MOI'!$C$14-'THAM_SO_MOI'!$E$53)*263/'THAM_SO_MOI'!$C$42</f>
        <v>12.748570512820514</v>
      </c>
      <c r="G269" s="75">
        <f>3.6*F269</f>
        <v>45.89485384615385</v>
      </c>
      <c r="H269" s="75">
        <f>'THAM_SO_MOI'!$D$53</f>
        <v>1.1</v>
      </c>
      <c r="I269" s="75">
        <f>IF(F269&gt;'THAM_SO_MOI'!$C$14,'THAM_SO_MOI'!$C$13*(1+F269^2/1500),'THAM_SO_MOI'!$C$13)</f>
        <v>0.015</v>
      </c>
      <c r="J269" s="75">
        <f>'THAM_SO_MOI'!$C$40*('THAM_SO_MOI'!$C$23*(E269/'THAM_SO_MOI'!$C$22)+'THAM_SO_MOI'!$C$24*(E269/'THAM_SO_MOI'!$C$22)^2-'THAM_SO_MOI'!$C$25*(E269/'THAM_SO_MOI'!$C$22)^3)</f>
        <v>51.27695417393183</v>
      </c>
      <c r="K269" s="75">
        <f>'THAM_SO_MOI'!$C$31*J269/E269</f>
        <v>389.90769374451753</v>
      </c>
      <c r="L269" s="75">
        <f>K269*'THAM_SO_MOI'!$C$53*'THAM_SO_MOI'!$C$17/'THAM_SO_MOI'!$C$26</f>
        <v>3419.4919998359646</v>
      </c>
      <c r="M269" s="75">
        <f>'THAM_SO_MOI'!$C$15*'THAM_SO_MOI'!$C$16*F269^2</f>
        <v>475.3886966020434</v>
      </c>
      <c r="N269" s="75">
        <f>'THAM_SO_MOI'!$C$12*I269</f>
        <v>1130.112</v>
      </c>
      <c r="O269" s="75">
        <f>M269+N269</f>
        <v>1605.5006966020435</v>
      </c>
      <c r="P269" s="75">
        <f>(MIN(L269,'THAM_SO_MOI'!$C$41)-O269)/('THAM_SO_MOI'!$C$11*H269)</f>
        <v>0.21472434934113646</v>
      </c>
      <c r="Q269" s="75">
        <f>IF(P269&gt;0,1/P269,NA())</f>
        <v>4.657133683573454</v>
      </c>
      <c r="R269" s="75">
        <f>F269-F268</f>
        <v>0.017600427350426884</v>
      </c>
      <c r="S269" s="75">
        <f>0.5*(Q268+Q269)*R269</f>
        <v>0.0819682901799973</v>
      </c>
      <c r="T269" s="75">
        <f>0.5*(F268*Q268+F269*Q269)*R269</f>
        <v>1.0442571821320281</v>
      </c>
      <c r="U269" s="76">
        <f>U268+S269</f>
        <v>22.240920632937613</v>
      </c>
      <c r="V269" s="76">
        <f>V268+T269</f>
        <v>231.27819808704976</v>
      </c>
    </row>
    <row r="270" spans="1:22" ht="19" customHeight="1">
      <c r="A270" s="68" t="s">
        <v>362</v>
      </c>
      <c r="B270" s="74">
        <v>5</v>
      </c>
      <c r="C270" s="68" t="s">
        <v>363</v>
      </c>
      <c r="D270" s="68" t="s">
        <v>364</v>
      </c>
      <c r="E270" s="75">
        <f>60*F270*'THAM_SO_MOI'!$C$53/(2*PI()*'THAM_SO_MOI'!$C$26)</f>
        <v>1257.8037894736838</v>
      </c>
      <c r="F270" s="75">
        <f>'THAM_SO_MOI'!$E$53+('THAM_SO_MOI'!$C$14-'THAM_SO_MOI'!$E$53)*264/'THAM_SO_MOI'!$C$42</f>
        <v>12.766170940170941</v>
      </c>
      <c r="G270" s="75">
        <f>3.6*F270</f>
        <v>45.958215384615386</v>
      </c>
      <c r="H270" s="75">
        <f>'THAM_SO_MOI'!$D$53</f>
        <v>1.1</v>
      </c>
      <c r="I270" s="75">
        <f>IF(F270&gt;'THAM_SO_MOI'!$C$14,'THAM_SO_MOI'!$C$13*(1+F270^2/1500),'THAM_SO_MOI'!$C$13)</f>
        <v>0.015</v>
      </c>
      <c r="J270" s="75">
        <f>'THAM_SO_MOI'!$C$40*('THAM_SO_MOI'!$C$23*(E270/'THAM_SO_MOI'!$C$22)+'THAM_SO_MOI'!$C$24*(E270/'THAM_SO_MOI'!$C$22)^2-'THAM_SO_MOI'!$C$25*(E270/'THAM_SO_MOI'!$C$22)^3)</f>
        <v>51.36790128672707</v>
      </c>
      <c r="K270" s="75">
        <f>'THAM_SO_MOI'!$C$31*J270/E270</f>
        <v>390.0607413335707</v>
      </c>
      <c r="L270" s="75">
        <f>K270*'THAM_SO_MOI'!$C$53*'THAM_SO_MOI'!$C$17/'THAM_SO_MOI'!$C$26</f>
        <v>3420.8342277908314</v>
      </c>
      <c r="M270" s="75">
        <f>'THAM_SO_MOI'!$C$15*'THAM_SO_MOI'!$C$16*F270^2</f>
        <v>476.70222738547017</v>
      </c>
      <c r="N270" s="75">
        <f>'THAM_SO_MOI'!$C$12*I270</f>
        <v>1130.112</v>
      </c>
      <c r="O270" s="75">
        <f>M270+N270</f>
        <v>1606.8142273854703</v>
      </c>
      <c r="P270" s="75">
        <f>(MIN(L270,'THAM_SO_MOI'!$C$41)-O270)/('THAM_SO_MOI'!$C$11*H270)</f>
        <v>0.21472774626010432</v>
      </c>
      <c r="Q270" s="75">
        <f>IF(P270&gt;0,1/P270,NA())</f>
        <v>4.657060009323055</v>
      </c>
      <c r="R270" s="75">
        <f>F270-F269</f>
        <v>0.017600427350426884</v>
      </c>
      <c r="S270" s="75">
        <f>0.5*(Q269+Q270)*R270</f>
        <v>0.08196689470981465</v>
      </c>
      <c r="T270" s="75">
        <f>0.5*(F269*Q269+F270*Q270)*R270</f>
        <v>1.045682057407136</v>
      </c>
      <c r="U270" s="76">
        <f>U269+S270</f>
        <v>22.322887527647428</v>
      </c>
      <c r="V270" s="76">
        <f>V269+T270</f>
        <v>232.3238801444569</v>
      </c>
    </row>
    <row r="271" spans="1:22" ht="19" customHeight="1">
      <c r="A271" s="68" t="s">
        <v>362</v>
      </c>
      <c r="B271" s="74">
        <v>5</v>
      </c>
      <c r="C271" s="68" t="s">
        <v>363</v>
      </c>
      <c r="D271" s="68" t="s">
        <v>364</v>
      </c>
      <c r="E271" s="75">
        <f>60*F271*'THAM_SO_MOI'!$C$53/(2*PI()*'THAM_SO_MOI'!$C$26)</f>
        <v>1259.537894736842</v>
      </c>
      <c r="F271" s="75">
        <f>'THAM_SO_MOI'!$E$53+('THAM_SO_MOI'!$C$14-'THAM_SO_MOI'!$E$53)*265/'THAM_SO_MOI'!$C$42</f>
        <v>12.783771367521368</v>
      </c>
      <c r="G271" s="75">
        <f>3.6*F271</f>
        <v>46.02157692307693</v>
      </c>
      <c r="H271" s="75">
        <f>'THAM_SO_MOI'!$D$53</f>
        <v>1.1</v>
      </c>
      <c r="I271" s="75">
        <f>IF(F271&gt;'THAM_SO_MOI'!$C$14,'THAM_SO_MOI'!$C$13*(1+F271^2/1500),'THAM_SO_MOI'!$C$13)</f>
        <v>0.015</v>
      </c>
      <c r="J271" s="75">
        <f>'THAM_SO_MOI'!$C$40*('THAM_SO_MOI'!$C$23*(E271/'THAM_SO_MOI'!$C$22)+'THAM_SO_MOI'!$C$24*(E271/'THAM_SO_MOI'!$C$22)^2-'THAM_SO_MOI'!$C$25*(E271/'THAM_SO_MOI'!$C$22)^3)</f>
        <v>51.45886550218192</v>
      </c>
      <c r="K271" s="75">
        <f>'THAM_SO_MOI'!$C$31*J271/E271</f>
        <v>390.2134971869988</v>
      </c>
      <c r="L271" s="75">
        <f>K271*'THAM_SO_MOI'!$C$53*'THAM_SO_MOI'!$C$17/'THAM_SO_MOI'!$C$26</f>
        <v>3422.173897223124</v>
      </c>
      <c r="M271" s="75">
        <f>'THAM_SO_MOI'!$C$15*'THAM_SO_MOI'!$C$16*F271^2</f>
        <v>478.017570352898</v>
      </c>
      <c r="N271" s="75">
        <f>'THAM_SO_MOI'!$C$12*I271</f>
        <v>1130.112</v>
      </c>
      <c r="O271" s="75">
        <f>M271+N271</f>
        <v>1608.129570352898</v>
      </c>
      <c r="P271" s="75">
        <f>(MIN(L271,'THAM_SO_MOI'!$C$41)-O271)/('THAM_SO_MOI'!$C$11*H271)</f>
        <v>0.21473062581323699</v>
      </c>
      <c r="Q271" s="75">
        <f>IF(P271&gt;0,1/P271,NA())</f>
        <v>4.656997557813457</v>
      </c>
      <c r="R271" s="75">
        <f>F271-F270</f>
        <v>0.017600427350426884</v>
      </c>
      <c r="S271" s="75">
        <f>0.5*(Q270+Q271)*R271</f>
        <v>0.08196569677403998</v>
      </c>
      <c r="T271" s="75">
        <f>0.5*(F270*Q270+F271*Q271)*R271</f>
        <v>1.0471094070567817</v>
      </c>
      <c r="U271" s="76">
        <f>U270+S271</f>
        <v>22.40485322442147</v>
      </c>
      <c r="V271" s="76">
        <f>V270+T271</f>
        <v>233.37098955151367</v>
      </c>
    </row>
    <row r="272" spans="1:22" ht="19" customHeight="1">
      <c r="A272" s="68" t="s">
        <v>362</v>
      </c>
      <c r="B272" s="74">
        <v>5</v>
      </c>
      <c r="C272" s="68" t="s">
        <v>363</v>
      </c>
      <c r="D272" s="68" t="s">
        <v>364</v>
      </c>
      <c r="E272" s="75">
        <f>60*F272*'THAM_SO_MOI'!$C$53/(2*PI()*'THAM_SO_MOI'!$C$26)</f>
        <v>1261.272</v>
      </c>
      <c r="F272" s="75">
        <f>'THAM_SO_MOI'!$E$53+('THAM_SO_MOI'!$C$14-'THAM_SO_MOI'!$E$53)*266/'THAM_SO_MOI'!$C$42</f>
        <v>12.801371794871795</v>
      </c>
      <c r="G272" s="75">
        <f>3.6*F272</f>
        <v>46.084938461538464</v>
      </c>
      <c r="H272" s="75">
        <f>'THAM_SO_MOI'!$D$53</f>
        <v>1.1</v>
      </c>
      <c r="I272" s="75">
        <f>IF(F272&gt;'THAM_SO_MOI'!$C$14,'THAM_SO_MOI'!$C$13*(1+F272^2/1500),'THAM_SO_MOI'!$C$13)</f>
        <v>0.015</v>
      </c>
      <c r="J272" s="75">
        <f>'THAM_SO_MOI'!$C$40*('THAM_SO_MOI'!$C$23*(E272/'THAM_SO_MOI'!$C$22)+'THAM_SO_MOI'!$C$24*(E272/'THAM_SO_MOI'!$C$22)^2-'THAM_SO_MOI'!$C$25*(E272/'THAM_SO_MOI'!$C$22)^3)</f>
        <v>51.54984666139311</v>
      </c>
      <c r="K272" s="75">
        <f>'THAM_SO_MOI'!$C$31*J272/E272</f>
        <v>390.36596130480194</v>
      </c>
      <c r="L272" s="75">
        <f>K272*'THAM_SO_MOI'!$C$53*'THAM_SO_MOI'!$C$17/'THAM_SO_MOI'!$C$26</f>
        <v>3423.5110081328453</v>
      </c>
      <c r="M272" s="75">
        <f>'THAM_SO_MOI'!$C$15*'THAM_SO_MOI'!$C$16*F272^2</f>
        <v>479.3347255043269</v>
      </c>
      <c r="N272" s="75">
        <f>'THAM_SO_MOI'!$C$12*I272</f>
        <v>1130.112</v>
      </c>
      <c r="O272" s="75">
        <f>M272+N272</f>
        <v>1609.4467255043269</v>
      </c>
      <c r="P272" s="75">
        <f>(MIN(L272,'THAM_SO_MOI'!$C$41)-O272)/('THAM_SO_MOI'!$C$11*H272)</f>
        <v>0.21473298800053486</v>
      </c>
      <c r="Q272" s="75">
        <f>IF(P272&gt;0,1/P272,NA())</f>
        <v>4.656946328141762</v>
      </c>
      <c r="R272" s="75">
        <f>F272-F271</f>
        <v>0.017600427350426884</v>
      </c>
      <c r="S272" s="75">
        <f>0.5*(Q271+Q272)*R272</f>
        <v>0.08196469635535374</v>
      </c>
      <c r="T272" s="75">
        <f>0.5*(F271*Q271+F272*Q272)*R272</f>
        <v>1.048539241289487</v>
      </c>
      <c r="U272" s="76">
        <f>U271+S272</f>
        <v>22.486817920776822</v>
      </c>
      <c r="V272" s="76">
        <f>V271+T272</f>
        <v>234.41952879280316</v>
      </c>
    </row>
    <row r="273" spans="1:22" ht="19" customHeight="1">
      <c r="A273" s="68" t="s">
        <v>362</v>
      </c>
      <c r="B273" s="74">
        <v>5</v>
      </c>
      <c r="C273" s="68" t="s">
        <v>363</v>
      </c>
      <c r="D273" s="68" t="s">
        <v>364</v>
      </c>
      <c r="E273" s="75">
        <f>60*F273*'THAM_SO_MOI'!$C$53/(2*PI()*'THAM_SO_MOI'!$C$26)</f>
        <v>1263.0061052631577</v>
      </c>
      <c r="F273" s="75">
        <f>'THAM_SO_MOI'!$E$53+('THAM_SO_MOI'!$C$14-'THAM_SO_MOI'!$E$53)*267/'THAM_SO_MOI'!$C$42</f>
        <v>12.818972222222222</v>
      </c>
      <c r="G273" s="75">
        <f>3.6*F273</f>
        <v>46.1483</v>
      </c>
      <c r="H273" s="75">
        <f>'THAM_SO_MOI'!$D$53</f>
        <v>1.1</v>
      </c>
      <c r="I273" s="75">
        <f>IF(F273&gt;'THAM_SO_MOI'!$C$14,'THAM_SO_MOI'!$C$13*(1+F273^2/1500),'THAM_SO_MOI'!$C$13)</f>
        <v>0.015</v>
      </c>
      <c r="J273" s="75">
        <f>'THAM_SO_MOI'!$C$40*('THAM_SO_MOI'!$C$23*(E273/'THAM_SO_MOI'!$C$22)+'THAM_SO_MOI'!$C$24*(E273/'THAM_SO_MOI'!$C$22)^2-'THAM_SO_MOI'!$C$25*(E273/'THAM_SO_MOI'!$C$22)^3)</f>
        <v>51.6408446054573</v>
      </c>
      <c r="K273" s="75">
        <f>'THAM_SO_MOI'!$C$31*J273/E273</f>
        <v>390.5181336869798</v>
      </c>
      <c r="L273" s="75">
        <f>K273*'THAM_SO_MOI'!$C$53*'THAM_SO_MOI'!$C$17/'THAM_SO_MOI'!$C$26</f>
        <v>3424.845560519991</v>
      </c>
      <c r="M273" s="75">
        <f>'THAM_SO_MOI'!$C$15*'THAM_SO_MOI'!$C$16*F273^2</f>
        <v>480.65369283975696</v>
      </c>
      <c r="N273" s="75">
        <f>'THAM_SO_MOI'!$C$12*I273</f>
        <v>1130.112</v>
      </c>
      <c r="O273" s="75">
        <f>M273+N273</f>
        <v>1610.765692839757</v>
      </c>
      <c r="P273" s="75">
        <f>(MIN(L273,'THAM_SO_MOI'!$C$41)-O273)/('THAM_SO_MOI'!$C$11*H273)</f>
        <v>0.21473483282199743</v>
      </c>
      <c r="Q273" s="75">
        <f>IF(P273&gt;0,1/P273,NA())</f>
        <v>4.656906319567359</v>
      </c>
      <c r="R273" s="75">
        <f>F273-F272</f>
        <v>0.017600427350426884</v>
      </c>
      <c r="S273" s="75">
        <f>0.5*(Q272+Q273)*R273</f>
        <v>0.08196389343929272</v>
      </c>
      <c r="T273" s="75">
        <f>0.5*(F272*Q272+F273*Q273)*R273</f>
        <v>1.049971570349143</v>
      </c>
      <c r="U273" s="76">
        <f>U272+S273</f>
        <v>22.568781814216116</v>
      </c>
      <c r="V273" s="76">
        <f>V272+T273</f>
        <v>235.4695003631523</v>
      </c>
    </row>
    <row r="274" spans="1:22" ht="19" customHeight="1">
      <c r="A274" s="68" t="s">
        <v>362</v>
      </c>
      <c r="B274" s="74">
        <v>5</v>
      </c>
      <c r="C274" s="68" t="s">
        <v>363</v>
      </c>
      <c r="D274" s="68" t="s">
        <v>364</v>
      </c>
      <c r="E274" s="75">
        <f>60*F274*'THAM_SO_MOI'!$C$53/(2*PI()*'THAM_SO_MOI'!$C$26)</f>
        <v>1264.7402105263156</v>
      </c>
      <c r="F274" s="75">
        <f>'THAM_SO_MOI'!$E$53+('THAM_SO_MOI'!$C$14-'THAM_SO_MOI'!$E$53)*268/'THAM_SO_MOI'!$C$42</f>
        <v>12.83657264957265</v>
      </c>
      <c r="G274" s="75">
        <f>3.6*F274</f>
        <v>46.21166153846154</v>
      </c>
      <c r="H274" s="75">
        <f>'THAM_SO_MOI'!$D$53</f>
        <v>1.1</v>
      </c>
      <c r="I274" s="75">
        <f>IF(F274&gt;'THAM_SO_MOI'!$C$14,'THAM_SO_MOI'!$C$13*(1+F274^2/1500),'THAM_SO_MOI'!$C$13)</f>
        <v>0.015</v>
      </c>
      <c r="J274" s="75">
        <f>'THAM_SO_MOI'!$C$40*('THAM_SO_MOI'!$C$23*(E274/'THAM_SO_MOI'!$C$22)+'THAM_SO_MOI'!$C$24*(E274/'THAM_SO_MOI'!$C$22)^2-'THAM_SO_MOI'!$C$25*(E274/'THAM_SO_MOI'!$C$22)^3)</f>
        <v>51.73185917547131</v>
      </c>
      <c r="K274" s="75">
        <f>'THAM_SO_MOI'!$C$31*J274/E274</f>
        <v>390.6700143335329</v>
      </c>
      <c r="L274" s="75">
        <f>K274*'THAM_SO_MOI'!$C$53*'THAM_SO_MOI'!$C$17/'THAM_SO_MOI'!$C$26</f>
        <v>3426.1775543845656</v>
      </c>
      <c r="M274" s="75">
        <f>'THAM_SO_MOI'!$C$15*'THAM_SO_MOI'!$C$16*F274^2</f>
        <v>481.9744723591881</v>
      </c>
      <c r="N274" s="75">
        <f>'THAM_SO_MOI'!$C$12*I274</f>
        <v>1130.112</v>
      </c>
      <c r="O274" s="75">
        <f>M274+N274</f>
        <v>1612.086472359188</v>
      </c>
      <c r="P274" s="75">
        <f>(MIN(L274,'THAM_SO_MOI'!$C$41)-O274)/('THAM_SO_MOI'!$C$11*H274)</f>
        <v>0.21473616027762518</v>
      </c>
      <c r="Q274" s="75">
        <f>IF(P274&gt;0,1/P274,NA())</f>
        <v>4.656877531511849</v>
      </c>
      <c r="R274" s="75">
        <f>F274-F273</f>
        <v>0.01760042735042866</v>
      </c>
      <c r="S274" s="75">
        <f>0.5*(Q273+Q274)*R274</f>
        <v>0.08196328801425763</v>
      </c>
      <c r="T274" s="75">
        <f>0.5*(F273*Q273+F274*Q274)*R274</f>
        <v>1.0514064045153615</v>
      </c>
      <c r="U274" s="76">
        <f>U273+S274</f>
        <v>22.650745102230374</v>
      </c>
      <c r="V274" s="76">
        <f>V273+T274</f>
        <v>236.52090676766764</v>
      </c>
    </row>
    <row r="275" spans="1:22" ht="19" customHeight="1">
      <c r="A275" s="68" t="s">
        <v>362</v>
      </c>
      <c r="B275" s="74">
        <v>5</v>
      </c>
      <c r="C275" s="68" t="s">
        <v>363</v>
      </c>
      <c r="D275" s="68" t="s">
        <v>364</v>
      </c>
      <c r="E275" s="75">
        <f>60*F275*'THAM_SO_MOI'!$C$53/(2*PI()*'THAM_SO_MOI'!$C$26)</f>
        <v>1266.4743157894734</v>
      </c>
      <c r="F275" s="75">
        <f>'THAM_SO_MOI'!$E$53+('THAM_SO_MOI'!$C$14-'THAM_SO_MOI'!$E$53)*269/'THAM_SO_MOI'!$C$42</f>
        <v>12.854173076923077</v>
      </c>
      <c r="G275" s="75">
        <f>3.6*F275</f>
        <v>46.27502307692308</v>
      </c>
      <c r="H275" s="75">
        <f>'THAM_SO_MOI'!$D$53</f>
        <v>1.1</v>
      </c>
      <c r="I275" s="75">
        <f>IF(F275&gt;'THAM_SO_MOI'!$C$14,'THAM_SO_MOI'!$C$13*(1+F275^2/1500),'THAM_SO_MOI'!$C$13)</f>
        <v>0.015</v>
      </c>
      <c r="J275" s="75">
        <f>'THAM_SO_MOI'!$C$40*('THAM_SO_MOI'!$C$23*(E275/'THAM_SO_MOI'!$C$22)+'THAM_SO_MOI'!$C$24*(E275/'THAM_SO_MOI'!$C$22)^2-'THAM_SO_MOI'!$C$25*(E275/'THAM_SO_MOI'!$C$22)^3)</f>
        <v>51.82289021253179</v>
      </c>
      <c r="K275" s="75">
        <f>'THAM_SO_MOI'!$C$31*J275/E275</f>
        <v>390.82160324446085</v>
      </c>
      <c r="L275" s="75">
        <f>K275*'THAM_SO_MOI'!$C$53*'THAM_SO_MOI'!$C$17/'THAM_SO_MOI'!$C$26</f>
        <v>3427.5069897265666</v>
      </c>
      <c r="M275" s="75">
        <f>'THAM_SO_MOI'!$C$15*'THAM_SO_MOI'!$C$16*F275^2</f>
        <v>483.2970640626203</v>
      </c>
      <c r="N275" s="75">
        <f>'THAM_SO_MOI'!$C$12*I275</f>
        <v>1130.112</v>
      </c>
      <c r="O275" s="75">
        <f>M275+N275</f>
        <v>1613.4090640626205</v>
      </c>
      <c r="P275" s="75">
        <f>(MIN(L275,'THAM_SO_MOI'!$C$41)-O275)/('THAM_SO_MOI'!$C$11*H275)</f>
        <v>0.21473697036741787</v>
      </c>
      <c r="Q275" s="75">
        <f>IF(P275&gt;0,1/P275,NA())</f>
        <v>4.656859963559076</v>
      </c>
      <c r="R275" s="75">
        <f>F275-F274</f>
        <v>0.017600427350426884</v>
      </c>
      <c r="S275" s="75">
        <f>0.5*(Q274+Q275)*R275</f>
        <v>0.08196288007147133</v>
      </c>
      <c r="T275" s="75">
        <f>0.5*(F274*Q274+F275*Q275)*R275</f>
        <v>1.0528437541031888</v>
      </c>
      <c r="U275" s="76">
        <f>U274+S275</f>
        <v>22.732707982301847</v>
      </c>
      <c r="V275" s="76">
        <f>V274+T275</f>
        <v>237.57375052177082</v>
      </c>
    </row>
    <row r="276" spans="1:22" ht="19" customHeight="1">
      <c r="A276" s="68" t="s">
        <v>362</v>
      </c>
      <c r="B276" s="74">
        <v>5</v>
      </c>
      <c r="C276" s="68" t="s">
        <v>363</v>
      </c>
      <c r="D276" s="68" t="s">
        <v>364</v>
      </c>
      <c r="E276" s="75">
        <f>60*F276*'THAM_SO_MOI'!$C$53/(2*PI()*'THAM_SO_MOI'!$C$26)</f>
        <v>1268.2084210526316</v>
      </c>
      <c r="F276" s="75">
        <f>'THAM_SO_MOI'!$E$53+('THAM_SO_MOI'!$C$14-'THAM_SO_MOI'!$E$53)*270/'THAM_SO_MOI'!$C$42</f>
        <v>12.871773504273506</v>
      </c>
      <c r="G276" s="75">
        <f>3.6*F276</f>
        <v>46.33838461538462</v>
      </c>
      <c r="H276" s="75">
        <f>'THAM_SO_MOI'!$D$53</f>
        <v>1.1</v>
      </c>
      <c r="I276" s="75">
        <f>IF(F276&gt;'THAM_SO_MOI'!$C$14,'THAM_SO_MOI'!$C$13*(1+F276^2/1500),'THAM_SO_MOI'!$C$13)</f>
        <v>0.015</v>
      </c>
      <c r="J276" s="75">
        <f>'THAM_SO_MOI'!$C$40*('THAM_SO_MOI'!$C$23*(E276/'THAM_SO_MOI'!$C$22)+'THAM_SO_MOI'!$C$24*(E276/'THAM_SO_MOI'!$C$22)^2-'THAM_SO_MOI'!$C$25*(E276/'THAM_SO_MOI'!$C$22)^3)</f>
        <v>51.91393755773551</v>
      </c>
      <c r="K276" s="75">
        <f>'THAM_SO_MOI'!$C$31*J276/E276</f>
        <v>390.97290041976385</v>
      </c>
      <c r="L276" s="75">
        <f>K276*'THAM_SO_MOI'!$C$53*'THAM_SO_MOI'!$C$17/'THAM_SO_MOI'!$C$26</f>
        <v>3428.833866545995</v>
      </c>
      <c r="M276" s="75">
        <f>'THAM_SO_MOI'!$C$15*'THAM_SO_MOI'!$C$16*F276^2</f>
        <v>484.62146795005356</v>
      </c>
      <c r="N276" s="75">
        <f>'THAM_SO_MOI'!$C$12*I276</f>
        <v>1130.112</v>
      </c>
      <c r="O276" s="75">
        <f>M276+N276</f>
        <v>1614.7334679500536</v>
      </c>
      <c r="P276" s="75">
        <f>(MIN(L276,'THAM_SO_MOI'!$C$41)-O276)/('THAM_SO_MOI'!$C$11*H276)</f>
        <v>0.21473726309137564</v>
      </c>
      <c r="Q276" s="75">
        <f>IF(P276&gt;0,1/P276,NA())</f>
        <v>4.6568536154550735</v>
      </c>
      <c r="R276" s="75">
        <f>F276-F275</f>
        <v>0.01760042735042866</v>
      </c>
      <c r="S276" s="75">
        <f>0.5*(Q275+Q276)*R276</f>
        <v>0.08196266960506972</v>
      </c>
      <c r="T276" s="75">
        <f>0.5*(F275*Q275+F276*Q276)*R276</f>
        <v>1.054283629464523</v>
      </c>
      <c r="U276" s="76">
        <f>U275+S276</f>
        <v>22.814670651906916</v>
      </c>
      <c r="V276" s="76">
        <f>V275+T276</f>
        <v>238.62803415123534</v>
      </c>
    </row>
    <row r="277" spans="1:22" ht="19" customHeight="1">
      <c r="A277" s="68" t="s">
        <v>362</v>
      </c>
      <c r="B277" s="74">
        <v>5</v>
      </c>
      <c r="C277" s="68" t="s">
        <v>363</v>
      </c>
      <c r="D277" s="68" t="s">
        <v>364</v>
      </c>
      <c r="E277" s="75">
        <f>60*F277*'THAM_SO_MOI'!$C$53/(2*PI()*'THAM_SO_MOI'!$C$26)</f>
        <v>1269.9425263157893</v>
      </c>
      <c r="F277" s="75">
        <f>'THAM_SO_MOI'!$E$53+('THAM_SO_MOI'!$C$14-'THAM_SO_MOI'!$E$53)*271/'THAM_SO_MOI'!$C$42</f>
        <v>12.889373931623933</v>
      </c>
      <c r="G277" s="75">
        <f>3.6*F277</f>
        <v>46.40174615384616</v>
      </c>
      <c r="H277" s="75">
        <f>'THAM_SO_MOI'!$D$53</f>
        <v>1.1</v>
      </c>
      <c r="I277" s="75">
        <f>IF(F277&gt;'THAM_SO_MOI'!$C$14,'THAM_SO_MOI'!$C$13*(1+F277^2/1500),'THAM_SO_MOI'!$C$13)</f>
        <v>0.015</v>
      </c>
      <c r="J277" s="75">
        <f>'THAM_SO_MOI'!$C$40*('THAM_SO_MOI'!$C$23*(E277/'THAM_SO_MOI'!$C$22)+'THAM_SO_MOI'!$C$24*(E277/'THAM_SO_MOI'!$C$22)^2-'THAM_SO_MOI'!$C$25*(E277/'THAM_SO_MOI'!$C$22)^3)</f>
        <v>52.00500105217912</v>
      </c>
      <c r="K277" s="75">
        <f>'THAM_SO_MOI'!$C$31*J277/E277</f>
        <v>391.1239058594416</v>
      </c>
      <c r="L277" s="75">
        <f>K277*'THAM_SO_MOI'!$C$53*'THAM_SO_MOI'!$C$17/'THAM_SO_MOI'!$C$26</f>
        <v>3430.158184842848</v>
      </c>
      <c r="M277" s="75">
        <f>'THAM_SO_MOI'!$C$15*'THAM_SO_MOI'!$C$16*F277^2</f>
        <v>485.9476840214879</v>
      </c>
      <c r="N277" s="75">
        <f>'THAM_SO_MOI'!$C$12*I277</f>
        <v>1130.112</v>
      </c>
      <c r="O277" s="75">
        <f>M277+N277</f>
        <v>1616.059684021488</v>
      </c>
      <c r="P277" s="75">
        <f>(MIN(L277,'THAM_SO_MOI'!$C$41)-O277)/('THAM_SO_MOI'!$C$11*H277)</f>
        <v>0.21473703844949812</v>
      </c>
      <c r="Q277" s="75">
        <f>IF(P277&gt;0,1/P277,NA())</f>
        <v>4.6568584871080825</v>
      </c>
      <c r="R277" s="75">
        <f>F277-F276</f>
        <v>0.017600427350426884</v>
      </c>
      <c r="S277" s="75">
        <f>0.5*(Q276+Q277)*R277</f>
        <v>0.08196265661197721</v>
      </c>
      <c r="T277" s="75">
        <f>0.5*(F276*Q276+F277*Q277)*R277</f>
        <v>1.0557260409867688</v>
      </c>
      <c r="U277" s="76">
        <f>U276+S277</f>
        <v>22.896633308518894</v>
      </c>
      <c r="V277" s="76">
        <f>V276+T277</f>
        <v>239.6837601922221</v>
      </c>
    </row>
    <row r="278" spans="1:22" ht="19" customHeight="1">
      <c r="A278" s="68" t="s">
        <v>362</v>
      </c>
      <c r="B278" s="74">
        <v>5</v>
      </c>
      <c r="C278" s="68" t="s">
        <v>363</v>
      </c>
      <c r="D278" s="68" t="s">
        <v>364</v>
      </c>
      <c r="E278" s="75">
        <f>60*F278*'THAM_SO_MOI'!$C$53/(2*PI()*'THAM_SO_MOI'!$C$26)</f>
        <v>1271.676631578947</v>
      </c>
      <c r="F278" s="75">
        <f>'THAM_SO_MOI'!$E$53+('THAM_SO_MOI'!$C$14-'THAM_SO_MOI'!$E$53)*272/'THAM_SO_MOI'!$C$42</f>
        <v>12.90697435897436</v>
      </c>
      <c r="G278" s="75">
        <f>3.6*F278</f>
        <v>46.4651076923077</v>
      </c>
      <c r="H278" s="75">
        <f>'THAM_SO_MOI'!$D$53</f>
        <v>1.1</v>
      </c>
      <c r="I278" s="75">
        <f>IF(F278&gt;'THAM_SO_MOI'!$C$14,'THAM_SO_MOI'!$C$13*(1+F278^2/1500),'THAM_SO_MOI'!$C$13)</f>
        <v>0.015</v>
      </c>
      <c r="J278" s="75">
        <f>'THAM_SO_MOI'!$C$40*('THAM_SO_MOI'!$C$23*(E278/'THAM_SO_MOI'!$C$22)+'THAM_SO_MOI'!$C$24*(E278/'THAM_SO_MOI'!$C$22)^2-'THAM_SO_MOI'!$C$25*(E278/'THAM_SO_MOI'!$C$22)^3)</f>
        <v>52.09608053695941</v>
      </c>
      <c r="K278" s="75">
        <f>'THAM_SO_MOI'!$C$31*J278/E278</f>
        <v>391.2746195634945</v>
      </c>
      <c r="L278" s="75">
        <f>K278*'THAM_SO_MOI'!$C$53*'THAM_SO_MOI'!$C$17/'THAM_SO_MOI'!$C$26</f>
        <v>3431.4799446171305</v>
      </c>
      <c r="M278" s="75">
        <f>'THAM_SO_MOI'!$C$15*'THAM_SO_MOI'!$C$16*F278^2</f>
        <v>487.2757122769232</v>
      </c>
      <c r="N278" s="75">
        <f>'THAM_SO_MOI'!$C$12*I278</f>
        <v>1130.112</v>
      </c>
      <c r="O278" s="75">
        <f>M278+N278</f>
        <v>1617.3877122769231</v>
      </c>
      <c r="P278" s="75">
        <f>(MIN(L278,'THAM_SO_MOI'!$C$41)-O278)/('THAM_SO_MOI'!$C$11*H278)</f>
        <v>0.2147362964417859</v>
      </c>
      <c r="Q278" s="75">
        <f>IF(P278&gt;0,1/P278,NA())</f>
        <v>4.656874578588514</v>
      </c>
      <c r="R278" s="75">
        <f>F278-F277</f>
        <v>0.017600427350426884</v>
      </c>
      <c r="S278" s="75">
        <f>0.5*(Q277+Q278)*R278</f>
        <v>0.0819628410920308</v>
      </c>
      <c r="T278" s="75">
        <f>0.5*(F277*Q277+F278*Q278)*R278</f>
        <v>1.057170999094679</v>
      </c>
      <c r="U278" s="76">
        <f>U277+S278</f>
        <v>22.978596149610926</v>
      </c>
      <c r="V278" s="76">
        <f>V277+T278</f>
        <v>240.74093119131678</v>
      </c>
    </row>
    <row r="279" spans="1:22" ht="19" customHeight="1">
      <c r="A279" s="68" t="s">
        <v>362</v>
      </c>
      <c r="B279" s="74">
        <v>5</v>
      </c>
      <c r="C279" s="68" t="s">
        <v>363</v>
      </c>
      <c r="D279" s="68" t="s">
        <v>364</v>
      </c>
      <c r="E279" s="75">
        <f>60*F279*'THAM_SO_MOI'!$C$53/(2*PI()*'THAM_SO_MOI'!$C$26)</f>
        <v>1273.4107368421048</v>
      </c>
      <c r="F279" s="75">
        <f>'THAM_SO_MOI'!$E$53+('THAM_SO_MOI'!$C$14-'THAM_SO_MOI'!$E$53)*273/'THAM_SO_MOI'!$C$42</f>
        <v>12.924574786324786</v>
      </c>
      <c r="G279" s="75">
        <f>3.6*F279</f>
        <v>46.52846923076923</v>
      </c>
      <c r="H279" s="75">
        <f>'THAM_SO_MOI'!$D$53</f>
        <v>1.1</v>
      </c>
      <c r="I279" s="75">
        <f>IF(F279&gt;'THAM_SO_MOI'!$C$14,'THAM_SO_MOI'!$C$13*(1+F279^2/1500),'THAM_SO_MOI'!$C$13)</f>
        <v>0.015</v>
      </c>
      <c r="J279" s="75">
        <f>'THAM_SO_MOI'!$C$40*('THAM_SO_MOI'!$C$23*(E279/'THAM_SO_MOI'!$C$22)+'THAM_SO_MOI'!$C$24*(E279/'THAM_SO_MOI'!$C$22)^2-'THAM_SO_MOI'!$C$25*(E279/'THAM_SO_MOI'!$C$22)^3)</f>
        <v>52.18717585317306</v>
      </c>
      <c r="K279" s="75">
        <f>'THAM_SO_MOI'!$C$31*J279/E279</f>
        <v>391.4250415319223</v>
      </c>
      <c r="L279" s="75">
        <f>K279*'THAM_SO_MOI'!$C$53*'THAM_SO_MOI'!$C$17/'THAM_SO_MOI'!$C$26</f>
        <v>3432.799145868839</v>
      </c>
      <c r="M279" s="75">
        <f>'THAM_SO_MOI'!$C$15*'THAM_SO_MOI'!$C$16*F279^2</f>
        <v>488.60555271635957</v>
      </c>
      <c r="N279" s="75">
        <f>'THAM_SO_MOI'!$C$12*I279</f>
        <v>1130.112</v>
      </c>
      <c r="O279" s="75">
        <f>M279+N279</f>
        <v>1618.7175527163597</v>
      </c>
      <c r="P279" s="75">
        <f>(MIN(L279,'THAM_SO_MOI'!$C$41)-O279)/('THAM_SO_MOI'!$C$11*H279)</f>
        <v>0.21473503706823857</v>
      </c>
      <c r="Q279" s="75">
        <f>IF(P279&gt;0,1/P279,NA())</f>
        <v>4.656901890128995</v>
      </c>
      <c r="R279" s="75">
        <f>F279-F278</f>
        <v>0.017600427350426884</v>
      </c>
      <c r="S279" s="75">
        <f>0.5*(Q278+Q279)*R279</f>
        <v>0.08196322304788899</v>
      </c>
      <c r="T279" s="75">
        <f>0.5*(F278*Q278+F279*Q279)*R279</f>
        <v>1.0586185142494384</v>
      </c>
      <c r="U279" s="76">
        <f>U278+S279</f>
        <v>23.060559372658815</v>
      </c>
      <c r="V279" s="76">
        <f>V278+T279</f>
        <v>241.79954970556622</v>
      </c>
    </row>
    <row r="280" spans="1:22" ht="19" customHeight="1">
      <c r="A280" s="68" t="s">
        <v>362</v>
      </c>
      <c r="B280" s="74">
        <v>5</v>
      </c>
      <c r="C280" s="68" t="s">
        <v>363</v>
      </c>
      <c r="D280" s="68" t="s">
        <v>364</v>
      </c>
      <c r="E280" s="75">
        <f>60*F280*'THAM_SO_MOI'!$C$53/(2*PI()*'THAM_SO_MOI'!$C$26)</f>
        <v>1275.1448421052628</v>
      </c>
      <c r="F280" s="75">
        <f>'THAM_SO_MOI'!$E$53+('THAM_SO_MOI'!$C$14-'THAM_SO_MOI'!$E$53)*274/'THAM_SO_MOI'!$C$42</f>
        <v>12.942175213675213</v>
      </c>
      <c r="G280" s="75">
        <f>3.6*F280</f>
        <v>46.59183076923077</v>
      </c>
      <c r="H280" s="75">
        <f>'THAM_SO_MOI'!$D$53</f>
        <v>1.1</v>
      </c>
      <c r="I280" s="75">
        <f>IF(F280&gt;'THAM_SO_MOI'!$C$14,'THAM_SO_MOI'!$C$13*(1+F280^2/1500),'THAM_SO_MOI'!$C$13)</f>
        <v>0.015</v>
      </c>
      <c r="J280" s="75">
        <f>'THAM_SO_MOI'!$C$40*('THAM_SO_MOI'!$C$23*(E280/'THAM_SO_MOI'!$C$22)+'THAM_SO_MOI'!$C$24*(E280/'THAM_SO_MOI'!$C$22)^2-'THAM_SO_MOI'!$C$25*(E280/'THAM_SO_MOI'!$C$22)^3)</f>
        <v>52.27828684191683</v>
      </c>
      <c r="K280" s="75">
        <f>'THAM_SO_MOI'!$C$31*J280/E280</f>
        <v>391.57517176472516</v>
      </c>
      <c r="L280" s="75">
        <f>K280*'THAM_SO_MOI'!$C$53*'THAM_SO_MOI'!$C$17/'THAM_SO_MOI'!$C$26</f>
        <v>3434.115788597974</v>
      </c>
      <c r="M280" s="75">
        <f>'THAM_SO_MOI'!$C$15*'THAM_SO_MOI'!$C$16*F280^2</f>
        <v>489.937205339797</v>
      </c>
      <c r="N280" s="75">
        <f>'THAM_SO_MOI'!$C$12*I280</f>
        <v>1130.112</v>
      </c>
      <c r="O280" s="75">
        <f>M280+N280</f>
        <v>1620.049205339797</v>
      </c>
      <c r="P280" s="75">
        <f>(MIN(L280,'THAM_SO_MOI'!$C$41)-O280)/('THAM_SO_MOI'!$C$11*H280)</f>
        <v>0.2147332603288562</v>
      </c>
      <c r="Q280" s="75">
        <f>IF(P280&gt;0,1/P280,NA())</f>
        <v>4.656940422124343</v>
      </c>
      <c r="R280" s="75">
        <f>F280-F279</f>
        <v>0.017600427350426884</v>
      </c>
      <c r="S280" s="75">
        <f>0.5*(Q279+Q280)*R280</f>
        <v>0.08196380248507341</v>
      </c>
      <c r="T280" s="75">
        <f>0.5*(F279*Q279+F280*Q280)*R280</f>
        <v>1.060068596949449</v>
      </c>
      <c r="U280" s="76">
        <f>U279+S280</f>
        <v>23.14252317514389</v>
      </c>
      <c r="V280" s="76">
        <f>V279+T280</f>
        <v>242.85961830251566</v>
      </c>
    </row>
    <row r="281" spans="1:22" ht="19" customHeight="1">
      <c r="A281" s="68" t="s">
        <v>362</v>
      </c>
      <c r="B281" s="74">
        <v>5</v>
      </c>
      <c r="C281" s="68" t="s">
        <v>363</v>
      </c>
      <c r="D281" s="68" t="s">
        <v>364</v>
      </c>
      <c r="E281" s="75">
        <f>60*F281*'THAM_SO_MOI'!$C$53/(2*PI()*'THAM_SO_MOI'!$C$26)</f>
        <v>1276.878947368421</v>
      </c>
      <c r="F281" s="75">
        <f>'THAM_SO_MOI'!$E$53+('THAM_SO_MOI'!$C$14-'THAM_SO_MOI'!$E$53)*275/'THAM_SO_MOI'!$C$42</f>
        <v>12.959775641025642</v>
      </c>
      <c r="G281" s="75">
        <f>3.6*F281</f>
        <v>46.65519230769231</v>
      </c>
      <c r="H281" s="75">
        <f>'THAM_SO_MOI'!$D$53</f>
        <v>1.1</v>
      </c>
      <c r="I281" s="75">
        <f>IF(F281&gt;'THAM_SO_MOI'!$C$14,'THAM_SO_MOI'!$C$13*(1+F281^2/1500),'THAM_SO_MOI'!$C$13)</f>
        <v>0.015</v>
      </c>
      <c r="J281" s="75">
        <f>'THAM_SO_MOI'!$C$40*('THAM_SO_MOI'!$C$23*(E281/'THAM_SO_MOI'!$C$22)+'THAM_SO_MOI'!$C$24*(E281/'THAM_SO_MOI'!$C$22)^2-'THAM_SO_MOI'!$C$25*(E281/'THAM_SO_MOI'!$C$22)^3)</f>
        <v>52.369413344287445</v>
      </c>
      <c r="K281" s="75">
        <f>'THAM_SO_MOI'!$C$31*J281/E281</f>
        <v>391.72501026190304</v>
      </c>
      <c r="L281" s="75">
        <f>K281*'THAM_SO_MOI'!$C$53*'THAM_SO_MOI'!$C$17/'THAM_SO_MOI'!$C$26</f>
        <v>3435.429872804538</v>
      </c>
      <c r="M281" s="75">
        <f>'THAM_SO_MOI'!$C$15*'THAM_SO_MOI'!$C$16*F281^2</f>
        <v>491.27067014723576</v>
      </c>
      <c r="N281" s="75">
        <f>'THAM_SO_MOI'!$C$12*I281</f>
        <v>1130.112</v>
      </c>
      <c r="O281" s="75">
        <f>M281+N281</f>
        <v>1621.3826701472358</v>
      </c>
      <c r="P281" s="75">
        <f>(MIN(L281,'THAM_SO_MOI'!$C$41)-O281)/('THAM_SO_MOI'!$C$11*H281)</f>
        <v>0.21473096622363896</v>
      </c>
      <c r="Q281" s="75">
        <f>IF(P281&gt;0,1/P281,NA())</f>
        <v>4.6569901751315905</v>
      </c>
      <c r="R281" s="75">
        <f>F281-F280</f>
        <v>0.01760042735042866</v>
      </c>
      <c r="S281" s="75">
        <f>0.5*(Q280+Q281)*R281</f>
        <v>0.08196457941196883</v>
      </c>
      <c r="T281" s="75">
        <f>0.5*(F280*Q280+F281*Q281)*R281</f>
        <v>1.061521257730581</v>
      </c>
      <c r="U281" s="76">
        <f>U280+S281</f>
        <v>23.22448775455586</v>
      </c>
      <c r="V281" s="76">
        <f>V280+T281</f>
        <v>243.92113956024625</v>
      </c>
    </row>
    <row r="282" spans="1:22" ht="19" customHeight="1">
      <c r="A282" s="68" t="s">
        <v>362</v>
      </c>
      <c r="B282" s="74">
        <v>5</v>
      </c>
      <c r="C282" s="68" t="s">
        <v>363</v>
      </c>
      <c r="D282" s="68" t="s">
        <v>364</v>
      </c>
      <c r="E282" s="75">
        <f>60*F282*'THAM_SO_MOI'!$C$53/(2*PI()*'THAM_SO_MOI'!$C$26)</f>
        <v>1278.613052631579</v>
      </c>
      <c r="F282" s="75">
        <f>'THAM_SO_MOI'!$E$53+('THAM_SO_MOI'!$C$14-'THAM_SO_MOI'!$E$53)*276/'THAM_SO_MOI'!$C$42</f>
        <v>12.977376068376069</v>
      </c>
      <c r="G282" s="75">
        <f>3.6*F282</f>
        <v>46.718553846153846</v>
      </c>
      <c r="H282" s="75">
        <f>'THAM_SO_MOI'!$D$53</f>
        <v>1.1</v>
      </c>
      <c r="I282" s="75">
        <f>IF(F282&gt;'THAM_SO_MOI'!$C$14,'THAM_SO_MOI'!$C$13*(1+F282^2/1500),'THAM_SO_MOI'!$C$13)</f>
        <v>0.015</v>
      </c>
      <c r="J282" s="75">
        <f>'THAM_SO_MOI'!$C$40*('THAM_SO_MOI'!$C$23*(E282/'THAM_SO_MOI'!$C$22)+'THAM_SO_MOI'!$C$24*(E282/'THAM_SO_MOI'!$C$22)^2-'THAM_SO_MOI'!$C$25*(E282/'THAM_SO_MOI'!$C$22)^3)</f>
        <v>52.46055520138155</v>
      </c>
      <c r="K282" s="75">
        <f>'THAM_SO_MOI'!$C$31*J282/E282</f>
        <v>391.8745570234557</v>
      </c>
      <c r="L282" s="75">
        <f>K282*'THAM_SO_MOI'!$C$53*'THAM_SO_MOI'!$C$17/'THAM_SO_MOI'!$C$26</f>
        <v>3436.741398488526</v>
      </c>
      <c r="M282" s="75">
        <f>'THAM_SO_MOI'!$C$15*'THAM_SO_MOI'!$C$16*F282^2</f>
        <v>492.6059471386753</v>
      </c>
      <c r="N282" s="75">
        <f>'THAM_SO_MOI'!$C$12*I282</f>
        <v>1130.112</v>
      </c>
      <c r="O282" s="75">
        <f>M282+N282</f>
        <v>1622.7179471386753</v>
      </c>
      <c r="P282" s="75">
        <f>(MIN(L282,'THAM_SO_MOI'!$C$41)-O282)/('THAM_SO_MOI'!$C$11*H282)</f>
        <v>0.2147281547525865</v>
      </c>
      <c r="Q282" s="75">
        <f>IF(P282&gt;0,1/P282,NA())</f>
        <v>4.657051149870018</v>
      </c>
      <c r="R282" s="75">
        <f>F282-F281</f>
        <v>0.017600427350426884</v>
      </c>
      <c r="S282" s="75">
        <f>0.5*(Q281+Q282)*R282</f>
        <v>0.08196555383978227</v>
      </c>
      <c r="T282" s="75">
        <f>0.5*(F281*Q281+F282*Q282)*R282</f>
        <v>1.0629765071658965</v>
      </c>
      <c r="U282" s="76">
        <f>U281+S282</f>
        <v>23.306453308395643</v>
      </c>
      <c r="V282" s="76">
        <f>V281+T282</f>
        <v>244.98411606741215</v>
      </c>
    </row>
    <row r="283" spans="1:22" ht="19" customHeight="1">
      <c r="A283" s="68" t="s">
        <v>362</v>
      </c>
      <c r="B283" s="74">
        <v>5</v>
      </c>
      <c r="C283" s="68" t="s">
        <v>363</v>
      </c>
      <c r="D283" s="68" t="s">
        <v>364</v>
      </c>
      <c r="E283" s="75">
        <f>60*F283*'THAM_SO_MOI'!$C$53/(2*PI()*'THAM_SO_MOI'!$C$26)</f>
        <v>1280.347157894737</v>
      </c>
      <c r="F283" s="75">
        <f>'THAM_SO_MOI'!$E$53+('THAM_SO_MOI'!$C$14-'THAM_SO_MOI'!$E$53)*277/'THAM_SO_MOI'!$C$42</f>
        <v>12.994976495726497</v>
      </c>
      <c r="G283" s="75">
        <f>3.6*F283</f>
        <v>46.781915384615395</v>
      </c>
      <c r="H283" s="75">
        <f>'THAM_SO_MOI'!$D$53</f>
        <v>1.1</v>
      </c>
      <c r="I283" s="75">
        <f>IF(F283&gt;'THAM_SO_MOI'!$C$14,'THAM_SO_MOI'!$C$13*(1+F283^2/1500),'THAM_SO_MOI'!$C$13)</f>
        <v>0.015</v>
      </c>
      <c r="J283" s="75">
        <f>'THAM_SO_MOI'!$C$40*('THAM_SO_MOI'!$C$23*(E283/'THAM_SO_MOI'!$C$22)+'THAM_SO_MOI'!$C$24*(E283/'THAM_SO_MOI'!$C$22)^2-'THAM_SO_MOI'!$C$25*(E283/'THAM_SO_MOI'!$C$22)^3)</f>
        <v>52.55171225429594</v>
      </c>
      <c r="K283" s="75">
        <f>'THAM_SO_MOI'!$C$31*J283/E283</f>
        <v>392.02381204938337</v>
      </c>
      <c r="L283" s="75">
        <f>K283*'THAM_SO_MOI'!$C$53*'THAM_SO_MOI'!$C$17/'THAM_SO_MOI'!$C$26</f>
        <v>3438.0503656499427</v>
      </c>
      <c r="M283" s="75">
        <f>'THAM_SO_MOI'!$C$15*'THAM_SO_MOI'!$C$16*F283^2</f>
        <v>493.94303631411606</v>
      </c>
      <c r="N283" s="75">
        <f>'THAM_SO_MOI'!$C$12*I283</f>
        <v>1130.112</v>
      </c>
      <c r="O283" s="75">
        <f>M283+N283</f>
        <v>1624.055036314116</v>
      </c>
      <c r="P283" s="75">
        <f>(MIN(L283,'THAM_SO_MOI'!$C$41)-O283)/('THAM_SO_MOI'!$C$11*H283)</f>
        <v>0.2147248259156992</v>
      </c>
      <c r="Q283" s="75">
        <f>IF(P283&gt;0,1/P283,NA())</f>
        <v>4.657123347221151</v>
      </c>
      <c r="R283" s="75">
        <f>F283-F282</f>
        <v>0.01760042735042866</v>
      </c>
      <c r="S283" s="75">
        <f>0.5*(Q282+Q283)*R283</f>
        <v>0.08196672578263427</v>
      </c>
      <c r="T283" s="75">
        <f>0.5*(F282*Q282+F283*Q283)*R283</f>
        <v>1.0644343558670808</v>
      </c>
      <c r="U283" s="76">
        <f>U282+S283</f>
        <v>23.388420034178278</v>
      </c>
      <c r="V283" s="76">
        <f>V282+T283</f>
        <v>246.04855042327924</v>
      </c>
    </row>
    <row r="284" spans="1:22" ht="19" customHeight="1">
      <c r="A284" s="68" t="s">
        <v>362</v>
      </c>
      <c r="B284" s="74">
        <v>5</v>
      </c>
      <c r="C284" s="68" t="s">
        <v>363</v>
      </c>
      <c r="D284" s="68" t="s">
        <v>364</v>
      </c>
      <c r="E284" s="75">
        <f>60*F284*'THAM_SO_MOI'!$C$53/(2*PI()*'THAM_SO_MOI'!$C$26)</f>
        <v>1282.0812631578947</v>
      </c>
      <c r="F284" s="75">
        <f>'THAM_SO_MOI'!$E$53+('THAM_SO_MOI'!$C$14-'THAM_SO_MOI'!$E$53)*278/'THAM_SO_MOI'!$C$42</f>
        <v>13.012576923076924</v>
      </c>
      <c r="G284" s="75">
        <f>3.6*F284</f>
        <v>46.84527692307693</v>
      </c>
      <c r="H284" s="75">
        <f>'THAM_SO_MOI'!$D$53</f>
        <v>1.1</v>
      </c>
      <c r="I284" s="75">
        <f>IF(F284&gt;'THAM_SO_MOI'!$C$14,'THAM_SO_MOI'!$C$13*(1+F284^2/1500),'THAM_SO_MOI'!$C$13)</f>
        <v>0.015</v>
      </c>
      <c r="J284" s="75">
        <f>'THAM_SO_MOI'!$C$40*('THAM_SO_MOI'!$C$23*(E284/'THAM_SO_MOI'!$C$22)+'THAM_SO_MOI'!$C$24*(E284/'THAM_SO_MOI'!$C$22)^2-'THAM_SO_MOI'!$C$25*(E284/'THAM_SO_MOI'!$C$22)^3)</f>
        <v>52.642884344127296</v>
      </c>
      <c r="K284" s="75">
        <f>'THAM_SO_MOI'!$C$31*J284/E284</f>
        <v>392.172775339686</v>
      </c>
      <c r="L284" s="75">
        <f>K284*'THAM_SO_MOI'!$C$53*'THAM_SO_MOI'!$C$17/'THAM_SO_MOI'!$C$26</f>
        <v>3439.3567742887853</v>
      </c>
      <c r="M284" s="75">
        <f>'THAM_SO_MOI'!$C$15*'THAM_SO_MOI'!$C$16*F284^2</f>
        <v>495.2819376735579</v>
      </c>
      <c r="N284" s="75">
        <f>'THAM_SO_MOI'!$C$12*I284</f>
        <v>1130.112</v>
      </c>
      <c r="O284" s="75">
        <f>M284+N284</f>
        <v>1625.393937673558</v>
      </c>
      <c r="P284" s="75">
        <f>(MIN(L284,'THAM_SO_MOI'!$C$41)-O284)/('THAM_SO_MOI'!$C$11*H284)</f>
        <v>0.21472097971297674</v>
      </c>
      <c r="Q284" s="75">
        <f>IF(P284&gt;0,1/P284,NA())</f>
        <v>4.657206768228828</v>
      </c>
      <c r="R284" s="75">
        <f>F284-F283</f>
        <v>0.017600427350426884</v>
      </c>
      <c r="S284" s="75">
        <f>0.5*(Q283+Q284)*R284</f>
        <v>0.0819680952574353</v>
      </c>
      <c r="T284" s="75">
        <f>0.5*(F283*Q283+F284*Q284)*R284</f>
        <v>1.0658948144830944</v>
      </c>
      <c r="U284" s="76">
        <f>U283+S284</f>
        <v>23.47038812943571</v>
      </c>
      <c r="V284" s="76">
        <f>V283+T284</f>
        <v>247.11444523776234</v>
      </c>
    </row>
    <row r="285" spans="1:22" ht="19" customHeight="1">
      <c r="A285" s="68" t="s">
        <v>362</v>
      </c>
      <c r="B285" s="74">
        <v>5</v>
      </c>
      <c r="C285" s="68" t="s">
        <v>363</v>
      </c>
      <c r="D285" s="68" t="s">
        <v>364</v>
      </c>
      <c r="E285" s="75">
        <f>60*F285*'THAM_SO_MOI'!$C$53/(2*PI()*'THAM_SO_MOI'!$C$26)</f>
        <v>1283.8153684210524</v>
      </c>
      <c r="F285" s="75">
        <f>'THAM_SO_MOI'!$E$53+('THAM_SO_MOI'!$C$14-'THAM_SO_MOI'!$E$53)*279/'THAM_SO_MOI'!$C$42</f>
        <v>13.030177350427351</v>
      </c>
      <c r="G285" s="75">
        <f>3.6*F285</f>
        <v>46.908638461538466</v>
      </c>
      <c r="H285" s="75">
        <f>'THAM_SO_MOI'!$D$53</f>
        <v>1.1</v>
      </c>
      <c r="I285" s="75">
        <f>IF(F285&gt;'THAM_SO_MOI'!$C$14,'THAM_SO_MOI'!$C$13*(1+F285^2/1500),'THAM_SO_MOI'!$C$13)</f>
        <v>0.015</v>
      </c>
      <c r="J285" s="75">
        <f>'THAM_SO_MOI'!$C$40*('THAM_SO_MOI'!$C$23*(E285/'THAM_SO_MOI'!$C$22)+'THAM_SO_MOI'!$C$24*(E285/'THAM_SO_MOI'!$C$22)^2-'THAM_SO_MOI'!$C$25*(E285/'THAM_SO_MOI'!$C$22)^3)</f>
        <v>52.734071311972365</v>
      </c>
      <c r="K285" s="75">
        <f>'THAM_SO_MOI'!$C$31*J285/E285</f>
        <v>392.32144689436365</v>
      </c>
      <c r="L285" s="75">
        <f>K285*'THAM_SO_MOI'!$C$53*'THAM_SO_MOI'!$C$17/'THAM_SO_MOI'!$C$26</f>
        <v>3440.6606244050554</v>
      </c>
      <c r="M285" s="75">
        <f>'THAM_SO_MOI'!$C$15*'THAM_SO_MOI'!$C$16*F285^2</f>
        <v>496.6226512170006</v>
      </c>
      <c r="N285" s="75">
        <f>'THAM_SO_MOI'!$C$12*I285</f>
        <v>1130.112</v>
      </c>
      <c r="O285" s="75">
        <f>M285+N285</f>
        <v>1626.7346512170006</v>
      </c>
      <c r="P285" s="75">
        <f>(MIN(L285,'THAM_SO_MOI'!$C$41)-O285)/('THAM_SO_MOI'!$C$11*H285)</f>
        <v>0.21471661614441936</v>
      </c>
      <c r="Q285" s="75">
        <f>IF(P285&gt;0,1/P285,NA())</f>
        <v>4.657301414099202</v>
      </c>
      <c r="R285" s="75">
        <f>F285-F284</f>
        <v>0.017600427350426884</v>
      </c>
      <c r="S285" s="75">
        <f>0.5*(Q284+Q285)*R285</f>
        <v>0.08196966228401063</v>
      </c>
      <c r="T285" s="75">
        <f>0.5*(F284*Q284+F285*Q285)*R285</f>
        <v>1.0673578937020423</v>
      </c>
      <c r="U285" s="76">
        <f>U284+S285</f>
        <v>23.55235779171972</v>
      </c>
      <c r="V285" s="76">
        <f>V284+T285</f>
        <v>248.1818031314644</v>
      </c>
    </row>
    <row r="286" spans="1:22" ht="19" customHeight="1">
      <c r="A286" s="68" t="s">
        <v>362</v>
      </c>
      <c r="B286" s="74">
        <v>5</v>
      </c>
      <c r="C286" s="68" t="s">
        <v>363</v>
      </c>
      <c r="D286" s="68" t="s">
        <v>364</v>
      </c>
      <c r="E286" s="75">
        <f>60*F286*'THAM_SO_MOI'!$C$53/(2*PI()*'THAM_SO_MOI'!$C$26)</f>
        <v>1285.5494736842102</v>
      </c>
      <c r="F286" s="75">
        <f>'THAM_SO_MOI'!$E$53+('THAM_SO_MOI'!$C$14-'THAM_SO_MOI'!$E$53)*280/'THAM_SO_MOI'!$C$42</f>
        <v>13.047777777777778</v>
      </c>
      <c r="G286" s="75">
        <f>3.6*F286</f>
        <v>46.972</v>
      </c>
      <c r="H286" s="75">
        <f>'THAM_SO_MOI'!$D$53</f>
        <v>1.1</v>
      </c>
      <c r="I286" s="75">
        <f>IF(F286&gt;'THAM_SO_MOI'!$C$14,'THAM_SO_MOI'!$C$13*(1+F286^2/1500),'THAM_SO_MOI'!$C$13)</f>
        <v>0.015</v>
      </c>
      <c r="J286" s="75">
        <f>'THAM_SO_MOI'!$C$40*('THAM_SO_MOI'!$C$23*(E286/'THAM_SO_MOI'!$C$22)+'THAM_SO_MOI'!$C$24*(E286/'THAM_SO_MOI'!$C$22)^2-'THAM_SO_MOI'!$C$25*(E286/'THAM_SO_MOI'!$C$22)^3)</f>
        <v>52.825272998927844</v>
      </c>
      <c r="K286" s="75">
        <f>'THAM_SO_MOI'!$C$31*J286/E286</f>
        <v>392.4698267134162</v>
      </c>
      <c r="L286" s="75">
        <f>K286*'THAM_SO_MOI'!$C$53*'THAM_SO_MOI'!$C$17/'THAM_SO_MOI'!$C$26</f>
        <v>3441.9619159987515</v>
      </c>
      <c r="M286" s="75">
        <f>'THAM_SO_MOI'!$C$15*'THAM_SO_MOI'!$C$16*F286^2</f>
        <v>497.9651769444445</v>
      </c>
      <c r="N286" s="75">
        <f>'THAM_SO_MOI'!$C$12*I286</f>
        <v>1130.112</v>
      </c>
      <c r="O286" s="75">
        <f>M286+N286</f>
        <v>1628.0771769444445</v>
      </c>
      <c r="P286" s="75">
        <f>(MIN(L286,'THAM_SO_MOI'!$C$41)-O286)/('THAM_SO_MOI'!$C$11*H286)</f>
        <v>0.21471173521002687</v>
      </c>
      <c r="Q286" s="75">
        <f>IF(P286&gt;0,1/P286,NA())</f>
        <v>4.657407286200819</v>
      </c>
      <c r="R286" s="75">
        <f>F286-F285</f>
        <v>0.017600427350426884</v>
      </c>
      <c r="S286" s="75">
        <f>0.5*(Q285+Q286)*R286</f>
        <v>0.08197142688500986</v>
      </c>
      <c r="T286" s="75">
        <f>0.5*(F285*Q285+F286*Q286)*R286</f>
        <v>1.0688236042502512</v>
      </c>
      <c r="U286" s="76">
        <f>U285+S286</f>
        <v>23.63432921860473</v>
      </c>
      <c r="V286" s="76">
        <f>V285+T286</f>
        <v>249.25062673571463</v>
      </c>
    </row>
    <row r="287" spans="1:22" ht="19" customHeight="1">
      <c r="A287" s="68" t="s">
        <v>362</v>
      </c>
      <c r="B287" s="74">
        <v>5</v>
      </c>
      <c r="C287" s="68" t="s">
        <v>363</v>
      </c>
      <c r="D287" s="68" t="s">
        <v>364</v>
      </c>
      <c r="E287" s="75">
        <f>60*F287*'THAM_SO_MOI'!$C$53/(2*PI()*'THAM_SO_MOI'!$C$26)</f>
        <v>1287.283578947368</v>
      </c>
      <c r="F287" s="75">
        <f>'THAM_SO_MOI'!$E$53+('THAM_SO_MOI'!$C$14-'THAM_SO_MOI'!$E$53)*281/'THAM_SO_MOI'!$C$42</f>
        <v>13.065378205128205</v>
      </c>
      <c r="G287" s="75">
        <f>3.6*F287</f>
        <v>47.03536153846154</v>
      </c>
      <c r="H287" s="75">
        <f>'THAM_SO_MOI'!$D$53</f>
        <v>1.1</v>
      </c>
      <c r="I287" s="75">
        <f>IF(F287&gt;'THAM_SO_MOI'!$C$14,'THAM_SO_MOI'!$C$13*(1+F287^2/1500),'THAM_SO_MOI'!$C$13)</f>
        <v>0.015</v>
      </c>
      <c r="J287" s="75">
        <f>'THAM_SO_MOI'!$C$40*('THAM_SO_MOI'!$C$23*(E287/'THAM_SO_MOI'!$C$22)+'THAM_SO_MOI'!$C$24*(E287/'THAM_SO_MOI'!$C$22)^2-'THAM_SO_MOI'!$C$25*(E287/'THAM_SO_MOI'!$C$22)^3)</f>
        <v>52.91648924609048</v>
      </c>
      <c r="K287" s="75">
        <f>'THAM_SO_MOI'!$C$31*J287/E287</f>
        <v>392.6179147968437</v>
      </c>
      <c r="L287" s="75">
        <f>K287*'THAM_SO_MOI'!$C$53*'THAM_SO_MOI'!$C$17/'THAM_SO_MOI'!$C$26</f>
        <v>3443.260649069875</v>
      </c>
      <c r="M287" s="75">
        <f>'THAM_SO_MOI'!$C$15*'THAM_SO_MOI'!$C$16*F287^2</f>
        <v>499.3095148558894</v>
      </c>
      <c r="N287" s="75">
        <f>'THAM_SO_MOI'!$C$12*I287</f>
        <v>1130.112</v>
      </c>
      <c r="O287" s="75">
        <f>M287+N287</f>
        <v>1629.4215148558894</v>
      </c>
      <c r="P287" s="75">
        <f>(MIN(L287,'THAM_SO_MOI'!$C$41)-O287)/('THAM_SO_MOI'!$C$11*H287)</f>
        <v>0.2147063369097994</v>
      </c>
      <c r="Q287" s="75">
        <f>IF(P287&gt;0,1/P287,NA())</f>
        <v>4.657524386064634</v>
      </c>
      <c r="R287" s="75">
        <f>F287-F286</f>
        <v>0.017600427350426884</v>
      </c>
      <c r="S287" s="75">
        <f>0.5*(Q286+Q287)*R287</f>
        <v>0.08197338908594924</v>
      </c>
      <c r="T287" s="75">
        <f>0.5*(F286*Q286+F287*Q287)*R287</f>
        <v>1.0702919568930718</v>
      </c>
      <c r="U287" s="76">
        <f>U286+S287</f>
        <v>23.71630260769068</v>
      </c>
      <c r="V287" s="76">
        <f>V286+T287</f>
        <v>250.3209186926077</v>
      </c>
    </row>
    <row r="288" spans="1:22" ht="19" customHeight="1">
      <c r="A288" s="68" t="s">
        <v>362</v>
      </c>
      <c r="B288" s="74">
        <v>5</v>
      </c>
      <c r="C288" s="68" t="s">
        <v>363</v>
      </c>
      <c r="D288" s="68" t="s">
        <v>364</v>
      </c>
      <c r="E288" s="75">
        <f>60*F288*'THAM_SO_MOI'!$C$53/(2*PI()*'THAM_SO_MOI'!$C$26)</f>
        <v>1289.017684210526</v>
      </c>
      <c r="F288" s="75">
        <f>'THAM_SO_MOI'!$E$53+('THAM_SO_MOI'!$C$14-'THAM_SO_MOI'!$E$53)*282/'THAM_SO_MOI'!$C$42</f>
        <v>13.082978632478634</v>
      </c>
      <c r="G288" s="75">
        <f>3.6*F288</f>
        <v>47.09872307692308</v>
      </c>
      <c r="H288" s="75">
        <f>'THAM_SO_MOI'!$D$53</f>
        <v>1.1</v>
      </c>
      <c r="I288" s="75">
        <f>IF(F288&gt;'THAM_SO_MOI'!$C$14,'THAM_SO_MOI'!$C$13*(1+F288^2/1500),'THAM_SO_MOI'!$C$13)</f>
        <v>0.015</v>
      </c>
      <c r="J288" s="75">
        <f>'THAM_SO_MOI'!$C$40*('THAM_SO_MOI'!$C$23*(E288/'THAM_SO_MOI'!$C$22)+'THAM_SO_MOI'!$C$24*(E288/'THAM_SO_MOI'!$C$22)^2-'THAM_SO_MOI'!$C$25*(E288/'THAM_SO_MOI'!$C$22)^3)</f>
        <v>53.007719894556985</v>
      </c>
      <c r="K288" s="75">
        <f>'THAM_SO_MOI'!$C$31*J288/E288</f>
        <v>392.76571114464616</v>
      </c>
      <c r="L288" s="75">
        <f>K288*'THAM_SO_MOI'!$C$53*'THAM_SO_MOI'!$C$17/'THAM_SO_MOI'!$C$26</f>
        <v>3444.556823618425</v>
      </c>
      <c r="M288" s="75">
        <f>'THAM_SO_MOI'!$C$15*'THAM_SO_MOI'!$C$16*F288^2</f>
        <v>500.6556649513356</v>
      </c>
      <c r="N288" s="75">
        <f>'THAM_SO_MOI'!$C$12*I288</f>
        <v>1130.112</v>
      </c>
      <c r="O288" s="75">
        <f>M288+N288</f>
        <v>1630.7676649513357</v>
      </c>
      <c r="P288" s="75">
        <f>(MIN(L288,'THAM_SO_MOI'!$C$41)-O288)/('THAM_SO_MOI'!$C$11*H288)</f>
        <v>0.2147004212437369</v>
      </c>
      <c r="Q288" s="75">
        <f>IF(P288&gt;0,1/P288,NA())</f>
        <v>4.657652715384094</v>
      </c>
      <c r="R288" s="75">
        <f>F288-F287</f>
        <v>0.01760042735042866</v>
      </c>
      <c r="S288" s="75">
        <f>0.5*(Q287+Q288)*R288</f>
        <v>0.08197554891521248</v>
      </c>
      <c r="T288" s="75">
        <f>0.5*(F287*Q287+F288*Q288)*R288</f>
        <v>1.0717629624351401</v>
      </c>
      <c r="U288" s="76">
        <f>U287+S288</f>
        <v>23.798278156605893</v>
      </c>
      <c r="V288" s="76">
        <f>V287+T288</f>
        <v>251.39268165504285</v>
      </c>
    </row>
    <row r="289" spans="1:22" ht="19" customHeight="1">
      <c r="A289" s="68" t="s">
        <v>362</v>
      </c>
      <c r="B289" s="74">
        <v>5</v>
      </c>
      <c r="C289" s="68" t="s">
        <v>363</v>
      </c>
      <c r="D289" s="68" t="s">
        <v>364</v>
      </c>
      <c r="E289" s="75">
        <f>60*F289*'THAM_SO_MOI'!$C$53/(2*PI()*'THAM_SO_MOI'!$C$26)</f>
        <v>1290.751789473684</v>
      </c>
      <c r="F289" s="75">
        <f>'THAM_SO_MOI'!$E$53+('THAM_SO_MOI'!$C$14-'THAM_SO_MOI'!$E$53)*283/'THAM_SO_MOI'!$C$42</f>
        <v>13.10057905982906</v>
      </c>
      <c r="G289" s="75">
        <f>3.6*F289</f>
        <v>47.16208461538462</v>
      </c>
      <c r="H289" s="75">
        <f>'THAM_SO_MOI'!$D$53</f>
        <v>1.1</v>
      </c>
      <c r="I289" s="75">
        <f>IF(F289&gt;'THAM_SO_MOI'!$C$14,'THAM_SO_MOI'!$C$13*(1+F289^2/1500),'THAM_SO_MOI'!$C$13)</f>
        <v>0.015</v>
      </c>
      <c r="J289" s="75">
        <f>'THAM_SO_MOI'!$C$40*('THAM_SO_MOI'!$C$23*(E289/'THAM_SO_MOI'!$C$22)+'THAM_SO_MOI'!$C$24*(E289/'THAM_SO_MOI'!$C$22)^2-'THAM_SO_MOI'!$C$25*(E289/'THAM_SO_MOI'!$C$22)^3)</f>
        <v>53.09896478542409</v>
      </c>
      <c r="K289" s="75">
        <f>'THAM_SO_MOI'!$C$31*J289/E289</f>
        <v>392.91321575682366</v>
      </c>
      <c r="L289" s="75">
        <f>K289*'THAM_SO_MOI'!$C$53*'THAM_SO_MOI'!$C$17/'THAM_SO_MOI'!$C$26</f>
        <v>3445.8504396444027</v>
      </c>
      <c r="M289" s="75">
        <f>'THAM_SO_MOI'!$C$15*'THAM_SO_MOI'!$C$16*F289^2</f>
        <v>502.0036272307827</v>
      </c>
      <c r="N289" s="75">
        <f>'THAM_SO_MOI'!$C$12*I289</f>
        <v>1130.112</v>
      </c>
      <c r="O289" s="75">
        <f>M289+N289</f>
        <v>1632.1156272307828</v>
      </c>
      <c r="P289" s="75">
        <f>(MIN(L289,'THAM_SO_MOI'!$C$41)-O289)/('THAM_SO_MOI'!$C$11*H289)</f>
        <v>0.2146939882118395</v>
      </c>
      <c r="Q289" s="75">
        <f>IF(P289&gt;0,1/P289,NA())</f>
        <v>4.657792276015179</v>
      </c>
      <c r="R289" s="75">
        <f>F289-F288</f>
        <v>0.017600427350426884</v>
      </c>
      <c r="S289" s="75">
        <f>0.5*(Q288+Q289)*R289</f>
        <v>0.08197790640401045</v>
      </c>
      <c r="T289" s="75">
        <f>0.5*(F288*Q288+F289*Q289)*R289</f>
        <v>1.073236631720104</v>
      </c>
      <c r="U289" s="76">
        <f>U288+S289</f>
        <v>23.880256063009902</v>
      </c>
      <c r="V289" s="76">
        <f>V288+T289</f>
        <v>252.46591828676296</v>
      </c>
    </row>
    <row r="290" spans="1:22" ht="19" customHeight="1">
      <c r="A290" s="68" t="s">
        <v>362</v>
      </c>
      <c r="B290" s="74">
        <v>5</v>
      </c>
      <c r="C290" s="68" t="s">
        <v>363</v>
      </c>
      <c r="D290" s="68" t="s">
        <v>364</v>
      </c>
      <c r="E290" s="75">
        <f>60*F290*'THAM_SO_MOI'!$C$53/(2*PI()*'THAM_SO_MOI'!$C$26)</f>
        <v>1292.485894736842</v>
      </c>
      <c r="F290" s="75">
        <f>'THAM_SO_MOI'!$E$53+('THAM_SO_MOI'!$C$14-'THAM_SO_MOI'!$E$53)*284/'THAM_SO_MOI'!$C$42</f>
        <v>13.118179487179487</v>
      </c>
      <c r="G290" s="75">
        <f>3.6*F290</f>
        <v>47.22544615384616</v>
      </c>
      <c r="H290" s="75">
        <f>'THAM_SO_MOI'!$D$53</f>
        <v>1.1</v>
      </c>
      <c r="I290" s="75">
        <f>IF(F290&gt;'THAM_SO_MOI'!$C$14,'THAM_SO_MOI'!$C$13*(1+F290^2/1500),'THAM_SO_MOI'!$C$13)</f>
        <v>0.015</v>
      </c>
      <c r="J290" s="75">
        <f>'THAM_SO_MOI'!$C$40*('THAM_SO_MOI'!$C$23*(E290/'THAM_SO_MOI'!$C$22)+'THAM_SO_MOI'!$C$24*(E290/'THAM_SO_MOI'!$C$22)^2-'THAM_SO_MOI'!$C$25*(E290/'THAM_SO_MOI'!$C$22)^3)</f>
        <v>53.190223759788495</v>
      </c>
      <c r="K290" s="75">
        <f>'THAM_SO_MOI'!$C$31*J290/E290</f>
        <v>393.0604286333761</v>
      </c>
      <c r="L290" s="75">
        <f>K290*'THAM_SO_MOI'!$C$53*'THAM_SO_MOI'!$C$17/'THAM_SO_MOI'!$C$26</f>
        <v>3447.1414971478066</v>
      </c>
      <c r="M290" s="75">
        <f>'THAM_SO_MOI'!$C$15*'THAM_SO_MOI'!$C$16*F290^2</f>
        <v>503.35340169423085</v>
      </c>
      <c r="N290" s="75">
        <f>'THAM_SO_MOI'!$C$12*I290</f>
        <v>1130.112</v>
      </c>
      <c r="O290" s="75">
        <f>M290+N290</f>
        <v>1633.4654016942309</v>
      </c>
      <c r="P290" s="75">
        <f>(MIN(L290,'THAM_SO_MOI'!$C$41)-O290)/('THAM_SO_MOI'!$C$11*H290)</f>
        <v>0.21468703781410697</v>
      </c>
      <c r="Q290" s="75">
        <f>IF(P290&gt;0,1/P290,NA())</f>
        <v>4.657943069976489</v>
      </c>
      <c r="R290" s="75">
        <f>F290-F289</f>
        <v>0.017600427350426884</v>
      </c>
      <c r="S290" s="75">
        <f>0.5*(Q289+Q290)*R290</f>
        <v>0.08198046158646512</v>
      </c>
      <c r="T290" s="75">
        <f>0.5*(F289*Q289+F290*Q290)*R290</f>
        <v>1.0747129756319704</v>
      </c>
      <c r="U290" s="76">
        <f>U289+S290</f>
        <v>23.962236524596367</v>
      </c>
      <c r="V290" s="76">
        <f>V289+T290</f>
        <v>253.54063126239492</v>
      </c>
    </row>
    <row r="291" spans="1:22" ht="19" customHeight="1">
      <c r="A291" s="68" t="s">
        <v>362</v>
      </c>
      <c r="B291" s="74">
        <v>5</v>
      </c>
      <c r="C291" s="68" t="s">
        <v>363</v>
      </c>
      <c r="D291" s="68" t="s">
        <v>364</v>
      </c>
      <c r="E291" s="75">
        <f>60*F291*'THAM_SO_MOI'!$C$53/(2*PI()*'THAM_SO_MOI'!$C$26)</f>
        <v>1294.22</v>
      </c>
      <c r="F291" s="75">
        <f>'THAM_SO_MOI'!$E$53+('THAM_SO_MOI'!$C$14-'THAM_SO_MOI'!$E$53)*285/'THAM_SO_MOI'!$C$42</f>
        <v>13.135779914529916</v>
      </c>
      <c r="G291" s="75">
        <f>3.6*F291</f>
        <v>47.2888076923077</v>
      </c>
      <c r="H291" s="75">
        <f>'THAM_SO_MOI'!$D$53</f>
        <v>1.1</v>
      </c>
      <c r="I291" s="75">
        <f>IF(F291&gt;'THAM_SO_MOI'!$C$14,'THAM_SO_MOI'!$C$13*(1+F291^2/1500),'THAM_SO_MOI'!$C$13)</f>
        <v>0.015</v>
      </c>
      <c r="J291" s="75">
        <f>'THAM_SO_MOI'!$C$40*('THAM_SO_MOI'!$C$23*(E291/'THAM_SO_MOI'!$C$22)+'THAM_SO_MOI'!$C$24*(E291/'THAM_SO_MOI'!$C$22)^2-'THAM_SO_MOI'!$C$25*(E291/'THAM_SO_MOI'!$C$22)^3)</f>
        <v>53.28149665874693</v>
      </c>
      <c r="K291" s="75">
        <f>'THAM_SO_MOI'!$C$31*J291/E291</f>
        <v>393.20734977430357</v>
      </c>
      <c r="L291" s="75">
        <f>K291*'THAM_SO_MOI'!$C$53*'THAM_SO_MOI'!$C$17/'THAM_SO_MOI'!$C$26</f>
        <v>3448.4299961286383</v>
      </c>
      <c r="M291" s="75">
        <f>'THAM_SO_MOI'!$C$15*'THAM_SO_MOI'!$C$16*F291^2</f>
        <v>504.7049883416802</v>
      </c>
      <c r="N291" s="75">
        <f>'THAM_SO_MOI'!$C$12*I291</f>
        <v>1130.112</v>
      </c>
      <c r="O291" s="75">
        <f>M291+N291</f>
        <v>1634.8169883416804</v>
      </c>
      <c r="P291" s="75">
        <f>(MIN(L291,'THAM_SO_MOI'!$C$41)-O291)/('THAM_SO_MOI'!$C$11*H291)</f>
        <v>0.21467957005053953</v>
      </c>
      <c r="Q291" s="75">
        <f>IF(P291&gt;0,1/P291,NA())</f>
        <v>4.658105099449293</v>
      </c>
      <c r="R291" s="75">
        <f>F291-F290</f>
        <v>0.01760042735042866</v>
      </c>
      <c r="S291" s="75">
        <f>0.5*(Q290+Q291)*R291</f>
        <v>0.08198321449953619</v>
      </c>
      <c r="T291" s="75">
        <f>0.5*(F290*Q290+F291*Q291)*R291</f>
        <v>1.0761920050944003</v>
      </c>
      <c r="U291" s="76">
        <f>U290+S291</f>
        <v>24.044219739095904</v>
      </c>
      <c r="V291" s="76">
        <f>V290+T291</f>
        <v>254.61682326748934</v>
      </c>
    </row>
    <row r="292" spans="1:22" ht="19" customHeight="1">
      <c r="A292" s="68" t="s">
        <v>362</v>
      </c>
      <c r="B292" s="74">
        <v>5</v>
      </c>
      <c r="C292" s="68" t="s">
        <v>363</v>
      </c>
      <c r="D292" s="68" t="s">
        <v>364</v>
      </c>
      <c r="E292" s="75">
        <f>60*F292*'THAM_SO_MOI'!$C$53/(2*PI()*'THAM_SO_MOI'!$C$26)</f>
        <v>1295.9541052631578</v>
      </c>
      <c r="F292" s="75">
        <f>'THAM_SO_MOI'!$E$53+('THAM_SO_MOI'!$C$14-'THAM_SO_MOI'!$E$53)*286/'THAM_SO_MOI'!$C$42</f>
        <v>13.153380341880343</v>
      </c>
      <c r="G292" s="75">
        <f>3.6*F292</f>
        <v>47.352169230769235</v>
      </c>
      <c r="H292" s="75">
        <f>'THAM_SO_MOI'!$D$53</f>
        <v>1.1</v>
      </c>
      <c r="I292" s="75">
        <f>IF(F292&gt;'THAM_SO_MOI'!$C$14,'THAM_SO_MOI'!$C$13*(1+F292^2/1500),'THAM_SO_MOI'!$C$13)</f>
        <v>0.015</v>
      </c>
      <c r="J292" s="75">
        <f>'THAM_SO_MOI'!$C$40*('THAM_SO_MOI'!$C$23*(E292/'THAM_SO_MOI'!$C$22)+'THAM_SO_MOI'!$C$24*(E292/'THAM_SO_MOI'!$C$22)^2-'THAM_SO_MOI'!$C$25*(E292/'THAM_SO_MOI'!$C$22)^3)</f>
        <v>53.372783323396106</v>
      </c>
      <c r="K292" s="75">
        <f>'THAM_SO_MOI'!$C$31*J292/E292</f>
        <v>393.35397917960586</v>
      </c>
      <c r="L292" s="75">
        <f>K292*'THAM_SO_MOI'!$C$53*'THAM_SO_MOI'!$C$17/'THAM_SO_MOI'!$C$26</f>
        <v>3449.715936586896</v>
      </c>
      <c r="M292" s="75">
        <f>'THAM_SO_MOI'!$C$15*'THAM_SO_MOI'!$C$16*F292^2</f>
        <v>506.0583871731305</v>
      </c>
      <c r="N292" s="75">
        <f>'THAM_SO_MOI'!$C$12*I292</f>
        <v>1130.112</v>
      </c>
      <c r="O292" s="75">
        <f>M292+N292</f>
        <v>1636.1703871731306</v>
      </c>
      <c r="P292" s="75">
        <f>(MIN(L292,'THAM_SO_MOI'!$C$41)-O292)/('THAM_SO_MOI'!$C$11*H292)</f>
        <v>0.214671584921137</v>
      </c>
      <c r="Q292" s="75">
        <f>IF(P292&gt;0,1/P292,NA())</f>
        <v>4.658278366777633</v>
      </c>
      <c r="R292" s="75">
        <f>F292-F291</f>
        <v>0.017600427350426884</v>
      </c>
      <c r="S292" s="75">
        <f>0.5*(Q291+Q292)*R292</f>
        <v>0.08198616518302261</v>
      </c>
      <c r="T292" s="75">
        <f>0.5*(F291*Q291+F292*Q292)*R292</f>
        <v>1.0776737310709756</v>
      </c>
      <c r="U292" s="76">
        <f>U291+S292</f>
        <v>24.126205904278926</v>
      </c>
      <c r="V292" s="76">
        <f>V291+T292</f>
        <v>255.6944969985603</v>
      </c>
    </row>
    <row r="293" spans="1:22" ht="19" customHeight="1">
      <c r="A293" s="68" t="s">
        <v>362</v>
      </c>
      <c r="B293" s="74">
        <v>5</v>
      </c>
      <c r="C293" s="68" t="s">
        <v>363</v>
      </c>
      <c r="D293" s="68" t="s">
        <v>364</v>
      </c>
      <c r="E293" s="75">
        <f>60*F293*'THAM_SO_MOI'!$C$53/(2*PI()*'THAM_SO_MOI'!$C$26)</f>
        <v>1297.6882105263155</v>
      </c>
      <c r="F293" s="75">
        <f>'THAM_SO_MOI'!$E$53+('THAM_SO_MOI'!$C$14-'THAM_SO_MOI'!$E$53)*287/'THAM_SO_MOI'!$C$42</f>
        <v>13.17098076923077</v>
      </c>
      <c r="G293" s="75">
        <f>3.6*F293</f>
        <v>47.41553076923077</v>
      </c>
      <c r="H293" s="75">
        <f>'THAM_SO_MOI'!$D$53</f>
        <v>1.1</v>
      </c>
      <c r="I293" s="75">
        <f>IF(F293&gt;'THAM_SO_MOI'!$C$14,'THAM_SO_MOI'!$C$13*(1+F293^2/1500),'THAM_SO_MOI'!$C$13)</f>
        <v>0.015</v>
      </c>
      <c r="J293" s="75">
        <f>'THAM_SO_MOI'!$C$40*('THAM_SO_MOI'!$C$23*(E293/'THAM_SO_MOI'!$C$22)+'THAM_SO_MOI'!$C$24*(E293/'THAM_SO_MOI'!$C$22)^2-'THAM_SO_MOI'!$C$25*(E293/'THAM_SO_MOI'!$C$22)^3)</f>
        <v>53.464083594832765</v>
      </c>
      <c r="K293" s="75">
        <f>'THAM_SO_MOI'!$C$31*J293/E293</f>
        <v>393.50031684928325</v>
      </c>
      <c r="L293" s="75">
        <f>K293*'THAM_SO_MOI'!$C$53*'THAM_SO_MOI'!$C$17/'THAM_SO_MOI'!$C$26</f>
        <v>3450.9993185225812</v>
      </c>
      <c r="M293" s="75">
        <f>'THAM_SO_MOI'!$C$15*'THAM_SO_MOI'!$C$16*F293^2</f>
        <v>507.41359818858183</v>
      </c>
      <c r="N293" s="75">
        <f>'THAM_SO_MOI'!$C$12*I293</f>
        <v>1130.112</v>
      </c>
      <c r="O293" s="75">
        <f>M293+N293</f>
        <v>1637.5255981885819</v>
      </c>
      <c r="P293" s="75">
        <f>(MIN(L293,'THAM_SO_MOI'!$C$41)-O293)/('THAM_SO_MOI'!$C$11*H293)</f>
        <v>0.21466308242589952</v>
      </c>
      <c r="Q293" s="75">
        <f>IF(P293&gt;0,1/P293,NA())</f>
        <v>4.658462874468387</v>
      </c>
      <c r="R293" s="75">
        <f>F293-F292</f>
        <v>0.017600427350426884</v>
      </c>
      <c r="S293" s="75">
        <f>0.5*(Q292+Q293)*R293</f>
        <v>0.08198931367963828</v>
      </c>
      <c r="T293" s="75">
        <f>0.5*(F292*Q292+F293*Q293)*R293</f>
        <v>1.0791581645664496</v>
      </c>
      <c r="U293" s="76">
        <f>U292+S293</f>
        <v>24.208195217958565</v>
      </c>
      <c r="V293" s="76">
        <f>V292+T293</f>
        <v>256.77365516312676</v>
      </c>
    </row>
    <row r="294" spans="1:22" ht="19" customHeight="1">
      <c r="A294" s="68" t="s">
        <v>362</v>
      </c>
      <c r="B294" s="74">
        <v>5</v>
      </c>
      <c r="C294" s="68" t="s">
        <v>363</v>
      </c>
      <c r="D294" s="68" t="s">
        <v>364</v>
      </c>
      <c r="E294" s="75">
        <f>60*F294*'THAM_SO_MOI'!$C$53/(2*PI()*'THAM_SO_MOI'!$C$26)</f>
        <v>1299.4223157894735</v>
      </c>
      <c r="F294" s="75">
        <f>'THAM_SO_MOI'!$E$53+('THAM_SO_MOI'!$C$14-'THAM_SO_MOI'!$E$53)*288/'THAM_SO_MOI'!$C$42</f>
        <v>13.188581196581197</v>
      </c>
      <c r="G294" s="75">
        <f>3.6*F294</f>
        <v>47.47889230769231</v>
      </c>
      <c r="H294" s="75">
        <f>'THAM_SO_MOI'!$D$53</f>
        <v>1.1</v>
      </c>
      <c r="I294" s="75">
        <f>IF(F294&gt;'THAM_SO_MOI'!$C$14,'THAM_SO_MOI'!$C$13*(1+F294^2/1500),'THAM_SO_MOI'!$C$13)</f>
        <v>0.015</v>
      </c>
      <c r="J294" s="75">
        <f>'THAM_SO_MOI'!$C$40*('THAM_SO_MOI'!$C$23*(E294/'THAM_SO_MOI'!$C$22)+'THAM_SO_MOI'!$C$24*(E294/'THAM_SO_MOI'!$C$22)^2-'THAM_SO_MOI'!$C$25*(E294/'THAM_SO_MOI'!$C$22)^3)</f>
        <v>53.555397314153616</v>
      </c>
      <c r="K294" s="75">
        <f>'THAM_SO_MOI'!$C$31*J294/E294</f>
        <v>393.6463627833355</v>
      </c>
      <c r="L294" s="75">
        <f>K294*'THAM_SO_MOI'!$C$53*'THAM_SO_MOI'!$C$17/'THAM_SO_MOI'!$C$26</f>
        <v>3452.280141935693</v>
      </c>
      <c r="M294" s="75">
        <f>'THAM_SO_MOI'!$C$15*'THAM_SO_MOI'!$C$16*F294^2</f>
        <v>508.7706213880343</v>
      </c>
      <c r="N294" s="75">
        <f>'THAM_SO_MOI'!$C$12*I294</f>
        <v>1130.112</v>
      </c>
      <c r="O294" s="75">
        <f>M294+N294</f>
        <v>1638.8826213880343</v>
      </c>
      <c r="P294" s="75">
        <f>(MIN(L294,'THAM_SO_MOI'!$C$41)-O294)/('THAM_SO_MOI'!$C$11*H294)</f>
        <v>0.214654062564827</v>
      </c>
      <c r="Q294" s="75">
        <f>IF(P294&gt;0,1/P294,NA())</f>
        <v>4.658658625191373</v>
      </c>
      <c r="R294" s="75">
        <f>F294-F293</f>
        <v>0.017600427350426884</v>
      </c>
      <c r="S294" s="75">
        <f>0.5*(Q293+Q294)*R294</f>
        <v>0.08199266003493098</v>
      </c>
      <c r="T294" s="75">
        <f>0.5*(F293*Q293+F294*Q294)*R294</f>
        <v>1.080645316625931</v>
      </c>
      <c r="U294" s="76">
        <f>U293+S294</f>
        <v>24.290187877993496</v>
      </c>
      <c r="V294" s="76">
        <f>V293+T294</f>
        <v>257.8543004797527</v>
      </c>
    </row>
    <row r="295" spans="1:22" ht="19" customHeight="1">
      <c r="A295" s="68" t="s">
        <v>362</v>
      </c>
      <c r="B295" s="74">
        <v>5</v>
      </c>
      <c r="C295" s="68" t="s">
        <v>363</v>
      </c>
      <c r="D295" s="68" t="s">
        <v>364</v>
      </c>
      <c r="E295" s="75">
        <f>60*F295*'THAM_SO_MOI'!$C$53/(2*PI()*'THAM_SO_MOI'!$C$26)</f>
        <v>1301.1564210526312</v>
      </c>
      <c r="F295" s="75">
        <f>'THAM_SO_MOI'!$E$53+('THAM_SO_MOI'!$C$14-'THAM_SO_MOI'!$E$53)*289/'THAM_SO_MOI'!$C$42</f>
        <v>13.206181623931624</v>
      </c>
      <c r="G295" s="75">
        <f>3.6*F295</f>
        <v>47.54225384615385</v>
      </c>
      <c r="H295" s="75">
        <f>'THAM_SO_MOI'!$D$53</f>
        <v>1.1</v>
      </c>
      <c r="I295" s="75">
        <f>IF(F295&gt;'THAM_SO_MOI'!$C$14,'THAM_SO_MOI'!$C$13*(1+F295^2/1500),'THAM_SO_MOI'!$C$13)</f>
        <v>0.015</v>
      </c>
      <c r="J295" s="75">
        <f>'THAM_SO_MOI'!$C$40*('THAM_SO_MOI'!$C$23*(E295/'THAM_SO_MOI'!$C$22)+'THAM_SO_MOI'!$C$24*(E295/'THAM_SO_MOI'!$C$22)^2-'THAM_SO_MOI'!$C$25*(E295/'THAM_SO_MOI'!$C$22)^3)</f>
        <v>53.64672432245536</v>
      </c>
      <c r="K295" s="75">
        <f>'THAM_SO_MOI'!$C$31*J295/E295</f>
        <v>393.7921169817627</v>
      </c>
      <c r="L295" s="75">
        <f>K295*'THAM_SO_MOI'!$C$53*'THAM_SO_MOI'!$C$17/'THAM_SO_MOI'!$C$26</f>
        <v>3453.558406826231</v>
      </c>
      <c r="M295" s="75">
        <f>'THAM_SO_MOI'!$C$15*'THAM_SO_MOI'!$C$16*F295^2</f>
        <v>510.1294567714877</v>
      </c>
      <c r="N295" s="75">
        <f>'THAM_SO_MOI'!$C$12*I295</f>
        <v>1130.112</v>
      </c>
      <c r="O295" s="75">
        <f>M295+N295</f>
        <v>1640.2414567714877</v>
      </c>
      <c r="P295" s="75">
        <f>(MIN(L295,'THAM_SO_MOI'!$C$41)-O295)/('THAM_SO_MOI'!$C$11*H295)</f>
        <v>0.21464452533791942</v>
      </c>
      <c r="Q295" s="75">
        <f>IF(P295&gt;0,1/P295,NA())</f>
        <v>4.658865621779446</v>
      </c>
      <c r="R295" s="75">
        <f>F295-F294</f>
        <v>0.017600427350426884</v>
      </c>
      <c r="S295" s="75">
        <f>0.5*(Q294+Q295)*R295</f>
        <v>0.08199620429732543</v>
      </c>
      <c r="T295" s="75">
        <f>0.5*(F294*Q294+F295*Q295)*R295</f>
        <v>1.0821351983357037</v>
      </c>
      <c r="U295" s="76">
        <f>U294+S295</f>
        <v>24.372184082290822</v>
      </c>
      <c r="V295" s="76">
        <f>V294+T295</f>
        <v>258.9364356780884</v>
      </c>
    </row>
    <row r="296" spans="1:22" ht="19" customHeight="1">
      <c r="A296" s="68" t="s">
        <v>362</v>
      </c>
      <c r="B296" s="74">
        <v>5</v>
      </c>
      <c r="C296" s="68" t="s">
        <v>363</v>
      </c>
      <c r="D296" s="68" t="s">
        <v>364</v>
      </c>
      <c r="E296" s="75">
        <f>60*F296*'THAM_SO_MOI'!$C$53/(2*PI()*'THAM_SO_MOI'!$C$26)</f>
        <v>1302.8905263157892</v>
      </c>
      <c r="F296" s="75">
        <f>'THAM_SO_MOI'!$E$53+('THAM_SO_MOI'!$C$14-'THAM_SO_MOI'!$E$53)*290/'THAM_SO_MOI'!$C$42</f>
        <v>13.22378205128205</v>
      </c>
      <c r="G296" s="75">
        <f>3.6*F296</f>
        <v>47.60561538461538</v>
      </c>
      <c r="H296" s="75">
        <f>'THAM_SO_MOI'!$D$53</f>
        <v>1.1</v>
      </c>
      <c r="I296" s="75">
        <f>IF(F296&gt;'THAM_SO_MOI'!$C$14,'THAM_SO_MOI'!$C$13*(1+F296^2/1500),'THAM_SO_MOI'!$C$13)</f>
        <v>0.015</v>
      </c>
      <c r="J296" s="75">
        <f>'THAM_SO_MOI'!$C$40*('THAM_SO_MOI'!$C$23*(E296/'THAM_SO_MOI'!$C$22)+'THAM_SO_MOI'!$C$24*(E296/'THAM_SO_MOI'!$C$22)^2-'THAM_SO_MOI'!$C$25*(E296/'THAM_SO_MOI'!$C$22)^3)</f>
        <v>53.73806446083478</v>
      </c>
      <c r="K296" s="75">
        <f>'THAM_SO_MOI'!$C$31*J296/E296</f>
        <v>393.93757944456496</v>
      </c>
      <c r="L296" s="75">
        <f>K296*'THAM_SO_MOI'!$C$53*'THAM_SO_MOI'!$C$17/'THAM_SO_MOI'!$C$26</f>
        <v>3454.8341131941966</v>
      </c>
      <c r="M296" s="75">
        <f>'THAM_SO_MOI'!$C$15*'THAM_SO_MOI'!$C$16*F296^2</f>
        <v>511.49010433894233</v>
      </c>
      <c r="N296" s="75">
        <f>'THAM_SO_MOI'!$C$12*I296</f>
        <v>1130.112</v>
      </c>
      <c r="O296" s="75">
        <f>M296+N296</f>
        <v>1641.6021043389424</v>
      </c>
      <c r="P296" s="75">
        <f>(MIN(L296,'THAM_SO_MOI'!$C$41)-O296)/('THAM_SO_MOI'!$C$11*H296)</f>
        <v>0.21463447074517686</v>
      </c>
      <c r="Q296" s="75">
        <f>IF(P296&gt;0,1/P296,NA())</f>
        <v>4.659083867228588</v>
      </c>
      <c r="R296" s="75">
        <f>F296-F295</f>
        <v>0.017600427350426884</v>
      </c>
      <c r="S296" s="75">
        <f>0.5*(Q295+Q296)*R296</f>
        <v>0.08199994651811661</v>
      </c>
      <c r="T296" s="75">
        <f>0.5*(F295*Q295+F296*Q296)*R296</f>
        <v>1.0836278208233914</v>
      </c>
      <c r="U296" s="76">
        <f>U295+S296</f>
        <v>24.45418402880894</v>
      </c>
      <c r="V296" s="76">
        <f>V295+T296</f>
        <v>260.0200634989118</v>
      </c>
    </row>
    <row r="297" spans="1:22" ht="19" customHeight="1">
      <c r="A297" s="68" t="s">
        <v>362</v>
      </c>
      <c r="B297" s="74">
        <v>5</v>
      </c>
      <c r="C297" s="68" t="s">
        <v>363</v>
      </c>
      <c r="D297" s="68" t="s">
        <v>364</v>
      </c>
      <c r="E297" s="75">
        <f>60*F297*'THAM_SO_MOI'!$C$53/(2*PI()*'THAM_SO_MOI'!$C$26)</f>
        <v>1304.6246315789472</v>
      </c>
      <c r="F297" s="75">
        <f>'THAM_SO_MOI'!$E$53+('THAM_SO_MOI'!$C$14-'THAM_SO_MOI'!$E$53)*291/'THAM_SO_MOI'!$C$42</f>
        <v>13.24138247863248</v>
      </c>
      <c r="G297" s="75">
        <f>3.6*F297</f>
        <v>47.668976923076926</v>
      </c>
      <c r="H297" s="75">
        <f>'THAM_SO_MOI'!$D$53</f>
        <v>1.1</v>
      </c>
      <c r="I297" s="75">
        <f>IF(F297&gt;'THAM_SO_MOI'!$C$14,'THAM_SO_MOI'!$C$13*(1+F297^2/1500),'THAM_SO_MOI'!$C$13)</f>
        <v>0.015</v>
      </c>
      <c r="J297" s="75">
        <f>'THAM_SO_MOI'!$C$40*('THAM_SO_MOI'!$C$23*(E297/'THAM_SO_MOI'!$C$22)+'THAM_SO_MOI'!$C$24*(E297/'THAM_SO_MOI'!$C$22)^2-'THAM_SO_MOI'!$C$25*(E297/'THAM_SO_MOI'!$C$22)^3)</f>
        <v>53.82941757038854</v>
      </c>
      <c r="K297" s="75">
        <f>'THAM_SO_MOI'!$C$31*J297/E297</f>
        <v>394.0827501717422</v>
      </c>
      <c r="L297" s="75">
        <f>K297*'THAM_SO_MOI'!$C$53*'THAM_SO_MOI'!$C$17/'THAM_SO_MOI'!$C$26</f>
        <v>3456.1072610395895</v>
      </c>
      <c r="M297" s="75">
        <f>'THAM_SO_MOI'!$C$15*'THAM_SO_MOI'!$C$16*F297^2</f>
        <v>512.852564090398</v>
      </c>
      <c r="N297" s="75">
        <f>'THAM_SO_MOI'!$C$12*I297</f>
        <v>1130.112</v>
      </c>
      <c r="O297" s="75">
        <f>M297+N297</f>
        <v>1642.9645640903982</v>
      </c>
      <c r="P297" s="75">
        <f>(MIN(L297,'THAM_SO_MOI'!$C$41)-O297)/('THAM_SO_MOI'!$C$11*H297)</f>
        <v>0.21462389878659935</v>
      </c>
      <c r="Q297" s="75">
        <f>IF(P297&gt;0,1/P297,NA())</f>
        <v>4.659313364698032</v>
      </c>
      <c r="R297" s="75">
        <f>F297-F296</f>
        <v>0.01760042735042866</v>
      </c>
      <c r="S297" s="75">
        <f>0.5*(Q296+Q297)*R297</f>
        <v>0.08200388675148002</v>
      </c>
      <c r="T297" s="75">
        <f>0.5*(F296*Q296+F297*Q297)*R297</f>
        <v>1.0851231952583456</v>
      </c>
      <c r="U297" s="76">
        <f>U296+S297</f>
        <v>24.53618791556042</v>
      </c>
      <c r="V297" s="76">
        <f>V296+T297</f>
        <v>261.10518669417013</v>
      </c>
    </row>
    <row r="298" spans="1:22" ht="19" customHeight="1">
      <c r="A298" s="68" t="s">
        <v>362</v>
      </c>
      <c r="B298" s="74">
        <v>5</v>
      </c>
      <c r="C298" s="68" t="s">
        <v>363</v>
      </c>
      <c r="D298" s="68" t="s">
        <v>364</v>
      </c>
      <c r="E298" s="75">
        <f>60*F298*'THAM_SO_MOI'!$C$53/(2*PI()*'THAM_SO_MOI'!$C$26)</f>
        <v>1306.3587368421051</v>
      </c>
      <c r="F298" s="75">
        <f>'THAM_SO_MOI'!$E$53+('THAM_SO_MOI'!$C$14-'THAM_SO_MOI'!$E$53)*292/'THAM_SO_MOI'!$C$42</f>
        <v>13.258982905982908</v>
      </c>
      <c r="G298" s="75">
        <f>3.6*F298</f>
        <v>47.73233846153847</v>
      </c>
      <c r="H298" s="75">
        <f>'THAM_SO_MOI'!$D$53</f>
        <v>1.1</v>
      </c>
      <c r="I298" s="75">
        <f>IF(F298&gt;'THAM_SO_MOI'!$C$14,'THAM_SO_MOI'!$C$13*(1+F298^2/1500),'THAM_SO_MOI'!$C$13)</f>
        <v>0.015</v>
      </c>
      <c r="J298" s="75">
        <f>'THAM_SO_MOI'!$C$40*('THAM_SO_MOI'!$C$23*(E298/'THAM_SO_MOI'!$C$22)+'THAM_SO_MOI'!$C$24*(E298/'THAM_SO_MOI'!$C$22)^2-'THAM_SO_MOI'!$C$25*(E298/'THAM_SO_MOI'!$C$22)^3)</f>
        <v>53.92078349221339</v>
      </c>
      <c r="K298" s="75">
        <f>'THAM_SO_MOI'!$C$31*J298/E298</f>
        <v>394.22762916329435</v>
      </c>
      <c r="L298" s="75">
        <f>K298*'THAM_SO_MOI'!$C$53*'THAM_SO_MOI'!$C$17/'THAM_SO_MOI'!$C$26</f>
        <v>3457.3778503624085</v>
      </c>
      <c r="M298" s="75">
        <f>'THAM_SO_MOI'!$C$15*'THAM_SO_MOI'!$C$16*F298^2</f>
        <v>514.2168360258548</v>
      </c>
      <c r="N298" s="75">
        <f>'THAM_SO_MOI'!$C$12*I298</f>
        <v>1130.112</v>
      </c>
      <c r="O298" s="75">
        <f>M298+N298</f>
        <v>1644.3288360258548</v>
      </c>
      <c r="P298" s="75">
        <f>(MIN(L298,'THAM_SO_MOI'!$C$41)-O298)/('THAM_SO_MOI'!$C$11*H298)</f>
        <v>0.21461280946218675</v>
      </c>
      <c r="Q298" s="75">
        <f>IF(P298&gt;0,1/P298,NA())</f>
        <v>4.659554117510367</v>
      </c>
      <c r="R298" s="75">
        <f>F298-F297</f>
        <v>0.01760042735042866</v>
      </c>
      <c r="S298" s="75">
        <f>0.5*(Q297+Q298)*R298</f>
        <v>0.08200802505444048</v>
      </c>
      <c r="T298" s="75">
        <f>0.5*(F297*Q297+F298*Q298)*R298</f>
        <v>1.0866213328514862</v>
      </c>
      <c r="U298" s="76">
        <f>U297+S298</f>
        <v>24.61819594061486</v>
      </c>
      <c r="V298" s="76">
        <f>V297+T298</f>
        <v>262.19180802702164</v>
      </c>
    </row>
    <row r="299" spans="1:22" ht="19" customHeight="1">
      <c r="A299" s="68" t="s">
        <v>362</v>
      </c>
      <c r="B299" s="74">
        <v>5</v>
      </c>
      <c r="C299" s="68" t="s">
        <v>363</v>
      </c>
      <c r="D299" s="68" t="s">
        <v>364</v>
      </c>
      <c r="E299" s="75">
        <f>60*F299*'THAM_SO_MOI'!$C$53/(2*PI()*'THAM_SO_MOI'!$C$26)</f>
        <v>1308.092842105263</v>
      </c>
      <c r="F299" s="75">
        <f>'THAM_SO_MOI'!$E$53+('THAM_SO_MOI'!$C$14-'THAM_SO_MOI'!$E$53)*293/'THAM_SO_MOI'!$C$42</f>
        <v>13.276583333333335</v>
      </c>
      <c r="G299" s="75">
        <f>3.6*F299</f>
        <v>47.795700000000004</v>
      </c>
      <c r="H299" s="75">
        <f>'THAM_SO_MOI'!$D$53</f>
        <v>1.1</v>
      </c>
      <c r="I299" s="75">
        <f>IF(F299&gt;'THAM_SO_MOI'!$C$14,'THAM_SO_MOI'!$C$13*(1+F299^2/1500),'THAM_SO_MOI'!$C$13)</f>
        <v>0.015</v>
      </c>
      <c r="J299" s="75">
        <f>'THAM_SO_MOI'!$C$40*('THAM_SO_MOI'!$C$23*(E299/'THAM_SO_MOI'!$C$22)+'THAM_SO_MOI'!$C$24*(E299/'THAM_SO_MOI'!$C$22)^2-'THAM_SO_MOI'!$C$25*(E299/'THAM_SO_MOI'!$C$22)^3)</f>
        <v>54.012162067406024</v>
      </c>
      <c r="K299" s="75">
        <f>'THAM_SO_MOI'!$C$31*J299/E299</f>
        <v>394.3722164192215</v>
      </c>
      <c r="L299" s="75">
        <f>K299*'THAM_SO_MOI'!$C$53*'THAM_SO_MOI'!$C$17/'THAM_SO_MOI'!$C$26</f>
        <v>3458.6458811626553</v>
      </c>
      <c r="M299" s="75">
        <f>'THAM_SO_MOI'!$C$15*'THAM_SO_MOI'!$C$16*F299^2</f>
        <v>515.5829201453126</v>
      </c>
      <c r="N299" s="75">
        <f>'THAM_SO_MOI'!$C$12*I299</f>
        <v>1130.112</v>
      </c>
      <c r="O299" s="75">
        <f>M299+N299</f>
        <v>1645.6949201453126</v>
      </c>
      <c r="P299" s="75">
        <f>(MIN(L299,'THAM_SO_MOI'!$C$41)-O299)/('THAM_SO_MOI'!$C$11*H299)</f>
        <v>0.21460120277193925</v>
      </c>
      <c r="Q299" s="75">
        <f>IF(P299&gt;0,1/P299,NA())</f>
        <v>4.659806129151656</v>
      </c>
      <c r="R299" s="75">
        <f>F299-F298</f>
        <v>0.017600427350426884</v>
      </c>
      <c r="S299" s="75">
        <f>0.5*(Q298+Q299)*R299</f>
        <v>0.08201236148691564</v>
      </c>
      <c r="T299" s="75">
        <f>0.5*(F298*Q298+F299*Q299)*R299</f>
        <v>1.0881222448561285</v>
      </c>
      <c r="U299" s="76">
        <f>U298+S299</f>
        <v>24.700208302101775</v>
      </c>
      <c r="V299" s="76">
        <f>V298+T299</f>
        <v>263.2799302718778</v>
      </c>
    </row>
    <row r="300" spans="1:22" ht="19" customHeight="1">
      <c r="A300" s="68" t="s">
        <v>362</v>
      </c>
      <c r="B300" s="74">
        <v>5</v>
      </c>
      <c r="C300" s="68" t="s">
        <v>363</v>
      </c>
      <c r="D300" s="68" t="s">
        <v>364</v>
      </c>
      <c r="E300" s="75">
        <f>60*F300*'THAM_SO_MOI'!$C$53/(2*PI()*'THAM_SO_MOI'!$C$26)</f>
        <v>1309.826947368421</v>
      </c>
      <c r="F300" s="75">
        <f>'THAM_SO_MOI'!$E$53+('THAM_SO_MOI'!$C$14-'THAM_SO_MOI'!$E$53)*294/'THAM_SO_MOI'!$C$42</f>
        <v>13.294183760683762</v>
      </c>
      <c r="G300" s="75">
        <f>3.6*F300</f>
        <v>47.859061538461546</v>
      </c>
      <c r="H300" s="75">
        <f>'THAM_SO_MOI'!$D$53</f>
        <v>1.1</v>
      </c>
      <c r="I300" s="75">
        <f>IF(F300&gt;'THAM_SO_MOI'!$C$14,'THAM_SO_MOI'!$C$13*(1+F300^2/1500),'THAM_SO_MOI'!$C$13)</f>
        <v>0.015</v>
      </c>
      <c r="J300" s="75">
        <f>'THAM_SO_MOI'!$C$40*('THAM_SO_MOI'!$C$23*(E300/'THAM_SO_MOI'!$C$22)+'THAM_SO_MOI'!$C$24*(E300/'THAM_SO_MOI'!$C$22)^2-'THAM_SO_MOI'!$C$25*(E300/'THAM_SO_MOI'!$C$22)^3)</f>
        <v>54.103553137063194</v>
      </c>
      <c r="K300" s="75">
        <f>'THAM_SO_MOI'!$C$31*J300/E300</f>
        <v>394.5165119395235</v>
      </c>
      <c r="L300" s="75">
        <f>K300*'THAM_SO_MOI'!$C$53*'THAM_SO_MOI'!$C$17/'THAM_SO_MOI'!$C$26</f>
        <v>3459.911353440328</v>
      </c>
      <c r="M300" s="75">
        <f>'THAM_SO_MOI'!$C$15*'THAM_SO_MOI'!$C$16*F300^2</f>
        <v>516.9508164487714</v>
      </c>
      <c r="N300" s="75">
        <f>'THAM_SO_MOI'!$C$12*I300</f>
        <v>1130.112</v>
      </c>
      <c r="O300" s="75">
        <f>M300+N300</f>
        <v>1647.0628164487716</v>
      </c>
      <c r="P300" s="75">
        <f>(MIN(L300,'THAM_SO_MOI'!$C$41)-O300)/('THAM_SO_MOI'!$C$11*H300)</f>
        <v>0.2145890787158566</v>
      </c>
      <c r="Q300" s="75">
        <f>IF(P300&gt;0,1/P300,NA())</f>
        <v>4.66006940327158</v>
      </c>
      <c r="R300" s="75">
        <f>F300-F299</f>
        <v>0.017600427350426884</v>
      </c>
      <c r="S300" s="75">
        <f>0.5*(Q299+Q300)*R300</f>
        <v>0.08201689611171811</v>
      </c>
      <c r="T300" s="75">
        <f>0.5*(F299*Q299+F300*Q300)*R300</f>
        <v>1.089625942568267</v>
      </c>
      <c r="U300" s="76">
        <f>U299+S300</f>
        <v>24.782225198213492</v>
      </c>
      <c r="V300" s="76">
        <f>V299+T300</f>
        <v>264.36955621444605</v>
      </c>
    </row>
    <row r="301" spans="1:22" ht="19" customHeight="1">
      <c r="A301" s="68" t="s">
        <v>362</v>
      </c>
      <c r="B301" s="74">
        <v>5</v>
      </c>
      <c r="C301" s="68" t="s">
        <v>363</v>
      </c>
      <c r="D301" s="68" t="s">
        <v>364</v>
      </c>
      <c r="E301" s="75">
        <f>60*F301*'THAM_SO_MOI'!$C$53/(2*PI()*'THAM_SO_MOI'!$C$26)</f>
        <v>1311.5610526315788</v>
      </c>
      <c r="F301" s="75">
        <f>'THAM_SO_MOI'!$E$53+('THAM_SO_MOI'!$C$14-'THAM_SO_MOI'!$E$53)*295/'THAM_SO_MOI'!$C$42</f>
        <v>13.311784188034189</v>
      </c>
      <c r="G301" s="75">
        <f>3.6*F301</f>
        <v>47.92242307692308</v>
      </c>
      <c r="H301" s="75">
        <f>'THAM_SO_MOI'!$D$53</f>
        <v>1.1</v>
      </c>
      <c r="I301" s="75">
        <f>IF(F301&gt;'THAM_SO_MOI'!$C$14,'THAM_SO_MOI'!$C$13*(1+F301^2/1500),'THAM_SO_MOI'!$C$13)</f>
        <v>0.015</v>
      </c>
      <c r="J301" s="75">
        <f>'THAM_SO_MOI'!$C$40*('THAM_SO_MOI'!$C$23*(E301/'THAM_SO_MOI'!$C$22)+'THAM_SO_MOI'!$C$24*(E301/'THAM_SO_MOI'!$C$22)^2-'THAM_SO_MOI'!$C$25*(E301/'THAM_SO_MOI'!$C$22)^3)</f>
        <v>54.194956542281595</v>
      </c>
      <c r="K301" s="75">
        <f>'THAM_SO_MOI'!$C$31*J301/E301</f>
        <v>394.66051572420065</v>
      </c>
      <c r="L301" s="75">
        <f>K301*'THAM_SO_MOI'!$C$53*'THAM_SO_MOI'!$C$17/'THAM_SO_MOI'!$C$26</f>
        <v>3461.1742671954285</v>
      </c>
      <c r="M301" s="75">
        <f>'THAM_SO_MOI'!$C$15*'THAM_SO_MOI'!$C$16*F301^2</f>
        <v>518.3205249362314</v>
      </c>
      <c r="N301" s="75">
        <f>'THAM_SO_MOI'!$C$12*I301</f>
        <v>1130.112</v>
      </c>
      <c r="O301" s="75">
        <f>M301+N301</f>
        <v>1648.4325249362314</v>
      </c>
      <c r="P301" s="75">
        <f>(MIN(L301,'THAM_SO_MOI'!$C$41)-O301)/('THAM_SO_MOI'!$C$11*H301)</f>
        <v>0.21457643729393905</v>
      </c>
      <c r="Q301" s="75">
        <f>IF(P301&gt;0,1/P301,NA())</f>
        <v>4.660343943683541</v>
      </c>
      <c r="R301" s="75">
        <f>F301-F300</f>
        <v>0.017600427350426884</v>
      </c>
      <c r="S301" s="75">
        <f>0.5*(Q300+Q301)*R301</f>
        <v>0.08202162899451634</v>
      </c>
      <c r="T301" s="75">
        <f>0.5*(F300*Q300+F301*Q301)*R301</f>
        <v>1.0911324373263103</v>
      </c>
      <c r="U301" s="76">
        <f>U300+S301</f>
        <v>24.86424682720801</v>
      </c>
      <c r="V301" s="76">
        <f>V300+T301</f>
        <v>265.4606886517724</v>
      </c>
    </row>
    <row r="302" spans="1:22" ht="19" customHeight="1">
      <c r="A302" s="68" t="s">
        <v>362</v>
      </c>
      <c r="B302" s="74">
        <v>5</v>
      </c>
      <c r="C302" s="68" t="s">
        <v>363</v>
      </c>
      <c r="D302" s="68" t="s">
        <v>364</v>
      </c>
      <c r="E302" s="75">
        <f>60*F302*'THAM_SO_MOI'!$C$53/(2*PI()*'THAM_SO_MOI'!$C$26)</f>
        <v>1313.2951578947366</v>
      </c>
      <c r="F302" s="75">
        <f>'THAM_SO_MOI'!$E$53+('THAM_SO_MOI'!$C$14-'THAM_SO_MOI'!$E$53)*296/'THAM_SO_MOI'!$C$42</f>
        <v>13.329384615384615</v>
      </c>
      <c r="G302" s="75">
        <f>3.6*F302</f>
        <v>47.98578461538462</v>
      </c>
      <c r="H302" s="75">
        <f>'THAM_SO_MOI'!$D$53</f>
        <v>1.1</v>
      </c>
      <c r="I302" s="75">
        <f>IF(F302&gt;'THAM_SO_MOI'!$C$14,'THAM_SO_MOI'!$C$13*(1+F302^2/1500),'THAM_SO_MOI'!$C$13)</f>
        <v>0.015</v>
      </c>
      <c r="J302" s="75">
        <f>'THAM_SO_MOI'!$C$40*('THAM_SO_MOI'!$C$23*(E302/'THAM_SO_MOI'!$C$22)+'THAM_SO_MOI'!$C$24*(E302/'THAM_SO_MOI'!$C$22)^2-'THAM_SO_MOI'!$C$25*(E302/'THAM_SO_MOI'!$C$22)^3)</f>
        <v>54.28637212415795</v>
      </c>
      <c r="K302" s="75">
        <f>'THAM_SO_MOI'!$C$31*J302/E302</f>
        <v>394.80422777325265</v>
      </c>
      <c r="L302" s="75">
        <f>K302*'THAM_SO_MOI'!$C$53*'THAM_SO_MOI'!$C$17/'THAM_SO_MOI'!$C$26</f>
        <v>3462.434622427955</v>
      </c>
      <c r="M302" s="75">
        <f>'THAM_SO_MOI'!$C$15*'THAM_SO_MOI'!$C$16*F302^2</f>
        <v>519.6920456076923</v>
      </c>
      <c r="N302" s="75">
        <f>'THAM_SO_MOI'!$C$12*I302</f>
        <v>1130.112</v>
      </c>
      <c r="O302" s="75">
        <f>M302+N302</f>
        <v>1649.8040456076924</v>
      </c>
      <c r="P302" s="75">
        <f>(MIN(L302,'THAM_SO_MOI'!$C$41)-O302)/('THAM_SO_MOI'!$C$11*H302)</f>
        <v>0.21456327850618642</v>
      </c>
      <c r="Q302" s="75">
        <f>IF(P302&gt;0,1/P302,NA())</f>
        <v>4.6606297543648285</v>
      </c>
      <c r="R302" s="75">
        <f>F302-F301</f>
        <v>0.017600427350426884</v>
      </c>
      <c r="S302" s="75">
        <f>0.5*(Q301+Q302)*R302</f>
        <v>0.08202656020387007</v>
      </c>
      <c r="T302" s="75">
        <f>0.5*(F301*Q301+F302*Q302)*R302</f>
        <v>1.0926417405118027</v>
      </c>
      <c r="U302" s="76">
        <f>U301+S302</f>
        <v>24.946273387411882</v>
      </c>
      <c r="V302" s="76">
        <f>V301+T302</f>
        <v>266.5533303922842</v>
      </c>
    </row>
    <row r="303" spans="1:22" ht="19" customHeight="1">
      <c r="A303" s="68" t="s">
        <v>362</v>
      </c>
      <c r="B303" s="74">
        <v>5</v>
      </c>
      <c r="C303" s="68" t="s">
        <v>363</v>
      </c>
      <c r="D303" s="68" t="s">
        <v>364</v>
      </c>
      <c r="E303" s="75">
        <f>60*F303*'THAM_SO_MOI'!$C$53/(2*PI()*'THAM_SO_MOI'!$C$26)</f>
        <v>1315.0292631578943</v>
      </c>
      <c r="F303" s="75">
        <f>'THAM_SO_MOI'!$E$53+('THAM_SO_MOI'!$C$14-'THAM_SO_MOI'!$E$53)*297/'THAM_SO_MOI'!$C$42</f>
        <v>13.346985042735042</v>
      </c>
      <c r="G303" s="75">
        <f>3.6*F303</f>
        <v>48.04914615384615</v>
      </c>
      <c r="H303" s="75">
        <f>'THAM_SO_MOI'!$D$53</f>
        <v>1.1</v>
      </c>
      <c r="I303" s="75">
        <f>IF(F303&gt;'THAM_SO_MOI'!$C$14,'THAM_SO_MOI'!$C$13*(1+F303^2/1500),'THAM_SO_MOI'!$C$13)</f>
        <v>0.015</v>
      </c>
      <c r="J303" s="75">
        <f>'THAM_SO_MOI'!$C$40*('THAM_SO_MOI'!$C$23*(E303/'THAM_SO_MOI'!$C$22)+'THAM_SO_MOI'!$C$24*(E303/'THAM_SO_MOI'!$C$22)^2-'THAM_SO_MOI'!$C$25*(E303/'THAM_SO_MOI'!$C$22)^3)</f>
        <v>54.377799723788996</v>
      </c>
      <c r="K303" s="75">
        <f>'THAM_SO_MOI'!$C$31*J303/E303</f>
        <v>394.94764808667964</v>
      </c>
      <c r="L303" s="75">
        <f>K303*'THAM_SO_MOI'!$C$53*'THAM_SO_MOI'!$C$17/'THAM_SO_MOI'!$C$26</f>
        <v>3463.6924191379094</v>
      </c>
      <c r="M303" s="75">
        <f>'THAM_SO_MOI'!$C$15*'THAM_SO_MOI'!$C$16*F303^2</f>
        <v>521.0653784631544</v>
      </c>
      <c r="N303" s="75">
        <f>'THAM_SO_MOI'!$C$12*I303</f>
        <v>1130.112</v>
      </c>
      <c r="O303" s="75">
        <f>M303+N303</f>
        <v>1651.1773784631546</v>
      </c>
      <c r="P303" s="75">
        <f>(MIN(L303,'THAM_SO_MOI'!$C$41)-O303)/('THAM_SO_MOI'!$C$11*H303)</f>
        <v>0.21454960235259882</v>
      </c>
      <c r="Q303" s="75">
        <f>IF(P303&gt;0,1/P303,NA())</f>
        <v>4.660926839456746</v>
      </c>
      <c r="R303" s="75">
        <f>F303-F302</f>
        <v>0.017600427350426884</v>
      </c>
      <c r="S303" s="75">
        <f>0.5*(Q302+Q303)*R303</f>
        <v>0.08203168981122465</v>
      </c>
      <c r="T303" s="75">
        <f>0.5*(F302*Q302+F303*Q303)*R303</f>
        <v>1.094153863549605</v>
      </c>
      <c r="U303" s="76">
        <f>U302+S303</f>
        <v>25.028305077223106</v>
      </c>
      <c r="V303" s="76">
        <f>V302+T303</f>
        <v>267.6474842558338</v>
      </c>
    </row>
    <row r="304" spans="1:22" ht="19" customHeight="1">
      <c r="A304" s="68" t="s">
        <v>362</v>
      </c>
      <c r="B304" s="74">
        <v>5</v>
      </c>
      <c r="C304" s="68" t="s">
        <v>363</v>
      </c>
      <c r="D304" s="68" t="s">
        <v>364</v>
      </c>
      <c r="E304" s="75">
        <f>60*F304*'THAM_SO_MOI'!$C$53/(2*PI()*'THAM_SO_MOI'!$C$26)</f>
        <v>1316.7633684210523</v>
      </c>
      <c r="F304" s="75">
        <f>'THAM_SO_MOI'!$E$53+('THAM_SO_MOI'!$C$14-'THAM_SO_MOI'!$E$53)*298/'THAM_SO_MOI'!$C$42</f>
        <v>13.36458547008547</v>
      </c>
      <c r="G304" s="75">
        <f>3.6*F304</f>
        <v>48.11250769230769</v>
      </c>
      <c r="H304" s="75">
        <f>'THAM_SO_MOI'!$D$53</f>
        <v>1.1</v>
      </c>
      <c r="I304" s="75">
        <f>IF(F304&gt;'THAM_SO_MOI'!$C$14,'THAM_SO_MOI'!$C$13*(1+F304^2/1500),'THAM_SO_MOI'!$C$13)</f>
        <v>0.015</v>
      </c>
      <c r="J304" s="75">
        <f>'THAM_SO_MOI'!$C$40*('THAM_SO_MOI'!$C$23*(E304/'THAM_SO_MOI'!$C$22)+'THAM_SO_MOI'!$C$24*(E304/'THAM_SO_MOI'!$C$22)^2-'THAM_SO_MOI'!$C$25*(E304/'THAM_SO_MOI'!$C$22)^3)</f>
        <v>54.469239182271444</v>
      </c>
      <c r="K304" s="75">
        <f>'THAM_SO_MOI'!$C$31*J304/E304</f>
        <v>395.0907766644815</v>
      </c>
      <c r="L304" s="75">
        <f>K304*'THAM_SO_MOI'!$C$53*'THAM_SO_MOI'!$C$17/'THAM_SO_MOI'!$C$26</f>
        <v>3464.947657325289</v>
      </c>
      <c r="M304" s="75">
        <f>'THAM_SO_MOI'!$C$15*'THAM_SO_MOI'!$C$16*F304^2</f>
        <v>522.4405235026176</v>
      </c>
      <c r="N304" s="75">
        <f>'THAM_SO_MOI'!$C$12*I304</f>
        <v>1130.112</v>
      </c>
      <c r="O304" s="75">
        <f>M304+N304</f>
        <v>1652.5525235026175</v>
      </c>
      <c r="P304" s="75">
        <f>(MIN(L304,'THAM_SO_MOI'!$C$41)-O304)/('THAM_SO_MOI'!$C$11*H304)</f>
        <v>0.2145354088331761</v>
      </c>
      <c r="Q304" s="75">
        <f>IF(P304&gt;0,1/P304,NA())</f>
        <v>4.66123520326477</v>
      </c>
      <c r="R304" s="75">
        <f>F304-F303</f>
        <v>0.017600427350426884</v>
      </c>
      <c r="S304" s="75">
        <f>0.5*(Q303+Q304)*R304</f>
        <v>0.08203701789091356</v>
      </c>
      <c r="T304" s="75">
        <f>0.5*(F303*Q303+F304*Q304)*R304</f>
        <v>1.0956688179081806</v>
      </c>
      <c r="U304" s="76">
        <f>U303+S304</f>
        <v>25.11034209511402</v>
      </c>
      <c r="V304" s="76">
        <f>V303+T304</f>
        <v>268.74315307374195</v>
      </c>
    </row>
    <row r="305" spans="1:22" ht="19" customHeight="1">
      <c r="A305" s="68" t="s">
        <v>362</v>
      </c>
      <c r="B305" s="74">
        <v>5</v>
      </c>
      <c r="C305" s="68" t="s">
        <v>363</v>
      </c>
      <c r="D305" s="68" t="s">
        <v>364</v>
      </c>
      <c r="E305" s="75">
        <f>60*F305*'THAM_SO_MOI'!$C$53/(2*PI()*'THAM_SO_MOI'!$C$26)</f>
        <v>1318.4974736842103</v>
      </c>
      <c r="F305" s="75">
        <f>'THAM_SO_MOI'!$E$53+('THAM_SO_MOI'!$C$14-'THAM_SO_MOI'!$E$53)*299/'THAM_SO_MOI'!$C$42</f>
        <v>13.3821858974359</v>
      </c>
      <c r="G305" s="75">
        <f>3.6*F305</f>
        <v>48.17586923076924</v>
      </c>
      <c r="H305" s="75">
        <f>'THAM_SO_MOI'!$D$53</f>
        <v>1.1</v>
      </c>
      <c r="I305" s="75">
        <f>IF(F305&gt;'THAM_SO_MOI'!$C$14,'THAM_SO_MOI'!$C$13*(1+F305^2/1500),'THAM_SO_MOI'!$C$13)</f>
        <v>0.015</v>
      </c>
      <c r="J305" s="75">
        <f>'THAM_SO_MOI'!$C$40*('THAM_SO_MOI'!$C$23*(E305/'THAM_SO_MOI'!$C$22)+'THAM_SO_MOI'!$C$24*(E305/'THAM_SO_MOI'!$C$22)^2-'THAM_SO_MOI'!$C$25*(E305/'THAM_SO_MOI'!$C$22)^3)</f>
        <v>54.560690340702024</v>
      </c>
      <c r="K305" s="75">
        <f>'THAM_SO_MOI'!$C$31*J305/E305</f>
        <v>395.23361350665834</v>
      </c>
      <c r="L305" s="75">
        <f>K305*'THAM_SO_MOI'!$C$53*'THAM_SO_MOI'!$C$17/'THAM_SO_MOI'!$C$26</f>
        <v>3466.200336990096</v>
      </c>
      <c r="M305" s="75">
        <f>'THAM_SO_MOI'!$C$15*'THAM_SO_MOI'!$C$16*F305^2</f>
        <v>523.817480726082</v>
      </c>
      <c r="N305" s="75">
        <f>'THAM_SO_MOI'!$C$12*I305</f>
        <v>1130.112</v>
      </c>
      <c r="O305" s="75">
        <f>M305+N305</f>
        <v>1653.9294807260821</v>
      </c>
      <c r="P305" s="75">
        <f>(MIN(L305,'THAM_SO_MOI'!$C$41)-O305)/('THAM_SO_MOI'!$C$11*H305)</f>
        <v>0.21452069794791828</v>
      </c>
      <c r="Q305" s="75">
        <f>IF(P305&gt;0,1/P305,NA())</f>
        <v>4.6615548502587</v>
      </c>
      <c r="R305" s="75">
        <f>F305-F304</f>
        <v>0.017600427350430436</v>
      </c>
      <c r="S305" s="75">
        <f>0.5*(Q304+Q305)*R305</f>
        <v>0.08204254452017766</v>
      </c>
      <c r="T305" s="75">
        <f>0.5*(F304*Q304+F305*Q305)*R305</f>
        <v>1.0971866151001077</v>
      </c>
      <c r="U305" s="76">
        <f>U304+S305</f>
        <v>25.1923846396342</v>
      </c>
      <c r="V305" s="76">
        <f>V304+T305</f>
        <v>269.84033968884205</v>
      </c>
    </row>
    <row r="306" spans="1:22" ht="19" customHeight="1">
      <c r="A306" s="68" t="s">
        <v>362</v>
      </c>
      <c r="B306" s="74">
        <v>5</v>
      </c>
      <c r="C306" s="68" t="s">
        <v>363</v>
      </c>
      <c r="D306" s="68" t="s">
        <v>364</v>
      </c>
      <c r="E306" s="75">
        <f>60*F306*'THAM_SO_MOI'!$C$53/(2*PI()*'THAM_SO_MOI'!$C$26)</f>
        <v>1320.2315789473682</v>
      </c>
      <c r="F306" s="75">
        <f>'THAM_SO_MOI'!$E$53+('THAM_SO_MOI'!$C$14-'THAM_SO_MOI'!$E$53)*300/'THAM_SO_MOI'!$C$42</f>
        <v>13.399786324786326</v>
      </c>
      <c r="G306" s="75">
        <f>3.6*F306</f>
        <v>48.23923076923078</v>
      </c>
      <c r="H306" s="75">
        <f>'THAM_SO_MOI'!$D$53</f>
        <v>1.1</v>
      </c>
      <c r="I306" s="75">
        <f>IF(F306&gt;'THAM_SO_MOI'!$C$14,'THAM_SO_MOI'!$C$13*(1+F306^2/1500),'THAM_SO_MOI'!$C$13)</f>
        <v>0.015</v>
      </c>
      <c r="J306" s="75">
        <f>'THAM_SO_MOI'!$C$40*('THAM_SO_MOI'!$C$23*(E306/'THAM_SO_MOI'!$C$22)+'THAM_SO_MOI'!$C$24*(E306/'THAM_SO_MOI'!$C$22)^2-'THAM_SO_MOI'!$C$25*(E306/'THAM_SO_MOI'!$C$22)^3)</f>
        <v>54.65215304017747</v>
      </c>
      <c r="K306" s="75">
        <f>'THAM_SO_MOI'!$C$31*J306/E306</f>
        <v>395.3761586132103</v>
      </c>
      <c r="L306" s="75">
        <f>K306*'THAM_SO_MOI'!$C$53*'THAM_SO_MOI'!$C$17/'THAM_SO_MOI'!$C$26</f>
        <v>3467.4504581323313</v>
      </c>
      <c r="M306" s="75">
        <f>'THAM_SO_MOI'!$C$15*'THAM_SO_MOI'!$C$16*F306^2</f>
        <v>525.1962501335472</v>
      </c>
      <c r="N306" s="75">
        <f>'THAM_SO_MOI'!$C$12*I306</f>
        <v>1130.112</v>
      </c>
      <c r="O306" s="75">
        <f>M306+N306</f>
        <v>1655.3082501335473</v>
      </c>
      <c r="P306" s="75">
        <f>(MIN(L306,'THAM_SO_MOI'!$C$41)-O306)/('THAM_SO_MOI'!$C$11*H306)</f>
        <v>0.2145054696968258</v>
      </c>
      <c r="Q306" s="75">
        <f>IF(P306&gt;0,1/P306,NA())</f>
        <v>4.661885785072816</v>
      </c>
      <c r="R306" s="75">
        <f>F306-F305</f>
        <v>0.017600427350426884</v>
      </c>
      <c r="S306" s="75">
        <f>0.5*(Q305+Q306)*R306</f>
        <v>0.0820482697790851</v>
      </c>
      <c r="T306" s="75">
        <f>0.5*(F305*Q305+F306*Q306)*R306</f>
        <v>1.098707266681263</v>
      </c>
      <c r="U306" s="76">
        <f>U305+S306</f>
        <v>25.274432909413285</v>
      </c>
      <c r="V306" s="76">
        <f>V305+T306</f>
        <v>270.93904695552334</v>
      </c>
    </row>
    <row r="307" spans="1:22" ht="19" customHeight="1">
      <c r="A307" s="68" t="s">
        <v>362</v>
      </c>
      <c r="B307" s="74">
        <v>5</v>
      </c>
      <c r="C307" s="68" t="s">
        <v>363</v>
      </c>
      <c r="D307" s="68" t="s">
        <v>364</v>
      </c>
      <c r="E307" s="75">
        <f>60*F307*'THAM_SO_MOI'!$C$53/(2*PI()*'THAM_SO_MOI'!$C$26)</f>
        <v>1321.9656842105262</v>
      </c>
      <c r="F307" s="75">
        <f>'THAM_SO_MOI'!$E$53+('THAM_SO_MOI'!$C$14-'THAM_SO_MOI'!$E$53)*301/'THAM_SO_MOI'!$C$42</f>
        <v>13.417386752136753</v>
      </c>
      <c r="G307" s="75">
        <f>3.6*F307</f>
        <v>48.302592307692315</v>
      </c>
      <c r="H307" s="75">
        <f>'THAM_SO_MOI'!$D$53</f>
        <v>1.1</v>
      </c>
      <c r="I307" s="75">
        <f>IF(F307&gt;'THAM_SO_MOI'!$C$14,'THAM_SO_MOI'!$C$13*(1+F307^2/1500),'THAM_SO_MOI'!$C$13)</f>
        <v>0.015</v>
      </c>
      <c r="J307" s="75">
        <f>'THAM_SO_MOI'!$C$40*('THAM_SO_MOI'!$C$23*(E307/'THAM_SO_MOI'!$C$22)+'THAM_SO_MOI'!$C$24*(E307/'THAM_SO_MOI'!$C$22)^2-'THAM_SO_MOI'!$C$25*(E307/'THAM_SO_MOI'!$C$22)^3)</f>
        <v>54.74362712179447</v>
      </c>
      <c r="K307" s="75">
        <f>'THAM_SO_MOI'!$C$31*J307/E307</f>
        <v>395.5184119841371</v>
      </c>
      <c r="L307" s="75">
        <f>K307*'THAM_SO_MOI'!$C$53*'THAM_SO_MOI'!$C$17/'THAM_SO_MOI'!$C$26</f>
        <v>3468.6980207519928</v>
      </c>
      <c r="M307" s="75">
        <f>'THAM_SO_MOI'!$C$15*'THAM_SO_MOI'!$C$16*F307^2</f>
        <v>526.5768317250136</v>
      </c>
      <c r="N307" s="75">
        <f>'THAM_SO_MOI'!$C$12*I307</f>
        <v>1130.112</v>
      </c>
      <c r="O307" s="75">
        <f>M307+N307</f>
        <v>1656.6888317250136</v>
      </c>
      <c r="P307" s="75">
        <f>(MIN(L307,'THAM_SO_MOI'!$C$41)-O307)/('THAM_SO_MOI'!$C$11*H307)</f>
        <v>0.2144897240798981</v>
      </c>
      <c r="Q307" s="75">
        <f>IF(P307&gt;0,1/P307,NA())</f>
        <v>4.662228012506076</v>
      </c>
      <c r="R307" s="75">
        <f>F307-F306</f>
        <v>0.017600427350426884</v>
      </c>
      <c r="S307" s="75">
        <f>0.5*(Q306+Q307)*R307</f>
        <v>0.08205419375070011</v>
      </c>
      <c r="T307" s="75">
        <f>0.5*(F306*Q306+F307*Q307)*R307</f>
        <v>1.100230784253332</v>
      </c>
      <c r="U307" s="76">
        <f>U306+S307</f>
        <v>25.356487103163985</v>
      </c>
      <c r="V307" s="76">
        <f>V306+T307</f>
        <v>272.03927773977665</v>
      </c>
    </row>
    <row r="308" spans="1:22" ht="19" customHeight="1">
      <c r="A308" s="68" t="s">
        <v>362</v>
      </c>
      <c r="B308" s="74">
        <v>5</v>
      </c>
      <c r="C308" s="68" t="s">
        <v>363</v>
      </c>
      <c r="D308" s="68" t="s">
        <v>364</v>
      </c>
      <c r="E308" s="75">
        <f>60*F308*'THAM_SO_MOI'!$C$53/(2*PI()*'THAM_SO_MOI'!$C$26)</f>
        <v>1323.6997894736842</v>
      </c>
      <c r="F308" s="75">
        <f>'THAM_SO_MOI'!$E$53+('THAM_SO_MOI'!$C$14-'THAM_SO_MOI'!$E$53)*302/'THAM_SO_MOI'!$C$42</f>
        <v>13.43498717948718</v>
      </c>
      <c r="G308" s="75">
        <f>3.6*F308</f>
        <v>48.36595384615385</v>
      </c>
      <c r="H308" s="75">
        <f>'THAM_SO_MOI'!$D$53</f>
        <v>1.1</v>
      </c>
      <c r="I308" s="75">
        <f>IF(F308&gt;'THAM_SO_MOI'!$C$14,'THAM_SO_MOI'!$C$13*(1+F308^2/1500),'THAM_SO_MOI'!$C$13)</f>
        <v>0.015</v>
      </c>
      <c r="J308" s="75">
        <f>'THAM_SO_MOI'!$C$40*('THAM_SO_MOI'!$C$23*(E308/'THAM_SO_MOI'!$C$22)+'THAM_SO_MOI'!$C$24*(E308/'THAM_SO_MOI'!$C$22)^2-'THAM_SO_MOI'!$C$25*(E308/'THAM_SO_MOI'!$C$22)^3)</f>
        <v>54.835112426649765</v>
      </c>
      <c r="K308" s="75">
        <f>'THAM_SO_MOI'!$C$31*J308/E308</f>
        <v>395.660373619439</v>
      </c>
      <c r="L308" s="75">
        <f>K308*'THAM_SO_MOI'!$C$53*'THAM_SO_MOI'!$C$17/'THAM_SO_MOI'!$C$26</f>
        <v>3469.943024849081</v>
      </c>
      <c r="M308" s="75">
        <f>'THAM_SO_MOI'!$C$15*'THAM_SO_MOI'!$C$16*F308^2</f>
        <v>527.9592255004809</v>
      </c>
      <c r="N308" s="75">
        <f>'THAM_SO_MOI'!$C$12*I308</f>
        <v>1130.112</v>
      </c>
      <c r="O308" s="75">
        <f>M308+N308</f>
        <v>1658.071225500481</v>
      </c>
      <c r="P308" s="75">
        <f>(MIN(L308,'THAM_SO_MOI'!$C$41)-O308)/('THAM_SO_MOI'!$C$11*H308)</f>
        <v>0.21447346109713544</v>
      </c>
      <c r="Q308" s="75">
        <f>IF(P308&gt;0,1/P308,NA())</f>
        <v>4.662581537522249</v>
      </c>
      <c r="R308" s="75">
        <f>F308-F307</f>
        <v>0.017600427350426884</v>
      </c>
      <c r="S308" s="75">
        <f>0.5*(Q307+Q308)*R308</f>
        <v>0.08206031652092018</v>
      </c>
      <c r="T308" s="75">
        <f>0.5*(F307*Q307+F308*Q308)*R308</f>
        <v>1.1017571794618897</v>
      </c>
      <c r="U308" s="76">
        <f>U307+S308</f>
        <v>25.438547419684905</v>
      </c>
      <c r="V308" s="76">
        <f>V307+T308</f>
        <v>273.14103491923856</v>
      </c>
    </row>
    <row r="309" spans="1:22" ht="19" customHeight="1">
      <c r="A309" s="68" t="s">
        <v>362</v>
      </c>
      <c r="B309" s="74">
        <v>5</v>
      </c>
      <c r="C309" s="68" t="s">
        <v>363</v>
      </c>
      <c r="D309" s="68" t="s">
        <v>364</v>
      </c>
      <c r="E309" s="75">
        <f>60*F309*'THAM_SO_MOI'!$C$53/(2*PI()*'THAM_SO_MOI'!$C$26)</f>
        <v>1325.433894736842</v>
      </c>
      <c r="F309" s="75">
        <f>'THAM_SO_MOI'!$E$53+('THAM_SO_MOI'!$C$14-'THAM_SO_MOI'!$E$53)*303/'THAM_SO_MOI'!$C$42</f>
        <v>13.452587606837607</v>
      </c>
      <c r="G309" s="75">
        <f>3.6*F309</f>
        <v>48.429315384615386</v>
      </c>
      <c r="H309" s="75">
        <f>'THAM_SO_MOI'!$D$53</f>
        <v>1.1</v>
      </c>
      <c r="I309" s="75">
        <f>IF(F309&gt;'THAM_SO_MOI'!$C$14,'THAM_SO_MOI'!$C$13*(1+F309^2/1500),'THAM_SO_MOI'!$C$13)</f>
        <v>0.015</v>
      </c>
      <c r="J309" s="75">
        <f>'THAM_SO_MOI'!$C$40*('THAM_SO_MOI'!$C$23*(E309/'THAM_SO_MOI'!$C$22)+'THAM_SO_MOI'!$C$24*(E309/'THAM_SO_MOI'!$C$22)^2-'THAM_SO_MOI'!$C$25*(E309/'THAM_SO_MOI'!$C$22)^3)</f>
        <v>54.92660879584005</v>
      </c>
      <c r="K309" s="75">
        <f>'THAM_SO_MOI'!$C$31*J309/E309</f>
        <v>395.80204351911567</v>
      </c>
      <c r="L309" s="75">
        <f>K309*'THAM_SO_MOI'!$C$53*'THAM_SO_MOI'!$C$17/'THAM_SO_MOI'!$C$26</f>
        <v>3471.1854704235957</v>
      </c>
      <c r="M309" s="75">
        <f>'THAM_SO_MOI'!$C$15*'THAM_SO_MOI'!$C$16*F309^2</f>
        <v>529.3434314599493</v>
      </c>
      <c r="N309" s="75">
        <f>'THAM_SO_MOI'!$C$12*I309</f>
        <v>1130.112</v>
      </c>
      <c r="O309" s="75">
        <f>M309+N309</f>
        <v>1659.4554314599495</v>
      </c>
      <c r="P309" s="75">
        <f>(MIN(L309,'THAM_SO_MOI'!$C$41)-O309)/('THAM_SO_MOI'!$C$11*H309)</f>
        <v>0.21445668074853766</v>
      </c>
      <c r="Q309" s="75">
        <f>IF(P309&gt;0,1/P309,NA())</f>
        <v>4.662946365250124</v>
      </c>
      <c r="R309" s="75">
        <f>F309-F308</f>
        <v>0.017600427350426884</v>
      </c>
      <c r="S309" s="75">
        <f>0.5*(Q308+Q309)*R309</f>
        <v>0.08206663817856197</v>
      </c>
      <c r="T309" s="75">
        <f>0.5*(F308*Q308+F309*Q309)*R309</f>
        <v>1.1032864639978022</v>
      </c>
      <c r="U309" s="76">
        <f>U308+S309</f>
        <v>25.52061405786347</v>
      </c>
      <c r="V309" s="76">
        <f>V308+T309</f>
        <v>274.24432138323635</v>
      </c>
    </row>
    <row r="310" spans="1:22" ht="19" customHeight="1">
      <c r="A310" s="68" t="s">
        <v>362</v>
      </c>
      <c r="B310" s="74">
        <v>5</v>
      </c>
      <c r="C310" s="68" t="s">
        <v>363</v>
      </c>
      <c r="D310" s="68" t="s">
        <v>364</v>
      </c>
      <c r="E310" s="75">
        <f>60*F310*'THAM_SO_MOI'!$C$53/(2*PI()*'THAM_SO_MOI'!$C$26)</f>
        <v>1327.1679999999997</v>
      </c>
      <c r="F310" s="75">
        <f>'THAM_SO_MOI'!$E$53+('THAM_SO_MOI'!$C$14-'THAM_SO_MOI'!$E$53)*304/'THAM_SO_MOI'!$C$42</f>
        <v>13.470188034188034</v>
      </c>
      <c r="G310" s="75">
        <f>3.6*F310</f>
        <v>48.49267692307692</v>
      </c>
      <c r="H310" s="75">
        <f>'THAM_SO_MOI'!$D$53</f>
        <v>1.1</v>
      </c>
      <c r="I310" s="75">
        <f>IF(F310&gt;'THAM_SO_MOI'!$C$14,'THAM_SO_MOI'!$C$13*(1+F310^2/1500),'THAM_SO_MOI'!$C$13)</f>
        <v>0.015</v>
      </c>
      <c r="J310" s="75">
        <f>'THAM_SO_MOI'!$C$40*('THAM_SO_MOI'!$C$23*(E310/'THAM_SO_MOI'!$C$22)+'THAM_SO_MOI'!$C$24*(E310/'THAM_SO_MOI'!$C$22)^2-'THAM_SO_MOI'!$C$25*(E310/'THAM_SO_MOI'!$C$22)^3)</f>
        <v>55.01811607046208</v>
      </c>
      <c r="K310" s="75">
        <f>'THAM_SO_MOI'!$C$31*J310/E310</f>
        <v>395.9434216831674</v>
      </c>
      <c r="L310" s="75">
        <f>K310*'THAM_SO_MOI'!$C$53*'THAM_SO_MOI'!$C$17/'THAM_SO_MOI'!$C$26</f>
        <v>3472.4253574755376</v>
      </c>
      <c r="M310" s="75">
        <f>'THAM_SO_MOI'!$C$15*'THAM_SO_MOI'!$C$16*F310^2</f>
        <v>530.7294496034189</v>
      </c>
      <c r="N310" s="75">
        <f>'THAM_SO_MOI'!$C$12*I310</f>
        <v>1130.112</v>
      </c>
      <c r="O310" s="75">
        <f>M310+N310</f>
        <v>1660.8414496034188</v>
      </c>
      <c r="P310" s="75">
        <f>(MIN(L310,'THAM_SO_MOI'!$C$41)-O310)/('THAM_SO_MOI'!$C$11*H310)</f>
        <v>0.21443938303410495</v>
      </c>
      <c r="Q310" s="75">
        <f>IF(P310&gt;0,1/P310,NA())</f>
        <v>4.663322500983682</v>
      </c>
      <c r="R310" s="75">
        <f>F310-F309</f>
        <v>0.017600427350426884</v>
      </c>
      <c r="S310" s="75">
        <f>0.5*(Q309+Q310)*R310</f>
        <v>0.08207315881534812</v>
      </c>
      <c r="T310" s="75">
        <f>0.5*(F309*Q309+F310*Q310)*R310</f>
        <v>1.1048186495973071</v>
      </c>
      <c r="U310" s="76">
        <f>U309+S310</f>
        <v>25.602687216678817</v>
      </c>
      <c r="V310" s="76">
        <f>V309+T310</f>
        <v>275.34914003283365</v>
      </c>
    </row>
    <row r="311" spans="1:22" ht="19" customHeight="1">
      <c r="A311" s="68" t="s">
        <v>362</v>
      </c>
      <c r="B311" s="74">
        <v>5</v>
      </c>
      <c r="C311" s="68" t="s">
        <v>363</v>
      </c>
      <c r="D311" s="68" t="s">
        <v>364</v>
      </c>
      <c r="E311" s="75">
        <f>60*F311*'THAM_SO_MOI'!$C$53/(2*PI()*'THAM_SO_MOI'!$C$26)</f>
        <v>1328.9021052631576</v>
      </c>
      <c r="F311" s="75">
        <f>'THAM_SO_MOI'!$E$53+('THAM_SO_MOI'!$C$14-'THAM_SO_MOI'!$E$53)*305/'THAM_SO_MOI'!$C$42</f>
        <v>13.487788461538461</v>
      </c>
      <c r="G311" s="75">
        <f>3.6*F311</f>
        <v>48.55603846153846</v>
      </c>
      <c r="H311" s="75">
        <f>'THAM_SO_MOI'!$D$53</f>
        <v>1.1</v>
      </c>
      <c r="I311" s="75">
        <f>IF(F311&gt;'THAM_SO_MOI'!$C$14,'THAM_SO_MOI'!$C$13*(1+F311^2/1500),'THAM_SO_MOI'!$C$13)</f>
        <v>0.015</v>
      </c>
      <c r="J311" s="75">
        <f>'THAM_SO_MOI'!$C$40*('THAM_SO_MOI'!$C$23*(E311/'THAM_SO_MOI'!$C$22)+'THAM_SO_MOI'!$C$24*(E311/'THAM_SO_MOI'!$C$22)^2-'THAM_SO_MOI'!$C$25*(E311/'THAM_SO_MOI'!$C$22)^3)</f>
        <v>55.10963409161258</v>
      </c>
      <c r="K311" s="75">
        <f>'THAM_SO_MOI'!$C$31*J311/E311</f>
        <v>396.0845081115941</v>
      </c>
      <c r="L311" s="75">
        <f>K311*'THAM_SO_MOI'!$C$53*'THAM_SO_MOI'!$C$17/'THAM_SO_MOI'!$C$26</f>
        <v>3473.662686004907</v>
      </c>
      <c r="M311" s="75">
        <f>'THAM_SO_MOI'!$C$15*'THAM_SO_MOI'!$C$16*F311^2</f>
        <v>532.1172799308895</v>
      </c>
      <c r="N311" s="75">
        <f>'THAM_SO_MOI'!$C$12*I311</f>
        <v>1130.112</v>
      </c>
      <c r="O311" s="75">
        <f>M311+N311</f>
        <v>1662.2292799308896</v>
      </c>
      <c r="P311" s="75">
        <f>(MIN(L311,'THAM_SO_MOI'!$C$41)-O311)/('THAM_SO_MOI'!$C$11*H311)</f>
        <v>0.2144215679538373</v>
      </c>
      <c r="Q311" s="75">
        <f>IF(P311&gt;0,1/P311,NA())</f>
        <v>4.6637099501822945</v>
      </c>
      <c r="R311" s="75">
        <f>F311-F310</f>
        <v>0.017600427350426884</v>
      </c>
      <c r="S311" s="75">
        <f>0.5*(Q310+Q311)*R311</f>
        <v>0.08207987852591038</v>
      </c>
      <c r="T311" s="75">
        <f>0.5*(F310*Q310+F311*Q311)*R311</f>
        <v>1.1063537480423118</v>
      </c>
      <c r="U311" s="76">
        <f>U310+S311</f>
        <v>25.684767095204727</v>
      </c>
      <c r="V311" s="76">
        <f>V310+T311</f>
        <v>276.45549378087594</v>
      </c>
    </row>
    <row r="312" spans="1:22" ht="19" customHeight="1">
      <c r="A312" s="68" t="s">
        <v>362</v>
      </c>
      <c r="B312" s="74">
        <v>5</v>
      </c>
      <c r="C312" s="68" t="s">
        <v>363</v>
      </c>
      <c r="D312" s="68" t="s">
        <v>364</v>
      </c>
      <c r="E312" s="75">
        <f>60*F312*'THAM_SO_MOI'!$C$53/(2*PI()*'THAM_SO_MOI'!$C$26)</f>
        <v>1330.6362105263156</v>
      </c>
      <c r="F312" s="75">
        <f>'THAM_SO_MOI'!$E$53+('THAM_SO_MOI'!$C$14-'THAM_SO_MOI'!$E$53)*306/'THAM_SO_MOI'!$C$42</f>
        <v>13.50538888888889</v>
      </c>
      <c r="G312" s="75">
        <f>3.6*F312</f>
        <v>48.619400000000006</v>
      </c>
      <c r="H312" s="75">
        <f>'THAM_SO_MOI'!$D$53</f>
        <v>1.1</v>
      </c>
      <c r="I312" s="75">
        <f>IF(F312&gt;'THAM_SO_MOI'!$C$14,'THAM_SO_MOI'!$C$13*(1+F312^2/1500),'THAM_SO_MOI'!$C$13)</f>
        <v>0.015</v>
      </c>
      <c r="J312" s="75">
        <f>'THAM_SO_MOI'!$C$40*('THAM_SO_MOI'!$C$23*(E312/'THAM_SO_MOI'!$C$22)+'THAM_SO_MOI'!$C$24*(E312/'THAM_SO_MOI'!$C$22)^2-'THAM_SO_MOI'!$C$25*(E312/'THAM_SO_MOI'!$C$22)^3)</f>
        <v>55.20116270038824</v>
      </c>
      <c r="K312" s="75">
        <f>'THAM_SO_MOI'!$C$31*J312/E312</f>
        <v>396.2253028043958</v>
      </c>
      <c r="L312" s="75">
        <f>K312*'THAM_SO_MOI'!$C$53*'THAM_SO_MOI'!$C$17/'THAM_SO_MOI'!$C$26</f>
        <v>3474.8974560117026</v>
      </c>
      <c r="M312" s="75">
        <f>'THAM_SO_MOI'!$C$15*'THAM_SO_MOI'!$C$16*F312^2</f>
        <v>533.5069224423612</v>
      </c>
      <c r="N312" s="75">
        <f>'THAM_SO_MOI'!$C$12*I312</f>
        <v>1130.112</v>
      </c>
      <c r="O312" s="75">
        <f>M312+N312</f>
        <v>1663.6189224423613</v>
      </c>
      <c r="P312" s="75">
        <f>(MIN(L312,'THAM_SO_MOI'!$C$41)-O312)/('THAM_SO_MOI'!$C$11*H312)</f>
        <v>0.21440323550773455</v>
      </c>
      <c r="Q312" s="75">
        <f>IF(P312&gt;0,1/P312,NA())</f>
        <v>4.664108718470926</v>
      </c>
      <c r="R312" s="75">
        <f>F312-F311</f>
        <v>0.01760042735042866</v>
      </c>
      <c r="S312" s="75">
        <f>0.5*(Q311+Q312)*R312</f>
        <v>0.0820867974078016</v>
      </c>
      <c r="T312" s="75">
        <f>0.5*(F311*Q311+F312*Q312)*R312</f>
        <v>1.1078917711608103</v>
      </c>
      <c r="U312" s="76">
        <f>U311+S312</f>
        <v>25.766853892612527</v>
      </c>
      <c r="V312" s="76">
        <f>V311+T312</f>
        <v>277.5633855520368</v>
      </c>
    </row>
    <row r="313" spans="1:22" ht="19" customHeight="1">
      <c r="A313" s="68" t="s">
        <v>362</v>
      </c>
      <c r="B313" s="74">
        <v>5</v>
      </c>
      <c r="C313" s="68" t="s">
        <v>363</v>
      </c>
      <c r="D313" s="68" t="s">
        <v>364</v>
      </c>
      <c r="E313" s="75">
        <f>60*F313*'THAM_SO_MOI'!$C$53/(2*PI()*'THAM_SO_MOI'!$C$26)</f>
        <v>1332.3703157894734</v>
      </c>
      <c r="F313" s="75">
        <f>'THAM_SO_MOI'!$E$53+('THAM_SO_MOI'!$C$14-'THAM_SO_MOI'!$E$53)*307/'THAM_SO_MOI'!$C$42</f>
        <v>13.522989316239316</v>
      </c>
      <c r="G313" s="75">
        <f>3.6*F313</f>
        <v>48.68276153846154</v>
      </c>
      <c r="H313" s="75">
        <f>'THAM_SO_MOI'!$D$53</f>
        <v>1.1</v>
      </c>
      <c r="I313" s="75">
        <f>IF(F313&gt;'THAM_SO_MOI'!$C$14,'THAM_SO_MOI'!$C$13*(1+F313^2/1500),'THAM_SO_MOI'!$C$13)</f>
        <v>0.015</v>
      </c>
      <c r="J313" s="75">
        <f>'THAM_SO_MOI'!$C$40*('THAM_SO_MOI'!$C$23*(E313/'THAM_SO_MOI'!$C$22)+'THAM_SO_MOI'!$C$24*(E313/'THAM_SO_MOI'!$C$22)^2-'THAM_SO_MOI'!$C$25*(E313/'THAM_SO_MOI'!$C$22)^3)</f>
        <v>55.292701737885785</v>
      </c>
      <c r="K313" s="75">
        <f>'THAM_SO_MOI'!$C$31*J313/E313</f>
        <v>396.3658057615724</v>
      </c>
      <c r="L313" s="75">
        <f>K313*'THAM_SO_MOI'!$C$53*'THAM_SO_MOI'!$C$17/'THAM_SO_MOI'!$C$26</f>
        <v>3476.1296674959253</v>
      </c>
      <c r="M313" s="75">
        <f>'THAM_SO_MOI'!$C$15*'THAM_SO_MOI'!$C$16*F313^2</f>
        <v>534.898377137834</v>
      </c>
      <c r="N313" s="75">
        <f>'THAM_SO_MOI'!$C$12*I313</f>
        <v>1130.112</v>
      </c>
      <c r="O313" s="75">
        <f>M313+N313</f>
        <v>1665.010377137834</v>
      </c>
      <c r="P313" s="75">
        <f>(MIN(L313,'THAM_SO_MOI'!$C$41)-O313)/('THAM_SO_MOI'!$C$11*H313)</f>
        <v>0.2143843856957968</v>
      </c>
      <c r="Q313" s="75">
        <f>IF(P313&gt;0,1/P313,NA())</f>
        <v>4.664518811640329</v>
      </c>
      <c r="R313" s="75">
        <f>F313-F312</f>
        <v>0.017600427350426884</v>
      </c>
      <c r="S313" s="75">
        <f>0.5*(Q312+Q313)*R313</f>
        <v>0.08209391556145766</v>
      </c>
      <c r="T313" s="75">
        <f>0.5*(F312*Q312+F313*Q313)*R313</f>
        <v>1.109432730826626</v>
      </c>
      <c r="U313" s="76">
        <f>U312+S313</f>
        <v>25.848947808173985</v>
      </c>
      <c r="V313" s="76">
        <f>V312+T313</f>
        <v>278.67281828286343</v>
      </c>
    </row>
    <row r="314" spans="1:22" ht="19" customHeight="1">
      <c r="A314" s="68" t="s">
        <v>362</v>
      </c>
      <c r="B314" s="74">
        <v>5</v>
      </c>
      <c r="C314" s="68" t="s">
        <v>363</v>
      </c>
      <c r="D314" s="68" t="s">
        <v>364</v>
      </c>
      <c r="E314" s="75">
        <f>60*F314*'THAM_SO_MOI'!$C$53/(2*PI()*'THAM_SO_MOI'!$C$26)</f>
        <v>1334.1044210526313</v>
      </c>
      <c r="F314" s="75">
        <f>'THAM_SO_MOI'!$E$53+('THAM_SO_MOI'!$C$14-'THAM_SO_MOI'!$E$53)*308/'THAM_SO_MOI'!$C$42</f>
        <v>13.540589743589745</v>
      </c>
      <c r="G314" s="75">
        <f>3.6*F314</f>
        <v>48.746123076923084</v>
      </c>
      <c r="H314" s="75">
        <f>'THAM_SO_MOI'!$D$53</f>
        <v>1.1</v>
      </c>
      <c r="I314" s="75">
        <f>IF(F314&gt;'THAM_SO_MOI'!$C$14,'THAM_SO_MOI'!$C$13*(1+F314^2/1500),'THAM_SO_MOI'!$C$13)</f>
        <v>0.015</v>
      </c>
      <c r="J314" s="75">
        <f>'THAM_SO_MOI'!$C$40*('THAM_SO_MOI'!$C$23*(E314/'THAM_SO_MOI'!$C$22)+'THAM_SO_MOI'!$C$24*(E314/'THAM_SO_MOI'!$C$22)^2-'THAM_SO_MOI'!$C$25*(E314/'THAM_SO_MOI'!$C$22)^3)</f>
        <v>55.384251045201964</v>
      </c>
      <c r="K314" s="75">
        <f>'THAM_SO_MOI'!$C$31*J314/E314</f>
        <v>396.5060169831239</v>
      </c>
      <c r="L314" s="75">
        <f>K314*'THAM_SO_MOI'!$C$53*'THAM_SO_MOI'!$C$17/'THAM_SO_MOI'!$C$26</f>
        <v>3477.3593204575736</v>
      </c>
      <c r="M314" s="75">
        <f>'THAM_SO_MOI'!$C$15*'THAM_SO_MOI'!$C$16*F314^2</f>
        <v>536.2916440173079</v>
      </c>
      <c r="N314" s="75">
        <f>'THAM_SO_MOI'!$C$12*I314</f>
        <v>1130.112</v>
      </c>
      <c r="O314" s="75">
        <f>M314+N314</f>
        <v>1666.4036440173081</v>
      </c>
      <c r="P314" s="75">
        <f>(MIN(L314,'THAM_SO_MOI'!$C$41)-O314)/('THAM_SO_MOI'!$C$11*H314)</f>
        <v>0.21436501851802386</v>
      </c>
      <c r="Q314" s="75">
        <f>IF(P314&gt;0,1/P314,NA())</f>
        <v>4.664940235647262</v>
      </c>
      <c r="R314" s="75">
        <f>F314-F313</f>
        <v>0.01760042735042866</v>
      </c>
      <c r="S314" s="75">
        <f>0.5*(Q313+Q314)*R314</f>
        <v>0.08210123309029232</v>
      </c>
      <c r="T314" s="75">
        <f>0.5*(F313*Q313+F314*Q314)*R314</f>
        <v>1.1109766389609501</v>
      </c>
      <c r="U314" s="76">
        <f>U313+S314</f>
        <v>25.931049041264277</v>
      </c>
      <c r="V314" s="76">
        <f>V313+T314</f>
        <v>279.7837949218244</v>
      </c>
    </row>
    <row r="315" spans="1:22" ht="19" customHeight="1">
      <c r="A315" s="68" t="s">
        <v>362</v>
      </c>
      <c r="B315" s="74">
        <v>5</v>
      </c>
      <c r="C315" s="68" t="s">
        <v>363</v>
      </c>
      <c r="D315" s="68" t="s">
        <v>364</v>
      </c>
      <c r="E315" s="75">
        <f>60*F315*'THAM_SO_MOI'!$C$53/(2*PI()*'THAM_SO_MOI'!$C$26)</f>
        <v>1335.8385263157893</v>
      </c>
      <c r="F315" s="75">
        <f>'THAM_SO_MOI'!$E$53+('THAM_SO_MOI'!$C$14-'THAM_SO_MOI'!$E$53)*309/'THAM_SO_MOI'!$C$42</f>
        <v>13.558190170940172</v>
      </c>
      <c r="G315" s="75">
        <f>3.6*F315</f>
        <v>48.80948461538462</v>
      </c>
      <c r="H315" s="75">
        <f>'THAM_SO_MOI'!$D$53</f>
        <v>1.1</v>
      </c>
      <c r="I315" s="75">
        <f>IF(F315&gt;'THAM_SO_MOI'!$C$14,'THAM_SO_MOI'!$C$13*(1+F315^2/1500),'THAM_SO_MOI'!$C$13)</f>
        <v>0.015</v>
      </c>
      <c r="J315" s="75">
        <f>'THAM_SO_MOI'!$C$40*('THAM_SO_MOI'!$C$23*(E315/'THAM_SO_MOI'!$C$22)+'THAM_SO_MOI'!$C$24*(E315/'THAM_SO_MOI'!$C$22)^2-'THAM_SO_MOI'!$C$25*(E315/'THAM_SO_MOI'!$C$22)^3)</f>
        <v>55.47581046343348</v>
      </c>
      <c r="K315" s="75">
        <f>'THAM_SO_MOI'!$C$31*J315/E315</f>
        <v>396.6459364690506</v>
      </c>
      <c r="L315" s="75">
        <f>K315*'THAM_SO_MOI'!$C$53*'THAM_SO_MOI'!$C$17/'THAM_SO_MOI'!$C$26</f>
        <v>3478.586414896651</v>
      </c>
      <c r="M315" s="75">
        <f>'THAM_SO_MOI'!$C$15*'THAM_SO_MOI'!$C$16*F315^2</f>
        <v>537.6867230807827</v>
      </c>
      <c r="N315" s="75">
        <f>'THAM_SO_MOI'!$C$12*I315</f>
        <v>1130.112</v>
      </c>
      <c r="O315" s="75">
        <f>M315+N315</f>
        <v>1667.7987230807828</v>
      </c>
      <c r="P315" s="75">
        <f>(MIN(L315,'THAM_SO_MOI'!$C$41)-O315)/('THAM_SO_MOI'!$C$11*H315)</f>
        <v>0.2143451339744162</v>
      </c>
      <c r="Q315" s="75">
        <f>IF(P315&gt;0,1/P315,NA())</f>
        <v>4.6653729966146935</v>
      </c>
      <c r="R315" s="75">
        <f>F315-F314</f>
        <v>0.017600427350426884</v>
      </c>
      <c r="S315" s="75">
        <f>0.5*(Q314+Q315)*R315</f>
        <v>0.0821087501005766</v>
      </c>
      <c r="T315" s="75">
        <f>0.5*(F314*Q314+F315*Q315)*R315</f>
        <v>1.1125235075309674</v>
      </c>
      <c r="U315" s="76">
        <f>U314+S315</f>
        <v>26.013157791364854</v>
      </c>
      <c r="V315" s="76">
        <f>V314+T315</f>
        <v>280.89631842935535</v>
      </c>
    </row>
    <row r="316" spans="1:22" ht="19" customHeight="1">
      <c r="A316" s="68" t="s">
        <v>362</v>
      </c>
      <c r="B316" s="74">
        <v>5</v>
      </c>
      <c r="C316" s="68" t="s">
        <v>363</v>
      </c>
      <c r="D316" s="68" t="s">
        <v>364</v>
      </c>
      <c r="E316" s="75">
        <f>60*F316*'THAM_SO_MOI'!$C$53/(2*PI()*'THAM_SO_MOI'!$C$26)</f>
        <v>1337.572631578947</v>
      </c>
      <c r="F316" s="75">
        <f>'THAM_SO_MOI'!$E$53+('THAM_SO_MOI'!$C$14-'THAM_SO_MOI'!$E$53)*310/'THAM_SO_MOI'!$C$42</f>
        <v>13.575790598290599</v>
      </c>
      <c r="G316" s="75">
        <f>3.6*F316</f>
        <v>48.872846153846154</v>
      </c>
      <c r="H316" s="75">
        <f>'THAM_SO_MOI'!$D$53</f>
        <v>1.1</v>
      </c>
      <c r="I316" s="75">
        <f>IF(F316&gt;'THAM_SO_MOI'!$C$14,'THAM_SO_MOI'!$C$13*(1+F316^2/1500),'THAM_SO_MOI'!$C$13)</f>
        <v>0.015</v>
      </c>
      <c r="J316" s="75">
        <f>'THAM_SO_MOI'!$C$40*('THAM_SO_MOI'!$C$23*(E316/'THAM_SO_MOI'!$C$22)+'THAM_SO_MOI'!$C$24*(E316/'THAM_SO_MOI'!$C$22)^2-'THAM_SO_MOI'!$C$25*(E316/'THAM_SO_MOI'!$C$22)^3)</f>
        <v>55.567379833677045</v>
      </c>
      <c r="K316" s="75">
        <f>'THAM_SO_MOI'!$C$31*J316/E316</f>
        <v>396.78556421935207</v>
      </c>
      <c r="L316" s="75">
        <f>K316*'THAM_SO_MOI'!$C$53*'THAM_SO_MOI'!$C$17/'THAM_SO_MOI'!$C$26</f>
        <v>3479.8109508131542</v>
      </c>
      <c r="M316" s="75">
        <f>'THAM_SO_MOI'!$C$15*'THAM_SO_MOI'!$C$16*F316^2</f>
        <v>539.0836143282587</v>
      </c>
      <c r="N316" s="75">
        <f>'THAM_SO_MOI'!$C$12*I316</f>
        <v>1130.112</v>
      </c>
      <c r="O316" s="75">
        <f>M316+N316</f>
        <v>1669.1956143282587</v>
      </c>
      <c r="P316" s="75">
        <f>(MIN(L316,'THAM_SO_MOI'!$C$41)-O316)/('THAM_SO_MOI'!$C$11*H316)</f>
        <v>0.21432473206497343</v>
      </c>
      <c r="Q316" s="75">
        <f>IF(P316&gt;0,1/P316,NA())</f>
        <v>4.665817100832049</v>
      </c>
      <c r="R316" s="75">
        <f>F316-F315</f>
        <v>0.017600427350426884</v>
      </c>
      <c r="S316" s="75">
        <f>0.5*(Q315+Q316)*R316</f>
        <v>0.08211646670156708</v>
      </c>
      <c r="T316" s="75">
        <f>0.5*(F315*Q315+F316*Q316)*R316</f>
        <v>1.1140733485518508</v>
      </c>
      <c r="U316" s="76">
        <f>U315+S316</f>
        <v>26.09527425806642</v>
      </c>
      <c r="V316" s="76">
        <f>V315+T316</f>
        <v>282.0103917779072</v>
      </c>
    </row>
    <row r="317" spans="1:22" ht="19" customHeight="1">
      <c r="A317" s="68" t="s">
        <v>362</v>
      </c>
      <c r="B317" s="74">
        <v>5</v>
      </c>
      <c r="C317" s="68" t="s">
        <v>363</v>
      </c>
      <c r="D317" s="68" t="s">
        <v>364</v>
      </c>
      <c r="E317" s="75">
        <f>60*F317*'THAM_SO_MOI'!$C$53/(2*PI()*'THAM_SO_MOI'!$C$26)</f>
        <v>1339.306736842105</v>
      </c>
      <c r="F317" s="75">
        <f>'THAM_SO_MOI'!$E$53+('THAM_SO_MOI'!$C$14-'THAM_SO_MOI'!$E$53)*311/'THAM_SO_MOI'!$C$42</f>
        <v>13.593391025641026</v>
      </c>
      <c r="G317" s="75">
        <f>3.6*F317</f>
        <v>48.9362076923077</v>
      </c>
      <c r="H317" s="75">
        <f>'THAM_SO_MOI'!$D$53</f>
        <v>1.1</v>
      </c>
      <c r="I317" s="75">
        <f>IF(F317&gt;'THAM_SO_MOI'!$C$14,'THAM_SO_MOI'!$C$13*(1+F317^2/1500),'THAM_SO_MOI'!$C$13)</f>
        <v>0.015</v>
      </c>
      <c r="J317" s="75">
        <f>'THAM_SO_MOI'!$C$40*('THAM_SO_MOI'!$C$23*(E317/'THAM_SO_MOI'!$C$22)+'THAM_SO_MOI'!$C$24*(E317/'THAM_SO_MOI'!$C$22)^2-'THAM_SO_MOI'!$C$25*(E317/'THAM_SO_MOI'!$C$22)^3)</f>
        <v>55.6589589970294</v>
      </c>
      <c r="K317" s="75">
        <f>'THAM_SO_MOI'!$C$31*J317/E317</f>
        <v>396.92490023402854</v>
      </c>
      <c r="L317" s="75">
        <f>K317*'THAM_SO_MOI'!$C$53*'THAM_SO_MOI'!$C$17/'THAM_SO_MOI'!$C$26</f>
        <v>3481.0329282070843</v>
      </c>
      <c r="M317" s="75">
        <f>'THAM_SO_MOI'!$C$15*'THAM_SO_MOI'!$C$16*F317^2</f>
        <v>540.4823177597356</v>
      </c>
      <c r="N317" s="75">
        <f>'THAM_SO_MOI'!$C$12*I317</f>
        <v>1130.112</v>
      </c>
      <c r="O317" s="75">
        <f>M317+N317</f>
        <v>1670.5943177597355</v>
      </c>
      <c r="P317" s="75">
        <f>(MIN(L317,'THAM_SO_MOI'!$C$41)-O317)/('THAM_SO_MOI'!$C$11*H317)</f>
        <v>0.21430381278969565</v>
      </c>
      <c r="Q317" s="75">
        <f>IF(P317&gt;0,1/P317,NA())</f>
        <v>4.666272554755418</v>
      </c>
      <c r="R317" s="75">
        <f>F317-F316</f>
        <v>0.017600427350426884</v>
      </c>
      <c r="S317" s="75">
        <f>0.5*(Q316+Q317)*R317</f>
        <v>0.08212438300541873</v>
      </c>
      <c r="T317" s="75">
        <f>0.5*(F316*Q316+F317*Q317)*R317</f>
        <v>1.1156261740858373</v>
      </c>
      <c r="U317" s="76">
        <f>U316+S317</f>
        <v>26.17739864107184</v>
      </c>
      <c r="V317" s="76">
        <f>V316+T317</f>
        <v>283.12601795199305</v>
      </c>
    </row>
    <row r="318" spans="1:22" ht="19" customHeight="1">
      <c r="A318" s="68" t="s">
        <v>362</v>
      </c>
      <c r="B318" s="74">
        <v>5</v>
      </c>
      <c r="C318" s="68" t="s">
        <v>363</v>
      </c>
      <c r="D318" s="68" t="s">
        <v>364</v>
      </c>
      <c r="E318" s="75">
        <f>60*F318*'THAM_SO_MOI'!$C$53/(2*PI()*'THAM_SO_MOI'!$C$26)</f>
        <v>1341.040842105263</v>
      </c>
      <c r="F318" s="75">
        <f>'THAM_SO_MOI'!$E$53+('THAM_SO_MOI'!$C$14-'THAM_SO_MOI'!$E$53)*312/'THAM_SO_MOI'!$C$42</f>
        <v>13.610991452991453</v>
      </c>
      <c r="G318" s="75">
        <f>3.6*F318</f>
        <v>48.99956923076923</v>
      </c>
      <c r="H318" s="75">
        <f>'THAM_SO_MOI'!$D$53</f>
        <v>1.1</v>
      </c>
      <c r="I318" s="75">
        <f>IF(F318&gt;'THAM_SO_MOI'!$C$14,'THAM_SO_MOI'!$C$13*(1+F318^2/1500),'THAM_SO_MOI'!$C$13)</f>
        <v>0.015</v>
      </c>
      <c r="J318" s="75">
        <f>'THAM_SO_MOI'!$C$40*('THAM_SO_MOI'!$C$23*(E318/'THAM_SO_MOI'!$C$22)+'THAM_SO_MOI'!$C$24*(E318/'THAM_SO_MOI'!$C$22)^2-'THAM_SO_MOI'!$C$25*(E318/'THAM_SO_MOI'!$C$22)^3)</f>
        <v>55.75054779458727</v>
      </c>
      <c r="K318" s="75">
        <f>'THAM_SO_MOI'!$C$31*J318/E318</f>
        <v>397.06394451308</v>
      </c>
      <c r="L318" s="75">
        <f>K318*'THAM_SO_MOI'!$C$53*'THAM_SO_MOI'!$C$17/'THAM_SO_MOI'!$C$26</f>
        <v>3482.2523470784417</v>
      </c>
      <c r="M318" s="75">
        <f>'THAM_SO_MOI'!$C$15*'THAM_SO_MOI'!$C$16*F318^2</f>
        <v>541.8828333752137</v>
      </c>
      <c r="N318" s="75">
        <f>'THAM_SO_MOI'!$C$12*I318</f>
        <v>1130.112</v>
      </c>
      <c r="O318" s="75">
        <f>M318+N318</f>
        <v>1671.9948333752138</v>
      </c>
      <c r="P318" s="75">
        <f>(MIN(L318,'THAM_SO_MOI'!$C$41)-O318)/('THAM_SO_MOI'!$C$11*H318)</f>
        <v>0.21428237614858286</v>
      </c>
      <c r="Q318" s="75">
        <f>IF(P318&gt;0,1/P318,NA())</f>
        <v>4.6667393650078</v>
      </c>
      <c r="R318" s="75">
        <f>F318-F317</f>
        <v>0.017600427350426884</v>
      </c>
      <c r="S318" s="75">
        <f>0.5*(Q317+Q318)*R318</f>
        <v>0.08213249912723032</v>
      </c>
      <c r="T318" s="75">
        <f>0.5*(F317*Q317+F318*Q318)*R318</f>
        <v>1.1171819962431024</v>
      </c>
      <c r="U318" s="76">
        <f>U317+S318</f>
        <v>26.25953114019907</v>
      </c>
      <c r="V318" s="76">
        <f>V317+T318</f>
        <v>284.24319994823617</v>
      </c>
    </row>
    <row r="319" spans="1:22" ht="19" customHeight="1">
      <c r="A319" s="68" t="s">
        <v>362</v>
      </c>
      <c r="B319" s="74">
        <v>5</v>
      </c>
      <c r="C319" s="68" t="s">
        <v>363</v>
      </c>
      <c r="D319" s="68" t="s">
        <v>364</v>
      </c>
      <c r="E319" s="75">
        <f>60*F319*'THAM_SO_MOI'!$C$53/(2*PI()*'THAM_SO_MOI'!$C$26)</f>
        <v>1342.774947368421</v>
      </c>
      <c r="F319" s="75">
        <f>'THAM_SO_MOI'!$E$53+('THAM_SO_MOI'!$C$14-'THAM_SO_MOI'!$E$53)*313/'THAM_SO_MOI'!$C$42</f>
        <v>13.628591880341881</v>
      </c>
      <c r="G319" s="75">
        <f>3.6*F319</f>
        <v>49.062930769230775</v>
      </c>
      <c r="H319" s="75">
        <f>'THAM_SO_MOI'!$D$53</f>
        <v>1.1</v>
      </c>
      <c r="I319" s="75">
        <f>IF(F319&gt;'THAM_SO_MOI'!$C$14,'THAM_SO_MOI'!$C$13*(1+F319^2/1500),'THAM_SO_MOI'!$C$13)</f>
        <v>0.015</v>
      </c>
      <c r="J319" s="75">
        <f>'THAM_SO_MOI'!$C$40*('THAM_SO_MOI'!$C$23*(E319/'THAM_SO_MOI'!$C$22)+'THAM_SO_MOI'!$C$24*(E319/'THAM_SO_MOI'!$C$22)^2-'THAM_SO_MOI'!$C$25*(E319/'THAM_SO_MOI'!$C$22)^3)</f>
        <v>55.842146067447345</v>
      </c>
      <c r="K319" s="75">
        <f>'THAM_SO_MOI'!$C$31*J319/E319</f>
        <v>397.20269705650634</v>
      </c>
      <c r="L319" s="75">
        <f>K319*'THAM_SO_MOI'!$C$53*'THAM_SO_MOI'!$C$17/'THAM_SO_MOI'!$C$26</f>
        <v>3483.4692074272252</v>
      </c>
      <c r="M319" s="75">
        <f>'THAM_SO_MOI'!$C$15*'THAM_SO_MOI'!$C$16*F319^2</f>
        <v>543.2851611746929</v>
      </c>
      <c r="N319" s="75">
        <f>'THAM_SO_MOI'!$C$12*I319</f>
        <v>1130.112</v>
      </c>
      <c r="O319" s="75">
        <f>M319+N319</f>
        <v>1673.3971611746929</v>
      </c>
      <c r="P319" s="75">
        <f>(MIN(L319,'THAM_SO_MOI'!$C$41)-O319)/('THAM_SO_MOI'!$C$11*H319)</f>
        <v>0.214260422141635</v>
      </c>
      <c r="Q319" s="75">
        <f>IF(P319&gt;0,1/P319,NA())</f>
        <v>4.66721753837934</v>
      </c>
      <c r="R319" s="75">
        <f>F319-F318</f>
        <v>0.01760042735042866</v>
      </c>
      <c r="S319" s="75">
        <f>0.5*(Q318+Q319)*R319</f>
        <v>0.0821408151850487</v>
      </c>
      <c r="T319" s="75">
        <f>0.5*(F318*Q318+F319*Q319)*R319</f>
        <v>1.1187408271820773</v>
      </c>
      <c r="U319" s="76">
        <f>U318+S319</f>
        <v>26.34167195538412</v>
      </c>
      <c r="V319" s="76">
        <f>V318+T319</f>
        <v>285.36194077541825</v>
      </c>
    </row>
    <row r="320" spans="1:22" ht="19" customHeight="1">
      <c r="A320" s="68" t="s">
        <v>362</v>
      </c>
      <c r="B320" s="74">
        <v>5</v>
      </c>
      <c r="C320" s="68" t="s">
        <v>363</v>
      </c>
      <c r="D320" s="68" t="s">
        <v>364</v>
      </c>
      <c r="E320" s="75">
        <f>60*F320*'THAM_SO_MOI'!$C$53/(2*PI()*'THAM_SO_MOI'!$C$26)</f>
        <v>1344.5090526315787</v>
      </c>
      <c r="F320" s="75">
        <f>'THAM_SO_MOI'!$E$53+('THAM_SO_MOI'!$C$14-'THAM_SO_MOI'!$E$53)*314/'THAM_SO_MOI'!$C$42</f>
        <v>13.646192307692308</v>
      </c>
      <c r="G320" s="75">
        <f>3.6*F320</f>
        <v>49.12629230769231</v>
      </c>
      <c r="H320" s="75">
        <f>'THAM_SO_MOI'!$D$53</f>
        <v>1.1</v>
      </c>
      <c r="I320" s="75">
        <f>IF(F320&gt;'THAM_SO_MOI'!$C$14,'THAM_SO_MOI'!$C$13*(1+F320^2/1500),'THAM_SO_MOI'!$C$13)</f>
        <v>0.015</v>
      </c>
      <c r="J320" s="75">
        <f>'THAM_SO_MOI'!$C$40*('THAM_SO_MOI'!$C$23*(E320/'THAM_SO_MOI'!$C$22)+'THAM_SO_MOI'!$C$24*(E320/'THAM_SO_MOI'!$C$22)^2-'THAM_SO_MOI'!$C$25*(E320/'THAM_SO_MOI'!$C$22)^3)</f>
        <v>55.93375365670636</v>
      </c>
      <c r="K320" s="75">
        <f>'THAM_SO_MOI'!$C$31*J320/E320</f>
        <v>397.3411578643077</v>
      </c>
      <c r="L320" s="75">
        <f>K320*'THAM_SO_MOI'!$C$53*'THAM_SO_MOI'!$C$17/'THAM_SO_MOI'!$C$26</f>
        <v>3484.6835092534357</v>
      </c>
      <c r="M320" s="75">
        <f>'THAM_SO_MOI'!$C$15*'THAM_SO_MOI'!$C$16*F320^2</f>
        <v>544.6893011581732</v>
      </c>
      <c r="N320" s="75">
        <f>'THAM_SO_MOI'!$C$12*I320</f>
        <v>1130.112</v>
      </c>
      <c r="O320" s="75">
        <f>M320+N320</f>
        <v>1674.8013011581734</v>
      </c>
      <c r="P320" s="75">
        <f>(MIN(L320,'THAM_SO_MOI'!$C$41)-O320)/('THAM_SO_MOI'!$C$11*H320)</f>
        <v>0.21423795076885208</v>
      </c>
      <c r="Q320" s="75">
        <f>IF(P320&gt;0,1/P320,NA())</f>
        <v>4.667707081827583</v>
      </c>
      <c r="R320" s="75">
        <f>F320-F319</f>
        <v>0.017600427350426884</v>
      </c>
      <c r="S320" s="75">
        <f>0.5*(Q319+Q320)*R320</f>
        <v>0.08214933129983161</v>
      </c>
      <c r="T320" s="75">
        <f>0.5*(F319*Q319+F320*Q320)*R320</f>
        <v>1.1203026791092003</v>
      </c>
      <c r="U320" s="76">
        <f>U319+S320</f>
        <v>26.42382128668395</v>
      </c>
      <c r="V320" s="76">
        <f>V319+T320</f>
        <v>286.48224345452746</v>
      </c>
    </row>
    <row r="321" spans="1:22" ht="19" customHeight="1">
      <c r="A321" s="68" t="s">
        <v>362</v>
      </c>
      <c r="B321" s="74">
        <v>5</v>
      </c>
      <c r="C321" s="68" t="s">
        <v>363</v>
      </c>
      <c r="D321" s="68" t="s">
        <v>364</v>
      </c>
      <c r="E321" s="75">
        <f>60*F321*'THAM_SO_MOI'!$C$53/(2*PI()*'THAM_SO_MOI'!$C$26)</f>
        <v>1346.2431578947364</v>
      </c>
      <c r="F321" s="75">
        <f>'THAM_SO_MOI'!$E$53+('THAM_SO_MOI'!$C$14-'THAM_SO_MOI'!$E$53)*315/'THAM_SO_MOI'!$C$42</f>
        <v>13.663792735042735</v>
      </c>
      <c r="G321" s="75">
        <f>3.6*F321</f>
        <v>49.189653846153846</v>
      </c>
      <c r="H321" s="75">
        <f>'THAM_SO_MOI'!$D$53</f>
        <v>1.1</v>
      </c>
      <c r="I321" s="75">
        <f>IF(F321&gt;'THAM_SO_MOI'!$C$14,'THAM_SO_MOI'!$C$13*(1+F321^2/1500),'THAM_SO_MOI'!$C$13)</f>
        <v>0.015</v>
      </c>
      <c r="J321" s="75">
        <f>'THAM_SO_MOI'!$C$40*('THAM_SO_MOI'!$C$23*(E321/'THAM_SO_MOI'!$C$22)+'THAM_SO_MOI'!$C$24*(E321/'THAM_SO_MOI'!$C$22)^2-'THAM_SO_MOI'!$C$25*(E321/'THAM_SO_MOI'!$C$22)^3)</f>
        <v>56.02537040346105</v>
      </c>
      <c r="K321" s="75">
        <f>'THAM_SO_MOI'!$C$31*J321/E321</f>
        <v>397.4793269364841</v>
      </c>
      <c r="L321" s="75">
        <f>K321*'THAM_SO_MOI'!$C$53*'THAM_SO_MOI'!$C$17/'THAM_SO_MOI'!$C$26</f>
        <v>3485.895252557074</v>
      </c>
      <c r="M321" s="75">
        <f>'THAM_SO_MOI'!$C$15*'THAM_SO_MOI'!$C$16*F321^2</f>
        <v>546.0952533256544</v>
      </c>
      <c r="N321" s="75">
        <f>'THAM_SO_MOI'!$C$12*I321</f>
        <v>1130.112</v>
      </c>
      <c r="O321" s="75">
        <f>M321+N321</f>
        <v>1676.2072533256546</v>
      </c>
      <c r="P321" s="75">
        <f>(MIN(L321,'THAM_SO_MOI'!$C$41)-O321)/('THAM_SO_MOI'!$C$11*H321)</f>
        <v>0.2142149620302343</v>
      </c>
      <c r="Q321" s="75">
        <f>IF(P321&gt;0,1/P321,NA())</f>
        <v>4.668208002477717</v>
      </c>
      <c r="R321" s="75">
        <f>F321-F320</f>
        <v>0.017600427350426884</v>
      </c>
      <c r="S321" s="75">
        <f>0.5*(Q320+Q321)*R321</f>
        <v>0.08215804759553494</v>
      </c>
      <c r="T321" s="75">
        <f>0.5*(F320*Q320+F321*Q321)*R321</f>
        <v>1.1218675642803657</v>
      </c>
      <c r="U321" s="76">
        <f>U320+S321</f>
        <v>26.505979334279484</v>
      </c>
      <c r="V321" s="76">
        <f>V320+T321</f>
        <v>287.6041110188078</v>
      </c>
    </row>
    <row r="322" spans="1:22" ht="19" customHeight="1">
      <c r="A322" s="68" t="s">
        <v>362</v>
      </c>
      <c r="B322" s="74">
        <v>5</v>
      </c>
      <c r="C322" s="68" t="s">
        <v>363</v>
      </c>
      <c r="D322" s="68" t="s">
        <v>364</v>
      </c>
      <c r="E322" s="75">
        <f>60*F322*'THAM_SO_MOI'!$C$53/(2*PI()*'THAM_SO_MOI'!$C$26)</f>
        <v>1347.9772631578944</v>
      </c>
      <c r="F322" s="75">
        <f>'THAM_SO_MOI'!$E$53+('THAM_SO_MOI'!$C$14-'THAM_SO_MOI'!$E$53)*316/'THAM_SO_MOI'!$C$42</f>
        <v>13.681393162393162</v>
      </c>
      <c r="G322" s="75">
        <f>3.6*F322</f>
        <v>49.25301538461538</v>
      </c>
      <c r="H322" s="75">
        <f>'THAM_SO_MOI'!$D$53</f>
        <v>1.1</v>
      </c>
      <c r="I322" s="75">
        <f>IF(F322&gt;'THAM_SO_MOI'!$C$14,'THAM_SO_MOI'!$C$13*(1+F322^2/1500),'THAM_SO_MOI'!$C$13)</f>
        <v>0.015</v>
      </c>
      <c r="J322" s="75">
        <f>'THAM_SO_MOI'!$C$40*('THAM_SO_MOI'!$C$23*(E322/'THAM_SO_MOI'!$C$22)+'THAM_SO_MOI'!$C$24*(E322/'THAM_SO_MOI'!$C$22)^2-'THAM_SO_MOI'!$C$25*(E322/'THAM_SO_MOI'!$C$22)^3)</f>
        <v>56.11699614880812</v>
      </c>
      <c r="K322" s="75">
        <f>'THAM_SO_MOI'!$C$31*J322/E322</f>
        <v>397.61720427303544</v>
      </c>
      <c r="L322" s="75">
        <f>K322*'THAM_SO_MOI'!$C$53*'THAM_SO_MOI'!$C$17/'THAM_SO_MOI'!$C$26</f>
        <v>3487.1044373381387</v>
      </c>
      <c r="M322" s="75">
        <f>'THAM_SO_MOI'!$C$15*'THAM_SO_MOI'!$C$16*F322^2</f>
        <v>547.5030176771368</v>
      </c>
      <c r="N322" s="75">
        <f>'THAM_SO_MOI'!$C$12*I322</f>
        <v>1130.112</v>
      </c>
      <c r="O322" s="75">
        <f>M322+N322</f>
        <v>1677.6150176771368</v>
      </c>
      <c r="P322" s="75">
        <f>(MIN(L322,'THAM_SO_MOI'!$C$41)-O322)/('THAM_SO_MOI'!$C$11*H322)</f>
        <v>0.2141914559257815</v>
      </c>
      <c r="Q322" s="75">
        <f>IF(P322&gt;0,1/P322,NA())</f>
        <v>4.668720307622847</v>
      </c>
      <c r="R322" s="75">
        <f>F322-F321</f>
        <v>0.017600427350426884</v>
      </c>
      <c r="S322" s="75">
        <f>0.5*(Q321+Q322)*R322</f>
        <v>0.08216696419903452</v>
      </c>
      <c r="T322" s="75">
        <f>0.5*(F321*Q321+F322*Q322)*R322</f>
        <v>1.1234354950001164</v>
      </c>
      <c r="U322" s="76">
        <f>U321+S322</f>
        <v>26.58814629847852</v>
      </c>
      <c r="V322" s="76">
        <f>V321+T322</f>
        <v>288.72754651380797</v>
      </c>
    </row>
    <row r="323" spans="1:22" ht="19" customHeight="1">
      <c r="A323" s="68" t="s">
        <v>362</v>
      </c>
      <c r="B323" s="74">
        <v>5</v>
      </c>
      <c r="C323" s="68" t="s">
        <v>363</v>
      </c>
      <c r="D323" s="68" t="s">
        <v>364</v>
      </c>
      <c r="E323" s="75">
        <f>60*F323*'THAM_SO_MOI'!$C$53/(2*PI()*'THAM_SO_MOI'!$C$26)</f>
        <v>1349.7113684210524</v>
      </c>
      <c r="F323" s="75">
        <f>'THAM_SO_MOI'!$E$53+('THAM_SO_MOI'!$C$14-'THAM_SO_MOI'!$E$53)*317/'THAM_SO_MOI'!$C$42</f>
        <v>13.69899358974359</v>
      </c>
      <c r="G323" s="75">
        <f>3.6*F323</f>
        <v>49.31637692307693</v>
      </c>
      <c r="H323" s="75">
        <f>'THAM_SO_MOI'!$D$53</f>
        <v>1.1</v>
      </c>
      <c r="I323" s="75">
        <f>IF(F323&gt;'THAM_SO_MOI'!$C$14,'THAM_SO_MOI'!$C$13*(1+F323^2/1500),'THAM_SO_MOI'!$C$13)</f>
        <v>0.015</v>
      </c>
      <c r="J323" s="75">
        <f>'THAM_SO_MOI'!$C$40*('THAM_SO_MOI'!$C$23*(E323/'THAM_SO_MOI'!$C$22)+'THAM_SO_MOI'!$C$24*(E323/'THAM_SO_MOI'!$C$22)^2-'THAM_SO_MOI'!$C$25*(E323/'THAM_SO_MOI'!$C$22)^3)</f>
        <v>56.20863073384431</v>
      </c>
      <c r="K323" s="75">
        <f>'THAM_SO_MOI'!$C$31*J323/E323</f>
        <v>397.7547898739616</v>
      </c>
      <c r="L323" s="75">
        <f>K323*'THAM_SO_MOI'!$C$53*'THAM_SO_MOI'!$C$17/'THAM_SO_MOI'!$C$26</f>
        <v>3488.31106359663</v>
      </c>
      <c r="M323" s="75">
        <f>'THAM_SO_MOI'!$C$15*'THAM_SO_MOI'!$C$16*F323^2</f>
        <v>548.9125942126203</v>
      </c>
      <c r="N323" s="75">
        <f>'THAM_SO_MOI'!$C$12*I323</f>
        <v>1130.112</v>
      </c>
      <c r="O323" s="75">
        <f>M323+N323</f>
        <v>1679.0245942126203</v>
      </c>
      <c r="P323" s="75">
        <f>(MIN(L323,'THAM_SO_MOI'!$C$41)-O323)/('THAM_SO_MOI'!$C$11*H323)</f>
        <v>0.21416743245549358</v>
      </c>
      <c r="Q323" s="75">
        <f>IF(P323&gt;0,1/P323,NA())</f>
        <v>4.669244004724254</v>
      </c>
      <c r="R323" s="75">
        <f>F323-F322</f>
        <v>0.01760042735042866</v>
      </c>
      <c r="S323" s="75">
        <f>0.5*(Q322+Q323)*R323</f>
        <v>0.08217608124018033</v>
      </c>
      <c r="T323" s="75">
        <f>0.5*(F322*Q322+F323*Q323)*R323</f>
        <v>1.1250064836226465</v>
      </c>
      <c r="U323" s="76">
        <f>U322+S323</f>
        <v>26.6703223797187</v>
      </c>
      <c r="V323" s="76">
        <f>V322+T323</f>
        <v>289.8525529974306</v>
      </c>
    </row>
    <row r="324" spans="1:22" ht="19" customHeight="1">
      <c r="A324" s="68" t="s">
        <v>362</v>
      </c>
      <c r="B324" s="74">
        <v>5</v>
      </c>
      <c r="C324" s="68" t="s">
        <v>363</v>
      </c>
      <c r="D324" s="68" t="s">
        <v>364</v>
      </c>
      <c r="E324" s="75">
        <f>60*F324*'THAM_SO_MOI'!$C$53/(2*PI()*'THAM_SO_MOI'!$C$26)</f>
        <v>1351.4454736842104</v>
      </c>
      <c r="F324" s="75">
        <f>'THAM_SO_MOI'!$E$53+('THAM_SO_MOI'!$C$14-'THAM_SO_MOI'!$E$53)*318/'THAM_SO_MOI'!$C$42</f>
        <v>13.716594017094017</v>
      </c>
      <c r="G324" s="75">
        <f>3.6*F324</f>
        <v>49.379738461538466</v>
      </c>
      <c r="H324" s="75">
        <f>'THAM_SO_MOI'!$D$53</f>
        <v>1.1</v>
      </c>
      <c r="I324" s="75">
        <f>IF(F324&gt;'THAM_SO_MOI'!$C$14,'THAM_SO_MOI'!$C$13*(1+F324^2/1500),'THAM_SO_MOI'!$C$13)</f>
        <v>0.015</v>
      </c>
      <c r="J324" s="75">
        <f>'THAM_SO_MOI'!$C$40*('THAM_SO_MOI'!$C$23*(E324/'THAM_SO_MOI'!$C$22)+'THAM_SO_MOI'!$C$24*(E324/'THAM_SO_MOI'!$C$22)^2-'THAM_SO_MOI'!$C$25*(E324/'THAM_SO_MOI'!$C$22)^3)</f>
        <v>56.30027399966632</v>
      </c>
      <c r="K324" s="75">
        <f>'THAM_SO_MOI'!$C$31*J324/E324</f>
        <v>397.89208373926283</v>
      </c>
      <c r="L324" s="75">
        <f>K324*'THAM_SO_MOI'!$C$53*'THAM_SO_MOI'!$C$17/'THAM_SO_MOI'!$C$26</f>
        <v>3489.515131332548</v>
      </c>
      <c r="M324" s="75">
        <f>'THAM_SO_MOI'!$C$15*'THAM_SO_MOI'!$C$16*F324^2</f>
        <v>550.3239829321049</v>
      </c>
      <c r="N324" s="75">
        <f>'THAM_SO_MOI'!$C$12*I324</f>
        <v>1130.112</v>
      </c>
      <c r="O324" s="75">
        <f>M324+N324</f>
        <v>1680.435982932105</v>
      </c>
      <c r="P324" s="75">
        <f>(MIN(L324,'THAM_SO_MOI'!$C$41)-O324)/('THAM_SO_MOI'!$C$11*H324)</f>
        <v>0.2141428916193706</v>
      </c>
      <c r="Q324" s="75">
        <f>IF(P324&gt;0,1/P324,NA())</f>
        <v>4.669779101411665</v>
      </c>
      <c r="R324" s="75">
        <f>F324-F323</f>
        <v>0.017600427350426884</v>
      </c>
      <c r="S324" s="75">
        <f>0.5*(Q323+Q324)*R324</f>
        <v>0.08218539885175163</v>
      </c>
      <c r="T324" s="75">
        <f>0.5*(F323*Q323+F324*Q324)*R324</f>
        <v>1.1265805425514437</v>
      </c>
      <c r="U324" s="76">
        <f>U323+S324</f>
        <v>26.752507778570454</v>
      </c>
      <c r="V324" s="76">
        <f>V323+T324</f>
        <v>290.97913353998206</v>
      </c>
    </row>
    <row r="325" spans="1:22" ht="19" customHeight="1">
      <c r="A325" s="68" t="s">
        <v>362</v>
      </c>
      <c r="B325" s="74">
        <v>5</v>
      </c>
      <c r="C325" s="68" t="s">
        <v>363</v>
      </c>
      <c r="D325" s="68" t="s">
        <v>364</v>
      </c>
      <c r="E325" s="75">
        <f>60*F325*'THAM_SO_MOI'!$C$53/(2*PI()*'THAM_SO_MOI'!$C$26)</f>
        <v>1353.179578947368</v>
      </c>
      <c r="F325" s="75">
        <f>'THAM_SO_MOI'!$E$53+('THAM_SO_MOI'!$C$14-'THAM_SO_MOI'!$E$53)*319/'THAM_SO_MOI'!$C$42</f>
        <v>13.734194444444444</v>
      </c>
      <c r="G325" s="75">
        <f>3.6*F325</f>
        <v>49.4431</v>
      </c>
      <c r="H325" s="75">
        <f>'THAM_SO_MOI'!$D$53</f>
        <v>1.1</v>
      </c>
      <c r="I325" s="75">
        <f>IF(F325&gt;'THAM_SO_MOI'!$C$14,'THAM_SO_MOI'!$C$13*(1+F325^2/1500),'THAM_SO_MOI'!$C$13)</f>
        <v>0.015</v>
      </c>
      <c r="J325" s="75">
        <f>'THAM_SO_MOI'!$C$40*('THAM_SO_MOI'!$C$23*(E325/'THAM_SO_MOI'!$C$22)+'THAM_SO_MOI'!$C$24*(E325/'THAM_SO_MOI'!$C$22)^2-'THAM_SO_MOI'!$C$25*(E325/'THAM_SO_MOI'!$C$22)^3)</f>
        <v>56.39192578737088</v>
      </c>
      <c r="K325" s="75">
        <f>'THAM_SO_MOI'!$C$31*J325/E325</f>
        <v>398.0290858689391</v>
      </c>
      <c r="L325" s="75">
        <f>K325*'THAM_SO_MOI'!$C$53*'THAM_SO_MOI'!$C$17/'THAM_SO_MOI'!$C$26</f>
        <v>3490.716640545894</v>
      </c>
      <c r="M325" s="75">
        <f>'THAM_SO_MOI'!$C$15*'THAM_SO_MOI'!$C$16*F325^2</f>
        <v>551.7371838355903</v>
      </c>
      <c r="N325" s="75">
        <f>'THAM_SO_MOI'!$C$12*I325</f>
        <v>1130.112</v>
      </c>
      <c r="O325" s="75">
        <f>M325+N325</f>
        <v>1681.8491838355903</v>
      </c>
      <c r="P325" s="75">
        <f>(MIN(L325,'THAM_SO_MOI'!$C$41)-O325)/('THAM_SO_MOI'!$C$11*H325)</f>
        <v>0.2141178334174128</v>
      </c>
      <c r="Q325" s="75">
        <f>IF(P325&gt;0,1/P325,NA())</f>
        <v>4.67032560548353</v>
      </c>
      <c r="R325" s="75">
        <f>F325-F324</f>
        <v>0.017600427350426884</v>
      </c>
      <c r="S325" s="75">
        <f>0.5*(Q324+Q325)*R325</f>
        <v>0.08219491716954454</v>
      </c>
      <c r="T325" s="75">
        <f>0.5*(F324*Q324+F325*Q325)*R325</f>
        <v>1.128157684240752</v>
      </c>
      <c r="U325" s="76">
        <f>U324+S325</f>
        <v>26.83470269574</v>
      </c>
      <c r="V325" s="76">
        <f>V324+T325</f>
        <v>292.1072912242228</v>
      </c>
    </row>
    <row r="326" spans="1:22" ht="19" customHeight="1">
      <c r="A326" s="68" t="s">
        <v>362</v>
      </c>
      <c r="B326" s="74">
        <v>5</v>
      </c>
      <c r="C326" s="68" t="s">
        <v>363</v>
      </c>
      <c r="D326" s="68" t="s">
        <v>364</v>
      </c>
      <c r="E326" s="75">
        <f>60*F326*'THAM_SO_MOI'!$C$53/(2*PI()*'THAM_SO_MOI'!$C$26)</f>
        <v>1354.913684210526</v>
      </c>
      <c r="F326" s="75">
        <f>'THAM_SO_MOI'!$E$53+('THAM_SO_MOI'!$C$14-'THAM_SO_MOI'!$E$53)*320/'THAM_SO_MOI'!$C$42</f>
        <v>13.751794871794873</v>
      </c>
      <c r="G326" s="75">
        <f>3.6*F326</f>
        <v>49.506461538461544</v>
      </c>
      <c r="H326" s="75">
        <f>'THAM_SO_MOI'!$D$53</f>
        <v>1.1</v>
      </c>
      <c r="I326" s="75">
        <f>IF(F326&gt;'THAM_SO_MOI'!$C$14,'THAM_SO_MOI'!$C$13*(1+F326^2/1500),'THAM_SO_MOI'!$C$13)</f>
        <v>0.015</v>
      </c>
      <c r="J326" s="75">
        <f>'THAM_SO_MOI'!$C$40*('THAM_SO_MOI'!$C$23*(E326/'THAM_SO_MOI'!$C$22)+'THAM_SO_MOI'!$C$24*(E326/'THAM_SO_MOI'!$C$22)^2-'THAM_SO_MOI'!$C$25*(E326/'THAM_SO_MOI'!$C$22)^3)</f>
        <v>56.48358593805472</v>
      </c>
      <c r="K326" s="75">
        <f>'THAM_SO_MOI'!$C$31*J326/E326</f>
        <v>398.16579626299034</v>
      </c>
      <c r="L326" s="75">
        <f>K326*'THAM_SO_MOI'!$C$53*'THAM_SO_MOI'!$C$17/'THAM_SO_MOI'!$C$26</f>
        <v>3491.915591236667</v>
      </c>
      <c r="M326" s="75">
        <f>'THAM_SO_MOI'!$C$15*'THAM_SO_MOI'!$C$16*F326^2</f>
        <v>553.152196923077</v>
      </c>
      <c r="N326" s="75">
        <f>'THAM_SO_MOI'!$C$12*I326</f>
        <v>1130.112</v>
      </c>
      <c r="O326" s="75">
        <f>M326+N326</f>
        <v>1683.2641969230772</v>
      </c>
      <c r="P326" s="75">
        <f>(MIN(L326,'THAM_SO_MOI'!$C$41)-O326)/('THAM_SO_MOI'!$C$11*H326)</f>
        <v>0.21409225784962</v>
      </c>
      <c r="Q326" s="75">
        <f>IF(P326&gt;0,1/P326,NA())</f>
        <v>4.67088352490732</v>
      </c>
      <c r="R326" s="75">
        <f>F326-F325</f>
        <v>0.01760042735042866</v>
      </c>
      <c r="S326" s="75">
        <f>0.5*(Q325+Q326)*R326</f>
        <v>0.08220463633230253</v>
      </c>
      <c r="T326" s="75">
        <f>0.5*(F325*Q325+F326*Q326)*R326</f>
        <v>1.129737921194881</v>
      </c>
      <c r="U326" s="76">
        <f>U325+S326</f>
        <v>26.916907332072302</v>
      </c>
      <c r="V326" s="76">
        <f>V325+T326</f>
        <v>293.2370291454177</v>
      </c>
    </row>
    <row r="327" spans="1:22" ht="19" customHeight="1">
      <c r="A327" s="68" t="s">
        <v>362</v>
      </c>
      <c r="B327" s="74">
        <v>5</v>
      </c>
      <c r="C327" s="68" t="s">
        <v>363</v>
      </c>
      <c r="D327" s="68" t="s">
        <v>364</v>
      </c>
      <c r="E327" s="75">
        <f>60*F327*'THAM_SO_MOI'!$C$53/(2*PI()*'THAM_SO_MOI'!$C$26)</f>
        <v>1356.647789473684</v>
      </c>
      <c r="F327" s="75">
        <f>'THAM_SO_MOI'!$E$53+('THAM_SO_MOI'!$C$14-'THAM_SO_MOI'!$E$53)*321/'THAM_SO_MOI'!$C$42</f>
        <v>13.7693952991453</v>
      </c>
      <c r="G327" s="75">
        <f>3.6*F327</f>
        <v>49.56982307692308</v>
      </c>
      <c r="H327" s="75">
        <f>'THAM_SO_MOI'!$D$53</f>
        <v>1.1</v>
      </c>
      <c r="I327" s="75">
        <f>IF(F327&gt;'THAM_SO_MOI'!$C$14,'THAM_SO_MOI'!$C$13*(1+F327^2/1500),'THAM_SO_MOI'!$C$13)</f>
        <v>0.015</v>
      </c>
      <c r="J327" s="75">
        <f>'THAM_SO_MOI'!$C$40*('THAM_SO_MOI'!$C$23*(E327/'THAM_SO_MOI'!$C$22)+'THAM_SO_MOI'!$C$24*(E327/'THAM_SO_MOI'!$C$22)^2-'THAM_SO_MOI'!$C$25*(E327/'THAM_SO_MOI'!$C$22)^3)</f>
        <v>56.575254292814556</v>
      </c>
      <c r="K327" s="75">
        <f>'THAM_SO_MOI'!$C$31*J327/E327</f>
        <v>398.3022149214165</v>
      </c>
      <c r="L327" s="75">
        <f>K327*'THAM_SO_MOI'!$C$53*'THAM_SO_MOI'!$C$17/'THAM_SO_MOI'!$C$26</f>
        <v>3493.1119834048664</v>
      </c>
      <c r="M327" s="75">
        <f>'THAM_SO_MOI'!$C$15*'THAM_SO_MOI'!$C$16*F327^2</f>
        <v>554.5690221945647</v>
      </c>
      <c r="N327" s="75">
        <f>'THAM_SO_MOI'!$C$12*I327</f>
        <v>1130.112</v>
      </c>
      <c r="O327" s="75">
        <f>M327+N327</f>
        <v>1684.6810221945648</v>
      </c>
      <c r="P327" s="75">
        <f>(MIN(L327,'THAM_SO_MOI'!$C$41)-O327)/('THAM_SO_MOI'!$C$11*H327)</f>
        <v>0.21406616491599215</v>
      </c>
      <c r="Q327" s="75">
        <f>IF(P327&gt;0,1/P327,NA())</f>
        <v>4.67145286781981</v>
      </c>
      <c r="R327" s="75">
        <f>F327-F326</f>
        <v>0.017600427350426884</v>
      </c>
      <c r="S327" s="75">
        <f>0.5*(Q326+Q327)*R327</f>
        <v>0.0822145564817215</v>
      </c>
      <c r="T327" s="75">
        <f>0.5*(F326*Q326+F327*Q327)*R327</f>
        <v>1.1313212659685363</v>
      </c>
      <c r="U327" s="76">
        <f>U326+S327</f>
        <v>26.999121888554022</v>
      </c>
      <c r="V327" s="76">
        <f>V326+T327</f>
        <v>294.36835041138625</v>
      </c>
    </row>
    <row r="328" spans="1:22" ht="19" customHeight="1">
      <c r="A328" s="68" t="s">
        <v>362</v>
      </c>
      <c r="B328" s="74">
        <v>5</v>
      </c>
      <c r="C328" s="68" t="s">
        <v>363</v>
      </c>
      <c r="D328" s="68" t="s">
        <v>364</v>
      </c>
      <c r="E328" s="75">
        <f>60*F328*'THAM_SO_MOI'!$C$53/(2*PI()*'THAM_SO_MOI'!$C$26)</f>
        <v>1358.3818947368418</v>
      </c>
      <c r="F328" s="75">
        <f>'THAM_SO_MOI'!$E$53+('THAM_SO_MOI'!$C$14-'THAM_SO_MOI'!$E$53)*322/'THAM_SO_MOI'!$C$42</f>
        <v>13.786995726495727</v>
      </c>
      <c r="G328" s="75">
        <f>3.6*F328</f>
        <v>49.633184615384614</v>
      </c>
      <c r="H328" s="75">
        <f>'THAM_SO_MOI'!$D$53</f>
        <v>1.1</v>
      </c>
      <c r="I328" s="75">
        <f>IF(F328&gt;'THAM_SO_MOI'!$C$14,'THAM_SO_MOI'!$C$13*(1+F328^2/1500),'THAM_SO_MOI'!$C$13)</f>
        <v>0.015</v>
      </c>
      <c r="J328" s="75">
        <f>'THAM_SO_MOI'!$C$40*('THAM_SO_MOI'!$C$23*(E328/'THAM_SO_MOI'!$C$22)+'THAM_SO_MOI'!$C$24*(E328/'THAM_SO_MOI'!$C$22)^2-'THAM_SO_MOI'!$C$25*(E328/'THAM_SO_MOI'!$C$22)^3)</f>
        <v>56.66693069274709</v>
      </c>
      <c r="K328" s="75">
        <f>'THAM_SO_MOI'!$C$31*J328/E328</f>
        <v>398.4383418442176</v>
      </c>
      <c r="L328" s="75">
        <f>K328*'THAM_SO_MOI'!$C$53*'THAM_SO_MOI'!$C$17/'THAM_SO_MOI'!$C$26</f>
        <v>3494.305817050492</v>
      </c>
      <c r="M328" s="75">
        <f>'THAM_SO_MOI'!$C$15*'THAM_SO_MOI'!$C$16*F328^2</f>
        <v>555.9876596500535</v>
      </c>
      <c r="N328" s="75">
        <f>'THAM_SO_MOI'!$C$12*I328</f>
        <v>1130.112</v>
      </c>
      <c r="O328" s="75">
        <f>M328+N328</f>
        <v>1686.0996596500536</v>
      </c>
      <c r="P328" s="75">
        <f>(MIN(L328,'THAM_SO_MOI'!$C$41)-O328)/('THAM_SO_MOI'!$C$11*H328)</f>
        <v>0.21403955461652915</v>
      </c>
      <c r="Q328" s="75">
        <f>IF(P328&gt;0,1/P328,NA())</f>
        <v>4.672033642527376</v>
      </c>
      <c r="R328" s="75">
        <f>F328-F327</f>
        <v>0.017600427350426884</v>
      </c>
      <c r="S328" s="75">
        <f>0.5*(Q327+Q328)*R328</f>
        <v>0.08222467776252963</v>
      </c>
      <c r="T328" s="75">
        <f>0.5*(F327*Q327+F328*Q328)*R328</f>
        <v>1.132907731168176</v>
      </c>
      <c r="U328" s="76">
        <f>U327+S328</f>
        <v>27.08134656631655</v>
      </c>
      <c r="V328" s="76">
        <f>V327+T328</f>
        <v>295.50125814255443</v>
      </c>
    </row>
    <row r="329" spans="1:22" ht="19" customHeight="1">
      <c r="A329" s="68" t="s">
        <v>362</v>
      </c>
      <c r="B329" s="74">
        <v>5</v>
      </c>
      <c r="C329" s="68" t="s">
        <v>363</v>
      </c>
      <c r="D329" s="68" t="s">
        <v>364</v>
      </c>
      <c r="E329" s="75">
        <f>60*F329*'THAM_SO_MOI'!$C$53/(2*PI()*'THAM_SO_MOI'!$C$26)</f>
        <v>1360.1159999999998</v>
      </c>
      <c r="F329" s="75">
        <f>'THAM_SO_MOI'!$E$53+('THAM_SO_MOI'!$C$14-'THAM_SO_MOI'!$E$53)*323/'THAM_SO_MOI'!$C$42</f>
        <v>13.804596153846154</v>
      </c>
      <c r="G329" s="75">
        <f>3.6*F329</f>
        <v>49.69654615384616</v>
      </c>
      <c r="H329" s="75">
        <f>'THAM_SO_MOI'!$D$53</f>
        <v>1.1</v>
      </c>
      <c r="I329" s="75">
        <f>IF(F329&gt;'THAM_SO_MOI'!$C$14,'THAM_SO_MOI'!$C$13*(1+F329^2/1500),'THAM_SO_MOI'!$C$13)</f>
        <v>0.015</v>
      </c>
      <c r="J329" s="75">
        <f>'THAM_SO_MOI'!$C$40*('THAM_SO_MOI'!$C$23*(E329/'THAM_SO_MOI'!$C$22)+'THAM_SO_MOI'!$C$24*(E329/'THAM_SO_MOI'!$C$22)^2-'THAM_SO_MOI'!$C$25*(E329/'THAM_SO_MOI'!$C$22)^3)</f>
        <v>56.758614978949055</v>
      </c>
      <c r="K329" s="75">
        <f>'THAM_SO_MOI'!$C$31*J329/E329</f>
        <v>398.5741770313935</v>
      </c>
      <c r="L329" s="75">
        <f>K329*'THAM_SO_MOI'!$C$53*'THAM_SO_MOI'!$C$17/'THAM_SO_MOI'!$C$26</f>
        <v>3495.4970921735435</v>
      </c>
      <c r="M329" s="75">
        <f>'THAM_SO_MOI'!$C$15*'THAM_SO_MOI'!$C$16*F329^2</f>
        <v>557.4081092895433</v>
      </c>
      <c r="N329" s="75">
        <f>'THAM_SO_MOI'!$C$12*I329</f>
        <v>1130.112</v>
      </c>
      <c r="O329" s="75">
        <f>M329+N329</f>
        <v>1687.5201092895434</v>
      </c>
      <c r="P329" s="75">
        <f>(MIN(L329,'THAM_SO_MOI'!$C$41)-O329)/('THAM_SO_MOI'!$C$11*H329)</f>
        <v>0.21401242695123104</v>
      </c>
      <c r="Q329" s="75">
        <f>IF(P329&gt;0,1/P329,NA())</f>
        <v>4.672625857506298</v>
      </c>
      <c r="R329" s="75">
        <f>F329-F328</f>
        <v>0.017600427350426884</v>
      </c>
      <c r="S329" s="75">
        <f>0.5*(Q328+Q329)*R329</f>
        <v>0.08223500032240955</v>
      </c>
      <c r="T329" s="75">
        <f>0.5*(F328*Q328+F329*Q329)*R329</f>
        <v>1.1344973294512086</v>
      </c>
      <c r="U329" s="76">
        <f>U328+S329</f>
        <v>27.16358156663896</v>
      </c>
      <c r="V329" s="76">
        <f>V328+T329</f>
        <v>296.63575547200566</v>
      </c>
    </row>
    <row r="330" spans="1:22" ht="19" customHeight="1">
      <c r="A330" s="68" t="s">
        <v>362</v>
      </c>
      <c r="B330" s="74">
        <v>5</v>
      </c>
      <c r="C330" s="68" t="s">
        <v>363</v>
      </c>
      <c r="D330" s="68" t="s">
        <v>364</v>
      </c>
      <c r="E330" s="75">
        <f>60*F330*'THAM_SO_MOI'!$C$53/(2*PI()*'THAM_SO_MOI'!$C$26)</f>
        <v>1361.8501052631577</v>
      </c>
      <c r="F330" s="75">
        <f>'THAM_SO_MOI'!$E$53+('THAM_SO_MOI'!$C$14-'THAM_SO_MOI'!$E$53)*324/'THAM_SO_MOI'!$C$42</f>
        <v>13.822196581196582</v>
      </c>
      <c r="G330" s="75">
        <f>3.6*F330</f>
        <v>49.7599076923077</v>
      </c>
      <c r="H330" s="75">
        <f>'THAM_SO_MOI'!$D$53</f>
        <v>1.1</v>
      </c>
      <c r="I330" s="75">
        <f>IF(F330&gt;'THAM_SO_MOI'!$C$14,'THAM_SO_MOI'!$C$13*(1+F330^2/1500),'THAM_SO_MOI'!$C$13)</f>
        <v>0.015</v>
      </c>
      <c r="J330" s="75">
        <f>'THAM_SO_MOI'!$C$40*('THAM_SO_MOI'!$C$23*(E330/'THAM_SO_MOI'!$C$22)+'THAM_SO_MOI'!$C$24*(E330/'THAM_SO_MOI'!$C$22)^2-'THAM_SO_MOI'!$C$25*(E330/'THAM_SO_MOI'!$C$22)^3)</f>
        <v>56.85030699251719</v>
      </c>
      <c r="K330" s="75">
        <f>'THAM_SO_MOI'!$C$31*J330/E330</f>
        <v>398.7097204829446</v>
      </c>
      <c r="L330" s="75">
        <f>K330*'THAM_SO_MOI'!$C$53*'THAM_SO_MOI'!$C$17/'THAM_SO_MOI'!$C$26</f>
        <v>3496.685808774024</v>
      </c>
      <c r="M330" s="75">
        <f>'THAM_SO_MOI'!$C$15*'THAM_SO_MOI'!$C$16*F330^2</f>
        <v>558.8303711130343</v>
      </c>
      <c r="N330" s="75">
        <f>'THAM_SO_MOI'!$C$12*I330</f>
        <v>1130.112</v>
      </c>
      <c r="O330" s="75">
        <f>M330+N330</f>
        <v>1688.9423711130344</v>
      </c>
      <c r="P330" s="75">
        <f>(MIN(L330,'THAM_SO_MOI'!$C$41)-O330)/('THAM_SO_MOI'!$C$11*H330)</f>
        <v>0.21398478192009818</v>
      </c>
      <c r="Q330" s="75">
        <f>IF(P330&gt;0,1/P330,NA())</f>
        <v>4.673229521403067</v>
      </c>
      <c r="R330" s="75">
        <f>F330-F329</f>
        <v>0.01760042735042866</v>
      </c>
      <c r="S330" s="75">
        <f>0.5*(Q329+Q330)*R330</f>
        <v>0.08224552431205359</v>
      </c>
      <c r="T330" s="75">
        <f>0.5*(F329*Q329+F330*Q330)*R330</f>
        <v>1.1360900735270139</v>
      </c>
      <c r="U330" s="76">
        <f>U329+S330</f>
        <v>27.245827090951014</v>
      </c>
      <c r="V330" s="76">
        <f>V329+T330</f>
        <v>297.77184554553264</v>
      </c>
    </row>
    <row r="331" spans="1:22" ht="19" customHeight="1">
      <c r="A331" s="68" t="s">
        <v>362</v>
      </c>
      <c r="B331" s="74">
        <v>5</v>
      </c>
      <c r="C331" s="68" t="s">
        <v>363</v>
      </c>
      <c r="D331" s="68" t="s">
        <v>364</v>
      </c>
      <c r="E331" s="75">
        <f>60*F331*'THAM_SO_MOI'!$C$53/(2*PI()*'THAM_SO_MOI'!$C$26)</f>
        <v>1363.5842105263155</v>
      </c>
      <c r="F331" s="75">
        <f>'THAM_SO_MOI'!$E$53+('THAM_SO_MOI'!$C$14-'THAM_SO_MOI'!$E$53)*325/'THAM_SO_MOI'!$C$42</f>
        <v>13.83979700854701</v>
      </c>
      <c r="G331" s="75">
        <f>3.6*F331</f>
        <v>49.823269230769235</v>
      </c>
      <c r="H331" s="75">
        <f>'THAM_SO_MOI'!$D$53</f>
        <v>1.1</v>
      </c>
      <c r="I331" s="75">
        <f>IF(F331&gt;'THAM_SO_MOI'!$C$14,'THAM_SO_MOI'!$C$13*(1+F331^2/1500),'THAM_SO_MOI'!$C$13)</f>
        <v>0.015</v>
      </c>
      <c r="J331" s="75">
        <f>'THAM_SO_MOI'!$C$40*('THAM_SO_MOI'!$C$23*(E331/'THAM_SO_MOI'!$C$22)+'THAM_SO_MOI'!$C$24*(E331/'THAM_SO_MOI'!$C$22)^2-'THAM_SO_MOI'!$C$25*(E331/'THAM_SO_MOI'!$C$22)^3)</f>
        <v>56.94200657454819</v>
      </c>
      <c r="K331" s="75">
        <f>'THAM_SO_MOI'!$C$31*J331/E331</f>
        <v>398.84497219887055</v>
      </c>
      <c r="L331" s="75">
        <f>K331*'THAM_SO_MOI'!$C$53*'THAM_SO_MOI'!$C$17/'THAM_SO_MOI'!$C$26</f>
        <v>3497.87196685193</v>
      </c>
      <c r="M331" s="75">
        <f>'THAM_SO_MOI'!$C$15*'THAM_SO_MOI'!$C$16*F331^2</f>
        <v>560.2544451205263</v>
      </c>
      <c r="N331" s="75">
        <f>'THAM_SO_MOI'!$C$12*I331</f>
        <v>1130.112</v>
      </c>
      <c r="O331" s="75">
        <f>M331+N331</f>
        <v>1690.3664451205264</v>
      </c>
      <c r="P331" s="75">
        <f>(MIN(L331,'THAM_SO_MOI'!$C$41)-O331)/('THAM_SO_MOI'!$C$11*H331)</f>
        <v>0.2139566195231302</v>
      </c>
      <c r="Q331" s="75">
        <f>IF(P331&gt;0,1/P331,NA())</f>
        <v>4.6738446430347205</v>
      </c>
      <c r="R331" s="75">
        <f>F331-F330</f>
        <v>0.017600427350426884</v>
      </c>
      <c r="S331" s="75">
        <f>0.5*(Q330+Q331)*R331</f>
        <v>0.08225624988511968</v>
      </c>
      <c r="T331" s="75">
        <f>0.5*(F330*Q330+F331*Q331)*R331</f>
        <v>1.137685976156596</v>
      </c>
      <c r="U331" s="76">
        <f>U330+S331</f>
        <v>27.328083340836134</v>
      </c>
      <c r="V331" s="76">
        <f>V330+T331</f>
        <v>298.90953152168925</v>
      </c>
    </row>
    <row r="332" spans="1:22" ht="19" customHeight="1">
      <c r="A332" s="68" t="s">
        <v>362</v>
      </c>
      <c r="B332" s="74">
        <v>5</v>
      </c>
      <c r="C332" s="68" t="s">
        <v>363</v>
      </c>
      <c r="D332" s="68" t="s">
        <v>364</v>
      </c>
      <c r="E332" s="75">
        <f>60*F332*'THAM_SO_MOI'!$C$53/(2*PI()*'THAM_SO_MOI'!$C$26)</f>
        <v>1365.3183157894734</v>
      </c>
      <c r="F332" s="75">
        <f>'THAM_SO_MOI'!$E$53+('THAM_SO_MOI'!$C$14-'THAM_SO_MOI'!$E$53)*326/'THAM_SO_MOI'!$C$42</f>
        <v>13.857397435897436</v>
      </c>
      <c r="G332" s="75">
        <f>3.6*F332</f>
        <v>49.88663076923077</v>
      </c>
      <c r="H332" s="75">
        <f>'THAM_SO_MOI'!$D$53</f>
        <v>1.1</v>
      </c>
      <c r="I332" s="75">
        <f>IF(F332&gt;'THAM_SO_MOI'!$C$14,'THAM_SO_MOI'!$C$13*(1+F332^2/1500),'THAM_SO_MOI'!$C$13)</f>
        <v>0.015</v>
      </c>
      <c r="J332" s="75">
        <f>'THAM_SO_MOI'!$C$40*('THAM_SO_MOI'!$C$23*(E332/'THAM_SO_MOI'!$C$22)+'THAM_SO_MOI'!$C$24*(E332/'THAM_SO_MOI'!$C$22)^2-'THAM_SO_MOI'!$C$25*(E332/'THAM_SO_MOI'!$C$22)^3)</f>
        <v>57.033713566138786</v>
      </c>
      <c r="K332" s="75">
        <f>'THAM_SO_MOI'!$C$31*J332/E332</f>
        <v>398.97993217917144</v>
      </c>
      <c r="L332" s="75">
        <f>K332*'THAM_SO_MOI'!$C$53*'THAM_SO_MOI'!$C$17/'THAM_SO_MOI'!$C$26</f>
        <v>3499.055566407263</v>
      </c>
      <c r="M332" s="75">
        <f>'THAM_SO_MOI'!$C$15*'THAM_SO_MOI'!$C$16*F332^2</f>
        <v>561.6803313120192</v>
      </c>
      <c r="N332" s="75">
        <f>'THAM_SO_MOI'!$C$12*I332</f>
        <v>1130.112</v>
      </c>
      <c r="O332" s="75">
        <f>M332+N332</f>
        <v>1691.7923313120193</v>
      </c>
      <c r="P332" s="75">
        <f>(MIN(L332,'THAM_SO_MOI'!$C$41)-O332)/('THAM_SO_MOI'!$C$11*H332)</f>
        <v>0.21392793976032712</v>
      </c>
      <c r="Q332" s="75">
        <f>IF(P332&gt;0,1/P332,NA())</f>
        <v>4.674471231389149</v>
      </c>
      <c r="R332" s="75">
        <f>F332-F331</f>
        <v>0.017600427350426884</v>
      </c>
      <c r="S332" s="75">
        <f>0.5*(Q331+Q332)*R332</f>
        <v>0.08226717719831984</v>
      </c>
      <c r="T332" s="75">
        <f>0.5*(F331*Q331+F332*Q332)*R332</f>
        <v>1.139285050154074</v>
      </c>
      <c r="U332" s="76">
        <f>U331+S332</f>
        <v>27.410350518034452</v>
      </c>
      <c r="V332" s="76">
        <f>V331+T332</f>
        <v>300.0488165718433</v>
      </c>
    </row>
    <row r="333" spans="1:22" ht="19" customHeight="1">
      <c r="A333" s="68" t="s">
        <v>362</v>
      </c>
      <c r="B333" s="74">
        <v>5</v>
      </c>
      <c r="C333" s="68" t="s">
        <v>363</v>
      </c>
      <c r="D333" s="68" t="s">
        <v>364</v>
      </c>
      <c r="E333" s="75">
        <f>60*F333*'THAM_SO_MOI'!$C$53/(2*PI()*'THAM_SO_MOI'!$C$26)</f>
        <v>1367.0524210526312</v>
      </c>
      <c r="F333" s="75">
        <f>'THAM_SO_MOI'!$E$53+('THAM_SO_MOI'!$C$14-'THAM_SO_MOI'!$E$53)*327/'THAM_SO_MOI'!$C$42</f>
        <v>13.874997863247863</v>
      </c>
      <c r="G333" s="75">
        <f>3.6*F333</f>
        <v>49.949992307692305</v>
      </c>
      <c r="H333" s="75">
        <f>'THAM_SO_MOI'!$D$53</f>
        <v>1.1</v>
      </c>
      <c r="I333" s="75">
        <f>IF(F333&gt;'THAM_SO_MOI'!$C$14,'THAM_SO_MOI'!$C$13*(1+F333^2/1500),'THAM_SO_MOI'!$C$13)</f>
        <v>0.015</v>
      </c>
      <c r="J333" s="75">
        <f>'THAM_SO_MOI'!$C$40*('THAM_SO_MOI'!$C$23*(E333/'THAM_SO_MOI'!$C$22)+'THAM_SO_MOI'!$C$24*(E333/'THAM_SO_MOI'!$C$22)^2-'THAM_SO_MOI'!$C$25*(E333/'THAM_SO_MOI'!$C$22)^3)</f>
        <v>57.125427808385716</v>
      </c>
      <c r="K333" s="75">
        <f>'THAM_SO_MOI'!$C$31*J333/E333</f>
        <v>399.11460042384743</v>
      </c>
      <c r="L333" s="75">
        <f>K333*'THAM_SO_MOI'!$C$53*'THAM_SO_MOI'!$C$17/'THAM_SO_MOI'!$C$26</f>
        <v>3500.2366074400243</v>
      </c>
      <c r="M333" s="75">
        <f>'THAM_SO_MOI'!$C$15*'THAM_SO_MOI'!$C$16*F333^2</f>
        <v>563.1080296875134</v>
      </c>
      <c r="N333" s="75">
        <f>'THAM_SO_MOI'!$C$12*I333</f>
        <v>1130.112</v>
      </c>
      <c r="O333" s="75">
        <f>M333+N333</f>
        <v>1693.2200296875135</v>
      </c>
      <c r="P333" s="75">
        <f>(MIN(L333,'THAM_SO_MOI'!$C$41)-O333)/('THAM_SO_MOI'!$C$11*H333)</f>
        <v>0.21389874263168926</v>
      </c>
      <c r="Q333" s="75">
        <f>IF(P333&gt;0,1/P333,NA())</f>
        <v>4.675109295625421</v>
      </c>
      <c r="R333" s="75">
        <f>F333-F332</f>
        <v>0.017600427350426884</v>
      </c>
      <c r="S333" s="75">
        <f>0.5*(Q332+Q333)*R333</f>
        <v>0.08227830641134291</v>
      </c>
      <c r="T333" s="75">
        <f>0.5*(F332*Q332+F333*Q333)*R333</f>
        <v>1.1408873083858755</v>
      </c>
      <c r="U333" s="76">
        <f>U332+S333</f>
        <v>27.492628824445795</v>
      </c>
      <c r="V333" s="76">
        <f>V332+T333</f>
        <v>301.18970388022916</v>
      </c>
    </row>
    <row r="334" spans="1:22" ht="19" customHeight="1">
      <c r="A334" s="68" t="s">
        <v>362</v>
      </c>
      <c r="B334" s="74">
        <v>5</v>
      </c>
      <c r="C334" s="68" t="s">
        <v>363</v>
      </c>
      <c r="D334" s="68" t="s">
        <v>364</v>
      </c>
      <c r="E334" s="75">
        <f>60*F334*'THAM_SO_MOI'!$C$53/(2*PI()*'THAM_SO_MOI'!$C$26)</f>
        <v>1368.7865263157892</v>
      </c>
      <c r="F334" s="75">
        <f>'THAM_SO_MOI'!$E$53+('THAM_SO_MOI'!$C$14-'THAM_SO_MOI'!$E$53)*328/'THAM_SO_MOI'!$C$42</f>
        <v>13.892598290598292</v>
      </c>
      <c r="G334" s="75">
        <f>3.6*F334</f>
        <v>50.01335384615385</v>
      </c>
      <c r="H334" s="75">
        <f>'THAM_SO_MOI'!$D$53</f>
        <v>1.1</v>
      </c>
      <c r="I334" s="75">
        <f>IF(F334&gt;'THAM_SO_MOI'!$C$14,'THAM_SO_MOI'!$C$13*(1+F334^2/1500),'THAM_SO_MOI'!$C$13)</f>
        <v>0.015</v>
      </c>
      <c r="J334" s="75">
        <f>'THAM_SO_MOI'!$C$40*('THAM_SO_MOI'!$C$23*(E334/'THAM_SO_MOI'!$C$22)+'THAM_SO_MOI'!$C$24*(E334/'THAM_SO_MOI'!$C$22)^2-'THAM_SO_MOI'!$C$25*(E334/'THAM_SO_MOI'!$C$22)^3)</f>
        <v>57.21714914238568</v>
      </c>
      <c r="K334" s="75">
        <f>'THAM_SO_MOI'!$C$31*J334/E334</f>
        <v>399.2489769328983</v>
      </c>
      <c r="L334" s="75">
        <f>K334*'THAM_SO_MOI'!$C$53*'THAM_SO_MOI'!$C$17/'THAM_SO_MOI'!$C$26</f>
        <v>3501.4150899502115</v>
      </c>
      <c r="M334" s="75">
        <f>'THAM_SO_MOI'!$C$15*'THAM_SO_MOI'!$C$16*F334^2</f>
        <v>564.5375402470087</v>
      </c>
      <c r="N334" s="75">
        <f>'THAM_SO_MOI'!$C$12*I334</f>
        <v>1130.112</v>
      </c>
      <c r="O334" s="75">
        <f>M334+N334</f>
        <v>1694.6495402470086</v>
      </c>
      <c r="P334" s="75">
        <f>(MIN(L334,'THAM_SO_MOI'!$C$41)-O334)/('THAM_SO_MOI'!$C$11*H334)</f>
        <v>0.21386902813721625</v>
      </c>
      <c r="Q334" s="75">
        <f>IF(P334&gt;0,1/P334,NA())</f>
        <v>4.675758845074145</v>
      </c>
      <c r="R334" s="75">
        <f>F334-F333</f>
        <v>0.01760042735042866</v>
      </c>
      <c r="S334" s="75">
        <f>0.5*(Q333+Q334)*R334</f>
        <v>0.08228963768691032</v>
      </c>
      <c r="T334" s="75">
        <f>0.5*(F333*Q333+F334*Q334)*R334</f>
        <v>1.1424927637717743</v>
      </c>
      <c r="U334" s="76">
        <f>U333+S334</f>
        <v>27.574918462132704</v>
      </c>
      <c r="V334" s="76">
        <f>V333+T334</f>
        <v>302.33219664400093</v>
      </c>
    </row>
    <row r="335" spans="1:22" ht="19" customHeight="1">
      <c r="A335" s="68" t="s">
        <v>362</v>
      </c>
      <c r="B335" s="74">
        <v>5</v>
      </c>
      <c r="C335" s="68" t="s">
        <v>363</v>
      </c>
      <c r="D335" s="68" t="s">
        <v>364</v>
      </c>
      <c r="E335" s="75">
        <f>60*F335*'THAM_SO_MOI'!$C$53/(2*PI()*'THAM_SO_MOI'!$C$26)</f>
        <v>1370.5206315789471</v>
      </c>
      <c r="F335" s="75">
        <f>'THAM_SO_MOI'!$E$53+('THAM_SO_MOI'!$C$14-'THAM_SO_MOI'!$E$53)*329/'THAM_SO_MOI'!$C$42</f>
        <v>13.910198717948719</v>
      </c>
      <c r="G335" s="75">
        <f>3.6*F335</f>
        <v>50.07671538461539</v>
      </c>
      <c r="H335" s="75">
        <f>'THAM_SO_MOI'!$D$53</f>
        <v>1.1</v>
      </c>
      <c r="I335" s="75">
        <f>IF(F335&gt;'THAM_SO_MOI'!$C$14,'THAM_SO_MOI'!$C$13*(1+F335^2/1500),'THAM_SO_MOI'!$C$13)</f>
        <v>0.015</v>
      </c>
      <c r="J335" s="75">
        <f>'THAM_SO_MOI'!$C$40*('THAM_SO_MOI'!$C$23*(E335/'THAM_SO_MOI'!$C$22)+'THAM_SO_MOI'!$C$24*(E335/'THAM_SO_MOI'!$C$22)^2-'THAM_SO_MOI'!$C$25*(E335/'THAM_SO_MOI'!$C$22)^3)</f>
        <v>57.308877409235414</v>
      </c>
      <c r="K335" s="75">
        <f>'THAM_SO_MOI'!$C$31*J335/E335</f>
        <v>399.38306170632416</v>
      </c>
      <c r="L335" s="75">
        <f>K335*'THAM_SO_MOI'!$C$53*'THAM_SO_MOI'!$C$17/'THAM_SO_MOI'!$C$26</f>
        <v>3502.5910139378257</v>
      </c>
      <c r="M335" s="75">
        <f>'THAM_SO_MOI'!$C$15*'THAM_SO_MOI'!$C$16*F335^2</f>
        <v>565.9688629905049</v>
      </c>
      <c r="N335" s="75">
        <f>'THAM_SO_MOI'!$C$12*I335</f>
        <v>1130.112</v>
      </c>
      <c r="O335" s="75">
        <f>M335+N335</f>
        <v>1696.080862990505</v>
      </c>
      <c r="P335" s="75">
        <f>(MIN(L335,'THAM_SO_MOI'!$C$41)-O335)/('THAM_SO_MOI'!$C$11*H335)</f>
        <v>0.21383879627690822</v>
      </c>
      <c r="Q335" s="75">
        <f>IF(P335&gt;0,1/P335,NA())</f>
        <v>4.676419889237783</v>
      </c>
      <c r="R335" s="75">
        <f>F335-F334</f>
        <v>0.017600427350426884</v>
      </c>
      <c r="S335" s="75">
        <f>0.5*(Q334+Q335)*R335</f>
        <v>0.08230117119073216</v>
      </c>
      <c r="T335" s="75">
        <f>0.5*(F334*Q334+F335*Q335)*R335</f>
        <v>1.1441014292845477</v>
      </c>
      <c r="U335" s="76">
        <f>U334+S335</f>
        <v>27.657219633323436</v>
      </c>
      <c r="V335" s="76">
        <f>V334+T335</f>
        <v>303.4762980732855</v>
      </c>
    </row>
    <row r="336" spans="1:22" ht="19" customHeight="1">
      <c r="A336" s="68" t="s">
        <v>362</v>
      </c>
      <c r="B336" s="74">
        <v>5</v>
      </c>
      <c r="C336" s="68" t="s">
        <v>363</v>
      </c>
      <c r="D336" s="68" t="s">
        <v>364</v>
      </c>
      <c r="E336" s="75">
        <f>60*F336*'THAM_SO_MOI'!$C$53/(2*PI()*'THAM_SO_MOI'!$C$26)</f>
        <v>1372.254736842105</v>
      </c>
      <c r="F336" s="75">
        <f>'THAM_SO_MOI'!$E$53+('THAM_SO_MOI'!$C$14-'THAM_SO_MOI'!$E$53)*330/'THAM_SO_MOI'!$C$42</f>
        <v>13.927799145299145</v>
      </c>
      <c r="G336" s="75">
        <f>3.6*F336</f>
        <v>50.140076923076926</v>
      </c>
      <c r="H336" s="75">
        <f>'THAM_SO_MOI'!$D$53</f>
        <v>1.1</v>
      </c>
      <c r="I336" s="75">
        <f>IF(F336&gt;'THAM_SO_MOI'!$C$14,'THAM_SO_MOI'!$C$13*(1+F336^2/1500),'THAM_SO_MOI'!$C$13)</f>
        <v>0.015</v>
      </c>
      <c r="J336" s="75">
        <f>'THAM_SO_MOI'!$C$40*('THAM_SO_MOI'!$C$23*(E336/'THAM_SO_MOI'!$C$22)+'THAM_SO_MOI'!$C$24*(E336/'THAM_SO_MOI'!$C$22)^2-'THAM_SO_MOI'!$C$25*(E336/'THAM_SO_MOI'!$C$22)^3)</f>
        <v>57.40061245003162</v>
      </c>
      <c r="K336" s="75">
        <f>'THAM_SO_MOI'!$C$31*J336/E336</f>
        <v>399.51685474412494</v>
      </c>
      <c r="L336" s="75">
        <f>K336*'THAM_SO_MOI'!$C$53*'THAM_SO_MOI'!$C$17/'THAM_SO_MOI'!$C$26</f>
        <v>3503.7643794028663</v>
      </c>
      <c r="M336" s="75">
        <f>'THAM_SO_MOI'!$C$15*'THAM_SO_MOI'!$C$16*F336^2</f>
        <v>567.4019979180022</v>
      </c>
      <c r="N336" s="75">
        <f>'THAM_SO_MOI'!$C$12*I336</f>
        <v>1130.112</v>
      </c>
      <c r="O336" s="75">
        <f>M336+N336</f>
        <v>1697.5139979180021</v>
      </c>
      <c r="P336" s="75">
        <f>(MIN(L336,'THAM_SO_MOI'!$C$41)-O336)/('THAM_SO_MOI'!$C$11*H336)</f>
        <v>0.21380804705076517</v>
      </c>
      <c r="Q336" s="75">
        <f>IF(P336&gt;0,1/P336,NA())</f>
        <v>4.677092437791019</v>
      </c>
      <c r="R336" s="75">
        <f>F336-F335</f>
        <v>0.017600427350426884</v>
      </c>
      <c r="S336" s="75">
        <f>0.5*(Q335+Q336)*R336</f>
        <v>0.08231290709159637</v>
      </c>
      <c r="T336" s="75">
        <f>0.5*(F335*Q335+F336*Q336)*R336</f>
        <v>1.145713317951479</v>
      </c>
      <c r="U336" s="76">
        <f>U335+S336</f>
        <v>27.73953254041503</v>
      </c>
      <c r="V336" s="76">
        <f>V335+T336</f>
        <v>304.622011391237</v>
      </c>
    </row>
    <row r="337" spans="1:22" ht="19" customHeight="1">
      <c r="A337" s="68" t="s">
        <v>362</v>
      </c>
      <c r="B337" s="74">
        <v>5</v>
      </c>
      <c r="C337" s="68" t="s">
        <v>363</v>
      </c>
      <c r="D337" s="68" t="s">
        <v>364</v>
      </c>
      <c r="E337" s="75">
        <f>60*F337*'THAM_SO_MOI'!$C$53/(2*PI()*'THAM_SO_MOI'!$C$26)</f>
        <v>1373.988842105263</v>
      </c>
      <c r="F337" s="75">
        <f>'THAM_SO_MOI'!$E$53+('THAM_SO_MOI'!$C$14-'THAM_SO_MOI'!$E$53)*331/'THAM_SO_MOI'!$C$42</f>
        <v>13.945399572649574</v>
      </c>
      <c r="G337" s="75">
        <f>3.6*F337</f>
        <v>50.20343846153847</v>
      </c>
      <c r="H337" s="75">
        <f>'THAM_SO_MOI'!$D$53</f>
        <v>1.1</v>
      </c>
      <c r="I337" s="75">
        <f>IF(F337&gt;'THAM_SO_MOI'!$C$14,'THAM_SO_MOI'!$C$13*(1+F337^2/1500),'THAM_SO_MOI'!$C$13)</f>
        <v>0.015</v>
      </c>
      <c r="J337" s="75">
        <f>'THAM_SO_MOI'!$C$40*('THAM_SO_MOI'!$C$23*(E337/'THAM_SO_MOI'!$C$22)+'THAM_SO_MOI'!$C$24*(E337/'THAM_SO_MOI'!$C$22)^2-'THAM_SO_MOI'!$C$25*(E337/'THAM_SO_MOI'!$C$22)^3)</f>
        <v>57.49235410587104</v>
      </c>
      <c r="K337" s="75">
        <f>'THAM_SO_MOI'!$C$31*J337/E337</f>
        <v>399.65035604630066</v>
      </c>
      <c r="L337" s="75">
        <f>K337*'THAM_SO_MOI'!$C$53*'THAM_SO_MOI'!$C$17/'THAM_SO_MOI'!$C$26</f>
        <v>3504.935186345334</v>
      </c>
      <c r="M337" s="75">
        <f>'THAM_SO_MOI'!$C$15*'THAM_SO_MOI'!$C$16*F337^2</f>
        <v>568.8369450295007</v>
      </c>
      <c r="N337" s="75">
        <f>'THAM_SO_MOI'!$C$12*I337</f>
        <v>1130.112</v>
      </c>
      <c r="O337" s="75">
        <f>M337+N337</f>
        <v>1698.948945029501</v>
      </c>
      <c r="P337" s="75">
        <f>(MIN(L337,'THAM_SO_MOI'!$C$41)-O337)/('THAM_SO_MOI'!$C$11*H337)</f>
        <v>0.21377678045878706</v>
      </c>
      <c r="Q337" s="75">
        <f>IF(P337&gt;0,1/P337,NA())</f>
        <v>4.677776500581104</v>
      </c>
      <c r="R337" s="75">
        <f>F337-F336</f>
        <v>0.01760042735042866</v>
      </c>
      <c r="S337" s="75">
        <f>0.5*(Q336+Q337)*R337</f>
        <v>0.08232484556130011</v>
      </c>
      <c r="T337" s="75">
        <f>0.5*(F336*Q336+F337*Q337)*R337</f>
        <v>1.1473284428536734</v>
      </c>
      <c r="U337" s="76">
        <f>U336+S337</f>
        <v>27.82185738597633</v>
      </c>
      <c r="V337" s="76">
        <f>V336+T337</f>
        <v>305.76933983409066</v>
      </c>
    </row>
    <row r="338" spans="1:22" ht="19" customHeight="1">
      <c r="A338" s="68" t="s">
        <v>362</v>
      </c>
      <c r="B338" s="74">
        <v>5</v>
      </c>
      <c r="C338" s="68" t="s">
        <v>363</v>
      </c>
      <c r="D338" s="68" t="s">
        <v>364</v>
      </c>
      <c r="E338" s="75">
        <f>60*F338*'THAM_SO_MOI'!$C$53/(2*PI()*'THAM_SO_MOI'!$C$26)</f>
        <v>1375.7229473684208</v>
      </c>
      <c r="F338" s="75">
        <f>'THAM_SO_MOI'!$E$53+('THAM_SO_MOI'!$C$14-'THAM_SO_MOI'!$E$53)*332/'THAM_SO_MOI'!$C$42</f>
        <v>13.963000000000001</v>
      </c>
      <c r="G338" s="75">
        <f>3.6*F338</f>
        <v>50.2668</v>
      </c>
      <c r="H338" s="75">
        <f>'THAM_SO_MOI'!$D$53</f>
        <v>1.1</v>
      </c>
      <c r="I338" s="75">
        <f>IF(F338&gt;'THAM_SO_MOI'!$C$14,'THAM_SO_MOI'!$C$13*(1+F338^2/1500),'THAM_SO_MOI'!$C$13)</f>
        <v>0.015</v>
      </c>
      <c r="J338" s="75">
        <f>'THAM_SO_MOI'!$C$40*('THAM_SO_MOI'!$C$23*(E338/'THAM_SO_MOI'!$C$22)+'THAM_SO_MOI'!$C$24*(E338/'THAM_SO_MOI'!$C$22)^2-'THAM_SO_MOI'!$C$25*(E338/'THAM_SO_MOI'!$C$22)^3)</f>
        <v>57.58410221785038</v>
      </c>
      <c r="K338" s="75">
        <f>'THAM_SO_MOI'!$C$31*J338/E338</f>
        <v>399.78356561285153</v>
      </c>
      <c r="L338" s="75">
        <f>K338*'THAM_SO_MOI'!$C$53*'THAM_SO_MOI'!$C$17/'THAM_SO_MOI'!$C$26</f>
        <v>3506.1034347652303</v>
      </c>
      <c r="M338" s="75">
        <f>'THAM_SO_MOI'!$C$15*'THAM_SO_MOI'!$C$16*F338^2</f>
        <v>570.2737043250002</v>
      </c>
      <c r="N338" s="75">
        <f>'THAM_SO_MOI'!$C$12*I338</f>
        <v>1130.112</v>
      </c>
      <c r="O338" s="75">
        <f>M338+N338</f>
        <v>1700.3857043250002</v>
      </c>
      <c r="P338" s="75">
        <f>(MIN(L338,'THAM_SO_MOI'!$C$41)-O338)/('THAM_SO_MOI'!$C$11*H338)</f>
        <v>0.21374499650097423</v>
      </c>
      <c r="Q338" s="75">
        <f>IF(P338&gt;0,1/P338,NA())</f>
        <v>4.678472087628222</v>
      </c>
      <c r="R338" s="75">
        <f>F338-F337</f>
        <v>0.017600427350426884</v>
      </c>
      <c r="S338" s="75">
        <f>0.5*(Q337+Q338)*R338</f>
        <v>0.08233698677465616</v>
      </c>
      <c r="T338" s="75">
        <f>0.5*(F337*Q337+F338*Q338)*R338</f>
        <v>1.1489468171264108</v>
      </c>
      <c r="U338" s="76">
        <f>U337+S338</f>
        <v>27.904194372750986</v>
      </c>
      <c r="V338" s="76">
        <f>V337+T338</f>
        <v>306.91828665121704</v>
      </c>
    </row>
    <row r="339" spans="1:22" ht="19" customHeight="1">
      <c r="A339" s="68" t="s">
        <v>362</v>
      </c>
      <c r="B339" s="74">
        <v>5</v>
      </c>
      <c r="C339" s="68" t="s">
        <v>363</v>
      </c>
      <c r="D339" s="68" t="s">
        <v>364</v>
      </c>
      <c r="E339" s="75">
        <f>60*F339*'THAM_SO_MOI'!$C$53/(2*PI()*'THAM_SO_MOI'!$C$26)</f>
        <v>1377.4570526315786</v>
      </c>
      <c r="F339" s="75">
        <f>'THAM_SO_MOI'!$E$53+('THAM_SO_MOI'!$C$14-'THAM_SO_MOI'!$E$53)*333/'THAM_SO_MOI'!$C$42</f>
        <v>13.980600427350428</v>
      </c>
      <c r="G339" s="75">
        <f>3.6*F339</f>
        <v>50.33016153846154</v>
      </c>
      <c r="H339" s="75">
        <f>'THAM_SO_MOI'!$D$53</f>
        <v>1.1</v>
      </c>
      <c r="I339" s="75">
        <f>IF(F339&gt;'THAM_SO_MOI'!$C$14,'THAM_SO_MOI'!$C$13*(1+F339^2/1500),'THAM_SO_MOI'!$C$13)</f>
        <v>0.015</v>
      </c>
      <c r="J339" s="75">
        <f>'THAM_SO_MOI'!$C$40*('THAM_SO_MOI'!$C$23*(E339/'THAM_SO_MOI'!$C$22)+'THAM_SO_MOI'!$C$24*(E339/'THAM_SO_MOI'!$C$22)^2-'THAM_SO_MOI'!$C$25*(E339/'THAM_SO_MOI'!$C$22)^3)</f>
        <v>57.67585662706636</v>
      </c>
      <c r="K339" s="75">
        <f>'THAM_SO_MOI'!$C$31*J339/E339</f>
        <v>399.9164834437773</v>
      </c>
      <c r="L339" s="75">
        <f>K339*'THAM_SO_MOI'!$C$53*'THAM_SO_MOI'!$C$17/'THAM_SO_MOI'!$C$26</f>
        <v>3507.2691246625523</v>
      </c>
      <c r="M339" s="75">
        <f>'THAM_SO_MOI'!$C$15*'THAM_SO_MOI'!$C$16*F339^2</f>
        <v>571.7122758045007</v>
      </c>
      <c r="N339" s="75">
        <f>'THAM_SO_MOI'!$C$12*I339</f>
        <v>1130.112</v>
      </c>
      <c r="O339" s="75">
        <f>M339+N339</f>
        <v>1701.8242758045008</v>
      </c>
      <c r="P339" s="75">
        <f>(MIN(L339,'THAM_SO_MOI'!$C$41)-O339)/('THAM_SO_MOI'!$C$11*H339)</f>
        <v>0.21371269517732616</v>
      </c>
      <c r="Q339" s="75">
        <f>IF(P339&gt;0,1/P339,NA())</f>
        <v>4.6791792091258735</v>
      </c>
      <c r="R339" s="75">
        <f>F339-F338</f>
        <v>0.017600427350426884</v>
      </c>
      <c r="S339" s="75">
        <f>0.5*(Q338+Q339)*R339</f>
        <v>0.08234933090957419</v>
      </c>
      <c r="T339" s="75">
        <f>0.5*(F338*Q338+F339*Q339)*R339</f>
        <v>1.1505684539605476</v>
      </c>
      <c r="U339" s="76">
        <f>U338+S339</f>
        <v>27.98654370366056</v>
      </c>
      <c r="V339" s="76">
        <f>V338+T339</f>
        <v>308.0688551051776</v>
      </c>
    </row>
    <row r="340" spans="1:22" ht="19" customHeight="1">
      <c r="A340" s="68" t="s">
        <v>362</v>
      </c>
      <c r="B340" s="74">
        <v>5</v>
      </c>
      <c r="C340" s="68" t="s">
        <v>363</v>
      </c>
      <c r="D340" s="68" t="s">
        <v>364</v>
      </c>
      <c r="E340" s="75">
        <f>60*F340*'THAM_SO_MOI'!$C$53/(2*PI()*'THAM_SO_MOI'!$C$26)</f>
        <v>1379.1911578947368</v>
      </c>
      <c r="F340" s="75">
        <f>'THAM_SO_MOI'!$E$53+('THAM_SO_MOI'!$C$14-'THAM_SO_MOI'!$E$53)*334/'THAM_SO_MOI'!$C$42</f>
        <v>13.998200854700855</v>
      </c>
      <c r="G340" s="75">
        <f>3.6*F340</f>
        <v>50.39352307692308</v>
      </c>
      <c r="H340" s="75">
        <f>'THAM_SO_MOI'!$D$53</f>
        <v>1.1</v>
      </c>
      <c r="I340" s="75">
        <f>IF(F340&gt;'THAM_SO_MOI'!$C$14,'THAM_SO_MOI'!$C$13*(1+F340^2/1500),'THAM_SO_MOI'!$C$13)</f>
        <v>0.015</v>
      </c>
      <c r="J340" s="75">
        <f>'THAM_SO_MOI'!$C$40*('THAM_SO_MOI'!$C$23*(E340/'THAM_SO_MOI'!$C$22)+'THAM_SO_MOI'!$C$24*(E340/'THAM_SO_MOI'!$C$22)^2-'THAM_SO_MOI'!$C$25*(E340/'THAM_SO_MOI'!$C$22)^3)</f>
        <v>57.76761717461573</v>
      </c>
      <c r="K340" s="75">
        <f>'THAM_SO_MOI'!$C$31*J340/E340</f>
        <v>400.04910953907796</v>
      </c>
      <c r="L340" s="75">
        <f>K340*'THAM_SO_MOI'!$C$53*'THAM_SO_MOI'!$C$17/'THAM_SO_MOI'!$C$26</f>
        <v>3508.4322560373007</v>
      </c>
      <c r="M340" s="75">
        <f>'THAM_SO_MOI'!$C$15*'THAM_SO_MOI'!$C$16*F340^2</f>
        <v>573.1526594680022</v>
      </c>
      <c r="N340" s="75">
        <f>'THAM_SO_MOI'!$C$12*I340</f>
        <v>1130.112</v>
      </c>
      <c r="O340" s="75">
        <f>M340+N340</f>
        <v>1703.2646594680023</v>
      </c>
      <c r="P340" s="75">
        <f>(MIN(L340,'THAM_SO_MOI'!$C$41)-O340)/('THAM_SO_MOI'!$C$11*H340)</f>
        <v>0.2136798764878431</v>
      </c>
      <c r="Q340" s="75">
        <f>IF(P340&gt;0,1/P340,NA())</f>
        <v>4.679897875441224</v>
      </c>
      <c r="R340" s="75">
        <f>F340-F339</f>
        <v>0.017600427350426884</v>
      </c>
      <c r="S340" s="75">
        <f>0.5*(Q339+Q340)*R340</f>
        <v>0.08236187814698412</v>
      </c>
      <c r="T340" s="75">
        <f>0.5*(F339*Q339+F340*Q340)*R340</f>
        <v>1.1521933666017177</v>
      </c>
      <c r="U340" s="76">
        <f>U339+S340</f>
        <v>28.06890558180754</v>
      </c>
      <c r="V340" s="76">
        <f>V339+T340</f>
        <v>309.2210484717793</v>
      </c>
    </row>
    <row r="341" spans="1:22" ht="19" customHeight="1">
      <c r="A341" s="68" t="s">
        <v>362</v>
      </c>
      <c r="B341" s="74">
        <v>5</v>
      </c>
      <c r="C341" s="68" t="s">
        <v>363</v>
      </c>
      <c r="D341" s="68" t="s">
        <v>364</v>
      </c>
      <c r="E341" s="75">
        <f>60*F341*'THAM_SO_MOI'!$C$53/(2*PI()*'THAM_SO_MOI'!$C$26)</f>
        <v>1380.9252631578945</v>
      </c>
      <c r="F341" s="75">
        <f>'THAM_SO_MOI'!$E$53+('THAM_SO_MOI'!$C$14-'THAM_SO_MOI'!$E$53)*335/'THAM_SO_MOI'!$C$42</f>
        <v>14.015801282051282</v>
      </c>
      <c r="G341" s="75">
        <f>3.6*F341</f>
        <v>50.45688461538462</v>
      </c>
      <c r="H341" s="75">
        <f>'THAM_SO_MOI'!$D$53</f>
        <v>1.1</v>
      </c>
      <c r="I341" s="75">
        <f>IF(F341&gt;'THAM_SO_MOI'!$C$14,'THAM_SO_MOI'!$C$13*(1+F341^2/1500),'THAM_SO_MOI'!$C$13)</f>
        <v>0.015</v>
      </c>
      <c r="J341" s="75">
        <f>'THAM_SO_MOI'!$C$40*('THAM_SO_MOI'!$C$23*(E341/'THAM_SO_MOI'!$C$22)+'THAM_SO_MOI'!$C$24*(E341/'THAM_SO_MOI'!$C$22)^2-'THAM_SO_MOI'!$C$25*(E341/'THAM_SO_MOI'!$C$22)^3)</f>
        <v>57.859383701595156</v>
      </c>
      <c r="K341" s="75">
        <f>'THAM_SO_MOI'!$C$31*J341/E341</f>
        <v>400.1814438987535</v>
      </c>
      <c r="L341" s="75">
        <f>K341*'THAM_SO_MOI'!$C$53*'THAM_SO_MOI'!$C$17/'THAM_SO_MOI'!$C$26</f>
        <v>3509.592828889475</v>
      </c>
      <c r="M341" s="75">
        <f>'THAM_SO_MOI'!$C$15*'THAM_SO_MOI'!$C$16*F341^2</f>
        <v>574.5948553155049</v>
      </c>
      <c r="N341" s="75">
        <f>'THAM_SO_MOI'!$C$12*I341</f>
        <v>1130.112</v>
      </c>
      <c r="O341" s="75">
        <f>M341+N341</f>
        <v>1704.706855315505</v>
      </c>
      <c r="P341" s="75">
        <f>(MIN(L341,'THAM_SO_MOI'!$C$41)-O341)/('THAM_SO_MOI'!$C$11*H341)</f>
        <v>0.21364654043252487</v>
      </c>
      <c r="Q341" s="75">
        <f>IF(P341&gt;0,1/P341,NA())</f>
        <v>4.680628097115506</v>
      </c>
      <c r="R341" s="75">
        <f>F341-F340</f>
        <v>0.017600427350426884</v>
      </c>
      <c r="S341" s="75">
        <f>0.5*(Q340+Q341)*R341</f>
        <v>0.08237462867088434</v>
      </c>
      <c r="T341" s="75">
        <f>0.5*(F340*Q340+F341*Q341)*R341</f>
        <v>1.1538215683512716</v>
      </c>
      <c r="U341" s="76">
        <f>U340+S341</f>
        <v>28.151280210478426</v>
      </c>
      <c r="V341" s="76">
        <f>V340+T341</f>
        <v>310.37487004013053</v>
      </c>
    </row>
    <row r="342" spans="1:22" ht="19" customHeight="1">
      <c r="A342" s="68" t="s">
        <v>362</v>
      </c>
      <c r="B342" s="74">
        <v>5</v>
      </c>
      <c r="C342" s="68" t="s">
        <v>363</v>
      </c>
      <c r="D342" s="68" t="s">
        <v>364</v>
      </c>
      <c r="E342" s="75">
        <f>60*F342*'THAM_SO_MOI'!$C$53/(2*PI()*'THAM_SO_MOI'!$C$26)</f>
        <v>1382.6593684210522</v>
      </c>
      <c r="F342" s="75">
        <f>'THAM_SO_MOI'!$E$53+('THAM_SO_MOI'!$C$14-'THAM_SO_MOI'!$E$53)*336/'THAM_SO_MOI'!$C$42</f>
        <v>14.033401709401709</v>
      </c>
      <c r="G342" s="75">
        <f>3.6*F342</f>
        <v>50.52024615384615</v>
      </c>
      <c r="H342" s="75">
        <f>'THAM_SO_MOI'!$D$53</f>
        <v>1.1</v>
      </c>
      <c r="I342" s="75">
        <f>IF(F342&gt;'THAM_SO_MOI'!$C$14,'THAM_SO_MOI'!$C$13*(1+F342^2/1500),'THAM_SO_MOI'!$C$13)</f>
        <v>0.015</v>
      </c>
      <c r="J342" s="75">
        <f>'THAM_SO_MOI'!$C$40*('THAM_SO_MOI'!$C$23*(E342/'THAM_SO_MOI'!$C$22)+'THAM_SO_MOI'!$C$24*(E342/'THAM_SO_MOI'!$C$22)^2-'THAM_SO_MOI'!$C$25*(E342/'THAM_SO_MOI'!$C$22)^3)</f>
        <v>57.95115604910139</v>
      </c>
      <c r="K342" s="75">
        <f>'THAM_SO_MOI'!$C$31*J342/E342</f>
        <v>400.31348652280406</v>
      </c>
      <c r="L342" s="75">
        <f>K342*'THAM_SO_MOI'!$C$53*'THAM_SO_MOI'!$C$17/'THAM_SO_MOI'!$C$26</f>
        <v>3510.750843219077</v>
      </c>
      <c r="M342" s="75">
        <f>'THAM_SO_MOI'!$C$15*'THAM_SO_MOI'!$C$16*F342^2</f>
        <v>576.0388633470085</v>
      </c>
      <c r="N342" s="75">
        <f>'THAM_SO_MOI'!$C$12*I342</f>
        <v>1130.112</v>
      </c>
      <c r="O342" s="75">
        <f>M342+N342</f>
        <v>1706.1508633470085</v>
      </c>
      <c r="P342" s="75">
        <f>(MIN(L342,'THAM_SO_MOI'!$C$41)-O342)/('THAM_SO_MOI'!$C$11*H342)</f>
        <v>0.21361268701137176</v>
      </c>
      <c r="Q342" s="75">
        <f>IF(P342&gt;0,1/P342,NA())</f>
        <v>4.681369884864398</v>
      </c>
      <c r="R342" s="75">
        <f>F342-F341</f>
        <v>0.017600427350426884</v>
      </c>
      <c r="S342" s="75">
        <f>0.5*(Q341+Q342)*R342</f>
        <v>0.0823875826683402</v>
      </c>
      <c r="T342" s="75">
        <f>0.5*(F341*Q341+F342*Q342)*R342</f>
        <v>1.155453072566527</v>
      </c>
      <c r="U342" s="76">
        <f>U341+S342</f>
        <v>28.233667793146765</v>
      </c>
      <c r="V342" s="76">
        <f>V341+T342</f>
        <v>311.53032311269703</v>
      </c>
    </row>
    <row r="343" spans="1:22" ht="19" customHeight="1">
      <c r="A343" s="68" t="s">
        <v>362</v>
      </c>
      <c r="B343" s="74">
        <v>5</v>
      </c>
      <c r="C343" s="68" t="s">
        <v>363</v>
      </c>
      <c r="D343" s="68" t="s">
        <v>364</v>
      </c>
      <c r="E343" s="75">
        <f>60*F343*'THAM_SO_MOI'!$C$53/(2*PI()*'THAM_SO_MOI'!$C$26)</f>
        <v>1384.3934736842102</v>
      </c>
      <c r="F343" s="75">
        <f>'THAM_SO_MOI'!$E$53+('THAM_SO_MOI'!$C$14-'THAM_SO_MOI'!$E$53)*337/'THAM_SO_MOI'!$C$42</f>
        <v>14.051002136752137</v>
      </c>
      <c r="G343" s="75">
        <f>3.6*F343</f>
        <v>50.583607692307694</v>
      </c>
      <c r="H343" s="75">
        <f>'THAM_SO_MOI'!$D$53</f>
        <v>1.1</v>
      </c>
      <c r="I343" s="75">
        <f>IF(F343&gt;'THAM_SO_MOI'!$C$14,'THAM_SO_MOI'!$C$13*(1+F343^2/1500),'THAM_SO_MOI'!$C$13)</f>
        <v>0.015</v>
      </c>
      <c r="J343" s="75">
        <f>'THAM_SO_MOI'!$C$40*('THAM_SO_MOI'!$C$23*(E343/'THAM_SO_MOI'!$C$22)+'THAM_SO_MOI'!$C$24*(E343/'THAM_SO_MOI'!$C$22)^2-'THAM_SO_MOI'!$C$25*(E343/'THAM_SO_MOI'!$C$22)^3)</f>
        <v>58.04293405823119</v>
      </c>
      <c r="K343" s="75">
        <f>'THAM_SO_MOI'!$C$31*J343/E343</f>
        <v>400.4452374112297</v>
      </c>
      <c r="L343" s="75">
        <f>K343*'THAM_SO_MOI'!$C$53*'THAM_SO_MOI'!$C$17/'THAM_SO_MOI'!$C$26</f>
        <v>3511.906299026107</v>
      </c>
      <c r="M343" s="75">
        <f>'THAM_SO_MOI'!$C$15*'THAM_SO_MOI'!$C$16*F343^2</f>
        <v>577.4846835625135</v>
      </c>
      <c r="N343" s="75">
        <f>'THAM_SO_MOI'!$C$12*I343</f>
        <v>1130.112</v>
      </c>
      <c r="O343" s="75">
        <f>M343+N343</f>
        <v>1707.5966835625136</v>
      </c>
      <c r="P343" s="75">
        <f>(MIN(L343,'THAM_SO_MOI'!$C$41)-O343)/('THAM_SO_MOI'!$C$11*H343)</f>
        <v>0.21357831622438367</v>
      </c>
      <c r="Q343" s="75">
        <f>IF(P343&gt;0,1/P343,NA())</f>
        <v>4.682123249578426</v>
      </c>
      <c r="R343" s="75">
        <f>F343-F342</f>
        <v>0.01760042735042866</v>
      </c>
      <c r="S343" s="75">
        <f>0.5*(Q342+Q343)*R343</f>
        <v>0.08240074032949922</v>
      </c>
      <c r="T343" s="75">
        <f>0.5*(F342*Q342+F343*Q343)*R343</f>
        <v>1.157087892661253</v>
      </c>
      <c r="U343" s="76">
        <f>U342+S343</f>
        <v>28.316068533476265</v>
      </c>
      <c r="V343" s="76">
        <f>V342+T343</f>
        <v>312.6874110053583</v>
      </c>
    </row>
    <row r="344" spans="1:22" ht="19" customHeight="1">
      <c r="A344" s="68" t="s">
        <v>362</v>
      </c>
      <c r="B344" s="74">
        <v>5</v>
      </c>
      <c r="C344" s="68" t="s">
        <v>363</v>
      </c>
      <c r="D344" s="68" t="s">
        <v>364</v>
      </c>
      <c r="E344" s="75">
        <f>60*F344*'THAM_SO_MOI'!$C$53/(2*PI()*'THAM_SO_MOI'!$C$26)</f>
        <v>1386.1275789473682</v>
      </c>
      <c r="F344" s="75">
        <f>'THAM_SO_MOI'!$E$53+('THAM_SO_MOI'!$C$14-'THAM_SO_MOI'!$E$53)*338/'THAM_SO_MOI'!$C$42</f>
        <v>14.068602564102566</v>
      </c>
      <c r="G344" s="75">
        <f>3.6*F344</f>
        <v>50.64696923076924</v>
      </c>
      <c r="H344" s="75">
        <f>'THAM_SO_MOI'!$D$53</f>
        <v>1.1</v>
      </c>
      <c r="I344" s="75">
        <f>IF(F344&gt;'THAM_SO_MOI'!$C$14,'THAM_SO_MOI'!$C$13*(1+F344^2/1500),'THAM_SO_MOI'!$C$13)</f>
        <v>0.015</v>
      </c>
      <c r="J344" s="75">
        <f>'THAM_SO_MOI'!$C$40*('THAM_SO_MOI'!$C$23*(E344/'THAM_SO_MOI'!$C$22)+'THAM_SO_MOI'!$C$24*(E344/'THAM_SO_MOI'!$C$22)^2-'THAM_SO_MOI'!$C$25*(E344/'THAM_SO_MOI'!$C$22)^3)</f>
        <v>58.13471757008122</v>
      </c>
      <c r="K344" s="75">
        <f>'THAM_SO_MOI'!$C$31*J344/E344</f>
        <v>400.57669656403016</v>
      </c>
      <c r="L344" s="75">
        <f>K344*'THAM_SO_MOI'!$C$53*'THAM_SO_MOI'!$C$17/'THAM_SO_MOI'!$C$26</f>
        <v>3513.059196310563</v>
      </c>
      <c r="M344" s="75">
        <f>'THAM_SO_MOI'!$C$15*'THAM_SO_MOI'!$C$16*F344^2</f>
        <v>578.9323159620194</v>
      </c>
      <c r="N344" s="75">
        <f>'THAM_SO_MOI'!$C$12*I344</f>
        <v>1130.112</v>
      </c>
      <c r="O344" s="75">
        <f>M344+N344</f>
        <v>1709.0443159620195</v>
      </c>
      <c r="P344" s="75">
        <f>(MIN(L344,'THAM_SO_MOI'!$C$41)-O344)/('THAM_SO_MOI'!$C$11*H344)</f>
        <v>0.21354342807156054</v>
      </c>
      <c r="Q344" s="75">
        <f>IF(P344&gt;0,1/P344,NA())</f>
        <v>4.68288820232337</v>
      </c>
      <c r="R344" s="75">
        <f>F344-F343</f>
        <v>0.01760042735042866</v>
      </c>
      <c r="S344" s="75">
        <f>0.5*(Q343+Q344)*R344</f>
        <v>0.08241410184756501</v>
      </c>
      <c r="T344" s="75">
        <f>0.5*(F343*Q343+F344*Q344)*R344</f>
        <v>1.1587260421055707</v>
      </c>
      <c r="U344" s="76">
        <f>U343+S344</f>
        <v>28.39848263532383</v>
      </c>
      <c r="V344" s="76">
        <f>V343+T344</f>
        <v>313.84613704746386</v>
      </c>
    </row>
    <row r="345" spans="1:22" ht="19" customHeight="1">
      <c r="A345" s="68" t="s">
        <v>362</v>
      </c>
      <c r="B345" s="74">
        <v>5</v>
      </c>
      <c r="C345" s="68" t="s">
        <v>363</v>
      </c>
      <c r="D345" s="68" t="s">
        <v>364</v>
      </c>
      <c r="E345" s="75">
        <f>60*F345*'THAM_SO_MOI'!$C$53/(2*PI()*'THAM_SO_MOI'!$C$26)</f>
        <v>1387.8616842105262</v>
      </c>
      <c r="F345" s="75">
        <f>'THAM_SO_MOI'!$E$53+('THAM_SO_MOI'!$C$14-'THAM_SO_MOI'!$E$53)*339/'THAM_SO_MOI'!$C$42</f>
        <v>14.086202991452993</v>
      </c>
      <c r="G345" s="75">
        <f>3.6*F345</f>
        <v>50.71033076923077</v>
      </c>
      <c r="H345" s="75">
        <f>'THAM_SO_MOI'!$D$53</f>
        <v>1.1</v>
      </c>
      <c r="I345" s="75">
        <f>IF(F345&gt;'THAM_SO_MOI'!$C$14,'THAM_SO_MOI'!$C$13*(1+F345^2/1500),'THAM_SO_MOI'!$C$13)</f>
        <v>0.015</v>
      </c>
      <c r="J345" s="75">
        <f>'THAM_SO_MOI'!$C$40*('THAM_SO_MOI'!$C$23*(E345/'THAM_SO_MOI'!$C$22)+'THAM_SO_MOI'!$C$24*(E345/'THAM_SO_MOI'!$C$22)^2-'THAM_SO_MOI'!$C$25*(E345/'THAM_SO_MOI'!$C$22)^3)</f>
        <v>58.22650642574824</v>
      </c>
      <c r="K345" s="75">
        <f>'THAM_SO_MOI'!$C$31*J345/E345</f>
        <v>400.7078639812058</v>
      </c>
      <c r="L345" s="75">
        <f>K345*'THAM_SO_MOI'!$C$53*'THAM_SO_MOI'!$C$17/'THAM_SO_MOI'!$C$26</f>
        <v>3514.209535072447</v>
      </c>
      <c r="M345" s="75">
        <f>'THAM_SO_MOI'!$C$15*'THAM_SO_MOI'!$C$16*F345^2</f>
        <v>580.3817605455263</v>
      </c>
      <c r="N345" s="75">
        <f>'THAM_SO_MOI'!$C$12*I345</f>
        <v>1130.112</v>
      </c>
      <c r="O345" s="75">
        <f>M345+N345</f>
        <v>1710.4937605455264</v>
      </c>
      <c r="P345" s="75">
        <f>(MIN(L345,'THAM_SO_MOI'!$C$41)-O345)/('THAM_SO_MOI'!$C$11*H345)</f>
        <v>0.21350802255290252</v>
      </c>
      <c r="Q345" s="75">
        <f>IF(P345&gt;0,1/P345,NA())</f>
        <v>4.683664754340659</v>
      </c>
      <c r="R345" s="75">
        <f>F345-F344</f>
        <v>0.017600427350426884</v>
      </c>
      <c r="S345" s="75">
        <f>0.5*(Q344+Q345)*R345</f>
        <v>0.08242766741884568</v>
      </c>
      <c r="T345" s="75">
        <f>0.5*(F344*Q344+F345*Q345)*R345</f>
        <v>1.1603675344269098</v>
      </c>
      <c r="U345" s="76">
        <f>U344+S345</f>
        <v>28.480910302742675</v>
      </c>
      <c r="V345" s="76">
        <f>V344+T345</f>
        <v>315.00650458189074</v>
      </c>
    </row>
    <row r="346" spans="1:22" ht="19" customHeight="1">
      <c r="A346" s="68" t="s">
        <v>362</v>
      </c>
      <c r="B346" s="74">
        <v>5</v>
      </c>
      <c r="C346" s="68" t="s">
        <v>363</v>
      </c>
      <c r="D346" s="68" t="s">
        <v>364</v>
      </c>
      <c r="E346" s="75">
        <f>60*F346*'THAM_SO_MOI'!$C$53/(2*PI()*'THAM_SO_MOI'!$C$26)</f>
        <v>1389.5957894736841</v>
      </c>
      <c r="F346" s="75">
        <f>'THAM_SO_MOI'!$E$53+('THAM_SO_MOI'!$C$14-'THAM_SO_MOI'!$E$53)*340/'THAM_SO_MOI'!$C$42</f>
        <v>14.10380341880342</v>
      </c>
      <c r="G346" s="75">
        <f>3.6*F346</f>
        <v>50.773692307692315</v>
      </c>
      <c r="H346" s="75">
        <f>'THAM_SO_MOI'!$D$53</f>
        <v>1.1</v>
      </c>
      <c r="I346" s="75">
        <f>IF(F346&gt;'THAM_SO_MOI'!$C$14,'THAM_SO_MOI'!$C$13*(1+F346^2/1500),'THAM_SO_MOI'!$C$13)</f>
        <v>0.015</v>
      </c>
      <c r="J346" s="75">
        <f>'THAM_SO_MOI'!$C$40*('THAM_SO_MOI'!$C$23*(E346/'THAM_SO_MOI'!$C$22)+'THAM_SO_MOI'!$C$24*(E346/'THAM_SO_MOI'!$C$22)^2-'THAM_SO_MOI'!$C$25*(E346/'THAM_SO_MOI'!$C$22)^3)</f>
        <v>58.31830046632893</v>
      </c>
      <c r="K346" s="75">
        <f>'THAM_SO_MOI'!$C$31*J346/E346</f>
        <v>400.83873966275604</v>
      </c>
      <c r="L346" s="75">
        <f>K346*'THAM_SO_MOI'!$C$53*'THAM_SO_MOI'!$C$17/'THAM_SO_MOI'!$C$26</f>
        <v>3515.3573153117554</v>
      </c>
      <c r="M346" s="75">
        <f>'THAM_SO_MOI'!$C$15*'THAM_SO_MOI'!$C$16*F346^2</f>
        <v>581.8330173130344</v>
      </c>
      <c r="N346" s="75">
        <f>'THAM_SO_MOI'!$C$12*I346</f>
        <v>1130.112</v>
      </c>
      <c r="O346" s="75">
        <f>M346+N346</f>
        <v>1711.9450173130344</v>
      </c>
      <c r="P346" s="75">
        <f>(MIN(L346,'THAM_SO_MOI'!$C$41)-O346)/('THAM_SO_MOI'!$C$11*H346)</f>
        <v>0.21347209966840922</v>
      </c>
      <c r="Q346" s="75">
        <f>IF(P346&gt;0,1/P346,NA())</f>
        <v>4.684452917047809</v>
      </c>
      <c r="R346" s="75">
        <f>F346-F345</f>
        <v>0.017600427350426884</v>
      </c>
      <c r="S346" s="75">
        <f>0.5*(Q345+Q346)*R346</f>
        <v>0.0824414372427615</v>
      </c>
      <c r="T346" s="75">
        <f>0.5*(F345*Q345+F346*Q346)*R346</f>
        <v>1.1620123832103835</v>
      </c>
      <c r="U346" s="76">
        <f>U345+S346</f>
        <v>28.563351739985436</v>
      </c>
      <c r="V346" s="76">
        <f>V345+T346</f>
        <v>316.1685169651011</v>
      </c>
    </row>
    <row r="347" spans="1:22" ht="19" customHeight="1">
      <c r="A347" s="68" t="s">
        <v>362</v>
      </c>
      <c r="B347" s="74">
        <v>5</v>
      </c>
      <c r="C347" s="68" t="s">
        <v>363</v>
      </c>
      <c r="D347" s="68" t="s">
        <v>364</v>
      </c>
      <c r="E347" s="75">
        <f>60*F347*'THAM_SO_MOI'!$C$53/(2*PI()*'THAM_SO_MOI'!$C$26)</f>
        <v>1391.3298947368419</v>
      </c>
      <c r="F347" s="75">
        <f>'THAM_SO_MOI'!$E$53+('THAM_SO_MOI'!$C$14-'THAM_SO_MOI'!$E$53)*341/'THAM_SO_MOI'!$C$42</f>
        <v>14.121403846153846</v>
      </c>
      <c r="G347" s="75">
        <f>3.6*F347</f>
        <v>50.83705384615385</v>
      </c>
      <c r="H347" s="75">
        <f>'THAM_SO_MOI'!$D$53</f>
        <v>1.1</v>
      </c>
      <c r="I347" s="75">
        <f>IF(F347&gt;'THAM_SO_MOI'!$C$14,'THAM_SO_MOI'!$C$13*(1+F347^2/1500),'THAM_SO_MOI'!$C$13)</f>
        <v>0.015</v>
      </c>
      <c r="J347" s="75">
        <f>'THAM_SO_MOI'!$C$40*('THAM_SO_MOI'!$C$23*(E347/'THAM_SO_MOI'!$C$22)+'THAM_SO_MOI'!$C$24*(E347/'THAM_SO_MOI'!$C$22)^2-'THAM_SO_MOI'!$C$25*(E347/'THAM_SO_MOI'!$C$22)^3)</f>
        <v>58.41009953292006</v>
      </c>
      <c r="K347" s="75">
        <f>'THAM_SO_MOI'!$C$31*J347/E347</f>
        <v>400.9693236086816</v>
      </c>
      <c r="L347" s="75">
        <f>K347*'THAM_SO_MOI'!$C$53*'THAM_SO_MOI'!$C$17/'THAM_SO_MOI'!$C$26</f>
        <v>3516.5025370284934</v>
      </c>
      <c r="M347" s="75">
        <f>'THAM_SO_MOI'!$C$15*'THAM_SO_MOI'!$C$16*F347^2</f>
        <v>583.2860862645433</v>
      </c>
      <c r="N347" s="75">
        <f>'THAM_SO_MOI'!$C$12*I347</f>
        <v>1130.112</v>
      </c>
      <c r="O347" s="75">
        <f>M347+N347</f>
        <v>1713.3980862645435</v>
      </c>
      <c r="P347" s="75">
        <f>(MIN(L347,'THAM_SO_MOI'!$C$41)-O347)/('THAM_SO_MOI'!$C$11*H347)</f>
        <v>0.21343565941808118</v>
      </c>
      <c r="Q347" s="75">
        <f>IF(P347&gt;0,1/P347,NA())</f>
        <v>4.6852527020388095</v>
      </c>
      <c r="R347" s="75">
        <f>F347-F346</f>
        <v>0.017600427350426884</v>
      </c>
      <c r="S347" s="75">
        <f>0.5*(Q346+Q347)*R347</f>
        <v>0.08245541152181028</v>
      </c>
      <c r="T347" s="75">
        <f>0.5*(F346*Q346+F347*Q347)*R347</f>
        <v>1.163660602098578</v>
      </c>
      <c r="U347" s="76">
        <f>U346+S347</f>
        <v>28.645807151507245</v>
      </c>
      <c r="V347" s="76">
        <f>V346+T347</f>
        <v>317.33217756719966</v>
      </c>
    </row>
    <row r="348" spans="1:22" ht="19" customHeight="1">
      <c r="A348" s="68" t="s">
        <v>362</v>
      </c>
      <c r="B348" s="74">
        <v>5</v>
      </c>
      <c r="C348" s="68" t="s">
        <v>363</v>
      </c>
      <c r="D348" s="68" t="s">
        <v>364</v>
      </c>
      <c r="E348" s="75">
        <f>60*F348*'THAM_SO_MOI'!$C$53/(2*PI()*'THAM_SO_MOI'!$C$26)</f>
        <v>1393.0639999999999</v>
      </c>
      <c r="F348" s="75">
        <f>'THAM_SO_MOI'!$E$53+('THAM_SO_MOI'!$C$14-'THAM_SO_MOI'!$E$53)*342/'THAM_SO_MOI'!$C$42</f>
        <v>14.139004273504273</v>
      </c>
      <c r="G348" s="75">
        <f>3.6*F348</f>
        <v>50.900415384615386</v>
      </c>
      <c r="H348" s="75">
        <f>'THAM_SO_MOI'!$D$53</f>
        <v>1.1</v>
      </c>
      <c r="I348" s="75">
        <f>IF(F348&gt;'THAM_SO_MOI'!$C$14,'THAM_SO_MOI'!$C$13*(1+F348^2/1500),'THAM_SO_MOI'!$C$13)</f>
        <v>0.015</v>
      </c>
      <c r="J348" s="75">
        <f>'THAM_SO_MOI'!$C$40*('THAM_SO_MOI'!$C$23*(E348/'THAM_SO_MOI'!$C$22)+'THAM_SO_MOI'!$C$24*(E348/'THAM_SO_MOI'!$C$22)^2-'THAM_SO_MOI'!$C$25*(E348/'THAM_SO_MOI'!$C$22)^3)</f>
        <v>58.50190346661831</v>
      </c>
      <c r="K348" s="75">
        <f>'THAM_SO_MOI'!$C$31*J348/E348</f>
        <v>401.09961581898193</v>
      </c>
      <c r="L348" s="75">
        <f>K348*'THAM_SO_MOI'!$C$53*'THAM_SO_MOI'!$C$17/'THAM_SO_MOI'!$C$26</f>
        <v>3517.6452002226565</v>
      </c>
      <c r="M348" s="75">
        <f>'THAM_SO_MOI'!$C$15*'THAM_SO_MOI'!$C$16*F348^2</f>
        <v>584.7409674000535</v>
      </c>
      <c r="N348" s="75">
        <f>'THAM_SO_MOI'!$C$12*I348</f>
        <v>1130.112</v>
      </c>
      <c r="O348" s="75">
        <f>M348+N348</f>
        <v>1714.8529674000536</v>
      </c>
      <c r="P348" s="75">
        <f>(MIN(L348,'THAM_SO_MOI'!$C$41)-O348)/('THAM_SO_MOI'!$C$11*H348)</f>
        <v>0.213398701801918</v>
      </c>
      <c r="Q348" s="75">
        <f>IF(P348&gt;0,1/P348,NA())</f>
        <v>4.686064121084602</v>
      </c>
      <c r="R348" s="75">
        <f>F348-F347</f>
        <v>0.017600427350426884</v>
      </c>
      <c r="S348" s="75">
        <f>0.5*(Q347+Q348)*R348</f>
        <v>0.08246959046160843</v>
      </c>
      <c r="T348" s="75">
        <f>0.5*(F347*Q347+F348*Q348)*R348</f>
        <v>1.1653122047924018</v>
      </c>
      <c r="U348" s="76">
        <f>U347+S348</f>
        <v>28.728276741968855</v>
      </c>
      <c r="V348" s="76">
        <f>V347+T348</f>
        <v>318.4974897719921</v>
      </c>
    </row>
    <row r="349" spans="1:22" ht="19" customHeight="1">
      <c r="A349" s="68" t="s">
        <v>362</v>
      </c>
      <c r="B349" s="74">
        <v>5</v>
      </c>
      <c r="C349" s="68" t="s">
        <v>363</v>
      </c>
      <c r="D349" s="68" t="s">
        <v>364</v>
      </c>
      <c r="E349" s="75">
        <f>60*F349*'THAM_SO_MOI'!$C$53/(2*PI()*'THAM_SO_MOI'!$C$26)</f>
        <v>1394.7981052631576</v>
      </c>
      <c r="F349" s="75">
        <f>'THAM_SO_MOI'!$E$53+('THAM_SO_MOI'!$C$14-'THAM_SO_MOI'!$E$53)*343/'THAM_SO_MOI'!$C$42</f>
        <v>14.1566047008547</v>
      </c>
      <c r="G349" s="75">
        <f>3.6*F349</f>
        <v>50.96377692307692</v>
      </c>
      <c r="H349" s="75">
        <f>'THAM_SO_MOI'!$D$53</f>
        <v>1.1</v>
      </c>
      <c r="I349" s="75">
        <f>IF(F349&gt;'THAM_SO_MOI'!$C$14,'THAM_SO_MOI'!$C$13*(1+F349^2/1500),'THAM_SO_MOI'!$C$13)</f>
        <v>0.015</v>
      </c>
      <c r="J349" s="75">
        <f>'THAM_SO_MOI'!$C$40*('THAM_SO_MOI'!$C$23*(E349/'THAM_SO_MOI'!$C$22)+'THAM_SO_MOI'!$C$24*(E349/'THAM_SO_MOI'!$C$22)^2-'THAM_SO_MOI'!$C$25*(E349/'THAM_SO_MOI'!$C$22)^3)</f>
        <v>58.593712108520414</v>
      </c>
      <c r="K349" s="75">
        <f>'THAM_SO_MOI'!$C$31*J349/E349</f>
        <v>401.2296162936573</v>
      </c>
      <c r="L349" s="75">
        <f>K349*'THAM_SO_MOI'!$C$53*'THAM_SO_MOI'!$C$17/'THAM_SO_MOI'!$C$26</f>
        <v>3518.785304894247</v>
      </c>
      <c r="M349" s="75">
        <f>'THAM_SO_MOI'!$C$15*'THAM_SO_MOI'!$C$16*F349^2</f>
        <v>586.1976607195647</v>
      </c>
      <c r="N349" s="75">
        <f>'THAM_SO_MOI'!$C$12*I349</f>
        <v>1130.112</v>
      </c>
      <c r="O349" s="75">
        <f>M349+N349</f>
        <v>1716.3096607195648</v>
      </c>
      <c r="P349" s="75">
        <f>(MIN(L349,'THAM_SO_MOI'!$C$41)-O349)/('THAM_SO_MOI'!$C$11*H349)</f>
        <v>0.21336122681991976</v>
      </c>
      <c r="Q349" s="75">
        <f>IF(P349&gt;0,1/P349,NA())</f>
        <v>4.686887186133476</v>
      </c>
      <c r="R349" s="75">
        <f>F349-F348</f>
        <v>0.017600427350426884</v>
      </c>
      <c r="S349" s="75">
        <f>0.5*(Q348+Q349)*R349</f>
        <v>0.08248397427089023</v>
      </c>
      <c r="T349" s="75">
        <f>0.5*(F348*Q348+F349*Q349)*R349</f>
        <v>1.1669672050513509</v>
      </c>
      <c r="U349" s="76">
        <f>U348+S349</f>
        <v>28.810760716239745</v>
      </c>
      <c r="V349" s="76">
        <f>V348+T349</f>
        <v>319.66445697704347</v>
      </c>
    </row>
    <row r="350" spans="1:22" ht="19" customHeight="1">
      <c r="A350" s="68" t="s">
        <v>362</v>
      </c>
      <c r="B350" s="74">
        <v>5</v>
      </c>
      <c r="C350" s="68" t="s">
        <v>363</v>
      </c>
      <c r="D350" s="68" t="s">
        <v>364</v>
      </c>
      <c r="E350" s="75">
        <f>60*F350*'THAM_SO_MOI'!$C$53/(2*PI()*'THAM_SO_MOI'!$C$26)</f>
        <v>1396.5322105263153</v>
      </c>
      <c r="F350" s="75">
        <f>'THAM_SO_MOI'!$E$53+('THAM_SO_MOI'!$C$14-'THAM_SO_MOI'!$E$53)*344/'THAM_SO_MOI'!$C$42</f>
        <v>14.174205128205127</v>
      </c>
      <c r="G350" s="75">
        <f>3.6*F350</f>
        <v>51.027138461538456</v>
      </c>
      <c r="H350" s="75">
        <f>'THAM_SO_MOI'!$D$53</f>
        <v>1.1</v>
      </c>
      <c r="I350" s="75">
        <f>IF(F350&gt;'THAM_SO_MOI'!$C$14,'THAM_SO_MOI'!$C$13*(1+F350^2/1500),'THAM_SO_MOI'!$C$13)</f>
        <v>0.015</v>
      </c>
      <c r="J350" s="75">
        <f>'THAM_SO_MOI'!$C$40*('THAM_SO_MOI'!$C$23*(E350/'THAM_SO_MOI'!$C$22)+'THAM_SO_MOI'!$C$24*(E350/'THAM_SO_MOI'!$C$22)^2-'THAM_SO_MOI'!$C$25*(E350/'THAM_SO_MOI'!$C$22)^3)</f>
        <v>58.6855252997231</v>
      </c>
      <c r="K350" s="75">
        <f>'THAM_SO_MOI'!$C$31*J350/E350</f>
        <v>401.35932503270766</v>
      </c>
      <c r="L350" s="75">
        <f>K350*'THAM_SO_MOI'!$C$53*'THAM_SO_MOI'!$C$17/'THAM_SO_MOI'!$C$26</f>
        <v>3519.9228510432654</v>
      </c>
      <c r="M350" s="75">
        <f>'THAM_SO_MOI'!$C$15*'THAM_SO_MOI'!$C$16*F350^2</f>
        <v>587.6561662230769</v>
      </c>
      <c r="N350" s="75">
        <f>'THAM_SO_MOI'!$C$12*I350</f>
        <v>1130.112</v>
      </c>
      <c r="O350" s="75">
        <f>M350+N350</f>
        <v>1717.768166223077</v>
      </c>
      <c r="P350" s="75">
        <f>(MIN(L350,'THAM_SO_MOI'!$C$41)-O350)/('THAM_SO_MOI'!$C$11*H350)</f>
        <v>0.21332323447208668</v>
      </c>
      <c r="Q350" s="75">
        <f>IF(P350&gt;0,1/P350,NA())</f>
        <v>4.687721909311524</v>
      </c>
      <c r="R350" s="75">
        <f>F350-F349</f>
        <v>0.017600427350426884</v>
      </c>
      <c r="S350" s="75">
        <f>0.5*(Q349+Q350)*R350</f>
        <v>0.0824985631615154</v>
      </c>
      <c r="T350" s="75">
        <f>0.5*(F349*Q349+F350*Q350)*R350</f>
        <v>1.1686256166938886</v>
      </c>
      <c r="U350" s="76">
        <f>U349+S350</f>
        <v>28.89325927940126</v>
      </c>
      <c r="V350" s="76">
        <f>V349+T350</f>
        <v>320.83308259373734</v>
      </c>
    </row>
    <row r="351" spans="1:22" ht="19" customHeight="1">
      <c r="A351" s="68" t="s">
        <v>362</v>
      </c>
      <c r="B351" s="74">
        <v>5</v>
      </c>
      <c r="C351" s="68" t="s">
        <v>363</v>
      </c>
      <c r="D351" s="68" t="s">
        <v>364</v>
      </c>
      <c r="E351" s="75">
        <f>60*F351*'THAM_SO_MOI'!$C$53/(2*PI()*'THAM_SO_MOI'!$C$26)</f>
        <v>1398.2663157894735</v>
      </c>
      <c r="F351" s="75">
        <f>'THAM_SO_MOI'!$E$53+('THAM_SO_MOI'!$C$14-'THAM_SO_MOI'!$E$53)*345/'THAM_SO_MOI'!$C$42</f>
        <v>14.191805555555558</v>
      </c>
      <c r="G351" s="75">
        <f>3.6*F351</f>
        <v>51.090500000000006</v>
      </c>
      <c r="H351" s="75">
        <f>'THAM_SO_MOI'!$D$53</f>
        <v>1.1</v>
      </c>
      <c r="I351" s="75">
        <f>IF(F351&gt;'THAM_SO_MOI'!$C$14,'THAM_SO_MOI'!$C$13*(1+F351^2/1500),'THAM_SO_MOI'!$C$13)</f>
        <v>0.015</v>
      </c>
      <c r="J351" s="75">
        <f>'THAM_SO_MOI'!$C$40*('THAM_SO_MOI'!$C$23*(E351/'THAM_SO_MOI'!$C$22)+'THAM_SO_MOI'!$C$24*(E351/'THAM_SO_MOI'!$C$22)^2-'THAM_SO_MOI'!$C$25*(E351/'THAM_SO_MOI'!$C$22)^3)</f>
        <v>58.77734288132311</v>
      </c>
      <c r="K351" s="75">
        <f>'THAM_SO_MOI'!$C$31*J351/E351</f>
        <v>401.4887420361329</v>
      </c>
      <c r="L351" s="75">
        <f>K351*'THAM_SO_MOI'!$C$53*'THAM_SO_MOI'!$C$17/'THAM_SO_MOI'!$C$26</f>
        <v>3521.05783866971</v>
      </c>
      <c r="M351" s="75">
        <f>'THAM_SO_MOI'!$C$15*'THAM_SO_MOI'!$C$16*F351^2</f>
        <v>589.1164839105905</v>
      </c>
      <c r="N351" s="75">
        <f>'THAM_SO_MOI'!$C$12*I351</f>
        <v>1130.112</v>
      </c>
      <c r="O351" s="75">
        <f>M351+N351</f>
        <v>1719.2284839105905</v>
      </c>
      <c r="P351" s="75">
        <f>(MIN(L351,'THAM_SO_MOI'!$C$41)-O351)/('THAM_SO_MOI'!$C$11*H351)</f>
        <v>0.21328472475841848</v>
      </c>
      <c r="Q351" s="75">
        <f>IF(P351&gt;0,1/P351,NA())</f>
        <v>4.688568302923106</v>
      </c>
      <c r="R351" s="75">
        <f>F351-F350</f>
        <v>0.017600427350430436</v>
      </c>
      <c r="S351" s="75">
        <f>0.5*(Q350+Q351)*R351</f>
        <v>0.08251335734849378</v>
      </c>
      <c r="T351" s="75">
        <f>0.5*(F350*Q350+F351*Q351)*R351</f>
        <v>1.1702874535980734</v>
      </c>
      <c r="U351" s="76">
        <f>U350+S351</f>
        <v>28.975772636749753</v>
      </c>
      <c r="V351" s="76">
        <f>V350+T351</f>
        <v>322.0033700473354</v>
      </c>
    </row>
    <row r="352" spans="1:22" ht="19" customHeight="1">
      <c r="A352" s="68" t="s">
        <v>362</v>
      </c>
      <c r="B352" s="74">
        <v>5</v>
      </c>
      <c r="C352" s="68" t="s">
        <v>363</v>
      </c>
      <c r="D352" s="68" t="s">
        <v>364</v>
      </c>
      <c r="E352" s="75">
        <f>60*F352*'THAM_SO_MOI'!$C$53/(2*PI()*'THAM_SO_MOI'!$C$26)</f>
        <v>1400.0004210526315</v>
      </c>
      <c r="F352" s="75">
        <f>'THAM_SO_MOI'!$E$53+('THAM_SO_MOI'!$C$14-'THAM_SO_MOI'!$E$53)*346/'THAM_SO_MOI'!$C$42</f>
        <v>14.209405982905984</v>
      </c>
      <c r="G352" s="75">
        <f>3.6*F352</f>
        <v>51.15386153846155</v>
      </c>
      <c r="H352" s="75">
        <f>'THAM_SO_MOI'!$D$53</f>
        <v>1.1</v>
      </c>
      <c r="I352" s="75">
        <f>IF(F352&gt;'THAM_SO_MOI'!$C$14,'THAM_SO_MOI'!$C$13*(1+F352^2/1500),'THAM_SO_MOI'!$C$13)</f>
        <v>0.015</v>
      </c>
      <c r="J352" s="75">
        <f>'THAM_SO_MOI'!$C$40*('THAM_SO_MOI'!$C$23*(E352/'THAM_SO_MOI'!$C$22)+'THAM_SO_MOI'!$C$24*(E352/'THAM_SO_MOI'!$C$22)^2-'THAM_SO_MOI'!$C$25*(E352/'THAM_SO_MOI'!$C$22)^3)</f>
        <v>58.86916469441712</v>
      </c>
      <c r="K352" s="75">
        <f>'THAM_SO_MOI'!$C$31*J352/E352</f>
        <v>401.6178673039331</v>
      </c>
      <c r="L352" s="75">
        <f>K352*'THAM_SO_MOI'!$C$53*'THAM_SO_MOI'!$C$17/'THAM_SO_MOI'!$C$26</f>
        <v>3522.19026777358</v>
      </c>
      <c r="M352" s="75">
        <f>'THAM_SO_MOI'!$C$15*'THAM_SO_MOI'!$C$16*F352^2</f>
        <v>590.5786137821049</v>
      </c>
      <c r="N352" s="75">
        <f>'THAM_SO_MOI'!$C$12*I352</f>
        <v>1130.112</v>
      </c>
      <c r="O352" s="75">
        <f>M352+N352</f>
        <v>1720.690613782105</v>
      </c>
      <c r="P352" s="75">
        <f>(MIN(L352,'THAM_SO_MOI'!$C$41)-O352)/('THAM_SO_MOI'!$C$11*H352)</f>
        <v>0.21324569767891519</v>
      </c>
      <c r="Q352" s="75">
        <f>IF(P352&gt;0,1/P352,NA())</f>
        <v>4.689426379451292</v>
      </c>
      <c r="R352" s="75">
        <f>F352-F351</f>
        <v>0.017600427350426884</v>
      </c>
      <c r="S352" s="75">
        <f>0.5*(Q351+Q352)*R352</f>
        <v>0.08252835704991011</v>
      </c>
      <c r="T352" s="75">
        <f>0.5*(F351*Q351+F352*Q352)*R352</f>
        <v>1.171952729700764</v>
      </c>
      <c r="U352" s="76">
        <f>U351+S352</f>
        <v>29.058300993799662</v>
      </c>
      <c r="V352" s="76">
        <f>V351+T352</f>
        <v>323.1753227770362</v>
      </c>
    </row>
    <row r="353" spans="1:22" ht="19" customHeight="1">
      <c r="A353" s="68" t="s">
        <v>362</v>
      </c>
      <c r="B353" s="74">
        <v>5</v>
      </c>
      <c r="C353" s="68" t="s">
        <v>363</v>
      </c>
      <c r="D353" s="68" t="s">
        <v>364</v>
      </c>
      <c r="E353" s="75">
        <f>60*F353*'THAM_SO_MOI'!$C$53/(2*PI()*'THAM_SO_MOI'!$C$26)</f>
        <v>1401.7345263157893</v>
      </c>
      <c r="F353" s="75">
        <f>'THAM_SO_MOI'!$E$53+('THAM_SO_MOI'!$C$14-'THAM_SO_MOI'!$E$53)*347/'THAM_SO_MOI'!$C$42</f>
        <v>14.227006410256411</v>
      </c>
      <c r="G353" s="75">
        <f>3.6*F353</f>
        <v>51.217223076923084</v>
      </c>
      <c r="H353" s="75">
        <f>'THAM_SO_MOI'!$D$53</f>
        <v>1.1</v>
      </c>
      <c r="I353" s="75">
        <f>IF(F353&gt;'THAM_SO_MOI'!$C$14,'THAM_SO_MOI'!$C$13*(1+F353^2/1500),'THAM_SO_MOI'!$C$13)</f>
        <v>0.015</v>
      </c>
      <c r="J353" s="75">
        <f>'THAM_SO_MOI'!$C$40*('THAM_SO_MOI'!$C$23*(E353/'THAM_SO_MOI'!$C$22)+'THAM_SO_MOI'!$C$24*(E353/'THAM_SO_MOI'!$C$22)^2-'THAM_SO_MOI'!$C$25*(E353/'THAM_SO_MOI'!$C$22)^3)</f>
        <v>58.96099058010187</v>
      </c>
      <c r="K353" s="75">
        <f>'THAM_SO_MOI'!$C$31*J353/E353</f>
        <v>401.74670083610835</v>
      </c>
      <c r="L353" s="75">
        <f>K353*'THAM_SO_MOI'!$C$53*'THAM_SO_MOI'!$C$17/'THAM_SO_MOI'!$C$26</f>
        <v>3523.3201383548785</v>
      </c>
      <c r="M353" s="75">
        <f>'THAM_SO_MOI'!$C$15*'THAM_SO_MOI'!$C$16*F353^2</f>
        <v>592.0425558376203</v>
      </c>
      <c r="N353" s="75">
        <f>'THAM_SO_MOI'!$C$12*I353</f>
        <v>1130.112</v>
      </c>
      <c r="O353" s="75">
        <f>M353+N353</f>
        <v>1722.1545558376204</v>
      </c>
      <c r="P353" s="75">
        <f>(MIN(L353,'THAM_SO_MOI'!$C$41)-O353)/('THAM_SO_MOI'!$C$11*H353)</f>
        <v>0.21320615323357697</v>
      </c>
      <c r="Q353" s="75">
        <f>IF(P353&gt;0,1/P353,NA())</f>
        <v>4.690296151558322</v>
      </c>
      <c r="R353" s="75">
        <f>F353-F352</f>
        <v>0.017600427350426884</v>
      </c>
      <c r="S353" s="75">
        <f>0.5*(Q352+Q353)*R353</f>
        <v>0.08254356248709845</v>
      </c>
      <c r="T353" s="75">
        <f>0.5*(F352*Q352+F353*Q353)*R353</f>
        <v>1.1736214590003733</v>
      </c>
      <c r="U353" s="76">
        <f>U352+S353</f>
        <v>29.140844556286762</v>
      </c>
      <c r="V353" s="76">
        <f>V352+T353</f>
        <v>324.3489442360366</v>
      </c>
    </row>
    <row r="354" spans="1:22" ht="19" customHeight="1">
      <c r="A354" s="68" t="s">
        <v>362</v>
      </c>
      <c r="B354" s="74">
        <v>5</v>
      </c>
      <c r="C354" s="68" t="s">
        <v>363</v>
      </c>
      <c r="D354" s="68" t="s">
        <v>364</v>
      </c>
      <c r="E354" s="75">
        <f>60*F354*'THAM_SO_MOI'!$C$53/(2*PI()*'THAM_SO_MOI'!$C$26)</f>
        <v>1403.468631578947</v>
      </c>
      <c r="F354" s="75">
        <f>'THAM_SO_MOI'!$E$53+('THAM_SO_MOI'!$C$14-'THAM_SO_MOI'!$E$53)*348/'THAM_SO_MOI'!$C$42</f>
        <v>14.244606837606838</v>
      </c>
      <c r="G354" s="75">
        <f>3.6*F354</f>
        <v>51.28058461538462</v>
      </c>
      <c r="H354" s="75">
        <f>'THAM_SO_MOI'!$D$53</f>
        <v>1.1</v>
      </c>
      <c r="I354" s="75">
        <f>IF(F354&gt;'THAM_SO_MOI'!$C$14,'THAM_SO_MOI'!$C$13*(1+F354^2/1500),'THAM_SO_MOI'!$C$13)</f>
        <v>0.015</v>
      </c>
      <c r="J354" s="75">
        <f>'THAM_SO_MOI'!$C$40*('THAM_SO_MOI'!$C$23*(E354/'THAM_SO_MOI'!$C$22)+'THAM_SO_MOI'!$C$24*(E354/'THAM_SO_MOI'!$C$22)^2-'THAM_SO_MOI'!$C$25*(E354/'THAM_SO_MOI'!$C$22)^3)</f>
        <v>59.052820379474085</v>
      </c>
      <c r="K354" s="75">
        <f>'THAM_SO_MOI'!$C$31*J354/E354</f>
        <v>401.8752426326585</v>
      </c>
      <c r="L354" s="75">
        <f>K354*'THAM_SO_MOI'!$C$53*'THAM_SO_MOI'!$C$17/'THAM_SO_MOI'!$C$26</f>
        <v>3524.4474504136037</v>
      </c>
      <c r="M354" s="75">
        <f>'THAM_SO_MOI'!$C$15*'THAM_SO_MOI'!$C$16*F354^2</f>
        <v>593.5083100771369</v>
      </c>
      <c r="N354" s="75">
        <f>'THAM_SO_MOI'!$C$12*I354</f>
        <v>1130.112</v>
      </c>
      <c r="O354" s="75">
        <f>M354+N354</f>
        <v>1723.620310077137</v>
      </c>
      <c r="P354" s="75">
        <f>(MIN(L354,'THAM_SO_MOI'!$C$41)-O354)/('THAM_SO_MOI'!$C$11*H354)</f>
        <v>0.21316609142240375</v>
      </c>
      <c r="Q354" s="75">
        <f>IF(P354&gt;0,1/P354,NA())</f>
        <v>4.691177632086094</v>
      </c>
      <c r="R354" s="75">
        <f>F354-F353</f>
        <v>0.017600427350426884</v>
      </c>
      <c r="S354" s="75">
        <f>0.5*(Q353+Q354)*R354</f>
        <v>0.08255897388448398</v>
      </c>
      <c r="T354" s="75">
        <f>0.5*(F353*Q353+F354*Q354)*R354</f>
        <v>1.1752936555549023</v>
      </c>
      <c r="U354" s="76">
        <f>U353+S354</f>
        <v>29.223403530171247</v>
      </c>
      <c r="V354" s="76">
        <f>V353+T354</f>
        <v>325.5242378915915</v>
      </c>
    </row>
    <row r="355" spans="1:22" ht="19" customHeight="1">
      <c r="A355" s="68" t="s">
        <v>362</v>
      </c>
      <c r="B355" s="74">
        <v>5</v>
      </c>
      <c r="C355" s="68" t="s">
        <v>363</v>
      </c>
      <c r="D355" s="68" t="s">
        <v>364</v>
      </c>
      <c r="E355" s="75">
        <f>60*F355*'THAM_SO_MOI'!$C$53/(2*PI()*'THAM_SO_MOI'!$C$26)</f>
        <v>1405.202736842105</v>
      </c>
      <c r="F355" s="75">
        <f>'THAM_SO_MOI'!$E$53+('THAM_SO_MOI'!$C$14-'THAM_SO_MOI'!$E$53)*349/'THAM_SO_MOI'!$C$42</f>
        <v>14.262207264957265</v>
      </c>
      <c r="G355" s="75">
        <f>3.6*F355</f>
        <v>51.343946153846154</v>
      </c>
      <c r="H355" s="75">
        <f>'THAM_SO_MOI'!$D$53</f>
        <v>1.1</v>
      </c>
      <c r="I355" s="75">
        <f>IF(F355&gt;'THAM_SO_MOI'!$C$14,'THAM_SO_MOI'!$C$13*(1+F355^2/1500),'THAM_SO_MOI'!$C$13)</f>
        <v>0.015</v>
      </c>
      <c r="J355" s="75">
        <f>'THAM_SO_MOI'!$C$40*('THAM_SO_MOI'!$C$23*(E355/'THAM_SO_MOI'!$C$22)+'THAM_SO_MOI'!$C$24*(E355/'THAM_SO_MOI'!$C$22)^2-'THAM_SO_MOI'!$C$25*(E355/'THAM_SO_MOI'!$C$22)^3)</f>
        <v>59.1446539336305</v>
      </c>
      <c r="K355" s="75">
        <f>'THAM_SO_MOI'!$C$31*J355/E355</f>
        <v>402.00349269358367</v>
      </c>
      <c r="L355" s="75">
        <f>K355*'THAM_SO_MOI'!$C$53*'THAM_SO_MOI'!$C$17/'THAM_SO_MOI'!$C$26</f>
        <v>3525.5722039497555</v>
      </c>
      <c r="M355" s="75">
        <f>'THAM_SO_MOI'!$C$15*'THAM_SO_MOI'!$C$16*F355^2</f>
        <v>594.9758765006544</v>
      </c>
      <c r="N355" s="75">
        <f>'THAM_SO_MOI'!$C$12*I355</f>
        <v>1130.112</v>
      </c>
      <c r="O355" s="75">
        <f>M355+N355</f>
        <v>1725.0878765006546</v>
      </c>
      <c r="P355" s="75">
        <f>(MIN(L355,'THAM_SO_MOI'!$C$41)-O355)/('THAM_SO_MOI'!$C$11*H355)</f>
        <v>0.21312551224539547</v>
      </c>
      <c r="Q355" s="75">
        <f>IF(P355&gt;0,1/P355,NA())</f>
        <v>4.692070834056634</v>
      </c>
      <c r="R355" s="75">
        <f>F355-F354</f>
        <v>0.017600427350426884</v>
      </c>
      <c r="S355" s="75">
        <f>0.5*(Q354+Q355)*R355</f>
        <v>0.08257459146967479</v>
      </c>
      <c r="T355" s="75">
        <f>0.5*(F354*Q354+F355*Q355)*R355</f>
        <v>1.176969333483517</v>
      </c>
      <c r="U355" s="76">
        <f>U354+S355</f>
        <v>29.305978121640923</v>
      </c>
      <c r="V355" s="76">
        <f>V354+T355</f>
        <v>326.701207225075</v>
      </c>
    </row>
    <row r="356" spans="1:22" ht="19" customHeight="1">
      <c r="A356" s="68" t="s">
        <v>362</v>
      </c>
      <c r="B356" s="74">
        <v>5</v>
      </c>
      <c r="C356" s="68" t="s">
        <v>363</v>
      </c>
      <c r="D356" s="68" t="s">
        <v>364</v>
      </c>
      <c r="E356" s="75">
        <f>60*F356*'THAM_SO_MOI'!$C$53/(2*PI()*'THAM_SO_MOI'!$C$26)</f>
        <v>1406.936842105263</v>
      </c>
      <c r="F356" s="75">
        <f>'THAM_SO_MOI'!$E$53+('THAM_SO_MOI'!$C$14-'THAM_SO_MOI'!$E$53)*350/'THAM_SO_MOI'!$C$42</f>
        <v>14.279807692307692</v>
      </c>
      <c r="G356" s="75">
        <f>3.6*F356</f>
        <v>51.40730769230769</v>
      </c>
      <c r="H356" s="75">
        <f>'THAM_SO_MOI'!$D$53</f>
        <v>1.1</v>
      </c>
      <c r="I356" s="75">
        <f>IF(F356&gt;'THAM_SO_MOI'!$C$14,'THAM_SO_MOI'!$C$13*(1+F356^2/1500),'THAM_SO_MOI'!$C$13)</f>
        <v>0.015</v>
      </c>
      <c r="J356" s="75">
        <f>'THAM_SO_MOI'!$C$40*('THAM_SO_MOI'!$C$23*(E356/'THAM_SO_MOI'!$C$22)+'THAM_SO_MOI'!$C$24*(E356/'THAM_SO_MOI'!$C$22)^2-'THAM_SO_MOI'!$C$25*(E356/'THAM_SO_MOI'!$C$22)^3)</f>
        <v>59.236491083667815</v>
      </c>
      <c r="K356" s="75">
        <f>'THAM_SO_MOI'!$C$31*J356/E356</f>
        <v>402.13145101888375</v>
      </c>
      <c r="L356" s="75">
        <f>K356*'THAM_SO_MOI'!$C$53*'THAM_SO_MOI'!$C$17/'THAM_SO_MOI'!$C$26</f>
        <v>3526.694398963334</v>
      </c>
      <c r="M356" s="75">
        <f>'THAM_SO_MOI'!$C$15*'THAM_SO_MOI'!$C$16*F356^2</f>
        <v>596.4452551081731</v>
      </c>
      <c r="N356" s="75">
        <f>'THAM_SO_MOI'!$C$12*I356</f>
        <v>1130.112</v>
      </c>
      <c r="O356" s="75">
        <f>M356+N356</f>
        <v>1726.5572551081732</v>
      </c>
      <c r="P356" s="75">
        <f>(MIN(L356,'THAM_SO_MOI'!$C$41)-O356)/('THAM_SO_MOI'!$C$11*H356)</f>
        <v>0.2130844157025522</v>
      </c>
      <c r="Q356" s="75">
        <f>IF(P356&gt;0,1/P356,NA())</f>
        <v>4.692975770672573</v>
      </c>
      <c r="R356" s="75">
        <f>F356-F355</f>
        <v>0.017600427350426884</v>
      </c>
      <c r="S356" s="75">
        <f>0.5*(Q355+Q356)*R356</f>
        <v>0.08259041547345346</v>
      </c>
      <c r="T356" s="75">
        <f>0.5*(F355*Q355+F356*Q356)*R356</f>
        <v>1.1786485069667125</v>
      </c>
      <c r="U356" s="76">
        <f>U355+S356</f>
        <v>29.388568537114377</v>
      </c>
      <c r="V356" s="76">
        <f>V355+T356</f>
        <v>327.87985573204173</v>
      </c>
    </row>
    <row r="357" spans="1:22" ht="19" customHeight="1">
      <c r="A357" s="68" t="s">
        <v>362</v>
      </c>
      <c r="B357" s="74">
        <v>5</v>
      </c>
      <c r="C357" s="68" t="s">
        <v>363</v>
      </c>
      <c r="D357" s="68" t="s">
        <v>364</v>
      </c>
      <c r="E357" s="75">
        <f>60*F357*'THAM_SO_MOI'!$C$53/(2*PI()*'THAM_SO_MOI'!$C$26)</f>
        <v>1408.6709473684207</v>
      </c>
      <c r="F357" s="75">
        <f>'THAM_SO_MOI'!$E$53+('THAM_SO_MOI'!$C$14-'THAM_SO_MOI'!$E$53)*351/'THAM_SO_MOI'!$C$42</f>
        <v>14.297408119658119</v>
      </c>
      <c r="G357" s="75">
        <f>3.6*F357</f>
        <v>51.47066923076923</v>
      </c>
      <c r="H357" s="75">
        <f>'THAM_SO_MOI'!$D$53</f>
        <v>1.1</v>
      </c>
      <c r="I357" s="75">
        <f>IF(F357&gt;'THAM_SO_MOI'!$C$14,'THAM_SO_MOI'!$C$13*(1+F357^2/1500),'THAM_SO_MOI'!$C$13)</f>
        <v>0.015</v>
      </c>
      <c r="J357" s="75">
        <f>'THAM_SO_MOI'!$C$40*('THAM_SO_MOI'!$C$23*(E357/'THAM_SO_MOI'!$C$22)+'THAM_SO_MOI'!$C$24*(E357/'THAM_SO_MOI'!$C$22)^2-'THAM_SO_MOI'!$C$25*(E357/'THAM_SO_MOI'!$C$22)^3)</f>
        <v>59.32833167068274</v>
      </c>
      <c r="K357" s="75">
        <f>'THAM_SO_MOI'!$C$31*J357/E357</f>
        <v>402.2591176085588</v>
      </c>
      <c r="L357" s="75">
        <f>K357*'THAM_SO_MOI'!$C$53*'THAM_SO_MOI'!$C$17/'THAM_SO_MOI'!$C$26</f>
        <v>3527.8140354543402</v>
      </c>
      <c r="M357" s="75">
        <f>'THAM_SO_MOI'!$C$15*'THAM_SO_MOI'!$C$16*F357^2</f>
        <v>597.9164458996928</v>
      </c>
      <c r="N357" s="75">
        <f>'THAM_SO_MOI'!$C$12*I357</f>
        <v>1130.112</v>
      </c>
      <c r="O357" s="75">
        <f>M357+N357</f>
        <v>1728.028445899693</v>
      </c>
      <c r="P357" s="75">
        <f>(MIN(L357,'THAM_SO_MOI'!$C$41)-O357)/('THAM_SO_MOI'!$C$11*H357)</f>
        <v>0.21304280179387397</v>
      </c>
      <c r="Q357" s="75">
        <f>IF(P357&gt;0,1/P357,NA())</f>
        <v>4.693892455317656</v>
      </c>
      <c r="R357" s="75">
        <f>F357-F356</f>
        <v>0.017600427350426884</v>
      </c>
      <c r="S357" s="75">
        <f>0.5*(Q356+Q357)*R357</f>
        <v>0.08260644612978577</v>
      </c>
      <c r="T357" s="75">
        <f>0.5*(F356*Q356+F357*Q357)*R357</f>
        <v>1.1803311902467142</v>
      </c>
      <c r="U357" s="76">
        <f>U356+S357</f>
        <v>29.471174983244165</v>
      </c>
      <c r="V357" s="76">
        <f>V356+T357</f>
        <v>329.06018692228844</v>
      </c>
    </row>
    <row r="358" spans="1:22" ht="19" customHeight="1">
      <c r="A358" s="68" t="s">
        <v>362</v>
      </c>
      <c r="B358" s="74">
        <v>5</v>
      </c>
      <c r="C358" s="68" t="s">
        <v>363</v>
      </c>
      <c r="D358" s="68" t="s">
        <v>364</v>
      </c>
      <c r="E358" s="75">
        <f>60*F358*'THAM_SO_MOI'!$C$53/(2*PI()*'THAM_SO_MOI'!$C$26)</f>
        <v>1410.4050526315789</v>
      </c>
      <c r="F358" s="75">
        <f>'THAM_SO_MOI'!$E$53+('THAM_SO_MOI'!$C$14-'THAM_SO_MOI'!$E$53)*352/'THAM_SO_MOI'!$C$42</f>
        <v>14.315008547008548</v>
      </c>
      <c r="G358" s="75">
        <f>3.6*F358</f>
        <v>51.534030769230775</v>
      </c>
      <c r="H358" s="75">
        <f>'THAM_SO_MOI'!$D$53</f>
        <v>1.1</v>
      </c>
      <c r="I358" s="75">
        <f>IF(F358&gt;'THAM_SO_MOI'!$C$14,'THAM_SO_MOI'!$C$13*(1+F358^2/1500),'THAM_SO_MOI'!$C$13)</f>
        <v>0.015</v>
      </c>
      <c r="J358" s="75">
        <f>'THAM_SO_MOI'!$C$40*('THAM_SO_MOI'!$C$23*(E358/'THAM_SO_MOI'!$C$22)+'THAM_SO_MOI'!$C$24*(E358/'THAM_SO_MOI'!$C$22)^2-'THAM_SO_MOI'!$C$25*(E358/'THAM_SO_MOI'!$C$22)^3)</f>
        <v>59.42017553577206</v>
      </c>
      <c r="K358" s="75">
        <f>'THAM_SO_MOI'!$C$31*J358/E358</f>
        <v>402.386492462609</v>
      </c>
      <c r="L358" s="75">
        <f>K358*'THAM_SO_MOI'!$C$53*'THAM_SO_MOI'!$C$17/'THAM_SO_MOI'!$C$26</f>
        <v>3528.9311134227737</v>
      </c>
      <c r="M358" s="75">
        <f>'THAM_SO_MOI'!$C$15*'THAM_SO_MOI'!$C$16*F358^2</f>
        <v>599.3894488752138</v>
      </c>
      <c r="N358" s="75">
        <f>'THAM_SO_MOI'!$C$12*I358</f>
        <v>1130.112</v>
      </c>
      <c r="O358" s="75">
        <f>M358+N358</f>
        <v>1729.501448875214</v>
      </c>
      <c r="P358" s="75">
        <f>(MIN(L358,'THAM_SO_MOI'!$C$41)-O358)/('THAM_SO_MOI'!$C$11*H358)</f>
        <v>0.21300067051936075</v>
      </c>
      <c r="Q358" s="75">
        <f>IF(P358&gt;0,1/P358,NA())</f>
        <v>4.6948209015572315</v>
      </c>
      <c r="R358" s="75">
        <f>F358-F357</f>
        <v>0.01760042735042866</v>
      </c>
      <c r="S358" s="75">
        <f>0.5*(Q357+Q358)*R358</f>
        <v>0.08262268367583783</v>
      </c>
      <c r="T358" s="75">
        <f>0.5*(F357*Q357+F358*Q358)*R358</f>
        <v>1.1820173976280035</v>
      </c>
      <c r="U358" s="76">
        <f>U357+S358</f>
        <v>29.55379766692</v>
      </c>
      <c r="V358" s="76">
        <f>V357+T358</f>
        <v>330.2422043199164</v>
      </c>
    </row>
    <row r="359" spans="1:22" ht="19" customHeight="1">
      <c r="A359" s="68" t="s">
        <v>362</v>
      </c>
      <c r="B359" s="74">
        <v>5</v>
      </c>
      <c r="C359" s="68" t="s">
        <v>363</v>
      </c>
      <c r="D359" s="68" t="s">
        <v>364</v>
      </c>
      <c r="E359" s="75">
        <f>60*F359*'THAM_SO_MOI'!$C$53/(2*PI()*'THAM_SO_MOI'!$C$26)</f>
        <v>1412.1391578947366</v>
      </c>
      <c r="F359" s="75">
        <f>'THAM_SO_MOI'!$E$53+('THAM_SO_MOI'!$C$14-'THAM_SO_MOI'!$E$53)*353/'THAM_SO_MOI'!$C$42</f>
        <v>14.332608974358974</v>
      </c>
      <c r="G359" s="75">
        <f>3.6*F359</f>
        <v>51.59739230769231</v>
      </c>
      <c r="H359" s="75">
        <f>'THAM_SO_MOI'!$D$53</f>
        <v>1.1</v>
      </c>
      <c r="I359" s="75">
        <f>IF(F359&gt;'THAM_SO_MOI'!$C$14,'THAM_SO_MOI'!$C$13*(1+F359^2/1500),'THAM_SO_MOI'!$C$13)</f>
        <v>0.015</v>
      </c>
      <c r="J359" s="75">
        <f>'THAM_SO_MOI'!$C$40*('THAM_SO_MOI'!$C$23*(E359/'THAM_SO_MOI'!$C$22)+'THAM_SO_MOI'!$C$24*(E359/'THAM_SO_MOI'!$C$22)^2-'THAM_SO_MOI'!$C$25*(E359/'THAM_SO_MOI'!$C$22)^3)</f>
        <v>59.5120225200324</v>
      </c>
      <c r="K359" s="75">
        <f>'THAM_SO_MOI'!$C$31*J359/E359</f>
        <v>402.51357558103393</v>
      </c>
      <c r="L359" s="75">
        <f>K359*'THAM_SO_MOI'!$C$53*'THAM_SO_MOI'!$C$17/'THAM_SO_MOI'!$C$26</f>
        <v>3530.045632868633</v>
      </c>
      <c r="M359" s="75">
        <f>'THAM_SO_MOI'!$C$15*'THAM_SO_MOI'!$C$16*F359^2</f>
        <v>600.8642640347356</v>
      </c>
      <c r="N359" s="75">
        <f>'THAM_SO_MOI'!$C$12*I359</f>
        <v>1130.112</v>
      </c>
      <c r="O359" s="75">
        <f>M359+N359</f>
        <v>1730.9762640347358</v>
      </c>
      <c r="P359" s="75">
        <f>(MIN(L359,'THAM_SO_MOI'!$C$41)-O359)/('THAM_SO_MOI'!$C$11*H359)</f>
        <v>0.21295802187901247</v>
      </c>
      <c r="Q359" s="75">
        <f>IF(P359&gt;0,1/P359,NA())</f>
        <v>4.695761123138759</v>
      </c>
      <c r="R359" s="75">
        <f>F359-F358</f>
        <v>0.017600427350426884</v>
      </c>
      <c r="S359" s="75">
        <f>0.5*(Q358+Q359)*R359</f>
        <v>0.08263912835194319</v>
      </c>
      <c r="T359" s="75">
        <f>0.5*(F358*Q358+F359*Q359)*R359</f>
        <v>1.1837071434771287</v>
      </c>
      <c r="U359" s="76">
        <f>U358+S359</f>
        <v>29.636436795271944</v>
      </c>
      <c r="V359" s="76">
        <f>V358+T359</f>
        <v>331.42591146339356</v>
      </c>
    </row>
    <row r="360" spans="1:22" ht="19" customHeight="1">
      <c r="A360" s="68" t="s">
        <v>362</v>
      </c>
      <c r="B360" s="74">
        <v>5</v>
      </c>
      <c r="C360" s="68" t="s">
        <v>363</v>
      </c>
      <c r="D360" s="68" t="s">
        <v>364</v>
      </c>
      <c r="E360" s="75">
        <f>60*F360*'THAM_SO_MOI'!$C$53/(2*PI()*'THAM_SO_MOI'!$C$26)</f>
        <v>1413.8732631578946</v>
      </c>
      <c r="F360" s="75">
        <f>'THAM_SO_MOI'!$E$53+('THAM_SO_MOI'!$C$14-'THAM_SO_MOI'!$E$53)*354/'THAM_SO_MOI'!$C$42</f>
        <v>14.350209401709403</v>
      </c>
      <c r="G360" s="75">
        <f>3.6*F360</f>
        <v>51.66075384615385</v>
      </c>
      <c r="H360" s="75">
        <f>'THAM_SO_MOI'!$D$53</f>
        <v>1.1</v>
      </c>
      <c r="I360" s="75">
        <f>IF(F360&gt;'THAM_SO_MOI'!$C$14,'THAM_SO_MOI'!$C$13*(1+F360^2/1500),'THAM_SO_MOI'!$C$13)</f>
        <v>0.015</v>
      </c>
      <c r="J360" s="75">
        <f>'THAM_SO_MOI'!$C$40*('THAM_SO_MOI'!$C$23*(E360/'THAM_SO_MOI'!$C$22)+'THAM_SO_MOI'!$C$24*(E360/'THAM_SO_MOI'!$C$22)^2-'THAM_SO_MOI'!$C$25*(E360/'THAM_SO_MOI'!$C$22)^3)</f>
        <v>59.60387246456055</v>
      </c>
      <c r="K360" s="75">
        <f>'THAM_SO_MOI'!$C$31*J360/E360</f>
        <v>402.6403669638339</v>
      </c>
      <c r="L360" s="75">
        <f>K360*'THAM_SO_MOI'!$C$53*'THAM_SO_MOI'!$C$17/'THAM_SO_MOI'!$C$26</f>
        <v>3531.157593791919</v>
      </c>
      <c r="M360" s="75">
        <f>'THAM_SO_MOI'!$C$15*'THAM_SO_MOI'!$C$16*F360^2</f>
        <v>602.3408913782587</v>
      </c>
      <c r="N360" s="75">
        <f>'THAM_SO_MOI'!$C$12*I360</f>
        <v>1130.112</v>
      </c>
      <c r="O360" s="75">
        <f>M360+N360</f>
        <v>1732.4528913782588</v>
      </c>
      <c r="P360" s="75">
        <f>(MIN(L360,'THAM_SO_MOI'!$C$41)-O360)/('THAM_SO_MOI'!$C$11*H360)</f>
        <v>0.21291485587282913</v>
      </c>
      <c r="Q360" s="75">
        <f>IF(P360&gt;0,1/P360,NA())</f>
        <v>4.696713133992327</v>
      </c>
      <c r="R360" s="75">
        <f>F360-F359</f>
        <v>0.01760042735042866</v>
      </c>
      <c r="S360" s="75">
        <f>0.5*(Q359+Q360)*R360</f>
        <v>0.08265578040170354</v>
      </c>
      <c r="T360" s="75">
        <f>0.5*(F359*Q359+F360*Q360)*R360</f>
        <v>1.1854004422244282</v>
      </c>
      <c r="U360" s="76">
        <f>U359+S360</f>
        <v>29.71909257567365</v>
      </c>
      <c r="V360" s="76">
        <f>V359+T360</f>
        <v>332.611311905618</v>
      </c>
    </row>
    <row r="361" spans="1:22" ht="19" customHeight="1">
      <c r="A361" s="68" t="s">
        <v>362</v>
      </c>
      <c r="B361" s="74">
        <v>5</v>
      </c>
      <c r="C361" s="68" t="s">
        <v>363</v>
      </c>
      <c r="D361" s="68" t="s">
        <v>364</v>
      </c>
      <c r="E361" s="75">
        <f>60*F361*'THAM_SO_MOI'!$C$53/(2*PI()*'THAM_SO_MOI'!$C$26)</f>
        <v>1415.6073684210523</v>
      </c>
      <c r="F361" s="75">
        <f>'THAM_SO_MOI'!$E$53+('THAM_SO_MOI'!$C$14-'THAM_SO_MOI'!$E$53)*355/'THAM_SO_MOI'!$C$42</f>
        <v>14.36780982905983</v>
      </c>
      <c r="G361" s="75">
        <f>3.6*F361</f>
        <v>51.72411538461539</v>
      </c>
      <c r="H361" s="75">
        <f>'THAM_SO_MOI'!$D$53</f>
        <v>1.1</v>
      </c>
      <c r="I361" s="75">
        <f>IF(F361&gt;'THAM_SO_MOI'!$C$14,'THAM_SO_MOI'!$C$13*(1+F361^2/1500),'THAM_SO_MOI'!$C$13)</f>
        <v>0.015</v>
      </c>
      <c r="J361" s="75">
        <f>'THAM_SO_MOI'!$C$40*('THAM_SO_MOI'!$C$23*(E361/'THAM_SO_MOI'!$C$22)+'THAM_SO_MOI'!$C$24*(E361/'THAM_SO_MOI'!$C$22)^2-'THAM_SO_MOI'!$C$25*(E361/'THAM_SO_MOI'!$C$22)^3)</f>
        <v>59.695725210453205</v>
      </c>
      <c r="K361" s="75">
        <f>'THAM_SO_MOI'!$C$31*J361/E361</f>
        <v>402.76686661100877</v>
      </c>
      <c r="L361" s="75">
        <f>K361*'THAM_SO_MOI'!$C$53*'THAM_SO_MOI'!$C$17/'THAM_SO_MOI'!$C$26</f>
        <v>3532.266996192632</v>
      </c>
      <c r="M361" s="75">
        <f>'THAM_SO_MOI'!$C$15*'THAM_SO_MOI'!$C$16*F361^2</f>
        <v>603.8193309057827</v>
      </c>
      <c r="N361" s="75">
        <f>'THAM_SO_MOI'!$C$12*I361</f>
        <v>1130.112</v>
      </c>
      <c r="O361" s="75">
        <f>M361+N361</f>
        <v>1733.931330905783</v>
      </c>
      <c r="P361" s="75">
        <f>(MIN(L361,'THAM_SO_MOI'!$C$41)-O361)/('THAM_SO_MOI'!$C$11*H361)</f>
        <v>0.21287117250081075</v>
      </c>
      <c r="Q361" s="75">
        <f>IF(P361&gt;0,1/P361,NA())</f>
        <v>4.697676948231172</v>
      </c>
      <c r="R361" s="75">
        <f>F361-F360</f>
        <v>0.017600427350426884</v>
      </c>
      <c r="S361" s="75">
        <f>0.5*(Q360+Q361)*R361</f>
        <v>0.08267264007187276</v>
      </c>
      <c r="T361" s="75">
        <f>0.5*(F360*Q360+F361*Q361)*R361</f>
        <v>1.187097308362652</v>
      </c>
      <c r="U361" s="76">
        <f>U360+S361</f>
        <v>29.801765215745522</v>
      </c>
      <c r="V361" s="76">
        <f>V360+T361</f>
        <v>333.7984092139806</v>
      </c>
    </row>
    <row r="362" spans="1:22" ht="19" customHeight="1">
      <c r="A362" s="68" t="s">
        <v>362</v>
      </c>
      <c r="B362" s="74">
        <v>5</v>
      </c>
      <c r="C362" s="68" t="s">
        <v>363</v>
      </c>
      <c r="D362" s="68" t="s">
        <v>364</v>
      </c>
      <c r="E362" s="75">
        <f>60*F362*'THAM_SO_MOI'!$C$53/(2*PI()*'THAM_SO_MOI'!$C$26)</f>
        <v>1417.34147368421</v>
      </c>
      <c r="F362" s="75">
        <f>'THAM_SO_MOI'!$E$53+('THAM_SO_MOI'!$C$14-'THAM_SO_MOI'!$E$53)*356/'THAM_SO_MOI'!$C$42</f>
        <v>14.385410256410257</v>
      </c>
      <c r="G362" s="75">
        <f>3.6*F362</f>
        <v>51.78747692307692</v>
      </c>
      <c r="H362" s="75">
        <f>'THAM_SO_MOI'!$D$53</f>
        <v>1.1</v>
      </c>
      <c r="I362" s="75">
        <f>IF(F362&gt;'THAM_SO_MOI'!$C$14,'THAM_SO_MOI'!$C$13*(1+F362^2/1500),'THAM_SO_MOI'!$C$13)</f>
        <v>0.015</v>
      </c>
      <c r="J362" s="75">
        <f>'THAM_SO_MOI'!$C$40*('THAM_SO_MOI'!$C$23*(E362/'THAM_SO_MOI'!$C$22)+'THAM_SO_MOI'!$C$24*(E362/'THAM_SO_MOI'!$C$22)^2-'THAM_SO_MOI'!$C$25*(E362/'THAM_SO_MOI'!$C$22)^3)</f>
        <v>59.78758059880709</v>
      </c>
      <c r="K362" s="75">
        <f>'THAM_SO_MOI'!$C$31*J362/E362</f>
        <v>402.8930745225587</v>
      </c>
      <c r="L362" s="75">
        <f>K362*'THAM_SO_MOI'!$C$53*'THAM_SO_MOI'!$C$17/'THAM_SO_MOI'!$C$26</f>
        <v>3533.3738400707725</v>
      </c>
      <c r="M362" s="75">
        <f>'THAM_SO_MOI'!$C$15*'THAM_SO_MOI'!$C$16*F362^2</f>
        <v>605.2995826173077</v>
      </c>
      <c r="N362" s="75">
        <f>'THAM_SO_MOI'!$C$12*I362</f>
        <v>1130.112</v>
      </c>
      <c r="O362" s="75">
        <f>M362+N362</f>
        <v>1735.4115826173079</v>
      </c>
      <c r="P362" s="75">
        <f>(MIN(L362,'THAM_SO_MOI'!$C$41)-O362)/('THAM_SO_MOI'!$C$11*H362)</f>
        <v>0.21282697176295745</v>
      </c>
      <c r="Q362" s="75">
        <f>IF(P362&gt;0,1/P362,NA())</f>
        <v>4.698652580152203</v>
      </c>
      <c r="R362" s="75">
        <f>F362-F361</f>
        <v>0.017600427350426884</v>
      </c>
      <c r="S362" s="75">
        <f>0.5*(Q361+Q362)*R362</f>
        <v>0.08268970761249125</v>
      </c>
      <c r="T362" s="75">
        <f>0.5*(F361*Q361+F362*Q362)*R362</f>
        <v>1.1887977564491712</v>
      </c>
      <c r="U362" s="76">
        <f>U361+S362</f>
        <v>29.884454923358014</v>
      </c>
      <c r="V362" s="76">
        <f>V361+T362</f>
        <v>334.9872069704298</v>
      </c>
    </row>
    <row r="363" spans="1:22" ht="19" customHeight="1">
      <c r="A363" s="68" t="s">
        <v>362</v>
      </c>
      <c r="B363" s="74">
        <v>5</v>
      </c>
      <c r="C363" s="68" t="s">
        <v>363</v>
      </c>
      <c r="D363" s="68" t="s">
        <v>364</v>
      </c>
      <c r="E363" s="75">
        <f>60*F363*'THAM_SO_MOI'!$C$53/(2*PI()*'THAM_SO_MOI'!$C$26)</f>
        <v>1419.075578947368</v>
      </c>
      <c r="F363" s="75">
        <f>'THAM_SO_MOI'!$E$53+('THAM_SO_MOI'!$C$14-'THAM_SO_MOI'!$E$53)*357/'THAM_SO_MOI'!$C$42</f>
        <v>14.403010683760684</v>
      </c>
      <c r="G363" s="75">
        <f>3.6*F363</f>
        <v>51.850838461538466</v>
      </c>
      <c r="H363" s="75">
        <f>'THAM_SO_MOI'!$D$53</f>
        <v>1.1</v>
      </c>
      <c r="I363" s="75">
        <f>IF(F363&gt;'THAM_SO_MOI'!$C$14,'THAM_SO_MOI'!$C$13*(1+F363^2/1500),'THAM_SO_MOI'!$C$13)</f>
        <v>0.015</v>
      </c>
      <c r="J363" s="75">
        <f>'THAM_SO_MOI'!$C$40*('THAM_SO_MOI'!$C$23*(E363/'THAM_SO_MOI'!$C$22)+'THAM_SO_MOI'!$C$24*(E363/'THAM_SO_MOI'!$C$22)^2-'THAM_SO_MOI'!$C$25*(E363/'THAM_SO_MOI'!$C$22)^3)</f>
        <v>59.879438470718945</v>
      </c>
      <c r="K363" s="75">
        <f>'THAM_SO_MOI'!$C$31*J363/E363</f>
        <v>403.01899069848355</v>
      </c>
      <c r="L363" s="75">
        <f>K363*'THAM_SO_MOI'!$C$53*'THAM_SO_MOI'!$C$17/'THAM_SO_MOI'!$C$26</f>
        <v>3534.4781254263394</v>
      </c>
      <c r="M363" s="75">
        <f>'THAM_SO_MOI'!$C$15*'THAM_SO_MOI'!$C$16*F363^2</f>
        <v>606.781646512834</v>
      </c>
      <c r="N363" s="75">
        <f>'THAM_SO_MOI'!$C$12*I363</f>
        <v>1130.112</v>
      </c>
      <c r="O363" s="75">
        <f>M363+N363</f>
        <v>1736.893646512834</v>
      </c>
      <c r="P363" s="75">
        <f>(MIN(L363,'THAM_SO_MOI'!$C$41)-O363)/('THAM_SO_MOI'!$C$11*H363)</f>
        <v>0.2127822536592691</v>
      </c>
      <c r="Q363" s="75">
        <f>IF(P363&gt;0,1/P363,NA())</f>
        <v>4.699640044236549</v>
      </c>
      <c r="R363" s="75">
        <f>F363-F362</f>
        <v>0.017600427350426884</v>
      </c>
      <c r="S363" s="75">
        <f>0.5*(Q362+Q363)*R363</f>
        <v>0.08270698327680352</v>
      </c>
      <c r="T363" s="75">
        <f>0.5*(F362*Q362+F363*Q363)*R363</f>
        <v>1.1905018011050816</v>
      </c>
      <c r="U363" s="76">
        <f>U362+S363</f>
        <v>29.967161906634818</v>
      </c>
      <c r="V363" s="76">
        <f>V362+T363</f>
        <v>336.17770877153487</v>
      </c>
    </row>
    <row r="364" spans="1:22" ht="19" customHeight="1">
      <c r="A364" s="68" t="s">
        <v>362</v>
      </c>
      <c r="B364" s="74">
        <v>5</v>
      </c>
      <c r="C364" s="68" t="s">
        <v>363</v>
      </c>
      <c r="D364" s="68" t="s">
        <v>364</v>
      </c>
      <c r="E364" s="75">
        <f>60*F364*'THAM_SO_MOI'!$C$53/(2*PI()*'THAM_SO_MOI'!$C$26)</f>
        <v>1420.809684210526</v>
      </c>
      <c r="F364" s="75">
        <f>'THAM_SO_MOI'!$E$53+('THAM_SO_MOI'!$C$14-'THAM_SO_MOI'!$E$53)*358/'THAM_SO_MOI'!$C$42</f>
        <v>14.42061111111111</v>
      </c>
      <c r="G364" s="75">
        <f>3.6*F364</f>
        <v>51.9142</v>
      </c>
      <c r="H364" s="75">
        <f>'THAM_SO_MOI'!$D$53</f>
        <v>1.1</v>
      </c>
      <c r="I364" s="75">
        <f>IF(F364&gt;'THAM_SO_MOI'!$C$14,'THAM_SO_MOI'!$C$13*(1+F364^2/1500),'THAM_SO_MOI'!$C$13)</f>
        <v>0.015</v>
      </c>
      <c r="J364" s="75">
        <f>'THAM_SO_MOI'!$C$40*('THAM_SO_MOI'!$C$23*(E364/'THAM_SO_MOI'!$C$22)+'THAM_SO_MOI'!$C$24*(E364/'THAM_SO_MOI'!$C$22)^2-'THAM_SO_MOI'!$C$25*(E364/'THAM_SO_MOI'!$C$22)^3)</f>
        <v>59.97129866728546</v>
      </c>
      <c r="K364" s="75">
        <f>'THAM_SO_MOI'!$C$31*J364/E364</f>
        <v>403.14461513878325</v>
      </c>
      <c r="L364" s="75">
        <f>K364*'THAM_SO_MOI'!$C$53*'THAM_SO_MOI'!$C$17/'THAM_SO_MOI'!$C$26</f>
        <v>3535.5798522593323</v>
      </c>
      <c r="M364" s="75">
        <f>'THAM_SO_MOI'!$C$15*'THAM_SO_MOI'!$C$16*F364^2</f>
        <v>608.2655225923612</v>
      </c>
      <c r="N364" s="75">
        <f>'THAM_SO_MOI'!$C$12*I364</f>
        <v>1130.112</v>
      </c>
      <c r="O364" s="75">
        <f>M364+N364</f>
        <v>1738.3775225923614</v>
      </c>
      <c r="P364" s="75">
        <f>(MIN(L364,'THAM_SO_MOI'!$C$41)-O364)/('THAM_SO_MOI'!$C$11*H364)</f>
        <v>0.2127370181897456</v>
      </c>
      <c r="Q364" s="75">
        <f>IF(P364&gt;0,1/P364,NA())</f>
        <v>4.700639355150096</v>
      </c>
      <c r="R364" s="75">
        <f>F364-F363</f>
        <v>0.017600427350426884</v>
      </c>
      <c r="S364" s="75">
        <f>0.5*(Q363+Q364)*R364</f>
        <v>0.08272446732130954</v>
      </c>
      <c r="T364" s="75">
        <f>0.5*(F363*Q363+F364*Q364)*R364</f>
        <v>1.192209457016224</v>
      </c>
      <c r="U364" s="76">
        <f>U363+S364</f>
        <v>30.049886373956127</v>
      </c>
      <c r="V364" s="76">
        <f>V363+T364</f>
        <v>337.3699182285511</v>
      </c>
    </row>
    <row r="365" spans="1:22" ht="19" customHeight="1">
      <c r="A365" s="68" t="s">
        <v>362</v>
      </c>
      <c r="B365" s="74">
        <v>5</v>
      </c>
      <c r="C365" s="68" t="s">
        <v>363</v>
      </c>
      <c r="D365" s="68" t="s">
        <v>364</v>
      </c>
      <c r="E365" s="75">
        <f>60*F365*'THAM_SO_MOI'!$C$53/(2*PI()*'THAM_SO_MOI'!$C$26)</f>
        <v>1422.543789473684</v>
      </c>
      <c r="F365" s="75">
        <f>'THAM_SO_MOI'!$E$53+('THAM_SO_MOI'!$C$14-'THAM_SO_MOI'!$E$53)*359/'THAM_SO_MOI'!$C$42</f>
        <v>14.43821153846154</v>
      </c>
      <c r="G365" s="75">
        <f>3.6*F365</f>
        <v>51.97756153846154</v>
      </c>
      <c r="H365" s="75">
        <f>'THAM_SO_MOI'!$D$53</f>
        <v>1.1</v>
      </c>
      <c r="I365" s="75">
        <f>IF(F365&gt;'THAM_SO_MOI'!$C$14,'THAM_SO_MOI'!$C$13*(1+F365^2/1500),'THAM_SO_MOI'!$C$13)</f>
        <v>0.015</v>
      </c>
      <c r="J365" s="75">
        <f>'THAM_SO_MOI'!$C$40*('THAM_SO_MOI'!$C$23*(E365/'THAM_SO_MOI'!$C$22)+'THAM_SO_MOI'!$C$24*(E365/'THAM_SO_MOI'!$C$22)^2-'THAM_SO_MOI'!$C$25*(E365/'THAM_SO_MOI'!$C$22)^3)</f>
        <v>60.06316102960339</v>
      </c>
      <c r="K365" s="75">
        <f>'THAM_SO_MOI'!$C$31*J365/E365</f>
        <v>403.2699478434582</v>
      </c>
      <c r="L365" s="75">
        <f>K365*'THAM_SO_MOI'!$C$53*'THAM_SO_MOI'!$C$17/'THAM_SO_MOI'!$C$26</f>
        <v>3536.679020569755</v>
      </c>
      <c r="M365" s="75">
        <f>'THAM_SO_MOI'!$C$15*'THAM_SO_MOI'!$C$16*F365^2</f>
        <v>609.7512108558896</v>
      </c>
      <c r="N365" s="75">
        <f>'THAM_SO_MOI'!$C$12*I365</f>
        <v>1130.112</v>
      </c>
      <c r="O365" s="75">
        <f>M365+N365</f>
        <v>1739.8632108558895</v>
      </c>
      <c r="P365" s="75">
        <f>(MIN(L365,'THAM_SO_MOI'!$C$41)-O365)/('THAM_SO_MOI'!$C$11*H365)</f>
        <v>0.21269126535438745</v>
      </c>
      <c r="Q365" s="75">
        <f>IF(P365&gt;0,1/P365,NA())</f>
        <v>4.7016505277440235</v>
      </c>
      <c r="R365" s="75">
        <f>F365-F364</f>
        <v>0.01760042735042866</v>
      </c>
      <c r="S365" s="75">
        <f>0.5*(Q364+Q365)*R365</f>
        <v>0.08274216000577418</v>
      </c>
      <c r="T365" s="75">
        <f>0.5*(F364*Q364+F365*Q365)*R365</f>
        <v>1.1939207389336084</v>
      </c>
      <c r="U365" s="76">
        <f>U364+S365</f>
        <v>30.132628533961903</v>
      </c>
      <c r="V365" s="76">
        <f>V364+T365</f>
        <v>338.56383896748474</v>
      </c>
    </row>
    <row r="366" spans="1:22" ht="19" customHeight="1">
      <c r="A366" s="68" t="s">
        <v>362</v>
      </c>
      <c r="B366" s="74">
        <v>5</v>
      </c>
      <c r="C366" s="68" t="s">
        <v>363</v>
      </c>
      <c r="D366" s="68" t="s">
        <v>364</v>
      </c>
      <c r="E366" s="75">
        <f>60*F366*'THAM_SO_MOI'!$C$53/(2*PI()*'THAM_SO_MOI'!$C$26)</f>
        <v>1424.277894736842</v>
      </c>
      <c r="F366" s="75">
        <f>'THAM_SO_MOI'!$E$53+('THAM_SO_MOI'!$C$14-'THAM_SO_MOI'!$E$53)*360/'THAM_SO_MOI'!$C$42</f>
        <v>14.455811965811966</v>
      </c>
      <c r="G366" s="75">
        <f>3.6*F366</f>
        <v>52.04092307692308</v>
      </c>
      <c r="H366" s="75">
        <f>'THAM_SO_MOI'!$D$53</f>
        <v>1.1</v>
      </c>
      <c r="I366" s="75">
        <f>IF(F366&gt;'THAM_SO_MOI'!$C$14,'THAM_SO_MOI'!$C$13*(1+F366^2/1500),'THAM_SO_MOI'!$C$13)</f>
        <v>0.015</v>
      </c>
      <c r="J366" s="75">
        <f>'THAM_SO_MOI'!$C$40*('THAM_SO_MOI'!$C$23*(E366/'THAM_SO_MOI'!$C$22)+'THAM_SO_MOI'!$C$24*(E366/'THAM_SO_MOI'!$C$22)^2-'THAM_SO_MOI'!$C$25*(E366/'THAM_SO_MOI'!$C$22)^3)</f>
        <v>60.15502539876943</v>
      </c>
      <c r="K366" s="75">
        <f>'THAM_SO_MOI'!$C$31*J366/E366</f>
        <v>403.39498881250796</v>
      </c>
      <c r="L366" s="75">
        <f>K366*'THAM_SO_MOI'!$C$53*'THAM_SO_MOI'!$C$17/'THAM_SO_MOI'!$C$26</f>
        <v>3537.7756303576025</v>
      </c>
      <c r="M366" s="75">
        <f>'THAM_SO_MOI'!$C$15*'THAM_SO_MOI'!$C$16*F366^2</f>
        <v>611.2387113034189</v>
      </c>
      <c r="N366" s="75">
        <f>'THAM_SO_MOI'!$C$12*I366</f>
        <v>1130.112</v>
      </c>
      <c r="O366" s="75">
        <f>M366+N366</f>
        <v>1741.3507113034188</v>
      </c>
      <c r="P366" s="75">
        <f>(MIN(L366,'THAM_SO_MOI'!$C$41)-O366)/('THAM_SO_MOI'!$C$11*H366)</f>
        <v>0.2126449951531941</v>
      </c>
      <c r="Q366" s="75">
        <f>IF(P366&gt;0,1/P366,NA())</f>
        <v>4.7026735770554025</v>
      </c>
      <c r="R366" s="75">
        <f>F366-F365</f>
        <v>0.017600427350426884</v>
      </c>
      <c r="S366" s="75">
        <f>0.5*(Q365+Q366)*R366</f>
        <v>0.08276006159319531</v>
      </c>
      <c r="T366" s="75">
        <f>0.5*(F365*Q365+F366*Q366)*R366</f>
        <v>1.1956356616732404</v>
      </c>
      <c r="U366" s="76">
        <f>U365+S366</f>
        <v>30.215388595555098</v>
      </c>
      <c r="V366" s="76">
        <f>V365+T366</f>
        <v>339.759474629158</v>
      </c>
    </row>
    <row r="367" spans="1:22" ht="19" customHeight="1">
      <c r="A367" s="68" t="s">
        <v>362</v>
      </c>
      <c r="B367" s="74">
        <v>5</v>
      </c>
      <c r="C367" s="68" t="s">
        <v>363</v>
      </c>
      <c r="D367" s="68" t="s">
        <v>364</v>
      </c>
      <c r="E367" s="75">
        <f>60*F367*'THAM_SO_MOI'!$C$53/(2*PI()*'THAM_SO_MOI'!$C$26)</f>
        <v>1426.0119999999997</v>
      </c>
      <c r="F367" s="75">
        <f>'THAM_SO_MOI'!$E$53+('THAM_SO_MOI'!$C$14-'THAM_SO_MOI'!$E$53)*361/'THAM_SO_MOI'!$C$42</f>
        <v>14.473412393162393</v>
      </c>
      <c r="G367" s="75">
        <f>3.6*F367</f>
        <v>52.104284615384614</v>
      </c>
      <c r="H367" s="75">
        <f>'THAM_SO_MOI'!$D$53</f>
        <v>1.1</v>
      </c>
      <c r="I367" s="75">
        <f>IF(F367&gt;'THAM_SO_MOI'!$C$14,'THAM_SO_MOI'!$C$13*(1+F367^2/1500),'THAM_SO_MOI'!$C$13)</f>
        <v>0.015</v>
      </c>
      <c r="J367" s="75">
        <f>'THAM_SO_MOI'!$C$40*('THAM_SO_MOI'!$C$23*(E367/'THAM_SO_MOI'!$C$22)+'THAM_SO_MOI'!$C$24*(E367/'THAM_SO_MOI'!$C$22)^2-'THAM_SO_MOI'!$C$25*(E367/'THAM_SO_MOI'!$C$22)^3)</f>
        <v>60.24689161588031</v>
      </c>
      <c r="K367" s="75">
        <f>'THAM_SO_MOI'!$C$31*J367/E367</f>
        <v>403.5197380459326</v>
      </c>
      <c r="L367" s="75">
        <f>K367*'THAM_SO_MOI'!$C$53*'THAM_SO_MOI'!$C$17/'THAM_SO_MOI'!$C$26</f>
        <v>3538.869681622876</v>
      </c>
      <c r="M367" s="75">
        <f>'THAM_SO_MOI'!$C$15*'THAM_SO_MOI'!$C$16*F367^2</f>
        <v>612.7280239349493</v>
      </c>
      <c r="N367" s="75">
        <f>'THAM_SO_MOI'!$C$12*I367</f>
        <v>1130.112</v>
      </c>
      <c r="O367" s="75">
        <f>M367+N367</f>
        <v>1742.8400239349494</v>
      </c>
      <c r="P367" s="75">
        <f>(MIN(L367,'THAM_SO_MOI'!$C$41)-O367)/('THAM_SO_MOI'!$C$11*H367)</f>
        <v>0.21259820758616557</v>
      </c>
      <c r="Q367" s="75">
        <f>IF(P367&gt;0,1/P367,NA())</f>
        <v>4.70370851830772</v>
      </c>
      <c r="R367" s="75">
        <f>F367-F366</f>
        <v>0.017600427350426884</v>
      </c>
      <c r="S367" s="75">
        <f>0.5*(Q366+Q367)*R367</f>
        <v>0.08277817234989743</v>
      </c>
      <c r="T367" s="75">
        <f>0.5*(F366*Q366+F367*Q367)*R367</f>
        <v>1.1973542401177582</v>
      </c>
      <c r="U367" s="76">
        <f>U366+S367</f>
        <v>30.298166767904995</v>
      </c>
      <c r="V367" s="76">
        <f>V366+T367</f>
        <v>340.95682886927574</v>
      </c>
    </row>
    <row r="368" spans="1:22" ht="19" customHeight="1">
      <c r="A368" s="68" t="s">
        <v>362</v>
      </c>
      <c r="B368" s="74">
        <v>5</v>
      </c>
      <c r="C368" s="68" t="s">
        <v>363</v>
      </c>
      <c r="D368" s="68" t="s">
        <v>364</v>
      </c>
      <c r="E368" s="75">
        <f>60*F368*'THAM_SO_MOI'!$C$53/(2*PI()*'THAM_SO_MOI'!$C$26)</f>
        <v>1427.7461052631577</v>
      </c>
      <c r="F368" s="75">
        <f>'THAM_SO_MOI'!$E$53+('THAM_SO_MOI'!$C$14-'THAM_SO_MOI'!$E$53)*362/'THAM_SO_MOI'!$C$42</f>
        <v>14.491012820512822</v>
      </c>
      <c r="G368" s="75">
        <f>3.6*F368</f>
        <v>52.16764615384616</v>
      </c>
      <c r="H368" s="75">
        <f>'THAM_SO_MOI'!$D$53</f>
        <v>1.1</v>
      </c>
      <c r="I368" s="75">
        <f>IF(F368&gt;'THAM_SO_MOI'!$C$14,'THAM_SO_MOI'!$C$13*(1+F368^2/1500),'THAM_SO_MOI'!$C$13)</f>
        <v>0.015</v>
      </c>
      <c r="J368" s="75">
        <f>'THAM_SO_MOI'!$C$40*('THAM_SO_MOI'!$C$23*(E368/'THAM_SO_MOI'!$C$22)+'THAM_SO_MOI'!$C$24*(E368/'THAM_SO_MOI'!$C$22)^2-'THAM_SO_MOI'!$C$25*(E368/'THAM_SO_MOI'!$C$22)^3)</f>
        <v>60.338759522032746</v>
      </c>
      <c r="K368" s="75">
        <f>'THAM_SO_MOI'!$C$31*J368/E368</f>
        <v>403.64419554373234</v>
      </c>
      <c r="L368" s="75">
        <f>K368*'THAM_SO_MOI'!$C$53*'THAM_SO_MOI'!$C$17/'THAM_SO_MOI'!$C$26</f>
        <v>3539.9611743655782</v>
      </c>
      <c r="M368" s="75">
        <f>'THAM_SO_MOI'!$C$15*'THAM_SO_MOI'!$C$16*F368^2</f>
        <v>614.2191487504809</v>
      </c>
      <c r="N368" s="75">
        <f>'THAM_SO_MOI'!$C$12*I368</f>
        <v>1130.112</v>
      </c>
      <c r="O368" s="75">
        <f>M368+N368</f>
        <v>1744.3311487504811</v>
      </c>
      <c r="P368" s="75">
        <f>(MIN(L368,'THAM_SO_MOI'!$C$41)-O368)/('THAM_SO_MOI'!$C$11*H368)</f>
        <v>0.2125509026533022</v>
      </c>
      <c r="Q368" s="75">
        <f>IF(P368&gt;0,1/P368,NA())</f>
        <v>4.704755366911465</v>
      </c>
      <c r="R368" s="75">
        <f>F368-F367</f>
        <v>0.01760042735042866</v>
      </c>
      <c r="S368" s="75">
        <f>0.5*(Q367+Q368)*R368</f>
        <v>0.08279649254546602</v>
      </c>
      <c r="T368" s="75">
        <f>0.5*(F367*Q367+F368*Q368)*R368</f>
        <v>1.1990764892157768</v>
      </c>
      <c r="U368" s="76">
        <f>U367+S368</f>
        <v>30.38096326045046</v>
      </c>
      <c r="V368" s="76">
        <f>V367+T368</f>
        <v>342.1559053584915</v>
      </c>
    </row>
    <row r="369" spans="1:22" ht="19" customHeight="1">
      <c r="A369" s="68" t="s">
        <v>362</v>
      </c>
      <c r="B369" s="74">
        <v>5</v>
      </c>
      <c r="C369" s="68" t="s">
        <v>363</v>
      </c>
      <c r="D369" s="68" t="s">
        <v>364</v>
      </c>
      <c r="E369" s="75">
        <f>60*F369*'THAM_SO_MOI'!$C$53/(2*PI()*'THAM_SO_MOI'!$C$26)</f>
        <v>1429.4802105263154</v>
      </c>
      <c r="F369" s="75">
        <f>'THAM_SO_MOI'!$E$53+('THAM_SO_MOI'!$C$14-'THAM_SO_MOI'!$E$53)*363/'THAM_SO_MOI'!$C$42</f>
        <v>14.508613247863249</v>
      </c>
      <c r="G369" s="75">
        <f>3.6*F369</f>
        <v>52.2310076923077</v>
      </c>
      <c r="H369" s="75">
        <f>'THAM_SO_MOI'!$D$53</f>
        <v>1.1</v>
      </c>
      <c r="I369" s="75">
        <f>IF(F369&gt;'THAM_SO_MOI'!$C$14,'THAM_SO_MOI'!$C$13*(1+F369^2/1500),'THAM_SO_MOI'!$C$13)</f>
        <v>0.015</v>
      </c>
      <c r="J369" s="75">
        <f>'THAM_SO_MOI'!$C$40*('THAM_SO_MOI'!$C$23*(E369/'THAM_SO_MOI'!$C$22)+'THAM_SO_MOI'!$C$24*(E369/'THAM_SO_MOI'!$C$22)^2-'THAM_SO_MOI'!$C$25*(E369/'THAM_SO_MOI'!$C$22)^3)</f>
        <v>60.430628958323446</v>
      </c>
      <c r="K369" s="75">
        <f>'THAM_SO_MOI'!$C$31*J369/E369</f>
        <v>403.76836130590686</v>
      </c>
      <c r="L369" s="75">
        <f>K369*'THAM_SO_MOI'!$C$53*'THAM_SO_MOI'!$C$17/'THAM_SO_MOI'!$C$26</f>
        <v>3541.0501085857054</v>
      </c>
      <c r="M369" s="75">
        <f>'THAM_SO_MOI'!$C$15*'THAM_SO_MOI'!$C$16*F369^2</f>
        <v>615.7120857500136</v>
      </c>
      <c r="N369" s="75">
        <f>'THAM_SO_MOI'!$C$12*I369</f>
        <v>1130.112</v>
      </c>
      <c r="O369" s="75">
        <f>M369+N369</f>
        <v>1745.8240857500136</v>
      </c>
      <c r="P369" s="75">
        <f>(MIN(L369,'THAM_SO_MOI'!$C$41)-O369)/('THAM_SO_MOI'!$C$11*H369)</f>
        <v>0.21250308035460366</v>
      </c>
      <c r="Q369" s="75">
        <f>IF(P369&gt;0,1/P369,NA())</f>
        <v>4.705814138464728</v>
      </c>
      <c r="R369" s="75">
        <f>F369-F368</f>
        <v>0.017600427350426884</v>
      </c>
      <c r="S369" s="75">
        <f>0.5*(Q368+Q369)*R369</f>
        <v>0.08281502245275817</v>
      </c>
      <c r="T369" s="75">
        <f>0.5*(F368*Q368+F369*Q369)*R369</f>
        <v>1.2008024239823285</v>
      </c>
      <c r="U369" s="76">
        <f>U368+S369</f>
        <v>30.46377828290322</v>
      </c>
      <c r="V369" s="76">
        <f>V368+T369</f>
        <v>343.35670778247385</v>
      </c>
    </row>
    <row r="370" spans="1:22" ht="19" customHeight="1">
      <c r="A370" s="68" t="s">
        <v>362</v>
      </c>
      <c r="B370" s="74">
        <v>5</v>
      </c>
      <c r="C370" s="68" t="s">
        <v>363</v>
      </c>
      <c r="D370" s="68" t="s">
        <v>364</v>
      </c>
      <c r="E370" s="75">
        <f>60*F370*'THAM_SO_MOI'!$C$53/(2*PI()*'THAM_SO_MOI'!$C$26)</f>
        <v>1431.2143157894734</v>
      </c>
      <c r="F370" s="75">
        <f>'THAM_SO_MOI'!$E$53+('THAM_SO_MOI'!$C$14-'THAM_SO_MOI'!$E$53)*364/'THAM_SO_MOI'!$C$42</f>
        <v>14.526213675213675</v>
      </c>
      <c r="G370" s="75">
        <f>3.6*F370</f>
        <v>52.294369230769234</v>
      </c>
      <c r="H370" s="75">
        <f>'THAM_SO_MOI'!$D$53</f>
        <v>1.1</v>
      </c>
      <c r="I370" s="75">
        <f>IF(F370&gt;'THAM_SO_MOI'!$C$14,'THAM_SO_MOI'!$C$13*(1+F370^2/1500),'THAM_SO_MOI'!$C$13)</f>
        <v>0.015</v>
      </c>
      <c r="J370" s="75">
        <f>'THAM_SO_MOI'!$C$40*('THAM_SO_MOI'!$C$23*(E370/'THAM_SO_MOI'!$C$22)+'THAM_SO_MOI'!$C$24*(E370/'THAM_SO_MOI'!$C$22)^2-'THAM_SO_MOI'!$C$25*(E370/'THAM_SO_MOI'!$C$22)^3)</f>
        <v>60.522499765849176</v>
      </c>
      <c r="K370" s="75">
        <f>'THAM_SO_MOI'!$C$31*J370/E370</f>
        <v>403.89223533245655</v>
      </c>
      <c r="L370" s="75">
        <f>K370*'THAM_SO_MOI'!$C$53*'THAM_SO_MOI'!$C$17/'THAM_SO_MOI'!$C$26</f>
        <v>3542.1364842832613</v>
      </c>
      <c r="M370" s="75">
        <f>'THAM_SO_MOI'!$C$15*'THAM_SO_MOI'!$C$16*F370^2</f>
        <v>617.206834933547</v>
      </c>
      <c r="N370" s="75">
        <f>'THAM_SO_MOI'!$C$12*I370</f>
        <v>1130.112</v>
      </c>
      <c r="O370" s="75">
        <f>M370+N370</f>
        <v>1747.3188349335471</v>
      </c>
      <c r="P370" s="75">
        <f>(MIN(L370,'THAM_SO_MOI'!$C$41)-O370)/('THAM_SO_MOI'!$C$11*H370)</f>
        <v>0.2124547406900703</v>
      </c>
      <c r="Q370" s="75">
        <f>IF(P370&gt;0,1/P370,NA())</f>
        <v>4.706884848753756</v>
      </c>
      <c r="R370" s="75">
        <f>F370-F369</f>
        <v>0.017600427350426884</v>
      </c>
      <c r="S370" s="75">
        <f>0.5*(Q369+Q370)*R370</f>
        <v>0.08283376234798781</v>
      </c>
      <c r="T370" s="75">
        <f>0.5*(F369*Q369+F370*Q370)*R370</f>
        <v>1.2025320595003877</v>
      </c>
      <c r="U370" s="76">
        <f>U369+S370</f>
        <v>30.54661204525121</v>
      </c>
      <c r="V370" s="76">
        <f>V369+T370</f>
        <v>344.55923984197426</v>
      </c>
    </row>
    <row r="371" spans="1:22" ht="19" customHeight="1">
      <c r="A371" s="68" t="s">
        <v>362</v>
      </c>
      <c r="B371" s="74">
        <v>5</v>
      </c>
      <c r="C371" s="68" t="s">
        <v>363</v>
      </c>
      <c r="D371" s="68" t="s">
        <v>364</v>
      </c>
      <c r="E371" s="75">
        <f>60*F371*'THAM_SO_MOI'!$C$53/(2*PI()*'THAM_SO_MOI'!$C$26)</f>
        <v>1432.9484210526311</v>
      </c>
      <c r="F371" s="75">
        <f>'THAM_SO_MOI'!$E$53+('THAM_SO_MOI'!$C$14-'THAM_SO_MOI'!$E$53)*365/'THAM_SO_MOI'!$C$42</f>
        <v>14.543814102564102</v>
      </c>
      <c r="G371" s="75">
        <f>3.6*F371</f>
        <v>52.35773076923077</v>
      </c>
      <c r="H371" s="75">
        <f>'THAM_SO_MOI'!$D$53</f>
        <v>1.1</v>
      </c>
      <c r="I371" s="75">
        <f>IF(F371&gt;'THAM_SO_MOI'!$C$14,'THAM_SO_MOI'!$C$13*(1+F371^2/1500),'THAM_SO_MOI'!$C$13)</f>
        <v>0.015</v>
      </c>
      <c r="J371" s="75">
        <f>'THAM_SO_MOI'!$C$40*('THAM_SO_MOI'!$C$23*(E371/'THAM_SO_MOI'!$C$22)+'THAM_SO_MOI'!$C$24*(E371/'THAM_SO_MOI'!$C$22)^2-'THAM_SO_MOI'!$C$25*(E371/'THAM_SO_MOI'!$C$22)^3)</f>
        <v>60.61437178570662</v>
      </c>
      <c r="K371" s="75">
        <f>'THAM_SO_MOI'!$C$31*J371/E371</f>
        <v>404.0158176233812</v>
      </c>
      <c r="L371" s="75">
        <f>K371*'THAM_SO_MOI'!$C$53*'THAM_SO_MOI'!$C$17/'THAM_SO_MOI'!$C$26</f>
        <v>3543.220301458244</v>
      </c>
      <c r="M371" s="75">
        <f>'THAM_SO_MOI'!$C$15*'THAM_SO_MOI'!$C$16*F371^2</f>
        <v>618.7033963010817</v>
      </c>
      <c r="N371" s="75">
        <f>'THAM_SO_MOI'!$C$12*I371</f>
        <v>1130.112</v>
      </c>
      <c r="O371" s="75">
        <f>M371+N371</f>
        <v>1748.8153963010818</v>
      </c>
      <c r="P371" s="75">
        <f>(MIN(L371,'THAM_SO_MOI'!$C$41)-O371)/('THAM_SO_MOI'!$C$11*H371)</f>
        <v>0.21240588365970198</v>
      </c>
      <c r="Q371" s="75">
        <f>IF(P371&gt;0,1/P371,NA())</f>
        <v>4.707967513753584</v>
      </c>
      <c r="R371" s="75">
        <f>F371-F370</f>
        <v>0.017600427350426884</v>
      </c>
      <c r="S371" s="75">
        <f>0.5*(Q370+Q371)*R371</f>
        <v>0.08285271251065267</v>
      </c>
      <c r="T371" s="75">
        <f>0.5*(F370*Q370+F371*Q371)*R371</f>
        <v>1.204265410920104</v>
      </c>
      <c r="U371" s="76">
        <f>U370+S371</f>
        <v>30.629464757761863</v>
      </c>
      <c r="V371" s="76">
        <f>V370+T371</f>
        <v>345.7635052528944</v>
      </c>
    </row>
    <row r="372" spans="1:22" ht="19" customHeight="1">
      <c r="A372" s="68" t="s">
        <v>362</v>
      </c>
      <c r="B372" s="74">
        <v>5</v>
      </c>
      <c r="C372" s="68" t="s">
        <v>363</v>
      </c>
      <c r="D372" s="68" t="s">
        <v>364</v>
      </c>
      <c r="E372" s="75">
        <f>60*F372*'THAM_SO_MOI'!$C$53/(2*PI()*'THAM_SO_MOI'!$C$26)</f>
        <v>1434.6825263157891</v>
      </c>
      <c r="F372" s="75">
        <f>'THAM_SO_MOI'!$E$53+('THAM_SO_MOI'!$C$14-'THAM_SO_MOI'!$E$53)*366/'THAM_SO_MOI'!$C$42</f>
        <v>14.561414529914531</v>
      </c>
      <c r="G372" s="75">
        <f>3.6*F372</f>
        <v>52.42109230769231</v>
      </c>
      <c r="H372" s="75">
        <f>'THAM_SO_MOI'!$D$53</f>
        <v>1.1</v>
      </c>
      <c r="I372" s="75">
        <f>IF(F372&gt;'THAM_SO_MOI'!$C$14,'THAM_SO_MOI'!$C$13*(1+F372^2/1500),'THAM_SO_MOI'!$C$13)</f>
        <v>0.015</v>
      </c>
      <c r="J372" s="75">
        <f>'THAM_SO_MOI'!$C$40*('THAM_SO_MOI'!$C$23*(E372/'THAM_SO_MOI'!$C$22)+'THAM_SO_MOI'!$C$24*(E372/'THAM_SO_MOI'!$C$22)^2-'THAM_SO_MOI'!$C$25*(E372/'THAM_SO_MOI'!$C$22)^3)</f>
        <v>60.70624485899252</v>
      </c>
      <c r="K372" s="75">
        <f>'THAM_SO_MOI'!$C$31*J372/E372</f>
        <v>404.1391081786807</v>
      </c>
      <c r="L372" s="75">
        <f>K372*'THAM_SO_MOI'!$C$53*'THAM_SO_MOI'!$C$17/'THAM_SO_MOI'!$C$26</f>
        <v>3544.301560110653</v>
      </c>
      <c r="M372" s="75">
        <f>'THAM_SO_MOI'!$C$15*'THAM_SO_MOI'!$C$16*F372^2</f>
        <v>620.2017698526176</v>
      </c>
      <c r="N372" s="75">
        <f>'THAM_SO_MOI'!$C$12*I372</f>
        <v>1130.112</v>
      </c>
      <c r="O372" s="75">
        <f>M372+N372</f>
        <v>1750.3137698526177</v>
      </c>
      <c r="P372" s="75">
        <f>(MIN(L372,'THAM_SO_MOI'!$C$41)-O372)/('THAM_SO_MOI'!$C$11*H372)</f>
        <v>0.21235650926349853</v>
      </c>
      <c r="Q372" s="75">
        <f>IF(P372&gt;0,1/P372,NA())</f>
        <v>4.709062149628618</v>
      </c>
      <c r="R372" s="75">
        <f>F372-F371</f>
        <v>0.01760042735042866</v>
      </c>
      <c r="S372" s="75">
        <f>0.5*(Q371+Q372)*R372</f>
        <v>0.08287187322359506</v>
      </c>
      <c r="T372" s="75">
        <f>0.5*(F371*Q371+F372*Q372)*R372</f>
        <v>1.2060024934599776</v>
      </c>
      <c r="U372" s="76">
        <f>U371+S372</f>
        <v>30.712336630985458</v>
      </c>
      <c r="V372" s="76">
        <f>V371+T372</f>
        <v>346.9695077463544</v>
      </c>
    </row>
    <row r="373" spans="1:22" ht="19" customHeight="1">
      <c r="A373" s="68" t="s">
        <v>362</v>
      </c>
      <c r="B373" s="74">
        <v>5</v>
      </c>
      <c r="C373" s="68" t="s">
        <v>363</v>
      </c>
      <c r="D373" s="68" t="s">
        <v>364</v>
      </c>
      <c r="E373" s="75">
        <f>60*F373*'THAM_SO_MOI'!$C$53/(2*PI()*'THAM_SO_MOI'!$C$26)</f>
        <v>1436.416631578947</v>
      </c>
      <c r="F373" s="75">
        <f>'THAM_SO_MOI'!$E$53+('THAM_SO_MOI'!$C$14-'THAM_SO_MOI'!$E$53)*367/'THAM_SO_MOI'!$C$42</f>
        <v>14.579014957264958</v>
      </c>
      <c r="G373" s="75">
        <f>3.6*F373</f>
        <v>52.48445384615385</v>
      </c>
      <c r="H373" s="75">
        <f>'THAM_SO_MOI'!$D$53</f>
        <v>1.1</v>
      </c>
      <c r="I373" s="75">
        <f>IF(F373&gt;'THAM_SO_MOI'!$C$14,'THAM_SO_MOI'!$C$13*(1+F373^2/1500),'THAM_SO_MOI'!$C$13)</f>
        <v>0.015</v>
      </c>
      <c r="J373" s="75">
        <f>'THAM_SO_MOI'!$C$40*('THAM_SO_MOI'!$C$23*(E373/'THAM_SO_MOI'!$C$22)+'THAM_SO_MOI'!$C$24*(E373/'THAM_SO_MOI'!$C$22)^2-'THAM_SO_MOI'!$C$25*(E373/'THAM_SO_MOI'!$C$22)^3)</f>
        <v>60.79811882680357</v>
      </c>
      <c r="K373" s="75">
        <f>'THAM_SO_MOI'!$C$31*J373/E373</f>
        <v>404.26210699835514</v>
      </c>
      <c r="L373" s="75">
        <f>K373*'THAM_SO_MOI'!$C$53*'THAM_SO_MOI'!$C$17/'THAM_SO_MOI'!$C$26</f>
        <v>3545.380260240488</v>
      </c>
      <c r="M373" s="75">
        <f>'THAM_SO_MOI'!$C$15*'THAM_SO_MOI'!$C$16*F373^2</f>
        <v>621.7019555881545</v>
      </c>
      <c r="N373" s="75">
        <f>'THAM_SO_MOI'!$C$12*I373</f>
        <v>1130.112</v>
      </c>
      <c r="O373" s="75">
        <f>M373+N373</f>
        <v>1751.8139555881546</v>
      </c>
      <c r="P373" s="75">
        <f>(MIN(L373,'THAM_SO_MOI'!$C$41)-O373)/('THAM_SO_MOI'!$C$11*H373)</f>
        <v>0.2123066175014599</v>
      </c>
      <c r="Q373" s="75">
        <f>IF(P373&gt;0,1/P373,NA())</f>
        <v>4.710168772733255</v>
      </c>
      <c r="R373" s="75">
        <f>F373-F372</f>
        <v>0.017600427350426884</v>
      </c>
      <c r="S373" s="75">
        <f>0.5*(Q372+Q373)*R373</f>
        <v>0.08289124477296228</v>
      </c>
      <c r="T373" s="75">
        <f>0.5*(F372*Q372+F373*Q373)*R373</f>
        <v>1.2077433224065761</v>
      </c>
      <c r="U373" s="76">
        <f>U372+S373</f>
        <v>30.79522787575842</v>
      </c>
      <c r="V373" s="76">
        <f>V372+T373</f>
        <v>348.177251068761</v>
      </c>
    </row>
    <row r="374" spans="1:22" ht="19" customHeight="1">
      <c r="A374" s="68" t="s">
        <v>362</v>
      </c>
      <c r="B374" s="74">
        <v>5</v>
      </c>
      <c r="C374" s="68" t="s">
        <v>363</v>
      </c>
      <c r="D374" s="68" t="s">
        <v>364</v>
      </c>
      <c r="E374" s="75">
        <f>60*F374*'THAM_SO_MOI'!$C$53/(2*PI()*'THAM_SO_MOI'!$C$26)</f>
        <v>1438.150736842105</v>
      </c>
      <c r="F374" s="75">
        <f>'THAM_SO_MOI'!$E$53+('THAM_SO_MOI'!$C$14-'THAM_SO_MOI'!$E$53)*368/'THAM_SO_MOI'!$C$42</f>
        <v>14.596615384615385</v>
      </c>
      <c r="G374" s="75">
        <f>3.6*F374</f>
        <v>52.54781538461538</v>
      </c>
      <c r="H374" s="75">
        <f>'THAM_SO_MOI'!$D$53</f>
        <v>1.1</v>
      </c>
      <c r="I374" s="75">
        <f>IF(F374&gt;'THAM_SO_MOI'!$C$14,'THAM_SO_MOI'!$C$13*(1+F374^2/1500),'THAM_SO_MOI'!$C$13)</f>
        <v>0.015</v>
      </c>
      <c r="J374" s="75">
        <f>'THAM_SO_MOI'!$C$40*('THAM_SO_MOI'!$C$23*(E374/'THAM_SO_MOI'!$C$22)+'THAM_SO_MOI'!$C$24*(E374/'THAM_SO_MOI'!$C$22)^2-'THAM_SO_MOI'!$C$25*(E374/'THAM_SO_MOI'!$C$22)^3)</f>
        <v>60.88999353023652</v>
      </c>
      <c r="K374" s="75">
        <f>'THAM_SO_MOI'!$C$31*J374/E374</f>
        <v>404.3848140824047</v>
      </c>
      <c r="L374" s="75">
        <f>K374*'THAM_SO_MOI'!$C$53*'THAM_SO_MOI'!$C$17/'THAM_SO_MOI'!$C$26</f>
        <v>3546.456401847752</v>
      </c>
      <c r="M374" s="75">
        <f>'THAM_SO_MOI'!$C$15*'THAM_SO_MOI'!$C$16*F374^2</f>
        <v>623.2039535076924</v>
      </c>
      <c r="N374" s="75">
        <f>'THAM_SO_MOI'!$C$12*I374</f>
        <v>1130.112</v>
      </c>
      <c r="O374" s="75">
        <f>M374+N374</f>
        <v>1753.3159535076925</v>
      </c>
      <c r="P374" s="75">
        <f>(MIN(L374,'THAM_SO_MOI'!$C$41)-O374)/('THAM_SO_MOI'!$C$11*H374)</f>
        <v>0.2122562083735866</v>
      </c>
      <c r="Q374" s="75">
        <f>IF(P374&gt;0,1/P374,NA())</f>
        <v>4.711287399612482</v>
      </c>
      <c r="R374" s="75">
        <f>F374-F373</f>
        <v>0.017600427350426884</v>
      </c>
      <c r="S374" s="75">
        <f>0.5*(Q373+Q374)*R374</f>
        <v>0.08291082744830104</v>
      </c>
      <c r="T374" s="75">
        <f>0.5*(F373*Q373+F374*Q374)*R374</f>
        <v>1.209487913116201</v>
      </c>
      <c r="U374" s="76">
        <f>U373+S374</f>
        <v>30.878138703206723</v>
      </c>
      <c r="V374" s="76">
        <f>V373+T374</f>
        <v>349.3867389818772</v>
      </c>
    </row>
    <row r="375" spans="1:22" ht="19" customHeight="1">
      <c r="A375" s="68" t="s">
        <v>362</v>
      </c>
      <c r="B375" s="74">
        <v>5</v>
      </c>
      <c r="C375" s="68" t="s">
        <v>363</v>
      </c>
      <c r="D375" s="68" t="s">
        <v>364</v>
      </c>
      <c r="E375" s="75">
        <f>60*F375*'THAM_SO_MOI'!$C$53/(2*PI()*'THAM_SO_MOI'!$C$26)</f>
        <v>1439.884842105263</v>
      </c>
      <c r="F375" s="75">
        <f>'THAM_SO_MOI'!$E$53+('THAM_SO_MOI'!$C$14-'THAM_SO_MOI'!$E$53)*369/'THAM_SO_MOI'!$C$42</f>
        <v>14.614215811965813</v>
      </c>
      <c r="G375" s="75">
        <f>3.6*F375</f>
        <v>52.61117692307693</v>
      </c>
      <c r="H375" s="75">
        <f>'THAM_SO_MOI'!$D$53</f>
        <v>1.1</v>
      </c>
      <c r="I375" s="75">
        <f>IF(F375&gt;'THAM_SO_MOI'!$C$14,'THAM_SO_MOI'!$C$13*(1+F375^2/1500),'THAM_SO_MOI'!$C$13)</f>
        <v>0.015</v>
      </c>
      <c r="J375" s="75">
        <f>'THAM_SO_MOI'!$C$40*('THAM_SO_MOI'!$C$23*(E375/'THAM_SO_MOI'!$C$22)+'THAM_SO_MOI'!$C$24*(E375/'THAM_SO_MOI'!$C$22)^2-'THAM_SO_MOI'!$C$25*(E375/'THAM_SO_MOI'!$C$22)^3)</f>
        <v>60.98186881038807</v>
      </c>
      <c r="K375" s="75">
        <f>'THAM_SO_MOI'!$C$31*J375/E375</f>
        <v>404.5072294308291</v>
      </c>
      <c r="L375" s="75">
        <f>K375*'THAM_SO_MOI'!$C$53*'THAM_SO_MOI'!$C$17/'THAM_SO_MOI'!$C$26</f>
        <v>3547.529984932441</v>
      </c>
      <c r="M375" s="75">
        <f>'THAM_SO_MOI'!$C$15*'THAM_SO_MOI'!$C$16*F375^2</f>
        <v>624.7077636112315</v>
      </c>
      <c r="N375" s="75">
        <f>'THAM_SO_MOI'!$C$12*I375</f>
        <v>1130.112</v>
      </c>
      <c r="O375" s="75">
        <f>M375+N375</f>
        <v>1754.8197636112316</v>
      </c>
      <c r="P375" s="75">
        <f>(MIN(L375,'THAM_SO_MOI'!$C$41)-O375)/('THAM_SO_MOI'!$C$11*H375)</f>
        <v>0.212205281879878</v>
      </c>
      <c r="Q375" s="75">
        <f>IF(P375&gt;0,1/P375,NA())</f>
        <v>4.712418047002549</v>
      </c>
      <c r="R375" s="75">
        <f>F375-F374</f>
        <v>0.01760042735042866</v>
      </c>
      <c r="S375" s="75">
        <f>0.5*(Q374+Q375)*R375</f>
        <v>0.08293062154249337</v>
      </c>
      <c r="T375" s="75">
        <f>0.5*(F374*Q374+F375*Q375)*R375</f>
        <v>1.211236281014253</v>
      </c>
      <c r="U375" s="76">
        <f>U374+S375</f>
        <v>30.961069324749218</v>
      </c>
      <c r="V375" s="76">
        <f>V374+T375</f>
        <v>350.59797526289145</v>
      </c>
    </row>
    <row r="376" spans="1:22" ht="19" customHeight="1">
      <c r="A376" s="68" t="s">
        <v>362</v>
      </c>
      <c r="B376" s="74">
        <v>5</v>
      </c>
      <c r="C376" s="68" t="s">
        <v>363</v>
      </c>
      <c r="D376" s="68" t="s">
        <v>364</v>
      </c>
      <c r="E376" s="75">
        <f>60*F376*'THAM_SO_MOI'!$C$53/(2*PI()*'THAM_SO_MOI'!$C$26)</f>
        <v>1441.618947368421</v>
      </c>
      <c r="F376" s="75">
        <f>'THAM_SO_MOI'!$E$53+('THAM_SO_MOI'!$C$14-'THAM_SO_MOI'!$E$53)*370/'THAM_SO_MOI'!$C$42</f>
        <v>14.63181623931624</v>
      </c>
      <c r="G376" s="75">
        <f>3.6*F376</f>
        <v>52.67453846153847</v>
      </c>
      <c r="H376" s="75">
        <f>'THAM_SO_MOI'!$D$53</f>
        <v>1.1</v>
      </c>
      <c r="I376" s="75">
        <f>IF(F376&gt;'THAM_SO_MOI'!$C$14,'THAM_SO_MOI'!$C$13*(1+F376^2/1500),'THAM_SO_MOI'!$C$13)</f>
        <v>0.015</v>
      </c>
      <c r="J376" s="75">
        <f>'THAM_SO_MOI'!$C$40*('THAM_SO_MOI'!$C$23*(E376/'THAM_SO_MOI'!$C$22)+'THAM_SO_MOI'!$C$24*(E376/'THAM_SO_MOI'!$C$22)^2-'THAM_SO_MOI'!$C$25*(E376/'THAM_SO_MOI'!$C$22)^3)</f>
        <v>61.07374450835494</v>
      </c>
      <c r="K376" s="75">
        <f>'THAM_SO_MOI'!$C$31*J376/E376</f>
        <v>404.62935304362844</v>
      </c>
      <c r="L376" s="75">
        <f>K376*'THAM_SO_MOI'!$C$53*'THAM_SO_MOI'!$C$17/'THAM_SO_MOI'!$C$26</f>
        <v>3548.6010094945573</v>
      </c>
      <c r="M376" s="75">
        <f>'THAM_SO_MOI'!$C$15*'THAM_SO_MOI'!$C$16*F376^2</f>
        <v>626.2133858987715</v>
      </c>
      <c r="N376" s="75">
        <f>'THAM_SO_MOI'!$C$12*I376</f>
        <v>1130.112</v>
      </c>
      <c r="O376" s="75">
        <f>M376+N376</f>
        <v>1756.3253858987716</v>
      </c>
      <c r="P376" s="75">
        <f>(MIN(L376,'THAM_SO_MOI'!$C$41)-O376)/('THAM_SO_MOI'!$C$11*H376)</f>
        <v>0.2121538380203345</v>
      </c>
      <c r="Q376" s="75">
        <f>IF(P376&gt;0,1/P376,NA())</f>
        <v>4.71356073183155</v>
      </c>
      <c r="R376" s="75">
        <f>F376-F375</f>
        <v>0.017600427350426884</v>
      </c>
      <c r="S376" s="75">
        <f>0.5*(Q375+Q376)*R376</f>
        <v>0.08295062735176754</v>
      </c>
      <c r="T376" s="75">
        <f>0.5*(F375*Q375+F376*Q376)*R376</f>
        <v>1.212988441595684</v>
      </c>
      <c r="U376" s="76">
        <f>U375+S376</f>
        <v>31.044019952100985</v>
      </c>
      <c r="V376" s="76">
        <f>V375+T376</f>
        <v>351.81096370448716</v>
      </c>
    </row>
    <row r="377" spans="1:22" ht="19" customHeight="1">
      <c r="A377" s="68" t="s">
        <v>362</v>
      </c>
      <c r="B377" s="74">
        <v>5</v>
      </c>
      <c r="C377" s="68" t="s">
        <v>363</v>
      </c>
      <c r="D377" s="68" t="s">
        <v>364</v>
      </c>
      <c r="E377" s="75">
        <f>60*F377*'THAM_SO_MOI'!$C$53/(2*PI()*'THAM_SO_MOI'!$C$26)</f>
        <v>1443.3530526315787</v>
      </c>
      <c r="F377" s="75">
        <f>'THAM_SO_MOI'!$E$53+('THAM_SO_MOI'!$C$14-'THAM_SO_MOI'!$E$53)*371/'THAM_SO_MOI'!$C$42</f>
        <v>14.649416666666667</v>
      </c>
      <c r="G377" s="75">
        <f>3.6*F377</f>
        <v>52.7379</v>
      </c>
      <c r="H377" s="75">
        <f>'THAM_SO_MOI'!$D$53</f>
        <v>1.1</v>
      </c>
      <c r="I377" s="75">
        <f>IF(F377&gt;'THAM_SO_MOI'!$C$14,'THAM_SO_MOI'!$C$13*(1+F377^2/1500),'THAM_SO_MOI'!$C$13)</f>
        <v>0.015</v>
      </c>
      <c r="J377" s="75">
        <f>'THAM_SO_MOI'!$C$40*('THAM_SO_MOI'!$C$23*(E377/'THAM_SO_MOI'!$C$22)+'THAM_SO_MOI'!$C$24*(E377/'THAM_SO_MOI'!$C$22)^2-'THAM_SO_MOI'!$C$25*(E377/'THAM_SO_MOI'!$C$22)^3)</f>
        <v>61.16562046523388</v>
      </c>
      <c r="K377" s="75">
        <f>'THAM_SO_MOI'!$C$31*J377/E377</f>
        <v>404.75118492080287</v>
      </c>
      <c r="L377" s="75">
        <f>K377*'THAM_SO_MOI'!$C$53*'THAM_SO_MOI'!$C$17/'THAM_SO_MOI'!$C$26</f>
        <v>3549.669475534101</v>
      </c>
      <c r="M377" s="75">
        <f>'THAM_SO_MOI'!$C$15*'THAM_SO_MOI'!$C$16*F377^2</f>
        <v>627.7208203703126</v>
      </c>
      <c r="N377" s="75">
        <f>'THAM_SO_MOI'!$C$12*I377</f>
        <v>1130.112</v>
      </c>
      <c r="O377" s="75">
        <f>M377+N377</f>
        <v>1757.8328203703127</v>
      </c>
      <c r="P377" s="75">
        <f>(MIN(L377,'THAM_SO_MOI'!$C$41)-O377)/('THAM_SO_MOI'!$C$11*H377)</f>
        <v>0.21210187679495598</v>
      </c>
      <c r="Q377" s="75">
        <f>IF(P377&gt;0,1/P377,NA())</f>
        <v>4.714715471220107</v>
      </c>
      <c r="R377" s="75">
        <f>F377-F376</f>
        <v>0.017600427350426884</v>
      </c>
      <c r="S377" s="75">
        <f>0.5*(Q376+Q377)*R377</f>
        <v>0.08297084517578467</v>
      </c>
      <c r="T377" s="75">
        <f>0.5*(F376*Q376+F377*Q377)*R377</f>
        <v>1.2147444104265603</v>
      </c>
      <c r="U377" s="76">
        <f>U376+S377</f>
        <v>31.12699079727677</v>
      </c>
      <c r="V377" s="76">
        <f>V376+T377</f>
        <v>353.0257081149137</v>
      </c>
    </row>
    <row r="378" spans="1:22" ht="19" customHeight="1">
      <c r="A378" s="68" t="s">
        <v>362</v>
      </c>
      <c r="B378" s="74">
        <v>5</v>
      </c>
      <c r="C378" s="68" t="s">
        <v>363</v>
      </c>
      <c r="D378" s="68" t="s">
        <v>364</v>
      </c>
      <c r="E378" s="75">
        <f>60*F378*'THAM_SO_MOI'!$C$53/(2*PI()*'THAM_SO_MOI'!$C$26)</f>
        <v>1445.0871578947365</v>
      </c>
      <c r="F378" s="75">
        <f>'THAM_SO_MOI'!$E$53+('THAM_SO_MOI'!$C$14-'THAM_SO_MOI'!$E$53)*372/'THAM_SO_MOI'!$C$42</f>
        <v>14.667017094017094</v>
      </c>
      <c r="G378" s="75">
        <f>3.6*F378</f>
        <v>52.80126153846154</v>
      </c>
      <c r="H378" s="75">
        <f>'THAM_SO_MOI'!$D$53</f>
        <v>1.1</v>
      </c>
      <c r="I378" s="75">
        <f>IF(F378&gt;'THAM_SO_MOI'!$C$14,'THAM_SO_MOI'!$C$13*(1+F378^2/1500),'THAM_SO_MOI'!$C$13)</f>
        <v>0.015</v>
      </c>
      <c r="J378" s="75">
        <f>'THAM_SO_MOI'!$C$40*('THAM_SO_MOI'!$C$23*(E378/'THAM_SO_MOI'!$C$22)+'THAM_SO_MOI'!$C$24*(E378/'THAM_SO_MOI'!$C$22)^2-'THAM_SO_MOI'!$C$25*(E378/'THAM_SO_MOI'!$C$22)^3)</f>
        <v>61.25749652212157</v>
      </c>
      <c r="K378" s="75">
        <f>'THAM_SO_MOI'!$C$31*J378/E378</f>
        <v>404.87272506235223</v>
      </c>
      <c r="L378" s="75">
        <f>K378*'THAM_SO_MOI'!$C$53*'THAM_SO_MOI'!$C$17/'THAM_SO_MOI'!$C$26</f>
        <v>3550.7353830510724</v>
      </c>
      <c r="M378" s="75">
        <f>'THAM_SO_MOI'!$C$15*'THAM_SO_MOI'!$C$16*F378^2</f>
        <v>629.2300670258547</v>
      </c>
      <c r="N378" s="75">
        <f>'THAM_SO_MOI'!$C$12*I378</f>
        <v>1130.112</v>
      </c>
      <c r="O378" s="75">
        <f>M378+N378</f>
        <v>1759.3420670258547</v>
      </c>
      <c r="P378" s="75">
        <f>(MIN(L378,'THAM_SO_MOI'!$C$41)-O378)/('THAM_SO_MOI'!$C$11*H378)</f>
        <v>0.21204939820374263</v>
      </c>
      <c r="Q378" s="75">
        <f>IF(P378&gt;0,1/P378,NA())</f>
        <v>4.715882282481998</v>
      </c>
      <c r="R378" s="75">
        <f>F378-F377</f>
        <v>0.017600427350426884</v>
      </c>
      <c r="S378" s="75">
        <f>0.5*(Q377+Q378)*R378</f>
        <v>0.08299127531756643</v>
      </c>
      <c r="T378" s="75">
        <f>0.5*(F377*Q377+F378*Q378)*R378</f>
        <v>1.216504203143305</v>
      </c>
      <c r="U378" s="76">
        <f>U377+S378</f>
        <v>31.209982072594336</v>
      </c>
      <c r="V378" s="76">
        <f>V377+T378</f>
        <v>354.242212318057</v>
      </c>
    </row>
    <row r="379" spans="1:22" ht="19" customHeight="1">
      <c r="A379" s="68" t="s">
        <v>362</v>
      </c>
      <c r="B379" s="74">
        <v>5</v>
      </c>
      <c r="C379" s="68" t="s">
        <v>363</v>
      </c>
      <c r="D379" s="68" t="s">
        <v>364</v>
      </c>
      <c r="E379" s="75">
        <f>60*F379*'THAM_SO_MOI'!$C$53/(2*PI()*'THAM_SO_MOI'!$C$26)</f>
        <v>1446.8212631578942</v>
      </c>
      <c r="F379" s="75">
        <f>'THAM_SO_MOI'!$E$53+('THAM_SO_MOI'!$C$14-'THAM_SO_MOI'!$E$53)*373/'THAM_SO_MOI'!$C$42</f>
        <v>14.684617521367521</v>
      </c>
      <c r="G379" s="75">
        <f>3.6*F379</f>
        <v>52.864623076923074</v>
      </c>
      <c r="H379" s="75">
        <f>'THAM_SO_MOI'!$D$53</f>
        <v>1.1</v>
      </c>
      <c r="I379" s="75">
        <f>IF(F379&gt;'THAM_SO_MOI'!$C$14,'THAM_SO_MOI'!$C$13*(1+F379^2/1500),'THAM_SO_MOI'!$C$13)</f>
        <v>0.015</v>
      </c>
      <c r="J379" s="75">
        <f>'THAM_SO_MOI'!$C$40*('THAM_SO_MOI'!$C$23*(E379/'THAM_SO_MOI'!$C$22)+'THAM_SO_MOI'!$C$24*(E379/'THAM_SO_MOI'!$C$22)^2-'THAM_SO_MOI'!$C$25*(E379/'THAM_SO_MOI'!$C$22)^3)</f>
        <v>61.34937252011476</v>
      </c>
      <c r="K379" s="75">
        <f>'THAM_SO_MOI'!$C$31*J379/E379</f>
        <v>404.9939734682765</v>
      </c>
      <c r="L379" s="75">
        <f>K379*'THAM_SO_MOI'!$C$53*'THAM_SO_MOI'!$C$17/'THAM_SO_MOI'!$C$26</f>
        <v>3551.7987320454695</v>
      </c>
      <c r="M379" s="75">
        <f>'THAM_SO_MOI'!$C$15*'THAM_SO_MOI'!$C$16*F379^2</f>
        <v>630.7411258653981</v>
      </c>
      <c r="N379" s="75">
        <f>'THAM_SO_MOI'!$C$12*I379</f>
        <v>1130.112</v>
      </c>
      <c r="O379" s="75">
        <f>M379+N379</f>
        <v>1760.8531258653982</v>
      </c>
      <c r="P379" s="75">
        <f>(MIN(L379,'THAM_SO_MOI'!$C$41)-O379)/('THAM_SO_MOI'!$C$11*H379)</f>
        <v>0.21199640224669403</v>
      </c>
      <c r="Q379" s="75">
        <f>IF(P379&gt;0,1/P379,NA())</f>
        <v>4.71706118312484</v>
      </c>
      <c r="R379" s="75">
        <f>F379-F378</f>
        <v>0.017600427350426884</v>
      </c>
      <c r="S379" s="75">
        <f>0.5*(Q378+Q379)*R379</f>
        <v>0.08301191808354857</v>
      </c>
      <c r="T379" s="75">
        <f>0.5*(F378*Q378+F379*Q379)*R379</f>
        <v>1.2182678354537777</v>
      </c>
      <c r="U379" s="76">
        <f>U378+S379</f>
        <v>31.292993990677886</v>
      </c>
      <c r="V379" s="76">
        <f>V378+T379</f>
        <v>355.4604801535108</v>
      </c>
    </row>
    <row r="380" spans="1:22" ht="19" customHeight="1">
      <c r="A380" s="68" t="s">
        <v>362</v>
      </c>
      <c r="B380" s="74">
        <v>5</v>
      </c>
      <c r="C380" s="68" t="s">
        <v>363</v>
      </c>
      <c r="D380" s="68" t="s">
        <v>364</v>
      </c>
      <c r="E380" s="75">
        <f>60*F380*'THAM_SO_MOI'!$C$53/(2*PI()*'THAM_SO_MOI'!$C$26)</f>
        <v>1448.5553684210522</v>
      </c>
      <c r="F380" s="75">
        <f>'THAM_SO_MOI'!$E$53+('THAM_SO_MOI'!$C$14-'THAM_SO_MOI'!$E$53)*374/'THAM_SO_MOI'!$C$42</f>
        <v>14.70221794871795</v>
      </c>
      <c r="G380" s="75">
        <f>3.6*F380</f>
        <v>52.92798461538462</v>
      </c>
      <c r="H380" s="75">
        <f>'THAM_SO_MOI'!$D$53</f>
        <v>1.1</v>
      </c>
      <c r="I380" s="75">
        <f>IF(F380&gt;'THAM_SO_MOI'!$C$14,'THAM_SO_MOI'!$C$13*(1+F380^2/1500),'THAM_SO_MOI'!$C$13)</f>
        <v>0.015</v>
      </c>
      <c r="J380" s="75">
        <f>'THAM_SO_MOI'!$C$40*('THAM_SO_MOI'!$C$23*(E380/'THAM_SO_MOI'!$C$22)+'THAM_SO_MOI'!$C$24*(E380/'THAM_SO_MOI'!$C$22)^2-'THAM_SO_MOI'!$C$25*(E380/'THAM_SO_MOI'!$C$22)^3)</f>
        <v>61.441248300310185</v>
      </c>
      <c r="K380" s="75">
        <f>'THAM_SO_MOI'!$C$31*J380/E380</f>
        <v>405.1149301385758</v>
      </c>
      <c r="L380" s="75">
        <f>K380*'THAM_SO_MOI'!$C$53*'THAM_SO_MOI'!$C$17/'THAM_SO_MOI'!$C$26</f>
        <v>3552.8595225172935</v>
      </c>
      <c r="M380" s="75">
        <f>'THAM_SO_MOI'!$C$15*'THAM_SO_MOI'!$C$16*F380^2</f>
        <v>632.2539968889424</v>
      </c>
      <c r="N380" s="75">
        <f>'THAM_SO_MOI'!$C$12*I380</f>
        <v>1130.112</v>
      </c>
      <c r="O380" s="75">
        <f>M380+N380</f>
        <v>1762.3659968889424</v>
      </c>
      <c r="P380" s="75">
        <f>(MIN(L380,'THAM_SO_MOI'!$C$41)-O380)/('THAM_SO_MOI'!$C$11*H380)</f>
        <v>0.2119428889238105</v>
      </c>
      <c r="Q380" s="75">
        <f>IF(P380&gt;0,1/P380,NA())</f>
        <v>4.718252190850722</v>
      </c>
      <c r="R380" s="75">
        <f>F380-F379</f>
        <v>0.01760042735042866</v>
      </c>
      <c r="S380" s="75">
        <f>0.5*(Q379+Q380)*R380</f>
        <v>0.08303277378359239</v>
      </c>
      <c r="T380" s="75">
        <f>0.5*(F379*Q379+F380*Q380)*R380</f>
        <v>1.2200353231377454</v>
      </c>
      <c r="U380" s="76">
        <f>U379+S380</f>
        <v>31.37602676446148</v>
      </c>
      <c r="V380" s="76">
        <f>V379+T380</f>
        <v>356.6805154766485</v>
      </c>
    </row>
    <row r="381" spans="1:22" ht="19" customHeight="1">
      <c r="A381" s="68" t="s">
        <v>362</v>
      </c>
      <c r="B381" s="74">
        <v>5</v>
      </c>
      <c r="C381" s="68" t="s">
        <v>363</v>
      </c>
      <c r="D381" s="68" t="s">
        <v>364</v>
      </c>
      <c r="E381" s="75">
        <f>60*F381*'THAM_SO_MOI'!$C$53/(2*PI()*'THAM_SO_MOI'!$C$26)</f>
        <v>1450.2894736842102</v>
      </c>
      <c r="F381" s="75">
        <f>'THAM_SO_MOI'!$E$53+('THAM_SO_MOI'!$C$14-'THAM_SO_MOI'!$E$53)*375/'THAM_SO_MOI'!$C$42</f>
        <v>14.719818376068377</v>
      </c>
      <c r="G381" s="75">
        <f>3.6*F381</f>
        <v>52.99134615384616</v>
      </c>
      <c r="H381" s="75">
        <f>'THAM_SO_MOI'!$D$53</f>
        <v>1.1</v>
      </c>
      <c r="I381" s="75">
        <f>IF(F381&gt;'THAM_SO_MOI'!$C$14,'THAM_SO_MOI'!$C$13*(1+F381^2/1500),'THAM_SO_MOI'!$C$13)</f>
        <v>0.015</v>
      </c>
      <c r="J381" s="75">
        <f>'THAM_SO_MOI'!$C$40*('THAM_SO_MOI'!$C$23*(E381/'THAM_SO_MOI'!$C$22)+'THAM_SO_MOI'!$C$24*(E381/'THAM_SO_MOI'!$C$22)^2-'THAM_SO_MOI'!$C$25*(E381/'THAM_SO_MOI'!$C$22)^3)</f>
        <v>61.53312370380453</v>
      </c>
      <c r="K381" s="75">
        <f>'THAM_SO_MOI'!$C$31*J381/E381</f>
        <v>405.23559507325</v>
      </c>
      <c r="L381" s="75">
        <f>K381*'THAM_SO_MOI'!$C$53*'THAM_SO_MOI'!$C$17/'THAM_SO_MOI'!$C$26</f>
        <v>3553.917754466544</v>
      </c>
      <c r="M381" s="75">
        <f>'THAM_SO_MOI'!$C$15*'THAM_SO_MOI'!$C$16*F381^2</f>
        <v>633.7686800964877</v>
      </c>
      <c r="N381" s="75">
        <f>'THAM_SO_MOI'!$C$12*I381</f>
        <v>1130.112</v>
      </c>
      <c r="O381" s="75">
        <f>M381+N381</f>
        <v>1763.8806800964878</v>
      </c>
      <c r="P381" s="75">
        <f>(MIN(L381,'THAM_SO_MOI'!$C$41)-O381)/('THAM_SO_MOI'!$C$11*H381)</f>
        <v>0.21188885823509185</v>
      </c>
      <c r="Q381" s="75">
        <f>IF(P381&gt;0,1/P381,NA())</f>
        <v>4.719455323556912</v>
      </c>
      <c r="R381" s="75">
        <f>F381-F380</f>
        <v>0.017600427350426884</v>
      </c>
      <c r="S381" s="75">
        <f>0.5*(Q380+Q381)*R381</f>
        <v>0.08305384273095473</v>
      </c>
      <c r="T381" s="75">
        <f>0.5*(F380*Q380+F381*Q381)*R381</f>
        <v>1.221806682046742</v>
      </c>
      <c r="U381" s="76">
        <f>U380+S381</f>
        <v>31.459080607192433</v>
      </c>
      <c r="V381" s="76">
        <f>V380+T381</f>
        <v>357.90232215869526</v>
      </c>
    </row>
    <row r="382" spans="1:22" ht="19" customHeight="1">
      <c r="A382" s="68" t="s">
        <v>362</v>
      </c>
      <c r="B382" s="74">
        <v>5</v>
      </c>
      <c r="C382" s="68" t="s">
        <v>363</v>
      </c>
      <c r="D382" s="68" t="s">
        <v>364</v>
      </c>
      <c r="E382" s="75">
        <f>60*F382*'THAM_SO_MOI'!$C$53/(2*PI()*'THAM_SO_MOI'!$C$26)</f>
        <v>1452.0235789473682</v>
      </c>
      <c r="F382" s="75">
        <f>'THAM_SO_MOI'!$E$53+('THAM_SO_MOI'!$C$14-'THAM_SO_MOI'!$E$53)*376/'THAM_SO_MOI'!$C$42</f>
        <v>14.737418803418803</v>
      </c>
      <c r="G382" s="75">
        <f>3.6*F382</f>
        <v>53.054707692307694</v>
      </c>
      <c r="H382" s="75">
        <f>'THAM_SO_MOI'!$D$53</f>
        <v>1.1</v>
      </c>
      <c r="I382" s="75">
        <f>IF(F382&gt;'THAM_SO_MOI'!$C$14,'THAM_SO_MOI'!$C$13*(1+F382^2/1500),'THAM_SO_MOI'!$C$13)</f>
        <v>0.015</v>
      </c>
      <c r="J382" s="75">
        <f>'THAM_SO_MOI'!$C$40*('THAM_SO_MOI'!$C$23*(E382/'THAM_SO_MOI'!$C$22)+'THAM_SO_MOI'!$C$24*(E382/'THAM_SO_MOI'!$C$22)^2-'THAM_SO_MOI'!$C$25*(E382/'THAM_SO_MOI'!$C$22)^3)</f>
        <v>61.62499857169455</v>
      </c>
      <c r="K382" s="75">
        <f>'THAM_SO_MOI'!$C$31*J382/E382</f>
        <v>405.35596827229926</v>
      </c>
      <c r="L382" s="75">
        <f>K382*'THAM_SO_MOI'!$C$53*'THAM_SO_MOI'!$C$17/'THAM_SO_MOI'!$C$26</f>
        <v>3554.973427893223</v>
      </c>
      <c r="M382" s="75">
        <f>'THAM_SO_MOI'!$C$15*'THAM_SO_MOI'!$C$16*F382^2</f>
        <v>635.2851754880343</v>
      </c>
      <c r="N382" s="75">
        <f>'THAM_SO_MOI'!$C$12*I382</f>
        <v>1130.112</v>
      </c>
      <c r="O382" s="75">
        <f>M382+N382</f>
        <v>1765.3971754880345</v>
      </c>
      <c r="P382" s="75">
        <f>(MIN(L382,'THAM_SO_MOI'!$C$41)-O382)/('THAM_SO_MOI'!$C$11*H382)</f>
        <v>0.2118343101805384</v>
      </c>
      <c r="Q382" s="75">
        <f>IF(P382&gt;0,1/P382,NA())</f>
        <v>4.720670599336518</v>
      </c>
      <c r="R382" s="75">
        <f>F382-F381</f>
        <v>0.017600427350426884</v>
      </c>
      <c r="S382" s="75">
        <f>0.5*(Q381+Q382)*R382</f>
        <v>0.08307512524238367</v>
      </c>
      <c r="T382" s="75">
        <f>0.5*(F381*Q381+F382*Q382)*R382</f>
        <v>1.2235819281057758</v>
      </c>
      <c r="U382" s="76">
        <f>U381+S382</f>
        <v>31.542155732434818</v>
      </c>
      <c r="V382" s="76">
        <f>V381+T382</f>
        <v>359.12590408680103</v>
      </c>
    </row>
    <row r="383" spans="1:22" ht="19" customHeight="1">
      <c r="A383" s="68" t="s">
        <v>362</v>
      </c>
      <c r="B383" s="74">
        <v>5</v>
      </c>
      <c r="C383" s="68" t="s">
        <v>363</v>
      </c>
      <c r="D383" s="68" t="s">
        <v>364</v>
      </c>
      <c r="E383" s="75">
        <f>60*F383*'THAM_SO_MOI'!$C$53/(2*PI()*'THAM_SO_MOI'!$C$26)</f>
        <v>1453.7576842105261</v>
      </c>
      <c r="F383" s="75">
        <f>'THAM_SO_MOI'!$E$53+('THAM_SO_MOI'!$C$14-'THAM_SO_MOI'!$E$53)*377/'THAM_SO_MOI'!$C$42</f>
        <v>14.755019230769232</v>
      </c>
      <c r="G383" s="75">
        <f>3.6*F383</f>
        <v>53.11806923076924</v>
      </c>
      <c r="H383" s="75">
        <f>'THAM_SO_MOI'!$D$53</f>
        <v>1.1</v>
      </c>
      <c r="I383" s="75">
        <f>IF(F383&gt;'THAM_SO_MOI'!$C$14,'THAM_SO_MOI'!$C$13*(1+F383^2/1500),'THAM_SO_MOI'!$C$13)</f>
        <v>0.015</v>
      </c>
      <c r="J383" s="75">
        <f>'THAM_SO_MOI'!$C$40*('THAM_SO_MOI'!$C$23*(E383/'THAM_SO_MOI'!$C$22)+'THAM_SO_MOI'!$C$24*(E383/'THAM_SO_MOI'!$C$22)^2-'THAM_SO_MOI'!$C$25*(E383/'THAM_SO_MOI'!$C$22)^3)</f>
        <v>61.71687274507691</v>
      </c>
      <c r="K383" s="75">
        <f>'THAM_SO_MOI'!$C$31*J383/E383</f>
        <v>405.47604973572334</v>
      </c>
      <c r="L383" s="75">
        <f>K383*'THAM_SO_MOI'!$C$53*'THAM_SO_MOI'!$C$17/'THAM_SO_MOI'!$C$26</f>
        <v>3556.026542797327</v>
      </c>
      <c r="M383" s="75">
        <f>'THAM_SO_MOI'!$C$15*'THAM_SO_MOI'!$C$16*F383^2</f>
        <v>636.8034830635819</v>
      </c>
      <c r="N383" s="75">
        <f>'THAM_SO_MOI'!$C$12*I383</f>
        <v>1130.112</v>
      </c>
      <c r="O383" s="75">
        <f>M383+N383</f>
        <v>1766.915483063582</v>
      </c>
      <c r="P383" s="75">
        <f>(MIN(L383,'THAM_SO_MOI'!$C$41)-O383)/('THAM_SO_MOI'!$C$11*H383)</f>
        <v>0.2117792447601497</v>
      </c>
      <c r="Q383" s="75">
        <f>IF(P383&gt;0,1/P383,NA())</f>
        <v>4.721898036479206</v>
      </c>
      <c r="R383" s="75">
        <f>F383-F382</f>
        <v>0.01760042735042866</v>
      </c>
      <c r="S383" s="75">
        <f>0.5*(Q382+Q383)*R383</f>
        <v>0.08309662163805547</v>
      </c>
      <c r="T383" s="75">
        <f>0.5*(F382*Q382+F383*Q383)*R383</f>
        <v>1.225361077312708</v>
      </c>
      <c r="U383" s="76">
        <f>U382+S383</f>
        <v>31.625252354072874</v>
      </c>
      <c r="V383" s="76">
        <f>V382+T383</f>
        <v>360.3512651641137</v>
      </c>
    </row>
    <row r="384" spans="1:22" ht="19" customHeight="1">
      <c r="A384" s="68" t="s">
        <v>362</v>
      </c>
      <c r="B384" s="74">
        <v>5</v>
      </c>
      <c r="C384" s="68" t="s">
        <v>363</v>
      </c>
      <c r="D384" s="68" t="s">
        <v>364</v>
      </c>
      <c r="E384" s="75">
        <f>60*F384*'THAM_SO_MOI'!$C$53/(2*PI()*'THAM_SO_MOI'!$C$26)</f>
        <v>1455.491789473684</v>
      </c>
      <c r="F384" s="75">
        <f>'THAM_SO_MOI'!$E$53+('THAM_SO_MOI'!$C$14-'THAM_SO_MOI'!$E$53)*378/'THAM_SO_MOI'!$C$42</f>
        <v>14.772619658119659</v>
      </c>
      <c r="G384" s="75">
        <f>3.6*F384</f>
        <v>53.18143076923077</v>
      </c>
      <c r="H384" s="75">
        <f>'THAM_SO_MOI'!$D$53</f>
        <v>1.1</v>
      </c>
      <c r="I384" s="75">
        <f>IF(F384&gt;'THAM_SO_MOI'!$C$14,'THAM_SO_MOI'!$C$13*(1+F384^2/1500),'THAM_SO_MOI'!$C$13)</f>
        <v>0.015</v>
      </c>
      <c r="J384" s="75">
        <f>'THAM_SO_MOI'!$C$40*('THAM_SO_MOI'!$C$23*(E384/'THAM_SO_MOI'!$C$22)+'THAM_SO_MOI'!$C$24*(E384/'THAM_SO_MOI'!$C$22)^2-'THAM_SO_MOI'!$C$25*(E384/'THAM_SO_MOI'!$C$22)^3)</f>
        <v>61.80874606504839</v>
      </c>
      <c r="K384" s="75">
        <f>'THAM_SO_MOI'!$C$31*J384/E384</f>
        <v>405.5958394635224</v>
      </c>
      <c r="L384" s="75">
        <f>K384*'THAM_SO_MOI'!$C$53*'THAM_SO_MOI'!$C$17/'THAM_SO_MOI'!$C$26</f>
        <v>3557.0770991788586</v>
      </c>
      <c r="M384" s="75">
        <f>'THAM_SO_MOI'!$C$15*'THAM_SO_MOI'!$C$16*F384^2</f>
        <v>638.3236028231305</v>
      </c>
      <c r="N384" s="75">
        <f>'THAM_SO_MOI'!$C$12*I384</f>
        <v>1130.112</v>
      </c>
      <c r="O384" s="75">
        <f>M384+N384</f>
        <v>1768.4356028231305</v>
      </c>
      <c r="P384" s="75">
        <f>(MIN(L384,'THAM_SO_MOI'!$C$41)-O384)/('THAM_SO_MOI'!$C$11*H384)</f>
        <v>0.21172366197392614</v>
      </c>
      <c r="Q384" s="75">
        <f>IF(P384&gt;0,1/P384,NA())</f>
        <v>4.723137653471865</v>
      </c>
      <c r="R384" s="75">
        <f>F384-F383</f>
        <v>0.017600427350426884</v>
      </c>
      <c r="S384" s="75">
        <f>0.5*(Q383+Q384)*R384</f>
        <v>0.08311833224158645</v>
      </c>
      <c r="T384" s="75">
        <f>0.5*(F383*Q383+F384*Q384)*R384</f>
        <v>1.2271441457387293</v>
      </c>
      <c r="U384" s="76">
        <f>U383+S384</f>
        <v>31.70837068631446</v>
      </c>
      <c r="V384" s="76">
        <f>V383+T384</f>
        <v>361.5784093098525</v>
      </c>
    </row>
    <row r="385" spans="1:22" ht="19" customHeight="1">
      <c r="A385" s="68" t="s">
        <v>362</v>
      </c>
      <c r="B385" s="74">
        <v>5</v>
      </c>
      <c r="C385" s="68" t="s">
        <v>363</v>
      </c>
      <c r="D385" s="68" t="s">
        <v>364</v>
      </c>
      <c r="E385" s="75">
        <f>60*F385*'THAM_SO_MOI'!$C$53/(2*PI()*'THAM_SO_MOI'!$C$26)</f>
        <v>1457.2258947368418</v>
      </c>
      <c r="F385" s="75">
        <f>'THAM_SO_MOI'!$E$53+('THAM_SO_MOI'!$C$14-'THAM_SO_MOI'!$E$53)*379/'THAM_SO_MOI'!$C$42</f>
        <v>14.790220085470086</v>
      </c>
      <c r="G385" s="75">
        <f>3.6*F385</f>
        <v>53.24479230769231</v>
      </c>
      <c r="H385" s="75">
        <f>'THAM_SO_MOI'!$D$53</f>
        <v>1.1</v>
      </c>
      <c r="I385" s="75">
        <f>IF(F385&gt;'THAM_SO_MOI'!$C$14,'THAM_SO_MOI'!$C$13*(1+F385^2/1500),'THAM_SO_MOI'!$C$13)</f>
        <v>0.015</v>
      </c>
      <c r="J385" s="75">
        <f>'THAM_SO_MOI'!$C$40*('THAM_SO_MOI'!$C$23*(E385/'THAM_SO_MOI'!$C$22)+'THAM_SO_MOI'!$C$24*(E385/'THAM_SO_MOI'!$C$22)^2-'THAM_SO_MOI'!$C$25*(E385/'THAM_SO_MOI'!$C$22)^3)</f>
        <v>61.90061837270569</v>
      </c>
      <c r="K385" s="75">
        <f>'THAM_SO_MOI'!$C$31*J385/E385</f>
        <v>405.7153374556965</v>
      </c>
      <c r="L385" s="75">
        <f>K385*'THAM_SO_MOI'!$C$53*'THAM_SO_MOI'!$C$17/'THAM_SO_MOI'!$C$26</f>
        <v>3558.125097037817</v>
      </c>
      <c r="M385" s="75">
        <f>'THAM_SO_MOI'!$C$15*'THAM_SO_MOI'!$C$16*F385^2</f>
        <v>639.8455347666801</v>
      </c>
      <c r="N385" s="75">
        <f>'THAM_SO_MOI'!$C$12*I385</f>
        <v>1130.112</v>
      </c>
      <c r="O385" s="75">
        <f>M385+N385</f>
        <v>1769.95753476668</v>
      </c>
      <c r="P385" s="75">
        <f>(MIN(L385,'THAM_SO_MOI'!$C$41)-O385)/('THAM_SO_MOI'!$C$11*H385)</f>
        <v>0.21166756182186752</v>
      </c>
      <c r="Q385" s="75">
        <f>IF(P385&gt;0,1/P385,NA())</f>
        <v>4.724389468999351</v>
      </c>
      <c r="R385" s="75">
        <f>F385-F384</f>
        <v>0.017600427350426884</v>
      </c>
      <c r="S385" s="75">
        <f>0.5*(Q384+Q385)*R385</f>
        <v>0.0831402573801211</v>
      </c>
      <c r="T385" s="75">
        <f>0.5*(F384*Q384+F385*Q385)*R385</f>
        <v>1.2289311495299644</v>
      </c>
      <c r="U385" s="76">
        <f>U384+S385</f>
        <v>31.791510943694583</v>
      </c>
      <c r="V385" s="76">
        <f>V384+T385</f>
        <v>362.80734045938243</v>
      </c>
    </row>
    <row r="386" spans="1:22" ht="19" customHeight="1">
      <c r="A386" s="68" t="s">
        <v>362</v>
      </c>
      <c r="B386" s="74">
        <v>5</v>
      </c>
      <c r="C386" s="68" t="s">
        <v>363</v>
      </c>
      <c r="D386" s="68" t="s">
        <v>364</v>
      </c>
      <c r="E386" s="75">
        <f>60*F386*'THAM_SO_MOI'!$C$53/(2*PI()*'THAM_SO_MOI'!$C$26)</f>
        <v>1458.9599999999996</v>
      </c>
      <c r="F386" s="75">
        <f>'THAM_SO_MOI'!$E$53+('THAM_SO_MOI'!$C$14-'THAM_SO_MOI'!$E$53)*380/'THAM_SO_MOI'!$C$42</f>
        <v>14.807820512820513</v>
      </c>
      <c r="G386" s="75">
        <f>3.6*F386</f>
        <v>53.30815384615385</v>
      </c>
      <c r="H386" s="75">
        <f>'THAM_SO_MOI'!$D$53</f>
        <v>1.1</v>
      </c>
      <c r="I386" s="75">
        <f>IF(F386&gt;'THAM_SO_MOI'!$C$14,'THAM_SO_MOI'!$C$13*(1+F386^2/1500),'THAM_SO_MOI'!$C$13)</f>
        <v>0.015</v>
      </c>
      <c r="J386" s="75">
        <f>'THAM_SO_MOI'!$C$40*('THAM_SO_MOI'!$C$23*(E386/'THAM_SO_MOI'!$C$22)+'THAM_SO_MOI'!$C$24*(E386/'THAM_SO_MOI'!$C$22)^2-'THAM_SO_MOI'!$C$25*(E386/'THAM_SO_MOI'!$C$22)^3)</f>
        <v>61.99248950914552</v>
      </c>
      <c r="K386" s="75">
        <f>'THAM_SO_MOI'!$C$31*J386/E386</f>
        <v>405.8345437122456</v>
      </c>
      <c r="L386" s="75">
        <f>K386*'THAM_SO_MOI'!$C$53*'THAM_SO_MOI'!$C$17/'THAM_SO_MOI'!$C$26</f>
        <v>3559.170536374203</v>
      </c>
      <c r="M386" s="75">
        <f>'THAM_SO_MOI'!$C$15*'THAM_SO_MOI'!$C$16*F386^2</f>
        <v>641.3692788942309</v>
      </c>
      <c r="N386" s="75">
        <f>'THAM_SO_MOI'!$C$12*I386</f>
        <v>1130.112</v>
      </c>
      <c r="O386" s="75">
        <f>M386+N386</f>
        <v>1771.4812788942309</v>
      </c>
      <c r="P386" s="75">
        <f>(MIN(L386,'THAM_SO_MOI'!$C$41)-O386)/('THAM_SO_MOI'!$C$11*H386)</f>
        <v>0.21161094430397398</v>
      </c>
      <c r="Q386" s="75">
        <f>IF(P386&gt;0,1/P386,NA())</f>
        <v>4.725653501945175</v>
      </c>
      <c r="R386" s="75">
        <f>F386-F385</f>
        <v>0.017600427350426884</v>
      </c>
      <c r="S386" s="75">
        <f>0.5*(Q385+Q386)*R386</f>
        <v>0.08316239738426068</v>
      </c>
      <c r="T386" s="75">
        <f>0.5*(F385*Q385+F386*Q386)*R386</f>
        <v>1.2307221049067267</v>
      </c>
      <c r="U386" s="76">
        <f>U385+S386</f>
        <v>31.874673341078843</v>
      </c>
      <c r="V386" s="76">
        <f>V385+T386</f>
        <v>364.03806256428913</v>
      </c>
    </row>
    <row r="387" spans="1:22" ht="19" customHeight="1">
      <c r="A387" s="68" t="s">
        <v>362</v>
      </c>
      <c r="B387" s="74">
        <v>5</v>
      </c>
      <c r="C387" s="68" t="s">
        <v>363</v>
      </c>
      <c r="D387" s="68" t="s">
        <v>364</v>
      </c>
      <c r="E387" s="75">
        <f>60*F387*'THAM_SO_MOI'!$C$53/(2*PI()*'THAM_SO_MOI'!$C$26)</f>
        <v>1460.6941052631576</v>
      </c>
      <c r="F387" s="75">
        <f>'THAM_SO_MOI'!$E$53+('THAM_SO_MOI'!$C$14-'THAM_SO_MOI'!$E$53)*381/'THAM_SO_MOI'!$C$42</f>
        <v>14.82542094017094</v>
      </c>
      <c r="G387" s="75">
        <f>3.6*F387</f>
        <v>53.371515384615385</v>
      </c>
      <c r="H387" s="75">
        <f>'THAM_SO_MOI'!$D$53</f>
        <v>1.1</v>
      </c>
      <c r="I387" s="75">
        <f>IF(F387&gt;'THAM_SO_MOI'!$C$14,'THAM_SO_MOI'!$C$13*(1+F387^2/1500),'THAM_SO_MOI'!$C$13)</f>
        <v>0.015</v>
      </c>
      <c r="J387" s="75">
        <f>'THAM_SO_MOI'!$C$40*('THAM_SO_MOI'!$C$23*(E387/'THAM_SO_MOI'!$C$22)+'THAM_SO_MOI'!$C$24*(E387/'THAM_SO_MOI'!$C$22)^2-'THAM_SO_MOI'!$C$25*(E387/'THAM_SO_MOI'!$C$22)^3)</f>
        <v>62.08435931546463</v>
      </c>
      <c r="K387" s="75">
        <f>'THAM_SO_MOI'!$C$31*J387/E387</f>
        <v>405.9534582331696</v>
      </c>
      <c r="L387" s="75">
        <f>K387*'THAM_SO_MOI'!$C$53*'THAM_SO_MOI'!$C$17/'THAM_SO_MOI'!$C$26</f>
        <v>3560.213417188015</v>
      </c>
      <c r="M387" s="75">
        <f>'THAM_SO_MOI'!$C$15*'THAM_SO_MOI'!$C$16*F387^2</f>
        <v>642.8948352057826</v>
      </c>
      <c r="N387" s="75">
        <f>'THAM_SO_MOI'!$C$12*I387</f>
        <v>1130.112</v>
      </c>
      <c r="O387" s="75">
        <f>M387+N387</f>
        <v>1773.0068352057826</v>
      </c>
      <c r="P387" s="75">
        <f>(MIN(L387,'THAM_SO_MOI'!$C$41)-O387)/('THAM_SO_MOI'!$C$11*H387)</f>
        <v>0.21155380942024526</v>
      </c>
      <c r="Q387" s="75">
        <f>IF(P387&gt;0,1/P387,NA())</f>
        <v>4.7269297713922525</v>
      </c>
      <c r="R387" s="75">
        <f>F387-F386</f>
        <v>0.017600427350426884</v>
      </c>
      <c r="S387" s="75">
        <f>0.5*(Q386+Q387)*R387</f>
        <v>0.08318475258811787</v>
      </c>
      <c r="T387" s="75">
        <f>0.5*(F386*Q386+F387*Q387)*R387</f>
        <v>1.2325170281646316</v>
      </c>
      <c r="U387" s="76">
        <f>U386+S387</f>
        <v>31.95785809366696</v>
      </c>
      <c r="V387" s="76">
        <f>V386+T387</f>
        <v>365.27057959245377</v>
      </c>
    </row>
    <row r="388" spans="1:22" ht="19" customHeight="1">
      <c r="A388" s="68" t="s">
        <v>362</v>
      </c>
      <c r="B388" s="74">
        <v>5</v>
      </c>
      <c r="C388" s="68" t="s">
        <v>363</v>
      </c>
      <c r="D388" s="68" t="s">
        <v>364</v>
      </c>
      <c r="E388" s="75">
        <f>60*F388*'THAM_SO_MOI'!$C$53/(2*PI()*'THAM_SO_MOI'!$C$26)</f>
        <v>1462.4282105263153</v>
      </c>
      <c r="F388" s="75">
        <f>'THAM_SO_MOI'!$E$53+('THAM_SO_MOI'!$C$14-'THAM_SO_MOI'!$E$53)*382/'THAM_SO_MOI'!$C$42</f>
        <v>14.843021367521366</v>
      </c>
      <c r="G388" s="75">
        <f>3.6*F388</f>
        <v>53.43487692307692</v>
      </c>
      <c r="H388" s="75">
        <f>'THAM_SO_MOI'!$D$53</f>
        <v>1.1</v>
      </c>
      <c r="I388" s="75">
        <f>IF(F388&gt;'THAM_SO_MOI'!$C$14,'THAM_SO_MOI'!$C$13*(1+F388^2/1500),'THAM_SO_MOI'!$C$13)</f>
        <v>0.015</v>
      </c>
      <c r="J388" s="75">
        <f>'THAM_SO_MOI'!$C$40*('THAM_SO_MOI'!$C$23*(E388/'THAM_SO_MOI'!$C$22)+'THAM_SO_MOI'!$C$24*(E388/'THAM_SO_MOI'!$C$22)^2-'THAM_SO_MOI'!$C$25*(E388/'THAM_SO_MOI'!$C$22)^3)</f>
        <v>62.17622763275969</v>
      </c>
      <c r="K388" s="75">
        <f>'THAM_SO_MOI'!$C$31*J388/E388</f>
        <v>406.07208101846845</v>
      </c>
      <c r="L388" s="75">
        <f>K388*'THAM_SO_MOI'!$C$53*'THAM_SO_MOI'!$C$17/'THAM_SO_MOI'!$C$26</f>
        <v>3561.2537394792535</v>
      </c>
      <c r="M388" s="75">
        <f>'THAM_SO_MOI'!$C$15*'THAM_SO_MOI'!$C$16*F388^2</f>
        <v>644.4222037013354</v>
      </c>
      <c r="N388" s="75">
        <f>'THAM_SO_MOI'!$C$12*I388</f>
        <v>1130.112</v>
      </c>
      <c r="O388" s="75">
        <f>M388+N388</f>
        <v>1774.5342037013356</v>
      </c>
      <c r="P388" s="75">
        <f>(MIN(L388,'THAM_SO_MOI'!$C$41)-O388)/('THAM_SO_MOI'!$C$11*H388)</f>
        <v>0.21149615717068157</v>
      </c>
      <c r="Q388" s="75">
        <f>IF(P388&gt;0,1/P388,NA())</f>
        <v>4.728218296623613</v>
      </c>
      <c r="R388" s="75">
        <f>F388-F387</f>
        <v>0.017600427350426884</v>
      </c>
      <c r="S388" s="75">
        <f>0.5*(Q387+Q388)*R388</f>
        <v>0.08320732332932118</v>
      </c>
      <c r="T388" s="75">
        <f>0.5*(F387*Q387+F388*Q388)*R388</f>
        <v>1.2343159356749724</v>
      </c>
      <c r="U388" s="76">
        <f>U387+S388</f>
        <v>32.04106541699628</v>
      </c>
      <c r="V388" s="76">
        <f>V387+T388</f>
        <v>366.50489552812877</v>
      </c>
    </row>
    <row r="389" spans="1:22" ht="19" customHeight="1">
      <c r="A389" s="68" t="s">
        <v>362</v>
      </c>
      <c r="B389" s="74">
        <v>5</v>
      </c>
      <c r="C389" s="68" t="s">
        <v>363</v>
      </c>
      <c r="D389" s="68" t="s">
        <v>364</v>
      </c>
      <c r="E389" s="75">
        <f>60*F389*'THAM_SO_MOI'!$C$53/(2*PI()*'THAM_SO_MOI'!$C$26)</f>
        <v>1464.1623157894733</v>
      </c>
      <c r="F389" s="75">
        <f>'THAM_SO_MOI'!$E$53+('THAM_SO_MOI'!$C$14-'THAM_SO_MOI'!$E$53)*383/'THAM_SO_MOI'!$C$42</f>
        <v>14.860621794871795</v>
      </c>
      <c r="G389" s="75">
        <f>3.6*F389</f>
        <v>53.49823846153846</v>
      </c>
      <c r="H389" s="75">
        <f>'THAM_SO_MOI'!$D$53</f>
        <v>1.1</v>
      </c>
      <c r="I389" s="75">
        <f>IF(F389&gt;'THAM_SO_MOI'!$C$14,'THAM_SO_MOI'!$C$13*(1+F389^2/1500),'THAM_SO_MOI'!$C$13)</f>
        <v>0.015</v>
      </c>
      <c r="J389" s="75">
        <f>'THAM_SO_MOI'!$C$40*('THAM_SO_MOI'!$C$23*(E389/'THAM_SO_MOI'!$C$22)+'THAM_SO_MOI'!$C$24*(E389/'THAM_SO_MOI'!$C$22)^2-'THAM_SO_MOI'!$C$25*(E389/'THAM_SO_MOI'!$C$22)^3)</f>
        <v>62.268094302127494</v>
      </c>
      <c r="K389" s="75">
        <f>'THAM_SO_MOI'!$C$31*J389/E389</f>
        <v>406.1904120681425</v>
      </c>
      <c r="L389" s="75">
        <f>K389*'THAM_SO_MOI'!$C$53*'THAM_SO_MOI'!$C$17/'THAM_SO_MOI'!$C$26</f>
        <v>3562.2915032479204</v>
      </c>
      <c r="M389" s="75">
        <f>'THAM_SO_MOI'!$C$15*'THAM_SO_MOI'!$C$16*F389^2</f>
        <v>645.9513843808895</v>
      </c>
      <c r="N389" s="75">
        <f>'THAM_SO_MOI'!$C$12*I389</f>
        <v>1130.112</v>
      </c>
      <c r="O389" s="75">
        <f>M389+N389</f>
        <v>1776.0633843808896</v>
      </c>
      <c r="P389" s="75">
        <f>(MIN(L389,'THAM_SO_MOI'!$C$41)-O389)/('THAM_SO_MOI'!$C$11*H389)</f>
        <v>0.211437987555283</v>
      </c>
      <c r="Q389" s="75">
        <f>IF(P389&gt;0,1/P389,NA())</f>
        <v>4.72951909712316</v>
      </c>
      <c r="R389" s="75">
        <f>F389-F388</f>
        <v>0.01760042735042866</v>
      </c>
      <c r="S389" s="75">
        <f>0.5*(Q388+Q389)*R389</f>
        <v>0.08323010994903628</v>
      </c>
      <c r="T389" s="75">
        <f>0.5*(F388*Q388+F389*Q389)*R389</f>
        <v>1.2361188438853439</v>
      </c>
      <c r="U389" s="76">
        <f>U388+S389</f>
        <v>32.12429552694532</v>
      </c>
      <c r="V389" s="76">
        <f>V388+T389</f>
        <v>367.7410143720141</v>
      </c>
    </row>
    <row r="390" spans="1:22" ht="19" customHeight="1">
      <c r="A390" s="68" t="s">
        <v>362</v>
      </c>
      <c r="B390" s="74">
        <v>5</v>
      </c>
      <c r="C390" s="68" t="s">
        <v>363</v>
      </c>
      <c r="D390" s="68" t="s">
        <v>364</v>
      </c>
      <c r="E390" s="75">
        <f>60*F390*'THAM_SO_MOI'!$C$53/(2*PI()*'THAM_SO_MOI'!$C$26)</f>
        <v>1465.8964210526312</v>
      </c>
      <c r="F390" s="75">
        <f>'THAM_SO_MOI'!$E$53+('THAM_SO_MOI'!$C$14-'THAM_SO_MOI'!$E$53)*384/'THAM_SO_MOI'!$C$42</f>
        <v>14.878222222222224</v>
      </c>
      <c r="G390" s="75">
        <f>3.6*F390</f>
        <v>53.561600000000006</v>
      </c>
      <c r="H390" s="75">
        <f>'THAM_SO_MOI'!$D$53</f>
        <v>1.1</v>
      </c>
      <c r="I390" s="75">
        <f>IF(F390&gt;'THAM_SO_MOI'!$C$14,'THAM_SO_MOI'!$C$13*(1+F390^2/1500),'THAM_SO_MOI'!$C$13)</f>
        <v>0.015</v>
      </c>
      <c r="J390" s="75">
        <f>'THAM_SO_MOI'!$C$40*('THAM_SO_MOI'!$C$23*(E390/'THAM_SO_MOI'!$C$22)+'THAM_SO_MOI'!$C$24*(E390/'THAM_SO_MOI'!$C$22)^2-'THAM_SO_MOI'!$C$25*(E390/'THAM_SO_MOI'!$C$22)^3)</f>
        <v>62.35995916466471</v>
      </c>
      <c r="K390" s="75">
        <f>'THAM_SO_MOI'!$C$31*J390/E390</f>
        <v>406.3084513821914</v>
      </c>
      <c r="L390" s="75">
        <f>K390*'THAM_SO_MOI'!$C$53*'THAM_SO_MOI'!$C$17/'THAM_SO_MOI'!$C$26</f>
        <v>3563.3267084940135</v>
      </c>
      <c r="M390" s="75">
        <f>'THAM_SO_MOI'!$C$15*'THAM_SO_MOI'!$C$16*F390^2</f>
        <v>647.4823772444446</v>
      </c>
      <c r="N390" s="75">
        <f>'THAM_SO_MOI'!$C$12*I390</f>
        <v>1130.112</v>
      </c>
      <c r="O390" s="75">
        <f>M390+N390</f>
        <v>1777.5943772444448</v>
      </c>
      <c r="P390" s="75">
        <f>(MIN(L390,'THAM_SO_MOI'!$C$41)-O390)/('THAM_SO_MOI'!$C$11*H390)</f>
        <v>0.21137930057404933</v>
      </c>
      <c r="Q390" s="75">
        <f>IF(P390&gt;0,1/P390,NA())</f>
        <v>4.73083219257642</v>
      </c>
      <c r="R390" s="75">
        <f>F390-F389</f>
        <v>0.01760042735042866</v>
      </c>
      <c r="S390" s="75">
        <f>0.5*(Q389+Q390)*R390</f>
        <v>0.08325311279194578</v>
      </c>
      <c r="T390" s="75">
        <f>0.5*(F389*Q389+F390*Q390)*R390</f>
        <v>1.237925769319655</v>
      </c>
      <c r="U390" s="76">
        <f>U389+S390</f>
        <v>32.20754863973726</v>
      </c>
      <c r="V390" s="76">
        <f>V389+T390</f>
        <v>368.97894014133374</v>
      </c>
    </row>
    <row r="391" spans="1:22" ht="19" customHeight="1">
      <c r="A391" s="68" t="s">
        <v>362</v>
      </c>
      <c r="B391" s="74">
        <v>5</v>
      </c>
      <c r="C391" s="68" t="s">
        <v>363</v>
      </c>
      <c r="D391" s="68" t="s">
        <v>364</v>
      </c>
      <c r="E391" s="75">
        <f>60*F391*'THAM_SO_MOI'!$C$53/(2*PI()*'THAM_SO_MOI'!$C$26)</f>
        <v>1467.6305263157892</v>
      </c>
      <c r="F391" s="75">
        <f>'THAM_SO_MOI'!$E$53+('THAM_SO_MOI'!$C$14-'THAM_SO_MOI'!$E$53)*385/'THAM_SO_MOI'!$C$42</f>
        <v>14.89582264957265</v>
      </c>
      <c r="G391" s="75">
        <f>3.6*F391</f>
        <v>53.62496153846154</v>
      </c>
      <c r="H391" s="75">
        <f>'THAM_SO_MOI'!$D$53</f>
        <v>1.1</v>
      </c>
      <c r="I391" s="75">
        <f>IF(F391&gt;'THAM_SO_MOI'!$C$14,'THAM_SO_MOI'!$C$13*(1+F391^2/1500),'THAM_SO_MOI'!$C$13)</f>
        <v>0.015</v>
      </c>
      <c r="J391" s="75">
        <f>'THAM_SO_MOI'!$C$40*('THAM_SO_MOI'!$C$23*(E391/'THAM_SO_MOI'!$C$22)+'THAM_SO_MOI'!$C$24*(E391/'THAM_SO_MOI'!$C$22)^2-'THAM_SO_MOI'!$C$25*(E391/'THAM_SO_MOI'!$C$22)^3)</f>
        <v>62.451822061468086</v>
      </c>
      <c r="K391" s="75">
        <f>'THAM_SO_MOI'!$C$31*J391/E391</f>
        <v>406.4261989606153</v>
      </c>
      <c r="L391" s="75">
        <f>K391*'THAM_SO_MOI'!$C$53*'THAM_SO_MOI'!$C$17/'THAM_SO_MOI'!$C$26</f>
        <v>3564.3593552175334</v>
      </c>
      <c r="M391" s="75">
        <f>'THAM_SO_MOI'!$C$15*'THAM_SO_MOI'!$C$16*F391^2</f>
        <v>649.0151822920006</v>
      </c>
      <c r="N391" s="75">
        <f>'THAM_SO_MOI'!$C$12*I391</f>
        <v>1130.112</v>
      </c>
      <c r="O391" s="75">
        <f>M391+N391</f>
        <v>1779.1271822920007</v>
      </c>
      <c r="P391" s="75">
        <f>(MIN(L391,'THAM_SO_MOI'!$C$41)-O391)/('THAM_SO_MOI'!$C$11*H391)</f>
        <v>0.21132009622698067</v>
      </c>
      <c r="Q391" s="75">
        <f>IF(P391&gt;0,1/P391,NA())</f>
        <v>4.732157602871294</v>
      </c>
      <c r="R391" s="75">
        <f>F391-F390</f>
        <v>0.017600427350426884</v>
      </c>
      <c r="S391" s="75">
        <f>0.5*(Q390+Q391)*R391</f>
        <v>0.08327633220630423</v>
      </c>
      <c r="T391" s="75">
        <f>0.5*(F390*Q390+F391*Q391)*R391</f>
        <v>1.239736728579257</v>
      </c>
      <c r="U391" s="76">
        <f>U390+S391</f>
        <v>32.290824971943564</v>
      </c>
      <c r="V391" s="76">
        <f>V390+T391</f>
        <v>370.218676869913</v>
      </c>
    </row>
    <row r="392" spans="1:22" ht="19" customHeight="1">
      <c r="A392" s="68" t="s">
        <v>362</v>
      </c>
      <c r="B392" s="74">
        <v>5</v>
      </c>
      <c r="C392" s="68" t="s">
        <v>363</v>
      </c>
      <c r="D392" s="68" t="s">
        <v>364</v>
      </c>
      <c r="E392" s="75">
        <f>60*F392*'THAM_SO_MOI'!$C$53/(2*PI()*'THAM_SO_MOI'!$C$26)</f>
        <v>1469.3646315789472</v>
      </c>
      <c r="F392" s="75">
        <f>'THAM_SO_MOI'!$E$53+('THAM_SO_MOI'!$C$14-'THAM_SO_MOI'!$E$53)*386/'THAM_SO_MOI'!$C$42</f>
        <v>14.913423076923078</v>
      </c>
      <c r="G392" s="75">
        <f>3.6*F392</f>
        <v>53.68832307692308</v>
      </c>
      <c r="H392" s="75">
        <f>'THAM_SO_MOI'!$D$53</f>
        <v>1.1</v>
      </c>
      <c r="I392" s="75">
        <f>IF(F392&gt;'THAM_SO_MOI'!$C$14,'THAM_SO_MOI'!$C$13*(1+F392^2/1500),'THAM_SO_MOI'!$C$13)</f>
        <v>0.015</v>
      </c>
      <c r="J392" s="75">
        <f>'THAM_SO_MOI'!$C$40*('THAM_SO_MOI'!$C$23*(E392/'THAM_SO_MOI'!$C$22)+'THAM_SO_MOI'!$C$24*(E392/'THAM_SO_MOI'!$C$22)^2-'THAM_SO_MOI'!$C$25*(E392/'THAM_SO_MOI'!$C$22)^3)</f>
        <v>62.543682833634314</v>
      </c>
      <c r="K392" s="75">
        <f>'THAM_SO_MOI'!$C$31*J392/E392</f>
        <v>406.5436548034141</v>
      </c>
      <c r="L392" s="75">
        <f>K392*'THAM_SO_MOI'!$C$53*'THAM_SO_MOI'!$C$17/'THAM_SO_MOI'!$C$26</f>
        <v>3565.38944341848</v>
      </c>
      <c r="M392" s="75">
        <f>'THAM_SO_MOI'!$C$15*'THAM_SO_MOI'!$C$16*F392^2</f>
        <v>650.5497995235578</v>
      </c>
      <c r="N392" s="75">
        <f>'THAM_SO_MOI'!$C$12*I392</f>
        <v>1130.112</v>
      </c>
      <c r="O392" s="75">
        <f>M392+N392</f>
        <v>1780.6617995235579</v>
      </c>
      <c r="P392" s="75">
        <f>(MIN(L392,'THAM_SO_MOI'!$C$41)-O392)/('THAM_SO_MOI'!$C$11*H392)</f>
        <v>0.21126037451407695</v>
      </c>
      <c r="Q392" s="75">
        <f>IF(P392&gt;0,1/P392,NA())</f>
        <v>4.733495348098831</v>
      </c>
      <c r="R392" s="75">
        <f>F392-F391</f>
        <v>0.017600427350426884</v>
      </c>
      <c r="S392" s="75">
        <f>0.5*(Q391+Q392)*R392</f>
        <v>0.08329976854395175</v>
      </c>
      <c r="T392" s="75">
        <f>0.5*(F391*Q391+F392*Q392)*R392</f>
        <v>1.2415517383434602</v>
      </c>
      <c r="U392" s="76">
        <f>U391+S392</f>
        <v>32.37412474048752</v>
      </c>
      <c r="V392" s="76">
        <f>V391+T392</f>
        <v>371.46022860825644</v>
      </c>
    </row>
    <row r="393" spans="1:22" ht="19" customHeight="1">
      <c r="A393" s="68" t="s">
        <v>362</v>
      </c>
      <c r="B393" s="74">
        <v>5</v>
      </c>
      <c r="C393" s="68" t="s">
        <v>363</v>
      </c>
      <c r="D393" s="68" t="s">
        <v>364</v>
      </c>
      <c r="E393" s="75">
        <f>60*F393*'THAM_SO_MOI'!$C$53/(2*PI()*'THAM_SO_MOI'!$C$26)</f>
        <v>1471.0987368421052</v>
      </c>
      <c r="F393" s="75">
        <f>'THAM_SO_MOI'!$E$53+('THAM_SO_MOI'!$C$14-'THAM_SO_MOI'!$E$53)*387/'THAM_SO_MOI'!$C$42</f>
        <v>14.931023504273504</v>
      </c>
      <c r="G393" s="75">
        <f>3.6*F393</f>
        <v>53.75168461538462</v>
      </c>
      <c r="H393" s="75">
        <f>'THAM_SO_MOI'!$D$53</f>
        <v>1.1</v>
      </c>
      <c r="I393" s="75">
        <f>IF(F393&gt;'THAM_SO_MOI'!$C$14,'THAM_SO_MOI'!$C$13*(1+F393^2/1500),'THAM_SO_MOI'!$C$13)</f>
        <v>0.015</v>
      </c>
      <c r="J393" s="75">
        <f>'THAM_SO_MOI'!$C$40*('THAM_SO_MOI'!$C$23*(E393/'THAM_SO_MOI'!$C$22)+'THAM_SO_MOI'!$C$24*(E393/'THAM_SO_MOI'!$C$22)^2-'THAM_SO_MOI'!$C$25*(E393/'THAM_SO_MOI'!$C$22)^3)</f>
        <v>62.635541322260146</v>
      </c>
      <c r="K393" s="75">
        <f>'THAM_SO_MOI'!$C$31*J393/E393</f>
        <v>406.660818910588</v>
      </c>
      <c r="L393" s="75">
        <f>K393*'THAM_SO_MOI'!$C$53*'THAM_SO_MOI'!$C$17/'THAM_SO_MOI'!$C$26</f>
        <v>3566.4169730968547</v>
      </c>
      <c r="M393" s="75">
        <f>'THAM_SO_MOI'!$C$15*'THAM_SO_MOI'!$C$16*F393^2</f>
        <v>652.086228939116</v>
      </c>
      <c r="N393" s="75">
        <f>'THAM_SO_MOI'!$C$12*I393</f>
        <v>1130.112</v>
      </c>
      <c r="O393" s="75">
        <f>M393+N393</f>
        <v>1782.1982289391162</v>
      </c>
      <c r="P393" s="75">
        <f>(MIN(L393,'THAM_SO_MOI'!$C$41)-O393)/('THAM_SO_MOI'!$C$11*H393)</f>
        <v>0.21120013543533836</v>
      </c>
      <c r="Q393" s="75">
        <f>IF(P393&gt;0,1/P393,NA())</f>
        <v>4.734845448553999</v>
      </c>
      <c r="R393" s="75">
        <f>F393-F392</f>
        <v>0.017600427350426884</v>
      </c>
      <c r="S393" s="75">
        <f>0.5*(Q392+Q393)*R393</f>
        <v>0.08332342216028557</v>
      </c>
      <c r="T393" s="75">
        <f>0.5*(F392*Q392+F393*Q393)*R393</f>
        <v>1.2433708153694238</v>
      </c>
      <c r="U393" s="76">
        <f>U392+S393</f>
        <v>32.4574481626478</v>
      </c>
      <c r="V393" s="76">
        <f>V392+T393</f>
        <v>372.70359942362586</v>
      </c>
    </row>
    <row r="394" spans="1:22" ht="19" customHeight="1">
      <c r="A394" s="68" t="s">
        <v>362</v>
      </c>
      <c r="B394" s="74">
        <v>5</v>
      </c>
      <c r="C394" s="68" t="s">
        <v>363</v>
      </c>
      <c r="D394" s="68" t="s">
        <v>364</v>
      </c>
      <c r="E394" s="75">
        <f>60*F394*'THAM_SO_MOI'!$C$53/(2*PI()*'THAM_SO_MOI'!$C$26)</f>
        <v>1472.832842105263</v>
      </c>
      <c r="F394" s="75">
        <f>'THAM_SO_MOI'!$E$53+('THAM_SO_MOI'!$C$14-'THAM_SO_MOI'!$E$53)*388/'THAM_SO_MOI'!$C$42</f>
        <v>14.948623931623931</v>
      </c>
      <c r="G394" s="75">
        <f>3.6*F394</f>
        <v>53.815046153846154</v>
      </c>
      <c r="H394" s="75">
        <f>'THAM_SO_MOI'!$D$53</f>
        <v>1.1</v>
      </c>
      <c r="I394" s="75">
        <f>IF(F394&gt;'THAM_SO_MOI'!$C$14,'THAM_SO_MOI'!$C$13*(1+F394^2/1500),'THAM_SO_MOI'!$C$13)</f>
        <v>0.015</v>
      </c>
      <c r="J394" s="75">
        <f>'THAM_SO_MOI'!$C$40*('THAM_SO_MOI'!$C$23*(E394/'THAM_SO_MOI'!$C$22)+'THAM_SO_MOI'!$C$24*(E394/'THAM_SO_MOI'!$C$22)^2-'THAM_SO_MOI'!$C$25*(E394/'THAM_SO_MOI'!$C$22)^3)</f>
        <v>62.72739736844227</v>
      </c>
      <c r="K394" s="75">
        <f>'THAM_SO_MOI'!$C$31*J394/E394</f>
        <v>406.77769128213674</v>
      </c>
      <c r="L394" s="75">
        <f>K394*'THAM_SO_MOI'!$C$53*'THAM_SO_MOI'!$C$17/'THAM_SO_MOI'!$C$26</f>
        <v>3567.4419442526546</v>
      </c>
      <c r="M394" s="75">
        <f>'THAM_SO_MOI'!$C$15*'THAM_SO_MOI'!$C$16*F394^2</f>
        <v>653.6244705386753</v>
      </c>
      <c r="N394" s="75">
        <f>'THAM_SO_MOI'!$C$12*I394</f>
        <v>1130.112</v>
      </c>
      <c r="O394" s="75">
        <f>M394+N394</f>
        <v>1783.7364705386753</v>
      </c>
      <c r="P394" s="75">
        <f>(MIN(L394,'THAM_SO_MOI'!$C$41)-O394)/('THAM_SO_MOI'!$C$11*H394)</f>
        <v>0.2111393789907646</v>
      </c>
      <c r="Q394" s="75">
        <f>IF(P394&gt;0,1/P394,NA())</f>
        <v>4.736207924736488</v>
      </c>
      <c r="R394" s="75">
        <f>F394-F393</f>
        <v>0.017600427350426884</v>
      </c>
      <c r="S394" s="75">
        <f>0.5*(Q393+Q394)*R394</f>
        <v>0.08334729341430736</v>
      </c>
      <c r="T394" s="75">
        <f>0.5*(F393*Q393+F394*Q394)*R394</f>
        <v>1.2451939764931792</v>
      </c>
      <c r="U394" s="76">
        <f>U393+S394</f>
        <v>32.540795456062106</v>
      </c>
      <c r="V394" s="76">
        <f>V393+T394</f>
        <v>373.94879340011903</v>
      </c>
    </row>
    <row r="395" spans="1:22" ht="19" customHeight="1">
      <c r="A395" s="68" t="s">
        <v>362</v>
      </c>
      <c r="B395" s="74">
        <v>5</v>
      </c>
      <c r="C395" s="68" t="s">
        <v>363</v>
      </c>
      <c r="D395" s="68" t="s">
        <v>364</v>
      </c>
      <c r="E395" s="75">
        <f>60*F395*'THAM_SO_MOI'!$C$53/(2*PI()*'THAM_SO_MOI'!$C$26)</f>
        <v>1474.5669473684206</v>
      </c>
      <c r="F395" s="75">
        <f>'THAM_SO_MOI'!$E$53+('THAM_SO_MOI'!$C$14-'THAM_SO_MOI'!$E$53)*389/'THAM_SO_MOI'!$C$42</f>
        <v>14.966224358974358</v>
      </c>
      <c r="G395" s="75">
        <f>3.6*F395</f>
        <v>53.87840769230769</v>
      </c>
      <c r="H395" s="75">
        <f>'THAM_SO_MOI'!$D$53</f>
        <v>1.1</v>
      </c>
      <c r="I395" s="75">
        <f>IF(F395&gt;'THAM_SO_MOI'!$C$14,'THAM_SO_MOI'!$C$13*(1+F395^2/1500),'THAM_SO_MOI'!$C$13)</f>
        <v>0.015</v>
      </c>
      <c r="J395" s="75">
        <f>'THAM_SO_MOI'!$C$40*('THAM_SO_MOI'!$C$23*(E395/'THAM_SO_MOI'!$C$22)+'THAM_SO_MOI'!$C$24*(E395/'THAM_SO_MOI'!$C$22)^2-'THAM_SO_MOI'!$C$25*(E395/'THAM_SO_MOI'!$C$22)^3)</f>
        <v>62.81925081327741</v>
      </c>
      <c r="K395" s="75">
        <f>'THAM_SO_MOI'!$C$31*J395/E395</f>
        <v>406.8942719180604</v>
      </c>
      <c r="L395" s="75">
        <f>K395*'THAM_SO_MOI'!$C$53*'THAM_SO_MOI'!$C$17/'THAM_SO_MOI'!$C$26</f>
        <v>3568.464356885882</v>
      </c>
      <c r="M395" s="75">
        <f>'THAM_SO_MOI'!$C$15*'THAM_SO_MOI'!$C$16*F395^2</f>
        <v>655.1645243222356</v>
      </c>
      <c r="N395" s="75">
        <f>'THAM_SO_MOI'!$C$12*I395</f>
        <v>1130.112</v>
      </c>
      <c r="O395" s="75">
        <f>M395+N395</f>
        <v>1785.2765243222357</v>
      </c>
      <c r="P395" s="75">
        <f>(MIN(L395,'THAM_SO_MOI'!$C$41)-O395)/('THAM_SO_MOI'!$C$11*H395)</f>
        <v>0.21107810518035586</v>
      </c>
      <c r="Q395" s="75">
        <f>IF(P395&gt;0,1/P395,NA())</f>
        <v>4.737582797351479</v>
      </c>
      <c r="R395" s="75">
        <f>F395-F394</f>
        <v>0.017600427350426884</v>
      </c>
      <c r="S395" s="75">
        <f>0.5*(Q394+Q395)*R395</f>
        <v>0.08337138266862874</v>
      </c>
      <c r="T395" s="75">
        <f>0.5*(F394*Q394+F395*Q395)*R395</f>
        <v>1.2470212386300281</v>
      </c>
      <c r="U395" s="76">
        <f>U394+S395</f>
        <v>32.62416683873074</v>
      </c>
      <c r="V395" s="76">
        <f>V394+T395</f>
        <v>375.1958146387491</v>
      </c>
    </row>
    <row r="396" spans="1:22" ht="19" customHeight="1">
      <c r="A396" s="68" t="s">
        <v>362</v>
      </c>
      <c r="B396" s="74">
        <v>5</v>
      </c>
      <c r="C396" s="68" t="s">
        <v>363</v>
      </c>
      <c r="D396" s="68" t="s">
        <v>364</v>
      </c>
      <c r="E396" s="75">
        <f>60*F396*'THAM_SO_MOI'!$C$53/(2*PI()*'THAM_SO_MOI'!$C$26)</f>
        <v>1476.3010526315784</v>
      </c>
      <c r="F396" s="75">
        <f>'THAM_SO_MOI'!$E$53+('THAM_SO_MOI'!$C$14-'THAM_SO_MOI'!$E$53)*390/'THAM_SO_MOI'!$C$42</f>
        <v>14.983824786324785</v>
      </c>
      <c r="G396" s="75">
        <f>3.6*F396</f>
        <v>53.941769230769225</v>
      </c>
      <c r="H396" s="75">
        <f>'THAM_SO_MOI'!$D$53</f>
        <v>1.1</v>
      </c>
      <c r="I396" s="75">
        <f>IF(F396&gt;'THAM_SO_MOI'!$C$14,'THAM_SO_MOI'!$C$13*(1+F396^2/1500),'THAM_SO_MOI'!$C$13)</f>
        <v>0.015</v>
      </c>
      <c r="J396" s="75">
        <f>'THAM_SO_MOI'!$C$40*('THAM_SO_MOI'!$C$23*(E396/'THAM_SO_MOI'!$C$22)+'THAM_SO_MOI'!$C$24*(E396/'THAM_SO_MOI'!$C$22)^2-'THAM_SO_MOI'!$C$25*(E396/'THAM_SO_MOI'!$C$22)^3)</f>
        <v>62.9111014978623</v>
      </c>
      <c r="K396" s="75">
        <f>'THAM_SO_MOI'!$C$31*J396/E396</f>
        <v>407.01056081835895</v>
      </c>
      <c r="L396" s="75">
        <f>K396*'THAM_SO_MOI'!$C$53*'THAM_SO_MOI'!$C$17/'THAM_SO_MOI'!$C$26</f>
        <v>3569.484210996535</v>
      </c>
      <c r="M396" s="75">
        <f>'THAM_SO_MOI'!$C$15*'THAM_SO_MOI'!$C$16*F396^2</f>
        <v>656.706390289797</v>
      </c>
      <c r="N396" s="75">
        <f>'THAM_SO_MOI'!$C$12*I396</f>
        <v>1130.112</v>
      </c>
      <c r="O396" s="75">
        <f>M396+N396</f>
        <v>1786.8183902897972</v>
      </c>
      <c r="P396" s="75">
        <f>(MIN(L396,'THAM_SO_MOI'!$C$41)-O396)/('THAM_SO_MOI'!$C$11*H396)</f>
        <v>0.21101631400411192</v>
      </c>
      <c r="Q396" s="75">
        <f>IF(P396&gt;0,1/P396,NA())</f>
        <v>4.738970087310471</v>
      </c>
      <c r="R396" s="75">
        <f>F396-F395</f>
        <v>0.017600427350426884</v>
      </c>
      <c r="S396" s="75">
        <f>0.5*(Q395+Q396)*R396</f>
        <v>0.08339569028948547</v>
      </c>
      <c r="T396" s="75">
        <f>0.5*(F395*Q395+F396*Q396)*R396</f>
        <v>1.2488526187750701</v>
      </c>
      <c r="U396" s="76">
        <f>U395+S396</f>
        <v>32.70756252902022</v>
      </c>
      <c r="V396" s="76">
        <f>V395+T396</f>
        <v>376.44466725752415</v>
      </c>
    </row>
    <row r="397" spans="1:22" ht="19" customHeight="1">
      <c r="A397" s="68" t="s">
        <v>362</v>
      </c>
      <c r="B397" s="74">
        <v>5</v>
      </c>
      <c r="C397" s="68" t="s">
        <v>363</v>
      </c>
      <c r="D397" s="68" t="s">
        <v>364</v>
      </c>
      <c r="E397" s="75">
        <f>60*F397*'THAM_SO_MOI'!$C$53/(2*PI()*'THAM_SO_MOI'!$C$26)</f>
        <v>1478.0351578947366</v>
      </c>
      <c r="F397" s="75">
        <f>'THAM_SO_MOI'!$E$53+('THAM_SO_MOI'!$C$14-'THAM_SO_MOI'!$E$53)*391/'THAM_SO_MOI'!$C$42</f>
        <v>15.001425213675216</v>
      </c>
      <c r="G397" s="75">
        <f>3.6*F397</f>
        <v>54.005130769230774</v>
      </c>
      <c r="H397" s="75">
        <f>'THAM_SO_MOI'!$D$53</f>
        <v>1.1</v>
      </c>
      <c r="I397" s="75">
        <f>IF(F397&gt;'THAM_SO_MOI'!$C$14,'THAM_SO_MOI'!$C$13*(1+F397^2/1500),'THAM_SO_MOI'!$C$13)</f>
        <v>0.015</v>
      </c>
      <c r="J397" s="75">
        <f>'THAM_SO_MOI'!$C$40*('THAM_SO_MOI'!$C$23*(E397/'THAM_SO_MOI'!$C$22)+'THAM_SO_MOI'!$C$24*(E397/'THAM_SO_MOI'!$C$22)^2-'THAM_SO_MOI'!$C$25*(E397/'THAM_SO_MOI'!$C$22)^3)</f>
        <v>63.00294926329372</v>
      </c>
      <c r="K397" s="75">
        <f>'THAM_SO_MOI'!$C$31*J397/E397</f>
        <v>407.12655798303274</v>
      </c>
      <c r="L397" s="75">
        <f>K397*'THAM_SO_MOI'!$C$53*'THAM_SO_MOI'!$C$17/'THAM_SO_MOI'!$C$26</f>
        <v>3570.5015065846173</v>
      </c>
      <c r="M397" s="75">
        <f>'THAM_SO_MOI'!$C$15*'THAM_SO_MOI'!$C$16*F397^2</f>
        <v>658.2500684413598</v>
      </c>
      <c r="N397" s="75">
        <f>'THAM_SO_MOI'!$C$12*I397</f>
        <v>1130.112</v>
      </c>
      <c r="O397" s="75">
        <f>M397+N397</f>
        <v>1788.36206844136</v>
      </c>
      <c r="P397" s="75">
        <f>(MIN(L397,'THAM_SO_MOI'!$C$41)-O397)/('THAM_SO_MOI'!$C$11*H397)</f>
        <v>0.2109540054620333</v>
      </c>
      <c r="Q397" s="75">
        <f>IF(P397&gt;0,1/P397,NA())</f>
        <v>4.740369815732066</v>
      </c>
      <c r="R397" s="75">
        <f>F397-F396</f>
        <v>0.017600427350430436</v>
      </c>
      <c r="S397" s="75">
        <f>0.5*(Q396+Q397)*R397</f>
        <v>0.08342021664676823</v>
      </c>
      <c r="T397" s="75">
        <f>0.5*(F396*Q396+F397*Q397)*R397</f>
        <v>1.2506881340039868</v>
      </c>
      <c r="U397" s="76">
        <f>U396+S397</f>
        <v>32.79098274566699</v>
      </c>
      <c r="V397" s="76">
        <f>V396+T397</f>
        <v>377.69535539152815</v>
      </c>
    </row>
    <row r="398" spans="1:22" ht="19" customHeight="1">
      <c r="A398" s="68" t="s">
        <v>362</v>
      </c>
      <c r="B398" s="74">
        <v>5</v>
      </c>
      <c r="C398" s="68" t="s">
        <v>363</v>
      </c>
      <c r="D398" s="68" t="s">
        <v>364</v>
      </c>
      <c r="E398" s="75">
        <f>60*F398*'THAM_SO_MOI'!$C$53/(2*PI()*'THAM_SO_MOI'!$C$26)</f>
        <v>1479.7692631578943</v>
      </c>
      <c r="F398" s="75">
        <f>'THAM_SO_MOI'!$E$53+('THAM_SO_MOI'!$C$14-'THAM_SO_MOI'!$E$53)*392/'THAM_SO_MOI'!$C$42</f>
        <v>15.019025641025642</v>
      </c>
      <c r="G398" s="75">
        <f>3.6*F398</f>
        <v>54.06849230769232</v>
      </c>
      <c r="H398" s="75">
        <f>'THAM_SO_MOI'!$D$53</f>
        <v>1.1</v>
      </c>
      <c r="I398" s="75">
        <f>IF(F398&gt;'THAM_SO_MOI'!$C$14,'THAM_SO_MOI'!$C$13*(1+F398^2/1500),'THAM_SO_MOI'!$C$13)</f>
        <v>0.015</v>
      </c>
      <c r="J398" s="75">
        <f>'THAM_SO_MOI'!$C$40*('THAM_SO_MOI'!$C$23*(E398/'THAM_SO_MOI'!$C$22)+'THAM_SO_MOI'!$C$24*(E398/'THAM_SO_MOI'!$C$22)^2-'THAM_SO_MOI'!$C$25*(E398/'THAM_SO_MOI'!$C$22)^3)</f>
        <v>63.09479395066829</v>
      </c>
      <c r="K398" s="75">
        <f>'THAM_SO_MOI'!$C$31*J398/E398</f>
        <v>407.2422634120813</v>
      </c>
      <c r="L398" s="75">
        <f>K398*'THAM_SO_MOI'!$C$53*'THAM_SO_MOI'!$C$17/'THAM_SO_MOI'!$C$26</f>
        <v>3571.516243650125</v>
      </c>
      <c r="M398" s="75">
        <f>'THAM_SO_MOI'!$C$15*'THAM_SO_MOI'!$C$16*F398^2</f>
        <v>659.7955587769233</v>
      </c>
      <c r="N398" s="75">
        <f>'THAM_SO_MOI'!$C$12*I398</f>
        <v>1130.112</v>
      </c>
      <c r="O398" s="75">
        <f>M398+N398</f>
        <v>1789.9075587769235</v>
      </c>
      <c r="P398" s="75">
        <f>(MIN(L398,'THAM_SO_MOI'!$C$41)-O398)/('THAM_SO_MOI'!$C$11*H398)</f>
        <v>0.2108911795541195</v>
      </c>
      <c r="Q398" s="75">
        <f>IF(P398&gt;0,1/P398,NA())</f>
        <v>4.74178200394283</v>
      </c>
      <c r="R398" s="75">
        <f>F398-F397</f>
        <v>0.017600427350426884</v>
      </c>
      <c r="S398" s="75">
        <f>0.5*(Q397+Q398)*R398</f>
        <v>0.08344496211395305</v>
      </c>
      <c r="T398" s="75">
        <f>0.5*(F397*Q397+F398*Q398)*R398</f>
        <v>1.2525278014723171</v>
      </c>
      <c r="U398" s="76">
        <f>U397+S398</f>
        <v>32.87442770778094</v>
      </c>
      <c r="V398" s="76">
        <f>V397+T398</f>
        <v>378.94788319300045</v>
      </c>
    </row>
    <row r="399" spans="1:22" ht="19" customHeight="1">
      <c r="A399" s="68" t="s">
        <v>362</v>
      </c>
      <c r="B399" s="74">
        <v>5</v>
      </c>
      <c r="C399" s="68" t="s">
        <v>363</v>
      </c>
      <c r="D399" s="68" t="s">
        <v>364</v>
      </c>
      <c r="E399" s="75">
        <f>60*F399*'THAM_SO_MOI'!$C$53/(2*PI()*'THAM_SO_MOI'!$C$26)</f>
        <v>1481.5033684210523</v>
      </c>
      <c r="F399" s="75">
        <f>'THAM_SO_MOI'!$E$53+('THAM_SO_MOI'!$C$14-'THAM_SO_MOI'!$E$53)*393/'THAM_SO_MOI'!$C$42</f>
        <v>15.03662606837607</v>
      </c>
      <c r="G399" s="75">
        <f>3.6*F399</f>
        <v>54.13185384615385</v>
      </c>
      <c r="H399" s="75">
        <f>'THAM_SO_MOI'!$D$53</f>
        <v>1.1</v>
      </c>
      <c r="I399" s="75">
        <f>IF(F399&gt;'THAM_SO_MOI'!$C$14,'THAM_SO_MOI'!$C$13*(1+F399^2/1500),'THAM_SO_MOI'!$C$13)</f>
        <v>0.015</v>
      </c>
      <c r="J399" s="75">
        <f>'THAM_SO_MOI'!$C$40*('THAM_SO_MOI'!$C$23*(E399/'THAM_SO_MOI'!$C$22)+'THAM_SO_MOI'!$C$24*(E399/'THAM_SO_MOI'!$C$22)^2-'THAM_SO_MOI'!$C$25*(E399/'THAM_SO_MOI'!$C$22)^3)</f>
        <v>63.18663540108278</v>
      </c>
      <c r="K399" s="75">
        <f>'THAM_SO_MOI'!$C$31*J399/E399</f>
        <v>407.3576771055049</v>
      </c>
      <c r="L399" s="75">
        <f>K399*'THAM_SO_MOI'!$C$53*'THAM_SO_MOI'!$C$17/'THAM_SO_MOI'!$C$26</f>
        <v>3572.52842219306</v>
      </c>
      <c r="M399" s="75">
        <f>'THAM_SO_MOI'!$C$15*'THAM_SO_MOI'!$C$16*F399^2</f>
        <v>661.3428612964879</v>
      </c>
      <c r="N399" s="75">
        <f>'THAM_SO_MOI'!$C$12*I399</f>
        <v>1130.112</v>
      </c>
      <c r="O399" s="75">
        <f>M399+N399</f>
        <v>1791.454861296488</v>
      </c>
      <c r="P399" s="75">
        <f>(MIN(L399,'THAM_SO_MOI'!$C$41)-O399)/('THAM_SO_MOI'!$C$11*H399)</f>
        <v>0.2108278362803708</v>
      </c>
      <c r="Q399" s="75">
        <f>IF(P399&gt;0,1/P399,NA())</f>
        <v>4.7432066734780856</v>
      </c>
      <c r="R399" s="75">
        <f>F399-F398</f>
        <v>0.017600427350426884</v>
      </c>
      <c r="S399" s="75">
        <f>0.5*(Q398+Q399)*R399</f>
        <v>0.0834699270682842</v>
      </c>
      <c r="T399" s="75">
        <f>0.5*(F398*Q398+F399*Q399)*R399</f>
        <v>1.2543716384185226</v>
      </c>
      <c r="U399" s="76">
        <f>U398+S399</f>
        <v>32.957897634849225</v>
      </c>
      <c r="V399" s="76">
        <f>V398+T399</f>
        <v>380.202254831419</v>
      </c>
    </row>
    <row r="400" spans="1:22" ht="19" customHeight="1">
      <c r="A400" s="68" t="s">
        <v>362</v>
      </c>
      <c r="B400" s="74">
        <v>5</v>
      </c>
      <c r="C400" s="68" t="s">
        <v>363</v>
      </c>
      <c r="D400" s="68" t="s">
        <v>364</v>
      </c>
      <c r="E400" s="75">
        <f>60*F400*'THAM_SO_MOI'!$C$53/(2*PI()*'THAM_SO_MOI'!$C$26)</f>
        <v>1483.2374736842105</v>
      </c>
      <c r="F400" s="75">
        <f>'THAM_SO_MOI'!$E$53+('THAM_SO_MOI'!$C$14-'THAM_SO_MOI'!$E$53)*394/'THAM_SO_MOI'!$C$42</f>
        <v>15.054226495726496</v>
      </c>
      <c r="G400" s="75">
        <f>3.6*F400</f>
        <v>54.19521538461539</v>
      </c>
      <c r="H400" s="75">
        <f>'THAM_SO_MOI'!$D$53</f>
        <v>1.1</v>
      </c>
      <c r="I400" s="75">
        <f>IF(F400&gt;'THAM_SO_MOI'!$C$14,'THAM_SO_MOI'!$C$13*(1+F400^2/1500),'THAM_SO_MOI'!$C$13)</f>
        <v>0.015</v>
      </c>
      <c r="J400" s="75">
        <f>'THAM_SO_MOI'!$C$40*('THAM_SO_MOI'!$C$23*(E400/'THAM_SO_MOI'!$C$22)+'THAM_SO_MOI'!$C$24*(E400/'THAM_SO_MOI'!$C$22)^2-'THAM_SO_MOI'!$C$25*(E400/'THAM_SO_MOI'!$C$22)^3)</f>
        <v>63.27847345563394</v>
      </c>
      <c r="K400" s="75">
        <f>'THAM_SO_MOI'!$C$31*J400/E400</f>
        <v>407.47279906330346</v>
      </c>
      <c r="L400" s="75">
        <f>K400*'THAM_SO_MOI'!$C$53*'THAM_SO_MOI'!$C$17/'THAM_SO_MOI'!$C$26</f>
        <v>3573.5380422134217</v>
      </c>
      <c r="M400" s="75">
        <f>'THAM_SO_MOI'!$C$15*'THAM_SO_MOI'!$C$16*F400^2</f>
        <v>662.8919760000535</v>
      </c>
      <c r="N400" s="75">
        <f>'THAM_SO_MOI'!$C$12*I400</f>
        <v>1130.112</v>
      </c>
      <c r="O400" s="75">
        <f>M400+N400</f>
        <v>1793.0039760000536</v>
      </c>
      <c r="P400" s="75">
        <f>(MIN(L400,'THAM_SO_MOI'!$C$41)-O400)/('THAM_SO_MOI'!$C$11*H400)</f>
        <v>0.21076397564078694</v>
      </c>
      <c r="Q400" s="75">
        <f>IF(P400&gt;0,1/P400,NA())</f>
        <v>4.744643846082776</v>
      </c>
      <c r="R400" s="75">
        <f>F400-F399</f>
        <v>0.017600427350426884</v>
      </c>
      <c r="S400" s="75">
        <f>0.5*(Q399+Q400)*R400</f>
        <v>0.08349511189062045</v>
      </c>
      <c r="T400" s="75">
        <f>0.5*(F399*Q399+F400*Q400)*R400</f>
        <v>1.256219662162005</v>
      </c>
      <c r="U400" s="76">
        <f>U399+S400</f>
        <v>33.041392746739845</v>
      </c>
      <c r="V400" s="76">
        <f>V399+T400</f>
        <v>381.458474493581</v>
      </c>
    </row>
    <row r="401" spans="1:22" ht="19" customHeight="1">
      <c r="A401" s="68" t="s">
        <v>362</v>
      </c>
      <c r="B401" s="74">
        <v>5</v>
      </c>
      <c r="C401" s="68" t="s">
        <v>363</v>
      </c>
      <c r="D401" s="68" t="s">
        <v>364</v>
      </c>
      <c r="E401" s="75">
        <f>60*F401*'THAM_SO_MOI'!$C$53/(2*PI()*'THAM_SO_MOI'!$C$26)</f>
        <v>1484.9715789473682</v>
      </c>
      <c r="F401" s="75">
        <f>'THAM_SO_MOI'!$E$53+('THAM_SO_MOI'!$C$14-'THAM_SO_MOI'!$E$53)*395/'THAM_SO_MOI'!$C$42</f>
        <v>15.071826923076923</v>
      </c>
      <c r="G401" s="75">
        <f>3.6*F401</f>
        <v>54.25857692307692</v>
      </c>
      <c r="H401" s="75">
        <f>'THAM_SO_MOI'!$D$53</f>
        <v>1.1</v>
      </c>
      <c r="I401" s="75">
        <f>IF(F401&gt;'THAM_SO_MOI'!$C$14,'THAM_SO_MOI'!$C$13*(1+F401^2/1500),'THAM_SO_MOI'!$C$13)</f>
        <v>0.015</v>
      </c>
      <c r="J401" s="75">
        <f>'THAM_SO_MOI'!$C$40*('THAM_SO_MOI'!$C$23*(E401/'THAM_SO_MOI'!$C$22)+'THAM_SO_MOI'!$C$24*(E401/'THAM_SO_MOI'!$C$22)^2-'THAM_SO_MOI'!$C$25*(E401/'THAM_SO_MOI'!$C$22)^3)</f>
        <v>63.37030795541845</v>
      </c>
      <c r="K401" s="75">
        <f>'THAM_SO_MOI'!$C$31*J401/E401</f>
        <v>407.5876292854771</v>
      </c>
      <c r="L401" s="75">
        <f>K401*'THAM_SO_MOI'!$C$53*'THAM_SO_MOI'!$C$17/'THAM_SO_MOI'!$C$26</f>
        <v>3574.5451037112116</v>
      </c>
      <c r="M401" s="75">
        <f>'THAM_SO_MOI'!$C$15*'THAM_SO_MOI'!$C$16*F401^2</f>
        <v>664.4429028876203</v>
      </c>
      <c r="N401" s="75">
        <f>'THAM_SO_MOI'!$C$12*I401</f>
        <v>1130.112</v>
      </c>
      <c r="O401" s="75">
        <f>M401+N401</f>
        <v>1794.5549028876203</v>
      </c>
      <c r="P401" s="75">
        <f>(MIN(L401,'THAM_SO_MOI'!$C$41)-O401)/('THAM_SO_MOI'!$C$11*H401)</f>
        <v>0.21069959763536827</v>
      </c>
      <c r="Q401" s="75">
        <f>IF(P401&gt;0,1/P401,NA())</f>
        <v>4.746093543712297</v>
      </c>
      <c r="R401" s="75">
        <f>F401-F400</f>
        <v>0.017600427350426884</v>
      </c>
      <c r="S401" s="75">
        <f>0.5*(Q400+Q401)*R401</f>
        <v>0.08352051696553411</v>
      </c>
      <c r="T401" s="75">
        <f>0.5*(F400*Q400+F401*Q401)*R401</f>
        <v>1.2580718901049155</v>
      </c>
      <c r="U401" s="76">
        <f>U400+S401</f>
        <v>33.12491326370538</v>
      </c>
      <c r="V401" s="76">
        <f>V400+T401</f>
        <v>382.7165463836859</v>
      </c>
    </row>
    <row r="402" spans="1:22" ht="19" customHeight="1">
      <c r="A402" s="68" t="s">
        <v>362</v>
      </c>
      <c r="B402" s="74">
        <v>5</v>
      </c>
      <c r="C402" s="68" t="s">
        <v>363</v>
      </c>
      <c r="D402" s="68" t="s">
        <v>364</v>
      </c>
      <c r="E402" s="75">
        <f>60*F402*'THAM_SO_MOI'!$C$53/(2*PI()*'THAM_SO_MOI'!$C$26)</f>
        <v>1486.705684210526</v>
      </c>
      <c r="F402" s="75">
        <f>'THAM_SO_MOI'!$E$53+('THAM_SO_MOI'!$C$14-'THAM_SO_MOI'!$E$53)*396/'THAM_SO_MOI'!$C$42</f>
        <v>15.08942735042735</v>
      </c>
      <c r="G402" s="75">
        <f>3.6*F402</f>
        <v>54.32193846153846</v>
      </c>
      <c r="H402" s="75">
        <f>'THAM_SO_MOI'!$D$53</f>
        <v>1.1</v>
      </c>
      <c r="I402" s="75">
        <f>IF(F402&gt;'THAM_SO_MOI'!$C$14,'THAM_SO_MOI'!$C$13*(1+F402^2/1500),'THAM_SO_MOI'!$C$13)</f>
        <v>0.015</v>
      </c>
      <c r="J402" s="75">
        <f>'THAM_SO_MOI'!$C$40*('THAM_SO_MOI'!$C$23*(E402/'THAM_SO_MOI'!$C$22)+'THAM_SO_MOI'!$C$24*(E402/'THAM_SO_MOI'!$C$22)^2-'THAM_SO_MOI'!$C$25*(E402/'THAM_SO_MOI'!$C$22)^3)</f>
        <v>63.46213874153299</v>
      </c>
      <c r="K402" s="75">
        <f>'THAM_SO_MOI'!$C$31*J402/E402</f>
        <v>407.7021677720254</v>
      </c>
      <c r="L402" s="75">
        <f>K402*'THAM_SO_MOI'!$C$53*'THAM_SO_MOI'!$C$17/'THAM_SO_MOI'!$C$26</f>
        <v>3575.549606686426</v>
      </c>
      <c r="M402" s="75">
        <f>'THAM_SO_MOI'!$C$15*'THAM_SO_MOI'!$C$16*F402^2</f>
        <v>665.995641959188</v>
      </c>
      <c r="N402" s="75">
        <f>'THAM_SO_MOI'!$C$12*I402</f>
        <v>1130.112</v>
      </c>
      <c r="O402" s="75">
        <f>M402+N402</f>
        <v>1796.1076419591882</v>
      </c>
      <c r="P402" s="75">
        <f>(MIN(L402,'THAM_SO_MOI'!$C$41)-O402)/('THAM_SO_MOI'!$C$11*H402)</f>
        <v>0.21063470226411435</v>
      </c>
      <c r="Q402" s="75">
        <f>IF(P402&gt;0,1/P402,NA())</f>
        <v>4.747555788533375</v>
      </c>
      <c r="R402" s="75">
        <f>F402-F401</f>
        <v>0.017600427350426884</v>
      </c>
      <c r="S402" s="75">
        <f>0.5*(Q401+Q402)*R402</f>
        <v>0.0835461426813093</v>
      </c>
      <c r="T402" s="75">
        <f>0.5*(F401*Q401+F402*Q402)*R402</f>
        <v>1.2599283397324572</v>
      </c>
      <c r="U402" s="76">
        <f>U401+S402</f>
        <v>33.20845940638669</v>
      </c>
      <c r="V402" s="76">
        <f>V401+T402</f>
        <v>383.9764747234184</v>
      </c>
    </row>
    <row r="403" spans="1:22" ht="19" customHeight="1">
      <c r="A403" s="68" t="s">
        <v>362</v>
      </c>
      <c r="B403" s="74">
        <v>5</v>
      </c>
      <c r="C403" s="68" t="s">
        <v>363</v>
      </c>
      <c r="D403" s="68" t="s">
        <v>364</v>
      </c>
      <c r="E403" s="75">
        <f>60*F403*'THAM_SO_MOI'!$C$53/(2*PI()*'THAM_SO_MOI'!$C$26)</f>
        <v>1488.4397894736837</v>
      </c>
      <c r="F403" s="75">
        <f>'THAM_SO_MOI'!$E$53+('THAM_SO_MOI'!$C$14-'THAM_SO_MOI'!$E$53)*397/'THAM_SO_MOI'!$C$42</f>
        <v>15.107027777777777</v>
      </c>
      <c r="G403" s="75">
        <f>3.6*F403</f>
        <v>54.3853</v>
      </c>
      <c r="H403" s="75">
        <f>'THAM_SO_MOI'!$D$53</f>
        <v>1.1</v>
      </c>
      <c r="I403" s="75">
        <f>IF(F403&gt;'THAM_SO_MOI'!$C$14,'THAM_SO_MOI'!$C$13*(1+F403^2/1500),'THAM_SO_MOI'!$C$13)</f>
        <v>0.015</v>
      </c>
      <c r="J403" s="75">
        <f>'THAM_SO_MOI'!$C$40*('THAM_SO_MOI'!$C$23*(E403/'THAM_SO_MOI'!$C$22)+'THAM_SO_MOI'!$C$24*(E403/'THAM_SO_MOI'!$C$22)^2-'THAM_SO_MOI'!$C$25*(E403/'THAM_SO_MOI'!$C$22)^3)</f>
        <v>63.55396565507438</v>
      </c>
      <c r="K403" s="75">
        <f>'THAM_SO_MOI'!$C$31*J403/E403</f>
        <v>407.81641452294895</v>
      </c>
      <c r="L403" s="75">
        <f>K403*'THAM_SO_MOI'!$C$53*'THAM_SO_MOI'!$C$17/'THAM_SO_MOI'!$C$26</f>
        <v>3576.551551139069</v>
      </c>
      <c r="M403" s="75">
        <f>'THAM_SO_MOI'!$C$15*'THAM_SO_MOI'!$C$16*F403^2</f>
        <v>667.550193214757</v>
      </c>
      <c r="N403" s="75">
        <f>'THAM_SO_MOI'!$C$12*I403</f>
        <v>1130.112</v>
      </c>
      <c r="O403" s="75">
        <f>M403+N403</f>
        <v>1797.662193214757</v>
      </c>
      <c r="P403" s="75">
        <f>(MIN(L403,'THAM_SO_MOI'!$C$41)-O403)/('THAM_SO_MOI'!$C$11*H403)</f>
        <v>0.21056928952702558</v>
      </c>
      <c r="Q403" s="75">
        <f>IF(P403&gt;0,1/P403,NA())</f>
        <v>4.7490306029249085</v>
      </c>
      <c r="R403" s="75">
        <f>F403-F402</f>
        <v>0.017600427350426884</v>
      </c>
      <c r="S403" s="75">
        <f>0.5*(Q402+Q403)*R403</f>
        <v>0.08357198942995706</v>
      </c>
      <c r="T403" s="75">
        <f>0.5*(F402*Q402+F403*Q403)*R403</f>
        <v>1.2617890286134386</v>
      </c>
      <c r="U403" s="76">
        <f>U402+S403</f>
        <v>33.29203139581664</v>
      </c>
      <c r="V403" s="76">
        <f>V402+T403</f>
        <v>385.23826375203186</v>
      </c>
    </row>
    <row r="404" spans="1:22" ht="19" customHeight="1">
      <c r="A404" s="68" t="s">
        <v>362</v>
      </c>
      <c r="B404" s="74">
        <v>5</v>
      </c>
      <c r="C404" s="68" t="s">
        <v>363</v>
      </c>
      <c r="D404" s="68" t="s">
        <v>364</v>
      </c>
      <c r="E404" s="75">
        <f>60*F404*'THAM_SO_MOI'!$C$53/(2*PI()*'THAM_SO_MOI'!$C$26)</f>
        <v>1490.173894736842</v>
      </c>
      <c r="F404" s="75">
        <f>'THAM_SO_MOI'!$E$53+('THAM_SO_MOI'!$C$14-'THAM_SO_MOI'!$E$53)*398/'THAM_SO_MOI'!$C$42</f>
        <v>15.124628205128205</v>
      </c>
      <c r="G404" s="75">
        <f>3.6*F404</f>
        <v>54.44866153846154</v>
      </c>
      <c r="H404" s="75">
        <f>'THAM_SO_MOI'!$D$53</f>
        <v>1.1</v>
      </c>
      <c r="I404" s="75">
        <f>IF(F404&gt;'THAM_SO_MOI'!$C$14,'THAM_SO_MOI'!$C$13*(1+F404^2/1500),'THAM_SO_MOI'!$C$13)</f>
        <v>0.015</v>
      </c>
      <c r="J404" s="75">
        <f>'THAM_SO_MOI'!$C$40*('THAM_SO_MOI'!$C$23*(E404/'THAM_SO_MOI'!$C$22)+'THAM_SO_MOI'!$C$24*(E404/'THAM_SO_MOI'!$C$22)^2-'THAM_SO_MOI'!$C$25*(E404/'THAM_SO_MOI'!$C$22)^3)</f>
        <v>63.6457885371393</v>
      </c>
      <c r="K404" s="75">
        <f>'THAM_SO_MOI'!$C$31*J404/E404</f>
        <v>407.9303695382475</v>
      </c>
      <c r="L404" s="75">
        <f>K404*'THAM_SO_MOI'!$C$53*'THAM_SO_MOI'!$C$17/'THAM_SO_MOI'!$C$26</f>
        <v>3577.55093706914</v>
      </c>
      <c r="M404" s="75">
        <f>'THAM_SO_MOI'!$C$15*'THAM_SO_MOI'!$C$16*F404^2</f>
        <v>669.106556654327</v>
      </c>
      <c r="N404" s="75">
        <f>'THAM_SO_MOI'!$C$12*I404</f>
        <v>1130.112</v>
      </c>
      <c r="O404" s="75">
        <f>M404+N404</f>
        <v>1799.2185566543271</v>
      </c>
      <c r="P404" s="75">
        <f>(MIN(L404,'THAM_SO_MOI'!$C$41)-O404)/('THAM_SO_MOI'!$C$11*H404)</f>
        <v>0.21050335942410192</v>
      </c>
      <c r="Q404" s="75">
        <f>IF(P404&gt;0,1/P404,NA())</f>
        <v>4.750518009478871</v>
      </c>
      <c r="R404" s="75">
        <f>F404-F403</f>
        <v>0.01760042735042866</v>
      </c>
      <c r="S404" s="75">
        <f>0.5*(Q403+Q404)*R404</f>
        <v>0.08359805760723904</v>
      </c>
      <c r="T404" s="75">
        <f>0.5*(F403*Q403+F404*Q404)*R404</f>
        <v>1.263653974400961</v>
      </c>
      <c r="U404" s="76">
        <f>U403+S404</f>
        <v>33.37562945342388</v>
      </c>
      <c r="V404" s="76">
        <f>V403+T404</f>
        <v>386.5019177264328</v>
      </c>
    </row>
    <row r="405" spans="1:22" ht="19" customHeight="1">
      <c r="A405" s="68" t="s">
        <v>362</v>
      </c>
      <c r="B405" s="74">
        <v>5</v>
      </c>
      <c r="C405" s="68" t="s">
        <v>363</v>
      </c>
      <c r="D405" s="68" t="s">
        <v>364</v>
      </c>
      <c r="E405" s="75">
        <f>60*F405*'THAM_SO_MOI'!$C$53/(2*PI()*'THAM_SO_MOI'!$C$26)</f>
        <v>1491.9079999999997</v>
      </c>
      <c r="F405" s="75">
        <f>'THAM_SO_MOI'!$E$53+('THAM_SO_MOI'!$C$14-'THAM_SO_MOI'!$E$53)*399/'THAM_SO_MOI'!$C$42</f>
        <v>15.142228632478632</v>
      </c>
      <c r="G405" s="75">
        <f>3.6*F405</f>
        <v>54.51202307692308</v>
      </c>
      <c r="H405" s="75">
        <f>'THAM_SO_MOI'!$D$53</f>
        <v>1.1</v>
      </c>
      <c r="I405" s="75">
        <f>IF(F405&gt;'THAM_SO_MOI'!$C$14,'THAM_SO_MOI'!$C$13*(1+F405^2/1500),'THAM_SO_MOI'!$C$13)</f>
        <v>0.015</v>
      </c>
      <c r="J405" s="75">
        <f>'THAM_SO_MOI'!$C$40*('THAM_SO_MOI'!$C$23*(E405/'THAM_SO_MOI'!$C$22)+'THAM_SO_MOI'!$C$24*(E405/'THAM_SO_MOI'!$C$22)^2-'THAM_SO_MOI'!$C$25*(E405/'THAM_SO_MOI'!$C$22)^3)</f>
        <v>63.73760722882442</v>
      </c>
      <c r="K405" s="75">
        <f>'THAM_SO_MOI'!$C$31*J405/E405</f>
        <v>408.0440328179207</v>
      </c>
      <c r="L405" s="75">
        <f>K405*'THAM_SO_MOI'!$C$53*'THAM_SO_MOI'!$C$17/'THAM_SO_MOI'!$C$26</f>
        <v>3578.5477644766356</v>
      </c>
      <c r="M405" s="75">
        <f>'THAM_SO_MOI'!$C$15*'THAM_SO_MOI'!$C$16*F405^2</f>
        <v>670.6647322778981</v>
      </c>
      <c r="N405" s="75">
        <f>'THAM_SO_MOI'!$C$12*I405</f>
        <v>1130.112</v>
      </c>
      <c r="O405" s="75">
        <f>M405+N405</f>
        <v>1800.7767322778982</v>
      </c>
      <c r="P405" s="75">
        <f>(MIN(L405,'THAM_SO_MOI'!$C$41)-O405)/('THAM_SO_MOI'!$C$11*H405)</f>
        <v>0.21043691195534298</v>
      </c>
      <c r="Q405" s="75">
        <f>IF(P405&gt;0,1/P405,NA())</f>
        <v>4.7520180310011915</v>
      </c>
      <c r="R405" s="75">
        <f>F405-F404</f>
        <v>0.017600427350426884</v>
      </c>
      <c r="S405" s="75">
        <f>0.5*(Q404+Q405)*R405</f>
        <v>0.08362434761264124</v>
      </c>
      <c r="T405" s="75">
        <f>0.5*(F404*Q404+F405*Q405)*R405</f>
        <v>1.2655231948323487</v>
      </c>
      <c r="U405" s="76">
        <f>U404+S405</f>
        <v>33.459253801036525</v>
      </c>
      <c r="V405" s="76">
        <f>V404+T405</f>
        <v>387.7674409212651</v>
      </c>
    </row>
    <row r="406" spans="1:22" ht="19" customHeight="1">
      <c r="A406" s="68" t="s">
        <v>362</v>
      </c>
      <c r="B406" s="74">
        <v>5</v>
      </c>
      <c r="C406" s="68" t="s">
        <v>363</v>
      </c>
      <c r="D406" s="68" t="s">
        <v>364</v>
      </c>
      <c r="E406" s="75">
        <f>60*F406*'THAM_SO_MOI'!$C$53/(2*PI()*'THAM_SO_MOI'!$C$26)</f>
        <v>1493.6421052631576</v>
      </c>
      <c r="F406" s="75">
        <f>'THAM_SO_MOI'!$E$53+('THAM_SO_MOI'!$C$14-'THAM_SO_MOI'!$E$53)*400/'THAM_SO_MOI'!$C$42</f>
        <v>15.159829059829061</v>
      </c>
      <c r="G406" s="75">
        <f>3.6*F406</f>
        <v>54.57538461538462</v>
      </c>
      <c r="H406" s="75">
        <f>'THAM_SO_MOI'!$D$53</f>
        <v>1.1</v>
      </c>
      <c r="I406" s="75">
        <f>IF(F406&gt;'THAM_SO_MOI'!$C$14,'THAM_SO_MOI'!$C$13*(1+F406^2/1500),'THAM_SO_MOI'!$C$13)</f>
        <v>0.015</v>
      </c>
      <c r="J406" s="75">
        <f>'THAM_SO_MOI'!$C$40*('THAM_SO_MOI'!$C$23*(E406/'THAM_SO_MOI'!$C$22)+'THAM_SO_MOI'!$C$24*(E406/'THAM_SO_MOI'!$C$22)^2-'THAM_SO_MOI'!$C$25*(E406/'THAM_SO_MOI'!$C$22)^3)</f>
        <v>63.82942157122654</v>
      </c>
      <c r="K406" s="75">
        <f>'THAM_SO_MOI'!$C$31*J406/E406</f>
        <v>408.15740436196916</v>
      </c>
      <c r="L406" s="75">
        <f>K406*'THAM_SO_MOI'!$C$53*'THAM_SO_MOI'!$C$17/'THAM_SO_MOI'!$C$26</f>
        <v>3579.5420333615593</v>
      </c>
      <c r="M406" s="75">
        <f>'THAM_SO_MOI'!$C$15*'THAM_SO_MOI'!$C$16*F406^2</f>
        <v>672.2247200854703</v>
      </c>
      <c r="N406" s="75">
        <f>'THAM_SO_MOI'!$C$12*I406</f>
        <v>1130.112</v>
      </c>
      <c r="O406" s="75">
        <f>M406+N406</f>
        <v>1802.3367200854705</v>
      </c>
      <c r="P406" s="75">
        <f>(MIN(L406,'THAM_SO_MOI'!$C$41)-O406)/('THAM_SO_MOI'!$C$11*H406)</f>
        <v>0.21036994712074916</v>
      </c>
      <c r="Q406" s="75">
        <f>IF(P406&gt;0,1/P406,NA())</f>
        <v>4.753530690512629</v>
      </c>
      <c r="R406" s="75">
        <f>F406-F405</f>
        <v>0.01760042735042866</v>
      </c>
      <c r="S406" s="75">
        <f>0.5*(Q405+Q406)*R406</f>
        <v>0.083650859849482</v>
      </c>
      <c r="T406" s="75">
        <f>0.5*(F405*Q405+F406*Q406)*R406</f>
        <v>1.267396707731116</v>
      </c>
      <c r="U406" s="76">
        <f>U405+S406</f>
        <v>33.54290466088601</v>
      </c>
      <c r="V406" s="76">
        <f>V405+T406</f>
        <v>389.03483762899623</v>
      </c>
    </row>
    <row r="407" spans="1:22" ht="19" customHeight="1">
      <c r="A407" s="68" t="s">
        <v>362</v>
      </c>
      <c r="B407" s="74">
        <v>5</v>
      </c>
      <c r="C407" s="68" t="s">
        <v>363</v>
      </c>
      <c r="D407" s="68" t="s">
        <v>364</v>
      </c>
      <c r="E407" s="75">
        <f>60*F407*'THAM_SO_MOI'!$C$53/(2*PI()*'THAM_SO_MOI'!$C$26)</f>
        <v>1495.3762105263156</v>
      </c>
      <c r="F407" s="75">
        <f>'THAM_SO_MOI'!$E$53+('THAM_SO_MOI'!$C$14-'THAM_SO_MOI'!$E$53)*401/'THAM_SO_MOI'!$C$42</f>
        <v>15.177429487179488</v>
      </c>
      <c r="G407" s="75">
        <f>3.6*F407</f>
        <v>54.63874615384616</v>
      </c>
      <c r="H407" s="75">
        <f>'THAM_SO_MOI'!$D$53</f>
        <v>1.1</v>
      </c>
      <c r="I407" s="75">
        <f>IF(F407&gt;'THAM_SO_MOI'!$C$14,'THAM_SO_MOI'!$C$13*(1+F407^2/1500),'THAM_SO_MOI'!$C$13)</f>
        <v>0.015</v>
      </c>
      <c r="J407" s="75">
        <f>'THAM_SO_MOI'!$C$40*('THAM_SO_MOI'!$C$23*(E407/'THAM_SO_MOI'!$C$22)+'THAM_SO_MOI'!$C$24*(E407/'THAM_SO_MOI'!$C$22)^2-'THAM_SO_MOI'!$C$25*(E407/'THAM_SO_MOI'!$C$22)^3)</f>
        <v>63.92123140544233</v>
      </c>
      <c r="K407" s="75">
        <f>'THAM_SO_MOI'!$C$31*J407/E407</f>
        <v>408.27048417039236</v>
      </c>
      <c r="L407" s="75">
        <f>K407*'THAM_SO_MOI'!$C$53*'THAM_SO_MOI'!$C$17/'THAM_SO_MOI'!$C$26</f>
        <v>3580.533743723908</v>
      </c>
      <c r="M407" s="75">
        <f>'THAM_SO_MOI'!$C$15*'THAM_SO_MOI'!$C$16*F407^2</f>
        <v>673.7865200770433</v>
      </c>
      <c r="N407" s="75">
        <f>'THAM_SO_MOI'!$C$12*I407</f>
        <v>1130.112</v>
      </c>
      <c r="O407" s="75">
        <f>M407+N407</f>
        <v>1803.8985200770435</v>
      </c>
      <c r="P407" s="75">
        <f>(MIN(L407,'THAM_SO_MOI'!$C$41)-O407)/('THAM_SO_MOI'!$C$11*H407)</f>
        <v>0.21030246492032015</v>
      </c>
      <c r="Q407" s="75">
        <f>IF(P407&gt;0,1/P407,NA())</f>
        <v>4.755056011249712</v>
      </c>
      <c r="R407" s="75">
        <f>F407-F406</f>
        <v>0.017600427350426884</v>
      </c>
      <c r="S407" s="75">
        <f>0.5*(Q406+Q407)*R407</f>
        <v>0.08367759472480162</v>
      </c>
      <c r="T407" s="75">
        <f>0.5*(F406*Q406+F407*Q407)*R407</f>
        <v>1.269274531005627</v>
      </c>
      <c r="U407" s="76">
        <f>U406+S407</f>
        <v>33.62658225561081</v>
      </c>
      <c r="V407" s="76">
        <f>V406+T407</f>
        <v>390.30411216000186</v>
      </c>
    </row>
    <row r="408" spans="1:22" ht="19" customHeight="1">
      <c r="A408" s="68" t="s">
        <v>362</v>
      </c>
      <c r="B408" s="74">
        <v>5</v>
      </c>
      <c r="C408" s="68" t="s">
        <v>363</v>
      </c>
      <c r="D408" s="68" t="s">
        <v>364</v>
      </c>
      <c r="E408" s="75">
        <f>60*F408*'THAM_SO_MOI'!$C$53/(2*PI()*'THAM_SO_MOI'!$C$26)</f>
        <v>1497.1103157894734</v>
      </c>
      <c r="F408" s="75">
        <f>'THAM_SO_MOI'!$E$53+('THAM_SO_MOI'!$C$14-'THAM_SO_MOI'!$E$53)*402/'THAM_SO_MOI'!$C$42</f>
        <v>15.195029914529915</v>
      </c>
      <c r="G408" s="75">
        <f>3.6*F408</f>
        <v>54.70210769230769</v>
      </c>
      <c r="H408" s="75">
        <f>'THAM_SO_MOI'!$D$53</f>
        <v>1.1</v>
      </c>
      <c r="I408" s="75">
        <f>IF(F408&gt;'THAM_SO_MOI'!$C$14,'THAM_SO_MOI'!$C$13*(1+F408^2/1500),'THAM_SO_MOI'!$C$13)</f>
        <v>0.015</v>
      </c>
      <c r="J408" s="75">
        <f>'THAM_SO_MOI'!$C$40*('THAM_SO_MOI'!$C$23*(E408/'THAM_SO_MOI'!$C$22)+'THAM_SO_MOI'!$C$24*(E408/'THAM_SO_MOI'!$C$22)^2-'THAM_SO_MOI'!$C$25*(E408/'THAM_SO_MOI'!$C$22)^3)</f>
        <v>64.01303657256851</v>
      </c>
      <c r="K408" s="75">
        <f>'THAM_SO_MOI'!$C$31*J408/E408</f>
        <v>408.3832722431906</v>
      </c>
      <c r="L408" s="75">
        <f>K408*'THAM_SO_MOI'!$C$53*'THAM_SO_MOI'!$C$17/'THAM_SO_MOI'!$C$26</f>
        <v>3581.5228955636853</v>
      </c>
      <c r="M408" s="75">
        <f>'THAM_SO_MOI'!$C$15*'THAM_SO_MOI'!$C$16*F408^2</f>
        <v>675.3501322526176</v>
      </c>
      <c r="N408" s="75">
        <f>'THAM_SO_MOI'!$C$12*I408</f>
        <v>1130.112</v>
      </c>
      <c r="O408" s="75">
        <f>M408+N408</f>
        <v>1805.4621322526177</v>
      </c>
      <c r="P408" s="75">
        <f>(MIN(L408,'THAM_SO_MOI'!$C$41)-O408)/('THAM_SO_MOI'!$C$11*H408)</f>
        <v>0.2102344653540563</v>
      </c>
      <c r="Q408" s="75">
        <f>IF(P408&gt;0,1/P408,NA())</f>
        <v>4.7565940166656215</v>
      </c>
      <c r="R408" s="75">
        <f>F408-F407</f>
        <v>0.017600427350426884</v>
      </c>
      <c r="S408" s="75">
        <f>0.5*(Q407+Q408)*R408</f>
        <v>0.08370455264950484</v>
      </c>
      <c r="T408" s="75">
        <f>0.5*(F407*Q407+F408*Q408)*R408</f>
        <v>1.2711566826515899</v>
      </c>
      <c r="U408" s="76">
        <f>U407+S408</f>
        <v>33.71028680826032</v>
      </c>
      <c r="V408" s="76">
        <f>V407+T408</f>
        <v>391.57526884265343</v>
      </c>
    </row>
    <row r="409" spans="1:22" ht="19" customHeight="1">
      <c r="A409" s="68" t="s">
        <v>362</v>
      </c>
      <c r="B409" s="74">
        <v>5</v>
      </c>
      <c r="C409" s="68" t="s">
        <v>363</v>
      </c>
      <c r="D409" s="68" t="s">
        <v>364</v>
      </c>
      <c r="E409" s="75">
        <f>60*F409*'THAM_SO_MOI'!$C$53/(2*PI()*'THAM_SO_MOI'!$C$26)</f>
        <v>1498.844421052631</v>
      </c>
      <c r="F409" s="75">
        <f>'THAM_SO_MOI'!$E$53+('THAM_SO_MOI'!$C$14-'THAM_SO_MOI'!$E$53)*403/'THAM_SO_MOI'!$C$42</f>
        <v>15.212630341880342</v>
      </c>
      <c r="G409" s="75">
        <f>3.6*F409</f>
        <v>54.765469230769234</v>
      </c>
      <c r="H409" s="75">
        <f>'THAM_SO_MOI'!$D$53</f>
        <v>1.1</v>
      </c>
      <c r="I409" s="75">
        <f>IF(F409&gt;'THAM_SO_MOI'!$C$14,'THAM_SO_MOI'!$C$13*(1+F409^2/1500),'THAM_SO_MOI'!$C$13)</f>
        <v>0.015</v>
      </c>
      <c r="J409" s="75">
        <f>'THAM_SO_MOI'!$C$40*('THAM_SO_MOI'!$C$23*(E409/'THAM_SO_MOI'!$C$22)+'THAM_SO_MOI'!$C$24*(E409/'THAM_SO_MOI'!$C$22)^2-'THAM_SO_MOI'!$C$25*(E409/'THAM_SO_MOI'!$C$22)^3)</f>
        <v>64.10483691370185</v>
      </c>
      <c r="K409" s="75">
        <f>'THAM_SO_MOI'!$C$31*J409/E409</f>
        <v>408.495768580364</v>
      </c>
      <c r="L409" s="75">
        <f>K409*'THAM_SO_MOI'!$C$53*'THAM_SO_MOI'!$C$17/'THAM_SO_MOI'!$C$26</f>
        <v>3582.50948888089</v>
      </c>
      <c r="M409" s="75">
        <f>'THAM_SO_MOI'!$C$15*'THAM_SO_MOI'!$C$16*F409^2</f>
        <v>676.915556612193</v>
      </c>
      <c r="N409" s="75">
        <f>'THAM_SO_MOI'!$C$12*I409</f>
        <v>1130.112</v>
      </c>
      <c r="O409" s="75">
        <f>M409+N409</f>
        <v>1807.0275566121932</v>
      </c>
      <c r="P409" s="75">
        <f>(MIN(L409,'THAM_SO_MOI'!$C$41)-O409)/('THAM_SO_MOI'!$C$11*H409)</f>
        <v>0.21016594842195746</v>
      </c>
      <c r="Q409" s="75">
        <f>IF(P409&gt;0,1/P409,NA())</f>
        <v>4.758144730431142</v>
      </c>
      <c r="R409" s="75">
        <f>F409-F408</f>
        <v>0.017600427350426884</v>
      </c>
      <c r="S409" s="75">
        <f>0.5*(Q408+Q409)*R409</f>
        <v>0.08373173403828416</v>
      </c>
      <c r="T409" s="75">
        <f>0.5*(F408*Q408+F409*Q409)*R409</f>
        <v>1.273043180751229</v>
      </c>
      <c r="U409" s="76">
        <f>U408+S409</f>
        <v>33.7940185422986</v>
      </c>
      <c r="V409" s="76">
        <f>V408+T409</f>
        <v>392.8483120234047</v>
      </c>
    </row>
    <row r="410" spans="1:22" ht="19" customHeight="1">
      <c r="A410" s="68" t="s">
        <v>362</v>
      </c>
      <c r="B410" s="74">
        <v>5</v>
      </c>
      <c r="C410" s="68" t="s">
        <v>363</v>
      </c>
      <c r="D410" s="68" t="s">
        <v>364</v>
      </c>
      <c r="E410" s="75">
        <f>60*F410*'THAM_SO_MOI'!$C$53/(2*PI()*'THAM_SO_MOI'!$C$26)</f>
        <v>1500.5785263157893</v>
      </c>
      <c r="F410" s="75">
        <f>'THAM_SO_MOI'!$E$53+('THAM_SO_MOI'!$C$14-'THAM_SO_MOI'!$E$53)*404/'THAM_SO_MOI'!$C$42</f>
        <v>15.230230769230769</v>
      </c>
      <c r="G410" s="75">
        <f>3.6*F410</f>
        <v>54.82883076923077</v>
      </c>
      <c r="H410" s="75">
        <f>'THAM_SO_MOI'!$D$53</f>
        <v>1.1</v>
      </c>
      <c r="I410" s="75">
        <f>IF(F410&gt;'THAM_SO_MOI'!$C$14,'THAM_SO_MOI'!$C$13*(1+F410^2/1500),'THAM_SO_MOI'!$C$13)</f>
        <v>0.015</v>
      </c>
      <c r="J410" s="75">
        <f>'THAM_SO_MOI'!$C$40*('THAM_SO_MOI'!$C$23*(E410/'THAM_SO_MOI'!$C$22)+'THAM_SO_MOI'!$C$24*(E410/'THAM_SO_MOI'!$C$22)^2-'THAM_SO_MOI'!$C$25*(E410/'THAM_SO_MOI'!$C$22)^3)</f>
        <v>64.19663226993903</v>
      </c>
      <c r="K410" s="75">
        <f>'THAM_SO_MOI'!$C$31*J410/E410</f>
        <v>408.6079731819121</v>
      </c>
      <c r="L410" s="75">
        <f>K410*'THAM_SO_MOI'!$C$53*'THAM_SO_MOI'!$C$17/'THAM_SO_MOI'!$C$26</f>
        <v>3583.49352367552</v>
      </c>
      <c r="M410" s="75">
        <f>'THAM_SO_MOI'!$C$15*'THAM_SO_MOI'!$C$16*F410^2</f>
        <v>678.4827931557692</v>
      </c>
      <c r="N410" s="75">
        <f>'THAM_SO_MOI'!$C$12*I410</f>
        <v>1130.112</v>
      </c>
      <c r="O410" s="75">
        <f>M410+N410</f>
        <v>1808.5947931557694</v>
      </c>
      <c r="P410" s="75">
        <f>(MIN(L410,'THAM_SO_MOI'!$C$41)-O410)/('THAM_SO_MOI'!$C$11*H410)</f>
        <v>0.2100969141240235</v>
      </c>
      <c r="Q410" s="75">
        <f>IF(P410&gt;0,1/P410,NA())</f>
        <v>4.759708176435587</v>
      </c>
      <c r="R410" s="75">
        <f>F410-F409</f>
        <v>0.017600427350426884</v>
      </c>
      <c r="S410" s="75">
        <f>0.5*(Q409+Q410)*R410</f>
        <v>0.0837591393096786</v>
      </c>
      <c r="T410" s="75">
        <f>0.5*(F409*Q409+F410*Q410)*R410</f>
        <v>1.2749340434745144</v>
      </c>
      <c r="U410" s="76">
        <f>U409+S410</f>
        <v>33.87777768160828</v>
      </c>
      <c r="V410" s="76">
        <f>V409+T410</f>
        <v>394.1232460668792</v>
      </c>
    </row>
    <row r="411" spans="1:22" ht="19" customHeight="1">
      <c r="A411" s="68" t="s">
        <v>362</v>
      </c>
      <c r="B411" s="74">
        <v>5</v>
      </c>
      <c r="C411" s="68" t="s">
        <v>363</v>
      </c>
      <c r="D411" s="68" t="s">
        <v>364</v>
      </c>
      <c r="E411" s="75">
        <f>60*F411*'THAM_SO_MOI'!$C$53/(2*PI()*'THAM_SO_MOI'!$C$26)</f>
        <v>1502.3126315789473</v>
      </c>
      <c r="F411" s="75">
        <f>'THAM_SO_MOI'!$E$53+('THAM_SO_MOI'!$C$14-'THAM_SO_MOI'!$E$53)*405/'THAM_SO_MOI'!$C$42</f>
        <v>15.247831196581197</v>
      </c>
      <c r="G411" s="75">
        <f>3.6*F411</f>
        <v>54.89219230769231</v>
      </c>
      <c r="H411" s="75">
        <f>'THAM_SO_MOI'!$D$53</f>
        <v>1.1</v>
      </c>
      <c r="I411" s="75">
        <f>IF(F411&gt;'THAM_SO_MOI'!$C$14,'THAM_SO_MOI'!$C$13*(1+F411^2/1500),'THAM_SO_MOI'!$C$13)</f>
        <v>0.015</v>
      </c>
      <c r="J411" s="75">
        <f>'THAM_SO_MOI'!$C$40*('THAM_SO_MOI'!$C$23*(E411/'THAM_SO_MOI'!$C$22)+'THAM_SO_MOI'!$C$24*(E411/'THAM_SO_MOI'!$C$22)^2-'THAM_SO_MOI'!$C$25*(E411/'THAM_SO_MOI'!$C$22)^3)</f>
        <v>64.28842248237677</v>
      </c>
      <c r="K411" s="75">
        <f>'THAM_SO_MOI'!$C$31*J411/E411</f>
        <v>408.7198860478352</v>
      </c>
      <c r="L411" s="75">
        <f>K411*'THAM_SO_MOI'!$C$53*'THAM_SO_MOI'!$C$17/'THAM_SO_MOI'!$C$26</f>
        <v>3584.4749999475775</v>
      </c>
      <c r="M411" s="75">
        <f>'THAM_SO_MOI'!$C$15*'THAM_SO_MOI'!$C$16*F411^2</f>
        <v>680.0518418833468</v>
      </c>
      <c r="N411" s="75">
        <f>'THAM_SO_MOI'!$C$12*I411</f>
        <v>1130.112</v>
      </c>
      <c r="O411" s="75">
        <f>M411+N411</f>
        <v>1810.1638418833468</v>
      </c>
      <c r="P411" s="75">
        <f>(MIN(L411,'THAM_SO_MOI'!$C$41)-O411)/('THAM_SO_MOI'!$C$11*H411)</f>
        <v>0.21002736246025458</v>
      </c>
      <c r="Q411" s="75">
        <f>IF(P411&gt;0,1/P411,NA())</f>
        <v>4.761284378787736</v>
      </c>
      <c r="R411" s="75">
        <f>F411-F410</f>
        <v>0.01760042735042866</v>
      </c>
      <c r="S411" s="75">
        <f>0.5*(Q410+Q411)*R411</f>
        <v>0.08378676888609012</v>
      </c>
      <c r="T411" s="75">
        <f>0.5*(F410*Q410+F411*Q411)*R411</f>
        <v>1.2768292890797481</v>
      </c>
      <c r="U411" s="76">
        <f>U410+S411</f>
        <v>33.96156445049437</v>
      </c>
      <c r="V411" s="76">
        <f>V410+T411</f>
        <v>395.4000753559589</v>
      </c>
    </row>
    <row r="412" spans="1:22" ht="19" customHeight="1">
      <c r="A412" s="68" t="s">
        <v>362</v>
      </c>
      <c r="B412" s="74">
        <v>5</v>
      </c>
      <c r="C412" s="68" t="s">
        <v>363</v>
      </c>
      <c r="D412" s="68" t="s">
        <v>364</v>
      </c>
      <c r="E412" s="75">
        <f>60*F412*'THAM_SO_MOI'!$C$53/(2*PI()*'THAM_SO_MOI'!$C$26)</f>
        <v>1504.046736842105</v>
      </c>
      <c r="F412" s="75">
        <f>'THAM_SO_MOI'!$E$53+('THAM_SO_MOI'!$C$14-'THAM_SO_MOI'!$E$53)*406/'THAM_SO_MOI'!$C$42</f>
        <v>15.265431623931624</v>
      </c>
      <c r="G412" s="75">
        <f>3.6*F412</f>
        <v>54.95555384615385</v>
      </c>
      <c r="H412" s="75">
        <f>'THAM_SO_MOI'!$D$53</f>
        <v>1.1</v>
      </c>
      <c r="I412" s="75">
        <f>IF(F412&gt;'THAM_SO_MOI'!$C$14,'THAM_SO_MOI'!$C$13*(1+F412^2/1500),'THAM_SO_MOI'!$C$13)</f>
        <v>0.015</v>
      </c>
      <c r="J412" s="75">
        <f>'THAM_SO_MOI'!$C$40*('THAM_SO_MOI'!$C$23*(E412/'THAM_SO_MOI'!$C$22)+'THAM_SO_MOI'!$C$24*(E412/'THAM_SO_MOI'!$C$22)^2-'THAM_SO_MOI'!$C$25*(E412/'THAM_SO_MOI'!$C$22)^3)</f>
        <v>64.3802073921118</v>
      </c>
      <c r="K412" s="75">
        <f>'THAM_SO_MOI'!$C$31*J412/E412</f>
        <v>408.83150717813334</v>
      </c>
      <c r="L412" s="75">
        <f>K412*'THAM_SO_MOI'!$C$53*'THAM_SO_MOI'!$C$17/'THAM_SO_MOI'!$C$26</f>
        <v>3585.453917697062</v>
      </c>
      <c r="M412" s="75">
        <f>'THAM_SO_MOI'!$C$15*'THAM_SO_MOI'!$C$16*F412^2</f>
        <v>681.6227027949253</v>
      </c>
      <c r="N412" s="75">
        <f>'THAM_SO_MOI'!$C$12*I412</f>
        <v>1130.112</v>
      </c>
      <c r="O412" s="75">
        <f>M412+N412</f>
        <v>1811.7347027949254</v>
      </c>
      <c r="P412" s="75">
        <f>(MIN(L412,'THAM_SO_MOI'!$C$41)-O412)/('THAM_SO_MOI'!$C$11*H412)</f>
        <v>0.20995729343065064</v>
      </c>
      <c r="Q412" s="75">
        <f>IF(P412&gt;0,1/P412,NA())</f>
        <v>4.762873361816803</v>
      </c>
      <c r="R412" s="75">
        <f>F412-F411</f>
        <v>0.017600427350426884</v>
      </c>
      <c r="S412" s="75">
        <f>0.5*(Q411+Q412)*R412</f>
        <v>0.08381462319375803</v>
      </c>
      <c r="T412" s="75">
        <f>0.5*(F411*Q411+F412*Q412)*R412</f>
        <v>1.2787289359135154</v>
      </c>
      <c r="U412" s="76">
        <f>U411+S412</f>
        <v>34.04537907368813</v>
      </c>
      <c r="V412" s="76">
        <f>V411+T412</f>
        <v>396.67880429187244</v>
      </c>
    </row>
    <row r="413" spans="1:22" ht="19" customHeight="1">
      <c r="A413" s="68" t="s">
        <v>362</v>
      </c>
      <c r="B413" s="74">
        <v>5</v>
      </c>
      <c r="C413" s="68" t="s">
        <v>363</v>
      </c>
      <c r="D413" s="68" t="s">
        <v>364</v>
      </c>
      <c r="E413" s="75">
        <f>60*F413*'THAM_SO_MOI'!$C$53/(2*PI()*'THAM_SO_MOI'!$C$26)</f>
        <v>1505.7808421052628</v>
      </c>
      <c r="F413" s="75">
        <f>'THAM_SO_MOI'!$E$53+('THAM_SO_MOI'!$C$14-'THAM_SO_MOI'!$E$53)*407/'THAM_SO_MOI'!$C$42</f>
        <v>15.283032051282051</v>
      </c>
      <c r="G413" s="75">
        <f>3.6*F413</f>
        <v>55.01891538461538</v>
      </c>
      <c r="H413" s="75">
        <f>'THAM_SO_MOI'!$D$53</f>
        <v>1.1</v>
      </c>
      <c r="I413" s="75">
        <f>IF(F413&gt;'THAM_SO_MOI'!$C$14,'THAM_SO_MOI'!$C$13*(1+F413^2/1500),'THAM_SO_MOI'!$C$13)</f>
        <v>0.015</v>
      </c>
      <c r="J413" s="75">
        <f>'THAM_SO_MOI'!$C$40*('THAM_SO_MOI'!$C$23*(E413/'THAM_SO_MOI'!$C$22)+'THAM_SO_MOI'!$C$24*(E413/'THAM_SO_MOI'!$C$22)^2-'THAM_SO_MOI'!$C$25*(E413/'THAM_SO_MOI'!$C$22)^3)</f>
        <v>64.47198684024086</v>
      </c>
      <c r="K413" s="75">
        <f>'THAM_SO_MOI'!$C$31*J413/E413</f>
        <v>408.9428365728065</v>
      </c>
      <c r="L413" s="75">
        <f>K413*'THAM_SO_MOI'!$C$53*'THAM_SO_MOI'!$C$17/'THAM_SO_MOI'!$C$26</f>
        <v>3586.430276923975</v>
      </c>
      <c r="M413" s="75">
        <f>'THAM_SO_MOI'!$C$15*'THAM_SO_MOI'!$C$16*F413^2</f>
        <v>683.1953758905048</v>
      </c>
      <c r="N413" s="75">
        <f>'THAM_SO_MOI'!$C$12*I413</f>
        <v>1130.112</v>
      </c>
      <c r="O413" s="75">
        <f>M413+N413</f>
        <v>1813.3073758905048</v>
      </c>
      <c r="P413" s="75">
        <f>(MIN(L413,'THAM_SO_MOI'!$C$41)-O413)/('THAM_SO_MOI'!$C$11*H413)</f>
        <v>0.2098867070352119</v>
      </c>
      <c r="Q413" s="75">
        <f>IF(P413&gt;0,1/P413,NA())</f>
        <v>4.764475150073386</v>
      </c>
      <c r="R413" s="75">
        <f>F413-F412</f>
        <v>0.017600427350426884</v>
      </c>
      <c r="S413" s="75">
        <f>0.5*(Q412+Q413)*R413</f>
        <v>0.08384270266286048</v>
      </c>
      <c r="T413" s="75">
        <f>0.5*(F412*Q412+F413*Q413)*R413</f>
        <v>1.2806330024125736</v>
      </c>
      <c r="U413" s="76">
        <f>U412+S413</f>
        <v>34.129221776350995</v>
      </c>
      <c r="V413" s="76">
        <f>V412+T413</f>
        <v>397.959437294285</v>
      </c>
    </row>
    <row r="414" spans="1:22" ht="19" customHeight="1">
      <c r="A414" s="68" t="s">
        <v>362</v>
      </c>
      <c r="B414" s="74">
        <v>5</v>
      </c>
      <c r="C414" s="68" t="s">
        <v>363</v>
      </c>
      <c r="D414" s="68" t="s">
        <v>364</v>
      </c>
      <c r="E414" s="75">
        <f>60*F414*'THAM_SO_MOI'!$C$53/(2*PI()*'THAM_SO_MOI'!$C$26)</f>
        <v>1507.5149473684207</v>
      </c>
      <c r="F414" s="75">
        <f>'THAM_SO_MOI'!$E$53+('THAM_SO_MOI'!$C$14-'THAM_SO_MOI'!$E$53)*408/'THAM_SO_MOI'!$C$42</f>
        <v>15.30063247863248</v>
      </c>
      <c r="G414" s="75">
        <f>3.6*F414</f>
        <v>55.082276923076925</v>
      </c>
      <c r="H414" s="75">
        <f>'THAM_SO_MOI'!$D$53</f>
        <v>1.1</v>
      </c>
      <c r="I414" s="75">
        <f>IF(F414&gt;'THAM_SO_MOI'!$C$14,'THAM_SO_MOI'!$C$13*(1+F414^2/1500),'THAM_SO_MOI'!$C$13)</f>
        <v>0.015</v>
      </c>
      <c r="J414" s="75">
        <f>'THAM_SO_MOI'!$C$40*('THAM_SO_MOI'!$C$23*(E414/'THAM_SO_MOI'!$C$22)+'THAM_SO_MOI'!$C$24*(E414/'THAM_SO_MOI'!$C$22)^2-'THAM_SO_MOI'!$C$25*(E414/'THAM_SO_MOI'!$C$22)^3)</f>
        <v>64.56376066786063</v>
      </c>
      <c r="K414" s="75">
        <f>'THAM_SO_MOI'!$C$31*J414/E414</f>
        <v>409.05387423185454</v>
      </c>
      <c r="L414" s="75">
        <f>K414*'THAM_SO_MOI'!$C$53*'THAM_SO_MOI'!$C$17/'THAM_SO_MOI'!$C$26</f>
        <v>3587.4040776283123</v>
      </c>
      <c r="M414" s="75">
        <f>'THAM_SO_MOI'!$C$15*'THAM_SO_MOI'!$C$16*F414^2</f>
        <v>684.7698611700856</v>
      </c>
      <c r="N414" s="75">
        <f>'THAM_SO_MOI'!$C$12*I414</f>
        <v>1130.112</v>
      </c>
      <c r="O414" s="75">
        <f>M414+N414</f>
        <v>1814.8818611700858</v>
      </c>
      <c r="P414" s="75">
        <f>(MIN(L414,'THAM_SO_MOI'!$C$41)-O414)/('THAM_SO_MOI'!$C$11*H414)</f>
        <v>0.20981560327393778</v>
      </c>
      <c r="Q414" s="75">
        <f>IF(P414&gt;0,1/P414,NA())</f>
        <v>4.76608976833047</v>
      </c>
      <c r="R414" s="75">
        <f>F414-F413</f>
        <v>0.01760042735042866</v>
      </c>
      <c r="S414" s="75">
        <f>0.5*(Q413+Q414)*R414</f>
        <v>0.08387100772745557</v>
      </c>
      <c r="T414" s="75">
        <f>0.5*(F413*Q413+F414*Q414)*R414</f>
        <v>1.282541507103295</v>
      </c>
      <c r="U414" s="76">
        <f>U413+S414</f>
        <v>34.21309278407845</v>
      </c>
      <c r="V414" s="76">
        <f>V413+T414</f>
        <v>399.2419788013883</v>
      </c>
    </row>
    <row r="415" spans="1:22" ht="19" customHeight="1">
      <c r="A415" s="68" t="s">
        <v>362</v>
      </c>
      <c r="B415" s="74">
        <v>5</v>
      </c>
      <c r="C415" s="68" t="s">
        <v>363</v>
      </c>
      <c r="D415" s="68" t="s">
        <v>364</v>
      </c>
      <c r="E415" s="75">
        <f>60*F415*'THAM_SO_MOI'!$C$53/(2*PI()*'THAM_SO_MOI'!$C$26)</f>
        <v>1509.2490526315787</v>
      </c>
      <c r="F415" s="75">
        <f>'THAM_SO_MOI'!$E$53+('THAM_SO_MOI'!$C$14-'THAM_SO_MOI'!$E$53)*409/'THAM_SO_MOI'!$C$42</f>
        <v>15.318232905982907</v>
      </c>
      <c r="G415" s="75">
        <f>3.6*F415</f>
        <v>55.14563846153847</v>
      </c>
      <c r="H415" s="75">
        <f>'THAM_SO_MOI'!$D$53</f>
        <v>1.1</v>
      </c>
      <c r="I415" s="75">
        <f>IF(F415&gt;'THAM_SO_MOI'!$C$14,'THAM_SO_MOI'!$C$13*(1+F415^2/1500),'THAM_SO_MOI'!$C$13)</f>
        <v>0.015</v>
      </c>
      <c r="J415" s="75">
        <f>'THAM_SO_MOI'!$C$40*('THAM_SO_MOI'!$C$23*(E415/'THAM_SO_MOI'!$C$22)+'THAM_SO_MOI'!$C$24*(E415/'THAM_SO_MOI'!$C$22)^2-'THAM_SO_MOI'!$C$25*(E415/'THAM_SO_MOI'!$C$22)^3)</f>
        <v>64.65552871606788</v>
      </c>
      <c r="K415" s="75">
        <f>'THAM_SO_MOI'!$C$31*J415/E415</f>
        <v>409.1646201552776</v>
      </c>
      <c r="L415" s="75">
        <f>K415*'THAM_SO_MOI'!$C$53*'THAM_SO_MOI'!$C$17/'THAM_SO_MOI'!$C$26</f>
        <v>3588.375319810078</v>
      </c>
      <c r="M415" s="75">
        <f>'THAM_SO_MOI'!$C$15*'THAM_SO_MOI'!$C$16*F415^2</f>
        <v>686.3461586336673</v>
      </c>
      <c r="N415" s="75">
        <f>'THAM_SO_MOI'!$C$12*I415</f>
        <v>1130.112</v>
      </c>
      <c r="O415" s="75">
        <f>M415+N415</f>
        <v>1816.4581586336674</v>
      </c>
      <c r="P415" s="75">
        <f>(MIN(L415,'THAM_SO_MOI'!$C$41)-O415)/('THAM_SO_MOI'!$C$11*H415)</f>
        <v>0.20974398214682888</v>
      </c>
      <c r="Q415" s="75">
        <f>IF(P415&gt;0,1/P415,NA())</f>
        <v>4.767717241584369</v>
      </c>
      <c r="R415" s="75">
        <f>F415-F414</f>
        <v>0.017600427350426884</v>
      </c>
      <c r="S415" s="75">
        <f>0.5*(Q414+Q415)*R415</f>
        <v>0.08389953882549833</v>
      </c>
      <c r="T415" s="75">
        <f>0.5*(F414*Q414+F415*Q415)*R415</f>
        <v>1.284454468602272</v>
      </c>
      <c r="U415" s="76">
        <f>U414+S415</f>
        <v>34.29699232290395</v>
      </c>
      <c r="V415" s="76">
        <f>V414+T415</f>
        <v>400.5264332699906</v>
      </c>
    </row>
    <row r="416" spans="1:22" ht="19" customHeight="1">
      <c r="A416" s="68" t="s">
        <v>362</v>
      </c>
      <c r="B416" s="74">
        <v>5</v>
      </c>
      <c r="C416" s="68" t="s">
        <v>363</v>
      </c>
      <c r="D416" s="68" t="s">
        <v>364</v>
      </c>
      <c r="E416" s="75">
        <f>60*F416*'THAM_SO_MOI'!$C$53/(2*PI()*'THAM_SO_MOI'!$C$26)</f>
        <v>1510.9831578947367</v>
      </c>
      <c r="F416" s="75">
        <f>'THAM_SO_MOI'!$E$53+('THAM_SO_MOI'!$C$14-'THAM_SO_MOI'!$E$53)*410/'THAM_SO_MOI'!$C$42</f>
        <v>15.335833333333333</v>
      </c>
      <c r="G416" s="75">
        <f>3.6*F416</f>
        <v>55.209</v>
      </c>
      <c r="H416" s="75">
        <f>'THAM_SO_MOI'!$D$53</f>
        <v>1.1</v>
      </c>
      <c r="I416" s="75">
        <f>IF(F416&gt;'THAM_SO_MOI'!$C$14,'THAM_SO_MOI'!$C$13*(1+F416^2/1500),'THAM_SO_MOI'!$C$13)</f>
        <v>0.015</v>
      </c>
      <c r="J416" s="75">
        <f>'THAM_SO_MOI'!$C$40*('THAM_SO_MOI'!$C$23*(E416/'THAM_SO_MOI'!$C$22)+'THAM_SO_MOI'!$C$24*(E416/'THAM_SO_MOI'!$C$22)^2-'THAM_SO_MOI'!$C$25*(E416/'THAM_SO_MOI'!$C$22)^3)</f>
        <v>64.7472908259593</v>
      </c>
      <c r="K416" s="75">
        <f>'THAM_SO_MOI'!$C$31*J416/E416</f>
        <v>409.2750743430755</v>
      </c>
      <c r="L416" s="75">
        <f>K416*'THAM_SO_MOI'!$C$53*'THAM_SO_MOI'!$C$17/'THAM_SO_MOI'!$C$26</f>
        <v>3589.3440034692694</v>
      </c>
      <c r="M416" s="75">
        <f>'THAM_SO_MOI'!$C$15*'THAM_SO_MOI'!$C$16*F416^2</f>
        <v>687.9242682812501</v>
      </c>
      <c r="N416" s="75">
        <f>'THAM_SO_MOI'!$C$12*I416</f>
        <v>1130.112</v>
      </c>
      <c r="O416" s="75">
        <f>M416+N416</f>
        <v>1818.0362682812502</v>
      </c>
      <c r="P416" s="75">
        <f>(MIN(L416,'THAM_SO_MOI'!$C$41)-O416)/('THAM_SO_MOI'!$C$11*H416)</f>
        <v>0.20967184365388486</v>
      </c>
      <c r="Q416" s="75">
        <f>IF(P416&gt;0,1/P416,NA())</f>
        <v>4.769357595055762</v>
      </c>
      <c r="R416" s="75">
        <f>F416-F415</f>
        <v>0.017600427350426884</v>
      </c>
      <c r="S416" s="75">
        <f>0.5*(Q415+Q416)*R416</f>
        <v>0.08392829639893448</v>
      </c>
      <c r="T416" s="75">
        <f>0.5*(F415*Q415+F416*Q416)*R416</f>
        <v>1.2863719056180938</v>
      </c>
      <c r="U416" s="76">
        <f>U415+S416</f>
        <v>34.380920619302884</v>
      </c>
      <c r="V416" s="76">
        <f>V415+T416</f>
        <v>401.8128051756087</v>
      </c>
    </row>
    <row r="417" spans="1:22" ht="19" customHeight="1">
      <c r="A417" s="68" t="s">
        <v>362</v>
      </c>
      <c r="B417" s="74">
        <v>5</v>
      </c>
      <c r="C417" s="68" t="s">
        <v>363</v>
      </c>
      <c r="D417" s="68" t="s">
        <v>364</v>
      </c>
      <c r="E417" s="75">
        <f>60*F417*'THAM_SO_MOI'!$C$53/(2*PI()*'THAM_SO_MOI'!$C$26)</f>
        <v>1512.7172631578944</v>
      </c>
      <c r="F417" s="75">
        <f>'THAM_SO_MOI'!$E$53+('THAM_SO_MOI'!$C$14-'THAM_SO_MOI'!$E$53)*411/'THAM_SO_MOI'!$C$42</f>
        <v>15.35343376068376</v>
      </c>
      <c r="G417" s="75">
        <f>3.6*F417</f>
        <v>55.27236153846154</v>
      </c>
      <c r="H417" s="75">
        <f>'THAM_SO_MOI'!$D$53</f>
        <v>1.1</v>
      </c>
      <c r="I417" s="75">
        <f>IF(F417&gt;'THAM_SO_MOI'!$C$14,'THAM_SO_MOI'!$C$13*(1+F417^2/1500),'THAM_SO_MOI'!$C$13)</f>
        <v>0.015</v>
      </c>
      <c r="J417" s="75">
        <f>'THAM_SO_MOI'!$C$40*('THAM_SO_MOI'!$C$23*(E417/'THAM_SO_MOI'!$C$22)+'THAM_SO_MOI'!$C$24*(E417/'THAM_SO_MOI'!$C$22)^2-'THAM_SO_MOI'!$C$25*(E417/'THAM_SO_MOI'!$C$22)^3)</f>
        <v>64.8390468386316</v>
      </c>
      <c r="K417" s="75">
        <f>'THAM_SO_MOI'!$C$31*J417/E417</f>
        <v>409.3852367952485</v>
      </c>
      <c r="L417" s="75">
        <f>K417*'THAM_SO_MOI'!$C$53*'THAM_SO_MOI'!$C$17/'THAM_SO_MOI'!$C$26</f>
        <v>3590.310128605888</v>
      </c>
      <c r="M417" s="75">
        <f>'THAM_SO_MOI'!$C$15*'THAM_SO_MOI'!$C$16*F417^2</f>
        <v>689.5041901128338</v>
      </c>
      <c r="N417" s="75">
        <f>'THAM_SO_MOI'!$C$12*I417</f>
        <v>1130.112</v>
      </c>
      <c r="O417" s="75">
        <f>M417+N417</f>
        <v>1819.616190112834</v>
      </c>
      <c r="P417" s="75">
        <f>(MIN(L417,'THAM_SO_MOI'!$C$41)-O417)/('THAM_SO_MOI'!$C$11*H417)</f>
        <v>0.20959918779510586</v>
      </c>
      <c r="Q417" s="75">
        <f>IF(P417&gt;0,1/P417,NA())</f>
        <v>4.771010854190676</v>
      </c>
      <c r="R417" s="75">
        <f>F417-F416</f>
        <v>0.017600427350426884</v>
      </c>
      <c r="S417" s="75">
        <f>0.5*(Q416+Q417)*R417</f>
        <v>0.08395728089363336</v>
      </c>
      <c r="T417" s="75">
        <f>0.5*(F416*Q416+F417*Q417)*R417</f>
        <v>1.288293836950671</v>
      </c>
      <c r="U417" s="76">
        <f>U416+S417</f>
        <v>34.46487790019652</v>
      </c>
      <c r="V417" s="76">
        <f>V416+T417</f>
        <v>403.10109901255936</v>
      </c>
    </row>
    <row r="418" spans="1:22" ht="19" customHeight="1">
      <c r="A418" s="68" t="s">
        <v>362</v>
      </c>
      <c r="B418" s="74">
        <v>5</v>
      </c>
      <c r="C418" s="68" t="s">
        <v>363</v>
      </c>
      <c r="D418" s="68" t="s">
        <v>364</v>
      </c>
      <c r="E418" s="75">
        <f>60*F418*'THAM_SO_MOI'!$C$53/(2*PI()*'THAM_SO_MOI'!$C$26)</f>
        <v>1514.4513684210524</v>
      </c>
      <c r="F418" s="75">
        <f>'THAM_SO_MOI'!$E$53+('THAM_SO_MOI'!$C$14-'THAM_SO_MOI'!$E$53)*412/'THAM_SO_MOI'!$C$42</f>
        <v>15.371034188034189</v>
      </c>
      <c r="G418" s="75">
        <f>3.6*F418</f>
        <v>55.33572307692308</v>
      </c>
      <c r="H418" s="75">
        <f>'THAM_SO_MOI'!$D$53</f>
        <v>1.1</v>
      </c>
      <c r="I418" s="75">
        <f>IF(F418&gt;'THAM_SO_MOI'!$C$14,'THAM_SO_MOI'!$C$13*(1+F418^2/1500),'THAM_SO_MOI'!$C$13)</f>
        <v>0.015</v>
      </c>
      <c r="J418" s="75">
        <f>'THAM_SO_MOI'!$C$40*('THAM_SO_MOI'!$C$23*(E418/'THAM_SO_MOI'!$C$22)+'THAM_SO_MOI'!$C$24*(E418/'THAM_SO_MOI'!$C$22)^2-'THAM_SO_MOI'!$C$25*(E418/'THAM_SO_MOI'!$C$22)^3)</f>
        <v>64.93079659518155</v>
      </c>
      <c r="K418" s="75">
        <f>'THAM_SO_MOI'!$C$31*J418/E418</f>
        <v>409.4951075117965</v>
      </c>
      <c r="L418" s="75">
        <f>K418*'THAM_SO_MOI'!$C$53*'THAM_SO_MOI'!$C$17/'THAM_SO_MOI'!$C$26</f>
        <v>3591.2736952199352</v>
      </c>
      <c r="M418" s="75">
        <f>'THAM_SO_MOI'!$C$15*'THAM_SO_MOI'!$C$16*F418^2</f>
        <v>691.085924128419</v>
      </c>
      <c r="N418" s="75">
        <f>'THAM_SO_MOI'!$C$12*I418</f>
        <v>1130.112</v>
      </c>
      <c r="O418" s="75">
        <f>M418+N418</f>
        <v>1821.1979241284191</v>
      </c>
      <c r="P418" s="75">
        <f>(MIN(L418,'THAM_SO_MOI'!$C$41)-O418)/('THAM_SO_MOI'!$C$11*H418)</f>
        <v>0.20952601457049194</v>
      </c>
      <c r="Q418" s="75">
        <f>IF(P418&gt;0,1/P418,NA())</f>
        <v>4.77267704466151</v>
      </c>
      <c r="R418" s="75">
        <f>F418-F417</f>
        <v>0.01760042735042866</v>
      </c>
      <c r="S418" s="75">
        <f>0.5*(Q417+Q418)*R418</f>
        <v>0.08398649275945652</v>
      </c>
      <c r="T418" s="75">
        <f>0.5*(F417*Q417+F418*Q418)*R418</f>
        <v>1.2902202814926331</v>
      </c>
      <c r="U418" s="76">
        <f>U417+S418</f>
        <v>34.54886439295598</v>
      </c>
      <c r="V418" s="76">
        <f>V417+T418</f>
        <v>404.391319294052</v>
      </c>
    </row>
    <row r="419" spans="1:22" ht="19" customHeight="1">
      <c r="A419" s="68" t="s">
        <v>362</v>
      </c>
      <c r="B419" s="74">
        <v>5</v>
      </c>
      <c r="C419" s="68" t="s">
        <v>363</v>
      </c>
      <c r="D419" s="68" t="s">
        <v>364</v>
      </c>
      <c r="E419" s="75">
        <f>60*F419*'THAM_SO_MOI'!$C$53/(2*PI()*'THAM_SO_MOI'!$C$26)</f>
        <v>1516.1854736842104</v>
      </c>
      <c r="F419" s="75">
        <f>'THAM_SO_MOI'!$E$53+('THAM_SO_MOI'!$C$14-'THAM_SO_MOI'!$E$53)*413/'THAM_SO_MOI'!$C$42</f>
        <v>15.388634615384616</v>
      </c>
      <c r="G419" s="75">
        <f>3.6*F419</f>
        <v>55.399084615384616</v>
      </c>
      <c r="H419" s="75">
        <f>'THAM_SO_MOI'!$D$53</f>
        <v>1.1</v>
      </c>
      <c r="I419" s="75">
        <f>IF(F419&gt;'THAM_SO_MOI'!$C$14,'THAM_SO_MOI'!$C$13*(1+F419^2/1500),'THAM_SO_MOI'!$C$13)</f>
        <v>0.015</v>
      </c>
      <c r="J419" s="75">
        <f>'THAM_SO_MOI'!$C$40*('THAM_SO_MOI'!$C$23*(E419/'THAM_SO_MOI'!$C$22)+'THAM_SO_MOI'!$C$24*(E419/'THAM_SO_MOI'!$C$22)^2-'THAM_SO_MOI'!$C$25*(E419/'THAM_SO_MOI'!$C$22)^3)</f>
        <v>65.02253993670581</v>
      </c>
      <c r="K419" s="75">
        <f>'THAM_SO_MOI'!$C$31*J419/E419</f>
        <v>409.60468649271934</v>
      </c>
      <c r="L419" s="75">
        <f>K419*'THAM_SO_MOI'!$C$53*'THAM_SO_MOI'!$C$17/'THAM_SO_MOI'!$C$26</f>
        <v>3592.234703311408</v>
      </c>
      <c r="M419" s="75">
        <f>'THAM_SO_MOI'!$C$15*'THAM_SO_MOI'!$C$16*F419^2</f>
        <v>692.6694703280049</v>
      </c>
      <c r="N419" s="75">
        <f>'THAM_SO_MOI'!$C$12*I419</f>
        <v>1130.112</v>
      </c>
      <c r="O419" s="75">
        <f>M419+N419</f>
        <v>1822.781470328005</v>
      </c>
      <c r="P419" s="75">
        <f>(MIN(L419,'THAM_SO_MOI'!$C$41)-O419)/('THAM_SO_MOI'!$C$11*H419)</f>
        <v>0.20945232398004296</v>
      </c>
      <c r="Q419" s="75">
        <f>IF(P419&gt;0,1/P419,NA())</f>
        <v>4.774356192368064</v>
      </c>
      <c r="R419" s="75">
        <f>F419-F418</f>
        <v>0.017600427350426884</v>
      </c>
      <c r="S419" s="75">
        <f>0.5*(Q418+Q419)*R419</f>
        <v>0.0840159324502249</v>
      </c>
      <c r="T419" s="75">
        <f>0.5*(F418*Q418+F419*Q419)*R419</f>
        <v>1.2921512582291754</v>
      </c>
      <c r="U419" s="76">
        <f>U418+S419</f>
        <v>34.632880325406205</v>
      </c>
      <c r="V419" s="76">
        <f>V418+T419</f>
        <v>405.68347055228116</v>
      </c>
    </row>
    <row r="420" spans="1:22" ht="19" customHeight="1">
      <c r="A420" s="68" t="s">
        <v>362</v>
      </c>
      <c r="B420" s="74">
        <v>5</v>
      </c>
      <c r="C420" s="68" t="s">
        <v>363</v>
      </c>
      <c r="D420" s="68" t="s">
        <v>364</v>
      </c>
      <c r="E420" s="75">
        <f>60*F420*'THAM_SO_MOI'!$C$53/(2*PI()*'THAM_SO_MOI'!$C$26)</f>
        <v>1517.919578947368</v>
      </c>
      <c r="F420" s="75">
        <f>'THAM_SO_MOI'!$E$53+('THAM_SO_MOI'!$C$14-'THAM_SO_MOI'!$E$53)*414/'THAM_SO_MOI'!$C$42</f>
        <v>15.406235042735043</v>
      </c>
      <c r="G420" s="75">
        <f>3.6*F420</f>
        <v>55.46244615384615</v>
      </c>
      <c r="H420" s="75">
        <f>'THAM_SO_MOI'!$D$53</f>
        <v>1.1</v>
      </c>
      <c r="I420" s="75">
        <f>IF(F420&gt;'THAM_SO_MOI'!$C$14,'THAM_SO_MOI'!$C$13*(1+F420^2/1500),'THAM_SO_MOI'!$C$13)</f>
        <v>0.015</v>
      </c>
      <c r="J420" s="75">
        <f>'THAM_SO_MOI'!$C$40*('THAM_SO_MOI'!$C$23*(E420/'THAM_SO_MOI'!$C$22)+'THAM_SO_MOI'!$C$24*(E420/'THAM_SO_MOI'!$C$22)^2-'THAM_SO_MOI'!$C$25*(E420/'THAM_SO_MOI'!$C$22)^3)</f>
        <v>65.11427670430115</v>
      </c>
      <c r="K420" s="75">
        <f>'THAM_SO_MOI'!$C$31*J420/E420</f>
        <v>409.7139737380172</v>
      </c>
      <c r="L420" s="75">
        <f>K420*'THAM_SO_MOI'!$C$53*'THAM_SO_MOI'!$C$17/'THAM_SO_MOI'!$C$26</f>
        <v>3593.193152880308</v>
      </c>
      <c r="M420" s="75">
        <f>'THAM_SO_MOI'!$C$15*'THAM_SO_MOI'!$C$16*F420^2</f>
        <v>694.254828711592</v>
      </c>
      <c r="N420" s="75">
        <f>'THAM_SO_MOI'!$C$12*I420</f>
        <v>1130.112</v>
      </c>
      <c r="O420" s="75">
        <f>M420+N420</f>
        <v>1824.366828711592</v>
      </c>
      <c r="P420" s="75">
        <f>(MIN(L420,'THAM_SO_MOI'!$C$41)-O420)/('THAM_SO_MOI'!$C$11*H420)</f>
        <v>0.209378116023759</v>
      </c>
      <c r="Q420" s="75">
        <f>IF(P420&gt;0,1/P420,NA())</f>
        <v>4.776048323438568</v>
      </c>
      <c r="R420" s="75">
        <f>F420-F419</f>
        <v>0.017600427350426884</v>
      </c>
      <c r="S420" s="75">
        <f>0.5*(Q419+Q420)*R420</f>
        <v>0.08404560042382173</v>
      </c>
      <c r="T420" s="75">
        <f>0.5*(F419*Q419+F420*Q420)*R420</f>
        <v>1.294086786239992</v>
      </c>
      <c r="U420" s="76">
        <f>U419+S420</f>
        <v>34.716925925830026</v>
      </c>
      <c r="V420" s="76">
        <f>V419+T420</f>
        <v>406.97755733852114</v>
      </c>
    </row>
    <row r="421" spans="1:22" ht="19" customHeight="1">
      <c r="A421" s="68" t="s">
        <v>362</v>
      </c>
      <c r="B421" s="74">
        <v>5</v>
      </c>
      <c r="C421" s="68" t="s">
        <v>363</v>
      </c>
      <c r="D421" s="68" t="s">
        <v>364</v>
      </c>
      <c r="E421" s="75">
        <f>60*F421*'THAM_SO_MOI'!$C$53/(2*PI()*'THAM_SO_MOI'!$C$26)</f>
        <v>1519.653684210526</v>
      </c>
      <c r="F421" s="75">
        <f>'THAM_SO_MOI'!$E$53+('THAM_SO_MOI'!$C$14-'THAM_SO_MOI'!$E$53)*415/'THAM_SO_MOI'!$C$42</f>
        <v>15.423835470085471</v>
      </c>
      <c r="G421" s="75">
        <f>3.6*F421</f>
        <v>55.5258076923077</v>
      </c>
      <c r="H421" s="75">
        <f>'THAM_SO_MOI'!$D$53</f>
        <v>1.1</v>
      </c>
      <c r="I421" s="75">
        <f>IF(F421&gt;'THAM_SO_MOI'!$C$14,'THAM_SO_MOI'!$C$13*(1+F421^2/1500),'THAM_SO_MOI'!$C$13)</f>
        <v>0.015</v>
      </c>
      <c r="J421" s="75">
        <f>'THAM_SO_MOI'!$C$40*('THAM_SO_MOI'!$C$23*(E421/'THAM_SO_MOI'!$C$22)+'THAM_SO_MOI'!$C$24*(E421/'THAM_SO_MOI'!$C$22)^2-'THAM_SO_MOI'!$C$25*(E421/'THAM_SO_MOI'!$C$22)^3)</f>
        <v>65.20600673906426</v>
      </c>
      <c r="K421" s="75">
        <f>'THAM_SO_MOI'!$C$31*J421/E421</f>
        <v>409.8229692476901</v>
      </c>
      <c r="L421" s="75">
        <f>K421*'THAM_SO_MOI'!$C$53*'THAM_SO_MOI'!$C$17/'THAM_SO_MOI'!$C$26</f>
        <v>3594.1490439266345</v>
      </c>
      <c r="M421" s="75">
        <f>'THAM_SO_MOI'!$C$15*'THAM_SO_MOI'!$C$16*F421^2</f>
        <v>695.8419992791802</v>
      </c>
      <c r="N421" s="75">
        <f>'THAM_SO_MOI'!$C$12*I421</f>
        <v>1130.112</v>
      </c>
      <c r="O421" s="75">
        <f>M421+N421</f>
        <v>1825.9539992791802</v>
      </c>
      <c r="P421" s="75">
        <f>(MIN(L421,'THAM_SO_MOI'!$C$41)-O421)/('THAM_SO_MOI'!$C$11*H421)</f>
        <v>0.20930339070163995</v>
      </c>
      <c r="Q421" s="75">
        <f>IF(P421&gt;0,1/P421,NA())</f>
        <v>4.777753464230739</v>
      </c>
      <c r="R421" s="75">
        <f>F421-F420</f>
        <v>0.01760042735042866</v>
      </c>
      <c r="S421" s="75">
        <f>0.5*(Q420+Q421)*R421</f>
        <v>0.08407549714213455</v>
      </c>
      <c r="T421" s="75">
        <f>0.5*(F420*Q420+F421*Q421)*R421</f>
        <v>1.2960268846987393</v>
      </c>
      <c r="U421" s="76">
        <f>U420+S421</f>
        <v>34.80100142297216</v>
      </c>
      <c r="V421" s="76">
        <f>V420+T421</f>
        <v>408.27358422321987</v>
      </c>
    </row>
    <row r="422" spans="1:22" ht="19" customHeight="1">
      <c r="A422" s="68" t="s">
        <v>362</v>
      </c>
      <c r="B422" s="74">
        <v>5</v>
      </c>
      <c r="C422" s="68" t="s">
        <v>363</v>
      </c>
      <c r="D422" s="68" t="s">
        <v>364</v>
      </c>
      <c r="E422" s="75">
        <f>60*F422*'THAM_SO_MOI'!$C$53/(2*PI()*'THAM_SO_MOI'!$C$26)</f>
        <v>1521.387789473684</v>
      </c>
      <c r="F422" s="75">
        <f>'THAM_SO_MOI'!$E$53+('THAM_SO_MOI'!$C$14-'THAM_SO_MOI'!$E$53)*416/'THAM_SO_MOI'!$C$42</f>
        <v>15.441435897435898</v>
      </c>
      <c r="G422" s="75">
        <f>3.6*F422</f>
        <v>55.58916923076924</v>
      </c>
      <c r="H422" s="75">
        <f>'THAM_SO_MOI'!$D$53</f>
        <v>1.1</v>
      </c>
      <c r="I422" s="75">
        <f>IF(F422&gt;'THAM_SO_MOI'!$C$14,'THAM_SO_MOI'!$C$13*(1+F422^2/1500),'THAM_SO_MOI'!$C$13)</f>
        <v>0.015</v>
      </c>
      <c r="J422" s="75">
        <f>'THAM_SO_MOI'!$C$40*('THAM_SO_MOI'!$C$23*(E422/'THAM_SO_MOI'!$C$22)+'THAM_SO_MOI'!$C$24*(E422/'THAM_SO_MOI'!$C$22)^2-'THAM_SO_MOI'!$C$25*(E422/'THAM_SO_MOI'!$C$22)^3)</f>
        <v>65.2977298820919</v>
      </c>
      <c r="K422" s="75">
        <f>'THAM_SO_MOI'!$C$31*J422/E422</f>
        <v>409.9316730217379</v>
      </c>
      <c r="L422" s="75">
        <f>K422*'THAM_SO_MOI'!$C$53*'THAM_SO_MOI'!$C$17/'THAM_SO_MOI'!$C$26</f>
        <v>3595.102376450388</v>
      </c>
      <c r="M422" s="75">
        <f>'THAM_SO_MOI'!$C$15*'THAM_SO_MOI'!$C$16*F422^2</f>
        <v>697.4309820307693</v>
      </c>
      <c r="N422" s="75">
        <f>'THAM_SO_MOI'!$C$12*I422</f>
        <v>1130.112</v>
      </c>
      <c r="O422" s="75">
        <f>M422+N422</f>
        <v>1827.5429820307695</v>
      </c>
      <c r="P422" s="75">
        <f>(MIN(L422,'THAM_SO_MOI'!$C$41)-O422)/('THAM_SO_MOI'!$C$11*H422)</f>
        <v>0.2092281480136859</v>
      </c>
      <c r="Q422" s="75">
        <f>IF(P422&gt;0,1/P422,NA())</f>
        <v>4.779471641332832</v>
      </c>
      <c r="R422" s="75">
        <f>F422-F421</f>
        <v>0.017600427350426884</v>
      </c>
      <c r="S422" s="75">
        <f>0.5*(Q421+Q422)*R422</f>
        <v>0.08410562307107376</v>
      </c>
      <c r="T422" s="75">
        <f>0.5*(F421*Q421+F422*Q422)*R422</f>
        <v>1.2979715728736756</v>
      </c>
      <c r="U422" s="76">
        <f>U421+S422</f>
        <v>34.88510704604324</v>
      </c>
      <c r="V422" s="76">
        <f>V421+T422</f>
        <v>409.57155579609355</v>
      </c>
    </row>
    <row r="423" spans="1:22" ht="19" customHeight="1">
      <c r="A423" s="68" t="s">
        <v>362</v>
      </c>
      <c r="B423" s="74">
        <v>5</v>
      </c>
      <c r="C423" s="68" t="s">
        <v>363</v>
      </c>
      <c r="D423" s="68" t="s">
        <v>364</v>
      </c>
      <c r="E423" s="75">
        <f>60*F423*'THAM_SO_MOI'!$C$53/(2*PI()*'THAM_SO_MOI'!$C$26)</f>
        <v>1523.1218947368418</v>
      </c>
      <c r="F423" s="75">
        <f>'THAM_SO_MOI'!$E$53+('THAM_SO_MOI'!$C$14-'THAM_SO_MOI'!$E$53)*417/'THAM_SO_MOI'!$C$42</f>
        <v>15.459036324786325</v>
      </c>
      <c r="G423" s="75">
        <f>3.6*F423</f>
        <v>55.65253076923077</v>
      </c>
      <c r="H423" s="75">
        <f>'THAM_SO_MOI'!$D$53</f>
        <v>1.1</v>
      </c>
      <c r="I423" s="75">
        <f>IF(F423&gt;'THAM_SO_MOI'!$C$14,'THAM_SO_MOI'!$C$13*(1+F423^2/1500),'THAM_SO_MOI'!$C$13)</f>
        <v>0.015</v>
      </c>
      <c r="J423" s="75">
        <f>'THAM_SO_MOI'!$C$40*('THAM_SO_MOI'!$C$23*(E423/'THAM_SO_MOI'!$C$22)+'THAM_SO_MOI'!$C$24*(E423/'THAM_SO_MOI'!$C$22)^2-'THAM_SO_MOI'!$C$25*(E423/'THAM_SO_MOI'!$C$22)^3)</f>
        <v>65.38944597448071</v>
      </c>
      <c r="K423" s="75">
        <f>'THAM_SO_MOI'!$C$31*J423/E423</f>
        <v>410.04008506016055</v>
      </c>
      <c r="L423" s="75">
        <f>K423*'THAM_SO_MOI'!$C$53*'THAM_SO_MOI'!$C$17/'THAM_SO_MOI'!$C$26</f>
        <v>3596.0531504515684</v>
      </c>
      <c r="M423" s="75">
        <f>'THAM_SO_MOI'!$C$15*'THAM_SO_MOI'!$C$16*F423^2</f>
        <v>699.0217769663597</v>
      </c>
      <c r="N423" s="75">
        <f>'THAM_SO_MOI'!$C$12*I423</f>
        <v>1130.112</v>
      </c>
      <c r="O423" s="75">
        <f>M423+N423</f>
        <v>1829.1337769663596</v>
      </c>
      <c r="P423" s="75">
        <f>(MIN(L423,'THAM_SO_MOI'!$C$41)-O423)/('THAM_SO_MOI'!$C$11*H423)</f>
        <v>0.20915238795989688</v>
      </c>
      <c r="Q423" s="75">
        <f>IF(P423&gt;0,1/P423,NA())</f>
        <v>4.781202881564714</v>
      </c>
      <c r="R423" s="75">
        <f>F423-F422</f>
        <v>0.017600427350426884</v>
      </c>
      <c r="S423" s="75">
        <f>0.5*(Q422+Q423)*R423</f>
        <v>0.08413597868066773</v>
      </c>
      <c r="T423" s="75">
        <f>0.5*(F422*Q422+F423*Q423)*R423</f>
        <v>1.2999208701294815</v>
      </c>
      <c r="U423" s="76">
        <f>U422+S423</f>
        <v>34.96924302472391</v>
      </c>
      <c r="V423" s="76">
        <f>V422+T423</f>
        <v>410.87147666622303</v>
      </c>
    </row>
    <row r="424" spans="1:22" ht="19" customHeight="1">
      <c r="A424" s="68" t="s">
        <v>362</v>
      </c>
      <c r="B424" s="74">
        <v>5</v>
      </c>
      <c r="C424" s="68" t="s">
        <v>363</v>
      </c>
      <c r="D424" s="68" t="s">
        <v>364</v>
      </c>
      <c r="E424" s="75">
        <f>60*F424*'THAM_SO_MOI'!$C$53/(2*PI()*'THAM_SO_MOI'!$C$26)</f>
        <v>1524.8559999999998</v>
      </c>
      <c r="F424" s="75">
        <f>'THAM_SO_MOI'!$E$53+('THAM_SO_MOI'!$C$14-'THAM_SO_MOI'!$E$53)*418/'THAM_SO_MOI'!$C$42</f>
        <v>15.476636752136752</v>
      </c>
      <c r="G424" s="75">
        <f>3.6*F424</f>
        <v>55.71589230769231</v>
      </c>
      <c r="H424" s="75">
        <f>'THAM_SO_MOI'!$D$53</f>
        <v>1.1</v>
      </c>
      <c r="I424" s="75">
        <f>IF(F424&gt;'THAM_SO_MOI'!$C$14,'THAM_SO_MOI'!$C$13*(1+F424^2/1500),'THAM_SO_MOI'!$C$13)</f>
        <v>0.015</v>
      </c>
      <c r="J424" s="75">
        <f>'THAM_SO_MOI'!$C$40*('THAM_SO_MOI'!$C$23*(E424/'THAM_SO_MOI'!$C$22)+'THAM_SO_MOI'!$C$24*(E424/'THAM_SO_MOI'!$C$22)^2-'THAM_SO_MOI'!$C$25*(E424/'THAM_SO_MOI'!$C$22)^3)</f>
        <v>65.4811548573275</v>
      </c>
      <c r="K424" s="75">
        <f>'THAM_SO_MOI'!$C$31*J424/E424</f>
        <v>410.14820536295827</v>
      </c>
      <c r="L424" s="75">
        <f>K424*'THAM_SO_MOI'!$C$53*'THAM_SO_MOI'!$C$17/'THAM_SO_MOI'!$C$26</f>
        <v>3597.0013659301753</v>
      </c>
      <c r="M424" s="75">
        <f>'THAM_SO_MOI'!$C$15*'THAM_SO_MOI'!$C$16*F424^2</f>
        <v>700.614384085951</v>
      </c>
      <c r="N424" s="75">
        <f>'THAM_SO_MOI'!$C$12*I424</f>
        <v>1130.112</v>
      </c>
      <c r="O424" s="75">
        <f>M424+N424</f>
        <v>1830.726384085951</v>
      </c>
      <c r="P424" s="75">
        <f>(MIN(L424,'THAM_SO_MOI'!$C$41)-O424)/('THAM_SO_MOI'!$C$11*H424)</f>
        <v>0.20907611054027278</v>
      </c>
      <c r="Q424" s="75">
        <f>IF(P424&gt;0,1/P424,NA())</f>
        <v>4.782947211978948</v>
      </c>
      <c r="R424" s="75">
        <f>F424-F423</f>
        <v>0.017600427350426884</v>
      </c>
      <c r="S424" s="75">
        <f>0.5*(Q423+Q424)*R424</f>
        <v>0.08416656444499686</v>
      </c>
      <c r="T424" s="75">
        <f>0.5*(F423*Q423+F424*Q424)*R424</f>
        <v>1.3018747959266075</v>
      </c>
      <c r="U424" s="76">
        <f>U423+S424</f>
        <v>35.05340958916891</v>
      </c>
      <c r="V424" s="76">
        <f>V423+T424</f>
        <v>412.17335146214964</v>
      </c>
    </row>
    <row r="425" spans="1:22" ht="19" customHeight="1">
      <c r="A425" s="68" t="s">
        <v>362</v>
      </c>
      <c r="B425" s="74">
        <v>5</v>
      </c>
      <c r="C425" s="68" t="s">
        <v>363</v>
      </c>
      <c r="D425" s="68" t="s">
        <v>364</v>
      </c>
      <c r="E425" s="75">
        <f>60*F425*'THAM_SO_MOI'!$C$53/(2*PI()*'THAM_SO_MOI'!$C$26)</f>
        <v>1526.5901052631575</v>
      </c>
      <c r="F425" s="75">
        <f>'THAM_SO_MOI'!$E$53+('THAM_SO_MOI'!$C$14-'THAM_SO_MOI'!$E$53)*419/'THAM_SO_MOI'!$C$42</f>
        <v>15.494237179487179</v>
      </c>
      <c r="G425" s="75">
        <f>3.6*F425</f>
        <v>55.77925384615384</v>
      </c>
      <c r="H425" s="75">
        <f>'THAM_SO_MOI'!$D$53</f>
        <v>1.1</v>
      </c>
      <c r="I425" s="75">
        <f>IF(F425&gt;'THAM_SO_MOI'!$C$14,'THAM_SO_MOI'!$C$13*(1+F425^2/1500),'THAM_SO_MOI'!$C$13)</f>
        <v>0.015</v>
      </c>
      <c r="J425" s="75">
        <f>'THAM_SO_MOI'!$C$40*('THAM_SO_MOI'!$C$23*(E425/'THAM_SO_MOI'!$C$22)+'THAM_SO_MOI'!$C$24*(E425/'THAM_SO_MOI'!$C$22)^2-'THAM_SO_MOI'!$C$25*(E425/'THAM_SO_MOI'!$C$22)^3)</f>
        <v>65.57285637172893</v>
      </c>
      <c r="K425" s="75">
        <f>'THAM_SO_MOI'!$C$31*J425/E425</f>
        <v>410.25603393013085</v>
      </c>
      <c r="L425" s="75">
        <f>K425*'THAM_SO_MOI'!$C$53*'THAM_SO_MOI'!$C$17/'THAM_SO_MOI'!$C$26</f>
        <v>3597.9470228862087</v>
      </c>
      <c r="M425" s="75">
        <f>'THAM_SO_MOI'!$C$15*'THAM_SO_MOI'!$C$16*F425^2</f>
        <v>702.2088033895433</v>
      </c>
      <c r="N425" s="75">
        <f>'THAM_SO_MOI'!$C$12*I425</f>
        <v>1130.112</v>
      </c>
      <c r="O425" s="75">
        <f>M425+N425</f>
        <v>1832.3208033895435</v>
      </c>
      <c r="P425" s="75">
        <f>(MIN(L425,'THAM_SO_MOI'!$C$41)-O425)/('THAM_SO_MOI'!$C$11*H425)</f>
        <v>0.2089993157548136</v>
      </c>
      <c r="Q425" s="75">
        <f>IF(P425&gt;0,1/P425,NA())</f>
        <v>4.784704659861875</v>
      </c>
      <c r="R425" s="75">
        <f>F425-F424</f>
        <v>0.017600427350426884</v>
      </c>
      <c r="S425" s="75">
        <f>0.5*(Q424+Q425)*R425</f>
        <v>0.0841973808422551</v>
      </c>
      <c r="T425" s="75">
        <f>0.5*(F424*Q424+F425*Q425)*R425</f>
        <v>1.3038333698225788</v>
      </c>
      <c r="U425" s="76">
        <f>U424+S425</f>
        <v>35.13760697001116</v>
      </c>
      <c r="V425" s="76">
        <f>V424+T425</f>
        <v>413.47718483197224</v>
      </c>
    </row>
    <row r="426" spans="1:22" ht="19" customHeight="1">
      <c r="A426" s="68" t="s">
        <v>362</v>
      </c>
      <c r="B426" s="74">
        <v>5</v>
      </c>
      <c r="C426" s="68" t="s">
        <v>363</v>
      </c>
      <c r="D426" s="68" t="s">
        <v>364</v>
      </c>
      <c r="E426" s="75">
        <f>60*F426*'THAM_SO_MOI'!$C$53/(2*PI()*'THAM_SO_MOI'!$C$26)</f>
        <v>1528.3242105263155</v>
      </c>
      <c r="F426" s="75">
        <f>'THAM_SO_MOI'!$E$53+('THAM_SO_MOI'!$C$14-'THAM_SO_MOI'!$E$53)*420/'THAM_SO_MOI'!$C$42</f>
        <v>15.511837606837608</v>
      </c>
      <c r="G426" s="75">
        <f>3.6*F426</f>
        <v>55.842615384615385</v>
      </c>
      <c r="H426" s="75">
        <f>'THAM_SO_MOI'!$D$53</f>
        <v>1.1</v>
      </c>
      <c r="I426" s="75">
        <f>IF(F426&gt;'THAM_SO_MOI'!$C$14,'THAM_SO_MOI'!$C$13*(1+F426^2/1500),'THAM_SO_MOI'!$C$13)</f>
        <v>0.015</v>
      </c>
      <c r="J426" s="75">
        <f>'THAM_SO_MOI'!$C$40*('THAM_SO_MOI'!$C$23*(E426/'THAM_SO_MOI'!$C$22)+'THAM_SO_MOI'!$C$24*(E426/'THAM_SO_MOI'!$C$22)^2-'THAM_SO_MOI'!$C$25*(E426/'THAM_SO_MOI'!$C$22)^3)</f>
        <v>65.66455035878178</v>
      </c>
      <c r="K426" s="75">
        <f>'THAM_SO_MOI'!$C$31*J426/E426</f>
        <v>410.3635707616785</v>
      </c>
      <c r="L426" s="75">
        <f>K426*'THAM_SO_MOI'!$C$53*'THAM_SO_MOI'!$C$17/'THAM_SO_MOI'!$C$26</f>
        <v>3598.8901213196696</v>
      </c>
      <c r="M426" s="75">
        <f>'THAM_SO_MOI'!$C$15*'THAM_SO_MOI'!$C$16*F426^2</f>
        <v>703.8050348771369</v>
      </c>
      <c r="N426" s="75">
        <f>'THAM_SO_MOI'!$C$12*I426</f>
        <v>1130.112</v>
      </c>
      <c r="O426" s="75">
        <f>M426+N426</f>
        <v>1833.917034877137</v>
      </c>
      <c r="P426" s="75">
        <f>(MIN(L426,'THAM_SO_MOI'!$C$41)-O426)/('THAM_SO_MOI'!$C$11*H426)</f>
        <v>0.2089220036035195</v>
      </c>
      <c r="Q426" s="75">
        <f>IF(P426&gt;0,1/P426,NA())</f>
        <v>4.78647525273472</v>
      </c>
      <c r="R426" s="75">
        <f>F426-F425</f>
        <v>0.01760042735042866</v>
      </c>
      <c r="S426" s="75">
        <f>0.5*(Q425+Q426)*R426</f>
        <v>0.08422842835476925</v>
      </c>
      <c r="T426" s="75">
        <f>0.5*(F425*Q425+F426*Q426)*R426</f>
        <v>1.3057966114726582</v>
      </c>
      <c r="U426" s="76">
        <f>U425+S426</f>
        <v>35.22183539836593</v>
      </c>
      <c r="V426" s="76">
        <f>V425+T426</f>
        <v>414.7829814434449</v>
      </c>
    </row>
    <row r="427" spans="1:22" ht="19" customHeight="1">
      <c r="A427" s="68" t="s">
        <v>362</v>
      </c>
      <c r="B427" s="74">
        <v>5</v>
      </c>
      <c r="C427" s="68" t="s">
        <v>363</v>
      </c>
      <c r="D427" s="68" t="s">
        <v>364</v>
      </c>
      <c r="E427" s="75">
        <f>60*F427*'THAM_SO_MOI'!$C$53/(2*PI()*'THAM_SO_MOI'!$C$26)</f>
        <v>1530.0583157894732</v>
      </c>
      <c r="F427" s="75">
        <f>'THAM_SO_MOI'!$E$53+('THAM_SO_MOI'!$C$14-'THAM_SO_MOI'!$E$53)*421/'THAM_SO_MOI'!$C$42</f>
        <v>15.529438034188034</v>
      </c>
      <c r="G427" s="75">
        <f>3.6*F427</f>
        <v>55.90597692307693</v>
      </c>
      <c r="H427" s="75">
        <f>'THAM_SO_MOI'!$D$53</f>
        <v>1.1</v>
      </c>
      <c r="I427" s="75">
        <f>IF(F427&gt;'THAM_SO_MOI'!$C$14,'THAM_SO_MOI'!$C$13*(1+F427^2/1500),'THAM_SO_MOI'!$C$13)</f>
        <v>0.015</v>
      </c>
      <c r="J427" s="75">
        <f>'THAM_SO_MOI'!$C$40*('THAM_SO_MOI'!$C$23*(E427/'THAM_SO_MOI'!$C$22)+'THAM_SO_MOI'!$C$24*(E427/'THAM_SO_MOI'!$C$22)^2-'THAM_SO_MOI'!$C$25*(E427/'THAM_SO_MOI'!$C$22)^3)</f>
        <v>65.75623665958273</v>
      </c>
      <c r="K427" s="75">
        <f>'THAM_SO_MOI'!$C$31*J427/E427</f>
        <v>410.47081585760117</v>
      </c>
      <c r="L427" s="75">
        <f>K427*'THAM_SO_MOI'!$C$53*'THAM_SO_MOI'!$C$17/'THAM_SO_MOI'!$C$26</f>
        <v>3599.8306612305582</v>
      </c>
      <c r="M427" s="75">
        <f>'THAM_SO_MOI'!$C$15*'THAM_SO_MOI'!$C$16*F427^2</f>
        <v>705.4030785487314</v>
      </c>
      <c r="N427" s="75">
        <f>'THAM_SO_MOI'!$C$12*I427</f>
        <v>1130.112</v>
      </c>
      <c r="O427" s="75">
        <f>M427+N427</f>
        <v>1835.5150785487315</v>
      </c>
      <c r="P427" s="75">
        <f>(MIN(L427,'THAM_SO_MOI'!$C$41)-O427)/('THAM_SO_MOI'!$C$11*H427)</f>
        <v>0.20884417408639044</v>
      </c>
      <c r="Q427" s="75">
        <f>IF(P427&gt;0,1/P427,NA())</f>
        <v>4.78825901835471</v>
      </c>
      <c r="R427" s="75">
        <f>F427-F426</f>
        <v>0.017600427350426884</v>
      </c>
      <c r="S427" s="75">
        <f>0.5*(Q426+Q427)*R427</f>
        <v>0.084259707468976</v>
      </c>
      <c r="T427" s="75">
        <f>0.5*(F426*Q426+F427*Q427)*R427</f>
        <v>1.3077645406298533</v>
      </c>
      <c r="U427" s="76">
        <f>U426+S427</f>
        <v>35.306095105834906</v>
      </c>
      <c r="V427" s="76">
        <f>V426+T427</f>
        <v>416.0907459840748</v>
      </c>
    </row>
    <row r="428" spans="1:22" ht="19" customHeight="1">
      <c r="A428" s="68" t="s">
        <v>362</v>
      </c>
      <c r="B428" s="74">
        <v>5</v>
      </c>
      <c r="C428" s="68" t="s">
        <v>363</v>
      </c>
      <c r="D428" s="68" t="s">
        <v>364</v>
      </c>
      <c r="E428" s="75">
        <f>60*F428*'THAM_SO_MOI'!$C$53/(2*PI()*'THAM_SO_MOI'!$C$26)</f>
        <v>1531.7924210526314</v>
      </c>
      <c r="F428" s="75">
        <f>'THAM_SO_MOI'!$E$53+('THAM_SO_MOI'!$C$14-'THAM_SO_MOI'!$E$53)*422/'THAM_SO_MOI'!$C$42</f>
        <v>15.547038461538463</v>
      </c>
      <c r="G428" s="75">
        <f>3.6*F428</f>
        <v>55.96933846153847</v>
      </c>
      <c r="H428" s="75">
        <f>'THAM_SO_MOI'!$D$53</f>
        <v>1.1</v>
      </c>
      <c r="I428" s="75">
        <f>IF(F428&gt;'THAM_SO_MOI'!$C$14,'THAM_SO_MOI'!$C$13*(1+F428^2/1500),'THAM_SO_MOI'!$C$13)</f>
        <v>0.015</v>
      </c>
      <c r="J428" s="75">
        <f>'THAM_SO_MOI'!$C$40*('THAM_SO_MOI'!$C$23*(E428/'THAM_SO_MOI'!$C$22)+'THAM_SO_MOI'!$C$24*(E428/'THAM_SO_MOI'!$C$22)^2-'THAM_SO_MOI'!$C$25*(E428/'THAM_SO_MOI'!$C$22)^3)</f>
        <v>65.84791511522852</v>
      </c>
      <c r="K428" s="75">
        <f>'THAM_SO_MOI'!$C$31*J428/E428</f>
        <v>410.5777692178987</v>
      </c>
      <c r="L428" s="75">
        <f>K428*'THAM_SO_MOI'!$C$53*'THAM_SO_MOI'!$C$17/'THAM_SO_MOI'!$C$26</f>
        <v>3600.7686426188725</v>
      </c>
      <c r="M428" s="75">
        <f>'THAM_SO_MOI'!$C$15*'THAM_SO_MOI'!$C$16*F428^2</f>
        <v>707.0029344043271</v>
      </c>
      <c r="N428" s="75">
        <f>'THAM_SO_MOI'!$C$12*I428</f>
        <v>1130.112</v>
      </c>
      <c r="O428" s="75">
        <f>M428+N428</f>
        <v>1837.1149344043272</v>
      </c>
      <c r="P428" s="75">
        <f>(MIN(L428,'THAM_SO_MOI'!$C$41)-O428)/('THAM_SO_MOI'!$C$11*H428)</f>
        <v>0.20876582720342626</v>
      </c>
      <c r="Q428" s="75">
        <f>IF(P428&gt;0,1/P428,NA())</f>
        <v>4.7900559847162</v>
      </c>
      <c r="R428" s="75">
        <f>F428-F427</f>
        <v>0.01760042735042866</v>
      </c>
      <c r="S428" s="75">
        <f>0.5*(Q427+Q428)*R428</f>
        <v>0.0842912186755352</v>
      </c>
      <c r="T428" s="75">
        <f>0.5*(F427*Q427+F428*Q428)*R428</f>
        <v>1.309737177147039</v>
      </c>
      <c r="U428" s="76">
        <f>U427+S428</f>
        <v>35.390386324510445</v>
      </c>
      <c r="V428" s="76">
        <f>V427+T428</f>
        <v>417.4004831612218</v>
      </c>
    </row>
    <row r="429" spans="1:22" ht="19" customHeight="1">
      <c r="A429" s="68" t="s">
        <v>362</v>
      </c>
      <c r="B429" s="74">
        <v>5</v>
      </c>
      <c r="C429" s="68" t="s">
        <v>363</v>
      </c>
      <c r="D429" s="68" t="s">
        <v>364</v>
      </c>
      <c r="E429" s="75">
        <f>60*F429*'THAM_SO_MOI'!$C$53/(2*PI()*'THAM_SO_MOI'!$C$26)</f>
        <v>1533.5265263157894</v>
      </c>
      <c r="F429" s="75">
        <f>'THAM_SO_MOI'!$E$53+('THAM_SO_MOI'!$C$14-'THAM_SO_MOI'!$E$53)*423/'THAM_SO_MOI'!$C$42</f>
        <v>15.56463888888889</v>
      </c>
      <c r="G429" s="75">
        <f>3.6*F429</f>
        <v>56.032700000000006</v>
      </c>
      <c r="H429" s="75">
        <f>'THAM_SO_MOI'!$D$53</f>
        <v>1.1</v>
      </c>
      <c r="I429" s="75">
        <f>IF(F429&gt;'THAM_SO_MOI'!$C$14,'THAM_SO_MOI'!$C$13*(1+F429^2/1500),'THAM_SO_MOI'!$C$13)</f>
        <v>0.015</v>
      </c>
      <c r="J429" s="75">
        <f>'THAM_SO_MOI'!$C$40*('THAM_SO_MOI'!$C$23*(E429/'THAM_SO_MOI'!$C$22)+'THAM_SO_MOI'!$C$24*(E429/'THAM_SO_MOI'!$C$22)^2-'THAM_SO_MOI'!$C$25*(E429/'THAM_SO_MOI'!$C$22)^3)</f>
        <v>65.93958556681585</v>
      </c>
      <c r="K429" s="75">
        <f>'THAM_SO_MOI'!$C$31*J429/E429</f>
        <v>410.68443084257126</v>
      </c>
      <c r="L429" s="75">
        <f>K429*'THAM_SO_MOI'!$C$53*'THAM_SO_MOI'!$C$17/'THAM_SO_MOI'!$C$26</f>
        <v>3601.704065484615</v>
      </c>
      <c r="M429" s="75">
        <f>'THAM_SO_MOI'!$C$15*'THAM_SO_MOI'!$C$16*F429^2</f>
        <v>708.6046024439238</v>
      </c>
      <c r="N429" s="75">
        <f>'THAM_SO_MOI'!$C$12*I429</f>
        <v>1130.112</v>
      </c>
      <c r="O429" s="75">
        <f>M429+N429</f>
        <v>1838.7166024439239</v>
      </c>
      <c r="P429" s="75">
        <f>(MIN(L429,'THAM_SO_MOI'!$C$41)-O429)/('THAM_SO_MOI'!$C$11*H429)</f>
        <v>0.20868696295462727</v>
      </c>
      <c r="Q429" s="75">
        <f>IF(P429&gt;0,1/P429,NA())</f>
        <v>4.791866180051794</v>
      </c>
      <c r="R429" s="75">
        <f>F429-F428</f>
        <v>0.017600427350426884</v>
      </c>
      <c r="S429" s="75">
        <f>0.5*(Q428+Q429)*R429</f>
        <v>0.08432296246922208</v>
      </c>
      <c r="T429" s="75">
        <f>0.5*(F428*Q428+F429*Q429)*R429</f>
        <v>1.3117145409756508</v>
      </c>
      <c r="U429" s="76">
        <f>U428+S429</f>
        <v>35.47470928697967</v>
      </c>
      <c r="V429" s="76">
        <f>V428+T429</f>
        <v>418.71219770219744</v>
      </c>
    </row>
    <row r="430" spans="1:22" ht="19" customHeight="1">
      <c r="A430" s="68" t="s">
        <v>362</v>
      </c>
      <c r="B430" s="74">
        <v>5</v>
      </c>
      <c r="C430" s="68" t="s">
        <v>363</v>
      </c>
      <c r="D430" s="68" t="s">
        <v>364</v>
      </c>
      <c r="E430" s="75">
        <f>60*F430*'THAM_SO_MOI'!$C$53/(2*PI()*'THAM_SO_MOI'!$C$26)</f>
        <v>1535.2606315789471</v>
      </c>
      <c r="F430" s="75">
        <f>'THAM_SO_MOI'!$E$53+('THAM_SO_MOI'!$C$14-'THAM_SO_MOI'!$E$53)*424/'THAM_SO_MOI'!$C$42</f>
        <v>15.582239316239317</v>
      </c>
      <c r="G430" s="75">
        <f>3.6*F430</f>
        <v>56.09606153846154</v>
      </c>
      <c r="H430" s="75">
        <f>'THAM_SO_MOI'!$D$53</f>
        <v>1.1</v>
      </c>
      <c r="I430" s="75">
        <f>IF(F430&gt;'THAM_SO_MOI'!$C$14,'THAM_SO_MOI'!$C$13*(1+F430^2/1500),'THAM_SO_MOI'!$C$13)</f>
        <v>0.015</v>
      </c>
      <c r="J430" s="75">
        <f>'THAM_SO_MOI'!$C$40*('THAM_SO_MOI'!$C$23*(E430/'THAM_SO_MOI'!$C$22)+'THAM_SO_MOI'!$C$24*(E430/'THAM_SO_MOI'!$C$22)^2-'THAM_SO_MOI'!$C$25*(E430/'THAM_SO_MOI'!$C$22)^3)</f>
        <v>66.03124785544145</v>
      </c>
      <c r="K430" s="75">
        <f>'THAM_SO_MOI'!$C$31*J430/E430</f>
        <v>410.79080073161873</v>
      </c>
      <c r="L430" s="75">
        <f>K430*'THAM_SO_MOI'!$C$53*'THAM_SO_MOI'!$C$17/'THAM_SO_MOI'!$C$26</f>
        <v>3602.636929827783</v>
      </c>
      <c r="M430" s="75">
        <f>'THAM_SO_MOI'!$C$15*'THAM_SO_MOI'!$C$16*F430^2</f>
        <v>710.2080826675215</v>
      </c>
      <c r="N430" s="75">
        <f>'THAM_SO_MOI'!$C$12*I430</f>
        <v>1130.112</v>
      </c>
      <c r="O430" s="75">
        <f>M430+N430</f>
        <v>1840.3200826675215</v>
      </c>
      <c r="P430" s="75">
        <f>(MIN(L430,'THAM_SO_MOI'!$C$41)-O430)/('THAM_SO_MOI'!$C$11*H430)</f>
        <v>0.2086075813399931</v>
      </c>
      <c r="Q430" s="75">
        <f>IF(P430&gt;0,1/P430,NA())</f>
        <v>4.7936896328335195</v>
      </c>
      <c r="R430" s="75">
        <f>F430-F429</f>
        <v>0.017600427350426884</v>
      </c>
      <c r="S430" s="75">
        <f>0.5*(Q429+Q430)*R430</f>
        <v>0.08435493934907504</v>
      </c>
      <c r="T430" s="75">
        <f>0.5*(F429*Q429+F430*Q430)*R430</f>
        <v>1.3136966521683493</v>
      </c>
      <c r="U430" s="76">
        <f>U429+S430</f>
        <v>35.55906422632874</v>
      </c>
      <c r="V430" s="76">
        <f>V429+T430</f>
        <v>420.0258943543658</v>
      </c>
    </row>
    <row r="431" spans="1:22" ht="19" customHeight="1">
      <c r="A431" s="68" t="s">
        <v>362</v>
      </c>
      <c r="B431" s="74">
        <v>5</v>
      </c>
      <c r="C431" s="68" t="s">
        <v>363</v>
      </c>
      <c r="D431" s="68" t="s">
        <v>364</v>
      </c>
      <c r="E431" s="75">
        <f>60*F431*'THAM_SO_MOI'!$C$53/(2*PI()*'THAM_SO_MOI'!$C$26)</f>
        <v>1536.9947368421049</v>
      </c>
      <c r="F431" s="75">
        <f>'THAM_SO_MOI'!$E$53+('THAM_SO_MOI'!$C$14-'THAM_SO_MOI'!$E$53)*425/'THAM_SO_MOI'!$C$42</f>
        <v>15.599839743589744</v>
      </c>
      <c r="G431" s="75">
        <f>3.6*F431</f>
        <v>56.159423076923076</v>
      </c>
      <c r="H431" s="75">
        <f>'THAM_SO_MOI'!$D$53</f>
        <v>1.1</v>
      </c>
      <c r="I431" s="75">
        <f>IF(F431&gt;'THAM_SO_MOI'!$C$14,'THAM_SO_MOI'!$C$13*(1+F431^2/1500),'THAM_SO_MOI'!$C$13)</f>
        <v>0.015</v>
      </c>
      <c r="J431" s="75">
        <f>'THAM_SO_MOI'!$C$40*('THAM_SO_MOI'!$C$23*(E431/'THAM_SO_MOI'!$C$22)+'THAM_SO_MOI'!$C$24*(E431/'THAM_SO_MOI'!$C$22)^2-'THAM_SO_MOI'!$C$25*(E431/'THAM_SO_MOI'!$C$22)^3)</f>
        <v>66.12290182220204</v>
      </c>
      <c r="K431" s="75">
        <f>'THAM_SO_MOI'!$C$31*J431/E431</f>
        <v>410.8968788850412</v>
      </c>
      <c r="L431" s="75">
        <f>K431*'THAM_SO_MOI'!$C$53*'THAM_SO_MOI'!$C$17/'THAM_SO_MOI'!$C$26</f>
        <v>3603.5672356483788</v>
      </c>
      <c r="M431" s="75">
        <f>'THAM_SO_MOI'!$C$15*'THAM_SO_MOI'!$C$16*F431^2</f>
        <v>711.8133750751203</v>
      </c>
      <c r="N431" s="75">
        <f>'THAM_SO_MOI'!$C$12*I431</f>
        <v>1130.112</v>
      </c>
      <c r="O431" s="75">
        <f>M431+N431</f>
        <v>1841.9253750751204</v>
      </c>
      <c r="P431" s="75">
        <f>(MIN(L431,'THAM_SO_MOI'!$C$41)-O431)/('THAM_SO_MOI'!$C$11*H431)</f>
        <v>0.20852768235952396</v>
      </c>
      <c r="Q431" s="75">
        <f>IF(P431&gt;0,1/P431,NA())</f>
        <v>4.795526371773956</v>
      </c>
      <c r="R431" s="75">
        <f>F431-F430</f>
        <v>0.017600427350426884</v>
      </c>
      <c r="S431" s="75">
        <f>0.5*(Q430+Q431)*R431</f>
        <v>0.08438714981832231</v>
      </c>
      <c r="T431" s="75">
        <f>0.5*(F430*Q430+F431*Q431)*R431</f>
        <v>1.315683530878254</v>
      </c>
      <c r="U431" s="76">
        <f>U430+S431</f>
        <v>35.64345137614706</v>
      </c>
      <c r="V431" s="76">
        <f>V430+T431</f>
        <v>421.341577885244</v>
      </c>
    </row>
    <row r="432" spans="1:22" ht="19" customHeight="1">
      <c r="A432" s="68" t="s">
        <v>362</v>
      </c>
      <c r="B432" s="74">
        <v>5</v>
      </c>
      <c r="C432" s="68" t="s">
        <v>363</v>
      </c>
      <c r="D432" s="68" t="s">
        <v>364</v>
      </c>
      <c r="E432" s="75">
        <f>60*F432*'THAM_SO_MOI'!$C$53/(2*PI()*'THAM_SO_MOI'!$C$26)</f>
        <v>1538.7288421052629</v>
      </c>
      <c r="F432" s="75">
        <f>'THAM_SO_MOI'!$E$53+('THAM_SO_MOI'!$C$14-'THAM_SO_MOI'!$E$53)*426/'THAM_SO_MOI'!$C$42</f>
        <v>15.61744017094017</v>
      </c>
      <c r="G432" s="75">
        <f>3.6*F432</f>
        <v>56.22278461538462</v>
      </c>
      <c r="H432" s="75">
        <f>'THAM_SO_MOI'!$D$53</f>
        <v>1.1</v>
      </c>
      <c r="I432" s="75">
        <f>IF(F432&gt;'THAM_SO_MOI'!$C$14,'THAM_SO_MOI'!$C$13*(1+F432^2/1500),'THAM_SO_MOI'!$C$13)</f>
        <v>0.015</v>
      </c>
      <c r="J432" s="75">
        <f>'THAM_SO_MOI'!$C$40*('THAM_SO_MOI'!$C$23*(E432/'THAM_SO_MOI'!$C$22)+'THAM_SO_MOI'!$C$24*(E432/'THAM_SO_MOI'!$C$22)^2-'THAM_SO_MOI'!$C$25*(E432/'THAM_SO_MOI'!$C$22)^3)</f>
        <v>66.21454730819434</v>
      </c>
      <c r="K432" s="75">
        <f>'THAM_SO_MOI'!$C$31*J432/E432</f>
        <v>411.0026653028385</v>
      </c>
      <c r="L432" s="75">
        <f>K432*'THAM_SO_MOI'!$C$53*'THAM_SO_MOI'!$C$17/'THAM_SO_MOI'!$C$26</f>
        <v>3604.4949829464</v>
      </c>
      <c r="M432" s="75">
        <f>'THAM_SO_MOI'!$C$15*'THAM_SO_MOI'!$C$16*F432^2</f>
        <v>713.4204796667201</v>
      </c>
      <c r="N432" s="75">
        <f>'THAM_SO_MOI'!$C$12*I432</f>
        <v>1130.112</v>
      </c>
      <c r="O432" s="75">
        <f>M432+N432</f>
        <v>1843.53247966672</v>
      </c>
      <c r="P432" s="75">
        <f>(MIN(L432,'THAM_SO_MOI'!$C$41)-O432)/('THAM_SO_MOI'!$C$11*H432)</f>
        <v>0.20844726601321967</v>
      </c>
      <c r="Q432" s="75">
        <f>IF(P432&gt;0,1/P432,NA())</f>
        <v>4.797376425827434</v>
      </c>
      <c r="R432" s="75">
        <f>F432-F431</f>
        <v>0.017600427350426884</v>
      </c>
      <c r="S432" s="75">
        <f>0.5*(Q431+Q432)*R432</f>
        <v>0.08441959438444503</v>
      </c>
      <c r="T432" s="75">
        <f>0.5*(F431*Q431+F432*Q432)*R432</f>
        <v>1.3176751973602927</v>
      </c>
      <c r="U432" s="76">
        <f>U431+S432</f>
        <v>35.727870970531505</v>
      </c>
      <c r="V432" s="76">
        <f>V431+T432</f>
        <v>422.6592530826043</v>
      </c>
    </row>
    <row r="433" spans="1:22" ht="19" customHeight="1">
      <c r="A433" s="68" t="s">
        <v>362</v>
      </c>
      <c r="B433" s="74">
        <v>5</v>
      </c>
      <c r="C433" s="68" t="s">
        <v>363</v>
      </c>
      <c r="D433" s="68" t="s">
        <v>364</v>
      </c>
      <c r="E433" s="75">
        <f>60*F433*'THAM_SO_MOI'!$C$53/(2*PI()*'THAM_SO_MOI'!$C$26)</f>
        <v>1540.4629473684206</v>
      </c>
      <c r="F433" s="75">
        <f>'THAM_SO_MOI'!$E$53+('THAM_SO_MOI'!$C$14-'THAM_SO_MOI'!$E$53)*427/'THAM_SO_MOI'!$C$42</f>
        <v>15.635040598290598</v>
      </c>
      <c r="G433" s="75">
        <f>3.6*F433</f>
        <v>56.286146153846154</v>
      </c>
      <c r="H433" s="75">
        <f>'THAM_SO_MOI'!$D$53</f>
        <v>1.1</v>
      </c>
      <c r="I433" s="75">
        <f>IF(F433&gt;'THAM_SO_MOI'!$C$14,'THAM_SO_MOI'!$C$13*(1+F433^2/1500),'THAM_SO_MOI'!$C$13)</f>
        <v>0.015</v>
      </c>
      <c r="J433" s="75">
        <f>'THAM_SO_MOI'!$C$40*('THAM_SO_MOI'!$C$23*(E433/'THAM_SO_MOI'!$C$22)+'THAM_SO_MOI'!$C$24*(E433/'THAM_SO_MOI'!$C$22)^2-'THAM_SO_MOI'!$C$25*(E433/'THAM_SO_MOI'!$C$22)^3)</f>
        <v>66.30618415451507</v>
      </c>
      <c r="K433" s="75">
        <f>'THAM_SO_MOI'!$C$31*J433/E433</f>
        <v>411.10815998501084</v>
      </c>
      <c r="L433" s="75">
        <f>K433*'THAM_SO_MOI'!$C$53*'THAM_SO_MOI'!$C$17/'THAM_SO_MOI'!$C$26</f>
        <v>3605.420171721849</v>
      </c>
      <c r="M433" s="75">
        <f>'THAM_SO_MOI'!$C$15*'THAM_SO_MOI'!$C$16*F433^2</f>
        <v>715.0293964423211</v>
      </c>
      <c r="N433" s="75">
        <f>'THAM_SO_MOI'!$C$12*I433</f>
        <v>1130.112</v>
      </c>
      <c r="O433" s="75">
        <f>M433+N433</f>
        <v>1845.1413964423211</v>
      </c>
      <c r="P433" s="75">
        <f>(MIN(L433,'THAM_SO_MOI'!$C$41)-O433)/('THAM_SO_MOI'!$C$11*H433)</f>
        <v>0.20836633230108043</v>
      </c>
      <c r="Q433" s="75">
        <f>IF(P433&gt;0,1/P433,NA())</f>
        <v>4.799239824191188</v>
      </c>
      <c r="R433" s="75">
        <f>F433-F432</f>
        <v>0.017600427350426884</v>
      </c>
      <c r="S433" s="75">
        <f>0.5*(Q432+Q433)*R433</f>
        <v>0.08445227355918941</v>
      </c>
      <c r="T433" s="75">
        <f>0.5*(F432*Q432+F433*Q433)*R433</f>
        <v>1.3196716719717687</v>
      </c>
      <c r="U433" s="76">
        <f>U432+S433</f>
        <v>35.81232324409069</v>
      </c>
      <c r="V433" s="76">
        <f>V432+T433</f>
        <v>423.9789247545761</v>
      </c>
    </row>
    <row r="434" spans="1:22" ht="19" customHeight="1">
      <c r="A434" s="68" t="s">
        <v>362</v>
      </c>
      <c r="B434" s="74">
        <v>5</v>
      </c>
      <c r="C434" s="68" t="s">
        <v>363</v>
      </c>
      <c r="D434" s="68" t="s">
        <v>364</v>
      </c>
      <c r="E434" s="75">
        <f>60*F434*'THAM_SO_MOI'!$C$53/(2*PI()*'THAM_SO_MOI'!$C$26)</f>
        <v>1542.1970526315786</v>
      </c>
      <c r="F434" s="75">
        <f>'THAM_SO_MOI'!$E$53+('THAM_SO_MOI'!$C$14-'THAM_SO_MOI'!$E$53)*428/'THAM_SO_MOI'!$C$42</f>
        <v>15.652641025641024</v>
      </c>
      <c r="G434" s="75">
        <f>3.6*F434</f>
        <v>56.34950769230769</v>
      </c>
      <c r="H434" s="75">
        <f>'THAM_SO_MOI'!$D$53</f>
        <v>1.1</v>
      </c>
      <c r="I434" s="75">
        <f>IF(F434&gt;'THAM_SO_MOI'!$C$14,'THAM_SO_MOI'!$C$13*(1+F434^2/1500),'THAM_SO_MOI'!$C$13)</f>
        <v>0.015</v>
      </c>
      <c r="J434" s="75">
        <f>'THAM_SO_MOI'!$C$40*('THAM_SO_MOI'!$C$23*(E434/'THAM_SO_MOI'!$C$22)+'THAM_SO_MOI'!$C$24*(E434/'THAM_SO_MOI'!$C$22)^2-'THAM_SO_MOI'!$C$25*(E434/'THAM_SO_MOI'!$C$22)^3)</f>
        <v>66.397812202261</v>
      </c>
      <c r="K434" s="75">
        <f>'THAM_SO_MOI'!$C$31*J434/E434</f>
        <v>411.2133629315583</v>
      </c>
      <c r="L434" s="75">
        <f>K434*'THAM_SO_MOI'!$C$53*'THAM_SO_MOI'!$C$17/'THAM_SO_MOI'!$C$26</f>
        <v>3606.342801974726</v>
      </c>
      <c r="M434" s="75">
        <f>'THAM_SO_MOI'!$C$15*'THAM_SO_MOI'!$C$16*F434^2</f>
        <v>716.640125401923</v>
      </c>
      <c r="N434" s="75">
        <f>'THAM_SO_MOI'!$C$12*I434</f>
        <v>1130.112</v>
      </c>
      <c r="O434" s="75">
        <f>M434+N434</f>
        <v>1846.752125401923</v>
      </c>
      <c r="P434" s="75">
        <f>(MIN(L434,'THAM_SO_MOI'!$C$41)-O434)/('THAM_SO_MOI'!$C$11*H434)</f>
        <v>0.20828488122310643</v>
      </c>
      <c r="Q434" s="75">
        <f>IF(P434&gt;0,1/P434,NA())</f>
        <v>4.801116596306575</v>
      </c>
      <c r="R434" s="75">
        <f>F434-F433</f>
        <v>0.017600427350426884</v>
      </c>
      <c r="S434" s="75">
        <f>0.5*(Q433+Q434)*R434</f>
        <v>0.0844851878585876</v>
      </c>
      <c r="T434" s="75">
        <f>0.5*(F433*Q433+F434*Q434)*R434</f>
        <v>1.3216729751730616</v>
      </c>
      <c r="U434" s="76">
        <f>U433+S434</f>
        <v>35.89680843194928</v>
      </c>
      <c r="V434" s="76">
        <f>V433+T434</f>
        <v>425.30059772974914</v>
      </c>
    </row>
    <row r="435" spans="1:22" ht="19" customHeight="1">
      <c r="A435" s="68" t="s">
        <v>362</v>
      </c>
      <c r="B435" s="74">
        <v>5</v>
      </c>
      <c r="C435" s="68" t="s">
        <v>363</v>
      </c>
      <c r="D435" s="68" t="s">
        <v>364</v>
      </c>
      <c r="E435" s="75">
        <f>60*F435*'THAM_SO_MOI'!$C$53/(2*PI()*'THAM_SO_MOI'!$C$26)</f>
        <v>1543.9311578947365</v>
      </c>
      <c r="F435" s="75">
        <f>'THAM_SO_MOI'!$E$53+('THAM_SO_MOI'!$C$14-'THAM_SO_MOI'!$E$53)*429/'THAM_SO_MOI'!$C$42</f>
        <v>15.670241452991453</v>
      </c>
      <c r="G435" s="75">
        <f>3.6*F435</f>
        <v>56.41286923076923</v>
      </c>
      <c r="H435" s="75">
        <f>'THAM_SO_MOI'!$D$53</f>
        <v>1.1</v>
      </c>
      <c r="I435" s="75">
        <f>IF(F435&gt;'THAM_SO_MOI'!$C$14,'THAM_SO_MOI'!$C$13*(1+F435^2/1500),'THAM_SO_MOI'!$C$13)</f>
        <v>0.015</v>
      </c>
      <c r="J435" s="75">
        <f>'THAM_SO_MOI'!$C$40*('THAM_SO_MOI'!$C$23*(E435/'THAM_SO_MOI'!$C$22)+'THAM_SO_MOI'!$C$24*(E435/'THAM_SO_MOI'!$C$22)^2-'THAM_SO_MOI'!$C$25*(E435/'THAM_SO_MOI'!$C$22)^3)</f>
        <v>66.48943129252878</v>
      </c>
      <c r="K435" s="75">
        <f>'THAM_SO_MOI'!$C$31*J435/E435</f>
        <v>411.3182741424806</v>
      </c>
      <c r="L435" s="75">
        <f>K435*'THAM_SO_MOI'!$C$53*'THAM_SO_MOI'!$C$17/'THAM_SO_MOI'!$C$26</f>
        <v>3607.2628737050286</v>
      </c>
      <c r="M435" s="75">
        <f>'THAM_SO_MOI'!$C$15*'THAM_SO_MOI'!$C$16*F435^2</f>
        <v>718.2526665455263</v>
      </c>
      <c r="N435" s="75">
        <f>'THAM_SO_MOI'!$C$12*I435</f>
        <v>1130.112</v>
      </c>
      <c r="O435" s="75">
        <f>M435+N435</f>
        <v>1848.3646665455262</v>
      </c>
      <c r="P435" s="75">
        <f>(MIN(L435,'THAM_SO_MOI'!$C$41)-O435)/('THAM_SO_MOI'!$C$11*H435)</f>
        <v>0.20820291277929714</v>
      </c>
      <c r="Q435" s="75">
        <f>IF(P435&gt;0,1/P435,NA())</f>
        <v>4.803006771860283</v>
      </c>
      <c r="R435" s="75">
        <f>F435-F434</f>
        <v>0.01760042735042866</v>
      </c>
      <c r="S435" s="75">
        <f>0.5*(Q434+Q435)*R435</f>
        <v>0.0845183378029875</v>
      </c>
      <c r="T435" s="75">
        <f>0.5*(F434*Q434+F435*Q435)*R435</f>
        <v>1.3236791275284723</v>
      </c>
      <c r="U435" s="76">
        <f>U434+S435</f>
        <v>35.98132676975227</v>
      </c>
      <c r="V435" s="76">
        <f>V434+T435</f>
        <v>426.6242768572776</v>
      </c>
    </row>
    <row r="436" spans="1:22" ht="19" customHeight="1">
      <c r="A436" s="68" t="s">
        <v>362</v>
      </c>
      <c r="B436" s="74">
        <v>5</v>
      </c>
      <c r="C436" s="68" t="s">
        <v>363</v>
      </c>
      <c r="D436" s="68" t="s">
        <v>364</v>
      </c>
      <c r="E436" s="75">
        <f>60*F436*'THAM_SO_MOI'!$C$53/(2*PI()*'THAM_SO_MOI'!$C$26)</f>
        <v>1545.6652631578945</v>
      </c>
      <c r="F436" s="75">
        <f>'THAM_SO_MOI'!$E$53+('THAM_SO_MOI'!$C$14-'THAM_SO_MOI'!$E$53)*430/'THAM_SO_MOI'!$C$42</f>
        <v>15.687841880341882</v>
      </c>
      <c r="G436" s="75">
        <f>3.6*F436</f>
        <v>56.476230769230774</v>
      </c>
      <c r="H436" s="75">
        <f>'THAM_SO_MOI'!$D$53</f>
        <v>1.1</v>
      </c>
      <c r="I436" s="75">
        <f>IF(F436&gt;'THAM_SO_MOI'!$C$14,'THAM_SO_MOI'!$C$13*(1+F436^2/1500),'THAM_SO_MOI'!$C$13)</f>
        <v>0.015</v>
      </c>
      <c r="J436" s="75">
        <f>'THAM_SO_MOI'!$C$40*('THAM_SO_MOI'!$C$23*(E436/'THAM_SO_MOI'!$C$22)+'THAM_SO_MOI'!$C$24*(E436/'THAM_SO_MOI'!$C$22)^2-'THAM_SO_MOI'!$C$25*(E436/'THAM_SO_MOI'!$C$22)^3)</f>
        <v>66.58104126641517</v>
      </c>
      <c r="K436" s="75">
        <f>'THAM_SO_MOI'!$C$31*J436/E436</f>
        <v>411.422893617778</v>
      </c>
      <c r="L436" s="75">
        <f>K436*'THAM_SO_MOI'!$C$53*'THAM_SO_MOI'!$C$17/'THAM_SO_MOI'!$C$26</f>
        <v>3608.1803869127593</v>
      </c>
      <c r="M436" s="75">
        <f>'THAM_SO_MOI'!$C$15*'THAM_SO_MOI'!$C$16*F436^2</f>
        <v>719.8670198731305</v>
      </c>
      <c r="N436" s="75">
        <f>'THAM_SO_MOI'!$C$12*I436</f>
        <v>1130.112</v>
      </c>
      <c r="O436" s="75">
        <f>M436+N436</f>
        <v>1849.9790198731307</v>
      </c>
      <c r="P436" s="75">
        <f>(MIN(L436,'THAM_SO_MOI'!$C$41)-O436)/('THAM_SO_MOI'!$C$11*H436)</f>
        <v>0.20812042696965302</v>
      </c>
      <c r="Q436" s="75">
        <f>IF(P436&gt;0,1/P436,NA())</f>
        <v>4.804910380785517</v>
      </c>
      <c r="R436" s="75">
        <f>F436-F435</f>
        <v>0.01760042735042866</v>
      </c>
      <c r="S436" s="75">
        <f>0.5*(Q435+Q436)*R436</f>
        <v>0.0845517239170399</v>
      </c>
      <c r="T436" s="75">
        <f>0.5*(F435*Q435+F436*Q436)*R436</f>
        <v>1.3256901497063993</v>
      </c>
      <c r="U436" s="76">
        <f>U435+S436</f>
        <v>36.06587849366931</v>
      </c>
      <c r="V436" s="76">
        <f>V435+T436</f>
        <v>427.949967006984</v>
      </c>
    </row>
    <row r="437" spans="1:22" ht="19" customHeight="1">
      <c r="A437" s="68" t="s">
        <v>362</v>
      </c>
      <c r="B437" s="74">
        <v>5</v>
      </c>
      <c r="C437" s="68" t="s">
        <v>363</v>
      </c>
      <c r="D437" s="68" t="s">
        <v>364</v>
      </c>
      <c r="E437" s="75">
        <f>60*F437*'THAM_SO_MOI'!$C$53/(2*PI()*'THAM_SO_MOI'!$C$26)</f>
        <v>1547.3993684210525</v>
      </c>
      <c r="F437" s="75">
        <f>'THAM_SO_MOI'!$E$53+('THAM_SO_MOI'!$C$14-'THAM_SO_MOI'!$E$53)*431/'THAM_SO_MOI'!$C$42</f>
        <v>15.705442307692309</v>
      </c>
      <c r="G437" s="75">
        <f>3.6*F437</f>
        <v>56.53959230769231</v>
      </c>
      <c r="H437" s="75">
        <f>'THAM_SO_MOI'!$D$53</f>
        <v>1.1</v>
      </c>
      <c r="I437" s="75">
        <f>IF(F437&gt;'THAM_SO_MOI'!$C$14,'THAM_SO_MOI'!$C$13*(1+F437^2/1500),'THAM_SO_MOI'!$C$13)</f>
        <v>0.015</v>
      </c>
      <c r="J437" s="75">
        <f>'THAM_SO_MOI'!$C$40*('THAM_SO_MOI'!$C$23*(E437/'THAM_SO_MOI'!$C$22)+'THAM_SO_MOI'!$C$24*(E437/'THAM_SO_MOI'!$C$22)^2-'THAM_SO_MOI'!$C$25*(E437/'THAM_SO_MOI'!$C$22)^3)</f>
        <v>66.67264196501687</v>
      </c>
      <c r="K437" s="75">
        <f>'THAM_SO_MOI'!$C$31*J437/E437</f>
        <v>411.5272213574502</v>
      </c>
      <c r="L437" s="75">
        <f>K437*'THAM_SO_MOI'!$C$53*'THAM_SO_MOI'!$C$17/'THAM_SO_MOI'!$C$26</f>
        <v>3609.095341597915</v>
      </c>
      <c r="M437" s="75">
        <f>'THAM_SO_MOI'!$C$15*'THAM_SO_MOI'!$C$16*F437^2</f>
        <v>721.4831853847356</v>
      </c>
      <c r="N437" s="75">
        <f>'THAM_SO_MOI'!$C$12*I437</f>
        <v>1130.112</v>
      </c>
      <c r="O437" s="75">
        <f>M437+N437</f>
        <v>1851.5951853847357</v>
      </c>
      <c r="P437" s="75">
        <f>(MIN(L437,'THAM_SO_MOI'!$C$41)-O437)/('THAM_SO_MOI'!$C$11*H437)</f>
        <v>0.20803742379417367</v>
      </c>
      <c r="Q437" s="75">
        <f>IF(P437&gt;0,1/P437,NA())</f>
        <v>4.806827453263272</v>
      </c>
      <c r="R437" s="75">
        <f>F437-F436</f>
        <v>0.017600427350426884</v>
      </c>
      <c r="S437" s="75">
        <f>0.5*(Q436+Q437)*R437</f>
        <v>0.08458534672976258</v>
      </c>
      <c r="T437" s="75">
        <f>0.5*(F436*Q436+F437*Q437)*R437</f>
        <v>1.327706062480725</v>
      </c>
      <c r="U437" s="76">
        <f>U436+S437</f>
        <v>36.15046384039907</v>
      </c>
      <c r="V437" s="76">
        <f>V436+T437</f>
        <v>429.27767306946475</v>
      </c>
    </row>
    <row r="438" spans="1:22" ht="19" customHeight="1">
      <c r="A438" s="68" t="s">
        <v>362</v>
      </c>
      <c r="B438" s="74">
        <v>5</v>
      </c>
      <c r="C438" s="68" t="s">
        <v>363</v>
      </c>
      <c r="D438" s="68" t="s">
        <v>364</v>
      </c>
      <c r="E438" s="75">
        <f>60*F438*'THAM_SO_MOI'!$C$53/(2*PI()*'THAM_SO_MOI'!$C$26)</f>
        <v>1549.1334736842102</v>
      </c>
      <c r="F438" s="75">
        <f>'THAM_SO_MOI'!$E$53+('THAM_SO_MOI'!$C$14-'THAM_SO_MOI'!$E$53)*432/'THAM_SO_MOI'!$C$42</f>
        <v>15.723042735042736</v>
      </c>
      <c r="G438" s="75">
        <f>3.6*F438</f>
        <v>56.60295384615385</v>
      </c>
      <c r="H438" s="75">
        <f>'THAM_SO_MOI'!$D$53</f>
        <v>1.1</v>
      </c>
      <c r="I438" s="75">
        <f>IF(F438&gt;'THAM_SO_MOI'!$C$14,'THAM_SO_MOI'!$C$13*(1+F438^2/1500),'THAM_SO_MOI'!$C$13)</f>
        <v>0.015</v>
      </c>
      <c r="J438" s="75">
        <f>'THAM_SO_MOI'!$C$40*('THAM_SO_MOI'!$C$23*(E438/'THAM_SO_MOI'!$C$22)+'THAM_SO_MOI'!$C$24*(E438/'THAM_SO_MOI'!$C$22)^2-'THAM_SO_MOI'!$C$25*(E438/'THAM_SO_MOI'!$C$22)^3)</f>
        <v>66.76423322943059</v>
      </c>
      <c r="K438" s="75">
        <f>'THAM_SO_MOI'!$C$31*J438/E438</f>
        <v>411.63125736149726</v>
      </c>
      <c r="L438" s="75">
        <f>K438*'THAM_SO_MOI'!$C$53*'THAM_SO_MOI'!$C$17/'THAM_SO_MOI'!$C$26</f>
        <v>3610.0077377604985</v>
      </c>
      <c r="M438" s="75">
        <f>'THAM_SO_MOI'!$C$15*'THAM_SO_MOI'!$C$16*F438^2</f>
        <v>723.101163080342</v>
      </c>
      <c r="N438" s="75">
        <f>'THAM_SO_MOI'!$C$12*I438</f>
        <v>1130.112</v>
      </c>
      <c r="O438" s="75">
        <f>M438+N438</f>
        <v>1853.213163080342</v>
      </c>
      <c r="P438" s="75">
        <f>(MIN(L438,'THAM_SO_MOI'!$C$41)-O438)/('THAM_SO_MOI'!$C$11*H438)</f>
        <v>0.20795390325285945</v>
      </c>
      <c r="Q438" s="75">
        <f>IF(P438&gt;0,1/P438,NA())</f>
        <v>4.808758019723535</v>
      </c>
      <c r="R438" s="75">
        <f>F438-F437</f>
        <v>0.017600427350426884</v>
      </c>
      <c r="S438" s="75">
        <f>0.5*(Q437+Q438)*R438</f>
        <v>0.08461920677456222</v>
      </c>
      <c r="T438" s="75">
        <f>0.5*(F437*Q437+F438*Q438)*R438</f>
        <v>1.3297268867315433</v>
      </c>
      <c r="U438" s="76">
        <f>U437+S438</f>
        <v>36.23508304717363</v>
      </c>
      <c r="V438" s="76">
        <f>V437+T438</f>
        <v>430.6073999561963</v>
      </c>
    </row>
    <row r="439" spans="1:22" ht="19" customHeight="1">
      <c r="A439" s="68" t="s">
        <v>362</v>
      </c>
      <c r="B439" s="74">
        <v>5</v>
      </c>
      <c r="C439" s="68" t="s">
        <v>363</v>
      </c>
      <c r="D439" s="68" t="s">
        <v>364</v>
      </c>
      <c r="E439" s="75">
        <f>60*F439*'THAM_SO_MOI'!$C$53/(2*PI()*'THAM_SO_MOI'!$C$26)</f>
        <v>1550.8675789473682</v>
      </c>
      <c r="F439" s="75">
        <f>'THAM_SO_MOI'!$E$53+('THAM_SO_MOI'!$C$14-'THAM_SO_MOI'!$E$53)*433/'THAM_SO_MOI'!$C$42</f>
        <v>15.740643162393162</v>
      </c>
      <c r="G439" s="75">
        <f>3.6*F439</f>
        <v>56.66631538461539</v>
      </c>
      <c r="H439" s="75">
        <f>'THAM_SO_MOI'!$D$53</f>
        <v>1.1</v>
      </c>
      <c r="I439" s="75">
        <f>IF(F439&gt;'THAM_SO_MOI'!$C$14,'THAM_SO_MOI'!$C$13*(1+F439^2/1500),'THAM_SO_MOI'!$C$13)</f>
        <v>0.015</v>
      </c>
      <c r="J439" s="75">
        <f>'THAM_SO_MOI'!$C$40*('THAM_SO_MOI'!$C$23*(E439/'THAM_SO_MOI'!$C$22)+'THAM_SO_MOI'!$C$24*(E439/'THAM_SO_MOI'!$C$22)^2-'THAM_SO_MOI'!$C$25*(E439/'THAM_SO_MOI'!$C$22)^3)</f>
        <v>66.8558149007531</v>
      </c>
      <c r="K439" s="75">
        <f>'THAM_SO_MOI'!$C$31*J439/E439</f>
        <v>411.7350016299195</v>
      </c>
      <c r="L439" s="75">
        <f>K439*'THAM_SO_MOI'!$C$53*'THAM_SO_MOI'!$C$17/'THAM_SO_MOI'!$C$26</f>
        <v>3610.917575400509</v>
      </c>
      <c r="M439" s="75">
        <f>'THAM_SO_MOI'!$C$15*'THAM_SO_MOI'!$C$16*F439^2</f>
        <v>724.7209529599494</v>
      </c>
      <c r="N439" s="75">
        <f>'THAM_SO_MOI'!$C$12*I439</f>
        <v>1130.112</v>
      </c>
      <c r="O439" s="75">
        <f>M439+N439</f>
        <v>1854.8329529599496</v>
      </c>
      <c r="P439" s="75">
        <f>(MIN(L439,'THAM_SO_MOI'!$C$41)-O439)/('THAM_SO_MOI'!$C$11*H439)</f>
        <v>0.20786986534571017</v>
      </c>
      <c r="Q439" s="75">
        <f>IF(P439&gt;0,1/P439,NA())</f>
        <v>4.810702110846569</v>
      </c>
      <c r="R439" s="75">
        <f>F439-F438</f>
        <v>0.017600427350426884</v>
      </c>
      <c r="S439" s="75">
        <f>0.5*(Q438+Q439)*R439</f>
        <v>0.08465330458921351</v>
      </c>
      <c r="T439" s="75">
        <f>0.5*(F438*Q438+F439*Q439)*R439</f>
        <v>1.3317526434452192</v>
      </c>
      <c r="U439" s="76">
        <f>U438+S439</f>
        <v>36.31973635176284</v>
      </c>
      <c r="V439" s="76">
        <f>V438+T439</f>
        <v>431.9391525996415</v>
      </c>
    </row>
    <row r="440" spans="1:22" ht="19" customHeight="1">
      <c r="A440" s="68" t="s">
        <v>362</v>
      </c>
      <c r="B440" s="74">
        <v>5</v>
      </c>
      <c r="C440" s="68" t="s">
        <v>363</v>
      </c>
      <c r="D440" s="68" t="s">
        <v>364</v>
      </c>
      <c r="E440" s="75">
        <f>60*F440*'THAM_SO_MOI'!$C$53/(2*PI()*'THAM_SO_MOI'!$C$26)</f>
        <v>1552.601684210526</v>
      </c>
      <c r="F440" s="75">
        <f>'THAM_SO_MOI'!$E$53+('THAM_SO_MOI'!$C$14-'THAM_SO_MOI'!$E$53)*434/'THAM_SO_MOI'!$C$42</f>
        <v>15.75824358974359</v>
      </c>
      <c r="G440" s="75">
        <f>3.6*F440</f>
        <v>56.72967692307692</v>
      </c>
      <c r="H440" s="75">
        <f>'THAM_SO_MOI'!$D$53</f>
        <v>1.1</v>
      </c>
      <c r="I440" s="75">
        <f>IF(F440&gt;'THAM_SO_MOI'!$C$14,'THAM_SO_MOI'!$C$13*(1+F440^2/1500),'THAM_SO_MOI'!$C$13)</f>
        <v>0.015</v>
      </c>
      <c r="J440" s="75">
        <f>'THAM_SO_MOI'!$C$40*('THAM_SO_MOI'!$C$23*(E440/'THAM_SO_MOI'!$C$22)+'THAM_SO_MOI'!$C$24*(E440/'THAM_SO_MOI'!$C$22)^2-'THAM_SO_MOI'!$C$25*(E440/'THAM_SO_MOI'!$C$22)^3)</f>
        <v>66.94738682008108</v>
      </c>
      <c r="K440" s="75">
        <f>'THAM_SO_MOI'!$C$31*J440/E440</f>
        <v>411.83845416271663</v>
      </c>
      <c r="L440" s="75">
        <f>K440*'THAM_SO_MOI'!$C$53*'THAM_SO_MOI'!$C$17/'THAM_SO_MOI'!$C$26</f>
        <v>3611.8248545179467</v>
      </c>
      <c r="M440" s="75">
        <f>'THAM_SO_MOI'!$C$15*'THAM_SO_MOI'!$C$16*F440^2</f>
        <v>726.3425550235577</v>
      </c>
      <c r="N440" s="75">
        <f>'THAM_SO_MOI'!$C$12*I440</f>
        <v>1130.112</v>
      </c>
      <c r="O440" s="75">
        <f>M440+N440</f>
        <v>1856.4545550235578</v>
      </c>
      <c r="P440" s="75">
        <f>(MIN(L440,'THAM_SO_MOI'!$C$41)-O440)/('THAM_SO_MOI'!$C$11*H440)</f>
        <v>0.20778531007272594</v>
      </c>
      <c r="Q440" s="75">
        <f>IF(P440&gt;0,1/P440,NA())</f>
        <v>4.812659757564164</v>
      </c>
      <c r="R440" s="75">
        <f>F440-F439</f>
        <v>0.017600427350426884</v>
      </c>
      <c r="S440" s="75">
        <f>0.5*(Q439+Q440)*R440</f>
        <v>0.08468764071591571</v>
      </c>
      <c r="T440" s="75">
        <f>0.5*(F439*Q439+F440*Q440)*R440</f>
        <v>1.3337833537156611</v>
      </c>
      <c r="U440" s="76">
        <f>U439+S440</f>
        <v>36.404423992478755</v>
      </c>
      <c r="V440" s="76">
        <f>V439+T440</f>
        <v>433.27293595335715</v>
      </c>
    </row>
    <row r="441" spans="1:22" ht="19" customHeight="1">
      <c r="A441" s="68" t="s">
        <v>362</v>
      </c>
      <c r="B441" s="74">
        <v>5</v>
      </c>
      <c r="C441" s="68" t="s">
        <v>363</v>
      </c>
      <c r="D441" s="68" t="s">
        <v>364</v>
      </c>
      <c r="E441" s="75">
        <f>60*F441*'THAM_SO_MOI'!$C$53/(2*PI()*'THAM_SO_MOI'!$C$26)</f>
        <v>1554.335789473684</v>
      </c>
      <c r="F441" s="75">
        <f>'THAM_SO_MOI'!$E$53+('THAM_SO_MOI'!$C$14-'THAM_SO_MOI'!$E$53)*435/'THAM_SO_MOI'!$C$42</f>
        <v>15.775844017094016</v>
      </c>
      <c r="G441" s="75">
        <f>3.6*F441</f>
        <v>56.79303846153846</v>
      </c>
      <c r="H441" s="75">
        <f>'THAM_SO_MOI'!$D$53</f>
        <v>1.1</v>
      </c>
      <c r="I441" s="75">
        <f>IF(F441&gt;'THAM_SO_MOI'!$C$14,'THAM_SO_MOI'!$C$13*(1+F441^2/1500),'THAM_SO_MOI'!$C$13)</f>
        <v>0.015</v>
      </c>
      <c r="J441" s="75">
        <f>'THAM_SO_MOI'!$C$40*('THAM_SO_MOI'!$C$23*(E441/'THAM_SO_MOI'!$C$22)+'THAM_SO_MOI'!$C$24*(E441/'THAM_SO_MOI'!$C$22)^2-'THAM_SO_MOI'!$C$25*(E441/'THAM_SO_MOI'!$C$22)^3)</f>
        <v>67.0389488285113</v>
      </c>
      <c r="K441" s="75">
        <f>'THAM_SO_MOI'!$C$31*J441/E441</f>
        <v>411.9416149598888</v>
      </c>
      <c r="L441" s="75">
        <f>K441*'THAM_SO_MOI'!$C$53*'THAM_SO_MOI'!$C$17/'THAM_SO_MOI'!$C$26</f>
        <v>3612.7295751128113</v>
      </c>
      <c r="M441" s="75">
        <f>'THAM_SO_MOI'!$C$15*'THAM_SO_MOI'!$C$16*F441^2</f>
        <v>727.9659692711672</v>
      </c>
      <c r="N441" s="75">
        <f>'THAM_SO_MOI'!$C$12*I441</f>
        <v>1130.112</v>
      </c>
      <c r="O441" s="75">
        <f>M441+N441</f>
        <v>1858.0779692711671</v>
      </c>
      <c r="P441" s="75">
        <f>(MIN(L441,'THAM_SO_MOI'!$C$41)-O441)/('THAM_SO_MOI'!$C$11*H441)</f>
        <v>0.20770023743390675</v>
      </c>
      <c r="Q441" s="75">
        <f>IF(P441&gt;0,1/P441,NA())</f>
        <v>4.814630991060925</v>
      </c>
      <c r="R441" s="75">
        <f>F441-F440</f>
        <v>0.017600427350426884</v>
      </c>
      <c r="S441" s="75">
        <f>0.5*(Q440+Q441)*R441</f>
        <v>0.08472221570130636</v>
      </c>
      <c r="T441" s="75">
        <f>0.5*(F440*Q440+F441*Q441)*R441</f>
        <v>1.335819038744929</v>
      </c>
      <c r="U441" s="76">
        <f>U440+S441</f>
        <v>36.48914620818006</v>
      </c>
      <c r="V441" s="76">
        <f>V440+T441</f>
        <v>434.6087549921021</v>
      </c>
    </row>
    <row r="442" spans="1:22" ht="19" customHeight="1">
      <c r="A442" s="68" t="s">
        <v>362</v>
      </c>
      <c r="B442" s="74">
        <v>5</v>
      </c>
      <c r="C442" s="68" t="s">
        <v>363</v>
      </c>
      <c r="D442" s="68" t="s">
        <v>364</v>
      </c>
      <c r="E442" s="75">
        <f>60*F442*'THAM_SO_MOI'!$C$53/(2*PI()*'THAM_SO_MOI'!$C$26)</f>
        <v>1556.0698947368417</v>
      </c>
      <c r="F442" s="75">
        <f>'THAM_SO_MOI'!$E$53+('THAM_SO_MOI'!$C$14-'THAM_SO_MOI'!$E$53)*436/'THAM_SO_MOI'!$C$42</f>
        <v>15.793444444444443</v>
      </c>
      <c r="G442" s="75">
        <f>3.6*F442</f>
        <v>56.856399999999994</v>
      </c>
      <c r="H442" s="75">
        <f>'THAM_SO_MOI'!$D$53</f>
        <v>1.1</v>
      </c>
      <c r="I442" s="75">
        <f>IF(F442&gt;'THAM_SO_MOI'!$C$14,'THAM_SO_MOI'!$C$13*(1+F442^2/1500),'THAM_SO_MOI'!$C$13)</f>
        <v>0.015</v>
      </c>
      <c r="J442" s="75">
        <f>'THAM_SO_MOI'!$C$40*('THAM_SO_MOI'!$C$23*(E442/'THAM_SO_MOI'!$C$22)+'THAM_SO_MOI'!$C$24*(E442/'THAM_SO_MOI'!$C$22)^2-'THAM_SO_MOI'!$C$25*(E442/'THAM_SO_MOI'!$C$22)^3)</f>
        <v>67.1305007671404</v>
      </c>
      <c r="K442" s="75">
        <f>'THAM_SO_MOI'!$C$31*J442/E442</f>
        <v>412.04448402143584</v>
      </c>
      <c r="L442" s="75">
        <f>K442*'THAM_SO_MOI'!$C$53*'THAM_SO_MOI'!$C$17/'THAM_SO_MOI'!$C$26</f>
        <v>3613.6317371851023</v>
      </c>
      <c r="M442" s="75">
        <f>'THAM_SO_MOI'!$C$15*'THAM_SO_MOI'!$C$16*F442^2</f>
        <v>729.5911957027777</v>
      </c>
      <c r="N442" s="75">
        <f>'THAM_SO_MOI'!$C$12*I442</f>
        <v>1130.112</v>
      </c>
      <c r="O442" s="75">
        <f>M442+N442</f>
        <v>1859.7031957027777</v>
      </c>
      <c r="P442" s="75">
        <f>(MIN(L442,'THAM_SO_MOI'!$C$41)-O442)/('THAM_SO_MOI'!$C$11*H442)</f>
        <v>0.2076146474292524</v>
      </c>
      <c r="Q442" s="75">
        <f>IF(P442&gt;0,1/P442,NA())</f>
        <v>4.816615842775564</v>
      </c>
      <c r="R442" s="75">
        <f>F442-F441</f>
        <v>0.017600427350426884</v>
      </c>
      <c r="S442" s="75">
        <f>0.5*(Q441+Q442)*R442</f>
        <v>0.08475703009648403</v>
      </c>
      <c r="T442" s="75">
        <f>0.5*(F441*Q441+F442*Q442)*R442</f>
        <v>1.3378597198439819</v>
      </c>
      <c r="U442" s="76">
        <f>U441+S442</f>
        <v>36.57390323827654</v>
      </c>
      <c r="V442" s="76">
        <f>V441+T442</f>
        <v>435.9466147119461</v>
      </c>
    </row>
    <row r="443" spans="1:22" ht="19" customHeight="1">
      <c r="A443" s="68" t="s">
        <v>362</v>
      </c>
      <c r="B443" s="74">
        <v>5</v>
      </c>
      <c r="C443" s="68" t="s">
        <v>363</v>
      </c>
      <c r="D443" s="68" t="s">
        <v>364</v>
      </c>
      <c r="E443" s="75">
        <f>60*F443*'THAM_SO_MOI'!$C$53/(2*PI()*'THAM_SO_MOI'!$C$26)</f>
        <v>1557.8039999999999</v>
      </c>
      <c r="F443" s="75">
        <f>'THAM_SO_MOI'!$E$53+('THAM_SO_MOI'!$C$14-'THAM_SO_MOI'!$E$53)*437/'THAM_SO_MOI'!$C$42</f>
        <v>15.811044871794874</v>
      </c>
      <c r="G443" s="75">
        <f>3.6*F443</f>
        <v>56.91976153846154</v>
      </c>
      <c r="H443" s="75">
        <f>'THAM_SO_MOI'!$D$53</f>
        <v>1.1</v>
      </c>
      <c r="I443" s="75">
        <f>IF(F443&gt;'THAM_SO_MOI'!$C$14,'THAM_SO_MOI'!$C$13*(1+F443^2/1500),'THAM_SO_MOI'!$C$13)</f>
        <v>0.015</v>
      </c>
      <c r="J443" s="75">
        <f>'THAM_SO_MOI'!$C$40*('THAM_SO_MOI'!$C$23*(E443/'THAM_SO_MOI'!$C$22)+'THAM_SO_MOI'!$C$24*(E443/'THAM_SO_MOI'!$C$22)^2-'THAM_SO_MOI'!$C$25*(E443/'THAM_SO_MOI'!$C$22)^3)</f>
        <v>67.22204247706519</v>
      </c>
      <c r="K443" s="75">
        <f>'THAM_SO_MOI'!$C$31*J443/E443</f>
        <v>412.1470613473579</v>
      </c>
      <c r="L443" s="75">
        <f>K443*'THAM_SO_MOI'!$C$53*'THAM_SO_MOI'!$C$17/'THAM_SO_MOI'!$C$26</f>
        <v>3614.531340734821</v>
      </c>
      <c r="M443" s="75">
        <f>'THAM_SO_MOI'!$C$15*'THAM_SO_MOI'!$C$16*F443^2</f>
        <v>731.2182343183896</v>
      </c>
      <c r="N443" s="75">
        <f>'THAM_SO_MOI'!$C$12*I443</f>
        <v>1130.112</v>
      </c>
      <c r="O443" s="75">
        <f>M443+N443</f>
        <v>1861.3302343183896</v>
      </c>
      <c r="P443" s="75">
        <f>(MIN(L443,'THAM_SO_MOI'!$C$41)-O443)/('THAM_SO_MOI'!$C$11*H443)</f>
        <v>0.20752854005876317</v>
      </c>
      <c r="Q443" s="75">
        <f>IF(P443&gt;0,1/P443,NA())</f>
        <v>4.818614344402186</v>
      </c>
      <c r="R443" s="75">
        <f>F443-F442</f>
        <v>0.017600427350430436</v>
      </c>
      <c r="S443" s="75">
        <f>0.5*(Q442+Q443)*R443</f>
        <v>0.08479208445704813</v>
      </c>
      <c r="T443" s="75">
        <f>0.5*(F442*Q442+F443*Q443)*R443</f>
        <v>1.3399054184337014</v>
      </c>
      <c r="U443" s="76">
        <f>U442+S443</f>
        <v>36.65869532273359</v>
      </c>
      <c r="V443" s="76">
        <f>V442+T443</f>
        <v>437.2865201303798</v>
      </c>
    </row>
    <row r="444" spans="1:22" ht="19" customHeight="1">
      <c r="A444" s="68" t="s">
        <v>362</v>
      </c>
      <c r="B444" s="74">
        <v>5</v>
      </c>
      <c r="C444" s="68" t="s">
        <v>363</v>
      </c>
      <c r="D444" s="68" t="s">
        <v>364</v>
      </c>
      <c r="E444" s="75">
        <f>60*F444*'THAM_SO_MOI'!$C$53/(2*PI()*'THAM_SO_MOI'!$C$26)</f>
        <v>1559.5381052631576</v>
      </c>
      <c r="F444" s="75">
        <f>'THAM_SO_MOI'!$E$53+('THAM_SO_MOI'!$C$14-'THAM_SO_MOI'!$E$53)*438/'THAM_SO_MOI'!$C$42</f>
        <v>15.8286452991453</v>
      </c>
      <c r="G444" s="75">
        <f>3.6*F444</f>
        <v>56.983123076923086</v>
      </c>
      <c r="H444" s="75">
        <f>'THAM_SO_MOI'!$D$53</f>
        <v>1.1</v>
      </c>
      <c r="I444" s="75">
        <f>IF(F444&gt;'THAM_SO_MOI'!$C$14,'THAM_SO_MOI'!$C$13*(1+F444^2/1500),'THAM_SO_MOI'!$C$13)</f>
        <v>0.015</v>
      </c>
      <c r="J444" s="75">
        <f>'THAM_SO_MOI'!$C$40*('THAM_SO_MOI'!$C$23*(E444/'THAM_SO_MOI'!$C$22)+'THAM_SO_MOI'!$C$24*(E444/'THAM_SO_MOI'!$C$22)^2-'THAM_SO_MOI'!$C$25*(E444/'THAM_SO_MOI'!$C$22)^3)</f>
        <v>67.31357379938231</v>
      </c>
      <c r="K444" s="75">
        <f>'THAM_SO_MOI'!$C$31*J444/E444</f>
        <v>412.2493469376548</v>
      </c>
      <c r="L444" s="75">
        <f>K444*'THAM_SO_MOI'!$C$53*'THAM_SO_MOI'!$C$17/'THAM_SO_MOI'!$C$26</f>
        <v>3615.4283857619653</v>
      </c>
      <c r="M444" s="75">
        <f>'THAM_SO_MOI'!$C$15*'THAM_SO_MOI'!$C$16*F444^2</f>
        <v>732.8470851180024</v>
      </c>
      <c r="N444" s="75">
        <f>'THAM_SO_MOI'!$C$12*I444</f>
        <v>1130.112</v>
      </c>
      <c r="O444" s="75">
        <f>M444+N444</f>
        <v>1862.9590851180023</v>
      </c>
      <c r="P444" s="75">
        <f>(MIN(L444,'THAM_SO_MOI'!$C$41)-O444)/('THAM_SO_MOI'!$C$11*H444)</f>
        <v>0.2074419153224388</v>
      </c>
      <c r="Q444" s="75">
        <f>IF(P444&gt;0,1/P444,NA())</f>
        <v>4.820626527891641</v>
      </c>
      <c r="R444" s="75">
        <f>F444-F443</f>
        <v>0.017600427350426884</v>
      </c>
      <c r="S444" s="75">
        <f>0.5*(Q443+Q444)*R444</f>
        <v>0.08482737934303648</v>
      </c>
      <c r="T444" s="75">
        <f>0.5*(F443*Q443+F444*Q444)*R444</f>
        <v>1.3419561560442994</v>
      </c>
      <c r="U444" s="76">
        <f>U443+S444</f>
        <v>36.74352270207663</v>
      </c>
      <c r="V444" s="76">
        <f>V443+T444</f>
        <v>438.62847628642413</v>
      </c>
    </row>
    <row r="445" spans="1:22" ht="19" customHeight="1">
      <c r="A445" s="68" t="s">
        <v>362</v>
      </c>
      <c r="B445" s="74">
        <v>5</v>
      </c>
      <c r="C445" s="68" t="s">
        <v>363</v>
      </c>
      <c r="D445" s="68" t="s">
        <v>364</v>
      </c>
      <c r="E445" s="75">
        <f>60*F445*'THAM_SO_MOI'!$C$53/(2*PI()*'THAM_SO_MOI'!$C$26)</f>
        <v>1561.2722105263156</v>
      </c>
      <c r="F445" s="75">
        <f>'THAM_SO_MOI'!$E$53+('THAM_SO_MOI'!$C$14-'THAM_SO_MOI'!$E$53)*439/'THAM_SO_MOI'!$C$42</f>
        <v>15.846245726495727</v>
      </c>
      <c r="G445" s="75">
        <f>3.6*F445</f>
        <v>57.04648461538462</v>
      </c>
      <c r="H445" s="75">
        <f>'THAM_SO_MOI'!$D$53</f>
        <v>1.1</v>
      </c>
      <c r="I445" s="75">
        <f>IF(F445&gt;'THAM_SO_MOI'!$C$14,'THAM_SO_MOI'!$C$13*(1+F445^2/1500),'THAM_SO_MOI'!$C$13)</f>
        <v>0.015</v>
      </c>
      <c r="J445" s="75">
        <f>'THAM_SO_MOI'!$C$40*('THAM_SO_MOI'!$C$23*(E445/'THAM_SO_MOI'!$C$22)+'THAM_SO_MOI'!$C$24*(E445/'THAM_SO_MOI'!$C$22)^2-'THAM_SO_MOI'!$C$25*(E445/'THAM_SO_MOI'!$C$22)^3)</f>
        <v>67.40509457518856</v>
      </c>
      <c r="K445" s="75">
        <f>'THAM_SO_MOI'!$C$31*J445/E445</f>
        <v>412.35134079232694</v>
      </c>
      <c r="L445" s="75">
        <f>K445*'THAM_SO_MOI'!$C$53*'THAM_SO_MOI'!$C$17/'THAM_SO_MOI'!$C$26</f>
        <v>3616.322872266538</v>
      </c>
      <c r="M445" s="75">
        <f>'THAM_SO_MOI'!$C$15*'THAM_SO_MOI'!$C$16*F445^2</f>
        <v>734.477748101616</v>
      </c>
      <c r="N445" s="75">
        <f>'THAM_SO_MOI'!$C$12*I445</f>
        <v>1130.112</v>
      </c>
      <c r="O445" s="75">
        <f>M445+N445</f>
        <v>1864.5897481016161</v>
      </c>
      <c r="P445" s="75">
        <f>(MIN(L445,'THAM_SO_MOI'!$C$41)-O445)/('THAM_SO_MOI'!$C$11*H445)</f>
        <v>0.20735477322027956</v>
      </c>
      <c r="Q445" s="75">
        <f>IF(P445&gt;0,1/P445,NA())</f>
        <v>4.822652425452817</v>
      </c>
      <c r="R445" s="75">
        <f>F445-F444</f>
        <v>0.017600427350426884</v>
      </c>
      <c r="S445" s="75">
        <f>0.5*(Q444+Q445)*R445</f>
        <v>0.08486291531911987</v>
      </c>
      <c r="T445" s="75">
        <f>0.5*(F444*Q444+F445*Q445)*R445</f>
        <v>1.344011954318788</v>
      </c>
      <c r="U445" s="76">
        <f>U444+S445</f>
        <v>36.82838561739575</v>
      </c>
      <c r="V445" s="76">
        <f>V444+T445</f>
        <v>439.9724882407429</v>
      </c>
    </row>
    <row r="446" spans="1:22" ht="19" customHeight="1">
      <c r="A446" s="68" t="s">
        <v>362</v>
      </c>
      <c r="B446" s="74">
        <v>5</v>
      </c>
      <c r="C446" s="68" t="s">
        <v>363</v>
      </c>
      <c r="D446" s="68" t="s">
        <v>364</v>
      </c>
      <c r="E446" s="75">
        <f>60*F446*'THAM_SO_MOI'!$C$53/(2*PI()*'THAM_SO_MOI'!$C$26)</f>
        <v>1563.0063157894733</v>
      </c>
      <c r="F446" s="75">
        <f>'THAM_SO_MOI'!$E$53+('THAM_SO_MOI'!$C$14-'THAM_SO_MOI'!$E$53)*440/'THAM_SO_MOI'!$C$42</f>
        <v>15.863846153846154</v>
      </c>
      <c r="G446" s="75">
        <f>3.6*F446</f>
        <v>57.109846153846156</v>
      </c>
      <c r="H446" s="75">
        <f>'THAM_SO_MOI'!$D$53</f>
        <v>1.1</v>
      </c>
      <c r="I446" s="75">
        <f>IF(F446&gt;'THAM_SO_MOI'!$C$14,'THAM_SO_MOI'!$C$13*(1+F446^2/1500),'THAM_SO_MOI'!$C$13)</f>
        <v>0.015</v>
      </c>
      <c r="J446" s="75">
        <f>'THAM_SO_MOI'!$C$40*('THAM_SO_MOI'!$C$23*(E446/'THAM_SO_MOI'!$C$22)+'THAM_SO_MOI'!$C$24*(E446/'THAM_SO_MOI'!$C$22)^2-'THAM_SO_MOI'!$C$25*(E446/'THAM_SO_MOI'!$C$22)^3)</f>
        <v>67.4966046455806</v>
      </c>
      <c r="K446" s="75">
        <f>'THAM_SO_MOI'!$C$31*J446/E446</f>
        <v>412.4530429113739</v>
      </c>
      <c r="L446" s="75">
        <f>K446*'THAM_SO_MOI'!$C$53*'THAM_SO_MOI'!$C$17/'THAM_SO_MOI'!$C$26</f>
        <v>3617.214800248538</v>
      </c>
      <c r="M446" s="75">
        <f>'THAM_SO_MOI'!$C$15*'THAM_SO_MOI'!$C$16*F446^2</f>
        <v>736.1102232692309</v>
      </c>
      <c r="N446" s="75">
        <f>'THAM_SO_MOI'!$C$12*I446</f>
        <v>1130.112</v>
      </c>
      <c r="O446" s="75">
        <f>M446+N446</f>
        <v>1866.222223269231</v>
      </c>
      <c r="P446" s="75">
        <f>(MIN(L446,'THAM_SO_MOI'!$C$41)-O446)/('THAM_SO_MOI'!$C$11*H446)</f>
        <v>0.20726711375228535</v>
      </c>
      <c r="Q446" s="75">
        <f>IF(P446&gt;0,1/P446,NA())</f>
        <v>4.82469206955401</v>
      </c>
      <c r="R446" s="75">
        <f>F446-F445</f>
        <v>0.017600427350426884</v>
      </c>
      <c r="S446" s="75">
        <f>0.5*(Q445+Q446)*R446</f>
        <v>0.0848986929544542</v>
      </c>
      <c r="T446" s="75">
        <f>0.5*(F445*Q445+F446*Q446)*R446</f>
        <v>1.3460728350110478</v>
      </c>
      <c r="U446" s="76">
        <f>U445+S446</f>
        <v>36.91328431035021</v>
      </c>
      <c r="V446" s="76">
        <f>V445+T446</f>
        <v>441.31856107575396</v>
      </c>
    </row>
    <row r="447" spans="1:22" ht="19" customHeight="1">
      <c r="A447" s="68" t="s">
        <v>362</v>
      </c>
      <c r="B447" s="74">
        <v>5</v>
      </c>
      <c r="C447" s="68" t="s">
        <v>363</v>
      </c>
      <c r="D447" s="68" t="s">
        <v>364</v>
      </c>
      <c r="E447" s="75">
        <f>60*F447*'THAM_SO_MOI'!$C$53/(2*PI()*'THAM_SO_MOI'!$C$26)</f>
        <v>1564.7404210526313</v>
      </c>
      <c r="F447" s="75">
        <f>'THAM_SO_MOI'!$E$53+('THAM_SO_MOI'!$C$14-'THAM_SO_MOI'!$E$53)*441/'THAM_SO_MOI'!$C$42</f>
        <v>15.881446581196581</v>
      </c>
      <c r="G447" s="75">
        <f>3.6*F447</f>
        <v>57.17320769230769</v>
      </c>
      <c r="H447" s="75">
        <f>'THAM_SO_MOI'!$D$53</f>
        <v>1.1</v>
      </c>
      <c r="I447" s="75">
        <f>IF(F447&gt;'THAM_SO_MOI'!$C$14,'THAM_SO_MOI'!$C$13*(1+F447^2/1500),'THAM_SO_MOI'!$C$13)</f>
        <v>0.015</v>
      </c>
      <c r="J447" s="75">
        <f>'THAM_SO_MOI'!$C$40*('THAM_SO_MOI'!$C$23*(E447/'THAM_SO_MOI'!$C$22)+'THAM_SO_MOI'!$C$24*(E447/'THAM_SO_MOI'!$C$22)^2-'THAM_SO_MOI'!$C$25*(E447/'THAM_SO_MOI'!$C$22)^3)</f>
        <v>67.58810385165513</v>
      </c>
      <c r="K447" s="75">
        <f>'THAM_SO_MOI'!$C$31*J447/E447</f>
        <v>412.55445329479556</v>
      </c>
      <c r="L447" s="75">
        <f>K447*'THAM_SO_MOI'!$C$53*'THAM_SO_MOI'!$C$17/'THAM_SO_MOI'!$C$26</f>
        <v>3618.1041697079613</v>
      </c>
      <c r="M447" s="75">
        <f>'THAM_SO_MOI'!$C$15*'THAM_SO_MOI'!$C$16*F447^2</f>
        <v>737.7445106208467</v>
      </c>
      <c r="N447" s="75">
        <f>'THAM_SO_MOI'!$C$12*I447</f>
        <v>1130.112</v>
      </c>
      <c r="O447" s="75">
        <f>M447+N447</f>
        <v>1867.8565106208466</v>
      </c>
      <c r="P447" s="75">
        <f>(MIN(L447,'THAM_SO_MOI'!$C$41)-O447)/('THAM_SO_MOI'!$C$11*H447)</f>
        <v>0.20717893691845582</v>
      </c>
      <c r="Q447" s="75">
        <f>IF(P447&gt;0,1/P447,NA())</f>
        <v>4.826745492924278</v>
      </c>
      <c r="R447" s="75">
        <f>F447-F446</f>
        <v>0.017600427350426884</v>
      </c>
      <c r="S447" s="75">
        <f>0.5*(Q446+Q447)*R447</f>
        <v>0.08493471282279012</v>
      </c>
      <c r="T447" s="75">
        <f>0.5*(F446*Q446+F447*Q447)*R447</f>
        <v>1.3481388199879583</v>
      </c>
      <c r="U447" s="76">
        <f>U446+S447</f>
        <v>36.998219023173</v>
      </c>
      <c r="V447" s="76">
        <f>V446+T447</f>
        <v>442.66669989574194</v>
      </c>
    </row>
    <row r="448" spans="1:22" ht="19" customHeight="1">
      <c r="A448" s="68" t="s">
        <v>362</v>
      </c>
      <c r="B448" s="74">
        <v>5</v>
      </c>
      <c r="C448" s="68" t="s">
        <v>363</v>
      </c>
      <c r="D448" s="68" t="s">
        <v>364</v>
      </c>
      <c r="E448" s="75">
        <f>60*F448*'THAM_SO_MOI'!$C$53/(2*PI()*'THAM_SO_MOI'!$C$26)</f>
        <v>1566.474526315789</v>
      </c>
      <c r="F448" s="75">
        <f>'THAM_SO_MOI'!$E$53+('THAM_SO_MOI'!$C$14-'THAM_SO_MOI'!$E$53)*442/'THAM_SO_MOI'!$C$42</f>
        <v>15.899047008547008</v>
      </c>
      <c r="G448" s="75">
        <f>3.6*F448</f>
        <v>57.23656923076923</v>
      </c>
      <c r="H448" s="75">
        <f>'THAM_SO_MOI'!$D$53</f>
        <v>1.1</v>
      </c>
      <c r="I448" s="75">
        <f>IF(F448&gt;'THAM_SO_MOI'!$C$14,'THAM_SO_MOI'!$C$13*(1+F448^2/1500),'THAM_SO_MOI'!$C$13)</f>
        <v>0.015</v>
      </c>
      <c r="J448" s="75">
        <f>'THAM_SO_MOI'!$C$40*('THAM_SO_MOI'!$C$23*(E448/'THAM_SO_MOI'!$C$22)+'THAM_SO_MOI'!$C$24*(E448/'THAM_SO_MOI'!$C$22)^2-'THAM_SO_MOI'!$C$25*(E448/'THAM_SO_MOI'!$C$22)^3)</f>
        <v>67.67959203450897</v>
      </c>
      <c r="K448" s="75">
        <f>'THAM_SO_MOI'!$C$31*J448/E448</f>
        <v>412.65557194259253</v>
      </c>
      <c r="L448" s="75">
        <f>K448*'THAM_SO_MOI'!$C$53*'THAM_SO_MOI'!$C$17/'THAM_SO_MOI'!$C$26</f>
        <v>3618.990980644815</v>
      </c>
      <c r="M448" s="75">
        <f>'THAM_SO_MOI'!$C$15*'THAM_SO_MOI'!$C$16*F448^2</f>
        <v>739.3806101564637</v>
      </c>
      <c r="N448" s="75">
        <f>'THAM_SO_MOI'!$C$12*I448</f>
        <v>1130.112</v>
      </c>
      <c r="O448" s="75">
        <f>M448+N448</f>
        <v>1869.4926101564638</v>
      </c>
      <c r="P448" s="75">
        <f>(MIN(L448,'THAM_SO_MOI'!$C$41)-O448)/('THAM_SO_MOI'!$C$11*H448)</f>
        <v>0.20709024271879156</v>
      </c>
      <c r="Q448" s="75">
        <f>IF(P448&gt;0,1/P448,NA())</f>
        <v>4.828812728554782</v>
      </c>
      <c r="R448" s="75">
        <f>F448-F447</f>
        <v>0.017600427350426884</v>
      </c>
      <c r="S448" s="75">
        <f>0.5*(Q447+Q448)*R448</f>
        <v>0.0849709755024796</v>
      </c>
      <c r="T448" s="75">
        <f>0.5*(F447*Q447+F448*Q448)*R448</f>
        <v>1.350209931229908</v>
      </c>
      <c r="U448" s="76">
        <f>U447+S448</f>
        <v>37.08318999867548</v>
      </c>
      <c r="V448" s="76">
        <f>V447+T448</f>
        <v>444.01690982697187</v>
      </c>
    </row>
    <row r="449" spans="1:22" ht="19" customHeight="1">
      <c r="A449" s="68" t="s">
        <v>362</v>
      </c>
      <c r="B449" s="74">
        <v>5</v>
      </c>
      <c r="C449" s="68" t="s">
        <v>363</v>
      </c>
      <c r="D449" s="68" t="s">
        <v>364</v>
      </c>
      <c r="E449" s="75">
        <f>60*F449*'THAM_SO_MOI'!$C$53/(2*PI()*'THAM_SO_MOI'!$C$26)</f>
        <v>1568.208631578947</v>
      </c>
      <c r="F449" s="75">
        <f>'THAM_SO_MOI'!$E$53+('THAM_SO_MOI'!$C$14-'THAM_SO_MOI'!$E$53)*443/'THAM_SO_MOI'!$C$42</f>
        <v>15.916647435897435</v>
      </c>
      <c r="G449" s="75">
        <f>3.6*F449</f>
        <v>57.29993076923077</v>
      </c>
      <c r="H449" s="75">
        <f>'THAM_SO_MOI'!$D$53</f>
        <v>1.1</v>
      </c>
      <c r="I449" s="75">
        <f>IF(F449&gt;'THAM_SO_MOI'!$C$14,'THAM_SO_MOI'!$C$13*(1+F449^2/1500),'THAM_SO_MOI'!$C$13)</f>
        <v>0.015</v>
      </c>
      <c r="J449" s="75">
        <f>'THAM_SO_MOI'!$C$40*('THAM_SO_MOI'!$C$23*(E449/'THAM_SO_MOI'!$C$22)+'THAM_SO_MOI'!$C$24*(E449/'THAM_SO_MOI'!$C$22)^2-'THAM_SO_MOI'!$C$25*(E449/'THAM_SO_MOI'!$C$22)^3)</f>
        <v>67.77106903523878</v>
      </c>
      <c r="K449" s="75">
        <f>'THAM_SO_MOI'!$C$31*J449/E449</f>
        <v>412.7563988547644</v>
      </c>
      <c r="L449" s="75">
        <f>K449*'THAM_SO_MOI'!$C$53*'THAM_SO_MOI'!$C$17/'THAM_SO_MOI'!$C$26</f>
        <v>3619.8752330590946</v>
      </c>
      <c r="M449" s="75">
        <f>'THAM_SO_MOI'!$C$15*'THAM_SO_MOI'!$C$16*F449^2</f>
        <v>741.0185218760816</v>
      </c>
      <c r="N449" s="75">
        <f>'THAM_SO_MOI'!$C$12*I449</f>
        <v>1130.112</v>
      </c>
      <c r="O449" s="75">
        <f>M449+N449</f>
        <v>1871.1305218760817</v>
      </c>
      <c r="P449" s="75">
        <f>(MIN(L449,'THAM_SO_MOI'!$C$41)-O449)/('THAM_SO_MOI'!$C$11*H449)</f>
        <v>0.20700103115329224</v>
      </c>
      <c r="Q449" s="75">
        <f>IF(P449&gt;0,1/P449,NA())</f>
        <v>4.8308938097002105</v>
      </c>
      <c r="R449" s="75">
        <f>F449-F448</f>
        <v>0.017600427350426884</v>
      </c>
      <c r="S449" s="75">
        <f>0.5*(Q448+Q449)*R449</f>
        <v>0.08500748157650029</v>
      </c>
      <c r="T449" s="75">
        <f>0.5*(F448*Q448+F449*Q449)*R449</f>
        <v>1.352286190831587</v>
      </c>
      <c r="U449" s="76">
        <f>U448+S449</f>
        <v>37.168197480251976</v>
      </c>
      <c r="V449" s="76">
        <f>V448+T449</f>
        <v>445.36919601780346</v>
      </c>
    </row>
    <row r="450" spans="1:22" ht="19" customHeight="1">
      <c r="A450" s="68" t="s">
        <v>362</v>
      </c>
      <c r="B450" s="74">
        <v>5</v>
      </c>
      <c r="C450" s="68" t="s">
        <v>363</v>
      </c>
      <c r="D450" s="68" t="s">
        <v>364</v>
      </c>
      <c r="E450" s="75">
        <f>60*F450*'THAM_SO_MOI'!$C$53/(2*PI()*'THAM_SO_MOI'!$C$26)</f>
        <v>1569.942736842105</v>
      </c>
      <c r="F450" s="75">
        <f>'THAM_SO_MOI'!$E$53+('THAM_SO_MOI'!$C$14-'THAM_SO_MOI'!$E$53)*444/'THAM_SO_MOI'!$C$42</f>
        <v>15.934247863247863</v>
      </c>
      <c r="G450" s="75">
        <f>3.6*F450</f>
        <v>57.36329230769231</v>
      </c>
      <c r="H450" s="75">
        <f>'THAM_SO_MOI'!$D$53</f>
        <v>1.1</v>
      </c>
      <c r="I450" s="75">
        <f>IF(F450&gt;'THAM_SO_MOI'!$C$14,'THAM_SO_MOI'!$C$13*(1+F450^2/1500),'THAM_SO_MOI'!$C$13)</f>
        <v>0.015</v>
      </c>
      <c r="J450" s="75">
        <f>'THAM_SO_MOI'!$C$40*('THAM_SO_MOI'!$C$23*(E450/'THAM_SO_MOI'!$C$22)+'THAM_SO_MOI'!$C$24*(E450/'THAM_SO_MOI'!$C$22)^2-'THAM_SO_MOI'!$C$25*(E450/'THAM_SO_MOI'!$C$22)^3)</f>
        <v>67.86253469494127</v>
      </c>
      <c r="K450" s="75">
        <f>'THAM_SO_MOI'!$C$31*J450/E450</f>
        <v>412.85693403131114</v>
      </c>
      <c r="L450" s="75">
        <f>K450*'THAM_SO_MOI'!$C$53*'THAM_SO_MOI'!$C$17/'THAM_SO_MOI'!$C$26</f>
        <v>3620.7569269508</v>
      </c>
      <c r="M450" s="75">
        <f>'THAM_SO_MOI'!$C$15*'THAM_SO_MOI'!$C$16*F450^2</f>
        <v>742.658245779701</v>
      </c>
      <c r="N450" s="75">
        <f>'THAM_SO_MOI'!$C$12*I450</f>
        <v>1130.112</v>
      </c>
      <c r="O450" s="75">
        <f>M450+N450</f>
        <v>1872.770245779701</v>
      </c>
      <c r="P450" s="75">
        <f>(MIN(L450,'THAM_SO_MOI'!$C$41)-O450)/('THAM_SO_MOI'!$C$11*H450)</f>
        <v>0.20691130222195775</v>
      </c>
      <c r="Q450" s="75">
        <f>IF(P450&gt;0,1/P450,NA())</f>
        <v>4.832988769880152</v>
      </c>
      <c r="R450" s="75">
        <f>F450-F449</f>
        <v>0.01760042735042866</v>
      </c>
      <c r="S450" s="75">
        <f>0.5*(Q449+Q450)*R450</f>
        <v>0.08504423163248866</v>
      </c>
      <c r="T450" s="75">
        <f>0.5*(F449*Q449+F450*Q450)*R450</f>
        <v>1.3543676210029232</v>
      </c>
      <c r="U450" s="76">
        <f>U449+S450</f>
        <v>37.25324171188446</v>
      </c>
      <c r="V450" s="76">
        <f>V449+T450</f>
        <v>446.7235636388064</v>
      </c>
    </row>
    <row r="451" spans="1:22" ht="19" customHeight="1">
      <c r="A451" s="68" t="s">
        <v>362</v>
      </c>
      <c r="B451" s="74">
        <v>5</v>
      </c>
      <c r="C451" s="68" t="s">
        <v>363</v>
      </c>
      <c r="D451" s="68" t="s">
        <v>364</v>
      </c>
      <c r="E451" s="75">
        <f>60*F451*'THAM_SO_MOI'!$C$53/(2*PI()*'THAM_SO_MOI'!$C$26)</f>
        <v>1571.676842105263</v>
      </c>
      <c r="F451" s="75">
        <f>'THAM_SO_MOI'!$E$53+('THAM_SO_MOI'!$C$14-'THAM_SO_MOI'!$E$53)*445/'THAM_SO_MOI'!$C$42</f>
        <v>15.95184829059829</v>
      </c>
      <c r="G451" s="75">
        <f>3.6*F451</f>
        <v>57.42665384615385</v>
      </c>
      <c r="H451" s="75">
        <f>'THAM_SO_MOI'!$D$53</f>
        <v>1.1</v>
      </c>
      <c r="I451" s="75">
        <f>IF(F451&gt;'THAM_SO_MOI'!$C$14,'THAM_SO_MOI'!$C$13*(1+F451^2/1500),'THAM_SO_MOI'!$C$13)</f>
        <v>0.015</v>
      </c>
      <c r="J451" s="75">
        <f>'THAM_SO_MOI'!$C$40*('THAM_SO_MOI'!$C$23*(E451/'THAM_SO_MOI'!$C$22)+'THAM_SO_MOI'!$C$24*(E451/'THAM_SO_MOI'!$C$22)^2-'THAM_SO_MOI'!$C$25*(E451/'THAM_SO_MOI'!$C$22)^3)</f>
        <v>67.95398885471319</v>
      </c>
      <c r="K451" s="75">
        <f>'THAM_SO_MOI'!$C$31*J451/E451</f>
        <v>412.9571774722329</v>
      </c>
      <c r="L451" s="75">
        <f>K451*'THAM_SO_MOI'!$C$53*'THAM_SO_MOI'!$C$17/'THAM_SO_MOI'!$C$26</f>
        <v>3621.6360623199334</v>
      </c>
      <c r="M451" s="75">
        <f>'THAM_SO_MOI'!$C$15*'THAM_SO_MOI'!$C$16*F451^2</f>
        <v>744.299781867321</v>
      </c>
      <c r="N451" s="75">
        <f>'THAM_SO_MOI'!$C$12*I451</f>
        <v>1130.112</v>
      </c>
      <c r="O451" s="75">
        <f>M451+N451</f>
        <v>1874.4117818673212</v>
      </c>
      <c r="P451" s="75">
        <f>(MIN(L451,'THAM_SO_MOI'!$C$41)-O451)/('THAM_SO_MOI'!$C$11*H451)</f>
        <v>0.2068210559247884</v>
      </c>
      <c r="Q451" s="75">
        <f>IF(P451&gt;0,1/P451,NA())</f>
        <v>4.835097642880498</v>
      </c>
      <c r="R451" s="75">
        <f>F451-F450</f>
        <v>0.017600427350426884</v>
      </c>
      <c r="S451" s="75">
        <f>0.5*(Q450+Q451)*R451</f>
        <v>0.08508122626272155</v>
      </c>
      <c r="T451" s="75">
        <f>0.5*(F450*Q450+F451*Q451)*R451</f>
        <v>1.356454244069196</v>
      </c>
      <c r="U451" s="76">
        <f>U450+S451</f>
        <v>37.338322938147186</v>
      </c>
      <c r="V451" s="76">
        <f>V450+T451</f>
        <v>448.0800178828756</v>
      </c>
    </row>
    <row r="452" spans="1:22" ht="19" customHeight="1">
      <c r="A452" s="68" t="s">
        <v>362</v>
      </c>
      <c r="B452" s="74">
        <v>5</v>
      </c>
      <c r="C452" s="68" t="s">
        <v>363</v>
      </c>
      <c r="D452" s="68" t="s">
        <v>364</v>
      </c>
      <c r="E452" s="75">
        <f>60*F452*'THAM_SO_MOI'!$C$53/(2*PI()*'THAM_SO_MOI'!$C$26)</f>
        <v>1573.410947368421</v>
      </c>
      <c r="F452" s="75">
        <f>'THAM_SO_MOI'!$E$53+('THAM_SO_MOI'!$C$14-'THAM_SO_MOI'!$E$53)*446/'THAM_SO_MOI'!$C$42</f>
        <v>15.969448717948719</v>
      </c>
      <c r="G452" s="75">
        <f>3.6*F452</f>
        <v>57.49001538461539</v>
      </c>
      <c r="H452" s="75">
        <f>'THAM_SO_MOI'!$D$53</f>
        <v>1.1</v>
      </c>
      <c r="I452" s="75">
        <f>IF(F452&gt;'THAM_SO_MOI'!$C$14,'THAM_SO_MOI'!$C$13*(1+F452^2/1500),'THAM_SO_MOI'!$C$13)</f>
        <v>0.015</v>
      </c>
      <c r="J452" s="75">
        <f>'THAM_SO_MOI'!$C$40*('THAM_SO_MOI'!$C$23*(E452/'THAM_SO_MOI'!$C$22)+'THAM_SO_MOI'!$C$24*(E452/'THAM_SO_MOI'!$C$22)^2-'THAM_SO_MOI'!$C$25*(E452/'THAM_SO_MOI'!$C$22)^3)</f>
        <v>68.04543135565123</v>
      </c>
      <c r="K452" s="75">
        <f>'THAM_SO_MOI'!$C$31*J452/E452</f>
        <v>413.0571291775296</v>
      </c>
      <c r="L452" s="75">
        <f>K452*'THAM_SO_MOI'!$C$53*'THAM_SO_MOI'!$C$17/'THAM_SO_MOI'!$C$26</f>
        <v>3622.5126391664935</v>
      </c>
      <c r="M452" s="75">
        <f>'THAM_SO_MOI'!$C$15*'THAM_SO_MOI'!$C$16*F452^2</f>
        <v>745.9431301389425</v>
      </c>
      <c r="N452" s="75">
        <f>'THAM_SO_MOI'!$C$12*I452</f>
        <v>1130.112</v>
      </c>
      <c r="O452" s="75">
        <f>M452+N452</f>
        <v>1876.0551301389426</v>
      </c>
      <c r="P452" s="75">
        <f>(MIN(L452,'THAM_SO_MOI'!$C$41)-O452)/('THAM_SO_MOI'!$C$11*H452)</f>
        <v>0.206730292261784</v>
      </c>
      <c r="Q452" s="75">
        <f>IF(P452&gt;0,1/P452,NA())</f>
        <v>4.837220462754888</v>
      </c>
      <c r="R452" s="75">
        <f>F452-F451</f>
        <v>0.01760042735042866</v>
      </c>
      <c r="S452" s="75">
        <f>0.5*(Q451+Q452)*R452</f>
        <v>0.0851184660642357</v>
      </c>
      <c r="T452" s="75">
        <f>0.5*(F451*Q451+F452*Q452)*R452</f>
        <v>1.3585460824733528</v>
      </c>
      <c r="U452" s="76">
        <f>U451+S452</f>
        <v>37.423441404211424</v>
      </c>
      <c r="V452" s="76">
        <f>V451+T452</f>
        <v>449.438563965349</v>
      </c>
    </row>
    <row r="453" spans="1:22" ht="19" customHeight="1">
      <c r="A453" s="68" t="s">
        <v>362</v>
      </c>
      <c r="B453" s="74">
        <v>5</v>
      </c>
      <c r="C453" s="68" t="s">
        <v>363</v>
      </c>
      <c r="D453" s="68" t="s">
        <v>364</v>
      </c>
      <c r="E453" s="75">
        <f>60*F453*'THAM_SO_MOI'!$C$53/(2*PI()*'THAM_SO_MOI'!$C$26)</f>
        <v>1575.1450526315787</v>
      </c>
      <c r="F453" s="75">
        <f>'THAM_SO_MOI'!$E$53+('THAM_SO_MOI'!$C$14-'THAM_SO_MOI'!$E$53)*447/'THAM_SO_MOI'!$C$42</f>
        <v>15.987049145299146</v>
      </c>
      <c r="G453" s="75">
        <f>3.6*F453</f>
        <v>57.553376923076925</v>
      </c>
      <c r="H453" s="75">
        <f>'THAM_SO_MOI'!$D$53</f>
        <v>1.1</v>
      </c>
      <c r="I453" s="75">
        <f>IF(F453&gt;'THAM_SO_MOI'!$C$14,'THAM_SO_MOI'!$C$13*(1+F453^2/1500),'THAM_SO_MOI'!$C$13)</f>
        <v>0.015</v>
      </c>
      <c r="J453" s="75">
        <f>'THAM_SO_MOI'!$C$40*('THAM_SO_MOI'!$C$23*(E453/'THAM_SO_MOI'!$C$22)+'THAM_SO_MOI'!$C$24*(E453/'THAM_SO_MOI'!$C$22)^2-'THAM_SO_MOI'!$C$25*(E453/'THAM_SO_MOI'!$C$22)^3)</f>
        <v>68.13686203885216</v>
      </c>
      <c r="K453" s="75">
        <f>'THAM_SO_MOI'!$C$31*J453/E453</f>
        <v>413.15678914720144</v>
      </c>
      <c r="L453" s="75">
        <f>K453*'THAM_SO_MOI'!$C$53*'THAM_SO_MOI'!$C$17/'THAM_SO_MOI'!$C$26</f>
        <v>3623.3866574904814</v>
      </c>
      <c r="M453" s="75">
        <f>'THAM_SO_MOI'!$C$15*'THAM_SO_MOI'!$C$16*F453^2</f>
        <v>747.5882905945648</v>
      </c>
      <c r="N453" s="75">
        <f>'THAM_SO_MOI'!$C$12*I453</f>
        <v>1130.112</v>
      </c>
      <c r="O453" s="75">
        <f>M453+N453</f>
        <v>1877.7002905945649</v>
      </c>
      <c r="P453" s="75">
        <f>(MIN(L453,'THAM_SO_MOI'!$C$41)-O453)/('THAM_SO_MOI'!$C$11*H453)</f>
        <v>0.2066390112329447</v>
      </c>
      <c r="Q453" s="75">
        <f>IF(P453&gt;0,1/P453,NA())</f>
        <v>4.839357263826129</v>
      </c>
      <c r="R453" s="75">
        <f>F453-F452</f>
        <v>0.017600427350426884</v>
      </c>
      <c r="S453" s="75">
        <f>0.5*(Q452+Q453)*R453</f>
        <v>0.08515595163872405</v>
      </c>
      <c r="T453" s="75">
        <f>0.5*(F452*Q452+F453*Q453)*R453</f>
        <v>1.360643158774773</v>
      </c>
      <c r="U453" s="76">
        <f>U452+S453</f>
        <v>37.50859735585015</v>
      </c>
      <c r="V453" s="76">
        <f>V452+T453</f>
        <v>450.79920712412377</v>
      </c>
    </row>
    <row r="454" spans="1:22" ht="19" customHeight="1">
      <c r="A454" s="68" t="s">
        <v>362</v>
      </c>
      <c r="B454" s="74">
        <v>5</v>
      </c>
      <c r="C454" s="68" t="s">
        <v>363</v>
      </c>
      <c r="D454" s="68" t="s">
        <v>364</v>
      </c>
      <c r="E454" s="75">
        <f>60*F454*'THAM_SO_MOI'!$C$53/(2*PI()*'THAM_SO_MOI'!$C$26)</f>
        <v>1576.8791578947364</v>
      </c>
      <c r="F454" s="75">
        <f>'THAM_SO_MOI'!$E$53+('THAM_SO_MOI'!$C$14-'THAM_SO_MOI'!$E$53)*448/'THAM_SO_MOI'!$C$42</f>
        <v>16.004649572649573</v>
      </c>
      <c r="G454" s="75">
        <f>3.6*F454</f>
        <v>57.61673846153846</v>
      </c>
      <c r="H454" s="75">
        <f>'THAM_SO_MOI'!$D$53</f>
        <v>1.1</v>
      </c>
      <c r="I454" s="75">
        <f>IF(F454&gt;'THAM_SO_MOI'!$C$14,'THAM_SO_MOI'!$C$13*(1+F454^2/1500),'THAM_SO_MOI'!$C$13)</f>
        <v>0.015</v>
      </c>
      <c r="J454" s="75">
        <f>'THAM_SO_MOI'!$C$40*('THAM_SO_MOI'!$C$23*(E454/'THAM_SO_MOI'!$C$22)+'THAM_SO_MOI'!$C$24*(E454/'THAM_SO_MOI'!$C$22)^2-'THAM_SO_MOI'!$C$25*(E454/'THAM_SO_MOI'!$C$22)^3)</f>
        <v>68.22828074541262</v>
      </c>
      <c r="K454" s="75">
        <f>'THAM_SO_MOI'!$C$31*J454/E454</f>
        <v>413.25615738124793</v>
      </c>
      <c r="L454" s="75">
        <f>K454*'THAM_SO_MOI'!$C$53*'THAM_SO_MOI'!$C$17/'THAM_SO_MOI'!$C$26</f>
        <v>3624.2581172918945</v>
      </c>
      <c r="M454" s="75">
        <f>'THAM_SO_MOI'!$C$15*'THAM_SO_MOI'!$C$16*F454^2</f>
        <v>749.2352632341882</v>
      </c>
      <c r="N454" s="75">
        <f>'THAM_SO_MOI'!$C$12*I454</f>
        <v>1130.112</v>
      </c>
      <c r="O454" s="75">
        <f>M454+N454</f>
        <v>1879.3472632341882</v>
      </c>
      <c r="P454" s="75">
        <f>(MIN(L454,'THAM_SO_MOI'!$C$41)-O454)/('THAM_SO_MOI'!$C$11*H454)</f>
        <v>0.20654721283827016</v>
      </c>
      <c r="Q454" s="75">
        <f>IF(P454&gt;0,1/P454,NA())</f>
        <v>4.841508080687665</v>
      </c>
      <c r="R454" s="75">
        <f>F454-F453</f>
        <v>0.017600427350426884</v>
      </c>
      <c r="S454" s="75">
        <f>0.5*(Q453+Q454)*R454</f>
        <v>0.08519368359269018</v>
      </c>
      <c r="T454" s="75">
        <f>0.5*(F453*Q453+F454*Q454)*R454</f>
        <v>1.3627454956521439</v>
      </c>
      <c r="U454" s="76">
        <f>U453+S454</f>
        <v>37.59379103944284</v>
      </c>
      <c r="V454" s="76">
        <f>V453+T454</f>
        <v>452.1619526197759</v>
      </c>
    </row>
    <row r="455" spans="1:22" ht="19" customHeight="1">
      <c r="A455" s="68" t="s">
        <v>362</v>
      </c>
      <c r="B455" s="74">
        <v>5</v>
      </c>
      <c r="C455" s="68" t="s">
        <v>363</v>
      </c>
      <c r="D455" s="68" t="s">
        <v>364</v>
      </c>
      <c r="E455" s="75">
        <f>60*F455*'THAM_SO_MOI'!$C$53/(2*PI()*'THAM_SO_MOI'!$C$26)</f>
        <v>1578.6132631578944</v>
      </c>
      <c r="F455" s="75">
        <f>'THAM_SO_MOI'!$E$53+('THAM_SO_MOI'!$C$14-'THAM_SO_MOI'!$E$53)*449/'THAM_SO_MOI'!$C$42</f>
        <v>16.02225</v>
      </c>
      <c r="G455" s="75">
        <f>3.6*F455</f>
        <v>57.6801</v>
      </c>
      <c r="H455" s="75">
        <f>'THAM_SO_MOI'!$D$53</f>
        <v>1.1</v>
      </c>
      <c r="I455" s="75">
        <f>IF(F455&gt;'THAM_SO_MOI'!$C$14,'THAM_SO_MOI'!$C$13*(1+F455^2/1500),'THAM_SO_MOI'!$C$13)</f>
        <v>0.015</v>
      </c>
      <c r="J455" s="75">
        <f>'THAM_SO_MOI'!$C$40*('THAM_SO_MOI'!$C$23*(E455/'THAM_SO_MOI'!$C$22)+'THAM_SO_MOI'!$C$24*(E455/'THAM_SO_MOI'!$C$22)^2-'THAM_SO_MOI'!$C$25*(E455/'THAM_SO_MOI'!$C$22)^3)</f>
        <v>68.31968731642941</v>
      </c>
      <c r="K455" s="75">
        <f>'THAM_SO_MOI'!$C$31*J455/E455</f>
        <v>413.3552338796695</v>
      </c>
      <c r="L455" s="75">
        <f>K455*'THAM_SO_MOI'!$C$53*'THAM_SO_MOI'!$C$17/'THAM_SO_MOI'!$C$26</f>
        <v>3625.127018570735</v>
      </c>
      <c r="M455" s="75">
        <f>'THAM_SO_MOI'!$C$15*'THAM_SO_MOI'!$C$16*F455^2</f>
        <v>750.8840480578125</v>
      </c>
      <c r="N455" s="75">
        <f>'THAM_SO_MOI'!$C$12*I455</f>
        <v>1130.112</v>
      </c>
      <c r="O455" s="75">
        <f>M455+N455</f>
        <v>1880.9960480578125</v>
      </c>
      <c r="P455" s="75">
        <f>(MIN(L455,'THAM_SO_MOI'!$C$41)-O455)/('THAM_SO_MOI'!$C$11*H455)</f>
        <v>0.2064548970777607</v>
      </c>
      <c r="Q455" s="75">
        <f>IF(P455&gt;0,1/P455,NA())</f>
        <v>4.843672948205014</v>
      </c>
      <c r="R455" s="75">
        <f>F455-F454</f>
        <v>0.017600427350426884</v>
      </c>
      <c r="S455" s="75">
        <f>0.5*(Q454+Q455)*R455</f>
        <v>0.08523166253737914</v>
      </c>
      <c r="T455" s="75">
        <f>0.5*(F454*Q454+F455*Q455)*R455</f>
        <v>1.3648531159027821</v>
      </c>
      <c r="U455" s="76">
        <f>U454+S455</f>
        <v>37.67902270198022</v>
      </c>
      <c r="V455" s="76">
        <f>V454+T455</f>
        <v>453.5268057356787</v>
      </c>
    </row>
    <row r="456" spans="1:22" ht="19" customHeight="1">
      <c r="A456" s="68" t="s">
        <v>362</v>
      </c>
      <c r="B456" s="74">
        <v>5</v>
      </c>
      <c r="C456" s="68" t="s">
        <v>363</v>
      </c>
      <c r="D456" s="68" t="s">
        <v>364</v>
      </c>
      <c r="E456" s="75">
        <f>60*F456*'THAM_SO_MOI'!$C$53/(2*PI()*'THAM_SO_MOI'!$C$26)</f>
        <v>1580.3473684210521</v>
      </c>
      <c r="F456" s="75">
        <f>'THAM_SO_MOI'!$E$53+('THAM_SO_MOI'!$C$14-'THAM_SO_MOI'!$E$53)*450/'THAM_SO_MOI'!$C$42</f>
        <v>16.039850427350427</v>
      </c>
      <c r="G456" s="75">
        <f>3.6*F456</f>
        <v>57.74346153846154</v>
      </c>
      <c r="H456" s="75">
        <f>'THAM_SO_MOI'!$D$53</f>
        <v>1.1</v>
      </c>
      <c r="I456" s="75">
        <f>IF(F456&gt;'THAM_SO_MOI'!$C$14,'THAM_SO_MOI'!$C$13*(1+F456^2/1500),'THAM_SO_MOI'!$C$13)</f>
        <v>0.015</v>
      </c>
      <c r="J456" s="75">
        <f>'THAM_SO_MOI'!$C$40*('THAM_SO_MOI'!$C$23*(E456/'THAM_SO_MOI'!$C$22)+'THAM_SO_MOI'!$C$24*(E456/'THAM_SO_MOI'!$C$22)^2-'THAM_SO_MOI'!$C$25*(E456/'THAM_SO_MOI'!$C$22)^3)</f>
        <v>68.41108159299922</v>
      </c>
      <c r="K456" s="75">
        <f>'THAM_SO_MOI'!$C$31*J456/E456</f>
        <v>413.45401864246617</v>
      </c>
      <c r="L456" s="75">
        <f>K456*'THAM_SO_MOI'!$C$53*'THAM_SO_MOI'!$C$17/'THAM_SO_MOI'!$C$26</f>
        <v>3625.9933613270027</v>
      </c>
      <c r="M456" s="75">
        <f>'THAM_SO_MOI'!$C$15*'THAM_SO_MOI'!$C$16*F456^2</f>
        <v>752.5346450654381</v>
      </c>
      <c r="N456" s="75">
        <f>'THAM_SO_MOI'!$C$12*I456</f>
        <v>1130.112</v>
      </c>
      <c r="O456" s="75">
        <f>M456+N456</f>
        <v>1882.6466450654382</v>
      </c>
      <c r="P456" s="75">
        <f>(MIN(L456,'THAM_SO_MOI'!$C$41)-O456)/('THAM_SO_MOI'!$C$11*H456)</f>
        <v>0.20636206395141624</v>
      </c>
      <c r="Q456" s="75">
        <f>IF(P456&gt;0,1/P456,NA())</f>
        <v>4.845851901517276</v>
      </c>
      <c r="R456" s="75">
        <f>F456-F455</f>
        <v>0.017600427350426884</v>
      </c>
      <c r="S456" s="75">
        <f>0.5*(Q455+Q456)*R456</f>
        <v>0.08526988908884656</v>
      </c>
      <c r="T456" s="75">
        <f>0.5*(F455*Q455+F456*Q456)*R456</f>
        <v>1.3669660424441545</v>
      </c>
      <c r="U456" s="76">
        <f>U455+S456</f>
        <v>37.76429259106907</v>
      </c>
      <c r="V456" s="76">
        <f>V455+T456</f>
        <v>454.89377177812287</v>
      </c>
    </row>
    <row r="457" spans="1:22" ht="19" customHeight="1">
      <c r="A457" s="68" t="s">
        <v>362</v>
      </c>
      <c r="B457" s="74">
        <v>5</v>
      </c>
      <c r="C457" s="68" t="s">
        <v>363</v>
      </c>
      <c r="D457" s="68" t="s">
        <v>364</v>
      </c>
      <c r="E457" s="75">
        <f>60*F457*'THAM_SO_MOI'!$C$53/(2*PI()*'THAM_SO_MOI'!$C$26)</f>
        <v>1582.08147368421</v>
      </c>
      <c r="F457" s="75">
        <f>'THAM_SO_MOI'!$E$53+('THAM_SO_MOI'!$C$14-'THAM_SO_MOI'!$E$53)*451/'THAM_SO_MOI'!$C$42</f>
        <v>16.057450854700853</v>
      </c>
      <c r="G457" s="75">
        <f>3.6*F457</f>
        <v>57.806823076923074</v>
      </c>
      <c r="H457" s="75">
        <f>'THAM_SO_MOI'!$D$53</f>
        <v>1.1</v>
      </c>
      <c r="I457" s="75">
        <f>IF(F457&gt;'THAM_SO_MOI'!$C$14,'THAM_SO_MOI'!$C$13*(1+F457^2/1500),'THAM_SO_MOI'!$C$13)</f>
        <v>0.015</v>
      </c>
      <c r="J457" s="75">
        <f>'THAM_SO_MOI'!$C$40*('THAM_SO_MOI'!$C$23*(E457/'THAM_SO_MOI'!$C$22)+'THAM_SO_MOI'!$C$24*(E457/'THAM_SO_MOI'!$C$22)^2-'THAM_SO_MOI'!$C$25*(E457/'THAM_SO_MOI'!$C$22)^3)</f>
        <v>68.50246341621879</v>
      </c>
      <c r="K457" s="75">
        <f>'THAM_SO_MOI'!$C$31*J457/E457</f>
        <v>413.55251166963774</v>
      </c>
      <c r="L457" s="75">
        <f>K457*'THAM_SO_MOI'!$C$53*'THAM_SO_MOI'!$C$17/'THAM_SO_MOI'!$C$26</f>
        <v>3626.857145560698</v>
      </c>
      <c r="M457" s="75">
        <f>'THAM_SO_MOI'!$C$15*'THAM_SO_MOI'!$C$16*F457^2</f>
        <v>754.1870542570646</v>
      </c>
      <c r="N457" s="75">
        <f>'THAM_SO_MOI'!$C$12*I457</f>
        <v>1130.112</v>
      </c>
      <c r="O457" s="75">
        <f>M457+N457</f>
        <v>1884.2990542570647</v>
      </c>
      <c r="P457" s="75">
        <f>(MIN(L457,'THAM_SO_MOI'!$C$41)-O457)/('THAM_SO_MOI'!$C$11*H457)</f>
        <v>0.2062687134592369</v>
      </c>
      <c r="Q457" s="75">
        <f>IF(P457&gt;0,1/P457,NA())</f>
        <v>4.848044976038605</v>
      </c>
      <c r="R457" s="75">
        <f>F457-F456</f>
        <v>0.017600427350426884</v>
      </c>
      <c r="S457" s="75">
        <f>0.5*(Q456+Q457)*R457</f>
        <v>0.08530836386797615</v>
      </c>
      <c r="T457" s="75">
        <f>0.5*(F456*Q456+F457*Q457)*R457</f>
        <v>1.3690842983145826</v>
      </c>
      <c r="U457" s="76">
        <f>U456+S457</f>
        <v>37.849600954937046</v>
      </c>
      <c r="V457" s="76">
        <f>V456+T457</f>
        <v>456.26285607643746</v>
      </c>
    </row>
    <row r="458" spans="1:22" ht="19" customHeight="1">
      <c r="A458" s="68" t="s">
        <v>362</v>
      </c>
      <c r="B458" s="74">
        <v>5</v>
      </c>
      <c r="C458" s="68" t="s">
        <v>363</v>
      </c>
      <c r="D458" s="68" t="s">
        <v>364</v>
      </c>
      <c r="E458" s="75">
        <f>60*F458*'THAM_SO_MOI'!$C$53/(2*PI()*'THAM_SO_MOI'!$C$26)</f>
        <v>1583.8155789473683</v>
      </c>
      <c r="F458" s="75">
        <f>'THAM_SO_MOI'!$E$53+('THAM_SO_MOI'!$C$14-'THAM_SO_MOI'!$E$53)*452/'THAM_SO_MOI'!$C$42</f>
        <v>16.075051282051284</v>
      </c>
      <c r="G458" s="75">
        <f>3.6*F458</f>
        <v>57.87018461538462</v>
      </c>
      <c r="H458" s="75">
        <f>'THAM_SO_MOI'!$D$53</f>
        <v>1.1</v>
      </c>
      <c r="I458" s="75">
        <f>IF(F458&gt;'THAM_SO_MOI'!$C$14,'THAM_SO_MOI'!$C$13*(1+F458^2/1500),'THAM_SO_MOI'!$C$13)</f>
        <v>0.015</v>
      </c>
      <c r="J458" s="75">
        <f>'THAM_SO_MOI'!$C$40*('THAM_SO_MOI'!$C$23*(E458/'THAM_SO_MOI'!$C$22)+'THAM_SO_MOI'!$C$24*(E458/'THAM_SO_MOI'!$C$22)^2-'THAM_SO_MOI'!$C$25*(E458/'THAM_SO_MOI'!$C$22)^3)</f>
        <v>68.59383262718482</v>
      </c>
      <c r="K458" s="75">
        <f>'THAM_SO_MOI'!$C$31*J458/E458</f>
        <v>413.65071296118424</v>
      </c>
      <c r="L458" s="75">
        <f>K458*'THAM_SO_MOI'!$C$53*'THAM_SO_MOI'!$C$17/'THAM_SO_MOI'!$C$26</f>
        <v>3627.7183712718193</v>
      </c>
      <c r="M458" s="75">
        <f>'THAM_SO_MOI'!$C$15*'THAM_SO_MOI'!$C$16*F458^2</f>
        <v>755.8412756326925</v>
      </c>
      <c r="N458" s="75">
        <f>'THAM_SO_MOI'!$C$12*I458</f>
        <v>1130.112</v>
      </c>
      <c r="O458" s="75">
        <f>M458+N458</f>
        <v>1885.9532756326926</v>
      </c>
      <c r="P458" s="75">
        <f>(MIN(L458,'THAM_SO_MOI'!$C$41)-O458)/('THAM_SO_MOI'!$C$11*H458)</f>
        <v>0.20617484560122237</v>
      </c>
      <c r="Q458" s="75">
        <f>IF(P458&gt;0,1/P458,NA())</f>
        <v>4.85025220745974</v>
      </c>
      <c r="R458" s="75">
        <f>F458-F457</f>
        <v>0.017600427350430436</v>
      </c>
      <c r="S458" s="75">
        <f>0.5*(Q457+Q458)*R458</f>
        <v>0.08534708750052337</v>
      </c>
      <c r="T458" s="75">
        <f>0.5*(F457*Q457+F458*Q458)*R458</f>
        <v>1.3712079066743714</v>
      </c>
      <c r="U458" s="76">
        <f>U457+S458</f>
        <v>37.93494804243757</v>
      </c>
      <c r="V458" s="76">
        <f>V457+T458</f>
        <v>457.63406398311184</v>
      </c>
    </row>
    <row r="459" spans="1:22" ht="19" customHeight="1">
      <c r="A459" s="68" t="s">
        <v>362</v>
      </c>
      <c r="B459" s="74">
        <v>5</v>
      </c>
      <c r="C459" s="68" t="s">
        <v>363</v>
      </c>
      <c r="D459" s="68" t="s">
        <v>364</v>
      </c>
      <c r="E459" s="75">
        <f>60*F459*'THAM_SO_MOI'!$C$53/(2*PI()*'THAM_SO_MOI'!$C$26)</f>
        <v>1585.5496842105258</v>
      </c>
      <c r="F459" s="75">
        <f>'THAM_SO_MOI'!$E$53+('THAM_SO_MOI'!$C$14-'THAM_SO_MOI'!$E$53)*453/'THAM_SO_MOI'!$C$42</f>
        <v>16.092651709401707</v>
      </c>
      <c r="G459" s="75">
        <f>3.6*F459</f>
        <v>57.933546153846144</v>
      </c>
      <c r="H459" s="75">
        <f>'THAM_SO_MOI'!$D$53</f>
        <v>1.1</v>
      </c>
      <c r="I459" s="75">
        <f>IF(F459&gt;'THAM_SO_MOI'!$C$14,'THAM_SO_MOI'!$C$13*(1+F459^2/1500),'THAM_SO_MOI'!$C$13)</f>
        <v>0.015</v>
      </c>
      <c r="J459" s="75">
        <f>'THAM_SO_MOI'!$C$40*('THAM_SO_MOI'!$C$23*(E459/'THAM_SO_MOI'!$C$22)+'THAM_SO_MOI'!$C$24*(E459/'THAM_SO_MOI'!$C$22)^2-'THAM_SO_MOI'!$C$25*(E459/'THAM_SO_MOI'!$C$22)^3)</f>
        <v>68.685189066994</v>
      </c>
      <c r="K459" s="75">
        <f>'THAM_SO_MOI'!$C$31*J459/E459</f>
        <v>413.7486225171056</v>
      </c>
      <c r="L459" s="75">
        <f>K459*'THAM_SO_MOI'!$C$53*'THAM_SO_MOI'!$C$17/'THAM_SO_MOI'!$C$26</f>
        <v>3628.5770384603666</v>
      </c>
      <c r="M459" s="75">
        <f>'THAM_SO_MOI'!$C$15*'THAM_SO_MOI'!$C$16*F459^2</f>
        <v>757.4973091923209</v>
      </c>
      <c r="N459" s="75">
        <f>'THAM_SO_MOI'!$C$12*I459</f>
        <v>1130.112</v>
      </c>
      <c r="O459" s="75">
        <f>M459+N459</f>
        <v>1887.609309192321</v>
      </c>
      <c r="P459" s="75">
        <f>(MIN(L459,'THAM_SO_MOI'!$C$41)-O459)/('THAM_SO_MOI'!$C$11*H459)</f>
        <v>0.2060804603773728</v>
      </c>
      <c r="Q459" s="75">
        <f>IF(P459&gt;0,1/P459,NA())</f>
        <v>4.852473631749504</v>
      </c>
      <c r="R459" s="75">
        <f>F459-F458</f>
        <v>0.01760042735042333</v>
      </c>
      <c r="S459" s="75">
        <f>0.5*(Q458+Q459)*R459</f>
        <v>0.08538606061703877</v>
      </c>
      <c r="T459" s="75">
        <f>0.5*(F458*Q458+F459*Q459)*R459</f>
        <v>1.3733368908050034</v>
      </c>
      <c r="U459" s="76">
        <f>U458+S459</f>
        <v>38.02033410305461</v>
      </c>
      <c r="V459" s="76">
        <f>V458+T459</f>
        <v>459.0074008739168</v>
      </c>
    </row>
    <row r="460" spans="1:22" ht="19" customHeight="1">
      <c r="A460" s="68" t="s">
        <v>362</v>
      </c>
      <c r="B460" s="74">
        <v>5</v>
      </c>
      <c r="C460" s="68" t="s">
        <v>363</v>
      </c>
      <c r="D460" s="68" t="s">
        <v>364</v>
      </c>
      <c r="E460" s="75">
        <f>60*F460*'THAM_SO_MOI'!$C$53/(2*PI()*'THAM_SO_MOI'!$C$26)</f>
        <v>1587.283789473684</v>
      </c>
      <c r="F460" s="75">
        <f>'THAM_SO_MOI'!$E$53+('THAM_SO_MOI'!$C$14-'THAM_SO_MOI'!$E$53)*454/'THAM_SO_MOI'!$C$42</f>
        <v>16.110252136752138</v>
      </c>
      <c r="G460" s="75">
        <f>3.6*F460</f>
        <v>57.996907692307694</v>
      </c>
      <c r="H460" s="75">
        <f>'THAM_SO_MOI'!$D$53</f>
        <v>1.1</v>
      </c>
      <c r="I460" s="75">
        <f>IF(F460&gt;'THAM_SO_MOI'!$C$14,'THAM_SO_MOI'!$C$13*(1+F460^2/1500),'THAM_SO_MOI'!$C$13)</f>
        <v>0.015</v>
      </c>
      <c r="J460" s="75">
        <f>'THAM_SO_MOI'!$C$40*('THAM_SO_MOI'!$C$23*(E460/'THAM_SO_MOI'!$C$22)+'THAM_SO_MOI'!$C$24*(E460/'THAM_SO_MOI'!$C$22)^2-'THAM_SO_MOI'!$C$25*(E460/'THAM_SO_MOI'!$C$22)^3)</f>
        <v>68.77653257674315</v>
      </c>
      <c r="K460" s="75">
        <f>'THAM_SO_MOI'!$C$31*J460/E460</f>
        <v>413.8462403374022</v>
      </c>
      <c r="L460" s="75">
        <f>K460*'THAM_SO_MOI'!$C$53*'THAM_SO_MOI'!$C$17/'THAM_SO_MOI'!$C$26</f>
        <v>3629.4331471263436</v>
      </c>
      <c r="M460" s="75">
        <f>'THAM_SO_MOI'!$C$15*'THAM_SO_MOI'!$C$16*F460^2</f>
        <v>759.155154935951</v>
      </c>
      <c r="N460" s="75">
        <f>'THAM_SO_MOI'!$C$12*I460</f>
        <v>1130.112</v>
      </c>
      <c r="O460" s="75">
        <f>M460+N460</f>
        <v>1889.267154935951</v>
      </c>
      <c r="P460" s="75">
        <f>(MIN(L460,'THAM_SO_MOI'!$C$41)-O460)/('THAM_SO_MOI'!$C$11*H460)</f>
        <v>0.2059855577876885</v>
      </c>
      <c r="Q460" s="75">
        <f>IF(P460&gt;0,1/P460,NA())</f>
        <v>4.854709285156344</v>
      </c>
      <c r="R460" s="75">
        <f>F460-F459</f>
        <v>0.017600427350430436</v>
      </c>
      <c r="S460" s="75">
        <f>0.5*(Q459+Q460)*R460</f>
        <v>0.08542528385317039</v>
      </c>
      <c r="T460" s="75">
        <f>0.5*(F459*Q459+F460*Q460)*R460</f>
        <v>1.3754712741144297</v>
      </c>
      <c r="U460" s="76">
        <f>U459+S460</f>
        <v>38.10575938690778</v>
      </c>
      <c r="V460" s="76">
        <f>V459+T460</f>
        <v>460.38287214803125</v>
      </c>
    </row>
    <row r="461" spans="1:22" ht="19" customHeight="1">
      <c r="A461" s="68" t="s">
        <v>362</v>
      </c>
      <c r="B461" s="74">
        <v>5</v>
      </c>
      <c r="C461" s="68" t="s">
        <v>363</v>
      </c>
      <c r="D461" s="68" t="s">
        <v>364</v>
      </c>
      <c r="E461" s="75">
        <f>60*F461*'THAM_SO_MOI'!$C$53/(2*PI()*'THAM_SO_MOI'!$C$26)</f>
        <v>1589.0178947368418</v>
      </c>
      <c r="F461" s="75">
        <f>'THAM_SO_MOI'!$E$53+('THAM_SO_MOI'!$C$14-'THAM_SO_MOI'!$E$53)*455/'THAM_SO_MOI'!$C$42</f>
        <v>16.127852564102565</v>
      </c>
      <c r="G461" s="75">
        <f>3.6*F461</f>
        <v>58.06026923076924</v>
      </c>
      <c r="H461" s="75">
        <f>'THAM_SO_MOI'!$D$53</f>
        <v>1.1</v>
      </c>
      <c r="I461" s="75">
        <f>IF(F461&gt;'THAM_SO_MOI'!$C$14,'THAM_SO_MOI'!$C$13*(1+F461^2/1500),'THAM_SO_MOI'!$C$13)</f>
        <v>0.015</v>
      </c>
      <c r="J461" s="75">
        <f>'THAM_SO_MOI'!$C$40*('THAM_SO_MOI'!$C$23*(E461/'THAM_SO_MOI'!$C$22)+'THAM_SO_MOI'!$C$24*(E461/'THAM_SO_MOI'!$C$22)^2-'THAM_SO_MOI'!$C$25*(E461/'THAM_SO_MOI'!$C$22)^3)</f>
        <v>68.86786299752887</v>
      </c>
      <c r="K461" s="75">
        <f>'THAM_SO_MOI'!$C$31*J461/E461</f>
        <v>413.9435664220735</v>
      </c>
      <c r="L461" s="75">
        <f>K461*'THAM_SO_MOI'!$C$53*'THAM_SO_MOI'!$C$17/'THAM_SO_MOI'!$C$26</f>
        <v>3630.2866972697448</v>
      </c>
      <c r="M461" s="75">
        <f>'THAM_SO_MOI'!$C$15*'THAM_SO_MOI'!$C$16*F461^2</f>
        <v>760.8148128635819</v>
      </c>
      <c r="N461" s="75">
        <f>'THAM_SO_MOI'!$C$12*I461</f>
        <v>1130.112</v>
      </c>
      <c r="O461" s="75">
        <f>M461+N461</f>
        <v>1890.926812863582</v>
      </c>
      <c r="P461" s="75">
        <f>(MIN(L461,'THAM_SO_MOI'!$C$41)-O461)/('THAM_SO_MOI'!$C$11*H461)</f>
        <v>0.20589013783216886</v>
      </c>
      <c r="Q461" s="75">
        <f>IF(P461&gt;0,1/P461,NA())</f>
        <v>4.856959204209912</v>
      </c>
      <c r="R461" s="75">
        <f>F461-F460</f>
        <v>0.017600427350426884</v>
      </c>
      <c r="S461" s="75">
        <f>0.5*(Q460+Q461)*R461</f>
        <v>0.08546475784926039</v>
      </c>
      <c r="T461" s="75">
        <f>0.5*(F460*Q460+F461*Q461)*R461</f>
        <v>1.377611080131018</v>
      </c>
      <c r="U461" s="76">
        <f>U460+S461</f>
        <v>38.19122414475704</v>
      </c>
      <c r="V461" s="76">
        <f>V460+T461</f>
        <v>461.7604832281623</v>
      </c>
    </row>
    <row r="462" spans="1:22" ht="19" customHeight="1">
      <c r="A462" s="68" t="s">
        <v>362</v>
      </c>
      <c r="B462" s="74">
        <v>5</v>
      </c>
      <c r="C462" s="68" t="s">
        <v>363</v>
      </c>
      <c r="D462" s="68" t="s">
        <v>364</v>
      </c>
      <c r="E462" s="75">
        <f>60*F462*'THAM_SO_MOI'!$C$53/(2*PI()*'THAM_SO_MOI'!$C$26)</f>
        <v>1590.7519999999995</v>
      </c>
      <c r="F462" s="75">
        <f>'THAM_SO_MOI'!$E$53+('THAM_SO_MOI'!$C$14-'THAM_SO_MOI'!$E$53)*456/'THAM_SO_MOI'!$C$42</f>
        <v>16.14545299145299</v>
      </c>
      <c r="G462" s="75">
        <f>3.6*F462</f>
        <v>58.12363076923077</v>
      </c>
      <c r="H462" s="75">
        <f>'THAM_SO_MOI'!$D$53</f>
        <v>1.1</v>
      </c>
      <c r="I462" s="75">
        <f>IF(F462&gt;'THAM_SO_MOI'!$C$14,'THAM_SO_MOI'!$C$13*(1+F462^2/1500),'THAM_SO_MOI'!$C$13)</f>
        <v>0.015</v>
      </c>
      <c r="J462" s="75">
        <f>'THAM_SO_MOI'!$C$40*('THAM_SO_MOI'!$C$23*(E462/'THAM_SO_MOI'!$C$22)+'THAM_SO_MOI'!$C$24*(E462/'THAM_SO_MOI'!$C$22)^2-'THAM_SO_MOI'!$C$25*(E462/'THAM_SO_MOI'!$C$22)^3)</f>
        <v>68.95918017044795</v>
      </c>
      <c r="K462" s="75">
        <f>'THAM_SO_MOI'!$C$31*J462/E462</f>
        <v>414.04060077111984</v>
      </c>
      <c r="L462" s="75">
        <f>K462*'THAM_SO_MOI'!$C$53*'THAM_SO_MOI'!$C$17/'THAM_SO_MOI'!$C$26</f>
        <v>3631.1376888905734</v>
      </c>
      <c r="M462" s="75">
        <f>'THAM_SO_MOI'!$C$15*'THAM_SO_MOI'!$C$16*F462^2</f>
        <v>762.4762829752137</v>
      </c>
      <c r="N462" s="75">
        <f>'THAM_SO_MOI'!$C$12*I462</f>
        <v>1130.112</v>
      </c>
      <c r="O462" s="75">
        <f>M462+N462</f>
        <v>1892.5882829752138</v>
      </c>
      <c r="P462" s="75">
        <f>(MIN(L462,'THAM_SO_MOI'!$C$41)-O462)/('THAM_SO_MOI'!$C$11*H462)</f>
        <v>0.20579420051081437</v>
      </c>
      <c r="Q462" s="75">
        <f>IF(P462&gt;0,1/P462,NA())</f>
        <v>4.859223425722585</v>
      </c>
      <c r="R462" s="75">
        <f>F462-F461</f>
        <v>0.017600427350426884</v>
      </c>
      <c r="S462" s="75">
        <f>0.5*(Q461+Q462)*R462</f>
        <v>0.08550448325080326</v>
      </c>
      <c r="T462" s="75">
        <f>0.5*(F461*Q461+F462*Q462)*R462</f>
        <v>1.379756332511357</v>
      </c>
      <c r="U462" s="76">
        <f>U461+S462</f>
        <v>38.27672862800784</v>
      </c>
      <c r="V462" s="76">
        <f>V461+T462</f>
        <v>463.14023956067365</v>
      </c>
    </row>
    <row r="463" spans="1:22" ht="19" customHeight="1">
      <c r="A463" s="68" t="s">
        <v>362</v>
      </c>
      <c r="B463" s="74">
        <v>5</v>
      </c>
      <c r="C463" s="68" t="s">
        <v>363</v>
      </c>
      <c r="D463" s="68" t="s">
        <v>364</v>
      </c>
      <c r="E463" s="75">
        <f>60*F463*'THAM_SO_MOI'!$C$53/(2*PI()*'THAM_SO_MOI'!$C$26)</f>
        <v>1592.4861052631575</v>
      </c>
      <c r="F463" s="75">
        <f>'THAM_SO_MOI'!$E$53+('THAM_SO_MOI'!$C$14-'THAM_SO_MOI'!$E$53)*457/'THAM_SO_MOI'!$C$42</f>
        <v>16.16305341880342</v>
      </c>
      <c r="G463" s="75">
        <f>3.6*F463</f>
        <v>58.18699230769231</v>
      </c>
      <c r="H463" s="75">
        <f>'THAM_SO_MOI'!$D$53</f>
        <v>1.1</v>
      </c>
      <c r="I463" s="75">
        <f>IF(F463&gt;'THAM_SO_MOI'!$C$14,'THAM_SO_MOI'!$C$13*(1+F463^2/1500),'THAM_SO_MOI'!$C$13)</f>
        <v>0.015</v>
      </c>
      <c r="J463" s="75">
        <f>'THAM_SO_MOI'!$C$40*('THAM_SO_MOI'!$C$23*(E463/'THAM_SO_MOI'!$C$22)+'THAM_SO_MOI'!$C$24*(E463/'THAM_SO_MOI'!$C$22)^2-'THAM_SO_MOI'!$C$25*(E463/'THAM_SO_MOI'!$C$22)^3)</f>
        <v>69.05048393659712</v>
      </c>
      <c r="K463" s="75">
        <f>'THAM_SO_MOI'!$C$31*J463/E463</f>
        <v>414.1373433845411</v>
      </c>
      <c r="L463" s="75">
        <f>K463*'THAM_SO_MOI'!$C$53*'THAM_SO_MOI'!$C$17/'THAM_SO_MOI'!$C$26</f>
        <v>3631.9861219888285</v>
      </c>
      <c r="M463" s="75">
        <f>'THAM_SO_MOI'!$C$15*'THAM_SO_MOI'!$C$16*F463^2</f>
        <v>764.1395652708467</v>
      </c>
      <c r="N463" s="75">
        <f>'THAM_SO_MOI'!$C$12*I463</f>
        <v>1130.112</v>
      </c>
      <c r="O463" s="75">
        <f>M463+N463</f>
        <v>1894.2515652708466</v>
      </c>
      <c r="P463" s="75">
        <f>(MIN(L463,'THAM_SO_MOI'!$C$41)-O463)/('THAM_SO_MOI'!$C$11*H463)</f>
        <v>0.20569774582362474</v>
      </c>
      <c r="Q463" s="75">
        <f>IF(P463&gt;0,1/P463,NA())</f>
        <v>4.8615019867910885</v>
      </c>
      <c r="R463" s="75">
        <f>F463-F462</f>
        <v>0.017600427350426884</v>
      </c>
      <c r="S463" s="75">
        <f>0.5*(Q462+Q463)*R463</f>
        <v>0.08554446070819766</v>
      </c>
      <c r="T463" s="75">
        <f>0.5*(F462*Q462+F463*Q463)*R463</f>
        <v>1.3819070550367039</v>
      </c>
      <c r="U463" s="76">
        <f>U462+S463</f>
        <v>38.36227308871604</v>
      </c>
      <c r="V463" s="76">
        <f>V462+T463</f>
        <v>464.52214661571037</v>
      </c>
    </row>
    <row r="464" spans="1:22" ht="19" customHeight="1">
      <c r="A464" s="68" t="s">
        <v>362</v>
      </c>
      <c r="B464" s="74">
        <v>5</v>
      </c>
      <c r="C464" s="68" t="s">
        <v>363</v>
      </c>
      <c r="D464" s="68" t="s">
        <v>364</v>
      </c>
      <c r="E464" s="75">
        <f>60*F464*'THAM_SO_MOI'!$C$53/(2*PI()*'THAM_SO_MOI'!$C$26)</f>
        <v>1594.2202105263152</v>
      </c>
      <c r="F464" s="75">
        <f>'THAM_SO_MOI'!$E$53+('THAM_SO_MOI'!$C$14-'THAM_SO_MOI'!$E$53)*458/'THAM_SO_MOI'!$C$42</f>
        <v>16.180653846153845</v>
      </c>
      <c r="G464" s="75">
        <f>3.6*F464</f>
        <v>58.25035384615384</v>
      </c>
      <c r="H464" s="75">
        <f>'THAM_SO_MOI'!$D$53</f>
        <v>1.1</v>
      </c>
      <c r="I464" s="75">
        <f>IF(F464&gt;'THAM_SO_MOI'!$C$14,'THAM_SO_MOI'!$C$13*(1+F464^2/1500),'THAM_SO_MOI'!$C$13)</f>
        <v>0.015</v>
      </c>
      <c r="J464" s="75">
        <f>'THAM_SO_MOI'!$C$40*('THAM_SO_MOI'!$C$23*(E464/'THAM_SO_MOI'!$C$22)+'THAM_SO_MOI'!$C$24*(E464/'THAM_SO_MOI'!$C$22)^2-'THAM_SO_MOI'!$C$25*(E464/'THAM_SO_MOI'!$C$22)^3)</f>
        <v>69.14177413707306</v>
      </c>
      <c r="K464" s="75">
        <f>'THAM_SO_MOI'!$C$31*J464/E464</f>
        <v>414.23379426233737</v>
      </c>
      <c r="L464" s="75">
        <f>K464*'THAM_SO_MOI'!$C$53*'THAM_SO_MOI'!$C$17/'THAM_SO_MOI'!$C$26</f>
        <v>3632.8319965645114</v>
      </c>
      <c r="M464" s="75">
        <f>'THAM_SO_MOI'!$C$15*'THAM_SO_MOI'!$C$16*F464^2</f>
        <v>765.8046597504807</v>
      </c>
      <c r="N464" s="75">
        <f>'THAM_SO_MOI'!$C$12*I464</f>
        <v>1130.112</v>
      </c>
      <c r="O464" s="75">
        <f>M464+N464</f>
        <v>1895.916659750481</v>
      </c>
      <c r="P464" s="75">
        <f>(MIN(L464,'THAM_SO_MOI'!$C$41)-O464)/('THAM_SO_MOI'!$C$11*H464)</f>
        <v>0.2056007737706002</v>
      </c>
      <c r="Q464" s="75">
        <f>IF(P464&gt;0,1/P464,NA())</f>
        <v>4.8637949247980625</v>
      </c>
      <c r="R464" s="75">
        <f>F464-F463</f>
        <v>0.017600427350426884</v>
      </c>
      <c r="S464" s="75">
        <f>0.5*(Q463+Q464)*R464</f>
        <v>0.0855846908768779</v>
      </c>
      <c r="T464" s="75">
        <f>0.5*(F463*Q463+F464*Q464)*R464</f>
        <v>1.384063271615541</v>
      </c>
      <c r="U464" s="76">
        <f>U463+S464</f>
        <v>38.447857779592916</v>
      </c>
      <c r="V464" s="76">
        <f>V463+T464</f>
        <v>465.90620988732593</v>
      </c>
    </row>
    <row r="465" spans="1:22" ht="19" customHeight="1">
      <c r="A465" s="68" t="s">
        <v>362</v>
      </c>
      <c r="B465" s="74">
        <v>5</v>
      </c>
      <c r="C465" s="68" t="s">
        <v>363</v>
      </c>
      <c r="D465" s="68" t="s">
        <v>364</v>
      </c>
      <c r="E465" s="75">
        <f>60*F465*'THAM_SO_MOI'!$C$53/(2*PI()*'THAM_SO_MOI'!$C$26)</f>
        <v>1595.9543157894734</v>
      </c>
      <c r="F465" s="75">
        <f>'THAM_SO_MOI'!$E$53+('THAM_SO_MOI'!$C$14-'THAM_SO_MOI'!$E$53)*459/'THAM_SO_MOI'!$C$42</f>
        <v>16.198254273504276</v>
      </c>
      <c r="G465" s="75">
        <f>3.6*F465</f>
        <v>58.31371538461539</v>
      </c>
      <c r="H465" s="75">
        <f>'THAM_SO_MOI'!$D$53</f>
        <v>1.1</v>
      </c>
      <c r="I465" s="75">
        <f>IF(F465&gt;'THAM_SO_MOI'!$C$14,'THAM_SO_MOI'!$C$13*(1+F465^2/1500),'THAM_SO_MOI'!$C$13)</f>
        <v>0.015</v>
      </c>
      <c r="J465" s="75">
        <f>'THAM_SO_MOI'!$C$40*('THAM_SO_MOI'!$C$23*(E465/'THAM_SO_MOI'!$C$22)+'THAM_SO_MOI'!$C$24*(E465/'THAM_SO_MOI'!$C$22)^2-'THAM_SO_MOI'!$C$25*(E465/'THAM_SO_MOI'!$C$22)^3)</f>
        <v>69.23305061297256</v>
      </c>
      <c r="K465" s="75">
        <f>'THAM_SO_MOI'!$C$31*J465/E465</f>
        <v>414.32995340450873</v>
      </c>
      <c r="L465" s="75">
        <f>K465*'THAM_SO_MOI'!$C$53*'THAM_SO_MOI'!$C$17/'THAM_SO_MOI'!$C$26</f>
        <v>3633.675312617622</v>
      </c>
      <c r="M465" s="75">
        <f>'THAM_SO_MOI'!$C$15*'THAM_SO_MOI'!$C$16*F465^2</f>
        <v>767.4715664141162</v>
      </c>
      <c r="N465" s="75">
        <f>'THAM_SO_MOI'!$C$12*I465</f>
        <v>1130.112</v>
      </c>
      <c r="O465" s="75">
        <f>M465+N465</f>
        <v>1897.5835664141164</v>
      </c>
      <c r="P465" s="75">
        <f>(MIN(L465,'THAM_SO_MOI'!$C$41)-O465)/('THAM_SO_MOI'!$C$11*H465)</f>
        <v>0.2055032843517407</v>
      </c>
      <c r="Q465" s="75">
        <f>IF(P465&gt;0,1/P465,NA())</f>
        <v>4.866102277413697</v>
      </c>
      <c r="R465" s="75">
        <f>F465-F464</f>
        <v>0.017600427350430436</v>
      </c>
      <c r="S465" s="75">
        <f>0.5*(Q464+Q465)*R465</f>
        <v>0.08562517441734221</v>
      </c>
      <c r="T465" s="75">
        <f>0.5*(F464*Q464+F465*Q465)*R465</f>
        <v>1.3862250062844763</v>
      </c>
      <c r="U465" s="76">
        <f>U464+S465</f>
        <v>38.53348295401026</v>
      </c>
      <c r="V465" s="76">
        <f>V464+T465</f>
        <v>467.2924348936104</v>
      </c>
    </row>
    <row r="466" spans="1:22" ht="19" customHeight="1">
      <c r="A466" s="68" t="s">
        <v>362</v>
      </c>
      <c r="B466" s="74">
        <v>5</v>
      </c>
      <c r="C466" s="68" t="s">
        <v>363</v>
      </c>
      <c r="D466" s="68" t="s">
        <v>364</v>
      </c>
      <c r="E466" s="75">
        <f>60*F466*'THAM_SO_MOI'!$C$53/(2*PI()*'THAM_SO_MOI'!$C$26)</f>
        <v>1597.6884210526312</v>
      </c>
      <c r="F466" s="75">
        <f>'THAM_SO_MOI'!$E$53+('THAM_SO_MOI'!$C$14-'THAM_SO_MOI'!$E$53)*460/'THAM_SO_MOI'!$C$42</f>
        <v>16.2158547008547</v>
      </c>
      <c r="G466" s="75">
        <f>3.6*F466</f>
        <v>58.37707692307692</v>
      </c>
      <c r="H466" s="75">
        <f>'THAM_SO_MOI'!$D$53</f>
        <v>1.1</v>
      </c>
      <c r="I466" s="75">
        <f>IF(F466&gt;'THAM_SO_MOI'!$C$14,'THAM_SO_MOI'!$C$13*(1+F466^2/1500),'THAM_SO_MOI'!$C$13)</f>
        <v>0.015</v>
      </c>
      <c r="J466" s="75">
        <f>'THAM_SO_MOI'!$C$40*('THAM_SO_MOI'!$C$23*(E466/'THAM_SO_MOI'!$C$22)+'THAM_SO_MOI'!$C$24*(E466/'THAM_SO_MOI'!$C$22)^2-'THAM_SO_MOI'!$C$25*(E466/'THAM_SO_MOI'!$C$22)^3)</f>
        <v>69.32431320539226</v>
      </c>
      <c r="K466" s="75">
        <f>'THAM_SO_MOI'!$C$31*J466/E466</f>
        <v>414.42582081105496</v>
      </c>
      <c r="L466" s="75">
        <f>K466*'THAM_SO_MOI'!$C$53*'THAM_SO_MOI'!$C$17/'THAM_SO_MOI'!$C$26</f>
        <v>3634.5160701481586</v>
      </c>
      <c r="M466" s="75">
        <f>'THAM_SO_MOI'!$C$15*'THAM_SO_MOI'!$C$16*F466^2</f>
        <v>769.140285261752</v>
      </c>
      <c r="N466" s="75">
        <f>'THAM_SO_MOI'!$C$12*I466</f>
        <v>1130.112</v>
      </c>
      <c r="O466" s="75">
        <f>M466+N466</f>
        <v>1899.2522852617521</v>
      </c>
      <c r="P466" s="75">
        <f>(MIN(L466,'THAM_SO_MOI'!$C$41)-O466)/('THAM_SO_MOI'!$C$11*H466)</f>
        <v>0.2054052775670462</v>
      </c>
      <c r="Q466" s="75">
        <f>IF(P466&gt;0,1/P466,NA())</f>
        <v>4.868424082597345</v>
      </c>
      <c r="R466" s="75">
        <f>F466-F465</f>
        <v>0.01760042735042333</v>
      </c>
      <c r="S466" s="75">
        <f>0.5*(Q465+Q466)*R466</f>
        <v>0.08566591199507761</v>
      </c>
      <c r="T466" s="75">
        <f>0.5*(F465*Q465+F466*Q466)*R466</f>
        <v>1.3883922832074707</v>
      </c>
      <c r="U466" s="76">
        <f>U465+S466</f>
        <v>38.61914886600534</v>
      </c>
      <c r="V466" s="76">
        <f>V465+T466</f>
        <v>468.68082717681784</v>
      </c>
    </row>
    <row r="467" spans="1:22" ht="19" customHeight="1">
      <c r="A467" s="68" t="s">
        <v>362</v>
      </c>
      <c r="B467" s="74">
        <v>5</v>
      </c>
      <c r="C467" s="68" t="s">
        <v>363</v>
      </c>
      <c r="D467" s="68" t="s">
        <v>364</v>
      </c>
      <c r="E467" s="75">
        <f>60*F467*'THAM_SO_MOI'!$C$53/(2*PI()*'THAM_SO_MOI'!$C$26)</f>
        <v>1599.4225263157894</v>
      </c>
      <c r="F467" s="75">
        <f>'THAM_SO_MOI'!$E$53+('THAM_SO_MOI'!$C$14-'THAM_SO_MOI'!$E$53)*461/'THAM_SO_MOI'!$C$42</f>
        <v>16.23345512820513</v>
      </c>
      <c r="G467" s="75">
        <f>3.6*F467</f>
        <v>58.44043846153847</v>
      </c>
      <c r="H467" s="75">
        <f>'THAM_SO_MOI'!$D$53</f>
        <v>1.1</v>
      </c>
      <c r="I467" s="75">
        <f>IF(F467&gt;'THAM_SO_MOI'!$C$14,'THAM_SO_MOI'!$C$13*(1+F467^2/1500),'THAM_SO_MOI'!$C$13)</f>
        <v>0.015</v>
      </c>
      <c r="J467" s="75">
        <f>'THAM_SO_MOI'!$C$40*('THAM_SO_MOI'!$C$23*(E467/'THAM_SO_MOI'!$C$22)+'THAM_SO_MOI'!$C$24*(E467/'THAM_SO_MOI'!$C$22)^2-'THAM_SO_MOI'!$C$25*(E467/'THAM_SO_MOI'!$C$22)^3)</f>
        <v>69.41556175542894</v>
      </c>
      <c r="K467" s="75">
        <f>'THAM_SO_MOI'!$C$31*J467/E467</f>
        <v>414.5213964819762</v>
      </c>
      <c r="L467" s="75">
        <f>K467*'THAM_SO_MOI'!$C$53*'THAM_SO_MOI'!$C$17/'THAM_SO_MOI'!$C$26</f>
        <v>3635.354269156122</v>
      </c>
      <c r="M467" s="75">
        <f>'THAM_SO_MOI'!$C$15*'THAM_SO_MOI'!$C$16*F467^2</f>
        <v>770.8108162933895</v>
      </c>
      <c r="N467" s="75">
        <f>'THAM_SO_MOI'!$C$12*I467</f>
        <v>1130.112</v>
      </c>
      <c r="O467" s="75">
        <f>M467+N467</f>
        <v>1900.9228162933896</v>
      </c>
      <c r="P467" s="75">
        <f>(MIN(L467,'THAM_SO_MOI'!$C$41)-O467)/('THAM_SO_MOI'!$C$11*H467)</f>
        <v>0.2053067534165166</v>
      </c>
      <c r="Q467" s="75">
        <f>IF(P467&gt;0,1/P467,NA())</f>
        <v>4.870760378599176</v>
      </c>
      <c r="R467" s="75">
        <f>F467-F466</f>
        <v>0.017600427350430436</v>
      </c>
      <c r="S467" s="75">
        <f>0.5*(Q466+Q467)*R467</f>
        <v>0.08570690428086518</v>
      </c>
      <c r="T467" s="75">
        <f>0.5*(F466*Q466+F467*Q467)*R467</f>
        <v>1.3905651266812329</v>
      </c>
      <c r="U467" s="76">
        <f>U466+S467</f>
        <v>38.7048557702862</v>
      </c>
      <c r="V467" s="76">
        <f>V466+T467</f>
        <v>470.07139230349907</v>
      </c>
    </row>
    <row r="468" spans="1:22" ht="19" customHeight="1">
      <c r="A468" s="68" t="s">
        <v>362</v>
      </c>
      <c r="B468" s="74">
        <v>5</v>
      </c>
      <c r="C468" s="68" t="s">
        <v>363</v>
      </c>
      <c r="D468" s="68" t="s">
        <v>364</v>
      </c>
      <c r="E468" s="75">
        <f>60*F468*'THAM_SO_MOI'!$C$53/(2*PI()*'THAM_SO_MOI'!$C$26)</f>
        <v>1601.1566315789473</v>
      </c>
      <c r="F468" s="75">
        <f>'THAM_SO_MOI'!$E$53+('THAM_SO_MOI'!$C$14-'THAM_SO_MOI'!$E$53)*462/'THAM_SO_MOI'!$C$42</f>
        <v>16.251055555555556</v>
      </c>
      <c r="G468" s="75">
        <f>3.6*F468</f>
        <v>58.503800000000005</v>
      </c>
      <c r="H468" s="75">
        <f>'THAM_SO_MOI'!$D$53</f>
        <v>1.1</v>
      </c>
      <c r="I468" s="75">
        <f>IF(F468&gt;'THAM_SO_MOI'!$C$14,'THAM_SO_MOI'!$C$13*(1+F468^2/1500),'THAM_SO_MOI'!$C$13)</f>
        <v>0.015</v>
      </c>
      <c r="J468" s="75">
        <f>'THAM_SO_MOI'!$C$40*('THAM_SO_MOI'!$C$23*(E468/'THAM_SO_MOI'!$C$22)+'THAM_SO_MOI'!$C$24*(E468/'THAM_SO_MOI'!$C$22)^2-'THAM_SO_MOI'!$C$25*(E468/'THAM_SO_MOI'!$C$22)^3)</f>
        <v>69.50679610417927</v>
      </c>
      <c r="K468" s="75">
        <f>'THAM_SO_MOI'!$C$31*J468/E468</f>
        <v>414.61668041727233</v>
      </c>
      <c r="L468" s="75">
        <f>K468*'THAM_SO_MOI'!$C$53*'THAM_SO_MOI'!$C$17/'THAM_SO_MOI'!$C$26</f>
        <v>3636.189909641512</v>
      </c>
      <c r="M468" s="75">
        <f>'THAM_SO_MOI'!$C$15*'THAM_SO_MOI'!$C$16*F468^2</f>
        <v>772.4831595090279</v>
      </c>
      <c r="N468" s="75">
        <f>'THAM_SO_MOI'!$C$12*I468</f>
        <v>1130.112</v>
      </c>
      <c r="O468" s="75">
        <f>M468+N468</f>
        <v>1902.595159509028</v>
      </c>
      <c r="P468" s="75">
        <f>(MIN(L468,'THAM_SO_MOI'!$C$41)-O468)/('THAM_SO_MOI'!$C$11*H468)</f>
        <v>0.20520771190015194</v>
      </c>
      <c r="Q468" s="75">
        <f>IF(P468&gt;0,1/P468,NA())</f>
        <v>4.873111203961821</v>
      </c>
      <c r="R468" s="75">
        <f>F468-F467</f>
        <v>0.017600427350426884</v>
      </c>
      <c r="S468" s="75">
        <f>0.5*(Q467+Q468)*R468</f>
        <v>0.08574815195037692</v>
      </c>
      <c r="T468" s="75">
        <f>0.5*(F467*Q467+F468*Q468)*R468</f>
        <v>1.392743561129134</v>
      </c>
      <c r="U468" s="76">
        <f>U467+S468</f>
        <v>38.79060392223658</v>
      </c>
      <c r="V468" s="76">
        <f>V467+T468</f>
        <v>471.4641358646282</v>
      </c>
    </row>
    <row r="469" spans="1:22" ht="19" customHeight="1">
      <c r="A469" s="68" t="s">
        <v>362</v>
      </c>
      <c r="B469" s="74">
        <v>5</v>
      </c>
      <c r="C469" s="68" t="s">
        <v>363</v>
      </c>
      <c r="D469" s="68" t="s">
        <v>364</v>
      </c>
      <c r="E469" s="75">
        <f>60*F469*'THAM_SO_MOI'!$C$53/(2*PI()*'THAM_SO_MOI'!$C$26)</f>
        <v>1602.890736842105</v>
      </c>
      <c r="F469" s="75">
        <f>'THAM_SO_MOI'!$E$53+('THAM_SO_MOI'!$C$14-'THAM_SO_MOI'!$E$53)*463/'THAM_SO_MOI'!$C$42</f>
        <v>16.268655982905983</v>
      </c>
      <c r="G469" s="75">
        <f>3.6*F469</f>
        <v>58.56716153846154</v>
      </c>
      <c r="H469" s="75">
        <f>'THAM_SO_MOI'!$D$53</f>
        <v>1.1</v>
      </c>
      <c r="I469" s="75">
        <f>IF(F469&gt;'THAM_SO_MOI'!$C$14,'THAM_SO_MOI'!$C$13*(1+F469^2/1500),'THAM_SO_MOI'!$C$13)</f>
        <v>0.015</v>
      </c>
      <c r="J469" s="75">
        <f>'THAM_SO_MOI'!$C$40*('THAM_SO_MOI'!$C$23*(E469/'THAM_SO_MOI'!$C$22)+'THAM_SO_MOI'!$C$24*(E469/'THAM_SO_MOI'!$C$22)^2-'THAM_SO_MOI'!$C$25*(E469/'THAM_SO_MOI'!$C$22)^3)</f>
        <v>69.59801609274</v>
      </c>
      <c r="K469" s="75">
        <f>'THAM_SO_MOI'!$C$31*J469/E469</f>
        <v>414.7116726169434</v>
      </c>
      <c r="L469" s="75">
        <f>K469*'THAM_SO_MOI'!$C$53*'THAM_SO_MOI'!$C$17/'THAM_SO_MOI'!$C$26</f>
        <v>3637.022991604329</v>
      </c>
      <c r="M469" s="75">
        <f>'THAM_SO_MOI'!$C$15*'THAM_SO_MOI'!$C$16*F469^2</f>
        <v>774.1573149086673</v>
      </c>
      <c r="N469" s="75">
        <f>'THAM_SO_MOI'!$C$12*I469</f>
        <v>1130.112</v>
      </c>
      <c r="O469" s="75">
        <f>M469+N469</f>
        <v>1904.2693149086674</v>
      </c>
      <c r="P469" s="75">
        <f>(MIN(L469,'THAM_SO_MOI'!$C$41)-O469)/('THAM_SO_MOI'!$C$11*H469)</f>
        <v>0.2051081530179524</v>
      </c>
      <c r="Q469" s="75">
        <f>IF(P469&gt;0,1/P469,NA())</f>
        <v>4.875476597522057</v>
      </c>
      <c r="R469" s="75">
        <f>F469-F468</f>
        <v>0.017600427350426884</v>
      </c>
      <c r="S469" s="75">
        <f>0.5*(Q468+Q469)*R469</f>
        <v>0.08578965568463737</v>
      </c>
      <c r="T469" s="75">
        <f>0.5*(F468*Q468+F469*Q469)*R469</f>
        <v>1.394927611109145</v>
      </c>
      <c r="U469" s="76">
        <f>U468+S469</f>
        <v>38.87639357792121</v>
      </c>
      <c r="V469" s="76">
        <f>V468+T469</f>
        <v>472.85906347573734</v>
      </c>
    </row>
    <row r="470" spans="1:22" ht="19" customHeight="1">
      <c r="A470" s="68" t="s">
        <v>362</v>
      </c>
      <c r="B470" s="74">
        <v>5</v>
      </c>
      <c r="C470" s="68" t="s">
        <v>363</v>
      </c>
      <c r="D470" s="68" t="s">
        <v>364</v>
      </c>
      <c r="E470" s="75">
        <f>60*F470*'THAM_SO_MOI'!$C$53/(2*PI()*'THAM_SO_MOI'!$C$26)</f>
        <v>1604.6248421052628</v>
      </c>
      <c r="F470" s="75">
        <f>'THAM_SO_MOI'!$E$53+('THAM_SO_MOI'!$C$14-'THAM_SO_MOI'!$E$53)*464/'THAM_SO_MOI'!$C$42</f>
        <v>16.28625641025641</v>
      </c>
      <c r="G470" s="75">
        <f>3.6*F470</f>
        <v>58.630523076923076</v>
      </c>
      <c r="H470" s="75">
        <f>'THAM_SO_MOI'!$D$53</f>
        <v>1.1</v>
      </c>
      <c r="I470" s="75">
        <f>IF(F470&gt;'THAM_SO_MOI'!$C$14,'THAM_SO_MOI'!$C$13*(1+F470^2/1500),'THAM_SO_MOI'!$C$13)</f>
        <v>0.015</v>
      </c>
      <c r="J470" s="75">
        <f>'THAM_SO_MOI'!$C$40*('THAM_SO_MOI'!$C$23*(E470/'THAM_SO_MOI'!$C$22)+'THAM_SO_MOI'!$C$24*(E470/'THAM_SO_MOI'!$C$22)^2-'THAM_SO_MOI'!$C$25*(E470/'THAM_SO_MOI'!$C$22)^3)</f>
        <v>69.68922156220783</v>
      </c>
      <c r="K470" s="75">
        <f>'THAM_SO_MOI'!$C$31*J470/E470</f>
        <v>414.8063730809895</v>
      </c>
      <c r="L470" s="75">
        <f>K470*'THAM_SO_MOI'!$C$53*'THAM_SO_MOI'!$C$17/'THAM_SO_MOI'!$C$26</f>
        <v>3637.8535150445728</v>
      </c>
      <c r="M470" s="75">
        <f>'THAM_SO_MOI'!$C$15*'THAM_SO_MOI'!$C$16*F470^2</f>
        <v>775.8332824923077</v>
      </c>
      <c r="N470" s="75">
        <f>'THAM_SO_MOI'!$C$12*I470</f>
        <v>1130.112</v>
      </c>
      <c r="O470" s="75">
        <f>M470+N470</f>
        <v>1905.9452824923078</v>
      </c>
      <c r="P470" s="75">
        <f>(MIN(L470,'THAM_SO_MOI'!$C$41)-O470)/('THAM_SO_MOI'!$C$11*H470)</f>
        <v>0.20500807676991772</v>
      </c>
      <c r="Q470" s="75">
        <f>IF(P470&gt;0,1/P470,NA())</f>
        <v>4.877856598412502</v>
      </c>
      <c r="R470" s="75">
        <f>F470-F469</f>
        <v>0.017600427350426884</v>
      </c>
      <c r="S470" s="75">
        <f>0.5*(Q469+Q470)*R470</f>
        <v>0.08583141616977653</v>
      </c>
      <c r="T470" s="75">
        <f>0.5*(F469*Q469+F470*Q470)*R470</f>
        <v>1.397117301310288</v>
      </c>
      <c r="U470" s="76">
        <f>U469+S470</f>
        <v>38.96222499409099</v>
      </c>
      <c r="V470" s="76">
        <f>V469+T470</f>
        <v>474.25618077704763</v>
      </c>
    </row>
    <row r="471" spans="1:22" ht="19" customHeight="1">
      <c r="A471" s="68" t="s">
        <v>362</v>
      </c>
      <c r="B471" s="74">
        <v>5</v>
      </c>
      <c r="C471" s="68" t="s">
        <v>363</v>
      </c>
      <c r="D471" s="68" t="s">
        <v>364</v>
      </c>
      <c r="E471" s="75">
        <f>60*F471*'THAM_SO_MOI'!$C$53/(2*PI()*'THAM_SO_MOI'!$C$26)</f>
        <v>1606.3589473684206</v>
      </c>
      <c r="F471" s="75">
        <f>'THAM_SO_MOI'!$E$53+('THAM_SO_MOI'!$C$14-'THAM_SO_MOI'!$E$53)*465/'THAM_SO_MOI'!$C$42</f>
        <v>16.303856837606837</v>
      </c>
      <c r="G471" s="75">
        <f>3.6*F471</f>
        <v>58.69388461538461</v>
      </c>
      <c r="H471" s="75">
        <f>'THAM_SO_MOI'!$D$53</f>
        <v>1.1</v>
      </c>
      <c r="I471" s="75">
        <f>IF(F471&gt;'THAM_SO_MOI'!$C$14,'THAM_SO_MOI'!$C$13*(1+F471^2/1500),'THAM_SO_MOI'!$C$13)</f>
        <v>0.015</v>
      </c>
      <c r="J471" s="75">
        <f>'THAM_SO_MOI'!$C$40*('THAM_SO_MOI'!$C$23*(E471/'THAM_SO_MOI'!$C$22)+'THAM_SO_MOI'!$C$24*(E471/'THAM_SO_MOI'!$C$22)^2-'THAM_SO_MOI'!$C$25*(E471/'THAM_SO_MOI'!$C$22)^3)</f>
        <v>69.78041235367952</v>
      </c>
      <c r="K471" s="75">
        <f>'THAM_SO_MOI'!$C$31*J471/E471</f>
        <v>414.90078180941055</v>
      </c>
      <c r="L471" s="75">
        <f>K471*'THAM_SO_MOI'!$C$53*'THAM_SO_MOI'!$C$17/'THAM_SO_MOI'!$C$26</f>
        <v>3638.681479962244</v>
      </c>
      <c r="M471" s="75">
        <f>'THAM_SO_MOI'!$C$15*'THAM_SO_MOI'!$C$16*F471^2</f>
        <v>777.5110622599493</v>
      </c>
      <c r="N471" s="75">
        <f>'THAM_SO_MOI'!$C$12*I471</f>
        <v>1130.112</v>
      </c>
      <c r="O471" s="75">
        <f>M471+N471</f>
        <v>1907.6230622599494</v>
      </c>
      <c r="P471" s="75">
        <f>(MIN(L471,'THAM_SO_MOI'!$C$41)-O471)/('THAM_SO_MOI'!$C$11*H471)</f>
        <v>0.20490748315604815</v>
      </c>
      <c r="Q471" s="75">
        <f>IF(P471&gt;0,1/P471,NA())</f>
        <v>4.880251246063307</v>
      </c>
      <c r="R471" s="75">
        <f>F471-F470</f>
        <v>0.017600427350426884</v>
      </c>
      <c r="S471" s="75">
        <f>0.5*(Q470+Q471)*R471</f>
        <v>0.08587343409716358</v>
      </c>
      <c r="T471" s="75">
        <f>0.5*(F470*Q470+F471*Q471)*R471</f>
        <v>1.3993126565552607</v>
      </c>
      <c r="U471" s="76">
        <f>U470+S471</f>
        <v>39.048098428188155</v>
      </c>
      <c r="V471" s="76">
        <f>V470+T471</f>
        <v>475.6554934336029</v>
      </c>
    </row>
    <row r="472" spans="1:22" ht="19" customHeight="1">
      <c r="A472" s="68" t="s">
        <v>362</v>
      </c>
      <c r="B472" s="74">
        <v>5</v>
      </c>
      <c r="C472" s="68" t="s">
        <v>363</v>
      </c>
      <c r="D472" s="68" t="s">
        <v>364</v>
      </c>
      <c r="E472" s="75">
        <f>60*F472*'THAM_SO_MOI'!$C$53/(2*PI()*'THAM_SO_MOI'!$C$26)</f>
        <v>1608.0930526315788</v>
      </c>
      <c r="F472" s="75">
        <f>'THAM_SO_MOI'!$E$53+('THAM_SO_MOI'!$C$14-'THAM_SO_MOI'!$E$53)*466/'THAM_SO_MOI'!$C$42</f>
        <v>16.321457264957267</v>
      </c>
      <c r="G472" s="75">
        <f>3.6*F472</f>
        <v>58.75724615384616</v>
      </c>
      <c r="H472" s="75">
        <f>'THAM_SO_MOI'!$D$53</f>
        <v>1.1</v>
      </c>
      <c r="I472" s="75">
        <f>IF(F472&gt;'THAM_SO_MOI'!$C$14,'THAM_SO_MOI'!$C$13*(1+F472^2/1500),'THAM_SO_MOI'!$C$13)</f>
        <v>0.015</v>
      </c>
      <c r="J472" s="75">
        <f>'THAM_SO_MOI'!$C$40*('THAM_SO_MOI'!$C$23*(E472/'THAM_SO_MOI'!$C$22)+'THAM_SO_MOI'!$C$24*(E472/'THAM_SO_MOI'!$C$22)^2-'THAM_SO_MOI'!$C$25*(E472/'THAM_SO_MOI'!$C$22)^3)</f>
        <v>69.87158830825179</v>
      </c>
      <c r="K472" s="75">
        <f>'THAM_SO_MOI'!$C$31*J472/E472</f>
        <v>414.99489880220654</v>
      </c>
      <c r="L472" s="75">
        <f>K472*'THAM_SO_MOI'!$C$53*'THAM_SO_MOI'!$C$17/'THAM_SO_MOI'!$C$26</f>
        <v>3639.5068863573415</v>
      </c>
      <c r="M472" s="75">
        <f>'THAM_SO_MOI'!$C$15*'THAM_SO_MOI'!$C$16*F472^2</f>
        <v>779.1906542115922</v>
      </c>
      <c r="N472" s="75">
        <f>'THAM_SO_MOI'!$C$12*I472</f>
        <v>1130.112</v>
      </c>
      <c r="O472" s="75">
        <f>M472+N472</f>
        <v>1909.3026542115922</v>
      </c>
      <c r="P472" s="75">
        <f>(MIN(L472,'THAM_SO_MOI'!$C$41)-O472)/('THAM_SO_MOI'!$C$11*H472)</f>
        <v>0.20480637217634343</v>
      </c>
      <c r="Q472" s="75">
        <f>IF(P472&gt;0,1/P472,NA())</f>
        <v>4.882660580203896</v>
      </c>
      <c r="R472" s="75">
        <f>F472-F471</f>
        <v>0.017600427350430436</v>
      </c>
      <c r="S472" s="75">
        <f>0.5*(Q471+Q472)*R472</f>
        <v>0.08591571016343702</v>
      </c>
      <c r="T472" s="75">
        <f>0.5*(F471*Q471+F472*Q472)*R472</f>
        <v>1.4015137018013926</v>
      </c>
      <c r="U472" s="76">
        <f>U471+S472</f>
        <v>39.13401413835159</v>
      </c>
      <c r="V472" s="76">
        <f>V471+T472</f>
        <v>477.05700713540426</v>
      </c>
    </row>
    <row r="473" spans="1:22" ht="19" customHeight="1">
      <c r="A473" s="68" t="s">
        <v>362</v>
      </c>
      <c r="B473" s="74">
        <v>5</v>
      </c>
      <c r="C473" s="68" t="s">
        <v>363</v>
      </c>
      <c r="D473" s="68" t="s">
        <v>364</v>
      </c>
      <c r="E473" s="75">
        <f>60*F473*'THAM_SO_MOI'!$C$53/(2*PI()*'THAM_SO_MOI'!$C$26)</f>
        <v>1609.8271578947363</v>
      </c>
      <c r="F473" s="75">
        <f>'THAM_SO_MOI'!$E$53+('THAM_SO_MOI'!$C$14-'THAM_SO_MOI'!$E$53)*467/'THAM_SO_MOI'!$C$42</f>
        <v>16.33905769230769</v>
      </c>
      <c r="G473" s="75">
        <f>3.6*F473</f>
        <v>58.82060769230769</v>
      </c>
      <c r="H473" s="75">
        <f>'THAM_SO_MOI'!$D$53</f>
        <v>1.1</v>
      </c>
      <c r="I473" s="75">
        <f>IF(F473&gt;'THAM_SO_MOI'!$C$14,'THAM_SO_MOI'!$C$13*(1+F473^2/1500),'THAM_SO_MOI'!$C$13)</f>
        <v>0.015</v>
      </c>
      <c r="J473" s="75">
        <f>'THAM_SO_MOI'!$C$40*('THAM_SO_MOI'!$C$23*(E473/'THAM_SO_MOI'!$C$22)+'THAM_SO_MOI'!$C$24*(E473/'THAM_SO_MOI'!$C$22)^2-'THAM_SO_MOI'!$C$25*(E473/'THAM_SO_MOI'!$C$22)^3)</f>
        <v>69.96274926702131</v>
      </c>
      <c r="K473" s="75">
        <f>'THAM_SO_MOI'!$C$31*J473/E473</f>
        <v>415.0887240593775</v>
      </c>
      <c r="L473" s="75">
        <f>K473*'THAM_SO_MOI'!$C$53*'THAM_SO_MOI'!$C$17/'THAM_SO_MOI'!$C$26</f>
        <v>3640.329734229866</v>
      </c>
      <c r="M473" s="75">
        <f>'THAM_SO_MOI'!$C$15*'THAM_SO_MOI'!$C$16*F473^2</f>
        <v>780.8720583472356</v>
      </c>
      <c r="N473" s="75">
        <f>'THAM_SO_MOI'!$C$12*I473</f>
        <v>1130.112</v>
      </c>
      <c r="O473" s="75">
        <f>M473+N473</f>
        <v>1910.9840583472355</v>
      </c>
      <c r="P473" s="75">
        <f>(MIN(L473,'THAM_SO_MOI'!$C$41)-O473)/('THAM_SO_MOI'!$C$11*H473)</f>
        <v>0.2047047438308038</v>
      </c>
      <c r="Q473" s="75">
        <f>IF(P473&gt;0,1/P473,NA())</f>
        <v>4.8850846408646875</v>
      </c>
      <c r="R473" s="75">
        <f>F473-F472</f>
        <v>0.01760042735042333</v>
      </c>
      <c r="S473" s="75">
        <f>0.5*(Q472+Q473)*R473</f>
        <v>0.08595824507043114</v>
      </c>
      <c r="T473" s="75">
        <f>0.5*(F472*Q472+F473*Q473)*R473</f>
        <v>1.4037204621399055</v>
      </c>
      <c r="U473" s="76">
        <f>U472+S473</f>
        <v>39.21997238342202</v>
      </c>
      <c r="V473" s="76">
        <f>V472+T473</f>
        <v>478.4607275975442</v>
      </c>
    </row>
    <row r="474" spans="1:22" ht="19" customHeight="1">
      <c r="A474" s="68" t="s">
        <v>362</v>
      </c>
      <c r="B474" s="74">
        <v>5</v>
      </c>
      <c r="C474" s="68" t="s">
        <v>363</v>
      </c>
      <c r="D474" s="68" t="s">
        <v>364</v>
      </c>
      <c r="E474" s="75">
        <f>60*F474*'THAM_SO_MOI'!$C$53/(2*PI()*'THAM_SO_MOI'!$C$26)</f>
        <v>1611.5612631578947</v>
      </c>
      <c r="F474" s="75">
        <f>'THAM_SO_MOI'!$E$53+('THAM_SO_MOI'!$C$14-'THAM_SO_MOI'!$E$53)*468/'THAM_SO_MOI'!$C$42</f>
        <v>16.35665811965812</v>
      </c>
      <c r="G474" s="75">
        <f>3.6*F474</f>
        <v>58.88396923076924</v>
      </c>
      <c r="H474" s="75">
        <f>'THAM_SO_MOI'!$D$53</f>
        <v>1.1</v>
      </c>
      <c r="I474" s="75">
        <f>IF(F474&gt;'THAM_SO_MOI'!$C$14,'THAM_SO_MOI'!$C$13*(1+F474^2/1500),'THAM_SO_MOI'!$C$13)</f>
        <v>0.015</v>
      </c>
      <c r="J474" s="75">
        <f>'THAM_SO_MOI'!$C$40*('THAM_SO_MOI'!$C$23*(E474/'THAM_SO_MOI'!$C$22)+'THAM_SO_MOI'!$C$24*(E474/'THAM_SO_MOI'!$C$22)^2-'THAM_SO_MOI'!$C$25*(E474/'THAM_SO_MOI'!$C$22)^3)</f>
        <v>70.0538950710849</v>
      </c>
      <c r="K474" s="75">
        <f>'THAM_SO_MOI'!$C$31*J474/E474</f>
        <v>415.1822575809236</v>
      </c>
      <c r="L474" s="75">
        <f>K474*'THAM_SO_MOI'!$C$53*'THAM_SO_MOI'!$C$17/'THAM_SO_MOI'!$C$26</f>
        <v>3641.1500235798194</v>
      </c>
      <c r="M474" s="75">
        <f>'THAM_SO_MOI'!$C$15*'THAM_SO_MOI'!$C$16*F474^2</f>
        <v>782.5552746668806</v>
      </c>
      <c r="N474" s="75">
        <f>'THAM_SO_MOI'!$C$12*I474</f>
        <v>1130.112</v>
      </c>
      <c r="O474" s="75">
        <f>M474+N474</f>
        <v>1912.6672746668805</v>
      </c>
      <c r="P474" s="75">
        <f>(MIN(L474,'THAM_SO_MOI'!$C$41)-O474)/('THAM_SO_MOI'!$C$11*H474)</f>
        <v>0.20460259811942932</v>
      </c>
      <c r="Q474" s="75">
        <f>IF(P474&gt;0,1/P474,NA())</f>
        <v>4.8875234683788635</v>
      </c>
      <c r="R474" s="75">
        <f>F474-F473</f>
        <v>0.017600427350430436</v>
      </c>
      <c r="S474" s="75">
        <f>0.5*(Q473+Q474)*R474</f>
        <v>0.08600103952548424</v>
      </c>
      <c r="T474" s="75">
        <f>0.5*(F473*Q473+F474*Q474)*R474</f>
        <v>1.4059329628014103</v>
      </c>
      <c r="U474" s="76">
        <f>U473+S474</f>
        <v>39.3059734229475</v>
      </c>
      <c r="V474" s="76">
        <f>V473+T474</f>
        <v>479.86666056034557</v>
      </c>
    </row>
    <row r="475" spans="1:22" ht="19" customHeight="1">
      <c r="A475" s="68" t="s">
        <v>362</v>
      </c>
      <c r="B475" s="74">
        <v>5</v>
      </c>
      <c r="C475" s="68" t="s">
        <v>363</v>
      </c>
      <c r="D475" s="68" t="s">
        <v>364</v>
      </c>
      <c r="E475" s="75">
        <f>60*F475*'THAM_SO_MOI'!$C$53/(2*PI()*'THAM_SO_MOI'!$C$26)</f>
        <v>1613.2953684210524</v>
      </c>
      <c r="F475" s="75">
        <f>'THAM_SO_MOI'!$E$53+('THAM_SO_MOI'!$C$14-'THAM_SO_MOI'!$E$53)*469/'THAM_SO_MOI'!$C$42</f>
        <v>16.374258547008548</v>
      </c>
      <c r="G475" s="75">
        <f>3.6*F475</f>
        <v>58.947330769230774</v>
      </c>
      <c r="H475" s="75">
        <f>'THAM_SO_MOI'!$D$53</f>
        <v>1.1</v>
      </c>
      <c r="I475" s="75">
        <f>IF(F475&gt;'THAM_SO_MOI'!$C$14,'THAM_SO_MOI'!$C$13*(1+F475^2/1500),'THAM_SO_MOI'!$C$13)</f>
        <v>0.015</v>
      </c>
      <c r="J475" s="75">
        <f>'THAM_SO_MOI'!$C$40*('THAM_SO_MOI'!$C$23*(E475/'THAM_SO_MOI'!$C$22)+'THAM_SO_MOI'!$C$24*(E475/'THAM_SO_MOI'!$C$22)^2-'THAM_SO_MOI'!$C$25*(E475/'THAM_SO_MOI'!$C$22)^3)</f>
        <v>70.14502556153914</v>
      </c>
      <c r="K475" s="75">
        <f>'THAM_SO_MOI'!$C$31*J475/E475</f>
        <v>415.27549936684443</v>
      </c>
      <c r="L475" s="75">
        <f>K475*'THAM_SO_MOI'!$C$53*'THAM_SO_MOI'!$C$17/'THAM_SO_MOI'!$C$26</f>
        <v>3641.967754407197</v>
      </c>
      <c r="M475" s="75">
        <f>'THAM_SO_MOI'!$C$15*'THAM_SO_MOI'!$C$16*F475^2</f>
        <v>784.2403031705263</v>
      </c>
      <c r="N475" s="75">
        <f>'THAM_SO_MOI'!$C$12*I475</f>
        <v>1130.112</v>
      </c>
      <c r="O475" s="75">
        <f>M475+N475</f>
        <v>1914.3523031705263</v>
      </c>
      <c r="P475" s="75">
        <f>(MIN(L475,'THAM_SO_MOI'!$C$41)-O475)/('THAM_SO_MOI'!$C$11*H475)</f>
        <v>0.20449993504221953</v>
      </c>
      <c r="Q475" s="75">
        <f>IF(P475&gt;0,1/P475,NA())</f>
        <v>4.889977103384153</v>
      </c>
      <c r="R475" s="75">
        <f>F475-F474</f>
        <v>0.017600427350426884</v>
      </c>
      <c r="S475" s="75">
        <f>0.5*(Q474+Q475)*R475</f>
        <v>0.08604409424103615</v>
      </c>
      <c r="T475" s="75">
        <f>0.5*(F474*Q474+F475*Q475)*R475</f>
        <v>1.408151229149806</v>
      </c>
      <c r="U475" s="76">
        <f>U474+S475</f>
        <v>39.39201751718854</v>
      </c>
      <c r="V475" s="76">
        <f>V474+T475</f>
        <v>481.27481178949535</v>
      </c>
    </row>
    <row r="476" spans="1:22" ht="19" customHeight="1">
      <c r="A476" s="68" t="s">
        <v>362</v>
      </c>
      <c r="B476" s="74">
        <v>5</v>
      </c>
      <c r="C476" s="68" t="s">
        <v>363</v>
      </c>
      <c r="D476" s="68" t="s">
        <v>364</v>
      </c>
      <c r="E476" s="75">
        <f>60*F476*'THAM_SO_MOI'!$C$53/(2*PI()*'THAM_SO_MOI'!$C$26)</f>
        <v>1615.0294736842104</v>
      </c>
      <c r="F476" s="75">
        <f>'THAM_SO_MOI'!$E$53+('THAM_SO_MOI'!$C$14-'THAM_SO_MOI'!$E$53)*470/'THAM_SO_MOI'!$C$42</f>
        <v>16.391858974358975</v>
      </c>
      <c r="G476" s="75">
        <f>3.6*F476</f>
        <v>59.01069230769231</v>
      </c>
      <c r="H476" s="75">
        <f>'THAM_SO_MOI'!$D$53</f>
        <v>1.1</v>
      </c>
      <c r="I476" s="75">
        <f>IF(F476&gt;'THAM_SO_MOI'!$C$14,'THAM_SO_MOI'!$C$13*(1+F476^2/1500),'THAM_SO_MOI'!$C$13)</f>
        <v>0.015</v>
      </c>
      <c r="J476" s="75">
        <f>'THAM_SO_MOI'!$C$40*('THAM_SO_MOI'!$C$23*(E476/'THAM_SO_MOI'!$C$22)+'THAM_SO_MOI'!$C$24*(E476/'THAM_SO_MOI'!$C$22)^2-'THAM_SO_MOI'!$C$25*(E476/'THAM_SO_MOI'!$C$22)^3)</f>
        <v>70.23614057948086</v>
      </c>
      <c r="K476" s="75">
        <f>'THAM_SO_MOI'!$C$31*J476/E476</f>
        <v>415.36844941714037</v>
      </c>
      <c r="L476" s="75">
        <f>K476*'THAM_SO_MOI'!$C$53*'THAM_SO_MOI'!$C$17/'THAM_SO_MOI'!$C$26</f>
        <v>3642.7829267120032</v>
      </c>
      <c r="M476" s="75">
        <f>'THAM_SO_MOI'!$C$15*'THAM_SO_MOI'!$C$16*F476^2</f>
        <v>785.9271438581733</v>
      </c>
      <c r="N476" s="75">
        <f>'THAM_SO_MOI'!$C$12*I476</f>
        <v>1130.112</v>
      </c>
      <c r="O476" s="75">
        <f>M476+N476</f>
        <v>1916.0391438581732</v>
      </c>
      <c r="P476" s="75">
        <f>(MIN(L476,'THAM_SO_MOI'!$C$41)-O476)/('THAM_SO_MOI'!$C$11*H476)</f>
        <v>0.20439675459917495</v>
      </c>
      <c r="Q476" s="75">
        <f>IF(P476&gt;0,1/P476,NA())</f>
        <v>4.8924455868245795</v>
      </c>
      <c r="R476" s="75">
        <f>F476-F475</f>
        <v>0.017600427350426884</v>
      </c>
      <c r="S476" s="75">
        <f>0.5*(Q475+Q476)*R476</f>
        <v>0.08608740993509316</v>
      </c>
      <c r="T476" s="75">
        <f>0.5*(F475*Q475+F476*Q476)*R476</f>
        <v>1.410375286690343</v>
      </c>
      <c r="U476" s="76">
        <f>U475+S476</f>
        <v>39.47810492712364</v>
      </c>
      <c r="V476" s="76">
        <f>V475+T476</f>
        <v>482.6851870761857</v>
      </c>
    </row>
    <row r="477" spans="1:22" ht="19" customHeight="1">
      <c r="A477" s="68" t="s">
        <v>362</v>
      </c>
      <c r="B477" s="74">
        <v>5</v>
      </c>
      <c r="C477" s="68" t="s">
        <v>363</v>
      </c>
      <c r="D477" s="68" t="s">
        <v>364</v>
      </c>
      <c r="E477" s="75">
        <f>60*F477*'THAM_SO_MOI'!$C$53/(2*PI()*'THAM_SO_MOI'!$C$26)</f>
        <v>1616.7635789473682</v>
      </c>
      <c r="F477" s="75">
        <f>'THAM_SO_MOI'!$E$53+('THAM_SO_MOI'!$C$14-'THAM_SO_MOI'!$E$53)*471/'THAM_SO_MOI'!$C$42</f>
        <v>16.4094594017094</v>
      </c>
      <c r="G477" s="75">
        <f>3.6*F477</f>
        <v>59.074053846153845</v>
      </c>
      <c r="H477" s="75">
        <f>'THAM_SO_MOI'!$D$53</f>
        <v>1.1</v>
      </c>
      <c r="I477" s="75">
        <f>IF(F477&gt;'THAM_SO_MOI'!$C$14,'THAM_SO_MOI'!$C$13*(1+F477^2/1500),'THAM_SO_MOI'!$C$13)</f>
        <v>0.015</v>
      </c>
      <c r="J477" s="75">
        <f>'THAM_SO_MOI'!$C$40*('THAM_SO_MOI'!$C$23*(E477/'THAM_SO_MOI'!$C$22)+'THAM_SO_MOI'!$C$24*(E477/'THAM_SO_MOI'!$C$22)^2-'THAM_SO_MOI'!$C$25*(E477/'THAM_SO_MOI'!$C$22)^3)</f>
        <v>70.32723996600672</v>
      </c>
      <c r="K477" s="75">
        <f>'THAM_SO_MOI'!$C$31*J477/E477</f>
        <v>415.46110773181107</v>
      </c>
      <c r="L477" s="75">
        <f>K477*'THAM_SO_MOI'!$C$53*'THAM_SO_MOI'!$C$17/'THAM_SO_MOI'!$C$26</f>
        <v>3643.5955404942347</v>
      </c>
      <c r="M477" s="75">
        <f>'THAM_SO_MOI'!$C$15*'THAM_SO_MOI'!$C$16*F477^2</f>
        <v>787.6157967298211</v>
      </c>
      <c r="N477" s="75">
        <f>'THAM_SO_MOI'!$C$12*I477</f>
        <v>1130.112</v>
      </c>
      <c r="O477" s="75">
        <f>M477+N477</f>
        <v>1917.7277967298212</v>
      </c>
      <c r="P477" s="75">
        <f>(MIN(L477,'THAM_SO_MOI'!$C$41)-O477)/('THAM_SO_MOI'!$C$11*H477)</f>
        <v>0.2042930567902952</v>
      </c>
      <c r="Q477" s="75">
        <f>IF(P477&gt;0,1/P477,NA())</f>
        <v>4.8949289599523205</v>
      </c>
      <c r="R477" s="75">
        <f>F477-F476</f>
        <v>0.017600427350426884</v>
      </c>
      <c r="S477" s="75">
        <f>0.5*(Q476+Q477)*R477</f>
        <v>0.08613098733098203</v>
      </c>
      <c r="T477" s="75">
        <f>0.5*(F476*Q476+F477*Q477)*R477</f>
        <v>1.4126051610660812</v>
      </c>
      <c r="U477" s="76">
        <f>U476+S477</f>
        <v>39.56423591445462</v>
      </c>
      <c r="V477" s="76">
        <f>V476+T477</f>
        <v>484.0977922372518</v>
      </c>
    </row>
    <row r="478" spans="1:22" ht="19" customHeight="1">
      <c r="A478" s="68" t="s">
        <v>362</v>
      </c>
      <c r="B478" s="74">
        <v>5</v>
      </c>
      <c r="C478" s="68" t="s">
        <v>363</v>
      </c>
      <c r="D478" s="68" t="s">
        <v>364</v>
      </c>
      <c r="E478" s="75">
        <f>60*F478*'THAM_SO_MOI'!$C$53/(2*PI()*'THAM_SO_MOI'!$C$26)</f>
        <v>1618.497684210526</v>
      </c>
      <c r="F478" s="75">
        <f>'THAM_SO_MOI'!$E$53+('THAM_SO_MOI'!$C$14-'THAM_SO_MOI'!$E$53)*472/'THAM_SO_MOI'!$C$42</f>
        <v>16.42705982905983</v>
      </c>
      <c r="G478" s="75">
        <f>3.6*F478</f>
        <v>59.13741538461539</v>
      </c>
      <c r="H478" s="75">
        <f>'THAM_SO_MOI'!$D$53</f>
        <v>1.1</v>
      </c>
      <c r="I478" s="75">
        <f>IF(F478&gt;'THAM_SO_MOI'!$C$14,'THAM_SO_MOI'!$C$13*(1+F478^2/1500),'THAM_SO_MOI'!$C$13)</f>
        <v>0.015</v>
      </c>
      <c r="J478" s="75">
        <f>'THAM_SO_MOI'!$C$40*('THAM_SO_MOI'!$C$23*(E478/'THAM_SO_MOI'!$C$22)+'THAM_SO_MOI'!$C$24*(E478/'THAM_SO_MOI'!$C$22)^2-'THAM_SO_MOI'!$C$25*(E478/'THAM_SO_MOI'!$C$22)^3)</f>
        <v>70.41832356221349</v>
      </c>
      <c r="K478" s="75">
        <f>'THAM_SO_MOI'!$C$31*J478/E478</f>
        <v>415.5534743108569</v>
      </c>
      <c r="L478" s="75">
        <f>K478*'THAM_SO_MOI'!$C$53*'THAM_SO_MOI'!$C$17/'THAM_SO_MOI'!$C$26</f>
        <v>3644.405595753894</v>
      </c>
      <c r="M478" s="75">
        <f>'THAM_SO_MOI'!$C$15*'THAM_SO_MOI'!$C$16*F478^2</f>
        <v>789.3062617854702</v>
      </c>
      <c r="N478" s="75">
        <f>'THAM_SO_MOI'!$C$12*I478</f>
        <v>1130.112</v>
      </c>
      <c r="O478" s="75">
        <f>M478+N478</f>
        <v>1919.4182617854703</v>
      </c>
      <c r="P478" s="75">
        <f>(MIN(L478,'THAM_SO_MOI'!$C$41)-O478)/('THAM_SO_MOI'!$C$11*H478)</f>
        <v>0.20418884161558046</v>
      </c>
      <c r="Q478" s="75">
        <f>IF(P478&gt;0,1/P478,NA())</f>
        <v>4.897427264329491</v>
      </c>
      <c r="R478" s="75">
        <f>F478-F477</f>
        <v>0.017600427350426884</v>
      </c>
      <c r="S478" s="75">
        <f>0.5*(Q477+Q478)*R478</f>
        <v>0.08617482715748626</v>
      </c>
      <c r="T478" s="75">
        <f>0.5*(F477*Q477+F478*Q478)*R478</f>
        <v>1.4148408780605926</v>
      </c>
      <c r="U478" s="76">
        <f>U477+S478</f>
        <v>39.650410741612106</v>
      </c>
      <c r="V478" s="76">
        <f>V477+T478</f>
        <v>485.5126331153124</v>
      </c>
    </row>
    <row r="479" spans="1:22" ht="19" customHeight="1">
      <c r="A479" s="68" t="s">
        <v>362</v>
      </c>
      <c r="B479" s="74">
        <v>5</v>
      </c>
      <c r="C479" s="68" t="s">
        <v>363</v>
      </c>
      <c r="D479" s="68" t="s">
        <v>364</v>
      </c>
      <c r="E479" s="75">
        <f>60*F479*'THAM_SO_MOI'!$C$53/(2*PI()*'THAM_SO_MOI'!$C$26)</f>
        <v>1620.231789473684</v>
      </c>
      <c r="F479" s="75">
        <f>'THAM_SO_MOI'!$E$53+('THAM_SO_MOI'!$C$14-'THAM_SO_MOI'!$E$53)*473/'THAM_SO_MOI'!$C$42</f>
        <v>16.44466025641026</v>
      </c>
      <c r="G479" s="75">
        <f>3.6*F479</f>
        <v>59.20077692307694</v>
      </c>
      <c r="H479" s="75">
        <f>'THAM_SO_MOI'!$D$53</f>
        <v>1.1</v>
      </c>
      <c r="I479" s="75">
        <f>IF(F479&gt;'THAM_SO_MOI'!$C$14,'THAM_SO_MOI'!$C$13*(1+F479^2/1500),'THAM_SO_MOI'!$C$13)</f>
        <v>0.015</v>
      </c>
      <c r="J479" s="75">
        <f>'THAM_SO_MOI'!$C$40*('THAM_SO_MOI'!$C$23*(E479/'THAM_SO_MOI'!$C$22)+'THAM_SO_MOI'!$C$24*(E479/'THAM_SO_MOI'!$C$22)^2-'THAM_SO_MOI'!$C$25*(E479/'THAM_SO_MOI'!$C$22)^3)</f>
        <v>70.50939120919787</v>
      </c>
      <c r="K479" s="75">
        <f>'THAM_SO_MOI'!$C$31*J479/E479</f>
        <v>415.64554915427766</v>
      </c>
      <c r="L479" s="75">
        <f>K479*'THAM_SO_MOI'!$C$53*'THAM_SO_MOI'!$C$17/'THAM_SO_MOI'!$C$26</f>
        <v>3645.2130924909798</v>
      </c>
      <c r="M479" s="75">
        <f>'THAM_SO_MOI'!$C$15*'THAM_SO_MOI'!$C$16*F479^2</f>
        <v>790.9985390251205</v>
      </c>
      <c r="N479" s="75">
        <f>'THAM_SO_MOI'!$C$12*I479</f>
        <v>1130.112</v>
      </c>
      <c r="O479" s="75">
        <f>M479+N479</f>
        <v>1921.1105390251205</v>
      </c>
      <c r="P479" s="75">
        <f>(MIN(L479,'THAM_SO_MOI'!$C$41)-O479)/('THAM_SO_MOI'!$C$11*H479)</f>
        <v>0.2040841090750307</v>
      </c>
      <c r="Q479" s="75">
        <f>IF(P479&gt;0,1/P479,NA())</f>
        <v>4.899940541830007</v>
      </c>
      <c r="R479" s="75">
        <f>F479-F478</f>
        <v>0.017600427350430436</v>
      </c>
      <c r="S479" s="75">
        <f>0.5*(Q478+Q479)*R479</f>
        <v>0.08621893014887813</v>
      </c>
      <c r="T479" s="75">
        <f>0.5*(F478*Q478+F479*Q479)*R479</f>
        <v>1.4170824635989712</v>
      </c>
      <c r="U479" s="76">
        <f>U478+S479</f>
        <v>39.73662967176099</v>
      </c>
      <c r="V479" s="76">
        <f>V478+T479</f>
        <v>486.9297155789113</v>
      </c>
    </row>
    <row r="480" spans="1:22" ht="19" customHeight="1">
      <c r="A480" s="68" t="s">
        <v>362</v>
      </c>
      <c r="B480" s="74">
        <v>5</v>
      </c>
      <c r="C480" s="68" t="s">
        <v>363</v>
      </c>
      <c r="D480" s="68" t="s">
        <v>364</v>
      </c>
      <c r="E480" s="75">
        <f>60*F480*'THAM_SO_MOI'!$C$53/(2*PI()*'THAM_SO_MOI'!$C$26)</f>
        <v>1621.9658947368416</v>
      </c>
      <c r="F480" s="75">
        <f>'THAM_SO_MOI'!$E$53+('THAM_SO_MOI'!$C$14-'THAM_SO_MOI'!$E$53)*474/'THAM_SO_MOI'!$C$42</f>
        <v>16.462260683760682</v>
      </c>
      <c r="G480" s="75">
        <f>3.6*F480</f>
        <v>59.26413846153846</v>
      </c>
      <c r="H480" s="75">
        <f>'THAM_SO_MOI'!$D$53</f>
        <v>1.1</v>
      </c>
      <c r="I480" s="75">
        <f>IF(F480&gt;'THAM_SO_MOI'!$C$14,'THAM_SO_MOI'!$C$13*(1+F480^2/1500),'THAM_SO_MOI'!$C$13)</f>
        <v>0.015</v>
      </c>
      <c r="J480" s="75">
        <f>'THAM_SO_MOI'!$C$40*('THAM_SO_MOI'!$C$23*(E480/'THAM_SO_MOI'!$C$22)+'THAM_SO_MOI'!$C$24*(E480/'THAM_SO_MOI'!$C$22)^2-'THAM_SO_MOI'!$C$25*(E480/'THAM_SO_MOI'!$C$22)^3)</f>
        <v>70.60044274805658</v>
      </c>
      <c r="K480" s="75">
        <f>'THAM_SO_MOI'!$C$31*J480/E480</f>
        <v>415.73733226207355</v>
      </c>
      <c r="L480" s="75">
        <f>K480*'THAM_SO_MOI'!$C$53*'THAM_SO_MOI'!$C$17/'THAM_SO_MOI'!$C$26</f>
        <v>3646.0180307054943</v>
      </c>
      <c r="M480" s="75">
        <f>'THAM_SO_MOI'!$C$15*'THAM_SO_MOI'!$C$16*F480^2</f>
        <v>792.6926284487713</v>
      </c>
      <c r="N480" s="75">
        <f>'THAM_SO_MOI'!$C$12*I480</f>
        <v>1130.112</v>
      </c>
      <c r="O480" s="75">
        <f>M480+N480</f>
        <v>1922.8046284487714</v>
      </c>
      <c r="P480" s="75">
        <f>(MIN(L480,'THAM_SO_MOI'!$C$41)-O480)/('THAM_SO_MOI'!$C$11*H480)</f>
        <v>0.2039788591686462</v>
      </c>
      <c r="Q480" s="75">
        <f>IF(P480&gt;0,1/P480,NA())</f>
        <v>4.902468834641423</v>
      </c>
      <c r="R480" s="75">
        <f>F480-F479</f>
        <v>0.01760042735042333</v>
      </c>
      <c r="S480" s="75">
        <f>0.5*(Q479+Q480)*R480</f>
        <v>0.08626329704484693</v>
      </c>
      <c r="T480" s="75">
        <f>0.5*(F479*Q479+F480*Q480)*R480</f>
        <v>1.4193299437471332</v>
      </c>
      <c r="U480" s="76">
        <f>U479+S480</f>
        <v>39.82289296880583</v>
      </c>
      <c r="V480" s="76">
        <f>V479+T480</f>
        <v>488.34904552265846</v>
      </c>
    </row>
    <row r="481" spans="1:22" ht="19" customHeight="1">
      <c r="A481" s="68" t="s">
        <v>362</v>
      </c>
      <c r="B481" s="74">
        <v>5</v>
      </c>
      <c r="C481" s="68" t="s">
        <v>363</v>
      </c>
      <c r="D481" s="68" t="s">
        <v>364</v>
      </c>
      <c r="E481" s="75">
        <f>60*F481*'THAM_SO_MOI'!$C$53/(2*PI()*'THAM_SO_MOI'!$C$26)</f>
        <v>1623.6999999999998</v>
      </c>
      <c r="F481" s="75">
        <f>'THAM_SO_MOI'!$E$53+('THAM_SO_MOI'!$C$14-'THAM_SO_MOI'!$E$53)*475/'THAM_SO_MOI'!$C$42</f>
        <v>16.479861111111113</v>
      </c>
      <c r="G481" s="75">
        <f>3.6*F481</f>
        <v>59.32750000000001</v>
      </c>
      <c r="H481" s="75">
        <f>'THAM_SO_MOI'!$D$53</f>
        <v>1.1</v>
      </c>
      <c r="I481" s="75">
        <f>IF(F481&gt;'THAM_SO_MOI'!$C$14,'THAM_SO_MOI'!$C$13*(1+F481^2/1500),'THAM_SO_MOI'!$C$13)</f>
        <v>0.015</v>
      </c>
      <c r="J481" s="75">
        <f>'THAM_SO_MOI'!$C$40*('THAM_SO_MOI'!$C$23*(E481/'THAM_SO_MOI'!$C$22)+'THAM_SO_MOI'!$C$24*(E481/'THAM_SO_MOI'!$C$22)^2-'THAM_SO_MOI'!$C$25*(E481/'THAM_SO_MOI'!$C$22)^3)</f>
        <v>70.69147801988633</v>
      </c>
      <c r="K481" s="75">
        <f>'THAM_SO_MOI'!$C$31*J481/E481</f>
        <v>415.8288236342441</v>
      </c>
      <c r="L481" s="75">
        <f>K481*'THAM_SO_MOI'!$C$53*'THAM_SO_MOI'!$C$17/'THAM_SO_MOI'!$C$26</f>
        <v>3646.8204103974326</v>
      </c>
      <c r="M481" s="75">
        <f>'THAM_SO_MOI'!$C$15*'THAM_SO_MOI'!$C$16*F481^2</f>
        <v>794.3885300564239</v>
      </c>
      <c r="N481" s="75">
        <f>'THAM_SO_MOI'!$C$12*I481</f>
        <v>1130.112</v>
      </c>
      <c r="O481" s="75">
        <f>M481+N481</f>
        <v>1924.500530056424</v>
      </c>
      <c r="P481" s="75">
        <f>(MIN(L481,'THAM_SO_MOI'!$C$41)-O481)/('THAM_SO_MOI'!$C$11*H481)</f>
        <v>0.20387309189642622</v>
      </c>
      <c r="Q481" s="75">
        <f>IF(P481&gt;0,1/P481,NA())</f>
        <v>4.905012185266855</v>
      </c>
      <c r="R481" s="75">
        <f>F481-F480</f>
        <v>0.017600427350430436</v>
      </c>
      <c r="S481" s="75">
        <f>0.5*(Q480+Q481)*R481</f>
        <v>0.08630792859081053</v>
      </c>
      <c r="T481" s="75">
        <f>0.5*(F480*Q480+F481*Q481)*R481</f>
        <v>1.4215833447174262</v>
      </c>
      <c r="U481" s="76">
        <f>U480+S481</f>
        <v>39.909200897396644</v>
      </c>
      <c r="V481" s="76">
        <f>V480+T481</f>
        <v>489.7706288673759</v>
      </c>
    </row>
    <row r="482" spans="1:22" ht="19" customHeight="1">
      <c r="A482" s="68" t="s">
        <v>362</v>
      </c>
      <c r="B482" s="74">
        <v>5</v>
      </c>
      <c r="C482" s="68" t="s">
        <v>363</v>
      </c>
      <c r="D482" s="68" t="s">
        <v>364</v>
      </c>
      <c r="E482" s="75">
        <f>60*F482*'THAM_SO_MOI'!$C$53/(2*PI()*'THAM_SO_MOI'!$C$26)</f>
        <v>1625.4341052631573</v>
      </c>
      <c r="F482" s="75">
        <f>'THAM_SO_MOI'!$E$53+('THAM_SO_MOI'!$C$14-'THAM_SO_MOI'!$E$53)*476/'THAM_SO_MOI'!$C$42</f>
        <v>16.497461538461536</v>
      </c>
      <c r="G482" s="75">
        <f>3.6*F482</f>
        <v>59.39086153846153</v>
      </c>
      <c r="H482" s="75">
        <f>'THAM_SO_MOI'!$D$53</f>
        <v>1.1</v>
      </c>
      <c r="I482" s="75">
        <f>IF(F482&gt;'THAM_SO_MOI'!$C$14,'THAM_SO_MOI'!$C$13*(1+F482^2/1500),'THAM_SO_MOI'!$C$13)</f>
        <v>0.015</v>
      </c>
      <c r="J482" s="75">
        <f>'THAM_SO_MOI'!$C$40*('THAM_SO_MOI'!$C$23*(E482/'THAM_SO_MOI'!$C$22)+'THAM_SO_MOI'!$C$24*(E482/'THAM_SO_MOI'!$C$22)^2-'THAM_SO_MOI'!$C$25*(E482/'THAM_SO_MOI'!$C$22)^3)</f>
        <v>70.78249686578386</v>
      </c>
      <c r="K482" s="75">
        <f>'THAM_SO_MOI'!$C$31*J482/E482</f>
        <v>415.92002327078984</v>
      </c>
      <c r="L482" s="75">
        <f>K482*'THAM_SO_MOI'!$C$53*'THAM_SO_MOI'!$C$17/'THAM_SO_MOI'!$C$26</f>
        <v>3647.6202315668006</v>
      </c>
      <c r="M482" s="75">
        <f>'THAM_SO_MOI'!$C$15*'THAM_SO_MOI'!$C$16*F482^2</f>
        <v>796.0862438480768</v>
      </c>
      <c r="N482" s="75">
        <f>'THAM_SO_MOI'!$C$12*I482</f>
        <v>1130.112</v>
      </c>
      <c r="O482" s="75">
        <f>M482+N482</f>
        <v>1926.1982438480768</v>
      </c>
      <c r="P482" s="75">
        <f>(MIN(L482,'THAM_SO_MOI'!$C$41)-O482)/('THAM_SO_MOI'!$C$11*H482)</f>
        <v>0.20376680725837165</v>
      </c>
      <c r="Q482" s="75">
        <f>IF(P482&gt;0,1/P482,NA())</f>
        <v>4.907570636526796</v>
      </c>
      <c r="R482" s="75">
        <f>F482-F481</f>
        <v>0.01760042735042333</v>
      </c>
      <c r="S482" s="75">
        <f>0.5*(Q481+Q482)*R482</f>
        <v>0.08635282553749556</v>
      </c>
      <c r="T482" s="75">
        <f>0.5*(F481*Q481+F482*Q482)*R482</f>
        <v>1.4238426928622112</v>
      </c>
      <c r="U482" s="76">
        <f>U481+S482</f>
        <v>39.99555372293414</v>
      </c>
      <c r="V482" s="76">
        <f>V481+T482</f>
        <v>491.19447156023807</v>
      </c>
    </row>
    <row r="483" spans="1:22" ht="19" customHeight="1">
      <c r="A483" s="68" t="s">
        <v>362</v>
      </c>
      <c r="B483" s="74">
        <v>5</v>
      </c>
      <c r="C483" s="68" t="s">
        <v>363</v>
      </c>
      <c r="D483" s="68" t="s">
        <v>364</v>
      </c>
      <c r="E483" s="75">
        <f>60*F483*'THAM_SO_MOI'!$C$53/(2*PI()*'THAM_SO_MOI'!$C$26)</f>
        <v>1627.1682105263155</v>
      </c>
      <c r="F483" s="75">
        <f>'THAM_SO_MOI'!$E$53+('THAM_SO_MOI'!$C$14-'THAM_SO_MOI'!$E$53)*477/'THAM_SO_MOI'!$C$42</f>
        <v>16.515061965811967</v>
      </c>
      <c r="G483" s="75">
        <f>3.6*F483</f>
        <v>59.45422307692308</v>
      </c>
      <c r="H483" s="75">
        <f>'THAM_SO_MOI'!$D$53</f>
        <v>1.1</v>
      </c>
      <c r="I483" s="75">
        <f>IF(F483&gt;'THAM_SO_MOI'!$C$14,'THAM_SO_MOI'!$C$13*(1+F483^2/1500),'THAM_SO_MOI'!$C$13)</f>
        <v>0.015</v>
      </c>
      <c r="J483" s="75">
        <f>'THAM_SO_MOI'!$C$40*('THAM_SO_MOI'!$C$23*(E483/'THAM_SO_MOI'!$C$22)+'THAM_SO_MOI'!$C$24*(E483/'THAM_SO_MOI'!$C$22)^2-'THAM_SO_MOI'!$C$25*(E483/'THAM_SO_MOI'!$C$22)^3)</f>
        <v>70.87349912684587</v>
      </c>
      <c r="K483" s="75">
        <f>'THAM_SO_MOI'!$C$31*J483/E483</f>
        <v>416.01093117171035</v>
      </c>
      <c r="L483" s="75">
        <f>K483*'THAM_SO_MOI'!$C$53*'THAM_SO_MOI'!$C$17/'THAM_SO_MOI'!$C$26</f>
        <v>3648.417494213593</v>
      </c>
      <c r="M483" s="75">
        <f>'THAM_SO_MOI'!$C$15*'THAM_SO_MOI'!$C$16*F483^2</f>
        <v>797.7857698237315</v>
      </c>
      <c r="N483" s="75">
        <f>'THAM_SO_MOI'!$C$12*I483</f>
        <v>1130.112</v>
      </c>
      <c r="O483" s="75">
        <f>M483+N483</f>
        <v>1927.8977698237316</v>
      </c>
      <c r="P483" s="75">
        <f>(MIN(L483,'THAM_SO_MOI'!$C$41)-O483)/('THAM_SO_MOI'!$C$11*H483)</f>
        <v>0.20366000525448166</v>
      </c>
      <c r="Q483" s="75">
        <f>IF(P483&gt;0,1/P483,NA())</f>
        <v>4.910144231561118</v>
      </c>
      <c r="R483" s="75">
        <f>F483-F482</f>
        <v>0.017600427350430436</v>
      </c>
      <c r="S483" s="75">
        <f>0.5*(Q482+Q483)*R483</f>
        <v>0.08639798864151105</v>
      </c>
      <c r="T483" s="75">
        <f>0.5*(F482*Q482+F483*Q483)*R483</f>
        <v>1.4261080146837972</v>
      </c>
      <c r="U483" s="76">
        <f>U482+S483</f>
        <v>40.08195171157565</v>
      </c>
      <c r="V483" s="76">
        <f>V482+T483</f>
        <v>492.62057957492186</v>
      </c>
    </row>
    <row r="484" spans="1:22" ht="19" customHeight="1">
      <c r="A484" s="68" t="s">
        <v>362</v>
      </c>
      <c r="B484" s="74">
        <v>5</v>
      </c>
      <c r="C484" s="68" t="s">
        <v>363</v>
      </c>
      <c r="D484" s="68" t="s">
        <v>364</v>
      </c>
      <c r="E484" s="75">
        <f>60*F484*'THAM_SO_MOI'!$C$53/(2*PI()*'THAM_SO_MOI'!$C$26)</f>
        <v>1628.9023157894735</v>
      </c>
      <c r="F484" s="75">
        <f>'THAM_SO_MOI'!$E$53+('THAM_SO_MOI'!$C$14-'THAM_SO_MOI'!$E$53)*478/'THAM_SO_MOI'!$C$42</f>
        <v>16.532662393162393</v>
      </c>
      <c r="G484" s="75">
        <f>3.6*F484</f>
        <v>59.51758461538462</v>
      </c>
      <c r="H484" s="75">
        <f>'THAM_SO_MOI'!$D$53</f>
        <v>1.1</v>
      </c>
      <c r="I484" s="75">
        <f>IF(F484&gt;'THAM_SO_MOI'!$C$14,'THAM_SO_MOI'!$C$13*(1+F484^2/1500),'THAM_SO_MOI'!$C$13)</f>
        <v>0.015</v>
      </c>
      <c r="J484" s="75">
        <f>'THAM_SO_MOI'!$C$40*('THAM_SO_MOI'!$C$23*(E484/'THAM_SO_MOI'!$C$22)+'THAM_SO_MOI'!$C$24*(E484/'THAM_SO_MOI'!$C$22)^2-'THAM_SO_MOI'!$C$25*(E484/'THAM_SO_MOI'!$C$22)^3)</f>
        <v>70.96448464416912</v>
      </c>
      <c r="K484" s="75">
        <f>'THAM_SO_MOI'!$C$31*J484/E484</f>
        <v>416.10154733700585</v>
      </c>
      <c r="L484" s="75">
        <f>K484*'THAM_SO_MOI'!$C$53*'THAM_SO_MOI'!$C$17/'THAM_SO_MOI'!$C$26</f>
        <v>3649.212198337813</v>
      </c>
      <c r="M484" s="75">
        <f>'THAM_SO_MOI'!$C$15*'THAM_SO_MOI'!$C$16*F484^2</f>
        <v>799.4871079833869</v>
      </c>
      <c r="N484" s="75">
        <f>'THAM_SO_MOI'!$C$12*I484</f>
        <v>1130.112</v>
      </c>
      <c r="O484" s="75">
        <f>M484+N484</f>
        <v>1929.599107983387</v>
      </c>
      <c r="P484" s="75">
        <f>(MIN(L484,'THAM_SO_MOI'!$C$41)-O484)/('THAM_SO_MOI'!$C$11*H484)</f>
        <v>0.20355268588475683</v>
      </c>
      <c r="Q484" s="75">
        <f>IF(P484&gt;0,1/P484,NA())</f>
        <v>4.91273301383092</v>
      </c>
      <c r="R484" s="75">
        <f>F484-F483</f>
        <v>0.017600427350426884</v>
      </c>
      <c r="S484" s="75">
        <f>0.5*(Q483+Q484)*R484</f>
        <v>0.08644341866484195</v>
      </c>
      <c r="T484" s="75">
        <f>0.5*(F483*Q483+F484*Q484)*R484</f>
        <v>1.428379336826593</v>
      </c>
      <c r="U484" s="76">
        <f>U483+S484</f>
        <v>40.16839513024049</v>
      </c>
      <c r="V484" s="76">
        <f>V483+T484</f>
        <v>494.04895891174846</v>
      </c>
    </row>
    <row r="485" spans="1:22" ht="19" customHeight="1">
      <c r="A485" s="68" t="s">
        <v>362</v>
      </c>
      <c r="B485" s="74">
        <v>5</v>
      </c>
      <c r="C485" s="68" t="s">
        <v>363</v>
      </c>
      <c r="D485" s="68" t="s">
        <v>364</v>
      </c>
      <c r="E485" s="75">
        <f>60*F485*'THAM_SO_MOI'!$C$53/(2*PI()*'THAM_SO_MOI'!$C$26)</f>
        <v>1630.6364210526312</v>
      </c>
      <c r="F485" s="75">
        <f>'THAM_SO_MOI'!$E$53+('THAM_SO_MOI'!$C$14-'THAM_SO_MOI'!$E$53)*479/'THAM_SO_MOI'!$C$42</f>
        <v>16.55026282051282</v>
      </c>
      <c r="G485" s="75">
        <f>3.6*F485</f>
        <v>59.580946153846156</v>
      </c>
      <c r="H485" s="75">
        <f>'THAM_SO_MOI'!$D$53</f>
        <v>1.1</v>
      </c>
      <c r="I485" s="75">
        <f>IF(F485&gt;'THAM_SO_MOI'!$C$14,'THAM_SO_MOI'!$C$13*(1+F485^2/1500),'THAM_SO_MOI'!$C$13)</f>
        <v>0.015</v>
      </c>
      <c r="J485" s="75">
        <f>'THAM_SO_MOI'!$C$40*('THAM_SO_MOI'!$C$23*(E485/'THAM_SO_MOI'!$C$22)+'THAM_SO_MOI'!$C$24*(E485/'THAM_SO_MOI'!$C$22)^2-'THAM_SO_MOI'!$C$25*(E485/'THAM_SO_MOI'!$C$22)^3)</f>
        <v>71.05545325885032</v>
      </c>
      <c r="K485" s="75">
        <f>'THAM_SO_MOI'!$C$31*J485/E485</f>
        <v>416.1918717666767</v>
      </c>
      <c r="L485" s="75">
        <f>K485*'THAM_SO_MOI'!$C$53*'THAM_SO_MOI'!$C$17/'THAM_SO_MOI'!$C$26</f>
        <v>3650.0043439394626</v>
      </c>
      <c r="M485" s="75">
        <f>'THAM_SO_MOI'!$C$15*'THAM_SO_MOI'!$C$16*F485^2</f>
        <v>801.1902583270434</v>
      </c>
      <c r="N485" s="75">
        <f>'THAM_SO_MOI'!$C$12*I485</f>
        <v>1130.112</v>
      </c>
      <c r="O485" s="75">
        <f>M485+N485</f>
        <v>1931.3022583270435</v>
      </c>
      <c r="P485" s="75">
        <f>(MIN(L485,'THAM_SO_MOI'!$C$41)-O485)/('THAM_SO_MOI'!$C$11*H485)</f>
        <v>0.20344484914919733</v>
      </c>
      <c r="Q485" s="75">
        <f>IF(P485&gt;0,1/P485,NA())</f>
        <v>4.915337027120528</v>
      </c>
      <c r="R485" s="75">
        <f>F485-F484</f>
        <v>0.017600427350426884</v>
      </c>
      <c r="S485" s="75">
        <f>0.5*(Q484+Q485)*R485</f>
        <v>0.08648911637533648</v>
      </c>
      <c r="T485" s="75">
        <f>0.5*(F484*Q484+F485*Q485)*R485</f>
        <v>1.4306566860856362</v>
      </c>
      <c r="U485" s="76">
        <f>U484+S485</f>
        <v>40.25488424661583</v>
      </c>
      <c r="V485" s="76">
        <f>V484+T485</f>
        <v>495.4796155978341</v>
      </c>
    </row>
    <row r="486" spans="1:22" ht="19" customHeight="1">
      <c r="A486" s="68" t="s">
        <v>362</v>
      </c>
      <c r="B486" s="74">
        <v>5</v>
      </c>
      <c r="C486" s="68" t="s">
        <v>363</v>
      </c>
      <c r="D486" s="68" t="s">
        <v>364</v>
      </c>
      <c r="E486" s="75">
        <f>60*F486*'THAM_SO_MOI'!$C$53/(2*PI()*'THAM_SO_MOI'!$C$26)</f>
        <v>1632.3705263157892</v>
      </c>
      <c r="F486" s="75">
        <f>'THAM_SO_MOI'!$E$53+('THAM_SO_MOI'!$C$14-'THAM_SO_MOI'!$E$53)*480/'THAM_SO_MOI'!$C$42</f>
        <v>16.567863247863247</v>
      </c>
      <c r="G486" s="75">
        <f>3.6*F486</f>
        <v>59.64430769230769</v>
      </c>
      <c r="H486" s="75">
        <f>'THAM_SO_MOI'!$D$53</f>
        <v>1.1</v>
      </c>
      <c r="I486" s="75">
        <f>IF(F486&gt;'THAM_SO_MOI'!$C$14,'THAM_SO_MOI'!$C$13*(1+F486^2/1500),'THAM_SO_MOI'!$C$13)</f>
        <v>0.015</v>
      </c>
      <c r="J486" s="75">
        <f>'THAM_SO_MOI'!$C$40*('THAM_SO_MOI'!$C$23*(E486/'THAM_SO_MOI'!$C$22)+'THAM_SO_MOI'!$C$24*(E486/'THAM_SO_MOI'!$C$22)^2-'THAM_SO_MOI'!$C$25*(E486/'THAM_SO_MOI'!$C$22)^3)</f>
        <v>71.14640481198614</v>
      </c>
      <c r="K486" s="75">
        <f>'THAM_SO_MOI'!$C$31*J486/E486</f>
        <v>416.2819044607221</v>
      </c>
      <c r="L486" s="75">
        <f>K486*'THAM_SO_MOI'!$C$53*'THAM_SO_MOI'!$C$17/'THAM_SO_MOI'!$C$26</f>
        <v>3650.793931018536</v>
      </c>
      <c r="M486" s="75">
        <f>'THAM_SO_MOI'!$C$15*'THAM_SO_MOI'!$C$16*F486^2</f>
        <v>802.8952208547009</v>
      </c>
      <c r="N486" s="75">
        <f>'THAM_SO_MOI'!$C$12*I486</f>
        <v>1130.112</v>
      </c>
      <c r="O486" s="75">
        <f>M486+N486</f>
        <v>1933.007220854701</v>
      </c>
      <c r="P486" s="75">
        <f>(MIN(L486,'THAM_SO_MOI'!$C$41)-O486)/('THAM_SO_MOI'!$C$11*H486)</f>
        <v>0.20333649504780243</v>
      </c>
      <c r="Q486" s="75">
        <f>IF(P486&gt;0,1/P486,NA())</f>
        <v>4.917956315539469</v>
      </c>
      <c r="R486" s="75">
        <f>F486-F485</f>
        <v>0.017600427350426884</v>
      </c>
      <c r="S486" s="75">
        <f>0.5*(Q485+Q486)*R486</f>
        <v>0.0865350825464618</v>
      </c>
      <c r="T486" s="75">
        <f>0.5*(F485*Q485+F486*Q486)*R486</f>
        <v>1.4329400894030715</v>
      </c>
      <c r="U486" s="76">
        <f>U485+S486</f>
        <v>40.34141932916229</v>
      </c>
      <c r="V486" s="76">
        <f>V485+T486</f>
        <v>496.91255568723716</v>
      </c>
    </row>
    <row r="487" spans="1:22" ht="19" customHeight="1">
      <c r="A487" s="68" t="s">
        <v>362</v>
      </c>
      <c r="B487" s="74">
        <v>5</v>
      </c>
      <c r="C487" s="68" t="s">
        <v>363</v>
      </c>
      <c r="D487" s="68" t="s">
        <v>364</v>
      </c>
      <c r="E487" s="75">
        <f>60*F487*'THAM_SO_MOI'!$C$53/(2*PI()*'THAM_SO_MOI'!$C$26)</f>
        <v>1634.104631578947</v>
      </c>
      <c r="F487" s="75">
        <f>'THAM_SO_MOI'!$E$53+('THAM_SO_MOI'!$C$14-'THAM_SO_MOI'!$E$53)*481/'THAM_SO_MOI'!$C$42</f>
        <v>16.585463675213674</v>
      </c>
      <c r="G487" s="75">
        <f>3.6*F487</f>
        <v>59.70766923076923</v>
      </c>
      <c r="H487" s="75">
        <f>'THAM_SO_MOI'!$D$53</f>
        <v>1.1</v>
      </c>
      <c r="I487" s="75">
        <f>IF(F487&gt;'THAM_SO_MOI'!$C$14,'THAM_SO_MOI'!$C$13*(1+F487^2/1500),'THAM_SO_MOI'!$C$13)</f>
        <v>0.015</v>
      </c>
      <c r="J487" s="75">
        <f>'THAM_SO_MOI'!$C$40*('THAM_SO_MOI'!$C$23*(E487/'THAM_SO_MOI'!$C$22)+'THAM_SO_MOI'!$C$24*(E487/'THAM_SO_MOI'!$C$22)^2-'THAM_SO_MOI'!$C$25*(E487/'THAM_SO_MOI'!$C$22)^3)</f>
        <v>71.23733914467334</v>
      </c>
      <c r="K487" s="75">
        <f>'THAM_SO_MOI'!$C$31*J487/E487</f>
        <v>416.3716454191425</v>
      </c>
      <c r="L487" s="75">
        <f>K487*'THAM_SO_MOI'!$C$53*'THAM_SO_MOI'!$C$17/'THAM_SO_MOI'!$C$26</f>
        <v>3651.5809595750366</v>
      </c>
      <c r="M487" s="75">
        <f>'THAM_SO_MOI'!$C$15*'THAM_SO_MOI'!$C$16*F487^2</f>
        <v>804.6019955663595</v>
      </c>
      <c r="N487" s="75">
        <f>'THAM_SO_MOI'!$C$12*I487</f>
        <v>1130.112</v>
      </c>
      <c r="O487" s="75">
        <f>M487+N487</f>
        <v>1934.7139955663597</v>
      </c>
      <c r="P487" s="75">
        <f>(MIN(L487,'THAM_SO_MOI'!$C$41)-O487)/('THAM_SO_MOI'!$C$11*H487)</f>
        <v>0.20322762358057256</v>
      </c>
      <c r="Q487" s="75">
        <f>IF(P487&gt;0,1/P487,NA())</f>
        <v>4.920590923524407</v>
      </c>
      <c r="R487" s="75">
        <f>F487-F486</f>
        <v>0.017600427350426884</v>
      </c>
      <c r="S487" s="75">
        <f>0.5*(Q486+Q487)*R487</f>
        <v>0.08658131795744338</v>
      </c>
      <c r="T487" s="75">
        <f>0.5*(F486*Q486+F487*Q487)*R487</f>
        <v>1.435229573870946</v>
      </c>
      <c r="U487" s="76">
        <f>U486+S487</f>
        <v>40.42800064711974</v>
      </c>
      <c r="V487" s="76">
        <f>V486+T487</f>
        <v>498.34778526110813</v>
      </c>
    </row>
    <row r="488" spans="1:22" ht="19" customHeight="1">
      <c r="A488" s="68" t="s">
        <v>362</v>
      </c>
      <c r="B488" s="74">
        <v>5</v>
      </c>
      <c r="C488" s="68" t="s">
        <v>363</v>
      </c>
      <c r="D488" s="68" t="s">
        <v>364</v>
      </c>
      <c r="E488" s="75">
        <f>60*F488*'THAM_SO_MOI'!$C$53/(2*PI()*'THAM_SO_MOI'!$C$26)</f>
        <v>1635.8387368421052</v>
      </c>
      <c r="F488" s="75">
        <f>'THAM_SO_MOI'!$E$53+('THAM_SO_MOI'!$C$14-'THAM_SO_MOI'!$E$53)*482/'THAM_SO_MOI'!$C$42</f>
        <v>16.603064102564105</v>
      </c>
      <c r="G488" s="75">
        <f>3.6*F488</f>
        <v>59.77103076923078</v>
      </c>
      <c r="H488" s="75">
        <f>'THAM_SO_MOI'!$D$53</f>
        <v>1.1</v>
      </c>
      <c r="I488" s="75">
        <f>IF(F488&gt;'THAM_SO_MOI'!$C$14,'THAM_SO_MOI'!$C$13*(1+F488^2/1500),'THAM_SO_MOI'!$C$13)</f>
        <v>0.015</v>
      </c>
      <c r="J488" s="75">
        <f>'THAM_SO_MOI'!$C$40*('THAM_SO_MOI'!$C$23*(E488/'THAM_SO_MOI'!$C$22)+'THAM_SO_MOI'!$C$24*(E488/'THAM_SO_MOI'!$C$22)^2-'THAM_SO_MOI'!$C$25*(E488/'THAM_SO_MOI'!$C$22)^3)</f>
        <v>71.32825609800868</v>
      </c>
      <c r="K488" s="75">
        <f>'THAM_SO_MOI'!$C$31*J488/E488</f>
        <v>416.461094641938</v>
      </c>
      <c r="L488" s="75">
        <f>K488*'THAM_SO_MOI'!$C$53*'THAM_SO_MOI'!$C$17/'THAM_SO_MOI'!$C$26</f>
        <v>3652.3654296089653</v>
      </c>
      <c r="M488" s="75">
        <f>'THAM_SO_MOI'!$C$15*'THAM_SO_MOI'!$C$16*F488^2</f>
        <v>806.3105824620195</v>
      </c>
      <c r="N488" s="75">
        <f>'THAM_SO_MOI'!$C$12*I488</f>
        <v>1130.112</v>
      </c>
      <c r="O488" s="75">
        <f>M488+N488</f>
        <v>1936.4225824620196</v>
      </c>
      <c r="P488" s="75">
        <f>(MIN(L488,'THAM_SO_MOI'!$C$41)-O488)/('THAM_SO_MOI'!$C$11*H488)</f>
        <v>0.20311823474750776</v>
      </c>
      <c r="Q488" s="75">
        <f>IF(P488&gt;0,1/P488,NA())</f>
        <v>4.923240895841184</v>
      </c>
      <c r="R488" s="75">
        <f>F488-F487</f>
        <v>0.017600427350430436</v>
      </c>
      <c r="S488" s="75">
        <f>0.5*(Q487+Q488)*R488</f>
        <v>0.08662782339329977</v>
      </c>
      <c r="T488" s="75">
        <f>0.5*(F487*Q487+F488*Q488)*R488</f>
        <v>1.4375251667323006</v>
      </c>
      <c r="U488" s="76">
        <f>U487+S488</f>
        <v>40.51462847051304</v>
      </c>
      <c r="V488" s="76">
        <f>V487+T488</f>
        <v>499.78531042784044</v>
      </c>
    </row>
    <row r="489" spans="1:22" ht="19" customHeight="1">
      <c r="A489" s="68" t="s">
        <v>362</v>
      </c>
      <c r="B489" s="74">
        <v>5</v>
      </c>
      <c r="C489" s="68" t="s">
        <v>363</v>
      </c>
      <c r="D489" s="68" t="s">
        <v>364</v>
      </c>
      <c r="E489" s="75">
        <f>60*F489*'THAM_SO_MOI'!$C$53/(2*PI()*'THAM_SO_MOI'!$C$26)</f>
        <v>1637.5728421052625</v>
      </c>
      <c r="F489" s="75">
        <f>'THAM_SO_MOI'!$E$53+('THAM_SO_MOI'!$C$14-'THAM_SO_MOI'!$E$53)*483/'THAM_SO_MOI'!$C$42</f>
        <v>16.620664529914528</v>
      </c>
      <c r="G489" s="75">
        <f>3.6*F489</f>
        <v>59.834392307692305</v>
      </c>
      <c r="H489" s="75">
        <f>'THAM_SO_MOI'!$D$53</f>
        <v>1.1</v>
      </c>
      <c r="I489" s="75">
        <f>IF(F489&gt;'THAM_SO_MOI'!$C$14,'THAM_SO_MOI'!$C$13*(1+F489^2/1500),'THAM_SO_MOI'!$C$13)</f>
        <v>0.015</v>
      </c>
      <c r="J489" s="75">
        <f>'THAM_SO_MOI'!$C$40*('THAM_SO_MOI'!$C$23*(E489/'THAM_SO_MOI'!$C$22)+'THAM_SO_MOI'!$C$24*(E489/'THAM_SO_MOI'!$C$22)^2-'THAM_SO_MOI'!$C$25*(E489/'THAM_SO_MOI'!$C$22)^3)</f>
        <v>71.41915551308877</v>
      </c>
      <c r="K489" s="75">
        <f>'THAM_SO_MOI'!$C$31*J489/E489</f>
        <v>416.55025212910834</v>
      </c>
      <c r="L489" s="75">
        <f>K489*'THAM_SO_MOI'!$C$53*'THAM_SO_MOI'!$C$17/'THAM_SO_MOI'!$C$26</f>
        <v>3653.147341120319</v>
      </c>
      <c r="M489" s="75">
        <f>'THAM_SO_MOI'!$C$15*'THAM_SO_MOI'!$C$16*F489^2</f>
        <v>808.0209815416799</v>
      </c>
      <c r="N489" s="75">
        <f>'THAM_SO_MOI'!$C$12*I489</f>
        <v>1130.112</v>
      </c>
      <c r="O489" s="75">
        <f>M489+N489</f>
        <v>1938.13298154168</v>
      </c>
      <c r="P489" s="75">
        <f>(MIN(L489,'THAM_SO_MOI'!$C$41)-O489)/('THAM_SO_MOI'!$C$11*H489)</f>
        <v>0.2030083285486079</v>
      </c>
      <c r="Q489" s="75">
        <f>IF(P489&gt;0,1/P489,NA())</f>
        <v>4.925906277586844</v>
      </c>
      <c r="R489" s="75">
        <f>F489-F488</f>
        <v>0.01760042735042333</v>
      </c>
      <c r="S489" s="75">
        <f>0.5*(Q488+Q489)*R489</f>
        <v>0.08667459964477366</v>
      </c>
      <c r="T489" s="75">
        <f>0.5*(F488*Q488+F489*Q489)*R489</f>
        <v>1.4398268953805304</v>
      </c>
      <c r="U489" s="76">
        <f>U488+S489</f>
        <v>40.60130307015781</v>
      </c>
      <c r="V489" s="76">
        <f>V488+T489</f>
        <v>501.22513732322096</v>
      </c>
    </row>
    <row r="490" spans="1:22" ht="19" customHeight="1">
      <c r="A490" s="68" t="s">
        <v>362</v>
      </c>
      <c r="B490" s="74">
        <v>5</v>
      </c>
      <c r="C490" s="68" t="s">
        <v>363</v>
      </c>
      <c r="D490" s="68" t="s">
        <v>364</v>
      </c>
      <c r="E490" s="75">
        <f>60*F490*'THAM_SO_MOI'!$C$53/(2*PI()*'THAM_SO_MOI'!$C$26)</f>
        <v>1639.3069473684207</v>
      </c>
      <c r="F490" s="75">
        <f>'THAM_SO_MOI'!$E$53+('THAM_SO_MOI'!$C$14-'THAM_SO_MOI'!$E$53)*484/'THAM_SO_MOI'!$C$42</f>
        <v>16.63826495726496</v>
      </c>
      <c r="G490" s="75">
        <f>3.6*F490</f>
        <v>59.897753846153854</v>
      </c>
      <c r="H490" s="75">
        <f>'THAM_SO_MOI'!$D$53</f>
        <v>1.1</v>
      </c>
      <c r="I490" s="75">
        <f>IF(F490&gt;'THAM_SO_MOI'!$C$14,'THAM_SO_MOI'!$C$13*(1+F490^2/1500),'THAM_SO_MOI'!$C$13)</f>
        <v>0.015</v>
      </c>
      <c r="J490" s="75">
        <f>'THAM_SO_MOI'!$C$40*('THAM_SO_MOI'!$C$23*(E490/'THAM_SO_MOI'!$C$22)+'THAM_SO_MOI'!$C$24*(E490/'THAM_SO_MOI'!$C$22)^2-'THAM_SO_MOI'!$C$25*(E490/'THAM_SO_MOI'!$C$22)^3)</f>
        <v>71.51003723101046</v>
      </c>
      <c r="K490" s="75">
        <f>'THAM_SO_MOI'!$C$31*J490/E490</f>
        <v>416.63911788065366</v>
      </c>
      <c r="L490" s="75">
        <f>K490*'THAM_SO_MOI'!$C$53*'THAM_SO_MOI'!$C$17/'THAM_SO_MOI'!$C$26</f>
        <v>3653.926694109101</v>
      </c>
      <c r="M490" s="75">
        <f>'THAM_SO_MOI'!$C$15*'THAM_SO_MOI'!$C$16*F490^2</f>
        <v>809.733192805342</v>
      </c>
      <c r="N490" s="75">
        <f>'THAM_SO_MOI'!$C$12*I490</f>
        <v>1130.112</v>
      </c>
      <c r="O490" s="75">
        <f>M490+N490</f>
        <v>1939.845192805342</v>
      </c>
      <c r="P490" s="75">
        <f>(MIN(L490,'THAM_SO_MOI'!$C$41)-O490)/('THAM_SO_MOI'!$C$11*H490)</f>
        <v>0.202897904983873</v>
      </c>
      <c r="Q490" s="75">
        <f>IF(P490&gt;0,1/P490,NA())</f>
        <v>4.928587114191659</v>
      </c>
      <c r="R490" s="75">
        <f>F490-F489</f>
        <v>0.017600427350430436</v>
      </c>
      <c r="S490" s="75">
        <f>0.5*(Q489+Q490)*R490</f>
        <v>0.08672164750864718</v>
      </c>
      <c r="T490" s="75">
        <f>0.5*(F489*Q489+F490*Q490)*R490</f>
        <v>1.4421347873651342</v>
      </c>
      <c r="U490" s="76">
        <f>U489+S490</f>
        <v>40.68802471766646</v>
      </c>
      <c r="V490" s="76">
        <f>V489+T490</f>
        <v>502.6672721105861</v>
      </c>
    </row>
    <row r="491" spans="1:22" ht="19" customHeight="1">
      <c r="A491" s="68" t="s">
        <v>362</v>
      </c>
      <c r="B491" s="74">
        <v>5</v>
      </c>
      <c r="C491" s="68" t="s">
        <v>363</v>
      </c>
      <c r="D491" s="68" t="s">
        <v>364</v>
      </c>
      <c r="E491" s="75">
        <f>60*F491*'THAM_SO_MOI'!$C$53/(2*PI()*'THAM_SO_MOI'!$C$26)</f>
        <v>1641.0410526315784</v>
      </c>
      <c r="F491" s="75">
        <f>'THAM_SO_MOI'!$E$53+('THAM_SO_MOI'!$C$14-'THAM_SO_MOI'!$E$53)*485/'THAM_SO_MOI'!$C$42</f>
        <v>16.65586538461538</v>
      </c>
      <c r="G491" s="75">
        <f>3.6*F491</f>
        <v>59.961115384615375</v>
      </c>
      <c r="H491" s="75">
        <f>'THAM_SO_MOI'!$D$53</f>
        <v>1.1</v>
      </c>
      <c r="I491" s="75">
        <f>IF(F491&gt;'THAM_SO_MOI'!$C$14,'THAM_SO_MOI'!$C$13*(1+F491^2/1500),'THAM_SO_MOI'!$C$13)</f>
        <v>0.015</v>
      </c>
      <c r="J491" s="75">
        <f>'THAM_SO_MOI'!$C$40*('THAM_SO_MOI'!$C$23*(E491/'THAM_SO_MOI'!$C$22)+'THAM_SO_MOI'!$C$24*(E491/'THAM_SO_MOI'!$C$22)^2-'THAM_SO_MOI'!$C$25*(E491/'THAM_SO_MOI'!$C$22)^3)</f>
        <v>71.6009010928704</v>
      </c>
      <c r="K491" s="75">
        <f>'THAM_SO_MOI'!$C$31*J491/E491</f>
        <v>416.72769189657413</v>
      </c>
      <c r="L491" s="75">
        <f>K491*'THAM_SO_MOI'!$C$53*'THAM_SO_MOI'!$C$17/'THAM_SO_MOI'!$C$26</f>
        <v>3654.7034885753105</v>
      </c>
      <c r="M491" s="75">
        <f>'THAM_SO_MOI'!$C$15*'THAM_SO_MOI'!$C$16*F491^2</f>
        <v>811.4472162530045</v>
      </c>
      <c r="N491" s="75">
        <f>'THAM_SO_MOI'!$C$12*I491</f>
        <v>1130.112</v>
      </c>
      <c r="O491" s="75">
        <f>M491+N491</f>
        <v>1941.5592162530047</v>
      </c>
      <c r="P491" s="75">
        <f>(MIN(L491,'THAM_SO_MOI'!$C$41)-O491)/('THAM_SO_MOI'!$C$11*H491)</f>
        <v>0.20278696405330324</v>
      </c>
      <c r="Q491" s="75">
        <f>IF(P491&gt;0,1/P491,NA())</f>
        <v>4.9312834514212</v>
      </c>
      <c r="R491" s="75">
        <f>F491-F490</f>
        <v>0.01760042735042333</v>
      </c>
      <c r="S491" s="75">
        <f>0.5*(Q490+Q491)*R491</f>
        <v>0.08676896778732326</v>
      </c>
      <c r="T491" s="75">
        <f>0.5*(F490*Q490+F491*Q491)*R491</f>
        <v>1.4444488703852738</v>
      </c>
      <c r="U491" s="76">
        <f>U490+S491</f>
        <v>40.77479368545378</v>
      </c>
      <c r="V491" s="76">
        <f>V490+T491</f>
        <v>504.11172098097137</v>
      </c>
    </row>
    <row r="492" spans="1:22" ht="19" customHeight="1">
      <c r="A492" s="68" t="s">
        <v>362</v>
      </c>
      <c r="B492" s="74">
        <v>5</v>
      </c>
      <c r="C492" s="68" t="s">
        <v>363</v>
      </c>
      <c r="D492" s="68" t="s">
        <v>364</v>
      </c>
      <c r="E492" s="75">
        <f>60*F492*'THAM_SO_MOI'!$C$53/(2*PI()*'THAM_SO_MOI'!$C$26)</f>
        <v>1642.7751578947366</v>
      </c>
      <c r="F492" s="75">
        <f>'THAM_SO_MOI'!$E$53+('THAM_SO_MOI'!$C$14-'THAM_SO_MOI'!$E$53)*486/'THAM_SO_MOI'!$C$42</f>
        <v>16.673465811965812</v>
      </c>
      <c r="G492" s="75">
        <f>3.6*F492</f>
        <v>60.024476923076925</v>
      </c>
      <c r="H492" s="75">
        <f>'THAM_SO_MOI'!$D$53</f>
        <v>1.1</v>
      </c>
      <c r="I492" s="75">
        <f>IF(F492&gt;'THAM_SO_MOI'!$C$14,'THAM_SO_MOI'!$C$13*(1+F492^2/1500),'THAM_SO_MOI'!$C$13)</f>
        <v>0.015</v>
      </c>
      <c r="J492" s="75">
        <f>'THAM_SO_MOI'!$C$40*('THAM_SO_MOI'!$C$23*(E492/'THAM_SO_MOI'!$C$22)+'THAM_SO_MOI'!$C$24*(E492/'THAM_SO_MOI'!$C$22)^2-'THAM_SO_MOI'!$C$25*(E492/'THAM_SO_MOI'!$C$22)^3)</f>
        <v>71.69174693976534</v>
      </c>
      <c r="K492" s="75">
        <f>'THAM_SO_MOI'!$C$31*J492/E492</f>
        <v>416.8159741768694</v>
      </c>
      <c r="L492" s="75">
        <f>K492*'THAM_SO_MOI'!$C$53*'THAM_SO_MOI'!$C$17/'THAM_SO_MOI'!$C$26</f>
        <v>3655.477724518946</v>
      </c>
      <c r="M492" s="75">
        <f>'THAM_SO_MOI'!$C$15*'THAM_SO_MOI'!$C$16*F492^2</f>
        <v>813.1630518846689</v>
      </c>
      <c r="N492" s="75">
        <f>'THAM_SO_MOI'!$C$12*I492</f>
        <v>1130.112</v>
      </c>
      <c r="O492" s="75">
        <f>M492+N492</f>
        <v>1943.275051884669</v>
      </c>
      <c r="P492" s="75">
        <f>(MIN(L492,'THAM_SO_MOI'!$C$41)-O492)/('THAM_SO_MOI'!$C$11*H492)</f>
        <v>0.20267550575689836</v>
      </c>
      <c r="Q492" s="75">
        <f>IF(P492&gt;0,1/P492,NA())</f>
        <v>4.933995335378427</v>
      </c>
      <c r="R492" s="75">
        <f>F492-F491</f>
        <v>0.017600427350430436</v>
      </c>
      <c r="S492" s="75">
        <f>0.5*(Q491+Q492)*R492</f>
        <v>0.08681656128940467</v>
      </c>
      <c r="T492" s="75">
        <f>0.5*(F491*Q491+F492*Q492)*R492</f>
        <v>1.4467691722999214</v>
      </c>
      <c r="U492" s="76">
        <f>U491+S492</f>
        <v>40.86161024674318</v>
      </c>
      <c r="V492" s="76">
        <f>V491+T492</f>
        <v>505.5584901532713</v>
      </c>
    </row>
    <row r="493" spans="1:22" ht="19" customHeight="1">
      <c r="A493" s="68" t="s">
        <v>362</v>
      </c>
      <c r="B493" s="74">
        <v>5</v>
      </c>
      <c r="C493" s="68" t="s">
        <v>363</v>
      </c>
      <c r="D493" s="68" t="s">
        <v>364</v>
      </c>
      <c r="E493" s="75">
        <f>60*F493*'THAM_SO_MOI'!$C$53/(2*PI()*'THAM_SO_MOI'!$C$26)</f>
        <v>1644.5092631578946</v>
      </c>
      <c r="F493" s="75">
        <f>'THAM_SO_MOI'!$E$53+('THAM_SO_MOI'!$C$14-'THAM_SO_MOI'!$E$53)*487/'THAM_SO_MOI'!$C$42</f>
        <v>16.69106623931624</v>
      </c>
      <c r="G493" s="75">
        <f>3.6*F493</f>
        <v>60.08783846153846</v>
      </c>
      <c r="H493" s="75">
        <f>'THAM_SO_MOI'!$D$53</f>
        <v>1.1</v>
      </c>
      <c r="I493" s="75">
        <f>IF(F493&gt;'THAM_SO_MOI'!$C$14,'THAM_SO_MOI'!$C$13*(1+F493^2/1500),'THAM_SO_MOI'!$C$13)</f>
        <v>0.015</v>
      </c>
      <c r="J493" s="75">
        <f>'THAM_SO_MOI'!$C$40*('THAM_SO_MOI'!$C$23*(E493/'THAM_SO_MOI'!$C$22)+'THAM_SO_MOI'!$C$24*(E493/'THAM_SO_MOI'!$C$22)^2-'THAM_SO_MOI'!$C$25*(E493/'THAM_SO_MOI'!$C$22)^3)</f>
        <v>71.78257461279198</v>
      </c>
      <c r="K493" s="75">
        <f>'THAM_SO_MOI'!$C$31*J493/E493</f>
        <v>416.9039647215397</v>
      </c>
      <c r="L493" s="75">
        <f>K493*'THAM_SO_MOI'!$C$53*'THAM_SO_MOI'!$C$17/'THAM_SO_MOI'!$C$26</f>
        <v>3656.2494019400083</v>
      </c>
      <c r="M493" s="75">
        <f>'THAM_SO_MOI'!$C$15*'THAM_SO_MOI'!$C$16*F493^2</f>
        <v>814.8806997003339</v>
      </c>
      <c r="N493" s="75">
        <f>'THAM_SO_MOI'!$C$12*I493</f>
        <v>1130.112</v>
      </c>
      <c r="O493" s="75">
        <f>M493+N493</f>
        <v>1944.992699700334</v>
      </c>
      <c r="P493" s="75">
        <f>(MIN(L493,'THAM_SO_MOI'!$C$41)-O493)/('THAM_SO_MOI'!$C$11*H493)</f>
        <v>0.2025635300946584</v>
      </c>
      <c r="Q493" s="75">
        <f>IF(P493&gt;0,1/P493,NA())</f>
        <v>4.936722812505773</v>
      </c>
      <c r="R493" s="75">
        <f>F493-F492</f>
        <v>0.017600427350426884</v>
      </c>
      <c r="S493" s="75">
        <f>0.5*(Q492+Q493)*R493</f>
        <v>0.08686442882918805</v>
      </c>
      <c r="T493" s="75">
        <f>0.5*(F492*Q492+F493*Q493)*R493</f>
        <v>1.4490957211199624</v>
      </c>
      <c r="U493" s="76">
        <f>U492+S493</f>
        <v>40.94847467557237</v>
      </c>
      <c r="V493" s="76">
        <f>V492+T493</f>
        <v>507.0075858743913</v>
      </c>
    </row>
    <row r="494" spans="1:22" ht="19" customHeight="1">
      <c r="A494" s="68" t="s">
        <v>362</v>
      </c>
      <c r="B494" s="74">
        <v>5</v>
      </c>
      <c r="C494" s="68" t="s">
        <v>363</v>
      </c>
      <c r="D494" s="68" t="s">
        <v>364</v>
      </c>
      <c r="E494" s="75">
        <f>60*F494*'THAM_SO_MOI'!$C$53/(2*PI()*'THAM_SO_MOI'!$C$26)</f>
        <v>1646.2433684210523</v>
      </c>
      <c r="F494" s="75">
        <f>'THAM_SO_MOI'!$E$53+('THAM_SO_MOI'!$C$14-'THAM_SO_MOI'!$E$53)*488/'THAM_SO_MOI'!$C$42</f>
        <v>16.708666666666666</v>
      </c>
      <c r="G494" s="75">
        <f>3.6*F494</f>
        <v>60.151199999999996</v>
      </c>
      <c r="H494" s="75">
        <f>'THAM_SO_MOI'!$D$53</f>
        <v>1.1</v>
      </c>
      <c r="I494" s="75">
        <f>IF(F494&gt;'THAM_SO_MOI'!$C$14,'THAM_SO_MOI'!$C$13*(1+F494^2/1500),'THAM_SO_MOI'!$C$13)</f>
        <v>0.015</v>
      </c>
      <c r="J494" s="75">
        <f>'THAM_SO_MOI'!$C$40*('THAM_SO_MOI'!$C$23*(E494/'THAM_SO_MOI'!$C$22)+'THAM_SO_MOI'!$C$24*(E494/'THAM_SO_MOI'!$C$22)^2-'THAM_SO_MOI'!$C$25*(E494/'THAM_SO_MOI'!$C$22)^3)</f>
        <v>71.87338395304701</v>
      </c>
      <c r="K494" s="75">
        <f>'THAM_SO_MOI'!$C$31*J494/E494</f>
        <v>416.99166353058484</v>
      </c>
      <c r="L494" s="75">
        <f>K494*'THAM_SO_MOI'!$C$53*'THAM_SO_MOI'!$C$17/'THAM_SO_MOI'!$C$26</f>
        <v>3657.0185208384974</v>
      </c>
      <c r="M494" s="75">
        <f>'THAM_SO_MOI'!$C$15*'THAM_SO_MOI'!$C$16*F494^2</f>
        <v>816.6001597</v>
      </c>
      <c r="N494" s="75">
        <f>'THAM_SO_MOI'!$C$12*I494</f>
        <v>1130.112</v>
      </c>
      <c r="O494" s="75">
        <f>M494+N494</f>
        <v>1946.7121597</v>
      </c>
      <c r="P494" s="75">
        <f>(MIN(L494,'THAM_SO_MOI'!$C$41)-O494)/('THAM_SO_MOI'!$C$11*H494)</f>
        <v>0.2024510370665835</v>
      </c>
      <c r="Q494" s="75">
        <f>IF(P494&gt;0,1/P494,NA())</f>
        <v>4.939465929587277</v>
      </c>
      <c r="R494" s="75">
        <f>F494-F493</f>
        <v>0.017600427350426884</v>
      </c>
      <c r="S494" s="75">
        <f>0.5*(Q493+Q494)*R494</f>
        <v>0.08691257122715629</v>
      </c>
      <c r="T494" s="75">
        <f>0.5*(F493*Q493+F494*Q494)*R494</f>
        <v>1.4514285450169206</v>
      </c>
      <c r="U494" s="76">
        <f>U493+S494</f>
        <v>41.03538724679953</v>
      </c>
      <c r="V494" s="76">
        <f>V493+T494</f>
        <v>508.4590144194082</v>
      </c>
    </row>
    <row r="495" spans="1:22" ht="19" customHeight="1">
      <c r="A495" s="68" t="s">
        <v>362</v>
      </c>
      <c r="B495" s="74">
        <v>5</v>
      </c>
      <c r="C495" s="68" t="s">
        <v>363</v>
      </c>
      <c r="D495" s="68" t="s">
        <v>364</v>
      </c>
      <c r="E495" s="75">
        <f>60*F495*'THAM_SO_MOI'!$C$53/(2*PI()*'THAM_SO_MOI'!$C$26)</f>
        <v>1647.97747368421</v>
      </c>
      <c r="F495" s="75">
        <f>'THAM_SO_MOI'!$E$53+('THAM_SO_MOI'!$C$14-'THAM_SO_MOI'!$E$53)*489/'THAM_SO_MOI'!$C$42</f>
        <v>16.726267094017093</v>
      </c>
      <c r="G495" s="75">
        <f>3.6*F495</f>
        <v>60.21456153846154</v>
      </c>
      <c r="H495" s="75">
        <f>'THAM_SO_MOI'!$D$53</f>
        <v>1.1</v>
      </c>
      <c r="I495" s="75">
        <f>IF(F495&gt;'THAM_SO_MOI'!$C$14,'THAM_SO_MOI'!$C$13*(1+F495^2/1500),'THAM_SO_MOI'!$C$13)</f>
        <v>0.015</v>
      </c>
      <c r="J495" s="75">
        <f>'THAM_SO_MOI'!$C$40*('THAM_SO_MOI'!$C$23*(E495/'THAM_SO_MOI'!$C$22)+'THAM_SO_MOI'!$C$24*(E495/'THAM_SO_MOI'!$C$22)^2-'THAM_SO_MOI'!$C$25*(E495/'THAM_SO_MOI'!$C$22)^3)</f>
        <v>71.96417480162722</v>
      </c>
      <c r="K495" s="75">
        <f>'THAM_SO_MOI'!$C$31*J495/E495</f>
        <v>417.0790706040051</v>
      </c>
      <c r="L495" s="75">
        <f>K495*'THAM_SO_MOI'!$C$53*'THAM_SO_MOI'!$C$17/'THAM_SO_MOI'!$C$26</f>
        <v>3657.785081214414</v>
      </c>
      <c r="M495" s="75">
        <f>'THAM_SO_MOI'!$C$15*'THAM_SO_MOI'!$C$16*F495^2</f>
        <v>818.3214318836672</v>
      </c>
      <c r="N495" s="75">
        <f>'THAM_SO_MOI'!$C$12*I495</f>
        <v>1130.112</v>
      </c>
      <c r="O495" s="75">
        <f>M495+N495</f>
        <v>1948.4334318836673</v>
      </c>
      <c r="P495" s="75">
        <f>(MIN(L495,'THAM_SO_MOI'!$C$41)-O495)/('THAM_SO_MOI'!$C$11*H495)</f>
        <v>0.2023380266726736</v>
      </c>
      <c r="Q495" s="75">
        <f>IF(P495&gt;0,1/P495,NA())</f>
        <v>4.942224733750718</v>
      </c>
      <c r="R495" s="75">
        <f>F495-F494</f>
        <v>0.017600427350426884</v>
      </c>
      <c r="S495" s="75">
        <f>0.5*(Q494+Q495)*R495</f>
        <v>0.08696098930973602</v>
      </c>
      <c r="T495" s="75">
        <f>0.5*(F494*Q494+F495*Q495)*R495</f>
        <v>1.4537676723194455</v>
      </c>
      <c r="U495" s="76">
        <f>U494+S495</f>
        <v>41.12234823610927</v>
      </c>
      <c r="V495" s="76">
        <f>V494+T495</f>
        <v>509.91278209172765</v>
      </c>
    </row>
    <row r="496" spans="1:22" ht="19" customHeight="1">
      <c r="A496" s="68" t="s">
        <v>362</v>
      </c>
      <c r="B496" s="74">
        <v>5</v>
      </c>
      <c r="C496" s="68" t="s">
        <v>363</v>
      </c>
      <c r="D496" s="68" t="s">
        <v>364</v>
      </c>
      <c r="E496" s="75">
        <f>60*F496*'THAM_SO_MOI'!$C$53/(2*PI()*'THAM_SO_MOI'!$C$26)</f>
        <v>1649.7115789473678</v>
      </c>
      <c r="F496" s="75">
        <f>'THAM_SO_MOI'!$E$53+('THAM_SO_MOI'!$C$14-'THAM_SO_MOI'!$E$53)*490/'THAM_SO_MOI'!$C$42</f>
        <v>16.74386752136752</v>
      </c>
      <c r="G496" s="75">
        <f>3.6*F496</f>
        <v>60.277923076923074</v>
      </c>
      <c r="H496" s="75">
        <f>'THAM_SO_MOI'!$D$53</f>
        <v>1.1</v>
      </c>
      <c r="I496" s="75">
        <f>IF(F496&gt;'THAM_SO_MOI'!$C$14,'THAM_SO_MOI'!$C$13*(1+F496^2/1500),'THAM_SO_MOI'!$C$13)</f>
        <v>0.015</v>
      </c>
      <c r="J496" s="75">
        <f>'THAM_SO_MOI'!$C$40*('THAM_SO_MOI'!$C$23*(E496/'THAM_SO_MOI'!$C$22)+'THAM_SO_MOI'!$C$24*(E496/'THAM_SO_MOI'!$C$22)^2-'THAM_SO_MOI'!$C$25*(E496/'THAM_SO_MOI'!$C$22)^3)</f>
        <v>72.0549469996293</v>
      </c>
      <c r="K496" s="75">
        <f>'THAM_SO_MOI'!$C$31*J496/E496</f>
        <v>417.16618594180034</v>
      </c>
      <c r="L496" s="75">
        <f>K496*'THAM_SO_MOI'!$C$53*'THAM_SO_MOI'!$C$17/'THAM_SO_MOI'!$C$26</f>
        <v>3658.5490830677572</v>
      </c>
      <c r="M496" s="75">
        <f>'THAM_SO_MOI'!$C$15*'THAM_SO_MOI'!$C$16*F496^2</f>
        <v>820.0445162513354</v>
      </c>
      <c r="N496" s="75">
        <f>'THAM_SO_MOI'!$C$12*I496</f>
        <v>1130.112</v>
      </c>
      <c r="O496" s="75">
        <f>M496+N496</f>
        <v>1950.1565162513355</v>
      </c>
      <c r="P496" s="75">
        <f>(MIN(L496,'THAM_SO_MOI'!$C$41)-O496)/('THAM_SO_MOI'!$C$11*H496)</f>
        <v>0.20222449891292874</v>
      </c>
      <c r="Q496" s="75">
        <f>IF(P496&gt;0,1/P496,NA())</f>
        <v>4.944999272469788</v>
      </c>
      <c r="R496" s="75">
        <f>F496-F495</f>
        <v>0.017600427350426884</v>
      </c>
      <c r="S496" s="75">
        <f>0.5*(Q495+Q496)*R496</f>
        <v>0.08700968390944033</v>
      </c>
      <c r="T496" s="75">
        <f>0.5*(F495*Q495+F496*Q496)*R496</f>
        <v>1.456113131516229</v>
      </c>
      <c r="U496" s="76">
        <f>U495+S496</f>
        <v>41.20935792001871</v>
      </c>
      <c r="V496" s="76">
        <f>V495+T496</f>
        <v>511.3688952232439</v>
      </c>
    </row>
    <row r="497" spans="1:22" ht="19" customHeight="1">
      <c r="A497" s="68" t="s">
        <v>362</v>
      </c>
      <c r="B497" s="74">
        <v>5</v>
      </c>
      <c r="C497" s="68" t="s">
        <v>363</v>
      </c>
      <c r="D497" s="68" t="s">
        <v>364</v>
      </c>
      <c r="E497" s="75">
        <f>60*F497*'THAM_SO_MOI'!$C$53/(2*PI()*'THAM_SO_MOI'!$C$26)</f>
        <v>1651.445684210526</v>
      </c>
      <c r="F497" s="75">
        <f>'THAM_SO_MOI'!$E$53+('THAM_SO_MOI'!$C$14-'THAM_SO_MOI'!$E$53)*491/'THAM_SO_MOI'!$C$42</f>
        <v>16.76146794871795</v>
      </c>
      <c r="G497" s="75">
        <f>3.6*F497</f>
        <v>60.34128461538462</v>
      </c>
      <c r="H497" s="75">
        <f>'THAM_SO_MOI'!$D$53</f>
        <v>1.1</v>
      </c>
      <c r="I497" s="75">
        <f>IF(F497&gt;'THAM_SO_MOI'!$C$14,'THAM_SO_MOI'!$C$13*(1+F497^2/1500),'THAM_SO_MOI'!$C$13)</f>
        <v>0.015</v>
      </c>
      <c r="J497" s="75">
        <f>'THAM_SO_MOI'!$C$40*('THAM_SO_MOI'!$C$23*(E497/'THAM_SO_MOI'!$C$22)+'THAM_SO_MOI'!$C$24*(E497/'THAM_SO_MOI'!$C$22)^2-'THAM_SO_MOI'!$C$25*(E497/'THAM_SO_MOI'!$C$22)^3)</f>
        <v>72.14570038814998</v>
      </c>
      <c r="K497" s="75">
        <f>'THAM_SO_MOI'!$C$31*J497/E497</f>
        <v>417.2530095439704</v>
      </c>
      <c r="L497" s="75">
        <f>K497*'THAM_SO_MOI'!$C$53*'THAM_SO_MOI'!$C$17/'THAM_SO_MOI'!$C$26</f>
        <v>3659.310526398527</v>
      </c>
      <c r="M497" s="75">
        <f>'THAM_SO_MOI'!$C$15*'THAM_SO_MOI'!$C$16*F497^2</f>
        <v>821.7694128030049</v>
      </c>
      <c r="N497" s="75">
        <f>'THAM_SO_MOI'!$C$12*I497</f>
        <v>1130.112</v>
      </c>
      <c r="O497" s="75">
        <f>M497+N497</f>
        <v>1951.8814128030049</v>
      </c>
      <c r="P497" s="75">
        <f>(MIN(L497,'THAM_SO_MOI'!$C$41)-O497)/('THAM_SO_MOI'!$C$11*H497)</f>
        <v>0.20211045378734876</v>
      </c>
      <c r="Q497" s="75">
        <f>IF(P497&gt;0,1/P497,NA())</f>
        <v>4.947789593566267</v>
      </c>
      <c r="R497" s="75">
        <f>F497-F496</f>
        <v>0.017600427350430436</v>
      </c>
      <c r="S497" s="75">
        <f>0.5*(Q496+Q497)*R497</f>
        <v>0.08705865586490734</v>
      </c>
      <c r="T497" s="75">
        <f>0.5*(F496*Q496+F497*Q497)*R497</f>
        <v>1.4584649512571817</v>
      </c>
      <c r="U497" s="76">
        <f>U496+S497</f>
        <v>41.29641657588362</v>
      </c>
      <c r="V497" s="76">
        <f>V496+T497</f>
        <v>512.8273601745011</v>
      </c>
    </row>
    <row r="498" spans="1:22" ht="19" customHeight="1">
      <c r="A498" s="68" t="s">
        <v>362</v>
      </c>
      <c r="B498" s="74">
        <v>5</v>
      </c>
      <c r="C498" s="68" t="s">
        <v>363</v>
      </c>
      <c r="D498" s="68" t="s">
        <v>364</v>
      </c>
      <c r="E498" s="75">
        <f>60*F498*'THAM_SO_MOI'!$C$53/(2*PI()*'THAM_SO_MOI'!$C$26)</f>
        <v>1653.1797894736837</v>
      </c>
      <c r="F498" s="75">
        <f>'THAM_SO_MOI'!$E$53+('THAM_SO_MOI'!$C$14-'THAM_SO_MOI'!$E$53)*492/'THAM_SO_MOI'!$C$42</f>
        <v>16.779068376068373</v>
      </c>
      <c r="G498" s="75">
        <f>3.6*F498</f>
        <v>60.404646153846144</v>
      </c>
      <c r="H498" s="75">
        <f>'THAM_SO_MOI'!$D$53</f>
        <v>1.1</v>
      </c>
      <c r="I498" s="75">
        <f>IF(F498&gt;'THAM_SO_MOI'!$C$14,'THAM_SO_MOI'!$C$13*(1+F498^2/1500),'THAM_SO_MOI'!$C$13)</f>
        <v>0.015</v>
      </c>
      <c r="J498" s="75">
        <f>'THAM_SO_MOI'!$C$40*('THAM_SO_MOI'!$C$23*(E498/'THAM_SO_MOI'!$C$22)+'THAM_SO_MOI'!$C$24*(E498/'THAM_SO_MOI'!$C$22)^2-'THAM_SO_MOI'!$C$25*(E498/'THAM_SO_MOI'!$C$22)^3)</f>
        <v>72.23643480828594</v>
      </c>
      <c r="K498" s="75">
        <f>'THAM_SO_MOI'!$C$31*J498/E498</f>
        <v>417.3395414105155</v>
      </c>
      <c r="L498" s="75">
        <f>K498*'THAM_SO_MOI'!$C$53*'THAM_SO_MOI'!$C$17/'THAM_SO_MOI'!$C$26</f>
        <v>3660.069411206724</v>
      </c>
      <c r="M498" s="75">
        <f>'THAM_SO_MOI'!$C$15*'THAM_SO_MOI'!$C$16*F498^2</f>
        <v>823.4961215386751</v>
      </c>
      <c r="N498" s="75">
        <f>'THAM_SO_MOI'!$C$12*I498</f>
        <v>1130.112</v>
      </c>
      <c r="O498" s="75">
        <f>M498+N498</f>
        <v>1953.6081215386753</v>
      </c>
      <c r="P498" s="75">
        <f>(MIN(L498,'THAM_SO_MOI'!$C$41)-O498)/('THAM_SO_MOI'!$C$11*H498)</f>
        <v>0.2019958912959338</v>
      </c>
      <c r="Q498" s="75">
        <f>IF(P498&gt;0,1/P498,NA())</f>
        <v>4.950595745212221</v>
      </c>
      <c r="R498" s="75">
        <f>F498-F497</f>
        <v>0.01760042735042333</v>
      </c>
      <c r="S498" s="75">
        <f>0.5*(Q497+Q498)*R498</f>
        <v>0.0871079060208331</v>
      </c>
      <c r="T498" s="75">
        <f>0.5*(F497*Q497+F498*Q498)*R498</f>
        <v>1.4608231603528496</v>
      </c>
      <c r="U498" s="76">
        <f>U497+S498</f>
        <v>41.38352448190445</v>
      </c>
      <c r="V498" s="76">
        <f>V497+T498</f>
        <v>514.288183334854</v>
      </c>
    </row>
    <row r="499" spans="1:22" ht="19" customHeight="1">
      <c r="A499" s="68" t="s">
        <v>362</v>
      </c>
      <c r="B499" s="74">
        <v>5</v>
      </c>
      <c r="C499" s="68" t="s">
        <v>363</v>
      </c>
      <c r="D499" s="68" t="s">
        <v>364</v>
      </c>
      <c r="E499" s="75">
        <f>60*F499*'THAM_SO_MOI'!$C$53/(2*PI()*'THAM_SO_MOI'!$C$26)</f>
        <v>1654.9138947368417</v>
      </c>
      <c r="F499" s="75">
        <f>'THAM_SO_MOI'!$E$53+('THAM_SO_MOI'!$C$14-'THAM_SO_MOI'!$E$53)*493/'THAM_SO_MOI'!$C$42</f>
        <v>16.796668803418804</v>
      </c>
      <c r="G499" s="75">
        <f>3.6*F499</f>
        <v>60.468007692307694</v>
      </c>
      <c r="H499" s="75">
        <f>'THAM_SO_MOI'!$D$53</f>
        <v>1.1</v>
      </c>
      <c r="I499" s="75">
        <f>IF(F499&gt;'THAM_SO_MOI'!$C$14,'THAM_SO_MOI'!$C$13*(1+F499^2/1500),'THAM_SO_MOI'!$C$13)</f>
        <v>0.015</v>
      </c>
      <c r="J499" s="75">
        <f>'THAM_SO_MOI'!$C$40*('THAM_SO_MOI'!$C$23*(E499/'THAM_SO_MOI'!$C$22)+'THAM_SO_MOI'!$C$24*(E499/'THAM_SO_MOI'!$C$22)^2-'THAM_SO_MOI'!$C$25*(E499/'THAM_SO_MOI'!$C$22)^3)</f>
        <v>72.32715010113397</v>
      </c>
      <c r="K499" s="75">
        <f>'THAM_SO_MOI'!$C$31*J499/E499</f>
        <v>417.4257815414356</v>
      </c>
      <c r="L499" s="75">
        <f>K499*'THAM_SO_MOI'!$C$53*'THAM_SO_MOI'!$C$17/'THAM_SO_MOI'!$C$26</f>
        <v>3660.8257374923487</v>
      </c>
      <c r="M499" s="75">
        <f>'THAM_SO_MOI'!$C$15*'THAM_SO_MOI'!$C$16*F499^2</f>
        <v>825.2246424583469</v>
      </c>
      <c r="N499" s="75">
        <f>'THAM_SO_MOI'!$C$12*I499</f>
        <v>1130.112</v>
      </c>
      <c r="O499" s="75">
        <f>M499+N499</f>
        <v>1955.336642458347</v>
      </c>
      <c r="P499" s="75">
        <f>(MIN(L499,'THAM_SO_MOI'!$C$41)-O499)/('THAM_SO_MOI'!$C$11*H499)</f>
        <v>0.20188081143868392</v>
      </c>
      <c r="Q499" s="75">
        <f>IF(P499&gt;0,1/P499,NA())</f>
        <v>4.953417775932232</v>
      </c>
      <c r="R499" s="75">
        <f>F499-F498</f>
        <v>0.017600427350430436</v>
      </c>
      <c r="S499" s="75">
        <f>0.5*(Q498+Q499)*R499</f>
        <v>0.08715743522829184</v>
      </c>
      <c r="T499" s="75">
        <f>0.5*(F498*Q498+F499*Q499)*R499</f>
        <v>1.4631877877803237</v>
      </c>
      <c r="U499" s="76">
        <f>U498+S499</f>
        <v>41.470681917132744</v>
      </c>
      <c r="V499" s="76">
        <f>V498+T499</f>
        <v>515.7513711226343</v>
      </c>
    </row>
    <row r="500" spans="1:22" ht="19" customHeight="1">
      <c r="A500" s="68" t="s">
        <v>362</v>
      </c>
      <c r="B500" s="74">
        <v>5</v>
      </c>
      <c r="C500" s="68" t="s">
        <v>363</v>
      </c>
      <c r="D500" s="68" t="s">
        <v>364</v>
      </c>
      <c r="E500" s="75">
        <f>60*F500*'THAM_SO_MOI'!$C$53/(2*PI()*'THAM_SO_MOI'!$C$26)</f>
        <v>1656.6479999999997</v>
      </c>
      <c r="F500" s="75">
        <f>'THAM_SO_MOI'!$E$53+('THAM_SO_MOI'!$C$14-'THAM_SO_MOI'!$E$53)*494/'THAM_SO_MOI'!$C$42</f>
        <v>16.81426923076923</v>
      </c>
      <c r="G500" s="75">
        <f>3.6*F500</f>
        <v>60.53136923076923</v>
      </c>
      <c r="H500" s="75">
        <f>'THAM_SO_MOI'!$D$53</f>
        <v>1.1</v>
      </c>
      <c r="I500" s="75">
        <f>IF(F500&gt;'THAM_SO_MOI'!$C$14,'THAM_SO_MOI'!$C$13*(1+F500^2/1500),'THAM_SO_MOI'!$C$13)</f>
        <v>0.015</v>
      </c>
      <c r="J500" s="75">
        <f>'THAM_SO_MOI'!$C$40*('THAM_SO_MOI'!$C$23*(E500/'THAM_SO_MOI'!$C$22)+'THAM_SO_MOI'!$C$24*(E500/'THAM_SO_MOI'!$C$22)^2-'THAM_SO_MOI'!$C$25*(E500/'THAM_SO_MOI'!$C$22)^3)</f>
        <v>72.41784610779072</v>
      </c>
      <c r="K500" s="75">
        <f>'THAM_SO_MOI'!$C$31*J500/E500</f>
        <v>417.5117299367306</v>
      </c>
      <c r="L500" s="75">
        <f>K500*'THAM_SO_MOI'!$C$53*'THAM_SO_MOI'!$C$17/'THAM_SO_MOI'!$C$26</f>
        <v>3661.579505255399</v>
      </c>
      <c r="M500" s="75">
        <f>'THAM_SO_MOI'!$C$15*'THAM_SO_MOI'!$C$16*F500^2</f>
        <v>826.9549755620193</v>
      </c>
      <c r="N500" s="75">
        <f>'THAM_SO_MOI'!$C$12*I500</f>
        <v>1130.112</v>
      </c>
      <c r="O500" s="75">
        <f>M500+N500</f>
        <v>1957.0669755620193</v>
      </c>
      <c r="P500" s="75">
        <f>(MIN(L500,'THAM_SO_MOI'!$C$41)-O500)/('THAM_SO_MOI'!$C$11*H500)</f>
        <v>0.20176521421559893</v>
      </c>
      <c r="Q500" s="75">
        <f>IF(P500&gt;0,1/P500,NA())</f>
        <v>4.956255734605652</v>
      </c>
      <c r="R500" s="75">
        <f>F500-F499</f>
        <v>0.017600427350426884</v>
      </c>
      <c r="S500" s="75">
        <f>0.5*(Q499+Q500)*R500</f>
        <v>0.0872072443443359</v>
      </c>
      <c r="T500" s="75">
        <f>0.5*(F499*Q499+F500*Q500)*R500</f>
        <v>1.4655588626770768</v>
      </c>
      <c r="U500" s="76">
        <f>U499+S500</f>
        <v>41.55788916147708</v>
      </c>
      <c r="V500" s="76">
        <f>V499+T500</f>
        <v>517.2169299853114</v>
      </c>
    </row>
    <row r="501" spans="1:22" ht="19" customHeight="1">
      <c r="A501" s="68" t="s">
        <v>362</v>
      </c>
      <c r="B501" s="74">
        <v>5</v>
      </c>
      <c r="C501" s="68" t="s">
        <v>363</v>
      </c>
      <c r="D501" s="68" t="s">
        <v>364</v>
      </c>
      <c r="E501" s="75">
        <f>60*F501*'THAM_SO_MOI'!$C$53/(2*PI()*'THAM_SO_MOI'!$C$26)</f>
        <v>1658.3821052631574</v>
      </c>
      <c r="F501" s="75">
        <f>'THAM_SO_MOI'!$E$53+('THAM_SO_MOI'!$C$14-'THAM_SO_MOI'!$E$53)*495/'THAM_SO_MOI'!$C$42</f>
        <v>16.831869658119658</v>
      </c>
      <c r="G501" s="75">
        <f>3.6*F501</f>
        <v>60.59473076923077</v>
      </c>
      <c r="H501" s="75">
        <f>'THAM_SO_MOI'!$D$53</f>
        <v>1.1</v>
      </c>
      <c r="I501" s="75">
        <f>IF(F501&gt;'THAM_SO_MOI'!$C$14,'THAM_SO_MOI'!$C$13*(1+F501^2/1500),'THAM_SO_MOI'!$C$13)</f>
        <v>0.015</v>
      </c>
      <c r="J501" s="75">
        <f>'THAM_SO_MOI'!$C$40*('THAM_SO_MOI'!$C$23*(E501/'THAM_SO_MOI'!$C$22)+'THAM_SO_MOI'!$C$24*(E501/'THAM_SO_MOI'!$C$22)^2-'THAM_SO_MOI'!$C$25*(E501/'THAM_SO_MOI'!$C$22)^3)</f>
        <v>72.50852266935294</v>
      </c>
      <c r="K501" s="75">
        <f>'THAM_SO_MOI'!$C$31*J501/E501</f>
        <v>417.59738659640055</v>
      </c>
      <c r="L501" s="75">
        <f>K501*'THAM_SO_MOI'!$C$53*'THAM_SO_MOI'!$C$17/'THAM_SO_MOI'!$C$26</f>
        <v>3662.3307144958762</v>
      </c>
      <c r="M501" s="75">
        <f>'THAM_SO_MOI'!$C$15*'THAM_SO_MOI'!$C$16*F501^2</f>
        <v>828.687120849693</v>
      </c>
      <c r="N501" s="75">
        <f>'THAM_SO_MOI'!$C$12*I501</f>
        <v>1130.112</v>
      </c>
      <c r="O501" s="75">
        <f>M501+N501</f>
        <v>1958.799120849693</v>
      </c>
      <c r="P501" s="75">
        <f>(MIN(L501,'THAM_SO_MOI'!$C$41)-O501)/('THAM_SO_MOI'!$C$11*H501)</f>
        <v>0.20164909962667885</v>
      </c>
      <c r="Q501" s="75">
        <f>IF(P501&gt;0,1/P501,NA())</f>
        <v>4.959109670468852</v>
      </c>
      <c r="R501" s="75">
        <f>F501-F500</f>
        <v>0.017600427350426884</v>
      </c>
      <c r="S501" s="75">
        <f>0.5*(Q500+Q501)*R501</f>
        <v>0.0872573342324749</v>
      </c>
      <c r="T501" s="75">
        <f>0.5*(F500*Q500+F501*Q501)*R501</f>
        <v>1.4679364143495512</v>
      </c>
      <c r="U501" s="76">
        <f>U500+S501</f>
        <v>41.645146495709554</v>
      </c>
      <c r="V501" s="76">
        <f>V500+T501</f>
        <v>518.6848663996609</v>
      </c>
    </row>
    <row r="502" spans="1:22" ht="19" customHeight="1">
      <c r="A502" s="68" t="s">
        <v>362</v>
      </c>
      <c r="B502" s="74">
        <v>5</v>
      </c>
      <c r="C502" s="68" t="s">
        <v>363</v>
      </c>
      <c r="D502" s="68" t="s">
        <v>364</v>
      </c>
      <c r="E502" s="75">
        <f>60*F502*'THAM_SO_MOI'!$C$53/(2*PI()*'THAM_SO_MOI'!$C$26)</f>
        <v>1660.1162105263154</v>
      </c>
      <c r="F502" s="75">
        <f>'THAM_SO_MOI'!$E$53+('THAM_SO_MOI'!$C$14-'THAM_SO_MOI'!$E$53)*496/'THAM_SO_MOI'!$C$42</f>
        <v>16.849470085470085</v>
      </c>
      <c r="G502" s="75">
        <f>3.6*F502</f>
        <v>60.65809230769231</v>
      </c>
      <c r="H502" s="75">
        <f>'THAM_SO_MOI'!$D$53</f>
        <v>1.1</v>
      </c>
      <c r="I502" s="75">
        <f>IF(F502&gt;'THAM_SO_MOI'!$C$14,'THAM_SO_MOI'!$C$13*(1+F502^2/1500),'THAM_SO_MOI'!$C$13)</f>
        <v>0.015</v>
      </c>
      <c r="J502" s="75">
        <f>'THAM_SO_MOI'!$C$40*('THAM_SO_MOI'!$C$23*(E502/'THAM_SO_MOI'!$C$22)+'THAM_SO_MOI'!$C$24*(E502/'THAM_SO_MOI'!$C$22)^2-'THAM_SO_MOI'!$C$25*(E502/'THAM_SO_MOI'!$C$22)^3)</f>
        <v>72.59917962691739</v>
      </c>
      <c r="K502" s="75">
        <f>'THAM_SO_MOI'!$C$31*J502/E502</f>
        <v>417.6827515204455</v>
      </c>
      <c r="L502" s="75">
        <f>K502*'THAM_SO_MOI'!$C$53*'THAM_SO_MOI'!$C$17/'THAM_SO_MOI'!$C$26</f>
        <v>3663.0793652137804</v>
      </c>
      <c r="M502" s="75">
        <f>'THAM_SO_MOI'!$C$15*'THAM_SO_MOI'!$C$16*F502^2</f>
        <v>830.4210783213675</v>
      </c>
      <c r="N502" s="75">
        <f>'THAM_SO_MOI'!$C$12*I502</f>
        <v>1130.112</v>
      </c>
      <c r="O502" s="75">
        <f>M502+N502</f>
        <v>1960.5330783213676</v>
      </c>
      <c r="P502" s="75">
        <f>(MIN(L502,'THAM_SO_MOI'!$C$41)-O502)/('THAM_SO_MOI'!$C$11*H502)</f>
        <v>0.20153246767192387</v>
      </c>
      <c r="Q502" s="75">
        <f>IF(P502&gt;0,1/P502,NA())</f>
        <v>4.961979633117513</v>
      </c>
      <c r="R502" s="75">
        <f>F502-F501</f>
        <v>0.017600427350426884</v>
      </c>
      <c r="S502" s="75">
        <f>0.5*(Q501+Q502)*R502</f>
        <v>0.08730770576243453</v>
      </c>
      <c r="T502" s="75">
        <f>0.5*(F501*Q501+F502*Q502)*R502</f>
        <v>1.4703204722696634</v>
      </c>
      <c r="U502" s="76">
        <f>U501+S502</f>
        <v>41.73245420147199</v>
      </c>
      <c r="V502" s="76">
        <f>V501+T502</f>
        <v>520.1551868719306</v>
      </c>
    </row>
    <row r="503" spans="1:22" ht="19" customHeight="1">
      <c r="A503" s="68" t="s">
        <v>362</v>
      </c>
      <c r="B503" s="74">
        <v>5</v>
      </c>
      <c r="C503" s="68" t="s">
        <v>363</v>
      </c>
      <c r="D503" s="68" t="s">
        <v>364</v>
      </c>
      <c r="E503" s="75">
        <f>60*F503*'THAM_SO_MOI'!$C$53/(2*PI()*'THAM_SO_MOI'!$C$26)</f>
        <v>1661.8503157894734</v>
      </c>
      <c r="F503" s="75">
        <f>'THAM_SO_MOI'!$E$53+('THAM_SO_MOI'!$C$14-'THAM_SO_MOI'!$E$53)*497/'THAM_SO_MOI'!$C$42</f>
        <v>16.86707051282051</v>
      </c>
      <c r="G503" s="75">
        <f>3.6*F503</f>
        <v>60.72145384615384</v>
      </c>
      <c r="H503" s="75">
        <f>'THAM_SO_MOI'!$D$53</f>
        <v>1.1</v>
      </c>
      <c r="I503" s="75">
        <f>IF(F503&gt;'THAM_SO_MOI'!$C$14,'THAM_SO_MOI'!$C$13*(1+F503^2/1500),'THAM_SO_MOI'!$C$13)</f>
        <v>0.015</v>
      </c>
      <c r="J503" s="75">
        <f>'THAM_SO_MOI'!$C$40*('THAM_SO_MOI'!$C$23*(E503/'THAM_SO_MOI'!$C$22)+'THAM_SO_MOI'!$C$24*(E503/'THAM_SO_MOI'!$C$22)^2-'THAM_SO_MOI'!$C$25*(E503/'THAM_SO_MOI'!$C$22)^3)</f>
        <v>72.68981682158075</v>
      </c>
      <c r="K503" s="75">
        <f>'THAM_SO_MOI'!$C$31*J503/E503</f>
        <v>417.7678247088654</v>
      </c>
      <c r="L503" s="75">
        <f>K503*'THAM_SO_MOI'!$C$53*'THAM_SO_MOI'!$C$17/'THAM_SO_MOI'!$C$26</f>
        <v>3663.8254574091116</v>
      </c>
      <c r="M503" s="75">
        <f>'THAM_SO_MOI'!$C$15*'THAM_SO_MOI'!$C$16*F503^2</f>
        <v>832.1568479770433</v>
      </c>
      <c r="N503" s="75">
        <f>'THAM_SO_MOI'!$C$12*I503</f>
        <v>1130.112</v>
      </c>
      <c r="O503" s="75">
        <f>M503+N503</f>
        <v>1962.2688479770434</v>
      </c>
      <c r="P503" s="75">
        <f>(MIN(L503,'THAM_SO_MOI'!$C$41)-O503)/('THAM_SO_MOI'!$C$11*H503)</f>
        <v>0.20141531835133386</v>
      </c>
      <c r="Q503" s="75">
        <f>IF(P503&gt;0,1/P503,NA())</f>
        <v>4.964865672508953</v>
      </c>
      <c r="R503" s="75">
        <f>F503-F502</f>
        <v>0.017600427350426884</v>
      </c>
      <c r="S503" s="75">
        <f>0.5*(Q502+Q503)*R503</f>
        <v>0.08735835981030239</v>
      </c>
      <c r="T503" s="75">
        <f>0.5*(F502*Q502+F503*Q503)*R503</f>
        <v>1.472711066077813</v>
      </c>
      <c r="U503" s="76">
        <f>U502+S503</f>
        <v>41.81981256128229</v>
      </c>
      <c r="V503" s="76">
        <f>V502+T503</f>
        <v>521.6278979380085</v>
      </c>
    </row>
    <row r="504" spans="1:22" ht="19" customHeight="1">
      <c r="A504" s="68" t="s">
        <v>362</v>
      </c>
      <c r="B504" s="74">
        <v>5</v>
      </c>
      <c r="C504" s="68" t="s">
        <v>363</v>
      </c>
      <c r="D504" s="68" t="s">
        <v>364</v>
      </c>
      <c r="E504" s="75">
        <f>60*F504*'THAM_SO_MOI'!$C$53/(2*PI()*'THAM_SO_MOI'!$C$26)</f>
        <v>1663.5844210526313</v>
      </c>
      <c r="F504" s="75">
        <f>'THAM_SO_MOI'!$E$53+('THAM_SO_MOI'!$C$14-'THAM_SO_MOI'!$E$53)*498/'THAM_SO_MOI'!$C$42</f>
        <v>16.884670940170942</v>
      </c>
      <c r="G504" s="75">
        <f>3.6*F504</f>
        <v>60.78481538461539</v>
      </c>
      <c r="H504" s="75">
        <f>'THAM_SO_MOI'!$D$53</f>
        <v>1.1</v>
      </c>
      <c r="I504" s="75">
        <f>IF(F504&gt;'THAM_SO_MOI'!$C$14,'THAM_SO_MOI'!$C$13*(1+F504^2/1500),'THAM_SO_MOI'!$C$13)</f>
        <v>0.015</v>
      </c>
      <c r="J504" s="75">
        <f>'THAM_SO_MOI'!$C$40*('THAM_SO_MOI'!$C$23*(E504/'THAM_SO_MOI'!$C$22)+'THAM_SO_MOI'!$C$24*(E504/'THAM_SO_MOI'!$C$22)^2-'THAM_SO_MOI'!$C$25*(E504/'THAM_SO_MOI'!$C$22)^3)</f>
        <v>72.78043409443973</v>
      </c>
      <c r="K504" s="75">
        <f>'THAM_SO_MOI'!$C$31*J504/E504</f>
        <v>417.8526061616603</v>
      </c>
      <c r="L504" s="75">
        <f>K504*'THAM_SO_MOI'!$C$53*'THAM_SO_MOI'!$C$17/'THAM_SO_MOI'!$C$26</f>
        <v>3664.56899108187</v>
      </c>
      <c r="M504" s="75">
        <f>'THAM_SO_MOI'!$C$15*'THAM_SO_MOI'!$C$16*F504^2</f>
        <v>833.8944298167204</v>
      </c>
      <c r="N504" s="75">
        <f>'THAM_SO_MOI'!$C$12*I504</f>
        <v>1130.112</v>
      </c>
      <c r="O504" s="75">
        <f>M504+N504</f>
        <v>1964.0064298167204</v>
      </c>
      <c r="P504" s="75">
        <f>(MIN(L504,'THAM_SO_MOI'!$C$41)-O504)/('THAM_SO_MOI'!$C$11*H504)</f>
        <v>0.20129765166490882</v>
      </c>
      <c r="Q504" s="75">
        <f>IF(P504&gt;0,1/P504,NA())</f>
        <v>4.967767838964437</v>
      </c>
      <c r="R504" s="75">
        <f>F504-F503</f>
        <v>0.017600427350430436</v>
      </c>
      <c r="S504" s="75">
        <f>0.5*(Q503+Q504)*R504</f>
        <v>0.0874092972585691</v>
      </c>
      <c r="T504" s="75">
        <f>0.5*(F503*Q503+F504*Q504)*R504</f>
        <v>1.4751082255841337</v>
      </c>
      <c r="U504" s="76">
        <f>U503+S504</f>
        <v>41.90722185854086</v>
      </c>
      <c r="V504" s="76">
        <f>V503+T504</f>
        <v>523.1030061635926</v>
      </c>
    </row>
    <row r="505" spans="1:22" ht="19" customHeight="1">
      <c r="A505" s="68" t="s">
        <v>362</v>
      </c>
      <c r="B505" s="74">
        <v>5</v>
      </c>
      <c r="C505" s="68" t="s">
        <v>363</v>
      </c>
      <c r="D505" s="68" t="s">
        <v>364</v>
      </c>
      <c r="E505" s="75">
        <f>60*F505*'THAM_SO_MOI'!$C$53/(2*PI()*'THAM_SO_MOI'!$C$26)</f>
        <v>1665.3185263157889</v>
      </c>
      <c r="F505" s="75">
        <f>'THAM_SO_MOI'!$E$53+('THAM_SO_MOI'!$C$14-'THAM_SO_MOI'!$E$53)*499/'THAM_SO_MOI'!$C$42</f>
        <v>16.902271367521365</v>
      </c>
      <c r="G505" s="75">
        <f>3.6*F505</f>
        <v>60.84817692307691</v>
      </c>
      <c r="H505" s="75">
        <f>'THAM_SO_MOI'!$D$53</f>
        <v>1.1</v>
      </c>
      <c r="I505" s="75">
        <f>IF(F505&gt;'THAM_SO_MOI'!$C$14,'THAM_SO_MOI'!$C$13*(1+F505^2/1500),'THAM_SO_MOI'!$C$13)</f>
        <v>0.015</v>
      </c>
      <c r="J505" s="75">
        <f>'THAM_SO_MOI'!$C$40*('THAM_SO_MOI'!$C$23*(E505/'THAM_SO_MOI'!$C$22)+'THAM_SO_MOI'!$C$24*(E505/'THAM_SO_MOI'!$C$22)^2-'THAM_SO_MOI'!$C$25*(E505/'THAM_SO_MOI'!$C$22)^3)</f>
        <v>72.87103128659106</v>
      </c>
      <c r="K505" s="75">
        <f>'THAM_SO_MOI'!$C$31*J505/E505</f>
        <v>417.9370958788301</v>
      </c>
      <c r="L505" s="75">
        <f>K505*'THAM_SO_MOI'!$C$53*'THAM_SO_MOI'!$C$17/'THAM_SO_MOI'!$C$26</f>
        <v>3665.309966232055</v>
      </c>
      <c r="M505" s="75">
        <f>'THAM_SO_MOI'!$C$15*'THAM_SO_MOI'!$C$16*F505^2</f>
        <v>835.6338238403979</v>
      </c>
      <c r="N505" s="75">
        <f>'THAM_SO_MOI'!$C$12*I505</f>
        <v>1130.112</v>
      </c>
      <c r="O505" s="75">
        <f>M505+N505</f>
        <v>1965.7458238403979</v>
      </c>
      <c r="P505" s="75">
        <f>(MIN(L505,'THAM_SO_MOI'!$C$41)-O505)/('THAM_SO_MOI'!$C$11*H505)</f>
        <v>0.20117946761264882</v>
      </c>
      <c r="Q505" s="75">
        <f>IF(P505&gt;0,1/P505,NA())</f>
        <v>4.970686183171541</v>
      </c>
      <c r="R505" s="75">
        <f>F505-F504</f>
        <v>0.01760042735042333</v>
      </c>
      <c r="S505" s="75">
        <f>0.5*(Q504+Q505)*R505</f>
        <v>0.08746051899606341</v>
      </c>
      <c r="T505" s="75">
        <f>0.5*(F504*Q504+F505*Q505)*R505</f>
        <v>1.4775119807679613</v>
      </c>
      <c r="U505" s="76">
        <f>U504+S505</f>
        <v>41.99468237753692</v>
      </c>
      <c r="V505" s="76">
        <f>V504+T505</f>
        <v>524.5805181443606</v>
      </c>
    </row>
    <row r="506" spans="1:22" ht="19" customHeight="1">
      <c r="A506" s="68" t="s">
        <v>362</v>
      </c>
      <c r="B506" s="74">
        <v>5</v>
      </c>
      <c r="C506" s="68" t="s">
        <v>363</v>
      </c>
      <c r="D506" s="68" t="s">
        <v>364</v>
      </c>
      <c r="E506" s="75">
        <f>60*F506*'THAM_SO_MOI'!$C$53/(2*PI()*'THAM_SO_MOI'!$C$26)</f>
        <v>1667.0526315789473</v>
      </c>
      <c r="F506" s="75">
        <f>'THAM_SO_MOI'!$E$53+('THAM_SO_MOI'!$C$14-'THAM_SO_MOI'!$E$53)*500/'THAM_SO_MOI'!$C$42</f>
        <v>16.919871794871796</v>
      </c>
      <c r="G506" s="75">
        <f>3.6*F506</f>
        <v>60.91153846153846</v>
      </c>
      <c r="H506" s="75">
        <f>'THAM_SO_MOI'!$D$53</f>
        <v>1.1</v>
      </c>
      <c r="I506" s="75">
        <f>IF(F506&gt;'THAM_SO_MOI'!$C$14,'THAM_SO_MOI'!$C$13*(1+F506^2/1500),'THAM_SO_MOI'!$C$13)</f>
        <v>0.015</v>
      </c>
      <c r="J506" s="75">
        <f>'THAM_SO_MOI'!$C$40*('THAM_SO_MOI'!$C$23*(E506/'THAM_SO_MOI'!$C$22)+'THAM_SO_MOI'!$C$24*(E506/'THAM_SO_MOI'!$C$22)^2-'THAM_SO_MOI'!$C$25*(E506/'THAM_SO_MOI'!$C$22)^3)</f>
        <v>72.96160823913154</v>
      </c>
      <c r="K506" s="75">
        <f>'THAM_SO_MOI'!$C$31*J506/E506</f>
        <v>418.02129386037507</v>
      </c>
      <c r="L506" s="75">
        <f>K506*'THAM_SO_MOI'!$C$53*'THAM_SO_MOI'!$C$17/'THAM_SO_MOI'!$C$26</f>
        <v>3666.0483828596684</v>
      </c>
      <c r="M506" s="75">
        <f>'THAM_SO_MOI'!$C$15*'THAM_SO_MOI'!$C$16*F506^2</f>
        <v>837.3750300480771</v>
      </c>
      <c r="N506" s="75">
        <f>'THAM_SO_MOI'!$C$12*I506</f>
        <v>1130.112</v>
      </c>
      <c r="O506" s="75">
        <f>M506+N506</f>
        <v>1967.487030048077</v>
      </c>
      <c r="P506" s="75">
        <f>(MIN(L506,'THAM_SO_MOI'!$C$41)-O506)/('THAM_SO_MOI'!$C$11*H506)</f>
        <v>0.2010607661945539</v>
      </c>
      <c r="Q506" s="75">
        <f>IF(P506&gt;0,1/P506,NA())</f>
        <v>4.973620756186529</v>
      </c>
      <c r="R506" s="75">
        <f>F506-F505</f>
        <v>0.017600427350430436</v>
      </c>
      <c r="S506" s="75">
        <f>0.5*(Q505+Q506)*R506</f>
        <v>0.08751202591827648</v>
      </c>
      <c r="T506" s="75">
        <f>0.5*(F505*Q505+F506*Q506)*R506</f>
        <v>1.4799223617838744</v>
      </c>
      <c r="U506" s="76">
        <f>U505+S506</f>
        <v>42.0821944034552</v>
      </c>
      <c r="V506" s="76">
        <f>V505+T506</f>
        <v>526.0604405061445</v>
      </c>
    </row>
    <row r="507" spans="1:22" ht="19" customHeight="1">
      <c r="A507" s="68" t="s">
        <v>362</v>
      </c>
      <c r="B507" s="74">
        <v>5</v>
      </c>
      <c r="C507" s="68" t="s">
        <v>363</v>
      </c>
      <c r="D507" s="68" t="s">
        <v>364</v>
      </c>
      <c r="E507" s="75">
        <f>60*F507*'THAM_SO_MOI'!$C$53/(2*PI()*'THAM_SO_MOI'!$C$26)</f>
        <v>1668.7867368421048</v>
      </c>
      <c r="F507" s="75">
        <f>'THAM_SO_MOI'!$E$53+('THAM_SO_MOI'!$C$14-'THAM_SO_MOI'!$E$53)*501/'THAM_SO_MOI'!$C$42</f>
        <v>16.937472222222222</v>
      </c>
      <c r="G507" s="75">
        <f>3.6*F507</f>
        <v>60.974900000000005</v>
      </c>
      <c r="H507" s="75">
        <f>'THAM_SO_MOI'!$D$53</f>
        <v>1.1</v>
      </c>
      <c r="I507" s="75">
        <f>IF(F507&gt;'THAM_SO_MOI'!$C$14,'THAM_SO_MOI'!$C$13*(1+F507^2/1500),'THAM_SO_MOI'!$C$13)</f>
        <v>0.015</v>
      </c>
      <c r="J507" s="75">
        <f>'THAM_SO_MOI'!$C$40*('THAM_SO_MOI'!$C$23*(E507/'THAM_SO_MOI'!$C$22)+'THAM_SO_MOI'!$C$24*(E507/'THAM_SO_MOI'!$C$22)^2-'THAM_SO_MOI'!$C$25*(E507/'THAM_SO_MOI'!$C$22)^3)</f>
        <v>73.05216479315773</v>
      </c>
      <c r="K507" s="75">
        <f>'THAM_SO_MOI'!$C$31*J507/E507</f>
        <v>418.1052001062947</v>
      </c>
      <c r="L507" s="75">
        <f>K507*'THAM_SO_MOI'!$C$53*'THAM_SO_MOI'!$C$17/'THAM_SO_MOI'!$C$26</f>
        <v>3666.7842409647064</v>
      </c>
      <c r="M507" s="75">
        <f>'THAM_SO_MOI'!$C$15*'THAM_SO_MOI'!$C$16*F507^2</f>
        <v>839.118048439757</v>
      </c>
      <c r="N507" s="75">
        <f>'THAM_SO_MOI'!$C$12*I507</f>
        <v>1130.112</v>
      </c>
      <c r="O507" s="75">
        <f>M507+N507</f>
        <v>1969.230048439757</v>
      </c>
      <c r="P507" s="75">
        <f>(MIN(L507,'THAM_SO_MOI'!$C$41)-O507)/('THAM_SO_MOI'!$C$11*H507)</f>
        <v>0.20094154741062376</v>
      </c>
      <c r="Q507" s="75">
        <f>IF(P507&gt;0,1/P507,NA())</f>
        <v>4.976571609436756</v>
      </c>
      <c r="R507" s="75">
        <f>F507-F506</f>
        <v>0.017600427350426884</v>
      </c>
      <c r="S507" s="75">
        <f>0.5*(Q506+Q507)*R507</f>
        <v>0.08756381892696241</v>
      </c>
      <c r="T507" s="75">
        <f>0.5*(F506*Q506+F507*Q507)*R507</f>
        <v>1.4823393989555205</v>
      </c>
      <c r="U507" s="76">
        <f>U506+S507</f>
        <v>42.16975822238216</v>
      </c>
      <c r="V507" s="76">
        <f>V506+T507</f>
        <v>527.5427799051</v>
      </c>
    </row>
    <row r="508" spans="1:22" ht="19" customHeight="1">
      <c r="A508" s="68" t="s">
        <v>362</v>
      </c>
      <c r="B508" s="74">
        <v>5</v>
      </c>
      <c r="C508" s="68" t="s">
        <v>363</v>
      </c>
      <c r="D508" s="68" t="s">
        <v>364</v>
      </c>
      <c r="E508" s="75">
        <f>60*F508*'THAM_SO_MOI'!$C$53/(2*PI()*'THAM_SO_MOI'!$C$26)</f>
        <v>1670.5208421052628</v>
      </c>
      <c r="F508" s="75">
        <f>'THAM_SO_MOI'!$E$53+('THAM_SO_MOI'!$C$14-'THAM_SO_MOI'!$E$53)*502/'THAM_SO_MOI'!$C$42</f>
        <v>16.95507264957265</v>
      </c>
      <c r="G508" s="75">
        <f>3.6*F508</f>
        <v>61.03826153846154</v>
      </c>
      <c r="H508" s="75">
        <f>'THAM_SO_MOI'!$D$53</f>
        <v>1.1</v>
      </c>
      <c r="I508" s="75">
        <f>IF(F508&gt;'THAM_SO_MOI'!$C$14,'THAM_SO_MOI'!$C$13*(1+F508^2/1500),'THAM_SO_MOI'!$C$13)</f>
        <v>0.015</v>
      </c>
      <c r="J508" s="75">
        <f>'THAM_SO_MOI'!$C$40*('THAM_SO_MOI'!$C$23*(E508/'THAM_SO_MOI'!$C$22)+'THAM_SO_MOI'!$C$24*(E508/'THAM_SO_MOI'!$C$22)^2-'THAM_SO_MOI'!$C$25*(E508/'THAM_SO_MOI'!$C$22)^3)</f>
        <v>73.1427007897665</v>
      </c>
      <c r="K508" s="75">
        <f>'THAM_SO_MOI'!$C$31*J508/E508</f>
        <v>418.18881461658947</v>
      </c>
      <c r="L508" s="75">
        <f>K508*'THAM_SO_MOI'!$C$53*'THAM_SO_MOI'!$C$17/'THAM_SO_MOI'!$C$26</f>
        <v>3667.5175405471723</v>
      </c>
      <c r="M508" s="75">
        <f>'THAM_SO_MOI'!$C$15*'THAM_SO_MOI'!$C$16*F508^2</f>
        <v>840.8628790154381</v>
      </c>
      <c r="N508" s="75">
        <f>'THAM_SO_MOI'!$C$12*I508</f>
        <v>1130.112</v>
      </c>
      <c r="O508" s="75">
        <f>M508+N508</f>
        <v>1970.974879015438</v>
      </c>
      <c r="P508" s="75">
        <f>(MIN(L508,'THAM_SO_MOI'!$C$41)-O508)/('THAM_SO_MOI'!$C$11*H508)</f>
        <v>0.20082181126085868</v>
      </c>
      <c r="Q508" s="75">
        <f>IF(P508&gt;0,1/P508,NA())</f>
        <v>4.979538794723069</v>
      </c>
      <c r="R508" s="75">
        <f>F508-F507</f>
        <v>0.017600427350426884</v>
      </c>
      <c r="S508" s="75">
        <f>0.5*(Q507+Q508)*R508</f>
        <v>0.08761589893062213</v>
      </c>
      <c r="T508" s="75">
        <f>0.5*(F507*Q507+F508*Q508)*R508</f>
        <v>1.4847631227843645</v>
      </c>
      <c r="U508" s="76">
        <f>U507+S508</f>
        <v>42.25737412131278</v>
      </c>
      <c r="V508" s="76">
        <f>V507+T508</f>
        <v>529.0275430278843</v>
      </c>
    </row>
    <row r="509" spans="1:22" ht="19" customHeight="1">
      <c r="A509" s="68" t="s">
        <v>362</v>
      </c>
      <c r="B509" s="74">
        <v>5</v>
      </c>
      <c r="C509" s="68" t="s">
        <v>363</v>
      </c>
      <c r="D509" s="68" t="s">
        <v>364</v>
      </c>
      <c r="E509" s="75">
        <f>60*F509*'THAM_SO_MOI'!$C$53/(2*PI()*'THAM_SO_MOI'!$C$26)</f>
        <v>1672.2549473684205</v>
      </c>
      <c r="F509" s="75">
        <f>'THAM_SO_MOI'!$E$53+('THAM_SO_MOI'!$C$14-'THAM_SO_MOI'!$E$53)*503/'THAM_SO_MOI'!$C$42</f>
        <v>16.972673076923076</v>
      </c>
      <c r="G509" s="75">
        <f>3.6*F509</f>
        <v>61.101623076923076</v>
      </c>
      <c r="H509" s="75">
        <f>'THAM_SO_MOI'!$D$53</f>
        <v>1.1</v>
      </c>
      <c r="I509" s="75">
        <f>IF(F509&gt;'THAM_SO_MOI'!$C$14,'THAM_SO_MOI'!$C$13*(1+F509^2/1500),'THAM_SO_MOI'!$C$13)</f>
        <v>0.015</v>
      </c>
      <c r="J509" s="75">
        <f>'THAM_SO_MOI'!$C$40*('THAM_SO_MOI'!$C$23*(E509/'THAM_SO_MOI'!$C$22)+'THAM_SO_MOI'!$C$24*(E509/'THAM_SO_MOI'!$C$22)^2-'THAM_SO_MOI'!$C$25*(E509/'THAM_SO_MOI'!$C$22)^3)</f>
        <v>73.2332160700545</v>
      </c>
      <c r="K509" s="75">
        <f>'THAM_SO_MOI'!$C$31*J509/E509</f>
        <v>418.27213739125915</v>
      </c>
      <c r="L509" s="75">
        <f>K509*'THAM_SO_MOI'!$C$53*'THAM_SO_MOI'!$C$17/'THAM_SO_MOI'!$C$26</f>
        <v>3668.2482816070647</v>
      </c>
      <c r="M509" s="75">
        <f>'THAM_SO_MOI'!$C$15*'THAM_SO_MOI'!$C$16*F509^2</f>
        <v>842.6095217751201</v>
      </c>
      <c r="N509" s="75">
        <f>'THAM_SO_MOI'!$C$12*I509</f>
        <v>1130.112</v>
      </c>
      <c r="O509" s="75">
        <f>M509+N509</f>
        <v>1972.7215217751202</v>
      </c>
      <c r="P509" s="75">
        <f>(MIN(L509,'THAM_SO_MOI'!$C$41)-O509)/('THAM_SO_MOI'!$C$11*H509)</f>
        <v>0.20070155774525855</v>
      </c>
      <c r="Q509" s="75">
        <f>IF(P509&gt;0,1/P509,NA())</f>
        <v>4.982522364222279</v>
      </c>
      <c r="R509" s="75">
        <f>F509-F508</f>
        <v>0.017600427350426884</v>
      </c>
      <c r="S509" s="75">
        <f>0.5*(Q508+Q509)*R509</f>
        <v>0.08766826684426353</v>
      </c>
      <c r="T509" s="75">
        <f>0.5*(F508*Q508+F509*Q509)*R509</f>
        <v>1.4871935639462166</v>
      </c>
      <c r="U509" s="76">
        <f>U508+S509</f>
        <v>42.34504238815704</v>
      </c>
      <c r="V509" s="76">
        <f>V508+T509</f>
        <v>530.5147365918306</v>
      </c>
    </row>
    <row r="510" spans="1:22" ht="19" customHeight="1">
      <c r="A510" s="68" t="s">
        <v>362</v>
      </c>
      <c r="B510" s="74">
        <v>5</v>
      </c>
      <c r="C510" s="68" t="s">
        <v>363</v>
      </c>
      <c r="D510" s="68" t="s">
        <v>364</v>
      </c>
      <c r="E510" s="75">
        <f>60*F510*'THAM_SO_MOI'!$C$53/(2*PI()*'THAM_SO_MOI'!$C$26)</f>
        <v>1673.9890526315785</v>
      </c>
      <c r="F510" s="75">
        <f>'THAM_SO_MOI'!$E$53+('THAM_SO_MOI'!$C$14-'THAM_SO_MOI'!$E$53)*504/'THAM_SO_MOI'!$C$42</f>
        <v>16.990273504273503</v>
      </c>
      <c r="G510" s="75">
        <f>3.6*F510</f>
        <v>61.16498461538461</v>
      </c>
      <c r="H510" s="75">
        <f>'THAM_SO_MOI'!$D$53</f>
        <v>1.1</v>
      </c>
      <c r="I510" s="75">
        <f>IF(F510&gt;'THAM_SO_MOI'!$C$14,'THAM_SO_MOI'!$C$13*(1+F510^2/1500),'THAM_SO_MOI'!$C$13)</f>
        <v>0.015</v>
      </c>
      <c r="J510" s="75">
        <f>'THAM_SO_MOI'!$C$40*('THAM_SO_MOI'!$C$23*(E510/'THAM_SO_MOI'!$C$22)+'THAM_SO_MOI'!$C$24*(E510/'THAM_SO_MOI'!$C$22)^2-'THAM_SO_MOI'!$C$25*(E510/'THAM_SO_MOI'!$C$22)^3)</f>
        <v>73.32371047511847</v>
      </c>
      <c r="K510" s="75">
        <f>'THAM_SO_MOI'!$C$31*J510/E510</f>
        <v>418.35516843030393</v>
      </c>
      <c r="L510" s="75">
        <f>K510*'THAM_SO_MOI'!$C$53*'THAM_SO_MOI'!$C$17/'THAM_SO_MOI'!$C$26</f>
        <v>3668.976464144386</v>
      </c>
      <c r="M510" s="75">
        <f>'THAM_SO_MOI'!$C$15*'THAM_SO_MOI'!$C$16*F510^2</f>
        <v>844.3579767188033</v>
      </c>
      <c r="N510" s="75">
        <f>'THAM_SO_MOI'!$C$12*I510</f>
        <v>1130.112</v>
      </c>
      <c r="O510" s="75">
        <f>M510+N510</f>
        <v>1974.4699767188035</v>
      </c>
      <c r="P510" s="75">
        <f>(MIN(L510,'THAM_SO_MOI'!$C$41)-O510)/('THAM_SO_MOI'!$C$11*H510)</f>
        <v>0.20058078686382366</v>
      </c>
      <c r="Q510" s="75">
        <f>IF(P510&gt;0,1/P510,NA())</f>
        <v>4.985522370489603</v>
      </c>
      <c r="R510" s="75">
        <f>F510-F509</f>
        <v>0.017600427350426884</v>
      </c>
      <c r="S510" s="75">
        <f>0.5*(Q509+Q510)*R510</f>
        <v>0.08772092358955084</v>
      </c>
      <c r="T510" s="75">
        <f>0.5*(F509*Q509+F510*Q510)*R510</f>
        <v>1.4896307532943387</v>
      </c>
      <c r="U510" s="76">
        <f>U509+S510</f>
        <v>42.43276331174659</v>
      </c>
      <c r="V510" s="76">
        <f>V509+T510</f>
        <v>532.0043673451249</v>
      </c>
    </row>
    <row r="511" spans="1:22" ht="19" customHeight="1">
      <c r="A511" s="68" t="s">
        <v>362</v>
      </c>
      <c r="B511" s="74">
        <v>5</v>
      </c>
      <c r="C511" s="68" t="s">
        <v>363</v>
      </c>
      <c r="D511" s="68" t="s">
        <v>364</v>
      </c>
      <c r="E511" s="75">
        <f>60*F511*'THAM_SO_MOI'!$C$53/(2*PI()*'THAM_SO_MOI'!$C$26)</f>
        <v>1675.7231578947367</v>
      </c>
      <c r="F511" s="75">
        <f>'THAM_SO_MOI'!$E$53+('THAM_SO_MOI'!$C$14-'THAM_SO_MOI'!$E$53)*505/'THAM_SO_MOI'!$C$42</f>
        <v>17.007873931623934</v>
      </c>
      <c r="G511" s="75">
        <f>3.6*F511</f>
        <v>61.22834615384616</v>
      </c>
      <c r="H511" s="75">
        <f>'THAM_SO_MOI'!$D$53</f>
        <v>1.1</v>
      </c>
      <c r="I511" s="75">
        <f>IF(F511&gt;'THAM_SO_MOI'!$C$14,'THAM_SO_MOI'!$C$13*(1+F511^2/1500),'THAM_SO_MOI'!$C$13)</f>
        <v>0.015</v>
      </c>
      <c r="J511" s="75">
        <f>'THAM_SO_MOI'!$C$40*('THAM_SO_MOI'!$C$23*(E511/'THAM_SO_MOI'!$C$22)+'THAM_SO_MOI'!$C$24*(E511/'THAM_SO_MOI'!$C$22)^2-'THAM_SO_MOI'!$C$25*(E511/'THAM_SO_MOI'!$C$22)^3)</f>
        <v>73.41418384605515</v>
      </c>
      <c r="K511" s="75">
        <f>'THAM_SO_MOI'!$C$31*J511/E511</f>
        <v>418.4379077337236</v>
      </c>
      <c r="L511" s="75">
        <f>K511*'THAM_SO_MOI'!$C$53*'THAM_SO_MOI'!$C$17/'THAM_SO_MOI'!$C$26</f>
        <v>3669.702088159132</v>
      </c>
      <c r="M511" s="75">
        <f>'THAM_SO_MOI'!$C$15*'THAM_SO_MOI'!$C$16*F511^2</f>
        <v>846.108243846488</v>
      </c>
      <c r="N511" s="75">
        <f>'THAM_SO_MOI'!$C$12*I511</f>
        <v>1130.112</v>
      </c>
      <c r="O511" s="75">
        <f>M511+N511</f>
        <v>1976.220243846488</v>
      </c>
      <c r="P511" s="75">
        <f>(MIN(L511,'THAM_SO_MOI'!$C$41)-O511)/('THAM_SO_MOI'!$C$11*H511)</f>
        <v>0.20045949861655352</v>
      </c>
      <c r="Q511" s="75">
        <f>IF(P511&gt;0,1/P511,NA())</f>
        <v>4.988538866461188</v>
      </c>
      <c r="R511" s="75">
        <f>F511-F510</f>
        <v>0.017600427350430436</v>
      </c>
      <c r="S511" s="75">
        <f>0.5*(Q510+Q511)*R511</f>
        <v>0.08777387009484838</v>
      </c>
      <c r="T511" s="75">
        <f>0.5*(F510*Q510+F511*Q511)*R511</f>
        <v>1.492074721860774</v>
      </c>
      <c r="U511" s="76">
        <f>U510+S511</f>
        <v>42.52053718184144</v>
      </c>
      <c r="V511" s="76">
        <f>V510+T511</f>
        <v>533.4964420669857</v>
      </c>
    </row>
    <row r="512" spans="1:22" ht="19" customHeight="1">
      <c r="A512" s="68" t="s">
        <v>362</v>
      </c>
      <c r="B512" s="74">
        <v>5</v>
      </c>
      <c r="C512" s="68" t="s">
        <v>363</v>
      </c>
      <c r="D512" s="68" t="s">
        <v>364</v>
      </c>
      <c r="E512" s="75">
        <f>60*F512*'THAM_SO_MOI'!$C$53/(2*PI()*'THAM_SO_MOI'!$C$26)</f>
        <v>1677.4572631578944</v>
      </c>
      <c r="F512" s="75">
        <f>'THAM_SO_MOI'!$E$53+('THAM_SO_MOI'!$C$14-'THAM_SO_MOI'!$E$53)*506/'THAM_SO_MOI'!$C$42</f>
        <v>17.025474358974357</v>
      </c>
      <c r="G512" s="75">
        <f>3.6*F512</f>
        <v>61.29170769230769</v>
      </c>
      <c r="H512" s="75">
        <f>'THAM_SO_MOI'!$D$53</f>
        <v>1.1</v>
      </c>
      <c r="I512" s="75">
        <f>IF(F512&gt;'THAM_SO_MOI'!$C$14,'THAM_SO_MOI'!$C$13*(1+F512^2/1500),'THAM_SO_MOI'!$C$13)</f>
        <v>0.015</v>
      </c>
      <c r="J512" s="75">
        <f>'THAM_SO_MOI'!$C$40*('THAM_SO_MOI'!$C$23*(E512/'THAM_SO_MOI'!$C$22)+'THAM_SO_MOI'!$C$24*(E512/'THAM_SO_MOI'!$C$22)^2-'THAM_SO_MOI'!$C$25*(E512/'THAM_SO_MOI'!$C$22)^3)</f>
        <v>73.50463602396118</v>
      </c>
      <c r="K512" s="75">
        <f>'THAM_SO_MOI'!$C$31*J512/E512</f>
        <v>418.52035530151807</v>
      </c>
      <c r="L512" s="75">
        <f>K512*'THAM_SO_MOI'!$C$53*'THAM_SO_MOI'!$C$17/'THAM_SO_MOI'!$C$26</f>
        <v>3670.4251536513043</v>
      </c>
      <c r="M512" s="75">
        <f>'THAM_SO_MOI'!$C$15*'THAM_SO_MOI'!$C$16*F512^2</f>
        <v>847.860323158173</v>
      </c>
      <c r="N512" s="75">
        <f>'THAM_SO_MOI'!$C$12*I512</f>
        <v>1130.112</v>
      </c>
      <c r="O512" s="75">
        <f>M512+N512</f>
        <v>1977.972323158173</v>
      </c>
      <c r="P512" s="75">
        <f>(MIN(L512,'THAM_SO_MOI'!$C$41)-O512)/('THAM_SO_MOI'!$C$11*H512)</f>
        <v>0.2003376930034483</v>
      </c>
      <c r="Q512" s="75">
        <f>IF(P512&gt;0,1/P512,NA())</f>
        <v>4.991571905456591</v>
      </c>
      <c r="R512" s="75">
        <f>F512-F511</f>
        <v>0.01760042735042333</v>
      </c>
      <c r="S512" s="75">
        <f>0.5*(Q511+Q512)*R512</f>
        <v>0.0878271072951581</v>
      </c>
      <c r="T512" s="75">
        <f>0.5*(F511*Q511+F512*Q512)*R512</f>
        <v>1.4945255008558769</v>
      </c>
      <c r="U512" s="76">
        <f>U511+S512</f>
        <v>42.608364289136595</v>
      </c>
      <c r="V512" s="76">
        <f>V511+T512</f>
        <v>534.9909675678415</v>
      </c>
    </row>
    <row r="513" spans="1:22" ht="19" customHeight="1">
      <c r="A513" s="68" t="s">
        <v>362</v>
      </c>
      <c r="B513" s="74">
        <v>5</v>
      </c>
      <c r="C513" s="68" t="s">
        <v>363</v>
      </c>
      <c r="D513" s="68" t="s">
        <v>364</v>
      </c>
      <c r="E513" s="75">
        <f>60*F513*'THAM_SO_MOI'!$C$53/(2*PI()*'THAM_SO_MOI'!$C$26)</f>
        <v>1679.1913684210524</v>
      </c>
      <c r="F513" s="75">
        <f>'THAM_SO_MOI'!$E$53+('THAM_SO_MOI'!$C$14-'THAM_SO_MOI'!$E$53)*507/'THAM_SO_MOI'!$C$42</f>
        <v>17.043074786324787</v>
      </c>
      <c r="G513" s="75">
        <f>3.6*F513</f>
        <v>61.35506923076924</v>
      </c>
      <c r="H513" s="75">
        <f>'THAM_SO_MOI'!$D$53</f>
        <v>1.1</v>
      </c>
      <c r="I513" s="75">
        <f>IF(F513&gt;'THAM_SO_MOI'!$C$14,'THAM_SO_MOI'!$C$13*(1+F513^2/1500),'THAM_SO_MOI'!$C$13)</f>
        <v>0.015</v>
      </c>
      <c r="J513" s="75">
        <f>'THAM_SO_MOI'!$C$40*('THAM_SO_MOI'!$C$23*(E513/'THAM_SO_MOI'!$C$22)+'THAM_SO_MOI'!$C$24*(E513/'THAM_SO_MOI'!$C$22)^2-'THAM_SO_MOI'!$C$25*(E513/'THAM_SO_MOI'!$C$22)^3)</f>
        <v>73.59506684993339</v>
      </c>
      <c r="K513" s="75">
        <f>'THAM_SO_MOI'!$C$31*J513/E513</f>
        <v>418.60251113368776</v>
      </c>
      <c r="L513" s="75">
        <f>K513*'THAM_SO_MOI'!$C$53*'THAM_SO_MOI'!$C$17/'THAM_SO_MOI'!$C$26</f>
        <v>3671.145660620906</v>
      </c>
      <c r="M513" s="75">
        <f>'THAM_SO_MOI'!$C$15*'THAM_SO_MOI'!$C$16*F513^2</f>
        <v>849.6142146538597</v>
      </c>
      <c r="N513" s="75">
        <f>'THAM_SO_MOI'!$C$12*I513</f>
        <v>1130.112</v>
      </c>
      <c r="O513" s="75">
        <f>M513+N513</f>
        <v>1979.7262146538596</v>
      </c>
      <c r="P513" s="75">
        <f>(MIN(L513,'THAM_SO_MOI'!$C$41)-O513)/('THAM_SO_MOI'!$C$11*H513)</f>
        <v>0.20021537002450832</v>
      </c>
      <c r="Q513" s="75">
        <f>IF(P513&gt;0,1/P513,NA())</f>
        <v>4.99462154118133</v>
      </c>
      <c r="R513" s="75">
        <f>F513-F512</f>
        <v>0.017600427350430436</v>
      </c>
      <c r="S513" s="75">
        <f>0.5*(Q512+Q513)*R513</f>
        <v>0.08788063613244763</v>
      </c>
      <c r="T513" s="75">
        <f>0.5*(F512*Q512+F513*Q513)*R513</f>
        <v>1.4969831216744813</v>
      </c>
      <c r="U513" s="76">
        <f>U512+S513</f>
        <v>42.69624492526904</v>
      </c>
      <c r="V513" s="76">
        <f>V512+T513</f>
        <v>536.487950689516</v>
      </c>
    </row>
    <row r="514" spans="1:22" ht="19" customHeight="1">
      <c r="A514" s="68" t="s">
        <v>362</v>
      </c>
      <c r="B514" s="74">
        <v>5</v>
      </c>
      <c r="C514" s="68" t="s">
        <v>363</v>
      </c>
      <c r="D514" s="68" t="s">
        <v>364</v>
      </c>
      <c r="E514" s="75">
        <f>60*F514*'THAM_SO_MOI'!$C$53/(2*PI()*'THAM_SO_MOI'!$C$26)</f>
        <v>1680.9254736842104</v>
      </c>
      <c r="F514" s="75">
        <f>'THAM_SO_MOI'!$E$53+('THAM_SO_MOI'!$C$14-'THAM_SO_MOI'!$E$53)*508/'THAM_SO_MOI'!$C$42</f>
        <v>17.060675213675214</v>
      </c>
      <c r="G514" s="75">
        <f>3.6*F514</f>
        <v>61.418430769230774</v>
      </c>
      <c r="H514" s="75">
        <f>'THAM_SO_MOI'!$D$53</f>
        <v>1.1</v>
      </c>
      <c r="I514" s="75">
        <f>IF(F514&gt;'THAM_SO_MOI'!$C$14,'THAM_SO_MOI'!$C$13*(1+F514^2/1500),'THAM_SO_MOI'!$C$13)</f>
        <v>0.015</v>
      </c>
      <c r="J514" s="75">
        <f>'THAM_SO_MOI'!$C$40*('THAM_SO_MOI'!$C$23*(E514/'THAM_SO_MOI'!$C$22)+'THAM_SO_MOI'!$C$24*(E514/'THAM_SO_MOI'!$C$22)^2-'THAM_SO_MOI'!$C$25*(E514/'THAM_SO_MOI'!$C$22)^3)</f>
        <v>73.68547616506844</v>
      </c>
      <c r="K514" s="75">
        <f>'THAM_SO_MOI'!$C$31*J514/E514</f>
        <v>418.68437523023226</v>
      </c>
      <c r="L514" s="75">
        <f>K514*'THAM_SO_MOI'!$C$53*'THAM_SO_MOI'!$C$17/'THAM_SO_MOI'!$C$26</f>
        <v>3671.8636090679324</v>
      </c>
      <c r="M514" s="75">
        <f>'THAM_SO_MOI'!$C$15*'THAM_SO_MOI'!$C$16*F514^2</f>
        <v>851.3699183335472</v>
      </c>
      <c r="N514" s="75">
        <f>'THAM_SO_MOI'!$C$12*I514</f>
        <v>1130.112</v>
      </c>
      <c r="O514" s="75">
        <f>M514+N514</f>
        <v>1981.4819183335471</v>
      </c>
      <c r="P514" s="75">
        <f>(MIN(L514,'THAM_SO_MOI'!$C$41)-O514)/('THAM_SO_MOI'!$C$11*H514)</f>
        <v>0.20009252967973312</v>
      </c>
      <c r="Q514" s="75">
        <f>IF(P514&gt;0,1/P514,NA())</f>
        <v>4.997687827729471</v>
      </c>
      <c r="R514" s="75">
        <f>F514-F513</f>
        <v>0.017600427350426884</v>
      </c>
      <c r="S514" s="75">
        <f>0.5*(Q513+Q514)*R514</f>
        <v>0.08793445755525223</v>
      </c>
      <c r="T514" s="75">
        <f>0.5*(F513*Q513+F514*Q514)*R514</f>
        <v>1.4994476158897285</v>
      </c>
      <c r="U514" s="76">
        <f>U513+S514</f>
        <v>42.78417938282429</v>
      </c>
      <c r="V514" s="76">
        <f>V513+T514</f>
        <v>537.9873983054057</v>
      </c>
    </row>
    <row r="515" spans="1:22" ht="19" customHeight="1">
      <c r="A515" s="68" t="s">
        <v>362</v>
      </c>
      <c r="B515" s="74">
        <v>5</v>
      </c>
      <c r="C515" s="68" t="s">
        <v>363</v>
      </c>
      <c r="D515" s="68" t="s">
        <v>364</v>
      </c>
      <c r="E515" s="75">
        <f>60*F515*'THAM_SO_MOI'!$C$53/(2*PI()*'THAM_SO_MOI'!$C$26)</f>
        <v>1682.659578947368</v>
      </c>
      <c r="F515" s="75">
        <f>'THAM_SO_MOI'!$E$53+('THAM_SO_MOI'!$C$14-'THAM_SO_MOI'!$E$53)*509/'THAM_SO_MOI'!$C$42</f>
        <v>17.07827564102564</v>
      </c>
      <c r="G515" s="75">
        <f>3.6*F515</f>
        <v>61.48179230769231</v>
      </c>
      <c r="H515" s="75">
        <f>'THAM_SO_MOI'!$D$53</f>
        <v>1.1</v>
      </c>
      <c r="I515" s="75">
        <f>IF(F515&gt;'THAM_SO_MOI'!$C$14,'THAM_SO_MOI'!$C$13*(1+F515^2/1500),'THAM_SO_MOI'!$C$13)</f>
        <v>0.015</v>
      </c>
      <c r="J515" s="75">
        <f>'THAM_SO_MOI'!$C$40*('THAM_SO_MOI'!$C$23*(E515/'THAM_SO_MOI'!$C$22)+'THAM_SO_MOI'!$C$24*(E515/'THAM_SO_MOI'!$C$22)^2-'THAM_SO_MOI'!$C$25*(E515/'THAM_SO_MOI'!$C$22)^3)</f>
        <v>73.77586381046302</v>
      </c>
      <c r="K515" s="75">
        <f>'THAM_SO_MOI'!$C$31*J515/E515</f>
        <v>418.76594759115164</v>
      </c>
      <c r="L515" s="75">
        <f>K515*'THAM_SO_MOI'!$C$53*'THAM_SO_MOI'!$C$17/'THAM_SO_MOI'!$C$26</f>
        <v>3672.578998992386</v>
      </c>
      <c r="M515" s="75">
        <f>'THAM_SO_MOI'!$C$15*'THAM_SO_MOI'!$C$16*F515^2</f>
        <v>853.1274341972356</v>
      </c>
      <c r="N515" s="75">
        <f>'THAM_SO_MOI'!$C$12*I515</f>
        <v>1130.112</v>
      </c>
      <c r="O515" s="75">
        <f>M515+N515</f>
        <v>1983.2394341972358</v>
      </c>
      <c r="P515" s="75">
        <f>(MIN(L515,'THAM_SO_MOI'!$C$41)-O515)/('THAM_SO_MOI'!$C$11*H515)</f>
        <v>0.1999691719691229</v>
      </c>
      <c r="Q515" s="75">
        <f>IF(P515&gt;0,1/P515,NA())</f>
        <v>5.000770819586178</v>
      </c>
      <c r="R515" s="75">
        <f>F515-F514</f>
        <v>0.017600427350426884</v>
      </c>
      <c r="S515" s="75">
        <f>0.5*(Q514+Q515)*R515</f>
        <v>0.08798857251916326</v>
      </c>
      <c r="T515" s="75">
        <f>0.5*(F514*Q514+F515*Q515)*R515</f>
        <v>1.5019190152619821</v>
      </c>
      <c r="U515" s="76">
        <f>U514+S515</f>
        <v>42.87216795534346</v>
      </c>
      <c r="V515" s="76">
        <f>V514+T515</f>
        <v>539.4893173206676</v>
      </c>
    </row>
    <row r="516" spans="1:22" ht="19" customHeight="1">
      <c r="A516" s="68" t="s">
        <v>362</v>
      </c>
      <c r="B516" s="74">
        <v>5</v>
      </c>
      <c r="C516" s="68" t="s">
        <v>363</v>
      </c>
      <c r="D516" s="68" t="s">
        <v>364</v>
      </c>
      <c r="E516" s="75">
        <f>60*F516*'THAM_SO_MOI'!$C$53/(2*PI()*'THAM_SO_MOI'!$C$26)</f>
        <v>1684.3936842105259</v>
      </c>
      <c r="F516" s="75">
        <f>'THAM_SO_MOI'!$E$53+('THAM_SO_MOI'!$C$14-'THAM_SO_MOI'!$E$53)*510/'THAM_SO_MOI'!$C$42</f>
        <v>17.095876068376068</v>
      </c>
      <c r="G516" s="75">
        <f>3.6*F516</f>
        <v>61.545153846153845</v>
      </c>
      <c r="H516" s="75">
        <f>'THAM_SO_MOI'!$D$53</f>
        <v>1.1</v>
      </c>
      <c r="I516" s="75">
        <f>IF(F516&gt;'THAM_SO_MOI'!$C$14,'THAM_SO_MOI'!$C$13*(1+F516^2/1500),'THAM_SO_MOI'!$C$13)</f>
        <v>0.015</v>
      </c>
      <c r="J516" s="75">
        <f>'THAM_SO_MOI'!$C$40*('THAM_SO_MOI'!$C$23*(E516/'THAM_SO_MOI'!$C$22)+'THAM_SO_MOI'!$C$24*(E516/'THAM_SO_MOI'!$C$22)^2-'THAM_SO_MOI'!$C$25*(E516/'THAM_SO_MOI'!$C$22)^3)</f>
        <v>73.86622962721394</v>
      </c>
      <c r="K516" s="75">
        <f>'THAM_SO_MOI'!$C$31*J516/E516</f>
        <v>418.8472282164462</v>
      </c>
      <c r="L516" s="75">
        <f>K516*'THAM_SO_MOI'!$C$53*'THAM_SO_MOI'!$C$17/'THAM_SO_MOI'!$C$26</f>
        <v>3673.291830394267</v>
      </c>
      <c r="M516" s="75">
        <f>'THAM_SO_MOI'!$C$15*'THAM_SO_MOI'!$C$16*F516^2</f>
        <v>854.8867622449253</v>
      </c>
      <c r="N516" s="75">
        <f>'THAM_SO_MOI'!$C$12*I516</f>
        <v>1130.112</v>
      </c>
      <c r="O516" s="75">
        <f>M516+N516</f>
        <v>1984.9987622449253</v>
      </c>
      <c r="P516" s="75">
        <f>(MIN(L516,'THAM_SO_MOI'!$C$41)-O516)/('THAM_SO_MOI'!$C$11*H516)</f>
        <v>0.19984529689267777</v>
      </c>
      <c r="Q516" s="75">
        <f>IF(P516&gt;0,1/P516,NA())</f>
        <v>5.0038705716303475</v>
      </c>
      <c r="R516" s="75">
        <f>F516-F515</f>
        <v>0.017600427350426884</v>
      </c>
      <c r="S516" s="75">
        <f>0.5*(Q515+Q516)*R516</f>
        <v>0.0880429819865901</v>
      </c>
      <c r="T516" s="75">
        <f>0.5*(F515*Q515+F516*Q516)*R516</f>
        <v>1.5043973517353815</v>
      </c>
      <c r="U516" s="76">
        <f>U515+S516</f>
        <v>42.96021093733005</v>
      </c>
      <c r="V516" s="76">
        <f>V515+T516</f>
        <v>540.993714672403</v>
      </c>
    </row>
    <row r="517" spans="1:22" ht="19" customHeight="1">
      <c r="A517" s="68" t="s">
        <v>362</v>
      </c>
      <c r="B517" s="74">
        <v>5</v>
      </c>
      <c r="C517" s="68" t="s">
        <v>363</v>
      </c>
      <c r="D517" s="68" t="s">
        <v>364</v>
      </c>
      <c r="E517" s="75">
        <f>60*F517*'THAM_SO_MOI'!$C$53/(2*PI()*'THAM_SO_MOI'!$C$26)</f>
        <v>1686.1277894736836</v>
      </c>
      <c r="F517" s="75">
        <f>'THAM_SO_MOI'!$E$53+('THAM_SO_MOI'!$C$14-'THAM_SO_MOI'!$E$53)*511/'THAM_SO_MOI'!$C$42</f>
        <v>17.113476495726495</v>
      </c>
      <c r="G517" s="75">
        <f>3.6*F517</f>
        <v>61.60851538461538</v>
      </c>
      <c r="H517" s="75">
        <f>'THAM_SO_MOI'!$D$53</f>
        <v>1.1</v>
      </c>
      <c r="I517" s="75">
        <f>IF(F517&gt;'THAM_SO_MOI'!$C$14,'THAM_SO_MOI'!$C$13*(1+F517^2/1500),'THAM_SO_MOI'!$C$13)</f>
        <v>0.015</v>
      </c>
      <c r="J517" s="75">
        <f>'THAM_SO_MOI'!$C$40*('THAM_SO_MOI'!$C$23*(E517/'THAM_SO_MOI'!$C$22)+'THAM_SO_MOI'!$C$24*(E517/'THAM_SO_MOI'!$C$22)^2-'THAM_SO_MOI'!$C$25*(E517/'THAM_SO_MOI'!$C$22)^3)</f>
        <v>73.95657345641784</v>
      </c>
      <c r="K517" s="75">
        <f>'THAM_SO_MOI'!$C$31*J517/E517</f>
        <v>418.9282171061156</v>
      </c>
      <c r="L517" s="75">
        <f>K517*'THAM_SO_MOI'!$C$53*'THAM_SO_MOI'!$C$17/'THAM_SO_MOI'!$C$26</f>
        <v>3674.002103273575</v>
      </c>
      <c r="M517" s="75">
        <f>'THAM_SO_MOI'!$C$15*'THAM_SO_MOI'!$C$16*F517^2</f>
        <v>856.6479024766159</v>
      </c>
      <c r="N517" s="75">
        <f>'THAM_SO_MOI'!$C$12*I517</f>
        <v>1130.112</v>
      </c>
      <c r="O517" s="75">
        <f>M517+N517</f>
        <v>1986.759902476616</v>
      </c>
      <c r="P517" s="75">
        <f>(MIN(L517,'THAM_SO_MOI'!$C$41)-O517)/('THAM_SO_MOI'!$C$11*H517)</f>
        <v>0.1997209044503976</v>
      </c>
      <c r="Q517" s="75">
        <f>IF(P517&gt;0,1/P517,NA())</f>
        <v>5.006987139137248</v>
      </c>
      <c r="R517" s="75">
        <f>F517-F516</f>
        <v>0.017600427350426884</v>
      </c>
      <c r="S517" s="75">
        <f>0.5*(Q516+Q517)*R517</f>
        <v>0.08809768692691293</v>
      </c>
      <c r="T517" s="75">
        <f>0.5*(F516*Q516+F517*Q517)*R517</f>
        <v>1.5068826574410552</v>
      </c>
      <c r="U517" s="76">
        <f>U516+S517</f>
        <v>43.04830862425696</v>
      </c>
      <c r="V517" s="76">
        <f>V516+T517</f>
        <v>542.5005973298441</v>
      </c>
    </row>
    <row r="518" spans="1:22" ht="19" customHeight="1">
      <c r="A518" s="68" t="s">
        <v>362</v>
      </c>
      <c r="B518" s="74">
        <v>5</v>
      </c>
      <c r="C518" s="68" t="s">
        <v>363</v>
      </c>
      <c r="D518" s="68" t="s">
        <v>364</v>
      </c>
      <c r="E518" s="75">
        <f>60*F518*'THAM_SO_MOI'!$C$53/(2*PI()*'THAM_SO_MOI'!$C$26)</f>
        <v>1687.8618947368418</v>
      </c>
      <c r="F518" s="75">
        <f>'THAM_SO_MOI'!$E$53+('THAM_SO_MOI'!$C$14-'THAM_SO_MOI'!$E$53)*512/'THAM_SO_MOI'!$C$42</f>
        <v>17.131076923076925</v>
      </c>
      <c r="G518" s="75">
        <f>3.6*F518</f>
        <v>61.67187692307693</v>
      </c>
      <c r="H518" s="75">
        <f>'THAM_SO_MOI'!$D$53</f>
        <v>1.1</v>
      </c>
      <c r="I518" s="75">
        <f>IF(F518&gt;'THAM_SO_MOI'!$C$14,'THAM_SO_MOI'!$C$13*(1+F518^2/1500),'THAM_SO_MOI'!$C$13)</f>
        <v>0.015</v>
      </c>
      <c r="J518" s="75">
        <f>'THAM_SO_MOI'!$C$40*('THAM_SO_MOI'!$C$23*(E518/'THAM_SO_MOI'!$C$22)+'THAM_SO_MOI'!$C$24*(E518/'THAM_SO_MOI'!$C$22)^2-'THAM_SO_MOI'!$C$25*(E518/'THAM_SO_MOI'!$C$22)^3)</f>
        <v>74.04689513917151</v>
      </c>
      <c r="K518" s="75">
        <f>'THAM_SO_MOI'!$C$31*J518/E518</f>
        <v>419.00891426015994</v>
      </c>
      <c r="L518" s="75">
        <f>K518*'THAM_SO_MOI'!$C$53*'THAM_SO_MOI'!$C$17/'THAM_SO_MOI'!$C$26</f>
        <v>3674.7098176303093</v>
      </c>
      <c r="M518" s="75">
        <f>'THAM_SO_MOI'!$C$15*'THAM_SO_MOI'!$C$16*F518^2</f>
        <v>858.410854892308</v>
      </c>
      <c r="N518" s="75">
        <f>'THAM_SO_MOI'!$C$12*I518</f>
        <v>1130.112</v>
      </c>
      <c r="O518" s="75">
        <f>M518+N518</f>
        <v>1988.522854892308</v>
      </c>
      <c r="P518" s="75">
        <f>(MIN(L518,'THAM_SO_MOI'!$C$41)-O518)/('THAM_SO_MOI'!$C$11*H518)</f>
        <v>0.1995959946422823</v>
      </c>
      <c r="Q518" s="75">
        <f>IF(P518&gt;0,1/P518,NA())</f>
        <v>5.010120577781176</v>
      </c>
      <c r="R518" s="75">
        <f>F518-F517</f>
        <v>0.017600427350430436</v>
      </c>
      <c r="S518" s="75">
        <f>0.5*(Q517+Q518)*R518</f>
        <v>0.0881526883165294</v>
      </c>
      <c r="T518" s="75">
        <f>0.5*(F517*Q517+F518*Q518)*R518</f>
        <v>1.5093749646985324</v>
      </c>
      <c r="U518" s="76">
        <f>U517+S518</f>
        <v>43.13646131257349</v>
      </c>
      <c r="V518" s="76">
        <f>V517+T518</f>
        <v>544.0099722945426</v>
      </c>
    </row>
    <row r="519" spans="1:22" ht="19" customHeight="1">
      <c r="A519" s="68" t="s">
        <v>362</v>
      </c>
      <c r="B519" s="74">
        <v>5</v>
      </c>
      <c r="C519" s="68" t="s">
        <v>363</v>
      </c>
      <c r="D519" s="68" t="s">
        <v>364</v>
      </c>
      <c r="E519" s="75">
        <f>60*F519*'THAM_SO_MOI'!$C$53/(2*PI()*'THAM_SO_MOI'!$C$26)</f>
        <v>1689.5959999999995</v>
      </c>
      <c r="F519" s="75">
        <f>'THAM_SO_MOI'!$E$53+('THAM_SO_MOI'!$C$14-'THAM_SO_MOI'!$E$53)*513/'THAM_SO_MOI'!$C$42</f>
        <v>17.14867735042735</v>
      </c>
      <c r="G519" s="75">
        <f>3.6*F519</f>
        <v>61.73523846153846</v>
      </c>
      <c r="H519" s="75">
        <f>'THAM_SO_MOI'!$D$53</f>
        <v>1.1</v>
      </c>
      <c r="I519" s="75">
        <f>IF(F519&gt;'THAM_SO_MOI'!$C$14,'THAM_SO_MOI'!$C$13*(1+F519^2/1500),'THAM_SO_MOI'!$C$13)</f>
        <v>0.015</v>
      </c>
      <c r="J519" s="75">
        <f>'THAM_SO_MOI'!$C$40*('THAM_SO_MOI'!$C$23*(E519/'THAM_SO_MOI'!$C$22)+'THAM_SO_MOI'!$C$24*(E519/'THAM_SO_MOI'!$C$22)^2-'THAM_SO_MOI'!$C$25*(E519/'THAM_SO_MOI'!$C$22)^3)</f>
        <v>74.13719451657163</v>
      </c>
      <c r="K519" s="75">
        <f>'THAM_SO_MOI'!$C$31*J519/E519</f>
        <v>419.0893196785794</v>
      </c>
      <c r="L519" s="75">
        <f>K519*'THAM_SO_MOI'!$C$53*'THAM_SO_MOI'!$C$17/'THAM_SO_MOI'!$C$26</f>
        <v>3675.4149734644716</v>
      </c>
      <c r="M519" s="75">
        <f>'THAM_SO_MOI'!$C$15*'THAM_SO_MOI'!$C$16*F519^2</f>
        <v>860.1756194920005</v>
      </c>
      <c r="N519" s="75">
        <f>'THAM_SO_MOI'!$C$12*I519</f>
        <v>1130.112</v>
      </c>
      <c r="O519" s="75">
        <f>M519+N519</f>
        <v>1990.2876194920004</v>
      </c>
      <c r="P519" s="75">
        <f>(MIN(L519,'THAM_SO_MOI'!$C$41)-O519)/('THAM_SO_MOI'!$C$11*H519)</f>
        <v>0.19947056746833228</v>
      </c>
      <c r="Q519" s="75">
        <f>IF(P519&gt;0,1/P519,NA())</f>
        <v>5.013270943638132</v>
      </c>
      <c r="R519" s="75">
        <f>F519-F518</f>
        <v>0.01760042735042333</v>
      </c>
      <c r="S519" s="75">
        <f>0.5*(Q518+Q519)*R519</f>
        <v>0.08820798713879487</v>
      </c>
      <c r="T519" s="75">
        <f>0.5*(F518*Q518+F519*Q519)*R519</f>
        <v>1.5118743060153361</v>
      </c>
      <c r="U519" s="76">
        <f>U518+S519</f>
        <v>43.22466929971228</v>
      </c>
      <c r="V519" s="76">
        <f>V518+T519</f>
        <v>545.521846600558</v>
      </c>
    </row>
    <row r="520" spans="1:22" ht="19" customHeight="1">
      <c r="A520" s="68" t="s">
        <v>362</v>
      </c>
      <c r="B520" s="74">
        <v>5</v>
      </c>
      <c r="C520" s="68" t="s">
        <v>363</v>
      </c>
      <c r="D520" s="68" t="s">
        <v>364</v>
      </c>
      <c r="E520" s="75">
        <f>60*F520*'THAM_SO_MOI'!$C$53/(2*PI()*'THAM_SO_MOI'!$C$26)</f>
        <v>1691.3301052631575</v>
      </c>
      <c r="F520" s="75">
        <f>'THAM_SO_MOI'!$E$53+('THAM_SO_MOI'!$C$14-'THAM_SO_MOI'!$E$53)*514/'THAM_SO_MOI'!$C$42</f>
        <v>17.16627777777778</v>
      </c>
      <c r="G520" s="75">
        <f>3.6*F520</f>
        <v>61.79860000000001</v>
      </c>
      <c r="H520" s="75">
        <f>'THAM_SO_MOI'!$D$53</f>
        <v>1.1</v>
      </c>
      <c r="I520" s="75">
        <f>IF(F520&gt;'THAM_SO_MOI'!$C$14,'THAM_SO_MOI'!$C$13*(1+F520^2/1500),'THAM_SO_MOI'!$C$13)</f>
        <v>0.015</v>
      </c>
      <c r="J520" s="75">
        <f>'THAM_SO_MOI'!$C$40*('THAM_SO_MOI'!$C$23*(E520/'THAM_SO_MOI'!$C$22)+'THAM_SO_MOI'!$C$24*(E520/'THAM_SO_MOI'!$C$22)^2-'THAM_SO_MOI'!$C$25*(E520/'THAM_SO_MOI'!$C$22)^3)</f>
        <v>74.22747142971491</v>
      </c>
      <c r="K520" s="75">
        <f>'THAM_SO_MOI'!$C$31*J520/E520</f>
        <v>419.16943336137365</v>
      </c>
      <c r="L520" s="75">
        <f>K520*'THAM_SO_MOI'!$C$53*'THAM_SO_MOI'!$C$17/'THAM_SO_MOI'!$C$26</f>
        <v>3676.11757077606</v>
      </c>
      <c r="M520" s="75">
        <f>'THAM_SO_MOI'!$C$15*'THAM_SO_MOI'!$C$16*F520^2</f>
        <v>861.9421962756946</v>
      </c>
      <c r="N520" s="75">
        <f>'THAM_SO_MOI'!$C$12*I520</f>
        <v>1130.112</v>
      </c>
      <c r="O520" s="75">
        <f>M520+N520</f>
        <v>1992.0541962756947</v>
      </c>
      <c r="P520" s="75">
        <f>(MIN(L520,'THAM_SO_MOI'!$C$41)-O520)/('THAM_SO_MOI'!$C$11*H520)</f>
        <v>0.19934462292854702</v>
      </c>
      <c r="Q520" s="75">
        <f>IF(P520&gt;0,1/P520,NA())</f>
        <v>5.016438293188573</v>
      </c>
      <c r="R520" s="75">
        <f>F520-F519</f>
        <v>0.017600427350430436</v>
      </c>
      <c r="S520" s="75">
        <f>0.5*(Q519+Q520)*R520</f>
        <v>0.08826358438435475</v>
      </c>
      <c r="T520" s="75">
        <f>0.5*(F519*Q519+F520*Q520)*R520</f>
        <v>1.5143807140933008</v>
      </c>
      <c r="U520" s="76">
        <f>U519+S520</f>
        <v>43.31293288409664</v>
      </c>
      <c r="V520" s="76">
        <f>V519+T520</f>
        <v>547.0362273146512</v>
      </c>
    </row>
    <row r="521" spans="1:22" ht="19" customHeight="1">
      <c r="A521" s="68" t="s">
        <v>362</v>
      </c>
      <c r="B521" s="74">
        <v>5</v>
      </c>
      <c r="C521" s="68" t="s">
        <v>363</v>
      </c>
      <c r="D521" s="68" t="s">
        <v>364</v>
      </c>
      <c r="E521" s="75">
        <f>60*F521*'THAM_SO_MOI'!$C$53/(2*PI()*'THAM_SO_MOI'!$C$26)</f>
        <v>1693.0642105263155</v>
      </c>
      <c r="F521" s="75">
        <f>'THAM_SO_MOI'!$E$53+('THAM_SO_MOI'!$C$14-'THAM_SO_MOI'!$E$53)*515/'THAM_SO_MOI'!$C$42</f>
        <v>17.183878205128206</v>
      </c>
      <c r="G521" s="75">
        <f>3.6*F521</f>
        <v>61.86196153846154</v>
      </c>
      <c r="H521" s="75">
        <f>'THAM_SO_MOI'!$D$53</f>
        <v>1.1</v>
      </c>
      <c r="I521" s="75">
        <f>IF(F521&gt;'THAM_SO_MOI'!$C$14,'THAM_SO_MOI'!$C$13*(1+F521^2/1500),'THAM_SO_MOI'!$C$13)</f>
        <v>0.015</v>
      </c>
      <c r="J521" s="75">
        <f>'THAM_SO_MOI'!$C$40*('THAM_SO_MOI'!$C$23*(E521/'THAM_SO_MOI'!$C$22)+'THAM_SO_MOI'!$C$24*(E521/'THAM_SO_MOI'!$C$22)^2-'THAM_SO_MOI'!$C$25*(E521/'THAM_SO_MOI'!$C$22)^3)</f>
        <v>74.3177257196981</v>
      </c>
      <c r="K521" s="75">
        <f>'THAM_SO_MOI'!$C$31*J521/E521</f>
        <v>419.249255308543</v>
      </c>
      <c r="L521" s="75">
        <f>K521*'THAM_SO_MOI'!$C$53*'THAM_SO_MOI'!$C$17/'THAM_SO_MOI'!$C$26</f>
        <v>3676.8176095650756</v>
      </c>
      <c r="M521" s="75">
        <f>'THAM_SO_MOI'!$C$15*'THAM_SO_MOI'!$C$16*F521^2</f>
        <v>863.7105852433896</v>
      </c>
      <c r="N521" s="75">
        <f>'THAM_SO_MOI'!$C$12*I521</f>
        <v>1130.112</v>
      </c>
      <c r="O521" s="75">
        <f>M521+N521</f>
        <v>1993.8225852433898</v>
      </c>
      <c r="P521" s="75">
        <f>(MIN(L521,'THAM_SO_MOI'!$C$41)-O521)/('THAM_SO_MOI'!$C$11*H521)</f>
        <v>0.19921816102292683</v>
      </c>
      <c r="Q521" s="75">
        <f>IF(P521&gt;0,1/P521,NA())</f>
        <v>5.019622683320101</v>
      </c>
      <c r="R521" s="75">
        <f>F521-F520</f>
        <v>0.017600427350426884</v>
      </c>
      <c r="S521" s="75">
        <f>0.5*(Q520+Q521)*R521</f>
        <v>0.0883194810507476</v>
      </c>
      <c r="T521" s="75">
        <f>0.5*(F520*Q520+F521*Q521)*R521</f>
        <v>1.5168942218223922</v>
      </c>
      <c r="U521" s="76">
        <f>U520+S521</f>
        <v>43.401252365147386</v>
      </c>
      <c r="V521" s="76">
        <f>V520+T521</f>
        <v>548.5531215364737</v>
      </c>
    </row>
    <row r="522" spans="1:22" ht="19" customHeight="1">
      <c r="A522" s="68" t="s">
        <v>362</v>
      </c>
      <c r="B522" s="74">
        <v>5</v>
      </c>
      <c r="C522" s="68" t="s">
        <v>363</v>
      </c>
      <c r="D522" s="68" t="s">
        <v>364</v>
      </c>
      <c r="E522" s="75">
        <f>60*F522*'THAM_SO_MOI'!$C$53/(2*PI()*'THAM_SO_MOI'!$C$26)</f>
        <v>1694.798315789473</v>
      </c>
      <c r="F522" s="75">
        <f>'THAM_SO_MOI'!$E$53+('THAM_SO_MOI'!$C$14-'THAM_SO_MOI'!$E$53)*516/'THAM_SO_MOI'!$C$42</f>
        <v>17.201478632478633</v>
      </c>
      <c r="G522" s="75">
        <f>3.6*F522</f>
        <v>61.92532307692308</v>
      </c>
      <c r="H522" s="75">
        <f>'THAM_SO_MOI'!$D$53</f>
        <v>1.1</v>
      </c>
      <c r="I522" s="75">
        <f>IF(F522&gt;'THAM_SO_MOI'!$C$14,'THAM_SO_MOI'!$C$13*(1+F522^2/1500),'THAM_SO_MOI'!$C$13)</f>
        <v>0.015</v>
      </c>
      <c r="J522" s="75">
        <f>'THAM_SO_MOI'!$C$40*('THAM_SO_MOI'!$C$23*(E522/'THAM_SO_MOI'!$C$22)+'THAM_SO_MOI'!$C$24*(E522/'THAM_SO_MOI'!$C$22)^2-'THAM_SO_MOI'!$C$25*(E522/'THAM_SO_MOI'!$C$22)^3)</f>
        <v>74.40795722761787</v>
      </c>
      <c r="K522" s="75">
        <f>'THAM_SO_MOI'!$C$31*J522/E522</f>
        <v>419.3287855200871</v>
      </c>
      <c r="L522" s="75">
        <f>K522*'THAM_SO_MOI'!$C$53*'THAM_SO_MOI'!$C$17/'THAM_SO_MOI'!$C$26</f>
        <v>3677.5150898315164</v>
      </c>
      <c r="M522" s="75">
        <f>'THAM_SO_MOI'!$C$15*'THAM_SO_MOI'!$C$16*F522^2</f>
        <v>865.4807863950856</v>
      </c>
      <c r="N522" s="75">
        <f>'THAM_SO_MOI'!$C$12*I522</f>
        <v>1130.112</v>
      </c>
      <c r="O522" s="75">
        <f>M522+N522</f>
        <v>1995.5927863950856</v>
      </c>
      <c r="P522" s="75">
        <f>(MIN(L522,'THAM_SO_MOI'!$C$41)-O522)/('THAM_SO_MOI'!$C$11*H522)</f>
        <v>0.19909118175147145</v>
      </c>
      <c r="Q522" s="75">
        <f>IF(P522&gt;0,1/P522,NA())</f>
        <v>5.022824171330276</v>
      </c>
      <c r="R522" s="75">
        <f>F522-F521</f>
        <v>0.017600427350426884</v>
      </c>
      <c r="S522" s="75">
        <f>0.5*(Q521+Q522)*R522</f>
        <v>0.08837567814289847</v>
      </c>
      <c r="T522" s="75">
        <f>0.5*(F521*Q521+F522*Q522)*R522</f>
        <v>1.5194148622897992</v>
      </c>
      <c r="U522" s="76">
        <f>U521+S522</f>
        <v>43.48962804329028</v>
      </c>
      <c r="V522" s="76">
        <f>V521+T522</f>
        <v>550.0725363987634</v>
      </c>
    </row>
    <row r="523" spans="1:22" ht="19" customHeight="1">
      <c r="A523" s="68" t="s">
        <v>362</v>
      </c>
      <c r="B523" s="74">
        <v>5</v>
      </c>
      <c r="C523" s="68" t="s">
        <v>363</v>
      </c>
      <c r="D523" s="68" t="s">
        <v>364</v>
      </c>
      <c r="E523" s="75">
        <f>60*F523*'THAM_SO_MOI'!$C$53/(2*PI()*'THAM_SO_MOI'!$C$26)</f>
        <v>1696.532421052631</v>
      </c>
      <c r="F523" s="75">
        <f>'THAM_SO_MOI'!$E$53+('THAM_SO_MOI'!$C$14-'THAM_SO_MOI'!$E$53)*517/'THAM_SO_MOI'!$C$42</f>
        <v>17.21907905982906</v>
      </c>
      <c r="G523" s="75">
        <f>3.6*F523</f>
        <v>61.988684615384614</v>
      </c>
      <c r="H523" s="75">
        <f>'THAM_SO_MOI'!$D$53</f>
        <v>1.1</v>
      </c>
      <c r="I523" s="75">
        <f>IF(F523&gt;'THAM_SO_MOI'!$C$14,'THAM_SO_MOI'!$C$13*(1+F523^2/1500),'THAM_SO_MOI'!$C$13)</f>
        <v>0.015</v>
      </c>
      <c r="J523" s="75">
        <f>'THAM_SO_MOI'!$C$40*('THAM_SO_MOI'!$C$23*(E523/'THAM_SO_MOI'!$C$22)+'THAM_SO_MOI'!$C$24*(E523/'THAM_SO_MOI'!$C$22)^2-'THAM_SO_MOI'!$C$25*(E523/'THAM_SO_MOI'!$C$22)^3)</f>
        <v>74.49816579457104</v>
      </c>
      <c r="K523" s="75">
        <f>'THAM_SO_MOI'!$C$31*J523/E523</f>
        <v>419.4080239960064</v>
      </c>
      <c r="L523" s="75">
        <f>K523*'THAM_SO_MOI'!$C$53*'THAM_SO_MOI'!$C$17/'THAM_SO_MOI'!$C$26</f>
        <v>3678.210011575387</v>
      </c>
      <c r="M523" s="75">
        <f>'THAM_SO_MOI'!$C$15*'THAM_SO_MOI'!$C$16*F523^2</f>
        <v>867.2527997307827</v>
      </c>
      <c r="N523" s="75">
        <f>'THAM_SO_MOI'!$C$12*I523</f>
        <v>1130.112</v>
      </c>
      <c r="O523" s="75">
        <f>M523+N523</f>
        <v>1997.3647997307828</v>
      </c>
      <c r="P523" s="75">
        <f>(MIN(L523,'THAM_SO_MOI'!$C$41)-O523)/('THAM_SO_MOI'!$C$11*H523)</f>
        <v>0.19896368511418133</v>
      </c>
      <c r="Q523" s="75">
        <f>IF(P523&gt;0,1/P523,NA())</f>
        <v>5.026042814929366</v>
      </c>
      <c r="R523" s="75">
        <f>F523-F522</f>
        <v>0.017600427350426884</v>
      </c>
      <c r="S523" s="75">
        <f>0.5*(Q522+Q523)*R523</f>
        <v>0.088432176672883</v>
      </c>
      <c r="T523" s="75">
        <f>0.5*(F522*Q522+F523*Q523)*R523</f>
        <v>1.5219426687765225</v>
      </c>
      <c r="U523" s="76">
        <f>U522+S523</f>
        <v>43.57806021996316</v>
      </c>
      <c r="V523" s="76">
        <f>V522+T523</f>
        <v>551.59447906754</v>
      </c>
    </row>
    <row r="524" spans="1:22" ht="19" customHeight="1">
      <c r="A524" s="68" t="s">
        <v>362</v>
      </c>
      <c r="B524" s="74">
        <v>5</v>
      </c>
      <c r="C524" s="68" t="s">
        <v>363</v>
      </c>
      <c r="D524" s="68" t="s">
        <v>364</v>
      </c>
      <c r="E524" s="75">
        <f>60*F524*'THAM_SO_MOI'!$C$53/(2*PI()*'THAM_SO_MOI'!$C$26)</f>
        <v>1698.2665263157894</v>
      </c>
      <c r="F524" s="75">
        <f>'THAM_SO_MOI'!$E$53+('THAM_SO_MOI'!$C$14-'THAM_SO_MOI'!$E$53)*518/'THAM_SO_MOI'!$C$42</f>
        <v>17.236679487179487</v>
      </c>
      <c r="G524" s="75">
        <f>3.6*F524</f>
        <v>62.052046153846156</v>
      </c>
      <c r="H524" s="75">
        <f>'THAM_SO_MOI'!$D$53</f>
        <v>1.1</v>
      </c>
      <c r="I524" s="75">
        <f>IF(F524&gt;'THAM_SO_MOI'!$C$14,'THAM_SO_MOI'!$C$13*(1+F524^2/1500),'THAM_SO_MOI'!$C$13)</f>
        <v>0.015</v>
      </c>
      <c r="J524" s="75">
        <f>'THAM_SO_MOI'!$C$40*('THAM_SO_MOI'!$C$23*(E524/'THAM_SO_MOI'!$C$22)+'THAM_SO_MOI'!$C$24*(E524/'THAM_SO_MOI'!$C$22)^2-'THAM_SO_MOI'!$C$25*(E524/'THAM_SO_MOI'!$C$22)^3)</f>
        <v>74.58835126165427</v>
      </c>
      <c r="K524" s="75">
        <f>'THAM_SO_MOI'!$C$31*J524/E524</f>
        <v>419.48697073630063</v>
      </c>
      <c r="L524" s="75">
        <f>K524*'THAM_SO_MOI'!$C$53*'THAM_SO_MOI'!$C$17/'THAM_SO_MOI'!$C$26</f>
        <v>3678.902374796683</v>
      </c>
      <c r="M524" s="75">
        <f>'THAM_SO_MOI'!$C$15*'THAM_SO_MOI'!$C$16*F524^2</f>
        <v>869.0266252504807</v>
      </c>
      <c r="N524" s="75">
        <f>'THAM_SO_MOI'!$C$12*I524</f>
        <v>1130.112</v>
      </c>
      <c r="O524" s="75">
        <f>M524+N524</f>
        <v>1999.1386252504808</v>
      </c>
      <c r="P524" s="75">
        <f>(MIN(L524,'THAM_SO_MOI'!$C$41)-O524)/('THAM_SO_MOI'!$C$11*H524)</f>
        <v>0.19883567111105613</v>
      </c>
      <c r="Q524" s="75">
        <f>IF(P524&gt;0,1/P524,NA())</f>
        <v>5.02927867224321</v>
      </c>
      <c r="R524" s="75">
        <f>F524-F523</f>
        <v>0.017600427350426884</v>
      </c>
      <c r="S524" s="75">
        <f>0.5*(Q523+Q524)*R524</f>
        <v>0.08848897766008368</v>
      </c>
      <c r="T524" s="75">
        <f>0.5*(F523*Q523+F524*Q524)*R524</f>
        <v>1.5244776747606976</v>
      </c>
      <c r="U524" s="76">
        <f>U523+S524</f>
        <v>43.66654919762325</v>
      </c>
      <c r="V524" s="76">
        <f>V523+T524</f>
        <v>553.1189567423006</v>
      </c>
    </row>
    <row r="525" spans="1:22" ht="19" customHeight="1">
      <c r="A525" s="68" t="s">
        <v>362</v>
      </c>
      <c r="B525" s="74">
        <v>5</v>
      </c>
      <c r="C525" s="68" t="s">
        <v>363</v>
      </c>
      <c r="D525" s="68" t="s">
        <v>364</v>
      </c>
      <c r="E525" s="75">
        <f>60*F525*'THAM_SO_MOI'!$C$53/(2*PI()*'THAM_SO_MOI'!$C$26)</f>
        <v>1700.0006315789474</v>
      </c>
      <c r="F525" s="75">
        <f>'THAM_SO_MOI'!$E$53+('THAM_SO_MOI'!$C$14-'THAM_SO_MOI'!$E$53)*519/'THAM_SO_MOI'!$C$42</f>
        <v>17.254279914529917</v>
      </c>
      <c r="G525" s="75">
        <f>3.6*F525</f>
        <v>62.115407692307706</v>
      </c>
      <c r="H525" s="75">
        <f>'THAM_SO_MOI'!$D$53</f>
        <v>1.1</v>
      </c>
      <c r="I525" s="75">
        <f>IF(F525&gt;'THAM_SO_MOI'!$C$14,'THAM_SO_MOI'!$C$13*(1+F525^2/1500),'THAM_SO_MOI'!$C$13)</f>
        <v>0.015</v>
      </c>
      <c r="J525" s="75">
        <f>'THAM_SO_MOI'!$C$40*('THAM_SO_MOI'!$C$23*(E525/'THAM_SO_MOI'!$C$22)+'THAM_SO_MOI'!$C$24*(E525/'THAM_SO_MOI'!$C$22)^2-'THAM_SO_MOI'!$C$25*(E525/'THAM_SO_MOI'!$C$22)^3)</f>
        <v>74.67851346996426</v>
      </c>
      <c r="K525" s="75">
        <f>'THAM_SO_MOI'!$C$31*J525/E525</f>
        <v>419.5656257409697</v>
      </c>
      <c r="L525" s="75">
        <f>K525*'THAM_SO_MOI'!$C$53*'THAM_SO_MOI'!$C$17/'THAM_SO_MOI'!$C$26</f>
        <v>3679.5921794954056</v>
      </c>
      <c r="M525" s="75">
        <f>'THAM_SO_MOI'!$C$15*'THAM_SO_MOI'!$C$16*F525^2</f>
        <v>870.8022629541803</v>
      </c>
      <c r="N525" s="75">
        <f>'THAM_SO_MOI'!$C$12*I525</f>
        <v>1130.112</v>
      </c>
      <c r="O525" s="75">
        <f>M525+N525</f>
        <v>2000.9142629541802</v>
      </c>
      <c r="P525" s="75">
        <f>(MIN(L525,'THAM_SO_MOI'!$C$41)-O525)/('THAM_SO_MOI'!$C$11*H525)</f>
        <v>0.1987071397420958</v>
      </c>
      <c r="Q525" s="75">
        <f>IF(P525&gt;0,1/P525,NA())</f>
        <v>5.0325318018160345</v>
      </c>
      <c r="R525" s="75">
        <f>F525-F524</f>
        <v>0.017600427350430436</v>
      </c>
      <c r="S525" s="75">
        <f>0.5*(Q524+Q525)*R525</f>
        <v>0.08854608213123988</v>
      </c>
      <c r="T525" s="75">
        <f>0.5*(F524*Q524+F525*Q525)*R525</f>
        <v>1.5270199139190987</v>
      </c>
      <c r="U525" s="76">
        <f>U524+S525</f>
        <v>43.755095279754485</v>
      </c>
      <c r="V525" s="76">
        <f>V524+T525</f>
        <v>554.6459766562197</v>
      </c>
    </row>
    <row r="526" spans="1:22" ht="19" customHeight="1">
      <c r="A526" s="68" t="s">
        <v>362</v>
      </c>
      <c r="B526" s="74">
        <v>5</v>
      </c>
      <c r="C526" s="68" t="s">
        <v>363</v>
      </c>
      <c r="D526" s="68" t="s">
        <v>364</v>
      </c>
      <c r="E526" s="75">
        <f>60*F526*'THAM_SO_MOI'!$C$53/(2*PI()*'THAM_SO_MOI'!$C$26)</f>
        <v>1701.734736842105</v>
      </c>
      <c r="F526" s="75">
        <f>'THAM_SO_MOI'!$E$53+('THAM_SO_MOI'!$C$14-'THAM_SO_MOI'!$E$53)*520/'THAM_SO_MOI'!$C$42</f>
        <v>17.27188034188034</v>
      </c>
      <c r="G526" s="75">
        <f>3.6*F526</f>
        <v>62.17876923076923</v>
      </c>
      <c r="H526" s="75">
        <f>'THAM_SO_MOI'!$D$53</f>
        <v>1.1</v>
      </c>
      <c r="I526" s="75">
        <f>IF(F526&gt;'THAM_SO_MOI'!$C$14,'THAM_SO_MOI'!$C$13*(1+F526^2/1500),'THAM_SO_MOI'!$C$13)</f>
        <v>0.015</v>
      </c>
      <c r="J526" s="75">
        <f>'THAM_SO_MOI'!$C$40*('THAM_SO_MOI'!$C$23*(E526/'THAM_SO_MOI'!$C$22)+'THAM_SO_MOI'!$C$24*(E526/'THAM_SO_MOI'!$C$22)^2-'THAM_SO_MOI'!$C$25*(E526/'THAM_SO_MOI'!$C$22)^3)</f>
        <v>74.76865226059773</v>
      </c>
      <c r="K526" s="75">
        <f>'THAM_SO_MOI'!$C$31*J526/E526</f>
        <v>419.64398901001385</v>
      </c>
      <c r="L526" s="75">
        <f>K526*'THAM_SO_MOI'!$C$53*'THAM_SO_MOI'!$C$17/'THAM_SO_MOI'!$C$26</f>
        <v>3680.2794256715556</v>
      </c>
      <c r="M526" s="75">
        <f>'THAM_SO_MOI'!$C$15*'THAM_SO_MOI'!$C$16*F526^2</f>
        <v>872.5797128418802</v>
      </c>
      <c r="N526" s="75">
        <f>'THAM_SO_MOI'!$C$12*I526</f>
        <v>1130.112</v>
      </c>
      <c r="O526" s="75">
        <f>M526+N526</f>
        <v>2002.6917128418804</v>
      </c>
      <c r="P526" s="75">
        <f>(MIN(L526,'THAM_SO_MOI'!$C$41)-O526)/('THAM_SO_MOI'!$C$11*H526)</f>
        <v>0.19857809100730056</v>
      </c>
      <c r="Q526" s="75">
        <f>IF(P526&gt;0,1/P526,NA())</f>
        <v>5.0358022626133305</v>
      </c>
      <c r="R526" s="75">
        <f>F526-F525</f>
        <v>0.01760042735042333</v>
      </c>
      <c r="S526" s="75">
        <f>0.5*(Q525+Q526)*R526</f>
        <v>0.08860349112039075</v>
      </c>
      <c r="T526" s="75">
        <f>0.5*(F525*Q525+F526*Q526)*R526</f>
        <v>1.5295694201268006</v>
      </c>
      <c r="U526" s="76">
        <f>U525+S526</f>
        <v>43.84369877087487</v>
      </c>
      <c r="V526" s="76">
        <f>V525+T526</f>
        <v>556.1755460763464</v>
      </c>
    </row>
    <row r="527" spans="1:22" ht="19" customHeight="1">
      <c r="A527" s="68" t="s">
        <v>362</v>
      </c>
      <c r="B527" s="74">
        <v>5</v>
      </c>
      <c r="C527" s="68" t="s">
        <v>363</v>
      </c>
      <c r="D527" s="68" t="s">
        <v>364</v>
      </c>
      <c r="E527" s="75">
        <f>60*F527*'THAM_SO_MOI'!$C$53/(2*PI()*'THAM_SO_MOI'!$C$26)</f>
        <v>1703.468842105263</v>
      </c>
      <c r="F527" s="75">
        <f>'THAM_SO_MOI'!$E$53+('THAM_SO_MOI'!$C$14-'THAM_SO_MOI'!$E$53)*521/'THAM_SO_MOI'!$C$42</f>
        <v>17.28948076923077</v>
      </c>
      <c r="G527" s="75">
        <f>3.6*F527</f>
        <v>62.242130769230776</v>
      </c>
      <c r="H527" s="75">
        <f>'THAM_SO_MOI'!$D$53</f>
        <v>1.1</v>
      </c>
      <c r="I527" s="75">
        <f>IF(F527&gt;'THAM_SO_MOI'!$C$14,'THAM_SO_MOI'!$C$13*(1+F527^2/1500),'THAM_SO_MOI'!$C$13)</f>
        <v>0.015</v>
      </c>
      <c r="J527" s="75">
        <f>'THAM_SO_MOI'!$C$40*('THAM_SO_MOI'!$C$23*(E527/'THAM_SO_MOI'!$C$22)+'THAM_SO_MOI'!$C$24*(E527/'THAM_SO_MOI'!$C$22)^2-'THAM_SO_MOI'!$C$25*(E527/'THAM_SO_MOI'!$C$22)^3)</f>
        <v>74.85876747465149</v>
      </c>
      <c r="K527" s="75">
        <f>'THAM_SO_MOI'!$C$31*J527/E527</f>
        <v>419.72206054343303</v>
      </c>
      <c r="L527" s="75">
        <f>K527*'THAM_SO_MOI'!$C$53*'THAM_SO_MOI'!$C$17/'THAM_SO_MOI'!$C$26</f>
        <v>3680.964113325133</v>
      </c>
      <c r="M527" s="75">
        <f>'THAM_SO_MOI'!$C$15*'THAM_SO_MOI'!$C$16*F527^2</f>
        <v>874.358974913582</v>
      </c>
      <c r="N527" s="75">
        <f>'THAM_SO_MOI'!$C$12*I527</f>
        <v>1130.112</v>
      </c>
      <c r="O527" s="75">
        <f>M527+N527</f>
        <v>2004.470974913582</v>
      </c>
      <c r="P527" s="75">
        <f>(MIN(L527,'THAM_SO_MOI'!$C$41)-O527)/('THAM_SO_MOI'!$C$11*H527)</f>
        <v>0.1984485249066703</v>
      </c>
      <c r="Q527" s="75">
        <f>IF(P527&gt;0,1/P527,NA())</f>
        <v>5.039090114024766</v>
      </c>
      <c r="R527" s="75">
        <f>F527-F526</f>
        <v>0.017600427350430436</v>
      </c>
      <c r="S527" s="75">
        <f>0.5*(Q526+Q527)*R527</f>
        <v>0.08866120566921214</v>
      </c>
      <c r="T527" s="75">
        <f>0.5*(F526*Q526+F527*Q527)*R527</f>
        <v>1.532126227463644</v>
      </c>
      <c r="U527" s="76">
        <f>U526+S527</f>
        <v>43.932359976544085</v>
      </c>
      <c r="V527" s="76">
        <f>V526+T527</f>
        <v>557.7076723038101</v>
      </c>
    </row>
    <row r="528" spans="1:22" ht="19" customHeight="1">
      <c r="A528" s="68" t="s">
        <v>362</v>
      </c>
      <c r="B528" s="74">
        <v>5</v>
      </c>
      <c r="C528" s="68" t="s">
        <v>363</v>
      </c>
      <c r="D528" s="68" t="s">
        <v>364</v>
      </c>
      <c r="E528" s="75">
        <f>60*F528*'THAM_SO_MOI'!$C$53/(2*PI()*'THAM_SO_MOI'!$C$26)</f>
        <v>1705.2029473684206</v>
      </c>
      <c r="F528" s="75">
        <f>'THAM_SO_MOI'!$E$53+('THAM_SO_MOI'!$C$14-'THAM_SO_MOI'!$E$53)*522/'THAM_SO_MOI'!$C$42</f>
        <v>17.307081196581194</v>
      </c>
      <c r="G528" s="75">
        <f>3.6*F528</f>
        <v>62.3054923076923</v>
      </c>
      <c r="H528" s="75">
        <f>'THAM_SO_MOI'!$D$53</f>
        <v>1.1</v>
      </c>
      <c r="I528" s="75">
        <f>IF(F528&gt;'THAM_SO_MOI'!$C$14,'THAM_SO_MOI'!$C$13*(1+F528^2/1500),'THAM_SO_MOI'!$C$13)</f>
        <v>0.015</v>
      </c>
      <c r="J528" s="75">
        <f>'THAM_SO_MOI'!$C$40*('THAM_SO_MOI'!$C$23*(E528/'THAM_SO_MOI'!$C$22)+'THAM_SO_MOI'!$C$24*(E528/'THAM_SO_MOI'!$C$22)^2-'THAM_SO_MOI'!$C$25*(E528/'THAM_SO_MOI'!$C$22)^3)</f>
        <v>74.94885895322211</v>
      </c>
      <c r="K528" s="75">
        <f>'THAM_SO_MOI'!$C$31*J528/E528</f>
        <v>419.79984034122697</v>
      </c>
      <c r="L528" s="75">
        <f>K528*'THAM_SO_MOI'!$C$53*'THAM_SO_MOI'!$C$17/'THAM_SO_MOI'!$C$26</f>
        <v>3681.646242456136</v>
      </c>
      <c r="M528" s="75">
        <f>'THAM_SO_MOI'!$C$15*'THAM_SO_MOI'!$C$16*F528^2</f>
        <v>876.140049169284</v>
      </c>
      <c r="N528" s="75">
        <f>'THAM_SO_MOI'!$C$12*I528</f>
        <v>1130.112</v>
      </c>
      <c r="O528" s="75">
        <f>M528+N528</f>
        <v>2006.252049169284</v>
      </c>
      <c r="P528" s="75">
        <f>(MIN(L528,'THAM_SO_MOI'!$C$41)-O528)/('THAM_SO_MOI'!$C$11*H528)</f>
        <v>0.19831844144020502</v>
      </c>
      <c r="Q528" s="75">
        <f>IF(P528&gt;0,1/P528,NA())</f>
        <v>5.042395415867111</v>
      </c>
      <c r="R528" s="75">
        <f>F528-F527</f>
        <v>0.01760042735042333</v>
      </c>
      <c r="S528" s="75">
        <f>0.5*(Q527+Q528)*R528</f>
        <v>0.08871922682660303</v>
      </c>
      <c r="T528" s="75">
        <f>0.5*(F527*Q527+F528*Q528)*R528</f>
        <v>1.5346903702077543</v>
      </c>
      <c r="U528" s="76">
        <f>U527+S528</f>
        <v>44.02107920337069</v>
      </c>
      <c r="V528" s="76">
        <f>V527+T528</f>
        <v>559.2423626740178</v>
      </c>
    </row>
    <row r="529" spans="1:22" ht="19" customHeight="1">
      <c r="A529" s="68" t="s">
        <v>362</v>
      </c>
      <c r="B529" s="74">
        <v>5</v>
      </c>
      <c r="C529" s="68" t="s">
        <v>363</v>
      </c>
      <c r="D529" s="68" t="s">
        <v>364</v>
      </c>
      <c r="E529" s="75">
        <f>60*F529*'THAM_SO_MOI'!$C$53/(2*PI()*'THAM_SO_MOI'!$C$26)</f>
        <v>1706.9370526315786</v>
      </c>
      <c r="F529" s="75">
        <f>'THAM_SO_MOI'!$E$53+('THAM_SO_MOI'!$C$14-'THAM_SO_MOI'!$E$53)*523/'THAM_SO_MOI'!$C$42</f>
        <v>17.324681623931625</v>
      </c>
      <c r="G529" s="75">
        <f>3.6*F529</f>
        <v>62.36885384615385</v>
      </c>
      <c r="H529" s="75">
        <f>'THAM_SO_MOI'!$D$53</f>
        <v>1.1</v>
      </c>
      <c r="I529" s="75">
        <f>IF(F529&gt;'THAM_SO_MOI'!$C$14,'THAM_SO_MOI'!$C$13*(1+F529^2/1500),'THAM_SO_MOI'!$C$13)</f>
        <v>0.015</v>
      </c>
      <c r="J529" s="75">
        <f>'THAM_SO_MOI'!$C$40*('THAM_SO_MOI'!$C$23*(E529/'THAM_SO_MOI'!$C$22)+'THAM_SO_MOI'!$C$24*(E529/'THAM_SO_MOI'!$C$22)^2-'THAM_SO_MOI'!$C$25*(E529/'THAM_SO_MOI'!$C$22)^3)</f>
        <v>75.03892653740645</v>
      </c>
      <c r="K529" s="75">
        <f>'THAM_SO_MOI'!$C$31*J529/E529</f>
        <v>419.87732840339595</v>
      </c>
      <c r="L529" s="75">
        <f>K529*'THAM_SO_MOI'!$C$53*'THAM_SO_MOI'!$C$17/'THAM_SO_MOI'!$C$26</f>
        <v>3682.325813064567</v>
      </c>
      <c r="M529" s="75">
        <f>'THAM_SO_MOI'!$C$15*'THAM_SO_MOI'!$C$16*F529^2</f>
        <v>877.9229356089878</v>
      </c>
      <c r="N529" s="75">
        <f>'THAM_SO_MOI'!$C$12*I529</f>
        <v>1130.112</v>
      </c>
      <c r="O529" s="75">
        <f>M529+N529</f>
        <v>2008.0349356089878</v>
      </c>
      <c r="P529" s="75">
        <f>(MIN(L529,'THAM_SO_MOI'!$C$41)-O529)/('THAM_SO_MOI'!$C$11*H529)</f>
        <v>0.1981878406079047</v>
      </c>
      <c r="Q529" s="75">
        <f>IF(P529&gt;0,1/P529,NA())</f>
        <v>5.045718228387192</v>
      </c>
      <c r="R529" s="75">
        <f>F529-F528</f>
        <v>0.017600427350430436</v>
      </c>
      <c r="S529" s="75">
        <f>0.5*(Q528+Q529)*R529</f>
        <v>0.08877755564929195</v>
      </c>
      <c r="T529" s="75">
        <f>0.5*(F528*Q528+F529*Q529)*R529</f>
        <v>1.5372618828466762</v>
      </c>
      <c r="U529" s="76">
        <f>U528+S529</f>
        <v>44.10985675901998</v>
      </c>
      <c r="V529" s="76">
        <f>V528+T529</f>
        <v>560.7796245568645</v>
      </c>
    </row>
    <row r="530" spans="1:22" ht="19" customHeight="1">
      <c r="A530" s="68" t="s">
        <v>362</v>
      </c>
      <c r="B530" s="74">
        <v>5</v>
      </c>
      <c r="C530" s="68" t="s">
        <v>363</v>
      </c>
      <c r="D530" s="68" t="s">
        <v>364</v>
      </c>
      <c r="E530" s="75">
        <f>60*F530*'THAM_SO_MOI'!$C$53/(2*PI()*'THAM_SO_MOI'!$C$26)</f>
        <v>1708.6711578947366</v>
      </c>
      <c r="F530" s="75">
        <f>'THAM_SO_MOI'!$E$53+('THAM_SO_MOI'!$C$14-'THAM_SO_MOI'!$E$53)*524/'THAM_SO_MOI'!$C$42</f>
        <v>17.34228205128205</v>
      </c>
      <c r="G530" s="75">
        <f>3.6*F530</f>
        <v>62.43221538461539</v>
      </c>
      <c r="H530" s="75">
        <f>'THAM_SO_MOI'!$D$53</f>
        <v>1.1</v>
      </c>
      <c r="I530" s="75">
        <f>IF(F530&gt;'THAM_SO_MOI'!$C$14,'THAM_SO_MOI'!$C$13*(1+F530^2/1500),'THAM_SO_MOI'!$C$13)</f>
        <v>0.015</v>
      </c>
      <c r="J530" s="75">
        <f>'THAM_SO_MOI'!$C$40*('THAM_SO_MOI'!$C$23*(E530/'THAM_SO_MOI'!$C$22)+'THAM_SO_MOI'!$C$24*(E530/'THAM_SO_MOI'!$C$22)^2-'THAM_SO_MOI'!$C$25*(E530/'THAM_SO_MOI'!$C$22)^3)</f>
        <v>75.12897006830119</v>
      </c>
      <c r="K530" s="75">
        <f>'THAM_SO_MOI'!$C$31*J530/E530</f>
        <v>419.95452472994</v>
      </c>
      <c r="L530" s="75">
        <f>K530*'THAM_SO_MOI'!$C$53*'THAM_SO_MOI'!$C$17/'THAM_SO_MOI'!$C$26</f>
        <v>3683.0028251504245</v>
      </c>
      <c r="M530" s="75">
        <f>'THAM_SO_MOI'!$C$15*'THAM_SO_MOI'!$C$16*F530^2</f>
        <v>879.7076342326924</v>
      </c>
      <c r="N530" s="75">
        <f>'THAM_SO_MOI'!$C$12*I530</f>
        <v>1130.112</v>
      </c>
      <c r="O530" s="75">
        <f>M530+N530</f>
        <v>2009.8196342326924</v>
      </c>
      <c r="P530" s="75">
        <f>(MIN(L530,'THAM_SO_MOI'!$C$41)-O530)/('THAM_SO_MOI'!$C$11*H530)</f>
        <v>0.19805672240976943</v>
      </c>
      <c r="Q530" s="75">
        <f>IF(P530&gt;0,1/P530,NA())</f>
        <v>5.049058612264875</v>
      </c>
      <c r="R530" s="75">
        <f>F530-F529</f>
        <v>0.017600427350426884</v>
      </c>
      <c r="S530" s="75">
        <f>0.5*(Q529+Q530)*R530</f>
        <v>0.08883619320133426</v>
      </c>
      <c r="T530" s="75">
        <f>0.5*(F529*Q529+F530*Q530)*R530</f>
        <v>1.539840800069349</v>
      </c>
      <c r="U530" s="76">
        <f>U529+S530</f>
        <v>44.198692952221315</v>
      </c>
      <c r="V530" s="76">
        <f>V529+T530</f>
        <v>562.3194653569338</v>
      </c>
    </row>
    <row r="531" spans="1:22" ht="19" customHeight="1">
      <c r="A531" s="68" t="s">
        <v>362</v>
      </c>
      <c r="B531" s="74">
        <v>5</v>
      </c>
      <c r="C531" s="68" t="s">
        <v>363</v>
      </c>
      <c r="D531" s="68" t="s">
        <v>364</v>
      </c>
      <c r="E531" s="75">
        <f>60*F531*'THAM_SO_MOI'!$C$53/(2*PI()*'THAM_SO_MOI'!$C$26)</f>
        <v>1710.4052631578945</v>
      </c>
      <c r="F531" s="75">
        <f>'THAM_SO_MOI'!$E$53+('THAM_SO_MOI'!$C$14-'THAM_SO_MOI'!$E$53)*525/'THAM_SO_MOI'!$C$42</f>
        <v>17.35988247863248</v>
      </c>
      <c r="G531" s="75">
        <f>3.6*F531</f>
        <v>62.495576923076925</v>
      </c>
      <c r="H531" s="75">
        <f>'THAM_SO_MOI'!$D$53</f>
        <v>1.1</v>
      </c>
      <c r="I531" s="75">
        <f>IF(F531&gt;'THAM_SO_MOI'!$C$14,'THAM_SO_MOI'!$C$13*(1+F531^2/1500),'THAM_SO_MOI'!$C$13)</f>
        <v>0.015</v>
      </c>
      <c r="J531" s="75">
        <f>'THAM_SO_MOI'!$C$40*('THAM_SO_MOI'!$C$23*(E531/'THAM_SO_MOI'!$C$22)+'THAM_SO_MOI'!$C$24*(E531/'THAM_SO_MOI'!$C$22)^2-'THAM_SO_MOI'!$C$25*(E531/'THAM_SO_MOI'!$C$22)^3)</f>
        <v>75.218989387003</v>
      </c>
      <c r="K531" s="75">
        <f>'THAM_SO_MOI'!$C$31*J531/E531</f>
        <v>420.03142932085876</v>
      </c>
      <c r="L531" s="75">
        <f>K531*'THAM_SO_MOI'!$C$53*'THAM_SO_MOI'!$C$17/'THAM_SO_MOI'!$C$26</f>
        <v>3683.677278713707</v>
      </c>
      <c r="M531" s="75">
        <f>'THAM_SO_MOI'!$C$15*'THAM_SO_MOI'!$C$16*F531^2</f>
        <v>881.494145040398</v>
      </c>
      <c r="N531" s="75">
        <f>'THAM_SO_MOI'!$C$12*I531</f>
        <v>1130.112</v>
      </c>
      <c r="O531" s="75">
        <f>M531+N531</f>
        <v>2011.6061450403981</v>
      </c>
      <c r="P531" s="75">
        <f>(MIN(L531,'THAM_SO_MOI'!$C$41)-O531)/('THAM_SO_MOI'!$C$11*H531)</f>
        <v>0.19792508684579888</v>
      </c>
      <c r="Q531" s="75">
        <f>IF(P531&gt;0,1/P531,NA())</f>
        <v>5.0524166286161005</v>
      </c>
      <c r="R531" s="75">
        <f>F531-F530</f>
        <v>0.017600427350426884</v>
      </c>
      <c r="S531" s="75">
        <f>0.5*(Q530+Q531)*R531</f>
        <v>0.08889514055463077</v>
      </c>
      <c r="T531" s="75">
        <f>0.5*(F530*Q530+F531*Q531)*R531</f>
        <v>1.542427156775752</v>
      </c>
      <c r="U531" s="76">
        <f>U530+S531</f>
        <v>44.28758809277595</v>
      </c>
      <c r="V531" s="76">
        <f>V530+T531</f>
        <v>563.8618925137096</v>
      </c>
    </row>
    <row r="532" spans="1:22" ht="19" customHeight="1">
      <c r="A532" s="68" t="s">
        <v>362</v>
      </c>
      <c r="B532" s="74">
        <v>5</v>
      </c>
      <c r="C532" s="68" t="s">
        <v>363</v>
      </c>
      <c r="D532" s="68" t="s">
        <v>364</v>
      </c>
      <c r="E532" s="75">
        <f>60*F532*'THAM_SO_MOI'!$C$53/(2*PI()*'THAM_SO_MOI'!$C$26)</f>
        <v>1712.139368421052</v>
      </c>
      <c r="F532" s="75">
        <f>'THAM_SO_MOI'!$E$53+('THAM_SO_MOI'!$C$14-'THAM_SO_MOI'!$E$53)*526/'THAM_SO_MOI'!$C$42</f>
        <v>17.377482905982905</v>
      </c>
      <c r="G532" s="75">
        <f>3.6*F532</f>
        <v>62.55893846153846</v>
      </c>
      <c r="H532" s="75">
        <f>'THAM_SO_MOI'!$D$53</f>
        <v>1.1</v>
      </c>
      <c r="I532" s="75">
        <f>IF(F532&gt;'THAM_SO_MOI'!$C$14,'THAM_SO_MOI'!$C$13*(1+F532^2/1500),'THAM_SO_MOI'!$C$13)</f>
        <v>0.015</v>
      </c>
      <c r="J532" s="75">
        <f>'THAM_SO_MOI'!$C$40*('THAM_SO_MOI'!$C$23*(E532/'THAM_SO_MOI'!$C$22)+'THAM_SO_MOI'!$C$24*(E532/'THAM_SO_MOI'!$C$22)^2-'THAM_SO_MOI'!$C$25*(E532/'THAM_SO_MOI'!$C$22)^3)</f>
        <v>75.30898433460867</v>
      </c>
      <c r="K532" s="75">
        <f>'THAM_SO_MOI'!$C$31*J532/E532</f>
        <v>420.1080421761527</v>
      </c>
      <c r="L532" s="75">
        <f>K532*'THAM_SO_MOI'!$C$53*'THAM_SO_MOI'!$C$17/'THAM_SO_MOI'!$C$26</f>
        <v>3684.3491737544186</v>
      </c>
      <c r="M532" s="75">
        <f>'THAM_SO_MOI'!$C$15*'THAM_SO_MOI'!$C$16*F532^2</f>
        <v>883.2824680321047</v>
      </c>
      <c r="N532" s="75">
        <f>'THAM_SO_MOI'!$C$12*I532</f>
        <v>1130.112</v>
      </c>
      <c r="O532" s="75">
        <f>M532+N532</f>
        <v>2013.3944680321047</v>
      </c>
      <c r="P532" s="75">
        <f>(MIN(L532,'THAM_SO_MOI'!$C$41)-O532)/('THAM_SO_MOI'!$C$11*H532)</f>
        <v>0.19779293391599362</v>
      </c>
      <c r="Q532" s="75">
        <f>IF(P532&gt;0,1/P532,NA())</f>
        <v>5.055792338995886</v>
      </c>
      <c r="R532" s="75">
        <f>F532-F531</f>
        <v>0.017600427350426884</v>
      </c>
      <c r="S532" s="75">
        <f>0.5*(Q531+Q532)*R532</f>
        <v>0.08895439878869416</v>
      </c>
      <c r="T532" s="75">
        <f>0.5*(F531*Q531+F532*Q532)*R532</f>
        <v>1.5450209880735353</v>
      </c>
      <c r="U532" s="76">
        <f>U531+S532</f>
        <v>44.37654249156464</v>
      </c>
      <c r="V532" s="76">
        <f>V531+T532</f>
        <v>565.4069135017832</v>
      </c>
    </row>
    <row r="533" spans="1:22" ht="19" customHeight="1">
      <c r="A533" s="68" t="s">
        <v>362</v>
      </c>
      <c r="B533" s="74">
        <v>5</v>
      </c>
      <c r="C533" s="68" t="s">
        <v>363</v>
      </c>
      <c r="D533" s="68" t="s">
        <v>364</v>
      </c>
      <c r="E533" s="75">
        <f>60*F533*'THAM_SO_MOI'!$C$53/(2*PI()*'THAM_SO_MOI'!$C$26)</f>
        <v>1713.87347368421</v>
      </c>
      <c r="F533" s="75">
        <f>'THAM_SO_MOI'!$E$53+('THAM_SO_MOI'!$C$14-'THAM_SO_MOI'!$E$53)*527/'THAM_SO_MOI'!$C$42</f>
        <v>17.395083333333332</v>
      </c>
      <c r="G533" s="75">
        <f>3.6*F533</f>
        <v>62.622299999999996</v>
      </c>
      <c r="H533" s="75">
        <f>'THAM_SO_MOI'!$D$53</f>
        <v>1.1</v>
      </c>
      <c r="I533" s="75">
        <f>IF(F533&gt;'THAM_SO_MOI'!$C$14,'THAM_SO_MOI'!$C$13*(1+F533^2/1500),'THAM_SO_MOI'!$C$13)</f>
        <v>0.015</v>
      </c>
      <c r="J533" s="75">
        <f>'THAM_SO_MOI'!$C$40*('THAM_SO_MOI'!$C$23*(E533/'THAM_SO_MOI'!$C$22)+'THAM_SO_MOI'!$C$24*(E533/'THAM_SO_MOI'!$C$22)^2-'THAM_SO_MOI'!$C$25*(E533/'THAM_SO_MOI'!$C$22)^3)</f>
        <v>75.39895475221489</v>
      </c>
      <c r="K533" s="75">
        <f>'THAM_SO_MOI'!$C$31*J533/E533</f>
        <v>420.1843632958216</v>
      </c>
      <c r="L533" s="75">
        <f>K533*'THAM_SO_MOI'!$C$53*'THAM_SO_MOI'!$C$17/'THAM_SO_MOI'!$C$26</f>
        <v>3685.0185102725573</v>
      </c>
      <c r="M533" s="75">
        <f>'THAM_SO_MOI'!$C$15*'THAM_SO_MOI'!$C$16*F533^2</f>
        <v>885.0726032078124</v>
      </c>
      <c r="N533" s="75">
        <f>'THAM_SO_MOI'!$C$12*I533</f>
        <v>1130.112</v>
      </c>
      <c r="O533" s="75">
        <f>M533+N533</f>
        <v>2015.1846032078124</v>
      </c>
      <c r="P533" s="75">
        <f>(MIN(L533,'THAM_SO_MOI'!$C$41)-O533)/('THAM_SO_MOI'!$C$11*H533)</f>
        <v>0.19766026362035333</v>
      </c>
      <c r="Q533" s="75">
        <f>IF(P533&gt;0,1/P533,NA())</f>
        <v>5.059185805401449</v>
      </c>
      <c r="R533" s="75">
        <f>F533-F532</f>
        <v>0.017600427350426884</v>
      </c>
      <c r="S533" s="75">
        <f>0.5*(Q532+Q533)*R533</f>
        <v>0.0890139689908105</v>
      </c>
      <c r="T533" s="75">
        <f>0.5*(F532*Q532+F533*Q533)*R533</f>
        <v>1.5476223292815003</v>
      </c>
      <c r="U533" s="76">
        <f>U532+S533</f>
        <v>44.465556460555455</v>
      </c>
      <c r="V533" s="76">
        <f>V532+T533</f>
        <v>566.9545358310646</v>
      </c>
    </row>
    <row r="534" spans="1:22" ht="19" customHeight="1">
      <c r="A534" s="68" t="s">
        <v>362</v>
      </c>
      <c r="B534" s="74">
        <v>5</v>
      </c>
      <c r="C534" s="68" t="s">
        <v>363</v>
      </c>
      <c r="D534" s="68" t="s">
        <v>364</v>
      </c>
      <c r="E534" s="75">
        <f>60*F534*'THAM_SO_MOI'!$C$53/(2*PI()*'THAM_SO_MOI'!$C$26)</f>
        <v>1715.607578947368</v>
      </c>
      <c r="F534" s="75">
        <f>'THAM_SO_MOI'!$E$53+('THAM_SO_MOI'!$C$14-'THAM_SO_MOI'!$E$53)*528/'THAM_SO_MOI'!$C$42</f>
        <v>17.412683760683763</v>
      </c>
      <c r="G534" s="75">
        <f>3.6*F534</f>
        <v>62.685661538461545</v>
      </c>
      <c r="H534" s="75">
        <f>'THAM_SO_MOI'!$D$53</f>
        <v>1.1</v>
      </c>
      <c r="I534" s="75">
        <f>IF(F534&gt;'THAM_SO_MOI'!$C$14,'THAM_SO_MOI'!$C$13*(1+F534^2/1500),'THAM_SO_MOI'!$C$13)</f>
        <v>0.015</v>
      </c>
      <c r="J534" s="75">
        <f>'THAM_SO_MOI'!$C$40*('THAM_SO_MOI'!$C$23*(E534/'THAM_SO_MOI'!$C$22)+'THAM_SO_MOI'!$C$24*(E534/'THAM_SO_MOI'!$C$22)^2-'THAM_SO_MOI'!$C$25*(E534/'THAM_SO_MOI'!$C$22)^3)</f>
        <v>75.48890048091839</v>
      </c>
      <c r="K534" s="75">
        <f>'THAM_SO_MOI'!$C$31*J534/E534</f>
        <v>420.26039267986545</v>
      </c>
      <c r="L534" s="75">
        <f>K534*'THAM_SO_MOI'!$C$53*'THAM_SO_MOI'!$C$17/'THAM_SO_MOI'!$C$26</f>
        <v>3685.685288268123</v>
      </c>
      <c r="M534" s="75">
        <f>'THAM_SO_MOI'!$C$15*'THAM_SO_MOI'!$C$16*F534^2</f>
        <v>886.8645505675216</v>
      </c>
      <c r="N534" s="75">
        <f>'THAM_SO_MOI'!$C$12*I534</f>
        <v>1130.112</v>
      </c>
      <c r="O534" s="75">
        <f>M534+N534</f>
        <v>2016.9765505675218</v>
      </c>
      <c r="P534" s="75">
        <f>(MIN(L534,'THAM_SO_MOI'!$C$41)-O534)/('THAM_SO_MOI'!$C$11*H534)</f>
        <v>0.19752707595887795</v>
      </c>
      <c r="Q534" s="75">
        <f>IF(P534&gt;0,1/P534,NA())</f>
        <v>5.062597090275282</v>
      </c>
      <c r="R534" s="75">
        <f>F534-F533</f>
        <v>0.017600427350430436</v>
      </c>
      <c r="S534" s="75">
        <f>0.5*(Q533+Q534)*R534</f>
        <v>0.08907385225609385</v>
      </c>
      <c r="T534" s="75">
        <f>0.5*(F533*Q533+F534*Q534)*R534</f>
        <v>1.5502312159312317</v>
      </c>
      <c r="U534" s="76">
        <f>U533+S534</f>
        <v>44.55463031281155</v>
      </c>
      <c r="V534" s="76">
        <f>V533+T534</f>
        <v>568.5047670469959</v>
      </c>
    </row>
    <row r="535" spans="1:22" ht="19" customHeight="1">
      <c r="A535" s="68" t="s">
        <v>362</v>
      </c>
      <c r="B535" s="74">
        <v>5</v>
      </c>
      <c r="C535" s="68" t="s">
        <v>363</v>
      </c>
      <c r="D535" s="68" t="s">
        <v>364</v>
      </c>
      <c r="E535" s="75">
        <f>60*F535*'THAM_SO_MOI'!$C$53/(2*PI()*'THAM_SO_MOI'!$C$26)</f>
        <v>1717.3416842105257</v>
      </c>
      <c r="F535" s="75">
        <f>'THAM_SO_MOI'!$E$53+('THAM_SO_MOI'!$C$14-'THAM_SO_MOI'!$E$53)*529/'THAM_SO_MOI'!$C$42</f>
        <v>17.430284188034186</v>
      </c>
      <c r="G535" s="75">
        <f>3.6*F535</f>
        <v>62.74902307692307</v>
      </c>
      <c r="H535" s="75">
        <f>'THAM_SO_MOI'!$D$53</f>
        <v>1.1</v>
      </c>
      <c r="I535" s="75">
        <f>IF(F535&gt;'THAM_SO_MOI'!$C$14,'THAM_SO_MOI'!$C$13*(1+F535^2/1500),'THAM_SO_MOI'!$C$13)</f>
        <v>0.015</v>
      </c>
      <c r="J535" s="75">
        <f>'THAM_SO_MOI'!$C$40*('THAM_SO_MOI'!$C$23*(E535/'THAM_SO_MOI'!$C$22)+'THAM_SO_MOI'!$C$24*(E535/'THAM_SO_MOI'!$C$22)^2-'THAM_SO_MOI'!$C$25*(E535/'THAM_SO_MOI'!$C$22)^3)</f>
        <v>75.57882136181584</v>
      </c>
      <c r="K535" s="75">
        <f>'THAM_SO_MOI'!$C$31*J535/E535</f>
        <v>420.33613032828407</v>
      </c>
      <c r="L535" s="75">
        <f>K535*'THAM_SO_MOI'!$C$53*'THAM_SO_MOI'!$C$17/'THAM_SO_MOI'!$C$26</f>
        <v>3686.349507741113</v>
      </c>
      <c r="M535" s="75">
        <f>'THAM_SO_MOI'!$C$15*'THAM_SO_MOI'!$C$16*F535^2</f>
        <v>888.6583101112312</v>
      </c>
      <c r="N535" s="75">
        <f>'THAM_SO_MOI'!$C$12*I535</f>
        <v>1130.112</v>
      </c>
      <c r="O535" s="75">
        <f>M535+N535</f>
        <v>2018.7703101112313</v>
      </c>
      <c r="P535" s="75">
        <f>(MIN(L535,'THAM_SO_MOI'!$C$41)-O535)/('THAM_SO_MOI'!$C$11*H535)</f>
        <v>0.19739337093156742</v>
      </c>
      <c r="Q535" s="75">
        <f>IF(P535&gt;0,1/P535,NA())</f>
        <v>5.066026256508286</v>
      </c>
      <c r="R535" s="75">
        <f>F535-F534</f>
        <v>0.01760042735042333</v>
      </c>
      <c r="S535" s="75">
        <f>0.5*(Q534+Q535)*R535</f>
        <v>0.0891340496874329</v>
      </c>
      <c r="T535" s="75">
        <f>0.5*(F534*Q534+F535*Q535)*R535</f>
        <v>1.5528476837668581</v>
      </c>
      <c r="U535" s="76">
        <f>U534+S535</f>
        <v>44.64376436249898</v>
      </c>
      <c r="V535" s="76">
        <f>V534+T535</f>
        <v>570.0576147307628</v>
      </c>
    </row>
    <row r="536" spans="1:22" ht="19" customHeight="1">
      <c r="A536" s="68" t="s">
        <v>362</v>
      </c>
      <c r="B536" s="74">
        <v>5</v>
      </c>
      <c r="C536" s="68" t="s">
        <v>363</v>
      </c>
      <c r="D536" s="68" t="s">
        <v>364</v>
      </c>
      <c r="E536" s="75">
        <f>60*F536*'THAM_SO_MOI'!$C$53/(2*PI()*'THAM_SO_MOI'!$C$26)</f>
        <v>1719.0757894736842</v>
      </c>
      <c r="F536" s="75">
        <f>'THAM_SO_MOI'!$E$53+('THAM_SO_MOI'!$C$14-'THAM_SO_MOI'!$E$53)*530/'THAM_SO_MOI'!$C$42</f>
        <v>17.447884615384616</v>
      </c>
      <c r="G536" s="75">
        <f>3.6*F536</f>
        <v>62.81238461538462</v>
      </c>
      <c r="H536" s="75">
        <f>'THAM_SO_MOI'!$D$53</f>
        <v>1.1</v>
      </c>
      <c r="I536" s="75">
        <f>IF(F536&gt;'THAM_SO_MOI'!$C$14,'THAM_SO_MOI'!$C$13*(1+F536^2/1500),'THAM_SO_MOI'!$C$13)</f>
        <v>0.015</v>
      </c>
      <c r="J536" s="75">
        <f>'THAM_SO_MOI'!$C$40*('THAM_SO_MOI'!$C$23*(E536/'THAM_SO_MOI'!$C$22)+'THAM_SO_MOI'!$C$24*(E536/'THAM_SO_MOI'!$C$22)^2-'THAM_SO_MOI'!$C$25*(E536/'THAM_SO_MOI'!$C$22)^3)</f>
        <v>75.66871723600408</v>
      </c>
      <c r="K536" s="75">
        <f>'THAM_SO_MOI'!$C$31*J536/E536</f>
        <v>420.411576241078</v>
      </c>
      <c r="L536" s="75">
        <f>K536*'THAM_SO_MOI'!$C$53*'THAM_SO_MOI'!$C$17/'THAM_SO_MOI'!$C$26</f>
        <v>3687.011168691533</v>
      </c>
      <c r="M536" s="75">
        <f>'THAM_SO_MOI'!$C$15*'THAM_SO_MOI'!$C$16*F536^2</f>
        <v>890.4538818389425</v>
      </c>
      <c r="N536" s="75">
        <f>'THAM_SO_MOI'!$C$12*I536</f>
        <v>1130.112</v>
      </c>
      <c r="O536" s="75">
        <f>M536+N536</f>
        <v>2020.5658818389425</v>
      </c>
      <c r="P536" s="75">
        <f>(MIN(L536,'THAM_SO_MOI'!$C$41)-O536)/('THAM_SO_MOI'!$C$11*H536)</f>
        <v>0.19725914853842216</v>
      </c>
      <c r="Q536" s="75">
        <f>IF(P536&gt;0,1/P536,NA())</f>
        <v>5.06947336744293</v>
      </c>
      <c r="R536" s="75">
        <f>F536-F535</f>
        <v>0.017600427350430436</v>
      </c>
      <c r="S536" s="75">
        <f>0.5*(Q535+Q536)*R536</f>
        <v>0.08919456239583419</v>
      </c>
      <c r="T536" s="75">
        <f>0.5*(F535*Q535+F536*Q536)*R536</f>
        <v>1.5554717687517223</v>
      </c>
      <c r="U536" s="76">
        <f>U535+S536</f>
        <v>44.73295892489481</v>
      </c>
      <c r="V536" s="76">
        <f>V535+T536</f>
        <v>571.6130864995146</v>
      </c>
    </row>
    <row r="537" spans="1:22" ht="19" customHeight="1">
      <c r="A537" s="68" t="s">
        <v>362</v>
      </c>
      <c r="B537" s="74">
        <v>5</v>
      </c>
      <c r="C537" s="68" t="s">
        <v>363</v>
      </c>
      <c r="D537" s="68" t="s">
        <v>364</v>
      </c>
      <c r="E537" s="75">
        <f>60*F537*'THAM_SO_MOI'!$C$53/(2*PI()*'THAM_SO_MOI'!$C$26)</f>
        <v>1720.8098947368412</v>
      </c>
      <c r="F537" s="75">
        <f>'THAM_SO_MOI'!$E$53+('THAM_SO_MOI'!$C$14-'THAM_SO_MOI'!$E$53)*531/'THAM_SO_MOI'!$C$42</f>
        <v>17.46548504273504</v>
      </c>
      <c r="G537" s="75">
        <f>3.6*F537</f>
        <v>62.875746153846144</v>
      </c>
      <c r="H537" s="75">
        <f>'THAM_SO_MOI'!$D$53</f>
        <v>1.1</v>
      </c>
      <c r="I537" s="75">
        <f>IF(F537&gt;'THAM_SO_MOI'!$C$14,'THAM_SO_MOI'!$C$13*(1+F537^2/1500),'THAM_SO_MOI'!$C$13)</f>
        <v>0.015</v>
      </c>
      <c r="J537" s="75">
        <f>'THAM_SO_MOI'!$C$40*('THAM_SO_MOI'!$C$23*(E537/'THAM_SO_MOI'!$C$22)+'THAM_SO_MOI'!$C$24*(E537/'THAM_SO_MOI'!$C$22)^2-'THAM_SO_MOI'!$C$25*(E537/'THAM_SO_MOI'!$C$22)^3)</f>
        <v>75.75858794457969</v>
      </c>
      <c r="K537" s="75">
        <f>'THAM_SO_MOI'!$C$31*J537/E537</f>
        <v>420.4867304182467</v>
      </c>
      <c r="L537" s="75">
        <f>K537*'THAM_SO_MOI'!$C$53*'THAM_SO_MOI'!$C$17/'THAM_SO_MOI'!$C$26</f>
        <v>3687.6702711193784</v>
      </c>
      <c r="M537" s="75">
        <f>'THAM_SO_MOI'!$C$15*'THAM_SO_MOI'!$C$16*F537^2</f>
        <v>892.2512657506542</v>
      </c>
      <c r="N537" s="75">
        <f>'THAM_SO_MOI'!$C$12*I537</f>
        <v>1130.112</v>
      </c>
      <c r="O537" s="75">
        <f>M537+N537</f>
        <v>2022.3632657506541</v>
      </c>
      <c r="P537" s="75">
        <f>(MIN(L537,'THAM_SO_MOI'!$C$41)-O537)/('THAM_SO_MOI'!$C$11*H537)</f>
        <v>0.1971244087794418</v>
      </c>
      <c r="Q537" s="75">
        <f>IF(P537&gt;0,1/P537,NA())</f>
        <v>5.0729384868764695</v>
      </c>
      <c r="R537" s="75">
        <f>F537-F536</f>
        <v>0.01760042735042333</v>
      </c>
      <c r="S537" s="75">
        <f>0.5*(Q536+Q537)*R537</f>
        <v>0.08925539150001048</v>
      </c>
      <c r="T537" s="75">
        <f>0.5*(F536*Q536+F537*Q537)*R537</f>
        <v>1.558103507061909</v>
      </c>
      <c r="U537" s="76">
        <f>U536+S537</f>
        <v>44.82221431639482</v>
      </c>
      <c r="V537" s="76">
        <f>V536+T537</f>
        <v>573.1711900065765</v>
      </c>
    </row>
    <row r="538" spans="1:22" ht="19" customHeight="1">
      <c r="A538" s="68" t="s">
        <v>362</v>
      </c>
      <c r="B538" s="74">
        <v>5</v>
      </c>
      <c r="C538" s="68" t="s">
        <v>363</v>
      </c>
      <c r="D538" s="68" t="s">
        <v>364</v>
      </c>
      <c r="E538" s="75">
        <f>60*F538*'THAM_SO_MOI'!$C$53/(2*PI()*'THAM_SO_MOI'!$C$26)</f>
        <v>1722.5439999999996</v>
      </c>
      <c r="F538" s="75">
        <f>'THAM_SO_MOI'!$E$53+('THAM_SO_MOI'!$C$14-'THAM_SO_MOI'!$E$53)*532/'THAM_SO_MOI'!$C$42</f>
        <v>17.48308547008547</v>
      </c>
      <c r="G538" s="75">
        <f>3.6*F538</f>
        <v>62.939107692307694</v>
      </c>
      <c r="H538" s="75">
        <f>'THAM_SO_MOI'!$D$53</f>
        <v>1.1</v>
      </c>
      <c r="I538" s="75">
        <f>IF(F538&gt;'THAM_SO_MOI'!$C$14,'THAM_SO_MOI'!$C$13*(1+F538^2/1500),'THAM_SO_MOI'!$C$13)</f>
        <v>0.015</v>
      </c>
      <c r="J538" s="75">
        <f>'THAM_SO_MOI'!$C$40*('THAM_SO_MOI'!$C$23*(E538/'THAM_SO_MOI'!$C$22)+'THAM_SO_MOI'!$C$24*(E538/'THAM_SO_MOI'!$C$22)^2-'THAM_SO_MOI'!$C$25*(E538/'THAM_SO_MOI'!$C$22)^3)</f>
        <v>75.84843332863949</v>
      </c>
      <c r="K538" s="75">
        <f>'THAM_SO_MOI'!$C$31*J538/E538</f>
        <v>420.5615928597903</v>
      </c>
      <c r="L538" s="75">
        <f>K538*'THAM_SO_MOI'!$C$53*'THAM_SO_MOI'!$C$17/'THAM_SO_MOI'!$C$26</f>
        <v>3688.3268150246504</v>
      </c>
      <c r="M538" s="75">
        <f>'THAM_SO_MOI'!$C$15*'THAM_SO_MOI'!$C$16*F538^2</f>
        <v>894.0504618463676</v>
      </c>
      <c r="N538" s="75">
        <f>'THAM_SO_MOI'!$C$12*I538</f>
        <v>1130.112</v>
      </c>
      <c r="O538" s="75">
        <f>M538+N538</f>
        <v>2024.1624618463677</v>
      </c>
      <c r="P538" s="75">
        <f>(MIN(L538,'THAM_SO_MOI'!$C$41)-O538)/('THAM_SO_MOI'!$C$11*H538)</f>
        <v>0.1969891516546263</v>
      </c>
      <c r="Q538" s="75">
        <f>IF(P538&gt;0,1/P538,NA())</f>
        <v>5.076421679064147</v>
      </c>
      <c r="R538" s="75">
        <f>F538-F537</f>
        <v>0.017600427350430436</v>
      </c>
      <c r="S538" s="75">
        <f>0.5*(Q537+Q538)*R538</f>
        <v>0.08931653812699522</v>
      </c>
      <c r="T538" s="75">
        <f>0.5*(F537*Q537+F538*Q538)*R538</f>
        <v>1.5607429350976594</v>
      </c>
      <c r="U538" s="76">
        <f>U537+S538</f>
        <v>44.911530854521814</v>
      </c>
      <c r="V538" s="76">
        <f>V537+T538</f>
        <v>574.7319329416741</v>
      </c>
    </row>
    <row r="539" spans="1:22" ht="19" customHeight="1">
      <c r="A539" s="68" t="s">
        <v>362</v>
      </c>
      <c r="B539" s="74">
        <v>5</v>
      </c>
      <c r="C539" s="68" t="s">
        <v>363</v>
      </c>
      <c r="D539" s="68" t="s">
        <v>364</v>
      </c>
      <c r="E539" s="75">
        <f>60*F539*'THAM_SO_MOI'!$C$53/(2*PI()*'THAM_SO_MOI'!$C$26)</f>
        <v>1724.2781052631572</v>
      </c>
      <c r="F539" s="75">
        <f>'THAM_SO_MOI'!$E$53+('THAM_SO_MOI'!$C$14-'THAM_SO_MOI'!$E$53)*533/'THAM_SO_MOI'!$C$42</f>
        <v>17.500685897435897</v>
      </c>
      <c r="G539" s="75">
        <f>3.6*F539</f>
        <v>63.00246923076923</v>
      </c>
      <c r="H539" s="75">
        <f>'THAM_SO_MOI'!$D$53</f>
        <v>1.1</v>
      </c>
      <c r="I539" s="75">
        <f>IF(F539&gt;'THAM_SO_MOI'!$C$14,'THAM_SO_MOI'!$C$13*(1+F539^2/1500),'THAM_SO_MOI'!$C$13)</f>
        <v>0.015</v>
      </c>
      <c r="J539" s="75">
        <f>'THAM_SO_MOI'!$C$40*('THAM_SO_MOI'!$C$23*(E539/'THAM_SO_MOI'!$C$22)+'THAM_SO_MOI'!$C$24*(E539/'THAM_SO_MOI'!$C$22)^2-'THAM_SO_MOI'!$C$25*(E539/'THAM_SO_MOI'!$C$22)^3)</f>
        <v>75.93825322928016</v>
      </c>
      <c r="K539" s="75">
        <f>'THAM_SO_MOI'!$C$31*J539/E539</f>
        <v>420.63616356570907</v>
      </c>
      <c r="L539" s="75">
        <f>K539*'THAM_SO_MOI'!$C$53*'THAM_SO_MOI'!$C$17/'THAM_SO_MOI'!$C$26</f>
        <v>3688.9808004073507</v>
      </c>
      <c r="M539" s="75">
        <f>'THAM_SO_MOI'!$C$15*'THAM_SO_MOI'!$C$16*F539^2</f>
        <v>895.8514701260817</v>
      </c>
      <c r="N539" s="75">
        <f>'THAM_SO_MOI'!$C$12*I539</f>
        <v>1130.112</v>
      </c>
      <c r="O539" s="75">
        <f>M539+N539</f>
        <v>2025.9634701260818</v>
      </c>
      <c r="P539" s="75">
        <f>(MIN(L539,'THAM_SO_MOI'!$C$41)-O539)/('THAM_SO_MOI'!$C$11*H539)</f>
        <v>0.196853377163976</v>
      </c>
      <c r="Q539" s="75">
        <f>IF(P539&gt;0,1/P539,NA())</f>
        <v>5.079923008722449</v>
      </c>
      <c r="R539" s="75">
        <f>F539-F538</f>
        <v>0.017600427350426884</v>
      </c>
      <c r="S539" s="75">
        <f>0.5*(Q538+Q539)*R539</f>
        <v>0.089378003411641</v>
      </c>
      <c r="T539" s="75">
        <f>0.5*(F538*Q538+F539*Q539)*R539</f>
        <v>1.563390089475333</v>
      </c>
      <c r="U539" s="76">
        <f>U538+S539</f>
        <v>45.00090885793345</v>
      </c>
      <c r="V539" s="76">
        <f>V538+T539</f>
        <v>576.2953230311495</v>
      </c>
    </row>
    <row r="540" spans="1:22" ht="19" customHeight="1">
      <c r="A540" s="68" t="s">
        <v>362</v>
      </c>
      <c r="B540" s="74">
        <v>5</v>
      </c>
      <c r="C540" s="68" t="s">
        <v>363</v>
      </c>
      <c r="D540" s="68" t="s">
        <v>364</v>
      </c>
      <c r="E540" s="75">
        <f>60*F540*'THAM_SO_MOI'!$C$53/(2*PI()*'THAM_SO_MOI'!$C$26)</f>
        <v>1726.0122105263151</v>
      </c>
      <c r="F540" s="75">
        <f>'THAM_SO_MOI'!$E$53+('THAM_SO_MOI'!$C$14-'THAM_SO_MOI'!$E$53)*534/'THAM_SO_MOI'!$C$42</f>
        <v>17.518286324786324</v>
      </c>
      <c r="G540" s="75">
        <f>3.6*F540</f>
        <v>63.065830769230764</v>
      </c>
      <c r="H540" s="75">
        <f>'THAM_SO_MOI'!$D$53</f>
        <v>1.1</v>
      </c>
      <c r="I540" s="75">
        <f>IF(F540&gt;'THAM_SO_MOI'!$C$14,'THAM_SO_MOI'!$C$13*(1+F540^2/1500),'THAM_SO_MOI'!$C$13)</f>
        <v>0.015</v>
      </c>
      <c r="J540" s="75">
        <f>'THAM_SO_MOI'!$C$40*('THAM_SO_MOI'!$C$23*(E540/'THAM_SO_MOI'!$C$22)+'THAM_SO_MOI'!$C$24*(E540/'THAM_SO_MOI'!$C$22)^2-'THAM_SO_MOI'!$C$25*(E540/'THAM_SO_MOI'!$C$22)^3)</f>
        <v>76.02804748759846</v>
      </c>
      <c r="K540" s="75">
        <f>'THAM_SO_MOI'!$C$31*J540/E540</f>
        <v>420.71044253600274</v>
      </c>
      <c r="L540" s="75">
        <f>K540*'THAM_SO_MOI'!$C$53*'THAM_SO_MOI'!$C$17/'THAM_SO_MOI'!$C$26</f>
        <v>3689.6322272674774</v>
      </c>
      <c r="M540" s="75">
        <f>'THAM_SO_MOI'!$C$15*'THAM_SO_MOI'!$C$16*F540^2</f>
        <v>897.654290589797</v>
      </c>
      <c r="N540" s="75">
        <f>'THAM_SO_MOI'!$C$12*I540</f>
        <v>1130.112</v>
      </c>
      <c r="O540" s="75">
        <f>M540+N540</f>
        <v>2027.766290589797</v>
      </c>
      <c r="P540" s="75">
        <f>(MIN(L540,'THAM_SO_MOI'!$C$41)-O540)/('THAM_SO_MOI'!$C$11*H540)</f>
        <v>0.19671708530749055</v>
      </c>
      <c r="Q540" s="75">
        <f>IF(P540&gt;0,1/P540,NA())</f>
        <v>5.083442541032414</v>
      </c>
      <c r="R540" s="75">
        <f>F540-F539</f>
        <v>0.017600427350426884</v>
      </c>
      <c r="S540" s="75">
        <f>0.5*(Q539+Q540)*R540</f>
        <v>0.08943978849714594</v>
      </c>
      <c r="T540" s="75">
        <f>0.5*(F539*Q539+F540*Q540)*R540</f>
        <v>1.56604500703731</v>
      </c>
      <c r="U540" s="76">
        <f>U539+S540</f>
        <v>45.0903486464306</v>
      </c>
      <c r="V540" s="76">
        <f>V539+T540</f>
        <v>577.8613680381868</v>
      </c>
    </row>
    <row r="541" spans="1:22" ht="19" customHeight="1">
      <c r="A541" s="68" t="s">
        <v>362</v>
      </c>
      <c r="B541" s="74">
        <v>5</v>
      </c>
      <c r="C541" s="68" t="s">
        <v>363</v>
      </c>
      <c r="D541" s="68" t="s">
        <v>364</v>
      </c>
      <c r="E541" s="75">
        <f>60*F541*'THAM_SO_MOI'!$C$53/(2*PI()*'THAM_SO_MOI'!$C$26)</f>
        <v>1727.7463157894736</v>
      </c>
      <c r="F541" s="75">
        <f>'THAM_SO_MOI'!$E$53+('THAM_SO_MOI'!$C$14-'THAM_SO_MOI'!$E$53)*535/'THAM_SO_MOI'!$C$42</f>
        <v>17.535886752136754</v>
      </c>
      <c r="G541" s="75">
        <f>3.6*F541</f>
        <v>63.129192307692314</v>
      </c>
      <c r="H541" s="75">
        <f>'THAM_SO_MOI'!$D$53</f>
        <v>1.1</v>
      </c>
      <c r="I541" s="75">
        <f>IF(F541&gt;'THAM_SO_MOI'!$C$14,'THAM_SO_MOI'!$C$13*(1+F541^2/1500),'THAM_SO_MOI'!$C$13)</f>
        <v>0.015</v>
      </c>
      <c r="J541" s="75">
        <f>'THAM_SO_MOI'!$C$40*('THAM_SO_MOI'!$C$23*(E541/'THAM_SO_MOI'!$C$22)+'THAM_SO_MOI'!$C$24*(E541/'THAM_SO_MOI'!$C$22)^2-'THAM_SO_MOI'!$C$25*(E541/'THAM_SO_MOI'!$C$22)^3)</f>
        <v>76.11781594469107</v>
      </c>
      <c r="K541" s="75">
        <f>'THAM_SO_MOI'!$C$31*J541/E541</f>
        <v>420.7844297706713</v>
      </c>
      <c r="L541" s="75">
        <f>K541*'THAM_SO_MOI'!$C$53*'THAM_SO_MOI'!$C$17/'THAM_SO_MOI'!$C$26</f>
        <v>3690.2810956050307</v>
      </c>
      <c r="M541" s="75">
        <f>'THAM_SO_MOI'!$C$15*'THAM_SO_MOI'!$C$16*F541^2</f>
        <v>899.4589232375137</v>
      </c>
      <c r="N541" s="75">
        <f>'THAM_SO_MOI'!$C$12*I541</f>
        <v>1130.112</v>
      </c>
      <c r="O541" s="75">
        <f>M541+N541</f>
        <v>2029.5709232375139</v>
      </c>
      <c r="P541" s="75">
        <f>(MIN(L541,'THAM_SO_MOI'!$C$41)-O541)/('THAM_SO_MOI'!$C$11*H541)</f>
        <v>0.1965802760851701</v>
      </c>
      <c r="Q541" s="75">
        <f>IF(P541&gt;0,1/P541,NA())</f>
        <v>5.08698034164293</v>
      </c>
      <c r="R541" s="75">
        <f>F541-F540</f>
        <v>0.017600427350430436</v>
      </c>
      <c r="S541" s="75">
        <f>0.5*(Q540+Q541)*R541</f>
        <v>0.08950189453484134</v>
      </c>
      <c r="T541" s="75">
        <f>0.5*(F540*Q540+F541*Q541)*R541</f>
        <v>1.5687077248490058</v>
      </c>
      <c r="U541" s="76">
        <f>U540+S541</f>
        <v>45.17985054096544</v>
      </c>
      <c r="V541" s="76">
        <f>V540+T541</f>
        <v>579.4300757630358</v>
      </c>
    </row>
    <row r="542" spans="1:22" ht="19" customHeight="1">
      <c r="A542" s="68" t="s">
        <v>362</v>
      </c>
      <c r="B542" s="74">
        <v>5</v>
      </c>
      <c r="C542" s="68" t="s">
        <v>363</v>
      </c>
      <c r="D542" s="68" t="s">
        <v>364</v>
      </c>
      <c r="E542" s="75">
        <f>60*F542*'THAM_SO_MOI'!$C$53/(2*PI()*'THAM_SO_MOI'!$C$26)</f>
        <v>1729.4804210526308</v>
      </c>
      <c r="F542" s="75">
        <f>'THAM_SO_MOI'!$E$53+('THAM_SO_MOI'!$C$14-'THAM_SO_MOI'!$E$53)*536/'THAM_SO_MOI'!$C$42</f>
        <v>17.553487179487178</v>
      </c>
      <c r="G542" s="75">
        <f>3.6*F542</f>
        <v>63.19255384615384</v>
      </c>
      <c r="H542" s="75">
        <f>'THAM_SO_MOI'!$D$53</f>
        <v>1.1</v>
      </c>
      <c r="I542" s="75">
        <f>IF(F542&gt;'THAM_SO_MOI'!$C$14,'THAM_SO_MOI'!$C$13*(1+F542^2/1500),'THAM_SO_MOI'!$C$13)</f>
        <v>0.015</v>
      </c>
      <c r="J542" s="75">
        <f>'THAM_SO_MOI'!$C$40*('THAM_SO_MOI'!$C$23*(E542/'THAM_SO_MOI'!$C$22)+'THAM_SO_MOI'!$C$24*(E542/'THAM_SO_MOI'!$C$22)^2-'THAM_SO_MOI'!$C$25*(E542/'THAM_SO_MOI'!$C$22)^3)</f>
        <v>76.20755844165467</v>
      </c>
      <c r="K542" s="75">
        <f>'THAM_SO_MOI'!$C$31*J542/E542</f>
        <v>420.8581252697147</v>
      </c>
      <c r="L542" s="75">
        <f>K542*'THAM_SO_MOI'!$C$53*'THAM_SO_MOI'!$C$17/'THAM_SO_MOI'!$C$26</f>
        <v>3690.927405420009</v>
      </c>
      <c r="M542" s="75">
        <f>'THAM_SO_MOI'!$C$15*'THAM_SO_MOI'!$C$16*F542^2</f>
        <v>901.2653680692307</v>
      </c>
      <c r="N542" s="75">
        <f>'THAM_SO_MOI'!$C$12*I542</f>
        <v>1130.112</v>
      </c>
      <c r="O542" s="75">
        <f>M542+N542</f>
        <v>2031.3773680692307</v>
      </c>
      <c r="P542" s="75">
        <f>(MIN(L542,'THAM_SO_MOI'!$C$41)-O542)/('THAM_SO_MOI'!$C$11*H542)</f>
        <v>0.1964429494970145</v>
      </c>
      <c r="Q542" s="75">
        <f>IF(P542&gt;0,1/P542,NA())</f>
        <v>5.090536476674099</v>
      </c>
      <c r="R542" s="75">
        <f>F542-F541</f>
        <v>0.01760042735042333</v>
      </c>
      <c r="S542" s="75">
        <f>0.5*(Q541+Q542)*R542</f>
        <v>0.08956432268425023</v>
      </c>
      <c r="T542" s="75">
        <f>0.5*(F541*Q541+F542*Q542)*R542</f>
        <v>1.5713782802006124</v>
      </c>
      <c r="U542" s="76">
        <f>U541+S542</f>
        <v>45.26941486364969</v>
      </c>
      <c r="V542" s="76">
        <f>V541+T542</f>
        <v>581.0014540432364</v>
      </c>
    </row>
    <row r="543" spans="1:22" ht="19" customHeight="1">
      <c r="A543" s="68" t="s">
        <v>362</v>
      </c>
      <c r="B543" s="74">
        <v>5</v>
      </c>
      <c r="C543" s="68" t="s">
        <v>363</v>
      </c>
      <c r="D543" s="68" t="s">
        <v>364</v>
      </c>
      <c r="E543" s="75">
        <f>60*F543*'THAM_SO_MOI'!$C$53/(2*PI()*'THAM_SO_MOI'!$C$26)</f>
        <v>1731.2145263157893</v>
      </c>
      <c r="F543" s="75">
        <f>'THAM_SO_MOI'!$E$53+('THAM_SO_MOI'!$C$14-'THAM_SO_MOI'!$E$53)*537/'THAM_SO_MOI'!$C$42</f>
        <v>17.571087606837608</v>
      </c>
      <c r="G543" s="75">
        <f>3.6*F543</f>
        <v>63.25591538461539</v>
      </c>
      <c r="H543" s="75">
        <f>'THAM_SO_MOI'!$D$53</f>
        <v>1.1</v>
      </c>
      <c r="I543" s="75">
        <f>IF(F543&gt;'THAM_SO_MOI'!$C$14,'THAM_SO_MOI'!$C$13*(1+F543^2/1500),'THAM_SO_MOI'!$C$13)</f>
        <v>0.015</v>
      </c>
      <c r="J543" s="75">
        <f>'THAM_SO_MOI'!$C$40*('THAM_SO_MOI'!$C$23*(E543/'THAM_SO_MOI'!$C$22)+'THAM_SO_MOI'!$C$24*(E543/'THAM_SO_MOI'!$C$22)^2-'THAM_SO_MOI'!$C$25*(E543/'THAM_SO_MOI'!$C$22)^3)</f>
        <v>76.29727481958608</v>
      </c>
      <c r="K543" s="75">
        <f>'THAM_SO_MOI'!$C$31*J543/E543</f>
        <v>420.93152903313313</v>
      </c>
      <c r="L543" s="75">
        <f>K543*'THAM_SO_MOI'!$C$53*'THAM_SO_MOI'!$C$17/'THAM_SO_MOI'!$C$26</f>
        <v>3691.5711567124154</v>
      </c>
      <c r="M543" s="75">
        <f>'THAM_SO_MOI'!$C$15*'THAM_SO_MOI'!$C$16*F543^2</f>
        <v>903.0736250849494</v>
      </c>
      <c r="N543" s="75">
        <f>'THAM_SO_MOI'!$C$12*I543</f>
        <v>1130.112</v>
      </c>
      <c r="O543" s="75">
        <f>M543+N543</f>
        <v>2033.1856250849496</v>
      </c>
      <c r="P543" s="75">
        <f>(MIN(L543,'THAM_SO_MOI'!$C$41)-O543)/('THAM_SO_MOI'!$C$11*H543)</f>
        <v>0.19630510554302388</v>
      </c>
      <c r="Q543" s="75">
        <f>IF(P543&gt;0,1/P543,NA())</f>
        <v>5.094111012720612</v>
      </c>
      <c r="R543" s="75">
        <f>F543-F542</f>
        <v>0.017600427350430436</v>
      </c>
      <c r="S543" s="75">
        <f>0.5*(Q542+Q543)*R543</f>
        <v>0.08962707411341767</v>
      </c>
      <c r="T543" s="75">
        <f>0.5*(F542*Q542+F543*Q543)*R543</f>
        <v>1.5740567106136207</v>
      </c>
      <c r="U543" s="76">
        <f>U542+S543</f>
        <v>45.35904193776311</v>
      </c>
      <c r="V543" s="76">
        <f>V542+T543</f>
        <v>582.57551075385</v>
      </c>
    </row>
    <row r="544" spans="1:22" ht="19" customHeight="1">
      <c r="A544" s="68" t="s">
        <v>362</v>
      </c>
      <c r="B544" s="74">
        <v>5</v>
      </c>
      <c r="C544" s="68" t="s">
        <v>363</v>
      </c>
      <c r="D544" s="68" t="s">
        <v>364</v>
      </c>
      <c r="E544" s="75">
        <f>60*F544*'THAM_SO_MOI'!$C$53/(2*PI()*'THAM_SO_MOI'!$C$26)</f>
        <v>1732.9486315789468</v>
      </c>
      <c r="F544" s="75">
        <f>'THAM_SO_MOI'!$E$53+('THAM_SO_MOI'!$C$14-'THAM_SO_MOI'!$E$53)*538/'THAM_SO_MOI'!$C$42</f>
        <v>17.58868803418803</v>
      </c>
      <c r="G544" s="75">
        <f>3.6*F544</f>
        <v>63.31927692307691</v>
      </c>
      <c r="H544" s="75">
        <f>'THAM_SO_MOI'!$D$53</f>
        <v>1.1</v>
      </c>
      <c r="I544" s="75">
        <f>IF(F544&gt;'THAM_SO_MOI'!$C$14,'THAM_SO_MOI'!$C$13*(1+F544^2/1500),'THAM_SO_MOI'!$C$13)</f>
        <v>0.015</v>
      </c>
      <c r="J544" s="75">
        <f>'THAM_SO_MOI'!$C$40*('THAM_SO_MOI'!$C$23*(E544/'THAM_SO_MOI'!$C$22)+'THAM_SO_MOI'!$C$24*(E544/'THAM_SO_MOI'!$C$22)^2-'THAM_SO_MOI'!$C$25*(E544/'THAM_SO_MOI'!$C$22)^3)</f>
        <v>76.38696491958198</v>
      </c>
      <c r="K544" s="75">
        <f>'THAM_SO_MOI'!$C$31*J544/E544</f>
        <v>421.00464106092676</v>
      </c>
      <c r="L544" s="75">
        <f>K544*'THAM_SO_MOI'!$C$53*'THAM_SO_MOI'!$C$17/'THAM_SO_MOI'!$C$26</f>
        <v>3692.212349482251</v>
      </c>
      <c r="M544" s="75">
        <f>'THAM_SO_MOI'!$C$15*'THAM_SO_MOI'!$C$16*F544^2</f>
        <v>904.8836942846686</v>
      </c>
      <c r="N544" s="75">
        <f>'THAM_SO_MOI'!$C$12*I544</f>
        <v>1130.112</v>
      </c>
      <c r="O544" s="75">
        <f>M544+N544</f>
        <v>2034.9956942846688</v>
      </c>
      <c r="P544" s="75">
        <f>(MIN(L544,'THAM_SO_MOI'!$C$41)-O544)/('THAM_SO_MOI'!$C$11*H544)</f>
        <v>0.19616674422319863</v>
      </c>
      <c r="Q544" s="75">
        <f>IF(P544&gt;0,1/P544,NA())</f>
        <v>5.097704016855168</v>
      </c>
      <c r="R544" s="75">
        <f>F544-F543</f>
        <v>0.01760042735042333</v>
      </c>
      <c r="S544" s="75">
        <f>0.5*(Q543+Q544)*R544</f>
        <v>0.08969014999850057</v>
      </c>
      <c r="T544" s="75">
        <f>0.5*(F543*Q543+F544*Q544)*R544</f>
        <v>1.5767430538343605</v>
      </c>
      <c r="U544" s="76">
        <f>U543+S544</f>
        <v>45.44873208776161</v>
      </c>
      <c r="V544" s="76">
        <f>V543+T544</f>
        <v>584.1522538076844</v>
      </c>
    </row>
    <row r="545" spans="1:22" ht="19" customHeight="1">
      <c r="A545" s="68" t="s">
        <v>362</v>
      </c>
      <c r="B545" s="74">
        <v>5</v>
      </c>
      <c r="C545" s="68" t="s">
        <v>363</v>
      </c>
      <c r="D545" s="68" t="s">
        <v>364</v>
      </c>
      <c r="E545" s="75">
        <f>60*F545*'THAM_SO_MOI'!$C$53/(2*PI()*'THAM_SO_MOI'!$C$26)</f>
        <v>1734.6827368421052</v>
      </c>
      <c r="F545" s="75">
        <f>'THAM_SO_MOI'!$E$53+('THAM_SO_MOI'!$C$14-'THAM_SO_MOI'!$E$53)*539/'THAM_SO_MOI'!$C$42</f>
        <v>17.606288461538462</v>
      </c>
      <c r="G545" s="75">
        <f>3.6*F545</f>
        <v>63.38263846153846</v>
      </c>
      <c r="H545" s="75">
        <f>'THAM_SO_MOI'!$D$53</f>
        <v>1.1</v>
      </c>
      <c r="I545" s="75">
        <f>IF(F545&gt;'THAM_SO_MOI'!$C$14,'THAM_SO_MOI'!$C$13*(1+F545^2/1500),'THAM_SO_MOI'!$C$13)</f>
        <v>0.015</v>
      </c>
      <c r="J545" s="75">
        <f>'THAM_SO_MOI'!$C$40*('THAM_SO_MOI'!$C$23*(E545/'THAM_SO_MOI'!$C$22)+'THAM_SO_MOI'!$C$24*(E545/'THAM_SO_MOI'!$C$22)^2-'THAM_SO_MOI'!$C$25*(E545/'THAM_SO_MOI'!$C$22)^3)</f>
        <v>76.4766285827391</v>
      </c>
      <c r="K545" s="75">
        <f>'THAM_SO_MOI'!$C$31*J545/E545</f>
        <v>421.0774613530952</v>
      </c>
      <c r="L545" s="75">
        <f>K545*'THAM_SO_MOI'!$C$53*'THAM_SO_MOI'!$C$17/'THAM_SO_MOI'!$C$26</f>
        <v>3692.850983729511</v>
      </c>
      <c r="M545" s="75">
        <f>'THAM_SO_MOI'!$C$15*'THAM_SO_MOI'!$C$16*F545^2</f>
        <v>906.6955756683896</v>
      </c>
      <c r="N545" s="75">
        <f>'THAM_SO_MOI'!$C$12*I545</f>
        <v>1130.112</v>
      </c>
      <c r="O545" s="75">
        <f>M545+N545</f>
        <v>2036.8075756683897</v>
      </c>
      <c r="P545" s="75">
        <f>(MIN(L545,'THAM_SO_MOI'!$C$41)-O545)/('THAM_SO_MOI'!$C$11*H545)</f>
        <v>0.19602786553753804</v>
      </c>
      <c r="Q545" s="75">
        <f>IF(P545&gt;0,1/P545,NA())</f>
        <v>5.101315556631955</v>
      </c>
      <c r="R545" s="75">
        <f>F545-F544</f>
        <v>0.017600427350430436</v>
      </c>
      <c r="S545" s="75">
        <f>0.5*(Q544+Q545)*R545</f>
        <v>0.08975355152438907</v>
      </c>
      <c r="T545" s="75">
        <f>0.5*(F544*Q544+F545*Q545)*R545</f>
        <v>1.5794373478456472</v>
      </c>
      <c r="U545" s="76">
        <f>U544+S545</f>
        <v>45.538485639286</v>
      </c>
      <c r="V545" s="76">
        <f>V544+T545</f>
        <v>585.73169115553</v>
      </c>
    </row>
    <row r="546" spans="1:22" ht="19" customHeight="1">
      <c r="A546" s="68" t="s">
        <v>362</v>
      </c>
      <c r="B546" s="74">
        <v>5</v>
      </c>
      <c r="C546" s="68" t="s">
        <v>363</v>
      </c>
      <c r="D546" s="68" t="s">
        <v>364</v>
      </c>
      <c r="E546" s="75">
        <f>60*F546*'THAM_SO_MOI'!$C$53/(2*PI()*'THAM_SO_MOI'!$C$26)</f>
        <v>1736.4168421052627</v>
      </c>
      <c r="F546" s="75">
        <f>'THAM_SO_MOI'!$E$53+('THAM_SO_MOI'!$C$14-'THAM_SO_MOI'!$E$53)*540/'THAM_SO_MOI'!$C$42</f>
        <v>17.62388888888889</v>
      </c>
      <c r="G546" s="75">
        <f>3.6*F546</f>
        <v>63.446</v>
      </c>
      <c r="H546" s="75">
        <f>'THAM_SO_MOI'!$D$53</f>
        <v>1.1</v>
      </c>
      <c r="I546" s="75">
        <f>IF(F546&gt;'THAM_SO_MOI'!$C$14,'THAM_SO_MOI'!$C$13*(1+F546^2/1500),'THAM_SO_MOI'!$C$13)</f>
        <v>0.015</v>
      </c>
      <c r="J546" s="75">
        <f>'THAM_SO_MOI'!$C$40*('THAM_SO_MOI'!$C$23*(E546/'THAM_SO_MOI'!$C$22)+'THAM_SO_MOI'!$C$24*(E546/'THAM_SO_MOI'!$C$22)^2-'THAM_SO_MOI'!$C$25*(E546/'THAM_SO_MOI'!$C$22)^3)</f>
        <v>76.56626565015411</v>
      </c>
      <c r="K546" s="75">
        <f>'THAM_SO_MOI'!$C$31*J546/E546</f>
        <v>421.14998990963863</v>
      </c>
      <c r="L546" s="75">
        <f>K546*'THAM_SO_MOI'!$C$53*'THAM_SO_MOI'!$C$17/'THAM_SO_MOI'!$C$26</f>
        <v>3693.4870594541994</v>
      </c>
      <c r="M546" s="75">
        <f>'THAM_SO_MOI'!$C$15*'THAM_SO_MOI'!$C$16*F546^2</f>
        <v>908.5092692361112</v>
      </c>
      <c r="N546" s="75">
        <f>'THAM_SO_MOI'!$C$12*I546</f>
        <v>1130.112</v>
      </c>
      <c r="O546" s="75">
        <f>M546+N546</f>
        <v>2038.6212692361114</v>
      </c>
      <c r="P546" s="75">
        <f>(MIN(L546,'THAM_SO_MOI'!$C$41)-O546)/('THAM_SO_MOI'!$C$11*H546)</f>
        <v>0.1958884694860426</v>
      </c>
      <c r="Q546" s="75">
        <f>IF(P546&gt;0,1/P546,NA())</f>
        <v>5.10494570009008</v>
      </c>
      <c r="R546" s="75">
        <f>F546-F545</f>
        <v>0.017600427350426884</v>
      </c>
      <c r="S546" s="75">
        <f>0.5*(Q545+Q546)*R546</f>
        <v>0.08981727988420639</v>
      </c>
      <c r="T546" s="75">
        <f>0.5*(F545*Q545+F546*Q546)*R546</f>
        <v>1.5821396308587423</v>
      </c>
      <c r="U546" s="76">
        <f>U545+S546</f>
        <v>45.62830291917021</v>
      </c>
      <c r="V546" s="76">
        <f>V545+T546</f>
        <v>587.3138307863887</v>
      </c>
    </row>
    <row r="547" spans="1:22" ht="19" customHeight="1">
      <c r="A547" s="68" t="s">
        <v>362</v>
      </c>
      <c r="B547" s="74">
        <v>5</v>
      </c>
      <c r="C547" s="68" t="s">
        <v>363</v>
      </c>
      <c r="D547" s="68" t="s">
        <v>364</v>
      </c>
      <c r="E547" s="75">
        <f>60*F547*'THAM_SO_MOI'!$C$53/(2*PI()*'THAM_SO_MOI'!$C$26)</f>
        <v>1738.1509473684207</v>
      </c>
      <c r="F547" s="75">
        <f>'THAM_SO_MOI'!$E$53+('THAM_SO_MOI'!$C$14-'THAM_SO_MOI'!$E$53)*541/'THAM_SO_MOI'!$C$42</f>
        <v>17.641489316239316</v>
      </c>
      <c r="G547" s="75">
        <f>3.6*F547</f>
        <v>63.50936153846154</v>
      </c>
      <c r="H547" s="75">
        <f>'THAM_SO_MOI'!$D$53</f>
        <v>1.1</v>
      </c>
      <c r="I547" s="75">
        <f>IF(F547&gt;'THAM_SO_MOI'!$C$14,'THAM_SO_MOI'!$C$13*(1+F547^2/1500),'THAM_SO_MOI'!$C$13)</f>
        <v>0.015</v>
      </c>
      <c r="J547" s="75">
        <f>'THAM_SO_MOI'!$C$40*('THAM_SO_MOI'!$C$23*(E547/'THAM_SO_MOI'!$C$22)+'THAM_SO_MOI'!$C$24*(E547/'THAM_SO_MOI'!$C$22)^2-'THAM_SO_MOI'!$C$25*(E547/'THAM_SO_MOI'!$C$22)^3)</f>
        <v>76.65587596292379</v>
      </c>
      <c r="K547" s="75">
        <f>'THAM_SO_MOI'!$C$31*J547/E547</f>
        <v>421.222226730557</v>
      </c>
      <c r="L547" s="75">
        <f>K547*'THAM_SO_MOI'!$C$53*'THAM_SO_MOI'!$C$17/'THAM_SO_MOI'!$C$26</f>
        <v>3694.1205766563135</v>
      </c>
      <c r="M547" s="75">
        <f>'THAM_SO_MOI'!$C$15*'THAM_SO_MOI'!$C$16*F547^2</f>
        <v>910.3247749878338</v>
      </c>
      <c r="N547" s="75">
        <f>'THAM_SO_MOI'!$C$12*I547</f>
        <v>1130.112</v>
      </c>
      <c r="O547" s="75">
        <f>M547+N547</f>
        <v>2040.4367749878338</v>
      </c>
      <c r="P547" s="75">
        <f>(MIN(L547,'THAM_SO_MOI'!$C$41)-O547)/('THAM_SO_MOI'!$C$11*H547)</f>
        <v>0.19574855606871208</v>
      </c>
      <c r="Q547" s="75">
        <f>IF(P547&gt;0,1/P547,NA())</f>
        <v>5.108594515757132</v>
      </c>
      <c r="R547" s="75">
        <f>F547-F546</f>
        <v>0.017600427350426884</v>
      </c>
      <c r="S547" s="75">
        <f>0.5*(Q546+Q547)*R547</f>
        <v>0.08988133627984109</v>
      </c>
      <c r="T547" s="75">
        <f>0.5*(F546*Q546+F547*Q547)*R547</f>
        <v>1.5848499413234607</v>
      </c>
      <c r="U547" s="76">
        <f>U546+S547</f>
        <v>45.71818425545005</v>
      </c>
      <c r="V547" s="76">
        <f>V546+T547</f>
        <v>588.8986807277122</v>
      </c>
    </row>
    <row r="548" spans="1:22" ht="19" customHeight="1">
      <c r="A548" s="68" t="s">
        <v>362</v>
      </c>
      <c r="B548" s="74">
        <v>5</v>
      </c>
      <c r="C548" s="68" t="s">
        <v>363</v>
      </c>
      <c r="D548" s="68" t="s">
        <v>364</v>
      </c>
      <c r="E548" s="75">
        <f>60*F548*'THAM_SO_MOI'!$C$53/(2*PI()*'THAM_SO_MOI'!$C$26)</f>
        <v>1739.8850526315787</v>
      </c>
      <c r="F548" s="75">
        <f>'THAM_SO_MOI'!$E$53+('THAM_SO_MOI'!$C$14-'THAM_SO_MOI'!$E$53)*542/'THAM_SO_MOI'!$C$42</f>
        <v>17.659089743589742</v>
      </c>
      <c r="G548" s="75">
        <f>3.6*F548</f>
        <v>63.572723076923076</v>
      </c>
      <c r="H548" s="75">
        <f>'THAM_SO_MOI'!$D$53</f>
        <v>1.1</v>
      </c>
      <c r="I548" s="75">
        <f>IF(F548&gt;'THAM_SO_MOI'!$C$14,'THAM_SO_MOI'!$C$13*(1+F548^2/1500),'THAM_SO_MOI'!$C$13)</f>
        <v>0.015</v>
      </c>
      <c r="J548" s="75">
        <f>'THAM_SO_MOI'!$C$40*('THAM_SO_MOI'!$C$23*(E548/'THAM_SO_MOI'!$C$22)+'THAM_SO_MOI'!$C$24*(E548/'THAM_SO_MOI'!$C$22)^2-'THAM_SO_MOI'!$C$25*(E548/'THAM_SO_MOI'!$C$22)^3)</f>
        <v>76.74545936214481</v>
      </c>
      <c r="K548" s="75">
        <f>'THAM_SO_MOI'!$C$31*J548/E548</f>
        <v>421.29417181585023</v>
      </c>
      <c r="L548" s="75">
        <f>K548*'THAM_SO_MOI'!$C$53*'THAM_SO_MOI'!$C$17/'THAM_SO_MOI'!$C$26</f>
        <v>3694.7515353358544</v>
      </c>
      <c r="M548" s="75">
        <f>'THAM_SO_MOI'!$C$15*'THAM_SO_MOI'!$C$16*F548^2</f>
        <v>912.1420929235577</v>
      </c>
      <c r="N548" s="75">
        <f>'THAM_SO_MOI'!$C$12*I548</f>
        <v>1130.112</v>
      </c>
      <c r="O548" s="75">
        <f>M548+N548</f>
        <v>2042.254092923558</v>
      </c>
      <c r="P548" s="75">
        <f>(MIN(L548,'THAM_SO_MOI'!$C$41)-O548)/('THAM_SO_MOI'!$C$11*H548)</f>
        <v>0.19560812528554647</v>
      </c>
      <c r="Q548" s="75">
        <f>IF(P548&gt;0,1/P548,NA())</f>
        <v>5.112262072652716</v>
      </c>
      <c r="R548" s="75">
        <f>F548-F547</f>
        <v>0.017600427350426884</v>
      </c>
      <c r="S548" s="75">
        <f>0.5*(Q547+Q548)*R548</f>
        <v>0.08994572192171975</v>
      </c>
      <c r="T548" s="75">
        <f>0.5*(F547*Q547+F548*Q548)*R548</f>
        <v>1.5875683179249327</v>
      </c>
      <c r="U548" s="76">
        <f>U547+S548</f>
        <v>45.80812997737177</v>
      </c>
      <c r="V548" s="76">
        <f>V547+T548</f>
        <v>590.4862490456371</v>
      </c>
    </row>
    <row r="549" spans="1:22" ht="19" customHeight="1">
      <c r="A549" s="68" t="s">
        <v>362</v>
      </c>
      <c r="B549" s="74">
        <v>5</v>
      </c>
      <c r="C549" s="68" t="s">
        <v>363</v>
      </c>
      <c r="D549" s="68" t="s">
        <v>364</v>
      </c>
      <c r="E549" s="75">
        <f>60*F549*'THAM_SO_MOI'!$C$53/(2*PI()*'THAM_SO_MOI'!$C$26)</f>
        <v>1741.6191578947362</v>
      </c>
      <c r="F549" s="75">
        <f>'THAM_SO_MOI'!$E$53+('THAM_SO_MOI'!$C$14-'THAM_SO_MOI'!$E$53)*543/'THAM_SO_MOI'!$C$42</f>
        <v>17.67669017094017</v>
      </c>
      <c r="G549" s="75">
        <f>3.6*F549</f>
        <v>63.63608461538461</v>
      </c>
      <c r="H549" s="75">
        <f>'THAM_SO_MOI'!$D$53</f>
        <v>1.1</v>
      </c>
      <c r="I549" s="75">
        <f>IF(F549&gt;'THAM_SO_MOI'!$C$14,'THAM_SO_MOI'!$C$13*(1+F549^2/1500),'THAM_SO_MOI'!$C$13)</f>
        <v>0.015</v>
      </c>
      <c r="J549" s="75">
        <f>'THAM_SO_MOI'!$C$40*('THAM_SO_MOI'!$C$23*(E549/'THAM_SO_MOI'!$C$22)+'THAM_SO_MOI'!$C$24*(E549/'THAM_SO_MOI'!$C$22)^2-'THAM_SO_MOI'!$C$25*(E549/'THAM_SO_MOI'!$C$22)^3)</f>
        <v>76.83501568891394</v>
      </c>
      <c r="K549" s="75">
        <f>'THAM_SO_MOI'!$C$31*J549/E549</f>
        <v>421.36582516551863</v>
      </c>
      <c r="L549" s="75">
        <f>K549*'THAM_SO_MOI'!$C$53*'THAM_SO_MOI'!$C$17/'THAM_SO_MOI'!$C$26</f>
        <v>3695.3799354928237</v>
      </c>
      <c r="M549" s="75">
        <f>'THAM_SO_MOI'!$C$15*'THAM_SO_MOI'!$C$16*F549^2</f>
        <v>913.9612230432825</v>
      </c>
      <c r="N549" s="75">
        <f>'THAM_SO_MOI'!$C$12*I549</f>
        <v>1130.112</v>
      </c>
      <c r="O549" s="75">
        <f>M549+N549</f>
        <v>2044.0732230432827</v>
      </c>
      <c r="P549" s="75">
        <f>(MIN(L549,'THAM_SO_MOI'!$C$41)-O549)/('THAM_SO_MOI'!$C$11*H549)</f>
        <v>0.19546717713654604</v>
      </c>
      <c r="Q549" s="75">
        <f>IF(P549&gt;0,1/P549,NA())</f>
        <v>5.115948440292037</v>
      </c>
      <c r="R549" s="75">
        <f>F549-F548</f>
        <v>0.017600427350426884</v>
      </c>
      <c r="S549" s="75">
        <f>0.5*(Q548+Q549)*R549</f>
        <v>0.0900104380289783</v>
      </c>
      <c r="T549" s="75">
        <f>0.5*(F548*Q548+F549*Q549)*R549</f>
        <v>1.590294799587379</v>
      </c>
      <c r="U549" s="76">
        <f>U548+S549</f>
        <v>45.898140415400746</v>
      </c>
      <c r="V549" s="76">
        <f>V548+T549</f>
        <v>592.0765438452245</v>
      </c>
    </row>
    <row r="550" spans="1:22" ht="19" customHeight="1">
      <c r="A550" s="68" t="s">
        <v>362</v>
      </c>
      <c r="B550" s="74">
        <v>5</v>
      </c>
      <c r="C550" s="68" t="s">
        <v>363</v>
      </c>
      <c r="D550" s="68" t="s">
        <v>364</v>
      </c>
      <c r="E550" s="75">
        <f>60*F550*'THAM_SO_MOI'!$C$53/(2*PI()*'THAM_SO_MOI'!$C$26)</f>
        <v>1743.3532631578946</v>
      </c>
      <c r="F550" s="75">
        <f>'THAM_SO_MOI'!$E$53+('THAM_SO_MOI'!$C$14-'THAM_SO_MOI'!$E$53)*544/'THAM_SO_MOI'!$C$42</f>
        <v>17.6942905982906</v>
      </c>
      <c r="G550" s="75">
        <f>3.6*F550</f>
        <v>63.69944615384616</v>
      </c>
      <c r="H550" s="75">
        <f>'THAM_SO_MOI'!$D$53</f>
        <v>1.1</v>
      </c>
      <c r="I550" s="75">
        <f>IF(F550&gt;'THAM_SO_MOI'!$C$14,'THAM_SO_MOI'!$C$13*(1+F550^2/1500),'THAM_SO_MOI'!$C$13)</f>
        <v>0.015</v>
      </c>
      <c r="J550" s="75">
        <f>'THAM_SO_MOI'!$C$40*('THAM_SO_MOI'!$C$23*(E550/'THAM_SO_MOI'!$C$22)+'THAM_SO_MOI'!$C$24*(E550/'THAM_SO_MOI'!$C$22)^2-'THAM_SO_MOI'!$C$25*(E550/'THAM_SO_MOI'!$C$22)^3)</f>
        <v>76.92454478432792</v>
      </c>
      <c r="K550" s="75">
        <f>'THAM_SO_MOI'!$C$31*J550/E550</f>
        <v>421.4371867795619</v>
      </c>
      <c r="L550" s="75">
        <f>K550*'THAM_SO_MOI'!$C$53*'THAM_SO_MOI'!$C$17/'THAM_SO_MOI'!$C$26</f>
        <v>3696.0057771272186</v>
      </c>
      <c r="M550" s="75">
        <f>'THAM_SO_MOI'!$C$15*'THAM_SO_MOI'!$C$16*F550^2</f>
        <v>915.7821653470088</v>
      </c>
      <c r="N550" s="75">
        <f>'THAM_SO_MOI'!$C$12*I550</f>
        <v>1130.112</v>
      </c>
      <c r="O550" s="75">
        <f>M550+N550</f>
        <v>2045.8941653470088</v>
      </c>
      <c r="P550" s="75">
        <f>(MIN(L550,'THAM_SO_MOI'!$C$41)-O550)/('THAM_SO_MOI'!$C$11*H550)</f>
        <v>0.19532571162171045</v>
      </c>
      <c r="Q550" s="75">
        <f>IF(P550&gt;0,1/P550,NA())</f>
        <v>5.119653688689544</v>
      </c>
      <c r="R550" s="75">
        <f>F550-F549</f>
        <v>0.017600427350430436</v>
      </c>
      <c r="S550" s="75">
        <f>0.5*(Q549+Q550)*R550</f>
        <v>0.09007548582952571</v>
      </c>
      <c r="T550" s="75">
        <f>0.5*(F549*Q549+F550*Q550)*R550</f>
        <v>1.5930294254760067</v>
      </c>
      <c r="U550" s="76">
        <f>U549+S550</f>
        <v>45.98821590123027</v>
      </c>
      <c r="V550" s="76">
        <f>V549+T550</f>
        <v>593.6695732707005</v>
      </c>
    </row>
    <row r="551" spans="1:22" ht="19" customHeight="1">
      <c r="A551" s="68" t="s">
        <v>362</v>
      </c>
      <c r="B551" s="74">
        <v>5</v>
      </c>
      <c r="C551" s="68" t="s">
        <v>363</v>
      </c>
      <c r="D551" s="68" t="s">
        <v>364</v>
      </c>
      <c r="E551" s="75">
        <f>60*F551*'THAM_SO_MOI'!$C$53/(2*PI()*'THAM_SO_MOI'!$C$26)</f>
        <v>1745.087368421052</v>
      </c>
      <c r="F551" s="75">
        <f>'THAM_SO_MOI'!$E$53+('THAM_SO_MOI'!$C$14-'THAM_SO_MOI'!$E$53)*545/'THAM_SO_MOI'!$C$42</f>
        <v>17.711891025641023</v>
      </c>
      <c r="G551" s="75">
        <f>3.6*F551</f>
        <v>63.76280769230768</v>
      </c>
      <c r="H551" s="75">
        <f>'THAM_SO_MOI'!$D$53</f>
        <v>1.1</v>
      </c>
      <c r="I551" s="75">
        <f>IF(F551&gt;'THAM_SO_MOI'!$C$14,'THAM_SO_MOI'!$C$13*(1+F551^2/1500),'THAM_SO_MOI'!$C$13)</f>
        <v>0.015</v>
      </c>
      <c r="J551" s="75">
        <f>'THAM_SO_MOI'!$C$40*('THAM_SO_MOI'!$C$23*(E551/'THAM_SO_MOI'!$C$22)+'THAM_SO_MOI'!$C$24*(E551/'THAM_SO_MOI'!$C$22)^2-'THAM_SO_MOI'!$C$25*(E551/'THAM_SO_MOI'!$C$22)^3)</f>
        <v>77.01404648948336</v>
      </c>
      <c r="K551" s="75">
        <f>'THAM_SO_MOI'!$C$31*J551/E551</f>
        <v>421.5082566579801</v>
      </c>
      <c r="L551" s="75">
        <f>K551*'THAM_SO_MOI'!$C$53*'THAM_SO_MOI'!$C$17/'THAM_SO_MOI'!$C$26</f>
        <v>3696.6290602390404</v>
      </c>
      <c r="M551" s="75">
        <f>'THAM_SO_MOI'!$C$15*'THAM_SO_MOI'!$C$16*F551^2</f>
        <v>917.6049198347354</v>
      </c>
      <c r="N551" s="75">
        <f>'THAM_SO_MOI'!$C$12*I551</f>
        <v>1130.112</v>
      </c>
      <c r="O551" s="75">
        <f>M551+N551</f>
        <v>2047.7169198347356</v>
      </c>
      <c r="P551" s="75">
        <f>(MIN(L551,'THAM_SO_MOI'!$C$41)-O551)/('THAM_SO_MOI'!$C$11*H551)</f>
        <v>0.19518372874103987</v>
      </c>
      <c r="Q551" s="75">
        <f>IF(P551&gt;0,1/P551,NA())</f>
        <v>5.123377888362563</v>
      </c>
      <c r="R551" s="75">
        <f>F551-F550</f>
        <v>0.01760042735042333</v>
      </c>
      <c r="S551" s="75">
        <f>0.5*(Q550+Q551)*R551</f>
        <v>0.09014086655999887</v>
      </c>
      <c r="T551" s="75">
        <f>0.5*(F550*Q550+F551*Q551)*R551</f>
        <v>1.5957722349969805</v>
      </c>
      <c r="U551" s="76">
        <f>U550+S551</f>
        <v>46.07835676779027</v>
      </c>
      <c r="V551" s="76">
        <f>V550+T551</f>
        <v>595.2653455056975</v>
      </c>
    </row>
    <row r="552" spans="1:22" ht="19" customHeight="1">
      <c r="A552" s="68" t="s">
        <v>362</v>
      </c>
      <c r="B552" s="74">
        <v>5</v>
      </c>
      <c r="C552" s="68" t="s">
        <v>363</v>
      </c>
      <c r="D552" s="68" t="s">
        <v>364</v>
      </c>
      <c r="E552" s="75">
        <f>60*F552*'THAM_SO_MOI'!$C$53/(2*PI()*'THAM_SO_MOI'!$C$26)</f>
        <v>1746.8214736842103</v>
      </c>
      <c r="F552" s="75">
        <f>'THAM_SO_MOI'!$E$53+('THAM_SO_MOI'!$C$14-'THAM_SO_MOI'!$E$53)*546/'THAM_SO_MOI'!$C$42</f>
        <v>17.729491452991454</v>
      </c>
      <c r="G552" s="75">
        <f>3.6*F552</f>
        <v>63.82616923076923</v>
      </c>
      <c r="H552" s="75">
        <f>'THAM_SO_MOI'!$D$53</f>
        <v>1.1</v>
      </c>
      <c r="I552" s="75">
        <f>IF(F552&gt;'THAM_SO_MOI'!$C$14,'THAM_SO_MOI'!$C$13*(1+F552^2/1500),'THAM_SO_MOI'!$C$13)</f>
        <v>0.015</v>
      </c>
      <c r="J552" s="75">
        <f>'THAM_SO_MOI'!$C$40*('THAM_SO_MOI'!$C$23*(E552/'THAM_SO_MOI'!$C$22)+'THAM_SO_MOI'!$C$24*(E552/'THAM_SO_MOI'!$C$22)^2-'THAM_SO_MOI'!$C$25*(E552/'THAM_SO_MOI'!$C$22)^3)</f>
        <v>77.1035206454771</v>
      </c>
      <c r="K552" s="75">
        <f>'THAM_SO_MOI'!$C$31*J552/E552</f>
        <v>421.57903480077323</v>
      </c>
      <c r="L552" s="75">
        <f>K552*'THAM_SO_MOI'!$C$53*'THAM_SO_MOI'!$C$17/'THAM_SO_MOI'!$C$26</f>
        <v>3697.2497848282887</v>
      </c>
      <c r="M552" s="75">
        <f>'THAM_SO_MOI'!$C$15*'THAM_SO_MOI'!$C$16*F552^2</f>
        <v>919.4294865064638</v>
      </c>
      <c r="N552" s="75">
        <f>'THAM_SO_MOI'!$C$12*I552</f>
        <v>1130.112</v>
      </c>
      <c r="O552" s="75">
        <f>M552+N552</f>
        <v>2049.541486506464</v>
      </c>
      <c r="P552" s="75">
        <f>(MIN(L552,'THAM_SO_MOI'!$C$41)-O552)/('THAM_SO_MOI'!$C$11*H552)</f>
        <v>0.19504122849453417</v>
      </c>
      <c r="Q552" s="75">
        <f>IF(P552&gt;0,1/P552,NA())</f>
        <v>5.127121110335008</v>
      </c>
      <c r="R552" s="75">
        <f>F552-F551</f>
        <v>0.017600427350430436</v>
      </c>
      <c r="S552" s="75">
        <f>0.5*(Q551+Q552)*R552</f>
        <v>0.09020658146611825</v>
      </c>
      <c r="T552" s="75">
        <f>0.5*(F551*Q551+F552*Q552)*R552</f>
        <v>1.598523267804495</v>
      </c>
      <c r="U552" s="76">
        <f>U551+S552</f>
        <v>46.16856334925639</v>
      </c>
      <c r="V552" s="76">
        <f>V551+T552</f>
        <v>596.863868773502</v>
      </c>
    </row>
    <row r="553" spans="1:22" ht="19" customHeight="1">
      <c r="A553" s="68" t="s">
        <v>362</v>
      </c>
      <c r="B553" s="74">
        <v>5</v>
      </c>
      <c r="C553" s="68" t="s">
        <v>363</v>
      </c>
      <c r="D553" s="68" t="s">
        <v>364</v>
      </c>
      <c r="E553" s="75">
        <f>60*F553*'THAM_SO_MOI'!$C$53/(2*PI()*'THAM_SO_MOI'!$C$26)</f>
        <v>1748.5555789473683</v>
      </c>
      <c r="F553" s="75">
        <f>'THAM_SO_MOI'!$E$53+('THAM_SO_MOI'!$C$14-'THAM_SO_MOI'!$E$53)*547/'THAM_SO_MOI'!$C$42</f>
        <v>17.74709188034188</v>
      </c>
      <c r="G553" s="75">
        <f>3.6*F553</f>
        <v>63.889530769230774</v>
      </c>
      <c r="H553" s="75">
        <f>'THAM_SO_MOI'!$D$53</f>
        <v>1.1</v>
      </c>
      <c r="I553" s="75">
        <f>IF(F553&gt;'THAM_SO_MOI'!$C$14,'THAM_SO_MOI'!$C$13*(1+F553^2/1500),'THAM_SO_MOI'!$C$13)</f>
        <v>0.015</v>
      </c>
      <c r="J553" s="75">
        <f>'THAM_SO_MOI'!$C$40*('THAM_SO_MOI'!$C$23*(E553/'THAM_SO_MOI'!$C$22)+'THAM_SO_MOI'!$C$24*(E553/'THAM_SO_MOI'!$C$22)^2-'THAM_SO_MOI'!$C$25*(E553/'THAM_SO_MOI'!$C$22)^3)</f>
        <v>77.19296709340581</v>
      </c>
      <c r="K553" s="75">
        <f>'THAM_SO_MOI'!$C$31*J553/E553</f>
        <v>421.64952120794135</v>
      </c>
      <c r="L553" s="75">
        <f>K553*'THAM_SO_MOI'!$C$53*'THAM_SO_MOI'!$C$17/'THAM_SO_MOI'!$C$26</f>
        <v>3697.867950894964</v>
      </c>
      <c r="M553" s="75">
        <f>'THAM_SO_MOI'!$C$15*'THAM_SO_MOI'!$C$16*F553^2</f>
        <v>921.2558653621929</v>
      </c>
      <c r="N553" s="75">
        <f>'THAM_SO_MOI'!$C$12*I553</f>
        <v>1130.112</v>
      </c>
      <c r="O553" s="75">
        <f>M553+N553</f>
        <v>2051.367865362193</v>
      </c>
      <c r="P553" s="75">
        <f>(MIN(L553,'THAM_SO_MOI'!$C$41)-O553)/('THAM_SO_MOI'!$C$11*H553)</f>
        <v>0.1948982108821935</v>
      </c>
      <c r="Q553" s="75">
        <f>IF(P553&gt;0,1/P553,NA())</f>
        <v>5.130883426141102</v>
      </c>
      <c r="R553" s="75">
        <f>F553-F552</f>
        <v>0.017600427350426884</v>
      </c>
      <c r="S553" s="75">
        <f>0.5*(Q552+Q553)*R553</f>
        <v>0.09027263180229858</v>
      </c>
      <c r="T553" s="75">
        <f>0.5*(F552*Q552+F553*Q553)*R553</f>
        <v>1.6012825637946664</v>
      </c>
      <c r="U553" s="76">
        <f>U552+S553</f>
        <v>46.25883598105869</v>
      </c>
      <c r="V553" s="76">
        <f>V552+T553</f>
        <v>598.4651513372967</v>
      </c>
    </row>
    <row r="554" spans="1:22" ht="19" customHeight="1">
      <c r="A554" s="68" t="s">
        <v>362</v>
      </c>
      <c r="B554" s="74">
        <v>5</v>
      </c>
      <c r="C554" s="68" t="s">
        <v>363</v>
      </c>
      <c r="D554" s="68" t="s">
        <v>364</v>
      </c>
      <c r="E554" s="75">
        <f>60*F554*'THAM_SO_MOI'!$C$53/(2*PI()*'THAM_SO_MOI'!$C$26)</f>
        <v>1750.2896842105258</v>
      </c>
      <c r="F554" s="75">
        <f>'THAM_SO_MOI'!$E$53+('THAM_SO_MOI'!$C$14-'THAM_SO_MOI'!$E$53)*548/'THAM_SO_MOI'!$C$42</f>
        <v>17.764692307692307</v>
      </c>
      <c r="G554" s="75">
        <f>3.6*F554</f>
        <v>63.95289230769231</v>
      </c>
      <c r="H554" s="75">
        <f>'THAM_SO_MOI'!$D$53</f>
        <v>1.1</v>
      </c>
      <c r="I554" s="75">
        <f>IF(F554&gt;'THAM_SO_MOI'!$C$14,'THAM_SO_MOI'!$C$13*(1+F554^2/1500),'THAM_SO_MOI'!$C$13)</f>
        <v>0.015</v>
      </c>
      <c r="J554" s="75">
        <f>'THAM_SO_MOI'!$C$40*('THAM_SO_MOI'!$C$23*(E554/'THAM_SO_MOI'!$C$22)+'THAM_SO_MOI'!$C$24*(E554/'THAM_SO_MOI'!$C$22)^2-'THAM_SO_MOI'!$C$25*(E554/'THAM_SO_MOI'!$C$22)^3)</f>
        <v>77.28238567436621</v>
      </c>
      <c r="K554" s="75">
        <f>'THAM_SO_MOI'!$C$31*J554/E554</f>
        <v>421.71971587948445</v>
      </c>
      <c r="L554" s="75">
        <f>K554*'THAM_SO_MOI'!$C$53*'THAM_SO_MOI'!$C$17/'THAM_SO_MOI'!$C$26</f>
        <v>3698.483558439067</v>
      </c>
      <c r="M554" s="75">
        <f>'THAM_SO_MOI'!$C$15*'THAM_SO_MOI'!$C$16*F554^2</f>
        <v>923.0840564019231</v>
      </c>
      <c r="N554" s="75">
        <f>'THAM_SO_MOI'!$C$12*I554</f>
        <v>1130.112</v>
      </c>
      <c r="O554" s="75">
        <f>M554+N554</f>
        <v>2053.196056401923</v>
      </c>
      <c r="P554" s="75">
        <f>(MIN(L554,'THAM_SO_MOI'!$C$41)-O554)/('THAM_SO_MOI'!$C$11*H554)</f>
        <v>0.194754675904018</v>
      </c>
      <c r="Q554" s="75">
        <f>IF(P554&gt;0,1/P554,NA())</f>
        <v>5.134664907829148</v>
      </c>
      <c r="R554" s="75">
        <f>F554-F553</f>
        <v>0.017600427350426884</v>
      </c>
      <c r="S554" s="75">
        <f>0.5*(Q553+Q554)*R554</f>
        <v>0.09033901883216955</v>
      </c>
      <c r="T554" s="75">
        <f>0.5*(F553*Q553+F554*Q554)*R554</f>
        <v>1.604050163115544</v>
      </c>
      <c r="U554" s="76">
        <f>U553+S554</f>
        <v>46.349174999890856</v>
      </c>
      <c r="V554" s="76">
        <f>V553+T554</f>
        <v>600.0692015004122</v>
      </c>
    </row>
    <row r="555" spans="1:22" ht="19" customHeight="1">
      <c r="A555" s="68" t="s">
        <v>362</v>
      </c>
      <c r="B555" s="74">
        <v>5</v>
      </c>
      <c r="C555" s="68" t="s">
        <v>363</v>
      </c>
      <c r="D555" s="68" t="s">
        <v>364</v>
      </c>
      <c r="E555" s="75">
        <f>60*F555*'THAM_SO_MOI'!$C$53/(2*PI()*'THAM_SO_MOI'!$C$26)</f>
        <v>1752.0237894736838</v>
      </c>
      <c r="F555" s="75">
        <f>'THAM_SO_MOI'!$E$53+('THAM_SO_MOI'!$C$14-'THAM_SO_MOI'!$E$53)*549/'THAM_SO_MOI'!$C$42</f>
        <v>17.782292735042734</v>
      </c>
      <c r="G555" s="75">
        <f>3.6*F555</f>
        <v>64.01625384615384</v>
      </c>
      <c r="H555" s="75">
        <f>'THAM_SO_MOI'!$D$53</f>
        <v>1.1</v>
      </c>
      <c r="I555" s="75">
        <f>IF(F555&gt;'THAM_SO_MOI'!$C$14,'THAM_SO_MOI'!$C$13*(1+F555^2/1500),'THAM_SO_MOI'!$C$13)</f>
        <v>0.015</v>
      </c>
      <c r="J555" s="75">
        <f>'THAM_SO_MOI'!$C$40*('THAM_SO_MOI'!$C$23*(E555/'THAM_SO_MOI'!$C$22)+'THAM_SO_MOI'!$C$24*(E555/'THAM_SO_MOI'!$C$22)^2-'THAM_SO_MOI'!$C$25*(E555/'THAM_SO_MOI'!$C$22)^3)</f>
        <v>77.37177622945505</v>
      </c>
      <c r="K555" s="75">
        <f>'THAM_SO_MOI'!$C$31*J555/E555</f>
        <v>421.78961881540266</v>
      </c>
      <c r="L555" s="75">
        <f>K555*'THAM_SO_MOI'!$C$53*'THAM_SO_MOI'!$C$17/'THAM_SO_MOI'!$C$26</f>
        <v>3699.096607460597</v>
      </c>
      <c r="M555" s="75">
        <f>'THAM_SO_MOI'!$C$15*'THAM_SO_MOI'!$C$16*F555^2</f>
        <v>924.9140596256544</v>
      </c>
      <c r="N555" s="75">
        <f>'THAM_SO_MOI'!$C$12*I555</f>
        <v>1130.112</v>
      </c>
      <c r="O555" s="75">
        <f>M555+N555</f>
        <v>2055.0260596256544</v>
      </c>
      <c r="P555" s="75">
        <f>(MIN(L555,'THAM_SO_MOI'!$C$41)-O555)/('THAM_SO_MOI'!$C$11*H555)</f>
        <v>0.19461062356000744</v>
      </c>
      <c r="Q555" s="75">
        <f>IF(P555&gt;0,1/P555,NA())</f>
        <v>5.13846562796534</v>
      </c>
      <c r="R555" s="75">
        <f>F555-F554</f>
        <v>0.017600427350426884</v>
      </c>
      <c r="S555" s="75">
        <f>0.5*(Q554+Q555)*R555</f>
        <v>0.09040574382835144</v>
      </c>
      <c r="T555" s="75">
        <f>0.5*(F554*Q554+F555*Q555)*R555</f>
        <v>1.606826106163933</v>
      </c>
      <c r="U555" s="76">
        <f>U554+S555</f>
        <v>46.439580743719205</v>
      </c>
      <c r="V555" s="76">
        <f>V554+T555</f>
        <v>601.6760276065761</v>
      </c>
    </row>
    <row r="556" spans="1:22" ht="19" customHeight="1">
      <c r="A556" s="68" t="s">
        <v>362</v>
      </c>
      <c r="B556" s="74">
        <v>5</v>
      </c>
      <c r="C556" s="68" t="s">
        <v>363</v>
      </c>
      <c r="D556" s="68" t="s">
        <v>364</v>
      </c>
      <c r="E556" s="75">
        <f>60*F556*'THAM_SO_MOI'!$C$53/(2*PI()*'THAM_SO_MOI'!$C$26)</f>
        <v>1753.7578947368413</v>
      </c>
      <c r="F556" s="75">
        <f>'THAM_SO_MOI'!$E$53+('THAM_SO_MOI'!$C$14-'THAM_SO_MOI'!$E$53)*550/'THAM_SO_MOI'!$C$42</f>
        <v>17.79989316239316</v>
      </c>
      <c r="G556" s="75">
        <f>3.6*F556</f>
        <v>64.07961538461538</v>
      </c>
      <c r="H556" s="75">
        <f>'THAM_SO_MOI'!$D$53</f>
        <v>1.1</v>
      </c>
      <c r="I556" s="75">
        <f>IF(F556&gt;'THAM_SO_MOI'!$C$14,'THAM_SO_MOI'!$C$13*(1+F556^2/1500),'THAM_SO_MOI'!$C$13)</f>
        <v>0.015</v>
      </c>
      <c r="J556" s="75">
        <f>'THAM_SO_MOI'!$C$40*('THAM_SO_MOI'!$C$23*(E556/'THAM_SO_MOI'!$C$22)+'THAM_SO_MOI'!$C$24*(E556/'THAM_SO_MOI'!$C$22)^2-'THAM_SO_MOI'!$C$25*(E556/'THAM_SO_MOI'!$C$22)^3)</f>
        <v>77.46113859976897</v>
      </c>
      <c r="K556" s="75">
        <f>'THAM_SO_MOI'!$C$31*J556/E556</f>
        <v>421.8592300156956</v>
      </c>
      <c r="L556" s="75">
        <f>K556*'THAM_SO_MOI'!$C$53*'THAM_SO_MOI'!$C$17/'THAM_SO_MOI'!$C$26</f>
        <v>3699.7070979595524</v>
      </c>
      <c r="M556" s="75">
        <f>'THAM_SO_MOI'!$C$15*'THAM_SO_MOI'!$C$16*F556^2</f>
        <v>926.7458750333866</v>
      </c>
      <c r="N556" s="75">
        <f>'THAM_SO_MOI'!$C$12*I556</f>
        <v>1130.112</v>
      </c>
      <c r="O556" s="75">
        <f>M556+N556</f>
        <v>2056.857875033387</v>
      </c>
      <c r="P556" s="75">
        <f>(MIN(L556,'THAM_SO_MOI'!$C$41)-O556)/('THAM_SO_MOI'!$C$11*H556)</f>
        <v>0.19446605385016164</v>
      </c>
      <c r="Q556" s="75">
        <f>IF(P556&gt;0,1/P556,NA())</f>
        <v>5.1422856596376025</v>
      </c>
      <c r="R556" s="75">
        <f>F556-F555</f>
        <v>0.017600427350426884</v>
      </c>
      <c r="S556" s="75">
        <f>0.5*(Q555+Q556)*R556</f>
        <v>0.09047280807263162</v>
      </c>
      <c r="T556" s="75">
        <f>0.5*(F555*Q555+F556*Q556)*R556</f>
        <v>1.609610433589327</v>
      </c>
      <c r="U556" s="76">
        <f>U555+S556</f>
        <v>46.53005355179184</v>
      </c>
      <c r="V556" s="76">
        <f>V555+T556</f>
        <v>603.2856380401654</v>
      </c>
    </row>
    <row r="557" spans="1:22" ht="19" customHeight="1">
      <c r="A557" s="68" t="s">
        <v>362</v>
      </c>
      <c r="B557" s="74">
        <v>5</v>
      </c>
      <c r="C557" s="68" t="s">
        <v>363</v>
      </c>
      <c r="D557" s="68" t="s">
        <v>364</v>
      </c>
      <c r="E557" s="75">
        <f>60*F557*'THAM_SO_MOI'!$C$53/(2*PI()*'THAM_SO_MOI'!$C$26)</f>
        <v>1755.4919999999997</v>
      </c>
      <c r="F557" s="75">
        <f>'THAM_SO_MOI'!$E$53+('THAM_SO_MOI'!$C$14-'THAM_SO_MOI'!$E$53)*551/'THAM_SO_MOI'!$C$42</f>
        <v>17.81749358974359</v>
      </c>
      <c r="G557" s="75">
        <f>3.6*F557</f>
        <v>64.14297692307693</v>
      </c>
      <c r="H557" s="75">
        <f>'THAM_SO_MOI'!$D$53</f>
        <v>1.1</v>
      </c>
      <c r="I557" s="75">
        <f>IF(F557&gt;'THAM_SO_MOI'!$C$14,'THAM_SO_MOI'!$C$13*(1+F557^2/1500),'THAM_SO_MOI'!$C$13)</f>
        <v>0.015</v>
      </c>
      <c r="J557" s="75">
        <f>'THAM_SO_MOI'!$C$40*('THAM_SO_MOI'!$C$23*(E557/'THAM_SO_MOI'!$C$22)+'THAM_SO_MOI'!$C$24*(E557/'THAM_SO_MOI'!$C$22)^2-'THAM_SO_MOI'!$C$25*(E557/'THAM_SO_MOI'!$C$22)^3)</f>
        <v>77.55047262640483</v>
      </c>
      <c r="K557" s="75">
        <f>'THAM_SO_MOI'!$C$31*J557/E557</f>
        <v>421.92854948036364</v>
      </c>
      <c r="L557" s="75">
        <f>K557*'THAM_SO_MOI'!$C$53*'THAM_SO_MOI'!$C$17/'THAM_SO_MOI'!$C$26</f>
        <v>3700.3150299359368</v>
      </c>
      <c r="M557" s="75">
        <f>'THAM_SO_MOI'!$C$15*'THAM_SO_MOI'!$C$16*F557^2</f>
        <v>928.5795026251204</v>
      </c>
      <c r="N557" s="75">
        <f>'THAM_SO_MOI'!$C$12*I557</f>
        <v>1130.112</v>
      </c>
      <c r="O557" s="75">
        <f>M557+N557</f>
        <v>2058.6915026251204</v>
      </c>
      <c r="P557" s="75">
        <f>(MIN(L557,'THAM_SO_MOI'!$C$41)-O557)/('THAM_SO_MOI'!$C$11*H557)</f>
        <v>0.1943209667744811</v>
      </c>
      <c r="Q557" s="75">
        <f>IF(P557&gt;0,1/P557,NA())</f>
        <v>5.1461250764594455</v>
      </c>
      <c r="R557" s="75">
        <f>F557-F556</f>
        <v>0.017600427350430436</v>
      </c>
      <c r="S557" s="75">
        <f>0.5*(Q556+Q557)*R557</f>
        <v>0.09054021285603232</v>
      </c>
      <c r="T557" s="75">
        <f>0.5*(F556*Q556+F557*Q557)*R557</f>
        <v>1.6124031862959212</v>
      </c>
      <c r="U557" s="76">
        <f>U556+S557</f>
        <v>46.62059376464787</v>
      </c>
      <c r="V557" s="76">
        <f>V556+T557</f>
        <v>604.8980412264613</v>
      </c>
    </row>
    <row r="558" spans="1:22" ht="19" customHeight="1">
      <c r="A558" s="68" t="s">
        <v>362</v>
      </c>
      <c r="B558" s="74">
        <v>5</v>
      </c>
      <c r="C558" s="68" t="s">
        <v>363</v>
      </c>
      <c r="D558" s="68" t="s">
        <v>364</v>
      </c>
      <c r="E558" s="75">
        <f>60*F558*'THAM_SO_MOI'!$C$53/(2*PI()*'THAM_SO_MOI'!$C$26)</f>
        <v>1757.226105263157</v>
      </c>
      <c r="F558" s="75">
        <f>'THAM_SO_MOI'!$E$53+('THAM_SO_MOI'!$C$14-'THAM_SO_MOI'!$E$53)*552/'THAM_SO_MOI'!$C$42</f>
        <v>17.835094017094015</v>
      </c>
      <c r="G558" s="75">
        <f>3.6*F558</f>
        <v>64.20633846153845</v>
      </c>
      <c r="H558" s="75">
        <f>'THAM_SO_MOI'!$D$53</f>
        <v>1.1</v>
      </c>
      <c r="I558" s="75">
        <f>IF(F558&gt;'THAM_SO_MOI'!$C$14,'THAM_SO_MOI'!$C$13*(1+F558^2/1500),'THAM_SO_MOI'!$C$13)</f>
        <v>0.015</v>
      </c>
      <c r="J558" s="75">
        <f>'THAM_SO_MOI'!$C$40*('THAM_SO_MOI'!$C$23*(E558/'THAM_SO_MOI'!$C$22)+'THAM_SO_MOI'!$C$24*(E558/'THAM_SO_MOI'!$C$22)^2-'THAM_SO_MOI'!$C$25*(E558/'THAM_SO_MOI'!$C$22)^3)</f>
        <v>77.63977815045921</v>
      </c>
      <c r="K558" s="75">
        <f>'THAM_SO_MOI'!$C$31*J558/E558</f>
        <v>421.99757720940664</v>
      </c>
      <c r="L558" s="75">
        <f>K558*'THAM_SO_MOI'!$C$53*'THAM_SO_MOI'!$C$17/'THAM_SO_MOI'!$C$26</f>
        <v>3700.920403389747</v>
      </c>
      <c r="M558" s="75">
        <f>'THAM_SO_MOI'!$C$15*'THAM_SO_MOI'!$C$16*F558^2</f>
        <v>930.4149424008544</v>
      </c>
      <c r="N558" s="75">
        <f>'THAM_SO_MOI'!$C$12*I558</f>
        <v>1130.112</v>
      </c>
      <c r="O558" s="75">
        <f>M558+N558</f>
        <v>2060.5269424008548</v>
      </c>
      <c r="P558" s="75">
        <f>(MIN(L558,'THAM_SO_MOI'!$C$41)-O558)/('THAM_SO_MOI'!$C$11*H558)</f>
        <v>0.19417536233296553</v>
      </c>
      <c r="Q558" s="75">
        <f>IF(P558&gt;0,1/P558,NA())</f>
        <v>5.149983952573925</v>
      </c>
      <c r="R558" s="75">
        <f>F558-F557</f>
        <v>0.01760042735042333</v>
      </c>
      <c r="S558" s="75">
        <f>0.5*(Q557+Q558)*R558</f>
        <v>0.09060795947876978</v>
      </c>
      <c r="T558" s="75">
        <f>0.5*(F557*Q557+F558*Q558)*R558</f>
        <v>1.615204405442694</v>
      </c>
      <c r="U558" s="76">
        <f>U557+S558</f>
        <v>46.71120172412664</v>
      </c>
      <c r="V558" s="76">
        <f>V557+T558</f>
        <v>606.5132456319039</v>
      </c>
    </row>
    <row r="559" spans="1:22" ht="19" customHeight="1">
      <c r="A559" s="68" t="s">
        <v>362</v>
      </c>
      <c r="B559" s="74">
        <v>5</v>
      </c>
      <c r="C559" s="68" t="s">
        <v>363</v>
      </c>
      <c r="D559" s="68" t="s">
        <v>364</v>
      </c>
      <c r="E559" s="75">
        <f>60*F559*'THAM_SO_MOI'!$C$53/(2*PI()*'THAM_SO_MOI'!$C$26)</f>
        <v>1758.9602105263154</v>
      </c>
      <c r="F559" s="75">
        <f>'THAM_SO_MOI'!$E$53+('THAM_SO_MOI'!$C$14-'THAM_SO_MOI'!$E$53)*553/'THAM_SO_MOI'!$C$42</f>
        <v>17.852694444444445</v>
      </c>
      <c r="G559" s="75">
        <f>3.6*F559</f>
        <v>64.2697</v>
      </c>
      <c r="H559" s="75">
        <f>'THAM_SO_MOI'!$D$53</f>
        <v>1.1</v>
      </c>
      <c r="I559" s="75">
        <f>IF(F559&gt;'THAM_SO_MOI'!$C$14,'THAM_SO_MOI'!$C$13*(1+F559^2/1500),'THAM_SO_MOI'!$C$13)</f>
        <v>0.015</v>
      </c>
      <c r="J559" s="75">
        <f>'THAM_SO_MOI'!$C$40*('THAM_SO_MOI'!$C$23*(E559/'THAM_SO_MOI'!$C$22)+'THAM_SO_MOI'!$C$24*(E559/'THAM_SO_MOI'!$C$22)^2-'THAM_SO_MOI'!$C$25*(E559/'THAM_SO_MOI'!$C$22)^3)</f>
        <v>77.72905501302894</v>
      </c>
      <c r="K559" s="75">
        <f>'THAM_SO_MOI'!$C$31*J559/E559</f>
        <v>422.0663132028246</v>
      </c>
      <c r="L559" s="75">
        <f>K559*'THAM_SO_MOI'!$C$53*'THAM_SO_MOI'!$C$17/'THAM_SO_MOI'!$C$26</f>
        <v>3701.5232183209837</v>
      </c>
      <c r="M559" s="75">
        <f>'THAM_SO_MOI'!$C$15*'THAM_SO_MOI'!$C$16*F559^2</f>
        <v>932.2521943605904</v>
      </c>
      <c r="N559" s="75">
        <f>'THAM_SO_MOI'!$C$12*I559</f>
        <v>1130.112</v>
      </c>
      <c r="O559" s="75">
        <f>M559+N559</f>
        <v>2062.3641943605903</v>
      </c>
      <c r="P559" s="75">
        <f>(MIN(L559,'THAM_SO_MOI'!$C$41)-O559)/('THAM_SO_MOI'!$C$11*H559)</f>
        <v>0.19402924052561474</v>
      </c>
      <c r="Q559" s="75">
        <f>IF(P559&gt;0,1/P559,NA())</f>
        <v>5.153862362657577</v>
      </c>
      <c r="R559" s="75">
        <f>F559-F558</f>
        <v>0.017600427350430436</v>
      </c>
      <c r="S559" s="75">
        <f>0.5*(Q558+Q559)*R559</f>
        <v>0.09067604925061622</v>
      </c>
      <c r="T559" s="75">
        <f>0.5*(F558*Q558+F559*Q559)*R559</f>
        <v>1.6180141324506794</v>
      </c>
      <c r="U559" s="76">
        <f>U558+S559</f>
        <v>46.80187777337726</v>
      </c>
      <c r="V559" s="76">
        <f>V558+T559</f>
        <v>608.1312597643546</v>
      </c>
    </row>
    <row r="560" spans="1:22" ht="19" customHeight="1">
      <c r="A560" s="68" t="s">
        <v>362</v>
      </c>
      <c r="B560" s="74">
        <v>5</v>
      </c>
      <c r="C560" s="68" t="s">
        <v>363</v>
      </c>
      <c r="D560" s="68" t="s">
        <v>364</v>
      </c>
      <c r="E560" s="75">
        <f>60*F560*'THAM_SO_MOI'!$C$53/(2*PI()*'THAM_SO_MOI'!$C$26)</f>
        <v>1760.6943157894734</v>
      </c>
      <c r="F560" s="75">
        <f>'THAM_SO_MOI'!$E$53+('THAM_SO_MOI'!$C$14-'THAM_SO_MOI'!$E$53)*554/'THAM_SO_MOI'!$C$42</f>
        <v>17.870294871794872</v>
      </c>
      <c r="G560" s="75">
        <f>3.6*F560</f>
        <v>64.33306153846154</v>
      </c>
      <c r="H560" s="75">
        <f>'THAM_SO_MOI'!$D$53</f>
        <v>1.1</v>
      </c>
      <c r="I560" s="75">
        <f>IF(F560&gt;'THAM_SO_MOI'!$C$14,'THAM_SO_MOI'!$C$13*(1+F560^2/1500),'THAM_SO_MOI'!$C$13)</f>
        <v>0.015</v>
      </c>
      <c r="J560" s="75">
        <f>'THAM_SO_MOI'!$C$40*('THAM_SO_MOI'!$C$23*(E560/'THAM_SO_MOI'!$C$22)+'THAM_SO_MOI'!$C$24*(E560/'THAM_SO_MOI'!$C$22)^2-'THAM_SO_MOI'!$C$25*(E560/'THAM_SO_MOI'!$C$22)^3)</f>
        <v>77.81830305521068</v>
      </c>
      <c r="K560" s="75">
        <f>'THAM_SO_MOI'!$C$31*J560/E560</f>
        <v>422.1347574606175</v>
      </c>
      <c r="L560" s="75">
        <f>K560*'THAM_SO_MOI'!$C$53*'THAM_SO_MOI'!$C$17/'THAM_SO_MOI'!$C$26</f>
        <v>3702.123474729648</v>
      </c>
      <c r="M560" s="75">
        <f>'THAM_SO_MOI'!$C$15*'THAM_SO_MOI'!$C$16*F560^2</f>
        <v>934.091258504327</v>
      </c>
      <c r="N560" s="75">
        <f>'THAM_SO_MOI'!$C$12*I560</f>
        <v>1130.112</v>
      </c>
      <c r="O560" s="75">
        <f>M560+N560</f>
        <v>2064.203258504327</v>
      </c>
      <c r="P560" s="75">
        <f>(MIN(L560,'THAM_SO_MOI'!$C$41)-O560)/('THAM_SO_MOI'!$C$11*H560)</f>
        <v>0.19388260135242907</v>
      </c>
      <c r="Q560" s="75">
        <f>IF(P560&gt;0,1/P560,NA())</f>
        <v>5.157760381924396</v>
      </c>
      <c r="R560" s="75">
        <f>F560-F559</f>
        <v>0.017600427350426884</v>
      </c>
      <c r="S560" s="75">
        <f>0.5*(Q559+Q560)*R560</f>
        <v>0.09074448349051224</v>
      </c>
      <c r="T560" s="75">
        <f>0.5*(F559*Q559+F560*Q560)*R560</f>
        <v>1.6208324089968835</v>
      </c>
      <c r="U560" s="76">
        <f>U559+S560</f>
        <v>46.89262225686777</v>
      </c>
      <c r="V560" s="76">
        <f>V559+T560</f>
        <v>609.7520921733515</v>
      </c>
    </row>
    <row r="561" spans="1:22" ht="19" customHeight="1">
      <c r="A561" s="68" t="s">
        <v>362</v>
      </c>
      <c r="B561" s="74">
        <v>5</v>
      </c>
      <c r="C561" s="68" t="s">
        <v>363</v>
      </c>
      <c r="D561" s="68" t="s">
        <v>364</v>
      </c>
      <c r="E561" s="75">
        <f>60*F561*'THAM_SO_MOI'!$C$53/(2*PI()*'THAM_SO_MOI'!$C$26)</f>
        <v>1762.4284210526314</v>
      </c>
      <c r="F561" s="75">
        <f>'THAM_SO_MOI'!$E$53+('THAM_SO_MOI'!$C$14-'THAM_SO_MOI'!$E$53)*555/'THAM_SO_MOI'!$C$42</f>
        <v>17.8878952991453</v>
      </c>
      <c r="G561" s="75">
        <f>3.6*F561</f>
        <v>64.39642307692309</v>
      </c>
      <c r="H561" s="75">
        <f>'THAM_SO_MOI'!$D$53</f>
        <v>1.1</v>
      </c>
      <c r="I561" s="75">
        <f>IF(F561&gt;'THAM_SO_MOI'!$C$14,'THAM_SO_MOI'!$C$13*(1+F561^2/1500),'THAM_SO_MOI'!$C$13)</f>
        <v>0.015</v>
      </c>
      <c r="J561" s="75">
        <f>'THAM_SO_MOI'!$C$40*('THAM_SO_MOI'!$C$23*(E561/'THAM_SO_MOI'!$C$22)+'THAM_SO_MOI'!$C$24*(E561/'THAM_SO_MOI'!$C$22)^2-'THAM_SO_MOI'!$C$25*(E561/'THAM_SO_MOI'!$C$22)^3)</f>
        <v>77.90752211810117</v>
      </c>
      <c r="K561" s="75">
        <f>'THAM_SO_MOI'!$C$31*J561/E561</f>
        <v>422.20290998278546</v>
      </c>
      <c r="L561" s="75">
        <f>K561*'THAM_SO_MOI'!$C$53*'THAM_SO_MOI'!$C$17/'THAM_SO_MOI'!$C$26</f>
        <v>3702.7211726157398</v>
      </c>
      <c r="M561" s="75">
        <f>'THAM_SO_MOI'!$C$15*'THAM_SO_MOI'!$C$16*F561^2</f>
        <v>935.9321348320648</v>
      </c>
      <c r="N561" s="75">
        <f>'THAM_SO_MOI'!$C$12*I561</f>
        <v>1130.112</v>
      </c>
      <c r="O561" s="75">
        <f>M561+N561</f>
        <v>2066.0441348320646</v>
      </c>
      <c r="P561" s="75">
        <f>(MIN(L561,'THAM_SO_MOI'!$C$41)-O561)/('THAM_SO_MOI'!$C$11*H561)</f>
        <v>0.19373544481340846</v>
      </c>
      <c r="Q561" s="75">
        <f>IF(P561&gt;0,1/P561,NA())</f>
        <v>5.161678086129905</v>
      </c>
      <c r="R561" s="75">
        <f>F561-F560</f>
        <v>0.017600427350426884</v>
      </c>
      <c r="S561" s="75">
        <f>0.5*(Q560+Q561)*R561</f>
        <v>0.09081326352709511</v>
      </c>
      <c r="T561" s="75">
        <f>0.5*(F560*Q560+F561*Q561)*R561</f>
        <v>1.623659277024533</v>
      </c>
      <c r="U561" s="76">
        <f>U560+S561</f>
        <v>46.98343552039486</v>
      </c>
      <c r="V561" s="76">
        <f>V560+T561</f>
        <v>611.375751450376</v>
      </c>
    </row>
    <row r="562" spans="1:22" ht="19" customHeight="1">
      <c r="A562" s="68" t="s">
        <v>362</v>
      </c>
      <c r="B562" s="74">
        <v>5</v>
      </c>
      <c r="C562" s="68" t="s">
        <v>363</v>
      </c>
      <c r="D562" s="68" t="s">
        <v>364</v>
      </c>
      <c r="E562" s="75">
        <f>60*F562*'THAM_SO_MOI'!$C$53/(2*PI()*'THAM_SO_MOI'!$C$26)</f>
        <v>1764.1625263157894</v>
      </c>
      <c r="F562" s="75">
        <f>'THAM_SO_MOI'!$E$53+('THAM_SO_MOI'!$C$14-'THAM_SO_MOI'!$E$53)*556/'THAM_SO_MOI'!$C$42</f>
        <v>17.905495726495726</v>
      </c>
      <c r="G562" s="75">
        <f>3.6*F562</f>
        <v>64.45978461538462</v>
      </c>
      <c r="H562" s="75">
        <f>'THAM_SO_MOI'!$D$53</f>
        <v>1.1</v>
      </c>
      <c r="I562" s="75">
        <f>IF(F562&gt;'THAM_SO_MOI'!$C$14,'THAM_SO_MOI'!$C$13*(1+F562^2/1500),'THAM_SO_MOI'!$C$13)</f>
        <v>0.015</v>
      </c>
      <c r="J562" s="75">
        <f>'THAM_SO_MOI'!$C$40*('THAM_SO_MOI'!$C$23*(E562/'THAM_SO_MOI'!$C$22)+'THAM_SO_MOI'!$C$24*(E562/'THAM_SO_MOI'!$C$22)^2-'THAM_SO_MOI'!$C$25*(E562/'THAM_SO_MOI'!$C$22)^3)</f>
        <v>77.9967120427971</v>
      </c>
      <c r="K562" s="75">
        <f>'THAM_SO_MOI'!$C$31*J562/E562</f>
        <v>422.2707707693282</v>
      </c>
      <c r="L562" s="75">
        <f>K562*'THAM_SO_MOI'!$C$53*'THAM_SO_MOI'!$C$17/'THAM_SO_MOI'!$C$26</f>
        <v>3703.316311979257</v>
      </c>
      <c r="M562" s="75">
        <f>'THAM_SO_MOI'!$C$15*'THAM_SO_MOI'!$C$16*F562^2</f>
        <v>937.7748233438034</v>
      </c>
      <c r="N562" s="75">
        <f>'THAM_SO_MOI'!$C$12*I562</f>
        <v>1130.112</v>
      </c>
      <c r="O562" s="75">
        <f>M562+N562</f>
        <v>2067.8868233438034</v>
      </c>
      <c r="P562" s="75">
        <f>(MIN(L562,'THAM_SO_MOI'!$C$41)-O562)/('THAM_SO_MOI'!$C$11*H562)</f>
        <v>0.19358777090855275</v>
      </c>
      <c r="Q562" s="75">
        <f>IF(P562&gt;0,1/P562,NA())</f>
        <v>5.165615551575215</v>
      </c>
      <c r="R562" s="75">
        <f>F562-F561</f>
        <v>0.017600427350426884</v>
      </c>
      <c r="S562" s="75">
        <f>0.5*(Q561+Q562)*R562</f>
        <v>0.09088239069847737</v>
      </c>
      <c r="T562" s="75">
        <f>0.5*(F561*Q561+F562*Q562)*R562</f>
        <v>1.6264947787399724</v>
      </c>
      <c r="U562" s="76">
        <f>U561+S562</f>
        <v>47.07431791109334</v>
      </c>
      <c r="V562" s="76">
        <f>V561+T562</f>
        <v>613.0022462291159</v>
      </c>
    </row>
    <row r="563" spans="1:22" ht="19" customHeight="1">
      <c r="A563" s="68" t="s">
        <v>362</v>
      </c>
      <c r="B563" s="74">
        <v>5</v>
      </c>
      <c r="C563" s="68" t="s">
        <v>363</v>
      </c>
      <c r="D563" s="68" t="s">
        <v>364</v>
      </c>
      <c r="E563" s="75">
        <f>60*F563*'THAM_SO_MOI'!$C$53/(2*PI()*'THAM_SO_MOI'!$C$26)</f>
        <v>1765.8966315789469</v>
      </c>
      <c r="F563" s="75">
        <f>'THAM_SO_MOI'!$E$53+('THAM_SO_MOI'!$C$14-'THAM_SO_MOI'!$E$53)*557/'THAM_SO_MOI'!$C$42</f>
        <v>17.923096153846153</v>
      </c>
      <c r="G563" s="75">
        <f>3.6*F563</f>
        <v>64.52314615384616</v>
      </c>
      <c r="H563" s="75">
        <f>'THAM_SO_MOI'!$D$53</f>
        <v>1.1</v>
      </c>
      <c r="I563" s="75">
        <f>IF(F563&gt;'THAM_SO_MOI'!$C$14,'THAM_SO_MOI'!$C$13*(1+F563^2/1500),'THAM_SO_MOI'!$C$13)</f>
        <v>0.015</v>
      </c>
      <c r="J563" s="75">
        <f>'THAM_SO_MOI'!$C$40*('THAM_SO_MOI'!$C$23*(E563/'THAM_SO_MOI'!$C$22)+'THAM_SO_MOI'!$C$24*(E563/'THAM_SO_MOI'!$C$22)^2-'THAM_SO_MOI'!$C$25*(E563/'THAM_SO_MOI'!$C$22)^3)</f>
        <v>78.0858726703952</v>
      </c>
      <c r="K563" s="75">
        <f>'THAM_SO_MOI'!$C$31*J563/E563</f>
        <v>422.33833982024595</v>
      </c>
      <c r="L563" s="75">
        <f>K563*'THAM_SO_MOI'!$C$53*'THAM_SO_MOI'!$C$17/'THAM_SO_MOI'!$C$26</f>
        <v>3703.908892820201</v>
      </c>
      <c r="M563" s="75">
        <f>'THAM_SO_MOI'!$C$15*'THAM_SO_MOI'!$C$16*F563^2</f>
        <v>939.6193240395432</v>
      </c>
      <c r="N563" s="75">
        <f>'THAM_SO_MOI'!$C$12*I563</f>
        <v>1130.112</v>
      </c>
      <c r="O563" s="75">
        <f>M563+N563</f>
        <v>2069.7313240395433</v>
      </c>
      <c r="P563" s="75">
        <f>(MIN(L563,'THAM_SO_MOI'!$C$41)-O563)/('THAM_SO_MOI'!$C$11*H563)</f>
        <v>0.19343957963786193</v>
      </c>
      <c r="Q563" s="75">
        <f>IF(P563&gt;0,1/P563,NA())</f>
        <v>5.169572855111137</v>
      </c>
      <c r="R563" s="75">
        <f>F563-F562</f>
        <v>0.017600427350426884</v>
      </c>
      <c r="S563" s="75">
        <f>0.5*(Q562+Q563)*R563</f>
        <v>0.09095186635242866</v>
      </c>
      <c r="T563" s="75">
        <f>0.5*(F562*Q562+F563*Q563)*R563</f>
        <v>1.6293389566167509</v>
      </c>
      <c r="U563" s="76">
        <f>U562+S563</f>
        <v>47.165269777445765</v>
      </c>
      <c r="V563" s="76">
        <f>V562+T563</f>
        <v>614.6315851857327</v>
      </c>
    </row>
    <row r="564" spans="1:22" ht="19" customHeight="1">
      <c r="A564" s="68" t="s">
        <v>362</v>
      </c>
      <c r="B564" s="74">
        <v>5</v>
      </c>
      <c r="C564" s="68" t="s">
        <v>363</v>
      </c>
      <c r="D564" s="68" t="s">
        <v>364</v>
      </c>
      <c r="E564" s="75">
        <f>60*F564*'THAM_SO_MOI'!$C$53/(2*PI()*'THAM_SO_MOI'!$C$26)</f>
        <v>1767.6307368421053</v>
      </c>
      <c r="F564" s="75">
        <f>'THAM_SO_MOI'!$E$53+('THAM_SO_MOI'!$C$14-'THAM_SO_MOI'!$E$53)*558/'THAM_SO_MOI'!$C$42</f>
        <v>17.940696581196583</v>
      </c>
      <c r="G564" s="75">
        <f>3.6*F564</f>
        <v>64.5865076923077</v>
      </c>
      <c r="H564" s="75">
        <f>'THAM_SO_MOI'!$D$53</f>
        <v>1.1</v>
      </c>
      <c r="I564" s="75">
        <f>IF(F564&gt;'THAM_SO_MOI'!$C$14,'THAM_SO_MOI'!$C$13*(1+F564^2/1500),'THAM_SO_MOI'!$C$13)</f>
        <v>0.015</v>
      </c>
      <c r="J564" s="75">
        <f>'THAM_SO_MOI'!$C$40*('THAM_SO_MOI'!$C$23*(E564/'THAM_SO_MOI'!$C$22)+'THAM_SO_MOI'!$C$24*(E564/'THAM_SO_MOI'!$C$22)^2-'THAM_SO_MOI'!$C$25*(E564/'THAM_SO_MOI'!$C$22)^3)</f>
        <v>78.17500384199228</v>
      </c>
      <c r="K564" s="75">
        <f>'THAM_SO_MOI'!$C$31*J564/E564</f>
        <v>422.4056171355388</v>
      </c>
      <c r="L564" s="75">
        <f>K564*'THAM_SO_MOI'!$C$53*'THAM_SO_MOI'!$C$17/'THAM_SO_MOI'!$C$26</f>
        <v>3704.4989151385735</v>
      </c>
      <c r="M564" s="75">
        <f>'THAM_SO_MOI'!$C$15*'THAM_SO_MOI'!$C$16*F564^2</f>
        <v>941.4656369192845</v>
      </c>
      <c r="N564" s="75">
        <f>'THAM_SO_MOI'!$C$12*I564</f>
        <v>1130.112</v>
      </c>
      <c r="O564" s="75">
        <f>M564+N564</f>
        <v>2071.5776369192845</v>
      </c>
      <c r="P564" s="75">
        <f>(MIN(L564,'THAM_SO_MOI'!$C$41)-O564)/('THAM_SO_MOI'!$C$11*H564)</f>
        <v>0.1932908710013363</v>
      </c>
      <c r="Q564" s="75">
        <f>IF(P564&gt;0,1/P564,NA())</f>
        <v>5.1735500741423355</v>
      </c>
      <c r="R564" s="75">
        <f>F564-F563</f>
        <v>0.017600427350430436</v>
      </c>
      <c r="S564" s="75">
        <f>0.5*(Q563+Q564)*R564</f>
        <v>0.09102169184644848</v>
      </c>
      <c r="T564" s="75">
        <f>0.5*(F563*Q563+F564*Q564)*R564</f>
        <v>1.6321918533977784</v>
      </c>
      <c r="U564" s="76">
        <f>U563+S564</f>
        <v>47.256291469292215</v>
      </c>
      <c r="V564" s="76">
        <f>V563+T564</f>
        <v>616.2637770391304</v>
      </c>
    </row>
    <row r="565" spans="1:22" ht="19" customHeight="1">
      <c r="A565" s="68" t="s">
        <v>362</v>
      </c>
      <c r="B565" s="74">
        <v>5</v>
      </c>
      <c r="C565" s="68" t="s">
        <v>363</v>
      </c>
      <c r="D565" s="68" t="s">
        <v>364</v>
      </c>
      <c r="E565" s="75">
        <f>60*F565*'THAM_SO_MOI'!$C$53/(2*PI()*'THAM_SO_MOI'!$C$26)</f>
        <v>1769.3648421052628</v>
      </c>
      <c r="F565" s="75">
        <f>'THAM_SO_MOI'!$E$53+('THAM_SO_MOI'!$C$14-'THAM_SO_MOI'!$E$53)*559/'THAM_SO_MOI'!$C$42</f>
        <v>17.958297008547007</v>
      </c>
      <c r="G565" s="75">
        <f>3.6*F565</f>
        <v>64.64986923076923</v>
      </c>
      <c r="H565" s="75">
        <f>'THAM_SO_MOI'!$D$53</f>
        <v>1.1</v>
      </c>
      <c r="I565" s="75">
        <f>IF(F565&gt;'THAM_SO_MOI'!$C$14,'THAM_SO_MOI'!$C$13*(1+F565^2/1500),'THAM_SO_MOI'!$C$13)</f>
        <v>0.015</v>
      </c>
      <c r="J565" s="75">
        <f>'THAM_SO_MOI'!$C$40*('THAM_SO_MOI'!$C$23*(E565/'THAM_SO_MOI'!$C$22)+'THAM_SO_MOI'!$C$24*(E565/'THAM_SO_MOI'!$C$22)^2-'THAM_SO_MOI'!$C$25*(E565/'THAM_SO_MOI'!$C$22)^3)</f>
        <v>78.26410539868492</v>
      </c>
      <c r="K565" s="75">
        <f>'THAM_SO_MOI'!$C$31*J565/E565</f>
        <v>422.47260271520645</v>
      </c>
      <c r="L565" s="75">
        <f>K565*'THAM_SO_MOI'!$C$53*'THAM_SO_MOI'!$C$17/'THAM_SO_MOI'!$C$26</f>
        <v>3705.086378934371</v>
      </c>
      <c r="M565" s="75">
        <f>'THAM_SO_MOI'!$C$15*'THAM_SO_MOI'!$C$16*F565^2</f>
        <v>943.3137619830261</v>
      </c>
      <c r="N565" s="75">
        <f>'THAM_SO_MOI'!$C$12*I565</f>
        <v>1130.112</v>
      </c>
      <c r="O565" s="75">
        <f>M565+N565</f>
        <v>2073.425761983026</v>
      </c>
      <c r="P565" s="75">
        <f>(MIN(L565,'THAM_SO_MOI'!$C$41)-O565)/('THAM_SO_MOI'!$C$11*H565)</f>
        <v>0.19314164499897551</v>
      </c>
      <c r="Q565" s="75">
        <f>IF(P565&gt;0,1/P565,NA())</f>
        <v>5.177547286631551</v>
      </c>
      <c r="R565" s="75">
        <f>F565-F564</f>
        <v>0.01760042735042333</v>
      </c>
      <c r="S565" s="75">
        <f>0.5*(Q564+Q565)*R565</f>
        <v>0.09109186854772973</v>
      </c>
      <c r="T565" s="75">
        <f>0.5*(F564*Q564+F565*Q565)*R565</f>
        <v>1.6350535120955252</v>
      </c>
      <c r="U565" s="76">
        <f>U564+S565</f>
        <v>47.34738333783994</v>
      </c>
      <c r="V565" s="76">
        <f>V564+T565</f>
        <v>617.898830551226</v>
      </c>
    </row>
    <row r="566" spans="1:22" ht="19" customHeight="1">
      <c r="A566" s="68" t="s">
        <v>362</v>
      </c>
      <c r="B566" s="74">
        <v>5</v>
      </c>
      <c r="C566" s="68" t="s">
        <v>363</v>
      </c>
      <c r="D566" s="68" t="s">
        <v>364</v>
      </c>
      <c r="E566" s="75">
        <f>60*F566*'THAM_SO_MOI'!$C$53/(2*PI()*'THAM_SO_MOI'!$C$26)</f>
        <v>1771.0989473684208</v>
      </c>
      <c r="F566" s="75">
        <f>'THAM_SO_MOI'!$E$53+('THAM_SO_MOI'!$C$14-'THAM_SO_MOI'!$E$53)*560/'THAM_SO_MOI'!$C$42</f>
        <v>17.975897435897437</v>
      </c>
      <c r="G566" s="75">
        <f>3.6*F566</f>
        <v>64.71323076923078</v>
      </c>
      <c r="H566" s="75">
        <f>'THAM_SO_MOI'!$D$53</f>
        <v>1.1</v>
      </c>
      <c r="I566" s="75">
        <f>IF(F566&gt;'THAM_SO_MOI'!$C$14,'THAM_SO_MOI'!$C$13*(1+F566^2/1500),'THAM_SO_MOI'!$C$13)</f>
        <v>0.015</v>
      </c>
      <c r="J566" s="75">
        <f>'THAM_SO_MOI'!$C$40*('THAM_SO_MOI'!$C$23*(E566/'THAM_SO_MOI'!$C$22)+'THAM_SO_MOI'!$C$24*(E566/'THAM_SO_MOI'!$C$22)^2-'THAM_SO_MOI'!$C$25*(E566/'THAM_SO_MOI'!$C$22)^3)</f>
        <v>78.35317718156995</v>
      </c>
      <c r="K566" s="75">
        <f>'THAM_SO_MOI'!$C$31*J566/E566</f>
        <v>422.5392965592492</v>
      </c>
      <c r="L566" s="75">
        <f>K566*'THAM_SO_MOI'!$C$53*'THAM_SO_MOI'!$C$17/'THAM_SO_MOI'!$C$26</f>
        <v>3705.671284207597</v>
      </c>
      <c r="M566" s="75">
        <f>'THAM_SO_MOI'!$C$15*'THAM_SO_MOI'!$C$16*F566^2</f>
        <v>945.1636992307695</v>
      </c>
      <c r="N566" s="75">
        <f>'THAM_SO_MOI'!$C$12*I566</f>
        <v>1130.112</v>
      </c>
      <c r="O566" s="75">
        <f>M566+N566</f>
        <v>2075.2756992307695</v>
      </c>
      <c r="P566" s="75">
        <f>(MIN(L566,'THAM_SO_MOI'!$C$41)-O566)/('THAM_SO_MOI'!$C$11*H566)</f>
        <v>0.19299190163077978</v>
      </c>
      <c r="Q566" s="75">
        <f>IF(P566&gt;0,1/P566,NA())</f>
        <v>5.181564571103809</v>
      </c>
      <c r="R566" s="75">
        <f>F566-F565</f>
        <v>0.017600427350430436</v>
      </c>
      <c r="S566" s="75">
        <f>0.5*(Q565+Q566)*R566</f>
        <v>0.09116239783352684</v>
      </c>
      <c r="T566" s="75">
        <f>0.5*(F565*Q565+F566*Q566)*R566</f>
        <v>1.6379239759994948</v>
      </c>
      <c r="U566" s="76">
        <f>U565+S566</f>
        <v>47.43854573567347</v>
      </c>
      <c r="V566" s="76">
        <f>V565+T566</f>
        <v>619.5367545272254</v>
      </c>
    </row>
    <row r="567" spans="1:22" ht="19" customHeight="1">
      <c r="A567" s="68" t="s">
        <v>362</v>
      </c>
      <c r="B567" s="74">
        <v>5</v>
      </c>
      <c r="C567" s="68" t="s">
        <v>363</v>
      </c>
      <c r="D567" s="68" t="s">
        <v>364</v>
      </c>
      <c r="E567" s="75">
        <f>60*F567*'THAM_SO_MOI'!$C$53/(2*PI()*'THAM_SO_MOI'!$C$26)</f>
        <v>1772.8330526315788</v>
      </c>
      <c r="F567" s="75">
        <f>'THAM_SO_MOI'!$E$53+('THAM_SO_MOI'!$C$14-'THAM_SO_MOI'!$E$53)*561/'THAM_SO_MOI'!$C$42</f>
        <v>17.993497863247864</v>
      </c>
      <c r="G567" s="75">
        <f>3.6*F567</f>
        <v>64.77659230769231</v>
      </c>
      <c r="H567" s="75">
        <f>'THAM_SO_MOI'!$D$53</f>
        <v>1.1</v>
      </c>
      <c r="I567" s="75">
        <f>IF(F567&gt;'THAM_SO_MOI'!$C$14,'THAM_SO_MOI'!$C$13*(1+F567^2/1500),'THAM_SO_MOI'!$C$13)</f>
        <v>0.015</v>
      </c>
      <c r="J567" s="75">
        <f>'THAM_SO_MOI'!$C$40*('THAM_SO_MOI'!$C$23*(E567/'THAM_SO_MOI'!$C$22)+'THAM_SO_MOI'!$C$24*(E567/'THAM_SO_MOI'!$C$22)^2-'THAM_SO_MOI'!$C$25*(E567/'THAM_SO_MOI'!$C$22)^3)</f>
        <v>78.44221903174405</v>
      </c>
      <c r="K567" s="75">
        <f>'THAM_SO_MOI'!$C$31*J567/E567</f>
        <v>422.6056986676669</v>
      </c>
      <c r="L567" s="75">
        <f>K567*'THAM_SO_MOI'!$C$53*'THAM_SO_MOI'!$C$17/'THAM_SO_MOI'!$C$26</f>
        <v>3706.2536309582497</v>
      </c>
      <c r="M567" s="75">
        <f>'THAM_SO_MOI'!$C$15*'THAM_SO_MOI'!$C$16*F567^2</f>
        <v>947.0154486625134</v>
      </c>
      <c r="N567" s="75">
        <f>'THAM_SO_MOI'!$C$12*I567</f>
        <v>1130.112</v>
      </c>
      <c r="O567" s="75">
        <f>M567+N567</f>
        <v>2077.1274486625134</v>
      </c>
      <c r="P567" s="75">
        <f>(MIN(L567,'THAM_SO_MOI'!$C$41)-O567)/('THAM_SO_MOI'!$C$11*H567)</f>
        <v>0.19284164089674907</v>
      </c>
      <c r="Q567" s="75">
        <f>IF(P567&gt;0,1/P567,NA())</f>
        <v>5.185602006650722</v>
      </c>
      <c r="R567" s="75">
        <f>F567-F566</f>
        <v>0.017600427350426884</v>
      </c>
      <c r="S567" s="75">
        <f>0.5*(Q566+Q567)*R567</f>
        <v>0.09123328109077117</v>
      </c>
      <c r="T567" s="75">
        <f>0.5*(F566*Q566+F567*Q567)*R567</f>
        <v>1.6408032886701855</v>
      </c>
      <c r="U567" s="76">
        <f>U566+S567</f>
        <v>47.529779016764245</v>
      </c>
      <c r="V567" s="76">
        <f>V566+T567</f>
        <v>621.1775578158956</v>
      </c>
    </row>
    <row r="568" spans="1:22" ht="19" customHeight="1">
      <c r="A568" s="68" t="s">
        <v>362</v>
      </c>
      <c r="B568" s="74">
        <v>5</v>
      </c>
      <c r="C568" s="68" t="s">
        <v>363</v>
      </c>
      <c r="D568" s="68" t="s">
        <v>364</v>
      </c>
      <c r="E568" s="75">
        <f>60*F568*'THAM_SO_MOI'!$C$53/(2*PI()*'THAM_SO_MOI'!$C$26)</f>
        <v>1774.5671578947365</v>
      </c>
      <c r="F568" s="75">
        <f>'THAM_SO_MOI'!$E$53+('THAM_SO_MOI'!$C$14-'THAM_SO_MOI'!$E$53)*562/'THAM_SO_MOI'!$C$42</f>
        <v>18.01109829059829</v>
      </c>
      <c r="G568" s="75">
        <f>3.6*F568</f>
        <v>64.83995384615385</v>
      </c>
      <c r="H568" s="75">
        <f>'THAM_SO_MOI'!$D$53</f>
        <v>1.1</v>
      </c>
      <c r="I568" s="75">
        <f>IF(F568&gt;'THAM_SO_MOI'!$C$14,'THAM_SO_MOI'!$C$13*(1+F568^2/1500),'THAM_SO_MOI'!$C$13)</f>
        <v>0.015</v>
      </c>
      <c r="J568" s="75">
        <f>'THAM_SO_MOI'!$C$40*('THAM_SO_MOI'!$C$23*(E568/'THAM_SO_MOI'!$C$22)+'THAM_SO_MOI'!$C$24*(E568/'THAM_SO_MOI'!$C$22)^2-'THAM_SO_MOI'!$C$25*(E568/'THAM_SO_MOI'!$C$22)^3)</f>
        <v>78.53123079030391</v>
      </c>
      <c r="K568" s="75">
        <f>'THAM_SO_MOI'!$C$31*J568/E568</f>
        <v>422.67180904045944</v>
      </c>
      <c r="L568" s="75">
        <f>K568*'THAM_SO_MOI'!$C$53*'THAM_SO_MOI'!$C$17/'THAM_SO_MOI'!$C$26</f>
        <v>3706.8334191863282</v>
      </c>
      <c r="M568" s="75">
        <f>'THAM_SO_MOI'!$C$15*'THAM_SO_MOI'!$C$16*F568^2</f>
        <v>948.8690102782587</v>
      </c>
      <c r="N568" s="75">
        <f>'THAM_SO_MOI'!$C$12*I568</f>
        <v>1130.112</v>
      </c>
      <c r="O568" s="75">
        <f>M568+N568</f>
        <v>2078.9810102782585</v>
      </c>
      <c r="P568" s="75">
        <f>(MIN(L568,'THAM_SO_MOI'!$C$41)-O568)/('THAM_SO_MOI'!$C$11*H568)</f>
        <v>0.1926908627968832</v>
      </c>
      <c r="Q568" s="75">
        <f>IF(P568&gt;0,1/P568,NA())</f>
        <v>5.189659672934814</v>
      </c>
      <c r="R568" s="75">
        <f>F568-F567</f>
        <v>0.017600427350426884</v>
      </c>
      <c r="S568" s="75">
        <f>0.5*(Q567+Q568)*R568</f>
        <v>0.09130451971660662</v>
      </c>
      <c r="T568" s="75">
        <f>0.5*(F567*Q567+F568*Q568)*R568</f>
        <v>1.6436914939495895</v>
      </c>
      <c r="U568" s="76">
        <f>U567+S568</f>
        <v>47.62108353648085</v>
      </c>
      <c r="V568" s="76">
        <f>V567+T568</f>
        <v>622.8212493098453</v>
      </c>
    </row>
    <row r="569" spans="1:22" ht="19" customHeight="1">
      <c r="A569" s="68" t="s">
        <v>362</v>
      </c>
      <c r="B569" s="74">
        <v>5</v>
      </c>
      <c r="C569" s="68" t="s">
        <v>363</v>
      </c>
      <c r="D569" s="68" t="s">
        <v>364</v>
      </c>
      <c r="E569" s="75">
        <f>60*F569*'THAM_SO_MOI'!$C$53/(2*PI()*'THAM_SO_MOI'!$C$26)</f>
        <v>1776.3012631578945</v>
      </c>
      <c r="F569" s="75">
        <f>'THAM_SO_MOI'!$E$53+('THAM_SO_MOI'!$C$14-'THAM_SO_MOI'!$E$53)*563/'THAM_SO_MOI'!$C$42</f>
        <v>18.028698717948718</v>
      </c>
      <c r="G569" s="75">
        <f>3.6*F569</f>
        <v>64.90331538461538</v>
      </c>
      <c r="H569" s="75">
        <f>'THAM_SO_MOI'!$D$53</f>
        <v>1.1</v>
      </c>
      <c r="I569" s="75">
        <f>IF(F569&gt;'THAM_SO_MOI'!$C$14,'THAM_SO_MOI'!$C$13*(1+F569^2/1500),'THAM_SO_MOI'!$C$13)</f>
        <v>0.015</v>
      </c>
      <c r="J569" s="75">
        <f>'THAM_SO_MOI'!$C$40*('THAM_SO_MOI'!$C$23*(E569/'THAM_SO_MOI'!$C$22)+'THAM_SO_MOI'!$C$24*(E569/'THAM_SO_MOI'!$C$22)^2-'THAM_SO_MOI'!$C$25*(E569/'THAM_SO_MOI'!$C$22)^3)</f>
        <v>78.62021229834632</v>
      </c>
      <c r="K569" s="75">
        <f>'THAM_SO_MOI'!$C$31*J569/E569</f>
        <v>422.7376276776271</v>
      </c>
      <c r="L569" s="75">
        <f>K569*'THAM_SO_MOI'!$C$53*'THAM_SO_MOI'!$C$17/'THAM_SO_MOI'!$C$26</f>
        <v>3707.4106488918346</v>
      </c>
      <c r="M569" s="75">
        <f>'THAM_SO_MOI'!$C$15*'THAM_SO_MOI'!$C$16*F569^2</f>
        <v>950.7243840780048</v>
      </c>
      <c r="N569" s="75">
        <f>'THAM_SO_MOI'!$C$12*I569</f>
        <v>1130.112</v>
      </c>
      <c r="O569" s="75">
        <f>M569+N569</f>
        <v>2080.836384078005</v>
      </c>
      <c r="P569" s="75">
        <f>(MIN(L569,'THAM_SO_MOI'!$C$41)-O569)/('THAM_SO_MOI'!$C$11*H569)</f>
        <v>0.1925395673311825</v>
      </c>
      <c r="Q569" s="75">
        <f>IF(P569&gt;0,1/P569,NA())</f>
        <v>5.193737650193869</v>
      </c>
      <c r="R569" s="75">
        <f>F569-F568</f>
        <v>0.017600427350426884</v>
      </c>
      <c r="S569" s="75">
        <f>0.5*(Q568+Q569)*R569</f>
        <v>0.09137611511817169</v>
      </c>
      <c r="T569" s="75">
        <f>0.5*(F568*Q568+F569*Q569)*R569</f>
        <v>1.6465886359581607</v>
      </c>
      <c r="U569" s="76">
        <f>U568+S569</f>
        <v>47.712459651599026</v>
      </c>
      <c r="V569" s="76">
        <f>V568+T569</f>
        <v>624.4678379458035</v>
      </c>
    </row>
    <row r="570" spans="1:22" ht="19" customHeight="1">
      <c r="A570" s="68" t="s">
        <v>362</v>
      </c>
      <c r="B570" s="74">
        <v>5</v>
      </c>
      <c r="C570" s="68" t="s">
        <v>363</v>
      </c>
      <c r="D570" s="68" t="s">
        <v>364</v>
      </c>
      <c r="E570" s="75">
        <f>60*F570*'THAM_SO_MOI'!$C$53/(2*PI()*'THAM_SO_MOI'!$C$26)</f>
        <v>1778.0353684210525</v>
      </c>
      <c r="F570" s="75">
        <f>'THAM_SO_MOI'!$E$53+('THAM_SO_MOI'!$C$14-'THAM_SO_MOI'!$E$53)*564/'THAM_SO_MOI'!$C$42</f>
        <v>18.046299145299145</v>
      </c>
      <c r="G570" s="75">
        <f>3.6*F570</f>
        <v>64.96667692307692</v>
      </c>
      <c r="H570" s="75">
        <f>'THAM_SO_MOI'!$D$53</f>
        <v>1.1</v>
      </c>
      <c r="I570" s="75">
        <f>IF(F570&gt;'THAM_SO_MOI'!$C$14,'THAM_SO_MOI'!$C$13*(1+F570^2/1500),'THAM_SO_MOI'!$C$13)</f>
        <v>0.015</v>
      </c>
      <c r="J570" s="75">
        <f>'THAM_SO_MOI'!$C$40*('THAM_SO_MOI'!$C$23*(E570/'THAM_SO_MOI'!$C$22)+'THAM_SO_MOI'!$C$24*(E570/'THAM_SO_MOI'!$C$22)^2-'THAM_SO_MOI'!$C$25*(E570/'THAM_SO_MOI'!$C$22)^3)</f>
        <v>78.70916339696794</v>
      </c>
      <c r="K570" s="75">
        <f>'THAM_SO_MOI'!$C$31*J570/E570</f>
        <v>422.80315457916953</v>
      </c>
      <c r="L570" s="75">
        <f>K570*'THAM_SO_MOI'!$C$53*'THAM_SO_MOI'!$C$17/'THAM_SO_MOI'!$C$26</f>
        <v>3707.985320074766</v>
      </c>
      <c r="M570" s="75">
        <f>'THAM_SO_MOI'!$C$15*'THAM_SO_MOI'!$C$16*F570^2</f>
        <v>952.5815700617521</v>
      </c>
      <c r="N570" s="75">
        <f>'THAM_SO_MOI'!$C$12*I570</f>
        <v>1130.112</v>
      </c>
      <c r="O570" s="75">
        <f>M570+N570</f>
        <v>2082.6935700617523</v>
      </c>
      <c r="P570" s="75">
        <f>(MIN(L570,'THAM_SO_MOI'!$C$41)-O570)/('THAM_SO_MOI'!$C$11*H570)</f>
        <v>0.1923877544996465</v>
      </c>
      <c r="Q570" s="75">
        <f>IF(P570&gt;0,1/P570,NA())</f>
        <v>5.197836019245379</v>
      </c>
      <c r="R570" s="75">
        <f>F570-F569</f>
        <v>0.017600427350426884</v>
      </c>
      <c r="S570" s="75">
        <f>0.5*(Q569+Q570)*R570</f>
        <v>0.0914480687127872</v>
      </c>
      <c r="T570" s="75">
        <f>0.5*(F569*Q569+F570*Q570)*R570</f>
        <v>1.6494947590990834</v>
      </c>
      <c r="U570" s="76">
        <f>U569+S570</f>
        <v>47.80390772031181</v>
      </c>
      <c r="V570" s="76">
        <f>V569+T570</f>
        <v>626.1173327049025</v>
      </c>
    </row>
    <row r="571" spans="1:22" ht="19" customHeight="1">
      <c r="A571" s="68" t="s">
        <v>362</v>
      </c>
      <c r="B571" s="74">
        <v>5</v>
      </c>
      <c r="C571" s="68" t="s">
        <v>363</v>
      </c>
      <c r="D571" s="68" t="s">
        <v>364</v>
      </c>
      <c r="E571" s="75">
        <f>60*F571*'THAM_SO_MOI'!$C$53/(2*PI()*'THAM_SO_MOI'!$C$26)</f>
        <v>1779.7694736842104</v>
      </c>
      <c r="F571" s="75">
        <f>'THAM_SO_MOI'!$E$53+('THAM_SO_MOI'!$C$14-'THAM_SO_MOI'!$E$53)*565/'THAM_SO_MOI'!$C$42</f>
        <v>18.063899572649575</v>
      </c>
      <c r="G571" s="75">
        <f>3.6*F571</f>
        <v>65.03003846153847</v>
      </c>
      <c r="H571" s="75">
        <f>'THAM_SO_MOI'!$D$53</f>
        <v>1.1</v>
      </c>
      <c r="I571" s="75">
        <f>IF(F571&gt;'THAM_SO_MOI'!$C$14,'THAM_SO_MOI'!$C$13*(1+F571^2/1500),'THAM_SO_MOI'!$C$13)</f>
        <v>0.015</v>
      </c>
      <c r="J571" s="75">
        <f>'THAM_SO_MOI'!$C$40*('THAM_SO_MOI'!$C$23*(E571/'THAM_SO_MOI'!$C$22)+'THAM_SO_MOI'!$C$24*(E571/'THAM_SO_MOI'!$C$22)^2-'THAM_SO_MOI'!$C$25*(E571/'THAM_SO_MOI'!$C$22)^3)</f>
        <v>78.79808392726557</v>
      </c>
      <c r="K571" s="75">
        <f>'THAM_SO_MOI'!$C$31*J571/E571</f>
        <v>422.86838974508726</v>
      </c>
      <c r="L571" s="75">
        <f>K571*'THAM_SO_MOI'!$C$53*'THAM_SO_MOI'!$C$17/'THAM_SO_MOI'!$C$26</f>
        <v>3708.5574327351283</v>
      </c>
      <c r="M571" s="75">
        <f>'THAM_SO_MOI'!$C$15*'THAM_SO_MOI'!$C$16*F571^2</f>
        <v>954.4405682295009</v>
      </c>
      <c r="N571" s="75">
        <f>'THAM_SO_MOI'!$C$12*I571</f>
        <v>1130.112</v>
      </c>
      <c r="O571" s="75">
        <f>M571+N571</f>
        <v>2084.552568229501</v>
      </c>
      <c r="P571" s="75">
        <f>(MIN(L571,'THAM_SO_MOI'!$C$41)-O571)/('THAM_SO_MOI'!$C$11*H571)</f>
        <v>0.19223542430227594</v>
      </c>
      <c r="Q571" s="75">
        <f>IF(P571&gt;0,1/P571,NA())</f>
        <v>5.20195486149095</v>
      </c>
      <c r="R571" s="75">
        <f>F571-F570</f>
        <v>0.017600427350430436</v>
      </c>
      <c r="S571" s="75">
        <f>0.5*(Q570+Q571)*R571</f>
        <v>0.09152038192803437</v>
      </c>
      <c r="T571" s="75">
        <f>0.5*(F570*Q570+F571*Q571)*R571</f>
        <v>1.6524099080605754</v>
      </c>
      <c r="U571" s="76">
        <f>U570+S571</f>
        <v>47.89542810223985</v>
      </c>
      <c r="V571" s="76">
        <f>V570+T571</f>
        <v>627.7697426129631</v>
      </c>
    </row>
    <row r="572" spans="1:22" ht="19" customHeight="1">
      <c r="A572" s="68" t="s">
        <v>362</v>
      </c>
      <c r="B572" s="74">
        <v>5</v>
      </c>
      <c r="C572" s="68" t="s">
        <v>363</v>
      </c>
      <c r="D572" s="68" t="s">
        <v>364</v>
      </c>
      <c r="E572" s="75">
        <f>60*F572*'THAM_SO_MOI'!$C$53/(2*PI()*'THAM_SO_MOI'!$C$26)</f>
        <v>1781.503578947368</v>
      </c>
      <c r="F572" s="75">
        <f>'THAM_SO_MOI'!$E$53+('THAM_SO_MOI'!$C$14-'THAM_SO_MOI'!$E$53)*566/'THAM_SO_MOI'!$C$42</f>
        <v>18.0815</v>
      </c>
      <c r="G572" s="75">
        <f>3.6*F572</f>
        <v>65.0934</v>
      </c>
      <c r="H572" s="75">
        <f>'THAM_SO_MOI'!$D$53</f>
        <v>1.1</v>
      </c>
      <c r="I572" s="75">
        <f>IF(F572&gt;'THAM_SO_MOI'!$C$14,'THAM_SO_MOI'!$C$13*(1+F572^2/1500),'THAM_SO_MOI'!$C$13)</f>
        <v>0.015</v>
      </c>
      <c r="J572" s="75">
        <f>'THAM_SO_MOI'!$C$40*('THAM_SO_MOI'!$C$23*(E572/'THAM_SO_MOI'!$C$22)+'THAM_SO_MOI'!$C$24*(E572/'THAM_SO_MOI'!$C$22)^2-'THAM_SO_MOI'!$C$25*(E572/'THAM_SO_MOI'!$C$22)^3)</f>
        <v>78.8869737303358</v>
      </c>
      <c r="K572" s="75">
        <f>'THAM_SO_MOI'!$C$31*J572/E572</f>
        <v>422.93333317537963</v>
      </c>
      <c r="L572" s="75">
        <f>K572*'THAM_SO_MOI'!$C$53*'THAM_SO_MOI'!$C$17/'THAM_SO_MOI'!$C$26</f>
        <v>3709.1269868729137</v>
      </c>
      <c r="M572" s="75">
        <f>'THAM_SO_MOI'!$C$15*'THAM_SO_MOI'!$C$16*F572^2</f>
        <v>956.3013785812499</v>
      </c>
      <c r="N572" s="75">
        <f>'THAM_SO_MOI'!$C$12*I572</f>
        <v>1130.112</v>
      </c>
      <c r="O572" s="75">
        <f>M572+N572</f>
        <v>2086.41337858125</v>
      </c>
      <c r="P572" s="75">
        <f>(MIN(L572,'THAM_SO_MOI'!$C$41)-O572)/('THAM_SO_MOI'!$C$11*H572)</f>
        <v>0.19208257673907003</v>
      </c>
      <c r="Q572" s="75">
        <f>IF(P572&gt;0,1/P572,NA())</f>
        <v>5.206094258920871</v>
      </c>
      <c r="R572" s="75">
        <f>F572-F571</f>
        <v>0.01760042735042333</v>
      </c>
      <c r="S572" s="75">
        <f>0.5*(Q571+Q572)*R572</f>
        <v>0.09159305620172285</v>
      </c>
      <c r="T572" s="75">
        <f>0.5*(F571*Q571+F572*Q572)*R572</f>
        <v>1.655334127816215</v>
      </c>
      <c r="U572" s="76">
        <f>U571+S572</f>
        <v>47.98702115844157</v>
      </c>
      <c r="V572" s="76">
        <f>V571+T572</f>
        <v>629.4250767407793</v>
      </c>
    </row>
    <row r="573" spans="1:22" ht="19" customHeight="1">
      <c r="A573" s="68" t="s">
        <v>362</v>
      </c>
      <c r="B573" s="74">
        <v>5</v>
      </c>
      <c r="C573" s="68" t="s">
        <v>363</v>
      </c>
      <c r="D573" s="68" t="s">
        <v>364</v>
      </c>
      <c r="E573" s="75">
        <f>60*F573*'THAM_SO_MOI'!$C$53/(2*PI()*'THAM_SO_MOI'!$C$26)</f>
        <v>1783.237684210526</v>
      </c>
      <c r="F573" s="75">
        <f>'THAM_SO_MOI'!$E$53+('THAM_SO_MOI'!$C$14-'THAM_SO_MOI'!$E$53)*567/'THAM_SO_MOI'!$C$42</f>
        <v>18.09910042735043</v>
      </c>
      <c r="G573" s="75">
        <f>3.6*F573</f>
        <v>65.15676153846155</v>
      </c>
      <c r="H573" s="75">
        <f>'THAM_SO_MOI'!$D$53</f>
        <v>1.1</v>
      </c>
      <c r="I573" s="75">
        <f>IF(F573&gt;'THAM_SO_MOI'!$C$14,'THAM_SO_MOI'!$C$13*(1+F573^2/1500),'THAM_SO_MOI'!$C$13)</f>
        <v>0.015</v>
      </c>
      <c r="J573" s="75">
        <f>'THAM_SO_MOI'!$C$40*('THAM_SO_MOI'!$C$23*(E573/'THAM_SO_MOI'!$C$22)+'THAM_SO_MOI'!$C$24*(E573/'THAM_SO_MOI'!$C$22)^2-'THAM_SO_MOI'!$C$25*(E573/'THAM_SO_MOI'!$C$22)^3)</f>
        <v>78.97583264727547</v>
      </c>
      <c r="K573" s="75">
        <f>'THAM_SO_MOI'!$C$31*J573/E573</f>
        <v>422.9979848700471</v>
      </c>
      <c r="L573" s="75">
        <f>K573*'THAM_SO_MOI'!$C$53*'THAM_SO_MOI'!$C$17/'THAM_SO_MOI'!$C$26</f>
        <v>3709.693982488128</v>
      </c>
      <c r="M573" s="75">
        <f>'THAM_SO_MOI'!$C$15*'THAM_SO_MOI'!$C$16*F573^2</f>
        <v>958.1640011170008</v>
      </c>
      <c r="N573" s="75">
        <f>'THAM_SO_MOI'!$C$12*I573</f>
        <v>1130.112</v>
      </c>
      <c r="O573" s="75">
        <f>M573+N573</f>
        <v>2088.2760011170008</v>
      </c>
      <c r="P573" s="75">
        <f>(MIN(L573,'THAM_SO_MOI'!$C$41)-O573)/('THAM_SO_MOI'!$C$11*H573)</f>
        <v>0.19192921181002925</v>
      </c>
      <c r="Q573" s="75">
        <f>IF(P573&gt;0,1/P573,NA())</f>
        <v>5.210254294118583</v>
      </c>
      <c r="R573" s="75">
        <f>F573-F572</f>
        <v>0.017600427350430436</v>
      </c>
      <c r="S573" s="75">
        <f>0.5*(Q572+Q573)*R573</f>
        <v>0.09166609298226605</v>
      </c>
      <c r="T573" s="75">
        <f>0.5*(F572*Q572+F573*Q573)*R573</f>
        <v>1.6582674636326298</v>
      </c>
      <c r="U573" s="76">
        <f>U572+S573</f>
        <v>48.07868725142384</v>
      </c>
      <c r="V573" s="76">
        <f>V572+T573</f>
        <v>631.083344204412</v>
      </c>
    </row>
    <row r="574" spans="1:22" ht="19" customHeight="1">
      <c r="A574" s="68" t="s">
        <v>362</v>
      </c>
      <c r="B574" s="74">
        <v>5</v>
      </c>
      <c r="C574" s="68" t="s">
        <v>363</v>
      </c>
      <c r="D574" s="68" t="s">
        <v>364</v>
      </c>
      <c r="E574" s="75">
        <f>60*F574*'THAM_SO_MOI'!$C$53/(2*PI()*'THAM_SO_MOI'!$C$26)</f>
        <v>1784.9717894736837</v>
      </c>
      <c r="F574" s="75">
        <f>'THAM_SO_MOI'!$E$53+('THAM_SO_MOI'!$C$14-'THAM_SO_MOI'!$E$53)*568/'THAM_SO_MOI'!$C$42</f>
        <v>18.116700854700852</v>
      </c>
      <c r="G574" s="75">
        <f>3.6*F574</f>
        <v>65.22012307692307</v>
      </c>
      <c r="H574" s="75">
        <f>'THAM_SO_MOI'!$D$53</f>
        <v>1.1</v>
      </c>
      <c r="I574" s="75">
        <f>IF(F574&gt;'THAM_SO_MOI'!$C$14,'THAM_SO_MOI'!$C$13*(1+F574^2/1500),'THAM_SO_MOI'!$C$13)</f>
        <v>0.015</v>
      </c>
      <c r="J574" s="75">
        <f>'THAM_SO_MOI'!$C$40*('THAM_SO_MOI'!$C$23*(E574/'THAM_SO_MOI'!$C$22)+'THAM_SO_MOI'!$C$24*(E574/'THAM_SO_MOI'!$C$22)^2-'THAM_SO_MOI'!$C$25*(E574/'THAM_SO_MOI'!$C$22)^3)</f>
        <v>79.06466051918126</v>
      </c>
      <c r="K574" s="75">
        <f>'THAM_SO_MOI'!$C$31*J574/E574</f>
        <v>423.06234482908957</v>
      </c>
      <c r="L574" s="75">
        <f>K574*'THAM_SO_MOI'!$C$53*'THAM_SO_MOI'!$C$17/'THAM_SO_MOI'!$C$26</f>
        <v>3710.2584195807685</v>
      </c>
      <c r="M574" s="75">
        <f>'THAM_SO_MOI'!$C$15*'THAM_SO_MOI'!$C$16*F574^2</f>
        <v>960.0284358367519</v>
      </c>
      <c r="N574" s="75">
        <f>'THAM_SO_MOI'!$C$12*I574</f>
        <v>1130.112</v>
      </c>
      <c r="O574" s="75">
        <f>M574+N574</f>
        <v>2090.1404358367517</v>
      </c>
      <c r="P574" s="75">
        <f>(MIN(L574,'THAM_SO_MOI'!$C$41)-O574)/('THAM_SO_MOI'!$C$11*H574)</f>
        <v>0.1917753295151535</v>
      </c>
      <c r="Q574" s="75">
        <f>IF(P574&gt;0,1/P574,NA())</f>
        <v>5.214435050265331</v>
      </c>
      <c r="R574" s="75">
        <f>F574-F573</f>
        <v>0.01760042735042333</v>
      </c>
      <c r="S574" s="75">
        <f>0.5*(Q573+Q574)*R574</f>
        <v>0.09173949372828065</v>
      </c>
      <c r="T574" s="75">
        <f>0.5*(F573*Q573+F574*Q574)*R574</f>
        <v>1.6612099610631796</v>
      </c>
      <c r="U574" s="76">
        <f>U573+S574</f>
        <v>48.17042674515212</v>
      </c>
      <c r="V574" s="76">
        <f>V573+T574</f>
        <v>632.7445541654752</v>
      </c>
    </row>
    <row r="575" spans="1:22" ht="19" customHeight="1">
      <c r="A575" s="68" t="s">
        <v>362</v>
      </c>
      <c r="B575" s="74">
        <v>5</v>
      </c>
      <c r="C575" s="68" t="s">
        <v>363</v>
      </c>
      <c r="D575" s="68" t="s">
        <v>364</v>
      </c>
      <c r="E575" s="75">
        <f>60*F575*'THAM_SO_MOI'!$C$53/(2*PI()*'THAM_SO_MOI'!$C$26)</f>
        <v>1786.7058947368416</v>
      </c>
      <c r="F575" s="75">
        <f>'THAM_SO_MOI'!$E$53+('THAM_SO_MOI'!$C$14-'THAM_SO_MOI'!$E$53)*569/'THAM_SO_MOI'!$C$42</f>
        <v>18.134301282051283</v>
      </c>
      <c r="G575" s="75">
        <f>3.6*F575</f>
        <v>65.28348461538462</v>
      </c>
      <c r="H575" s="75">
        <f>'THAM_SO_MOI'!$D$53</f>
        <v>1.1</v>
      </c>
      <c r="I575" s="75">
        <f>IF(F575&gt;'THAM_SO_MOI'!$C$14,'THAM_SO_MOI'!$C$13*(1+F575^2/1500),'THAM_SO_MOI'!$C$13)</f>
        <v>0.015</v>
      </c>
      <c r="J575" s="75">
        <f>'THAM_SO_MOI'!$C$40*('THAM_SO_MOI'!$C$23*(E575/'THAM_SO_MOI'!$C$22)+'THAM_SO_MOI'!$C$24*(E575/'THAM_SO_MOI'!$C$22)^2-'THAM_SO_MOI'!$C$25*(E575/'THAM_SO_MOI'!$C$22)^3)</f>
        <v>79.1534571871499</v>
      </c>
      <c r="K575" s="75">
        <f>'THAM_SO_MOI'!$C$31*J575/E575</f>
        <v>423.12641305250696</v>
      </c>
      <c r="L575" s="75">
        <f>K575*'THAM_SO_MOI'!$C$53*'THAM_SO_MOI'!$C$17/'THAM_SO_MOI'!$C$26</f>
        <v>3710.820298150836</v>
      </c>
      <c r="M575" s="75">
        <f>'THAM_SO_MOI'!$C$15*'THAM_SO_MOI'!$C$16*F575^2</f>
        <v>961.8946827405049</v>
      </c>
      <c r="N575" s="75">
        <f>'THAM_SO_MOI'!$C$12*I575</f>
        <v>1130.112</v>
      </c>
      <c r="O575" s="75">
        <f>M575+N575</f>
        <v>2092.006682740505</v>
      </c>
      <c r="P575" s="75">
        <f>(MIN(L575,'THAM_SO_MOI'!$C$41)-O575)/('THAM_SO_MOI'!$C$11*H575)</f>
        <v>0.19162092985444262</v>
      </c>
      <c r="Q575" s="75">
        <f>IF(P575&gt;0,1/P575,NA())</f>
        <v>5.21863661114478</v>
      </c>
      <c r="R575" s="75">
        <f>F575-F574</f>
        <v>0.017600427350430436</v>
      </c>
      <c r="S575" s="75">
        <f>0.5*(Q574+Q575)*R575</f>
        <v>0.0918132599092416</v>
      </c>
      <c r="T575" s="75">
        <f>0.5*(F574*Q574+F575*Q575)*R575</f>
        <v>1.664161665960724</v>
      </c>
      <c r="U575" s="76">
        <f>U574+S575</f>
        <v>48.262240005061365</v>
      </c>
      <c r="V575" s="76">
        <f>V574+T575</f>
        <v>634.4087158314359</v>
      </c>
    </row>
    <row r="576" spans="1:22" ht="19" customHeight="1">
      <c r="A576" s="68" t="s">
        <v>362</v>
      </c>
      <c r="B576" s="74">
        <v>5</v>
      </c>
      <c r="C576" s="68" t="s">
        <v>363</v>
      </c>
      <c r="D576" s="68" t="s">
        <v>364</v>
      </c>
      <c r="E576" s="75">
        <f>60*F576*'THAM_SO_MOI'!$C$53/(2*PI()*'THAM_SO_MOI'!$C$26)</f>
        <v>1788.4399999999996</v>
      </c>
      <c r="F576" s="75">
        <f>'THAM_SO_MOI'!$E$53+('THAM_SO_MOI'!$C$14-'THAM_SO_MOI'!$E$53)*570/'THAM_SO_MOI'!$C$42</f>
        <v>18.15190170940171</v>
      </c>
      <c r="G576" s="75">
        <f>3.6*F576</f>
        <v>65.34684615384616</v>
      </c>
      <c r="H576" s="75">
        <f>'THAM_SO_MOI'!$D$53</f>
        <v>1.1</v>
      </c>
      <c r="I576" s="75">
        <f>IF(F576&gt;'THAM_SO_MOI'!$C$14,'THAM_SO_MOI'!$C$13*(1+F576^2/1500),'THAM_SO_MOI'!$C$13)</f>
        <v>0.015</v>
      </c>
      <c r="J576" s="75">
        <f>'THAM_SO_MOI'!$C$40*('THAM_SO_MOI'!$C$23*(E576/'THAM_SO_MOI'!$C$22)+'THAM_SO_MOI'!$C$24*(E576/'THAM_SO_MOI'!$C$22)^2-'THAM_SO_MOI'!$C$25*(E576/'THAM_SO_MOI'!$C$22)^3)</f>
        <v>79.24222249227805</v>
      </c>
      <c r="K576" s="75">
        <f>'THAM_SO_MOI'!$C$31*J576/E576</f>
        <v>423.19018954029906</v>
      </c>
      <c r="L576" s="75">
        <f>K576*'THAM_SO_MOI'!$C$53*'THAM_SO_MOI'!$C$17/'THAM_SO_MOI'!$C$26</f>
        <v>3711.379618198328</v>
      </c>
      <c r="M576" s="75">
        <f>'THAM_SO_MOI'!$C$15*'THAM_SO_MOI'!$C$16*F576^2</f>
        <v>963.7627418282586</v>
      </c>
      <c r="N576" s="75">
        <f>'THAM_SO_MOI'!$C$12*I576</f>
        <v>1130.112</v>
      </c>
      <c r="O576" s="75">
        <f>M576+N576</f>
        <v>2093.8747418282587</v>
      </c>
      <c r="P576" s="75">
        <f>(MIN(L576,'THAM_SO_MOI'!$C$41)-O576)/('THAM_SO_MOI'!$C$11*H576)</f>
        <v>0.19146601282789646</v>
      </c>
      <c r="Q576" s="75">
        <f>IF(P576&gt;0,1/P576,NA())</f>
        <v>5.2228590611476955</v>
      </c>
      <c r="R576" s="75">
        <f>F576-F575</f>
        <v>0.017600427350426884</v>
      </c>
      <c r="S576" s="75">
        <f>0.5*(Q575+Q576)*R576</f>
        <v>0.09188739300499021</v>
      </c>
      <c r="T576" s="75">
        <f>0.5*(F575*Q575+F576*Q576)*R576</f>
        <v>1.667122624469654</v>
      </c>
      <c r="U576" s="76">
        <f>U575+S576</f>
        <v>48.35412739806635</v>
      </c>
      <c r="V576" s="76">
        <f>V575+T576</f>
        <v>636.0758384559056</v>
      </c>
    </row>
    <row r="577" spans="1:22" ht="19" customHeight="1">
      <c r="A577" s="68" t="s">
        <v>362</v>
      </c>
      <c r="B577" s="74">
        <v>5</v>
      </c>
      <c r="C577" s="68" t="s">
        <v>363</v>
      </c>
      <c r="D577" s="68" t="s">
        <v>364</v>
      </c>
      <c r="E577" s="75">
        <f>60*F577*'THAM_SO_MOI'!$C$53/(2*PI()*'THAM_SO_MOI'!$C$26)</f>
        <v>1790.1741052631576</v>
      </c>
      <c r="F577" s="75">
        <f>'THAM_SO_MOI'!$E$53+('THAM_SO_MOI'!$C$14-'THAM_SO_MOI'!$E$53)*571/'THAM_SO_MOI'!$C$42</f>
        <v>18.169502136752136</v>
      </c>
      <c r="G577" s="75">
        <f>3.6*F577</f>
        <v>65.4102076923077</v>
      </c>
      <c r="H577" s="75">
        <f>'THAM_SO_MOI'!$D$53</f>
        <v>1.1</v>
      </c>
      <c r="I577" s="75">
        <f>IF(F577&gt;'THAM_SO_MOI'!$C$14,'THAM_SO_MOI'!$C$13*(1+F577^2/1500),'THAM_SO_MOI'!$C$13)</f>
        <v>0.015</v>
      </c>
      <c r="J577" s="75">
        <f>'THAM_SO_MOI'!$C$40*('THAM_SO_MOI'!$C$23*(E577/'THAM_SO_MOI'!$C$22)+'THAM_SO_MOI'!$C$24*(E577/'THAM_SO_MOI'!$C$22)^2-'THAM_SO_MOI'!$C$25*(E577/'THAM_SO_MOI'!$C$22)^3)</f>
        <v>79.33095627566254</v>
      </c>
      <c r="K577" s="75">
        <f>'THAM_SO_MOI'!$C$31*J577/E577</f>
        <v>423.2536742924665</v>
      </c>
      <c r="L577" s="75">
        <f>K577*'THAM_SO_MOI'!$C$53*'THAM_SO_MOI'!$C$17/'THAM_SO_MOI'!$C$26</f>
        <v>3711.9363797232504</v>
      </c>
      <c r="M577" s="75">
        <f>'THAM_SO_MOI'!$C$15*'THAM_SO_MOI'!$C$16*F577^2</f>
        <v>965.6326131000134</v>
      </c>
      <c r="N577" s="75">
        <f>'THAM_SO_MOI'!$C$12*I577</f>
        <v>1130.112</v>
      </c>
      <c r="O577" s="75">
        <f>M577+N577</f>
        <v>2095.7446131000133</v>
      </c>
      <c r="P577" s="75">
        <f>(MIN(L577,'THAM_SO_MOI'!$C$41)-O577)/('THAM_SO_MOI'!$C$11*H577)</f>
        <v>0.19131057843551574</v>
      </c>
      <c r="Q577" s="75">
        <f>IF(P577&gt;0,1/P577,NA())</f>
        <v>5.227102485276661</v>
      </c>
      <c r="R577" s="75">
        <f>F577-F576</f>
        <v>0.017600427350426884</v>
      </c>
      <c r="S577" s="75">
        <f>0.5*(Q576+Q577)*R577</f>
        <v>0.09196189450629823</v>
      </c>
      <c r="T577" s="75">
        <f>0.5*(F576*Q576+F577*Q577)*R577</f>
        <v>1.6700928830370505</v>
      </c>
      <c r="U577" s="76">
        <f>U576+S577</f>
        <v>48.44608929257265</v>
      </c>
      <c r="V577" s="76">
        <f>V576+T577</f>
        <v>637.7459313389426</v>
      </c>
    </row>
    <row r="578" spans="1:22" ht="19" customHeight="1">
      <c r="A578" s="68" t="s">
        <v>362</v>
      </c>
      <c r="B578" s="74">
        <v>5</v>
      </c>
      <c r="C578" s="68" t="s">
        <v>363</v>
      </c>
      <c r="D578" s="68" t="s">
        <v>364</v>
      </c>
      <c r="E578" s="75">
        <f>60*F578*'THAM_SO_MOI'!$C$53/(2*PI()*'THAM_SO_MOI'!$C$26)</f>
        <v>1791.908210526315</v>
      </c>
      <c r="F578" s="75">
        <f>'THAM_SO_MOI'!$E$53+('THAM_SO_MOI'!$C$14-'THAM_SO_MOI'!$E$53)*572/'THAM_SO_MOI'!$C$42</f>
        <v>18.187102564102563</v>
      </c>
      <c r="G578" s="75">
        <f>3.6*F578</f>
        <v>65.47356923076923</v>
      </c>
      <c r="H578" s="75">
        <f>'THAM_SO_MOI'!$D$53</f>
        <v>1.1</v>
      </c>
      <c r="I578" s="75">
        <f>IF(F578&gt;'THAM_SO_MOI'!$C$14,'THAM_SO_MOI'!$C$13*(1+F578^2/1500),'THAM_SO_MOI'!$C$13)</f>
        <v>0.015</v>
      </c>
      <c r="J578" s="75">
        <f>'THAM_SO_MOI'!$C$40*('THAM_SO_MOI'!$C$23*(E578/'THAM_SO_MOI'!$C$22)+'THAM_SO_MOI'!$C$24*(E578/'THAM_SO_MOI'!$C$22)^2-'THAM_SO_MOI'!$C$25*(E578/'THAM_SO_MOI'!$C$22)^3)</f>
        <v>79.41965837840002</v>
      </c>
      <c r="K578" s="75">
        <f>'THAM_SO_MOI'!$C$31*J578/E578</f>
        <v>423.31686730900884</v>
      </c>
      <c r="L578" s="75">
        <f>K578*'THAM_SO_MOI'!$C$53*'THAM_SO_MOI'!$C$17/'THAM_SO_MOI'!$C$26</f>
        <v>3712.490582725599</v>
      </c>
      <c r="M578" s="75">
        <f>'THAM_SO_MOI'!$C$15*'THAM_SO_MOI'!$C$16*F578^2</f>
        <v>967.5042965557693</v>
      </c>
      <c r="N578" s="75">
        <f>'THAM_SO_MOI'!$C$12*I578</f>
        <v>1130.112</v>
      </c>
      <c r="O578" s="75">
        <f>M578+N578</f>
        <v>2097.6162965557696</v>
      </c>
      <c r="P578" s="75">
        <f>(MIN(L578,'THAM_SO_MOI'!$C$41)-O578)/('THAM_SO_MOI'!$C$11*H578)</f>
        <v>0.19115462667729988</v>
      </c>
      <c r="Q578" s="75">
        <f>IF(P578&gt;0,1/P578,NA())</f>
        <v>5.23136696915091</v>
      </c>
      <c r="R578" s="75">
        <f>F578-F577</f>
        <v>0.017600427350426884</v>
      </c>
      <c r="S578" s="75">
        <f>0.5*(Q577+Q578)*R578</f>
        <v>0.09203676591465558</v>
      </c>
      <c r="T578" s="75">
        <f>0.5*(F577*Q577+F578*Q578)*R578</f>
        <v>1.673072488409784</v>
      </c>
      <c r="U578" s="76">
        <f>U577+S578</f>
        <v>48.53812605848731</v>
      </c>
      <c r="V578" s="76">
        <f>V577+T578</f>
        <v>639.4190038273523</v>
      </c>
    </row>
    <row r="579" spans="1:22" ht="19" customHeight="1">
      <c r="A579" s="68" t="s">
        <v>362</v>
      </c>
      <c r="B579" s="74">
        <v>5</v>
      </c>
      <c r="C579" s="68" t="s">
        <v>363</v>
      </c>
      <c r="D579" s="68" t="s">
        <v>364</v>
      </c>
      <c r="E579" s="75">
        <f>60*F579*'THAM_SO_MOI'!$C$53/(2*PI()*'THAM_SO_MOI'!$C$26)</f>
        <v>1793.642315789473</v>
      </c>
      <c r="F579" s="75">
        <f>'THAM_SO_MOI'!$E$53+('THAM_SO_MOI'!$C$14-'THAM_SO_MOI'!$E$53)*573/'THAM_SO_MOI'!$C$42</f>
        <v>18.20470299145299</v>
      </c>
      <c r="G579" s="75">
        <f>3.6*F579</f>
        <v>65.53693076923076</v>
      </c>
      <c r="H579" s="75">
        <f>'THAM_SO_MOI'!$D$53</f>
        <v>1.1</v>
      </c>
      <c r="I579" s="75">
        <f>IF(F579&gt;'THAM_SO_MOI'!$C$14,'THAM_SO_MOI'!$C$13*(1+F579^2/1500),'THAM_SO_MOI'!$C$13)</f>
        <v>0.015</v>
      </c>
      <c r="J579" s="75">
        <f>'THAM_SO_MOI'!$C$40*('THAM_SO_MOI'!$C$23*(E579/'THAM_SO_MOI'!$C$22)+'THAM_SO_MOI'!$C$24*(E579/'THAM_SO_MOI'!$C$22)^2-'THAM_SO_MOI'!$C$25*(E579/'THAM_SO_MOI'!$C$22)^3)</f>
        <v>79.50832864158723</v>
      </c>
      <c r="K579" s="75">
        <f>'THAM_SO_MOI'!$C$31*J579/E579</f>
        <v>423.3797685899261</v>
      </c>
      <c r="L579" s="75">
        <f>K579*'THAM_SO_MOI'!$C$53*'THAM_SO_MOI'!$C$17/'THAM_SO_MOI'!$C$26</f>
        <v>3713.0422272053743</v>
      </c>
      <c r="M579" s="75">
        <f>'THAM_SO_MOI'!$C$15*'THAM_SO_MOI'!$C$16*F579^2</f>
        <v>969.3777921955261</v>
      </c>
      <c r="N579" s="75">
        <f>'THAM_SO_MOI'!$C$12*I579</f>
        <v>1130.112</v>
      </c>
      <c r="O579" s="75">
        <f>M579+N579</f>
        <v>2099.489792195526</v>
      </c>
      <c r="P579" s="75">
        <f>(MIN(L579,'THAM_SO_MOI'!$C$41)-O579)/('THAM_SO_MOI'!$C$11*H579)</f>
        <v>0.19099815755324906</v>
      </c>
      <c r="Q579" s="75">
        <f>IF(P579&gt;0,1/P579,NA())</f>
        <v>5.2356525990111</v>
      </c>
      <c r="R579" s="75">
        <f>F579-F578</f>
        <v>0.017600427350426884</v>
      </c>
      <c r="S579" s="75">
        <f>0.5*(Q578+Q579)*R579</f>
        <v>0.09211200874246601</v>
      </c>
      <c r="T579" s="75">
        <f>0.5*(F578*Q578+F579*Q579)*R579</f>
        <v>1.6760614876390219</v>
      </c>
      <c r="U579" s="76">
        <f>U578+S579</f>
        <v>48.630238067229776</v>
      </c>
      <c r="V579" s="76">
        <f>V578+T579</f>
        <v>641.0950653149913</v>
      </c>
    </row>
    <row r="580" spans="1:22" ht="19" customHeight="1">
      <c r="A580" s="68" t="s">
        <v>362</v>
      </c>
      <c r="B580" s="74">
        <v>5</v>
      </c>
      <c r="C580" s="68" t="s">
        <v>363</v>
      </c>
      <c r="D580" s="68" t="s">
        <v>364</v>
      </c>
      <c r="E580" s="75">
        <f>60*F580*'THAM_SO_MOI'!$C$53/(2*PI()*'THAM_SO_MOI'!$C$26)</f>
        <v>1795.376421052631</v>
      </c>
      <c r="F580" s="75">
        <f>'THAM_SO_MOI'!$E$53+('THAM_SO_MOI'!$C$14-'THAM_SO_MOI'!$E$53)*574/'THAM_SO_MOI'!$C$42</f>
        <v>18.22230341880342</v>
      </c>
      <c r="G580" s="75">
        <f>3.6*F580</f>
        <v>65.60029230769231</v>
      </c>
      <c r="H580" s="75">
        <f>'THAM_SO_MOI'!$D$53</f>
        <v>1.1</v>
      </c>
      <c r="I580" s="75">
        <f>IF(F580&gt;'THAM_SO_MOI'!$C$14,'THAM_SO_MOI'!$C$13*(1+F580^2/1500),'THAM_SO_MOI'!$C$13)</f>
        <v>0.015</v>
      </c>
      <c r="J580" s="75">
        <f>'THAM_SO_MOI'!$C$40*('THAM_SO_MOI'!$C$23*(E580/'THAM_SO_MOI'!$C$22)+'THAM_SO_MOI'!$C$24*(E580/'THAM_SO_MOI'!$C$22)^2-'THAM_SO_MOI'!$C$25*(E580/'THAM_SO_MOI'!$C$22)^3)</f>
        <v>79.59696690632086</v>
      </c>
      <c r="K580" s="75">
        <f>'THAM_SO_MOI'!$C$31*J580/E580</f>
        <v>423.4423781352181</v>
      </c>
      <c r="L580" s="75">
        <f>K580*'THAM_SO_MOI'!$C$53*'THAM_SO_MOI'!$C$17/'THAM_SO_MOI'!$C$26</f>
        <v>3713.5913131625744</v>
      </c>
      <c r="M580" s="75">
        <f>'THAM_SO_MOI'!$C$15*'THAM_SO_MOI'!$C$16*F580^2</f>
        <v>971.2531000192845</v>
      </c>
      <c r="N580" s="75">
        <f>'THAM_SO_MOI'!$C$12*I580</f>
        <v>1130.112</v>
      </c>
      <c r="O580" s="75">
        <f>M580+N580</f>
        <v>2101.3651000192845</v>
      </c>
      <c r="P580" s="75">
        <f>(MIN(L580,'THAM_SO_MOI'!$C$41)-O580)/('THAM_SO_MOI'!$C$11*H580)</f>
        <v>0.1908411710633629</v>
      </c>
      <c r="Q580" s="75">
        <f>IF(P580&gt;0,1/P580,NA())</f>
        <v>5.239959461724226</v>
      </c>
      <c r="R580" s="75">
        <f>F580-F579</f>
        <v>0.017600427350430436</v>
      </c>
      <c r="S580" s="75">
        <f>0.5*(Q579+Q580)*R580</f>
        <v>0.09218762451313249</v>
      </c>
      <c r="T580" s="75">
        <f>0.5*(F579*Q579+F580*Q580)*R580</f>
        <v>1.6790599280827394</v>
      </c>
      <c r="U580" s="76">
        <f>U579+S580</f>
        <v>48.722425691742906</v>
      </c>
      <c r="V580" s="76">
        <f>V579+T580</f>
        <v>642.7741252430741</v>
      </c>
    </row>
    <row r="581" spans="1:22" ht="19" customHeight="1">
      <c r="A581" s="68" t="s">
        <v>362</v>
      </c>
      <c r="B581" s="74">
        <v>5</v>
      </c>
      <c r="C581" s="68" t="s">
        <v>363</v>
      </c>
      <c r="D581" s="68" t="s">
        <v>364</v>
      </c>
      <c r="E581" s="75">
        <f>60*F581*'THAM_SO_MOI'!$C$53/(2*PI()*'THAM_SO_MOI'!$C$26)</f>
        <v>1797.110526315789</v>
      </c>
      <c r="F581" s="75">
        <f>'THAM_SO_MOI'!$E$53+('THAM_SO_MOI'!$C$14-'THAM_SO_MOI'!$E$53)*575/'THAM_SO_MOI'!$C$42</f>
        <v>18.239903846153844</v>
      </c>
      <c r="G581" s="75">
        <f>3.6*F581</f>
        <v>65.66365384615384</v>
      </c>
      <c r="H581" s="75">
        <f>'THAM_SO_MOI'!$D$53</f>
        <v>1.1</v>
      </c>
      <c r="I581" s="75">
        <f>IF(F581&gt;'THAM_SO_MOI'!$C$14,'THAM_SO_MOI'!$C$13*(1+F581^2/1500),'THAM_SO_MOI'!$C$13)</f>
        <v>0.015</v>
      </c>
      <c r="J581" s="75">
        <f>'THAM_SO_MOI'!$C$40*('THAM_SO_MOI'!$C$23*(E581/'THAM_SO_MOI'!$C$22)+'THAM_SO_MOI'!$C$24*(E581/'THAM_SO_MOI'!$C$22)^2-'THAM_SO_MOI'!$C$25*(E581/'THAM_SO_MOI'!$C$22)^3)</f>
        <v>79.6855730136977</v>
      </c>
      <c r="K581" s="75">
        <f>'THAM_SO_MOI'!$C$31*J581/E581</f>
        <v>423.50469594488544</v>
      </c>
      <c r="L581" s="75">
        <f>K581*'THAM_SO_MOI'!$C$53*'THAM_SO_MOI'!$C$17/'THAM_SO_MOI'!$C$26</f>
        <v>3714.1378405972046</v>
      </c>
      <c r="M581" s="75">
        <f>'THAM_SO_MOI'!$C$15*'THAM_SO_MOI'!$C$16*F581^2</f>
        <v>973.130220027043</v>
      </c>
      <c r="N581" s="75">
        <f>'THAM_SO_MOI'!$C$12*I581</f>
        <v>1130.112</v>
      </c>
      <c r="O581" s="75">
        <f>M581+N581</f>
        <v>2103.242220027043</v>
      </c>
      <c r="P581" s="75">
        <f>(MIN(L581,'THAM_SO_MOI'!$C$41)-O581)/('THAM_SO_MOI'!$C$11*H581)</f>
        <v>0.19068366720764224</v>
      </c>
      <c r="Q581" s="75">
        <f>IF(P581&gt;0,1/P581,NA())</f>
        <v>5.244287644788499</v>
      </c>
      <c r="R581" s="75">
        <f>F581-F580</f>
        <v>0.01760042735042333</v>
      </c>
      <c r="S581" s="75">
        <f>0.5*(Q580+Q581)*R581</f>
        <v>0.09226361476103162</v>
      </c>
      <c r="T581" s="75">
        <f>0.5*(F580*Q580+F581*Q581)*R581</f>
        <v>1.6820678574062262</v>
      </c>
      <c r="U581" s="76">
        <f>U580+S581</f>
        <v>48.81468930650394</v>
      </c>
      <c r="V581" s="76">
        <f>V580+T581</f>
        <v>644.4561931004803</v>
      </c>
    </row>
    <row r="582" spans="1:22" ht="19" customHeight="1">
      <c r="A582" s="68" t="s">
        <v>362</v>
      </c>
      <c r="B582" s="74">
        <v>5</v>
      </c>
      <c r="C582" s="68" t="s">
        <v>363</v>
      </c>
      <c r="D582" s="68" t="s">
        <v>364</v>
      </c>
      <c r="E582" s="75">
        <f>60*F582*'THAM_SO_MOI'!$C$53/(2*PI()*'THAM_SO_MOI'!$C$26)</f>
        <v>1798.8446315789474</v>
      </c>
      <c r="F582" s="75">
        <f>'THAM_SO_MOI'!$E$53+('THAM_SO_MOI'!$C$14-'THAM_SO_MOI'!$E$53)*576/'THAM_SO_MOI'!$C$42</f>
        <v>18.257504273504274</v>
      </c>
      <c r="G582" s="75">
        <f>3.6*F582</f>
        <v>65.72701538461538</v>
      </c>
      <c r="H582" s="75">
        <f>'THAM_SO_MOI'!$D$53</f>
        <v>1.1</v>
      </c>
      <c r="I582" s="75">
        <f>IF(F582&gt;'THAM_SO_MOI'!$C$14,'THAM_SO_MOI'!$C$13*(1+F582^2/1500),'THAM_SO_MOI'!$C$13)</f>
        <v>0.015</v>
      </c>
      <c r="J582" s="75">
        <f>'THAM_SO_MOI'!$C$40*('THAM_SO_MOI'!$C$23*(E582/'THAM_SO_MOI'!$C$22)+'THAM_SO_MOI'!$C$24*(E582/'THAM_SO_MOI'!$C$22)^2-'THAM_SO_MOI'!$C$25*(E582/'THAM_SO_MOI'!$C$22)^3)</f>
        <v>79.77414680481444</v>
      </c>
      <c r="K582" s="75">
        <f>'THAM_SO_MOI'!$C$31*J582/E582</f>
        <v>423.5667220189275</v>
      </c>
      <c r="L582" s="75">
        <f>K582*'THAM_SO_MOI'!$C$53*'THAM_SO_MOI'!$C$17/'THAM_SO_MOI'!$C$26</f>
        <v>3714.681809509259</v>
      </c>
      <c r="M582" s="75">
        <f>'THAM_SO_MOI'!$C$15*'THAM_SO_MOI'!$C$16*F582^2</f>
        <v>975.0091522188036</v>
      </c>
      <c r="N582" s="75">
        <f>'THAM_SO_MOI'!$C$12*I582</f>
        <v>1130.112</v>
      </c>
      <c r="O582" s="75">
        <f>M582+N582</f>
        <v>2105.1211522188037</v>
      </c>
      <c r="P582" s="75">
        <f>(MIN(L582,'THAM_SO_MOI'!$C$41)-O582)/('THAM_SO_MOI'!$C$11*H582)</f>
        <v>0.1905256459860861</v>
      </c>
      <c r="Q582" s="75">
        <f>IF(P582&gt;0,1/P582,NA())</f>
        <v>5.2486372363384035</v>
      </c>
      <c r="R582" s="75">
        <f>F582-F581</f>
        <v>0.017600427350430436</v>
      </c>
      <c r="S582" s="75">
        <f>0.5*(Q581+Q582)*R582</f>
        <v>0.092339981031899</v>
      </c>
      <c r="T582" s="75">
        <f>0.5*(F581*Q581+F582*Q582)*R582</f>
        <v>1.6850853235900807</v>
      </c>
      <c r="U582" s="76">
        <f>U581+S582</f>
        <v>48.907029287535835</v>
      </c>
      <c r="V582" s="76">
        <f>V581+T582</f>
        <v>646.1412784240704</v>
      </c>
    </row>
    <row r="583" spans="1:22" ht="19" customHeight="1">
      <c r="A583" s="68" t="s">
        <v>362</v>
      </c>
      <c r="B583" s="74">
        <v>5</v>
      </c>
      <c r="C583" s="68" t="s">
        <v>363</v>
      </c>
      <c r="D583" s="68" t="s">
        <v>364</v>
      </c>
      <c r="E583" s="75">
        <f>60*F583*'THAM_SO_MOI'!$C$53/(2*PI()*'THAM_SO_MOI'!$C$26)</f>
        <v>1800.5787368421047</v>
      </c>
      <c r="F583" s="75">
        <f>'THAM_SO_MOI'!$E$53+('THAM_SO_MOI'!$C$14-'THAM_SO_MOI'!$E$53)*577/'THAM_SO_MOI'!$C$42</f>
        <v>18.275104700854698</v>
      </c>
      <c r="G583" s="75">
        <f>3.6*F583</f>
        <v>65.79037692307692</v>
      </c>
      <c r="H583" s="75">
        <f>'THAM_SO_MOI'!$D$53</f>
        <v>1.1</v>
      </c>
      <c r="I583" s="75">
        <f>IF(F583&gt;'THAM_SO_MOI'!$C$14,'THAM_SO_MOI'!$C$13*(1+F583^2/1500),'THAM_SO_MOI'!$C$13)</f>
        <v>0.015</v>
      </c>
      <c r="J583" s="75">
        <f>'THAM_SO_MOI'!$C$40*('THAM_SO_MOI'!$C$23*(E583/'THAM_SO_MOI'!$C$22)+'THAM_SO_MOI'!$C$24*(E583/'THAM_SO_MOI'!$C$22)^2-'THAM_SO_MOI'!$C$25*(E583/'THAM_SO_MOI'!$C$22)^3)</f>
        <v>79.86268812076773</v>
      </c>
      <c r="K583" s="75">
        <f>'THAM_SO_MOI'!$C$31*J583/E583</f>
        <v>423.62845635734465</v>
      </c>
      <c r="L583" s="75">
        <f>K583*'THAM_SO_MOI'!$C$53*'THAM_SO_MOI'!$C$17/'THAM_SO_MOI'!$C$26</f>
        <v>3715.2232198987426</v>
      </c>
      <c r="M583" s="75">
        <f>'THAM_SO_MOI'!$C$15*'THAM_SO_MOI'!$C$16*F583^2</f>
        <v>976.8898965945643</v>
      </c>
      <c r="N583" s="75">
        <f>'THAM_SO_MOI'!$C$12*I583</f>
        <v>1130.112</v>
      </c>
      <c r="O583" s="75">
        <f>M583+N583</f>
        <v>2107.0018965945646</v>
      </c>
      <c r="P583" s="75">
        <f>(MIN(L583,'THAM_SO_MOI'!$C$41)-O583)/('THAM_SO_MOI'!$C$11*H583)</f>
        <v>0.19036710739869536</v>
      </c>
      <c r="Q583" s="75">
        <f>IF(P583&gt;0,1/P583,NA())</f>
        <v>5.253008325149628</v>
      </c>
      <c r="R583" s="75">
        <f>F583-F582</f>
        <v>0.01760042735042333</v>
      </c>
      <c r="S583" s="75">
        <f>0.5*(Q582+Q583)*R583</f>
        <v>0.09241672488243285</v>
      </c>
      <c r="T583" s="75">
        <f>0.5*(F582*Q582+F583*Q583)*R583</f>
        <v>1.6881123749239715</v>
      </c>
      <c r="U583" s="76">
        <f>U582+S583</f>
        <v>48.99944601241827</v>
      </c>
      <c r="V583" s="76">
        <f>V582+T583</f>
        <v>647.8293907989944</v>
      </c>
    </row>
    <row r="584" spans="1:22" ht="19" customHeight="1">
      <c r="A584" s="68" t="s">
        <v>362</v>
      </c>
      <c r="B584" s="74">
        <v>5</v>
      </c>
      <c r="C584" s="68" t="s">
        <v>363</v>
      </c>
      <c r="D584" s="68" t="s">
        <v>364</v>
      </c>
      <c r="E584" s="75">
        <f>60*F584*'THAM_SO_MOI'!$C$53/(2*PI()*'THAM_SO_MOI'!$C$26)</f>
        <v>1802.312842105263</v>
      </c>
      <c r="F584" s="75">
        <f>'THAM_SO_MOI'!$E$53+('THAM_SO_MOI'!$C$14-'THAM_SO_MOI'!$E$53)*578/'THAM_SO_MOI'!$C$42</f>
        <v>18.292705128205128</v>
      </c>
      <c r="G584" s="75">
        <f>3.6*F584</f>
        <v>65.85373846153847</v>
      </c>
      <c r="H584" s="75">
        <f>'THAM_SO_MOI'!$D$53</f>
        <v>1.1</v>
      </c>
      <c r="I584" s="75">
        <f>IF(F584&gt;'THAM_SO_MOI'!$C$14,'THAM_SO_MOI'!$C$13*(1+F584^2/1500),'THAM_SO_MOI'!$C$13)</f>
        <v>0.015</v>
      </c>
      <c r="J584" s="75">
        <f>'THAM_SO_MOI'!$C$40*('THAM_SO_MOI'!$C$23*(E584/'THAM_SO_MOI'!$C$22)+'THAM_SO_MOI'!$C$24*(E584/'THAM_SO_MOI'!$C$22)^2-'THAM_SO_MOI'!$C$25*(E584/'THAM_SO_MOI'!$C$22)^3)</f>
        <v>79.95119680265438</v>
      </c>
      <c r="K584" s="75">
        <f>'THAM_SO_MOI'!$C$31*J584/E584</f>
        <v>423.68989896013665</v>
      </c>
      <c r="L584" s="75">
        <f>K584*'THAM_SO_MOI'!$C$53*'THAM_SO_MOI'!$C$17/'THAM_SO_MOI'!$C$26</f>
        <v>3715.7620717656514</v>
      </c>
      <c r="M584" s="75">
        <f>'THAM_SO_MOI'!$C$15*'THAM_SO_MOI'!$C$16*F584^2</f>
        <v>978.772453154327</v>
      </c>
      <c r="N584" s="75">
        <f>'THAM_SO_MOI'!$C$12*I584</f>
        <v>1130.112</v>
      </c>
      <c r="O584" s="75">
        <f>M584+N584</f>
        <v>2108.8844531543273</v>
      </c>
      <c r="P584" s="75">
        <f>(MIN(L584,'THAM_SO_MOI'!$C$41)-O584)/('THAM_SO_MOI'!$C$11*H584)</f>
        <v>0.1902080514454693</v>
      </c>
      <c r="Q584" s="75">
        <f>IF(P584&gt;0,1/P584,NA())</f>
        <v>5.257401000644233</v>
      </c>
      <c r="R584" s="75">
        <f>F584-F583</f>
        <v>0.017600427350430436</v>
      </c>
      <c r="S584" s="75">
        <f>0.5*(Q583+Q584)*R584</f>
        <v>0.0924938478809607</v>
      </c>
      <c r="T584" s="75">
        <f>0.5*(F583*Q583+F584*Q584)*R584</f>
        <v>1.6911490600197894</v>
      </c>
      <c r="U584" s="76">
        <f>U583+S584</f>
        <v>49.09193986029923</v>
      </c>
      <c r="V584" s="76">
        <f>V583+T584</f>
        <v>649.5205398590142</v>
      </c>
    </row>
    <row r="585" spans="1:22" ht="19" customHeight="1">
      <c r="A585" s="68" t="s">
        <v>362</v>
      </c>
      <c r="B585" s="74">
        <v>5</v>
      </c>
      <c r="C585" s="68" t="s">
        <v>363</v>
      </c>
      <c r="D585" s="68" t="s">
        <v>364</v>
      </c>
      <c r="E585" s="75">
        <f>60*F585*'THAM_SO_MOI'!$C$53/(2*PI()*'THAM_SO_MOI'!$C$26)</f>
        <v>1804.0469473684207</v>
      </c>
      <c r="F585" s="75">
        <f>'THAM_SO_MOI'!$E$53+('THAM_SO_MOI'!$C$14-'THAM_SO_MOI'!$E$53)*579/'THAM_SO_MOI'!$C$42</f>
        <v>18.310305555555555</v>
      </c>
      <c r="G585" s="75">
        <f>3.6*F585</f>
        <v>65.9171</v>
      </c>
      <c r="H585" s="75">
        <f>'THAM_SO_MOI'!$D$53</f>
        <v>1.1</v>
      </c>
      <c r="I585" s="75">
        <f>IF(F585&gt;'THAM_SO_MOI'!$C$14,'THAM_SO_MOI'!$C$13*(1+F585^2/1500),'THAM_SO_MOI'!$C$13)</f>
        <v>0.015</v>
      </c>
      <c r="J585" s="75">
        <f>'THAM_SO_MOI'!$C$40*('THAM_SO_MOI'!$C$23*(E585/'THAM_SO_MOI'!$C$22)+'THAM_SO_MOI'!$C$24*(E585/'THAM_SO_MOI'!$C$22)^2-'THAM_SO_MOI'!$C$25*(E585/'THAM_SO_MOI'!$C$22)^3)</f>
        <v>80.03967269157108</v>
      </c>
      <c r="K585" s="75">
        <f>'THAM_SO_MOI'!$C$31*J585/E585</f>
        <v>423.7510498273037</v>
      </c>
      <c r="L585" s="75">
        <f>K585*'THAM_SO_MOI'!$C$53*'THAM_SO_MOI'!$C$17/'THAM_SO_MOI'!$C$26</f>
        <v>3716.2983651099876</v>
      </c>
      <c r="M585" s="75">
        <f>'THAM_SO_MOI'!$C$15*'THAM_SO_MOI'!$C$16*F585^2</f>
        <v>980.6568218980904</v>
      </c>
      <c r="N585" s="75">
        <f>'THAM_SO_MOI'!$C$12*I585</f>
        <v>1130.112</v>
      </c>
      <c r="O585" s="75">
        <f>M585+N585</f>
        <v>2110.76882189809</v>
      </c>
      <c r="P585" s="75">
        <f>(MIN(L585,'THAM_SO_MOI'!$C$41)-O585)/('THAM_SO_MOI'!$C$11*H585)</f>
        <v>0.1900484781264083</v>
      </c>
      <c r="Q585" s="75">
        <f>IF(P585&gt;0,1/P585,NA())</f>
        <v>5.261815352895712</v>
      </c>
      <c r="R585" s="75">
        <f>F585-F584</f>
        <v>0.017600427350426884</v>
      </c>
      <c r="S585" s="75">
        <f>0.5*(Q584+Q585)*R585</f>
        <v>0.09257135160695111</v>
      </c>
      <c r="T585" s="75">
        <f>0.5*(F584*Q584+F585*Q585)*R585</f>
        <v>1.6941954278037383</v>
      </c>
      <c r="U585" s="76">
        <f>U584+S585</f>
        <v>49.18451121190618</v>
      </c>
      <c r="V585" s="76">
        <f>V584+T585</f>
        <v>651.2147352868179</v>
      </c>
    </row>
    <row r="586" spans="1:22" ht="19" customHeight="1">
      <c r="A586" s="68" t="s">
        <v>362</v>
      </c>
      <c r="B586" s="74">
        <v>5</v>
      </c>
      <c r="C586" s="68" t="s">
        <v>363</v>
      </c>
      <c r="D586" s="68" t="s">
        <v>364</v>
      </c>
      <c r="E586" s="75">
        <f>60*F586*'THAM_SO_MOI'!$C$53/(2*PI()*'THAM_SO_MOI'!$C$26)</f>
        <v>1805.7810526315786</v>
      </c>
      <c r="F586" s="75">
        <f>'THAM_SO_MOI'!$E$53+('THAM_SO_MOI'!$C$14-'THAM_SO_MOI'!$E$53)*580/'THAM_SO_MOI'!$C$42</f>
        <v>18.327905982905982</v>
      </c>
      <c r="G586" s="75">
        <f>3.6*F586</f>
        <v>65.98046153846154</v>
      </c>
      <c r="H586" s="75">
        <f>'THAM_SO_MOI'!$D$53</f>
        <v>1.1</v>
      </c>
      <c r="I586" s="75">
        <f>IF(F586&gt;'THAM_SO_MOI'!$C$14,'THAM_SO_MOI'!$C$13*(1+F586^2/1500),'THAM_SO_MOI'!$C$13)</f>
        <v>0.015</v>
      </c>
      <c r="J586" s="75">
        <f>'THAM_SO_MOI'!$C$40*('THAM_SO_MOI'!$C$23*(E586/'THAM_SO_MOI'!$C$22)+'THAM_SO_MOI'!$C$24*(E586/'THAM_SO_MOI'!$C$22)^2-'THAM_SO_MOI'!$C$25*(E586/'THAM_SO_MOI'!$C$22)^3)</f>
        <v>80.12811562861458</v>
      </c>
      <c r="K586" s="75">
        <f>'THAM_SO_MOI'!$C$31*J586/E586</f>
        <v>423.8119089588458</v>
      </c>
      <c r="L586" s="75">
        <f>K586*'THAM_SO_MOI'!$C$53*'THAM_SO_MOI'!$C$17/'THAM_SO_MOI'!$C$26</f>
        <v>3716.8320999317516</v>
      </c>
      <c r="M586" s="75">
        <f>'THAM_SO_MOI'!$C$15*'THAM_SO_MOI'!$C$16*F586^2</f>
        <v>982.5430028258546</v>
      </c>
      <c r="N586" s="75">
        <f>'THAM_SO_MOI'!$C$12*I586</f>
        <v>1130.112</v>
      </c>
      <c r="O586" s="75">
        <f>M586+N586</f>
        <v>2112.655002825855</v>
      </c>
      <c r="P586" s="75">
        <f>(MIN(L586,'THAM_SO_MOI'!$C$41)-O586)/('THAM_SO_MOI'!$C$11*H586)</f>
        <v>0.1898883874415124</v>
      </c>
      <c r="Q586" s="75">
        <f>IF(P586&gt;0,1/P586,NA())</f>
        <v>5.26625147263421</v>
      </c>
      <c r="R586" s="75">
        <f>F586-F585</f>
        <v>0.017600427350426884</v>
      </c>
      <c r="S586" s="75">
        <f>0.5*(Q585+Q586)*R586</f>
        <v>0.09264923765158939</v>
      </c>
      <c r="T586" s="75">
        <f>0.5*(F585*Q585+F586*Q586)*R586</f>
        <v>1.6972515275278595</v>
      </c>
      <c r="U586" s="76">
        <f>U585+S586</f>
        <v>49.27716044955777</v>
      </c>
      <c r="V586" s="76">
        <f>V585+T586</f>
        <v>652.9119868143458</v>
      </c>
    </row>
    <row r="587" spans="1:22" ht="19" customHeight="1">
      <c r="A587" s="68" t="s">
        <v>362</v>
      </c>
      <c r="B587" s="74">
        <v>5</v>
      </c>
      <c r="C587" s="68" t="s">
        <v>363</v>
      </c>
      <c r="D587" s="68" t="s">
        <v>364</v>
      </c>
      <c r="E587" s="75">
        <f>60*F587*'THAM_SO_MOI'!$C$53/(2*PI()*'THAM_SO_MOI'!$C$26)</f>
        <v>1807.5151578947366</v>
      </c>
      <c r="F587" s="75">
        <f>'THAM_SO_MOI'!$E$53+('THAM_SO_MOI'!$C$14-'THAM_SO_MOI'!$E$53)*581/'THAM_SO_MOI'!$C$42</f>
        <v>18.345506410256412</v>
      </c>
      <c r="G587" s="75">
        <f>3.6*F587</f>
        <v>66.04382307692309</v>
      </c>
      <c r="H587" s="75">
        <f>'THAM_SO_MOI'!$D$53</f>
        <v>1.1</v>
      </c>
      <c r="I587" s="75">
        <f>IF(F587&gt;'THAM_SO_MOI'!$C$14,'THAM_SO_MOI'!$C$13*(1+F587^2/1500),'THAM_SO_MOI'!$C$13)</f>
        <v>0.015</v>
      </c>
      <c r="J587" s="75">
        <f>'THAM_SO_MOI'!$C$40*('THAM_SO_MOI'!$C$23*(E587/'THAM_SO_MOI'!$C$22)+'THAM_SO_MOI'!$C$24*(E587/'THAM_SO_MOI'!$C$22)^2-'THAM_SO_MOI'!$C$25*(E587/'THAM_SO_MOI'!$C$22)^3)</f>
        <v>80.21652545488155</v>
      </c>
      <c r="K587" s="75">
        <f>'THAM_SO_MOI'!$C$31*J587/E587</f>
        <v>423.8724763547626</v>
      </c>
      <c r="L587" s="75">
        <f>K587*'THAM_SO_MOI'!$C$53*'THAM_SO_MOI'!$C$17/'THAM_SO_MOI'!$C$26</f>
        <v>3717.3632762309403</v>
      </c>
      <c r="M587" s="75">
        <f>'THAM_SO_MOI'!$C$15*'THAM_SO_MOI'!$C$16*F587^2</f>
        <v>984.4309959376204</v>
      </c>
      <c r="N587" s="75">
        <f>'THAM_SO_MOI'!$C$12*I587</f>
        <v>1130.112</v>
      </c>
      <c r="O587" s="75">
        <f>M587+N587</f>
        <v>2114.5429959376206</v>
      </c>
      <c r="P587" s="75">
        <f>(MIN(L587,'THAM_SO_MOI'!$C$41)-O587)/('THAM_SO_MOI'!$C$11*H587)</f>
        <v>0.18972777939078123</v>
      </c>
      <c r="Q587" s="75">
        <f>IF(P587&gt;0,1/P587,NA())</f>
        <v>5.270709451251762</v>
      </c>
      <c r="R587" s="75">
        <f>F587-F586</f>
        <v>0.017600427350430436</v>
      </c>
      <c r="S587" s="75">
        <f>0.5*(Q586+Q587)*R587</f>
        <v>0.0927275076175897</v>
      </c>
      <c r="T587" s="75">
        <f>0.5*(F586*Q586+F587*Q587)*R587</f>
        <v>1.7003174087676167</v>
      </c>
      <c r="U587" s="76">
        <f>U586+S587</f>
        <v>49.36988795717536</v>
      </c>
      <c r="V587" s="76">
        <f>V586+T587</f>
        <v>654.6123042231135</v>
      </c>
    </row>
    <row r="588" spans="1:22" ht="19" customHeight="1">
      <c r="A588" s="68" t="s">
        <v>362</v>
      </c>
      <c r="B588" s="74">
        <v>5</v>
      </c>
      <c r="C588" s="68" t="s">
        <v>363</v>
      </c>
      <c r="D588" s="68" t="s">
        <v>364</v>
      </c>
      <c r="E588" s="75">
        <f>60*F588*'THAM_SO_MOI'!$C$53/(2*PI()*'THAM_SO_MOI'!$C$26)</f>
        <v>1809.2492631578941</v>
      </c>
      <c r="F588" s="75">
        <f>'THAM_SO_MOI'!$E$53+('THAM_SO_MOI'!$C$14-'THAM_SO_MOI'!$E$53)*582/'THAM_SO_MOI'!$C$42</f>
        <v>18.363106837606836</v>
      </c>
      <c r="G588" s="75">
        <f>3.6*F588</f>
        <v>66.10718461538461</v>
      </c>
      <c r="H588" s="75">
        <f>'THAM_SO_MOI'!$D$53</f>
        <v>1.1</v>
      </c>
      <c r="I588" s="75">
        <f>IF(F588&gt;'THAM_SO_MOI'!$C$14,'THAM_SO_MOI'!$C$13*(1+F588^2/1500),'THAM_SO_MOI'!$C$13)</f>
        <v>0.015</v>
      </c>
      <c r="J588" s="75">
        <f>'THAM_SO_MOI'!$C$40*('THAM_SO_MOI'!$C$23*(E588/'THAM_SO_MOI'!$C$22)+'THAM_SO_MOI'!$C$24*(E588/'THAM_SO_MOI'!$C$22)^2-'THAM_SO_MOI'!$C$25*(E588/'THAM_SO_MOI'!$C$22)^3)</f>
        <v>80.30490201146873</v>
      </c>
      <c r="K588" s="75">
        <f>'THAM_SO_MOI'!$C$31*J588/E588</f>
        <v>423.93275201505463</v>
      </c>
      <c r="L588" s="75">
        <f>K588*'THAM_SO_MOI'!$C$53*'THAM_SO_MOI'!$C$17/'THAM_SO_MOI'!$C$26</f>
        <v>3717.891894007558</v>
      </c>
      <c r="M588" s="75">
        <f>'THAM_SO_MOI'!$C$15*'THAM_SO_MOI'!$C$16*F588^2</f>
        <v>986.3208012333865</v>
      </c>
      <c r="N588" s="75">
        <f>'THAM_SO_MOI'!$C$12*I588</f>
        <v>1130.112</v>
      </c>
      <c r="O588" s="75">
        <f>M588+N588</f>
        <v>2116.4328012333867</v>
      </c>
      <c r="P588" s="75">
        <f>(MIN(L588,'THAM_SO_MOI'!$C$41)-O588)/('THAM_SO_MOI'!$C$11*H588)</f>
        <v>0.18956665397421538</v>
      </c>
      <c r="Q588" s="75">
        <f>IF(P588&gt;0,1/P588,NA())</f>
        <v>5.275189380807548</v>
      </c>
      <c r="R588" s="75">
        <f>F588-F587</f>
        <v>0.01760042735042333</v>
      </c>
      <c r="S588" s="75">
        <f>0.5*(Q587+Q588)*R588</f>
        <v>0.09280616311928709</v>
      </c>
      <c r="T588" s="75">
        <f>0.5*(F587*Q587+F588*Q588)*R588</f>
        <v>1.7033931214246023</v>
      </c>
      <c r="U588" s="76">
        <f>U587+S588</f>
        <v>49.46269412029464</v>
      </c>
      <c r="V588" s="76">
        <f>V587+T588</f>
        <v>656.3156973445381</v>
      </c>
    </row>
    <row r="589" spans="1:22" ht="19" customHeight="1">
      <c r="A589" s="68" t="s">
        <v>362</v>
      </c>
      <c r="B589" s="74">
        <v>5</v>
      </c>
      <c r="C589" s="68" t="s">
        <v>363</v>
      </c>
      <c r="D589" s="68" t="s">
        <v>364</v>
      </c>
      <c r="E589" s="75">
        <f>60*F589*'THAM_SO_MOI'!$C$53/(2*PI()*'THAM_SO_MOI'!$C$26)</f>
        <v>1810.9833684210525</v>
      </c>
      <c r="F589" s="75">
        <f>'THAM_SO_MOI'!$E$53+('THAM_SO_MOI'!$C$14-'THAM_SO_MOI'!$E$53)*583/'THAM_SO_MOI'!$C$42</f>
        <v>18.380707264957266</v>
      </c>
      <c r="G589" s="75">
        <f>3.6*F589</f>
        <v>66.17054615384616</v>
      </c>
      <c r="H589" s="75">
        <f>'THAM_SO_MOI'!$D$53</f>
        <v>1.1</v>
      </c>
      <c r="I589" s="75">
        <f>IF(F589&gt;'THAM_SO_MOI'!$C$14,'THAM_SO_MOI'!$C$13*(1+F589^2/1500),'THAM_SO_MOI'!$C$13)</f>
        <v>0.015</v>
      </c>
      <c r="J589" s="75">
        <f>'THAM_SO_MOI'!$C$40*('THAM_SO_MOI'!$C$23*(E589/'THAM_SO_MOI'!$C$22)+'THAM_SO_MOI'!$C$24*(E589/'THAM_SO_MOI'!$C$22)^2-'THAM_SO_MOI'!$C$25*(E589/'THAM_SO_MOI'!$C$22)^3)</f>
        <v>80.39324513947285</v>
      </c>
      <c r="K589" s="75">
        <f>'THAM_SO_MOI'!$C$31*J589/E589</f>
        <v>423.99273593972134</v>
      </c>
      <c r="L589" s="75">
        <f>K589*'THAM_SO_MOI'!$C$53*'THAM_SO_MOI'!$C$17/'THAM_SO_MOI'!$C$26</f>
        <v>3718.4179532616</v>
      </c>
      <c r="M589" s="75">
        <f>'THAM_SO_MOI'!$C$15*'THAM_SO_MOI'!$C$16*F589^2</f>
        <v>988.2124187131545</v>
      </c>
      <c r="N589" s="75">
        <f>'THAM_SO_MOI'!$C$12*I589</f>
        <v>1130.112</v>
      </c>
      <c r="O589" s="75">
        <f>M589+N589</f>
        <v>2118.3244187131545</v>
      </c>
      <c r="P589" s="75">
        <f>(MIN(L589,'THAM_SO_MOI'!$C$41)-O589)/('THAM_SO_MOI'!$C$11*H589)</f>
        <v>0.18940501119181408</v>
      </c>
      <c r="Q589" s="75">
        <f>IF(P589&gt;0,1/P589,NA())</f>
        <v>5.279691354033294</v>
      </c>
      <c r="R589" s="75">
        <f>F589-F588</f>
        <v>0.017600427350430436</v>
      </c>
      <c r="S589" s="75">
        <f>0.5*(Q588+Q589)*R589</f>
        <v>0.09288520578301204</v>
      </c>
      <c r="T589" s="75">
        <f>0.5*(F588*Q588+F589*Q589)*R589</f>
        <v>1.7064787157344405</v>
      </c>
      <c r="U589" s="76">
        <f>U588+S589</f>
        <v>49.555579326077655</v>
      </c>
      <c r="V589" s="76">
        <f>V588+T589</f>
        <v>658.0221760602725</v>
      </c>
    </row>
    <row r="590" spans="1:22" ht="19" customHeight="1">
      <c r="A590" s="68" t="s">
        <v>362</v>
      </c>
      <c r="B590" s="74">
        <v>5</v>
      </c>
      <c r="C590" s="68" t="s">
        <v>363</v>
      </c>
      <c r="D590" s="68" t="s">
        <v>364</v>
      </c>
      <c r="E590" s="75">
        <f>60*F590*'THAM_SO_MOI'!$C$53/(2*PI()*'THAM_SO_MOI'!$C$26)</f>
        <v>1812.71747368421</v>
      </c>
      <c r="F590" s="75">
        <f>'THAM_SO_MOI'!$E$53+('THAM_SO_MOI'!$C$14-'THAM_SO_MOI'!$E$53)*584/'THAM_SO_MOI'!$C$42</f>
        <v>18.398307692307693</v>
      </c>
      <c r="G590" s="75">
        <f>3.6*F590</f>
        <v>66.2339076923077</v>
      </c>
      <c r="H590" s="75">
        <f>'THAM_SO_MOI'!$D$53</f>
        <v>1.1</v>
      </c>
      <c r="I590" s="75">
        <f>IF(F590&gt;'THAM_SO_MOI'!$C$14,'THAM_SO_MOI'!$C$13*(1+F590^2/1500),'THAM_SO_MOI'!$C$13)</f>
        <v>0.015</v>
      </c>
      <c r="J590" s="75">
        <f>'THAM_SO_MOI'!$C$40*('THAM_SO_MOI'!$C$23*(E590/'THAM_SO_MOI'!$C$22)+'THAM_SO_MOI'!$C$24*(E590/'THAM_SO_MOI'!$C$22)^2-'THAM_SO_MOI'!$C$25*(E590/'THAM_SO_MOI'!$C$22)^3)</f>
        <v>80.48155467999064</v>
      </c>
      <c r="K590" s="75">
        <f>'THAM_SO_MOI'!$C$31*J590/E590</f>
        <v>424.05242812876327</v>
      </c>
      <c r="L590" s="75">
        <f>K590*'THAM_SO_MOI'!$C$53*'THAM_SO_MOI'!$C$17/'THAM_SO_MOI'!$C$26</f>
        <v>3718.941453993072</v>
      </c>
      <c r="M590" s="75">
        <f>'THAM_SO_MOI'!$C$15*'THAM_SO_MOI'!$C$16*F590^2</f>
        <v>990.1058483769232</v>
      </c>
      <c r="N590" s="75">
        <f>'THAM_SO_MOI'!$C$12*I590</f>
        <v>1130.112</v>
      </c>
      <c r="O590" s="75">
        <f>M590+N590</f>
        <v>2120.217848376923</v>
      </c>
      <c r="P590" s="75">
        <f>(MIN(L590,'THAM_SO_MOI'!$C$41)-O590)/('THAM_SO_MOI'!$C$11*H590)</f>
        <v>0.18924285104357827</v>
      </c>
      <c r="Q590" s="75">
        <f>IF(P590&gt;0,1/P590,NA())</f>
        <v>5.284215464338587</v>
      </c>
      <c r="R590" s="75">
        <f>F590-F589</f>
        <v>0.017600427350426884</v>
      </c>
      <c r="S590" s="75">
        <f>0.5*(Q589+Q590)*R590</f>
        <v>0.09296463724671673</v>
      </c>
      <c r="T590" s="75">
        <f>0.5*(F589*Q589+F590*Q590)*R590</f>
        <v>1.709574242260969</v>
      </c>
      <c r="U590" s="76">
        <f>U589+S590</f>
        <v>49.64854396332437</v>
      </c>
      <c r="V590" s="76">
        <f>V589+T590</f>
        <v>659.7317503025334</v>
      </c>
    </row>
    <row r="591" spans="1:22" ht="19" customHeight="1">
      <c r="A591" s="68" t="s">
        <v>362</v>
      </c>
      <c r="B591" s="74">
        <v>5</v>
      </c>
      <c r="C591" s="68" t="s">
        <v>363</v>
      </c>
      <c r="D591" s="68" t="s">
        <v>364</v>
      </c>
      <c r="E591" s="75">
        <f>60*F591*'THAM_SO_MOI'!$C$53/(2*PI()*'THAM_SO_MOI'!$C$26)</f>
        <v>1814.451578947368</v>
      </c>
      <c r="F591" s="75">
        <f>'THAM_SO_MOI'!$E$53+('THAM_SO_MOI'!$C$14-'THAM_SO_MOI'!$E$53)*585/'THAM_SO_MOI'!$C$42</f>
        <v>18.41590811965812</v>
      </c>
      <c r="G591" s="75">
        <f>3.6*F591</f>
        <v>66.29726923076923</v>
      </c>
      <c r="H591" s="75">
        <f>'THAM_SO_MOI'!$D$53</f>
        <v>1.1</v>
      </c>
      <c r="I591" s="75">
        <f>IF(F591&gt;'THAM_SO_MOI'!$C$14,'THAM_SO_MOI'!$C$13*(1+F591^2/1500),'THAM_SO_MOI'!$C$13)</f>
        <v>0.015</v>
      </c>
      <c r="J591" s="75">
        <f>'THAM_SO_MOI'!$C$40*('THAM_SO_MOI'!$C$23*(E591/'THAM_SO_MOI'!$C$22)+'THAM_SO_MOI'!$C$24*(E591/'THAM_SO_MOI'!$C$22)^2-'THAM_SO_MOI'!$C$25*(E591/'THAM_SO_MOI'!$C$22)^3)</f>
        <v>80.56983047411882</v>
      </c>
      <c r="K591" s="75">
        <f>'THAM_SO_MOI'!$C$31*J591/E591</f>
        <v>424.1118285821801</v>
      </c>
      <c r="L591" s="75">
        <f>K591*'THAM_SO_MOI'!$C$53*'THAM_SO_MOI'!$C$17/'THAM_SO_MOI'!$C$26</f>
        <v>3719.4623962019696</v>
      </c>
      <c r="M591" s="75">
        <f>'THAM_SO_MOI'!$C$15*'THAM_SO_MOI'!$C$16*F591^2</f>
        <v>992.001090224693</v>
      </c>
      <c r="N591" s="75">
        <f>'THAM_SO_MOI'!$C$12*I591</f>
        <v>1130.112</v>
      </c>
      <c r="O591" s="75">
        <f>M591+N591</f>
        <v>2122.113090224693</v>
      </c>
      <c r="P591" s="75">
        <f>(MIN(L591,'THAM_SO_MOI'!$C$41)-O591)/('THAM_SO_MOI'!$C$11*H591)</f>
        <v>0.18908017352950715</v>
      </c>
      <c r="Q591" s="75">
        <f>IF(P591&gt;0,1/P591,NA())</f>
        <v>5.288761805816429</v>
      </c>
      <c r="R591" s="75">
        <f>F591-F590</f>
        <v>0.017600427350426884</v>
      </c>
      <c r="S591" s="75">
        <f>0.5*(Q590+Q591)*R591</f>
        <v>0.09304445916053905</v>
      </c>
      <c r="T591" s="75">
        <f>0.5*(F590*Q590+F591*Q591)*R591</f>
        <v>1.7126797519076435</v>
      </c>
      <c r="U591" s="76">
        <f>U590+S591</f>
        <v>49.74158842248491</v>
      </c>
      <c r="V591" s="76">
        <f>V590+T591</f>
        <v>661.4444300544411</v>
      </c>
    </row>
    <row r="592" spans="1:22" ht="19" customHeight="1">
      <c r="A592" s="68" t="s">
        <v>362</v>
      </c>
      <c r="B592" s="74">
        <v>5</v>
      </c>
      <c r="C592" s="68" t="s">
        <v>363</v>
      </c>
      <c r="D592" s="68" t="s">
        <v>364</v>
      </c>
      <c r="E592" s="75">
        <f>60*F592*'THAM_SO_MOI'!$C$53/(2*PI()*'THAM_SO_MOI'!$C$26)</f>
        <v>1816.1856842105258</v>
      </c>
      <c r="F592" s="75">
        <f>'THAM_SO_MOI'!$E$53+('THAM_SO_MOI'!$C$14-'THAM_SO_MOI'!$E$53)*586/'THAM_SO_MOI'!$C$42</f>
        <v>18.433508547008547</v>
      </c>
      <c r="G592" s="75">
        <f>3.6*F592</f>
        <v>66.36063076923077</v>
      </c>
      <c r="H592" s="75">
        <f>'THAM_SO_MOI'!$D$53</f>
        <v>1.1</v>
      </c>
      <c r="I592" s="75">
        <f>IF(F592&gt;'THAM_SO_MOI'!$C$14,'THAM_SO_MOI'!$C$13*(1+F592^2/1500),'THAM_SO_MOI'!$C$13)</f>
        <v>0.015</v>
      </c>
      <c r="J592" s="75">
        <f>'THAM_SO_MOI'!$C$40*('THAM_SO_MOI'!$C$23*(E592/'THAM_SO_MOI'!$C$22)+'THAM_SO_MOI'!$C$24*(E592/'THAM_SO_MOI'!$C$22)^2-'THAM_SO_MOI'!$C$25*(E592/'THAM_SO_MOI'!$C$22)^3)</f>
        <v>80.65807236295407</v>
      </c>
      <c r="K592" s="75">
        <f>'THAM_SO_MOI'!$C$31*J592/E592</f>
        <v>424.1709372999719</v>
      </c>
      <c r="L592" s="75">
        <f>K592*'THAM_SO_MOI'!$C$53*'THAM_SO_MOI'!$C$17/'THAM_SO_MOI'!$C$26</f>
        <v>3719.9807798882944</v>
      </c>
      <c r="M592" s="75">
        <f>'THAM_SO_MOI'!$C$15*'THAM_SO_MOI'!$C$16*F592^2</f>
        <v>993.8981442564638</v>
      </c>
      <c r="N592" s="75">
        <f>'THAM_SO_MOI'!$C$12*I592</f>
        <v>1130.112</v>
      </c>
      <c r="O592" s="75">
        <f>M592+N592</f>
        <v>2124.0101442564637</v>
      </c>
      <c r="P592" s="75">
        <f>(MIN(L592,'THAM_SO_MOI'!$C$41)-O592)/('THAM_SO_MOI'!$C$11*H592)</f>
        <v>0.18891697864960116</v>
      </c>
      <c r="Q592" s="75">
        <f>IF(P592&gt;0,1/P592,NA())</f>
        <v>5.293330473248658</v>
      </c>
      <c r="R592" s="75">
        <f>F592-F591</f>
        <v>0.017600427350426884</v>
      </c>
      <c r="S592" s="75">
        <f>0.5*(Q591+Q592)*R592</f>
        <v>0.09312467318659916</v>
      </c>
      <c r="T592" s="75">
        <f>0.5*(F591*Q591+F592*Q592)*R592</f>
        <v>1.7157952959148641</v>
      </c>
      <c r="U592" s="76">
        <f>U591+S592</f>
        <v>49.83471309567151</v>
      </c>
      <c r="V592" s="76">
        <f>V591+T592</f>
        <v>663.160225350356</v>
      </c>
    </row>
    <row r="593" spans="1:22" ht="19" customHeight="1">
      <c r="A593" s="68" t="s">
        <v>362</v>
      </c>
      <c r="B593" s="74">
        <v>5</v>
      </c>
      <c r="C593" s="68" t="s">
        <v>363</v>
      </c>
      <c r="D593" s="68" t="s">
        <v>364</v>
      </c>
      <c r="E593" s="75">
        <f>60*F593*'THAM_SO_MOI'!$C$53/(2*PI()*'THAM_SO_MOI'!$C$26)</f>
        <v>1817.9197894736837</v>
      </c>
      <c r="F593" s="75">
        <f>'THAM_SO_MOI'!$E$53+('THAM_SO_MOI'!$C$14-'THAM_SO_MOI'!$E$53)*587/'THAM_SO_MOI'!$C$42</f>
        <v>18.451108974358974</v>
      </c>
      <c r="G593" s="75">
        <f>3.6*F593</f>
        <v>66.4239923076923</v>
      </c>
      <c r="H593" s="75">
        <f>'THAM_SO_MOI'!$D$53</f>
        <v>1.1</v>
      </c>
      <c r="I593" s="75">
        <f>IF(F593&gt;'THAM_SO_MOI'!$C$14,'THAM_SO_MOI'!$C$13*(1+F593^2/1500),'THAM_SO_MOI'!$C$13)</f>
        <v>0.015</v>
      </c>
      <c r="J593" s="75">
        <f>'THAM_SO_MOI'!$C$40*('THAM_SO_MOI'!$C$23*(E593/'THAM_SO_MOI'!$C$22)+'THAM_SO_MOI'!$C$24*(E593/'THAM_SO_MOI'!$C$22)^2-'THAM_SO_MOI'!$C$25*(E593/'THAM_SO_MOI'!$C$22)^3)</f>
        <v>80.74628018759316</v>
      </c>
      <c r="K593" s="75">
        <f>'THAM_SO_MOI'!$C$31*J593/E593</f>
        <v>424.2297542821386</v>
      </c>
      <c r="L593" s="75">
        <f>K593*'THAM_SO_MOI'!$C$53*'THAM_SO_MOI'!$C$17/'THAM_SO_MOI'!$C$26</f>
        <v>3720.4966050520447</v>
      </c>
      <c r="M593" s="75">
        <f>'THAM_SO_MOI'!$C$15*'THAM_SO_MOI'!$C$16*F593^2</f>
        <v>995.7970104722357</v>
      </c>
      <c r="N593" s="75">
        <f>'THAM_SO_MOI'!$C$12*I593</f>
        <v>1130.112</v>
      </c>
      <c r="O593" s="75">
        <f>M593+N593</f>
        <v>2125.909010472236</v>
      </c>
      <c r="P593" s="75">
        <f>(MIN(L593,'THAM_SO_MOI'!$C$41)-O593)/('THAM_SO_MOI'!$C$11*H593)</f>
        <v>0.18875326640385995</v>
      </c>
      <c r="Q593" s="75">
        <f>IF(P593&gt;0,1/P593,NA())</f>
        <v>5.297921562111576</v>
      </c>
      <c r="R593" s="75">
        <f>F593-F592</f>
        <v>0.017600427350426884</v>
      </c>
      <c r="S593" s="75">
        <f>0.5*(Q592+Q593)*R593</f>
        <v>0.09320528099920934</v>
      </c>
      <c r="T593" s="75">
        <f>0.5*(F592*Q592+F593*Q593)*R593</f>
        <v>1.718920925864897</v>
      </c>
      <c r="U593" s="76">
        <f>U592+S593</f>
        <v>49.92791837667072</v>
      </c>
      <c r="V593" s="76">
        <f>V592+T593</f>
        <v>664.8791462762209</v>
      </c>
    </row>
    <row r="594" spans="1:22" ht="19" customHeight="1">
      <c r="A594" s="68" t="s">
        <v>362</v>
      </c>
      <c r="B594" s="74">
        <v>5</v>
      </c>
      <c r="C594" s="68" t="s">
        <v>363</v>
      </c>
      <c r="D594" s="68" t="s">
        <v>364</v>
      </c>
      <c r="E594" s="75">
        <f>60*F594*'THAM_SO_MOI'!$C$53/(2*PI()*'THAM_SO_MOI'!$C$26)</f>
        <v>1819.6538947368417</v>
      </c>
      <c r="F594" s="75">
        <f>'THAM_SO_MOI'!$E$53+('THAM_SO_MOI'!$C$14-'THAM_SO_MOI'!$E$53)*588/'THAM_SO_MOI'!$C$42</f>
        <v>18.4687094017094</v>
      </c>
      <c r="G594" s="75">
        <f>3.6*F594</f>
        <v>66.48735384615384</v>
      </c>
      <c r="H594" s="75">
        <f>'THAM_SO_MOI'!$D$53</f>
        <v>1.1</v>
      </c>
      <c r="I594" s="75">
        <f>IF(F594&gt;'THAM_SO_MOI'!$C$14,'THAM_SO_MOI'!$C$13*(1+F594^2/1500),'THAM_SO_MOI'!$C$13)</f>
        <v>0.015</v>
      </c>
      <c r="J594" s="75">
        <f>'THAM_SO_MOI'!$C$40*('THAM_SO_MOI'!$C$23*(E594/'THAM_SO_MOI'!$C$22)+'THAM_SO_MOI'!$C$24*(E594/'THAM_SO_MOI'!$C$22)^2-'THAM_SO_MOI'!$C$25*(E594/'THAM_SO_MOI'!$C$22)^3)</f>
        <v>80.83445378913281</v>
      </c>
      <c r="K594" s="75">
        <f>'THAM_SO_MOI'!$C$31*J594/E594</f>
        <v>424.28827952868033</v>
      </c>
      <c r="L594" s="75">
        <f>K594*'THAM_SO_MOI'!$C$53*'THAM_SO_MOI'!$C$17/'THAM_SO_MOI'!$C$26</f>
        <v>3721.0098716932234</v>
      </c>
      <c r="M594" s="75">
        <f>'THAM_SO_MOI'!$C$15*'THAM_SO_MOI'!$C$16*F594^2</f>
        <v>997.6976888720085</v>
      </c>
      <c r="N594" s="75">
        <f>'THAM_SO_MOI'!$C$12*I594</f>
        <v>1130.112</v>
      </c>
      <c r="O594" s="75">
        <f>M594+N594</f>
        <v>2127.8096888720083</v>
      </c>
      <c r="P594" s="75">
        <f>(MIN(L594,'THAM_SO_MOI'!$C$41)-O594)/('THAM_SO_MOI'!$C$11*H594)</f>
        <v>0.18858903679228398</v>
      </c>
      <c r="Q594" s="75">
        <f>IF(P594&gt;0,1/P594,NA())</f>
        <v>5.30253516858152</v>
      </c>
      <c r="R594" s="75">
        <f>F594-F593</f>
        <v>0.017600427350426884</v>
      </c>
      <c r="S594" s="75">
        <f>0.5*(Q593+Q594)*R594</f>
        <v>0.09328628428495377</v>
      </c>
      <c r="T594" s="75">
        <f>0.5*(F593*Q593+F594*Q594)*R594</f>
        <v>1.7220566936844226</v>
      </c>
      <c r="U594" s="76">
        <f>U593+S594</f>
        <v>50.02120466095567</v>
      </c>
      <c r="V594" s="76">
        <f>V593+T594</f>
        <v>666.6012029699053</v>
      </c>
    </row>
    <row r="595" spans="1:22" ht="19" customHeight="1">
      <c r="A595" s="68" t="s">
        <v>362</v>
      </c>
      <c r="B595" s="74">
        <v>5</v>
      </c>
      <c r="C595" s="68" t="s">
        <v>363</v>
      </c>
      <c r="D595" s="68" t="s">
        <v>364</v>
      </c>
      <c r="E595" s="75">
        <f>60*F595*'THAM_SO_MOI'!$C$53/(2*PI()*'THAM_SO_MOI'!$C$26)</f>
        <v>1821.3879999999992</v>
      </c>
      <c r="F595" s="75">
        <f>'THAM_SO_MOI'!$E$53+('THAM_SO_MOI'!$C$14-'THAM_SO_MOI'!$E$53)*589/'THAM_SO_MOI'!$C$42</f>
        <v>18.486309829059827</v>
      </c>
      <c r="G595" s="75">
        <f>3.6*F595</f>
        <v>66.55071538461539</v>
      </c>
      <c r="H595" s="75">
        <f>'THAM_SO_MOI'!$D$53</f>
        <v>1.1</v>
      </c>
      <c r="I595" s="75">
        <f>IF(F595&gt;'THAM_SO_MOI'!$C$14,'THAM_SO_MOI'!$C$13*(1+F595^2/1500),'THAM_SO_MOI'!$C$13)</f>
        <v>0.015</v>
      </c>
      <c r="J595" s="75">
        <f>'THAM_SO_MOI'!$C$40*('THAM_SO_MOI'!$C$23*(E595/'THAM_SO_MOI'!$C$22)+'THAM_SO_MOI'!$C$24*(E595/'THAM_SO_MOI'!$C$22)^2-'THAM_SO_MOI'!$C$25*(E595/'THAM_SO_MOI'!$C$22)^3)</f>
        <v>80.92259300866966</v>
      </c>
      <c r="K595" s="75">
        <f>'THAM_SO_MOI'!$C$31*J595/E595</f>
        <v>424.34651303959686</v>
      </c>
      <c r="L595" s="75">
        <f>K595*'THAM_SO_MOI'!$C$53*'THAM_SO_MOI'!$C$17/'THAM_SO_MOI'!$C$26</f>
        <v>3721.5205798118272</v>
      </c>
      <c r="M595" s="75">
        <f>'THAM_SO_MOI'!$C$15*'THAM_SO_MOI'!$C$16*F595^2</f>
        <v>999.6001794557825</v>
      </c>
      <c r="N595" s="75">
        <f>'THAM_SO_MOI'!$C$12*I595</f>
        <v>1130.112</v>
      </c>
      <c r="O595" s="75">
        <f>M595+N595</f>
        <v>2129.7121794557825</v>
      </c>
      <c r="P595" s="75">
        <f>(MIN(L595,'THAM_SO_MOI'!$C$41)-O595)/('THAM_SO_MOI'!$C$11*H595)</f>
        <v>0.18842428981487272</v>
      </c>
      <c r="Q595" s="75">
        <f>IF(P595&gt;0,1/P595,NA())</f>
        <v>5.307171389540606</v>
      </c>
      <c r="R595" s="75">
        <f>F595-F594</f>
        <v>0.017600427350426884</v>
      </c>
      <c r="S595" s="75">
        <f>0.5*(Q594+Q595)*R595</f>
        <v>0.09336768474278809</v>
      </c>
      <c r="T595" s="75">
        <f>0.5*(F594*Q594+F595*Q595)*R595</f>
        <v>1.7252026516474528</v>
      </c>
      <c r="U595" s="76">
        <f>U594+S595</f>
        <v>50.114572345698456</v>
      </c>
      <c r="V595" s="76">
        <f>V594+T595</f>
        <v>668.3264056215528</v>
      </c>
    </row>
    <row r="596" spans="1:22" ht="19" customHeight="1">
      <c r="A596" s="68" t="s">
        <v>362</v>
      </c>
      <c r="B596" s="74">
        <v>5</v>
      </c>
      <c r="C596" s="68" t="s">
        <v>363</v>
      </c>
      <c r="D596" s="68" t="s">
        <v>364</v>
      </c>
      <c r="E596" s="75">
        <f>60*F596*'THAM_SO_MOI'!$C$53/(2*PI()*'THAM_SO_MOI'!$C$26)</f>
        <v>1823.1221052631577</v>
      </c>
      <c r="F596" s="75">
        <f>'THAM_SO_MOI'!$E$53+('THAM_SO_MOI'!$C$14-'THAM_SO_MOI'!$E$53)*590/'THAM_SO_MOI'!$C$42</f>
        <v>18.503910256410258</v>
      </c>
      <c r="G596" s="75">
        <f>3.6*F596</f>
        <v>66.61407692307694</v>
      </c>
      <c r="H596" s="75">
        <f>'THAM_SO_MOI'!$D$53</f>
        <v>1.1</v>
      </c>
      <c r="I596" s="75">
        <f>IF(F596&gt;'THAM_SO_MOI'!$C$14,'THAM_SO_MOI'!$C$13*(1+F596^2/1500),'THAM_SO_MOI'!$C$13)</f>
        <v>0.015</v>
      </c>
      <c r="J596" s="75">
        <f>'THAM_SO_MOI'!$C$40*('THAM_SO_MOI'!$C$23*(E596/'THAM_SO_MOI'!$C$22)+'THAM_SO_MOI'!$C$24*(E596/'THAM_SO_MOI'!$C$22)^2-'THAM_SO_MOI'!$C$25*(E596/'THAM_SO_MOI'!$C$22)^3)</f>
        <v>81.01069768730059</v>
      </c>
      <c r="K596" s="75">
        <f>'THAM_SO_MOI'!$C$31*J596/E596</f>
        <v>424.4044548148886</v>
      </c>
      <c r="L596" s="75">
        <f>K596*'THAM_SO_MOI'!$C$53*'THAM_SO_MOI'!$C$17/'THAM_SO_MOI'!$C$26</f>
        <v>3722.02872940786</v>
      </c>
      <c r="M596" s="75">
        <f>'THAM_SO_MOI'!$C$15*'THAM_SO_MOI'!$C$16*F596^2</f>
        <v>1001.5044822235579</v>
      </c>
      <c r="N596" s="75">
        <f>'THAM_SO_MOI'!$C$12*I596</f>
        <v>1130.112</v>
      </c>
      <c r="O596" s="75">
        <f>M596+N596</f>
        <v>2131.616482223558</v>
      </c>
      <c r="P596" s="75">
        <f>(MIN(L596,'THAM_SO_MOI'!$C$41)-O596)/('THAM_SO_MOI'!$C$11*H596)</f>
        <v>0.18825902547162665</v>
      </c>
      <c r="Q596" s="75">
        <f>IF(P596&gt;0,1/P596,NA())</f>
        <v>5.311830322582406</v>
      </c>
      <c r="R596" s="75">
        <f>F596-F595</f>
        <v>0.017600427350430436</v>
      </c>
      <c r="S596" s="75">
        <f>0.5*(Q595+Q596)*R596</f>
        <v>0.09344948408415875</v>
      </c>
      <c r="T596" s="75">
        <f>0.5*(F595*Q595+F596*Q596)*R596</f>
        <v>1.7283588523786289</v>
      </c>
      <c r="U596" s="76">
        <f>U595+S596</f>
        <v>50.208021829782616</v>
      </c>
      <c r="V596" s="76">
        <f>V595+T596</f>
        <v>670.0547644739314</v>
      </c>
    </row>
    <row r="597" spans="1:22" ht="19" customHeight="1">
      <c r="A597" s="68" t="s">
        <v>362</v>
      </c>
      <c r="B597" s="74">
        <v>5</v>
      </c>
      <c r="C597" s="68" t="s">
        <v>363</v>
      </c>
      <c r="D597" s="68" t="s">
        <v>364</v>
      </c>
      <c r="E597" s="75">
        <f>60*F597*'THAM_SO_MOI'!$C$53/(2*PI()*'THAM_SO_MOI'!$C$26)</f>
        <v>1824.8562105263152</v>
      </c>
      <c r="F597" s="75">
        <f>'THAM_SO_MOI'!$E$53+('THAM_SO_MOI'!$C$14-'THAM_SO_MOI'!$E$53)*591/'THAM_SO_MOI'!$C$42</f>
        <v>18.52151068376068</v>
      </c>
      <c r="G597" s="75">
        <f>3.6*F597</f>
        <v>66.67743846153846</v>
      </c>
      <c r="H597" s="75">
        <f>'THAM_SO_MOI'!$D$53</f>
        <v>1.1</v>
      </c>
      <c r="I597" s="75">
        <f>IF(F597&gt;'THAM_SO_MOI'!$C$14,'THAM_SO_MOI'!$C$13*(1+F597^2/1500),'THAM_SO_MOI'!$C$13)</f>
        <v>0.015</v>
      </c>
      <c r="J597" s="75">
        <f>'THAM_SO_MOI'!$C$40*('THAM_SO_MOI'!$C$23*(E597/'THAM_SO_MOI'!$C$22)+'THAM_SO_MOI'!$C$24*(E597/'THAM_SO_MOI'!$C$22)^2-'THAM_SO_MOI'!$C$25*(E597/'THAM_SO_MOI'!$C$22)^3)</f>
        <v>81.09876766612216</v>
      </c>
      <c r="K597" s="75">
        <f>'THAM_SO_MOI'!$C$31*J597/E597</f>
        <v>424.46210485455515</v>
      </c>
      <c r="L597" s="75">
        <f>K597*'THAM_SO_MOI'!$C$53*'THAM_SO_MOI'!$C$17/'THAM_SO_MOI'!$C$26</f>
        <v>3722.534320481319</v>
      </c>
      <c r="M597" s="75">
        <f>'THAM_SO_MOI'!$C$15*'THAM_SO_MOI'!$C$16*F597^2</f>
        <v>1003.4105971753337</v>
      </c>
      <c r="N597" s="75">
        <f>'THAM_SO_MOI'!$C$12*I597</f>
        <v>1130.112</v>
      </c>
      <c r="O597" s="75">
        <f>M597+N597</f>
        <v>2133.522597175334</v>
      </c>
      <c r="P597" s="75">
        <f>(MIN(L597,'THAM_SO_MOI'!$C$41)-O597)/('THAM_SO_MOI'!$C$11*H597)</f>
        <v>0.18809324376254558</v>
      </c>
      <c r="Q597" s="75">
        <f>IF(P597&gt;0,1/P597,NA())</f>
        <v>5.316512066017795</v>
      </c>
      <c r="R597" s="75">
        <f>F597-F596</f>
        <v>0.01760042735042333</v>
      </c>
      <c r="S597" s="75">
        <f>0.5*(Q596+Q597)*R597</f>
        <v>0.09353168403299131</v>
      </c>
      <c r="T597" s="75">
        <f>0.5*(F596*Q596+F597*Q597)*R597</f>
        <v>1.7315253488541025</v>
      </c>
      <c r="U597" s="76">
        <f>U596+S597</f>
        <v>50.301553513815605</v>
      </c>
      <c r="V597" s="76">
        <f>V596+T597</f>
        <v>671.7862898227855</v>
      </c>
    </row>
    <row r="598" spans="1:22" ht="19" customHeight="1">
      <c r="A598" s="68" t="s">
        <v>362</v>
      </c>
      <c r="B598" s="74">
        <v>5</v>
      </c>
      <c r="C598" s="68" t="s">
        <v>363</v>
      </c>
      <c r="D598" s="68" t="s">
        <v>364</v>
      </c>
      <c r="E598" s="75">
        <f>60*F598*'THAM_SO_MOI'!$C$53/(2*PI()*'THAM_SO_MOI'!$C$26)</f>
        <v>1826.5903157894736</v>
      </c>
      <c r="F598" s="75">
        <f>'THAM_SO_MOI'!$E$53+('THAM_SO_MOI'!$C$14-'THAM_SO_MOI'!$E$53)*592/'THAM_SO_MOI'!$C$42</f>
        <v>18.53911111111111</v>
      </c>
      <c r="G598" s="75">
        <f>3.6*F598</f>
        <v>66.74080000000001</v>
      </c>
      <c r="H598" s="75">
        <f>'THAM_SO_MOI'!$D$53</f>
        <v>1.1</v>
      </c>
      <c r="I598" s="75">
        <f>IF(F598&gt;'THAM_SO_MOI'!$C$14,'THAM_SO_MOI'!$C$13*(1+F598^2/1500),'THAM_SO_MOI'!$C$13)</f>
        <v>0.015</v>
      </c>
      <c r="J598" s="75">
        <f>'THAM_SO_MOI'!$C$40*('THAM_SO_MOI'!$C$23*(E598/'THAM_SO_MOI'!$C$22)+'THAM_SO_MOI'!$C$24*(E598/'THAM_SO_MOI'!$C$22)^2-'THAM_SO_MOI'!$C$25*(E598/'THAM_SO_MOI'!$C$22)^3)</f>
        <v>81.18680278623121</v>
      </c>
      <c r="K598" s="75">
        <f>'THAM_SO_MOI'!$C$31*J598/E598</f>
        <v>424.51946315859686</v>
      </c>
      <c r="L598" s="75">
        <f>K598*'THAM_SO_MOI'!$C$53*'THAM_SO_MOI'!$C$17/'THAM_SO_MOI'!$C$26</f>
        <v>3723.0373530322063</v>
      </c>
      <c r="M598" s="75">
        <f>'THAM_SO_MOI'!$C$15*'THAM_SO_MOI'!$C$16*F598^2</f>
        <v>1005.3185243111113</v>
      </c>
      <c r="N598" s="75">
        <f>'THAM_SO_MOI'!$C$12*I598</f>
        <v>1130.112</v>
      </c>
      <c r="O598" s="75">
        <f>M598+N598</f>
        <v>2135.430524311111</v>
      </c>
      <c r="P598" s="75">
        <f>(MIN(L598,'THAM_SO_MOI'!$C$41)-O598)/('THAM_SO_MOI'!$C$11*H598)</f>
        <v>0.18792694468762958</v>
      </c>
      <c r="Q598" s="75">
        <f>IF(P598&gt;0,1/P598,NA())</f>
        <v>5.32121671888079</v>
      </c>
      <c r="R598" s="75">
        <f>F598-F597</f>
        <v>0.017600427350430436</v>
      </c>
      <c r="S598" s="75">
        <f>0.5*(Q597+Q598)*R598</f>
        <v>0.09361428632609509</v>
      </c>
      <c r="T598" s="75">
        <f>0.5*(F597*Q597+F598*Q598)*R598</f>
        <v>1.7347021944101348</v>
      </c>
      <c r="U598" s="76">
        <f>U597+S598</f>
        <v>50.3951678001417</v>
      </c>
      <c r="V598" s="76">
        <f>V597+T598</f>
        <v>673.5209920171957</v>
      </c>
    </row>
    <row r="599" spans="1:22" ht="19" customHeight="1">
      <c r="A599" s="68" t="s">
        <v>362</v>
      </c>
      <c r="B599" s="74">
        <v>5</v>
      </c>
      <c r="C599" s="68" t="s">
        <v>363</v>
      </c>
      <c r="D599" s="68" t="s">
        <v>364</v>
      </c>
      <c r="E599" s="75">
        <f>60*F599*'THAM_SO_MOI'!$C$53/(2*PI()*'THAM_SO_MOI'!$C$26)</f>
        <v>1828.324421052631</v>
      </c>
      <c r="F599" s="75">
        <f>'THAM_SO_MOI'!$E$53+('THAM_SO_MOI'!$C$14-'THAM_SO_MOI'!$E$53)*593/'THAM_SO_MOI'!$C$42</f>
        <v>18.556711538461535</v>
      </c>
      <c r="G599" s="75">
        <f>3.6*F599</f>
        <v>66.80416153846153</v>
      </c>
      <c r="H599" s="75">
        <f>'THAM_SO_MOI'!$D$53</f>
        <v>1.1</v>
      </c>
      <c r="I599" s="75">
        <f>IF(F599&gt;'THAM_SO_MOI'!$C$14,'THAM_SO_MOI'!$C$13*(1+F599^2/1500),'THAM_SO_MOI'!$C$13)</f>
        <v>0.015</v>
      </c>
      <c r="J599" s="75">
        <f>'THAM_SO_MOI'!$C$40*('THAM_SO_MOI'!$C$23*(E599/'THAM_SO_MOI'!$C$22)+'THAM_SO_MOI'!$C$24*(E599/'THAM_SO_MOI'!$C$22)^2-'THAM_SO_MOI'!$C$25*(E599/'THAM_SO_MOI'!$C$22)^3)</f>
        <v>81.27480288872434</v>
      </c>
      <c r="K599" s="75">
        <f>'THAM_SO_MOI'!$C$31*J599/E599</f>
        <v>424.5765297270132</v>
      </c>
      <c r="L599" s="75">
        <f>K599*'THAM_SO_MOI'!$C$53*'THAM_SO_MOI'!$C$17/'THAM_SO_MOI'!$C$26</f>
        <v>3723.537827060517</v>
      </c>
      <c r="M599" s="75">
        <f>'THAM_SO_MOI'!$C$15*'THAM_SO_MOI'!$C$16*F599^2</f>
        <v>1007.2282636308892</v>
      </c>
      <c r="N599" s="75">
        <f>'THAM_SO_MOI'!$C$12*I599</f>
        <v>1130.112</v>
      </c>
      <c r="O599" s="75">
        <f>M599+N599</f>
        <v>2137.3402636308892</v>
      </c>
      <c r="P599" s="75">
        <f>(MIN(L599,'THAM_SO_MOI'!$C$41)-O599)/('THAM_SO_MOI'!$C$11*H599)</f>
        <v>0.1877601282468783</v>
      </c>
      <c r="Q599" s="75">
        <f>IF(P599&gt;0,1/P599,NA())</f>
        <v>5.325944380934486</v>
      </c>
      <c r="R599" s="75">
        <f>F599-F598</f>
        <v>0.01760042735042333</v>
      </c>
      <c r="S599" s="75">
        <f>0.5*(Q598+Q599)*R599</f>
        <v>0.09369729271277608</v>
      </c>
      <c r="T599" s="75">
        <f>0.5*(F598*Q598+F599*Q599)*R599</f>
        <v>1.7378894427370473</v>
      </c>
      <c r="U599" s="76">
        <f>U598+S599</f>
        <v>50.488865092854475</v>
      </c>
      <c r="V599" s="76">
        <f>V598+T599</f>
        <v>675.2588814599327</v>
      </c>
    </row>
    <row r="600" spans="1:22" ht="19" customHeight="1">
      <c r="A600" s="68" t="s">
        <v>362</v>
      </c>
      <c r="B600" s="74">
        <v>5</v>
      </c>
      <c r="C600" s="68" t="s">
        <v>363</v>
      </c>
      <c r="D600" s="68" t="s">
        <v>364</v>
      </c>
      <c r="E600" s="75">
        <f>60*F600*'THAM_SO_MOI'!$C$53/(2*PI()*'THAM_SO_MOI'!$C$26)</f>
        <v>1830.058526315789</v>
      </c>
      <c r="F600" s="75">
        <f>'THAM_SO_MOI'!$E$53+('THAM_SO_MOI'!$C$14-'THAM_SO_MOI'!$E$53)*594/'THAM_SO_MOI'!$C$42</f>
        <v>18.574311965811965</v>
      </c>
      <c r="G600" s="75">
        <f>3.6*F600</f>
        <v>66.86752307692308</v>
      </c>
      <c r="H600" s="75">
        <f>'THAM_SO_MOI'!$D$53</f>
        <v>1.1</v>
      </c>
      <c r="I600" s="75">
        <f>IF(F600&gt;'THAM_SO_MOI'!$C$14,'THAM_SO_MOI'!$C$13*(1+F600^2/1500),'THAM_SO_MOI'!$C$13)</f>
        <v>0.015</v>
      </c>
      <c r="J600" s="75">
        <f>'THAM_SO_MOI'!$C$40*('THAM_SO_MOI'!$C$23*(E600/'THAM_SO_MOI'!$C$22)+'THAM_SO_MOI'!$C$24*(E600/'THAM_SO_MOI'!$C$22)^2-'THAM_SO_MOI'!$C$25*(E600/'THAM_SO_MOI'!$C$22)^3)</f>
        <v>81.36276781469842</v>
      </c>
      <c r="K600" s="75">
        <f>'THAM_SO_MOI'!$C$31*J600/E600</f>
        <v>424.63330455980486</v>
      </c>
      <c r="L600" s="75">
        <f>K600*'THAM_SO_MOI'!$C$53*'THAM_SO_MOI'!$C$17/'THAM_SO_MOI'!$C$26</f>
        <v>3724.0357425662583</v>
      </c>
      <c r="M600" s="75">
        <f>'THAM_SO_MOI'!$C$15*'THAM_SO_MOI'!$C$16*F600^2</f>
        <v>1009.1398151346689</v>
      </c>
      <c r="N600" s="75">
        <f>'THAM_SO_MOI'!$C$12*I600</f>
        <v>1130.112</v>
      </c>
      <c r="O600" s="75">
        <f>M600+N600</f>
        <v>2139.251815134669</v>
      </c>
      <c r="P600" s="75">
        <f>(MIN(L600,'THAM_SO_MOI'!$C$41)-O600)/('THAM_SO_MOI'!$C$11*H600)</f>
        <v>0.18759279444029228</v>
      </c>
      <c r="Q600" s="75">
        <f>IF(P600&gt;0,1/P600,NA())</f>
        <v>5.330695152677006</v>
      </c>
      <c r="R600" s="75">
        <f>F600-F599</f>
        <v>0.017600427350430436</v>
      </c>
      <c r="S600" s="75">
        <f>0.5*(Q599+Q600)*R600</f>
        <v>0.09378070495552698</v>
      </c>
      <c r="T600" s="75">
        <f>0.5*(F599*Q599+F600*Q600)*R600</f>
        <v>1.7410871478931353</v>
      </c>
      <c r="U600" s="76">
        <f>U599+S600</f>
        <v>50.58264579781</v>
      </c>
      <c r="V600" s="76">
        <f>V599+T600</f>
        <v>676.9999686078258</v>
      </c>
    </row>
    <row r="601" spans="1:22" ht="19" customHeight="1">
      <c r="A601" s="68" t="s">
        <v>362</v>
      </c>
      <c r="B601" s="74">
        <v>5</v>
      </c>
      <c r="C601" s="68" t="s">
        <v>363</v>
      </c>
      <c r="D601" s="68" t="s">
        <v>364</v>
      </c>
      <c r="E601" s="75">
        <f>60*F601*'THAM_SO_MOI'!$C$53/(2*PI()*'THAM_SO_MOI'!$C$26)</f>
        <v>1831.7926315789475</v>
      </c>
      <c r="F601" s="75">
        <f>'THAM_SO_MOI'!$E$53+('THAM_SO_MOI'!$C$14-'THAM_SO_MOI'!$E$53)*595/'THAM_SO_MOI'!$C$42</f>
        <v>18.591912393162396</v>
      </c>
      <c r="G601" s="75">
        <f>3.6*F601</f>
        <v>66.93088461538463</v>
      </c>
      <c r="H601" s="75">
        <f>'THAM_SO_MOI'!$D$53</f>
        <v>1.1</v>
      </c>
      <c r="I601" s="75">
        <f>IF(F601&gt;'THAM_SO_MOI'!$C$14,'THAM_SO_MOI'!$C$13*(1+F601^2/1500),'THAM_SO_MOI'!$C$13)</f>
        <v>0.015</v>
      </c>
      <c r="J601" s="75">
        <f>'THAM_SO_MOI'!$C$40*('THAM_SO_MOI'!$C$23*(E601/'THAM_SO_MOI'!$C$22)+'THAM_SO_MOI'!$C$24*(E601/'THAM_SO_MOI'!$C$22)^2-'THAM_SO_MOI'!$C$25*(E601/'THAM_SO_MOI'!$C$22)^3)</f>
        <v>81.45069740525005</v>
      </c>
      <c r="K601" s="75">
        <f>'THAM_SO_MOI'!$C$31*J601/E601</f>
        <v>424.68978765697125</v>
      </c>
      <c r="L601" s="75">
        <f>K601*'THAM_SO_MOI'!$C$53*'THAM_SO_MOI'!$C$17/'THAM_SO_MOI'!$C$26</f>
        <v>3724.5310995494233</v>
      </c>
      <c r="M601" s="75">
        <f>'THAM_SO_MOI'!$C$15*'THAM_SO_MOI'!$C$16*F601^2</f>
        <v>1011.0531788224497</v>
      </c>
      <c r="N601" s="75">
        <f>'THAM_SO_MOI'!$C$12*I601</f>
        <v>1130.112</v>
      </c>
      <c r="O601" s="75">
        <f>M601+N601</f>
        <v>2141.16517882245</v>
      </c>
      <c r="P601" s="75">
        <f>(MIN(L601,'THAM_SO_MOI'!$C$41)-O601)/('THAM_SO_MOI'!$C$11*H601)</f>
        <v>0.1874249432678709</v>
      </c>
      <c r="Q601" s="75">
        <f>IF(P601&gt;0,1/P601,NA())</f>
        <v>5.3354691353476</v>
      </c>
      <c r="R601" s="75">
        <f>F601-F600</f>
        <v>0.017600427350430436</v>
      </c>
      <c r="S601" s="75">
        <f>0.5*(Q600+Q601)*R601</f>
        <v>0.09386452482956632</v>
      </c>
      <c r="T601" s="75">
        <f>0.5*(F600*Q600+F601*Q601)*R601</f>
        <v>1.7442953642972623</v>
      </c>
      <c r="U601" s="76">
        <f>U600+S601</f>
        <v>50.676510322639565</v>
      </c>
      <c r="V601" s="76">
        <f>V600+T601</f>
        <v>678.7442639721231</v>
      </c>
    </row>
    <row r="602" spans="1:22" ht="19" customHeight="1">
      <c r="A602" s="68" t="s">
        <v>362</v>
      </c>
      <c r="B602" s="74">
        <v>5</v>
      </c>
      <c r="C602" s="68" t="s">
        <v>363</v>
      </c>
      <c r="D602" s="68" t="s">
        <v>364</v>
      </c>
      <c r="E602" s="75">
        <f>60*F602*'THAM_SO_MOI'!$C$53/(2*PI()*'THAM_SO_MOI'!$C$26)</f>
        <v>1833.5267368421048</v>
      </c>
      <c r="F602" s="75">
        <f>'THAM_SO_MOI'!$E$53+('THAM_SO_MOI'!$C$14-'THAM_SO_MOI'!$E$53)*596/'THAM_SO_MOI'!$C$42</f>
        <v>18.60951282051282</v>
      </c>
      <c r="G602" s="75">
        <f>3.6*F602</f>
        <v>66.99424615384615</v>
      </c>
      <c r="H602" s="75">
        <f>'THAM_SO_MOI'!$D$53</f>
        <v>1.1</v>
      </c>
      <c r="I602" s="75">
        <f>IF(F602&gt;'THAM_SO_MOI'!$C$14,'THAM_SO_MOI'!$C$13*(1+F602^2/1500),'THAM_SO_MOI'!$C$13)</f>
        <v>0.015</v>
      </c>
      <c r="J602" s="75">
        <f>'THAM_SO_MOI'!$C$40*('THAM_SO_MOI'!$C$23*(E602/'THAM_SO_MOI'!$C$22)+'THAM_SO_MOI'!$C$24*(E602/'THAM_SO_MOI'!$C$22)^2-'THAM_SO_MOI'!$C$25*(E602/'THAM_SO_MOI'!$C$22)^3)</f>
        <v>81.53859150147598</v>
      </c>
      <c r="K602" s="75">
        <f>'THAM_SO_MOI'!$C$31*J602/E602</f>
        <v>424.74597901851274</v>
      </c>
      <c r="L602" s="75">
        <f>K602*'THAM_SO_MOI'!$C$53*'THAM_SO_MOI'!$C$17/'THAM_SO_MOI'!$C$26</f>
        <v>3725.0238980100175</v>
      </c>
      <c r="M602" s="75">
        <f>'THAM_SO_MOI'!$C$15*'THAM_SO_MOI'!$C$16*F602^2</f>
        <v>1012.9683546942307</v>
      </c>
      <c r="N602" s="75">
        <f>'THAM_SO_MOI'!$C$12*I602</f>
        <v>1130.112</v>
      </c>
      <c r="O602" s="75">
        <f>M602+N602</f>
        <v>2143.0803546942307</v>
      </c>
      <c r="P602" s="75">
        <f>(MIN(L602,'THAM_SO_MOI'!$C$41)-O602)/('THAM_SO_MOI'!$C$11*H602)</f>
        <v>0.18725657472961493</v>
      </c>
      <c r="Q602" s="75">
        <f>IF(P602&gt;0,1/P602,NA())</f>
        <v>5.340266430932683</v>
      </c>
      <c r="R602" s="75">
        <f>F602-F601</f>
        <v>0.01760042735042333</v>
      </c>
      <c r="S602" s="75">
        <f>0.5*(Q601+Q602)*R602</f>
        <v>0.09394875412332329</v>
      </c>
      <c r="T602" s="75">
        <f>0.5*(F601*Q601+F602*Q602)*R602</f>
        <v>1.7475141467389979</v>
      </c>
      <c r="U602" s="76">
        <f>U601+S602</f>
        <v>50.77045907676289</v>
      </c>
      <c r="V602" s="76">
        <f>V601+T602</f>
        <v>680.4917781188622</v>
      </c>
    </row>
    <row r="603" spans="1:22" ht="19" customHeight="1">
      <c r="A603" s="68" t="s">
        <v>362</v>
      </c>
      <c r="B603" s="74">
        <v>5</v>
      </c>
      <c r="C603" s="68" t="s">
        <v>363</v>
      </c>
      <c r="D603" s="68" t="s">
        <v>364</v>
      </c>
      <c r="E603" s="75">
        <f>60*F603*'THAM_SO_MOI'!$C$53/(2*PI()*'THAM_SO_MOI'!$C$26)</f>
        <v>1835.260842105263</v>
      </c>
      <c r="F603" s="75">
        <f>'THAM_SO_MOI'!$E$53+('THAM_SO_MOI'!$C$14-'THAM_SO_MOI'!$E$53)*597/'THAM_SO_MOI'!$C$42</f>
        <v>18.62711324786325</v>
      </c>
      <c r="G603" s="75">
        <f>3.6*F603</f>
        <v>67.0576076923077</v>
      </c>
      <c r="H603" s="75">
        <f>'THAM_SO_MOI'!$D$53</f>
        <v>1.1</v>
      </c>
      <c r="I603" s="75">
        <f>IF(F603&gt;'THAM_SO_MOI'!$C$14,'THAM_SO_MOI'!$C$13*(1+F603^2/1500),'THAM_SO_MOI'!$C$13)</f>
        <v>0.015</v>
      </c>
      <c r="J603" s="75">
        <f>'THAM_SO_MOI'!$C$40*('THAM_SO_MOI'!$C$23*(E603/'THAM_SO_MOI'!$C$22)+'THAM_SO_MOI'!$C$24*(E603/'THAM_SO_MOI'!$C$22)^2-'THAM_SO_MOI'!$C$25*(E603/'THAM_SO_MOI'!$C$22)^3)</f>
        <v>81.62644994447295</v>
      </c>
      <c r="K603" s="75">
        <f>'THAM_SO_MOI'!$C$31*J603/E603</f>
        <v>424.80187864442905</v>
      </c>
      <c r="L603" s="75">
        <f>K603*'THAM_SO_MOI'!$C$53*'THAM_SO_MOI'!$C$17/'THAM_SO_MOI'!$C$26</f>
        <v>3725.514137948037</v>
      </c>
      <c r="M603" s="75">
        <f>'THAM_SO_MOI'!$C$15*'THAM_SO_MOI'!$C$16*F603^2</f>
        <v>1014.8853427500136</v>
      </c>
      <c r="N603" s="75">
        <f>'THAM_SO_MOI'!$C$12*I603</f>
        <v>1130.112</v>
      </c>
      <c r="O603" s="75">
        <f>M603+N603</f>
        <v>2144.9973427500136</v>
      </c>
      <c r="P603" s="75">
        <f>(MIN(L603,'THAM_SO_MOI'!$C$41)-O603)/('THAM_SO_MOI'!$C$11*H603)</f>
        <v>0.1870876888255236</v>
      </c>
      <c r="Q603" s="75">
        <f>IF(P603&gt;0,1/P603,NA())</f>
        <v>5.345087142172094</v>
      </c>
      <c r="R603" s="75">
        <f>F603-F602</f>
        <v>0.017600427350430436</v>
      </c>
      <c r="S603" s="75">
        <f>0.5*(Q602+Q603)*R603</f>
        <v>0.09403339463854646</v>
      </c>
      <c r="T603" s="75">
        <f>0.5*(F602*Q602+F603*Q603)*R603</f>
        <v>1.7507435503818045</v>
      </c>
      <c r="U603" s="76">
        <f>U602+S603</f>
        <v>50.864492471401434</v>
      </c>
      <c r="V603" s="76">
        <f>V602+T603</f>
        <v>682.242521669244</v>
      </c>
    </row>
    <row r="604" spans="1:22" ht="19" customHeight="1">
      <c r="A604" s="68" t="s">
        <v>362</v>
      </c>
      <c r="B604" s="74">
        <v>5</v>
      </c>
      <c r="C604" s="68" t="s">
        <v>363</v>
      </c>
      <c r="D604" s="68" t="s">
        <v>364</v>
      </c>
      <c r="E604" s="75">
        <f>60*F604*'THAM_SO_MOI'!$C$53/(2*PI()*'THAM_SO_MOI'!$C$26)</f>
        <v>1836.9949473684208</v>
      </c>
      <c r="F604" s="75">
        <f>'THAM_SO_MOI'!$E$53+('THAM_SO_MOI'!$C$14-'THAM_SO_MOI'!$E$53)*598/'THAM_SO_MOI'!$C$42</f>
        <v>18.644713675213676</v>
      </c>
      <c r="G604" s="75">
        <f>3.6*F604</f>
        <v>67.12096923076923</v>
      </c>
      <c r="H604" s="75">
        <f>'THAM_SO_MOI'!$D$53</f>
        <v>1.1</v>
      </c>
      <c r="I604" s="75">
        <f>IF(F604&gt;'THAM_SO_MOI'!$C$14,'THAM_SO_MOI'!$C$13*(1+F604^2/1500),'THAM_SO_MOI'!$C$13)</f>
        <v>0.015</v>
      </c>
      <c r="J604" s="75">
        <f>'THAM_SO_MOI'!$C$40*('THAM_SO_MOI'!$C$23*(E604/'THAM_SO_MOI'!$C$22)+'THAM_SO_MOI'!$C$24*(E604/'THAM_SO_MOI'!$C$22)^2-'THAM_SO_MOI'!$C$25*(E604/'THAM_SO_MOI'!$C$22)^3)</f>
        <v>81.71427257533769</v>
      </c>
      <c r="K604" s="75">
        <f>'THAM_SO_MOI'!$C$31*J604/E604</f>
        <v>424.85748653472046</v>
      </c>
      <c r="L604" s="75">
        <f>K604*'THAM_SO_MOI'!$C$53*'THAM_SO_MOI'!$C$17/'THAM_SO_MOI'!$C$26</f>
        <v>3726.0018193634846</v>
      </c>
      <c r="M604" s="75">
        <f>'THAM_SO_MOI'!$C$15*'THAM_SO_MOI'!$C$16*F604^2</f>
        <v>1016.8041429897971</v>
      </c>
      <c r="N604" s="75">
        <f>'THAM_SO_MOI'!$C$12*I604</f>
        <v>1130.112</v>
      </c>
      <c r="O604" s="75">
        <f>M604+N604</f>
        <v>2146.916142989797</v>
      </c>
      <c r="P604" s="75">
        <f>(MIN(L604,'THAM_SO_MOI'!$C$41)-O604)/('THAM_SO_MOI'!$C$11*H604)</f>
        <v>0.18691828555559747</v>
      </c>
      <c r="Q604" s="75">
        <f>IF(P604&gt;0,1/P604,NA())</f>
        <v>5.349931372565245</v>
      </c>
      <c r="R604" s="75">
        <f>F604-F603</f>
        <v>0.017600427350426884</v>
      </c>
      <c r="S604" s="75">
        <f>0.5*(Q603+Q604)*R604</f>
        <v>0.09411844819005248</v>
      </c>
      <c r="T604" s="75">
        <f>0.5*(F603*Q603+F604*Q604)*R604</f>
        <v>1.7539836307595291</v>
      </c>
      <c r="U604" s="76">
        <f>U603+S604</f>
        <v>50.958610919591486</v>
      </c>
      <c r="V604" s="76">
        <f>V603+T604</f>
        <v>683.9965053000035</v>
      </c>
    </row>
    <row r="605" spans="1:22" ht="19" customHeight="1">
      <c r="A605" s="68" t="s">
        <v>362</v>
      </c>
      <c r="B605" s="74">
        <v>5</v>
      </c>
      <c r="C605" s="68" t="s">
        <v>363</v>
      </c>
      <c r="D605" s="68" t="s">
        <v>364</v>
      </c>
      <c r="E605" s="75">
        <f>60*F605*'THAM_SO_MOI'!$C$53/(2*PI()*'THAM_SO_MOI'!$C$26)</f>
        <v>1838.7290526315787</v>
      </c>
      <c r="F605" s="75">
        <f>'THAM_SO_MOI'!$E$53+('THAM_SO_MOI'!$C$14-'THAM_SO_MOI'!$E$53)*599/'THAM_SO_MOI'!$C$42</f>
        <v>18.662314102564103</v>
      </c>
      <c r="G605" s="75">
        <f>3.6*F605</f>
        <v>67.18433076923077</v>
      </c>
      <c r="H605" s="75">
        <f>'THAM_SO_MOI'!$D$53</f>
        <v>1.1</v>
      </c>
      <c r="I605" s="75">
        <f>IF(F605&gt;'THAM_SO_MOI'!$C$14,'THAM_SO_MOI'!$C$13*(1+F605^2/1500),'THAM_SO_MOI'!$C$13)</f>
        <v>0.015</v>
      </c>
      <c r="J605" s="75">
        <f>'THAM_SO_MOI'!$C$40*('THAM_SO_MOI'!$C$23*(E605/'THAM_SO_MOI'!$C$22)+'THAM_SO_MOI'!$C$24*(E605/'THAM_SO_MOI'!$C$22)^2-'THAM_SO_MOI'!$C$25*(E605/'THAM_SO_MOI'!$C$22)^3)</f>
        <v>81.8020592351669</v>
      </c>
      <c r="K605" s="75">
        <f>'THAM_SO_MOI'!$C$31*J605/E605</f>
        <v>424.91280268938675</v>
      </c>
      <c r="L605" s="75">
        <f>K605*'THAM_SO_MOI'!$C$53*'THAM_SO_MOI'!$C$17/'THAM_SO_MOI'!$C$26</f>
        <v>3726.4869422563584</v>
      </c>
      <c r="M605" s="75">
        <f>'THAM_SO_MOI'!$C$15*'THAM_SO_MOI'!$C$16*F605^2</f>
        <v>1018.7247554135819</v>
      </c>
      <c r="N605" s="75">
        <f>'THAM_SO_MOI'!$C$12*I605</f>
        <v>1130.112</v>
      </c>
      <c r="O605" s="75">
        <f>M605+N605</f>
        <v>2148.836755413582</v>
      </c>
      <c r="P605" s="75">
        <f>(MIN(L605,'THAM_SO_MOI'!$C$41)-O605)/('THAM_SO_MOI'!$C$11*H605)</f>
        <v>0.1867483649198362</v>
      </c>
      <c r="Q605" s="75">
        <f>IF(P605&gt;0,1/P605,NA())</f>
        <v>5.354799226377489</v>
      </c>
      <c r="R605" s="75">
        <f>F605-F604</f>
        <v>0.017600427350426884</v>
      </c>
      <c r="S605" s="75">
        <f>0.5*(Q604+Q605)*R605</f>
        <v>0.09420391660629164</v>
      </c>
      <c r="T605" s="75">
        <f>0.5*(F604*Q604+F605*Q605)*R605</f>
        <v>1.7572344437880978</v>
      </c>
      <c r="U605" s="76">
        <f>U604+S605</f>
        <v>51.052814836197776</v>
      </c>
      <c r="V605" s="76">
        <f>V604+T605</f>
        <v>685.7537397437916</v>
      </c>
    </row>
    <row r="606" spans="1:22" ht="19" customHeight="1">
      <c r="A606" s="68" t="s">
        <v>362</v>
      </c>
      <c r="B606" s="74">
        <v>5</v>
      </c>
      <c r="C606" s="68" t="s">
        <v>363</v>
      </c>
      <c r="D606" s="68" t="s">
        <v>364</v>
      </c>
      <c r="E606" s="75">
        <f>60*F606*'THAM_SO_MOI'!$C$53/(2*PI()*'THAM_SO_MOI'!$C$26)</f>
        <v>1840.4631578947367</v>
      </c>
      <c r="F606" s="75">
        <f>'THAM_SO_MOI'!$E$53+('THAM_SO_MOI'!$C$14-'THAM_SO_MOI'!$E$53)*600/'THAM_SO_MOI'!$C$42</f>
        <v>18.67991452991453</v>
      </c>
      <c r="G606" s="75">
        <f>3.6*F606</f>
        <v>67.2476923076923</v>
      </c>
      <c r="H606" s="75">
        <f>'THAM_SO_MOI'!$D$53</f>
        <v>1.1</v>
      </c>
      <c r="I606" s="75">
        <f>IF(F606&gt;'THAM_SO_MOI'!$C$14,'THAM_SO_MOI'!$C$13*(1+F606^2/1500),'THAM_SO_MOI'!$C$13)</f>
        <v>0.015</v>
      </c>
      <c r="J606" s="75">
        <f>'THAM_SO_MOI'!$C$40*('THAM_SO_MOI'!$C$23*(E606/'THAM_SO_MOI'!$C$22)+'THAM_SO_MOI'!$C$24*(E606/'THAM_SO_MOI'!$C$22)^2-'THAM_SO_MOI'!$C$25*(E606/'THAM_SO_MOI'!$C$22)^3)</f>
        <v>81.88980976505732</v>
      </c>
      <c r="K606" s="75">
        <f>'THAM_SO_MOI'!$C$31*J606/E606</f>
        <v>424.96782710842814</v>
      </c>
      <c r="L606" s="75">
        <f>K606*'THAM_SO_MOI'!$C$53*'THAM_SO_MOI'!$C$17/'THAM_SO_MOI'!$C$26</f>
        <v>3726.96950662666</v>
      </c>
      <c r="M606" s="75">
        <f>'THAM_SO_MOI'!$C$15*'THAM_SO_MOI'!$C$16*F606^2</f>
        <v>1020.6471800213677</v>
      </c>
      <c r="N606" s="75">
        <f>'THAM_SO_MOI'!$C$12*I606</f>
        <v>1130.112</v>
      </c>
      <c r="O606" s="75">
        <f>M606+N606</f>
        <v>2150.7591800213677</v>
      </c>
      <c r="P606" s="75">
        <f>(MIN(L606,'THAM_SO_MOI'!$C$41)-O606)/('THAM_SO_MOI'!$C$11*H606)</f>
        <v>0.1865779269182401</v>
      </c>
      <c r="Q606" s="75">
        <f>IF(P606&gt;0,1/P606,NA())</f>
        <v>5.359690808646447</v>
      </c>
      <c r="R606" s="75">
        <f>F606-F605</f>
        <v>0.017600427350426884</v>
      </c>
      <c r="S606" s="75">
        <f>0.5*(Q605+Q606)*R606</f>
        <v>0.09428980172915578</v>
      </c>
      <c r="T606" s="75">
        <f>0.5*(F605*Q605+F606*Q606)*R606</f>
        <v>1.7604960457631342</v>
      </c>
      <c r="U606" s="76">
        <f>U605+S606</f>
        <v>51.14710463792693</v>
      </c>
      <c r="V606" s="76">
        <f>V605+T606</f>
        <v>687.5142357895547</v>
      </c>
    </row>
    <row r="607" spans="1:22" ht="19" customHeight="1">
      <c r="A607" s="68" t="s">
        <v>362</v>
      </c>
      <c r="B607" s="74">
        <v>5</v>
      </c>
      <c r="C607" s="68" t="s">
        <v>363</v>
      </c>
      <c r="D607" s="68" t="s">
        <v>364</v>
      </c>
      <c r="E607" s="75">
        <f>60*F607*'THAM_SO_MOI'!$C$53/(2*PI()*'THAM_SO_MOI'!$C$26)</f>
        <v>1842.1972631578942</v>
      </c>
      <c r="F607" s="75">
        <f>'THAM_SO_MOI'!$E$53+('THAM_SO_MOI'!$C$14-'THAM_SO_MOI'!$E$53)*601/'THAM_SO_MOI'!$C$42</f>
        <v>18.697514957264957</v>
      </c>
      <c r="G607" s="75">
        <f>3.6*F607</f>
        <v>67.31105384615385</v>
      </c>
      <c r="H607" s="75">
        <f>'THAM_SO_MOI'!$D$53</f>
        <v>1.1</v>
      </c>
      <c r="I607" s="75">
        <f>IF(F607&gt;'THAM_SO_MOI'!$C$14,'THAM_SO_MOI'!$C$13*(1+F607^2/1500),'THAM_SO_MOI'!$C$13)</f>
        <v>0.015</v>
      </c>
      <c r="J607" s="75">
        <f>'THAM_SO_MOI'!$C$40*('THAM_SO_MOI'!$C$23*(E607/'THAM_SO_MOI'!$C$22)+'THAM_SO_MOI'!$C$24*(E607/'THAM_SO_MOI'!$C$22)^2-'THAM_SO_MOI'!$C$25*(E607/'THAM_SO_MOI'!$C$22)^3)</f>
        <v>81.97752400610563</v>
      </c>
      <c r="K607" s="75">
        <f>'THAM_SO_MOI'!$C$31*J607/E607</f>
        <v>425.02255979184434</v>
      </c>
      <c r="L607" s="75">
        <f>K607*'THAM_SO_MOI'!$C$53*'THAM_SO_MOI'!$C$17/'THAM_SO_MOI'!$C$26</f>
        <v>3727.4495124743876</v>
      </c>
      <c r="M607" s="75">
        <f>'THAM_SO_MOI'!$C$15*'THAM_SO_MOI'!$C$16*F607^2</f>
        <v>1022.5714168131544</v>
      </c>
      <c r="N607" s="75">
        <f>'THAM_SO_MOI'!$C$12*I607</f>
        <v>1130.112</v>
      </c>
      <c r="O607" s="75">
        <f>M607+N607</f>
        <v>2152.6834168131545</v>
      </c>
      <c r="P607" s="75">
        <f>(MIN(L607,'THAM_SO_MOI'!$C$41)-O607)/('THAM_SO_MOI'!$C$11*H607)</f>
        <v>0.18640697155080885</v>
      </c>
      <c r="Q607" s="75">
        <f>IF(P607&gt;0,1/P607,NA())</f>
        <v>5.364606225188474</v>
      </c>
      <c r="R607" s="75">
        <f>F607-F606</f>
        <v>0.017600427350426884</v>
      </c>
      <c r="S607" s="75">
        <f>0.5*(Q606+Q607)*R607</f>
        <v>0.09437610541420503</v>
      </c>
      <c r="T607" s="75">
        <f>0.5*(F606*Q606+F607*Q607)*R607</f>
        <v>1.7637684933653757</v>
      </c>
      <c r="U607" s="76">
        <f>U606+S607</f>
        <v>51.241480743341135</v>
      </c>
      <c r="V607" s="76">
        <f>V606+T607</f>
        <v>689.27800428292</v>
      </c>
    </row>
    <row r="608" spans="1:22" ht="19" customHeight="1">
      <c r="A608" s="68" t="s">
        <v>362</v>
      </c>
      <c r="B608" s="74">
        <v>5</v>
      </c>
      <c r="C608" s="68" t="s">
        <v>363</v>
      </c>
      <c r="D608" s="68" t="s">
        <v>364</v>
      </c>
      <c r="E608" s="75">
        <f>60*F608*'THAM_SO_MOI'!$C$53/(2*PI()*'THAM_SO_MOI'!$C$26)</f>
        <v>1843.9313684210522</v>
      </c>
      <c r="F608" s="75">
        <f>'THAM_SO_MOI'!$E$53+('THAM_SO_MOI'!$C$14-'THAM_SO_MOI'!$E$53)*602/'THAM_SO_MOI'!$C$42</f>
        <v>18.715115384615384</v>
      </c>
      <c r="G608" s="75">
        <f>3.6*F608</f>
        <v>67.37441538461539</v>
      </c>
      <c r="H608" s="75">
        <f>'THAM_SO_MOI'!$D$53</f>
        <v>1.1</v>
      </c>
      <c r="I608" s="75">
        <f>IF(F608&gt;'THAM_SO_MOI'!$C$14,'THAM_SO_MOI'!$C$13*(1+F608^2/1500),'THAM_SO_MOI'!$C$13)</f>
        <v>0.015</v>
      </c>
      <c r="J608" s="75">
        <f>'THAM_SO_MOI'!$C$40*('THAM_SO_MOI'!$C$23*(E608/'THAM_SO_MOI'!$C$22)+'THAM_SO_MOI'!$C$24*(E608/'THAM_SO_MOI'!$C$22)^2-'THAM_SO_MOI'!$C$25*(E608/'THAM_SO_MOI'!$C$22)^3)</f>
        <v>82.06520179940857</v>
      </c>
      <c r="K608" s="75">
        <f>'THAM_SO_MOI'!$C$31*J608/E608</f>
        <v>425.0770007396354</v>
      </c>
      <c r="L608" s="75">
        <f>K608*'THAM_SO_MOI'!$C$53*'THAM_SO_MOI'!$C$17/'THAM_SO_MOI'!$C$26</f>
        <v>3727.926959799541</v>
      </c>
      <c r="M608" s="75">
        <f>'THAM_SO_MOI'!$C$15*'THAM_SO_MOI'!$C$16*F608^2</f>
        <v>1024.4974657889425</v>
      </c>
      <c r="N608" s="75">
        <f>'THAM_SO_MOI'!$C$12*I608</f>
        <v>1130.112</v>
      </c>
      <c r="O608" s="75">
        <f>M608+N608</f>
        <v>2154.6094657889425</v>
      </c>
      <c r="P608" s="75">
        <f>(MIN(L608,'THAM_SO_MOI'!$C$41)-O608)/('THAM_SO_MOI'!$C$11*H608)</f>
        <v>0.1862354988175424</v>
      </c>
      <c r="Q608" s="75">
        <f>IF(P608&gt;0,1/P608,NA())</f>
        <v>5.369545582605142</v>
      </c>
      <c r="R608" s="75">
        <f>F608-F607</f>
        <v>0.017600427350426884</v>
      </c>
      <c r="S608" s="75">
        <f>0.5*(Q607+Q608)*R608</f>
        <v>0.09446282953076246</v>
      </c>
      <c r="T608" s="75">
        <f>0.5*(F607*Q607+F608*Q608)*R608</f>
        <v>1.767051843663651</v>
      </c>
      <c r="U608" s="76">
        <f>U607+S608</f>
        <v>51.3359435728719</v>
      </c>
      <c r="V608" s="76">
        <f>V607+T608</f>
        <v>691.0450561265837</v>
      </c>
    </row>
    <row r="609" spans="1:22" ht="19" customHeight="1">
      <c r="A609" s="68" t="s">
        <v>362</v>
      </c>
      <c r="B609" s="74">
        <v>5</v>
      </c>
      <c r="C609" s="68" t="s">
        <v>363</v>
      </c>
      <c r="D609" s="68" t="s">
        <v>364</v>
      </c>
      <c r="E609" s="75">
        <f>60*F609*'THAM_SO_MOI'!$C$53/(2*PI()*'THAM_SO_MOI'!$C$26)</f>
        <v>1845.66547368421</v>
      </c>
      <c r="F609" s="75">
        <f>'THAM_SO_MOI'!$E$53+('THAM_SO_MOI'!$C$14-'THAM_SO_MOI'!$E$53)*603/'THAM_SO_MOI'!$C$42</f>
        <v>18.73271581196581</v>
      </c>
      <c r="G609" s="75">
        <f>3.6*F609</f>
        <v>67.43777692307692</v>
      </c>
      <c r="H609" s="75">
        <f>'THAM_SO_MOI'!$D$53</f>
        <v>1.1</v>
      </c>
      <c r="I609" s="75">
        <f>IF(F609&gt;'THAM_SO_MOI'!$C$14,'THAM_SO_MOI'!$C$13*(1+F609^2/1500),'THAM_SO_MOI'!$C$13)</f>
        <v>0.015</v>
      </c>
      <c r="J609" s="75">
        <f>'THAM_SO_MOI'!$C$40*('THAM_SO_MOI'!$C$23*(E609/'THAM_SO_MOI'!$C$22)+'THAM_SO_MOI'!$C$24*(E609/'THAM_SO_MOI'!$C$22)^2-'THAM_SO_MOI'!$C$25*(E609/'THAM_SO_MOI'!$C$22)^3)</f>
        <v>82.15284298606291</v>
      </c>
      <c r="K609" s="75">
        <f>'THAM_SO_MOI'!$C$31*J609/E609</f>
        <v>425.1311499518018</v>
      </c>
      <c r="L609" s="75">
        <f>K609*'THAM_SO_MOI'!$C$53*'THAM_SO_MOI'!$C$17/'THAM_SO_MOI'!$C$26</f>
        <v>3728.4018486021237</v>
      </c>
      <c r="M609" s="75">
        <f>'THAM_SO_MOI'!$C$15*'THAM_SO_MOI'!$C$16*F609^2</f>
        <v>1026.4253269487313</v>
      </c>
      <c r="N609" s="75">
        <f>'THAM_SO_MOI'!$C$12*I609</f>
        <v>1130.112</v>
      </c>
      <c r="O609" s="75">
        <f>M609+N609</f>
        <v>2156.5373269487313</v>
      </c>
      <c r="P609" s="75">
        <f>(MIN(L609,'THAM_SO_MOI'!$C$41)-O609)/('THAM_SO_MOI'!$C$11*H609)</f>
        <v>0.18606350871844132</v>
      </c>
      <c r="Q609" s="75">
        <f>IF(P609&gt;0,1/P609,NA())</f>
        <v>5.374508988289797</v>
      </c>
      <c r="R609" s="75">
        <f>F609-F608</f>
        <v>0.017600427350426884</v>
      </c>
      <c r="S609" s="75">
        <f>0.5*(Q608+Q609)*R609</f>
        <v>0.09454997596202913</v>
      </c>
      <c r="T609" s="75">
        <f>0.5*(F608*Q608+F609*Q609)*R609</f>
        <v>1.7703461541182406</v>
      </c>
      <c r="U609" s="76">
        <f>U608+S609</f>
        <v>51.43049354883393</v>
      </c>
      <c r="V609" s="76">
        <f>V608+T609</f>
        <v>692.815402280702</v>
      </c>
    </row>
    <row r="610" spans="1:22" ht="19" customHeight="1">
      <c r="A610" s="68" t="s">
        <v>362</v>
      </c>
      <c r="B610" s="74">
        <v>5</v>
      </c>
      <c r="C610" s="68" t="s">
        <v>363</v>
      </c>
      <c r="D610" s="68" t="s">
        <v>364</v>
      </c>
      <c r="E610" s="75">
        <f>60*F610*'THAM_SO_MOI'!$C$53/(2*PI()*'THAM_SO_MOI'!$C$26)</f>
        <v>1847.3995789473681</v>
      </c>
      <c r="F610" s="75">
        <f>'THAM_SO_MOI'!$E$53+('THAM_SO_MOI'!$C$14-'THAM_SO_MOI'!$E$53)*604/'THAM_SO_MOI'!$C$42</f>
        <v>18.75031623931624</v>
      </c>
      <c r="G610" s="75">
        <f>3.6*F610</f>
        <v>67.50113846153847</v>
      </c>
      <c r="H610" s="75">
        <f>'THAM_SO_MOI'!$D$53</f>
        <v>1.1</v>
      </c>
      <c r="I610" s="75">
        <f>IF(F610&gt;'THAM_SO_MOI'!$C$14,'THAM_SO_MOI'!$C$13*(1+F610^2/1500),'THAM_SO_MOI'!$C$13)</f>
        <v>0.015</v>
      </c>
      <c r="J610" s="75">
        <f>'THAM_SO_MOI'!$C$40*('THAM_SO_MOI'!$C$23*(E610/'THAM_SO_MOI'!$C$22)+'THAM_SO_MOI'!$C$24*(E610/'THAM_SO_MOI'!$C$22)^2-'THAM_SO_MOI'!$C$25*(E610/'THAM_SO_MOI'!$C$22)^3)</f>
        <v>82.2404474071653</v>
      </c>
      <c r="K610" s="75">
        <f>'THAM_SO_MOI'!$C$31*J610/E610</f>
        <v>425.1850074283428</v>
      </c>
      <c r="L610" s="75">
        <f>K610*'THAM_SO_MOI'!$C$53*'THAM_SO_MOI'!$C$17/'THAM_SO_MOI'!$C$26</f>
        <v>3728.8741788821317</v>
      </c>
      <c r="M610" s="75">
        <f>'THAM_SO_MOI'!$C$15*'THAM_SO_MOI'!$C$16*F610^2</f>
        <v>1028.3550002925217</v>
      </c>
      <c r="N610" s="75">
        <f>'THAM_SO_MOI'!$C$12*I610</f>
        <v>1130.112</v>
      </c>
      <c r="O610" s="75">
        <f>M610+N610</f>
        <v>2158.467000292522</v>
      </c>
      <c r="P610" s="75">
        <f>(MIN(L610,'THAM_SO_MOI'!$C$41)-O610)/('THAM_SO_MOI'!$C$11*H610)</f>
        <v>0.18589100125350497</v>
      </c>
      <c r="Q610" s="75">
        <f>IF(P610&gt;0,1/P610,NA())</f>
        <v>5.379496550434256</v>
      </c>
      <c r="R610" s="75">
        <f>F610-F609</f>
        <v>0.017600427350430436</v>
      </c>
      <c r="S610" s="75">
        <f>0.5*(Q609+Q610)*R610</f>
        <v>0.09463754660521961</v>
      </c>
      <c r="T610" s="75">
        <f>0.5*(F609*Q609+F610*Q610)*R610</f>
        <v>1.7736514825846423</v>
      </c>
      <c r="U610" s="76">
        <f>U609+S610</f>
        <v>51.52513109543915</v>
      </c>
      <c r="V610" s="76">
        <f>V609+T610</f>
        <v>694.5890537632866</v>
      </c>
    </row>
    <row r="611" spans="1:22" ht="19" customHeight="1">
      <c r="A611" s="68" t="s">
        <v>362</v>
      </c>
      <c r="B611" s="74">
        <v>5</v>
      </c>
      <c r="C611" s="68" t="s">
        <v>363</v>
      </c>
      <c r="D611" s="68" t="s">
        <v>364</v>
      </c>
      <c r="E611" s="75">
        <f>60*F611*'THAM_SO_MOI'!$C$53/(2*PI()*'THAM_SO_MOI'!$C$26)</f>
        <v>1849.1336842105259</v>
      </c>
      <c r="F611" s="75">
        <f>'THAM_SO_MOI'!$E$53+('THAM_SO_MOI'!$C$14-'THAM_SO_MOI'!$E$53)*605/'THAM_SO_MOI'!$C$42</f>
        <v>18.767916666666665</v>
      </c>
      <c r="G611" s="75">
        <f>3.6*F611</f>
        <v>67.5645</v>
      </c>
      <c r="H611" s="75">
        <f>'THAM_SO_MOI'!$D$53</f>
        <v>1.1</v>
      </c>
      <c r="I611" s="75">
        <f>IF(F611&gt;'THAM_SO_MOI'!$C$14,'THAM_SO_MOI'!$C$13*(1+F611^2/1500),'THAM_SO_MOI'!$C$13)</f>
        <v>0.015</v>
      </c>
      <c r="J611" s="75">
        <f>'THAM_SO_MOI'!$C$40*('THAM_SO_MOI'!$C$23*(E611/'THAM_SO_MOI'!$C$22)+'THAM_SO_MOI'!$C$24*(E611/'THAM_SO_MOI'!$C$22)^2-'THAM_SO_MOI'!$C$25*(E611/'THAM_SO_MOI'!$C$22)^3)</f>
        <v>82.32801490381253</v>
      </c>
      <c r="K611" s="75">
        <f>'THAM_SO_MOI'!$C$31*J611/E611</f>
        <v>425.238573169259</v>
      </c>
      <c r="L611" s="75">
        <f>K611*'THAM_SO_MOI'!$C$53*'THAM_SO_MOI'!$C$17/'THAM_SO_MOI'!$C$26</f>
        <v>3729.343950639567</v>
      </c>
      <c r="M611" s="75">
        <f>'THAM_SO_MOI'!$C$15*'THAM_SO_MOI'!$C$16*F611^2</f>
        <v>1030.2864858203122</v>
      </c>
      <c r="N611" s="75">
        <f>'THAM_SO_MOI'!$C$12*I611</f>
        <v>1130.112</v>
      </c>
      <c r="O611" s="75">
        <f>M611+N611</f>
        <v>2160.398485820312</v>
      </c>
      <c r="P611" s="75">
        <f>(MIN(L611,'THAM_SO_MOI'!$C$41)-O611)/('THAM_SO_MOI'!$C$11*H611)</f>
        <v>0.18571797642273377</v>
      </c>
      <c r="Q611" s="75">
        <f>IF(P611&gt;0,1/P611,NA())</f>
        <v>5.3845083780354495</v>
      </c>
      <c r="R611" s="75">
        <f>F611-F610</f>
        <v>0.01760042735042333</v>
      </c>
      <c r="S611" s="75">
        <f>0.5*(Q610+Q611)*R611</f>
        <v>0.09472554337156487</v>
      </c>
      <c r="T611" s="75">
        <f>0.5*(F610*Q610+F611*Q611)*R611</f>
        <v>1.7769678873148556</v>
      </c>
      <c r="U611" s="76">
        <f>U610+S611</f>
        <v>51.61985663881072</v>
      </c>
      <c r="V611" s="76">
        <f>V610+T611</f>
        <v>696.3660216506015</v>
      </c>
    </row>
    <row r="612" spans="1:22" ht="19" customHeight="1">
      <c r="A612" s="68" t="s">
        <v>362</v>
      </c>
      <c r="B612" s="74">
        <v>5</v>
      </c>
      <c r="C612" s="68" t="s">
        <v>363</v>
      </c>
      <c r="D612" s="68" t="s">
        <v>364</v>
      </c>
      <c r="E612" s="75">
        <f>60*F612*'THAM_SO_MOI'!$C$53/(2*PI()*'THAM_SO_MOI'!$C$26)</f>
        <v>1850.8677894736838</v>
      </c>
      <c r="F612" s="75">
        <f>'THAM_SO_MOI'!$E$53+('THAM_SO_MOI'!$C$14-'THAM_SO_MOI'!$E$53)*606/'THAM_SO_MOI'!$C$42</f>
        <v>18.785517094017095</v>
      </c>
      <c r="G612" s="75">
        <f>3.6*F612</f>
        <v>67.62786153846154</v>
      </c>
      <c r="H612" s="75">
        <f>'THAM_SO_MOI'!$D$53</f>
        <v>1.1</v>
      </c>
      <c r="I612" s="75">
        <f>IF(F612&gt;'THAM_SO_MOI'!$C$14,'THAM_SO_MOI'!$C$13*(1+F612^2/1500),'THAM_SO_MOI'!$C$13)</f>
        <v>0.015</v>
      </c>
      <c r="J612" s="75">
        <f>'THAM_SO_MOI'!$C$40*('THAM_SO_MOI'!$C$23*(E612/'THAM_SO_MOI'!$C$22)+'THAM_SO_MOI'!$C$24*(E612/'THAM_SO_MOI'!$C$22)^2-'THAM_SO_MOI'!$C$25*(E612/'THAM_SO_MOI'!$C$22)^3)</f>
        <v>82.41554531710126</v>
      </c>
      <c r="K612" s="75">
        <f>'THAM_SO_MOI'!$C$31*J612/E612</f>
        <v>425.29184717455</v>
      </c>
      <c r="L612" s="75">
        <f>K612*'THAM_SO_MOI'!$C$53*'THAM_SO_MOI'!$C$17/'THAM_SO_MOI'!$C$26</f>
        <v>3729.811163874429</v>
      </c>
      <c r="M612" s="75">
        <f>'THAM_SO_MOI'!$C$15*'THAM_SO_MOI'!$C$16*F612^2</f>
        <v>1032.2197835321049</v>
      </c>
      <c r="N612" s="75">
        <f>'THAM_SO_MOI'!$C$12*I612</f>
        <v>1130.112</v>
      </c>
      <c r="O612" s="75">
        <f>M612+N612</f>
        <v>2162.331783532105</v>
      </c>
      <c r="P612" s="75">
        <f>(MIN(L612,'THAM_SO_MOI'!$C$41)-O612)/('THAM_SO_MOI'!$C$11*H612)</f>
        <v>0.18554443422612737</v>
      </c>
      <c r="Q612" s="75">
        <f>IF(P612&gt;0,1/P612,NA())</f>
        <v>5.389544580902257</v>
      </c>
      <c r="R612" s="75">
        <f>F612-F611</f>
        <v>0.017600427350430436</v>
      </c>
      <c r="S612" s="75">
        <f>0.5*(Q611+Q612)*R612</f>
        <v>0.09481396818673658</v>
      </c>
      <c r="T612" s="75">
        <f>0.5*(F611*Q611+F612*Q612)*R612</f>
        <v>1.7802954269665847</v>
      </c>
      <c r="U612" s="76">
        <f>U611+S612</f>
        <v>51.71467060699745</v>
      </c>
      <c r="V612" s="76">
        <f>V611+T612</f>
        <v>698.1463170775681</v>
      </c>
    </row>
    <row r="613" spans="1:22" ht="19" customHeight="1">
      <c r="A613" s="68" t="s">
        <v>362</v>
      </c>
      <c r="B613" s="74">
        <v>5</v>
      </c>
      <c r="C613" s="68" t="s">
        <v>363</v>
      </c>
      <c r="D613" s="68" t="s">
        <v>364</v>
      </c>
      <c r="E613" s="75">
        <f>60*F613*'THAM_SO_MOI'!$C$53/(2*PI()*'THAM_SO_MOI'!$C$26)</f>
        <v>1852.6018947368414</v>
      </c>
      <c r="F613" s="75">
        <f>'THAM_SO_MOI'!$E$53+('THAM_SO_MOI'!$C$14-'THAM_SO_MOI'!$E$53)*607/'THAM_SO_MOI'!$C$42</f>
        <v>18.80311752136752</v>
      </c>
      <c r="G613" s="75">
        <f>3.6*F613</f>
        <v>67.69122307692307</v>
      </c>
      <c r="H613" s="75">
        <f>'THAM_SO_MOI'!$D$53</f>
        <v>1.1</v>
      </c>
      <c r="I613" s="75">
        <f>IF(F613&gt;'THAM_SO_MOI'!$C$14,'THAM_SO_MOI'!$C$13*(1+F613^2/1500),'THAM_SO_MOI'!$C$13)</f>
        <v>0.015</v>
      </c>
      <c r="J613" s="75">
        <f>'THAM_SO_MOI'!$C$40*('THAM_SO_MOI'!$C$23*(E613/'THAM_SO_MOI'!$C$22)+'THAM_SO_MOI'!$C$24*(E613/'THAM_SO_MOI'!$C$22)^2-'THAM_SO_MOI'!$C$25*(E613/'THAM_SO_MOI'!$C$22)^3)</f>
        <v>82.50303848812823</v>
      </c>
      <c r="K613" s="75">
        <f>'THAM_SO_MOI'!$C$31*J613/E613</f>
        <v>425.34482944421603</v>
      </c>
      <c r="L613" s="75">
        <f>K613*'THAM_SO_MOI'!$C$53*'THAM_SO_MOI'!$C$17/'THAM_SO_MOI'!$C$26</f>
        <v>3730.2758185867183</v>
      </c>
      <c r="M613" s="75">
        <f>'THAM_SO_MOI'!$C$15*'THAM_SO_MOI'!$C$16*F613^2</f>
        <v>1034.1548934278976</v>
      </c>
      <c r="N613" s="75">
        <f>'THAM_SO_MOI'!$C$12*I613</f>
        <v>1130.112</v>
      </c>
      <c r="O613" s="75">
        <f>M613+N613</f>
        <v>2164.2668934278977</v>
      </c>
      <c r="P613" s="75">
        <f>(MIN(L613,'THAM_SO_MOI'!$C$41)-O613)/('THAM_SO_MOI'!$C$11*H613)</f>
        <v>0.18537037466368614</v>
      </c>
      <c r="Q613" s="75">
        <f>IF(P613&gt;0,1/P613,NA())</f>
        <v>5.394605269662321</v>
      </c>
      <c r="R613" s="75">
        <f>F613-F612</f>
        <v>0.01760042735042333</v>
      </c>
      <c r="S613" s="75">
        <f>0.5*(Q612+Q613)*R613</f>
        <v>0.09490282299047025</v>
      </c>
      <c r="T613" s="75">
        <f>0.5*(F612*Q612+F613*Q613)*R613</f>
        <v>1.7836341605974235</v>
      </c>
      <c r="U613" s="76">
        <f>U612+S613</f>
        <v>51.80957342998792</v>
      </c>
      <c r="V613" s="76">
        <f>V612+T613</f>
        <v>699.9299512381656</v>
      </c>
    </row>
    <row r="614" spans="1:22" ht="19" customHeight="1">
      <c r="A614" s="68" t="s">
        <v>362</v>
      </c>
      <c r="B614" s="74">
        <v>5</v>
      </c>
      <c r="C614" s="68" t="s">
        <v>363</v>
      </c>
      <c r="D614" s="68" t="s">
        <v>364</v>
      </c>
      <c r="E614" s="75">
        <f>60*F614*'THAM_SO_MOI'!$C$53/(2*PI()*'THAM_SO_MOI'!$C$26)</f>
        <v>1854.3359999999993</v>
      </c>
      <c r="F614" s="75">
        <f>'THAM_SO_MOI'!$E$53+('THAM_SO_MOI'!$C$14-'THAM_SO_MOI'!$E$53)*608/'THAM_SO_MOI'!$C$42</f>
        <v>18.82071794871795</v>
      </c>
      <c r="G614" s="75">
        <f>3.6*F614</f>
        <v>67.75458461538462</v>
      </c>
      <c r="H614" s="75">
        <f>'THAM_SO_MOI'!$D$53</f>
        <v>1.1</v>
      </c>
      <c r="I614" s="75">
        <f>IF(F614&gt;'THAM_SO_MOI'!$C$14,'THAM_SO_MOI'!$C$13*(1+F614^2/1500),'THAM_SO_MOI'!$C$13)</f>
        <v>0.015</v>
      </c>
      <c r="J614" s="75">
        <f>'THAM_SO_MOI'!$C$40*('THAM_SO_MOI'!$C$23*(E614/'THAM_SO_MOI'!$C$22)+'THAM_SO_MOI'!$C$24*(E614/'THAM_SO_MOI'!$C$22)^2-'THAM_SO_MOI'!$C$25*(E614/'THAM_SO_MOI'!$C$22)^3)</f>
        <v>82.59049425799017</v>
      </c>
      <c r="K614" s="75">
        <f>'THAM_SO_MOI'!$C$31*J614/E614</f>
        <v>425.39751997825704</v>
      </c>
      <c r="L614" s="75">
        <f>K614*'THAM_SO_MOI'!$C$53*'THAM_SO_MOI'!$C$17/'THAM_SO_MOI'!$C$26</f>
        <v>3730.737914776434</v>
      </c>
      <c r="M614" s="75">
        <f>'THAM_SO_MOI'!$C$15*'THAM_SO_MOI'!$C$16*F614^2</f>
        <v>1036.0918155076924</v>
      </c>
      <c r="N614" s="75">
        <f>'THAM_SO_MOI'!$C$12*I614</f>
        <v>1130.112</v>
      </c>
      <c r="O614" s="75">
        <f>M614+N614</f>
        <v>2166.2038155076925</v>
      </c>
      <c r="P614" s="75">
        <f>(MIN(L614,'THAM_SO_MOI'!$C$41)-O614)/('THAM_SO_MOI'!$C$11*H614)</f>
        <v>0.18519579773540976</v>
      </c>
      <c r="Q614" s="75">
        <f>IF(P614&gt;0,1/P614,NA())</f>
        <v>5.399690555769011</v>
      </c>
      <c r="R614" s="75">
        <f>F614-F613</f>
        <v>0.017600427350430436</v>
      </c>
      <c r="S614" s="75">
        <f>0.5*(Q613+Q614)*R614</f>
        <v>0.09499210973727935</v>
      </c>
      <c r="T614" s="75">
        <f>0.5*(F613*Q613+F614*Q614)*R614</f>
        <v>1.7869841476795314</v>
      </c>
      <c r="U614" s="76">
        <f>U613+S614</f>
        <v>51.9045655397252</v>
      </c>
      <c r="V614" s="76">
        <f>V613+T614</f>
        <v>701.7169353858451</v>
      </c>
    </row>
    <row r="615" spans="1:22" ht="19" customHeight="1">
      <c r="A615" s="68" t="s">
        <v>362</v>
      </c>
      <c r="B615" s="74">
        <v>5</v>
      </c>
      <c r="C615" s="68" t="s">
        <v>363</v>
      </c>
      <c r="D615" s="68" t="s">
        <v>364</v>
      </c>
      <c r="E615" s="75">
        <f>60*F615*'THAM_SO_MOI'!$C$53/(2*PI()*'THAM_SO_MOI'!$C$26)</f>
        <v>1856.0701052631573</v>
      </c>
      <c r="F615" s="75">
        <f>'THAM_SO_MOI'!$E$53+('THAM_SO_MOI'!$C$14-'THAM_SO_MOI'!$E$53)*609/'THAM_SO_MOI'!$C$42</f>
        <v>18.838318376068376</v>
      </c>
      <c r="G615" s="75">
        <f>3.6*F615</f>
        <v>67.81794615384615</v>
      </c>
      <c r="H615" s="75">
        <f>'THAM_SO_MOI'!$D$53</f>
        <v>1.1</v>
      </c>
      <c r="I615" s="75">
        <f>IF(F615&gt;'THAM_SO_MOI'!$C$14,'THAM_SO_MOI'!$C$13*(1+F615^2/1500),'THAM_SO_MOI'!$C$13)</f>
        <v>0.015</v>
      </c>
      <c r="J615" s="75">
        <f>'THAM_SO_MOI'!$C$40*('THAM_SO_MOI'!$C$23*(E615/'THAM_SO_MOI'!$C$22)+'THAM_SO_MOI'!$C$24*(E615/'THAM_SO_MOI'!$C$22)^2-'THAM_SO_MOI'!$C$25*(E615/'THAM_SO_MOI'!$C$22)^3)</f>
        <v>82.67791246778381</v>
      </c>
      <c r="K615" s="75">
        <f>'THAM_SO_MOI'!$C$31*J615/E615</f>
        <v>425.44991877667303</v>
      </c>
      <c r="L615" s="75">
        <f>K615*'THAM_SO_MOI'!$C$53*'THAM_SO_MOI'!$C$17/'THAM_SO_MOI'!$C$26</f>
        <v>3731.1974524435773</v>
      </c>
      <c r="M615" s="75">
        <f>'THAM_SO_MOI'!$C$15*'THAM_SO_MOI'!$C$16*F615^2</f>
        <v>1038.0305497714878</v>
      </c>
      <c r="N615" s="75">
        <f>'THAM_SO_MOI'!$C$12*I615</f>
        <v>1130.112</v>
      </c>
      <c r="O615" s="75">
        <f>M615+N615</f>
        <v>2168.142549771488</v>
      </c>
      <c r="P615" s="75">
        <f>(MIN(L615,'THAM_SO_MOI'!$C$41)-O615)/('THAM_SO_MOI'!$C$11*H615)</f>
        <v>0.18502070344129842</v>
      </c>
      <c r="Q615" s="75">
        <f>IF(P615&gt;0,1/P615,NA())</f>
        <v>5.40480055150839</v>
      </c>
      <c r="R615" s="75">
        <f>F615-F614</f>
        <v>0.017600427350426884</v>
      </c>
      <c r="S615" s="75">
        <f>0.5*(Q614+Q615)*R615</f>
        <v>0.0950818303959846</v>
      </c>
      <c r="T615" s="75">
        <f>0.5*(F614*Q614+F615*Q615)*R615</f>
        <v>1.7903454480920657</v>
      </c>
      <c r="U615" s="76">
        <f>U614+S615</f>
        <v>51.99964737012118</v>
      </c>
      <c r="V615" s="76">
        <f>V614+T615</f>
        <v>703.5072808339371</v>
      </c>
    </row>
    <row r="616" spans="1:22" ht="19" customHeight="1">
      <c r="A616" s="68" t="s">
        <v>362</v>
      </c>
      <c r="B616" s="74">
        <v>5</v>
      </c>
      <c r="C616" s="68" t="s">
        <v>363</v>
      </c>
      <c r="D616" s="68" t="s">
        <v>364</v>
      </c>
      <c r="E616" s="75">
        <f>60*F616*'THAM_SO_MOI'!$C$53/(2*PI()*'THAM_SO_MOI'!$C$26)</f>
        <v>1857.804210526315</v>
      </c>
      <c r="F616" s="75">
        <f>'THAM_SO_MOI'!$E$53+('THAM_SO_MOI'!$C$14-'THAM_SO_MOI'!$E$53)*610/'THAM_SO_MOI'!$C$42</f>
        <v>18.855918803418803</v>
      </c>
      <c r="G616" s="75">
        <f>3.6*F616</f>
        <v>67.88130769230769</v>
      </c>
      <c r="H616" s="75">
        <f>'THAM_SO_MOI'!$D$53</f>
        <v>1.1</v>
      </c>
      <c r="I616" s="75">
        <f>IF(F616&gt;'THAM_SO_MOI'!$C$14,'THAM_SO_MOI'!$C$13*(1+F616^2/1500),'THAM_SO_MOI'!$C$13)</f>
        <v>0.015</v>
      </c>
      <c r="J616" s="75">
        <f>'THAM_SO_MOI'!$C$40*('THAM_SO_MOI'!$C$23*(E616/'THAM_SO_MOI'!$C$22)+'THAM_SO_MOI'!$C$24*(E616/'THAM_SO_MOI'!$C$22)^2-'THAM_SO_MOI'!$C$25*(E616/'THAM_SO_MOI'!$C$22)^3)</f>
        <v>82.76529295860584</v>
      </c>
      <c r="K616" s="75">
        <f>'THAM_SO_MOI'!$C$31*J616/E616</f>
        <v>425.5020258394639</v>
      </c>
      <c r="L616" s="75">
        <f>K616*'THAM_SO_MOI'!$C$53*'THAM_SO_MOI'!$C$17/'THAM_SO_MOI'!$C$26</f>
        <v>3731.654431588147</v>
      </c>
      <c r="M616" s="75">
        <f>'THAM_SO_MOI'!$C$15*'THAM_SO_MOI'!$C$16*F616^2</f>
        <v>1039.9710962192842</v>
      </c>
      <c r="N616" s="75">
        <f>'THAM_SO_MOI'!$C$12*I616</f>
        <v>1130.112</v>
      </c>
      <c r="O616" s="75">
        <f>M616+N616</f>
        <v>2170.083096219284</v>
      </c>
      <c r="P616" s="75">
        <f>(MIN(L616,'THAM_SO_MOI'!$C$41)-O616)/('THAM_SO_MOI'!$C$11*H616)</f>
        <v>0.18484509178135208</v>
      </c>
      <c r="Q616" s="75">
        <f>IF(P616&gt;0,1/P616,NA())</f>
        <v>5.4099353700063135</v>
      </c>
      <c r="R616" s="75">
        <f>F616-F615</f>
        <v>0.017600427350426884</v>
      </c>
      <c r="S616" s="75">
        <f>0.5*(Q615+Q616)*R616</f>
        <v>0.09517198695033574</v>
      </c>
      <c r="T616" s="75">
        <f>0.5*(F615*Q615+F616*Q616)*R616</f>
        <v>1.793718122134162</v>
      </c>
      <c r="U616" s="76">
        <f>U615+S616</f>
        <v>52.094819357071515</v>
      </c>
      <c r="V616" s="76">
        <f>V615+T616</f>
        <v>705.3009989560712</v>
      </c>
    </row>
    <row r="617" spans="1:22" ht="19" customHeight="1">
      <c r="A617" s="68" t="s">
        <v>362</v>
      </c>
      <c r="B617" s="74">
        <v>5</v>
      </c>
      <c r="C617" s="68" t="s">
        <v>363</v>
      </c>
      <c r="D617" s="68" t="s">
        <v>364</v>
      </c>
      <c r="E617" s="75">
        <f>60*F617*'THAM_SO_MOI'!$C$53/(2*PI()*'THAM_SO_MOI'!$C$26)</f>
        <v>1859.5383157894732</v>
      </c>
      <c r="F617" s="75">
        <f>'THAM_SO_MOI'!$E$53+('THAM_SO_MOI'!$C$14-'THAM_SO_MOI'!$E$53)*611/'THAM_SO_MOI'!$C$42</f>
        <v>18.873519230769233</v>
      </c>
      <c r="G617" s="75">
        <f>3.6*F617</f>
        <v>67.94466923076924</v>
      </c>
      <c r="H617" s="75">
        <f>'THAM_SO_MOI'!$D$53</f>
        <v>1.1</v>
      </c>
      <c r="I617" s="75">
        <f>IF(F617&gt;'THAM_SO_MOI'!$C$14,'THAM_SO_MOI'!$C$13*(1+F617^2/1500),'THAM_SO_MOI'!$C$13)</f>
        <v>0.015</v>
      </c>
      <c r="J617" s="75">
        <f>'THAM_SO_MOI'!$C$40*('THAM_SO_MOI'!$C$23*(E617/'THAM_SO_MOI'!$C$22)+'THAM_SO_MOI'!$C$24*(E617/'THAM_SO_MOI'!$C$22)^2-'THAM_SO_MOI'!$C$25*(E617/'THAM_SO_MOI'!$C$22)^3)</f>
        <v>82.85263557155304</v>
      </c>
      <c r="K617" s="75">
        <f>'THAM_SO_MOI'!$C$31*J617/E617</f>
        <v>425.5538411666298</v>
      </c>
      <c r="L617" s="75">
        <f>K617*'THAM_SO_MOI'!$C$53*'THAM_SO_MOI'!$C$17/'THAM_SO_MOI'!$C$26</f>
        <v>3732.108852210143</v>
      </c>
      <c r="M617" s="75">
        <f>'THAM_SO_MOI'!$C$15*'THAM_SO_MOI'!$C$16*F617^2</f>
        <v>1041.913454851082</v>
      </c>
      <c r="N617" s="75">
        <f>'THAM_SO_MOI'!$C$12*I617</f>
        <v>1130.112</v>
      </c>
      <c r="O617" s="75">
        <f>M617+N617</f>
        <v>2172.025454851082</v>
      </c>
      <c r="P617" s="75">
        <f>(MIN(L617,'THAM_SO_MOI'!$C$41)-O617)/('THAM_SO_MOI'!$C$11*H617)</f>
        <v>0.18466896275557068</v>
      </c>
      <c r="Q617" s="75">
        <f>IF(P617&gt;0,1/P617,NA())</f>
        <v>5.415095125235571</v>
      </c>
      <c r="R617" s="75">
        <f>F617-F616</f>
        <v>0.017600427350430436</v>
      </c>
      <c r="S617" s="75">
        <f>0.5*(Q616+Q617)*R617</f>
        <v>0.0952625813988494</v>
      </c>
      <c r="T617" s="75">
        <f>0.5*(F616*Q616+F617*Q617)*R617</f>
        <v>1.7971022305231905</v>
      </c>
      <c r="U617" s="76">
        <f>U616+S617</f>
        <v>52.190081938470364</v>
      </c>
      <c r="V617" s="76">
        <f>V616+T617</f>
        <v>707.0981011865944</v>
      </c>
    </row>
    <row r="618" spans="1:22" ht="19" customHeight="1">
      <c r="A618" s="68" t="s">
        <v>362</v>
      </c>
      <c r="B618" s="74">
        <v>5</v>
      </c>
      <c r="C618" s="68" t="s">
        <v>363</v>
      </c>
      <c r="D618" s="68" t="s">
        <v>364</v>
      </c>
      <c r="E618" s="75">
        <f>60*F618*'THAM_SO_MOI'!$C$53/(2*PI()*'THAM_SO_MOI'!$C$26)</f>
        <v>1861.2724210526312</v>
      </c>
      <c r="F618" s="75">
        <f>'THAM_SO_MOI'!$E$53+('THAM_SO_MOI'!$C$14-'THAM_SO_MOI'!$E$53)*612/'THAM_SO_MOI'!$C$42</f>
        <v>18.891119658119656</v>
      </c>
      <c r="G618" s="75">
        <f>3.6*F618</f>
        <v>68.00803076923077</v>
      </c>
      <c r="H618" s="75">
        <f>'THAM_SO_MOI'!$D$53</f>
        <v>1.1</v>
      </c>
      <c r="I618" s="75">
        <f>IF(F618&gt;'THAM_SO_MOI'!$C$14,'THAM_SO_MOI'!$C$13*(1+F618^2/1500),'THAM_SO_MOI'!$C$13)</f>
        <v>0.015</v>
      </c>
      <c r="J618" s="75">
        <f>'THAM_SO_MOI'!$C$40*('THAM_SO_MOI'!$C$23*(E618/'THAM_SO_MOI'!$C$22)+'THAM_SO_MOI'!$C$24*(E618/'THAM_SO_MOI'!$C$22)^2-'THAM_SO_MOI'!$C$25*(E618/'THAM_SO_MOI'!$C$22)^3)</f>
        <v>82.93994014772206</v>
      </c>
      <c r="K618" s="75">
        <f>'THAM_SO_MOI'!$C$31*J618/E618</f>
        <v>425.6053647581707</v>
      </c>
      <c r="L618" s="75">
        <f>K618*'THAM_SO_MOI'!$C$53*'THAM_SO_MOI'!$C$17/'THAM_SO_MOI'!$C$26</f>
        <v>3732.560714309567</v>
      </c>
      <c r="M618" s="75">
        <f>'THAM_SO_MOI'!$C$15*'THAM_SO_MOI'!$C$16*F618^2</f>
        <v>1043.8576256668803</v>
      </c>
      <c r="N618" s="75">
        <f>'THAM_SO_MOI'!$C$12*I618</f>
        <v>1130.112</v>
      </c>
      <c r="O618" s="75">
        <f>M618+N618</f>
        <v>2173.9696256668803</v>
      </c>
      <c r="P618" s="75">
        <f>(MIN(L618,'THAM_SO_MOI'!$C$41)-O618)/('THAM_SO_MOI'!$C$11*H618)</f>
        <v>0.1844923163639544</v>
      </c>
      <c r="Q618" s="75">
        <f>IF(P618&gt;0,1/P618,NA())</f>
        <v>5.420279932023105</v>
      </c>
      <c r="R618" s="75">
        <f>F618-F617</f>
        <v>0.01760042735042333</v>
      </c>
      <c r="S618" s="75">
        <f>0.5*(Q617+Q618)*R618</f>
        <v>0.09535361575493519</v>
      </c>
      <c r="T618" s="75">
        <f>0.5*(F617*Q617+F618*Q618)*R618</f>
        <v>1.800497834398433</v>
      </c>
      <c r="U618" s="76">
        <f>U617+S618</f>
        <v>52.2854355542253</v>
      </c>
      <c r="V618" s="76">
        <f>V617+T618</f>
        <v>708.8985990209928</v>
      </c>
    </row>
    <row r="619" spans="1:22" ht="19" customHeight="1">
      <c r="A619" s="68" t="s">
        <v>362</v>
      </c>
      <c r="B619" s="74">
        <v>5</v>
      </c>
      <c r="C619" s="68" t="s">
        <v>363</v>
      </c>
      <c r="D619" s="68" t="s">
        <v>364</v>
      </c>
      <c r="E619" s="75">
        <f>60*F619*'THAM_SO_MOI'!$C$53/(2*PI()*'THAM_SO_MOI'!$C$26)</f>
        <v>1863.0065263157892</v>
      </c>
      <c r="F619" s="75">
        <f>'THAM_SO_MOI'!$E$53+('THAM_SO_MOI'!$C$14-'THAM_SO_MOI'!$E$53)*613/'THAM_SO_MOI'!$C$42</f>
        <v>18.908720085470087</v>
      </c>
      <c r="G619" s="75">
        <f>3.6*F619</f>
        <v>68.07139230769232</v>
      </c>
      <c r="H619" s="75">
        <f>'THAM_SO_MOI'!$D$53</f>
        <v>1.1</v>
      </c>
      <c r="I619" s="75">
        <f>IF(F619&gt;'THAM_SO_MOI'!$C$14,'THAM_SO_MOI'!$C$13*(1+F619^2/1500),'THAM_SO_MOI'!$C$13)</f>
        <v>0.015</v>
      </c>
      <c r="J619" s="75">
        <f>'THAM_SO_MOI'!$C$40*('THAM_SO_MOI'!$C$23*(E619/'THAM_SO_MOI'!$C$22)+'THAM_SO_MOI'!$C$24*(E619/'THAM_SO_MOI'!$C$22)^2-'THAM_SO_MOI'!$C$25*(E619/'THAM_SO_MOI'!$C$22)^3)</f>
        <v>83.02720652820969</v>
      </c>
      <c r="K619" s="75">
        <f>'THAM_SO_MOI'!$C$31*J619/E619</f>
        <v>425.65659661408665</v>
      </c>
      <c r="L619" s="75">
        <f>K619*'THAM_SO_MOI'!$C$53*'THAM_SO_MOI'!$C$17/'THAM_SO_MOI'!$C$26</f>
        <v>3733.010017886418</v>
      </c>
      <c r="M619" s="75">
        <f>'THAM_SO_MOI'!$C$15*'THAM_SO_MOI'!$C$16*F619^2</f>
        <v>1045.8036086666802</v>
      </c>
      <c r="N619" s="75">
        <f>'THAM_SO_MOI'!$C$12*I619</f>
        <v>1130.112</v>
      </c>
      <c r="O619" s="75">
        <f>M619+N619</f>
        <v>2175.9156086666803</v>
      </c>
      <c r="P619" s="75">
        <f>(MIN(L619,'THAM_SO_MOI'!$C$41)-O619)/('THAM_SO_MOI'!$C$11*H619)</f>
        <v>0.18431515260650305</v>
      </c>
      <c r="Q619" s="75">
        <f>IF(P619&gt;0,1/P619,NA())</f>
        <v>5.425489906057337</v>
      </c>
      <c r="R619" s="75">
        <f>F619-F618</f>
        <v>0.017600427350430436</v>
      </c>
      <c r="S619" s="75">
        <f>0.5*(Q618+Q619)*R619</f>
        <v>0.09544509204731226</v>
      </c>
      <c r="T619" s="75">
        <f>0.5*(F618*Q618+F619*Q619)*R619</f>
        <v>1.80390499533027</v>
      </c>
      <c r="U619" s="76">
        <f>U618+S619</f>
        <v>52.380880646272615</v>
      </c>
      <c r="V619" s="76">
        <f>V618+T619</f>
        <v>710.7025040163231</v>
      </c>
    </row>
    <row r="620" spans="1:22" ht="19" customHeight="1">
      <c r="A620" s="68" t="s">
        <v>362</v>
      </c>
      <c r="B620" s="74">
        <v>5</v>
      </c>
      <c r="C620" s="68" t="s">
        <v>363</v>
      </c>
      <c r="D620" s="68" t="s">
        <v>364</v>
      </c>
      <c r="E620" s="75">
        <f>60*F620*'THAM_SO_MOI'!$C$53/(2*PI()*'THAM_SO_MOI'!$C$26)</f>
        <v>1864.740631578947</v>
      </c>
      <c r="F620" s="75">
        <f>'THAM_SO_MOI'!$E$53+('THAM_SO_MOI'!$C$14-'THAM_SO_MOI'!$E$53)*614/'THAM_SO_MOI'!$C$42</f>
        <v>18.92632051282051</v>
      </c>
      <c r="G620" s="75">
        <f>3.6*F620</f>
        <v>68.13475384615384</v>
      </c>
      <c r="H620" s="75">
        <f>'THAM_SO_MOI'!$D$53</f>
        <v>1.1</v>
      </c>
      <c r="I620" s="75">
        <f>IF(F620&gt;'THAM_SO_MOI'!$C$14,'THAM_SO_MOI'!$C$13*(1+F620^2/1500),'THAM_SO_MOI'!$C$13)</f>
        <v>0.015</v>
      </c>
      <c r="J620" s="75">
        <f>'THAM_SO_MOI'!$C$40*('THAM_SO_MOI'!$C$23*(E620/'THAM_SO_MOI'!$C$22)+'THAM_SO_MOI'!$C$24*(E620/'THAM_SO_MOI'!$C$22)^2-'THAM_SO_MOI'!$C$25*(E620/'THAM_SO_MOI'!$C$22)^3)</f>
        <v>83.11443455411255</v>
      </c>
      <c r="K620" s="75">
        <f>'THAM_SO_MOI'!$C$31*J620/E620</f>
        <v>425.7075367343773</v>
      </c>
      <c r="L620" s="75">
        <f>K620*'THAM_SO_MOI'!$C$53*'THAM_SO_MOI'!$C$17/'THAM_SO_MOI'!$C$26</f>
        <v>3733.4567629406947</v>
      </c>
      <c r="M620" s="75">
        <f>'THAM_SO_MOI'!$C$15*'THAM_SO_MOI'!$C$16*F620^2</f>
        <v>1047.7514038504805</v>
      </c>
      <c r="N620" s="75">
        <f>'THAM_SO_MOI'!$C$12*I620</f>
        <v>1130.112</v>
      </c>
      <c r="O620" s="75">
        <f>M620+N620</f>
        <v>2177.8634038504806</v>
      </c>
      <c r="P620" s="75">
        <f>(MIN(L620,'THAM_SO_MOI'!$C$41)-O620)/('THAM_SO_MOI'!$C$11*H620)</f>
        <v>0.18413747148321663</v>
      </c>
      <c r="Q620" s="75">
        <f>IF(P620&gt;0,1/P620,NA())</f>
        <v>5.430725163895529</v>
      </c>
      <c r="R620" s="75">
        <f>F620-F619</f>
        <v>0.01760042735042333</v>
      </c>
      <c r="S620" s="75">
        <f>0.5*(Q619+Q620)*R620</f>
        <v>0.0955370123196382</v>
      </c>
      <c r="T620" s="75">
        <f>0.5*(F619*Q619+F620*Q620)*R620</f>
        <v>1.807323775314505</v>
      </c>
      <c r="U620" s="76">
        <f>U619+S620</f>
        <v>52.476417658592254</v>
      </c>
      <c r="V620" s="76">
        <f>V619+T620</f>
        <v>712.5098277916377</v>
      </c>
    </row>
    <row r="621" spans="1:22" ht="19" customHeight="1">
      <c r="A621" s="68" t="s">
        <v>362</v>
      </c>
      <c r="B621" s="74">
        <v>5</v>
      </c>
      <c r="C621" s="68" t="s">
        <v>363</v>
      </c>
      <c r="D621" s="68" t="s">
        <v>364</v>
      </c>
      <c r="E621" s="75">
        <f>60*F621*'THAM_SO_MOI'!$C$53/(2*PI()*'THAM_SO_MOI'!$C$26)</f>
        <v>1866.474736842105</v>
      </c>
      <c r="F621" s="75">
        <f>'THAM_SO_MOI'!$E$53+('THAM_SO_MOI'!$C$14-'THAM_SO_MOI'!$E$53)*615/'THAM_SO_MOI'!$C$42</f>
        <v>18.94392094017094</v>
      </c>
      <c r="G621" s="75">
        <f>3.6*F621</f>
        <v>68.19811538461539</v>
      </c>
      <c r="H621" s="75">
        <f>'THAM_SO_MOI'!$D$53</f>
        <v>1.1</v>
      </c>
      <c r="I621" s="75">
        <f>IF(F621&gt;'THAM_SO_MOI'!$C$14,'THAM_SO_MOI'!$C$13*(1+F621^2/1500),'THAM_SO_MOI'!$C$13)</f>
        <v>0.015</v>
      </c>
      <c r="J621" s="75">
        <f>'THAM_SO_MOI'!$C$40*('THAM_SO_MOI'!$C$23*(E621/'THAM_SO_MOI'!$C$22)+'THAM_SO_MOI'!$C$24*(E621/'THAM_SO_MOI'!$C$22)^2-'THAM_SO_MOI'!$C$25*(E621/'THAM_SO_MOI'!$C$22)^3)</f>
        <v>83.20162406652747</v>
      </c>
      <c r="K621" s="75">
        <f>'THAM_SO_MOI'!$C$31*J621/E621</f>
        <v>425.7581851190431</v>
      </c>
      <c r="L621" s="75">
        <f>K621*'THAM_SO_MOI'!$C$53*'THAM_SO_MOI'!$C$17/'THAM_SO_MOI'!$C$26</f>
        <v>3733.900949472399</v>
      </c>
      <c r="M621" s="75">
        <f>'THAM_SO_MOI'!$C$15*'THAM_SO_MOI'!$C$16*F621^2</f>
        <v>1049.7010112182827</v>
      </c>
      <c r="N621" s="75">
        <f>'THAM_SO_MOI'!$C$12*I621</f>
        <v>1130.112</v>
      </c>
      <c r="O621" s="75">
        <f>M621+N621</f>
        <v>2179.8130112182826</v>
      </c>
      <c r="P621" s="75">
        <f>(MIN(L621,'THAM_SO_MOI'!$C$41)-O621)/('THAM_SO_MOI'!$C$11*H621)</f>
        <v>0.18395927299409517</v>
      </c>
      <c r="Q621" s="75">
        <f>IF(P621&gt;0,1/P621,NA())</f>
        <v>5.435985822971253</v>
      </c>
      <c r="R621" s="75">
        <f>F621-F620</f>
        <v>0.017600427350430436</v>
      </c>
      <c r="S621" s="75">
        <f>0.5*(Q620+Q621)*R621</f>
        <v>0.09562937863123651</v>
      </c>
      <c r="T621" s="75">
        <f>0.5*(F620*Q620+F621*Q621)*R621</f>
        <v>1.8107542367874567</v>
      </c>
      <c r="U621" s="76">
        <f>U620+S621</f>
        <v>52.57204703722349</v>
      </c>
      <c r="V621" s="76">
        <f>V620+T621</f>
        <v>714.3205820284252</v>
      </c>
    </row>
    <row r="622" spans="1:22" ht="19" customHeight="1">
      <c r="A622" s="68" t="s">
        <v>362</v>
      </c>
      <c r="B622" s="74">
        <v>5</v>
      </c>
      <c r="C622" s="68" t="s">
        <v>363</v>
      </c>
      <c r="D622" s="68" t="s">
        <v>364</v>
      </c>
      <c r="E622" s="75">
        <f>60*F622*'THAM_SO_MOI'!$C$53/(2*PI()*'THAM_SO_MOI'!$C$26)</f>
        <v>1868.2088421052629</v>
      </c>
      <c r="F622" s="75">
        <f>'THAM_SO_MOI'!$E$53+('THAM_SO_MOI'!$C$14-'THAM_SO_MOI'!$E$53)*616/'THAM_SO_MOI'!$C$42</f>
        <v>18.961521367521367</v>
      </c>
      <c r="G622" s="75">
        <f>3.6*F622</f>
        <v>68.26147692307693</v>
      </c>
      <c r="H622" s="75">
        <f>'THAM_SO_MOI'!$D$53</f>
        <v>1.1</v>
      </c>
      <c r="I622" s="75">
        <f>IF(F622&gt;'THAM_SO_MOI'!$C$14,'THAM_SO_MOI'!$C$13*(1+F622^2/1500),'THAM_SO_MOI'!$C$13)</f>
        <v>0.015</v>
      </c>
      <c r="J622" s="75">
        <f>'THAM_SO_MOI'!$C$40*('THAM_SO_MOI'!$C$23*(E622/'THAM_SO_MOI'!$C$22)+'THAM_SO_MOI'!$C$24*(E622/'THAM_SO_MOI'!$C$22)^2-'THAM_SO_MOI'!$C$25*(E622/'THAM_SO_MOI'!$C$22)^3)</f>
        <v>83.2887749065511</v>
      </c>
      <c r="K622" s="75">
        <f>'THAM_SO_MOI'!$C$31*J622/E622</f>
        <v>425.8085417680837</v>
      </c>
      <c r="L622" s="75">
        <f>K622*'THAM_SO_MOI'!$C$53*'THAM_SO_MOI'!$C$17/'THAM_SO_MOI'!$C$26</f>
        <v>3734.342577481529</v>
      </c>
      <c r="M622" s="75">
        <f>'THAM_SO_MOI'!$C$15*'THAM_SO_MOI'!$C$16*F622^2</f>
        <v>1051.6524307700856</v>
      </c>
      <c r="N622" s="75">
        <f>'THAM_SO_MOI'!$C$12*I622</f>
        <v>1130.112</v>
      </c>
      <c r="O622" s="75">
        <f>M622+N622</f>
        <v>2181.7644307700857</v>
      </c>
      <c r="P622" s="75">
        <f>(MIN(L622,'THAM_SO_MOI'!$C$41)-O622)/('THAM_SO_MOI'!$C$11*H622)</f>
        <v>0.18378055713913866</v>
      </c>
      <c r="Q622" s="75">
        <f>IF(P622&gt;0,1/P622,NA())</f>
        <v>5.441272001601936</v>
      </c>
      <c r="R622" s="75">
        <f>F622-F621</f>
        <v>0.017600427350426884</v>
      </c>
      <c r="S622" s="75">
        <f>0.5*(Q621+Q622)*R622</f>
        <v>0.09572219305663139</v>
      </c>
      <c r="T622" s="75">
        <f>0.5*(F621*Q621+F622*Q622)*R622</f>
        <v>1.8141964426185164</v>
      </c>
      <c r="U622" s="76">
        <f>U621+S622</f>
        <v>52.66776923028012</v>
      </c>
      <c r="V622" s="76">
        <f>V621+T622</f>
        <v>716.1347784710437</v>
      </c>
    </row>
    <row r="623" spans="1:22" ht="19" customHeight="1">
      <c r="A623" s="68" t="s">
        <v>362</v>
      </c>
      <c r="B623" s="74">
        <v>5</v>
      </c>
      <c r="C623" s="68" t="s">
        <v>363</v>
      </c>
      <c r="D623" s="68" t="s">
        <v>364</v>
      </c>
      <c r="E623" s="75">
        <f>60*F623*'THAM_SO_MOI'!$C$53/(2*PI()*'THAM_SO_MOI'!$C$26)</f>
        <v>1869.9429473684208</v>
      </c>
      <c r="F623" s="75">
        <f>'THAM_SO_MOI'!$E$53+('THAM_SO_MOI'!$C$14-'THAM_SO_MOI'!$E$53)*617/'THAM_SO_MOI'!$C$42</f>
        <v>18.979121794871794</v>
      </c>
      <c r="G623" s="75">
        <f>3.6*F623</f>
        <v>68.32483846153846</v>
      </c>
      <c r="H623" s="75">
        <f>'THAM_SO_MOI'!$D$53</f>
        <v>1.1</v>
      </c>
      <c r="I623" s="75">
        <f>IF(F623&gt;'THAM_SO_MOI'!$C$14,'THAM_SO_MOI'!$C$13*(1+F623^2/1500),'THAM_SO_MOI'!$C$13)</f>
        <v>0.015</v>
      </c>
      <c r="J623" s="75">
        <f>'THAM_SO_MOI'!$C$40*('THAM_SO_MOI'!$C$23*(E623/'THAM_SO_MOI'!$C$22)+'THAM_SO_MOI'!$C$24*(E623/'THAM_SO_MOI'!$C$22)^2-'THAM_SO_MOI'!$C$25*(E623/'THAM_SO_MOI'!$C$22)^3)</f>
        <v>83.37588691528019</v>
      </c>
      <c r="K623" s="75">
        <f>'THAM_SO_MOI'!$C$31*J623/E623</f>
        <v>425.8586066814994</v>
      </c>
      <c r="L623" s="75">
        <f>K623*'THAM_SO_MOI'!$C$53*'THAM_SO_MOI'!$C$17/'THAM_SO_MOI'!$C$26</f>
        <v>3734.781646968087</v>
      </c>
      <c r="M623" s="75">
        <f>'THAM_SO_MOI'!$C$15*'THAM_SO_MOI'!$C$16*F623^2</f>
        <v>1053.6056625058895</v>
      </c>
      <c r="N623" s="75">
        <f>'THAM_SO_MOI'!$C$12*I623</f>
        <v>1130.112</v>
      </c>
      <c r="O623" s="75">
        <f>M623+N623</f>
        <v>2183.7176625058896</v>
      </c>
      <c r="P623" s="75">
        <f>(MIN(L623,'THAM_SO_MOI'!$C$41)-O623)/('THAM_SO_MOI'!$C$11*H623)</f>
        <v>0.18360132391834721</v>
      </c>
      <c r="Q623" s="75">
        <f>IF(P623&gt;0,1/P623,NA())</f>
        <v>5.446583818996473</v>
      </c>
      <c r="R623" s="75">
        <f>F623-F622</f>
        <v>0.017600427350426884</v>
      </c>
      <c r="S623" s="75">
        <f>0.5*(Q622+Q623)*R623</f>
        <v>0.0958154576861824</v>
      </c>
      <c r="T623" s="75">
        <f>0.5*(F622*Q622+F623*Q623)*R623</f>
        <v>1.8176504561235287</v>
      </c>
      <c r="U623" s="76">
        <f>U622+S623</f>
        <v>52.76358468796631</v>
      </c>
      <c r="V623" s="76">
        <f>V622+T623</f>
        <v>717.9524289271671</v>
      </c>
    </row>
    <row r="624" spans="1:22" ht="19" customHeight="1">
      <c r="A624" s="68" t="s">
        <v>362</v>
      </c>
      <c r="B624" s="74">
        <v>5</v>
      </c>
      <c r="C624" s="68" t="s">
        <v>363</v>
      </c>
      <c r="D624" s="68" t="s">
        <v>364</v>
      </c>
      <c r="E624" s="75">
        <f>60*F624*'THAM_SO_MOI'!$C$53/(2*PI()*'THAM_SO_MOI'!$C$26)</f>
        <v>1871.6770526315788</v>
      </c>
      <c r="F624" s="75">
        <f>'THAM_SO_MOI'!$E$53+('THAM_SO_MOI'!$C$14-'THAM_SO_MOI'!$E$53)*618/'THAM_SO_MOI'!$C$42</f>
        <v>18.996722222222225</v>
      </c>
      <c r="G624" s="75">
        <f>3.6*F624</f>
        <v>68.38820000000001</v>
      </c>
      <c r="H624" s="75">
        <f>'THAM_SO_MOI'!$D$53</f>
        <v>1.1</v>
      </c>
      <c r="I624" s="75">
        <f>IF(F624&gt;'THAM_SO_MOI'!$C$14,'THAM_SO_MOI'!$C$13*(1+F624^2/1500),'THAM_SO_MOI'!$C$13)</f>
        <v>0.015</v>
      </c>
      <c r="J624" s="75">
        <f>'THAM_SO_MOI'!$C$40*('THAM_SO_MOI'!$C$23*(E624/'THAM_SO_MOI'!$C$22)+'THAM_SO_MOI'!$C$24*(E624/'THAM_SO_MOI'!$C$22)^2-'THAM_SO_MOI'!$C$25*(E624/'THAM_SO_MOI'!$C$22)^3)</f>
        <v>83.46295993381149</v>
      </c>
      <c r="K624" s="75">
        <f>'THAM_SO_MOI'!$C$31*J624/E624</f>
        <v>425.9083798592901</v>
      </c>
      <c r="L624" s="75">
        <f>K624*'THAM_SO_MOI'!$C$53*'THAM_SO_MOI'!$C$17/'THAM_SO_MOI'!$C$26</f>
        <v>3735.218157932073</v>
      </c>
      <c r="M624" s="75">
        <f>'THAM_SO_MOI'!$C$15*'THAM_SO_MOI'!$C$16*F624^2</f>
        <v>1055.560706425695</v>
      </c>
      <c r="N624" s="75">
        <f>'THAM_SO_MOI'!$C$12*I624</f>
        <v>1130.112</v>
      </c>
      <c r="O624" s="75">
        <f>M624+N624</f>
        <v>2185.6727064256947</v>
      </c>
      <c r="P624" s="75">
        <f>(MIN(L624,'THAM_SO_MOI'!$C$41)-O624)/('THAM_SO_MOI'!$C$11*H624)</f>
        <v>0.18342157333172093</v>
      </c>
      <c r="Q624" s="75">
        <f>IF(P624&gt;0,1/P624,NA())</f>
        <v>5.451921395262942</v>
      </c>
      <c r="R624" s="75">
        <f>F624-F623</f>
        <v>0.017600427350430436</v>
      </c>
      <c r="S624" s="75">
        <f>0.5*(Q623+Q624)*R624</f>
        <v>0.09590917462593007</v>
      </c>
      <c r="T624" s="75">
        <f>0.5*(F623*Q623+F624*Q624)*R624</f>
        <v>1.8211163410632552</v>
      </c>
      <c r="U624" s="76">
        <f>U623+S624</f>
        <v>52.85949386259224</v>
      </c>
      <c r="V624" s="76">
        <f>V623+T624</f>
        <v>719.7735452682304</v>
      </c>
    </row>
    <row r="625" spans="1:22" ht="19" customHeight="1">
      <c r="A625" s="68" t="s">
        <v>362</v>
      </c>
      <c r="B625" s="74">
        <v>5</v>
      </c>
      <c r="C625" s="68" t="s">
        <v>363</v>
      </c>
      <c r="D625" s="68" t="s">
        <v>364</v>
      </c>
      <c r="E625" s="75">
        <f>60*F625*'THAM_SO_MOI'!$C$53/(2*PI()*'THAM_SO_MOI'!$C$26)</f>
        <v>1873.4111578947363</v>
      </c>
      <c r="F625" s="75">
        <f>'THAM_SO_MOI'!$E$53+('THAM_SO_MOI'!$C$14-'THAM_SO_MOI'!$E$53)*619/'THAM_SO_MOI'!$C$42</f>
        <v>19.014322649572648</v>
      </c>
      <c r="G625" s="75">
        <f>3.6*F625</f>
        <v>68.45156153846153</v>
      </c>
      <c r="H625" s="75">
        <f>'THAM_SO_MOI'!$D$53</f>
        <v>1.1</v>
      </c>
      <c r="I625" s="75">
        <f>IF(F625&gt;'THAM_SO_MOI'!$C$14,'THAM_SO_MOI'!$C$13*(1+F625^2/1500),'THAM_SO_MOI'!$C$13)</f>
        <v>0.015</v>
      </c>
      <c r="J625" s="75">
        <f>'THAM_SO_MOI'!$C$40*('THAM_SO_MOI'!$C$23*(E625/'THAM_SO_MOI'!$C$22)+'THAM_SO_MOI'!$C$24*(E625/'THAM_SO_MOI'!$C$22)^2-'THAM_SO_MOI'!$C$25*(E625/'THAM_SO_MOI'!$C$22)^3)</f>
        <v>83.54999380324166</v>
      </c>
      <c r="K625" s="75">
        <f>'THAM_SO_MOI'!$C$31*J625/E625</f>
        <v>425.9578613014558</v>
      </c>
      <c r="L625" s="75">
        <f>K625*'THAM_SO_MOI'!$C$53*'THAM_SO_MOI'!$C$17/'THAM_SO_MOI'!$C$26</f>
        <v>3735.6521103734854</v>
      </c>
      <c r="M625" s="75">
        <f>'THAM_SO_MOI'!$C$15*'THAM_SO_MOI'!$C$16*F625^2</f>
        <v>1057.5175625295005</v>
      </c>
      <c r="N625" s="75">
        <f>'THAM_SO_MOI'!$C$12*I625</f>
        <v>1130.112</v>
      </c>
      <c r="O625" s="75">
        <f>M625+N625</f>
        <v>2187.6295625295006</v>
      </c>
      <c r="P625" s="75">
        <f>(MIN(L625,'THAM_SO_MOI'!$C$41)-O625)/('THAM_SO_MOI'!$C$11*H625)</f>
        <v>0.18324130537925956</v>
      </c>
      <c r="Q625" s="75">
        <f>IF(P625&gt;0,1/P625,NA())</f>
        <v>5.457284851416402</v>
      </c>
      <c r="R625" s="75">
        <f>F625-F624</f>
        <v>0.01760042735042333</v>
      </c>
      <c r="S625" s="75">
        <f>0.5*(Q624+Q625)*R625</f>
        <v>0.09600334599773208</v>
      </c>
      <c r="T625" s="75">
        <f>0.5*(F624*Q624+F625*Q625)*R625</f>
        <v>1.8245941616473365</v>
      </c>
      <c r="U625" s="76">
        <f>U624+S625</f>
        <v>52.95549720858997</v>
      </c>
      <c r="V625" s="76">
        <f>V624+T625</f>
        <v>721.5981394298777</v>
      </c>
    </row>
    <row r="626" spans="1:22" ht="19" customHeight="1">
      <c r="A626" s="68" t="s">
        <v>362</v>
      </c>
      <c r="B626" s="74">
        <v>5</v>
      </c>
      <c r="C626" s="68" t="s">
        <v>363</v>
      </c>
      <c r="D626" s="68" t="s">
        <v>364</v>
      </c>
      <c r="E626" s="75">
        <f>60*F626*'THAM_SO_MOI'!$C$53/(2*PI()*'THAM_SO_MOI'!$C$26)</f>
        <v>1875.1452631578943</v>
      </c>
      <c r="F626" s="75">
        <f>'THAM_SO_MOI'!$E$53+('THAM_SO_MOI'!$C$14-'THAM_SO_MOI'!$E$53)*620/'THAM_SO_MOI'!$C$42</f>
        <v>19.03192307692308</v>
      </c>
      <c r="G626" s="75">
        <f>3.6*F626</f>
        <v>68.51492307692308</v>
      </c>
      <c r="H626" s="75">
        <f>'THAM_SO_MOI'!$D$53</f>
        <v>1.1</v>
      </c>
      <c r="I626" s="75">
        <f>IF(F626&gt;'THAM_SO_MOI'!$C$14,'THAM_SO_MOI'!$C$13*(1+F626^2/1500),'THAM_SO_MOI'!$C$13)</f>
        <v>0.015</v>
      </c>
      <c r="J626" s="75">
        <f>'THAM_SO_MOI'!$C$40*('THAM_SO_MOI'!$C$23*(E626/'THAM_SO_MOI'!$C$22)+'THAM_SO_MOI'!$C$24*(E626/'THAM_SO_MOI'!$C$22)^2-'THAM_SO_MOI'!$C$25*(E626/'THAM_SO_MOI'!$C$22)^3)</f>
        <v>83.63698836466746</v>
      </c>
      <c r="K626" s="75">
        <f>'THAM_SO_MOI'!$C$31*J626/E626</f>
        <v>426.0070510079964</v>
      </c>
      <c r="L626" s="75">
        <f>K626*'THAM_SO_MOI'!$C$53*'THAM_SO_MOI'!$C$17/'THAM_SO_MOI'!$C$26</f>
        <v>3736.083504292324</v>
      </c>
      <c r="M626" s="75">
        <f>'THAM_SO_MOI'!$C$15*'THAM_SO_MOI'!$C$16*F626^2</f>
        <v>1059.476230817308</v>
      </c>
      <c r="N626" s="75">
        <f>'THAM_SO_MOI'!$C$12*I626</f>
        <v>1130.112</v>
      </c>
      <c r="O626" s="75">
        <f>M626+N626</f>
        <v>2189.588230817308</v>
      </c>
      <c r="P626" s="75">
        <f>(MIN(L626,'THAM_SO_MOI'!$C$41)-O626)/('THAM_SO_MOI'!$C$11*H626)</f>
        <v>0.18306052006096304</v>
      </c>
      <c r="Q626" s="75">
        <f>IF(P626&gt;0,1/P626,NA())</f>
        <v>5.462674309386747</v>
      </c>
      <c r="R626" s="75">
        <f>F626-F625</f>
        <v>0.017600427350430436</v>
      </c>
      <c r="S626" s="75">
        <f>0.5*(Q625+Q626)*R626</f>
        <v>0.09609797393969156</v>
      </c>
      <c r="T626" s="75">
        <f>0.5*(F625*Q625+F626*Q626)*R626</f>
        <v>1.8280839825438373</v>
      </c>
      <c r="U626" s="76">
        <f>U625+S626</f>
        <v>53.05159518252966</v>
      </c>
      <c r="V626" s="76">
        <f>V625+T626</f>
        <v>723.4262234124216</v>
      </c>
    </row>
    <row r="627" spans="1:22" ht="19" customHeight="1">
      <c r="A627" s="68" t="s">
        <v>362</v>
      </c>
      <c r="B627" s="74">
        <v>5</v>
      </c>
      <c r="C627" s="68" t="s">
        <v>363</v>
      </c>
      <c r="D627" s="68" t="s">
        <v>364</v>
      </c>
      <c r="E627" s="75">
        <f>60*F627*'THAM_SO_MOI'!$C$53/(2*PI()*'THAM_SO_MOI'!$C$26)</f>
        <v>1876.879368421052</v>
      </c>
      <c r="F627" s="75">
        <f>'THAM_SO_MOI'!$E$53+('THAM_SO_MOI'!$C$14-'THAM_SO_MOI'!$E$53)*621/'THAM_SO_MOI'!$C$42</f>
        <v>19.049523504273502</v>
      </c>
      <c r="G627" s="75">
        <f>3.6*F627</f>
        <v>68.5782846153846</v>
      </c>
      <c r="H627" s="75">
        <f>'THAM_SO_MOI'!$D$53</f>
        <v>1.1</v>
      </c>
      <c r="I627" s="75">
        <f>IF(F627&gt;'THAM_SO_MOI'!$C$14,'THAM_SO_MOI'!$C$13*(1+F627^2/1500),'THAM_SO_MOI'!$C$13)</f>
        <v>0.015</v>
      </c>
      <c r="J627" s="75">
        <f>'THAM_SO_MOI'!$C$40*('THAM_SO_MOI'!$C$23*(E627/'THAM_SO_MOI'!$C$22)+'THAM_SO_MOI'!$C$24*(E627/'THAM_SO_MOI'!$C$22)^2-'THAM_SO_MOI'!$C$25*(E627/'THAM_SO_MOI'!$C$22)^3)</f>
        <v>83.72394345918559</v>
      </c>
      <c r="K627" s="75">
        <f>'THAM_SO_MOI'!$C$31*J627/E627</f>
        <v>426.0559489789119</v>
      </c>
      <c r="L627" s="75">
        <f>K627*'THAM_SO_MOI'!$C$53*'THAM_SO_MOI'!$C$17/'THAM_SO_MOI'!$C$26</f>
        <v>3736.5123396885892</v>
      </c>
      <c r="M627" s="75">
        <f>'THAM_SO_MOI'!$C$15*'THAM_SO_MOI'!$C$16*F627^2</f>
        <v>1061.4367112891157</v>
      </c>
      <c r="N627" s="75">
        <f>'THAM_SO_MOI'!$C$12*I627</f>
        <v>1130.112</v>
      </c>
      <c r="O627" s="75">
        <f>M627+N627</f>
        <v>2191.548711289116</v>
      </c>
      <c r="P627" s="75">
        <f>(MIN(L627,'THAM_SO_MOI'!$C$41)-O627)/('THAM_SO_MOI'!$C$11*H627)</f>
        <v>0.18287921737683158</v>
      </c>
      <c r="Q627" s="75">
        <f>IF(P627&gt;0,1/P627,NA())</f>
        <v>5.468089892026665</v>
      </c>
      <c r="R627" s="75">
        <f>F627-F626</f>
        <v>0.01760042735042333</v>
      </c>
      <c r="S627" s="75">
        <f>0.5*(Q626+Q627)*R627</f>
        <v>0.09619306060579243</v>
      </c>
      <c r="T627" s="75">
        <f>0.5*(F626*Q626+F627*Q627)*R627</f>
        <v>1.831585868873731</v>
      </c>
      <c r="U627" s="76">
        <f>U626+S627</f>
        <v>53.14778824313545</v>
      </c>
      <c r="V627" s="76">
        <f>V626+T627</f>
        <v>725.2578092812953</v>
      </c>
    </row>
    <row r="628" spans="1:22" ht="19" customHeight="1">
      <c r="A628" s="68" t="s">
        <v>362</v>
      </c>
      <c r="B628" s="74">
        <v>5</v>
      </c>
      <c r="C628" s="68" t="s">
        <v>363</v>
      </c>
      <c r="D628" s="68" t="s">
        <v>364</v>
      </c>
      <c r="E628" s="75">
        <f>60*F628*'THAM_SO_MOI'!$C$53/(2*PI()*'THAM_SO_MOI'!$C$26)</f>
        <v>1878.61347368421</v>
      </c>
      <c r="F628" s="75">
        <f>'THAM_SO_MOI'!$E$53+('THAM_SO_MOI'!$C$14-'THAM_SO_MOI'!$E$53)*622/'THAM_SO_MOI'!$C$42</f>
        <v>19.067123931623932</v>
      </c>
      <c r="G628" s="75">
        <f>3.6*F628</f>
        <v>68.64164615384615</v>
      </c>
      <c r="H628" s="75">
        <f>'THAM_SO_MOI'!$D$53</f>
        <v>1.1</v>
      </c>
      <c r="I628" s="75">
        <f>IF(F628&gt;'THAM_SO_MOI'!$C$14,'THAM_SO_MOI'!$C$13*(1+F628^2/1500),'THAM_SO_MOI'!$C$13)</f>
        <v>0.015</v>
      </c>
      <c r="J628" s="75">
        <f>'THAM_SO_MOI'!$C$40*('THAM_SO_MOI'!$C$23*(E628/'THAM_SO_MOI'!$C$22)+'THAM_SO_MOI'!$C$24*(E628/'THAM_SO_MOI'!$C$22)^2-'THAM_SO_MOI'!$C$25*(E628/'THAM_SO_MOI'!$C$22)^3)</f>
        <v>83.8108589278928</v>
      </c>
      <c r="K628" s="75">
        <f>'THAM_SO_MOI'!$C$31*J628/E628</f>
        <v>426.10455521420243</v>
      </c>
      <c r="L628" s="75">
        <f>K628*'THAM_SO_MOI'!$C$53*'THAM_SO_MOI'!$C$17/'THAM_SO_MOI'!$C$26</f>
        <v>3736.9386165622823</v>
      </c>
      <c r="M628" s="75">
        <f>'THAM_SO_MOI'!$C$15*'THAM_SO_MOI'!$C$16*F628^2</f>
        <v>1063.3990039449254</v>
      </c>
      <c r="N628" s="75">
        <f>'THAM_SO_MOI'!$C$12*I628</f>
        <v>1130.112</v>
      </c>
      <c r="O628" s="75">
        <f>M628+N628</f>
        <v>2193.5110039449255</v>
      </c>
      <c r="P628" s="75">
        <f>(MIN(L628,'THAM_SO_MOI'!$C$41)-O628)/('THAM_SO_MOI'!$C$11*H628)</f>
        <v>0.18269739732686516</v>
      </c>
      <c r="Q628" s="75">
        <f>IF(P628&gt;0,1/P628,NA())</f>
        <v>5.473531723119696</v>
      </c>
      <c r="R628" s="75">
        <f>F628-F627</f>
        <v>0.017600427350430436</v>
      </c>
      <c r="S628" s="75">
        <f>0.5*(Q627+Q628)*R628</f>
        <v>0.09628860816664142</v>
      </c>
      <c r="T628" s="75">
        <f>0.5*(F627*Q627+F628*Q628)*R628</f>
        <v>1.835099886226438</v>
      </c>
      <c r="U628" s="76">
        <f>U627+S628</f>
        <v>53.24407685130209</v>
      </c>
      <c r="V628" s="76">
        <f>V627+T628</f>
        <v>727.0929091675217</v>
      </c>
    </row>
    <row r="629" spans="1:22" ht="19" customHeight="1">
      <c r="A629" s="68" t="s">
        <v>362</v>
      </c>
      <c r="B629" s="74">
        <v>5</v>
      </c>
      <c r="C629" s="68" t="s">
        <v>363</v>
      </c>
      <c r="D629" s="68" t="s">
        <v>364</v>
      </c>
      <c r="E629" s="75">
        <f>60*F629*'THAM_SO_MOI'!$C$53/(2*PI()*'THAM_SO_MOI'!$C$26)</f>
        <v>1880.347578947368</v>
      </c>
      <c r="F629" s="75">
        <f>'THAM_SO_MOI'!$E$53+('THAM_SO_MOI'!$C$14-'THAM_SO_MOI'!$E$53)*623/'THAM_SO_MOI'!$C$42</f>
        <v>19.08472435897436</v>
      </c>
      <c r="G629" s="75">
        <f>3.6*F629</f>
        <v>68.70500769230769</v>
      </c>
      <c r="H629" s="75">
        <f>'THAM_SO_MOI'!$D$53</f>
        <v>1.1</v>
      </c>
      <c r="I629" s="75">
        <f>IF(F629&gt;'THAM_SO_MOI'!$C$14,'THAM_SO_MOI'!$C$13*(1+F629^2/1500),'THAM_SO_MOI'!$C$13)</f>
        <v>0.015</v>
      </c>
      <c r="J629" s="75">
        <f>'THAM_SO_MOI'!$C$40*('THAM_SO_MOI'!$C$23*(E629/'THAM_SO_MOI'!$C$22)+'THAM_SO_MOI'!$C$24*(E629/'THAM_SO_MOI'!$C$22)^2-'THAM_SO_MOI'!$C$25*(E629/'THAM_SO_MOI'!$C$22)^3)</f>
        <v>83.89773461188577</v>
      </c>
      <c r="K629" s="75">
        <f>'THAM_SO_MOI'!$C$31*J629/E629</f>
        <v>426.1528697138678</v>
      </c>
      <c r="L629" s="75">
        <f>K629*'THAM_SO_MOI'!$C$53*'THAM_SO_MOI'!$C$17/'THAM_SO_MOI'!$C$26</f>
        <v>3737.3623349134004</v>
      </c>
      <c r="M629" s="75">
        <f>'THAM_SO_MOI'!$C$15*'THAM_SO_MOI'!$C$16*F629^2</f>
        <v>1065.3631087847357</v>
      </c>
      <c r="N629" s="75">
        <f>'THAM_SO_MOI'!$C$12*I629</f>
        <v>1130.112</v>
      </c>
      <c r="O629" s="75">
        <f>M629+N629</f>
        <v>2195.4751087847358</v>
      </c>
      <c r="P629" s="75">
        <f>(MIN(L629,'THAM_SO_MOI'!$C$41)-O629)/('THAM_SO_MOI'!$C$11*H629)</f>
        <v>0.18251505991106354</v>
      </c>
      <c r="Q629" s="75">
        <f>IF(P629&gt;0,1/P629,NA())</f>
        <v>5.478999927388364</v>
      </c>
      <c r="R629" s="75">
        <f>F629-F628</f>
        <v>0.017600427350426884</v>
      </c>
      <c r="S629" s="75">
        <f>0.5*(Q628+Q629)*R629</f>
        <v>0.09638461880900909</v>
      </c>
      <c r="T629" s="75">
        <f>0.5*(F628*Q628+F629*Q629)*R629</f>
        <v>1.8386261006525335</v>
      </c>
      <c r="U629" s="76">
        <f>U628+S629</f>
        <v>53.3404614701111</v>
      </c>
      <c r="V629" s="76">
        <f>V628+T629</f>
        <v>728.9315352681742</v>
      </c>
    </row>
    <row r="630" spans="1:22" ht="19" customHeight="1">
      <c r="A630" s="68" t="s">
        <v>362</v>
      </c>
      <c r="B630" s="74">
        <v>5</v>
      </c>
      <c r="C630" s="68" t="s">
        <v>363</v>
      </c>
      <c r="D630" s="68" t="s">
        <v>364</v>
      </c>
      <c r="E630" s="75">
        <f>60*F630*'THAM_SO_MOI'!$C$53/(2*PI()*'THAM_SO_MOI'!$C$26)</f>
        <v>1882.081684210526</v>
      </c>
      <c r="F630" s="75">
        <f>'THAM_SO_MOI'!$E$53+('THAM_SO_MOI'!$C$14-'THAM_SO_MOI'!$E$53)*624/'THAM_SO_MOI'!$C$42</f>
        <v>19.102324786324786</v>
      </c>
      <c r="G630" s="75">
        <f>3.6*F630</f>
        <v>68.76836923076924</v>
      </c>
      <c r="H630" s="75">
        <f>'THAM_SO_MOI'!$D$53</f>
        <v>1.1</v>
      </c>
      <c r="I630" s="75">
        <f>IF(F630&gt;'THAM_SO_MOI'!$C$14,'THAM_SO_MOI'!$C$13*(1+F630^2/1500),'THAM_SO_MOI'!$C$13)</f>
        <v>0.015</v>
      </c>
      <c r="J630" s="75">
        <f>'THAM_SO_MOI'!$C$40*('THAM_SO_MOI'!$C$23*(E630/'THAM_SO_MOI'!$C$22)+'THAM_SO_MOI'!$C$24*(E630/'THAM_SO_MOI'!$C$22)^2-'THAM_SO_MOI'!$C$25*(E630/'THAM_SO_MOI'!$C$22)^3)</f>
        <v>83.98457035226127</v>
      </c>
      <c r="K630" s="75">
        <f>'THAM_SO_MOI'!$C$31*J630/E630</f>
        <v>426.20089247790827</v>
      </c>
      <c r="L630" s="75">
        <f>K630*'THAM_SO_MOI'!$C$53*'THAM_SO_MOI'!$C$17/'THAM_SO_MOI'!$C$26</f>
        <v>3737.7834947419465</v>
      </c>
      <c r="M630" s="75">
        <f>'THAM_SO_MOI'!$C$15*'THAM_SO_MOI'!$C$16*F630^2</f>
        <v>1067.3290258085472</v>
      </c>
      <c r="N630" s="75">
        <f>'THAM_SO_MOI'!$C$12*I630</f>
        <v>1130.112</v>
      </c>
      <c r="O630" s="75">
        <f>M630+N630</f>
        <v>2197.4410258085472</v>
      </c>
      <c r="P630" s="75">
        <f>(MIN(L630,'THAM_SO_MOI'!$C$41)-O630)/('THAM_SO_MOI'!$C$11*H630)</f>
        <v>0.182332205129427</v>
      </c>
      <c r="Q630" s="75">
        <f>IF(P630&gt;0,1/P630,NA())</f>
        <v>5.484494630502375</v>
      </c>
      <c r="R630" s="75">
        <f>F630-F629</f>
        <v>0.017600427350426884</v>
      </c>
      <c r="S630" s="75">
        <f>0.5*(Q629+Q630)*R630</f>
        <v>0.09648109473647824</v>
      </c>
      <c r="T630" s="75">
        <f>0.5*(F629*Q629+F630*Q630)*R630</f>
        <v>1.8421645786775518</v>
      </c>
      <c r="U630" s="76">
        <f>U629+S630</f>
        <v>53.43694256484758</v>
      </c>
      <c r="V630" s="76">
        <f>V629+T630</f>
        <v>730.7736998468517</v>
      </c>
    </row>
    <row r="631" spans="1:22" ht="19" customHeight="1">
      <c r="A631" s="68" t="s">
        <v>362</v>
      </c>
      <c r="B631" s="74">
        <v>5</v>
      </c>
      <c r="C631" s="68" t="s">
        <v>363</v>
      </c>
      <c r="D631" s="68" t="s">
        <v>364</v>
      </c>
      <c r="E631" s="75">
        <f>60*F631*'THAM_SO_MOI'!$C$53/(2*PI()*'THAM_SO_MOI'!$C$26)</f>
        <v>1883.8157894736835</v>
      </c>
      <c r="F631" s="75">
        <f>'THAM_SO_MOI'!$E$53+('THAM_SO_MOI'!$C$14-'THAM_SO_MOI'!$E$53)*625/'THAM_SO_MOI'!$C$42</f>
        <v>19.119925213675213</v>
      </c>
      <c r="G631" s="75">
        <f>3.6*F631</f>
        <v>68.83173076923077</v>
      </c>
      <c r="H631" s="75">
        <f>'THAM_SO_MOI'!$D$53</f>
        <v>1.1</v>
      </c>
      <c r="I631" s="75">
        <f>IF(F631&gt;'THAM_SO_MOI'!$C$14,'THAM_SO_MOI'!$C$13*(1+F631^2/1500),'THAM_SO_MOI'!$C$13)</f>
        <v>0.015</v>
      </c>
      <c r="J631" s="75">
        <f>'THAM_SO_MOI'!$C$40*('THAM_SO_MOI'!$C$23*(E631/'THAM_SO_MOI'!$C$22)+'THAM_SO_MOI'!$C$24*(E631/'THAM_SO_MOI'!$C$22)^2-'THAM_SO_MOI'!$C$25*(E631/'THAM_SO_MOI'!$C$22)^3)</f>
        <v>84.07136599011596</v>
      </c>
      <c r="K631" s="75">
        <f>'THAM_SO_MOI'!$C$31*J631/E631</f>
        <v>426.2486235063236</v>
      </c>
      <c r="L631" s="75">
        <f>K631*'THAM_SO_MOI'!$C$53*'THAM_SO_MOI'!$C$17/'THAM_SO_MOI'!$C$26</f>
        <v>3738.2020960479194</v>
      </c>
      <c r="M631" s="75">
        <f>'THAM_SO_MOI'!$C$15*'THAM_SO_MOI'!$C$16*F631^2</f>
        <v>1069.2967550163594</v>
      </c>
      <c r="N631" s="75">
        <f>'THAM_SO_MOI'!$C$12*I631</f>
        <v>1130.112</v>
      </c>
      <c r="O631" s="75">
        <f>M631+N631</f>
        <v>2199.4087550163595</v>
      </c>
      <c r="P631" s="75">
        <f>(MIN(L631,'THAM_SO_MOI'!$C$41)-O631)/('THAM_SO_MOI'!$C$11*H631)</f>
        <v>0.1821488329819555</v>
      </c>
      <c r="Q631" s="75">
        <f>IF(P631&gt;0,1/P631,NA())</f>
        <v>5.490015959086955</v>
      </c>
      <c r="R631" s="75">
        <f>F631-F630</f>
        <v>0.017600427350426884</v>
      </c>
      <c r="S631" s="75">
        <f>0.5*(Q630+Q631)*R631</f>
        <v>0.09657803816927876</v>
      </c>
      <c r="T631" s="75">
        <f>0.5*(F630*Q630+F631*Q631)*R631</f>
        <v>1.8457153873003072</v>
      </c>
      <c r="U631" s="76">
        <f>U630+S631</f>
        <v>53.533520603016854</v>
      </c>
      <c r="V631" s="76">
        <f>V630+T631</f>
        <v>732.619415234152</v>
      </c>
    </row>
    <row r="632" spans="1:22" ht="19" customHeight="1">
      <c r="A632" s="68" t="s">
        <v>362</v>
      </c>
      <c r="B632" s="74">
        <v>5</v>
      </c>
      <c r="C632" s="68" t="s">
        <v>363</v>
      </c>
      <c r="D632" s="68" t="s">
        <v>364</v>
      </c>
      <c r="E632" s="75">
        <f>60*F632*'THAM_SO_MOI'!$C$53/(2*PI()*'THAM_SO_MOI'!$C$26)</f>
        <v>1885.5498947368415</v>
      </c>
      <c r="F632" s="75">
        <f>'THAM_SO_MOI'!$E$53+('THAM_SO_MOI'!$C$14-'THAM_SO_MOI'!$E$53)*626/'THAM_SO_MOI'!$C$42</f>
        <v>19.13752564102564</v>
      </c>
      <c r="G632" s="75">
        <f>3.6*F632</f>
        <v>68.89509230769231</v>
      </c>
      <c r="H632" s="75">
        <f>'THAM_SO_MOI'!$D$53</f>
        <v>1.1</v>
      </c>
      <c r="I632" s="75">
        <f>IF(F632&gt;'THAM_SO_MOI'!$C$14,'THAM_SO_MOI'!$C$13*(1+F632^2/1500),'THAM_SO_MOI'!$C$13)</f>
        <v>0.015</v>
      </c>
      <c r="J632" s="75">
        <f>'THAM_SO_MOI'!$C$40*('THAM_SO_MOI'!$C$23*(E632/'THAM_SO_MOI'!$C$22)+'THAM_SO_MOI'!$C$24*(E632/'THAM_SO_MOI'!$C$22)^2-'THAM_SO_MOI'!$C$25*(E632/'THAM_SO_MOI'!$C$22)^3)</f>
        <v>84.15812136654665</v>
      </c>
      <c r="K632" s="75">
        <f>'THAM_SO_MOI'!$C$31*J632/E632</f>
        <v>426.29606279911405</v>
      </c>
      <c r="L632" s="75">
        <f>K632*'THAM_SO_MOI'!$C$53*'THAM_SO_MOI'!$C$17/'THAM_SO_MOI'!$C$26</f>
        <v>3738.61813883132</v>
      </c>
      <c r="M632" s="75">
        <f>'THAM_SO_MOI'!$C$15*'THAM_SO_MOI'!$C$16*F632^2</f>
        <v>1071.266296408173</v>
      </c>
      <c r="N632" s="75">
        <f>'THAM_SO_MOI'!$C$12*I632</f>
        <v>1130.112</v>
      </c>
      <c r="O632" s="75">
        <f>M632+N632</f>
        <v>2201.378296408173</v>
      </c>
      <c r="P632" s="75">
        <f>(MIN(L632,'THAM_SO_MOI'!$C$41)-O632)/('THAM_SO_MOI'!$C$11*H632)</f>
        <v>0.18196494346864903</v>
      </c>
      <c r="Q632" s="75">
        <f>IF(P632&gt;0,1/P632,NA())</f>
        <v>5.495564040731237</v>
      </c>
      <c r="R632" s="75">
        <f>F632-F631</f>
        <v>0.017600427350426884</v>
      </c>
      <c r="S632" s="75">
        <f>0.5*(Q631+Q632)*R632</f>
        <v>0.09667545134455134</v>
      </c>
      <c r="T632" s="75">
        <f>0.5*(F631*Q631+F632*Q632)*R632</f>
        <v>1.8492785939994054</v>
      </c>
      <c r="U632" s="76">
        <f>U631+S632</f>
        <v>53.630196054361406</v>
      </c>
      <c r="V632" s="76">
        <f>V631+T632</f>
        <v>734.4686938281515</v>
      </c>
    </row>
    <row r="633" spans="1:22" ht="19" customHeight="1">
      <c r="A633" s="68" t="s">
        <v>362</v>
      </c>
      <c r="B633" s="74">
        <v>5</v>
      </c>
      <c r="C633" s="68" t="s">
        <v>363</v>
      </c>
      <c r="D633" s="68" t="s">
        <v>364</v>
      </c>
      <c r="E633" s="75">
        <f>60*F633*'THAM_SO_MOI'!$C$53/(2*PI()*'THAM_SO_MOI'!$C$26)</f>
        <v>1887.2839999999992</v>
      </c>
      <c r="F633" s="75">
        <f>'THAM_SO_MOI'!$E$53+('THAM_SO_MOI'!$C$14-'THAM_SO_MOI'!$E$53)*627/'THAM_SO_MOI'!$C$42</f>
        <v>19.155126068376067</v>
      </c>
      <c r="G633" s="75">
        <f>3.6*F633</f>
        <v>68.95845384615384</v>
      </c>
      <c r="H633" s="75">
        <f>'THAM_SO_MOI'!$D$53</f>
        <v>1.1</v>
      </c>
      <c r="I633" s="75">
        <f>IF(F633&gt;'THAM_SO_MOI'!$C$14,'THAM_SO_MOI'!$C$13*(1+F633^2/1500),'THAM_SO_MOI'!$C$13)</f>
        <v>0.015</v>
      </c>
      <c r="J633" s="75">
        <f>'THAM_SO_MOI'!$C$40*('THAM_SO_MOI'!$C$23*(E633/'THAM_SO_MOI'!$C$22)+'THAM_SO_MOI'!$C$24*(E633/'THAM_SO_MOI'!$C$22)^2-'THAM_SO_MOI'!$C$25*(E633/'THAM_SO_MOI'!$C$22)^3)</f>
        <v>84.24483632264999</v>
      </c>
      <c r="K633" s="75">
        <f>'THAM_SO_MOI'!$C$31*J633/E633</f>
        <v>426.3432103562794</v>
      </c>
      <c r="L633" s="75">
        <f>K633*'THAM_SO_MOI'!$C$53*'THAM_SO_MOI'!$C$17/'THAM_SO_MOI'!$C$26</f>
        <v>3739.031623092147</v>
      </c>
      <c r="M633" s="75">
        <f>'THAM_SO_MOI'!$C$15*'THAM_SO_MOI'!$C$16*F633^2</f>
        <v>1073.2376499839875</v>
      </c>
      <c r="N633" s="75">
        <f>'THAM_SO_MOI'!$C$12*I633</f>
        <v>1130.112</v>
      </c>
      <c r="O633" s="75">
        <f>M633+N633</f>
        <v>2203.3496499839875</v>
      </c>
      <c r="P633" s="75">
        <f>(MIN(L633,'THAM_SO_MOI'!$C$41)-O633)/('THAM_SO_MOI'!$C$11*H633)</f>
        <v>0.18178053658950752</v>
      </c>
      <c r="Q633" s="75">
        <f>IF(P633&gt;0,1/P633,NA())</f>
        <v>5.5011390039967605</v>
      </c>
      <c r="R633" s="75">
        <f>F633-F632</f>
        <v>0.017600427350426884</v>
      </c>
      <c r="S633" s="75">
        <f>0.5*(Q632+Q633)*R633</f>
        <v>0.09677333651647661</v>
      </c>
      <c r="T633" s="75">
        <f>0.5*(F632*Q632+F633*Q633)*R633</f>
        <v>1.8528542667372034</v>
      </c>
      <c r="U633" s="76">
        <f>U632+S633</f>
        <v>53.72696939087788</v>
      </c>
      <c r="V633" s="76">
        <f>V632+T633</f>
        <v>736.3215480948886</v>
      </c>
    </row>
    <row r="634" spans="1:22" ht="19" customHeight="1">
      <c r="A634" s="68" t="s">
        <v>362</v>
      </c>
      <c r="B634" s="74">
        <v>5</v>
      </c>
      <c r="C634" s="68" t="s">
        <v>363</v>
      </c>
      <c r="D634" s="68" t="s">
        <v>364</v>
      </c>
      <c r="E634" s="75">
        <f>60*F634*'THAM_SO_MOI'!$C$53/(2*PI()*'THAM_SO_MOI'!$C$26)</f>
        <v>1889.0181052631574</v>
      </c>
      <c r="F634" s="75">
        <f>'THAM_SO_MOI'!$E$53+('THAM_SO_MOI'!$C$14-'THAM_SO_MOI'!$E$53)*628/'THAM_SO_MOI'!$C$42</f>
        <v>19.172726495726494</v>
      </c>
      <c r="G634" s="75">
        <f>3.6*F634</f>
        <v>69.02181538461538</v>
      </c>
      <c r="H634" s="75">
        <f>'THAM_SO_MOI'!$D$53</f>
        <v>1.1</v>
      </c>
      <c r="I634" s="75">
        <f>IF(F634&gt;'THAM_SO_MOI'!$C$14,'THAM_SO_MOI'!$C$13*(1+F634^2/1500),'THAM_SO_MOI'!$C$13)</f>
        <v>0.015</v>
      </c>
      <c r="J634" s="75">
        <f>'THAM_SO_MOI'!$C$40*('THAM_SO_MOI'!$C$23*(E634/'THAM_SO_MOI'!$C$22)+'THAM_SO_MOI'!$C$24*(E634/'THAM_SO_MOI'!$C$22)^2-'THAM_SO_MOI'!$C$25*(E634/'THAM_SO_MOI'!$C$22)^3)</f>
        <v>84.33151069952271</v>
      </c>
      <c r="K634" s="75">
        <f>'THAM_SO_MOI'!$C$31*J634/E634</f>
        <v>426.3900661778196</v>
      </c>
      <c r="L634" s="75">
        <f>K634*'THAM_SO_MOI'!$C$53*'THAM_SO_MOI'!$C$17/'THAM_SO_MOI'!$C$26</f>
        <v>3739.4425488304</v>
      </c>
      <c r="M634" s="75">
        <f>'THAM_SO_MOI'!$C$15*'THAM_SO_MOI'!$C$16*F634^2</f>
        <v>1075.2108157438033</v>
      </c>
      <c r="N634" s="75">
        <f>'THAM_SO_MOI'!$C$12*I634</f>
        <v>1130.112</v>
      </c>
      <c r="O634" s="75">
        <f>M634+N634</f>
        <v>2205.3228157438034</v>
      </c>
      <c r="P634" s="75">
        <f>(MIN(L634,'THAM_SO_MOI'!$C$41)-O634)/('THAM_SO_MOI'!$C$11*H634)</f>
        <v>0.18159561234453084</v>
      </c>
      <c r="Q634" s="75">
        <f>IF(P634&gt;0,1/P634,NA())</f>
        <v>5.506740978426053</v>
      </c>
      <c r="R634" s="75">
        <f>F634-F633</f>
        <v>0.017600427350426884</v>
      </c>
      <c r="S634" s="75">
        <f>0.5*(Q633+Q634)*R634</f>
        <v>0.09687169595642556</v>
      </c>
      <c r="T634" s="75">
        <f>0.5*(F633*Q633+F634*Q634)*R634</f>
        <v>1.8564424739641916</v>
      </c>
      <c r="U634" s="76">
        <f>U633+S634</f>
        <v>53.82384108683431</v>
      </c>
      <c r="V634" s="76">
        <f>V633+T634</f>
        <v>738.1779905688528</v>
      </c>
    </row>
    <row r="635" spans="1:22" ht="19" customHeight="1">
      <c r="A635" s="68" t="s">
        <v>362</v>
      </c>
      <c r="B635" s="74">
        <v>5</v>
      </c>
      <c r="C635" s="68" t="s">
        <v>363</v>
      </c>
      <c r="D635" s="68" t="s">
        <v>364</v>
      </c>
      <c r="E635" s="75">
        <f>60*F635*'THAM_SO_MOI'!$C$53/(2*PI()*'THAM_SO_MOI'!$C$26)</f>
        <v>1890.7522105263158</v>
      </c>
      <c r="F635" s="75">
        <f>'THAM_SO_MOI'!$E$53+('THAM_SO_MOI'!$C$14-'THAM_SO_MOI'!$E$53)*629/'THAM_SO_MOI'!$C$42</f>
        <v>19.190326923076924</v>
      </c>
      <c r="G635" s="75">
        <f>3.6*F635</f>
        <v>69.08517692307693</v>
      </c>
      <c r="H635" s="75">
        <f>'THAM_SO_MOI'!$D$53</f>
        <v>1.1</v>
      </c>
      <c r="I635" s="75">
        <f>IF(F635&gt;'THAM_SO_MOI'!$C$14,'THAM_SO_MOI'!$C$13*(1+F635^2/1500),'THAM_SO_MOI'!$C$13)</f>
        <v>0.015</v>
      </c>
      <c r="J635" s="75">
        <f>'THAM_SO_MOI'!$C$40*('THAM_SO_MOI'!$C$23*(E635/'THAM_SO_MOI'!$C$22)+'THAM_SO_MOI'!$C$24*(E635/'THAM_SO_MOI'!$C$22)^2-'THAM_SO_MOI'!$C$25*(E635/'THAM_SO_MOI'!$C$22)^3)</f>
        <v>84.41814433826158</v>
      </c>
      <c r="K635" s="75">
        <f>'THAM_SO_MOI'!$C$31*J635/E635</f>
        <v>426.43663026373497</v>
      </c>
      <c r="L635" s="75">
        <f>K635*'THAM_SO_MOI'!$C$53*'THAM_SO_MOI'!$C$17/'THAM_SO_MOI'!$C$26</f>
        <v>3739.8509160460817</v>
      </c>
      <c r="M635" s="75">
        <f>'THAM_SO_MOI'!$C$15*'THAM_SO_MOI'!$C$16*F635^2</f>
        <v>1077.1857936876204</v>
      </c>
      <c r="N635" s="75">
        <f>'THAM_SO_MOI'!$C$12*I635</f>
        <v>1130.112</v>
      </c>
      <c r="O635" s="75">
        <f>M635+N635</f>
        <v>2207.2977936876205</v>
      </c>
      <c r="P635" s="75">
        <f>(MIN(L635,'THAM_SO_MOI'!$C$41)-O635)/('THAM_SO_MOI'!$C$11*H635)</f>
        <v>0.18141017073371937</v>
      </c>
      <c r="Q635" s="75">
        <f>IF(P635&gt;0,1/P635,NA())</f>
        <v>5.512370094551299</v>
      </c>
      <c r="R635" s="75">
        <f>F635-F634</f>
        <v>0.017600427350430436</v>
      </c>
      <c r="S635" s="75">
        <f>0.5*(Q634+Q635)*R635</f>
        <v>0.09697053195313074</v>
      </c>
      <c r="T635" s="75">
        <f>0.5*(F634*Q634+F635*Q635)*R635</f>
        <v>1.860043284623791</v>
      </c>
      <c r="U635" s="76">
        <f>U634+S635</f>
        <v>53.92081161878744</v>
      </c>
      <c r="V635" s="76">
        <f>V634+T635</f>
        <v>740.0380338534766</v>
      </c>
    </row>
    <row r="636" spans="1:22" ht="19" customHeight="1">
      <c r="A636" s="68" t="s">
        <v>362</v>
      </c>
      <c r="B636" s="74">
        <v>5</v>
      </c>
      <c r="C636" s="68" t="s">
        <v>363</v>
      </c>
      <c r="D636" s="68" t="s">
        <v>364</v>
      </c>
      <c r="E636" s="75">
        <f>60*F636*'THAM_SO_MOI'!$C$53/(2*PI()*'THAM_SO_MOI'!$C$26)</f>
        <v>1892.486315789473</v>
      </c>
      <c r="F636" s="75">
        <f>'THAM_SO_MOI'!$E$53+('THAM_SO_MOI'!$C$14-'THAM_SO_MOI'!$E$53)*630/'THAM_SO_MOI'!$C$42</f>
        <v>19.207927350427347</v>
      </c>
      <c r="G636" s="75">
        <f>3.6*F636</f>
        <v>69.14853846153845</v>
      </c>
      <c r="H636" s="75">
        <f>'THAM_SO_MOI'!$D$53</f>
        <v>1.1</v>
      </c>
      <c r="I636" s="75">
        <f>IF(F636&gt;'THAM_SO_MOI'!$C$14,'THAM_SO_MOI'!$C$13*(1+F636^2/1500),'THAM_SO_MOI'!$C$13)</f>
        <v>0.015</v>
      </c>
      <c r="J636" s="75">
        <f>'THAM_SO_MOI'!$C$40*('THAM_SO_MOI'!$C$23*(E636/'THAM_SO_MOI'!$C$22)+'THAM_SO_MOI'!$C$24*(E636/'THAM_SO_MOI'!$C$22)^2-'THAM_SO_MOI'!$C$25*(E636/'THAM_SO_MOI'!$C$22)^3)</f>
        <v>84.50473707996322</v>
      </c>
      <c r="K636" s="75">
        <f>'THAM_SO_MOI'!$C$31*J636/E636</f>
        <v>426.48290261402514</v>
      </c>
      <c r="L636" s="75">
        <f>K636*'THAM_SO_MOI'!$C$53*'THAM_SO_MOI'!$C$17/'THAM_SO_MOI'!$C$26</f>
        <v>3740.2567247391885</v>
      </c>
      <c r="M636" s="75">
        <f>'THAM_SO_MOI'!$C$15*'THAM_SO_MOI'!$C$16*F636^2</f>
        <v>1079.1625838154378</v>
      </c>
      <c r="N636" s="75">
        <f>'THAM_SO_MOI'!$C$12*I636</f>
        <v>1130.112</v>
      </c>
      <c r="O636" s="75">
        <f>M636+N636</f>
        <v>2209.274583815438</v>
      </c>
      <c r="P636" s="75">
        <f>(MIN(L636,'THAM_SO_MOI'!$C$41)-O636)/('THAM_SO_MOI'!$C$11*H636)</f>
        <v>0.18122421175707276</v>
      </c>
      <c r="Q636" s="75">
        <f>IF(P636&gt;0,1/P636,NA())</f>
        <v>5.518026483903149</v>
      </c>
      <c r="R636" s="75">
        <f>F636-F635</f>
        <v>0.01760042735042333</v>
      </c>
      <c r="S636" s="75">
        <f>0.5*(Q635+Q636)*R636</f>
        <v>0.09706984681272281</v>
      </c>
      <c r="T636" s="75">
        <f>0.5*(F635*Q635+F636*Q636)*R636</f>
        <v>1.8636567681545826</v>
      </c>
      <c r="U636" s="76">
        <f>U635+S636</f>
        <v>54.01788146560016</v>
      </c>
      <c r="V636" s="76">
        <f>V635+T636</f>
        <v>741.9016906216311</v>
      </c>
    </row>
    <row r="637" spans="1:22" ht="19" customHeight="1">
      <c r="A637" s="68" t="s">
        <v>362</v>
      </c>
      <c r="B637" s="74">
        <v>5</v>
      </c>
      <c r="C637" s="68" t="s">
        <v>363</v>
      </c>
      <c r="D637" s="68" t="s">
        <v>364</v>
      </c>
      <c r="E637" s="75">
        <f>60*F637*'THAM_SO_MOI'!$C$53/(2*PI()*'THAM_SO_MOI'!$C$26)</f>
        <v>1894.2204210526313</v>
      </c>
      <c r="F637" s="75">
        <f>'THAM_SO_MOI'!$E$53+('THAM_SO_MOI'!$C$14-'THAM_SO_MOI'!$E$53)*631/'THAM_SO_MOI'!$C$42</f>
        <v>19.225527777777778</v>
      </c>
      <c r="G637" s="75">
        <f>3.6*F637</f>
        <v>69.2119</v>
      </c>
      <c r="H637" s="75">
        <f>'THAM_SO_MOI'!$D$53</f>
        <v>1.1</v>
      </c>
      <c r="I637" s="75">
        <f>IF(F637&gt;'THAM_SO_MOI'!$C$14,'THAM_SO_MOI'!$C$13*(1+F637^2/1500),'THAM_SO_MOI'!$C$13)</f>
        <v>0.015</v>
      </c>
      <c r="J637" s="75">
        <f>'THAM_SO_MOI'!$C$40*('THAM_SO_MOI'!$C$23*(E637/'THAM_SO_MOI'!$C$22)+'THAM_SO_MOI'!$C$24*(E637/'THAM_SO_MOI'!$C$22)^2-'THAM_SO_MOI'!$C$25*(E637/'THAM_SO_MOI'!$C$22)^3)</f>
        <v>84.59128876572446</v>
      </c>
      <c r="K637" s="75">
        <f>'THAM_SO_MOI'!$C$31*J637/E637</f>
        <v>426.52888322869035</v>
      </c>
      <c r="L637" s="75">
        <f>K637*'THAM_SO_MOI'!$C$53*'THAM_SO_MOI'!$C$17/'THAM_SO_MOI'!$C$26</f>
        <v>3740.659974909723</v>
      </c>
      <c r="M637" s="75">
        <f>'THAM_SO_MOI'!$C$15*'THAM_SO_MOI'!$C$16*F637^2</f>
        <v>1081.141186127257</v>
      </c>
      <c r="N637" s="75">
        <f>'THAM_SO_MOI'!$C$12*I637</f>
        <v>1130.112</v>
      </c>
      <c r="O637" s="75">
        <f>M637+N637</f>
        <v>2211.2531861272573</v>
      </c>
      <c r="P637" s="75">
        <f>(MIN(L637,'THAM_SO_MOI'!$C$41)-O637)/('THAM_SO_MOI'!$C$11*H637)</f>
        <v>0.18103773541459112</v>
      </c>
      <c r="Q637" s="75">
        <f>IF(P637&gt;0,1/P637,NA())</f>
        <v>5.523710279019558</v>
      </c>
      <c r="R637" s="75">
        <f>F637-F636</f>
        <v>0.017600427350430436</v>
      </c>
      <c r="S637" s="75">
        <f>0.5*(Q636+Q637)*R637</f>
        <v>0.09716964285919902</v>
      </c>
      <c r="T637" s="75">
        <f>0.5*(F636*Q636+F637*Q637)*R637</f>
        <v>1.8672829945008407</v>
      </c>
      <c r="U637" s="76">
        <f>U636+S637</f>
        <v>54.11505110845936</v>
      </c>
      <c r="V637" s="76">
        <f>V636+T637</f>
        <v>743.768973616132</v>
      </c>
    </row>
    <row r="638" spans="1:22" ht="19" customHeight="1">
      <c r="A638" s="68" t="s">
        <v>362</v>
      </c>
      <c r="B638" s="74">
        <v>5</v>
      </c>
      <c r="C638" s="68" t="s">
        <v>363</v>
      </c>
      <c r="D638" s="68" t="s">
        <v>364</v>
      </c>
      <c r="E638" s="75">
        <f>60*F638*'THAM_SO_MOI'!$C$53/(2*PI()*'THAM_SO_MOI'!$C$26)</f>
        <v>1895.9545263157886</v>
      </c>
      <c r="F638" s="75">
        <f>'THAM_SO_MOI'!$E$53+('THAM_SO_MOI'!$C$14-'THAM_SO_MOI'!$E$53)*632/'THAM_SO_MOI'!$C$42</f>
        <v>19.2431282051282</v>
      </c>
      <c r="G638" s="75">
        <f>3.6*F638</f>
        <v>69.27526153846152</v>
      </c>
      <c r="H638" s="75">
        <f>'THAM_SO_MOI'!$D$53</f>
        <v>1.1</v>
      </c>
      <c r="I638" s="75">
        <f>IF(F638&gt;'THAM_SO_MOI'!$C$14,'THAM_SO_MOI'!$C$13*(1+F638^2/1500),'THAM_SO_MOI'!$C$13)</f>
        <v>0.015</v>
      </c>
      <c r="J638" s="75">
        <f>'THAM_SO_MOI'!$C$40*('THAM_SO_MOI'!$C$23*(E638/'THAM_SO_MOI'!$C$22)+'THAM_SO_MOI'!$C$24*(E638/'THAM_SO_MOI'!$C$22)^2-'THAM_SO_MOI'!$C$25*(E638/'THAM_SO_MOI'!$C$22)^3)</f>
        <v>84.67779923664193</v>
      </c>
      <c r="K638" s="75">
        <f>'THAM_SO_MOI'!$C$31*J638/E638</f>
        <v>426.57457210773055</v>
      </c>
      <c r="L638" s="75">
        <f>K638*'THAM_SO_MOI'!$C$53*'THAM_SO_MOI'!$C$17/'THAM_SO_MOI'!$C$26</f>
        <v>3741.0606665576847</v>
      </c>
      <c r="M638" s="75">
        <f>'THAM_SO_MOI'!$C$15*'THAM_SO_MOI'!$C$16*F638^2</f>
        <v>1083.1216006230766</v>
      </c>
      <c r="N638" s="75">
        <f>'THAM_SO_MOI'!$C$12*I638</f>
        <v>1130.112</v>
      </c>
      <c r="O638" s="75">
        <f>M638+N638</f>
        <v>2213.2336006230767</v>
      </c>
      <c r="P638" s="75">
        <f>(MIN(L638,'THAM_SO_MOI'!$C$41)-O638)/('THAM_SO_MOI'!$C$11*H638)</f>
        <v>0.18085074170627463</v>
      </c>
      <c r="Q638" s="75">
        <f>IF(P638&gt;0,1/P638,NA())</f>
        <v>5.5294216134547645</v>
      </c>
      <c r="R638" s="75">
        <f>F638-F637</f>
        <v>0.01760042735042333</v>
      </c>
      <c r="S638" s="75">
        <f>0.5*(Q637+Q638)*R638</f>
        <v>0.09726992243407073</v>
      </c>
      <c r="T638" s="75">
        <f>0.5*(F637*Q637+F638*Q638)*R638</f>
        <v>1.8709220341073252</v>
      </c>
      <c r="U638" s="76">
        <f>U637+S638</f>
        <v>54.212321030893435</v>
      </c>
      <c r="V638" s="76">
        <f>V637+T638</f>
        <v>745.6398956502394</v>
      </c>
    </row>
    <row r="639" spans="1:22" ht="19" customHeight="1">
      <c r="A639" s="68" t="s">
        <v>362</v>
      </c>
      <c r="B639" s="74">
        <v>5</v>
      </c>
      <c r="C639" s="68" t="s">
        <v>363</v>
      </c>
      <c r="D639" s="68" t="s">
        <v>364</v>
      </c>
      <c r="E639" s="75">
        <f>60*F639*'THAM_SO_MOI'!$C$53/(2*PI()*'THAM_SO_MOI'!$C$26)</f>
        <v>1897.688631578947</v>
      </c>
      <c r="F639" s="75">
        <f>'THAM_SO_MOI'!$E$53+('THAM_SO_MOI'!$C$14-'THAM_SO_MOI'!$E$53)*633/'THAM_SO_MOI'!$C$42</f>
        <v>19.26072863247863</v>
      </c>
      <c r="G639" s="75">
        <f>3.6*F639</f>
        <v>69.33862307692307</v>
      </c>
      <c r="H639" s="75">
        <f>'THAM_SO_MOI'!$D$53</f>
        <v>1.1</v>
      </c>
      <c r="I639" s="75">
        <f>IF(F639&gt;'THAM_SO_MOI'!$C$14,'THAM_SO_MOI'!$C$13*(1+F639^2/1500),'THAM_SO_MOI'!$C$13)</f>
        <v>0.015</v>
      </c>
      <c r="J639" s="75">
        <f>'THAM_SO_MOI'!$C$40*('THAM_SO_MOI'!$C$23*(E639/'THAM_SO_MOI'!$C$22)+'THAM_SO_MOI'!$C$24*(E639/'THAM_SO_MOI'!$C$22)^2-'THAM_SO_MOI'!$C$25*(E639/'THAM_SO_MOI'!$C$22)^3)</f>
        <v>84.76426833381244</v>
      </c>
      <c r="K639" s="75">
        <f>'THAM_SO_MOI'!$C$31*J639/E639</f>
        <v>426.6199692511456</v>
      </c>
      <c r="L639" s="75">
        <f>K639*'THAM_SO_MOI'!$C$53*'THAM_SO_MOI'!$C$17/'THAM_SO_MOI'!$C$26</f>
        <v>3741.458799683073</v>
      </c>
      <c r="M639" s="75">
        <f>'THAM_SO_MOI'!$C$15*'THAM_SO_MOI'!$C$16*F639^2</f>
        <v>1085.103827302898</v>
      </c>
      <c r="N639" s="75">
        <f>'THAM_SO_MOI'!$C$12*I639</f>
        <v>1130.112</v>
      </c>
      <c r="O639" s="75">
        <f>M639+N639</f>
        <v>2215.215827302898</v>
      </c>
      <c r="P639" s="75">
        <f>(MIN(L639,'THAM_SO_MOI'!$C$41)-O639)/('THAM_SO_MOI'!$C$11*H639)</f>
        <v>0.18066323063212295</v>
      </c>
      <c r="Q639" s="75">
        <f>IF(P639&gt;0,1/P639,NA())</f>
        <v>5.535160621788385</v>
      </c>
      <c r="R639" s="75">
        <f>F639-F638</f>
        <v>0.017600427350430436</v>
      </c>
      <c r="S639" s="75">
        <f>0.5*(Q638+Q639)*R639</f>
        <v>0.09737068789713013</v>
      </c>
      <c r="T639" s="75">
        <f>0.5*(F638*Q638+F639*Q639)*R639</f>
        <v>1.8745739579355856</v>
      </c>
      <c r="U639" s="76">
        <f>U638+S639</f>
        <v>54.30969171879057</v>
      </c>
      <c r="V639" s="76">
        <f>V638+T639</f>
        <v>747.514469608175</v>
      </c>
    </row>
    <row r="640" spans="1:22" ht="19" customHeight="1">
      <c r="A640" s="68" t="s">
        <v>362</v>
      </c>
      <c r="B640" s="74">
        <v>5</v>
      </c>
      <c r="C640" s="68" t="s">
        <v>363</v>
      </c>
      <c r="D640" s="68" t="s">
        <v>364</v>
      </c>
      <c r="E640" s="75">
        <f>60*F640*'THAM_SO_MOI'!$C$53/(2*PI()*'THAM_SO_MOI'!$C$26)</f>
        <v>1899.4227368421055</v>
      </c>
      <c r="F640" s="75">
        <f>'THAM_SO_MOI'!$E$53+('THAM_SO_MOI'!$C$14-'THAM_SO_MOI'!$E$53)*634/'THAM_SO_MOI'!$C$42</f>
        <v>19.278329059829062</v>
      </c>
      <c r="G640" s="75">
        <f>3.6*F640</f>
        <v>69.40198461538462</v>
      </c>
      <c r="H640" s="75">
        <f>'THAM_SO_MOI'!$D$53</f>
        <v>1.1</v>
      </c>
      <c r="I640" s="75">
        <f>IF(F640&gt;'THAM_SO_MOI'!$C$14,'THAM_SO_MOI'!$C$13*(1+F640^2/1500),'THAM_SO_MOI'!$C$13)</f>
        <v>0.015</v>
      </c>
      <c r="J640" s="75">
        <f>'THAM_SO_MOI'!$C$40*('THAM_SO_MOI'!$C$23*(E640/'THAM_SO_MOI'!$C$22)+'THAM_SO_MOI'!$C$24*(E640/'THAM_SO_MOI'!$C$22)^2-'THAM_SO_MOI'!$C$25*(E640/'THAM_SO_MOI'!$C$22)^3)</f>
        <v>84.8506958983327</v>
      </c>
      <c r="K640" s="75">
        <f>'THAM_SO_MOI'!$C$31*J640/E640</f>
        <v>426.6650746589358</v>
      </c>
      <c r="L640" s="75">
        <f>K640*'THAM_SO_MOI'!$C$53*'THAM_SO_MOI'!$C$17/'THAM_SO_MOI'!$C$26</f>
        <v>3741.8543742858888</v>
      </c>
      <c r="M640" s="75">
        <f>'THAM_SO_MOI'!$C$15*'THAM_SO_MOI'!$C$16*F640^2</f>
        <v>1087.0878661667205</v>
      </c>
      <c r="N640" s="75">
        <f>'THAM_SO_MOI'!$C$12*I640</f>
        <v>1130.112</v>
      </c>
      <c r="O640" s="75">
        <f>M640+N640</f>
        <v>2217.1998661667203</v>
      </c>
      <c r="P640" s="75">
        <f>(MIN(L640,'THAM_SO_MOI'!$C$41)-O640)/('THAM_SO_MOI'!$C$11*H640)</f>
        <v>0.18047520219213636</v>
      </c>
      <c r="Q640" s="75">
        <f>IF(P640&gt;0,1/P640,NA())</f>
        <v>5.540927439634539</v>
      </c>
      <c r="R640" s="75">
        <f>F640-F639</f>
        <v>0.017600427350430436</v>
      </c>
      <c r="S640" s="75">
        <f>0.5*(Q639+Q640)*R640</f>
        <v>0.09747194162602203</v>
      </c>
      <c r="T640" s="75">
        <f>0.5*(F639*Q639+F640*Q640)*R640</f>
        <v>1.878238837457317</v>
      </c>
      <c r="U640" s="76">
        <f>U639+S640</f>
        <v>54.407163660416586</v>
      </c>
      <c r="V640" s="76">
        <f>V639+T640</f>
        <v>749.3927084456323</v>
      </c>
    </row>
    <row r="641" spans="1:22" ht="19" customHeight="1">
      <c r="A641" s="68" t="s">
        <v>362</v>
      </c>
      <c r="B641" s="74">
        <v>5</v>
      </c>
      <c r="C641" s="68" t="s">
        <v>363</v>
      </c>
      <c r="D641" s="68" t="s">
        <v>364</v>
      </c>
      <c r="E641" s="75">
        <f>60*F641*'THAM_SO_MOI'!$C$53/(2*PI()*'THAM_SO_MOI'!$C$26)</f>
        <v>1901.1568421052625</v>
      </c>
      <c r="F641" s="75">
        <f>'THAM_SO_MOI'!$E$53+('THAM_SO_MOI'!$C$14-'THAM_SO_MOI'!$E$53)*635/'THAM_SO_MOI'!$C$42</f>
        <v>19.295929487179485</v>
      </c>
      <c r="G641" s="75">
        <f>3.6*F641</f>
        <v>69.46534615384616</v>
      </c>
      <c r="H641" s="75">
        <f>'THAM_SO_MOI'!$D$53</f>
        <v>1.1</v>
      </c>
      <c r="I641" s="75">
        <f>IF(F641&gt;'THAM_SO_MOI'!$C$14,'THAM_SO_MOI'!$C$13*(1+F641^2/1500),'THAM_SO_MOI'!$C$13)</f>
        <v>0.015</v>
      </c>
      <c r="J641" s="75">
        <f>'THAM_SO_MOI'!$C$40*('THAM_SO_MOI'!$C$23*(E641/'THAM_SO_MOI'!$C$22)+'THAM_SO_MOI'!$C$24*(E641/'THAM_SO_MOI'!$C$22)^2-'THAM_SO_MOI'!$C$25*(E641/'THAM_SO_MOI'!$C$22)^3)</f>
        <v>84.93708177129928</v>
      </c>
      <c r="K641" s="75">
        <f>'THAM_SO_MOI'!$C$31*J641/E641</f>
        <v>426.7098883311007</v>
      </c>
      <c r="L641" s="75">
        <f>K641*'THAM_SO_MOI'!$C$53*'THAM_SO_MOI'!$C$17/'THAM_SO_MOI'!$C$26</f>
        <v>3742.247390366129</v>
      </c>
      <c r="M641" s="75">
        <f>'THAM_SO_MOI'!$C$15*'THAM_SO_MOI'!$C$16*F641^2</f>
        <v>1089.0737172145432</v>
      </c>
      <c r="N641" s="75">
        <f>'THAM_SO_MOI'!$C$12*I641</f>
        <v>1130.112</v>
      </c>
      <c r="O641" s="75">
        <f>M641+N641</f>
        <v>2219.1857172145433</v>
      </c>
      <c r="P641" s="75">
        <f>(MIN(L641,'THAM_SO_MOI'!$C$41)-O641)/('THAM_SO_MOI'!$C$11*H641)</f>
        <v>0.18028665638631458</v>
      </c>
      <c r="Q641" s="75">
        <f>IF(P641&gt;0,1/P641,NA())</f>
        <v>5.54672220365117</v>
      </c>
      <c r="R641" s="75">
        <f>F641-F640</f>
        <v>0.01760042735042333</v>
      </c>
      <c r="S641" s="75">
        <f>0.5*(Q640+Q641)*R641</f>
        <v>0.09757368601679864</v>
      </c>
      <c r="T641" s="75">
        <f>0.5*(F640*Q640+F641*Q641)*R641</f>
        <v>1.8819167446666294</v>
      </c>
      <c r="U641" s="76">
        <f>U640+S641</f>
        <v>54.50473734643339</v>
      </c>
      <c r="V641" s="76">
        <f>V640+T641</f>
        <v>751.2746251902989</v>
      </c>
    </row>
    <row r="642" spans="1:22" ht="19" customHeight="1">
      <c r="A642" s="68" t="s">
        <v>362</v>
      </c>
      <c r="B642" s="74">
        <v>5</v>
      </c>
      <c r="C642" s="68" t="s">
        <v>363</v>
      </c>
      <c r="D642" s="68" t="s">
        <v>364</v>
      </c>
      <c r="E642" s="75">
        <f>60*F642*'THAM_SO_MOI'!$C$53/(2*PI()*'THAM_SO_MOI'!$C$26)</f>
        <v>1902.890947368421</v>
      </c>
      <c r="F642" s="75">
        <f>'THAM_SO_MOI'!$E$53+('THAM_SO_MOI'!$C$14-'THAM_SO_MOI'!$E$53)*636/'THAM_SO_MOI'!$C$42</f>
        <v>19.313529914529916</v>
      </c>
      <c r="G642" s="75">
        <f>3.6*F642</f>
        <v>69.5287076923077</v>
      </c>
      <c r="H642" s="75">
        <f>'THAM_SO_MOI'!$D$53</f>
        <v>1.1</v>
      </c>
      <c r="I642" s="75">
        <f>IF(F642&gt;'THAM_SO_MOI'!$C$14,'THAM_SO_MOI'!$C$13*(1+F642^2/1500),'THAM_SO_MOI'!$C$13)</f>
        <v>0.015</v>
      </c>
      <c r="J642" s="75">
        <f>'THAM_SO_MOI'!$C$40*('THAM_SO_MOI'!$C$23*(E642/'THAM_SO_MOI'!$C$22)+'THAM_SO_MOI'!$C$24*(E642/'THAM_SO_MOI'!$C$22)^2-'THAM_SO_MOI'!$C$25*(E642/'THAM_SO_MOI'!$C$22)^3)</f>
        <v>85.02342579380912</v>
      </c>
      <c r="K642" s="75">
        <f>'THAM_SO_MOI'!$C$31*J642/E642</f>
        <v>426.7544102676408</v>
      </c>
      <c r="L642" s="75">
        <f>K642*'THAM_SO_MOI'!$C$53*'THAM_SO_MOI'!$C$17/'THAM_SO_MOI'!$C$26</f>
        <v>3742.6378479237987</v>
      </c>
      <c r="M642" s="75">
        <f>'THAM_SO_MOI'!$C$15*'THAM_SO_MOI'!$C$16*F642^2</f>
        <v>1091.0613804463678</v>
      </c>
      <c r="N642" s="75">
        <f>'THAM_SO_MOI'!$C$12*I642</f>
        <v>1130.112</v>
      </c>
      <c r="O642" s="75">
        <f>M642+N642</f>
        <v>2221.173380446368</v>
      </c>
      <c r="P642" s="75">
        <f>(MIN(L642,'THAM_SO_MOI'!$C$41)-O642)/('THAM_SO_MOI'!$C$11*H642)</f>
        <v>0.180097593214658</v>
      </c>
      <c r="Q642" s="75">
        <f>IF(P642&gt;0,1/P642,NA())</f>
        <v>5.552545051549366</v>
      </c>
      <c r="R642" s="75">
        <f>F642-F641</f>
        <v>0.017600427350430436</v>
      </c>
      <c r="S642" s="75">
        <f>0.5*(Q641+Q642)*R642</f>
        <v>0.09767592348408423</v>
      </c>
      <c r="T642" s="75">
        <f>0.5*(F641*Q641+F642*Q642)*R642</f>
        <v>1.885607752084851</v>
      </c>
      <c r="U642" s="76">
        <f>U641+S642</f>
        <v>54.60241326991747</v>
      </c>
      <c r="V642" s="76">
        <f>V641+T642</f>
        <v>753.1602329423838</v>
      </c>
    </row>
    <row r="643" spans="1:22" ht="19" customHeight="1">
      <c r="A643" s="68" t="s">
        <v>362</v>
      </c>
      <c r="B643" s="74">
        <v>5</v>
      </c>
      <c r="C643" s="68" t="s">
        <v>363</v>
      </c>
      <c r="D643" s="68" t="s">
        <v>364</v>
      </c>
      <c r="E643" s="75">
        <f>60*F643*'THAM_SO_MOI'!$C$53/(2*PI()*'THAM_SO_MOI'!$C$26)</f>
        <v>1904.6250526315785</v>
      </c>
      <c r="F643" s="75">
        <f>'THAM_SO_MOI'!$E$53+('THAM_SO_MOI'!$C$14-'THAM_SO_MOI'!$E$53)*637/'THAM_SO_MOI'!$C$42</f>
        <v>19.331130341880343</v>
      </c>
      <c r="G643" s="75">
        <f>3.6*F643</f>
        <v>69.59206923076924</v>
      </c>
      <c r="H643" s="75">
        <f>'THAM_SO_MOI'!$D$53</f>
        <v>1.1</v>
      </c>
      <c r="I643" s="75">
        <f>IF(F643&gt;'THAM_SO_MOI'!$C$14,'THAM_SO_MOI'!$C$13*(1+F643^2/1500),'THAM_SO_MOI'!$C$13)</f>
        <v>0.015</v>
      </c>
      <c r="J643" s="75">
        <f>'THAM_SO_MOI'!$C$40*('THAM_SO_MOI'!$C$23*(E643/'THAM_SO_MOI'!$C$22)+'THAM_SO_MOI'!$C$24*(E643/'THAM_SO_MOI'!$C$22)^2-'THAM_SO_MOI'!$C$25*(E643/'THAM_SO_MOI'!$C$22)^3)</f>
        <v>85.1097278069588</v>
      </c>
      <c r="K643" s="75">
        <f>'THAM_SO_MOI'!$C$31*J643/E643</f>
        <v>426.79864046855573</v>
      </c>
      <c r="L643" s="75">
        <f>K643*'THAM_SO_MOI'!$C$53*'THAM_SO_MOI'!$C$17/'THAM_SO_MOI'!$C$26</f>
        <v>3743.0257469588946</v>
      </c>
      <c r="M643" s="75">
        <f>'THAM_SO_MOI'!$C$15*'THAM_SO_MOI'!$C$16*F643^2</f>
        <v>1093.050855862193</v>
      </c>
      <c r="N643" s="75">
        <f>'THAM_SO_MOI'!$C$12*I643</f>
        <v>1130.112</v>
      </c>
      <c r="O643" s="75">
        <f>M643+N643</f>
        <v>2223.1628558621933</v>
      </c>
      <c r="P643" s="75">
        <f>(MIN(L643,'THAM_SO_MOI'!$C$41)-O643)/('THAM_SO_MOI'!$C$11*H643)</f>
        <v>0.1799080126771664</v>
      </c>
      <c r="Q643" s="75">
        <f>IF(P643&gt;0,1/P643,NA())</f>
        <v>5.558396122102893</v>
      </c>
      <c r="R643" s="75">
        <f>F643-F642</f>
        <v>0.017600427350426884</v>
      </c>
      <c r="S643" s="75">
        <f>0.5*(Q642+Q643)*R643</f>
        <v>0.0977786564608667</v>
      </c>
      <c r="T643" s="75">
        <f>0.5*(F642*Q642+F643*Q643)*R643</f>
        <v>1.8893119327581316</v>
      </c>
      <c r="U643" s="76">
        <f>U642+S643</f>
        <v>54.70019192637834</v>
      </c>
      <c r="V643" s="76">
        <f>V642+T643</f>
        <v>755.0495448751419</v>
      </c>
    </row>
    <row r="644" spans="1:22" ht="19" customHeight="1">
      <c r="A644" s="68" t="s">
        <v>362</v>
      </c>
      <c r="B644" s="74">
        <v>5</v>
      </c>
      <c r="C644" s="68" t="s">
        <v>363</v>
      </c>
      <c r="D644" s="68" t="s">
        <v>364</v>
      </c>
      <c r="E644" s="75">
        <f>60*F644*'THAM_SO_MOI'!$C$53/(2*PI()*'THAM_SO_MOI'!$C$26)</f>
        <v>1906.3591578947364</v>
      </c>
      <c r="F644" s="75">
        <f>'THAM_SO_MOI'!$E$53+('THAM_SO_MOI'!$C$14-'THAM_SO_MOI'!$E$53)*638/'THAM_SO_MOI'!$C$42</f>
        <v>19.34873076923077</v>
      </c>
      <c r="G644" s="75">
        <f>3.6*F644</f>
        <v>69.65543076923078</v>
      </c>
      <c r="H644" s="75">
        <f>'THAM_SO_MOI'!$D$53</f>
        <v>1.1</v>
      </c>
      <c r="I644" s="75">
        <f>IF(F644&gt;'THAM_SO_MOI'!$C$14,'THAM_SO_MOI'!$C$13*(1+F644^2/1500),'THAM_SO_MOI'!$C$13)</f>
        <v>0.015</v>
      </c>
      <c r="J644" s="75">
        <f>'THAM_SO_MOI'!$C$40*('THAM_SO_MOI'!$C$23*(E644/'THAM_SO_MOI'!$C$22)+'THAM_SO_MOI'!$C$24*(E644/'THAM_SO_MOI'!$C$22)^2-'THAM_SO_MOI'!$C$25*(E644/'THAM_SO_MOI'!$C$22)^3)</f>
        <v>85.19598765184507</v>
      </c>
      <c r="K644" s="75">
        <f>'THAM_SO_MOI'!$C$31*J644/E644</f>
        <v>426.8425789338456</v>
      </c>
      <c r="L644" s="75">
        <f>K644*'THAM_SO_MOI'!$C$53*'THAM_SO_MOI'!$C$17/'THAM_SO_MOI'!$C$26</f>
        <v>3743.4110874714156</v>
      </c>
      <c r="M644" s="75">
        <f>'THAM_SO_MOI'!$C$15*'THAM_SO_MOI'!$C$16*F644^2</f>
        <v>1095.0421434620193</v>
      </c>
      <c r="N644" s="75">
        <f>'THAM_SO_MOI'!$C$12*I644</f>
        <v>1130.112</v>
      </c>
      <c r="O644" s="75">
        <f>M644+N644</f>
        <v>2225.1541434620194</v>
      </c>
      <c r="P644" s="75">
        <f>(MIN(L644,'THAM_SO_MOI'!$C$41)-O644)/('THAM_SO_MOI'!$C$11*H644)</f>
        <v>0.1797179147738395</v>
      </c>
      <c r="Q644" s="75">
        <f>IF(P644&gt;0,1/P644,NA())</f>
        <v>5.564275555157756</v>
      </c>
      <c r="R644" s="75">
        <f>F644-F643</f>
        <v>0.017600427350426884</v>
      </c>
      <c r="S644" s="75">
        <f>0.5*(Q643+Q644)*R644</f>
        <v>0.09788188739913839</v>
      </c>
      <c r="T644" s="75">
        <f>0.5*(F643*Q643+F644*Q644)*R644</f>
        <v>1.8930293602714514</v>
      </c>
      <c r="U644" s="76">
        <f>U643+S644</f>
        <v>54.79807381377748</v>
      </c>
      <c r="V644" s="76">
        <f>V643+T644</f>
        <v>756.9425742354134</v>
      </c>
    </row>
    <row r="645" spans="1:22" ht="19" customHeight="1">
      <c r="A645" s="68" t="s">
        <v>362</v>
      </c>
      <c r="B645" s="74">
        <v>5</v>
      </c>
      <c r="C645" s="68" t="s">
        <v>363</v>
      </c>
      <c r="D645" s="68" t="s">
        <v>364</v>
      </c>
      <c r="E645" s="75">
        <f>60*F645*'THAM_SO_MOI'!$C$53/(2*PI()*'THAM_SO_MOI'!$C$26)</f>
        <v>1908.0932631578942</v>
      </c>
      <c r="F645" s="75">
        <f>'THAM_SO_MOI'!$E$53+('THAM_SO_MOI'!$C$14-'THAM_SO_MOI'!$E$53)*639/'THAM_SO_MOI'!$C$42</f>
        <v>19.366331196581196</v>
      </c>
      <c r="G645" s="75">
        <f>3.6*F645</f>
        <v>69.71879230769231</v>
      </c>
      <c r="H645" s="75">
        <f>'THAM_SO_MOI'!$D$53</f>
        <v>1.1</v>
      </c>
      <c r="I645" s="75">
        <f>IF(F645&gt;'THAM_SO_MOI'!$C$14,'THAM_SO_MOI'!$C$13*(1+F645^2/1500),'THAM_SO_MOI'!$C$13)</f>
        <v>0.015</v>
      </c>
      <c r="J645" s="75">
        <f>'THAM_SO_MOI'!$C$40*('THAM_SO_MOI'!$C$23*(E645/'THAM_SO_MOI'!$C$22)+'THAM_SO_MOI'!$C$24*(E645/'THAM_SO_MOI'!$C$22)^2-'THAM_SO_MOI'!$C$25*(E645/'THAM_SO_MOI'!$C$22)^3)</f>
        <v>85.2822051695647</v>
      </c>
      <c r="K645" s="75">
        <f>'THAM_SO_MOI'!$C$31*J645/E645</f>
        <v>426.88622566351063</v>
      </c>
      <c r="L645" s="75">
        <f>K645*'THAM_SO_MOI'!$C$53*'THAM_SO_MOI'!$C$17/'THAM_SO_MOI'!$C$26</f>
        <v>3743.7938694613667</v>
      </c>
      <c r="M645" s="75">
        <f>'THAM_SO_MOI'!$C$15*'THAM_SO_MOI'!$C$16*F645^2</f>
        <v>1097.0352432458467</v>
      </c>
      <c r="N645" s="75">
        <f>'THAM_SO_MOI'!$C$12*I645</f>
        <v>1130.112</v>
      </c>
      <c r="O645" s="75">
        <f>M645+N645</f>
        <v>2227.1472432458468</v>
      </c>
      <c r="P645" s="75">
        <f>(MIN(L645,'THAM_SO_MOI'!$C$41)-O645)/('THAM_SO_MOI'!$C$11*H645)</f>
        <v>0.17952729950467802</v>
      </c>
      <c r="Q645" s="75">
        <f>IF(P645&gt;0,1/P645,NA())</f>
        <v>5.570183491641853</v>
      </c>
      <c r="R645" s="75">
        <f>F645-F644</f>
        <v>0.017600427350426884</v>
      </c>
      <c r="S645" s="75">
        <f>0.5*(Q644+Q645)*R645</f>
        <v>0.09798561876974994</v>
      </c>
      <c r="T645" s="75">
        <f>0.5*(F644*Q644+F645*Q645)*R645</f>
        <v>1.896760108747468</v>
      </c>
      <c r="U645" s="76">
        <f>U644+S645</f>
        <v>54.896059432547226</v>
      </c>
      <c r="V645" s="76">
        <f>V644+T645</f>
        <v>758.8393343441609</v>
      </c>
    </row>
    <row r="646" spans="1:22" ht="19" customHeight="1">
      <c r="A646" s="68" t="s">
        <v>362</v>
      </c>
      <c r="B646" s="74">
        <v>5</v>
      </c>
      <c r="C646" s="68" t="s">
        <v>363</v>
      </c>
      <c r="D646" s="68" t="s">
        <v>364</v>
      </c>
      <c r="E646" s="75">
        <f>60*F646*'THAM_SO_MOI'!$C$53/(2*PI()*'THAM_SO_MOI'!$C$26)</f>
        <v>1909.8273684210521</v>
      </c>
      <c r="F646" s="75">
        <f>'THAM_SO_MOI'!$E$53+('THAM_SO_MOI'!$C$14-'THAM_SO_MOI'!$E$53)*640/'THAM_SO_MOI'!$C$42</f>
        <v>19.383931623931623</v>
      </c>
      <c r="G646" s="75">
        <f>3.6*F646</f>
        <v>69.78215384615385</v>
      </c>
      <c r="H646" s="75">
        <f>'THAM_SO_MOI'!$D$53</f>
        <v>1.1</v>
      </c>
      <c r="I646" s="75">
        <f>IF(F646&gt;'THAM_SO_MOI'!$C$14,'THAM_SO_MOI'!$C$13*(1+F646^2/1500),'THAM_SO_MOI'!$C$13)</f>
        <v>0.015</v>
      </c>
      <c r="J646" s="75">
        <f>'THAM_SO_MOI'!$C$40*('THAM_SO_MOI'!$C$23*(E646/'THAM_SO_MOI'!$C$22)+'THAM_SO_MOI'!$C$24*(E646/'THAM_SO_MOI'!$C$22)^2-'THAM_SO_MOI'!$C$25*(E646/'THAM_SO_MOI'!$C$22)^3)</f>
        <v>85.36838020121435</v>
      </c>
      <c r="K646" s="75">
        <f>'THAM_SO_MOI'!$C$31*J646/E646</f>
        <v>426.92958065755045</v>
      </c>
      <c r="L646" s="75">
        <f>K646*'THAM_SO_MOI'!$C$53*'THAM_SO_MOI'!$C$17/'THAM_SO_MOI'!$C$26</f>
        <v>3744.174092928743</v>
      </c>
      <c r="M646" s="75">
        <f>'THAM_SO_MOI'!$C$15*'THAM_SO_MOI'!$C$16*F646^2</f>
        <v>1099.0301552136752</v>
      </c>
      <c r="N646" s="75">
        <f>'THAM_SO_MOI'!$C$12*I646</f>
        <v>1130.112</v>
      </c>
      <c r="O646" s="75">
        <f>M646+N646</f>
        <v>2229.1421552136753</v>
      </c>
      <c r="P646" s="75">
        <f>(MIN(L646,'THAM_SO_MOI'!$C$41)-O646)/('THAM_SO_MOI'!$C$11*H646)</f>
        <v>0.17933616686968132</v>
      </c>
      <c r="Q646" s="75">
        <f>IF(P646&gt;0,1/P646,NA())</f>
        <v>5.576120073574856</v>
      </c>
      <c r="R646" s="75">
        <f>F646-F645</f>
        <v>0.017600427350426884</v>
      </c>
      <c r="S646" s="75">
        <f>0.5*(Q645+Q646)*R646</f>
        <v>0.09808985306270042</v>
      </c>
      <c r="T646" s="75">
        <f>0.5*(F645*Q645+F646*Q646)*R646</f>
        <v>1.9005042528537937</v>
      </c>
      <c r="U646" s="76">
        <f>U645+S646</f>
        <v>54.99414928560993</v>
      </c>
      <c r="V646" s="76">
        <f>V645+T646</f>
        <v>760.7398385970147</v>
      </c>
    </row>
    <row r="647" spans="1:22" ht="19" customHeight="1">
      <c r="A647" s="68" t="s">
        <v>362</v>
      </c>
      <c r="B647" s="74">
        <v>5</v>
      </c>
      <c r="C647" s="68" t="s">
        <v>363</v>
      </c>
      <c r="D647" s="68" t="s">
        <v>364</v>
      </c>
      <c r="E647" s="75">
        <f>60*F647*'THAM_SO_MOI'!$C$53/(2*PI()*'THAM_SO_MOI'!$C$26)</f>
        <v>1911.5614736842101</v>
      </c>
      <c r="F647" s="75">
        <f>'THAM_SO_MOI'!$E$53+('THAM_SO_MOI'!$C$14-'THAM_SO_MOI'!$E$53)*641/'THAM_SO_MOI'!$C$42</f>
        <v>19.40153205128205</v>
      </c>
      <c r="G647" s="75">
        <f>3.6*F647</f>
        <v>69.84551538461538</v>
      </c>
      <c r="H647" s="75">
        <f>'THAM_SO_MOI'!$D$53</f>
        <v>1.1</v>
      </c>
      <c r="I647" s="75">
        <f>IF(F647&gt;'THAM_SO_MOI'!$C$14,'THAM_SO_MOI'!$C$13*(1+F647^2/1500),'THAM_SO_MOI'!$C$13)</f>
        <v>0.015</v>
      </c>
      <c r="J647" s="75">
        <f>'THAM_SO_MOI'!$C$40*('THAM_SO_MOI'!$C$23*(E647/'THAM_SO_MOI'!$C$22)+'THAM_SO_MOI'!$C$24*(E647/'THAM_SO_MOI'!$C$22)^2-'THAM_SO_MOI'!$C$25*(E647/'THAM_SO_MOI'!$C$22)^3)</f>
        <v>85.45451258789076</v>
      </c>
      <c r="K647" s="75">
        <f>'THAM_SO_MOI'!$C$31*J647/E647</f>
        <v>426.97264391596525</v>
      </c>
      <c r="L647" s="75">
        <f>K647*'THAM_SO_MOI'!$C$53*'THAM_SO_MOI'!$C$17/'THAM_SO_MOI'!$C$26</f>
        <v>3744.5517578735457</v>
      </c>
      <c r="M647" s="75">
        <f>'THAM_SO_MOI'!$C$15*'THAM_SO_MOI'!$C$16*F647^2</f>
        <v>1101.0268793655048</v>
      </c>
      <c r="N647" s="75">
        <f>'THAM_SO_MOI'!$C$12*I647</f>
        <v>1130.112</v>
      </c>
      <c r="O647" s="75">
        <f>M647+N647</f>
        <v>2231.138879365505</v>
      </c>
      <c r="P647" s="75">
        <f>(MIN(L647,'THAM_SO_MOI'!$C$41)-O647)/('THAM_SO_MOI'!$C$11*H647)</f>
        <v>0.17914451686884955</v>
      </c>
      <c r="Q647" s="75">
        <f>IF(P647&gt;0,1/P647,NA())</f>
        <v>5.582085444078051</v>
      </c>
      <c r="R647" s="75">
        <f>F647-F646</f>
        <v>0.017600427350426884</v>
      </c>
      <c r="S647" s="75">
        <f>0.5*(Q646+Q647)*R647</f>
        <v>0.09819459278729119</v>
      </c>
      <c r="T647" s="75">
        <f>0.5*(F646*Q646+F647*Q647)*R647</f>
        <v>1.9042618678076666</v>
      </c>
      <c r="U647" s="76">
        <f>U646+S647</f>
        <v>55.09234387839722</v>
      </c>
      <c r="V647" s="76">
        <f>V646+T647</f>
        <v>762.6441004648224</v>
      </c>
    </row>
    <row r="648" spans="1:22" ht="19" customHeight="1">
      <c r="A648" s="68" t="s">
        <v>362</v>
      </c>
      <c r="B648" s="74">
        <v>5</v>
      </c>
      <c r="C648" s="68" t="s">
        <v>363</v>
      </c>
      <c r="D648" s="68" t="s">
        <v>364</v>
      </c>
      <c r="E648" s="75">
        <f>60*F648*'THAM_SO_MOI'!$C$53/(2*PI()*'THAM_SO_MOI'!$C$26)</f>
        <v>1913.2955789473676</v>
      </c>
      <c r="F648" s="75">
        <f>'THAM_SO_MOI'!$E$53+('THAM_SO_MOI'!$C$14-'THAM_SO_MOI'!$E$53)*642/'THAM_SO_MOI'!$C$42</f>
        <v>19.419132478632477</v>
      </c>
      <c r="G648" s="75">
        <f>3.6*F648</f>
        <v>69.90887692307692</v>
      </c>
      <c r="H648" s="75">
        <f>'THAM_SO_MOI'!$D$53</f>
        <v>1.1</v>
      </c>
      <c r="I648" s="75">
        <f>IF(F648&gt;'THAM_SO_MOI'!$C$14,'THAM_SO_MOI'!$C$13*(1+F648^2/1500),'THAM_SO_MOI'!$C$13)</f>
        <v>0.015</v>
      </c>
      <c r="J648" s="75">
        <f>'THAM_SO_MOI'!$C$40*('THAM_SO_MOI'!$C$23*(E648/'THAM_SO_MOI'!$C$22)+'THAM_SO_MOI'!$C$24*(E648/'THAM_SO_MOI'!$C$22)^2-'THAM_SO_MOI'!$C$25*(E648/'THAM_SO_MOI'!$C$22)^3)</f>
        <v>85.54060217069066</v>
      </c>
      <c r="K648" s="75">
        <f>'THAM_SO_MOI'!$C$31*J648/E648</f>
        <v>427.01541543875504</v>
      </c>
      <c r="L648" s="75">
        <f>K648*'THAM_SO_MOI'!$C$53*'THAM_SO_MOI'!$C$17/'THAM_SO_MOI'!$C$26</f>
        <v>3744.9268642957754</v>
      </c>
      <c r="M648" s="75">
        <f>'THAM_SO_MOI'!$C$15*'THAM_SO_MOI'!$C$16*F648^2</f>
        <v>1103.0254157013353</v>
      </c>
      <c r="N648" s="75">
        <f>'THAM_SO_MOI'!$C$12*I648</f>
        <v>1130.112</v>
      </c>
      <c r="O648" s="75">
        <f>M648+N648</f>
        <v>2233.137415701335</v>
      </c>
      <c r="P648" s="75">
        <f>(MIN(L648,'THAM_SO_MOI'!$C$41)-O648)/('THAM_SO_MOI'!$C$11*H648)</f>
        <v>0.17895234950218275</v>
      </c>
      <c r="Q648" s="75">
        <f>IF(P648&gt;0,1/P648,NA())</f>
        <v>5.588079747384388</v>
      </c>
      <c r="R648" s="75">
        <f>F648-F647</f>
        <v>0.017600427350426884</v>
      </c>
      <c r="S648" s="75">
        <f>0.5*(Q647+Q648)*R648</f>
        <v>0.09829984047230092</v>
      </c>
      <c r="T648" s="75">
        <f>0.5*(F647*Q647+F648*Q648)*R648</f>
        <v>1.9080330293810455</v>
      </c>
      <c r="U648" s="76">
        <f>U647+S648</f>
        <v>55.190643718869524</v>
      </c>
      <c r="V648" s="76">
        <f>V647+T648</f>
        <v>764.5521334942034</v>
      </c>
    </row>
    <row r="649" spans="1:22" ht="19" customHeight="1">
      <c r="A649" s="68" t="s">
        <v>362</v>
      </c>
      <c r="B649" s="74">
        <v>5</v>
      </c>
      <c r="C649" s="68" t="s">
        <v>363</v>
      </c>
      <c r="D649" s="68" t="s">
        <v>364</v>
      </c>
      <c r="E649" s="75">
        <f>60*F649*'THAM_SO_MOI'!$C$53/(2*PI()*'THAM_SO_MOI'!$C$26)</f>
        <v>1915.029684210526</v>
      </c>
      <c r="F649" s="75">
        <f>'THAM_SO_MOI'!$E$53+('THAM_SO_MOI'!$C$14-'THAM_SO_MOI'!$E$53)*643/'THAM_SO_MOI'!$C$42</f>
        <v>19.436732905982907</v>
      </c>
      <c r="G649" s="75">
        <f>3.6*F649</f>
        <v>69.97223846153847</v>
      </c>
      <c r="H649" s="75">
        <f>'THAM_SO_MOI'!$D$53</f>
        <v>1.1</v>
      </c>
      <c r="I649" s="75">
        <f>IF(F649&gt;'THAM_SO_MOI'!$C$14,'THAM_SO_MOI'!$C$13*(1+F649^2/1500),'THAM_SO_MOI'!$C$13)</f>
        <v>0.015</v>
      </c>
      <c r="J649" s="75">
        <f>'THAM_SO_MOI'!$C$40*('THAM_SO_MOI'!$C$23*(E649/'THAM_SO_MOI'!$C$22)+'THAM_SO_MOI'!$C$24*(E649/'THAM_SO_MOI'!$C$22)^2-'THAM_SO_MOI'!$C$25*(E649/'THAM_SO_MOI'!$C$22)^3)</f>
        <v>85.6266487907108</v>
      </c>
      <c r="K649" s="75">
        <f>'THAM_SO_MOI'!$C$31*J649/E649</f>
        <v>427.0578952259198</v>
      </c>
      <c r="L649" s="75">
        <f>K649*'THAM_SO_MOI'!$C$53*'THAM_SO_MOI'!$C$17/'THAM_SO_MOI'!$C$26</f>
        <v>3745.2994121954334</v>
      </c>
      <c r="M649" s="75">
        <f>'THAM_SO_MOI'!$C$15*'THAM_SO_MOI'!$C$16*F649^2</f>
        <v>1105.0257642211675</v>
      </c>
      <c r="N649" s="75">
        <f>'THAM_SO_MOI'!$C$12*I649</f>
        <v>1130.112</v>
      </c>
      <c r="O649" s="75">
        <f>M649+N649</f>
        <v>2235.1377642211673</v>
      </c>
      <c r="P649" s="75">
        <f>(MIN(L649,'THAM_SO_MOI'!$C$41)-O649)/('THAM_SO_MOI'!$C$11*H649)</f>
        <v>0.1787596647696811</v>
      </c>
      <c r="Q649" s="75">
        <f>IF(P649&gt;0,1/P649,NA())</f>
        <v>5.594103128848601</v>
      </c>
      <c r="R649" s="75">
        <f>F649-F648</f>
        <v>0.017600427350430436</v>
      </c>
      <c r="S649" s="75">
        <f>0.5*(Q648+Q649)*R649</f>
        <v>0.098405598666183</v>
      </c>
      <c r="T649" s="75">
        <f>0.5*(F648*Q648+F649*Q649)*R649</f>
        <v>1.9118178139061595</v>
      </c>
      <c r="U649" s="76">
        <f>U648+S649</f>
        <v>55.28904931753571</v>
      </c>
      <c r="V649" s="76">
        <f>V648+T649</f>
        <v>766.4639513081096</v>
      </c>
    </row>
    <row r="650" spans="1:22" ht="19" customHeight="1">
      <c r="A650" s="68" t="s">
        <v>362</v>
      </c>
      <c r="B650" s="74">
        <v>5</v>
      </c>
      <c r="C650" s="68" t="s">
        <v>363</v>
      </c>
      <c r="D650" s="68" t="s">
        <v>364</v>
      </c>
      <c r="E650" s="75">
        <f>60*F650*'THAM_SO_MOI'!$C$53/(2*PI()*'THAM_SO_MOI'!$C$26)</f>
        <v>1916.7637894736833</v>
      </c>
      <c r="F650" s="75">
        <f>'THAM_SO_MOI'!$E$53+('THAM_SO_MOI'!$C$14-'THAM_SO_MOI'!$E$53)*644/'THAM_SO_MOI'!$C$42</f>
        <v>19.45433333333333</v>
      </c>
      <c r="G650" s="75">
        <f>3.6*F650</f>
        <v>70.03559999999999</v>
      </c>
      <c r="H650" s="75">
        <f>'THAM_SO_MOI'!$D$53</f>
        <v>1.1</v>
      </c>
      <c r="I650" s="75">
        <f>IF(F650&gt;'THAM_SO_MOI'!$C$14,'THAM_SO_MOI'!$C$13*(1+F650^2/1500),'THAM_SO_MOI'!$C$13)</f>
        <v>0.015</v>
      </c>
      <c r="J650" s="75">
        <f>'THAM_SO_MOI'!$C$40*('THAM_SO_MOI'!$C$23*(E650/'THAM_SO_MOI'!$C$22)+'THAM_SO_MOI'!$C$24*(E650/'THAM_SO_MOI'!$C$22)^2-'THAM_SO_MOI'!$C$25*(E650/'THAM_SO_MOI'!$C$22)^3)</f>
        <v>85.71265228904781</v>
      </c>
      <c r="K650" s="75">
        <f>'THAM_SO_MOI'!$C$31*J650/E650</f>
        <v>427.10008327745953</v>
      </c>
      <c r="L650" s="75">
        <f>K650*'THAM_SO_MOI'!$C$53*'THAM_SO_MOI'!$C$17/'THAM_SO_MOI'!$C$26</f>
        <v>3745.669401572517</v>
      </c>
      <c r="M650" s="75">
        <f>'THAM_SO_MOI'!$C$15*'THAM_SO_MOI'!$C$16*F650^2</f>
        <v>1107.027924925</v>
      </c>
      <c r="N650" s="75">
        <f>'THAM_SO_MOI'!$C$12*I650</f>
        <v>1130.112</v>
      </c>
      <c r="O650" s="75">
        <f>M650+N650</f>
        <v>2237.139924925</v>
      </c>
      <c r="P650" s="75">
        <f>(MIN(L650,'THAM_SO_MOI'!$C$41)-O650)/('THAM_SO_MOI'!$C$11*H650)</f>
        <v>0.17856646267134435</v>
      </c>
      <c r="Q650" s="75">
        <f>IF(P650&gt;0,1/P650,NA())</f>
        <v>5.600155734957481</v>
      </c>
      <c r="R650" s="75">
        <f>F650-F649</f>
        <v>0.01760042735042333</v>
      </c>
      <c r="S650" s="75">
        <f>0.5*(Q649+Q650)*R650</f>
        <v>0.09851186993712567</v>
      </c>
      <c r="T650" s="75">
        <f>0.5*(F649*Q649+F650*Q650)*R650</f>
        <v>1.9156162982784097</v>
      </c>
      <c r="U650" s="76">
        <f>U649+S650</f>
        <v>55.38756118747283</v>
      </c>
      <c r="V650" s="76">
        <f>V649+T650</f>
        <v>768.379567606388</v>
      </c>
    </row>
    <row r="651" spans="1:22" ht="19" customHeight="1">
      <c r="A651" s="68" t="s">
        <v>362</v>
      </c>
      <c r="B651" s="74">
        <v>5</v>
      </c>
      <c r="C651" s="68" t="s">
        <v>363</v>
      </c>
      <c r="D651" s="68" t="s">
        <v>364</v>
      </c>
      <c r="E651" s="75">
        <f>60*F651*'THAM_SO_MOI'!$C$53/(2*PI()*'THAM_SO_MOI'!$C$26)</f>
        <v>1918.4978947368415</v>
      </c>
      <c r="F651" s="75">
        <f>'THAM_SO_MOI'!$E$53+('THAM_SO_MOI'!$C$14-'THAM_SO_MOI'!$E$53)*645/'THAM_SO_MOI'!$C$42</f>
        <v>19.47193376068376</v>
      </c>
      <c r="G651" s="75">
        <f>3.6*F651</f>
        <v>70.09896153846154</v>
      </c>
      <c r="H651" s="75">
        <f>'THAM_SO_MOI'!$D$53</f>
        <v>1.1</v>
      </c>
      <c r="I651" s="75">
        <f>IF(F651&gt;'THAM_SO_MOI'!$C$14,'THAM_SO_MOI'!$C$13*(1+F651^2/1500),'THAM_SO_MOI'!$C$13)</f>
        <v>0.015</v>
      </c>
      <c r="J651" s="75">
        <f>'THAM_SO_MOI'!$C$40*('THAM_SO_MOI'!$C$23*(E651/'THAM_SO_MOI'!$C$22)+'THAM_SO_MOI'!$C$24*(E651/'THAM_SO_MOI'!$C$22)^2-'THAM_SO_MOI'!$C$25*(E651/'THAM_SO_MOI'!$C$22)^3)</f>
        <v>85.79861250679855</v>
      </c>
      <c r="K651" s="75">
        <f>'THAM_SO_MOI'!$C$31*J651/E651</f>
        <v>427.1419795933744</v>
      </c>
      <c r="L651" s="75">
        <f>K651*'THAM_SO_MOI'!$C$53*'THAM_SO_MOI'!$C$17/'THAM_SO_MOI'!$C$26</f>
        <v>3746.036832427029</v>
      </c>
      <c r="M651" s="75">
        <f>'THAM_SO_MOI'!$C$15*'THAM_SO_MOI'!$C$16*F651^2</f>
        <v>1109.0318978128341</v>
      </c>
      <c r="N651" s="75">
        <f>'THAM_SO_MOI'!$C$12*I651</f>
        <v>1130.112</v>
      </c>
      <c r="O651" s="75">
        <f>M651+N651</f>
        <v>2239.1438978128344</v>
      </c>
      <c r="P651" s="75">
        <f>(MIN(L651,'THAM_SO_MOI'!$C$41)-O651)/('THAM_SO_MOI'!$C$11*H651)</f>
        <v>0.1783727432071727</v>
      </c>
      <c r="Q651" s="75">
        <f>IF(P651&gt;0,1/P651,NA())</f>
        <v>5.606237713340208</v>
      </c>
      <c r="R651" s="75">
        <f>F651-F650</f>
        <v>0.017600427350430436</v>
      </c>
      <c r="S651" s="75">
        <f>0.5*(Q650+Q651)*R651</f>
        <v>0.09861865687355155</v>
      </c>
      <c r="T651" s="75">
        <f>0.5*(F650*Q650+F651*Q651)*R651</f>
        <v>1.919428559967825</v>
      </c>
      <c r="U651" s="76">
        <f>U650+S651</f>
        <v>55.48617984434639</v>
      </c>
      <c r="V651" s="76">
        <f>V650+T651</f>
        <v>770.2989961663559</v>
      </c>
    </row>
    <row r="652" spans="1:22" ht="19" customHeight="1">
      <c r="A652" s="68" t="s">
        <v>362</v>
      </c>
      <c r="B652" s="74">
        <v>5</v>
      </c>
      <c r="C652" s="68" t="s">
        <v>363</v>
      </c>
      <c r="D652" s="68" t="s">
        <v>364</v>
      </c>
      <c r="E652" s="75">
        <f>60*F652*'THAM_SO_MOI'!$C$53/(2*PI()*'THAM_SO_MOI'!$C$26)</f>
        <v>1920.2319999999993</v>
      </c>
      <c r="F652" s="75">
        <f>'THAM_SO_MOI'!$E$53+('THAM_SO_MOI'!$C$14-'THAM_SO_MOI'!$E$53)*646/'THAM_SO_MOI'!$C$42</f>
        <v>19.489534188034185</v>
      </c>
      <c r="G652" s="75">
        <f>3.6*F652</f>
        <v>70.16232307692307</v>
      </c>
      <c r="H652" s="75">
        <f>'THAM_SO_MOI'!$D$53</f>
        <v>1.1</v>
      </c>
      <c r="I652" s="75">
        <f>IF(F652&gt;'THAM_SO_MOI'!$C$14,'THAM_SO_MOI'!$C$13*(1+F652^2/1500),'THAM_SO_MOI'!$C$13)</f>
        <v>0.015</v>
      </c>
      <c r="J652" s="75">
        <f>'THAM_SO_MOI'!$C$40*('THAM_SO_MOI'!$C$23*(E652/'THAM_SO_MOI'!$C$22)+'THAM_SO_MOI'!$C$24*(E652/'THAM_SO_MOI'!$C$22)^2-'THAM_SO_MOI'!$C$25*(E652/'THAM_SO_MOI'!$C$22)^3)</f>
        <v>85.8845292850596</v>
      </c>
      <c r="K652" s="75">
        <f>'THAM_SO_MOI'!$C$31*J652/E652</f>
        <v>427.18358417366403</v>
      </c>
      <c r="L652" s="75">
        <f>K652*'THAM_SO_MOI'!$C$53*'THAM_SO_MOI'!$C$17/'THAM_SO_MOI'!$C$26</f>
        <v>3746.4017047589664</v>
      </c>
      <c r="M652" s="75">
        <f>'THAM_SO_MOI'!$C$15*'THAM_SO_MOI'!$C$16*F652^2</f>
        <v>1111.0376828846686</v>
      </c>
      <c r="N652" s="75">
        <f>'THAM_SO_MOI'!$C$12*I652</f>
        <v>1130.112</v>
      </c>
      <c r="O652" s="75">
        <f>M652+N652</f>
        <v>2241.1496828846684</v>
      </c>
      <c r="P652" s="75">
        <f>(MIN(L652,'THAM_SO_MOI'!$C$41)-O652)/('THAM_SO_MOI'!$C$11*H652)</f>
        <v>0.1781785063771659</v>
      </c>
      <c r="Q652" s="75">
        <f>IF(P652&gt;0,1/P652,NA())</f>
        <v>5.6123492127788595</v>
      </c>
      <c r="R652" s="75">
        <f>F652-F651</f>
        <v>0.01760042735042333</v>
      </c>
      <c r="S652" s="75">
        <f>0.5*(Q651+Q652)*R652</f>
        <v>0.09872596208378383</v>
      </c>
      <c r="T652" s="75">
        <f>0.5*(F651*Q651+F652*Q652)*R652</f>
        <v>1.9232546770143435</v>
      </c>
      <c r="U652" s="76">
        <f>U651+S652</f>
        <v>55.58490580643017</v>
      </c>
      <c r="V652" s="76">
        <f>V651+T652</f>
        <v>772.2222508433703</v>
      </c>
    </row>
    <row r="653" spans="1:22" ht="19" customHeight="1">
      <c r="A653" s="68" t="s">
        <v>362</v>
      </c>
      <c r="B653" s="74">
        <v>5</v>
      </c>
      <c r="C653" s="68" t="s">
        <v>363</v>
      </c>
      <c r="D653" s="68" t="s">
        <v>364</v>
      </c>
      <c r="E653" s="75">
        <f>60*F653*'THAM_SO_MOI'!$C$53/(2*PI()*'THAM_SO_MOI'!$C$26)</f>
        <v>1921.9661052631573</v>
      </c>
      <c r="F653" s="75">
        <f>'THAM_SO_MOI'!$E$53+('THAM_SO_MOI'!$C$14-'THAM_SO_MOI'!$E$53)*647/'THAM_SO_MOI'!$C$42</f>
        <v>19.507134615384615</v>
      </c>
      <c r="G653" s="75">
        <f>3.6*F653</f>
        <v>70.22568461538462</v>
      </c>
      <c r="H653" s="75">
        <f>'THAM_SO_MOI'!$D$53</f>
        <v>1.1</v>
      </c>
      <c r="I653" s="75">
        <f>IF(F653&gt;'THAM_SO_MOI'!$C$14,'THAM_SO_MOI'!$C$13*(1+F653^2/1500),'THAM_SO_MOI'!$C$13)</f>
        <v>0.015</v>
      </c>
      <c r="J653" s="75">
        <f>'THAM_SO_MOI'!$C$40*('THAM_SO_MOI'!$C$23*(E653/'THAM_SO_MOI'!$C$22)+'THAM_SO_MOI'!$C$24*(E653/'THAM_SO_MOI'!$C$22)^2-'THAM_SO_MOI'!$C$25*(E653/'THAM_SO_MOI'!$C$22)^3)</f>
        <v>85.97040246492776</v>
      </c>
      <c r="K653" s="75">
        <f>'THAM_SO_MOI'!$C$31*J653/E653</f>
        <v>427.2248970183286</v>
      </c>
      <c r="L653" s="75">
        <f>K653*'THAM_SO_MOI'!$C$53*'THAM_SO_MOI'!$C$17/'THAM_SO_MOI'!$C$26</f>
        <v>3746.7640185683304</v>
      </c>
      <c r="M653" s="75">
        <f>'THAM_SO_MOI'!$C$15*'THAM_SO_MOI'!$C$16*F653^2</f>
        <v>1113.045280140505</v>
      </c>
      <c r="N653" s="75">
        <f>'THAM_SO_MOI'!$C$12*I653</f>
        <v>1130.112</v>
      </c>
      <c r="O653" s="75">
        <f>M653+N653</f>
        <v>2243.157280140505</v>
      </c>
      <c r="P653" s="75">
        <f>(MIN(L653,'THAM_SO_MOI'!$C$41)-O653)/('THAM_SO_MOI'!$C$11*H653)</f>
        <v>0.17798375218132403</v>
      </c>
      <c r="Q653" s="75">
        <f>IF(P653&gt;0,1/P653,NA())</f>
        <v>5.618490383218984</v>
      </c>
      <c r="R653" s="75">
        <f>F653-F652</f>
        <v>0.017600427350430436</v>
      </c>
      <c r="S653" s="75">
        <f>0.5*(Q652+Q653)*R653</f>
        <v>0.09883378819684877</v>
      </c>
      <c r="T653" s="75">
        <f>0.5*(F652*Q652+F653*Q653)*R653</f>
        <v>1.927094728045211</v>
      </c>
      <c r="U653" s="76">
        <f>U652+S653</f>
        <v>55.68373959462702</v>
      </c>
      <c r="V653" s="76">
        <f>V652+T653</f>
        <v>774.1493455714154</v>
      </c>
    </row>
    <row r="654" spans="1:22" ht="19" customHeight="1">
      <c r="A654" s="68" t="s">
        <v>362</v>
      </c>
      <c r="B654" s="74">
        <v>5</v>
      </c>
      <c r="C654" s="68" t="s">
        <v>363</v>
      </c>
      <c r="D654" s="68" t="s">
        <v>364</v>
      </c>
      <c r="E654" s="75">
        <f>60*F654*'THAM_SO_MOI'!$C$53/(2*PI()*'THAM_SO_MOI'!$C$26)</f>
        <v>1923.7002105263157</v>
      </c>
      <c r="F654" s="75">
        <f>'THAM_SO_MOI'!$E$53+('THAM_SO_MOI'!$C$14-'THAM_SO_MOI'!$E$53)*648/'THAM_SO_MOI'!$C$42</f>
        <v>19.524735042735045</v>
      </c>
      <c r="G654" s="75">
        <f>3.6*F654</f>
        <v>70.28904615384617</v>
      </c>
      <c r="H654" s="75">
        <f>'THAM_SO_MOI'!$D$53</f>
        <v>1.1</v>
      </c>
      <c r="I654" s="75">
        <f>IF(F654&gt;'THAM_SO_MOI'!$C$14,'THAM_SO_MOI'!$C$13*(1+F654^2/1500),'THAM_SO_MOI'!$C$13)</f>
        <v>0.015</v>
      </c>
      <c r="J654" s="75">
        <f>'THAM_SO_MOI'!$C$40*('THAM_SO_MOI'!$C$23*(E654/'THAM_SO_MOI'!$C$22)+'THAM_SO_MOI'!$C$24*(E654/'THAM_SO_MOI'!$C$22)^2-'THAM_SO_MOI'!$C$25*(E654/'THAM_SO_MOI'!$C$22)^3)</f>
        <v>86.05623188749976</v>
      </c>
      <c r="K654" s="75">
        <f>'THAM_SO_MOI'!$C$31*J654/E654</f>
        <v>427.26591812736825</v>
      </c>
      <c r="L654" s="75">
        <f>K654*'THAM_SO_MOI'!$C$53*'THAM_SO_MOI'!$C$17/'THAM_SO_MOI'!$C$26</f>
        <v>3747.123773855123</v>
      </c>
      <c r="M654" s="75">
        <f>'THAM_SO_MOI'!$C$15*'THAM_SO_MOI'!$C$16*F654^2</f>
        <v>1115.0546895803423</v>
      </c>
      <c r="N654" s="75">
        <f>'THAM_SO_MOI'!$C$12*I654</f>
        <v>1130.112</v>
      </c>
      <c r="O654" s="75">
        <f>M654+N654</f>
        <v>2245.1666895803423</v>
      </c>
      <c r="P654" s="75">
        <f>(MIN(L654,'THAM_SO_MOI'!$C$41)-O654)/('THAM_SO_MOI'!$C$11*H654)</f>
        <v>0.17778848061964733</v>
      </c>
      <c r="Q654" s="75">
        <f>IF(P654&gt;0,1/P654,NA())</f>
        <v>5.624661375780329</v>
      </c>
      <c r="R654" s="75">
        <f>F654-F653</f>
        <v>0.017600427350430436</v>
      </c>
      <c r="S654" s="75">
        <f>0.5*(Q653+Q654)*R654</f>
        <v>0.09894213786206581</v>
      </c>
      <c r="T654" s="75">
        <f>0.5*(F653*Q653+F654*Q654)*R654</f>
        <v>1.9309487922688005</v>
      </c>
      <c r="U654" s="76">
        <f>U653+S654</f>
        <v>55.78268173248909</v>
      </c>
      <c r="V654" s="76">
        <f>V653+T654</f>
        <v>776.0802943636843</v>
      </c>
    </row>
    <row r="655" spans="1:22" ht="19" customHeight="1">
      <c r="A655" s="68" t="s">
        <v>362</v>
      </c>
      <c r="B655" s="74">
        <v>5</v>
      </c>
      <c r="C655" s="68" t="s">
        <v>363</v>
      </c>
      <c r="D655" s="68" t="s">
        <v>364</v>
      </c>
      <c r="E655" s="75">
        <f>60*F655*'THAM_SO_MOI'!$C$53/(2*PI()*'THAM_SO_MOI'!$C$26)</f>
        <v>1925.4343157894732</v>
      </c>
      <c r="F655" s="75">
        <f>'THAM_SO_MOI'!$E$53+('THAM_SO_MOI'!$C$14-'THAM_SO_MOI'!$E$53)*649/'THAM_SO_MOI'!$C$42</f>
        <v>19.54233547008547</v>
      </c>
      <c r="G655" s="75">
        <f>3.6*F655</f>
        <v>70.3524076923077</v>
      </c>
      <c r="H655" s="75">
        <f>'THAM_SO_MOI'!$D$53</f>
        <v>1.1</v>
      </c>
      <c r="I655" s="75">
        <f>IF(F655&gt;'THAM_SO_MOI'!$C$14,'THAM_SO_MOI'!$C$13*(1+F655^2/1500),'THAM_SO_MOI'!$C$13)</f>
        <v>0.015</v>
      </c>
      <c r="J655" s="75">
        <f>'THAM_SO_MOI'!$C$40*('THAM_SO_MOI'!$C$23*(E655/'THAM_SO_MOI'!$C$22)+'THAM_SO_MOI'!$C$24*(E655/'THAM_SO_MOI'!$C$22)^2-'THAM_SO_MOI'!$C$25*(E655/'THAM_SO_MOI'!$C$22)^3)</f>
        <v>86.14201739387224</v>
      </c>
      <c r="K655" s="75">
        <f>'THAM_SO_MOI'!$C$31*J655/E655</f>
        <v>427.30664750078273</v>
      </c>
      <c r="L655" s="75">
        <f>K655*'THAM_SO_MOI'!$C$53*'THAM_SO_MOI'!$C$17/'THAM_SO_MOI'!$C$26</f>
        <v>3747.480970619341</v>
      </c>
      <c r="M655" s="75">
        <f>'THAM_SO_MOI'!$C$15*'THAM_SO_MOI'!$C$16*F655^2</f>
        <v>1117.06591120418</v>
      </c>
      <c r="N655" s="75">
        <f>'THAM_SO_MOI'!$C$12*I655</f>
        <v>1130.112</v>
      </c>
      <c r="O655" s="75">
        <f>M655+N655</f>
        <v>2247.1779112041804</v>
      </c>
      <c r="P655" s="75">
        <f>(MIN(L655,'THAM_SO_MOI'!$C$41)-O655)/('THAM_SO_MOI'!$C$11*H655)</f>
        <v>0.17759269169213548</v>
      </c>
      <c r="Q655" s="75">
        <f>IF(P655&gt;0,1/P655,NA())</f>
        <v>5.630862342767701</v>
      </c>
      <c r="R655" s="75">
        <f>F655-F654</f>
        <v>0.01760042735042333</v>
      </c>
      <c r="S655" s="75">
        <f>0.5*(Q654+Q655)*R655</f>
        <v>0.09905101374963564</v>
      </c>
      <c r="T655" s="75">
        <f>0.5*(F654*Q654+F655*Q655)*R655</f>
        <v>1.9348169494878886</v>
      </c>
      <c r="U655" s="76">
        <f>U654+S655</f>
        <v>55.881732746238725</v>
      </c>
      <c r="V655" s="76">
        <f>V654+T655</f>
        <v>778.0151113131722</v>
      </c>
    </row>
    <row r="656" spans="1:22" ht="19" customHeight="1">
      <c r="A656" s="68" t="s">
        <v>362</v>
      </c>
      <c r="B656" s="74">
        <v>5</v>
      </c>
      <c r="C656" s="68" t="s">
        <v>363</v>
      </c>
      <c r="D656" s="68" t="s">
        <v>364</v>
      </c>
      <c r="E656" s="75">
        <f>60*F656*'THAM_SO_MOI'!$C$53/(2*PI()*'THAM_SO_MOI'!$C$26)</f>
        <v>1927.1684210526316</v>
      </c>
      <c r="F656" s="75">
        <f>'THAM_SO_MOI'!$E$53+('THAM_SO_MOI'!$C$14-'THAM_SO_MOI'!$E$53)*650/'THAM_SO_MOI'!$C$42</f>
        <v>19.5599358974359</v>
      </c>
      <c r="G656" s="75">
        <f>3.6*F656</f>
        <v>70.41576923076924</v>
      </c>
      <c r="H656" s="75">
        <f>'THAM_SO_MOI'!$D$53</f>
        <v>1.1</v>
      </c>
      <c r="I656" s="75">
        <f>IF(F656&gt;'THAM_SO_MOI'!$C$14,'THAM_SO_MOI'!$C$13*(1+F656^2/1500),'THAM_SO_MOI'!$C$13)</f>
        <v>0.015</v>
      </c>
      <c r="J656" s="75">
        <f>'THAM_SO_MOI'!$C$40*('THAM_SO_MOI'!$C$23*(E656/'THAM_SO_MOI'!$C$22)+'THAM_SO_MOI'!$C$24*(E656/'THAM_SO_MOI'!$C$22)^2-'THAM_SO_MOI'!$C$25*(E656/'THAM_SO_MOI'!$C$22)^3)</f>
        <v>86.22775882514202</v>
      </c>
      <c r="K656" s="75">
        <f>'THAM_SO_MOI'!$C$31*J656/E656</f>
        <v>427.34708513857225</v>
      </c>
      <c r="L656" s="75">
        <f>K656*'THAM_SO_MOI'!$C$53*'THAM_SO_MOI'!$C$17/'THAM_SO_MOI'!$C$26</f>
        <v>3747.8356088609858</v>
      </c>
      <c r="M656" s="75">
        <f>'THAM_SO_MOI'!$C$15*'THAM_SO_MOI'!$C$16*F656^2</f>
        <v>1119.0789450120196</v>
      </c>
      <c r="N656" s="75">
        <f>'THAM_SO_MOI'!$C$12*I656</f>
        <v>1130.112</v>
      </c>
      <c r="O656" s="75">
        <f>M656+N656</f>
        <v>2249.1909450120197</v>
      </c>
      <c r="P656" s="75">
        <f>(MIN(L656,'THAM_SO_MOI'!$C$41)-O656)/('THAM_SO_MOI'!$C$11*H656)</f>
        <v>0.1773963853987886</v>
      </c>
      <c r="Q656" s="75">
        <f>IF(P656&gt;0,1/P656,NA())</f>
        <v>5.637093437681897</v>
      </c>
      <c r="R656" s="75">
        <f>F656-F655</f>
        <v>0.017600427350430436</v>
      </c>
      <c r="S656" s="75">
        <f>0.5*(Q655+Q656)*R656</f>
        <v>0.09916041855083291</v>
      </c>
      <c r="T656" s="75">
        <f>0.5*(F655*Q655+F656*Q656)*R656</f>
        <v>1.9386992801052578</v>
      </c>
      <c r="U656" s="76">
        <f>U655+S656</f>
        <v>55.980893164789556</v>
      </c>
      <c r="V656" s="76">
        <f>V655+T656</f>
        <v>779.9538105932775</v>
      </c>
    </row>
    <row r="657" spans="1:22" ht="19" customHeight="1">
      <c r="A657" s="68" t="s">
        <v>362</v>
      </c>
      <c r="B657" s="74">
        <v>5</v>
      </c>
      <c r="C657" s="68" t="s">
        <v>363</v>
      </c>
      <c r="D657" s="68" t="s">
        <v>364</v>
      </c>
      <c r="E657" s="75">
        <f>60*F657*'THAM_SO_MOI'!$C$53/(2*PI()*'THAM_SO_MOI'!$C$26)</f>
        <v>1928.9025263157887</v>
      </c>
      <c r="F657" s="75">
        <f>'THAM_SO_MOI'!$E$53+('THAM_SO_MOI'!$C$14-'THAM_SO_MOI'!$E$53)*651/'THAM_SO_MOI'!$C$42</f>
        <v>19.577536324786323</v>
      </c>
      <c r="G657" s="75">
        <f>3.6*F657</f>
        <v>70.47913076923076</v>
      </c>
      <c r="H657" s="75">
        <f>'THAM_SO_MOI'!$D$53</f>
        <v>1.1</v>
      </c>
      <c r="I657" s="75">
        <f>IF(F657&gt;'THAM_SO_MOI'!$C$14,'THAM_SO_MOI'!$C$13*(1+F657^2/1500),'THAM_SO_MOI'!$C$13)</f>
        <v>0.015</v>
      </c>
      <c r="J657" s="75">
        <f>'THAM_SO_MOI'!$C$40*('THAM_SO_MOI'!$C$23*(E657/'THAM_SO_MOI'!$C$22)+'THAM_SO_MOI'!$C$24*(E657/'THAM_SO_MOI'!$C$22)^2-'THAM_SO_MOI'!$C$25*(E657/'THAM_SO_MOI'!$C$22)^3)</f>
        <v>86.3134560224057</v>
      </c>
      <c r="K657" s="75">
        <f>'THAM_SO_MOI'!$C$31*J657/E657</f>
        <v>427.38723104073665</v>
      </c>
      <c r="L657" s="75">
        <f>K657*'THAM_SO_MOI'!$C$53*'THAM_SO_MOI'!$C$17/'THAM_SO_MOI'!$C$26</f>
        <v>3748.187688580057</v>
      </c>
      <c r="M657" s="75">
        <f>'THAM_SO_MOI'!$C$15*'THAM_SO_MOI'!$C$16*F657^2</f>
        <v>1121.0937910038595</v>
      </c>
      <c r="N657" s="75">
        <f>'THAM_SO_MOI'!$C$12*I657</f>
        <v>1130.112</v>
      </c>
      <c r="O657" s="75">
        <f>M657+N657</f>
        <v>2251.2057910038593</v>
      </c>
      <c r="P657" s="75">
        <f>(MIN(L657,'THAM_SO_MOI'!$C$41)-O657)/('THAM_SO_MOI'!$C$11*H657)</f>
        <v>0.1771995617396067</v>
      </c>
      <c r="Q657" s="75">
        <f>IF(P657&gt;0,1/P657,NA())</f>
        <v>5.6433548152308175</v>
      </c>
      <c r="R657" s="75">
        <f>F657-F656</f>
        <v>0.01760042735042333</v>
      </c>
      <c r="S657" s="75">
        <f>0.5*(Q656+Q657)*R657</f>
        <v>0.09927035497780001</v>
      </c>
      <c r="T657" s="75">
        <f>0.5*(F656*Q656+F657*Q657)*R657</f>
        <v>1.9425958651215183</v>
      </c>
      <c r="U657" s="76">
        <f>U656+S657</f>
        <v>56.08016351976735</v>
      </c>
      <c r="V657" s="76">
        <f>V656+T657</f>
        <v>781.896406458399</v>
      </c>
    </row>
    <row r="658" spans="1:22" ht="19" customHeight="1">
      <c r="A658" s="68" t="s">
        <v>362</v>
      </c>
      <c r="B658" s="74">
        <v>5</v>
      </c>
      <c r="C658" s="68" t="s">
        <v>363</v>
      </c>
      <c r="D658" s="68" t="s">
        <v>364</v>
      </c>
      <c r="E658" s="75">
        <f>60*F658*'THAM_SO_MOI'!$C$53/(2*PI()*'THAM_SO_MOI'!$C$26)</f>
        <v>1930.6366315789471</v>
      </c>
      <c r="F658" s="75">
        <f>'THAM_SO_MOI'!$E$53+('THAM_SO_MOI'!$C$14-'THAM_SO_MOI'!$E$53)*652/'THAM_SO_MOI'!$C$42</f>
        <v>19.595136752136753</v>
      </c>
      <c r="G658" s="75">
        <f>3.6*F658</f>
        <v>70.54249230769231</v>
      </c>
      <c r="H658" s="75">
        <f>'THAM_SO_MOI'!$D$53</f>
        <v>1.1</v>
      </c>
      <c r="I658" s="75">
        <f>IF(F658&gt;'THAM_SO_MOI'!$C$14,'THAM_SO_MOI'!$C$13*(1+F658^2/1500),'THAM_SO_MOI'!$C$13)</f>
        <v>0.015</v>
      </c>
      <c r="J658" s="75">
        <f>'THAM_SO_MOI'!$C$40*('THAM_SO_MOI'!$C$23*(E658/'THAM_SO_MOI'!$C$22)+'THAM_SO_MOI'!$C$24*(E658/'THAM_SO_MOI'!$C$22)^2-'THAM_SO_MOI'!$C$25*(E658/'THAM_SO_MOI'!$C$22)^3)</f>
        <v>86.3991088267602</v>
      </c>
      <c r="K658" s="75">
        <f>'THAM_SO_MOI'!$C$31*J658/E658</f>
        <v>427.42708520727626</v>
      </c>
      <c r="L658" s="75">
        <f>K658*'THAM_SO_MOI'!$C$53*'THAM_SO_MOI'!$C$17/'THAM_SO_MOI'!$C$26</f>
        <v>3748.537209776558</v>
      </c>
      <c r="M658" s="75">
        <f>'THAM_SO_MOI'!$C$15*'THAM_SO_MOI'!$C$16*F658^2</f>
        <v>1123.1104491797012</v>
      </c>
      <c r="N658" s="75">
        <f>'THAM_SO_MOI'!$C$12*I658</f>
        <v>1130.112</v>
      </c>
      <c r="O658" s="75">
        <f>M658+N658</f>
        <v>2253.2224491797015</v>
      </c>
      <c r="P658" s="75">
        <f>(MIN(L658,'THAM_SO_MOI'!$C$41)-O658)/('THAM_SO_MOI'!$C$11*H658)</f>
        <v>0.17700222071459007</v>
      </c>
      <c r="Q658" s="75">
        <f>IF(P658&gt;0,1/P658,NA())</f>
        <v>5.649646631340661</v>
      </c>
      <c r="R658" s="75">
        <f>F658-F657</f>
        <v>0.017600427350430436</v>
      </c>
      <c r="S658" s="75">
        <f>0.5*(Q657+Q658)*R658</f>
        <v>0.09938082576434357</v>
      </c>
      <c r="T658" s="75">
        <f>0.5*(F657*Q657+F658*Q658)*R658</f>
        <v>1.9465067861525434</v>
      </c>
      <c r="U658" s="76">
        <f>U657+S658</f>
        <v>56.179544345531696</v>
      </c>
      <c r="V658" s="76">
        <f>V657+T658</f>
        <v>783.8429132445516</v>
      </c>
    </row>
    <row r="659" spans="1:22" ht="19" customHeight="1">
      <c r="A659" s="68" t="s">
        <v>362</v>
      </c>
      <c r="B659" s="74">
        <v>5</v>
      </c>
      <c r="C659" s="68" t="s">
        <v>363</v>
      </c>
      <c r="D659" s="68" t="s">
        <v>364</v>
      </c>
      <c r="E659" s="75">
        <f>60*F659*'THAM_SO_MOI'!$C$53/(2*PI()*'THAM_SO_MOI'!$C$26)</f>
        <v>1932.370736842105</v>
      </c>
      <c r="F659" s="75">
        <f>'THAM_SO_MOI'!$E$53+('THAM_SO_MOI'!$C$14-'THAM_SO_MOI'!$E$53)*653/'THAM_SO_MOI'!$C$42</f>
        <v>19.61273717948718</v>
      </c>
      <c r="G659" s="75">
        <f>3.6*F659</f>
        <v>70.60585384615385</v>
      </c>
      <c r="H659" s="75">
        <f>'THAM_SO_MOI'!$D$53</f>
        <v>1.1</v>
      </c>
      <c r="I659" s="75">
        <f>IF(F659&gt;'THAM_SO_MOI'!$C$14,'THAM_SO_MOI'!$C$13*(1+F659^2/1500),'THAM_SO_MOI'!$C$13)</f>
        <v>0.015</v>
      </c>
      <c r="J659" s="75">
        <f>'THAM_SO_MOI'!$C$40*('THAM_SO_MOI'!$C$23*(E659/'THAM_SO_MOI'!$C$22)+'THAM_SO_MOI'!$C$24*(E659/'THAM_SO_MOI'!$C$22)^2-'THAM_SO_MOI'!$C$25*(E659/'THAM_SO_MOI'!$C$22)^3)</f>
        <v>86.48471707930206</v>
      </c>
      <c r="K659" s="75">
        <f>'THAM_SO_MOI'!$C$31*J659/E659</f>
        <v>427.4666476381907</v>
      </c>
      <c r="L659" s="75">
        <f>K659*'THAM_SO_MOI'!$C$53*'THAM_SO_MOI'!$C$17/'THAM_SO_MOI'!$C$26</f>
        <v>3748.8841724504837</v>
      </c>
      <c r="M659" s="75">
        <f>'THAM_SO_MOI'!$C$15*'THAM_SO_MOI'!$C$16*F659^2</f>
        <v>1125.1289195395434</v>
      </c>
      <c r="N659" s="75">
        <f>'THAM_SO_MOI'!$C$12*I659</f>
        <v>1130.112</v>
      </c>
      <c r="O659" s="75">
        <f>M659+N659</f>
        <v>2255.2409195395435</v>
      </c>
      <c r="P659" s="75">
        <f>(MIN(L659,'THAM_SO_MOI'!$C$41)-O659)/('THAM_SO_MOI'!$C$11*H659)</f>
        <v>0.1768043623237382</v>
      </c>
      <c r="Q659" s="75">
        <f>IF(P659&gt;0,1/P659,NA())</f>
        <v>5.65596904316731</v>
      </c>
      <c r="R659" s="75">
        <f>F659-F658</f>
        <v>0.017600427350426884</v>
      </c>
      <c r="S659" s="75">
        <f>0.5*(Q658+Q659)*R659</f>
        <v>0.0994918336655125</v>
      </c>
      <c r="T659" s="75">
        <f>0.5*(F658*Q658+F659*Q659)*R659</f>
        <v>1.9504321254231045</v>
      </c>
      <c r="U659" s="76">
        <f>U658+S659</f>
        <v>56.279036179197206</v>
      </c>
      <c r="V659" s="76">
        <f>V658+T659</f>
        <v>785.7933453699746</v>
      </c>
    </row>
    <row r="660" spans="1:22" ht="19" customHeight="1">
      <c r="A660" s="68" t="s">
        <v>362</v>
      </c>
      <c r="B660" s="74">
        <v>5</v>
      </c>
      <c r="C660" s="68" t="s">
        <v>363</v>
      </c>
      <c r="D660" s="68" t="s">
        <v>364</v>
      </c>
      <c r="E660" s="75">
        <f>60*F660*'THAM_SO_MOI'!$C$53/(2*PI()*'THAM_SO_MOI'!$C$26)</f>
        <v>1934.1048421052626</v>
      </c>
      <c r="F660" s="75">
        <f>'THAM_SO_MOI'!$E$53+('THAM_SO_MOI'!$C$14-'THAM_SO_MOI'!$E$53)*654/'THAM_SO_MOI'!$C$42</f>
        <v>19.630337606837607</v>
      </c>
      <c r="G660" s="75">
        <f>3.6*F660</f>
        <v>70.66921538461538</v>
      </c>
      <c r="H660" s="75">
        <f>'THAM_SO_MOI'!$D$53</f>
        <v>1.1</v>
      </c>
      <c r="I660" s="75">
        <f>IF(F660&gt;'THAM_SO_MOI'!$C$14,'THAM_SO_MOI'!$C$13*(1+F660^2/1500),'THAM_SO_MOI'!$C$13)</f>
        <v>0.015</v>
      </c>
      <c r="J660" s="75">
        <f>'THAM_SO_MOI'!$C$40*('THAM_SO_MOI'!$C$23*(E660/'THAM_SO_MOI'!$C$22)+'THAM_SO_MOI'!$C$24*(E660/'THAM_SO_MOI'!$C$22)^2-'THAM_SO_MOI'!$C$25*(E660/'THAM_SO_MOI'!$C$22)^3)</f>
        <v>86.570280621128</v>
      </c>
      <c r="K660" s="75">
        <f>'THAM_SO_MOI'!$C$31*J660/E660</f>
        <v>427.50591833347994</v>
      </c>
      <c r="L660" s="75">
        <f>K660*'THAM_SO_MOI'!$C$53*'THAM_SO_MOI'!$C$17/'THAM_SO_MOI'!$C$26</f>
        <v>3749.228576601836</v>
      </c>
      <c r="M660" s="75">
        <f>'THAM_SO_MOI'!$C$15*'THAM_SO_MOI'!$C$16*F660^2</f>
        <v>1127.1492020833869</v>
      </c>
      <c r="N660" s="75">
        <f>'THAM_SO_MOI'!$C$12*I660</f>
        <v>1130.112</v>
      </c>
      <c r="O660" s="75">
        <f>M660+N660</f>
        <v>2257.2612020833867</v>
      </c>
      <c r="P660" s="75">
        <f>(MIN(L660,'THAM_SO_MOI'!$C$41)-O660)/('THAM_SO_MOI'!$C$11*H660)</f>
        <v>0.17660598656705126</v>
      </c>
      <c r="Q660" s="75">
        <f>IF(P660&gt;0,1/P660,NA())</f>
        <v>5.662322209107754</v>
      </c>
      <c r="R660" s="75">
        <f>F660-F659</f>
        <v>0.017600427350426884</v>
      </c>
      <c r="S660" s="75">
        <f>0.5*(Q659+Q660)*R660</f>
        <v>0.09960338145831968</v>
      </c>
      <c r="T660" s="75">
        <f>0.5*(F659*Q659+F660*Q660)*R660</f>
        <v>1.9543719657829004</v>
      </c>
      <c r="U660" s="76">
        <f>U659+S660</f>
        <v>56.37863956065553</v>
      </c>
      <c r="V660" s="76">
        <f>V659+T660</f>
        <v>787.7477173357576</v>
      </c>
    </row>
    <row r="661" spans="1:22" ht="19" customHeight="1">
      <c r="A661" s="68" t="s">
        <v>362</v>
      </c>
      <c r="B661" s="74">
        <v>5</v>
      </c>
      <c r="C661" s="68" t="s">
        <v>363</v>
      </c>
      <c r="D661" s="68" t="s">
        <v>364</v>
      </c>
      <c r="E661" s="75">
        <f>60*F661*'THAM_SO_MOI'!$C$53/(2*PI()*'THAM_SO_MOI'!$C$26)</f>
        <v>1935.8389473684206</v>
      </c>
      <c r="F661" s="75">
        <f>'THAM_SO_MOI'!$E$53+('THAM_SO_MOI'!$C$14-'THAM_SO_MOI'!$E$53)*655/'THAM_SO_MOI'!$C$42</f>
        <v>19.647938034188034</v>
      </c>
      <c r="G661" s="75">
        <f>3.6*F661</f>
        <v>70.73257692307692</v>
      </c>
      <c r="H661" s="75">
        <f>'THAM_SO_MOI'!$D$53</f>
        <v>1.1</v>
      </c>
      <c r="I661" s="75">
        <f>IF(F661&gt;'THAM_SO_MOI'!$C$14,'THAM_SO_MOI'!$C$13*(1+F661^2/1500),'THAM_SO_MOI'!$C$13)</f>
        <v>0.015</v>
      </c>
      <c r="J661" s="75">
        <f>'THAM_SO_MOI'!$C$40*('THAM_SO_MOI'!$C$23*(E661/'THAM_SO_MOI'!$C$22)+'THAM_SO_MOI'!$C$24*(E661/'THAM_SO_MOI'!$C$22)^2-'THAM_SO_MOI'!$C$25*(E661/'THAM_SO_MOI'!$C$22)^3)</f>
        <v>86.65579929333487</v>
      </c>
      <c r="K661" s="75">
        <f>'THAM_SO_MOI'!$C$31*J661/E661</f>
        <v>427.54489729314423</v>
      </c>
      <c r="L661" s="75">
        <f>K661*'THAM_SO_MOI'!$C$53*'THAM_SO_MOI'!$C$17/'THAM_SO_MOI'!$C$26</f>
        <v>3749.5704222306153</v>
      </c>
      <c r="M661" s="75">
        <f>'THAM_SO_MOI'!$C$15*'THAM_SO_MOI'!$C$16*F661^2</f>
        <v>1129.1712968112313</v>
      </c>
      <c r="N661" s="75">
        <f>'THAM_SO_MOI'!$C$12*I661</f>
        <v>1130.112</v>
      </c>
      <c r="O661" s="75">
        <f>M661+N661</f>
        <v>2259.2832968112316</v>
      </c>
      <c r="P661" s="75">
        <f>(MIN(L661,'THAM_SO_MOI'!$C$41)-O661)/('THAM_SO_MOI'!$C$11*H661)</f>
        <v>0.17640709344452937</v>
      </c>
      <c r="Q661" s="75">
        <f>IF(P661&gt;0,1/P661,NA())</f>
        <v>5.668706288811718</v>
      </c>
      <c r="R661" s="75">
        <f>F661-F660</f>
        <v>0.017600427350426884</v>
      </c>
      <c r="S661" s="75">
        <f>0.5*(Q660+Q661)*R661</f>
        <v>0.09971547194162417</v>
      </c>
      <c r="T661" s="75">
        <f>0.5*(F660*Q660+F661*Q661)*R661</f>
        <v>1.958326390706177</v>
      </c>
      <c r="U661" s="76">
        <f>U660+S661</f>
        <v>56.47835503259715</v>
      </c>
      <c r="V661" s="76">
        <f>V660+T661</f>
        <v>789.7060437264637</v>
      </c>
    </row>
    <row r="662" spans="1:22" ht="19" customHeight="1">
      <c r="A662" s="68" t="s">
        <v>362</v>
      </c>
      <c r="B662" s="74">
        <v>5</v>
      </c>
      <c r="C662" s="68" t="s">
        <v>363</v>
      </c>
      <c r="D662" s="68" t="s">
        <v>364</v>
      </c>
      <c r="E662" s="75">
        <f>60*F662*'THAM_SO_MOI'!$C$53/(2*PI()*'THAM_SO_MOI'!$C$26)</f>
        <v>1937.5730526315783</v>
      </c>
      <c r="F662" s="75">
        <f>'THAM_SO_MOI'!$E$53+('THAM_SO_MOI'!$C$14-'THAM_SO_MOI'!$E$53)*656/'THAM_SO_MOI'!$C$42</f>
        <v>19.66553846153846</v>
      </c>
      <c r="G662" s="75">
        <f>3.6*F662</f>
        <v>70.79593846153846</v>
      </c>
      <c r="H662" s="75">
        <f>'THAM_SO_MOI'!$D$53</f>
        <v>1.1</v>
      </c>
      <c r="I662" s="75">
        <f>IF(F662&gt;'THAM_SO_MOI'!$C$14,'THAM_SO_MOI'!$C$13*(1+F662^2/1500),'THAM_SO_MOI'!$C$13)</f>
        <v>0.015</v>
      </c>
      <c r="J662" s="75">
        <f>'THAM_SO_MOI'!$C$40*('THAM_SO_MOI'!$C$23*(E662/'THAM_SO_MOI'!$C$22)+'THAM_SO_MOI'!$C$24*(E662/'THAM_SO_MOI'!$C$22)^2-'THAM_SO_MOI'!$C$25*(E662/'THAM_SO_MOI'!$C$22)^3)</f>
        <v>86.7412729370193</v>
      </c>
      <c r="K662" s="75">
        <f>'THAM_SO_MOI'!$C$31*J662/E662</f>
        <v>427.58358451718357</v>
      </c>
      <c r="L662" s="75">
        <f>K662*'THAM_SO_MOI'!$C$53*'THAM_SO_MOI'!$C$17/'THAM_SO_MOI'!$C$26</f>
        <v>3749.909709336822</v>
      </c>
      <c r="M662" s="75">
        <f>'THAM_SO_MOI'!$C$15*'THAM_SO_MOI'!$C$16*F662^2</f>
        <v>1131.195203723077</v>
      </c>
      <c r="N662" s="75">
        <f>'THAM_SO_MOI'!$C$12*I662</f>
        <v>1130.112</v>
      </c>
      <c r="O662" s="75">
        <f>M662+N662</f>
        <v>2261.307203723077</v>
      </c>
      <c r="P662" s="75">
        <f>(MIN(L662,'THAM_SO_MOI'!$C$41)-O662)/('THAM_SO_MOI'!$C$11*H662)</f>
        <v>0.17620768295617248</v>
      </c>
      <c r="Q662" s="75">
        <f>IF(P662&gt;0,1/P662,NA())</f>
        <v>5.675121443193408</v>
      </c>
      <c r="R662" s="75">
        <f>F662-F661</f>
        <v>0.017600427350426884</v>
      </c>
      <c r="S662" s="75">
        <f>0.5*(Q661+Q662)*R662</f>
        <v>0.099828107936457</v>
      </c>
      <c r="T662" s="75">
        <f>0.5*(F661*Q661+F662*Q662)*R662</f>
        <v>1.9622954843000557</v>
      </c>
      <c r="U662" s="76">
        <f>U661+S662</f>
        <v>56.57818314053361</v>
      </c>
      <c r="V662" s="76">
        <f>V661+T662</f>
        <v>791.6683392107637</v>
      </c>
    </row>
    <row r="663" spans="1:22" ht="19" customHeight="1">
      <c r="A663" s="68" t="s">
        <v>362</v>
      </c>
      <c r="B663" s="74">
        <v>5</v>
      </c>
      <c r="C663" s="68" t="s">
        <v>363</v>
      </c>
      <c r="D663" s="68" t="s">
        <v>364</v>
      </c>
      <c r="E663" s="75">
        <f>60*F663*'THAM_SO_MOI'!$C$53/(2*PI()*'THAM_SO_MOI'!$C$26)</f>
        <v>1939.3071578947367</v>
      </c>
      <c r="F663" s="75">
        <f>'THAM_SO_MOI'!$E$53+('THAM_SO_MOI'!$C$14-'THAM_SO_MOI'!$E$53)*657/'THAM_SO_MOI'!$C$42</f>
        <v>19.68313888888889</v>
      </c>
      <c r="G663" s="75">
        <f>3.6*F663</f>
        <v>70.8593</v>
      </c>
      <c r="H663" s="75">
        <f>'THAM_SO_MOI'!$D$53</f>
        <v>1.1</v>
      </c>
      <c r="I663" s="75">
        <f>IF(F663&gt;'THAM_SO_MOI'!$C$14,'THAM_SO_MOI'!$C$13*(1+F663^2/1500),'THAM_SO_MOI'!$C$13)</f>
        <v>0.015</v>
      </c>
      <c r="J663" s="75">
        <f>'THAM_SO_MOI'!$C$40*('THAM_SO_MOI'!$C$23*(E663/'THAM_SO_MOI'!$C$22)+'THAM_SO_MOI'!$C$24*(E663/'THAM_SO_MOI'!$C$22)^2-'THAM_SO_MOI'!$C$25*(E663/'THAM_SO_MOI'!$C$22)^3)</f>
        <v>86.82670139327807</v>
      </c>
      <c r="K663" s="75">
        <f>'THAM_SO_MOI'!$C$31*J663/E663</f>
        <v>427.62198000559783</v>
      </c>
      <c r="L663" s="75">
        <f>K663*'THAM_SO_MOI'!$C$53*'THAM_SO_MOI'!$C$17/'THAM_SO_MOI'!$C$26</f>
        <v>3750.2464379204553</v>
      </c>
      <c r="M663" s="75">
        <f>'THAM_SO_MOI'!$C$15*'THAM_SO_MOI'!$C$16*F663^2</f>
        <v>1133.220922818924</v>
      </c>
      <c r="N663" s="75">
        <f>'THAM_SO_MOI'!$C$12*I663</f>
        <v>1130.112</v>
      </c>
      <c r="O663" s="75">
        <f>M663+N663</f>
        <v>2263.332922818924</v>
      </c>
      <c r="P663" s="75">
        <f>(MIN(L663,'THAM_SO_MOI'!$C$41)-O663)/('THAM_SO_MOI'!$C$11*H663)</f>
        <v>0.1760077551019805</v>
      </c>
      <c r="Q663" s="75">
        <f>IF(P663&gt;0,1/P663,NA())</f>
        <v>5.6815678344433795</v>
      </c>
      <c r="R663" s="75">
        <f>F663-F662</f>
        <v>0.017600427350430436</v>
      </c>
      <c r="S663" s="75">
        <f>0.5*(Q662+Q663)*R663</f>
        <v>0.09994129228622929</v>
      </c>
      <c r="T663" s="75">
        <f>0.5*(F662*Q662+F663*Q663)*R663</f>
        <v>1.9662793313105769</v>
      </c>
      <c r="U663" s="76">
        <f>U662+S663</f>
        <v>56.67812443281984</v>
      </c>
      <c r="V663" s="76">
        <f>V662+T663</f>
        <v>793.6346185420743</v>
      </c>
    </row>
    <row r="664" spans="1:22" ht="19" customHeight="1">
      <c r="A664" s="68" t="s">
        <v>362</v>
      </c>
      <c r="B664" s="74">
        <v>5</v>
      </c>
      <c r="C664" s="68" t="s">
        <v>363</v>
      </c>
      <c r="D664" s="68" t="s">
        <v>364</v>
      </c>
      <c r="E664" s="75">
        <f>60*F664*'THAM_SO_MOI'!$C$53/(2*PI()*'THAM_SO_MOI'!$C$26)</f>
        <v>1941.0412631578943</v>
      </c>
      <c r="F664" s="75">
        <f>'THAM_SO_MOI'!$E$53+('THAM_SO_MOI'!$C$14-'THAM_SO_MOI'!$E$53)*658/'THAM_SO_MOI'!$C$42</f>
        <v>19.700739316239314</v>
      </c>
      <c r="G664" s="75">
        <f>3.6*F664</f>
        <v>70.92266153846154</v>
      </c>
      <c r="H664" s="75">
        <f>'THAM_SO_MOI'!$D$53</f>
        <v>1.1</v>
      </c>
      <c r="I664" s="75">
        <f>IF(F664&gt;'THAM_SO_MOI'!$C$14,'THAM_SO_MOI'!$C$13*(1+F664^2/1500),'THAM_SO_MOI'!$C$13)</f>
        <v>0.015</v>
      </c>
      <c r="J664" s="75">
        <f>'THAM_SO_MOI'!$C$40*('THAM_SO_MOI'!$C$23*(E664/'THAM_SO_MOI'!$C$22)+'THAM_SO_MOI'!$C$24*(E664/'THAM_SO_MOI'!$C$22)^2-'THAM_SO_MOI'!$C$25*(E664/'THAM_SO_MOI'!$C$22)^3)</f>
        <v>86.91208450320784</v>
      </c>
      <c r="K664" s="75">
        <f>'THAM_SO_MOI'!$C$31*J664/E664</f>
        <v>427.6600837583872</v>
      </c>
      <c r="L664" s="75">
        <f>K664*'THAM_SO_MOI'!$C$53*'THAM_SO_MOI'!$C$17/'THAM_SO_MOI'!$C$26</f>
        <v>3750.580607981517</v>
      </c>
      <c r="M664" s="75">
        <f>'THAM_SO_MOI'!$C$15*'THAM_SO_MOI'!$C$16*F664^2</f>
        <v>1135.2484540987712</v>
      </c>
      <c r="N664" s="75">
        <f>'THAM_SO_MOI'!$C$12*I664</f>
        <v>1130.112</v>
      </c>
      <c r="O664" s="75">
        <f>M664+N664</f>
        <v>2265.3604540987712</v>
      </c>
      <c r="P664" s="75">
        <f>(MIN(L664,'THAM_SO_MOI'!$C$41)-O664)/('THAM_SO_MOI'!$C$11*H664)</f>
        <v>0.1758073098819538</v>
      </c>
      <c r="Q664" s="75">
        <f>IF(P664&gt;0,1/P664,NA())</f>
        <v>5.688045626040533</v>
      </c>
      <c r="R664" s="75">
        <f>F664-F663</f>
        <v>0.01760042735042333</v>
      </c>
      <c r="S664" s="75">
        <f>0.5*(Q663+Q664)*R664</f>
        <v>0.10005502785682115</v>
      </c>
      <c r="T664" s="75">
        <f>0.5*(F663*Q663+F664*Q664)*R664</f>
        <v>1.9702780171264196</v>
      </c>
      <c r="U664" s="76">
        <f>U663+S664</f>
        <v>56.77817946067666</v>
      </c>
      <c r="V664" s="76">
        <f>V663+T664</f>
        <v>795.6048965592008</v>
      </c>
    </row>
    <row r="665" spans="1:22" ht="19" customHeight="1">
      <c r="A665" s="68" t="s">
        <v>362</v>
      </c>
      <c r="B665" s="74">
        <v>5</v>
      </c>
      <c r="C665" s="68" t="s">
        <v>363</v>
      </c>
      <c r="D665" s="68" t="s">
        <v>364</v>
      </c>
      <c r="E665" s="75">
        <f>60*F665*'THAM_SO_MOI'!$C$53/(2*PI()*'THAM_SO_MOI'!$C$26)</f>
        <v>1942.7753684210522</v>
      </c>
      <c r="F665" s="75">
        <f>'THAM_SO_MOI'!$E$53+('THAM_SO_MOI'!$C$14-'THAM_SO_MOI'!$E$53)*659/'THAM_SO_MOI'!$C$42</f>
        <v>19.718339743589745</v>
      </c>
      <c r="G665" s="75">
        <f>3.6*F665</f>
        <v>70.98602307692309</v>
      </c>
      <c r="H665" s="75">
        <f>'THAM_SO_MOI'!$D$53</f>
        <v>1.1</v>
      </c>
      <c r="I665" s="75">
        <f>IF(F665&gt;'THAM_SO_MOI'!$C$14,'THAM_SO_MOI'!$C$13*(1+F665^2/1500),'THAM_SO_MOI'!$C$13)</f>
        <v>0.015</v>
      </c>
      <c r="J665" s="75">
        <f>'THAM_SO_MOI'!$C$40*('THAM_SO_MOI'!$C$23*(E665/'THAM_SO_MOI'!$C$22)+'THAM_SO_MOI'!$C$24*(E665/'THAM_SO_MOI'!$C$22)^2-'THAM_SO_MOI'!$C$25*(E665/'THAM_SO_MOI'!$C$22)^3)</f>
        <v>86.99742210790534</v>
      </c>
      <c r="K665" s="75">
        <f>'THAM_SO_MOI'!$C$31*J665/E665</f>
        <v>427.69789577555133</v>
      </c>
      <c r="L665" s="75">
        <f>K665*'THAM_SO_MOI'!$C$53*'THAM_SO_MOI'!$C$17/'THAM_SO_MOI'!$C$26</f>
        <v>3750.9122195200034</v>
      </c>
      <c r="M665" s="75">
        <f>'THAM_SO_MOI'!$C$15*'THAM_SO_MOI'!$C$16*F665^2</f>
        <v>1137.2777975626204</v>
      </c>
      <c r="N665" s="75">
        <f>'THAM_SO_MOI'!$C$12*I665</f>
        <v>1130.112</v>
      </c>
      <c r="O665" s="75">
        <f>M665+N665</f>
        <v>2267.3897975626205</v>
      </c>
      <c r="P665" s="75">
        <f>(MIN(L665,'THAM_SO_MOI'!$C$41)-O665)/('THAM_SO_MOI'!$C$11*H665)</f>
        <v>0.17560634729609173</v>
      </c>
      <c r="Q665" s="75">
        <f>IF(P665&gt;0,1/P665,NA())</f>
        <v>5.694554982764315</v>
      </c>
      <c r="R665" s="75">
        <f>F665-F664</f>
        <v>0.017600427350430436</v>
      </c>
      <c r="S665" s="75">
        <f>0.5*(Q664+Q665)*R665</f>
        <v>0.1001693175371175</v>
      </c>
      <c r="T665" s="75">
        <f>0.5*(F664*Q664+F665*Q665)*R665</f>
        <v>1.9742916277914426</v>
      </c>
      <c r="U665" s="76">
        <f>U664+S665</f>
        <v>56.87834877821378</v>
      </c>
      <c r="V665" s="76">
        <f>V664+T665</f>
        <v>797.5791881869923</v>
      </c>
    </row>
    <row r="666" spans="1:22" ht="19" customHeight="1">
      <c r="A666" s="68" t="s">
        <v>362</v>
      </c>
      <c r="B666" s="74">
        <v>5</v>
      </c>
      <c r="C666" s="68" t="s">
        <v>363</v>
      </c>
      <c r="D666" s="68" t="s">
        <v>364</v>
      </c>
      <c r="E666" s="75">
        <f>60*F666*'THAM_SO_MOI'!$C$53/(2*PI()*'THAM_SO_MOI'!$C$26)</f>
        <v>1944.5094736842098</v>
      </c>
      <c r="F666" s="75">
        <f>'THAM_SO_MOI'!$E$53+('THAM_SO_MOI'!$C$14-'THAM_SO_MOI'!$E$53)*660/'THAM_SO_MOI'!$C$42</f>
        <v>19.735940170940168</v>
      </c>
      <c r="G666" s="75">
        <f>3.6*F666</f>
        <v>71.04938461538461</v>
      </c>
      <c r="H666" s="75">
        <f>'THAM_SO_MOI'!$D$53</f>
        <v>1.1</v>
      </c>
      <c r="I666" s="75">
        <f>IF(F666&gt;'THAM_SO_MOI'!$C$14,'THAM_SO_MOI'!$C$13*(1+F666^2/1500),'THAM_SO_MOI'!$C$13)</f>
        <v>0.015</v>
      </c>
      <c r="J666" s="75">
        <f>'THAM_SO_MOI'!$C$40*('THAM_SO_MOI'!$C$23*(E666/'THAM_SO_MOI'!$C$22)+'THAM_SO_MOI'!$C$24*(E666/'THAM_SO_MOI'!$C$22)^2-'THAM_SO_MOI'!$C$25*(E666/'THAM_SO_MOI'!$C$22)^3)</f>
        <v>87.0827140484673</v>
      </c>
      <c r="K666" s="75">
        <f>'THAM_SO_MOI'!$C$31*J666/E666</f>
        <v>427.73541605709045</v>
      </c>
      <c r="L666" s="75">
        <f>K666*'THAM_SO_MOI'!$C$53*'THAM_SO_MOI'!$C$17/'THAM_SO_MOI'!$C$26</f>
        <v>3751.2412725359172</v>
      </c>
      <c r="M666" s="75">
        <f>'THAM_SO_MOI'!$C$15*'THAM_SO_MOI'!$C$16*F666^2</f>
        <v>1139.3089532104698</v>
      </c>
      <c r="N666" s="75">
        <f>'THAM_SO_MOI'!$C$12*I666</f>
        <v>1130.112</v>
      </c>
      <c r="O666" s="75">
        <f>M666+N666</f>
        <v>2269.4209532104696</v>
      </c>
      <c r="P666" s="75">
        <f>(MIN(L666,'THAM_SO_MOI'!$C$41)-O666)/('THAM_SO_MOI'!$C$11*H666)</f>
        <v>0.17540486734439484</v>
      </c>
      <c r="Q666" s="75">
        <f>IF(P666&gt;0,1/P666,NA())</f>
        <v>5.701096070706932</v>
      </c>
      <c r="R666" s="75">
        <f>F666-F665</f>
        <v>0.01760042735042333</v>
      </c>
      <c r="S666" s="75">
        <f>0.5*(Q665+Q666)*R666</f>
        <v>0.1002841642386979</v>
      </c>
      <c r="T666" s="75">
        <f>0.5*(F665*Q665+F666*Q666)*R666</f>
        <v>1.9783202500005883</v>
      </c>
      <c r="U666" s="76">
        <f>U665+S666</f>
        <v>56.97863294245248</v>
      </c>
      <c r="V666" s="76">
        <f>V665+T666</f>
        <v>799.5575084369929</v>
      </c>
    </row>
    <row r="667" spans="1:22" ht="19" customHeight="1">
      <c r="A667" s="68" t="s">
        <v>362</v>
      </c>
      <c r="B667" s="74">
        <v>5</v>
      </c>
      <c r="C667" s="68" t="s">
        <v>363</v>
      </c>
      <c r="D667" s="68" t="s">
        <v>364</v>
      </c>
      <c r="E667" s="75">
        <f>60*F667*'THAM_SO_MOI'!$C$53/(2*PI()*'THAM_SO_MOI'!$C$26)</f>
        <v>1946.2435789473677</v>
      </c>
      <c r="F667" s="75">
        <f>'THAM_SO_MOI'!$E$53+('THAM_SO_MOI'!$C$14-'THAM_SO_MOI'!$E$53)*661/'THAM_SO_MOI'!$C$42</f>
        <v>19.7535405982906</v>
      </c>
      <c r="G667" s="75">
        <f>3.6*F667</f>
        <v>71.11274615384616</v>
      </c>
      <c r="H667" s="75">
        <f>'THAM_SO_MOI'!$D$53</f>
        <v>1.1</v>
      </c>
      <c r="I667" s="75">
        <f>IF(F667&gt;'THAM_SO_MOI'!$C$14,'THAM_SO_MOI'!$C$13*(1+F667^2/1500),'THAM_SO_MOI'!$C$13)</f>
        <v>0.015</v>
      </c>
      <c r="J667" s="75">
        <f>'THAM_SO_MOI'!$C$40*('THAM_SO_MOI'!$C$23*(E667/'THAM_SO_MOI'!$C$22)+'THAM_SO_MOI'!$C$24*(E667/'THAM_SO_MOI'!$C$22)^2-'THAM_SO_MOI'!$C$25*(E667/'THAM_SO_MOI'!$C$22)^3)</f>
        <v>87.16796016599051</v>
      </c>
      <c r="K667" s="75">
        <f>'THAM_SO_MOI'!$C$31*J667/E667</f>
        <v>427.7726446030047</v>
      </c>
      <c r="L667" s="75">
        <f>K667*'THAM_SO_MOI'!$C$53*'THAM_SO_MOI'!$C$17/'THAM_SO_MOI'!$C$26</f>
        <v>3751.5677670292594</v>
      </c>
      <c r="M667" s="75">
        <f>'THAM_SO_MOI'!$C$15*'THAM_SO_MOI'!$C$16*F667^2</f>
        <v>1141.3419210423212</v>
      </c>
      <c r="N667" s="75">
        <f>'THAM_SO_MOI'!$C$12*I667</f>
        <v>1130.112</v>
      </c>
      <c r="O667" s="75">
        <f>M667+N667</f>
        <v>2271.4539210423213</v>
      </c>
      <c r="P667" s="75">
        <f>(MIN(L667,'THAM_SO_MOI'!$C$41)-O667)/('THAM_SO_MOI'!$C$11*H667)</f>
        <v>0.17520287002686294</v>
      </c>
      <c r="Q667" s="75">
        <f>IF(P667&gt;0,1/P667,NA())</f>
        <v>5.707669057285849</v>
      </c>
      <c r="R667" s="75">
        <f>F667-F666</f>
        <v>0.017600427350430436</v>
      </c>
      <c r="S667" s="75">
        <f>0.5*(Q666+Q667)*R667</f>
        <v>0.10039957089668056</v>
      </c>
      <c r="T667" s="75">
        <f>0.5*(F666*Q666+F667*Q667)*R667</f>
        <v>1.9823639711185441</v>
      </c>
      <c r="U667" s="76">
        <f>U666+S667</f>
        <v>57.07903251334916</v>
      </c>
      <c r="V667" s="76">
        <f>V666+T667</f>
        <v>801.5398724081114</v>
      </c>
    </row>
    <row r="668" spans="1:22" ht="19" customHeight="1">
      <c r="A668" s="68" t="s">
        <v>362</v>
      </c>
      <c r="B668" s="74">
        <v>5</v>
      </c>
      <c r="C668" s="68" t="s">
        <v>363</v>
      </c>
      <c r="D668" s="68" t="s">
        <v>364</v>
      </c>
      <c r="E668" s="75">
        <f>60*F668*'THAM_SO_MOI'!$C$53/(2*PI()*'THAM_SO_MOI'!$C$26)</f>
        <v>1947.9776842105257</v>
      </c>
      <c r="F668" s="75">
        <f>'THAM_SO_MOI'!$E$53+('THAM_SO_MOI'!$C$14-'THAM_SO_MOI'!$E$53)*662/'THAM_SO_MOI'!$C$42</f>
        <v>19.771141025641025</v>
      </c>
      <c r="G668" s="75">
        <f>3.6*F668</f>
        <v>71.1761076923077</v>
      </c>
      <c r="H668" s="75">
        <f>'THAM_SO_MOI'!$D$53</f>
        <v>1.1</v>
      </c>
      <c r="I668" s="75">
        <f>IF(F668&gt;'THAM_SO_MOI'!$C$14,'THAM_SO_MOI'!$C$13*(1+F668^2/1500),'THAM_SO_MOI'!$C$13)</f>
        <v>0.015</v>
      </c>
      <c r="J668" s="75">
        <f>'THAM_SO_MOI'!$C$40*('THAM_SO_MOI'!$C$23*(E668/'THAM_SO_MOI'!$C$22)+'THAM_SO_MOI'!$C$24*(E668/'THAM_SO_MOI'!$C$22)^2-'THAM_SO_MOI'!$C$25*(E668/'THAM_SO_MOI'!$C$22)^3)</f>
        <v>87.25316030157155</v>
      </c>
      <c r="K668" s="75">
        <f>'THAM_SO_MOI'!$C$31*J668/E668</f>
        <v>427.8095814132937</v>
      </c>
      <c r="L668" s="75">
        <f>K668*'THAM_SO_MOI'!$C$53*'THAM_SO_MOI'!$C$17/'THAM_SO_MOI'!$C$26</f>
        <v>3751.8917030000266</v>
      </c>
      <c r="M668" s="75">
        <f>'THAM_SO_MOI'!$C$15*'THAM_SO_MOI'!$C$16*F668^2</f>
        <v>1143.3767010581732</v>
      </c>
      <c r="N668" s="75">
        <f>'THAM_SO_MOI'!$C$12*I668</f>
        <v>1130.112</v>
      </c>
      <c r="O668" s="75">
        <f>M668+N668</f>
        <v>2273.4887010581733</v>
      </c>
      <c r="P668" s="75">
        <f>(MIN(L668,'THAM_SO_MOI'!$C$41)-O668)/('THAM_SO_MOI'!$C$11*H668)</f>
        <v>0.1750003553434959</v>
      </c>
      <c r="Q668" s="75">
        <f>IF(P668&gt;0,1/P668,NA())</f>
        <v>5.714274111256348</v>
      </c>
      <c r="R668" s="75">
        <f>F668-F667</f>
        <v>0.017600427350426884</v>
      </c>
      <c r="S668" s="75">
        <f>0.5*(Q667+Q668)*R668</f>
        <v>0.10051554046931578</v>
      </c>
      <c r="T668" s="75">
        <f>0.5*(F667*Q667+F668*Q668)*R668</f>
        <v>1.9864228791737801</v>
      </c>
      <c r="U668" s="76">
        <f>U667+S668</f>
        <v>57.17954805381848</v>
      </c>
      <c r="V668" s="76">
        <f>V667+T668</f>
        <v>803.5262952872852</v>
      </c>
    </row>
    <row r="669" spans="1:22" ht="19" customHeight="1">
      <c r="A669" s="68" t="s">
        <v>362</v>
      </c>
      <c r="B669" s="74">
        <v>5</v>
      </c>
      <c r="C669" s="68" t="s">
        <v>363</v>
      </c>
      <c r="D669" s="68" t="s">
        <v>364</v>
      </c>
      <c r="E669" s="75">
        <f>60*F669*'THAM_SO_MOI'!$C$53/(2*PI()*'THAM_SO_MOI'!$C$26)</f>
        <v>1949.7117894736837</v>
      </c>
      <c r="F669" s="75">
        <f>'THAM_SO_MOI'!$E$53+('THAM_SO_MOI'!$C$14-'THAM_SO_MOI'!$E$53)*663/'THAM_SO_MOI'!$C$42</f>
        <v>19.788741452991452</v>
      </c>
      <c r="G669" s="75">
        <f>3.6*F669</f>
        <v>71.23946923076923</v>
      </c>
      <c r="H669" s="75">
        <f>'THAM_SO_MOI'!$D$53</f>
        <v>1.1</v>
      </c>
      <c r="I669" s="75">
        <f>IF(F669&gt;'THAM_SO_MOI'!$C$14,'THAM_SO_MOI'!$C$13*(1+F669^2/1500),'THAM_SO_MOI'!$C$13)</f>
        <v>0.015</v>
      </c>
      <c r="J669" s="75">
        <f>'THAM_SO_MOI'!$C$40*('THAM_SO_MOI'!$C$23*(E669/'THAM_SO_MOI'!$C$22)+'THAM_SO_MOI'!$C$24*(E669/'THAM_SO_MOI'!$C$22)^2-'THAM_SO_MOI'!$C$25*(E669/'THAM_SO_MOI'!$C$22)^3)</f>
        <v>87.33831429630729</v>
      </c>
      <c r="K669" s="75">
        <f>'THAM_SO_MOI'!$C$31*J669/E669</f>
        <v>427.84622648795784</v>
      </c>
      <c r="L669" s="75">
        <f>K669*'THAM_SO_MOI'!$C$53*'THAM_SO_MOI'!$C$17/'THAM_SO_MOI'!$C$26</f>
        <v>3752.2130804482217</v>
      </c>
      <c r="M669" s="75">
        <f>'THAM_SO_MOI'!$C$15*'THAM_SO_MOI'!$C$16*F669^2</f>
        <v>1145.4132932580262</v>
      </c>
      <c r="N669" s="75">
        <f>'THAM_SO_MOI'!$C$12*I669</f>
        <v>1130.112</v>
      </c>
      <c r="O669" s="75">
        <f>M669+N669</f>
        <v>2275.525293258026</v>
      </c>
      <c r="P669" s="75">
        <f>(MIN(L669,'THAM_SO_MOI'!$C$41)-O669)/('THAM_SO_MOI'!$C$11*H669)</f>
        <v>0.17479732329429393</v>
      </c>
      <c r="Q669" s="75">
        <f>IF(P669&gt;0,1/P669,NA())</f>
        <v>5.720911402724231</v>
      </c>
      <c r="R669" s="75">
        <f>F669-F668</f>
        <v>0.017600427350426884</v>
      </c>
      <c r="S669" s="75">
        <f>0.5*(Q668+Q669)*R669</f>
        <v>0.10063207593873454</v>
      </c>
      <c r="T669" s="75">
        <f>0.5*(F668*Q668+F669*Q669)*R669</f>
        <v>1.9904970628753909</v>
      </c>
      <c r="U669" s="76">
        <f>U668+S669</f>
        <v>57.28018012975721</v>
      </c>
      <c r="V669" s="76">
        <f>V668+T669</f>
        <v>805.5167923501606</v>
      </c>
    </row>
    <row r="670" spans="1:22" ht="19" customHeight="1">
      <c r="A670" s="68" t="s">
        <v>362</v>
      </c>
      <c r="B670" s="74">
        <v>5</v>
      </c>
      <c r="C670" s="68" t="s">
        <v>363</v>
      </c>
      <c r="D670" s="68" t="s">
        <v>364</v>
      </c>
      <c r="E670" s="75">
        <f>60*F670*'THAM_SO_MOI'!$C$53/(2*PI()*'THAM_SO_MOI'!$C$26)</f>
        <v>1951.4458947368414</v>
      </c>
      <c r="F670" s="75">
        <f>'THAM_SO_MOI'!$E$53+('THAM_SO_MOI'!$C$14-'THAM_SO_MOI'!$E$53)*664/'THAM_SO_MOI'!$C$42</f>
        <v>19.80634188034188</v>
      </c>
      <c r="G670" s="75">
        <f>3.6*F670</f>
        <v>71.30283076923077</v>
      </c>
      <c r="H670" s="75">
        <f>'THAM_SO_MOI'!$D$53</f>
        <v>1.1</v>
      </c>
      <c r="I670" s="75">
        <f>IF(F670&gt;'THAM_SO_MOI'!$C$14,'THAM_SO_MOI'!$C$13*(1+F670^2/1500),'THAM_SO_MOI'!$C$13)</f>
        <v>0.015</v>
      </c>
      <c r="J670" s="75">
        <f>'THAM_SO_MOI'!$C$40*('THAM_SO_MOI'!$C$23*(E670/'THAM_SO_MOI'!$C$22)+'THAM_SO_MOI'!$C$24*(E670/'THAM_SO_MOI'!$C$22)^2-'THAM_SO_MOI'!$C$25*(E670/'THAM_SO_MOI'!$C$22)^3)</f>
        <v>87.42342199129433</v>
      </c>
      <c r="K670" s="75">
        <f>'THAM_SO_MOI'!$C$31*J670/E670</f>
        <v>427.88257982699685</v>
      </c>
      <c r="L670" s="75">
        <f>K670*'THAM_SO_MOI'!$C$53*'THAM_SO_MOI'!$C$17/'THAM_SO_MOI'!$C$26</f>
        <v>3752.5318993738433</v>
      </c>
      <c r="M670" s="75">
        <f>'THAM_SO_MOI'!$C$15*'THAM_SO_MOI'!$C$16*F670^2</f>
        <v>1147.4516976418804</v>
      </c>
      <c r="N670" s="75">
        <f>'THAM_SO_MOI'!$C$12*I670</f>
        <v>1130.112</v>
      </c>
      <c r="O670" s="75">
        <f>M670+N670</f>
        <v>2277.5636976418805</v>
      </c>
      <c r="P670" s="75">
        <f>(MIN(L670,'THAM_SO_MOI'!$C$41)-O670)/('THAM_SO_MOI'!$C$11*H670)</f>
        <v>0.17459377387925695</v>
      </c>
      <c r="Q670" s="75">
        <f>IF(P670&gt;0,1/P670,NA())</f>
        <v>5.727581103158728</v>
      </c>
      <c r="R670" s="75">
        <f>F670-F669</f>
        <v>0.017600427350426884</v>
      </c>
      <c r="S670" s="75">
        <f>0.5*(Q669+Q670)*R670</f>
        <v>0.10074918031084981</v>
      </c>
      <c r="T670" s="75">
        <f>0.5*(F669*Q669+F670*Q670)*R670</f>
        <v>1.9945866116132467</v>
      </c>
      <c r="U670" s="76">
        <f>U669+S670</f>
        <v>57.38092931006806</v>
      </c>
      <c r="V670" s="76">
        <f>V669+T670</f>
        <v>807.5113789617739</v>
      </c>
    </row>
    <row r="671" spans="1:22" ht="19" customHeight="1">
      <c r="A671" s="68" t="s">
        <v>362</v>
      </c>
      <c r="B671" s="74">
        <v>5</v>
      </c>
      <c r="C671" s="68" t="s">
        <v>363</v>
      </c>
      <c r="D671" s="68" t="s">
        <v>364</v>
      </c>
      <c r="E671" s="75">
        <f>60*F671*'THAM_SO_MOI'!$C$53/(2*PI()*'THAM_SO_MOI'!$C$26)</f>
        <v>1953.1799999999998</v>
      </c>
      <c r="F671" s="75">
        <f>'THAM_SO_MOI'!$E$53+('THAM_SO_MOI'!$C$14-'THAM_SO_MOI'!$E$53)*665/'THAM_SO_MOI'!$C$42</f>
        <v>19.823942307692306</v>
      </c>
      <c r="G671" s="75">
        <f>3.6*F671</f>
        <v>71.3661923076923</v>
      </c>
      <c r="H671" s="75">
        <f>'THAM_SO_MOI'!$D$53</f>
        <v>1.1</v>
      </c>
      <c r="I671" s="75">
        <f>IF(F671&gt;'THAM_SO_MOI'!$C$14,'THAM_SO_MOI'!$C$13*(1+F671^2/1500),'THAM_SO_MOI'!$C$13)</f>
        <v>0.015</v>
      </c>
      <c r="J671" s="75">
        <f>'THAM_SO_MOI'!$C$40*('THAM_SO_MOI'!$C$23*(E671/'THAM_SO_MOI'!$C$22)+'THAM_SO_MOI'!$C$24*(E671/'THAM_SO_MOI'!$C$22)^2-'THAM_SO_MOI'!$C$25*(E671/'THAM_SO_MOI'!$C$22)^3)</f>
        <v>87.5084832276295</v>
      </c>
      <c r="K671" s="75">
        <f>'THAM_SO_MOI'!$C$31*J671/E671</f>
        <v>427.91864143041084</v>
      </c>
      <c r="L671" s="75">
        <f>K671*'THAM_SO_MOI'!$C$53*'THAM_SO_MOI'!$C$17/'THAM_SO_MOI'!$C$26</f>
        <v>3752.848159776892</v>
      </c>
      <c r="M671" s="75">
        <f>'THAM_SO_MOI'!$C$15*'THAM_SO_MOI'!$C$16*F671^2</f>
        <v>1149.4919142097353</v>
      </c>
      <c r="N671" s="75">
        <f>'THAM_SO_MOI'!$C$12*I671</f>
        <v>1130.112</v>
      </c>
      <c r="O671" s="75">
        <f>M671+N671</f>
        <v>2279.603914209735</v>
      </c>
      <c r="P671" s="75">
        <f>(MIN(L671,'THAM_SO_MOI'!$C$41)-O671)/('THAM_SO_MOI'!$C$11*H671)</f>
        <v>0.17438970709838497</v>
      </c>
      <c r="Q671" s="75">
        <f>IF(P671&gt;0,1/P671,NA())</f>
        <v>5.734283385405497</v>
      </c>
      <c r="R671" s="75">
        <f>F671-F670</f>
        <v>0.017600427350426884</v>
      </c>
      <c r="S671" s="75">
        <f>0.5*(Q670+Q671)*R671</f>
        <v>0.10086685661570621</v>
      </c>
      <c r="T671" s="75">
        <f>0.5*(F670*Q670+F671*Q671)*R671</f>
        <v>1.9986916154670096</v>
      </c>
      <c r="U671" s="76">
        <f>U670+S671</f>
        <v>57.481796166683765</v>
      </c>
      <c r="V671" s="76">
        <f>V670+T671</f>
        <v>809.5100705772409</v>
      </c>
    </row>
    <row r="672" spans="1:22" ht="19" customHeight="1">
      <c r="A672" s="68" t="s">
        <v>362</v>
      </c>
      <c r="B672" s="74">
        <v>5</v>
      </c>
      <c r="C672" s="68" t="s">
        <v>363</v>
      </c>
      <c r="D672" s="68" t="s">
        <v>364</v>
      </c>
      <c r="E672" s="75">
        <f>60*F672*'THAM_SO_MOI'!$C$53/(2*PI()*'THAM_SO_MOI'!$C$26)</f>
        <v>1954.9141052631578</v>
      </c>
      <c r="F672" s="75">
        <f>'THAM_SO_MOI'!$E$53+('THAM_SO_MOI'!$C$14-'THAM_SO_MOI'!$E$53)*666/'THAM_SO_MOI'!$C$42</f>
        <v>19.841542735042736</v>
      </c>
      <c r="G672" s="75">
        <f>3.6*F672</f>
        <v>71.42955384615385</v>
      </c>
      <c r="H672" s="75">
        <f>'THAM_SO_MOI'!$D$53</f>
        <v>1.1</v>
      </c>
      <c r="I672" s="75">
        <f>IF(F672&gt;'THAM_SO_MOI'!$C$14,'THAM_SO_MOI'!$C$13*(1+F672^2/1500),'THAM_SO_MOI'!$C$13)</f>
        <v>0.015</v>
      </c>
      <c r="J672" s="75">
        <f>'THAM_SO_MOI'!$C$40*('THAM_SO_MOI'!$C$23*(E672/'THAM_SO_MOI'!$C$22)+'THAM_SO_MOI'!$C$24*(E672/'THAM_SO_MOI'!$C$22)^2-'THAM_SO_MOI'!$C$25*(E672/'THAM_SO_MOI'!$C$22)^3)</f>
        <v>87.59349784640942</v>
      </c>
      <c r="K672" s="75">
        <f>'THAM_SO_MOI'!$C$31*J672/E672</f>
        <v>427.9544112981997</v>
      </c>
      <c r="L672" s="75">
        <f>K672*'THAM_SO_MOI'!$C$53*'THAM_SO_MOI'!$C$17/'THAM_SO_MOI'!$C$26</f>
        <v>3753.161861657367</v>
      </c>
      <c r="M672" s="75">
        <f>'THAM_SO_MOI'!$C$15*'THAM_SO_MOI'!$C$16*F672^2</f>
        <v>1151.5339429615922</v>
      </c>
      <c r="N672" s="75">
        <f>'THAM_SO_MOI'!$C$12*I672</f>
        <v>1130.112</v>
      </c>
      <c r="O672" s="75">
        <f>M672+N672</f>
        <v>2281.6459429615925</v>
      </c>
      <c r="P672" s="75">
        <f>(MIN(L672,'THAM_SO_MOI'!$C$41)-O672)/('THAM_SO_MOI'!$C$11*H672)</f>
        <v>0.17418512295167785</v>
      </c>
      <c r="Q672" s="75">
        <f>IF(P672&gt;0,1/P672,NA())</f>
        <v>5.741018423699815</v>
      </c>
      <c r="R672" s="75">
        <f>F672-F671</f>
        <v>0.017600427350430436</v>
      </c>
      <c r="S672" s="75">
        <f>0.5*(Q671+Q672)*R672</f>
        <v>0.10098510790771051</v>
      </c>
      <c r="T672" s="75">
        <f>0.5*(F671*Q671+F672*Q672)*R672</f>
        <v>2.002812165212832</v>
      </c>
      <c r="U672" s="76">
        <f>U671+S672</f>
        <v>57.582781274591476</v>
      </c>
      <c r="V672" s="76">
        <f>V671+T672</f>
        <v>811.5128827424537</v>
      </c>
    </row>
    <row r="673" spans="1:22" ht="19" customHeight="1">
      <c r="A673" s="68" t="s">
        <v>362</v>
      </c>
      <c r="B673" s="74">
        <v>5</v>
      </c>
      <c r="C673" s="68" t="s">
        <v>363</v>
      </c>
      <c r="D673" s="68" t="s">
        <v>364</v>
      </c>
      <c r="E673" s="75">
        <f>60*F673*'THAM_SO_MOI'!$C$53/(2*PI()*'THAM_SO_MOI'!$C$26)</f>
        <v>1956.6482105263153</v>
      </c>
      <c r="F673" s="75">
        <f>'THAM_SO_MOI'!$E$53+('THAM_SO_MOI'!$C$14-'THAM_SO_MOI'!$E$53)*667/'THAM_SO_MOI'!$C$42</f>
        <v>19.85914316239316</v>
      </c>
      <c r="G673" s="75">
        <f>3.6*F673</f>
        <v>71.49291538461537</v>
      </c>
      <c r="H673" s="75">
        <f>'THAM_SO_MOI'!$D$53</f>
        <v>1.1</v>
      </c>
      <c r="I673" s="75">
        <f>IF(F673&gt;'THAM_SO_MOI'!$C$14,'THAM_SO_MOI'!$C$13*(1+F673^2/1500),'THAM_SO_MOI'!$C$13)</f>
        <v>0.015</v>
      </c>
      <c r="J673" s="75">
        <f>'THAM_SO_MOI'!$C$40*('THAM_SO_MOI'!$C$23*(E673/'THAM_SO_MOI'!$C$22)+'THAM_SO_MOI'!$C$24*(E673/'THAM_SO_MOI'!$C$22)^2-'THAM_SO_MOI'!$C$25*(E673/'THAM_SO_MOI'!$C$22)^3)</f>
        <v>87.67846568873085</v>
      </c>
      <c r="K673" s="75">
        <f>'THAM_SO_MOI'!$C$31*J673/E673</f>
        <v>427.9898894303637</v>
      </c>
      <c r="L673" s="75">
        <f>K673*'THAM_SO_MOI'!$C$53*'THAM_SO_MOI'!$C$17/'THAM_SO_MOI'!$C$26</f>
        <v>3753.4730050152693</v>
      </c>
      <c r="M673" s="75">
        <f>'THAM_SO_MOI'!$C$15*'THAM_SO_MOI'!$C$16*F673^2</f>
        <v>1153.577783897449</v>
      </c>
      <c r="N673" s="75">
        <f>'THAM_SO_MOI'!$C$12*I673</f>
        <v>1130.112</v>
      </c>
      <c r="O673" s="75">
        <f>M673+N673</f>
        <v>2283.689783897449</v>
      </c>
      <c r="P673" s="75">
        <f>(MIN(L673,'THAM_SO_MOI'!$C$41)-O673)/('THAM_SO_MOI'!$C$11*H673)</f>
        <v>0.1739800214391359</v>
      </c>
      <c r="Q673" s="75">
        <f>IF(P673&gt;0,1/P673,NA())</f>
        <v>5.747786393679885</v>
      </c>
      <c r="R673" s="75">
        <f>F673-F672</f>
        <v>0.01760042735042333</v>
      </c>
      <c r="S673" s="75">
        <f>0.5*(Q672+Q673)*R673</f>
        <v>0.1011039372657425</v>
      </c>
      <c r="T673" s="75">
        <f>0.5*(F672*Q672+F673*Q673)*R673</f>
        <v>2.006948352327701</v>
      </c>
      <c r="U673" s="76">
        <f>U672+S673</f>
        <v>57.683885211857216</v>
      </c>
      <c r="V673" s="76">
        <f>V672+T673</f>
        <v>813.5198310947815</v>
      </c>
    </row>
    <row r="674" spans="1:22" ht="19" customHeight="1">
      <c r="A674" s="68" t="s">
        <v>362</v>
      </c>
      <c r="B674" s="74">
        <v>5</v>
      </c>
      <c r="C674" s="68" t="s">
        <v>363</v>
      </c>
      <c r="D674" s="68" t="s">
        <v>364</v>
      </c>
      <c r="E674" s="75">
        <f>60*F674*'THAM_SO_MOI'!$C$53/(2*PI()*'THAM_SO_MOI'!$C$26)</f>
        <v>1958.3823157894733</v>
      </c>
      <c r="F674" s="75">
        <f>'THAM_SO_MOI'!$E$53+('THAM_SO_MOI'!$C$14-'THAM_SO_MOI'!$E$53)*668/'THAM_SO_MOI'!$C$42</f>
        <v>19.87674358974359</v>
      </c>
      <c r="G674" s="75">
        <f>3.6*F674</f>
        <v>71.55627692307692</v>
      </c>
      <c r="H674" s="75">
        <f>'THAM_SO_MOI'!$D$53</f>
        <v>1.1</v>
      </c>
      <c r="I674" s="75">
        <f>IF(F674&gt;'THAM_SO_MOI'!$C$14,'THAM_SO_MOI'!$C$13*(1+F674^2/1500),'THAM_SO_MOI'!$C$13)</f>
        <v>0.015</v>
      </c>
      <c r="J674" s="75">
        <f>'THAM_SO_MOI'!$C$40*('THAM_SO_MOI'!$C$23*(E674/'THAM_SO_MOI'!$C$22)+'THAM_SO_MOI'!$C$24*(E674/'THAM_SO_MOI'!$C$22)^2-'THAM_SO_MOI'!$C$25*(E674/'THAM_SO_MOI'!$C$22)^3)</f>
        <v>87.76338659569052</v>
      </c>
      <c r="K674" s="75">
        <f>'THAM_SO_MOI'!$C$31*J674/E674</f>
        <v>428.0250758269025</v>
      </c>
      <c r="L674" s="75">
        <f>K674*'THAM_SO_MOI'!$C$53*'THAM_SO_MOI'!$C$17/'THAM_SO_MOI'!$C$26</f>
        <v>3753.7815898505983</v>
      </c>
      <c r="M674" s="75">
        <f>'THAM_SO_MOI'!$C$15*'THAM_SO_MOI'!$C$16*F674^2</f>
        <v>1155.6234370173079</v>
      </c>
      <c r="N674" s="75">
        <f>'THAM_SO_MOI'!$C$12*I674</f>
        <v>1130.112</v>
      </c>
      <c r="O674" s="75">
        <f>M674+N674</f>
        <v>2285.735437017308</v>
      </c>
      <c r="P674" s="75">
        <f>(MIN(L674,'THAM_SO_MOI'!$C$41)-O674)/('THAM_SO_MOI'!$C$11*H674)</f>
        <v>0.1737744025607588</v>
      </c>
      <c r="Q674" s="75">
        <f>IF(P674&gt;0,1/P674,NA())</f>
        <v>5.754587472400362</v>
      </c>
      <c r="R674" s="75">
        <f>F674-F673</f>
        <v>0.017600427350430436</v>
      </c>
      <c r="S674" s="75">
        <f>0.5*(Q673+Q674)*R674</f>
        <v>0.10122334779371754</v>
      </c>
      <c r="T674" s="75">
        <f>0.5*(F673*Q673+F674*Q674)*R674</f>
        <v>2.011100269002769</v>
      </c>
      <c r="U674" s="76">
        <f>U673+S674</f>
        <v>57.785108559650936</v>
      </c>
      <c r="V674" s="76">
        <f>V673+T674</f>
        <v>815.5309313637842</v>
      </c>
    </row>
    <row r="675" spans="1:22" ht="19" customHeight="1">
      <c r="A675" s="68" t="s">
        <v>362</v>
      </c>
      <c r="B675" s="74">
        <v>5</v>
      </c>
      <c r="C675" s="68" t="s">
        <v>363</v>
      </c>
      <c r="D675" s="68" t="s">
        <v>364</v>
      </c>
      <c r="E675" s="75">
        <f>60*F675*'THAM_SO_MOI'!$C$53/(2*PI()*'THAM_SO_MOI'!$C$26)</f>
        <v>1960.1164210526308</v>
      </c>
      <c r="F675" s="75">
        <f>'THAM_SO_MOI'!$E$53+('THAM_SO_MOI'!$C$14-'THAM_SO_MOI'!$E$53)*669/'THAM_SO_MOI'!$C$42</f>
        <v>19.894344017094014</v>
      </c>
      <c r="G675" s="75">
        <f>3.6*F675</f>
        <v>71.61963846153846</v>
      </c>
      <c r="H675" s="75">
        <f>'THAM_SO_MOI'!$D$53</f>
        <v>1.1</v>
      </c>
      <c r="I675" s="75">
        <f>IF(F675&gt;'THAM_SO_MOI'!$C$14,'THAM_SO_MOI'!$C$13*(1+F675^2/1500),'THAM_SO_MOI'!$C$13)</f>
        <v>0.015</v>
      </c>
      <c r="J675" s="75">
        <f>'THAM_SO_MOI'!$C$40*('THAM_SO_MOI'!$C$23*(E675/'THAM_SO_MOI'!$C$22)+'THAM_SO_MOI'!$C$24*(E675/'THAM_SO_MOI'!$C$22)^2-'THAM_SO_MOI'!$C$25*(E675/'THAM_SO_MOI'!$C$22)^3)</f>
        <v>87.84826040838519</v>
      </c>
      <c r="K675" s="75">
        <f>'THAM_SO_MOI'!$C$31*J675/E675</f>
        <v>428.05997048781654</v>
      </c>
      <c r="L675" s="75">
        <f>K675*'THAM_SO_MOI'!$C$53*'THAM_SO_MOI'!$C$17/'THAM_SO_MOI'!$C$26</f>
        <v>3754.0876161633564</v>
      </c>
      <c r="M675" s="75">
        <f>'THAM_SO_MOI'!$C$15*'THAM_SO_MOI'!$C$16*F675^2</f>
        <v>1157.6709023211667</v>
      </c>
      <c r="N675" s="75">
        <f>'THAM_SO_MOI'!$C$12*I675</f>
        <v>1130.112</v>
      </c>
      <c r="O675" s="75">
        <f>M675+N675</f>
        <v>2287.782902321167</v>
      </c>
      <c r="P675" s="75">
        <f>(MIN(L675,'THAM_SO_MOI'!$C$41)-O675)/('THAM_SO_MOI'!$C$11*H675)</f>
        <v>0.1735682663165471</v>
      </c>
      <c r="Q675" s="75">
        <f>IF(P675&gt;0,1/P675,NA())</f>
        <v>5.761421838345949</v>
      </c>
      <c r="R675" s="75">
        <f>F675-F674</f>
        <v>0.01760042735042333</v>
      </c>
      <c r="S675" s="75">
        <f>0.5*(Q674+Q675)*R675</f>
        <v>0.10134334262029455</v>
      </c>
      <c r="T675" s="75">
        <f>0.5*(F674*Q674+F675*Q675)*R675</f>
        <v>2.015268008139748</v>
      </c>
      <c r="U675" s="76">
        <f>U674+S675</f>
        <v>57.88645190227123</v>
      </c>
      <c r="V675" s="76">
        <f>V674+T675</f>
        <v>817.546199371924</v>
      </c>
    </row>
    <row r="676" spans="1:22" ht="19" customHeight="1">
      <c r="A676" s="68" t="s">
        <v>362</v>
      </c>
      <c r="B676" s="74">
        <v>5</v>
      </c>
      <c r="C676" s="68" t="s">
        <v>363</v>
      </c>
      <c r="D676" s="68" t="s">
        <v>364</v>
      </c>
      <c r="E676" s="75">
        <f>60*F676*'THAM_SO_MOI'!$C$53/(2*PI()*'THAM_SO_MOI'!$C$26)</f>
        <v>1961.8505263157892</v>
      </c>
      <c r="F676" s="75">
        <f>'THAM_SO_MOI'!$E$53+('THAM_SO_MOI'!$C$14-'THAM_SO_MOI'!$E$53)*670/'THAM_SO_MOI'!$C$42</f>
        <v>19.911944444444444</v>
      </c>
      <c r="G676" s="75">
        <f>3.6*F676</f>
        <v>71.683</v>
      </c>
      <c r="H676" s="75">
        <f>'THAM_SO_MOI'!$D$53</f>
        <v>1.1</v>
      </c>
      <c r="I676" s="75">
        <f>IF(F676&gt;'THAM_SO_MOI'!$C$14,'THAM_SO_MOI'!$C$13*(1+F676^2/1500),'THAM_SO_MOI'!$C$13)</f>
        <v>0.015</v>
      </c>
      <c r="J676" s="75">
        <f>'THAM_SO_MOI'!$C$40*('THAM_SO_MOI'!$C$23*(E676/'THAM_SO_MOI'!$C$22)+'THAM_SO_MOI'!$C$24*(E676/'THAM_SO_MOI'!$C$22)^2-'THAM_SO_MOI'!$C$25*(E676/'THAM_SO_MOI'!$C$22)^3)</f>
        <v>87.93308696791152</v>
      </c>
      <c r="K676" s="75">
        <f>'THAM_SO_MOI'!$C$31*J676/E676</f>
        <v>428.0945734131053</v>
      </c>
      <c r="L676" s="75">
        <f>K676*'THAM_SO_MOI'!$C$53*'THAM_SO_MOI'!$C$17/'THAM_SO_MOI'!$C$26</f>
        <v>3754.391083953539</v>
      </c>
      <c r="M676" s="75">
        <f>'THAM_SO_MOI'!$C$15*'THAM_SO_MOI'!$C$16*F676^2</f>
        <v>1159.7201798090277</v>
      </c>
      <c r="N676" s="75">
        <f>'THAM_SO_MOI'!$C$12*I676</f>
        <v>1130.112</v>
      </c>
      <c r="O676" s="75">
        <f>M676+N676</f>
        <v>2289.832179809028</v>
      </c>
      <c r="P676" s="75">
        <f>(MIN(L676,'THAM_SO_MOI'!$C$41)-O676)/('THAM_SO_MOI'!$C$11*H676)</f>
        <v>0.17336161270649988</v>
      </c>
      <c r="Q676" s="75">
        <f>IF(P676&gt;0,1/P676,NA())</f>
        <v>5.768289671445279</v>
      </c>
      <c r="R676" s="75">
        <f>F676-F675</f>
        <v>0.017600427350430436</v>
      </c>
      <c r="S676" s="75">
        <f>0.5*(Q675+Q676)*R676</f>
        <v>0.10146392489975105</v>
      </c>
      <c r="T676" s="75">
        <f>0.5*(F675*Q675+F676*Q676)*R676</f>
        <v>2.019451663370506</v>
      </c>
      <c r="U676" s="76">
        <f>U675+S676</f>
        <v>57.98791582717099</v>
      </c>
      <c r="V676" s="76">
        <f>V675+T676</f>
        <v>819.5656510352945</v>
      </c>
    </row>
    <row r="677" spans="1:22" ht="19" customHeight="1">
      <c r="A677" s="68" t="s">
        <v>362</v>
      </c>
      <c r="B677" s="74">
        <v>5</v>
      </c>
      <c r="C677" s="68" t="s">
        <v>363</v>
      </c>
      <c r="D677" s="68" t="s">
        <v>364</v>
      </c>
      <c r="E677" s="75">
        <f>60*F677*'THAM_SO_MOI'!$C$53/(2*PI()*'THAM_SO_MOI'!$C$26)</f>
        <v>1963.5846315789472</v>
      </c>
      <c r="F677" s="75">
        <f>'THAM_SO_MOI'!$E$53+('THAM_SO_MOI'!$C$14-'THAM_SO_MOI'!$E$53)*671/'THAM_SO_MOI'!$C$42</f>
        <v>19.929544871794874</v>
      </c>
      <c r="G677" s="75">
        <f>3.6*F677</f>
        <v>71.74636153846156</v>
      </c>
      <c r="H677" s="75">
        <f>'THAM_SO_MOI'!$D$53</f>
        <v>1.1</v>
      </c>
      <c r="I677" s="75">
        <f>IF(F677&gt;'THAM_SO_MOI'!$C$14,'THAM_SO_MOI'!$C$13*(1+F677^2/1500),'THAM_SO_MOI'!$C$13)</f>
        <v>0.015</v>
      </c>
      <c r="J677" s="75">
        <f>'THAM_SO_MOI'!$C$40*('THAM_SO_MOI'!$C$23*(E677/'THAM_SO_MOI'!$C$22)+'THAM_SO_MOI'!$C$24*(E677/'THAM_SO_MOI'!$C$22)^2-'THAM_SO_MOI'!$C$25*(E677/'THAM_SO_MOI'!$C$22)^3)</f>
        <v>88.01786611536625</v>
      </c>
      <c r="K677" s="75">
        <f>'THAM_SO_MOI'!$C$31*J677/E677</f>
        <v>428.1288846027691</v>
      </c>
      <c r="L677" s="75">
        <f>K677*'THAM_SO_MOI'!$C$53*'THAM_SO_MOI'!$C$17/'THAM_SO_MOI'!$C$26</f>
        <v>3754.6919932211495</v>
      </c>
      <c r="M677" s="75">
        <f>'THAM_SO_MOI'!$C$15*'THAM_SO_MOI'!$C$16*F677^2</f>
        <v>1161.7712694808897</v>
      </c>
      <c r="N677" s="75">
        <f>'THAM_SO_MOI'!$C$12*I677</f>
        <v>1130.112</v>
      </c>
      <c r="O677" s="75">
        <f>M677+N677</f>
        <v>2291.88326948089</v>
      </c>
      <c r="P677" s="75">
        <f>(MIN(L677,'THAM_SO_MOI'!$C$41)-O677)/('THAM_SO_MOI'!$C$11*H677)</f>
        <v>0.17315444173061786</v>
      </c>
      <c r="Q677" s="75">
        <f>IF(P677&gt;0,1/P677,NA())</f>
        <v>5.77519115308479</v>
      </c>
      <c r="R677" s="75">
        <f>F677-F676</f>
        <v>0.017600427350430436</v>
      </c>
      <c r="S677" s="75">
        <f>0.5*(Q676+Q677)*R677</f>
        <v>0.10158509781161415</v>
      </c>
      <c r="T677" s="75">
        <f>0.5*(F676*Q676+F677*Q677)*R677</f>
        <v>2.0236513290519684</v>
      </c>
      <c r="U677" s="76">
        <f>U676+S677</f>
        <v>58.0895009249826</v>
      </c>
      <c r="V677" s="76">
        <f>V676+T677</f>
        <v>821.5893023643465</v>
      </c>
    </row>
    <row r="678" spans="1:22" ht="19" customHeight="1">
      <c r="A678" s="68" t="s">
        <v>362</v>
      </c>
      <c r="B678" s="74">
        <v>5</v>
      </c>
      <c r="C678" s="68" t="s">
        <v>363</v>
      </c>
      <c r="D678" s="68" t="s">
        <v>364</v>
      </c>
      <c r="E678" s="75">
        <f>60*F678*'THAM_SO_MOI'!$C$53/(2*PI()*'THAM_SO_MOI'!$C$26)</f>
        <v>1965.318736842105</v>
      </c>
      <c r="F678" s="75">
        <f>'THAM_SO_MOI'!$E$53+('THAM_SO_MOI'!$C$14-'THAM_SO_MOI'!$E$53)*672/'THAM_SO_MOI'!$C$42</f>
        <v>19.947145299145298</v>
      </c>
      <c r="G678" s="75">
        <f>3.6*F678</f>
        <v>71.80972307692308</v>
      </c>
      <c r="H678" s="75">
        <f>'THAM_SO_MOI'!$D$53</f>
        <v>1.1</v>
      </c>
      <c r="I678" s="75">
        <f>IF(F678&gt;'THAM_SO_MOI'!$C$14,'THAM_SO_MOI'!$C$13*(1+F678^2/1500),'THAM_SO_MOI'!$C$13)</f>
        <v>0.015</v>
      </c>
      <c r="J678" s="75">
        <f>'THAM_SO_MOI'!$C$40*('THAM_SO_MOI'!$C$23*(E678/'THAM_SO_MOI'!$C$22)+'THAM_SO_MOI'!$C$24*(E678/'THAM_SO_MOI'!$C$22)^2-'THAM_SO_MOI'!$C$25*(E678/'THAM_SO_MOI'!$C$22)^3)</f>
        <v>88.10259769184606</v>
      </c>
      <c r="K678" s="75">
        <f>'THAM_SO_MOI'!$C$31*J678/E678</f>
        <v>428.16290405680775</v>
      </c>
      <c r="L678" s="75">
        <f>K678*'THAM_SO_MOI'!$C$53*'THAM_SO_MOI'!$C$17/'THAM_SO_MOI'!$C$26</f>
        <v>3754.9903439661853</v>
      </c>
      <c r="M678" s="75">
        <f>'THAM_SO_MOI'!$C$15*'THAM_SO_MOI'!$C$16*F678^2</f>
        <v>1163.824171336752</v>
      </c>
      <c r="N678" s="75">
        <f>'THAM_SO_MOI'!$C$12*I678</f>
        <v>1130.112</v>
      </c>
      <c r="O678" s="75">
        <f>M678+N678</f>
        <v>2293.936171336752</v>
      </c>
      <c r="P678" s="75">
        <f>(MIN(L678,'THAM_SO_MOI'!$C$41)-O678)/('THAM_SO_MOI'!$C$11*H678)</f>
        <v>0.1729467533889007</v>
      </c>
      <c r="Q678" s="75">
        <f>IF(P678&gt;0,1/P678,NA())</f>
        <v>5.78212646612294</v>
      </c>
      <c r="R678" s="75">
        <f>F678-F677</f>
        <v>0.01760042735042333</v>
      </c>
      <c r="S678" s="75">
        <f>0.5*(Q677+Q678)*R678</f>
        <v>0.1017068645613166</v>
      </c>
      <c r="T678" s="75">
        <f>0.5*(F677*Q677+F678*Q678)*R678</f>
        <v>2.027867100281422</v>
      </c>
      <c r="U678" s="76">
        <f>U677+S678</f>
        <v>58.19120778954392</v>
      </c>
      <c r="V678" s="76">
        <f>V677+T678</f>
        <v>823.617169464628</v>
      </c>
    </row>
    <row r="679" spans="1:22" ht="19" customHeight="1">
      <c r="A679" s="68" t="s">
        <v>362</v>
      </c>
      <c r="B679" s="74">
        <v>5</v>
      </c>
      <c r="C679" s="68" t="s">
        <v>363</v>
      </c>
      <c r="D679" s="68" t="s">
        <v>364</v>
      </c>
      <c r="E679" s="75">
        <f>60*F679*'THAM_SO_MOI'!$C$53/(2*PI()*'THAM_SO_MOI'!$C$26)</f>
        <v>1967.052842105263</v>
      </c>
      <c r="F679" s="75">
        <f>'THAM_SO_MOI'!$E$53+('THAM_SO_MOI'!$C$14-'THAM_SO_MOI'!$E$53)*673/'THAM_SO_MOI'!$C$42</f>
        <v>19.964745726495728</v>
      </c>
      <c r="G679" s="75">
        <f>3.6*F679</f>
        <v>71.87308461538463</v>
      </c>
      <c r="H679" s="75">
        <f>'THAM_SO_MOI'!$D$53</f>
        <v>1.1</v>
      </c>
      <c r="I679" s="75">
        <f>IF(F679&gt;'THAM_SO_MOI'!$C$14,'THAM_SO_MOI'!$C$13*(1+F679^2/1500),'THAM_SO_MOI'!$C$13)</f>
        <v>0.015</v>
      </c>
      <c r="J679" s="75">
        <f>'THAM_SO_MOI'!$C$40*('THAM_SO_MOI'!$C$23*(E679/'THAM_SO_MOI'!$C$22)+'THAM_SO_MOI'!$C$24*(E679/'THAM_SO_MOI'!$C$22)^2-'THAM_SO_MOI'!$C$25*(E679/'THAM_SO_MOI'!$C$22)^3)</f>
        <v>88.18728153844773</v>
      </c>
      <c r="K679" s="75">
        <f>'THAM_SO_MOI'!$C$31*J679/E679</f>
        <v>428.19663177522136</v>
      </c>
      <c r="L679" s="75">
        <f>K679*'THAM_SO_MOI'!$C$53*'THAM_SO_MOI'!$C$17/'THAM_SO_MOI'!$C$26</f>
        <v>3755.286136188648</v>
      </c>
      <c r="M679" s="75">
        <f>'THAM_SO_MOI'!$C$15*'THAM_SO_MOI'!$C$16*F679^2</f>
        <v>1165.8788853766162</v>
      </c>
      <c r="N679" s="75">
        <f>'THAM_SO_MOI'!$C$12*I679</f>
        <v>1130.112</v>
      </c>
      <c r="O679" s="75">
        <f>M679+N679</f>
        <v>2295.9908853766165</v>
      </c>
      <c r="P679" s="75">
        <f>(MIN(L679,'THAM_SO_MOI'!$C$41)-O679)/('THAM_SO_MOI'!$C$11*H679)</f>
        <v>0.17273854768134844</v>
      </c>
      <c r="Q679" s="75">
        <f>IF(P679&gt;0,1/P679,NA())</f>
        <v>5.789095794904473</v>
      </c>
      <c r="R679" s="75">
        <f>F679-F678</f>
        <v>0.017600427350430436</v>
      </c>
      <c r="S679" s="75">
        <f>0.5*(Q678+Q679)*R679</f>
        <v>0.10182922838044818</v>
      </c>
      <c r="T679" s="75">
        <f>0.5*(F678*Q678+F679*Q679)*R679</f>
        <v>2.032099072903811</v>
      </c>
      <c r="U679" s="76">
        <f>U678+S679</f>
        <v>58.29303701792436</v>
      </c>
      <c r="V679" s="76">
        <f>V678+T679</f>
        <v>825.6492685375318</v>
      </c>
    </row>
    <row r="680" spans="1:22" ht="19" customHeight="1">
      <c r="A680" s="68" t="s">
        <v>362</v>
      </c>
      <c r="B680" s="74">
        <v>5</v>
      </c>
      <c r="C680" s="68" t="s">
        <v>363</v>
      </c>
      <c r="D680" s="68" t="s">
        <v>364</v>
      </c>
      <c r="E680" s="75">
        <f>60*F680*'THAM_SO_MOI'!$C$53/(2*PI()*'THAM_SO_MOI'!$C$26)</f>
        <v>1968.7869473684204</v>
      </c>
      <c r="F680" s="75">
        <f>'THAM_SO_MOI'!$E$53+('THAM_SO_MOI'!$C$14-'THAM_SO_MOI'!$E$53)*674/'THAM_SO_MOI'!$C$42</f>
        <v>19.98234615384615</v>
      </c>
      <c r="G680" s="75">
        <f>3.6*F680</f>
        <v>71.93644615384615</v>
      </c>
      <c r="H680" s="75">
        <f>'THAM_SO_MOI'!$D$53</f>
        <v>1.1</v>
      </c>
      <c r="I680" s="75">
        <f>IF(F680&gt;'THAM_SO_MOI'!$C$14,'THAM_SO_MOI'!$C$13*(1+F680^2/1500),'THAM_SO_MOI'!$C$13)</f>
        <v>0.015</v>
      </c>
      <c r="J680" s="75">
        <f>'THAM_SO_MOI'!$C$40*('THAM_SO_MOI'!$C$23*(E680/'THAM_SO_MOI'!$C$22)+'THAM_SO_MOI'!$C$24*(E680/'THAM_SO_MOI'!$C$22)^2-'THAM_SO_MOI'!$C$25*(E680/'THAM_SO_MOI'!$C$22)^3)</f>
        <v>88.27191749626797</v>
      </c>
      <c r="K680" s="75">
        <f>'THAM_SO_MOI'!$C$31*J680/E680</f>
        <v>428.23006775801014</v>
      </c>
      <c r="L680" s="75">
        <f>K680*'THAM_SO_MOI'!$C$53*'THAM_SO_MOI'!$C$17/'THAM_SO_MOI'!$C$26</f>
        <v>3755.5793698885395</v>
      </c>
      <c r="M680" s="75">
        <f>'THAM_SO_MOI'!$C$15*'THAM_SO_MOI'!$C$16*F680^2</f>
        <v>1167.9354116004806</v>
      </c>
      <c r="N680" s="75">
        <f>'THAM_SO_MOI'!$C$12*I680</f>
        <v>1130.112</v>
      </c>
      <c r="O680" s="75">
        <f>M680+N680</f>
        <v>2298.0474116004807</v>
      </c>
      <c r="P680" s="75">
        <f>(MIN(L680,'THAM_SO_MOI'!$C$41)-O680)/('THAM_SO_MOI'!$C$11*H680)</f>
        <v>0.1725298246079615</v>
      </c>
      <c r="Q680" s="75">
        <f>IF(P680&gt;0,1/P680,NA())</f>
        <v>5.796099325274885</v>
      </c>
      <c r="R680" s="75">
        <f>F680-F679</f>
        <v>0.01760042735042333</v>
      </c>
      <c r="S680" s="75">
        <f>0.5*(Q679+Q680)*R680</f>
        <v>0.10195219252659783</v>
      </c>
      <c r="T680" s="75">
        <f>0.5*(F679*Q679+F680*Q680)*R680</f>
        <v>2.0363473435108843</v>
      </c>
      <c r="U680" s="76">
        <f>U679+S680</f>
        <v>58.39498921045096</v>
      </c>
      <c r="V680" s="76">
        <f>V679+T680</f>
        <v>827.6856158810427</v>
      </c>
    </row>
    <row r="681" spans="1:22" ht="19" customHeight="1">
      <c r="A681" s="68" t="s">
        <v>362</v>
      </c>
      <c r="B681" s="74">
        <v>5</v>
      </c>
      <c r="C681" s="68" t="s">
        <v>363</v>
      </c>
      <c r="D681" s="68" t="s">
        <v>364</v>
      </c>
      <c r="E681" s="75">
        <f>60*F681*'THAM_SO_MOI'!$C$53/(2*PI()*'THAM_SO_MOI'!$C$26)</f>
        <v>1970.5210526315789</v>
      </c>
      <c r="F681" s="75">
        <f>'THAM_SO_MOI'!$E$53+('THAM_SO_MOI'!$C$14-'THAM_SO_MOI'!$E$53)*675/'THAM_SO_MOI'!$C$42</f>
        <v>19.999946581196582</v>
      </c>
      <c r="G681" s="75">
        <f>3.6*F681</f>
        <v>71.9998076923077</v>
      </c>
      <c r="H681" s="75">
        <f>'THAM_SO_MOI'!$D$53</f>
        <v>1.1</v>
      </c>
      <c r="I681" s="75">
        <f>IF(F681&gt;'THAM_SO_MOI'!$C$14,'THAM_SO_MOI'!$C$13*(1+F681^2/1500),'THAM_SO_MOI'!$C$13)</f>
        <v>0.015</v>
      </c>
      <c r="J681" s="75">
        <f>'THAM_SO_MOI'!$C$40*('THAM_SO_MOI'!$C$23*(E681/'THAM_SO_MOI'!$C$22)+'THAM_SO_MOI'!$C$24*(E681/'THAM_SO_MOI'!$C$22)^2-'THAM_SO_MOI'!$C$25*(E681/'THAM_SO_MOI'!$C$22)^3)</f>
        <v>88.35650540640353</v>
      </c>
      <c r="K681" s="75">
        <f>'THAM_SO_MOI'!$C$31*J681/E681</f>
        <v>428.2632120051738</v>
      </c>
      <c r="L681" s="75">
        <f>K681*'THAM_SO_MOI'!$C$53*'THAM_SO_MOI'!$C$17/'THAM_SO_MOI'!$C$26</f>
        <v>3755.870045065857</v>
      </c>
      <c r="M681" s="75">
        <f>'THAM_SO_MOI'!$C$15*'THAM_SO_MOI'!$C$16*F681^2</f>
        <v>1169.993750008347</v>
      </c>
      <c r="N681" s="75">
        <f>'THAM_SO_MOI'!$C$12*I681</f>
        <v>1130.112</v>
      </c>
      <c r="O681" s="75">
        <f>M681+N681</f>
        <v>2300.105750008347</v>
      </c>
      <c r="P681" s="75">
        <f>(MIN(L681,'THAM_SO_MOI'!$C$41)-O681)/('THAM_SO_MOI'!$C$11*H681)</f>
        <v>0.17232058416873935</v>
      </c>
      <c r="Q681" s="75">
        <f>IF(P681&gt;0,1/P681,NA())</f>
        <v>5.803137244595122</v>
      </c>
      <c r="R681" s="75">
        <f>F681-F680</f>
        <v>0.017600427350430436</v>
      </c>
      <c r="S681" s="75">
        <f>0.5*(Q680+Q681)*R681</f>
        <v>0.1020757602842265</v>
      </c>
      <c r="T681" s="75">
        <f>0.5*(F680*Q680+F681*Q681)*R681</f>
        <v>2.0406120094609363</v>
      </c>
      <c r="U681" s="76">
        <f>U680+S681</f>
        <v>58.49706497073519</v>
      </c>
      <c r="V681" s="76">
        <f>V680+T681</f>
        <v>829.7262278905037</v>
      </c>
    </row>
    <row r="682" spans="1:22" ht="19" customHeight="1">
      <c r="A682" s="68" t="s">
        <v>362</v>
      </c>
      <c r="B682" s="74">
        <v>5</v>
      </c>
      <c r="C682" s="68" t="s">
        <v>363</v>
      </c>
      <c r="D682" s="68" t="s">
        <v>364</v>
      </c>
      <c r="E682" s="75">
        <f>60*F682*'THAM_SO_MOI'!$C$53/(2*PI()*'THAM_SO_MOI'!$C$26)</f>
        <v>1972.2551578947364</v>
      </c>
      <c r="F682" s="75">
        <f>'THAM_SO_MOI'!$E$53+('THAM_SO_MOI'!$C$14-'THAM_SO_MOI'!$E$53)*676/'THAM_SO_MOI'!$C$42</f>
        <v>20.01754700854701</v>
      </c>
      <c r="G682" s="75">
        <f>3.6*F682</f>
        <v>72.06316923076923</v>
      </c>
      <c r="H682" s="75">
        <f>'THAM_SO_MOI'!$D$53</f>
        <v>1.1</v>
      </c>
      <c r="I682" s="75">
        <f>IF(F682&gt;'THAM_SO_MOI'!$C$14,'THAM_SO_MOI'!$C$13*(1+F682^2/1500),'THAM_SO_MOI'!$C$13)</f>
        <v>0.015</v>
      </c>
      <c r="J682" s="75">
        <f>'THAM_SO_MOI'!$C$40*('THAM_SO_MOI'!$C$23*(E682/'THAM_SO_MOI'!$C$22)+'THAM_SO_MOI'!$C$24*(E682/'THAM_SO_MOI'!$C$22)^2-'THAM_SO_MOI'!$C$25*(E682/'THAM_SO_MOI'!$C$22)^3)</f>
        <v>88.44104510995103</v>
      </c>
      <c r="K682" s="75">
        <f>'THAM_SO_MOI'!$C$31*J682/E682</f>
        <v>428.2960645167123</v>
      </c>
      <c r="L682" s="75">
        <f>K682*'THAM_SO_MOI'!$C$53*'THAM_SO_MOI'!$C$17/'THAM_SO_MOI'!$C$26</f>
        <v>3756.1581617206</v>
      </c>
      <c r="M682" s="75">
        <f>'THAM_SO_MOI'!$C$15*'THAM_SO_MOI'!$C$16*F682^2</f>
        <v>1172.0539006002139</v>
      </c>
      <c r="N682" s="75">
        <f>'THAM_SO_MOI'!$C$12*I682</f>
        <v>1130.112</v>
      </c>
      <c r="O682" s="75">
        <f>M682+N682</f>
        <v>2302.1659006002137</v>
      </c>
      <c r="P682" s="75">
        <f>(MIN(L682,'THAM_SO_MOI'!$C$41)-O682)/('THAM_SO_MOI'!$C$11*H682)</f>
        <v>0.1721108263636821</v>
      </c>
      <c r="Q682" s="75">
        <f>IF(P682&gt;0,1/P682,NA())</f>
        <v>5.810209741756342</v>
      </c>
      <c r="R682" s="75">
        <f>F682-F681</f>
        <v>0.017600427350426884</v>
      </c>
      <c r="S682" s="75">
        <f>0.5*(Q681+Q682)*R682</f>
        <v>0.10219993496428897</v>
      </c>
      <c r="T682" s="75">
        <f>0.5*(F681*Q681+F682*Q682)*R682</f>
        <v>2.044893168873601</v>
      </c>
      <c r="U682" s="76">
        <f>U681+S682</f>
        <v>58.59926490569948</v>
      </c>
      <c r="V682" s="76">
        <f>V681+T682</f>
        <v>831.7711210593773</v>
      </c>
    </row>
    <row r="683" spans="1:22" ht="19" customHeight="1">
      <c r="A683" s="68" t="s">
        <v>362</v>
      </c>
      <c r="B683" s="74">
        <v>5</v>
      </c>
      <c r="C683" s="68" t="s">
        <v>363</v>
      </c>
      <c r="D683" s="68" t="s">
        <v>364</v>
      </c>
      <c r="E683" s="75">
        <f>60*F683*'THAM_SO_MOI'!$C$53/(2*PI()*'THAM_SO_MOI'!$C$26)</f>
        <v>1973.9892631578944</v>
      </c>
      <c r="F683" s="75">
        <f>'THAM_SO_MOI'!$E$53+('THAM_SO_MOI'!$C$14-'THAM_SO_MOI'!$E$53)*677/'THAM_SO_MOI'!$C$42</f>
        <v>20.035147435897436</v>
      </c>
      <c r="G683" s="75">
        <f>3.6*F683</f>
        <v>72.12653076923077</v>
      </c>
      <c r="H683" s="75">
        <f>'THAM_SO_MOI'!$D$53</f>
        <v>1.1</v>
      </c>
      <c r="I683" s="75">
        <f>IF(F683&gt;'THAM_SO_MOI'!$C$14,'THAM_SO_MOI'!$C$13*(1+F683^2/1500),'THAM_SO_MOI'!$C$13)</f>
        <v>0.015</v>
      </c>
      <c r="J683" s="75">
        <f>'THAM_SO_MOI'!$C$40*('THAM_SO_MOI'!$C$23*(E683/'THAM_SO_MOI'!$C$22)+'THAM_SO_MOI'!$C$24*(E683/'THAM_SO_MOI'!$C$22)^2-'THAM_SO_MOI'!$C$25*(E683/'THAM_SO_MOI'!$C$22)^3)</f>
        <v>88.52553644800732</v>
      </c>
      <c r="K683" s="75">
        <f>'THAM_SO_MOI'!$C$31*J683/E683</f>
        <v>428.32862529262593</v>
      </c>
      <c r="L683" s="75">
        <f>K683*'THAM_SO_MOI'!$C$53*'THAM_SO_MOI'!$C$17/'THAM_SO_MOI'!$C$26</f>
        <v>3756.443719852773</v>
      </c>
      <c r="M683" s="75">
        <f>'THAM_SO_MOI'!$C$15*'THAM_SO_MOI'!$C$16*F683^2</f>
        <v>1174.115863376082</v>
      </c>
      <c r="N683" s="75">
        <f>'THAM_SO_MOI'!$C$12*I683</f>
        <v>1130.112</v>
      </c>
      <c r="O683" s="75">
        <f>M683+N683</f>
        <v>2304.227863376082</v>
      </c>
      <c r="P683" s="75">
        <f>(MIN(L683,'THAM_SO_MOI'!$C$41)-O683)/('THAM_SO_MOI'!$C$11*H683)</f>
        <v>0.17190055119279013</v>
      </c>
      <c r="Q683" s="75">
        <f>IF(P683&gt;0,1/P683,NA())</f>
        <v>5.817317007194926</v>
      </c>
      <c r="R683" s="75">
        <f>F683-F682</f>
        <v>0.017600427350426884</v>
      </c>
      <c r="S683" s="75">
        <f>0.5*(Q682+Q683)*R683</f>
        <v>0.10232471990503104</v>
      </c>
      <c r="T683" s="75">
        <f>0.5*(F682*Q682+F683*Q683)*R683</f>
        <v>2.049190920648149</v>
      </c>
      <c r="U683" s="76">
        <f>U682+S683</f>
        <v>58.70158962560451</v>
      </c>
      <c r="V683" s="76">
        <f>V682+T683</f>
        <v>833.8203119800254</v>
      </c>
    </row>
    <row r="684" spans="1:22" ht="19" customHeight="1">
      <c r="A684" s="68" t="s">
        <v>362</v>
      </c>
      <c r="B684" s="74">
        <v>5</v>
      </c>
      <c r="C684" s="68" t="s">
        <v>363</v>
      </c>
      <c r="D684" s="68" t="s">
        <v>364</v>
      </c>
      <c r="E684" s="75">
        <f>60*F684*'THAM_SO_MOI'!$C$53/(2*PI()*'THAM_SO_MOI'!$C$26)</f>
        <v>1975.7233684210519</v>
      </c>
      <c r="F684" s="75">
        <f>'THAM_SO_MOI'!$E$53+('THAM_SO_MOI'!$C$14-'THAM_SO_MOI'!$E$53)*678/'THAM_SO_MOI'!$C$42</f>
        <v>20.052747863247863</v>
      </c>
      <c r="G684" s="75">
        <f>3.6*F684</f>
        <v>72.1898923076923</v>
      </c>
      <c r="H684" s="75">
        <f>'THAM_SO_MOI'!$D$53</f>
        <v>1.1</v>
      </c>
      <c r="I684" s="75">
        <f>IF(F684&gt;'THAM_SO_MOI'!$C$14,'THAM_SO_MOI'!$C$13*(1+F684^2/1500),'THAM_SO_MOI'!$C$13)</f>
        <v>0.015</v>
      </c>
      <c r="J684" s="75">
        <f>'THAM_SO_MOI'!$C$40*('THAM_SO_MOI'!$C$23*(E684/'THAM_SO_MOI'!$C$22)+'THAM_SO_MOI'!$C$24*(E684/'THAM_SO_MOI'!$C$22)^2-'THAM_SO_MOI'!$C$25*(E684/'THAM_SO_MOI'!$C$22)^3)</f>
        <v>88.609979261669</v>
      </c>
      <c r="K684" s="75">
        <f>'THAM_SO_MOI'!$C$31*J684/E684</f>
        <v>428.3608943329144</v>
      </c>
      <c r="L684" s="75">
        <f>K684*'THAM_SO_MOI'!$C$53*'THAM_SO_MOI'!$C$17/'THAM_SO_MOI'!$C$26</f>
        <v>3756.72671946237</v>
      </c>
      <c r="M684" s="75">
        <f>'THAM_SO_MOI'!$C$15*'THAM_SO_MOI'!$C$16*F684^2</f>
        <v>1176.1796383359508</v>
      </c>
      <c r="N684" s="75">
        <f>'THAM_SO_MOI'!$C$12*I684</f>
        <v>1130.112</v>
      </c>
      <c r="O684" s="75">
        <f>M684+N684</f>
        <v>2306.2916383359507</v>
      </c>
      <c r="P684" s="75">
        <f>(MIN(L684,'THAM_SO_MOI'!$C$41)-O684)/('THAM_SO_MOI'!$C$11*H684)</f>
        <v>0.1716897586560629</v>
      </c>
      <c r="Q684" s="75">
        <f>IF(P684&gt;0,1/P684,NA())</f>
        <v>5.8244592329076985</v>
      </c>
      <c r="R684" s="75">
        <f>F684-F683</f>
        <v>0.017600427350426884</v>
      </c>
      <c r="S684" s="75">
        <f>0.5*(Q683+Q684)*R684</f>
        <v>0.10245011847192603</v>
      </c>
      <c r="T684" s="75">
        <f>0.5*(F683*Q683+F684*Q684)*R684</f>
        <v>2.0535053644646206</v>
      </c>
      <c r="U684" s="76">
        <f>U683+S684</f>
        <v>58.80403974407644</v>
      </c>
      <c r="V684" s="76">
        <f>V683+T684</f>
        <v>835.87381734449</v>
      </c>
    </row>
    <row r="685" spans="1:22" ht="19" customHeight="1">
      <c r="A685" s="68" t="s">
        <v>362</v>
      </c>
      <c r="B685" s="74">
        <v>5</v>
      </c>
      <c r="C685" s="68" t="s">
        <v>363</v>
      </c>
      <c r="D685" s="68" t="s">
        <v>364</v>
      </c>
      <c r="E685" s="75">
        <f>60*F685*'THAM_SO_MOI'!$C$53/(2*PI()*'THAM_SO_MOI'!$C$26)</f>
        <v>1977.45747368421</v>
      </c>
      <c r="F685" s="75">
        <f>'THAM_SO_MOI'!$E$53+('THAM_SO_MOI'!$C$14-'THAM_SO_MOI'!$E$53)*679/'THAM_SO_MOI'!$C$42</f>
        <v>20.07034829059829</v>
      </c>
      <c r="G685" s="75">
        <f>3.6*F685</f>
        <v>72.25325384615384</v>
      </c>
      <c r="H685" s="75">
        <f>'THAM_SO_MOI'!$D$53</f>
        <v>1.1</v>
      </c>
      <c r="I685" s="75">
        <f>IF(F685&gt;'THAM_SO_MOI'!$C$14,'THAM_SO_MOI'!$C$13*(1+F685^2/1500),'THAM_SO_MOI'!$C$13)</f>
        <v>0.015</v>
      </c>
      <c r="J685" s="75">
        <f>'THAM_SO_MOI'!$C$40*('THAM_SO_MOI'!$C$23*(E685/'THAM_SO_MOI'!$C$22)+'THAM_SO_MOI'!$C$24*(E685/'THAM_SO_MOI'!$C$22)^2-'THAM_SO_MOI'!$C$25*(E685/'THAM_SO_MOI'!$C$22)^3)</f>
        <v>88.69437339203289</v>
      </c>
      <c r="K685" s="75">
        <f>'THAM_SO_MOI'!$C$31*J685/E685</f>
        <v>428.3928716375779</v>
      </c>
      <c r="L685" s="75">
        <f>K685*'THAM_SO_MOI'!$C$53*'THAM_SO_MOI'!$C$17/'THAM_SO_MOI'!$C$26</f>
        <v>3757.007160549395</v>
      </c>
      <c r="M685" s="75">
        <f>'THAM_SO_MOI'!$C$15*'THAM_SO_MOI'!$C$16*F685^2</f>
        <v>1178.245225479821</v>
      </c>
      <c r="N685" s="75">
        <f>'THAM_SO_MOI'!$C$12*I685</f>
        <v>1130.112</v>
      </c>
      <c r="O685" s="75">
        <f>M685+N685</f>
        <v>2308.357225479821</v>
      </c>
      <c r="P685" s="75">
        <f>(MIN(L685,'THAM_SO_MOI'!$C$41)-O685)/('THAM_SO_MOI'!$C$11*H685)</f>
        <v>0.1714784487535007</v>
      </c>
      <c r="Q685" s="75">
        <f>IF(P685&gt;0,1/P685,NA())</f>
        <v>5.831636612467228</v>
      </c>
      <c r="R685" s="75">
        <f>F685-F684</f>
        <v>0.017600427350426884</v>
      </c>
      <c r="S685" s="75">
        <f>0.5*(Q684+Q685)*R685</f>
        <v>0.10257613405806701</v>
      </c>
      <c r="T685" s="75">
        <f>0.5*(F684*Q684+F685*Q685)*R685</f>
        <v>2.057836600794083</v>
      </c>
      <c r="U685" s="76">
        <f>U684+S685</f>
        <v>58.90661587813451</v>
      </c>
      <c r="V685" s="76">
        <f>V684+T685</f>
        <v>837.9316539452841</v>
      </c>
    </row>
    <row r="686" spans="1:22" ht="19" customHeight="1">
      <c r="A686" s="68" t="s">
        <v>362</v>
      </c>
      <c r="B686" s="74">
        <v>5</v>
      </c>
      <c r="C686" s="68" t="s">
        <v>363</v>
      </c>
      <c r="D686" s="68" t="s">
        <v>364</v>
      </c>
      <c r="E686" s="75">
        <f>60*F686*'THAM_SO_MOI'!$C$53/(2*PI()*'THAM_SO_MOI'!$C$26)</f>
        <v>1979.1915789473676</v>
      </c>
      <c r="F686" s="75">
        <f>'THAM_SO_MOI'!$E$53+('THAM_SO_MOI'!$C$14-'THAM_SO_MOI'!$E$53)*680/'THAM_SO_MOI'!$C$42</f>
        <v>20.087948717948716</v>
      </c>
      <c r="G686" s="75">
        <f>3.6*F686</f>
        <v>72.31661538461537</v>
      </c>
      <c r="H686" s="75">
        <f>'THAM_SO_MOI'!$D$53</f>
        <v>1.1</v>
      </c>
      <c r="I686" s="75">
        <f>IF(F686&gt;'THAM_SO_MOI'!$C$14,'THAM_SO_MOI'!$C$13*(1+F686^2/1500),'THAM_SO_MOI'!$C$13)</f>
        <v>0.015</v>
      </c>
      <c r="J686" s="75">
        <f>'THAM_SO_MOI'!$C$40*('THAM_SO_MOI'!$C$23*(E686/'THAM_SO_MOI'!$C$22)+'THAM_SO_MOI'!$C$24*(E686/'THAM_SO_MOI'!$C$22)^2-'THAM_SO_MOI'!$C$25*(E686/'THAM_SO_MOI'!$C$22)^3)</f>
        <v>88.77871868019564</v>
      </c>
      <c r="K686" s="75">
        <f>'THAM_SO_MOI'!$C$31*J686/E686</f>
        <v>428.4245572066163</v>
      </c>
      <c r="L686" s="75">
        <f>K686*'THAM_SO_MOI'!$C$53*'THAM_SO_MOI'!$C$17/'THAM_SO_MOI'!$C$26</f>
        <v>3757.2850431138463</v>
      </c>
      <c r="M686" s="75">
        <f>'THAM_SO_MOI'!$C$15*'THAM_SO_MOI'!$C$16*F686^2</f>
        <v>1180.3126248076921</v>
      </c>
      <c r="N686" s="75">
        <f>'THAM_SO_MOI'!$C$12*I686</f>
        <v>1130.112</v>
      </c>
      <c r="O686" s="75">
        <f>M686+N686</f>
        <v>2310.4246248076925</v>
      </c>
      <c r="P686" s="75">
        <f>(MIN(L686,'THAM_SO_MOI'!$C$41)-O686)/('THAM_SO_MOI'!$C$11*H686)</f>
        <v>0.1712666214851035</v>
      </c>
      <c r="Q686" s="75">
        <f>IF(P686&gt;0,1/P686,NA())</f>
        <v>5.83884934103741</v>
      </c>
      <c r="R686" s="75">
        <f>F686-F685</f>
        <v>0.017600427350426884</v>
      </c>
      <c r="S686" s="75">
        <f>0.5*(Q685+Q686)*R686</f>
        <v>0.1027027700844179</v>
      </c>
      <c r="T686" s="75">
        <f>0.5*(F685*Q685+F686*Q686)*R686</f>
        <v>2.0621847309061105</v>
      </c>
      <c r="U686" s="76">
        <f>U685+S686</f>
        <v>59.00931864821893</v>
      </c>
      <c r="V686" s="76">
        <f>V685+T686</f>
        <v>839.9938386761902</v>
      </c>
    </row>
    <row r="687" spans="1:22" ht="19" customHeight="1">
      <c r="A687" s="68" t="s">
        <v>362</v>
      </c>
      <c r="B687" s="74">
        <v>5</v>
      </c>
      <c r="C687" s="68" t="s">
        <v>363</v>
      </c>
      <c r="D687" s="68" t="s">
        <v>364</v>
      </c>
      <c r="E687" s="75">
        <f>60*F687*'THAM_SO_MOI'!$C$53/(2*PI()*'THAM_SO_MOI'!$C$26)</f>
        <v>1980.9256842105256</v>
      </c>
      <c r="F687" s="75">
        <f>'THAM_SO_MOI'!$E$53+('THAM_SO_MOI'!$C$14-'THAM_SO_MOI'!$E$53)*681/'THAM_SO_MOI'!$C$42</f>
        <v>20.105549145299143</v>
      </c>
      <c r="G687" s="75">
        <f>3.6*F687</f>
        <v>72.37997692307692</v>
      </c>
      <c r="H687" s="75">
        <f>'THAM_SO_MOI'!$D$53</f>
        <v>1.1</v>
      </c>
      <c r="I687" s="75">
        <f>IF(F687&gt;'THAM_SO_MOI'!$C$14,'THAM_SO_MOI'!$C$13*(1+F687^2/1500),'THAM_SO_MOI'!$C$13)</f>
        <v>0.015</v>
      </c>
      <c r="J687" s="75">
        <f>'THAM_SO_MOI'!$C$40*('THAM_SO_MOI'!$C$23*(E687/'THAM_SO_MOI'!$C$22)+'THAM_SO_MOI'!$C$24*(E687/'THAM_SO_MOI'!$C$22)^2-'THAM_SO_MOI'!$C$25*(E687/'THAM_SO_MOI'!$C$22)^3)</f>
        <v>88.86301496725406</v>
      </c>
      <c r="K687" s="75">
        <f>'THAM_SO_MOI'!$C$31*J687/E687</f>
        <v>428.4559510400299</v>
      </c>
      <c r="L687" s="75">
        <f>K687*'THAM_SO_MOI'!$C$53*'THAM_SO_MOI'!$C$17/'THAM_SO_MOI'!$C$26</f>
        <v>3757.5603671557274</v>
      </c>
      <c r="M687" s="75">
        <f>'THAM_SO_MOI'!$C$15*'THAM_SO_MOI'!$C$16*F687^2</f>
        <v>1182.3818363195646</v>
      </c>
      <c r="N687" s="75">
        <f>'THAM_SO_MOI'!$C$12*I687</f>
        <v>1130.112</v>
      </c>
      <c r="O687" s="75">
        <f>M687+N687</f>
        <v>2312.4938363195647</v>
      </c>
      <c r="P687" s="75">
        <f>(MIN(L687,'THAM_SO_MOI'!$C$41)-O687)/('THAM_SO_MOI'!$C$11*H687)</f>
        <v>0.17105427685087152</v>
      </c>
      <c r="Q687" s="75">
        <f>IF(P687&gt;0,1/P687,NA())</f>
        <v>5.846097615389176</v>
      </c>
      <c r="R687" s="75">
        <f>F687-F686</f>
        <v>0.017600427350426884</v>
      </c>
      <c r="S687" s="75">
        <f>0.5*(Q686+Q687)*R687</f>
        <v>0.10283003000008893</v>
      </c>
      <c r="T687" s="75">
        <f>0.5*(F686*Q686+F687*Q687)*R687</f>
        <v>2.0665498568767684</v>
      </c>
      <c r="U687" s="76">
        <f>U686+S687</f>
        <v>59.11214867821902</v>
      </c>
      <c r="V687" s="76">
        <f>V686+T687</f>
        <v>842.060388533067</v>
      </c>
    </row>
    <row r="688" spans="1:22" ht="19" customHeight="1">
      <c r="A688" s="68" t="s">
        <v>362</v>
      </c>
      <c r="B688" s="74">
        <v>5</v>
      </c>
      <c r="C688" s="68" t="s">
        <v>363</v>
      </c>
      <c r="D688" s="68" t="s">
        <v>364</v>
      </c>
      <c r="E688" s="75">
        <f>60*F688*'THAM_SO_MOI'!$C$53/(2*PI()*'THAM_SO_MOI'!$C$26)</f>
        <v>1982.659789473684</v>
      </c>
      <c r="F688" s="75">
        <f>'THAM_SO_MOI'!$E$53+('THAM_SO_MOI'!$C$14-'THAM_SO_MOI'!$E$53)*682/'THAM_SO_MOI'!$C$42</f>
        <v>20.123149572649574</v>
      </c>
      <c r="G688" s="75">
        <f>3.6*F688</f>
        <v>72.44333846153847</v>
      </c>
      <c r="H688" s="75">
        <f>'THAM_SO_MOI'!$D$53</f>
        <v>1.1</v>
      </c>
      <c r="I688" s="75">
        <f>IF(F688&gt;'THAM_SO_MOI'!$C$14,'THAM_SO_MOI'!$C$13*(1+F688^2/1500),'THAM_SO_MOI'!$C$13)</f>
        <v>0.015</v>
      </c>
      <c r="J688" s="75">
        <f>'THAM_SO_MOI'!$C$40*('THAM_SO_MOI'!$C$23*(E688/'THAM_SO_MOI'!$C$22)+'THAM_SO_MOI'!$C$24*(E688/'THAM_SO_MOI'!$C$22)^2-'THAM_SO_MOI'!$C$25*(E688/'THAM_SO_MOI'!$C$22)^3)</f>
        <v>88.94726209430479</v>
      </c>
      <c r="K688" s="75">
        <f>'THAM_SO_MOI'!$C$31*J688/E688</f>
        <v>428.4870531378183</v>
      </c>
      <c r="L688" s="75">
        <f>K688*'THAM_SO_MOI'!$C$53*'THAM_SO_MOI'!$C$17/'THAM_SO_MOI'!$C$26</f>
        <v>3757.8331326750326</v>
      </c>
      <c r="M688" s="75">
        <f>'THAM_SO_MOI'!$C$15*'THAM_SO_MOI'!$C$16*F688^2</f>
        <v>1184.4528600154383</v>
      </c>
      <c r="N688" s="75">
        <f>'THAM_SO_MOI'!$C$12*I688</f>
        <v>1130.112</v>
      </c>
      <c r="O688" s="75">
        <f>M688+N688</f>
        <v>2314.564860015438</v>
      </c>
      <c r="P688" s="75">
        <f>(MIN(L688,'THAM_SO_MOI'!$C$41)-O688)/('THAM_SO_MOI'!$C$11*H688)</f>
        <v>0.1708414148508042</v>
      </c>
      <c r="Q688" s="75">
        <f>IF(P688&gt;0,1/P688,NA())</f>
        <v>5.8533816339164595</v>
      </c>
      <c r="R688" s="75">
        <f>F688-F687</f>
        <v>0.017600427350430436</v>
      </c>
      <c r="S688" s="75">
        <f>0.5*(Q687+Q688)*R688</f>
        <v>0.10295791728263613</v>
      </c>
      <c r="T688" s="75">
        <f>0.5*(F687*Q687+F688*Q688)*R688</f>
        <v>2.070932081597115</v>
      </c>
      <c r="U688" s="76">
        <f>U687+S688</f>
        <v>59.21510659550166</v>
      </c>
      <c r="V688" s="76">
        <f>V687+T688</f>
        <v>844.1313206146641</v>
      </c>
    </row>
    <row r="689" spans="1:22" ht="19" customHeight="1">
      <c r="A689" s="68" t="s">
        <v>362</v>
      </c>
      <c r="B689" s="74">
        <v>5</v>
      </c>
      <c r="C689" s="68" t="s">
        <v>363</v>
      </c>
      <c r="D689" s="68" t="s">
        <v>364</v>
      </c>
      <c r="E689" s="75">
        <f>60*F689*'THAM_SO_MOI'!$C$53/(2*PI()*'THAM_SO_MOI'!$C$26)</f>
        <v>1984.393894736841</v>
      </c>
      <c r="F689" s="75">
        <f>'THAM_SO_MOI'!$E$53+('THAM_SO_MOI'!$C$14-'THAM_SO_MOI'!$E$53)*683/'THAM_SO_MOI'!$C$42</f>
        <v>20.140749999999997</v>
      </c>
      <c r="G689" s="75">
        <f>3.6*F689</f>
        <v>72.5067</v>
      </c>
      <c r="H689" s="75">
        <f>'THAM_SO_MOI'!$D$53</f>
        <v>1.1</v>
      </c>
      <c r="I689" s="75">
        <f>IF(F689&gt;'THAM_SO_MOI'!$C$14,'THAM_SO_MOI'!$C$13*(1+F689^2/1500),'THAM_SO_MOI'!$C$13)</f>
        <v>0.015</v>
      </c>
      <c r="J689" s="75">
        <f>'THAM_SO_MOI'!$C$40*('THAM_SO_MOI'!$C$23*(E689/'THAM_SO_MOI'!$C$22)+'THAM_SO_MOI'!$C$24*(E689/'THAM_SO_MOI'!$C$22)^2-'THAM_SO_MOI'!$C$25*(E689/'THAM_SO_MOI'!$C$22)^3)</f>
        <v>89.03145990244452</v>
      </c>
      <c r="K689" s="75">
        <f>'THAM_SO_MOI'!$C$31*J689/E689</f>
        <v>428.5178634999816</v>
      </c>
      <c r="L689" s="75">
        <f>K689*'THAM_SO_MOI'!$C$53*'THAM_SO_MOI'!$C$17/'THAM_SO_MOI'!$C$26</f>
        <v>3758.1033396717653</v>
      </c>
      <c r="M689" s="75">
        <f>'THAM_SO_MOI'!$C$15*'THAM_SO_MOI'!$C$16*F689^2</f>
        <v>1186.5256958953123</v>
      </c>
      <c r="N689" s="75">
        <f>'THAM_SO_MOI'!$C$12*I689</f>
        <v>1130.112</v>
      </c>
      <c r="O689" s="75">
        <f>M689+N689</f>
        <v>2316.6376958953124</v>
      </c>
      <c r="P689" s="75">
        <f>(MIN(L689,'THAM_SO_MOI'!$C$41)-O689)/('THAM_SO_MOI'!$C$11*H689)</f>
        <v>0.1706280354849021</v>
      </c>
      <c r="Q689" s="75">
        <f>IF(P689&gt;0,1/P689,NA())</f>
        <v>5.860701596652235</v>
      </c>
      <c r="R689" s="75">
        <f>F689-F688</f>
        <v>0.01760042735042333</v>
      </c>
      <c r="S689" s="75">
        <f>0.5*(Q688+Q689)*R689</f>
        <v>0.10308643543821826</v>
      </c>
      <c r="T689" s="75">
        <f>0.5*(F688*Q688+F689*Q689)*R689</f>
        <v>2.0753315087788646</v>
      </c>
      <c r="U689" s="76">
        <f>U688+S689</f>
        <v>59.31819303093988</v>
      </c>
      <c r="V689" s="76">
        <f>V688+T689</f>
        <v>846.206652123443</v>
      </c>
    </row>
    <row r="690" spans="1:22" ht="19" customHeight="1">
      <c r="A690" s="68" t="s">
        <v>362</v>
      </c>
      <c r="B690" s="74">
        <v>5</v>
      </c>
      <c r="C690" s="68" t="s">
        <v>363</v>
      </c>
      <c r="D690" s="68" t="s">
        <v>364</v>
      </c>
      <c r="E690" s="75">
        <f>60*F690*'THAM_SO_MOI'!$C$53/(2*PI()*'THAM_SO_MOI'!$C$26)</f>
        <v>1986.1279999999995</v>
      </c>
      <c r="F690" s="75">
        <f>'THAM_SO_MOI'!$E$53+('THAM_SO_MOI'!$C$14-'THAM_SO_MOI'!$E$53)*684/'THAM_SO_MOI'!$C$42</f>
        <v>20.158350427350427</v>
      </c>
      <c r="G690" s="75">
        <f>3.6*F690</f>
        <v>72.57006153846154</v>
      </c>
      <c r="H690" s="75">
        <f>'THAM_SO_MOI'!$D$53</f>
        <v>1.1</v>
      </c>
      <c r="I690" s="75">
        <f>IF(F690&gt;'THAM_SO_MOI'!$C$14,'THAM_SO_MOI'!$C$13*(1+F690^2/1500),'THAM_SO_MOI'!$C$13)</f>
        <v>0.015</v>
      </c>
      <c r="J690" s="75">
        <f>'THAM_SO_MOI'!$C$40*('THAM_SO_MOI'!$C$23*(E690/'THAM_SO_MOI'!$C$22)+'THAM_SO_MOI'!$C$24*(E690/'THAM_SO_MOI'!$C$22)^2-'THAM_SO_MOI'!$C$25*(E690/'THAM_SO_MOI'!$C$22)^3)</f>
        <v>89.1156082327701</v>
      </c>
      <c r="K690" s="75">
        <f>'THAM_SO_MOI'!$C$31*J690/E690</f>
        <v>428.5483821265199</v>
      </c>
      <c r="L690" s="75">
        <f>K690*'THAM_SO_MOI'!$C$53*'THAM_SO_MOI'!$C$17/'THAM_SO_MOI'!$C$26</f>
        <v>3758.370988145924</v>
      </c>
      <c r="M690" s="75">
        <f>'THAM_SO_MOI'!$C$15*'THAM_SO_MOI'!$C$16*F690^2</f>
        <v>1188.6003439591882</v>
      </c>
      <c r="N690" s="75">
        <f>'THAM_SO_MOI'!$C$12*I690</f>
        <v>1130.112</v>
      </c>
      <c r="O690" s="75">
        <f>M690+N690</f>
        <v>2318.7123439591883</v>
      </c>
      <c r="P690" s="75">
        <f>(MIN(L690,'THAM_SO_MOI'!$C$41)-O690)/('THAM_SO_MOI'!$C$11*H690)</f>
        <v>0.17041413875316475</v>
      </c>
      <c r="Q690" s="75">
        <f>IF(P690&gt;0,1/P690,NA())</f>
        <v>5.868057705284909</v>
      </c>
      <c r="R690" s="75">
        <f>F690-F689</f>
        <v>0.017600427350430436</v>
      </c>
      <c r="S690" s="75">
        <f>0.5*(Q689+Q690)*R690</f>
        <v>0.10321558800221495</v>
      </c>
      <c r="T690" s="75">
        <f>0.5*(F689*Q689+F690*Q690)*R690</f>
        <v>2.0797482429693597</v>
      </c>
      <c r="U690" s="76">
        <f>U689+S690</f>
        <v>59.421408618942095</v>
      </c>
      <c r="V690" s="76">
        <f>V689+T690</f>
        <v>848.2864003664123</v>
      </c>
    </row>
    <row r="691" spans="1:22" ht="19" customHeight="1">
      <c r="A691" s="68" t="s">
        <v>362</v>
      </c>
      <c r="B691" s="74">
        <v>5</v>
      </c>
      <c r="C691" s="68" t="s">
        <v>363</v>
      </c>
      <c r="D691" s="68" t="s">
        <v>364</v>
      </c>
      <c r="E691" s="75">
        <f>60*F691*'THAM_SO_MOI'!$C$53/(2*PI()*'THAM_SO_MOI'!$C$26)</f>
        <v>1987.862105263157</v>
      </c>
      <c r="F691" s="75">
        <f>'THAM_SO_MOI'!$E$53+('THAM_SO_MOI'!$C$14-'THAM_SO_MOI'!$E$53)*685/'THAM_SO_MOI'!$C$42</f>
        <v>20.17595085470085</v>
      </c>
      <c r="G691" s="75">
        <f>3.6*F691</f>
        <v>72.63342307692307</v>
      </c>
      <c r="H691" s="75">
        <f>'THAM_SO_MOI'!$D$53</f>
        <v>1.1</v>
      </c>
      <c r="I691" s="75">
        <f>IF(F691&gt;'THAM_SO_MOI'!$C$14,'THAM_SO_MOI'!$C$13*(1+F691^2/1500),'THAM_SO_MOI'!$C$13)</f>
        <v>0.015</v>
      </c>
      <c r="J691" s="75">
        <f>'THAM_SO_MOI'!$C$40*('THAM_SO_MOI'!$C$23*(E691/'THAM_SO_MOI'!$C$22)+'THAM_SO_MOI'!$C$24*(E691/'THAM_SO_MOI'!$C$22)^2-'THAM_SO_MOI'!$C$25*(E691/'THAM_SO_MOI'!$C$22)^3)</f>
        <v>89.19970692637808</v>
      </c>
      <c r="K691" s="75">
        <f>'THAM_SO_MOI'!$C$31*J691/E691</f>
        <v>428.57860901743305</v>
      </c>
      <c r="L691" s="75">
        <f>K691*'THAM_SO_MOI'!$C$53*'THAM_SO_MOI'!$C$17/'THAM_SO_MOI'!$C$26</f>
        <v>3758.6360780975097</v>
      </c>
      <c r="M691" s="75">
        <f>'THAM_SO_MOI'!$C$15*'THAM_SO_MOI'!$C$16*F691^2</f>
        <v>1190.6768042070644</v>
      </c>
      <c r="N691" s="75">
        <f>'THAM_SO_MOI'!$C$12*I691</f>
        <v>1130.112</v>
      </c>
      <c r="O691" s="75">
        <f>M691+N691</f>
        <v>2320.7888042070645</v>
      </c>
      <c r="P691" s="75">
        <f>(MIN(L691,'THAM_SO_MOI'!$C$41)-O691)/('THAM_SO_MOI'!$C$11*H691)</f>
        <v>0.17019972465559247</v>
      </c>
      <c r="Q691" s="75">
        <f>IF(P691&gt;0,1/P691,NA())</f>
        <v>5.87545016317476</v>
      </c>
      <c r="R691" s="75">
        <f>F691-F690</f>
        <v>0.01760042735042333</v>
      </c>
      <c r="S691" s="75">
        <f>0.5*(Q690+Q691)*R691</f>
        <v>0.10334537853897459</v>
      </c>
      <c r="T691" s="75">
        <f>0.5*(F690*Q690+F691*Q691)*R691</f>
        <v>2.0841823895490585</v>
      </c>
      <c r="U691" s="76">
        <f>U690+S691</f>
        <v>59.52475399748107</v>
      </c>
      <c r="V691" s="76">
        <f>V690+T691</f>
        <v>850.3705827559613</v>
      </c>
    </row>
    <row r="692" spans="1:22" ht="19" customHeight="1">
      <c r="A692" s="68" t="s">
        <v>362</v>
      </c>
      <c r="B692" s="74">
        <v>5</v>
      </c>
      <c r="C692" s="68" t="s">
        <v>363</v>
      </c>
      <c r="D692" s="68" t="s">
        <v>364</v>
      </c>
      <c r="E692" s="75">
        <f>60*F692*'THAM_SO_MOI'!$C$53/(2*PI()*'THAM_SO_MOI'!$C$26)</f>
        <v>1989.5962105263154</v>
      </c>
      <c r="F692" s="75">
        <f>'THAM_SO_MOI'!$E$53+('THAM_SO_MOI'!$C$14-'THAM_SO_MOI'!$E$53)*686/'THAM_SO_MOI'!$C$42</f>
        <v>20.19355128205128</v>
      </c>
      <c r="G692" s="75">
        <f>3.6*F692</f>
        <v>72.69678461538462</v>
      </c>
      <c r="H692" s="75">
        <f>'THAM_SO_MOI'!$D$53</f>
        <v>1.1</v>
      </c>
      <c r="I692" s="75">
        <f>IF(F692&gt;'THAM_SO_MOI'!$C$14,'THAM_SO_MOI'!$C$13*(1+F692^2/1500),'THAM_SO_MOI'!$C$13)</f>
        <v>0.015</v>
      </c>
      <c r="J692" s="75">
        <f>'THAM_SO_MOI'!$C$40*('THAM_SO_MOI'!$C$23*(E692/'THAM_SO_MOI'!$C$22)+'THAM_SO_MOI'!$C$24*(E692/'THAM_SO_MOI'!$C$22)^2-'THAM_SO_MOI'!$C$25*(E692/'THAM_SO_MOI'!$C$22)^3)</f>
        <v>89.2837558243654</v>
      </c>
      <c r="K692" s="75">
        <f>'THAM_SO_MOI'!$C$31*J692/E692</f>
        <v>428.60854417272145</v>
      </c>
      <c r="L692" s="75">
        <f>K692*'THAM_SO_MOI'!$C$53*'THAM_SO_MOI'!$C$17/'THAM_SO_MOI'!$C$26</f>
        <v>3758.898609526524</v>
      </c>
      <c r="M692" s="75">
        <f>'THAM_SO_MOI'!$C$15*'THAM_SO_MOI'!$C$16*F692^2</f>
        <v>1192.7550766389422</v>
      </c>
      <c r="N692" s="75">
        <f>'THAM_SO_MOI'!$C$12*I692</f>
        <v>1130.112</v>
      </c>
      <c r="O692" s="75">
        <f>M692+N692</f>
        <v>2322.8670766389423</v>
      </c>
      <c r="P692" s="75">
        <f>(MIN(L692,'THAM_SO_MOI'!$C$41)-O692)/('THAM_SO_MOI'!$C$11*H692)</f>
        <v>0.16998479319218535</v>
      </c>
      <c r="Q692" s="75">
        <f>IF(P692&gt;0,1/P692,NA())</f>
        <v>5.882879175370687</v>
      </c>
      <c r="R692" s="75">
        <f>F692-F691</f>
        <v>0.017600427350430436</v>
      </c>
      <c r="S692" s="75">
        <f>0.5*(Q691+Q692)*R692</f>
        <v>0.10347581064275196</v>
      </c>
      <c r="T692" s="75">
        <f>0.5*(F691*Q691+F692*Q692)*R692</f>
        <v>2.08863405475301</v>
      </c>
      <c r="U692" s="76">
        <f>U691+S692</f>
        <v>59.62822980812382</v>
      </c>
      <c r="V692" s="76">
        <f>V691+T692</f>
        <v>852.4592168107143</v>
      </c>
    </row>
    <row r="693" spans="1:22" ht="19" customHeight="1">
      <c r="A693" s="68" t="s">
        <v>362</v>
      </c>
      <c r="B693" s="74">
        <v>5</v>
      </c>
      <c r="C693" s="68" t="s">
        <v>363</v>
      </c>
      <c r="D693" s="68" t="s">
        <v>364</v>
      </c>
      <c r="E693" s="75">
        <f>60*F693*'THAM_SO_MOI'!$C$53/(2*PI()*'THAM_SO_MOI'!$C$26)</f>
        <v>1991.3303157894738</v>
      </c>
      <c r="F693" s="75">
        <f>'THAM_SO_MOI'!$E$53+('THAM_SO_MOI'!$C$14-'THAM_SO_MOI'!$E$53)*687/'THAM_SO_MOI'!$C$42</f>
        <v>20.21115170940171</v>
      </c>
      <c r="G693" s="75">
        <f>3.6*F693</f>
        <v>72.76014615384616</v>
      </c>
      <c r="H693" s="75">
        <f>'THAM_SO_MOI'!$D$53</f>
        <v>1.1</v>
      </c>
      <c r="I693" s="75">
        <f>IF(F693&gt;'THAM_SO_MOI'!$C$14,'THAM_SO_MOI'!$C$13*(1+F693^2/1500),'THAM_SO_MOI'!$C$13)</f>
        <v>0.015</v>
      </c>
      <c r="J693" s="75">
        <f>'THAM_SO_MOI'!$C$40*('THAM_SO_MOI'!$C$23*(E693/'THAM_SO_MOI'!$C$22)+'THAM_SO_MOI'!$C$24*(E693/'THAM_SO_MOI'!$C$22)^2-'THAM_SO_MOI'!$C$25*(E693/'THAM_SO_MOI'!$C$22)^3)</f>
        <v>89.3677547678286</v>
      </c>
      <c r="K693" s="75">
        <f>'THAM_SO_MOI'!$C$31*J693/E693</f>
        <v>428.63818759238455</v>
      </c>
      <c r="L693" s="75">
        <f>K693*'THAM_SO_MOI'!$C$53*'THAM_SO_MOI'!$C$17/'THAM_SO_MOI'!$C$26</f>
        <v>3759.158582432963</v>
      </c>
      <c r="M693" s="75">
        <f>'THAM_SO_MOI'!$C$15*'THAM_SO_MOI'!$C$16*F693^2</f>
        <v>1194.8351612548215</v>
      </c>
      <c r="N693" s="75">
        <f>'THAM_SO_MOI'!$C$12*I693</f>
        <v>1130.112</v>
      </c>
      <c r="O693" s="75">
        <f>M693+N693</f>
        <v>2324.9471612548214</v>
      </c>
      <c r="P693" s="75">
        <f>(MIN(L693,'THAM_SO_MOI'!$C$41)-O693)/('THAM_SO_MOI'!$C$11*H693)</f>
        <v>0.16976934436294291</v>
      </c>
      <c r="Q693" s="75">
        <f>IF(P693&gt;0,1/P693,NA())</f>
        <v>5.890344948627127</v>
      </c>
      <c r="R693" s="75">
        <f>F693-F692</f>
        <v>0.017600427350430436</v>
      </c>
      <c r="S693" s="75">
        <f>0.5*(Q692+Q693)*R693</f>
        <v>0.10360688793737927</v>
      </c>
      <c r="T693" s="75">
        <f>0.5*(F692*Q692+F693*Q693)*R693</f>
        <v>2.0931033456668393</v>
      </c>
      <c r="U693" s="76">
        <f>U692+S693</f>
        <v>59.7318366960612</v>
      </c>
      <c r="V693" s="76">
        <f>V692+T693</f>
        <v>854.5523201563811</v>
      </c>
    </row>
    <row r="694" spans="1:22" ht="19" customHeight="1">
      <c r="A694" s="68" t="s">
        <v>362</v>
      </c>
      <c r="B694" s="74">
        <v>5</v>
      </c>
      <c r="C694" s="68" t="s">
        <v>363</v>
      </c>
      <c r="D694" s="68" t="s">
        <v>364</v>
      </c>
      <c r="E694" s="75">
        <f>60*F694*'THAM_SO_MOI'!$C$53/(2*PI()*'THAM_SO_MOI'!$C$26)</f>
        <v>1993.0644210526311</v>
      </c>
      <c r="F694" s="75">
        <f>'THAM_SO_MOI'!$E$53+('THAM_SO_MOI'!$C$14-'THAM_SO_MOI'!$E$53)*688/'THAM_SO_MOI'!$C$42</f>
        <v>20.228752136752135</v>
      </c>
      <c r="G694" s="75">
        <f>3.6*F694</f>
        <v>72.82350769230769</v>
      </c>
      <c r="H694" s="75">
        <f>'THAM_SO_MOI'!$D$53</f>
        <v>1.1</v>
      </c>
      <c r="I694" s="75">
        <f>IF(F694&gt;'THAM_SO_MOI'!$C$14,'THAM_SO_MOI'!$C$13*(1+F694^2/1500),'THAM_SO_MOI'!$C$13)</f>
        <v>0.015</v>
      </c>
      <c r="J694" s="75">
        <f>'THAM_SO_MOI'!$C$40*('THAM_SO_MOI'!$C$23*(E694/'THAM_SO_MOI'!$C$22)+'THAM_SO_MOI'!$C$24*(E694/'THAM_SO_MOI'!$C$22)^2-'THAM_SO_MOI'!$C$25*(E694/'THAM_SO_MOI'!$C$22)^3)</f>
        <v>89.45170359786445</v>
      </c>
      <c r="K694" s="75">
        <f>'THAM_SO_MOI'!$C$31*J694/E694</f>
        <v>428.6675392764228</v>
      </c>
      <c r="L694" s="75">
        <f>K694*'THAM_SO_MOI'!$C$53*'THAM_SO_MOI'!$C$17/'THAM_SO_MOI'!$C$26</f>
        <v>3759.41599681683</v>
      </c>
      <c r="M694" s="75">
        <f>'THAM_SO_MOI'!$C$15*'THAM_SO_MOI'!$C$16*F694^2</f>
        <v>1196.9170580547006</v>
      </c>
      <c r="N694" s="75">
        <f>'THAM_SO_MOI'!$C$12*I694</f>
        <v>1130.112</v>
      </c>
      <c r="O694" s="75">
        <f>M694+N694</f>
        <v>2327.0290580547007</v>
      </c>
      <c r="P694" s="75">
        <f>(MIN(L694,'THAM_SO_MOI'!$C$41)-O694)/('THAM_SO_MOI'!$C$11*H694)</f>
        <v>0.1695533781678657</v>
      </c>
      <c r="Q694" s="75">
        <f>IF(P694&gt;0,1/P694,NA())</f>
        <v>5.897847691421127</v>
      </c>
      <c r="R694" s="75">
        <f>F694-F693</f>
        <v>0.01760042735042333</v>
      </c>
      <c r="S694" s="75">
        <f>0.5*(Q693+Q694)*R694</f>
        <v>0.10373861407698216</v>
      </c>
      <c r="T694" s="75">
        <f>0.5*(F693*Q693+F694*Q694)*R694</f>
        <v>2.097590370243828</v>
      </c>
      <c r="U694" s="76">
        <f>U693+S694</f>
        <v>59.83557531013818</v>
      </c>
      <c r="V694" s="76">
        <f>V693+T694</f>
        <v>856.6499105266249</v>
      </c>
    </row>
    <row r="695" spans="1:22" ht="19" customHeight="1">
      <c r="A695" s="68" t="s">
        <v>362</v>
      </c>
      <c r="B695" s="74">
        <v>5</v>
      </c>
      <c r="C695" s="68" t="s">
        <v>363</v>
      </c>
      <c r="D695" s="68" t="s">
        <v>364</v>
      </c>
      <c r="E695" s="75">
        <f>60*F695*'THAM_SO_MOI'!$C$53/(2*PI()*'THAM_SO_MOI'!$C$26)</f>
        <v>1994.7985263157893</v>
      </c>
      <c r="F695" s="75">
        <f>'THAM_SO_MOI'!$E$53+('THAM_SO_MOI'!$C$14-'THAM_SO_MOI'!$E$53)*689/'THAM_SO_MOI'!$C$42</f>
        <v>20.246352564102565</v>
      </c>
      <c r="G695" s="75">
        <f>3.6*F695</f>
        <v>72.88686923076924</v>
      </c>
      <c r="H695" s="75">
        <f>'THAM_SO_MOI'!$D$53</f>
        <v>1.1</v>
      </c>
      <c r="I695" s="75">
        <f>IF(F695&gt;'THAM_SO_MOI'!$C$14,'THAM_SO_MOI'!$C$13*(1+F695^2/1500),'THAM_SO_MOI'!$C$13)</f>
        <v>0.015</v>
      </c>
      <c r="J695" s="75">
        <f>'THAM_SO_MOI'!$C$40*('THAM_SO_MOI'!$C$23*(E695/'THAM_SO_MOI'!$C$22)+'THAM_SO_MOI'!$C$24*(E695/'THAM_SO_MOI'!$C$22)^2-'THAM_SO_MOI'!$C$25*(E695/'THAM_SO_MOI'!$C$22)^3)</f>
        <v>89.53560215556973</v>
      </c>
      <c r="K695" s="75">
        <f>'THAM_SO_MOI'!$C$31*J695/E695</f>
        <v>428.6965992248361</v>
      </c>
      <c r="L695" s="75">
        <f>K695*'THAM_SO_MOI'!$C$53*'THAM_SO_MOI'!$C$17/'THAM_SO_MOI'!$C$26</f>
        <v>3759.6708526781263</v>
      </c>
      <c r="M695" s="75">
        <f>'THAM_SO_MOI'!$C$15*'THAM_SO_MOI'!$C$16*F695^2</f>
        <v>1199.000767038582</v>
      </c>
      <c r="N695" s="75">
        <f>'THAM_SO_MOI'!$C$12*I695</f>
        <v>1130.112</v>
      </c>
      <c r="O695" s="75">
        <f>M695+N695</f>
        <v>2329.112767038582</v>
      </c>
      <c r="P695" s="75">
        <f>(MIN(L695,'THAM_SO_MOI'!$C$41)-O695)/('THAM_SO_MOI'!$C$11*H695)</f>
        <v>0.16933689460695367</v>
      </c>
      <c r="Q695" s="75">
        <f>IF(P695&gt;0,1/P695,NA())</f>
        <v>5.90538761396972</v>
      </c>
      <c r="R695" s="75">
        <f>F695-F694</f>
        <v>0.017600427350430436</v>
      </c>
      <c r="S695" s="75">
        <f>0.5*(Q694+Q695)*R695</f>
        <v>0.1038709927462836</v>
      </c>
      <c r="T695" s="75">
        <f>0.5*(F694*Q694+F695*Q695)*R695</f>
        <v>2.1020952373137316</v>
      </c>
      <c r="U695" s="76">
        <f>U694+S695</f>
        <v>59.93944630288446</v>
      </c>
      <c r="V695" s="76">
        <f>V694+T695</f>
        <v>858.7520057639387</v>
      </c>
    </row>
    <row r="696" spans="1:22" ht="19" customHeight="1">
      <c r="A696" s="68" t="s">
        <v>362</v>
      </c>
      <c r="B696" s="74">
        <v>5</v>
      </c>
      <c r="C696" s="68" t="s">
        <v>363</v>
      </c>
      <c r="D696" s="68" t="s">
        <v>364</v>
      </c>
      <c r="E696" s="75">
        <f>60*F696*'THAM_SO_MOI'!$C$53/(2*PI()*'THAM_SO_MOI'!$C$26)</f>
        <v>1996.532631578947</v>
      </c>
      <c r="F696" s="75">
        <f>'THAM_SO_MOI'!$E$53+('THAM_SO_MOI'!$C$14-'THAM_SO_MOI'!$E$53)*690/'THAM_SO_MOI'!$C$42</f>
        <v>20.263952991452992</v>
      </c>
      <c r="G696" s="75">
        <f>3.6*F696</f>
        <v>72.95023076923077</v>
      </c>
      <c r="H696" s="75">
        <f>'THAM_SO_MOI'!$D$53</f>
        <v>1.1</v>
      </c>
      <c r="I696" s="75">
        <f>IF(F696&gt;'THAM_SO_MOI'!$C$14,'THAM_SO_MOI'!$C$13*(1+F696^2/1500),'THAM_SO_MOI'!$C$13)</f>
        <v>0.015</v>
      </c>
      <c r="J696" s="75">
        <f>'THAM_SO_MOI'!$C$40*('THAM_SO_MOI'!$C$23*(E696/'THAM_SO_MOI'!$C$22)+'THAM_SO_MOI'!$C$24*(E696/'THAM_SO_MOI'!$C$22)^2-'THAM_SO_MOI'!$C$25*(E696/'THAM_SO_MOI'!$C$22)^3)</f>
        <v>89.61945028204103</v>
      </c>
      <c r="K696" s="75">
        <f>'THAM_SO_MOI'!$C$31*J696/E696</f>
        <v>428.725367437624</v>
      </c>
      <c r="L696" s="75">
        <f>K696*'THAM_SO_MOI'!$C$53*'THAM_SO_MOI'!$C$17/'THAM_SO_MOI'!$C$26</f>
        <v>3759.9231500168453</v>
      </c>
      <c r="M696" s="75">
        <f>'THAM_SO_MOI'!$C$15*'THAM_SO_MOI'!$C$16*F696^2</f>
        <v>1201.086288206464</v>
      </c>
      <c r="N696" s="75">
        <f>'THAM_SO_MOI'!$C$12*I696</f>
        <v>1130.112</v>
      </c>
      <c r="O696" s="75">
        <f>M696+N696</f>
        <v>2331.198288206464</v>
      </c>
      <c r="P696" s="75">
        <f>(MIN(L696,'THAM_SO_MOI'!$C$41)-O696)/('THAM_SO_MOI'!$C$11*H696)</f>
        <v>0.1691198936802061</v>
      </c>
      <c r="Q696" s="75">
        <f>IF(P696&gt;0,1/P696,NA())</f>
        <v>5.912964928247472</v>
      </c>
      <c r="R696" s="75">
        <f>F696-F695</f>
        <v>0.017600427350426884</v>
      </c>
      <c r="S696" s="75">
        <f>0.5*(Q695+Q696)*R696</f>
        <v>0.10400402766051327</v>
      </c>
      <c r="T696" s="75">
        <f>0.5*(F695*Q695+F696*Q696)*R696</f>
        <v>2.1066180565836365</v>
      </c>
      <c r="U696" s="76">
        <f>U695+S696</f>
        <v>60.04345033054498</v>
      </c>
      <c r="V696" s="76">
        <f>V695+T696</f>
        <v>860.8586238205223</v>
      </c>
    </row>
    <row r="697" spans="1:22" ht="19" customHeight="1">
      <c r="A697" s="68" t="s">
        <v>362</v>
      </c>
      <c r="B697" s="74">
        <v>5</v>
      </c>
      <c r="C697" s="68" t="s">
        <v>363</v>
      </c>
      <c r="D697" s="68" t="s">
        <v>364</v>
      </c>
      <c r="E697" s="75">
        <f>60*F697*'THAM_SO_MOI'!$C$53/(2*PI()*'THAM_SO_MOI'!$C$26)</f>
        <v>1998.266736842105</v>
      </c>
      <c r="F697" s="75">
        <f>'THAM_SO_MOI'!$E$53+('THAM_SO_MOI'!$C$14-'THAM_SO_MOI'!$E$53)*691/'THAM_SO_MOI'!$C$42</f>
        <v>20.28155341880342</v>
      </c>
      <c r="G697" s="75">
        <f>3.6*F697</f>
        <v>73.0135923076923</v>
      </c>
      <c r="H697" s="75">
        <f>'THAM_SO_MOI'!$D$53</f>
        <v>1.1</v>
      </c>
      <c r="I697" s="75">
        <f>IF(F697&gt;'THAM_SO_MOI'!$C$14,'THAM_SO_MOI'!$C$13*(1+F697^2/1500),'THAM_SO_MOI'!$C$13)</f>
        <v>0.015</v>
      </c>
      <c r="J697" s="75">
        <f>'THAM_SO_MOI'!$C$40*('THAM_SO_MOI'!$C$23*(E697/'THAM_SO_MOI'!$C$22)+'THAM_SO_MOI'!$C$24*(E697/'THAM_SO_MOI'!$C$22)^2-'THAM_SO_MOI'!$C$25*(E697/'THAM_SO_MOI'!$C$22)^3)</f>
        <v>89.70324781837519</v>
      </c>
      <c r="K697" s="75">
        <f>'THAM_SO_MOI'!$C$31*J697/E697</f>
        <v>428.75384391478707</v>
      </c>
      <c r="L697" s="75">
        <f>K697*'THAM_SO_MOI'!$C$53*'THAM_SO_MOI'!$C$17/'THAM_SO_MOI'!$C$26</f>
        <v>3760.1728888329926</v>
      </c>
      <c r="M697" s="75">
        <f>'THAM_SO_MOI'!$C$15*'THAM_SO_MOI'!$C$16*F697^2</f>
        <v>1203.173621558347</v>
      </c>
      <c r="N697" s="75">
        <f>'THAM_SO_MOI'!$C$12*I697</f>
        <v>1130.112</v>
      </c>
      <c r="O697" s="75">
        <f>M697+N697</f>
        <v>2333.285621558347</v>
      </c>
      <c r="P697" s="75">
        <f>(MIN(L697,'THAM_SO_MOI'!$C$41)-O697)/('THAM_SO_MOI'!$C$11*H697)</f>
        <v>0.16890237538762376</v>
      </c>
      <c r="Q697" s="75">
        <f>IF(P697&gt;0,1/P697,NA())</f>
        <v>5.920579848004166</v>
      </c>
      <c r="R697" s="75">
        <f>F697-F696</f>
        <v>0.017600427350426884</v>
      </c>
      <c r="S697" s="75">
        <f>0.5*(Q696+Q697)*R697</f>
        <v>0.10413772256622027</v>
      </c>
      <c r="T697" s="75">
        <f>0.5*(F696*Q696+F697*Q697)*R697</f>
        <v>2.111158938657117</v>
      </c>
      <c r="U697" s="76">
        <f>U696+S697</f>
        <v>60.1475880531112</v>
      </c>
      <c r="V697" s="76">
        <f>V696+T697</f>
        <v>862.9697827591795</v>
      </c>
    </row>
    <row r="698" spans="1:22" ht="19" customHeight="1">
      <c r="A698" s="68" t="s">
        <v>362</v>
      </c>
      <c r="B698" s="74">
        <v>5</v>
      </c>
      <c r="C698" s="68" t="s">
        <v>363</v>
      </c>
      <c r="D698" s="68" t="s">
        <v>364</v>
      </c>
      <c r="E698" s="75">
        <f>60*F698*'THAM_SO_MOI'!$C$53/(2*PI()*'THAM_SO_MOI'!$C$26)</f>
        <v>2000.000842105263</v>
      </c>
      <c r="F698" s="75">
        <f>'THAM_SO_MOI'!$E$53+('THAM_SO_MOI'!$C$14-'THAM_SO_MOI'!$E$53)*692/'THAM_SO_MOI'!$C$42</f>
        <v>20.299153846153846</v>
      </c>
      <c r="G698" s="75">
        <f>3.6*F698</f>
        <v>73.07695384615384</v>
      </c>
      <c r="H698" s="75">
        <f>'THAM_SO_MOI'!$D$53</f>
        <v>1.1</v>
      </c>
      <c r="I698" s="75">
        <f>IF(F698&gt;'THAM_SO_MOI'!$C$14,'THAM_SO_MOI'!$C$13*(1+F698^2/1500),'THAM_SO_MOI'!$C$13)</f>
        <v>0.015</v>
      </c>
      <c r="J698" s="75">
        <f>'THAM_SO_MOI'!$C$40*('THAM_SO_MOI'!$C$23*(E698/'THAM_SO_MOI'!$C$22)+'THAM_SO_MOI'!$C$24*(E698/'THAM_SO_MOI'!$C$22)^2-'THAM_SO_MOI'!$C$25*(E698/'THAM_SO_MOI'!$C$22)^3)</f>
        <v>89.78699460566892</v>
      </c>
      <c r="K698" s="75">
        <f>'THAM_SO_MOI'!$C$31*J698/E698</f>
        <v>428.7820286563252</v>
      </c>
      <c r="L698" s="75">
        <f>K698*'THAM_SO_MOI'!$C$53*'THAM_SO_MOI'!$C$17/'THAM_SO_MOI'!$C$26</f>
        <v>3760.4200691265687</v>
      </c>
      <c r="M698" s="75">
        <f>'THAM_SO_MOI'!$C$15*'THAM_SO_MOI'!$C$16*F698^2</f>
        <v>1205.2627670942309</v>
      </c>
      <c r="N698" s="75">
        <f>'THAM_SO_MOI'!$C$12*I698</f>
        <v>1130.112</v>
      </c>
      <c r="O698" s="75">
        <f>M698+N698</f>
        <v>2335.374767094231</v>
      </c>
      <c r="P698" s="75">
        <f>(MIN(L698,'THAM_SO_MOI'!$C$41)-O698)/('THAM_SO_MOI'!$C$11*H698)</f>
        <v>0.16868433972920663</v>
      </c>
      <c r="Q698" s="75">
        <f>IF(P698&gt;0,1/P698,NA())</f>
        <v>5.928232588782848</v>
      </c>
      <c r="R698" s="75">
        <f>F698-F697</f>
        <v>0.017600427350426884</v>
      </c>
      <c r="S698" s="75">
        <f>0.5*(Q697+Q698)*R698</f>
        <v>0.10427208124125219</v>
      </c>
      <c r="T698" s="75">
        <f>0.5*(F697*Q697+F698*Q698)*R698</f>
        <v>2.115717995036574</v>
      </c>
      <c r="U698" s="76">
        <f>U697+S698</f>
        <v>60.251860134352455</v>
      </c>
      <c r="V698" s="76">
        <f>V697+T698</f>
        <v>865.085500754216</v>
      </c>
    </row>
    <row r="699" spans="1:22" ht="19" customHeight="1">
      <c r="A699" s="68" t="s">
        <v>362</v>
      </c>
      <c r="B699" s="74">
        <v>5</v>
      </c>
      <c r="C699" s="68" t="s">
        <v>363</v>
      </c>
      <c r="D699" s="68" t="s">
        <v>364</v>
      </c>
      <c r="E699" s="75">
        <f>60*F699*'THAM_SO_MOI'!$C$53/(2*PI()*'THAM_SO_MOI'!$C$26)</f>
        <v>2001.7349473684205</v>
      </c>
      <c r="F699" s="75">
        <f>'THAM_SO_MOI'!$E$53+('THAM_SO_MOI'!$C$14-'THAM_SO_MOI'!$E$53)*693/'THAM_SO_MOI'!$C$42</f>
        <v>20.316754273504273</v>
      </c>
      <c r="G699" s="75">
        <f>3.6*F699</f>
        <v>73.14031538461539</v>
      </c>
      <c r="H699" s="75">
        <f>'THAM_SO_MOI'!$D$53</f>
        <v>1.1</v>
      </c>
      <c r="I699" s="75">
        <f>IF(F699&gt;'THAM_SO_MOI'!$C$14,'THAM_SO_MOI'!$C$13*(1+F699^2/1500),'THAM_SO_MOI'!$C$13)</f>
        <v>0.015</v>
      </c>
      <c r="J699" s="75">
        <f>'THAM_SO_MOI'!$C$40*('THAM_SO_MOI'!$C$23*(E699/'THAM_SO_MOI'!$C$22)+'THAM_SO_MOI'!$C$24*(E699/'THAM_SO_MOI'!$C$22)^2-'THAM_SO_MOI'!$C$25*(E699/'THAM_SO_MOI'!$C$22)^3)</f>
        <v>89.87069048501888</v>
      </c>
      <c r="K699" s="75">
        <f>'THAM_SO_MOI'!$C$31*J699/E699</f>
        <v>428.80992166223825</v>
      </c>
      <c r="L699" s="75">
        <f>K699*'THAM_SO_MOI'!$C$53*'THAM_SO_MOI'!$C$17/'THAM_SO_MOI'!$C$26</f>
        <v>3760.66469089757</v>
      </c>
      <c r="M699" s="75">
        <f>'THAM_SO_MOI'!$C$15*'THAM_SO_MOI'!$C$16*F699^2</f>
        <v>1207.353724814116</v>
      </c>
      <c r="N699" s="75">
        <f>'THAM_SO_MOI'!$C$12*I699</f>
        <v>1130.112</v>
      </c>
      <c r="O699" s="75">
        <f>M699+N699</f>
        <v>2337.465724814116</v>
      </c>
      <c r="P699" s="75">
        <f>(MIN(L699,'THAM_SO_MOI'!$C$41)-O699)/('THAM_SO_MOI'!$C$11*H699)</f>
        <v>0.1684657867049543</v>
      </c>
      <c r="Q699" s="75">
        <f>IF(P699&gt;0,1/P699,NA())</f>
        <v>5.935923367938018</v>
      </c>
      <c r="R699" s="75">
        <f>F699-F698</f>
        <v>0.017600427350426884</v>
      </c>
      <c r="S699" s="75">
        <f>0.5*(Q698+Q699)*R699</f>
        <v>0.10440710749519996</v>
      </c>
      <c r="T699" s="75">
        <f>0.5*(F698*Q698+F699*Q699)*R699</f>
        <v>2.120295338135016</v>
      </c>
      <c r="U699" s="76">
        <f>U698+S699</f>
        <v>60.356267241847654</v>
      </c>
      <c r="V699" s="76">
        <f>V698+T699</f>
        <v>867.2057960923511</v>
      </c>
    </row>
    <row r="700" spans="1:22" ht="19" customHeight="1">
      <c r="A700" s="68" t="s">
        <v>362</v>
      </c>
      <c r="B700" s="74">
        <v>5</v>
      </c>
      <c r="C700" s="68" t="s">
        <v>363</v>
      </c>
      <c r="D700" s="68" t="s">
        <v>364</v>
      </c>
      <c r="E700" s="75">
        <f>60*F700*'THAM_SO_MOI'!$C$53/(2*PI()*'THAM_SO_MOI'!$C$26)</f>
        <v>2003.4690526315785</v>
      </c>
      <c r="F700" s="75">
        <f>'THAM_SO_MOI'!$E$53+('THAM_SO_MOI'!$C$14-'THAM_SO_MOI'!$E$53)*694/'THAM_SO_MOI'!$C$42</f>
        <v>20.3343547008547</v>
      </c>
      <c r="G700" s="75">
        <f>3.6*F700</f>
        <v>73.20367692307693</v>
      </c>
      <c r="H700" s="75">
        <f>'THAM_SO_MOI'!$D$53</f>
        <v>1.1</v>
      </c>
      <c r="I700" s="75">
        <f>IF(F700&gt;'THAM_SO_MOI'!$C$14,'THAM_SO_MOI'!$C$13*(1+F700^2/1500),'THAM_SO_MOI'!$C$13)</f>
        <v>0.015</v>
      </c>
      <c r="J700" s="75">
        <f>'THAM_SO_MOI'!$C$40*('THAM_SO_MOI'!$C$23*(E700/'THAM_SO_MOI'!$C$22)+'THAM_SO_MOI'!$C$24*(E700/'THAM_SO_MOI'!$C$22)^2-'THAM_SO_MOI'!$C$25*(E700/'THAM_SO_MOI'!$C$22)^3)</f>
        <v>89.95433529752187</v>
      </c>
      <c r="K700" s="75">
        <f>'THAM_SO_MOI'!$C$31*J700/E700</f>
        <v>428.83752293252627</v>
      </c>
      <c r="L700" s="75">
        <f>K700*'THAM_SO_MOI'!$C$53*'THAM_SO_MOI'!$C$17/'THAM_SO_MOI'!$C$26</f>
        <v>3760.9067541459985</v>
      </c>
      <c r="M700" s="75">
        <f>'THAM_SO_MOI'!$C$15*'THAM_SO_MOI'!$C$16*F700^2</f>
        <v>1209.4464947180022</v>
      </c>
      <c r="N700" s="75">
        <f>'THAM_SO_MOI'!$C$12*I700</f>
        <v>1130.112</v>
      </c>
      <c r="O700" s="75">
        <f>M700+N700</f>
        <v>2339.5584947180023</v>
      </c>
      <c r="P700" s="75">
        <f>(MIN(L700,'THAM_SO_MOI'!$C$41)-O700)/('THAM_SO_MOI'!$C$11*H700)</f>
        <v>0.16824671631486698</v>
      </c>
      <c r="Q700" s="75">
        <f>IF(P700&gt;0,1/P700,NA())</f>
        <v>5.943652404654009</v>
      </c>
      <c r="R700" s="75">
        <f>F700-F699</f>
        <v>0.017600427350426884</v>
      </c>
      <c r="S700" s="75">
        <f>0.5*(Q699+Q700)*R700</f>
        <v>0.10454280516969865</v>
      </c>
      <c r="T700" s="75">
        <f>0.5*(F699*Q699+F700*Q700)*R700</f>
        <v>2.1248910812849693</v>
      </c>
      <c r="U700" s="76">
        <f>U699+S700</f>
        <v>60.460810047017354</v>
      </c>
      <c r="V700" s="76">
        <f>V699+T700</f>
        <v>869.3306871736361</v>
      </c>
    </row>
    <row r="701" spans="1:22" ht="19" customHeight="1">
      <c r="A701" s="68" t="s">
        <v>362</v>
      </c>
      <c r="B701" s="74">
        <v>5</v>
      </c>
      <c r="C701" s="68" t="s">
        <v>363</v>
      </c>
      <c r="D701" s="68" t="s">
        <v>364</v>
      </c>
      <c r="E701" s="75">
        <f>60*F701*'THAM_SO_MOI'!$C$53/(2*PI()*'THAM_SO_MOI'!$C$26)</f>
        <v>2005.2031578947363</v>
      </c>
      <c r="F701" s="75">
        <f>'THAM_SO_MOI'!$E$53+('THAM_SO_MOI'!$C$14-'THAM_SO_MOI'!$E$53)*695/'THAM_SO_MOI'!$C$42</f>
        <v>20.351955128205127</v>
      </c>
      <c r="G701" s="75">
        <f>3.6*F701</f>
        <v>73.26703846153846</v>
      </c>
      <c r="H701" s="75">
        <f>'THAM_SO_MOI'!$D$53</f>
        <v>1.1</v>
      </c>
      <c r="I701" s="75">
        <f>IF(F701&gt;'THAM_SO_MOI'!$C$14,'THAM_SO_MOI'!$C$13*(1+F701^2/1500),'THAM_SO_MOI'!$C$13)</f>
        <v>0.015</v>
      </c>
      <c r="J701" s="75">
        <f>'THAM_SO_MOI'!$C$40*('THAM_SO_MOI'!$C$23*(E701/'THAM_SO_MOI'!$C$22)+'THAM_SO_MOI'!$C$24*(E701/'THAM_SO_MOI'!$C$22)^2-'THAM_SO_MOI'!$C$25*(E701/'THAM_SO_MOI'!$C$22)^3)</f>
        <v>90.03792888427449</v>
      </c>
      <c r="K701" s="75">
        <f>'THAM_SO_MOI'!$C$31*J701/E701</f>
        <v>428.864832467189</v>
      </c>
      <c r="L701" s="75">
        <f>K701*'THAM_SO_MOI'!$C$53*'THAM_SO_MOI'!$C$17/'THAM_SO_MOI'!$C$26</f>
        <v>3761.1462588718523</v>
      </c>
      <c r="M701" s="75">
        <f>'THAM_SO_MOI'!$C$15*'THAM_SO_MOI'!$C$16*F701^2</f>
        <v>1211.5410768058894</v>
      </c>
      <c r="N701" s="75">
        <f>'THAM_SO_MOI'!$C$12*I701</f>
        <v>1130.112</v>
      </c>
      <c r="O701" s="75">
        <f>M701+N701</f>
        <v>2341.653076805889</v>
      </c>
      <c r="P701" s="75">
        <f>(MIN(L701,'THAM_SO_MOI'!$C$41)-O701)/('THAM_SO_MOI'!$C$11*H701)</f>
        <v>0.1680271285589445</v>
      </c>
      <c r="Q701" s="75">
        <f>IF(P701&gt;0,1/P701,NA())</f>
        <v>5.951419919963677</v>
      </c>
      <c r="R701" s="75">
        <f>F701-F700</f>
        <v>0.017600427350426884</v>
      </c>
      <c r="S701" s="75">
        <f>0.5*(Q700+Q701)*R701</f>
        <v>0.1046791781387535</v>
      </c>
      <c r="T701" s="75">
        <f>0.5*(F700*Q700+F701*Q701)*R701</f>
        <v>2.129505338747933</v>
      </c>
      <c r="U701" s="76">
        <f>U700+S701</f>
        <v>60.56548922515611</v>
      </c>
      <c r="V701" s="76">
        <f>V700+T701</f>
        <v>871.460192512384</v>
      </c>
    </row>
    <row r="702" spans="1:22" ht="19" customHeight="1">
      <c r="A702" s="68" t="s">
        <v>362</v>
      </c>
      <c r="B702" s="74">
        <v>5</v>
      </c>
      <c r="C702" s="68" t="s">
        <v>363</v>
      </c>
      <c r="D702" s="68" t="s">
        <v>364</v>
      </c>
      <c r="E702" s="75">
        <f>60*F702*'THAM_SO_MOI'!$C$53/(2*PI()*'THAM_SO_MOI'!$C$26)</f>
        <v>2006.9372631578944</v>
      </c>
      <c r="F702" s="75">
        <f>'THAM_SO_MOI'!$E$53+('THAM_SO_MOI'!$C$14-'THAM_SO_MOI'!$E$53)*696/'THAM_SO_MOI'!$C$42</f>
        <v>20.369555555555557</v>
      </c>
      <c r="G702" s="75">
        <f>3.6*F702</f>
        <v>73.33040000000001</v>
      </c>
      <c r="H702" s="75">
        <f>'THAM_SO_MOI'!$D$53</f>
        <v>1.1</v>
      </c>
      <c r="I702" s="75">
        <f>IF(F702&gt;'THAM_SO_MOI'!$C$14,'THAM_SO_MOI'!$C$13*(1+F702^2/1500),'THAM_SO_MOI'!$C$13)</f>
        <v>0.015</v>
      </c>
      <c r="J702" s="75">
        <f>'THAM_SO_MOI'!$C$40*('THAM_SO_MOI'!$C$23*(E702/'THAM_SO_MOI'!$C$22)+'THAM_SO_MOI'!$C$24*(E702/'THAM_SO_MOI'!$C$22)^2-'THAM_SO_MOI'!$C$25*(E702/'THAM_SO_MOI'!$C$22)^3)</f>
        <v>90.12147108637363</v>
      </c>
      <c r="K702" s="75">
        <f>'THAM_SO_MOI'!$C$31*J702/E702</f>
        <v>428.89185026622704</v>
      </c>
      <c r="L702" s="75">
        <f>K702*'THAM_SO_MOI'!$C$53*'THAM_SO_MOI'!$C$17/'THAM_SO_MOI'!$C$26</f>
        <v>3761.3832050751357</v>
      </c>
      <c r="M702" s="75">
        <f>'THAM_SO_MOI'!$C$15*'THAM_SO_MOI'!$C$16*F702^2</f>
        <v>1213.637471077778</v>
      </c>
      <c r="N702" s="75">
        <f>'THAM_SO_MOI'!$C$12*I702</f>
        <v>1130.112</v>
      </c>
      <c r="O702" s="75">
        <f>M702+N702</f>
        <v>2343.7494710777783</v>
      </c>
      <c r="P702" s="75">
        <f>(MIN(L702,'THAM_SO_MOI'!$C$41)-O702)/('THAM_SO_MOI'!$C$11*H702)</f>
        <v>0.16780702343718726</v>
      </c>
      <c r="Q702" s="75">
        <f>IF(P702&gt;0,1/P702,NA())</f>
        <v>5.959226136767246</v>
      </c>
      <c r="R702" s="75">
        <f>F702-F701</f>
        <v>0.017600427350430436</v>
      </c>
      <c r="S702" s="75">
        <f>0.5*(Q701+Q702)*R702</f>
        <v>0.10481623030909168</v>
      </c>
      <c r="T702" s="75">
        <f>0.5*(F701*Q701+F702*Q702)*R702</f>
        <v>2.134138225724385</v>
      </c>
      <c r="U702" s="76">
        <f>U701+S702</f>
        <v>60.6703054554652</v>
      </c>
      <c r="V702" s="76">
        <f>V701+T702</f>
        <v>873.5943307381084</v>
      </c>
    </row>
    <row r="703" spans="1:22" ht="19" customHeight="1">
      <c r="A703" s="68" t="s">
        <v>362</v>
      </c>
      <c r="B703" s="74">
        <v>5</v>
      </c>
      <c r="C703" s="68" t="s">
        <v>363</v>
      </c>
      <c r="D703" s="68" t="s">
        <v>364</v>
      </c>
      <c r="E703" s="75">
        <f>60*F703*'THAM_SO_MOI'!$C$53/(2*PI()*'THAM_SO_MOI'!$C$26)</f>
        <v>2008.6713684210517</v>
      </c>
      <c r="F703" s="75">
        <f>'THAM_SO_MOI'!$E$53+('THAM_SO_MOI'!$C$14-'THAM_SO_MOI'!$E$53)*697/'THAM_SO_MOI'!$C$42</f>
        <v>20.38715598290598</v>
      </c>
      <c r="G703" s="75">
        <f>3.6*F703</f>
        <v>73.39376153846153</v>
      </c>
      <c r="H703" s="75">
        <f>'THAM_SO_MOI'!$D$53</f>
        <v>1.1</v>
      </c>
      <c r="I703" s="75">
        <f>IF(F703&gt;'THAM_SO_MOI'!$C$14,'THAM_SO_MOI'!$C$13*(1+F703^2/1500),'THAM_SO_MOI'!$C$13)</f>
        <v>0.015</v>
      </c>
      <c r="J703" s="75">
        <f>'THAM_SO_MOI'!$C$40*('THAM_SO_MOI'!$C$23*(E703/'THAM_SO_MOI'!$C$22)+'THAM_SO_MOI'!$C$24*(E703/'THAM_SO_MOI'!$C$22)^2-'THAM_SO_MOI'!$C$25*(E703/'THAM_SO_MOI'!$C$22)^3)</f>
        <v>90.20496174491585</v>
      </c>
      <c r="K703" s="75">
        <f>'THAM_SO_MOI'!$C$31*J703/E703</f>
        <v>428.91857632963985</v>
      </c>
      <c r="L703" s="75">
        <f>K703*'THAM_SO_MOI'!$C$53*'THAM_SO_MOI'!$C$17/'THAM_SO_MOI'!$C$26</f>
        <v>3761.6175927558447</v>
      </c>
      <c r="M703" s="75">
        <f>'THAM_SO_MOI'!$C$15*'THAM_SO_MOI'!$C$16*F703^2</f>
        <v>1215.735677533667</v>
      </c>
      <c r="N703" s="75">
        <f>'THAM_SO_MOI'!$C$12*I703</f>
        <v>1130.112</v>
      </c>
      <c r="O703" s="75">
        <f>M703+N703</f>
        <v>2345.847677533667</v>
      </c>
      <c r="P703" s="75">
        <f>(MIN(L703,'THAM_SO_MOI'!$C$41)-O703)/('THAM_SO_MOI'!$C$11*H703)</f>
        <v>0.16758640094959487</v>
      </c>
      <c r="Q703" s="75">
        <f>IF(P703&gt;0,1/P703,NA())</f>
        <v>5.967071279851466</v>
      </c>
      <c r="R703" s="75">
        <f>F703-F702</f>
        <v>0.01760042735042333</v>
      </c>
      <c r="S703" s="75">
        <f>0.5*(Q702+Q703)*R703</f>
        <v>0.10495396562036956</v>
      </c>
      <c r="T703" s="75">
        <f>0.5*(F702*Q702+F703*Q703)*R703</f>
        <v>2.1387898583608895</v>
      </c>
      <c r="U703" s="76">
        <f>U702+S703</f>
        <v>60.775259421085565</v>
      </c>
      <c r="V703" s="76">
        <f>V702+T703</f>
        <v>875.7331205964692</v>
      </c>
    </row>
    <row r="704" spans="1:22" ht="19" customHeight="1">
      <c r="A704" s="68" t="s">
        <v>362</v>
      </c>
      <c r="B704" s="74">
        <v>5</v>
      </c>
      <c r="C704" s="68" t="s">
        <v>363</v>
      </c>
      <c r="D704" s="68" t="s">
        <v>364</v>
      </c>
      <c r="E704" s="75">
        <f>60*F704*'THAM_SO_MOI'!$C$53/(2*PI()*'THAM_SO_MOI'!$C$26)</f>
        <v>2010.4054736842102</v>
      </c>
      <c r="F704" s="75">
        <f>'THAM_SO_MOI'!$E$53+('THAM_SO_MOI'!$C$14-'THAM_SO_MOI'!$E$53)*698/'THAM_SO_MOI'!$C$42</f>
        <v>20.40475641025641</v>
      </c>
      <c r="G704" s="75">
        <f>3.6*F704</f>
        <v>73.45712307692308</v>
      </c>
      <c r="H704" s="75">
        <f>'THAM_SO_MOI'!$D$53</f>
        <v>1.1</v>
      </c>
      <c r="I704" s="75">
        <f>IF(F704&gt;'THAM_SO_MOI'!$C$14,'THAM_SO_MOI'!$C$13*(1+F704^2/1500),'THAM_SO_MOI'!$C$13)</f>
        <v>0.015</v>
      </c>
      <c r="J704" s="75">
        <f>'THAM_SO_MOI'!$C$40*('THAM_SO_MOI'!$C$23*(E704/'THAM_SO_MOI'!$C$22)+'THAM_SO_MOI'!$C$24*(E704/'THAM_SO_MOI'!$C$22)^2-'THAM_SO_MOI'!$C$25*(E704/'THAM_SO_MOI'!$C$22)^3)</f>
        <v>90.28840070099798</v>
      </c>
      <c r="K704" s="75">
        <f>'THAM_SO_MOI'!$C$31*J704/E704</f>
        <v>428.94501065742764</v>
      </c>
      <c r="L704" s="75">
        <f>K704*'THAM_SO_MOI'!$C$53*'THAM_SO_MOI'!$C$17/'THAM_SO_MOI'!$C$26</f>
        <v>3761.84942191398</v>
      </c>
      <c r="M704" s="75">
        <f>'THAM_SO_MOI'!$C$15*'THAM_SO_MOI'!$C$16*F704^2</f>
        <v>1217.8356961735578</v>
      </c>
      <c r="N704" s="75">
        <f>'THAM_SO_MOI'!$C$12*I704</f>
        <v>1130.112</v>
      </c>
      <c r="O704" s="75">
        <f>M704+N704</f>
        <v>2347.947696173558</v>
      </c>
      <c r="P704" s="75">
        <f>(MIN(L704,'THAM_SO_MOI'!$C$41)-O704)/('THAM_SO_MOI'!$C$11*H704)</f>
        <v>0.1673652610961674</v>
      </c>
      <c r="Q704" s="75">
        <f>IF(P704&gt;0,1/P704,NA())</f>
        <v>5.974955575908934</v>
      </c>
      <c r="R704" s="75">
        <f>F704-F703</f>
        <v>0.017600427350430436</v>
      </c>
      <c r="S704" s="75">
        <f>0.5*(Q703+Q704)*R704</f>
        <v>0.10509238804585007</v>
      </c>
      <c r="T704" s="75">
        <f>0.5*(F703*Q703+F704*Q704)*R704</f>
        <v>2.143460353766809</v>
      </c>
      <c r="U704" s="76">
        <f>U703+S704</f>
        <v>60.88035180913141</v>
      </c>
      <c r="V704" s="76">
        <f>V703+T704</f>
        <v>877.8765809502361</v>
      </c>
    </row>
    <row r="705" spans="1:22" ht="19" customHeight="1">
      <c r="A705" s="68" t="s">
        <v>362</v>
      </c>
      <c r="B705" s="74">
        <v>5</v>
      </c>
      <c r="C705" s="68" t="s">
        <v>363</v>
      </c>
      <c r="D705" s="68" t="s">
        <v>364</v>
      </c>
      <c r="E705" s="75">
        <f>60*F705*'THAM_SO_MOI'!$C$53/(2*PI()*'THAM_SO_MOI'!$C$26)</f>
        <v>2012.1395789473677</v>
      </c>
      <c r="F705" s="75">
        <f>'THAM_SO_MOI'!$E$53+('THAM_SO_MOI'!$C$14-'THAM_SO_MOI'!$E$53)*699/'THAM_SO_MOI'!$C$42</f>
        <v>20.422356837606834</v>
      </c>
      <c r="G705" s="75">
        <f>3.6*F705</f>
        <v>73.5204846153846</v>
      </c>
      <c r="H705" s="75">
        <f>'THAM_SO_MOI'!$D$53</f>
        <v>1.1</v>
      </c>
      <c r="I705" s="75">
        <f>IF(F705&gt;'THAM_SO_MOI'!$C$14,'THAM_SO_MOI'!$C$13*(1+F705^2/1500),'THAM_SO_MOI'!$C$13)</f>
        <v>0.015</v>
      </c>
      <c r="J705" s="75">
        <f>'THAM_SO_MOI'!$C$40*('THAM_SO_MOI'!$C$23*(E705/'THAM_SO_MOI'!$C$22)+'THAM_SO_MOI'!$C$24*(E705/'THAM_SO_MOI'!$C$22)^2-'THAM_SO_MOI'!$C$25*(E705/'THAM_SO_MOI'!$C$22)^3)</f>
        <v>90.3717877957167</v>
      </c>
      <c r="K705" s="75">
        <f>'THAM_SO_MOI'!$C$31*J705/E705</f>
        <v>428.97115324959054</v>
      </c>
      <c r="L705" s="75">
        <f>K705*'THAM_SO_MOI'!$C$53*'THAM_SO_MOI'!$C$17/'THAM_SO_MOI'!$C$26</f>
        <v>3762.0786925495436</v>
      </c>
      <c r="M705" s="75">
        <f>'THAM_SO_MOI'!$C$15*'THAM_SO_MOI'!$C$16*F705^2</f>
        <v>1219.937526997449</v>
      </c>
      <c r="N705" s="75">
        <f>'THAM_SO_MOI'!$C$12*I705</f>
        <v>1130.112</v>
      </c>
      <c r="O705" s="75">
        <f>M705+N705</f>
        <v>2350.049526997449</v>
      </c>
      <c r="P705" s="75">
        <f>(MIN(L705,'THAM_SO_MOI'!$C$41)-O705)/('THAM_SO_MOI'!$C$11*H705)</f>
        <v>0.16714360387690513</v>
      </c>
      <c r="Q705" s="75">
        <f>IF(P705&gt;0,1/P705,NA())</f>
        <v>5.982879253557687</v>
      </c>
      <c r="R705" s="75">
        <f>F705-F704</f>
        <v>0.01760042735042333</v>
      </c>
      <c r="S705" s="75">
        <f>0.5*(Q704+Q705)*R705</f>
        <v>0.10523150159219452</v>
      </c>
      <c r="T705" s="75">
        <f>0.5*(F704*Q704+F705*Q705)*R705</f>
        <v>2.1481498300130095</v>
      </c>
      <c r="U705" s="76">
        <f>U704+S705</f>
        <v>60.985583310723605</v>
      </c>
      <c r="V705" s="76">
        <f>V704+T705</f>
        <v>880.0247307802491</v>
      </c>
    </row>
    <row r="706" spans="1:22" ht="19" customHeight="1">
      <c r="A706" s="68" t="s">
        <v>362</v>
      </c>
      <c r="B706" s="74">
        <v>5</v>
      </c>
      <c r="C706" s="68" t="s">
        <v>363</v>
      </c>
      <c r="D706" s="68" t="s">
        <v>364</v>
      </c>
      <c r="E706" s="75">
        <f>60*F706*'THAM_SO_MOI'!$C$53/(2*PI()*'THAM_SO_MOI'!$C$26)</f>
        <v>2013.8736842105257</v>
      </c>
      <c r="F706" s="75">
        <f>'THAM_SO_MOI'!$E$53+('THAM_SO_MOI'!$C$14-'THAM_SO_MOI'!$E$53)*700/'THAM_SO_MOI'!$C$42</f>
        <v>20.439957264957265</v>
      </c>
      <c r="G706" s="75">
        <f>3.6*F706</f>
        <v>73.58384615384615</v>
      </c>
      <c r="H706" s="75">
        <f>'THAM_SO_MOI'!$D$53</f>
        <v>1.1</v>
      </c>
      <c r="I706" s="75">
        <f>IF(F706&gt;'THAM_SO_MOI'!$C$14,'THAM_SO_MOI'!$C$13*(1+F706^2/1500),'THAM_SO_MOI'!$C$13)</f>
        <v>0.015</v>
      </c>
      <c r="J706" s="75">
        <f>'THAM_SO_MOI'!$C$40*('THAM_SO_MOI'!$C$23*(E706/'THAM_SO_MOI'!$C$22)+'THAM_SO_MOI'!$C$24*(E706/'THAM_SO_MOI'!$C$22)^2-'THAM_SO_MOI'!$C$25*(E706/'THAM_SO_MOI'!$C$22)^3)</f>
        <v>90.45512287016874</v>
      </c>
      <c r="K706" s="75">
        <f>'THAM_SO_MOI'!$C$31*J706/E706</f>
        <v>428.99700410612826</v>
      </c>
      <c r="L706" s="75">
        <f>K706*'THAM_SO_MOI'!$C$53*'THAM_SO_MOI'!$C$17/'THAM_SO_MOI'!$C$26</f>
        <v>3762.305404662533</v>
      </c>
      <c r="M706" s="75">
        <f>'THAM_SO_MOI'!$C$15*'THAM_SO_MOI'!$C$16*F706^2</f>
        <v>1222.0411700053419</v>
      </c>
      <c r="N706" s="75">
        <f>'THAM_SO_MOI'!$C$12*I706</f>
        <v>1130.112</v>
      </c>
      <c r="O706" s="75">
        <f>M706+N706</f>
        <v>2352.153170005342</v>
      </c>
      <c r="P706" s="75">
        <f>(MIN(L706,'THAM_SO_MOI'!$C$41)-O706)/('THAM_SO_MOI'!$C$11*H706)</f>
        <v>0.16692142929180764</v>
      </c>
      <c r="Q706" s="75">
        <f>IF(P706&gt;0,1/P706,NA())</f>
        <v>5.990842543361082</v>
      </c>
      <c r="R706" s="75">
        <f>F706-F705</f>
        <v>0.017600427350430436</v>
      </c>
      <c r="S706" s="75">
        <f>0.5*(Q705+Q706)*R706</f>
        <v>0.1053713103004671</v>
      </c>
      <c r="T706" s="75">
        <f>0.5*(F705*Q705+F706*Q706)*R706</f>
        <v>2.1528584061553273</v>
      </c>
      <c r="U706" s="76">
        <f>U705+S706</f>
        <v>61.090954621024075</v>
      </c>
      <c r="V706" s="76">
        <f>V705+T706</f>
        <v>882.1775891864045</v>
      </c>
    </row>
    <row r="707" spans="1:22" ht="19" customHeight="1">
      <c r="A707" s="68" t="s">
        <v>362</v>
      </c>
      <c r="B707" s="74">
        <v>5</v>
      </c>
      <c r="C707" s="68" t="s">
        <v>363</v>
      </c>
      <c r="D707" s="68" t="s">
        <v>364</v>
      </c>
      <c r="E707" s="75">
        <f>60*F707*'THAM_SO_MOI'!$C$53/(2*PI()*'THAM_SO_MOI'!$C$26)</f>
        <v>2015.6077894736836</v>
      </c>
      <c r="F707" s="75">
        <f>'THAM_SO_MOI'!$E$53+('THAM_SO_MOI'!$C$14-'THAM_SO_MOI'!$E$53)*701/'THAM_SO_MOI'!$C$42</f>
        <v>20.45755769230769</v>
      </c>
      <c r="G707" s="75">
        <f>3.6*F707</f>
        <v>73.64720769230769</v>
      </c>
      <c r="H707" s="75">
        <f>'THAM_SO_MOI'!$D$53</f>
        <v>1.1</v>
      </c>
      <c r="I707" s="75">
        <f>IF(F707&gt;'THAM_SO_MOI'!$C$14,'THAM_SO_MOI'!$C$13*(1+F707^2/1500),'THAM_SO_MOI'!$C$13)</f>
        <v>0.015</v>
      </c>
      <c r="J707" s="75">
        <f>'THAM_SO_MOI'!$C$40*('THAM_SO_MOI'!$C$23*(E707/'THAM_SO_MOI'!$C$22)+'THAM_SO_MOI'!$C$24*(E707/'THAM_SO_MOI'!$C$22)^2-'THAM_SO_MOI'!$C$25*(E707/'THAM_SO_MOI'!$C$22)^3)</f>
        <v>90.5384057654508</v>
      </c>
      <c r="K707" s="75">
        <f>'THAM_SO_MOI'!$C$31*J707/E707</f>
        <v>429.022563227041</v>
      </c>
      <c r="L707" s="75">
        <f>K707*'THAM_SO_MOI'!$C$53*'THAM_SO_MOI'!$C$17/'THAM_SO_MOI'!$C$26</f>
        <v>3762.5295582529498</v>
      </c>
      <c r="M707" s="75">
        <f>'THAM_SO_MOI'!$C$15*'THAM_SO_MOI'!$C$16*F707^2</f>
        <v>1224.1466251972356</v>
      </c>
      <c r="N707" s="75">
        <f>'THAM_SO_MOI'!$C$12*I707</f>
        <v>1130.112</v>
      </c>
      <c r="O707" s="75">
        <f>M707+N707</f>
        <v>2354.2586251972357</v>
      </c>
      <c r="P707" s="75">
        <f>(MIN(L707,'THAM_SO_MOI'!$C$41)-O707)/('THAM_SO_MOI'!$C$11*H707)</f>
        <v>0.16669873734087526</v>
      </c>
      <c r="Q707" s="75">
        <f>IF(P707&gt;0,1/P707,NA())</f>
        <v>5.998845677847829</v>
      </c>
      <c r="R707" s="75">
        <f>F707-F706</f>
        <v>0.017600427350426884</v>
      </c>
      <c r="S707" s="75">
        <f>0.5*(Q706+Q707)*R707</f>
        <v>0.1055118182458282</v>
      </c>
      <c r="T707" s="75">
        <f>0.5*(F706*Q706+F707*Q707)*R707</f>
        <v>2.157586202231322</v>
      </c>
      <c r="U707" s="76">
        <f>U706+S707</f>
        <v>61.196466439269905</v>
      </c>
      <c r="V707" s="76">
        <f>V706+T707</f>
        <v>884.3351753886358</v>
      </c>
    </row>
    <row r="708" spans="1:22" ht="19" customHeight="1">
      <c r="A708" s="68" t="s">
        <v>362</v>
      </c>
      <c r="B708" s="74">
        <v>5</v>
      </c>
      <c r="C708" s="68" t="s">
        <v>363</v>
      </c>
      <c r="D708" s="68" t="s">
        <v>364</v>
      </c>
      <c r="E708" s="75">
        <f>60*F708*'THAM_SO_MOI'!$C$53/(2*PI()*'THAM_SO_MOI'!$C$26)</f>
        <v>2017.3418947368416</v>
      </c>
      <c r="F708" s="75">
        <f>'THAM_SO_MOI'!$E$53+('THAM_SO_MOI'!$C$14-'THAM_SO_MOI'!$E$53)*702/'THAM_SO_MOI'!$C$42</f>
        <v>20.47515811965812</v>
      </c>
      <c r="G708" s="75">
        <f>3.6*F708</f>
        <v>73.71056923076922</v>
      </c>
      <c r="H708" s="75">
        <f>'THAM_SO_MOI'!$D$53</f>
        <v>1.1</v>
      </c>
      <c r="I708" s="75">
        <f>IF(F708&gt;'THAM_SO_MOI'!$C$14,'THAM_SO_MOI'!$C$13*(1+F708^2/1500),'THAM_SO_MOI'!$C$13)</f>
        <v>0.015</v>
      </c>
      <c r="J708" s="75">
        <f>'THAM_SO_MOI'!$C$40*('THAM_SO_MOI'!$C$23*(E708/'THAM_SO_MOI'!$C$22)+'THAM_SO_MOI'!$C$24*(E708/'THAM_SO_MOI'!$C$22)^2-'THAM_SO_MOI'!$C$25*(E708/'THAM_SO_MOI'!$C$22)^3)</f>
        <v>90.6216363226596</v>
      </c>
      <c r="K708" s="75">
        <f>'THAM_SO_MOI'!$C$31*J708/E708</f>
        <v>429.0478306123286</v>
      </c>
      <c r="L708" s="75">
        <f>K708*'THAM_SO_MOI'!$C$53*'THAM_SO_MOI'!$C$17/'THAM_SO_MOI'!$C$26</f>
        <v>3762.7511533207926</v>
      </c>
      <c r="M708" s="75">
        <f>'THAM_SO_MOI'!$C$15*'THAM_SO_MOI'!$C$16*F708^2</f>
        <v>1226.2538925731303</v>
      </c>
      <c r="N708" s="75">
        <f>'THAM_SO_MOI'!$C$12*I708</f>
        <v>1130.112</v>
      </c>
      <c r="O708" s="75">
        <f>M708+N708</f>
        <v>2356.3658925731306</v>
      </c>
      <c r="P708" s="75">
        <f>(MIN(L708,'THAM_SO_MOI'!$C$41)-O708)/('THAM_SO_MOI'!$C$11*H708)</f>
        <v>0.1664755280241077</v>
      </c>
      <c r="Q708" s="75">
        <f>IF(P708&gt;0,1/P708,NA())</f>
        <v>6.00688889153238</v>
      </c>
      <c r="R708" s="75">
        <f>F708-F707</f>
        <v>0.017600427350426884</v>
      </c>
      <c r="S708" s="75">
        <f>0.5*(Q707+Q708)*R708</f>
        <v>0.10565302953844248</v>
      </c>
      <c r="T708" s="75">
        <f>0.5*(F707*Q707+F708*Q708)*R708</f>
        <v>2.1623333392818638</v>
      </c>
      <c r="U708" s="76">
        <f>U707+S708</f>
        <v>61.30211946880835</v>
      </c>
      <c r="V708" s="76">
        <f>V707+T708</f>
        <v>886.4975087279176</v>
      </c>
    </row>
    <row r="709" spans="1:22" ht="19" customHeight="1">
      <c r="A709" s="68" t="s">
        <v>362</v>
      </c>
      <c r="B709" s="74">
        <v>5</v>
      </c>
      <c r="C709" s="68" t="s">
        <v>363</v>
      </c>
      <c r="D709" s="68" t="s">
        <v>364</v>
      </c>
      <c r="E709" s="75">
        <f>60*F709*'THAM_SO_MOI'!$C$53/(2*PI()*'THAM_SO_MOI'!$C$26)</f>
        <v>2019.076</v>
      </c>
      <c r="F709" s="75">
        <f>'THAM_SO_MOI'!$E$53+('THAM_SO_MOI'!$C$14-'THAM_SO_MOI'!$E$53)*703/'THAM_SO_MOI'!$C$42</f>
        <v>20.49275854700855</v>
      </c>
      <c r="G709" s="75">
        <f>3.6*F709</f>
        <v>73.77393076923077</v>
      </c>
      <c r="H709" s="75">
        <f>'THAM_SO_MOI'!$D$53</f>
        <v>1.1</v>
      </c>
      <c r="I709" s="75">
        <f>IF(F709&gt;'THAM_SO_MOI'!$C$14,'THAM_SO_MOI'!$C$13*(1+F709^2/1500),'THAM_SO_MOI'!$C$13)</f>
        <v>0.015</v>
      </c>
      <c r="J709" s="75">
        <f>'THAM_SO_MOI'!$C$40*('THAM_SO_MOI'!$C$23*(E709/'THAM_SO_MOI'!$C$22)+'THAM_SO_MOI'!$C$24*(E709/'THAM_SO_MOI'!$C$22)^2-'THAM_SO_MOI'!$C$25*(E709/'THAM_SO_MOI'!$C$22)^3)</f>
        <v>90.70481438289194</v>
      </c>
      <c r="K709" s="75">
        <f>'THAM_SO_MOI'!$C$31*J709/E709</f>
        <v>429.07280626199133</v>
      </c>
      <c r="L709" s="75">
        <f>K709*'THAM_SO_MOI'!$C$53*'THAM_SO_MOI'!$C$17/'THAM_SO_MOI'!$C$26</f>
        <v>3762.9701898660637</v>
      </c>
      <c r="M709" s="75">
        <f>'THAM_SO_MOI'!$C$15*'THAM_SO_MOI'!$C$16*F709^2</f>
        <v>1228.3629721330265</v>
      </c>
      <c r="N709" s="75">
        <f>'THAM_SO_MOI'!$C$12*I709</f>
        <v>1130.112</v>
      </c>
      <c r="O709" s="75">
        <f>M709+N709</f>
        <v>2358.4749721330263</v>
      </c>
      <c r="P709" s="75">
        <f>(MIN(L709,'THAM_SO_MOI'!$C$41)-O709)/('THAM_SO_MOI'!$C$11*H709)</f>
        <v>0.16625180134150533</v>
      </c>
      <c r="Q709" s="75">
        <f>IF(P709&gt;0,1/P709,NA())</f>
        <v>6.014972420935488</v>
      </c>
      <c r="R709" s="75">
        <f>F709-F708</f>
        <v>0.017600427350430436</v>
      </c>
      <c r="S709" s="75">
        <f>0.5*(Q708+Q709)*R709</f>
        <v>0.1057949483235205</v>
      </c>
      <c r="T709" s="75">
        <f>0.5*(F708*Q708+F709*Q709)*R709</f>
        <v>2.1670999393550643</v>
      </c>
      <c r="U709" s="76">
        <f>U708+S709</f>
        <v>61.40791441713187</v>
      </c>
      <c r="V709" s="76">
        <f>V708+T709</f>
        <v>888.6646086672727</v>
      </c>
    </row>
    <row r="710" spans="1:22" ht="19" customHeight="1">
      <c r="A710" s="68" t="s">
        <v>362</v>
      </c>
      <c r="B710" s="74">
        <v>5</v>
      </c>
      <c r="C710" s="68" t="s">
        <v>363</v>
      </c>
      <c r="D710" s="68" t="s">
        <v>364</v>
      </c>
      <c r="E710" s="75">
        <f>60*F710*'THAM_SO_MOI'!$C$53/(2*PI()*'THAM_SO_MOI'!$C$26)</f>
        <v>2020.8101052631575</v>
      </c>
      <c r="F710" s="75">
        <f>'THAM_SO_MOI'!$E$53+('THAM_SO_MOI'!$C$14-'THAM_SO_MOI'!$E$53)*704/'THAM_SO_MOI'!$C$42</f>
        <v>20.510358974358972</v>
      </c>
      <c r="G710" s="75">
        <f>3.6*F710</f>
        <v>73.83729230769231</v>
      </c>
      <c r="H710" s="75">
        <f>'THAM_SO_MOI'!$D$53</f>
        <v>1.1</v>
      </c>
      <c r="I710" s="75">
        <f>IF(F710&gt;'THAM_SO_MOI'!$C$14,'THAM_SO_MOI'!$C$13*(1+F710^2/1500),'THAM_SO_MOI'!$C$13)</f>
        <v>0.015</v>
      </c>
      <c r="J710" s="75">
        <f>'THAM_SO_MOI'!$C$40*('THAM_SO_MOI'!$C$23*(E710/'THAM_SO_MOI'!$C$22)+'THAM_SO_MOI'!$C$24*(E710/'THAM_SO_MOI'!$C$22)^2-'THAM_SO_MOI'!$C$25*(E710/'THAM_SO_MOI'!$C$22)^3)</f>
        <v>90.78793978724438</v>
      </c>
      <c r="K710" s="75">
        <f>'THAM_SO_MOI'!$C$31*J710/E710</f>
        <v>429.09749017602877</v>
      </c>
      <c r="L710" s="75">
        <f>K710*'THAM_SO_MOI'!$C$53*'THAM_SO_MOI'!$C$17/'THAM_SO_MOI'!$C$26</f>
        <v>3763.186667888759</v>
      </c>
      <c r="M710" s="75">
        <f>'THAM_SO_MOI'!$C$15*'THAM_SO_MOI'!$C$16*F710^2</f>
        <v>1230.473863876923</v>
      </c>
      <c r="N710" s="75">
        <f>'THAM_SO_MOI'!$C$12*I710</f>
        <v>1130.112</v>
      </c>
      <c r="O710" s="75">
        <f>M710+N710</f>
        <v>2360.585863876923</v>
      </c>
      <c r="P710" s="75">
        <f>(MIN(L710,'THAM_SO_MOI'!$C$41)-O710)/('THAM_SO_MOI'!$C$11*H710)</f>
        <v>0.1660275572930677</v>
      </c>
      <c r="Q710" s="75">
        <f>IF(P710&gt;0,1/P710,NA())</f>
        <v>6.023096504605106</v>
      </c>
      <c r="R710" s="75">
        <f>F710-F709</f>
        <v>0.01760042735042333</v>
      </c>
      <c r="S710" s="75">
        <f>0.5*(Q709+Q710)*R710</f>
        <v>0.10593757878168292</v>
      </c>
      <c r="T710" s="75">
        <f>0.5*(F709*Q709+F710*Q710)*R710</f>
        <v>2.1718861255168296</v>
      </c>
      <c r="U710" s="76">
        <f>U709+S710</f>
        <v>61.513851995913555</v>
      </c>
      <c r="V710" s="76">
        <f>V709+T710</f>
        <v>890.8364947927895</v>
      </c>
    </row>
    <row r="711" spans="1:22" ht="19" customHeight="1">
      <c r="A711" s="68" t="s">
        <v>362</v>
      </c>
      <c r="B711" s="74">
        <v>5</v>
      </c>
      <c r="C711" s="68" t="s">
        <v>363</v>
      </c>
      <c r="D711" s="68" t="s">
        <v>364</v>
      </c>
      <c r="E711" s="75">
        <f>60*F711*'THAM_SO_MOI'!$C$53/(2*PI()*'THAM_SO_MOI'!$C$26)</f>
        <v>2022.5442105263155</v>
      </c>
      <c r="F711" s="75">
        <f>'THAM_SO_MOI'!$E$53+('THAM_SO_MOI'!$C$14-'THAM_SO_MOI'!$E$53)*705/'THAM_SO_MOI'!$C$42</f>
        <v>20.527959401709403</v>
      </c>
      <c r="G711" s="75">
        <f>3.6*F711</f>
        <v>73.90065384615386</v>
      </c>
      <c r="H711" s="75">
        <f>'THAM_SO_MOI'!$D$53</f>
        <v>1.1</v>
      </c>
      <c r="I711" s="75">
        <f>IF(F711&gt;'THAM_SO_MOI'!$C$14,'THAM_SO_MOI'!$C$13*(1+F711^2/1500),'THAM_SO_MOI'!$C$13)</f>
        <v>0.015</v>
      </c>
      <c r="J711" s="75">
        <f>'THAM_SO_MOI'!$C$40*('THAM_SO_MOI'!$C$23*(E711/'THAM_SO_MOI'!$C$22)+'THAM_SO_MOI'!$C$24*(E711/'THAM_SO_MOI'!$C$22)^2-'THAM_SO_MOI'!$C$25*(E711/'THAM_SO_MOI'!$C$22)^3)</f>
        <v>90.87101237681382</v>
      </c>
      <c r="K711" s="75">
        <f>'THAM_SO_MOI'!$C$31*J711/E711</f>
        <v>429.1218823544414</v>
      </c>
      <c r="L711" s="75">
        <f>K711*'THAM_SO_MOI'!$C$53*'THAM_SO_MOI'!$C$17/'THAM_SO_MOI'!$C$26</f>
        <v>3763.4005873888846</v>
      </c>
      <c r="M711" s="75">
        <f>'THAM_SO_MOI'!$C$15*'THAM_SO_MOI'!$C$16*F711^2</f>
        <v>1232.5865678048212</v>
      </c>
      <c r="N711" s="75">
        <f>'THAM_SO_MOI'!$C$12*I711</f>
        <v>1130.112</v>
      </c>
      <c r="O711" s="75">
        <f>M711+N711</f>
        <v>2362.6985678048213</v>
      </c>
      <c r="P711" s="75">
        <f>(MIN(L711,'THAM_SO_MOI'!$C$41)-O711)/('THAM_SO_MOI'!$C$11*H711)</f>
        <v>0.16580279587879537</v>
      </c>
      <c r="Q711" s="75">
        <f>IF(P711&gt;0,1/P711,NA())</f>
        <v>6.031261383137452</v>
      </c>
      <c r="R711" s="75">
        <f>F711-F710</f>
        <v>0.017600427350430436</v>
      </c>
      <c r="S711" s="75">
        <f>0.5*(Q710+Q711)*R711</f>
        <v>0.10608092512965049</v>
      </c>
      <c r="T711" s="75">
        <f>0.5*(F710*Q710+F711*Q711)*R711</f>
        <v>2.176692021868134</v>
      </c>
      <c r="U711" s="76">
        <f>U710+S711</f>
        <v>61.61993292104321</v>
      </c>
      <c r="V711" s="76">
        <f>V710+T711</f>
        <v>893.0131868146576</v>
      </c>
    </row>
    <row r="712" spans="1:22" ht="19" customHeight="1">
      <c r="A712" s="68" t="s">
        <v>362</v>
      </c>
      <c r="B712" s="74">
        <v>5</v>
      </c>
      <c r="C712" s="68" t="s">
        <v>363</v>
      </c>
      <c r="D712" s="68" t="s">
        <v>364</v>
      </c>
      <c r="E712" s="75">
        <f>60*F712*'THAM_SO_MOI'!$C$53/(2*PI()*'THAM_SO_MOI'!$C$26)</f>
        <v>2024.2783157894733</v>
      </c>
      <c r="F712" s="75">
        <f>'THAM_SO_MOI'!$E$53+('THAM_SO_MOI'!$C$14-'THAM_SO_MOI'!$E$53)*706/'THAM_SO_MOI'!$C$42</f>
        <v>20.545559829059826</v>
      </c>
      <c r="G712" s="75">
        <f>3.6*F712</f>
        <v>73.96401538461538</v>
      </c>
      <c r="H712" s="75">
        <f>'THAM_SO_MOI'!$D$53</f>
        <v>1.1</v>
      </c>
      <c r="I712" s="75">
        <f>IF(F712&gt;'THAM_SO_MOI'!$C$14,'THAM_SO_MOI'!$C$13*(1+F712^2/1500),'THAM_SO_MOI'!$C$13)</f>
        <v>0.015</v>
      </c>
      <c r="J712" s="75">
        <f>'THAM_SO_MOI'!$C$40*('THAM_SO_MOI'!$C$23*(E712/'THAM_SO_MOI'!$C$22)+'THAM_SO_MOI'!$C$24*(E712/'THAM_SO_MOI'!$C$22)^2-'THAM_SO_MOI'!$C$25*(E712/'THAM_SO_MOI'!$C$22)^3)</f>
        <v>90.95403199269688</v>
      </c>
      <c r="K712" s="75">
        <f>'THAM_SO_MOI'!$C$31*J712/E712</f>
        <v>429.14598279722907</v>
      </c>
      <c r="L712" s="75">
        <f>K712*'THAM_SO_MOI'!$C$53*'THAM_SO_MOI'!$C$17/'THAM_SO_MOI'!$C$26</f>
        <v>3763.611948366436</v>
      </c>
      <c r="M712" s="75">
        <f>'THAM_SO_MOI'!$C$15*'THAM_SO_MOI'!$C$16*F712^2</f>
        <v>1234.7010839167199</v>
      </c>
      <c r="N712" s="75">
        <f>'THAM_SO_MOI'!$C$12*I712</f>
        <v>1130.112</v>
      </c>
      <c r="O712" s="75">
        <f>M712+N712</f>
        <v>2364.8130839167197</v>
      </c>
      <c r="P712" s="75">
        <f>(MIN(L712,'THAM_SO_MOI'!$C$41)-O712)/('THAM_SO_MOI'!$C$11*H712)</f>
        <v>0.165577517098688</v>
      </c>
      <c r="Q712" s="75">
        <f>IF(P712&gt;0,1/P712,NA())</f>
        <v>6.039467299198459</v>
      </c>
      <c r="R712" s="75">
        <f>F712-F711</f>
        <v>0.01760042735042333</v>
      </c>
      <c r="S712" s="75">
        <f>0.5*(Q711+Q712)*R712</f>
        <v>0.10622499162006217</v>
      </c>
      <c r="T712" s="75">
        <f>0.5*(F711*Q711+F712*Q712)*R712</f>
        <v>2.181517753544462</v>
      </c>
      <c r="U712" s="76">
        <f>U711+S712</f>
        <v>61.72615791266327</v>
      </c>
      <c r="V712" s="76">
        <f>V711+T712</f>
        <v>895.194704568202</v>
      </c>
    </row>
    <row r="713" spans="1:22" ht="19" customHeight="1">
      <c r="A713" s="68" t="s">
        <v>362</v>
      </c>
      <c r="B713" s="74">
        <v>5</v>
      </c>
      <c r="C713" s="68" t="s">
        <v>363</v>
      </c>
      <c r="D713" s="68" t="s">
        <v>364</v>
      </c>
      <c r="E713" s="75">
        <f>60*F713*'THAM_SO_MOI'!$C$53/(2*PI()*'THAM_SO_MOI'!$C$26)</f>
        <v>2026.0124210526312</v>
      </c>
      <c r="F713" s="75">
        <f>'THAM_SO_MOI'!$E$53+('THAM_SO_MOI'!$C$14-'THAM_SO_MOI'!$E$53)*707/'THAM_SO_MOI'!$C$42</f>
        <v>20.563160256410256</v>
      </c>
      <c r="G713" s="75">
        <f>3.6*F713</f>
        <v>74.02737692307693</v>
      </c>
      <c r="H713" s="75">
        <f>'THAM_SO_MOI'!$D$53</f>
        <v>1.1</v>
      </c>
      <c r="I713" s="75">
        <f>IF(F713&gt;'THAM_SO_MOI'!$C$14,'THAM_SO_MOI'!$C$13*(1+F713^2/1500),'THAM_SO_MOI'!$C$13)</f>
        <v>0.015</v>
      </c>
      <c r="J713" s="75">
        <f>'THAM_SO_MOI'!$C$40*('THAM_SO_MOI'!$C$23*(E713/'THAM_SO_MOI'!$C$22)+'THAM_SO_MOI'!$C$24*(E713/'THAM_SO_MOI'!$C$22)^2-'THAM_SO_MOI'!$C$25*(E713/'THAM_SO_MOI'!$C$22)^3)</f>
        <v>91.03699847599029</v>
      </c>
      <c r="K713" s="75">
        <f>'THAM_SO_MOI'!$C$31*J713/E713</f>
        <v>429.16979150439147</v>
      </c>
      <c r="L713" s="75">
        <f>K713*'THAM_SO_MOI'!$C$53*'THAM_SO_MOI'!$C$17/'THAM_SO_MOI'!$C$26</f>
        <v>3763.820750821413</v>
      </c>
      <c r="M713" s="75">
        <f>'THAM_SO_MOI'!$C$15*'THAM_SO_MOI'!$C$16*F713^2</f>
        <v>1236.8174122126204</v>
      </c>
      <c r="N713" s="75">
        <f>'THAM_SO_MOI'!$C$12*I713</f>
        <v>1130.112</v>
      </c>
      <c r="O713" s="75">
        <f>M713+N713</f>
        <v>2366.9294122126203</v>
      </c>
      <c r="P713" s="75">
        <f>(MIN(L713,'THAM_SO_MOI'!$C$41)-O713)/('THAM_SO_MOI'!$C$11*H713)</f>
        <v>0.1653517209527453</v>
      </c>
      <c r="Q713" s="75">
        <f>IF(P713&gt;0,1/P713,NA())</f>
        <v>6.047714497545404</v>
      </c>
      <c r="R713" s="75">
        <f>F713-F712</f>
        <v>0.017600427350430436</v>
      </c>
      <c r="S713" s="75">
        <f>0.5*(Q712+Q713)*R713</f>
        <v>0.10636978254251779</v>
      </c>
      <c r="T713" s="75">
        <f>0.5*(F712*Q712+F713*Q713)*R713</f>
        <v>2.1863634467403985</v>
      </c>
      <c r="U713" s="76">
        <f>U712+S713</f>
        <v>61.83252769520578</v>
      </c>
      <c r="V713" s="76">
        <f>V712+T713</f>
        <v>897.3810680149425</v>
      </c>
    </row>
    <row r="714" spans="1:22" ht="19" customHeight="1">
      <c r="A714" s="68" t="s">
        <v>362</v>
      </c>
      <c r="B714" s="74">
        <v>5</v>
      </c>
      <c r="C714" s="68" t="s">
        <v>363</v>
      </c>
      <c r="D714" s="68" t="s">
        <v>364</v>
      </c>
      <c r="E714" s="75">
        <f>60*F714*'THAM_SO_MOI'!$C$53/(2*PI()*'THAM_SO_MOI'!$C$26)</f>
        <v>2027.7465263157892</v>
      </c>
      <c r="F714" s="75">
        <f>'THAM_SO_MOI'!$E$53+('THAM_SO_MOI'!$C$14-'THAM_SO_MOI'!$E$53)*708/'THAM_SO_MOI'!$C$42</f>
        <v>20.580760683760683</v>
      </c>
      <c r="G714" s="75">
        <f>3.6*F714</f>
        <v>74.09073846153846</v>
      </c>
      <c r="H714" s="75">
        <f>'THAM_SO_MOI'!$D$53</f>
        <v>1.1</v>
      </c>
      <c r="I714" s="75">
        <f>IF(F714&gt;'THAM_SO_MOI'!$C$14,'THAM_SO_MOI'!$C$13*(1+F714^2/1500),'THAM_SO_MOI'!$C$13)</f>
        <v>0.015</v>
      </c>
      <c r="J714" s="75">
        <f>'THAM_SO_MOI'!$C$40*('THAM_SO_MOI'!$C$23*(E714/'THAM_SO_MOI'!$C$22)+'THAM_SO_MOI'!$C$24*(E714/'THAM_SO_MOI'!$C$22)^2-'THAM_SO_MOI'!$C$25*(E714/'THAM_SO_MOI'!$C$22)^3)</f>
        <v>91.11991166779079</v>
      </c>
      <c r="K714" s="75">
        <f>'THAM_SO_MOI'!$C$31*J714/E714</f>
        <v>429.1933084759289</v>
      </c>
      <c r="L714" s="75">
        <f>K714*'THAM_SO_MOI'!$C$53*'THAM_SO_MOI'!$C$17/'THAM_SO_MOI'!$C$26</f>
        <v>3764.0269947538172</v>
      </c>
      <c r="M714" s="75">
        <f>'THAM_SO_MOI'!$C$15*'THAM_SO_MOI'!$C$16*F714^2</f>
        <v>1238.9355526925215</v>
      </c>
      <c r="N714" s="75">
        <f>'THAM_SO_MOI'!$C$12*I714</f>
        <v>1130.112</v>
      </c>
      <c r="O714" s="75">
        <f>M714+N714</f>
        <v>2369.0475526925215</v>
      </c>
      <c r="P714" s="75">
        <f>(MIN(L714,'THAM_SO_MOI'!$C$41)-O714)/('THAM_SO_MOI'!$C$11*H714)</f>
        <v>0.16512540744096776</v>
      </c>
      <c r="Q714" s="75">
        <f>IF(P714&gt;0,1/P714,NA())</f>
        <v>6.056003225048813</v>
      </c>
      <c r="R714" s="75">
        <f>F714-F713</f>
        <v>0.017600427350426884</v>
      </c>
      <c r="S714" s="75">
        <f>0.5*(Q713+Q714)*R714</f>
        <v>0.10651530222329693</v>
      </c>
      <c r="T714" s="75">
        <f>0.5*(F713*Q713+F714*Q714)*R714</f>
        <v>2.191229228707101</v>
      </c>
      <c r="U714" s="76">
        <f>U713+S714</f>
        <v>61.93904299742908</v>
      </c>
      <c r="V714" s="76">
        <f>V713+T714</f>
        <v>899.5722972436496</v>
      </c>
    </row>
    <row r="715" spans="1:22" ht="19" customHeight="1">
      <c r="A715" s="68" t="s">
        <v>362</v>
      </c>
      <c r="B715" s="74">
        <v>5</v>
      </c>
      <c r="C715" s="68" t="s">
        <v>363</v>
      </c>
      <c r="D715" s="68" t="s">
        <v>364</v>
      </c>
      <c r="E715" s="75">
        <f>60*F715*'THAM_SO_MOI'!$C$53/(2*PI()*'THAM_SO_MOI'!$C$26)</f>
        <v>2029.4806315789467</v>
      </c>
      <c r="F715" s="75">
        <f>'THAM_SO_MOI'!$E$53+('THAM_SO_MOI'!$C$14-'THAM_SO_MOI'!$E$53)*709/'THAM_SO_MOI'!$C$42</f>
        <v>20.59836111111111</v>
      </c>
      <c r="G715" s="75">
        <f>3.6*F715</f>
        <v>74.1541</v>
      </c>
      <c r="H715" s="75">
        <f>'THAM_SO_MOI'!$D$53</f>
        <v>1.1</v>
      </c>
      <c r="I715" s="75">
        <f>IF(F715&gt;'THAM_SO_MOI'!$C$14,'THAM_SO_MOI'!$C$13*(1+F715^2/1500),'THAM_SO_MOI'!$C$13)</f>
        <v>0.015</v>
      </c>
      <c r="J715" s="75">
        <f>'THAM_SO_MOI'!$C$40*('THAM_SO_MOI'!$C$23*(E715/'THAM_SO_MOI'!$C$22)+'THAM_SO_MOI'!$C$24*(E715/'THAM_SO_MOI'!$C$22)^2-'THAM_SO_MOI'!$C$25*(E715/'THAM_SO_MOI'!$C$22)^3)</f>
        <v>91.20277140919511</v>
      </c>
      <c r="K715" s="75">
        <f>'THAM_SO_MOI'!$C$31*J715/E715</f>
        <v>429.21653371184146</v>
      </c>
      <c r="L715" s="75">
        <f>K715*'THAM_SO_MOI'!$C$53*'THAM_SO_MOI'!$C$17/'THAM_SO_MOI'!$C$26</f>
        <v>3764.23068016365</v>
      </c>
      <c r="M715" s="75">
        <f>'THAM_SO_MOI'!$C$15*'THAM_SO_MOI'!$C$16*F715^2</f>
        <v>1241.0555053564237</v>
      </c>
      <c r="N715" s="75">
        <f>'THAM_SO_MOI'!$C$12*I715</f>
        <v>1130.112</v>
      </c>
      <c r="O715" s="75">
        <f>M715+N715</f>
        <v>2371.167505356424</v>
      </c>
      <c r="P715" s="75">
        <f>(MIN(L715,'THAM_SO_MOI'!$C$41)-O715)/('THAM_SO_MOI'!$C$11*H715)</f>
        <v>0.1648985765633554</v>
      </c>
      <c r="Q715" s="75">
        <f>IF(P715&gt;0,1/P715,NA())</f>
        <v>6.06433373071472</v>
      </c>
      <c r="R715" s="75">
        <f>F715-F714</f>
        <v>0.017600427350426884</v>
      </c>
      <c r="S715" s="75">
        <f>0.5*(Q714+Q715)*R715</f>
        <v>0.10666155502630512</v>
      </c>
      <c r="T715" s="75">
        <f>0.5*(F714*Q714+F715*Q715)*R715</f>
        <v>2.1961152277750062</v>
      </c>
      <c r="U715" s="76">
        <f>U714+S715</f>
        <v>62.04570455245538</v>
      </c>
      <c r="V715" s="76">
        <f>V714+T715</f>
        <v>901.7684124714245</v>
      </c>
    </row>
    <row r="716" spans="1:22" ht="19" customHeight="1">
      <c r="A716" s="68" t="s">
        <v>362</v>
      </c>
      <c r="B716" s="74">
        <v>5</v>
      </c>
      <c r="C716" s="68" t="s">
        <v>363</v>
      </c>
      <c r="D716" s="68" t="s">
        <v>364</v>
      </c>
      <c r="E716" s="75">
        <f>60*F716*'THAM_SO_MOI'!$C$53/(2*PI()*'THAM_SO_MOI'!$C$26)</f>
        <v>2031.2147368421051</v>
      </c>
      <c r="F716" s="75">
        <f>'THAM_SO_MOI'!$E$53+('THAM_SO_MOI'!$C$14-'THAM_SO_MOI'!$E$53)*710/'THAM_SO_MOI'!$C$42</f>
        <v>20.61596153846154</v>
      </c>
      <c r="G716" s="75">
        <f>3.6*F716</f>
        <v>74.21746153846155</v>
      </c>
      <c r="H716" s="75">
        <f>'THAM_SO_MOI'!$D$53</f>
        <v>1.1</v>
      </c>
      <c r="I716" s="75">
        <f>IF(F716&gt;'THAM_SO_MOI'!$C$14,'THAM_SO_MOI'!$C$13*(1+F716^2/1500),'THAM_SO_MOI'!$C$13)</f>
        <v>0.015</v>
      </c>
      <c r="J716" s="75">
        <f>'THAM_SO_MOI'!$C$40*('THAM_SO_MOI'!$C$23*(E716/'THAM_SO_MOI'!$C$22)+'THAM_SO_MOI'!$C$24*(E716/'THAM_SO_MOI'!$C$22)^2-'THAM_SO_MOI'!$C$25*(E716/'THAM_SO_MOI'!$C$22)^3)</f>
        <v>91.28557754129992</v>
      </c>
      <c r="K716" s="75">
        <f>'THAM_SO_MOI'!$C$31*J716/E716</f>
        <v>429.23946721212866</v>
      </c>
      <c r="L716" s="75">
        <f>K716*'THAM_SO_MOI'!$C$53*'THAM_SO_MOI'!$C$17/'THAM_SO_MOI'!$C$26</f>
        <v>3764.4318070509066</v>
      </c>
      <c r="M716" s="75">
        <f>'THAM_SO_MOI'!$C$15*'THAM_SO_MOI'!$C$16*F716^2</f>
        <v>1243.1772702043274</v>
      </c>
      <c r="N716" s="75">
        <f>'THAM_SO_MOI'!$C$12*I716</f>
        <v>1130.112</v>
      </c>
      <c r="O716" s="75">
        <f>M716+N716</f>
        <v>2373.2892702043273</v>
      </c>
      <c r="P716" s="75">
        <f>(MIN(L716,'THAM_SO_MOI'!$C$41)-O716)/('THAM_SO_MOI'!$C$11*H716)</f>
        <v>0.16467122831990755</v>
      </c>
      <c r="Q716" s="75">
        <f>IF(P716&gt;0,1/P716,NA())</f>
        <v>6.072706265707179</v>
      </c>
      <c r="R716" s="75">
        <f>F716-F715</f>
        <v>0.017600427350430436</v>
      </c>
      <c r="S716" s="75">
        <f>0.5*(Q715+Q716)*R716</f>
        <v>0.10680854535314606</v>
      </c>
      <c r="T716" s="75">
        <f>0.5*(F715*Q715+F716*Q716)*R716</f>
        <v>2.2010215733586347</v>
      </c>
      <c r="U716" s="76">
        <f>U715+S716</f>
        <v>62.15251309780853</v>
      </c>
      <c r="V716" s="76">
        <f>V715+T716</f>
        <v>903.9694340447832</v>
      </c>
    </row>
    <row r="717" spans="1:22" ht="19" customHeight="1">
      <c r="A717" s="68" t="s">
        <v>362</v>
      </c>
      <c r="B717" s="74">
        <v>5</v>
      </c>
      <c r="C717" s="68" t="s">
        <v>363</v>
      </c>
      <c r="D717" s="68" t="s">
        <v>364</v>
      </c>
      <c r="E717" s="75">
        <f>60*F717*'THAM_SO_MOI'!$C$53/(2*PI()*'THAM_SO_MOI'!$C$26)</f>
        <v>2032.9488421052627</v>
      </c>
      <c r="F717" s="75">
        <f>'THAM_SO_MOI'!$E$53+('THAM_SO_MOI'!$C$14-'THAM_SO_MOI'!$E$53)*711/'THAM_SO_MOI'!$C$42</f>
        <v>20.633561965811964</v>
      </c>
      <c r="G717" s="75">
        <f>3.6*F717</f>
        <v>74.28082307692307</v>
      </c>
      <c r="H717" s="75">
        <f>'THAM_SO_MOI'!$D$53</f>
        <v>1.1</v>
      </c>
      <c r="I717" s="75">
        <f>IF(F717&gt;'THAM_SO_MOI'!$C$14,'THAM_SO_MOI'!$C$13*(1+F717^2/1500),'THAM_SO_MOI'!$C$13)</f>
        <v>0.015</v>
      </c>
      <c r="J717" s="75">
        <f>'THAM_SO_MOI'!$C$40*('THAM_SO_MOI'!$C$23*(E717/'THAM_SO_MOI'!$C$22)+'THAM_SO_MOI'!$C$24*(E717/'THAM_SO_MOI'!$C$22)^2-'THAM_SO_MOI'!$C$25*(E717/'THAM_SO_MOI'!$C$22)^3)</f>
        <v>91.36832990520202</v>
      </c>
      <c r="K717" s="75">
        <f>'THAM_SO_MOI'!$C$31*J717/E717</f>
        <v>429.26210897679124</v>
      </c>
      <c r="L717" s="75">
        <f>K717*'THAM_SO_MOI'!$C$53*'THAM_SO_MOI'!$C$17/'THAM_SO_MOI'!$C$26</f>
        <v>3764.6303754155942</v>
      </c>
      <c r="M717" s="75">
        <f>'THAM_SO_MOI'!$C$15*'THAM_SO_MOI'!$C$16*F717^2</f>
        <v>1245.3008472362312</v>
      </c>
      <c r="N717" s="75">
        <f>'THAM_SO_MOI'!$C$12*I717</f>
        <v>1130.112</v>
      </c>
      <c r="O717" s="75">
        <f>M717+N717</f>
        <v>2375.4128472362313</v>
      </c>
      <c r="P717" s="75">
        <f>(MIN(L717,'THAM_SO_MOI'!$C$41)-O717)/('THAM_SO_MOI'!$C$11*H717)</f>
        <v>0.16444336271062535</v>
      </c>
      <c r="Q717" s="75">
        <f>IF(P717&gt;0,1/P717,NA())</f>
        <v>6.08112108337095</v>
      </c>
      <c r="R717" s="75">
        <f>F717-F716</f>
        <v>0.01760042735042333</v>
      </c>
      <c r="S717" s="75">
        <f>0.5*(Q716+Q717)*R717</f>
        <v>0.10695627764351888</v>
      </c>
      <c r="T717" s="75">
        <f>0.5*(F716*Q716+F717*Q717)*R717</f>
        <v>2.2059483959680932</v>
      </c>
      <c r="U717" s="76">
        <f>U716+S717</f>
        <v>62.25946937545205</v>
      </c>
      <c r="V717" s="76">
        <f>V716+T717</f>
        <v>906.1753824407513</v>
      </c>
    </row>
    <row r="718" spans="1:22" ht="19" customHeight="1">
      <c r="A718" s="68" t="s">
        <v>362</v>
      </c>
      <c r="B718" s="74">
        <v>5</v>
      </c>
      <c r="C718" s="68" t="s">
        <v>363</v>
      </c>
      <c r="D718" s="68" t="s">
        <v>364</v>
      </c>
      <c r="E718" s="75">
        <f>60*F718*'THAM_SO_MOI'!$C$53/(2*PI()*'THAM_SO_MOI'!$C$26)</f>
        <v>2034.6829473684206</v>
      </c>
      <c r="F718" s="75">
        <f>'THAM_SO_MOI'!$E$53+('THAM_SO_MOI'!$C$14-'THAM_SO_MOI'!$E$53)*712/'THAM_SO_MOI'!$C$42</f>
        <v>20.651162393162394</v>
      </c>
      <c r="G718" s="75">
        <f>3.6*F718</f>
        <v>74.34418461538462</v>
      </c>
      <c r="H718" s="75">
        <f>'THAM_SO_MOI'!$D$53</f>
        <v>1.1</v>
      </c>
      <c r="I718" s="75">
        <f>IF(F718&gt;'THAM_SO_MOI'!$C$14,'THAM_SO_MOI'!$C$13*(1+F718^2/1500),'THAM_SO_MOI'!$C$13)</f>
        <v>0.015</v>
      </c>
      <c r="J718" s="75">
        <f>'THAM_SO_MOI'!$C$40*('THAM_SO_MOI'!$C$23*(E718/'THAM_SO_MOI'!$C$22)+'THAM_SO_MOI'!$C$24*(E718/'THAM_SO_MOI'!$C$22)^2-'THAM_SO_MOI'!$C$25*(E718/'THAM_SO_MOI'!$C$22)^3)</f>
        <v>91.45102834199807</v>
      </c>
      <c r="K718" s="75">
        <f>'THAM_SO_MOI'!$C$31*J718/E718</f>
        <v>429.2844590058286</v>
      </c>
      <c r="L718" s="75">
        <f>K718*'THAM_SO_MOI'!$C$53*'THAM_SO_MOI'!$C$17/'THAM_SO_MOI'!$C$26</f>
        <v>3764.826385257707</v>
      </c>
      <c r="M718" s="75">
        <f>'THAM_SO_MOI'!$C$15*'THAM_SO_MOI'!$C$16*F718^2</f>
        <v>1247.4262364521371</v>
      </c>
      <c r="N718" s="75">
        <f>'THAM_SO_MOI'!$C$12*I718</f>
        <v>1130.112</v>
      </c>
      <c r="O718" s="75">
        <f>M718+N718</f>
        <v>2377.5382364521374</v>
      </c>
      <c r="P718" s="75">
        <f>(MIN(L718,'THAM_SO_MOI'!$C$41)-O718)/('THAM_SO_MOI'!$C$11*H718)</f>
        <v>0.1642149797355078</v>
      </c>
      <c r="Q718" s="75">
        <f>IF(P718&gt;0,1/P718,NA())</f>
        <v>6.089578439254725</v>
      </c>
      <c r="R718" s="75">
        <f>F718-F717</f>
        <v>0.017600427350430436</v>
      </c>
      <c r="S718" s="75">
        <f>0.5*(Q717+Q718)*R718</f>
        <v>0.1071047563759458</v>
      </c>
      <c r="T718" s="75">
        <f>0.5*(F717*Q717+F718*Q718)*R718</f>
        <v>2.2108958272274575</v>
      </c>
      <c r="U718" s="76">
        <f>U717+S718</f>
        <v>62.366574131827996</v>
      </c>
      <c r="V718" s="76">
        <f>V717+T718</f>
        <v>908.3862782679787</v>
      </c>
    </row>
    <row r="719" spans="1:22" ht="19" customHeight="1">
      <c r="A719" s="68" t="s">
        <v>362</v>
      </c>
      <c r="B719" s="74">
        <v>5</v>
      </c>
      <c r="C719" s="68" t="s">
        <v>363</v>
      </c>
      <c r="D719" s="68" t="s">
        <v>364</v>
      </c>
      <c r="E719" s="75">
        <f>60*F719*'THAM_SO_MOI'!$C$53/(2*PI()*'THAM_SO_MOI'!$C$26)</f>
        <v>2036.4170526315784</v>
      </c>
      <c r="F719" s="75">
        <f>'THAM_SO_MOI'!$E$53+('THAM_SO_MOI'!$C$14-'THAM_SO_MOI'!$E$53)*713/'THAM_SO_MOI'!$C$42</f>
        <v>20.668762820512818</v>
      </c>
      <c r="G719" s="75">
        <f>3.6*F719</f>
        <v>74.40754615384614</v>
      </c>
      <c r="H719" s="75">
        <f>'THAM_SO_MOI'!$D$53</f>
        <v>1.1</v>
      </c>
      <c r="I719" s="75">
        <f>IF(F719&gt;'THAM_SO_MOI'!$C$14,'THAM_SO_MOI'!$C$13*(1+F719^2/1500),'THAM_SO_MOI'!$C$13)</f>
        <v>0.015</v>
      </c>
      <c r="J719" s="75">
        <f>'THAM_SO_MOI'!$C$40*('THAM_SO_MOI'!$C$23*(E719/'THAM_SO_MOI'!$C$22)+'THAM_SO_MOI'!$C$24*(E719/'THAM_SO_MOI'!$C$22)^2-'THAM_SO_MOI'!$C$25*(E719/'THAM_SO_MOI'!$C$22)^3)</f>
        <v>91.53367269278478</v>
      </c>
      <c r="K719" s="75">
        <f>'THAM_SO_MOI'!$C$31*J719/E719</f>
        <v>429.3065172992408</v>
      </c>
      <c r="L719" s="75">
        <f>K719*'THAM_SO_MOI'!$C$53*'THAM_SO_MOI'!$C$17/'THAM_SO_MOI'!$C$26</f>
        <v>3765.019836577245</v>
      </c>
      <c r="M719" s="75">
        <f>'THAM_SO_MOI'!$C$15*'THAM_SO_MOI'!$C$16*F719^2</f>
        <v>1249.553437852043</v>
      </c>
      <c r="N719" s="75">
        <f>'THAM_SO_MOI'!$C$12*I719</f>
        <v>1130.112</v>
      </c>
      <c r="O719" s="75">
        <f>M719+N719</f>
        <v>2379.6654378520434</v>
      </c>
      <c r="P719" s="75">
        <f>(MIN(L719,'THAM_SO_MOI'!$C$41)-O719)/('THAM_SO_MOI'!$C$11*H719)</f>
        <v>0.1639860793945551</v>
      </c>
      <c r="Q719" s="75">
        <f>IF(P719&gt;0,1/P719,NA())</f>
        <v>6.098078591134386</v>
      </c>
      <c r="R719" s="75">
        <f>F719-F718</f>
        <v>0.01760042735042333</v>
      </c>
      <c r="S719" s="75">
        <f>0.5*(Q718+Q719)*R719</f>
        <v>0.10725398606761985</v>
      </c>
      <c r="T719" s="75">
        <f>0.5*(F718*Q718+F719*Q719)*R719</f>
        <v>2.2158639998750362</v>
      </c>
      <c r="U719" s="76">
        <f>U718+S719</f>
        <v>62.473828117895614</v>
      </c>
      <c r="V719" s="76">
        <f>V718+T719</f>
        <v>910.6021422678538</v>
      </c>
    </row>
    <row r="720" spans="1:22" ht="19" customHeight="1">
      <c r="A720" s="68" t="s">
        <v>362</v>
      </c>
      <c r="B720" s="74">
        <v>5</v>
      </c>
      <c r="C720" s="68" t="s">
        <v>363</v>
      </c>
      <c r="D720" s="68" t="s">
        <v>364</v>
      </c>
      <c r="E720" s="75">
        <f>60*F720*'THAM_SO_MOI'!$C$53/(2*PI()*'THAM_SO_MOI'!$C$26)</f>
        <v>2038.1511578947363</v>
      </c>
      <c r="F720" s="75">
        <f>'THAM_SO_MOI'!$E$53+('THAM_SO_MOI'!$C$14-'THAM_SO_MOI'!$E$53)*714/'THAM_SO_MOI'!$C$42</f>
        <v>20.686363247863248</v>
      </c>
      <c r="G720" s="75">
        <f>3.6*F720</f>
        <v>74.47090769230769</v>
      </c>
      <c r="H720" s="75">
        <f>'THAM_SO_MOI'!$D$53</f>
        <v>1.1</v>
      </c>
      <c r="I720" s="75">
        <f>IF(F720&gt;'THAM_SO_MOI'!$C$14,'THAM_SO_MOI'!$C$13*(1+F720^2/1500),'THAM_SO_MOI'!$C$13)</f>
        <v>0.015</v>
      </c>
      <c r="J720" s="75">
        <f>'THAM_SO_MOI'!$C$40*('THAM_SO_MOI'!$C$23*(E720/'THAM_SO_MOI'!$C$22)+'THAM_SO_MOI'!$C$24*(E720/'THAM_SO_MOI'!$C$22)^2-'THAM_SO_MOI'!$C$25*(E720/'THAM_SO_MOI'!$C$22)^3)</f>
        <v>91.61626279865895</v>
      </c>
      <c r="K720" s="75">
        <f>'THAM_SO_MOI'!$C$31*J720/E720</f>
        <v>429.32828385702817</v>
      </c>
      <c r="L720" s="75">
        <f>K720*'THAM_SO_MOI'!$C$53*'THAM_SO_MOI'!$C$17/'THAM_SO_MOI'!$C$26</f>
        <v>3765.2107293742124</v>
      </c>
      <c r="M720" s="75">
        <f>'THAM_SO_MOI'!$C$15*'THAM_SO_MOI'!$C$16*F720^2</f>
        <v>1251.682451435951</v>
      </c>
      <c r="N720" s="75">
        <f>'THAM_SO_MOI'!$C$12*I720</f>
        <v>1130.112</v>
      </c>
      <c r="O720" s="75">
        <f>M720+N720</f>
        <v>2381.794451435951</v>
      </c>
      <c r="P720" s="75">
        <f>(MIN(L720,'THAM_SO_MOI'!$C$41)-O720)/('THAM_SO_MOI'!$C$11*H720)</f>
        <v>0.16375666168776767</v>
      </c>
      <c r="Q720" s="75">
        <f>IF(P720&gt;0,1/P720,NA())</f>
        <v>6.1066217990366995</v>
      </c>
      <c r="R720" s="75">
        <f>F720-F719</f>
        <v>0.017600427350430436</v>
      </c>
      <c r="S720" s="75">
        <f>0.5*(Q719+Q720)*R720</f>
        <v>0.10740397127548809</v>
      </c>
      <c r="T720" s="75">
        <f>0.5*(F719*Q719+F720*Q720)*R720</f>
        <v>2.2208530477891744</v>
      </c>
      <c r="U720" s="76">
        <f>U719+S720</f>
        <v>62.5812320891711</v>
      </c>
      <c r="V720" s="76">
        <f>V719+T720</f>
        <v>912.822995315643</v>
      </c>
    </row>
    <row r="721" spans="1:22" ht="19" customHeight="1">
      <c r="A721" s="68" t="s">
        <v>362</v>
      </c>
      <c r="B721" s="74">
        <v>5</v>
      </c>
      <c r="C721" s="68" t="s">
        <v>363</v>
      </c>
      <c r="D721" s="68" t="s">
        <v>364</v>
      </c>
      <c r="E721" s="75">
        <f>60*F721*'THAM_SO_MOI'!$C$53/(2*PI()*'THAM_SO_MOI'!$C$26)</f>
        <v>2039.8852631578943</v>
      </c>
      <c r="F721" s="75">
        <f>'THAM_SO_MOI'!$E$53+('THAM_SO_MOI'!$C$14-'THAM_SO_MOI'!$E$53)*715/'THAM_SO_MOI'!$C$42</f>
        <v>20.703963675213675</v>
      </c>
      <c r="G721" s="75">
        <f>3.6*F721</f>
        <v>74.53426923076923</v>
      </c>
      <c r="H721" s="75">
        <f>'THAM_SO_MOI'!$D$53</f>
        <v>1.1</v>
      </c>
      <c r="I721" s="75">
        <f>IF(F721&gt;'THAM_SO_MOI'!$C$14,'THAM_SO_MOI'!$C$13*(1+F721^2/1500),'THAM_SO_MOI'!$C$13)</f>
        <v>0.015</v>
      </c>
      <c r="J721" s="75">
        <f>'THAM_SO_MOI'!$C$40*('THAM_SO_MOI'!$C$23*(E721/'THAM_SO_MOI'!$C$22)+'THAM_SO_MOI'!$C$24*(E721/'THAM_SO_MOI'!$C$22)^2-'THAM_SO_MOI'!$C$25*(E721/'THAM_SO_MOI'!$C$22)^3)</f>
        <v>91.69879850071722</v>
      </c>
      <c r="K721" s="75">
        <f>'THAM_SO_MOI'!$C$31*J721/E721</f>
        <v>429.3497586791903</v>
      </c>
      <c r="L721" s="75">
        <f>K721*'THAM_SO_MOI'!$C$53*'THAM_SO_MOI'!$C$17/'THAM_SO_MOI'!$C$26</f>
        <v>3765.399063648604</v>
      </c>
      <c r="M721" s="75">
        <f>'THAM_SO_MOI'!$C$15*'THAM_SO_MOI'!$C$16*F721^2</f>
        <v>1253.8132772038596</v>
      </c>
      <c r="N721" s="75">
        <f>'THAM_SO_MOI'!$C$12*I721</f>
        <v>1130.112</v>
      </c>
      <c r="O721" s="75">
        <f>M721+N721</f>
        <v>2383.92527720386</v>
      </c>
      <c r="P721" s="75">
        <f>(MIN(L721,'THAM_SO_MOI'!$C$41)-O721)/('THAM_SO_MOI'!$C$11*H721)</f>
        <v>0.16352672661514492</v>
      </c>
      <c r="Q721" s="75">
        <f>IF(P721&gt;0,1/P721,NA())</f>
        <v>6.115208325263362</v>
      </c>
      <c r="R721" s="75">
        <f>F721-F720</f>
        <v>0.017600427350426884</v>
      </c>
      <c r="S721" s="75">
        <f>0.5*(Q720+Q721)*R721</f>
        <v>0.10755471659600101</v>
      </c>
      <c r="T721" s="75">
        <f>0.5*(F720*Q720+F721*Q721)*R721</f>
        <v>2.225863105986567</v>
      </c>
      <c r="U721" s="76">
        <f>U720+S721</f>
        <v>62.6887868057671</v>
      </c>
      <c r="V721" s="76">
        <f>V720+T721</f>
        <v>915.0488584216296</v>
      </c>
    </row>
    <row r="722" spans="1:22" ht="19" customHeight="1">
      <c r="A722" s="68" t="s">
        <v>362</v>
      </c>
      <c r="B722" s="74">
        <v>5</v>
      </c>
      <c r="C722" s="68" t="s">
        <v>363</v>
      </c>
      <c r="D722" s="68" t="s">
        <v>364</v>
      </c>
      <c r="E722" s="75">
        <f>60*F722*'THAM_SO_MOI'!$C$53/(2*PI()*'THAM_SO_MOI'!$C$26)</f>
        <v>2041.6193684210523</v>
      </c>
      <c r="F722" s="75">
        <f>'THAM_SO_MOI'!$E$53+('THAM_SO_MOI'!$C$14-'THAM_SO_MOI'!$E$53)*716/'THAM_SO_MOI'!$C$42</f>
        <v>20.721564102564102</v>
      </c>
      <c r="G722" s="75">
        <f>3.6*F722</f>
        <v>74.59763076923078</v>
      </c>
      <c r="H722" s="75">
        <f>'THAM_SO_MOI'!$D$53</f>
        <v>1.1</v>
      </c>
      <c r="I722" s="75">
        <f>IF(F722&gt;'THAM_SO_MOI'!$C$14,'THAM_SO_MOI'!$C$13*(1+F722^2/1500),'THAM_SO_MOI'!$C$13)</f>
        <v>0.015</v>
      </c>
      <c r="J722" s="75">
        <f>'THAM_SO_MOI'!$C$40*('THAM_SO_MOI'!$C$23*(E722/'THAM_SO_MOI'!$C$22)+'THAM_SO_MOI'!$C$24*(E722/'THAM_SO_MOI'!$C$22)^2-'THAM_SO_MOI'!$C$25*(E722/'THAM_SO_MOI'!$C$22)^3)</f>
        <v>91.78127964005635</v>
      </c>
      <c r="K722" s="75">
        <f>'THAM_SO_MOI'!$C$31*J722/E722</f>
        <v>429.37094176572754</v>
      </c>
      <c r="L722" s="75">
        <f>K722*'THAM_SO_MOI'!$C$53*'THAM_SO_MOI'!$C$17/'THAM_SO_MOI'!$C$26</f>
        <v>3765.584839400425</v>
      </c>
      <c r="M722" s="75">
        <f>'THAM_SO_MOI'!$C$15*'THAM_SO_MOI'!$C$16*F722^2</f>
        <v>1255.9459151557692</v>
      </c>
      <c r="N722" s="75">
        <f>'THAM_SO_MOI'!$C$12*I722</f>
        <v>1130.112</v>
      </c>
      <c r="O722" s="75">
        <f>M722+N722</f>
        <v>2386.0579151557695</v>
      </c>
      <c r="P722" s="75">
        <f>(MIN(L722,'THAM_SO_MOI'!$C$41)-O722)/('THAM_SO_MOI'!$C$11*H722)</f>
        <v>0.16329627417668746</v>
      </c>
      <c r="Q722" s="75">
        <f>IF(P722&gt;0,1/P722,NA())</f>
        <v>6.123838434415194</v>
      </c>
      <c r="R722" s="75">
        <f>F722-F721</f>
        <v>0.017600427350426884</v>
      </c>
      <c r="S722" s="75">
        <f>0.5*(Q721+Q722)*R722</f>
        <v>0.10770622666609998</v>
      </c>
      <c r="T722" s="75">
        <f>0.5*(F721*Q721+F722*Q722)*R722</f>
        <v>2.2308943106461854</v>
      </c>
      <c r="U722" s="76">
        <f>U721+S722</f>
        <v>62.796493032433204</v>
      </c>
      <c r="V722" s="76">
        <f>V721+T722</f>
        <v>917.2797527322757</v>
      </c>
    </row>
    <row r="723" spans="1:22" ht="19" customHeight="1">
      <c r="A723" s="68" t="s">
        <v>362</v>
      </c>
      <c r="B723" s="74">
        <v>5</v>
      </c>
      <c r="C723" s="68" t="s">
        <v>363</v>
      </c>
      <c r="D723" s="68" t="s">
        <v>364</v>
      </c>
      <c r="E723" s="75">
        <f>60*F723*'THAM_SO_MOI'!$C$53/(2*PI()*'THAM_SO_MOI'!$C$26)</f>
        <v>2043.3534736842098</v>
      </c>
      <c r="F723" s="75">
        <f>'THAM_SO_MOI'!$E$53+('THAM_SO_MOI'!$C$14-'THAM_SO_MOI'!$E$53)*717/'THAM_SO_MOI'!$C$42</f>
        <v>20.73916452991453</v>
      </c>
      <c r="G723" s="75">
        <f>3.6*F723</f>
        <v>74.66099230769231</v>
      </c>
      <c r="H723" s="75">
        <f>'THAM_SO_MOI'!$D$53</f>
        <v>1.1</v>
      </c>
      <c r="I723" s="75">
        <f>IF(F723&gt;'THAM_SO_MOI'!$C$14,'THAM_SO_MOI'!$C$13*(1+F723^2/1500),'THAM_SO_MOI'!$C$13)</f>
        <v>0.015</v>
      </c>
      <c r="J723" s="75">
        <f>'THAM_SO_MOI'!$C$40*('THAM_SO_MOI'!$C$23*(E723/'THAM_SO_MOI'!$C$22)+'THAM_SO_MOI'!$C$24*(E723/'THAM_SO_MOI'!$C$22)^2-'THAM_SO_MOI'!$C$25*(E723/'THAM_SO_MOI'!$C$22)^3)</f>
        <v>91.86370605777302</v>
      </c>
      <c r="K723" s="75">
        <f>'THAM_SO_MOI'!$C$31*J723/E723</f>
        <v>429.3918331166396</v>
      </c>
      <c r="L723" s="75">
        <f>K723*'THAM_SO_MOI'!$C$53*'THAM_SO_MOI'!$C$17/'THAM_SO_MOI'!$C$26</f>
        <v>3765.7680566296713</v>
      </c>
      <c r="M723" s="75">
        <f>'THAM_SO_MOI'!$C$15*'THAM_SO_MOI'!$C$16*F723^2</f>
        <v>1258.08036529168</v>
      </c>
      <c r="N723" s="75">
        <f>'THAM_SO_MOI'!$C$12*I723</f>
        <v>1130.112</v>
      </c>
      <c r="O723" s="75">
        <f>M723+N723</f>
        <v>2388.1923652916803</v>
      </c>
      <c r="P723" s="75">
        <f>(MIN(L723,'THAM_SO_MOI'!$C$41)-O723)/('THAM_SO_MOI'!$C$11*H723)</f>
        <v>0.16306530437239478</v>
      </c>
      <c r="Q723" s="75">
        <f>IF(P723&gt;0,1/P723,NA())</f>
        <v>6.132512393416839</v>
      </c>
      <c r="R723" s="75">
        <f>F723-F722</f>
        <v>0.017600427350426884</v>
      </c>
      <c r="S723" s="75">
        <f>0.5*(Q722+Q723)*R723</f>
        <v>0.10785850616330105</v>
      </c>
      <c r="T723" s="75">
        <f>0.5*(F722*Q722+F723*Q723)*R723</f>
        <v>2.2359467991145796</v>
      </c>
      <c r="U723" s="76">
        <f>U722+S723</f>
        <v>62.90435153859651</v>
      </c>
      <c r="V723" s="76">
        <f>V722+T723</f>
        <v>919.5156995313903</v>
      </c>
    </row>
    <row r="724" spans="1:22" ht="19" customHeight="1">
      <c r="A724" s="68" t="s">
        <v>362</v>
      </c>
      <c r="B724" s="74">
        <v>5</v>
      </c>
      <c r="C724" s="68" t="s">
        <v>363</v>
      </c>
      <c r="D724" s="68" t="s">
        <v>364</v>
      </c>
      <c r="E724" s="75">
        <f>60*F724*'THAM_SO_MOI'!$C$53/(2*PI()*'THAM_SO_MOI'!$C$26)</f>
        <v>2045.0875789473678</v>
      </c>
      <c r="F724" s="75">
        <f>'THAM_SO_MOI'!$E$53+('THAM_SO_MOI'!$C$14-'THAM_SO_MOI'!$E$53)*718/'THAM_SO_MOI'!$C$42</f>
        <v>20.756764957264956</v>
      </c>
      <c r="G724" s="75">
        <f>3.6*F724</f>
        <v>74.72435384615385</v>
      </c>
      <c r="H724" s="75">
        <f>'THAM_SO_MOI'!$D$53</f>
        <v>1.1</v>
      </c>
      <c r="I724" s="75">
        <f>IF(F724&gt;'THAM_SO_MOI'!$C$14,'THAM_SO_MOI'!$C$13*(1+F724^2/1500),'THAM_SO_MOI'!$C$13)</f>
        <v>0.015</v>
      </c>
      <c r="J724" s="75">
        <f>'THAM_SO_MOI'!$C$40*('THAM_SO_MOI'!$C$23*(E724/'THAM_SO_MOI'!$C$22)+'THAM_SO_MOI'!$C$24*(E724/'THAM_SO_MOI'!$C$22)^2-'THAM_SO_MOI'!$C$25*(E724/'THAM_SO_MOI'!$C$22)^3)</f>
        <v>91.94607759496405</v>
      </c>
      <c r="K724" s="75">
        <f>'THAM_SO_MOI'!$C$31*J724/E724</f>
        <v>429.41243273192686</v>
      </c>
      <c r="L724" s="75">
        <f>K724*'THAM_SO_MOI'!$C$53*'THAM_SO_MOI'!$C$17/'THAM_SO_MOI'!$C$26</f>
        <v>3765.948715336346</v>
      </c>
      <c r="M724" s="75">
        <f>'THAM_SO_MOI'!$C$15*'THAM_SO_MOI'!$C$16*F724^2</f>
        <v>1260.2166276115918</v>
      </c>
      <c r="N724" s="75">
        <f>'THAM_SO_MOI'!$C$12*I724</f>
        <v>1130.112</v>
      </c>
      <c r="O724" s="75">
        <f>M724+N724</f>
        <v>2390.328627611592</v>
      </c>
      <c r="P724" s="75">
        <f>(MIN(L724,'THAM_SO_MOI'!$C$41)-O724)/('THAM_SO_MOI'!$C$11*H724)</f>
        <v>0.1628338172022673</v>
      </c>
      <c r="Q724" s="75">
        <f>IF(P724&gt;0,1/P724,NA())</f>
        <v>6.141230471541608</v>
      </c>
      <c r="R724" s="75">
        <f>F724-F723</f>
        <v>0.017600427350426884</v>
      </c>
      <c r="S724" s="75">
        <f>0.5*(Q723+Q724)*R724</f>
        <v>0.10801155980626073</v>
      </c>
      <c r="T724" s="75">
        <f>0.5*(F723*Q723+F724*Q724)*R724</f>
        <v>2.2410207099211887</v>
      </c>
      <c r="U724" s="76">
        <f>U723+S724</f>
        <v>63.012363098402766</v>
      </c>
      <c r="V724" s="76">
        <f>V723+T724</f>
        <v>921.7567202413114</v>
      </c>
    </row>
    <row r="725" spans="1:22" ht="19" customHeight="1">
      <c r="A725" s="68" t="s">
        <v>362</v>
      </c>
      <c r="B725" s="74">
        <v>5</v>
      </c>
      <c r="C725" s="68" t="s">
        <v>363</v>
      </c>
      <c r="D725" s="68" t="s">
        <v>364</v>
      </c>
      <c r="E725" s="75">
        <f>60*F725*'THAM_SO_MOI'!$C$53/(2*PI()*'THAM_SO_MOI'!$C$26)</f>
        <v>2046.8216842105255</v>
      </c>
      <c r="F725" s="75">
        <f>'THAM_SO_MOI'!$E$53+('THAM_SO_MOI'!$C$14-'THAM_SO_MOI'!$E$53)*719/'THAM_SO_MOI'!$C$42</f>
        <v>20.774365384615383</v>
      </c>
      <c r="G725" s="75">
        <f>3.6*F725</f>
        <v>74.78771538461538</v>
      </c>
      <c r="H725" s="75">
        <f>'THAM_SO_MOI'!$D$53</f>
        <v>1.1</v>
      </c>
      <c r="I725" s="75">
        <f>IF(F725&gt;'THAM_SO_MOI'!$C$14,'THAM_SO_MOI'!$C$13*(1+F725^2/1500),'THAM_SO_MOI'!$C$13)</f>
        <v>0.015</v>
      </c>
      <c r="J725" s="75">
        <f>'THAM_SO_MOI'!$C$40*('THAM_SO_MOI'!$C$23*(E725/'THAM_SO_MOI'!$C$22)+'THAM_SO_MOI'!$C$24*(E725/'THAM_SO_MOI'!$C$22)^2-'THAM_SO_MOI'!$C$25*(E725/'THAM_SO_MOI'!$C$22)^3)</f>
        <v>92.02839409272603</v>
      </c>
      <c r="K725" s="75">
        <f>'THAM_SO_MOI'!$C$31*J725/E725</f>
        <v>429.4327406115888</v>
      </c>
      <c r="L725" s="75">
        <f>K725*'THAM_SO_MOI'!$C$53*'THAM_SO_MOI'!$C$17/'THAM_SO_MOI'!$C$26</f>
        <v>3766.1268155204452</v>
      </c>
      <c r="M725" s="75">
        <f>'THAM_SO_MOI'!$C$15*'THAM_SO_MOI'!$C$16*F725^2</f>
        <v>1262.3547021155048</v>
      </c>
      <c r="N725" s="75">
        <f>'THAM_SO_MOI'!$C$12*I725</f>
        <v>1130.112</v>
      </c>
      <c r="O725" s="75">
        <f>M725+N725</f>
        <v>2392.4667021155046</v>
      </c>
      <c r="P725" s="75">
        <f>(MIN(L725,'THAM_SO_MOI'!$C$41)-O725)/('THAM_SO_MOI'!$C$11*H725)</f>
        <v>0.16260181266630452</v>
      </c>
      <c r="Q725" s="75">
        <f>IF(P725&gt;0,1/P725,NA())</f>
        <v>6.149992940436801</v>
      </c>
      <c r="R725" s="75">
        <f>F725-F724</f>
        <v>0.017600427350426884</v>
      </c>
      <c r="S725" s="75">
        <f>0.5*(Q724+Q725)*R725</f>
        <v>0.108165392355196</v>
      </c>
      <c r="T725" s="75">
        <f>0.5*(F724*Q724+F725*Q725)*R725</f>
        <v>2.246116182790681</v>
      </c>
      <c r="U725" s="76">
        <f>U724+S725</f>
        <v>63.12052849075796</v>
      </c>
      <c r="V725" s="76">
        <f>V724+T725</f>
        <v>924.0028364241022</v>
      </c>
    </row>
    <row r="726" spans="1:22" ht="19" customHeight="1">
      <c r="A726" s="68" t="s">
        <v>362</v>
      </c>
      <c r="B726" s="74">
        <v>5</v>
      </c>
      <c r="C726" s="68" t="s">
        <v>363</v>
      </c>
      <c r="D726" s="68" t="s">
        <v>364</v>
      </c>
      <c r="E726" s="75">
        <f>60*F726*'THAM_SO_MOI'!$C$53/(2*PI()*'THAM_SO_MOI'!$C$26)</f>
        <v>2048.5557894736835</v>
      </c>
      <c r="F726" s="75">
        <f>'THAM_SO_MOI'!$E$53+('THAM_SO_MOI'!$C$14-'THAM_SO_MOI'!$E$53)*720/'THAM_SO_MOI'!$C$42</f>
        <v>20.79196581196581</v>
      </c>
      <c r="G726" s="75">
        <f>3.6*F726</f>
        <v>74.85107692307692</v>
      </c>
      <c r="H726" s="75">
        <f>'THAM_SO_MOI'!$D$53</f>
        <v>1.1</v>
      </c>
      <c r="I726" s="75">
        <f>IF(F726&gt;'THAM_SO_MOI'!$C$14,'THAM_SO_MOI'!$C$13*(1+F726^2/1500),'THAM_SO_MOI'!$C$13)</f>
        <v>0.015</v>
      </c>
      <c r="J726" s="75">
        <f>'THAM_SO_MOI'!$C$40*('THAM_SO_MOI'!$C$23*(E726/'THAM_SO_MOI'!$C$22)+'THAM_SO_MOI'!$C$24*(E726/'THAM_SO_MOI'!$C$22)^2-'THAM_SO_MOI'!$C$25*(E726/'THAM_SO_MOI'!$C$22)^3)</f>
        <v>92.11065539215579</v>
      </c>
      <c r="K726" s="75">
        <f>'THAM_SO_MOI'!$C$31*J726/E726</f>
        <v>429.4527567556259</v>
      </c>
      <c r="L726" s="75">
        <f>K726*'THAM_SO_MOI'!$C$53*'THAM_SO_MOI'!$C$17/'THAM_SO_MOI'!$C$26</f>
        <v>3766.302357181973</v>
      </c>
      <c r="M726" s="75">
        <f>'THAM_SO_MOI'!$C$15*'THAM_SO_MOI'!$C$16*F726^2</f>
        <v>1264.4945888034185</v>
      </c>
      <c r="N726" s="75">
        <f>'THAM_SO_MOI'!$C$12*I726</f>
        <v>1130.112</v>
      </c>
      <c r="O726" s="75">
        <f>M726+N726</f>
        <v>2394.6065888034186</v>
      </c>
      <c r="P726" s="75">
        <f>(MIN(L726,'THAM_SO_MOI'!$C$41)-O726)/('THAM_SO_MOI'!$C$11*H726)</f>
        <v>0.16236929076450693</v>
      </c>
      <c r="Q726" s="75">
        <f>IF(P726&gt;0,1/P726,NA())</f>
        <v>6.158800074149211</v>
      </c>
      <c r="R726" s="75">
        <f>F726-F725</f>
        <v>0.017600427350426884</v>
      </c>
      <c r="S726" s="75">
        <f>0.5*(Q725+Q726)*R726</f>
        <v>0.10832000861233151</v>
      </c>
      <c r="T726" s="75">
        <f>0.5*(F725*Q725+F726*Q726)*R726</f>
        <v>2.251233358655905</v>
      </c>
      <c r="U726" s="76">
        <f>U725+S726</f>
        <v>63.228848499370294</v>
      </c>
      <c r="V726" s="76">
        <f>V725+T726</f>
        <v>926.254069782758</v>
      </c>
    </row>
    <row r="727" spans="1:22" ht="19" customHeight="1">
      <c r="A727" s="68" t="s">
        <v>362</v>
      </c>
      <c r="B727" s="74">
        <v>5</v>
      </c>
      <c r="C727" s="68" t="s">
        <v>363</v>
      </c>
      <c r="D727" s="68" t="s">
        <v>364</v>
      </c>
      <c r="E727" s="75">
        <f>60*F727*'THAM_SO_MOI'!$C$53/(2*PI()*'THAM_SO_MOI'!$C$26)</f>
        <v>2050.2898947368417</v>
      </c>
      <c r="F727" s="75">
        <f>'THAM_SO_MOI'!$E$53+('THAM_SO_MOI'!$C$14-'THAM_SO_MOI'!$E$53)*721/'THAM_SO_MOI'!$C$42</f>
        <v>20.80956623931624</v>
      </c>
      <c r="G727" s="75">
        <f>3.6*F727</f>
        <v>74.91443846153847</v>
      </c>
      <c r="H727" s="75">
        <f>'THAM_SO_MOI'!$D$53</f>
        <v>1.1</v>
      </c>
      <c r="I727" s="75">
        <f>IF(F727&gt;'THAM_SO_MOI'!$C$14,'THAM_SO_MOI'!$C$13*(1+F727^2/1500),'THAM_SO_MOI'!$C$13)</f>
        <v>0.015</v>
      </c>
      <c r="J727" s="75">
        <f>'THAM_SO_MOI'!$C$40*('THAM_SO_MOI'!$C$23*(E727/'THAM_SO_MOI'!$C$22)+'THAM_SO_MOI'!$C$24*(E727/'THAM_SO_MOI'!$C$22)^2-'THAM_SO_MOI'!$C$25*(E727/'THAM_SO_MOI'!$C$22)^3)</f>
        <v>92.19286133435001</v>
      </c>
      <c r="K727" s="75">
        <f>'THAM_SO_MOI'!$C$31*J727/E727</f>
        <v>429.4724811640379</v>
      </c>
      <c r="L727" s="75">
        <f>K727*'THAM_SO_MOI'!$C$53*'THAM_SO_MOI'!$C$17/'THAM_SO_MOI'!$C$26</f>
        <v>3766.4753403209274</v>
      </c>
      <c r="M727" s="75">
        <f>'THAM_SO_MOI'!$C$15*'THAM_SO_MOI'!$C$16*F727^2</f>
        <v>1266.636287675334</v>
      </c>
      <c r="N727" s="75">
        <f>'THAM_SO_MOI'!$C$12*I727</f>
        <v>1130.112</v>
      </c>
      <c r="O727" s="75">
        <f>M727+N727</f>
        <v>2396.748287675334</v>
      </c>
      <c r="P727" s="75">
        <f>(MIN(L727,'THAM_SO_MOI'!$C$41)-O727)/('THAM_SO_MOI'!$C$11*H727)</f>
        <v>0.1621362514968742</v>
      </c>
      <c r="Q727" s="75">
        <f>IF(P727&gt;0,1/P727,NA())</f>
        <v>6.167652149151104</v>
      </c>
      <c r="R727" s="75">
        <f>F727-F726</f>
        <v>0.017600427350430436</v>
      </c>
      <c r="S727" s="75">
        <f>0.5*(Q726+Q727)*R727</f>
        <v>0.10847541342237446</v>
      </c>
      <c r="T727" s="75">
        <f>0.5*(F726*Q726+F727*Q727)*R727</f>
        <v>2.2563723796714696</v>
      </c>
      <c r="U727" s="76">
        <f>U726+S727</f>
        <v>63.33732391279267</v>
      </c>
      <c r="V727" s="76">
        <f>V726+T727</f>
        <v>928.5104421624295</v>
      </c>
    </row>
    <row r="728" spans="1:22" ht="19" customHeight="1">
      <c r="A728" s="68" t="s">
        <v>362</v>
      </c>
      <c r="B728" s="74">
        <v>5</v>
      </c>
      <c r="C728" s="68" t="s">
        <v>363</v>
      </c>
      <c r="D728" s="68" t="s">
        <v>364</v>
      </c>
      <c r="E728" s="75">
        <f>60*F728*'THAM_SO_MOI'!$C$53/(2*PI()*'THAM_SO_MOI'!$C$26)</f>
        <v>2052.0239999999994</v>
      </c>
      <c r="F728" s="75">
        <f>'THAM_SO_MOI'!$E$53+('THAM_SO_MOI'!$C$14-'THAM_SO_MOI'!$E$53)*722/'THAM_SO_MOI'!$C$42</f>
        <v>20.827166666666663</v>
      </c>
      <c r="G728" s="75">
        <f>3.6*F728</f>
        <v>74.97779999999999</v>
      </c>
      <c r="H728" s="75">
        <f>'THAM_SO_MOI'!$D$53</f>
        <v>1.1</v>
      </c>
      <c r="I728" s="75">
        <f>IF(F728&gt;'THAM_SO_MOI'!$C$14,'THAM_SO_MOI'!$C$13*(1+F728^2/1500),'THAM_SO_MOI'!$C$13)</f>
        <v>0.015</v>
      </c>
      <c r="J728" s="75">
        <f>'THAM_SO_MOI'!$C$40*('THAM_SO_MOI'!$C$23*(E728/'THAM_SO_MOI'!$C$22)+'THAM_SO_MOI'!$C$24*(E728/'THAM_SO_MOI'!$C$22)^2-'THAM_SO_MOI'!$C$25*(E728/'THAM_SO_MOI'!$C$22)^3)</f>
        <v>92.2750117604054</v>
      </c>
      <c r="K728" s="75">
        <f>'THAM_SO_MOI'!$C$31*J728/E728</f>
        <v>429.49191383682495</v>
      </c>
      <c r="L728" s="75">
        <f>K728*'THAM_SO_MOI'!$C$53*'THAM_SO_MOI'!$C$17/'THAM_SO_MOI'!$C$26</f>
        <v>3766.645764937309</v>
      </c>
      <c r="M728" s="75">
        <f>'THAM_SO_MOI'!$C$15*'THAM_SO_MOI'!$C$16*F728^2</f>
        <v>1268.7797987312497</v>
      </c>
      <c r="N728" s="75">
        <f>'THAM_SO_MOI'!$C$12*I728</f>
        <v>1130.112</v>
      </c>
      <c r="O728" s="75">
        <f>M728+N728</f>
        <v>2398.8917987312498</v>
      </c>
      <c r="P728" s="75">
        <f>(MIN(L728,'THAM_SO_MOI'!$C$41)-O728)/('THAM_SO_MOI'!$C$11*H728)</f>
        <v>0.16190269486340667</v>
      </c>
      <c r="Q728" s="75">
        <f>IF(P728&gt;0,1/P728,NA())</f>
        <v>6.176549444366417</v>
      </c>
      <c r="R728" s="75">
        <f>F728-F727</f>
        <v>0.01760042735042333</v>
      </c>
      <c r="S728" s="75">
        <f>0.5*(Q727+Q728)*R728</f>
        <v>0.10863161167284252</v>
      </c>
      <c r="T728" s="75">
        <f>0.5*(F727*Q727+F728*Q728)*R728</f>
        <v>2.2615333892243012</v>
      </c>
      <c r="U728" s="76">
        <f>U727+S728</f>
        <v>63.44595552446551</v>
      </c>
      <c r="V728" s="76">
        <f>V727+T728</f>
        <v>930.7719755516538</v>
      </c>
    </row>
    <row r="729" spans="1:22" ht="19" customHeight="1">
      <c r="A729" s="68" t="s">
        <v>362</v>
      </c>
      <c r="B729" s="74">
        <v>5</v>
      </c>
      <c r="C729" s="68" t="s">
        <v>363</v>
      </c>
      <c r="D729" s="68" t="s">
        <v>364</v>
      </c>
      <c r="E729" s="75">
        <f>60*F729*'THAM_SO_MOI'!$C$53/(2*PI()*'THAM_SO_MOI'!$C$26)</f>
        <v>2053.7581052631576</v>
      </c>
      <c r="F729" s="75">
        <f>'THAM_SO_MOI'!$E$53+('THAM_SO_MOI'!$C$14-'THAM_SO_MOI'!$E$53)*723/'THAM_SO_MOI'!$C$42</f>
        <v>20.844767094017094</v>
      </c>
      <c r="G729" s="75">
        <f>3.6*F729</f>
        <v>75.04116153846154</v>
      </c>
      <c r="H729" s="75">
        <f>'THAM_SO_MOI'!$D$53</f>
        <v>1.1</v>
      </c>
      <c r="I729" s="75">
        <f>IF(F729&gt;'THAM_SO_MOI'!$C$14,'THAM_SO_MOI'!$C$13*(1+F729^2/1500),'THAM_SO_MOI'!$C$13)</f>
        <v>0.015</v>
      </c>
      <c r="J729" s="75">
        <f>'THAM_SO_MOI'!$C$40*('THAM_SO_MOI'!$C$23*(E729/'THAM_SO_MOI'!$C$22)+'THAM_SO_MOI'!$C$24*(E729/'THAM_SO_MOI'!$C$22)^2-'THAM_SO_MOI'!$C$25*(E729/'THAM_SO_MOI'!$C$22)^3)</f>
        <v>92.3571065114187</v>
      </c>
      <c r="K729" s="75">
        <f>'THAM_SO_MOI'!$C$31*J729/E729</f>
        <v>429.51105477398687</v>
      </c>
      <c r="L729" s="75">
        <f>K729*'THAM_SO_MOI'!$C$53*'THAM_SO_MOI'!$C$17/'THAM_SO_MOI'!$C$26</f>
        <v>3766.813631031117</v>
      </c>
      <c r="M729" s="75">
        <f>'THAM_SO_MOI'!$C$15*'THAM_SO_MOI'!$C$16*F729^2</f>
        <v>1270.9251219711673</v>
      </c>
      <c r="N729" s="75">
        <f>'THAM_SO_MOI'!$C$12*I729</f>
        <v>1130.112</v>
      </c>
      <c r="O729" s="75">
        <f>M729+N729</f>
        <v>2401.0371219711674</v>
      </c>
      <c r="P729" s="75">
        <f>(MIN(L729,'THAM_SO_MOI'!$C$41)-O729)/('THAM_SO_MOI'!$C$11*H729)</f>
        <v>0.16166862086410388</v>
      </c>
      <c r="Q729" s="75">
        <f>IF(P729&gt;0,1/P729,NA())</f>
        <v>6.185492241197408</v>
      </c>
      <c r="R729" s="75">
        <f>F729-F728</f>
        <v>0.017600427350430436</v>
      </c>
      <c r="S729" s="75">
        <f>0.5*(Q728+Q729)*R729</f>
        <v>0.10878860829487935</v>
      </c>
      <c r="T729" s="75">
        <f>0.5*(F728*Q728+F729*Q729)*R729</f>
        <v>2.2667165319544105</v>
      </c>
      <c r="U729" s="76">
        <f>U728+S729</f>
        <v>63.55474413276039</v>
      </c>
      <c r="V729" s="76">
        <f>V728+T729</f>
        <v>933.0386920836082</v>
      </c>
    </row>
    <row r="730" spans="1:22" ht="19" customHeight="1">
      <c r="A730" s="68" t="s">
        <v>362</v>
      </c>
      <c r="B730" s="74">
        <v>5</v>
      </c>
      <c r="C730" s="68" t="s">
        <v>363</v>
      </c>
      <c r="D730" s="68" t="s">
        <v>364</v>
      </c>
      <c r="E730" s="75">
        <f>60*F730*'THAM_SO_MOI'!$C$53/(2*PI()*'THAM_SO_MOI'!$C$26)</f>
        <v>2055.492210526316</v>
      </c>
      <c r="F730" s="75">
        <f>'THAM_SO_MOI'!$E$53+('THAM_SO_MOI'!$C$14-'THAM_SO_MOI'!$E$53)*724/'THAM_SO_MOI'!$C$42</f>
        <v>20.862367521367524</v>
      </c>
      <c r="G730" s="75">
        <f>3.6*F730</f>
        <v>75.10452307692309</v>
      </c>
      <c r="H730" s="75">
        <f>'THAM_SO_MOI'!$D$53</f>
        <v>1.1</v>
      </c>
      <c r="I730" s="75">
        <f>IF(F730&gt;'THAM_SO_MOI'!$C$14,'THAM_SO_MOI'!$C$13*(1+F730^2/1500),'THAM_SO_MOI'!$C$13)</f>
        <v>0.015</v>
      </c>
      <c r="J730" s="75">
        <f>'THAM_SO_MOI'!$C$40*('THAM_SO_MOI'!$C$23*(E730/'THAM_SO_MOI'!$C$22)+'THAM_SO_MOI'!$C$24*(E730/'THAM_SO_MOI'!$C$22)^2-'THAM_SO_MOI'!$C$25*(E730/'THAM_SO_MOI'!$C$22)^3)</f>
        <v>92.43914542848663</v>
      </c>
      <c r="K730" s="75">
        <f>'THAM_SO_MOI'!$C$31*J730/E730</f>
        <v>429.5299039755238</v>
      </c>
      <c r="L730" s="75">
        <f>K730*'THAM_SO_MOI'!$C$53*'THAM_SO_MOI'!$C$17/'THAM_SO_MOI'!$C$26</f>
        <v>3766.978938602352</v>
      </c>
      <c r="M730" s="75">
        <f>'THAM_SO_MOI'!$C$15*'THAM_SO_MOI'!$C$16*F730^2</f>
        <v>1273.072257395086</v>
      </c>
      <c r="N730" s="75">
        <f>'THAM_SO_MOI'!$C$12*I730</f>
        <v>1130.112</v>
      </c>
      <c r="O730" s="75">
        <f>M730+N730</f>
        <v>2403.184257395086</v>
      </c>
      <c r="P730" s="75">
        <f>(MIN(L730,'THAM_SO_MOI'!$C$41)-O730)/('THAM_SO_MOI'!$C$11*H730)</f>
        <v>0.16143402949896615</v>
      </c>
      <c r="Q730" s="75">
        <f>IF(P730&gt;0,1/P730,NA())</f>
        <v>6.194480823551543</v>
      </c>
      <c r="R730" s="75">
        <f>F730-F729</f>
        <v>0.017600427350430436</v>
      </c>
      <c r="S730" s="75">
        <f>0.5*(Q729+Q730)*R730</f>
        <v>0.10894640826319978</v>
      </c>
      <c r="T730" s="75">
        <f>0.5*(F729*Q729+F730*Q730)*R730</f>
        <v>2.2719219537575834</v>
      </c>
      <c r="U730" s="76">
        <f>U729+S730</f>
        <v>63.66369054102359</v>
      </c>
      <c r="V730" s="76">
        <f>V729+T730</f>
        <v>935.3106140373658</v>
      </c>
    </row>
    <row r="731" spans="1:22" ht="19" customHeight="1">
      <c r="A731" s="68" t="s">
        <v>362</v>
      </c>
      <c r="B731" s="74">
        <v>5</v>
      </c>
      <c r="C731" s="68" t="s">
        <v>363</v>
      </c>
      <c r="D731" s="68" t="s">
        <v>364</v>
      </c>
      <c r="E731" s="75">
        <f>60*F731*'THAM_SO_MOI'!$C$53/(2*PI()*'THAM_SO_MOI'!$C$26)</f>
        <v>2057.226315789473</v>
      </c>
      <c r="F731" s="75">
        <f>'THAM_SO_MOI'!$E$53+('THAM_SO_MOI'!$C$14-'THAM_SO_MOI'!$E$53)*725/'THAM_SO_MOI'!$C$42</f>
        <v>20.879967948717947</v>
      </c>
      <c r="G731" s="75">
        <f>3.6*F731</f>
        <v>75.16788461538461</v>
      </c>
      <c r="H731" s="75">
        <f>'THAM_SO_MOI'!$D$53</f>
        <v>1.1</v>
      </c>
      <c r="I731" s="75">
        <f>IF(F731&gt;'THAM_SO_MOI'!$C$14,'THAM_SO_MOI'!$C$13*(1+F731^2/1500),'THAM_SO_MOI'!$C$13)</f>
        <v>0.015</v>
      </c>
      <c r="J731" s="75">
        <f>'THAM_SO_MOI'!$C$40*('THAM_SO_MOI'!$C$23*(E731/'THAM_SO_MOI'!$C$22)+'THAM_SO_MOI'!$C$24*(E731/'THAM_SO_MOI'!$C$22)^2-'THAM_SO_MOI'!$C$25*(E731/'THAM_SO_MOI'!$C$22)^3)</f>
        <v>92.52112835270586</v>
      </c>
      <c r="K731" s="75">
        <f>'THAM_SO_MOI'!$C$31*J731/E731</f>
        <v>429.5484614414357</v>
      </c>
      <c r="L731" s="75">
        <f>K731*'THAM_SO_MOI'!$C$53*'THAM_SO_MOI'!$C$17/'THAM_SO_MOI'!$C$26</f>
        <v>3767.1416876510143</v>
      </c>
      <c r="M731" s="75">
        <f>'THAM_SO_MOI'!$C$15*'THAM_SO_MOI'!$C$16*F731^2</f>
        <v>1275.2212050030048</v>
      </c>
      <c r="N731" s="75">
        <f>'THAM_SO_MOI'!$C$12*I731</f>
        <v>1130.112</v>
      </c>
      <c r="O731" s="75">
        <f>M731+N731</f>
        <v>2405.333205003005</v>
      </c>
      <c r="P731" s="75">
        <f>(MIN(L731,'THAM_SO_MOI'!$C$41)-O731)/('THAM_SO_MOI'!$C$11*H731)</f>
        <v>0.16119892076799355</v>
      </c>
      <c r="Q731" s="75">
        <f>IF(P731&gt;0,1/P731,NA())</f>
        <v>6.203515477868835</v>
      </c>
      <c r="R731" s="75">
        <f>F731-F730</f>
        <v>0.01760042735042333</v>
      </c>
      <c r="S731" s="75">
        <f>0.5*(Q730+Q731)*R731</f>
        <v>0.10910501659698325</v>
      </c>
      <c r="T731" s="75">
        <f>0.5*(F730*Q730+F731*Q731)*R731</f>
        <v>2.2771498018078664</v>
      </c>
      <c r="U731" s="76">
        <f>U730+S731</f>
        <v>63.772795557620576</v>
      </c>
      <c r="V731" s="76">
        <f>V730+T731</f>
        <v>937.5877638391737</v>
      </c>
    </row>
    <row r="732" spans="1:22" ht="19" customHeight="1">
      <c r="A732" s="68" t="s">
        <v>362</v>
      </c>
      <c r="B732" s="74">
        <v>5</v>
      </c>
      <c r="C732" s="68" t="s">
        <v>363</v>
      </c>
      <c r="D732" s="68" t="s">
        <v>364</v>
      </c>
      <c r="E732" s="75">
        <f>60*F732*'THAM_SO_MOI'!$C$53/(2*PI()*'THAM_SO_MOI'!$C$26)</f>
        <v>2058.9604210526313</v>
      </c>
      <c r="F732" s="75">
        <f>'THAM_SO_MOI'!$E$53+('THAM_SO_MOI'!$C$14-'THAM_SO_MOI'!$E$53)*726/'THAM_SO_MOI'!$C$42</f>
        <v>20.897568376068378</v>
      </c>
      <c r="G732" s="75">
        <f>3.6*F732</f>
        <v>75.23124615384616</v>
      </c>
      <c r="H732" s="75">
        <f>'THAM_SO_MOI'!$D$53</f>
        <v>1.1</v>
      </c>
      <c r="I732" s="75">
        <f>IF(F732&gt;'THAM_SO_MOI'!$C$14,'THAM_SO_MOI'!$C$13*(1+F732^2/1500),'THAM_SO_MOI'!$C$13)</f>
        <v>0.015</v>
      </c>
      <c r="J732" s="75">
        <f>'THAM_SO_MOI'!$C$40*('THAM_SO_MOI'!$C$23*(E732/'THAM_SO_MOI'!$C$22)+'THAM_SO_MOI'!$C$24*(E732/'THAM_SO_MOI'!$C$22)^2-'THAM_SO_MOI'!$C$25*(E732/'THAM_SO_MOI'!$C$22)^3)</f>
        <v>92.60305512517319</v>
      </c>
      <c r="K732" s="75">
        <f>'THAM_SO_MOI'!$C$31*J732/E732</f>
        <v>429.56672717172245</v>
      </c>
      <c r="L732" s="75">
        <f>K732*'THAM_SO_MOI'!$C$53*'THAM_SO_MOI'!$C$17/'THAM_SO_MOI'!$C$26</f>
        <v>3767.3018781771025</v>
      </c>
      <c r="M732" s="75">
        <f>'THAM_SO_MOI'!$C$15*'THAM_SO_MOI'!$C$16*F732^2</f>
        <v>1277.3719647949256</v>
      </c>
      <c r="N732" s="75">
        <f>'THAM_SO_MOI'!$C$12*I732</f>
        <v>1130.112</v>
      </c>
      <c r="O732" s="75">
        <f>M732+N732</f>
        <v>2407.4839647949257</v>
      </c>
      <c r="P732" s="75">
        <f>(MIN(L732,'THAM_SO_MOI'!$C$41)-O732)/('THAM_SO_MOI'!$C$11*H732)</f>
        <v>0.1609632946711857</v>
      </c>
      <c r="Q732" s="75">
        <f>IF(P732&gt;0,1/P732,NA())</f>
        <v>6.212596493149514</v>
      </c>
      <c r="R732" s="75">
        <f>F732-F731</f>
        <v>0.017600427350430436</v>
      </c>
      <c r="S732" s="75">
        <f>0.5*(Q731+Q732)*R732</f>
        <v>0.10926443836035905</v>
      </c>
      <c r="T732" s="75">
        <f>0.5*(F731*Q731+F732*Q732)*R732</f>
        <v>2.282400224571613</v>
      </c>
      <c r="U732" s="76">
        <f>U731+S732</f>
        <v>63.88205999598093</v>
      </c>
      <c r="V732" s="76">
        <f>V731+T732</f>
        <v>939.8701640637453</v>
      </c>
    </row>
    <row r="733" spans="1:22" ht="19" customHeight="1">
      <c r="A733" s="68" t="s">
        <v>362</v>
      </c>
      <c r="B733" s="74">
        <v>5</v>
      </c>
      <c r="C733" s="68" t="s">
        <v>363</v>
      </c>
      <c r="D733" s="68" t="s">
        <v>364</v>
      </c>
      <c r="E733" s="75">
        <f>60*F733*'THAM_SO_MOI'!$C$53/(2*PI()*'THAM_SO_MOI'!$C$26)</f>
        <v>2060.694526315789</v>
      </c>
      <c r="F733" s="75">
        <f>'THAM_SO_MOI'!$E$53+('THAM_SO_MOI'!$C$14-'THAM_SO_MOI'!$E$53)*727/'THAM_SO_MOI'!$C$42</f>
        <v>20.9151688034188</v>
      </c>
      <c r="G733" s="75">
        <f>3.6*F733</f>
        <v>75.2946076923077</v>
      </c>
      <c r="H733" s="75">
        <f>'THAM_SO_MOI'!$D$53</f>
        <v>1.1</v>
      </c>
      <c r="I733" s="75">
        <f>IF(F733&gt;'THAM_SO_MOI'!$C$14,'THAM_SO_MOI'!$C$13*(1+F733^2/1500),'THAM_SO_MOI'!$C$13)</f>
        <v>0.015</v>
      </c>
      <c r="J733" s="75">
        <f>'THAM_SO_MOI'!$C$40*('THAM_SO_MOI'!$C$23*(E733/'THAM_SO_MOI'!$C$22)+'THAM_SO_MOI'!$C$24*(E733/'THAM_SO_MOI'!$C$22)^2-'THAM_SO_MOI'!$C$25*(E733/'THAM_SO_MOI'!$C$22)^3)</f>
        <v>92.6849255869853</v>
      </c>
      <c r="K733" s="75">
        <f>'THAM_SO_MOI'!$C$31*J733/E733</f>
        <v>429.5847011663843</v>
      </c>
      <c r="L733" s="75">
        <f>K733*'THAM_SO_MOI'!$C$53*'THAM_SO_MOI'!$C$17/'THAM_SO_MOI'!$C$26</f>
        <v>3767.4595101806185</v>
      </c>
      <c r="M733" s="75">
        <f>'THAM_SO_MOI'!$C$15*'THAM_SO_MOI'!$C$16*F733^2</f>
        <v>1279.5245367708465</v>
      </c>
      <c r="N733" s="75">
        <f>'THAM_SO_MOI'!$C$12*I733</f>
        <v>1130.112</v>
      </c>
      <c r="O733" s="75">
        <f>M733+N733</f>
        <v>2409.6365367708468</v>
      </c>
      <c r="P733" s="75">
        <f>(MIN(L733,'THAM_SO_MOI'!$C$41)-O733)/('THAM_SO_MOI'!$C$11*H733)</f>
        <v>0.1607271512085431</v>
      </c>
      <c r="Q733" s="75">
        <f>IF(P733&gt;0,1/P733,NA())</f>
        <v>6.221724160982</v>
      </c>
      <c r="R733" s="75">
        <f>F733-F732</f>
        <v>0.01760042735042333</v>
      </c>
      <c r="S733" s="75">
        <f>0.5*(Q732+Q733)*R733</f>
        <v>0.10942467866245502</v>
      </c>
      <c r="T733" s="75">
        <f>0.5*(F732*Q732+F733*Q733)*R733</f>
        <v>2.287673371812459</v>
      </c>
      <c r="U733" s="76">
        <f>U732+S733</f>
        <v>63.99148467464339</v>
      </c>
      <c r="V733" s="76">
        <f>V732+T733</f>
        <v>942.1578374355578</v>
      </c>
    </row>
    <row r="734" spans="1:22" ht="19" customHeight="1">
      <c r="A734" s="68" t="s">
        <v>362</v>
      </c>
      <c r="B734" s="74">
        <v>5</v>
      </c>
      <c r="C734" s="68" t="s">
        <v>363</v>
      </c>
      <c r="D734" s="68" t="s">
        <v>364</v>
      </c>
      <c r="E734" s="75">
        <f>60*F734*'THAM_SO_MOI'!$C$53/(2*PI()*'THAM_SO_MOI'!$C$26)</f>
        <v>2062.4286315789473</v>
      </c>
      <c r="F734" s="75">
        <f>'THAM_SO_MOI'!$E$53+('THAM_SO_MOI'!$C$14-'THAM_SO_MOI'!$E$53)*728/'THAM_SO_MOI'!$C$42</f>
        <v>20.93276923076923</v>
      </c>
      <c r="G734" s="75">
        <f>3.6*F734</f>
        <v>75.35796923076924</v>
      </c>
      <c r="H734" s="75">
        <f>'THAM_SO_MOI'!$D$53</f>
        <v>1.1</v>
      </c>
      <c r="I734" s="75">
        <f>IF(F734&gt;'THAM_SO_MOI'!$C$14,'THAM_SO_MOI'!$C$13*(1+F734^2/1500),'THAM_SO_MOI'!$C$13)</f>
        <v>0.015</v>
      </c>
      <c r="J734" s="75">
        <f>'THAM_SO_MOI'!$C$40*('THAM_SO_MOI'!$C$23*(E734/'THAM_SO_MOI'!$C$22)+'THAM_SO_MOI'!$C$24*(E734/'THAM_SO_MOI'!$C$22)^2-'THAM_SO_MOI'!$C$25*(E734/'THAM_SO_MOI'!$C$22)^3)</f>
        <v>92.7667395792389</v>
      </c>
      <c r="K734" s="75">
        <f>'THAM_SO_MOI'!$C$31*J734/E734</f>
        <v>429.60238342542107</v>
      </c>
      <c r="L734" s="75">
        <f>K734*'THAM_SO_MOI'!$C$53*'THAM_SO_MOI'!$C$17/'THAM_SO_MOI'!$C$26</f>
        <v>3767.614583661561</v>
      </c>
      <c r="M734" s="75">
        <f>'THAM_SO_MOI'!$C$15*'THAM_SO_MOI'!$C$16*F734^2</f>
        <v>1281.6789209307694</v>
      </c>
      <c r="N734" s="75">
        <f>'THAM_SO_MOI'!$C$12*I734</f>
        <v>1130.112</v>
      </c>
      <c r="O734" s="75">
        <f>M734+N734</f>
        <v>2411.7909209307695</v>
      </c>
      <c r="P734" s="75">
        <f>(MIN(L734,'THAM_SO_MOI'!$C$41)-O734)/('THAM_SO_MOI'!$C$11*H734)</f>
        <v>0.16049049038006527</v>
      </c>
      <c r="Q734" s="75">
        <f>IF(P734&gt;0,1/P734,NA())</f>
        <v>6.230898775571386</v>
      </c>
      <c r="R734" s="75">
        <f>F734-F733</f>
        <v>0.017600427350430436</v>
      </c>
      <c r="S734" s="75">
        <f>0.5*(Q733+Q734)*R734</f>
        <v>0.1095857426585558</v>
      </c>
      <c r="T734" s="75">
        <f>0.5*(F733*Q733+F734*Q734)*R734</f>
        <v>2.292969394619517</v>
      </c>
      <c r="U734" s="76">
        <f>U733+S734</f>
        <v>64.10107041730194</v>
      </c>
      <c r="V734" s="76">
        <f>V733+T734</f>
        <v>944.4508068301773</v>
      </c>
    </row>
    <row r="735" spans="1:22" ht="19" customHeight="1">
      <c r="A735" s="68" t="s">
        <v>362</v>
      </c>
      <c r="B735" s="74">
        <v>5</v>
      </c>
      <c r="C735" s="68" t="s">
        <v>363</v>
      </c>
      <c r="D735" s="68" t="s">
        <v>364</v>
      </c>
      <c r="E735" s="75">
        <f>60*F735*'THAM_SO_MOI'!$C$53/(2*PI()*'THAM_SO_MOI'!$C$26)</f>
        <v>2064.162736842105</v>
      </c>
      <c r="F735" s="75">
        <f>'THAM_SO_MOI'!$E$53+('THAM_SO_MOI'!$C$14-'THAM_SO_MOI'!$E$53)*729/'THAM_SO_MOI'!$C$42</f>
        <v>20.95036965811966</v>
      </c>
      <c r="G735" s="75">
        <f>3.6*F735</f>
        <v>75.42133076923078</v>
      </c>
      <c r="H735" s="75">
        <f>'THAM_SO_MOI'!$D$53</f>
        <v>1.1</v>
      </c>
      <c r="I735" s="75">
        <f>IF(F735&gt;'THAM_SO_MOI'!$C$14,'THAM_SO_MOI'!$C$13*(1+F735^2/1500),'THAM_SO_MOI'!$C$13)</f>
        <v>0.015</v>
      </c>
      <c r="J735" s="75">
        <f>'THAM_SO_MOI'!$C$40*('THAM_SO_MOI'!$C$23*(E735/'THAM_SO_MOI'!$C$22)+'THAM_SO_MOI'!$C$24*(E735/'THAM_SO_MOI'!$C$22)^2-'THAM_SO_MOI'!$C$25*(E735/'THAM_SO_MOI'!$C$22)^3)</f>
        <v>92.84849694303072</v>
      </c>
      <c r="K735" s="75">
        <f>'THAM_SO_MOI'!$C$31*J735/E735</f>
        <v>429.6197739488327</v>
      </c>
      <c r="L735" s="75">
        <f>K735*'THAM_SO_MOI'!$C$53*'THAM_SO_MOI'!$C$17/'THAM_SO_MOI'!$C$26</f>
        <v>3767.7670986199296</v>
      </c>
      <c r="M735" s="75">
        <f>'THAM_SO_MOI'!$C$15*'THAM_SO_MOI'!$C$16*F735^2</f>
        <v>1283.835117274693</v>
      </c>
      <c r="N735" s="75">
        <f>'THAM_SO_MOI'!$C$12*I735</f>
        <v>1130.112</v>
      </c>
      <c r="O735" s="75">
        <f>M735+N735</f>
        <v>2413.947117274693</v>
      </c>
      <c r="P735" s="75">
        <f>(MIN(L735,'THAM_SO_MOI'!$C$41)-O735)/('THAM_SO_MOI'!$C$11*H735)</f>
        <v>0.16025331218575242</v>
      </c>
      <c r="Q735" s="75">
        <f>IF(P735&gt;0,1/P735,NA())</f>
        <v>6.240120633768134</v>
      </c>
      <c r="R735" s="75">
        <f>F735-F734</f>
        <v>0.017600427350426884</v>
      </c>
      <c r="S735" s="75">
        <f>0.5*(Q734+Q735)*R735</f>
        <v>0.1097476355499219</v>
      </c>
      <c r="T735" s="75">
        <f>0.5*(F734*Q734+F735*Q735)*R735</f>
        <v>2.2982884454076493</v>
      </c>
      <c r="U735" s="76">
        <f>U734+S735</f>
        <v>64.21081805285186</v>
      </c>
      <c r="V735" s="76">
        <f>V734+T735</f>
        <v>946.7490952755849</v>
      </c>
    </row>
    <row r="736" spans="1:22" ht="19" customHeight="1">
      <c r="A736" s="68" t="s">
        <v>362</v>
      </c>
      <c r="B736" s="74">
        <v>5</v>
      </c>
      <c r="C736" s="68" t="s">
        <v>363</v>
      </c>
      <c r="D736" s="68" t="s">
        <v>364</v>
      </c>
      <c r="E736" s="75">
        <f>60*F736*'THAM_SO_MOI'!$C$53/(2*PI()*'THAM_SO_MOI'!$C$26)</f>
        <v>2065.8968421052627</v>
      </c>
      <c r="F736" s="75">
        <f>'THAM_SO_MOI'!$E$53+('THAM_SO_MOI'!$C$14-'THAM_SO_MOI'!$E$53)*730/'THAM_SO_MOI'!$C$42</f>
        <v>20.967970085470085</v>
      </c>
      <c r="G736" s="75">
        <f>3.6*F736</f>
        <v>75.48469230769231</v>
      </c>
      <c r="H736" s="75">
        <f>'THAM_SO_MOI'!$D$53</f>
        <v>1.1</v>
      </c>
      <c r="I736" s="75">
        <f>IF(F736&gt;'THAM_SO_MOI'!$C$14,'THAM_SO_MOI'!$C$13*(1+F736^2/1500),'THAM_SO_MOI'!$C$13)</f>
        <v>0.015</v>
      </c>
      <c r="J736" s="75">
        <f>'THAM_SO_MOI'!$C$40*('THAM_SO_MOI'!$C$23*(E736/'THAM_SO_MOI'!$C$22)+'THAM_SO_MOI'!$C$24*(E736/'THAM_SO_MOI'!$C$22)^2-'THAM_SO_MOI'!$C$25*(E736/'THAM_SO_MOI'!$C$22)^3)</f>
        <v>92.9301975194575</v>
      </c>
      <c r="K736" s="75">
        <f>'THAM_SO_MOI'!$C$31*J736/E736</f>
        <v>429.63687273661935</v>
      </c>
      <c r="L736" s="75">
        <f>K736*'THAM_SO_MOI'!$C$53*'THAM_SO_MOI'!$C$17/'THAM_SO_MOI'!$C$26</f>
        <v>3767.9170550557255</v>
      </c>
      <c r="M736" s="75">
        <f>'THAM_SO_MOI'!$C$15*'THAM_SO_MOI'!$C$16*F736^2</f>
        <v>1285.9931258026177</v>
      </c>
      <c r="N736" s="75">
        <f>'THAM_SO_MOI'!$C$12*I736</f>
        <v>1130.112</v>
      </c>
      <c r="O736" s="75">
        <f>M736+N736</f>
        <v>2416.1051258026177</v>
      </c>
      <c r="P736" s="75">
        <f>(MIN(L736,'THAM_SO_MOI'!$C$41)-O736)/('THAM_SO_MOI'!$C$11*H736)</f>
        <v>0.16001561662560462</v>
      </c>
      <c r="Q736" s="75">
        <f>IF(P736&gt;0,1/P736,NA())</f>
        <v>6.249390035097279</v>
      </c>
      <c r="R736" s="75">
        <f>F736-F735</f>
        <v>0.017600427350426884</v>
      </c>
      <c r="S736" s="75">
        <f>0.5*(Q735+Q736)*R736</f>
        <v>0.10991036258487359</v>
      </c>
      <c r="T736" s="75">
        <f>0.5*(F735*Q735+F736*Q736)*R736</f>
        <v>2.303630677944231</v>
      </c>
      <c r="U736" s="76">
        <f>U735+S736</f>
        <v>64.32072841543673</v>
      </c>
      <c r="V736" s="76">
        <f>V735+T736</f>
        <v>949.0527259535291</v>
      </c>
    </row>
    <row r="737" spans="1:22" ht="19" customHeight="1">
      <c r="A737" s="68" t="s">
        <v>362</v>
      </c>
      <c r="B737" s="74">
        <v>5</v>
      </c>
      <c r="C737" s="68" t="s">
        <v>363</v>
      </c>
      <c r="D737" s="68" t="s">
        <v>364</v>
      </c>
      <c r="E737" s="75">
        <f>60*F737*'THAM_SO_MOI'!$C$53/(2*PI()*'THAM_SO_MOI'!$C$26)</f>
        <v>2067.6309473684205</v>
      </c>
      <c r="F737" s="75">
        <f>'THAM_SO_MOI'!$E$53+('THAM_SO_MOI'!$C$14-'THAM_SO_MOI'!$E$53)*731/'THAM_SO_MOI'!$C$42</f>
        <v>20.985570512820512</v>
      </c>
      <c r="G737" s="75">
        <f>3.6*F737</f>
        <v>75.54805384615385</v>
      </c>
      <c r="H737" s="75">
        <f>'THAM_SO_MOI'!$D$53</f>
        <v>1.1</v>
      </c>
      <c r="I737" s="75">
        <f>IF(F737&gt;'THAM_SO_MOI'!$C$14,'THAM_SO_MOI'!$C$13*(1+F737^2/1500),'THAM_SO_MOI'!$C$13)</f>
        <v>0.015</v>
      </c>
      <c r="J737" s="75">
        <f>'THAM_SO_MOI'!$C$40*('THAM_SO_MOI'!$C$23*(E737/'THAM_SO_MOI'!$C$22)+'THAM_SO_MOI'!$C$24*(E737/'THAM_SO_MOI'!$C$22)^2-'THAM_SO_MOI'!$C$25*(E737/'THAM_SO_MOI'!$C$22)^3)</f>
        <v>93.01184114961595</v>
      </c>
      <c r="K737" s="75">
        <f>'THAM_SO_MOI'!$C$31*J737/E737</f>
        <v>429.65367978878106</v>
      </c>
      <c r="L737" s="75">
        <f>K737*'THAM_SO_MOI'!$C$53*'THAM_SO_MOI'!$C$17/'THAM_SO_MOI'!$C$26</f>
        <v>3768.0644529689494</v>
      </c>
      <c r="M737" s="75">
        <f>'THAM_SO_MOI'!$C$15*'THAM_SO_MOI'!$C$16*F737^2</f>
        <v>1288.1529465145434</v>
      </c>
      <c r="N737" s="75">
        <f>'THAM_SO_MOI'!$C$12*I737</f>
        <v>1130.112</v>
      </c>
      <c r="O737" s="75">
        <f>M737+N737</f>
        <v>2418.264946514543</v>
      </c>
      <c r="P737" s="75">
        <f>(MIN(L737,'THAM_SO_MOI'!$C$41)-O737)/('THAM_SO_MOI'!$C$11*H737)</f>
        <v>0.15977740369962187</v>
      </c>
      <c r="Q737" s="75">
        <f>IF(P737&gt;0,1/P737,NA())</f>
        <v>6.258707281787973</v>
      </c>
      <c r="R737" s="75">
        <f>F737-F736</f>
        <v>0.017600427350426884</v>
      </c>
      <c r="S737" s="75">
        <f>0.5*(Q736+Q737)*R737</f>
        <v>0.11007392905895415</v>
      </c>
      <c r="T737" s="75">
        <f>0.5*(F736*Q736+F737*Q737)*R737</f>
        <v>2.308996247356719</v>
      </c>
      <c r="U737" s="76">
        <f>U736+S737</f>
        <v>64.43080234449569</v>
      </c>
      <c r="V737" s="76">
        <f>V736+T737</f>
        <v>951.3617222008859</v>
      </c>
    </row>
    <row r="738" spans="1:22" ht="19" customHeight="1">
      <c r="A738" s="68" t="s">
        <v>362</v>
      </c>
      <c r="B738" s="74">
        <v>5</v>
      </c>
      <c r="C738" s="68" t="s">
        <v>363</v>
      </c>
      <c r="D738" s="68" t="s">
        <v>364</v>
      </c>
      <c r="E738" s="75">
        <f>60*F738*'THAM_SO_MOI'!$C$53/(2*PI()*'THAM_SO_MOI'!$C$26)</f>
        <v>2069.3650526315782</v>
      </c>
      <c r="F738" s="75">
        <f>'THAM_SO_MOI'!$E$53+('THAM_SO_MOI'!$C$14-'THAM_SO_MOI'!$E$53)*732/'THAM_SO_MOI'!$C$42</f>
        <v>21.00317094017094</v>
      </c>
      <c r="G738" s="75">
        <f>3.6*F738</f>
        <v>75.61141538461538</v>
      </c>
      <c r="H738" s="75">
        <f>'THAM_SO_MOI'!$D$53</f>
        <v>1.1</v>
      </c>
      <c r="I738" s="75">
        <f>IF(F738&gt;'THAM_SO_MOI'!$C$14,'THAM_SO_MOI'!$C$13*(1+F738^2/1500),'THAM_SO_MOI'!$C$13)</f>
        <v>0.015</v>
      </c>
      <c r="J738" s="75">
        <f>'THAM_SO_MOI'!$C$40*('THAM_SO_MOI'!$C$23*(E738/'THAM_SO_MOI'!$C$22)+'THAM_SO_MOI'!$C$24*(E738/'THAM_SO_MOI'!$C$22)^2-'THAM_SO_MOI'!$C$25*(E738/'THAM_SO_MOI'!$C$22)^3)</f>
        <v>93.09342767460281</v>
      </c>
      <c r="K738" s="75">
        <f>'THAM_SO_MOI'!$C$31*J738/E738</f>
        <v>429.67019510531776</v>
      </c>
      <c r="L738" s="75">
        <f>K738*'THAM_SO_MOI'!$C$53*'THAM_SO_MOI'!$C$17/'THAM_SO_MOI'!$C$26</f>
        <v>3768.2092923596006</v>
      </c>
      <c r="M738" s="75">
        <f>'THAM_SO_MOI'!$C$15*'THAM_SO_MOI'!$C$16*F738^2</f>
        <v>1290.31457941047</v>
      </c>
      <c r="N738" s="75">
        <f>'THAM_SO_MOI'!$C$12*I738</f>
        <v>1130.112</v>
      </c>
      <c r="O738" s="75">
        <f>M738+N738</f>
        <v>2420.4265794104704</v>
      </c>
      <c r="P738" s="75">
        <f>(MIN(L738,'THAM_SO_MOI'!$C$41)-O738)/('THAM_SO_MOI'!$C$11*H738)</f>
        <v>0.15953867340780428</v>
      </c>
      <c r="Q738" s="75">
        <f>IF(P738&gt;0,1/P738,NA())</f>
        <v>6.268072678803422</v>
      </c>
      <c r="R738" s="75">
        <f>F738-F737</f>
        <v>0.017600427350426884</v>
      </c>
      <c r="S738" s="75">
        <f>0.5*(Q737+Q738)*R738</f>
        <v>0.11023834031558609</v>
      </c>
      <c r="T738" s="75">
        <f>0.5*(F737*Q737+F738*Q738)*R738</f>
        <v>2.31438531015058</v>
      </c>
      <c r="U738" s="76">
        <f>U737+S738</f>
        <v>64.54104068481128</v>
      </c>
      <c r="V738" s="76">
        <f>V737+T738</f>
        <v>953.6761075110364</v>
      </c>
    </row>
    <row r="739" spans="1:22" ht="19" customHeight="1">
      <c r="A739" s="68" t="s">
        <v>362</v>
      </c>
      <c r="B739" s="74">
        <v>5</v>
      </c>
      <c r="C739" s="68" t="s">
        <v>363</v>
      </c>
      <c r="D739" s="68" t="s">
        <v>364</v>
      </c>
      <c r="E739" s="75">
        <f>60*F739*'THAM_SO_MOI'!$C$53/(2*PI()*'THAM_SO_MOI'!$C$26)</f>
        <v>2071.0991578947364</v>
      </c>
      <c r="F739" s="75">
        <f>'THAM_SO_MOI'!$E$53+('THAM_SO_MOI'!$C$14-'THAM_SO_MOI'!$E$53)*733/'THAM_SO_MOI'!$C$42</f>
        <v>21.020771367521366</v>
      </c>
      <c r="G739" s="75">
        <f>3.6*F739</f>
        <v>75.67477692307692</v>
      </c>
      <c r="H739" s="75">
        <f>'THAM_SO_MOI'!$D$53</f>
        <v>1.1</v>
      </c>
      <c r="I739" s="75">
        <f>IF(F739&gt;'THAM_SO_MOI'!$C$14,'THAM_SO_MOI'!$C$13*(1+F739^2/1500),'THAM_SO_MOI'!$C$13)</f>
        <v>0.015</v>
      </c>
      <c r="J739" s="75">
        <f>'THAM_SO_MOI'!$C$40*('THAM_SO_MOI'!$C$23*(E739/'THAM_SO_MOI'!$C$22)+'THAM_SO_MOI'!$C$24*(E739/'THAM_SO_MOI'!$C$22)^2-'THAM_SO_MOI'!$C$25*(E739/'THAM_SO_MOI'!$C$22)^3)</f>
        <v>93.17495693551477</v>
      </c>
      <c r="K739" s="75">
        <f>'THAM_SO_MOI'!$C$31*J739/E739</f>
        <v>429.68641868622933</v>
      </c>
      <c r="L739" s="75">
        <f>K739*'THAM_SO_MOI'!$C$53*'THAM_SO_MOI'!$C$17/'THAM_SO_MOI'!$C$26</f>
        <v>3768.3515732276774</v>
      </c>
      <c r="M739" s="75">
        <f>'THAM_SO_MOI'!$C$15*'THAM_SO_MOI'!$C$16*F739^2</f>
        <v>1292.478024490398</v>
      </c>
      <c r="N739" s="75">
        <f>'THAM_SO_MOI'!$C$12*I739</f>
        <v>1130.112</v>
      </c>
      <c r="O739" s="75">
        <f>M739+N739</f>
        <v>2422.590024490398</v>
      </c>
      <c r="P739" s="75">
        <f>(MIN(L739,'THAM_SO_MOI'!$C$41)-O739)/('THAM_SO_MOI'!$C$11*H739)</f>
        <v>0.15929942575015146</v>
      </c>
      <c r="Q739" s="75">
        <f>IF(P739&gt;0,1/P739,NA())</f>
        <v>6.277486533871257</v>
      </c>
      <c r="R739" s="75">
        <f>F739-F738</f>
        <v>0.017600427350426884</v>
      </c>
      <c r="S739" s="75">
        <f>0.5*(Q738+Q739)*R739</f>
        <v>0.11040360174657969</v>
      </c>
      <c r="T739" s="75">
        <f>0.5*(F738*Q738+F739*Q739)*R739</f>
        <v>2.3197980242241902</v>
      </c>
      <c r="U739" s="76">
        <f>U738+S739</f>
        <v>64.65144428655786</v>
      </c>
      <c r="V739" s="76">
        <f>V738+T739</f>
        <v>955.9959055352606</v>
      </c>
    </row>
    <row r="740" spans="1:22" ht="19" customHeight="1">
      <c r="A740" s="68" t="s">
        <v>362</v>
      </c>
      <c r="B740" s="74">
        <v>5</v>
      </c>
      <c r="C740" s="68" t="s">
        <v>363</v>
      </c>
      <c r="D740" s="68" t="s">
        <v>364</v>
      </c>
      <c r="E740" s="75">
        <f>60*F740*'THAM_SO_MOI'!$C$53/(2*PI()*'THAM_SO_MOI'!$C$26)</f>
        <v>2072.833263157894</v>
      </c>
      <c r="F740" s="75">
        <f>'THAM_SO_MOI'!$E$53+('THAM_SO_MOI'!$C$14-'THAM_SO_MOI'!$E$53)*734/'THAM_SO_MOI'!$C$42</f>
        <v>21.038371794871793</v>
      </c>
      <c r="G740" s="75">
        <f>3.6*F740</f>
        <v>75.73813846153845</v>
      </c>
      <c r="H740" s="75">
        <f>'THAM_SO_MOI'!$D$53</f>
        <v>1.1</v>
      </c>
      <c r="I740" s="75">
        <f>IF(F740&gt;'THAM_SO_MOI'!$C$14,'THAM_SO_MOI'!$C$13*(1+F740^2/1500),'THAM_SO_MOI'!$C$13)</f>
        <v>0.015</v>
      </c>
      <c r="J740" s="75">
        <f>'THAM_SO_MOI'!$C$40*('THAM_SO_MOI'!$C$23*(E740/'THAM_SO_MOI'!$C$22)+'THAM_SO_MOI'!$C$24*(E740/'THAM_SO_MOI'!$C$22)^2-'THAM_SO_MOI'!$C$25*(E740/'THAM_SO_MOI'!$C$22)^3)</f>
        <v>93.25642877344855</v>
      </c>
      <c r="K740" s="75">
        <f>'THAM_SO_MOI'!$C$31*J740/E740</f>
        <v>429.7023505315158</v>
      </c>
      <c r="L740" s="75">
        <f>K740*'THAM_SO_MOI'!$C$53*'THAM_SO_MOI'!$C$17/'THAM_SO_MOI'!$C$26</f>
        <v>3768.49129557318</v>
      </c>
      <c r="M740" s="75">
        <f>'THAM_SO_MOI'!$C$15*'THAM_SO_MOI'!$C$16*F740^2</f>
        <v>1294.6432817543268</v>
      </c>
      <c r="N740" s="75">
        <f>'THAM_SO_MOI'!$C$12*I740</f>
        <v>1130.112</v>
      </c>
      <c r="O740" s="75">
        <f>M740+N740</f>
        <v>2424.755281754327</v>
      </c>
      <c r="P740" s="75">
        <f>(MIN(L740,'THAM_SO_MOI'!$C$41)-O740)/('THAM_SO_MOI'!$C$11*H740)</f>
        <v>0.1590596607266635</v>
      </c>
      <c r="Q740" s="75">
        <f>IF(P740&gt;0,1/P740,NA())</f>
        <v>6.286949157514253</v>
      </c>
      <c r="R740" s="75">
        <f>F740-F739</f>
        <v>0.017600427350426884</v>
      </c>
      <c r="S740" s="75">
        <f>0.5*(Q739+Q740)*R740</f>
        <v>0.11056971879267062</v>
      </c>
      <c r="T740" s="75">
        <f>0.5*(F739*Q739+F740*Q740)*R740</f>
        <v>2.3252345488844046</v>
      </c>
      <c r="U740" s="76">
        <f>U739+S740</f>
        <v>64.76201400535054</v>
      </c>
      <c r="V740" s="76">
        <f>V739+T740</f>
        <v>958.321140084145</v>
      </c>
    </row>
    <row r="741" spans="1:22" ht="19" customHeight="1">
      <c r="A741" s="68" t="s">
        <v>362</v>
      </c>
      <c r="B741" s="74">
        <v>5</v>
      </c>
      <c r="C741" s="68" t="s">
        <v>363</v>
      </c>
      <c r="D741" s="68" t="s">
        <v>364</v>
      </c>
      <c r="E741" s="75">
        <f>60*F741*'THAM_SO_MOI'!$C$53/(2*PI()*'THAM_SO_MOI'!$C$26)</f>
        <v>2074.5673684210524</v>
      </c>
      <c r="F741" s="75">
        <f>'THAM_SO_MOI'!$E$53+('THAM_SO_MOI'!$C$14-'THAM_SO_MOI'!$E$53)*735/'THAM_SO_MOI'!$C$42</f>
        <v>21.055972222222223</v>
      </c>
      <c r="G741" s="75">
        <f>3.6*F741</f>
        <v>75.8015</v>
      </c>
      <c r="H741" s="75">
        <f>'THAM_SO_MOI'!$D$53</f>
        <v>1.1</v>
      </c>
      <c r="I741" s="75">
        <f>IF(F741&gt;'THAM_SO_MOI'!$C$14,'THAM_SO_MOI'!$C$13*(1+F741^2/1500),'THAM_SO_MOI'!$C$13)</f>
        <v>0.015</v>
      </c>
      <c r="J741" s="75">
        <f>'THAM_SO_MOI'!$C$40*('THAM_SO_MOI'!$C$23*(E741/'THAM_SO_MOI'!$C$22)+'THAM_SO_MOI'!$C$24*(E741/'THAM_SO_MOI'!$C$22)^2-'THAM_SO_MOI'!$C$25*(E741/'THAM_SO_MOI'!$C$22)^3)</f>
        <v>93.3378430295009</v>
      </c>
      <c r="K741" s="75">
        <f>'THAM_SO_MOI'!$C$31*J741/E741</f>
        <v>429.7179906411773</v>
      </c>
      <c r="L741" s="75">
        <f>K741*'THAM_SO_MOI'!$C$53*'THAM_SO_MOI'!$C$17/'THAM_SO_MOI'!$C$26</f>
        <v>3768.6284593961113</v>
      </c>
      <c r="M741" s="75">
        <f>'THAM_SO_MOI'!$C$15*'THAM_SO_MOI'!$C$16*F741^2</f>
        <v>1296.8103512022574</v>
      </c>
      <c r="N741" s="75">
        <f>'THAM_SO_MOI'!$C$12*I741</f>
        <v>1130.112</v>
      </c>
      <c r="O741" s="75">
        <f>M741+N741</f>
        <v>2426.9223512022572</v>
      </c>
      <c r="P741" s="75">
        <f>(MIN(L741,'THAM_SO_MOI'!$C$41)-O741)/('THAM_SO_MOI'!$C$11*H741)</f>
        <v>0.15881937833734064</v>
      </c>
      <c r="Q741" s="75">
        <f>IF(P741&gt;0,1/P741,NA())</f>
        <v>6.2964608630815055</v>
      </c>
      <c r="R741" s="75">
        <f>F741-F740</f>
        <v>0.017600427350430436</v>
      </c>
      <c r="S741" s="75">
        <f>0.5*(Q740+Q741)*R741</f>
        <v>0.11073669694408701</v>
      </c>
      <c r="T741" s="75">
        <f>0.5*(F740*Q740+F741*Q741)*R741</f>
        <v>2.330695044862791</v>
      </c>
      <c r="U741" s="76">
        <f>U740+S741</f>
        <v>64.87275070229462</v>
      </c>
      <c r="V741" s="76">
        <f>V740+T741</f>
        <v>960.6518351290077</v>
      </c>
    </row>
    <row r="742" spans="1:22" ht="19" customHeight="1">
      <c r="A742" s="68" t="s">
        <v>362</v>
      </c>
      <c r="B742" s="74">
        <v>5</v>
      </c>
      <c r="C742" s="68" t="s">
        <v>363</v>
      </c>
      <c r="D742" s="68" t="s">
        <v>364</v>
      </c>
      <c r="E742" s="75">
        <f>60*F742*'THAM_SO_MOI'!$C$53/(2*PI()*'THAM_SO_MOI'!$C$26)</f>
        <v>2076.3014736842097</v>
      </c>
      <c r="F742" s="75">
        <f>'THAM_SO_MOI'!$E$53+('THAM_SO_MOI'!$C$14-'THAM_SO_MOI'!$E$53)*736/'THAM_SO_MOI'!$C$42</f>
        <v>21.073572649572647</v>
      </c>
      <c r="G742" s="75">
        <f>3.6*F742</f>
        <v>75.86486153846153</v>
      </c>
      <c r="H742" s="75">
        <f>'THAM_SO_MOI'!$D$53</f>
        <v>1.1</v>
      </c>
      <c r="I742" s="75">
        <f>IF(F742&gt;'THAM_SO_MOI'!$C$14,'THAM_SO_MOI'!$C$13*(1+F742^2/1500),'THAM_SO_MOI'!$C$13)</f>
        <v>0.015</v>
      </c>
      <c r="J742" s="75">
        <f>'THAM_SO_MOI'!$C$40*('THAM_SO_MOI'!$C$23*(E742/'THAM_SO_MOI'!$C$22)+'THAM_SO_MOI'!$C$24*(E742/'THAM_SO_MOI'!$C$22)^2-'THAM_SO_MOI'!$C$25*(E742/'THAM_SO_MOI'!$C$22)^3)</f>
        <v>93.41919954476852</v>
      </c>
      <c r="K742" s="75">
        <f>'THAM_SO_MOI'!$C$31*J742/E742</f>
        <v>429.73333901521386</v>
      </c>
      <c r="L742" s="75">
        <f>K742*'THAM_SO_MOI'!$C$53*'THAM_SO_MOI'!$C$17/'THAM_SO_MOI'!$C$26</f>
        <v>3768.763064696469</v>
      </c>
      <c r="M742" s="75">
        <f>'THAM_SO_MOI'!$C$15*'THAM_SO_MOI'!$C$16*F742^2</f>
        <v>1298.9792328341878</v>
      </c>
      <c r="N742" s="75">
        <f>'THAM_SO_MOI'!$C$12*I742</f>
        <v>1130.112</v>
      </c>
      <c r="O742" s="75">
        <f>M742+N742</f>
        <v>2429.091232834188</v>
      </c>
      <c r="P742" s="75">
        <f>(MIN(L742,'THAM_SO_MOI'!$C$41)-O742)/('THAM_SO_MOI'!$C$11*H742)</f>
        <v>0.1585785785821829</v>
      </c>
      <c r="Q742" s="75">
        <f>IF(P742&gt;0,1/P742,NA())</f>
        <v>6.306021966780039</v>
      </c>
      <c r="R742" s="75">
        <f>F742-F741</f>
        <v>0.01760042735042333</v>
      </c>
      <c r="S742" s="75">
        <f>0.5*(Q741+Q742)*R742</f>
        <v>0.11090454174096777</v>
      </c>
      <c r="T742" s="75">
        <f>0.5*(F741*Q741+F742*Q742)*R742</f>
        <v>2.3361796743288017</v>
      </c>
      <c r="U742" s="76">
        <f>U741+S742</f>
        <v>64.98365524403559</v>
      </c>
      <c r="V742" s="76">
        <f>V741+T742</f>
        <v>962.9880148033366</v>
      </c>
    </row>
    <row r="743" spans="1:22" ht="19" customHeight="1">
      <c r="A743" s="68" t="s">
        <v>362</v>
      </c>
      <c r="B743" s="74">
        <v>5</v>
      </c>
      <c r="C743" s="68" t="s">
        <v>363</v>
      </c>
      <c r="D743" s="68" t="s">
        <v>364</v>
      </c>
      <c r="E743" s="75">
        <f>60*F743*'THAM_SO_MOI'!$C$53/(2*PI()*'THAM_SO_MOI'!$C$26)</f>
        <v>2078.035578947368</v>
      </c>
      <c r="F743" s="75">
        <f>'THAM_SO_MOI'!$E$53+('THAM_SO_MOI'!$C$14-'THAM_SO_MOI'!$E$53)*737/'THAM_SO_MOI'!$C$42</f>
        <v>21.091173076923077</v>
      </c>
      <c r="G743" s="75">
        <f>3.6*F743</f>
        <v>75.92822307692308</v>
      </c>
      <c r="H743" s="75">
        <f>'THAM_SO_MOI'!$D$53</f>
        <v>1.1</v>
      </c>
      <c r="I743" s="75">
        <f>IF(F743&gt;'THAM_SO_MOI'!$C$14,'THAM_SO_MOI'!$C$13*(1+F743^2/1500),'THAM_SO_MOI'!$C$13)</f>
        <v>0.015</v>
      </c>
      <c r="J743" s="75">
        <f>'THAM_SO_MOI'!$C$40*('THAM_SO_MOI'!$C$23*(E743/'THAM_SO_MOI'!$C$22)+'THAM_SO_MOI'!$C$24*(E743/'THAM_SO_MOI'!$C$22)^2-'THAM_SO_MOI'!$C$25*(E743/'THAM_SO_MOI'!$C$22)^3)</f>
        <v>93.50049816034814</v>
      </c>
      <c r="K743" s="75">
        <f>'THAM_SO_MOI'!$C$31*J743/E743</f>
        <v>429.74839565362527</v>
      </c>
      <c r="L743" s="75">
        <f>K743*'THAM_SO_MOI'!$C$53*'THAM_SO_MOI'!$C$17/'THAM_SO_MOI'!$C$26</f>
        <v>3768.895111474253</v>
      </c>
      <c r="M743" s="75">
        <f>'THAM_SO_MOI'!$C$15*'THAM_SO_MOI'!$C$16*F743^2</f>
        <v>1301.1499266501205</v>
      </c>
      <c r="N743" s="75">
        <f>'THAM_SO_MOI'!$C$12*I743</f>
        <v>1130.112</v>
      </c>
      <c r="O743" s="75">
        <f>M743+N743</f>
        <v>2431.2619266501206</v>
      </c>
      <c r="P743" s="75">
        <f>(MIN(L743,'THAM_SO_MOI'!$C$41)-O743)/('THAM_SO_MOI'!$C$11*H743)</f>
        <v>0.15833726146118993</v>
      </c>
      <c r="Q743" s="75">
        <f>IF(P743&gt;0,1/P743,NA())</f>
        <v>6.3156327877068295</v>
      </c>
      <c r="R743" s="75">
        <f>F743-F742</f>
        <v>0.017600427350430436</v>
      </c>
      <c r="S743" s="75">
        <f>0.5*(Q742+Q743)*R743</f>
        <v>0.11107325877428052</v>
      </c>
      <c r="T743" s="75">
        <f>0.5*(F742*Q742+F743*Q743)*R743</f>
        <v>2.341688600913515</v>
      </c>
      <c r="U743" s="76">
        <f>U742+S743</f>
        <v>65.09472850280987</v>
      </c>
      <c r="V743" s="76">
        <f>V742+T743</f>
        <v>965.32970340425</v>
      </c>
    </row>
    <row r="744" spans="1:22" ht="19" customHeight="1">
      <c r="A744" s="68" t="s">
        <v>362</v>
      </c>
      <c r="B744" s="74">
        <v>5</v>
      </c>
      <c r="C744" s="68" t="s">
        <v>363</v>
      </c>
      <c r="D744" s="68" t="s">
        <v>364</v>
      </c>
      <c r="E744" s="75">
        <f>60*F744*'THAM_SO_MOI'!$C$53/(2*PI()*'THAM_SO_MOI'!$C$26)</f>
        <v>2079.7696842105256</v>
      </c>
      <c r="F744" s="75">
        <f>'THAM_SO_MOI'!$E$53+('THAM_SO_MOI'!$C$14-'THAM_SO_MOI'!$E$53)*738/'THAM_SO_MOI'!$C$42</f>
        <v>21.108773504273504</v>
      </c>
      <c r="G744" s="75">
        <f>3.6*F744</f>
        <v>75.99158461538461</v>
      </c>
      <c r="H744" s="75">
        <f>'THAM_SO_MOI'!$D$53</f>
        <v>1.1</v>
      </c>
      <c r="I744" s="75">
        <f>IF(F744&gt;'THAM_SO_MOI'!$C$14,'THAM_SO_MOI'!$C$13*(1+F744^2/1500),'THAM_SO_MOI'!$C$13)</f>
        <v>0.015</v>
      </c>
      <c r="J744" s="75">
        <f>'THAM_SO_MOI'!$C$40*('THAM_SO_MOI'!$C$23*(E744/'THAM_SO_MOI'!$C$22)+'THAM_SO_MOI'!$C$24*(E744/'THAM_SO_MOI'!$C$22)^2-'THAM_SO_MOI'!$C$25*(E744/'THAM_SO_MOI'!$C$22)^3)</f>
        <v>93.58173871733648</v>
      </c>
      <c r="K744" s="75">
        <f>'THAM_SO_MOI'!$C$31*J744/E744</f>
        <v>429.7631605564117</v>
      </c>
      <c r="L744" s="75">
        <f>K744*'THAM_SO_MOI'!$C$53*'THAM_SO_MOI'!$C$17/'THAM_SO_MOI'!$C$26</f>
        <v>3769.024599729465</v>
      </c>
      <c r="M744" s="75">
        <f>'THAM_SO_MOI'!$C$15*'THAM_SO_MOI'!$C$16*F744^2</f>
        <v>1303.3224326500535</v>
      </c>
      <c r="N744" s="75">
        <f>'THAM_SO_MOI'!$C$12*I744</f>
        <v>1130.112</v>
      </c>
      <c r="O744" s="75">
        <f>M744+N744</f>
        <v>2433.4344326500536</v>
      </c>
      <c r="P744" s="75">
        <f>(MIN(L744,'THAM_SO_MOI'!$C$41)-O744)/('THAM_SO_MOI'!$C$11*H744)</f>
        <v>0.15809542697436216</v>
      </c>
      <c r="Q744" s="75">
        <f>IF(P744&gt;0,1/P744,NA())</f>
        <v>6.325293647881206</v>
      </c>
      <c r="R744" s="75">
        <f>F744-F743</f>
        <v>0.017600427350426884</v>
      </c>
      <c r="S744" s="75">
        <f>0.5*(Q743+Q744)*R744</f>
        <v>0.11124285368582894</v>
      </c>
      <c r="T744" s="75">
        <f>0.5*(F743*Q743+F744*Q744)*R744</f>
        <v>2.3472219897142677</v>
      </c>
      <c r="U744" s="76">
        <f>U743+S744</f>
        <v>65.2059713564957</v>
      </c>
      <c r="V744" s="76">
        <f>V743+T744</f>
        <v>967.6769253939643</v>
      </c>
    </row>
    <row r="745" spans="1:22" ht="19" customHeight="1">
      <c r="A745" s="68" t="s">
        <v>362</v>
      </c>
      <c r="B745" s="74">
        <v>5</v>
      </c>
      <c r="C745" s="68" t="s">
        <v>363</v>
      </c>
      <c r="D745" s="68" t="s">
        <v>364</v>
      </c>
      <c r="E745" s="75">
        <f>60*F745*'THAM_SO_MOI'!$C$53/(2*PI()*'THAM_SO_MOI'!$C$26)</f>
        <v>2081.503789473684</v>
      </c>
      <c r="F745" s="75">
        <f>'THAM_SO_MOI'!$E$53+('THAM_SO_MOI'!$C$14-'THAM_SO_MOI'!$E$53)*739/'THAM_SO_MOI'!$C$42</f>
        <v>21.12637393162393</v>
      </c>
      <c r="G745" s="75">
        <f>3.6*F745</f>
        <v>76.05494615384616</v>
      </c>
      <c r="H745" s="75">
        <f>'THAM_SO_MOI'!$D$53</f>
        <v>1.1</v>
      </c>
      <c r="I745" s="75">
        <f>IF(F745&gt;'THAM_SO_MOI'!$C$14,'THAM_SO_MOI'!$C$13*(1+F745^2/1500),'THAM_SO_MOI'!$C$13)</f>
        <v>0.015</v>
      </c>
      <c r="J745" s="75">
        <f>'THAM_SO_MOI'!$C$40*('THAM_SO_MOI'!$C$23*(E745/'THAM_SO_MOI'!$C$22)+'THAM_SO_MOI'!$C$24*(E745/'THAM_SO_MOI'!$C$22)^2-'THAM_SO_MOI'!$C$25*(E745/'THAM_SO_MOI'!$C$22)^3)</f>
        <v>93.66292105683027</v>
      </c>
      <c r="K745" s="75">
        <f>'THAM_SO_MOI'!$C$31*J745/E745</f>
        <v>429.7776337235731</v>
      </c>
      <c r="L745" s="75">
        <f>K745*'THAM_SO_MOI'!$C$53*'THAM_SO_MOI'!$C$17/'THAM_SO_MOI'!$C$26</f>
        <v>3769.1515294621036</v>
      </c>
      <c r="M745" s="75">
        <f>'THAM_SO_MOI'!$C$15*'THAM_SO_MOI'!$C$16*F745^2</f>
        <v>1305.4967508339878</v>
      </c>
      <c r="N745" s="75">
        <f>'THAM_SO_MOI'!$C$12*I745</f>
        <v>1130.112</v>
      </c>
      <c r="O745" s="75">
        <f>M745+N745</f>
        <v>2435.608750833988</v>
      </c>
      <c r="P745" s="75">
        <f>(MIN(L745,'THAM_SO_MOI'!$C$41)-O745)/('THAM_SO_MOI'!$C$11*H745)</f>
        <v>0.1578530751216993</v>
      </c>
      <c r="Q745" s="75">
        <f>IF(P745&gt;0,1/P745,NA())</f>
        <v>6.335004872277809</v>
      </c>
      <c r="R745" s="75">
        <f>F745-F744</f>
        <v>0.017600427350426884</v>
      </c>
      <c r="S745" s="75">
        <f>0.5*(Q744+Q745)*R745</f>
        <v>0.11141333216938785</v>
      </c>
      <c r="T745" s="75">
        <f>0.5*(F744*Q744+F745*Q745)*R745</f>
        <v>2.3527800073230942</v>
      </c>
      <c r="U745" s="76">
        <f>U744+S745</f>
        <v>65.31738468866509</v>
      </c>
      <c r="V745" s="76">
        <f>V744+T745</f>
        <v>970.0297054012874</v>
      </c>
    </row>
    <row r="746" spans="1:22" ht="19" customHeight="1">
      <c r="A746" s="68" t="s">
        <v>362</v>
      </c>
      <c r="B746" s="74">
        <v>5</v>
      </c>
      <c r="C746" s="68" t="s">
        <v>363</v>
      </c>
      <c r="D746" s="68" t="s">
        <v>364</v>
      </c>
      <c r="E746" s="75">
        <f>60*F746*'THAM_SO_MOI'!$C$53/(2*PI()*'THAM_SO_MOI'!$C$26)</f>
        <v>2083.237894736842</v>
      </c>
      <c r="F746" s="75">
        <f>'THAM_SO_MOI'!$E$53+('THAM_SO_MOI'!$C$14-'THAM_SO_MOI'!$E$53)*740/'THAM_SO_MOI'!$C$42</f>
        <v>21.14397435897436</v>
      </c>
      <c r="G746" s="75">
        <f>3.6*F746</f>
        <v>76.11830769230771</v>
      </c>
      <c r="H746" s="75">
        <f>'THAM_SO_MOI'!$D$53</f>
        <v>1.1</v>
      </c>
      <c r="I746" s="75">
        <f>IF(F746&gt;'THAM_SO_MOI'!$C$14,'THAM_SO_MOI'!$C$13*(1+F746^2/1500),'THAM_SO_MOI'!$C$13)</f>
        <v>0.015</v>
      </c>
      <c r="J746" s="75">
        <f>'THAM_SO_MOI'!$C$40*('THAM_SO_MOI'!$C$23*(E746/'THAM_SO_MOI'!$C$22)+'THAM_SO_MOI'!$C$24*(E746/'THAM_SO_MOI'!$C$22)^2-'THAM_SO_MOI'!$C$25*(E746/'THAM_SO_MOI'!$C$22)^3)</f>
        <v>93.74404501992623</v>
      </c>
      <c r="K746" s="75">
        <f>'THAM_SO_MOI'!$C$31*J746/E746</f>
        <v>429.7918151551095</v>
      </c>
      <c r="L746" s="75">
        <f>K746*'THAM_SO_MOI'!$C$53*'THAM_SO_MOI'!$C$17/'THAM_SO_MOI'!$C$26</f>
        <v>3769.275900672169</v>
      </c>
      <c r="M746" s="75">
        <f>'THAM_SO_MOI'!$C$15*'THAM_SO_MOI'!$C$16*F746^2</f>
        <v>1307.6728812019235</v>
      </c>
      <c r="N746" s="75">
        <f>'THAM_SO_MOI'!$C$12*I746</f>
        <v>1130.112</v>
      </c>
      <c r="O746" s="75">
        <f>M746+N746</f>
        <v>2437.784881201924</v>
      </c>
      <c r="P746" s="75">
        <f>(MIN(L746,'THAM_SO_MOI'!$C$41)-O746)/('THAM_SO_MOI'!$C$11*H746)</f>
        <v>0.15761020590320138</v>
      </c>
      <c r="Q746" s="75">
        <f>IF(P746&gt;0,1/P746,NA())</f>
        <v>6.344766788859883</v>
      </c>
      <c r="R746" s="75">
        <f>F746-F745</f>
        <v>0.017600427350430436</v>
      </c>
      <c r="S746" s="75">
        <f>0.5*(Q745+Q746)*R746</f>
        <v>0.1115846999709503</v>
      </c>
      <c r="T746" s="75">
        <f>0.5*(F745*Q745+F746*Q746)*R746</f>
        <v>2.358362821836523</v>
      </c>
      <c r="U746" s="76">
        <f>U745+S746</f>
        <v>65.42896938863603</v>
      </c>
      <c r="V746" s="76">
        <f>V745+T746</f>
        <v>972.3880682231239</v>
      </c>
    </row>
    <row r="747" spans="1:22" ht="19" customHeight="1">
      <c r="A747" s="68" t="s">
        <v>362</v>
      </c>
      <c r="B747" s="74">
        <v>5</v>
      </c>
      <c r="C747" s="68" t="s">
        <v>363</v>
      </c>
      <c r="D747" s="68" t="s">
        <v>364</v>
      </c>
      <c r="E747" s="75">
        <f>60*F747*'THAM_SO_MOI'!$C$53/(2*PI()*'THAM_SO_MOI'!$C$26)</f>
        <v>2084.9719999999993</v>
      </c>
      <c r="F747" s="75">
        <f>'THAM_SO_MOI'!$E$53+('THAM_SO_MOI'!$C$14-'THAM_SO_MOI'!$E$53)*741/'THAM_SO_MOI'!$C$42</f>
        <v>21.161574786324785</v>
      </c>
      <c r="G747" s="75">
        <f>3.6*F747</f>
        <v>76.18166923076923</v>
      </c>
      <c r="H747" s="75">
        <f>'THAM_SO_MOI'!$D$53</f>
        <v>1.1</v>
      </c>
      <c r="I747" s="75">
        <f>IF(F747&gt;'THAM_SO_MOI'!$C$14,'THAM_SO_MOI'!$C$13*(1+F747^2/1500),'THAM_SO_MOI'!$C$13)</f>
        <v>0.015</v>
      </c>
      <c r="J747" s="75">
        <f>'THAM_SO_MOI'!$C$40*('THAM_SO_MOI'!$C$23*(E747/'THAM_SO_MOI'!$C$22)+'THAM_SO_MOI'!$C$24*(E747/'THAM_SO_MOI'!$C$22)^2-'THAM_SO_MOI'!$C$25*(E747/'THAM_SO_MOI'!$C$22)^3)</f>
        <v>93.82511044772103</v>
      </c>
      <c r="K747" s="75">
        <f>'THAM_SO_MOI'!$C$31*J747/E747</f>
        <v>429.8057048510208</v>
      </c>
      <c r="L747" s="75">
        <f>K747*'THAM_SO_MOI'!$C$53*'THAM_SO_MOI'!$C$17/'THAM_SO_MOI'!$C$26</f>
        <v>3769.397713359661</v>
      </c>
      <c r="M747" s="75">
        <f>'THAM_SO_MOI'!$C$15*'THAM_SO_MOI'!$C$16*F747^2</f>
        <v>1309.8508237538595</v>
      </c>
      <c r="N747" s="75">
        <f>'THAM_SO_MOI'!$C$12*I747</f>
        <v>1130.112</v>
      </c>
      <c r="O747" s="75">
        <f>M747+N747</f>
        <v>2439.9628237538595</v>
      </c>
      <c r="P747" s="75">
        <f>(MIN(L747,'THAM_SO_MOI'!$C$41)-O747)/('THAM_SO_MOI'!$C$11*H747)</f>
        <v>0.15736681931886853</v>
      </c>
      <c r="Q747" s="75">
        <f>IF(P747&gt;0,1/P747,NA())</f>
        <v>6.354579728613085</v>
      </c>
      <c r="R747" s="75">
        <f>F747-F746</f>
        <v>0.01760042735042333</v>
      </c>
      <c r="S747" s="75">
        <f>0.5*(Q746+Q747)*R747</f>
        <v>0.11175696288931725</v>
      </c>
      <c r="T747" s="75">
        <f>0.5*(F746*Q746+F747*Q747)*R747</f>
        <v>2.36397060287265</v>
      </c>
      <c r="U747" s="76">
        <f>U746+S747</f>
        <v>65.54072635152535</v>
      </c>
      <c r="V747" s="76">
        <f>V746+T747</f>
        <v>974.7520388259966</v>
      </c>
    </row>
    <row r="748" spans="1:22" ht="19" customHeight="1">
      <c r="A748" s="68" t="s">
        <v>362</v>
      </c>
      <c r="B748" s="74">
        <v>5</v>
      </c>
      <c r="C748" s="68" t="s">
        <v>363</v>
      </c>
      <c r="D748" s="68" t="s">
        <v>364</v>
      </c>
      <c r="E748" s="75">
        <f>60*F748*'THAM_SO_MOI'!$C$53/(2*PI()*'THAM_SO_MOI'!$C$26)</f>
        <v>2086.706105263158</v>
      </c>
      <c r="F748" s="75">
        <f>'THAM_SO_MOI'!$E$53+('THAM_SO_MOI'!$C$14-'THAM_SO_MOI'!$E$53)*742/'THAM_SO_MOI'!$C$42</f>
        <v>21.179175213675215</v>
      </c>
      <c r="G748" s="75">
        <f>3.6*F748</f>
        <v>76.24503076923078</v>
      </c>
      <c r="H748" s="75">
        <f>'THAM_SO_MOI'!$D$53</f>
        <v>1.1</v>
      </c>
      <c r="I748" s="75">
        <f>IF(F748&gt;'THAM_SO_MOI'!$C$14,'THAM_SO_MOI'!$C$13*(1+F748^2/1500),'THAM_SO_MOI'!$C$13)</f>
        <v>0.015</v>
      </c>
      <c r="J748" s="75">
        <f>'THAM_SO_MOI'!$C$40*('THAM_SO_MOI'!$C$23*(E748/'THAM_SO_MOI'!$C$22)+'THAM_SO_MOI'!$C$24*(E748/'THAM_SO_MOI'!$C$22)^2-'THAM_SO_MOI'!$C$25*(E748/'THAM_SO_MOI'!$C$22)^3)</f>
        <v>93.90611718131149</v>
      </c>
      <c r="K748" s="75">
        <f>'THAM_SO_MOI'!$C$31*J748/E748</f>
        <v>429.81930281130707</v>
      </c>
      <c r="L748" s="75">
        <f>K748*'THAM_SO_MOI'!$C$53*'THAM_SO_MOI'!$C$17/'THAM_SO_MOI'!$C$26</f>
        <v>3769.5169675245807</v>
      </c>
      <c r="M748" s="75">
        <f>'THAM_SO_MOI'!$C$15*'THAM_SO_MOI'!$C$16*F748^2</f>
        <v>1312.0305784897973</v>
      </c>
      <c r="N748" s="75">
        <f>'THAM_SO_MOI'!$C$12*I748</f>
        <v>1130.112</v>
      </c>
      <c r="O748" s="75">
        <f>M748+N748</f>
        <v>2442.1425784897974</v>
      </c>
      <c r="P748" s="75">
        <f>(MIN(L748,'THAM_SO_MOI'!$C$41)-O748)/('THAM_SO_MOI'!$C$11*H748)</f>
        <v>0.15712291536870066</v>
      </c>
      <c r="Q748" s="75">
        <f>IF(P748&gt;0,1/P748,NA())</f>
        <v>6.364444025579753</v>
      </c>
      <c r="R748" s="75">
        <f>F748-F747</f>
        <v>0.017600427350430436</v>
      </c>
      <c r="S748" s="75">
        <f>0.5*(Q747+Q748)*R748</f>
        <v>0.11193012677703501</v>
      </c>
      <c r="T748" s="75">
        <f>0.5*(F747*Q747+F748*Q748)*R748</f>
        <v>2.369603521595627</v>
      </c>
      <c r="U748" s="76">
        <f>U747+S748</f>
        <v>65.65265647830239</v>
      </c>
      <c r="V748" s="76">
        <f>V747+T748</f>
        <v>977.1216423475922</v>
      </c>
    </row>
    <row r="749" spans="1:22" ht="19" customHeight="1">
      <c r="A749" s="68" t="s">
        <v>362</v>
      </c>
      <c r="B749" s="74">
        <v>5</v>
      </c>
      <c r="C749" s="68" t="s">
        <v>363</v>
      </c>
      <c r="D749" s="68" t="s">
        <v>364</v>
      </c>
      <c r="E749" s="75">
        <f>60*F749*'THAM_SO_MOI'!$C$53/(2*PI()*'THAM_SO_MOI'!$C$26)</f>
        <v>2088.4402105263152</v>
      </c>
      <c r="F749" s="75">
        <f>'THAM_SO_MOI'!$E$53+('THAM_SO_MOI'!$C$14-'THAM_SO_MOI'!$E$53)*743/'THAM_SO_MOI'!$C$42</f>
        <v>21.19677564102564</v>
      </c>
      <c r="G749" s="75">
        <f>3.6*F749</f>
        <v>76.3083923076923</v>
      </c>
      <c r="H749" s="75">
        <f>'THAM_SO_MOI'!$D$53</f>
        <v>1.1</v>
      </c>
      <c r="I749" s="75">
        <f>IF(F749&gt;'THAM_SO_MOI'!$C$14,'THAM_SO_MOI'!$C$13*(1+F749^2/1500),'THAM_SO_MOI'!$C$13)</f>
        <v>0.015</v>
      </c>
      <c r="J749" s="75">
        <f>'THAM_SO_MOI'!$C$40*('THAM_SO_MOI'!$C$23*(E749/'THAM_SO_MOI'!$C$22)+'THAM_SO_MOI'!$C$24*(E749/'THAM_SO_MOI'!$C$22)^2-'THAM_SO_MOI'!$C$25*(E749/'THAM_SO_MOI'!$C$22)^3)</f>
        <v>93.9870650617942</v>
      </c>
      <c r="K749" s="75">
        <f>'THAM_SO_MOI'!$C$31*J749/E749</f>
        <v>429.83260903596823</v>
      </c>
      <c r="L749" s="75">
        <f>K749*'THAM_SO_MOI'!$C$53*'THAM_SO_MOI'!$C$17/'THAM_SO_MOI'!$C$26</f>
        <v>3769.633663166925</v>
      </c>
      <c r="M749" s="75">
        <f>'THAM_SO_MOI'!$C$15*'THAM_SO_MOI'!$C$16*F749^2</f>
        <v>1314.2121454097355</v>
      </c>
      <c r="N749" s="75">
        <f>'THAM_SO_MOI'!$C$12*I749</f>
        <v>1130.112</v>
      </c>
      <c r="O749" s="75">
        <f>M749+N749</f>
        <v>2444.3241454097356</v>
      </c>
      <c r="P749" s="75">
        <f>(MIN(L749,'THAM_SO_MOI'!$C$41)-O749)/('THAM_SO_MOI'!$C$11*H749)</f>
        <v>0.15687849405269763</v>
      </c>
      <c r="Q749" s="75">
        <f>IF(P749&gt;0,1/P749,NA())</f>
        <v>6.3743600168936245</v>
      </c>
      <c r="R749" s="75">
        <f>F749-F748</f>
        <v>0.01760042735042333</v>
      </c>
      <c r="S749" s="75">
        <f>0.5*(Q748+Q749)*R749</f>
        <v>0.11210419754041587</v>
      </c>
      <c r="T749" s="75">
        <f>0.5*(F748*Q748+F749*Q749)*R749</f>
        <v>2.3752617507208282</v>
      </c>
      <c r="U749" s="76">
        <f>U748+S749</f>
        <v>65.76476067584281</v>
      </c>
      <c r="V749" s="76">
        <f>V748+T749</f>
        <v>979.496904098313</v>
      </c>
    </row>
    <row r="750" spans="1:22" ht="19" customHeight="1">
      <c r="A750" s="68" t="s">
        <v>362</v>
      </c>
      <c r="B750" s="74">
        <v>5</v>
      </c>
      <c r="C750" s="68" t="s">
        <v>363</v>
      </c>
      <c r="D750" s="68" t="s">
        <v>364</v>
      </c>
      <c r="E750" s="75">
        <f>60*F750*'THAM_SO_MOI'!$C$53/(2*PI()*'THAM_SO_MOI'!$C$26)</f>
        <v>2090.1743157894734</v>
      </c>
      <c r="F750" s="75">
        <f>'THAM_SO_MOI'!$E$53+('THAM_SO_MOI'!$C$14-'THAM_SO_MOI'!$E$53)*744/'THAM_SO_MOI'!$C$42</f>
        <v>21.21437606837607</v>
      </c>
      <c r="G750" s="75">
        <f>3.6*F750</f>
        <v>76.37175384615385</v>
      </c>
      <c r="H750" s="75">
        <f>'THAM_SO_MOI'!$D$53</f>
        <v>1.1</v>
      </c>
      <c r="I750" s="75">
        <f>IF(F750&gt;'THAM_SO_MOI'!$C$14,'THAM_SO_MOI'!$C$13*(1+F750^2/1500),'THAM_SO_MOI'!$C$13)</f>
        <v>0.015</v>
      </c>
      <c r="J750" s="75">
        <f>'THAM_SO_MOI'!$C$40*('THAM_SO_MOI'!$C$23*(E750/'THAM_SO_MOI'!$C$22)+'THAM_SO_MOI'!$C$24*(E750/'THAM_SO_MOI'!$C$22)^2-'THAM_SO_MOI'!$C$25*(E750/'THAM_SO_MOI'!$C$22)^3)</f>
        <v>94.067953930266</v>
      </c>
      <c r="K750" s="75">
        <f>'THAM_SO_MOI'!$C$31*J750/E750</f>
        <v>429.84562352500444</v>
      </c>
      <c r="L750" s="75">
        <f>K750*'THAM_SO_MOI'!$C$53*'THAM_SO_MOI'!$C$17/'THAM_SO_MOI'!$C$26</f>
        <v>3769.7478002866987</v>
      </c>
      <c r="M750" s="75">
        <f>'THAM_SO_MOI'!$C$15*'THAM_SO_MOI'!$C$16*F750^2</f>
        <v>1316.3955245136754</v>
      </c>
      <c r="N750" s="75">
        <f>'THAM_SO_MOI'!$C$12*I750</f>
        <v>1130.112</v>
      </c>
      <c r="O750" s="75">
        <f>M750+N750</f>
        <v>2446.5075245136754</v>
      </c>
      <c r="P750" s="75">
        <f>(MIN(L750,'THAM_SO_MOI'!$C$41)-O750)/('THAM_SO_MOI'!$C$11*H750)</f>
        <v>0.15663355537085977</v>
      </c>
      <c r="Q750" s="75">
        <f>IF(P750&gt;0,1/P750,NA())</f>
        <v>6.384328042815025</v>
      </c>
      <c r="R750" s="75">
        <f>F750-F749</f>
        <v>0.017600427350430436</v>
      </c>
      <c r="S750" s="75">
        <f>0.5*(Q749+Q750)*R750</f>
        <v>0.11227918114085318</v>
      </c>
      <c r="T750" s="75">
        <f>0.5*(F749*Q749+F750*Q750)*R750</f>
        <v>2.380945464547474</v>
      </c>
      <c r="U750" s="76">
        <f>U749+S750</f>
        <v>65.87703985698366</v>
      </c>
      <c r="V750" s="76">
        <f>V749+T750</f>
        <v>981.8778495628605</v>
      </c>
    </row>
    <row r="751" spans="1:22" ht="19" customHeight="1">
      <c r="A751" s="68" t="s">
        <v>362</v>
      </c>
      <c r="B751" s="74">
        <v>5</v>
      </c>
      <c r="C751" s="68" t="s">
        <v>363</v>
      </c>
      <c r="D751" s="68" t="s">
        <v>364</v>
      </c>
      <c r="E751" s="75">
        <f>60*F751*'THAM_SO_MOI'!$C$53/(2*PI()*'THAM_SO_MOI'!$C$26)</f>
        <v>2091.908421052631</v>
      </c>
      <c r="F751" s="75">
        <f>'THAM_SO_MOI'!$E$53+('THAM_SO_MOI'!$C$14-'THAM_SO_MOI'!$E$53)*745/'THAM_SO_MOI'!$C$42</f>
        <v>21.231976495726496</v>
      </c>
      <c r="G751" s="75">
        <f>3.6*F751</f>
        <v>76.43511538461539</v>
      </c>
      <c r="H751" s="75">
        <f>'THAM_SO_MOI'!$D$53</f>
        <v>1.1</v>
      </c>
      <c r="I751" s="75">
        <f>IF(F751&gt;'THAM_SO_MOI'!$C$14,'THAM_SO_MOI'!$C$13*(1+F751^2/1500),'THAM_SO_MOI'!$C$13)</f>
        <v>0.015</v>
      </c>
      <c r="J751" s="75">
        <f>'THAM_SO_MOI'!$C$40*('THAM_SO_MOI'!$C$23*(E751/'THAM_SO_MOI'!$C$22)+'THAM_SO_MOI'!$C$24*(E751/'THAM_SO_MOI'!$C$22)^2-'THAM_SO_MOI'!$C$25*(E751/'THAM_SO_MOI'!$C$22)^3)</f>
        <v>94.14878362782356</v>
      </c>
      <c r="K751" s="75">
        <f>'THAM_SO_MOI'!$C$31*J751/E751</f>
        <v>429.85834627841564</v>
      </c>
      <c r="L751" s="75">
        <f>K751*'THAM_SO_MOI'!$C$53*'THAM_SO_MOI'!$C$17/'THAM_SO_MOI'!$C$26</f>
        <v>3769.859378883898</v>
      </c>
      <c r="M751" s="75">
        <f>'THAM_SO_MOI'!$C$15*'THAM_SO_MOI'!$C$16*F751^2</f>
        <v>1318.580715801616</v>
      </c>
      <c r="N751" s="75">
        <f>'THAM_SO_MOI'!$C$12*I751</f>
        <v>1130.112</v>
      </c>
      <c r="O751" s="75">
        <f>M751+N751</f>
        <v>2448.692715801616</v>
      </c>
      <c r="P751" s="75">
        <f>(MIN(L751,'THAM_SO_MOI'!$C$41)-O751)/('THAM_SO_MOI'!$C$11*H751)</f>
        <v>0.15638809932318679</v>
      </c>
      <c r="Q751" s="75">
        <f>IF(P751&gt;0,1/P751,NA())</f>
        <v>6.394348446766599</v>
      </c>
      <c r="R751" s="75">
        <f>F751-F750</f>
        <v>0.017600427350426884</v>
      </c>
      <c r="S751" s="75">
        <f>0.5*(Q750+Q751)*R751</f>
        <v>0.11245508359474471</v>
      </c>
      <c r="T751" s="75">
        <f>0.5*(F750*Q750+F751*Q751)*R751</f>
        <v>2.3866548389618463</v>
      </c>
      <c r="U751" s="76">
        <f>U750+S751</f>
        <v>65.9894949405784</v>
      </c>
      <c r="V751" s="76">
        <f>V750+T751</f>
        <v>984.2645044018224</v>
      </c>
    </row>
    <row r="752" spans="1:22" ht="19" customHeight="1">
      <c r="A752" s="68" t="s">
        <v>362</v>
      </c>
      <c r="B752" s="74">
        <v>5</v>
      </c>
      <c r="C752" s="68" t="s">
        <v>363</v>
      </c>
      <c r="D752" s="68" t="s">
        <v>364</v>
      </c>
      <c r="E752" s="75">
        <f>60*F752*'THAM_SO_MOI'!$C$53/(2*PI()*'THAM_SO_MOI'!$C$26)</f>
        <v>2093.642526315789</v>
      </c>
      <c r="F752" s="75">
        <f>'THAM_SO_MOI'!$E$53+('THAM_SO_MOI'!$C$14-'THAM_SO_MOI'!$E$53)*746/'THAM_SO_MOI'!$C$42</f>
        <v>21.249576923076923</v>
      </c>
      <c r="G752" s="75">
        <f>3.6*F752</f>
        <v>76.49847692307692</v>
      </c>
      <c r="H752" s="75">
        <f>'THAM_SO_MOI'!$D$53</f>
        <v>1.1</v>
      </c>
      <c r="I752" s="75">
        <f>IF(F752&gt;'THAM_SO_MOI'!$C$14,'THAM_SO_MOI'!$C$13*(1+F752^2/1500),'THAM_SO_MOI'!$C$13)</f>
        <v>0.015</v>
      </c>
      <c r="J752" s="75">
        <f>'THAM_SO_MOI'!$C$40*('THAM_SO_MOI'!$C$23*(E752/'THAM_SO_MOI'!$C$22)+'THAM_SO_MOI'!$C$24*(E752/'THAM_SO_MOI'!$C$22)^2-'THAM_SO_MOI'!$C$25*(E752/'THAM_SO_MOI'!$C$22)^3)</f>
        <v>94.2295539955636</v>
      </c>
      <c r="K752" s="75">
        <f>'THAM_SO_MOI'!$C$31*J752/E752</f>
        <v>429.87077729620177</v>
      </c>
      <c r="L752" s="75">
        <f>K752*'THAM_SO_MOI'!$C$53*'THAM_SO_MOI'!$C$17/'THAM_SO_MOI'!$C$26</f>
        <v>3769.9683989585246</v>
      </c>
      <c r="M752" s="75">
        <f>'THAM_SO_MOI'!$C$15*'THAM_SO_MOI'!$C$16*F752^2</f>
        <v>1320.7677192735578</v>
      </c>
      <c r="N752" s="75">
        <f>'THAM_SO_MOI'!$C$12*I752</f>
        <v>1130.112</v>
      </c>
      <c r="O752" s="75">
        <f>M752+N752</f>
        <v>2450.879719273558</v>
      </c>
      <c r="P752" s="75">
        <f>(MIN(L752,'THAM_SO_MOI'!$C$41)-O752)/('THAM_SO_MOI'!$C$11*H752)</f>
        <v>0.15614212590967882</v>
      </c>
      <c r="Q752" s="75">
        <f>IF(P752&gt;0,1/P752,NA())</f>
        <v>6.404421575369448</v>
      </c>
      <c r="R752" s="75">
        <f>F752-F751</f>
        <v>0.017600427350426884</v>
      </c>
      <c r="S752" s="75">
        <f>0.5*(Q751+Q752)*R752</f>
        <v>0.11263191097471349</v>
      </c>
      <c r="T752" s="75">
        <f>0.5*(F751*Q751+F752*Q752)*R752</f>
        <v>2.3923900514680625</v>
      </c>
      <c r="U752" s="76">
        <f>U751+S752</f>
        <v>66.10212685155311</v>
      </c>
      <c r="V752" s="76">
        <f>V751+T752</f>
        <v>986.6568944532904</v>
      </c>
    </row>
    <row r="753" spans="1:22" ht="19" customHeight="1">
      <c r="A753" s="68" t="s">
        <v>362</v>
      </c>
      <c r="B753" s="74">
        <v>5</v>
      </c>
      <c r="C753" s="68" t="s">
        <v>363</v>
      </c>
      <c r="D753" s="68" t="s">
        <v>364</v>
      </c>
      <c r="E753" s="75">
        <f>60*F753*'THAM_SO_MOI'!$C$53/(2*PI()*'THAM_SO_MOI'!$C$26)</f>
        <v>2095.376631578947</v>
      </c>
      <c r="F753" s="75">
        <f>'THAM_SO_MOI'!$E$53+('THAM_SO_MOI'!$C$14-'THAM_SO_MOI'!$E$53)*747/'THAM_SO_MOI'!$C$42</f>
        <v>21.26717735042735</v>
      </c>
      <c r="G753" s="75">
        <f>3.6*F753</f>
        <v>76.56183846153846</v>
      </c>
      <c r="H753" s="75">
        <f>'THAM_SO_MOI'!$D$53</f>
        <v>1.1</v>
      </c>
      <c r="I753" s="75">
        <f>IF(F753&gt;'THAM_SO_MOI'!$C$14,'THAM_SO_MOI'!$C$13*(1+F753^2/1500),'THAM_SO_MOI'!$C$13)</f>
        <v>0.015</v>
      </c>
      <c r="J753" s="75">
        <f>'THAM_SO_MOI'!$C$40*('THAM_SO_MOI'!$C$23*(E753/'THAM_SO_MOI'!$C$22)+'THAM_SO_MOI'!$C$24*(E753/'THAM_SO_MOI'!$C$22)^2-'THAM_SO_MOI'!$C$25*(E753/'THAM_SO_MOI'!$C$22)^3)</f>
        <v>94.31026487458288</v>
      </c>
      <c r="K753" s="75">
        <f>'THAM_SO_MOI'!$C$31*J753/E753</f>
        <v>429.88291657836294</v>
      </c>
      <c r="L753" s="75">
        <f>K753*'THAM_SO_MOI'!$C$53*'THAM_SO_MOI'!$C$17/'THAM_SO_MOI'!$C$26</f>
        <v>3770.0748605105787</v>
      </c>
      <c r="M753" s="75">
        <f>'THAM_SO_MOI'!$C$15*'THAM_SO_MOI'!$C$16*F753^2</f>
        <v>1322.9565349295005</v>
      </c>
      <c r="N753" s="75">
        <f>'THAM_SO_MOI'!$C$12*I753</f>
        <v>1130.112</v>
      </c>
      <c r="O753" s="75">
        <f>M753+N753</f>
        <v>2453.068534929501</v>
      </c>
      <c r="P753" s="75">
        <f>(MIN(L753,'THAM_SO_MOI'!$C$41)-O753)/('THAM_SO_MOI'!$C$11*H753)</f>
        <v>0.15589563513033597</v>
      </c>
      <c r="Q753" s="75">
        <f>IF(P753&gt;0,1/P753,NA())</f>
        <v>6.414547778479838</v>
      </c>
      <c r="R753" s="75">
        <f>F753-F752</f>
        <v>0.017600427350426884</v>
      </c>
      <c r="S753" s="75">
        <f>0.5*(Q752+Q753)*R753</f>
        <v>0.11280966940988651</v>
      </c>
      <c r="T753" s="75">
        <f>0.5*(F752*Q752+F753*Q753)*R753</f>
        <v>2.398151281198949</v>
      </c>
      <c r="U753" s="76">
        <f>U752+S753</f>
        <v>66.214936520963</v>
      </c>
      <c r="V753" s="76">
        <f>V752+T753</f>
        <v>989.0550457344893</v>
      </c>
    </row>
    <row r="754" spans="1:22" ht="19" customHeight="1">
      <c r="A754" s="68" t="s">
        <v>362</v>
      </c>
      <c r="B754" s="74">
        <v>5</v>
      </c>
      <c r="C754" s="68" t="s">
        <v>363</v>
      </c>
      <c r="D754" s="68" t="s">
        <v>364</v>
      </c>
      <c r="E754" s="75">
        <f>60*F754*'THAM_SO_MOI'!$C$53/(2*PI()*'THAM_SO_MOI'!$C$26)</f>
        <v>2097.1107368421044</v>
      </c>
      <c r="F754" s="75">
        <f>'THAM_SO_MOI'!$E$53+('THAM_SO_MOI'!$C$14-'THAM_SO_MOI'!$E$53)*748/'THAM_SO_MOI'!$C$42</f>
        <v>21.284777777777776</v>
      </c>
      <c r="G754" s="75">
        <f>3.6*F754</f>
        <v>76.62519999999999</v>
      </c>
      <c r="H754" s="75">
        <f>'THAM_SO_MOI'!$D$53</f>
        <v>1.1</v>
      </c>
      <c r="I754" s="75">
        <f>IF(F754&gt;'THAM_SO_MOI'!$C$14,'THAM_SO_MOI'!$C$13*(1+F754^2/1500),'THAM_SO_MOI'!$C$13)</f>
        <v>0.015</v>
      </c>
      <c r="J754" s="75">
        <f>'THAM_SO_MOI'!$C$40*('THAM_SO_MOI'!$C$23*(E754/'THAM_SO_MOI'!$C$22)+'THAM_SO_MOI'!$C$24*(E754/'THAM_SO_MOI'!$C$22)^2-'THAM_SO_MOI'!$C$25*(E754/'THAM_SO_MOI'!$C$22)^3)</f>
        <v>94.39091610597802</v>
      </c>
      <c r="K754" s="75">
        <f>'THAM_SO_MOI'!$C$31*J754/E754</f>
        <v>429.8947641248989</v>
      </c>
      <c r="L754" s="75">
        <f>K754*'THAM_SO_MOI'!$C$53*'THAM_SO_MOI'!$C$17/'THAM_SO_MOI'!$C$26</f>
        <v>3770.1787635400583</v>
      </c>
      <c r="M754" s="75">
        <f>'THAM_SO_MOI'!$C$15*'THAM_SO_MOI'!$C$16*F754^2</f>
        <v>1325.1471627694443</v>
      </c>
      <c r="N754" s="75">
        <f>'THAM_SO_MOI'!$C$12*I754</f>
        <v>1130.112</v>
      </c>
      <c r="O754" s="75">
        <f>M754+N754</f>
        <v>2455.2591627694446</v>
      </c>
      <c r="P754" s="75">
        <f>(MIN(L754,'THAM_SO_MOI'!$C$41)-O754)/('THAM_SO_MOI'!$C$11*H754)</f>
        <v>0.1556486269851579</v>
      </c>
      <c r="Q754" s="75">
        <f>IF(P754&gt;0,1/P754,NA())</f>
        <v>6.4247274092264</v>
      </c>
      <c r="R754" s="75">
        <f>F754-F753</f>
        <v>0.017600427350426884</v>
      </c>
      <c r="S754" s="75">
        <f>0.5*(Q753+Q754)*R754</f>
        <v>0.11298836508668107</v>
      </c>
      <c r="T754" s="75">
        <f>0.5*(F753*Q753+F754*Q754)*R754</f>
        <v>2.4039387089377433</v>
      </c>
      <c r="U754" s="76">
        <f>U753+S754</f>
        <v>66.32792488604967</v>
      </c>
      <c r="V754" s="76">
        <f>V753+T754</f>
        <v>991.4589844434271</v>
      </c>
    </row>
    <row r="755" spans="1:22" ht="19" customHeight="1">
      <c r="A755" s="68" t="s">
        <v>362</v>
      </c>
      <c r="B755" s="74">
        <v>5</v>
      </c>
      <c r="C755" s="68" t="s">
        <v>363</v>
      </c>
      <c r="D755" s="68" t="s">
        <v>364</v>
      </c>
      <c r="E755" s="75">
        <f>60*F755*'THAM_SO_MOI'!$C$53/(2*PI()*'THAM_SO_MOI'!$C$26)</f>
        <v>2098.844842105263</v>
      </c>
      <c r="F755" s="75">
        <f>'THAM_SO_MOI'!$E$53+('THAM_SO_MOI'!$C$14-'THAM_SO_MOI'!$E$53)*749/'THAM_SO_MOI'!$C$42</f>
        <v>21.302378205128207</v>
      </c>
      <c r="G755" s="75">
        <f>3.6*F755</f>
        <v>76.68856153846154</v>
      </c>
      <c r="H755" s="75">
        <f>'THAM_SO_MOI'!$D$53</f>
        <v>1.1</v>
      </c>
      <c r="I755" s="75">
        <f>IF(F755&gt;'THAM_SO_MOI'!$C$14,'THAM_SO_MOI'!$C$13*(1+F755^2/1500),'THAM_SO_MOI'!$C$13)</f>
        <v>0.015</v>
      </c>
      <c r="J755" s="75">
        <f>'THAM_SO_MOI'!$C$40*('THAM_SO_MOI'!$C$23*(E755/'THAM_SO_MOI'!$C$22)+'THAM_SO_MOI'!$C$24*(E755/'THAM_SO_MOI'!$C$22)^2-'THAM_SO_MOI'!$C$25*(E755/'THAM_SO_MOI'!$C$22)^3)</f>
        <v>94.4715075308459</v>
      </c>
      <c r="K755" s="75">
        <f>'THAM_SO_MOI'!$C$31*J755/E755</f>
        <v>429.90631993581</v>
      </c>
      <c r="L755" s="75">
        <f>K755*'THAM_SO_MOI'!$C$53*'THAM_SO_MOI'!$C$17/'THAM_SO_MOI'!$C$26</f>
        <v>3770.2801080469662</v>
      </c>
      <c r="M755" s="75">
        <f>'THAM_SO_MOI'!$C$15*'THAM_SO_MOI'!$C$16*F755^2</f>
        <v>1327.3396027933898</v>
      </c>
      <c r="N755" s="75">
        <f>'THAM_SO_MOI'!$C$12*I755</f>
        <v>1130.112</v>
      </c>
      <c r="O755" s="75">
        <f>M755+N755</f>
        <v>2457.4516027933896</v>
      </c>
      <c r="P755" s="75">
        <f>(MIN(L755,'THAM_SO_MOI'!$C$41)-O755)/('THAM_SO_MOI'!$C$11*H755)</f>
        <v>0.15540110147414496</v>
      </c>
      <c r="Q755" s="75">
        <f>IF(P755&gt;0,1/P755,NA())</f>
        <v>6.434960824047803</v>
      </c>
      <c r="R755" s="75">
        <f>F755-F754</f>
        <v>0.017600427350430436</v>
      </c>
      <c r="S755" s="75">
        <f>0.5*(Q754+Q755)*R755</f>
        <v>0.11316800424946385</v>
      </c>
      <c r="T755" s="75">
        <f>0.5*(F754*Q754+F755*Q755)*R755</f>
        <v>2.4097525171371714</v>
      </c>
      <c r="U755" s="76">
        <f>U754+S755</f>
        <v>66.44109289029913</v>
      </c>
      <c r="V755" s="76">
        <f>V754+T755</f>
        <v>993.8687369605642</v>
      </c>
    </row>
    <row r="756" spans="1:22" ht="19" customHeight="1">
      <c r="A756" s="68" t="s">
        <v>362</v>
      </c>
      <c r="B756" s="74">
        <v>5</v>
      </c>
      <c r="C756" s="68" t="s">
        <v>363</v>
      </c>
      <c r="D756" s="68" t="s">
        <v>364</v>
      </c>
      <c r="E756" s="75">
        <f>60*F756*'THAM_SO_MOI'!$C$53/(2*PI()*'THAM_SO_MOI'!$C$26)</f>
        <v>2100.5789473684204</v>
      </c>
      <c r="F756" s="75">
        <f>'THAM_SO_MOI'!$E$53+('THAM_SO_MOI'!$C$14-'THAM_SO_MOI'!$E$53)*750/'THAM_SO_MOI'!$C$42</f>
        <v>21.31997863247863</v>
      </c>
      <c r="G756" s="75">
        <f>3.6*F756</f>
        <v>76.75192307692308</v>
      </c>
      <c r="H756" s="75">
        <f>'THAM_SO_MOI'!$D$53</f>
        <v>1.1</v>
      </c>
      <c r="I756" s="75">
        <f>IF(F756&gt;'THAM_SO_MOI'!$C$14,'THAM_SO_MOI'!$C$13*(1+F756^2/1500),'THAM_SO_MOI'!$C$13)</f>
        <v>0.015</v>
      </c>
      <c r="J756" s="75">
        <f>'THAM_SO_MOI'!$C$40*('THAM_SO_MOI'!$C$23*(E756/'THAM_SO_MOI'!$C$22)+'THAM_SO_MOI'!$C$24*(E756/'THAM_SO_MOI'!$C$22)^2-'THAM_SO_MOI'!$C$25*(E756/'THAM_SO_MOI'!$C$22)^3)</f>
        <v>94.55203899028308</v>
      </c>
      <c r="K756" s="75">
        <f>'THAM_SO_MOI'!$C$31*J756/E756</f>
        <v>429.917584011096</v>
      </c>
      <c r="L756" s="75">
        <f>K756*'THAM_SO_MOI'!$C$53*'THAM_SO_MOI'!$C$17/'THAM_SO_MOI'!$C$26</f>
        <v>3770.3788940312998</v>
      </c>
      <c r="M756" s="75">
        <f>'THAM_SO_MOI'!$C$15*'THAM_SO_MOI'!$C$16*F756^2</f>
        <v>1329.5338550013353</v>
      </c>
      <c r="N756" s="75">
        <f>'THAM_SO_MOI'!$C$12*I756</f>
        <v>1130.112</v>
      </c>
      <c r="O756" s="75">
        <f>M756+N756</f>
        <v>2459.6458550013353</v>
      </c>
      <c r="P756" s="75">
        <f>(MIN(L756,'THAM_SO_MOI'!$C$41)-O756)/('THAM_SO_MOI'!$C$11*H756)</f>
        <v>0.15515305859729692</v>
      </c>
      <c r="Q756" s="75">
        <f>IF(P756&gt;0,1/P756,NA())</f>
        <v>6.445248382731026</v>
      </c>
      <c r="R756" s="75">
        <f>F756-F755</f>
        <v>0.01760042735042333</v>
      </c>
      <c r="S756" s="75">
        <f>0.5*(Q755+Q756)*R756</f>
        <v>0.11334859320108226</v>
      </c>
      <c r="T756" s="75">
        <f>0.5*(F755*Q755+F756*Q756)*R756</f>
        <v>2.415592889935865</v>
      </c>
      <c r="U756" s="76">
        <f>U755+S756</f>
        <v>66.55444148350021</v>
      </c>
      <c r="V756" s="76">
        <f>V755+T756</f>
        <v>996.2843298505001</v>
      </c>
    </row>
    <row r="757" spans="1:22" ht="19" customHeight="1">
      <c r="A757" s="68" t="s">
        <v>362</v>
      </c>
      <c r="B757" s="74">
        <v>5</v>
      </c>
      <c r="C757" s="68" t="s">
        <v>363</v>
      </c>
      <c r="D757" s="68" t="s">
        <v>364</v>
      </c>
      <c r="E757" s="75">
        <f>60*F757*'THAM_SO_MOI'!$C$53/(2*PI()*'THAM_SO_MOI'!$C$26)</f>
        <v>2102.3130526315786</v>
      </c>
      <c r="F757" s="75">
        <f>'THAM_SO_MOI'!$E$53+('THAM_SO_MOI'!$C$14-'THAM_SO_MOI'!$E$53)*751/'THAM_SO_MOI'!$C$42</f>
        <v>21.33757905982906</v>
      </c>
      <c r="G757" s="75">
        <f>3.6*F757</f>
        <v>76.81528461538463</v>
      </c>
      <c r="H757" s="75">
        <f>'THAM_SO_MOI'!$D$53</f>
        <v>1.1</v>
      </c>
      <c r="I757" s="75">
        <f>IF(F757&gt;'THAM_SO_MOI'!$C$14,'THAM_SO_MOI'!$C$13*(1+F757^2/1500),'THAM_SO_MOI'!$C$13)</f>
        <v>0.015</v>
      </c>
      <c r="J757" s="75">
        <f>'THAM_SO_MOI'!$C$40*('THAM_SO_MOI'!$C$23*(E757/'THAM_SO_MOI'!$C$22)+'THAM_SO_MOI'!$C$24*(E757/'THAM_SO_MOI'!$C$22)^2-'THAM_SO_MOI'!$C$25*(E757/'THAM_SO_MOI'!$C$22)^3)</f>
        <v>94.63251032538639</v>
      </c>
      <c r="K757" s="75">
        <f>'THAM_SO_MOI'!$C$31*J757/E757</f>
        <v>429.92855635075693</v>
      </c>
      <c r="L757" s="75">
        <f>K757*'THAM_SO_MOI'!$C$53*'THAM_SO_MOI'!$C$17/'THAM_SO_MOI'!$C$26</f>
        <v>3770.475121493061</v>
      </c>
      <c r="M757" s="75">
        <f>'THAM_SO_MOI'!$C$15*'THAM_SO_MOI'!$C$16*F757^2</f>
        <v>1331.729919393283</v>
      </c>
      <c r="N757" s="75">
        <f>'THAM_SO_MOI'!$C$12*I757</f>
        <v>1130.112</v>
      </c>
      <c r="O757" s="75">
        <f>M757+N757</f>
        <v>2461.841919393283</v>
      </c>
      <c r="P757" s="75">
        <f>(MIN(L757,'THAM_SO_MOI'!$C$41)-O757)/('THAM_SO_MOI'!$C$11*H757)</f>
        <v>0.15490449835461387</v>
      </c>
      <c r="Q757" s="75">
        <f>IF(P757&gt;0,1/P757,NA())</f>
        <v>6.455590448450103</v>
      </c>
      <c r="R757" s="75">
        <f>F757-F756</f>
        <v>0.017600427350430436</v>
      </c>
      <c r="S757" s="75">
        <f>0.5*(Q756+Q757)*R757</f>
        <v>0.1135301383039077</v>
      </c>
      <c r="T757" s="75">
        <f>0.5*(F756*Q756+F757*Q757)*R757</f>
        <v>2.4214600131857695</v>
      </c>
      <c r="U757" s="76">
        <f>U756+S757</f>
        <v>66.66797162180411</v>
      </c>
      <c r="V757" s="76">
        <f>V756+T757</f>
        <v>998.7057898636858</v>
      </c>
    </row>
    <row r="758" spans="1:22" ht="19" customHeight="1">
      <c r="A758" s="68" t="s">
        <v>362</v>
      </c>
      <c r="B758" s="74">
        <v>5</v>
      </c>
      <c r="C758" s="68" t="s">
        <v>363</v>
      </c>
      <c r="D758" s="68" t="s">
        <v>364</v>
      </c>
      <c r="E758" s="75">
        <f>60*F758*'THAM_SO_MOI'!$C$53/(2*PI()*'THAM_SO_MOI'!$C$26)</f>
        <v>2104.0471578947363</v>
      </c>
      <c r="F758" s="75">
        <f>'THAM_SO_MOI'!$E$53+('THAM_SO_MOI'!$C$14-'THAM_SO_MOI'!$E$53)*752/'THAM_SO_MOI'!$C$42</f>
        <v>21.355179487179484</v>
      </c>
      <c r="G758" s="75">
        <f>3.6*F758</f>
        <v>76.87864615384615</v>
      </c>
      <c r="H758" s="75">
        <f>'THAM_SO_MOI'!$D$53</f>
        <v>1.1</v>
      </c>
      <c r="I758" s="75">
        <f>IF(F758&gt;'THAM_SO_MOI'!$C$14,'THAM_SO_MOI'!$C$13*(1+F758^2/1500),'THAM_SO_MOI'!$C$13)</f>
        <v>0.015</v>
      </c>
      <c r="J758" s="75">
        <f>'THAM_SO_MOI'!$C$40*('THAM_SO_MOI'!$C$23*(E758/'THAM_SO_MOI'!$C$22)+'THAM_SO_MOI'!$C$24*(E758/'THAM_SO_MOI'!$C$22)^2-'THAM_SO_MOI'!$C$25*(E758/'THAM_SO_MOI'!$C$22)^3)</f>
        <v>94.71292137725253</v>
      </c>
      <c r="K758" s="75">
        <f>'THAM_SO_MOI'!$C$31*J758/E758</f>
        <v>429.93923695479293</v>
      </c>
      <c r="L758" s="75">
        <f>K758*'THAM_SO_MOI'!$C$53*'THAM_SO_MOI'!$C$17/'THAM_SO_MOI'!$C$26</f>
        <v>3770.5687904322494</v>
      </c>
      <c r="M758" s="75">
        <f>'THAM_SO_MOI'!$C$15*'THAM_SO_MOI'!$C$16*F758^2</f>
        <v>1333.9277959692304</v>
      </c>
      <c r="N758" s="75">
        <f>'THAM_SO_MOI'!$C$12*I758</f>
        <v>1130.112</v>
      </c>
      <c r="O758" s="75">
        <f>M758+N758</f>
        <v>2464.0397959692305</v>
      </c>
      <c r="P758" s="75">
        <f>(MIN(L758,'THAM_SO_MOI'!$C$41)-O758)/('THAM_SO_MOI'!$C$11*H758)</f>
        <v>0.154655420746096</v>
      </c>
      <c r="Q758" s="75">
        <f>IF(P758&gt;0,1/P758,NA())</f>
        <v>6.465987387805436</v>
      </c>
      <c r="R758" s="75">
        <f>F758-F757</f>
        <v>0.01760042735042333</v>
      </c>
      <c r="S758" s="75">
        <f>0.5*(Q757+Q758)*R758</f>
        <v>0.11371264597992796</v>
      </c>
      <c r="T758" s="75">
        <f>0.5*(F757*Q757+F758*Q758)*R758</f>
        <v>2.427354074459347</v>
      </c>
      <c r="U758" s="76">
        <f>U757+S758</f>
        <v>66.78168426778404</v>
      </c>
      <c r="V758" s="76">
        <f>V757+T758</f>
        <v>1001.1331439381452</v>
      </c>
    </row>
    <row r="759" spans="1:22" ht="19" customHeight="1">
      <c r="A759" s="68" t="s">
        <v>362</v>
      </c>
      <c r="B759" s="74">
        <v>5</v>
      </c>
      <c r="C759" s="68" t="s">
        <v>363</v>
      </c>
      <c r="D759" s="68" t="s">
        <v>364</v>
      </c>
      <c r="E759" s="75">
        <f>60*F759*'THAM_SO_MOI'!$C$53/(2*PI()*'THAM_SO_MOI'!$C$26)</f>
        <v>2105.781263157894</v>
      </c>
      <c r="F759" s="75">
        <f>'THAM_SO_MOI'!$E$53+('THAM_SO_MOI'!$C$14-'THAM_SO_MOI'!$E$53)*753/'THAM_SO_MOI'!$C$42</f>
        <v>21.372779914529914</v>
      </c>
      <c r="G759" s="75">
        <f>3.6*F759</f>
        <v>76.9420076923077</v>
      </c>
      <c r="H759" s="75">
        <f>'THAM_SO_MOI'!$D$53</f>
        <v>1.1</v>
      </c>
      <c r="I759" s="75">
        <f>IF(F759&gt;'THAM_SO_MOI'!$C$14,'THAM_SO_MOI'!$C$13*(1+F759^2/1500),'THAM_SO_MOI'!$C$13)</f>
        <v>0.015</v>
      </c>
      <c r="J759" s="75">
        <f>'THAM_SO_MOI'!$C$40*('THAM_SO_MOI'!$C$23*(E759/'THAM_SO_MOI'!$C$22)+'THAM_SO_MOI'!$C$24*(E759/'THAM_SO_MOI'!$C$22)^2-'THAM_SO_MOI'!$C$25*(E759/'THAM_SO_MOI'!$C$22)^3)</f>
        <v>94.79327198697814</v>
      </c>
      <c r="K759" s="75">
        <f>'THAM_SO_MOI'!$C$31*J759/E759</f>
        <v>429.9496258232037</v>
      </c>
      <c r="L759" s="75">
        <f>K759*'THAM_SO_MOI'!$C$53*'THAM_SO_MOI'!$C$17/'THAM_SO_MOI'!$C$26</f>
        <v>3770.659900848864</v>
      </c>
      <c r="M759" s="75">
        <f>'THAM_SO_MOI'!$C$15*'THAM_SO_MOI'!$C$16*F759^2</f>
        <v>1336.1274847291802</v>
      </c>
      <c r="N759" s="75">
        <f>'THAM_SO_MOI'!$C$12*I759</f>
        <v>1130.112</v>
      </c>
      <c r="O759" s="75">
        <f>M759+N759</f>
        <v>2466.2394847291803</v>
      </c>
      <c r="P759" s="75">
        <f>(MIN(L759,'THAM_SO_MOI'!$C$41)-O759)/('THAM_SO_MOI'!$C$11*H759)</f>
        <v>0.15440582577174283</v>
      </c>
      <c r="Q759" s="75">
        <f>IF(P759&gt;0,1/P759,NA())</f>
        <v>6.4764395708636915</v>
      </c>
      <c r="R759" s="75">
        <f>F759-F758</f>
        <v>0.017600427350430436</v>
      </c>
      <c r="S759" s="75">
        <f>0.5*(Q758+Q759)*R759</f>
        <v>0.11389612271215416</v>
      </c>
      <c r="T759" s="75">
        <f>0.5*(F758*Q758+F759*Q759)*R759</f>
        <v>2.4332752630848815</v>
      </c>
      <c r="U759" s="76">
        <f>U758+S759</f>
        <v>66.89558039049619</v>
      </c>
      <c r="V759" s="76">
        <f>V758+T759</f>
        <v>1003.56641920123</v>
      </c>
    </row>
    <row r="760" spans="1:22" ht="19" customHeight="1">
      <c r="A760" s="68" t="s">
        <v>362</v>
      </c>
      <c r="B760" s="74">
        <v>5</v>
      </c>
      <c r="C760" s="68" t="s">
        <v>363</v>
      </c>
      <c r="D760" s="68" t="s">
        <v>364</v>
      </c>
      <c r="E760" s="75">
        <f>60*F760*'THAM_SO_MOI'!$C$53/(2*PI()*'THAM_SO_MOI'!$C$26)</f>
        <v>2107.5153684210522</v>
      </c>
      <c r="F760" s="75">
        <f>'THAM_SO_MOI'!$E$53+('THAM_SO_MOI'!$C$14-'THAM_SO_MOI'!$E$53)*754/'THAM_SO_MOI'!$C$42</f>
        <v>21.39038034188034</v>
      </c>
      <c r="G760" s="75">
        <f>3.6*F760</f>
        <v>77.00536923076923</v>
      </c>
      <c r="H760" s="75">
        <f>'THAM_SO_MOI'!$D$53</f>
        <v>1.1</v>
      </c>
      <c r="I760" s="75">
        <f>IF(F760&gt;'THAM_SO_MOI'!$C$14,'THAM_SO_MOI'!$C$13*(1+F760^2/1500),'THAM_SO_MOI'!$C$13)</f>
        <v>0.015</v>
      </c>
      <c r="J760" s="75">
        <f>'THAM_SO_MOI'!$C$40*('THAM_SO_MOI'!$C$23*(E760/'THAM_SO_MOI'!$C$22)+'THAM_SO_MOI'!$C$24*(E760/'THAM_SO_MOI'!$C$22)^2-'THAM_SO_MOI'!$C$25*(E760/'THAM_SO_MOI'!$C$22)^3)</f>
        <v>94.87356199566005</v>
      </c>
      <c r="K760" s="75">
        <f>'THAM_SO_MOI'!$C$31*J760/E760</f>
        <v>429.95972295598955</v>
      </c>
      <c r="L760" s="75">
        <f>K760*'THAM_SO_MOI'!$C$53*'THAM_SO_MOI'!$C$17/'THAM_SO_MOI'!$C$26</f>
        <v>3770.748452742905</v>
      </c>
      <c r="M760" s="75">
        <f>'THAM_SO_MOI'!$C$15*'THAM_SO_MOI'!$C$16*F760^2</f>
        <v>1338.3289856731305</v>
      </c>
      <c r="N760" s="75">
        <f>'THAM_SO_MOI'!$C$12*I760</f>
        <v>1130.112</v>
      </c>
      <c r="O760" s="75">
        <f>M760+N760</f>
        <v>2468.440985673131</v>
      </c>
      <c r="P760" s="75">
        <f>(MIN(L760,'THAM_SO_MOI'!$C$41)-O760)/('THAM_SO_MOI'!$C$11*H760)</f>
        <v>0.1541557134315547</v>
      </c>
      <c r="Q760" s="75">
        <f>IF(P760&gt;0,1/P760,NA())</f>
        <v>6.486947371198156</v>
      </c>
      <c r="R760" s="75">
        <f>F760-F759</f>
        <v>0.017600427350426884</v>
      </c>
      <c r="S760" s="75">
        <f>0.5*(Q759+Q760)*R760</f>
        <v>0.11408057504461602</v>
      </c>
      <c r="T760" s="75">
        <f>0.5*(F759*Q759+F760*Q760)*R760</f>
        <v>2.4392237701517505</v>
      </c>
      <c r="U760" s="76">
        <f>U759+S760</f>
        <v>67.0096609655408</v>
      </c>
      <c r="V760" s="76">
        <f>V759+T760</f>
        <v>1006.0056429713818</v>
      </c>
    </row>
    <row r="761" spans="1:22" ht="19" customHeight="1">
      <c r="A761" s="68" t="s">
        <v>362</v>
      </c>
      <c r="B761" s="74">
        <v>5</v>
      </c>
      <c r="C761" s="68" t="s">
        <v>363</v>
      </c>
      <c r="D761" s="68" t="s">
        <v>364</v>
      </c>
      <c r="E761" s="75">
        <f>60*F761*'THAM_SO_MOI'!$C$53/(2*PI()*'THAM_SO_MOI'!$C$26)</f>
        <v>2109.2494736842095</v>
      </c>
      <c r="F761" s="75">
        <f>'THAM_SO_MOI'!$E$53+('THAM_SO_MOI'!$C$14-'THAM_SO_MOI'!$E$53)*755/'THAM_SO_MOI'!$C$42</f>
        <v>21.407980769230768</v>
      </c>
      <c r="G761" s="75">
        <f>3.6*F761</f>
        <v>77.06873076923077</v>
      </c>
      <c r="H761" s="75">
        <f>'THAM_SO_MOI'!$D$53</f>
        <v>1.1</v>
      </c>
      <c r="I761" s="75">
        <f>IF(F761&gt;'THAM_SO_MOI'!$C$14,'THAM_SO_MOI'!$C$13*(1+F761^2/1500),'THAM_SO_MOI'!$C$13)</f>
        <v>0.015</v>
      </c>
      <c r="J761" s="75">
        <f>'THAM_SO_MOI'!$C$40*('THAM_SO_MOI'!$C$23*(E761/'THAM_SO_MOI'!$C$22)+'THAM_SO_MOI'!$C$24*(E761/'THAM_SO_MOI'!$C$22)^2-'THAM_SO_MOI'!$C$25*(E761/'THAM_SO_MOI'!$C$22)^3)</f>
        <v>94.95379124439492</v>
      </c>
      <c r="K761" s="75">
        <f>'THAM_SO_MOI'!$C$31*J761/E761</f>
        <v>429.96952835315034</v>
      </c>
      <c r="L761" s="75">
        <f>K761*'THAM_SO_MOI'!$C$53*'THAM_SO_MOI'!$C$17/'THAM_SO_MOI'!$C$26</f>
        <v>3770.8344461143733</v>
      </c>
      <c r="M761" s="75">
        <f>'THAM_SO_MOI'!$C$15*'THAM_SO_MOI'!$C$16*F761^2</f>
        <v>1340.5322988010817</v>
      </c>
      <c r="N761" s="75">
        <f>'THAM_SO_MOI'!$C$12*I761</f>
        <v>1130.112</v>
      </c>
      <c r="O761" s="75">
        <f>M761+N761</f>
        <v>2470.6442988010817</v>
      </c>
      <c r="P761" s="75">
        <f>(MIN(L761,'THAM_SO_MOI'!$C$41)-O761)/('THAM_SO_MOI'!$C$11*H761)</f>
        <v>0.1539050837255317</v>
      </c>
      <c r="Q761" s="75">
        <f>IF(P761&gt;0,1/P761,NA())</f>
        <v>6.497511165929781</v>
      </c>
      <c r="R761" s="75">
        <f>F761-F760</f>
        <v>0.017600427350426884</v>
      </c>
      <c r="S761" s="75">
        <f>0.5*(Q760+Q761)*R761</f>
        <v>0.1142660095836752</v>
      </c>
      <c r="T761" s="75">
        <f>0.5*(F760*Q760+F761*Q761)*R761</f>
        <v>2.4451997885438983</v>
      </c>
      <c r="U761" s="76">
        <f>U760+S761</f>
        <v>67.12392697512448</v>
      </c>
      <c r="V761" s="76">
        <f>V760+T761</f>
        <v>1008.4508427599256</v>
      </c>
    </row>
    <row r="762" spans="1:22" ht="19" customHeight="1">
      <c r="A762" s="68" t="s">
        <v>362</v>
      </c>
      <c r="B762" s="74">
        <v>5</v>
      </c>
      <c r="C762" s="68" t="s">
        <v>363</v>
      </c>
      <c r="D762" s="68" t="s">
        <v>364</v>
      </c>
      <c r="E762" s="75">
        <f>60*F762*'THAM_SO_MOI'!$C$53/(2*PI()*'THAM_SO_MOI'!$C$26)</f>
        <v>2110.9835789473677</v>
      </c>
      <c r="F762" s="75">
        <f>'THAM_SO_MOI'!$E$53+('THAM_SO_MOI'!$C$14-'THAM_SO_MOI'!$E$53)*756/'THAM_SO_MOI'!$C$42</f>
        <v>21.425581196581195</v>
      </c>
      <c r="G762" s="75">
        <f>3.6*F762</f>
        <v>77.1320923076923</v>
      </c>
      <c r="H762" s="75">
        <f>'THAM_SO_MOI'!$D$53</f>
        <v>1.1</v>
      </c>
      <c r="I762" s="75">
        <f>IF(F762&gt;'THAM_SO_MOI'!$C$14,'THAM_SO_MOI'!$C$13*(1+F762^2/1500),'THAM_SO_MOI'!$C$13)</f>
        <v>0.015</v>
      </c>
      <c r="J762" s="75">
        <f>'THAM_SO_MOI'!$C$40*('THAM_SO_MOI'!$C$23*(E762/'THAM_SO_MOI'!$C$22)+'THAM_SO_MOI'!$C$24*(E762/'THAM_SO_MOI'!$C$22)^2-'THAM_SO_MOI'!$C$25*(E762/'THAM_SO_MOI'!$C$22)^3)</f>
        <v>95.0339595742795</v>
      </c>
      <c r="K762" s="75">
        <f>'THAM_SO_MOI'!$C$31*J762/E762</f>
        <v>429.97904201468606</v>
      </c>
      <c r="L762" s="75">
        <f>K762*'THAM_SO_MOI'!$C$53*'THAM_SO_MOI'!$C$17/'THAM_SO_MOI'!$C$26</f>
        <v>3770.9178809632685</v>
      </c>
      <c r="M762" s="75">
        <f>'THAM_SO_MOI'!$C$15*'THAM_SO_MOI'!$C$16*F762^2</f>
        <v>1342.7374241130342</v>
      </c>
      <c r="N762" s="75">
        <f>'THAM_SO_MOI'!$C$12*I762</f>
        <v>1130.112</v>
      </c>
      <c r="O762" s="75">
        <f>M762+N762</f>
        <v>2472.8494241130343</v>
      </c>
      <c r="P762" s="75">
        <f>(MIN(L762,'THAM_SO_MOI'!$C$41)-O762)/('THAM_SO_MOI'!$C$11*H762)</f>
        <v>0.15365393665367355</v>
      </c>
      <c r="Q762" s="75">
        <f>IF(P762&gt;0,1/P762,NA())</f>
        <v>6.508131335768755</v>
      </c>
      <c r="R762" s="75">
        <f>F762-F761</f>
        <v>0.017600427350426884</v>
      </c>
      <c r="S762" s="75">
        <f>0.5*(Q761+Q762)*R762</f>
        <v>0.1144524329983846</v>
      </c>
      <c r="T762" s="75">
        <f>0.5*(F761*Q761+F762*Q762)*R762</f>
        <v>2.4512035129530165</v>
      </c>
      <c r="U762" s="76">
        <f>U761+S762</f>
        <v>67.23837940812287</v>
      </c>
      <c r="V762" s="76">
        <f>V761+T762</f>
        <v>1010.9020462728787</v>
      </c>
    </row>
    <row r="763" spans="1:22" ht="19" customHeight="1">
      <c r="A763" s="68" t="s">
        <v>362</v>
      </c>
      <c r="B763" s="74">
        <v>5</v>
      </c>
      <c r="C763" s="68" t="s">
        <v>363</v>
      </c>
      <c r="D763" s="68" t="s">
        <v>364</v>
      </c>
      <c r="E763" s="75">
        <f>60*F763*'THAM_SO_MOI'!$C$53/(2*PI()*'THAM_SO_MOI'!$C$26)</f>
        <v>2112.7176842105255</v>
      </c>
      <c r="F763" s="75">
        <f>'THAM_SO_MOI'!$E$53+('THAM_SO_MOI'!$C$14-'THAM_SO_MOI'!$E$53)*757/'THAM_SO_MOI'!$C$42</f>
        <v>21.443181623931622</v>
      </c>
      <c r="G763" s="75">
        <f>3.6*F763</f>
        <v>77.19545384615384</v>
      </c>
      <c r="H763" s="75">
        <f>'THAM_SO_MOI'!$D$53</f>
        <v>1.1</v>
      </c>
      <c r="I763" s="75">
        <f>IF(F763&gt;'THAM_SO_MOI'!$C$14,'THAM_SO_MOI'!$C$13*(1+F763^2/1500),'THAM_SO_MOI'!$C$13)</f>
        <v>0.015</v>
      </c>
      <c r="J763" s="75">
        <f>'THAM_SO_MOI'!$C$40*('THAM_SO_MOI'!$C$23*(E763/'THAM_SO_MOI'!$C$22)+'THAM_SO_MOI'!$C$24*(E763/'THAM_SO_MOI'!$C$22)^2-'THAM_SO_MOI'!$C$25*(E763/'THAM_SO_MOI'!$C$22)^3)</f>
        <v>95.11406682641051</v>
      </c>
      <c r="K763" s="75">
        <f>'THAM_SO_MOI'!$C$31*J763/E763</f>
        <v>429.9882639405968</v>
      </c>
      <c r="L763" s="75">
        <f>K763*'THAM_SO_MOI'!$C$53*'THAM_SO_MOI'!$C$17/'THAM_SO_MOI'!$C$26</f>
        <v>3770.9987572895907</v>
      </c>
      <c r="M763" s="75">
        <f>'THAM_SO_MOI'!$C$15*'THAM_SO_MOI'!$C$16*F763^2</f>
        <v>1344.9443616089875</v>
      </c>
      <c r="N763" s="75">
        <f>'THAM_SO_MOI'!$C$12*I763</f>
        <v>1130.112</v>
      </c>
      <c r="O763" s="75">
        <f>M763+N763</f>
        <v>2475.0563616089876</v>
      </c>
      <c r="P763" s="75">
        <f>(MIN(L763,'THAM_SO_MOI'!$C$41)-O763)/('THAM_SO_MOI'!$C$11*H763)</f>
        <v>0.1534022722159805</v>
      </c>
      <c r="Q763" s="75">
        <f>IF(P763&gt;0,1/P763,NA())</f>
        <v>6.5188082650566255</v>
      </c>
      <c r="R763" s="75">
        <f>F763-F762</f>
        <v>0.017600427350426884</v>
      </c>
      <c r="S763" s="75">
        <f>0.5*(Q762+Q763)*R763</f>
        <v>0.11463985202136304</v>
      </c>
      <c r="T763" s="75">
        <f>0.5*(F762*Q762+F763*Q763)*R763</f>
        <v>2.457235139902807</v>
      </c>
      <c r="U763" s="76">
        <f>U762+S763</f>
        <v>67.35301926014424</v>
      </c>
      <c r="V763" s="76">
        <f>V762+T763</f>
        <v>1013.3592814127815</v>
      </c>
    </row>
    <row r="764" spans="1:22" ht="19" customHeight="1">
      <c r="A764" s="68" t="s">
        <v>362</v>
      </c>
      <c r="B764" s="74">
        <v>5</v>
      </c>
      <c r="C764" s="68" t="s">
        <v>363</v>
      </c>
      <c r="D764" s="68" t="s">
        <v>364</v>
      </c>
      <c r="E764" s="75">
        <f>60*F764*'THAM_SO_MOI'!$C$53/(2*PI()*'THAM_SO_MOI'!$C$26)</f>
        <v>2114.4517894736837</v>
      </c>
      <c r="F764" s="75">
        <f>'THAM_SO_MOI'!$E$53+('THAM_SO_MOI'!$C$14-'THAM_SO_MOI'!$E$53)*758/'THAM_SO_MOI'!$C$42</f>
        <v>21.460782051282052</v>
      </c>
      <c r="G764" s="75">
        <f>3.6*F764</f>
        <v>77.25881538461539</v>
      </c>
      <c r="H764" s="75">
        <f>'THAM_SO_MOI'!$D$53</f>
        <v>1.1</v>
      </c>
      <c r="I764" s="75">
        <f>IF(F764&gt;'THAM_SO_MOI'!$C$14,'THAM_SO_MOI'!$C$13*(1+F764^2/1500),'THAM_SO_MOI'!$C$13)</f>
        <v>0.015</v>
      </c>
      <c r="J764" s="75">
        <f>'THAM_SO_MOI'!$C$40*('THAM_SO_MOI'!$C$23*(E764/'THAM_SO_MOI'!$C$22)+'THAM_SO_MOI'!$C$24*(E764/'THAM_SO_MOI'!$C$22)^2-'THAM_SO_MOI'!$C$25*(E764/'THAM_SO_MOI'!$C$22)^3)</f>
        <v>95.19411284188469</v>
      </c>
      <c r="K764" s="75">
        <f>'THAM_SO_MOI'!$C$31*J764/E764</f>
        <v>429.99719413088263</v>
      </c>
      <c r="L764" s="75">
        <f>K764*'THAM_SO_MOI'!$C$53*'THAM_SO_MOI'!$C$17/'THAM_SO_MOI'!$C$26</f>
        <v>3771.077075093341</v>
      </c>
      <c r="M764" s="75">
        <f>'THAM_SO_MOI'!$C$15*'THAM_SO_MOI'!$C$16*F764^2</f>
        <v>1347.1531112889425</v>
      </c>
      <c r="N764" s="75">
        <f>'THAM_SO_MOI'!$C$12*I764</f>
        <v>1130.112</v>
      </c>
      <c r="O764" s="75">
        <f>M764+N764</f>
        <v>2477.2651112889425</v>
      </c>
      <c r="P764" s="75">
        <f>(MIN(L764,'THAM_SO_MOI'!$C$41)-O764)/('THAM_SO_MOI'!$C$11*H764)</f>
        <v>0.15315009041245248</v>
      </c>
      <c r="Q764" s="75">
        <f>IF(P764&gt;0,1/P764,NA())</f>
        <v>6.529542341809098</v>
      </c>
      <c r="R764" s="75">
        <f>F764-F763</f>
        <v>0.017600427350430436</v>
      </c>
      <c r="S764" s="75">
        <f>0.5*(Q763+Q764)*R764</f>
        <v>0.11482827344954252</v>
      </c>
      <c r="T764" s="75">
        <f>0.5*(F763*Q763+F764*Q764)*R764</f>
        <v>2.46329486777061</v>
      </c>
      <c r="U764" s="76">
        <f>U763+S764</f>
        <v>67.46784753359378</v>
      </c>
      <c r="V764" s="76">
        <f>V763+T764</f>
        <v>1015.8225762805521</v>
      </c>
    </row>
    <row r="765" spans="1:22" ht="19" customHeight="1">
      <c r="A765" s="68" t="s">
        <v>362</v>
      </c>
      <c r="B765" s="74">
        <v>5</v>
      </c>
      <c r="C765" s="68" t="s">
        <v>363</v>
      </c>
      <c r="D765" s="68" t="s">
        <v>364</v>
      </c>
      <c r="E765" s="75">
        <f>60*F765*'THAM_SO_MOI'!$C$53/(2*PI()*'THAM_SO_MOI'!$C$26)</f>
        <v>2116.1858947368414</v>
      </c>
      <c r="F765" s="75">
        <f>'THAM_SO_MOI'!$E$53+('THAM_SO_MOI'!$C$14-'THAM_SO_MOI'!$E$53)*759/'THAM_SO_MOI'!$C$42</f>
        <v>21.478382478632476</v>
      </c>
      <c r="G765" s="75">
        <f>3.6*F765</f>
        <v>77.32217692307691</v>
      </c>
      <c r="H765" s="75">
        <f>'THAM_SO_MOI'!$D$53</f>
        <v>1.1</v>
      </c>
      <c r="I765" s="75">
        <f>IF(F765&gt;'THAM_SO_MOI'!$C$14,'THAM_SO_MOI'!$C$13*(1+F765^2/1500),'THAM_SO_MOI'!$C$13)</f>
        <v>0.015</v>
      </c>
      <c r="J765" s="75">
        <f>'THAM_SO_MOI'!$C$40*('THAM_SO_MOI'!$C$23*(E765/'THAM_SO_MOI'!$C$22)+'THAM_SO_MOI'!$C$24*(E765/'THAM_SO_MOI'!$C$22)^2-'THAM_SO_MOI'!$C$25*(E765/'THAM_SO_MOI'!$C$22)^3)</f>
        <v>95.27409746179869</v>
      </c>
      <c r="K765" s="75">
        <f>'THAM_SO_MOI'!$C$31*J765/E765</f>
        <v>430.0058325855433</v>
      </c>
      <c r="L765" s="75">
        <f>K765*'THAM_SO_MOI'!$C$53*'THAM_SO_MOI'!$C$17/'THAM_SO_MOI'!$C$26</f>
        <v>3771.1528343745176</v>
      </c>
      <c r="M765" s="75">
        <f>'THAM_SO_MOI'!$C$15*'THAM_SO_MOI'!$C$16*F765^2</f>
        <v>1349.3636731528977</v>
      </c>
      <c r="N765" s="75">
        <f>'THAM_SO_MOI'!$C$12*I765</f>
        <v>1130.112</v>
      </c>
      <c r="O765" s="75">
        <f>M765+N765</f>
        <v>2479.475673152898</v>
      </c>
      <c r="P765" s="75">
        <f>(MIN(L765,'THAM_SO_MOI'!$C$41)-O765)/('THAM_SO_MOI'!$C$11*H765)</f>
        <v>0.15289739124308946</v>
      </c>
      <c r="Q765" s="75">
        <f>IF(P765&gt;0,1/P765,NA())</f>
        <v>6.540333957759382</v>
      </c>
      <c r="R765" s="75">
        <f>F765-F764</f>
        <v>0.01760042735042333</v>
      </c>
      <c r="S765" s="75">
        <f>0.5*(Q764+Q765)*R765</f>
        <v>0.11501770414478739</v>
      </c>
      <c r="T765" s="75">
        <f>0.5*(F764*Q764+F765*Q765)*R765</f>
        <v>2.4693828968063527</v>
      </c>
      <c r="U765" s="76">
        <f>U764+S765</f>
        <v>67.58286523773857</v>
      </c>
      <c r="V765" s="76">
        <f>V764+T765</f>
        <v>1018.2919591773584</v>
      </c>
    </row>
    <row r="766" spans="1:22" ht="19" customHeight="1">
      <c r="A766" s="68" t="s">
        <v>362</v>
      </c>
      <c r="B766" s="74">
        <v>5</v>
      </c>
      <c r="C766" s="68" t="s">
        <v>363</v>
      </c>
      <c r="D766" s="68" t="s">
        <v>364</v>
      </c>
      <c r="E766" s="75">
        <f>60*F766*'THAM_SO_MOI'!$C$53/(2*PI()*'THAM_SO_MOI'!$C$26)</f>
        <v>2117.9199999999996</v>
      </c>
      <c r="F766" s="75">
        <f>'THAM_SO_MOI'!$E$53+('THAM_SO_MOI'!$C$14-'THAM_SO_MOI'!$E$53)*760/'THAM_SO_MOI'!$C$42</f>
        <v>21.495982905982906</v>
      </c>
      <c r="G766" s="75">
        <f>3.6*F766</f>
        <v>77.38553846153846</v>
      </c>
      <c r="H766" s="75">
        <f>'THAM_SO_MOI'!$D$53</f>
        <v>1.1</v>
      </c>
      <c r="I766" s="75">
        <f>IF(F766&gt;'THAM_SO_MOI'!$C$14,'THAM_SO_MOI'!$C$13*(1+F766^2/1500),'THAM_SO_MOI'!$C$13)</f>
        <v>0.015</v>
      </c>
      <c r="J766" s="75">
        <f>'THAM_SO_MOI'!$C$40*('THAM_SO_MOI'!$C$23*(E766/'THAM_SO_MOI'!$C$22)+'THAM_SO_MOI'!$C$24*(E766/'THAM_SO_MOI'!$C$22)^2-'THAM_SO_MOI'!$C$25*(E766/'THAM_SO_MOI'!$C$22)^3)</f>
        <v>95.35402052724928</v>
      </c>
      <c r="K766" s="75">
        <f>'THAM_SO_MOI'!$C$31*J766/E766</f>
        <v>430.0141793045789</v>
      </c>
      <c r="L766" s="75">
        <f>K766*'THAM_SO_MOI'!$C$53*'THAM_SO_MOI'!$C$17/'THAM_SO_MOI'!$C$26</f>
        <v>3771.2260351331192</v>
      </c>
      <c r="M766" s="75">
        <f>'THAM_SO_MOI'!$C$15*'THAM_SO_MOI'!$C$16*F766^2</f>
        <v>1351.5760472008549</v>
      </c>
      <c r="N766" s="75">
        <f>'THAM_SO_MOI'!$C$12*I766</f>
        <v>1130.112</v>
      </c>
      <c r="O766" s="75">
        <f>M766+N766</f>
        <v>2481.688047200855</v>
      </c>
      <c r="P766" s="75">
        <f>(MIN(L766,'THAM_SO_MOI'!$C$41)-O766)/('THAM_SO_MOI'!$C$11*H766)</f>
        <v>0.15264417470789116</v>
      </c>
      <c r="Q766" s="75">
        <f>IF(P766&gt;0,1/P766,NA())</f>
        <v>6.551183508402195</v>
      </c>
      <c r="R766" s="75">
        <f>F766-F765</f>
        <v>0.017600427350430436</v>
      </c>
      <c r="S766" s="75">
        <f>0.5*(Q765+Q766)*R766</f>
        <v>0.11520815103503398</v>
      </c>
      <c r="T766" s="75">
        <f>0.5*(F765*Q765+F766*Q766)*R766</f>
        <v>2.4754994291627566</v>
      </c>
      <c r="U766" s="76">
        <f>U765+S766</f>
        <v>67.69807338877361</v>
      </c>
      <c r="V766" s="76">
        <f>V765+T766</f>
        <v>1020.7674586065211</v>
      </c>
    </row>
    <row r="767" spans="1:22" ht="19" customHeight="1">
      <c r="A767" s="68" t="s">
        <v>362</v>
      </c>
      <c r="B767" s="74">
        <v>5</v>
      </c>
      <c r="C767" s="68" t="s">
        <v>363</v>
      </c>
      <c r="D767" s="68" t="s">
        <v>364</v>
      </c>
      <c r="E767" s="75">
        <f>60*F767*'THAM_SO_MOI'!$C$53/(2*PI()*'THAM_SO_MOI'!$C$26)</f>
        <v>2119.6541052631574</v>
      </c>
      <c r="F767" s="75">
        <f>'THAM_SO_MOI'!$E$53+('THAM_SO_MOI'!$C$14-'THAM_SO_MOI'!$E$53)*761/'THAM_SO_MOI'!$C$42</f>
        <v>21.51358333333333</v>
      </c>
      <c r="G767" s="75">
        <f>3.6*F767</f>
        <v>77.4489</v>
      </c>
      <c r="H767" s="75">
        <f>'THAM_SO_MOI'!$D$53</f>
        <v>1.1</v>
      </c>
      <c r="I767" s="75">
        <f>IF(F767&gt;'THAM_SO_MOI'!$C$14,'THAM_SO_MOI'!$C$13*(1+F767^2/1500),'THAM_SO_MOI'!$C$13)</f>
        <v>0.015</v>
      </c>
      <c r="J767" s="75">
        <f>'THAM_SO_MOI'!$C$40*('THAM_SO_MOI'!$C$23*(E767/'THAM_SO_MOI'!$C$22)+'THAM_SO_MOI'!$C$24*(E767/'THAM_SO_MOI'!$C$22)^2-'THAM_SO_MOI'!$C$25*(E767/'THAM_SO_MOI'!$C$22)^3)</f>
        <v>95.43388187933317</v>
      </c>
      <c r="K767" s="75">
        <f>'THAM_SO_MOI'!$C$31*J767/E767</f>
        <v>430.0222342879895</v>
      </c>
      <c r="L767" s="75">
        <f>K767*'THAM_SO_MOI'!$C$53*'THAM_SO_MOI'!$C$17/'THAM_SO_MOI'!$C$26</f>
        <v>3771.2966773691496</v>
      </c>
      <c r="M767" s="75">
        <f>'THAM_SO_MOI'!$C$15*'THAM_SO_MOI'!$C$16*F767^2</f>
        <v>1353.790233432812</v>
      </c>
      <c r="N767" s="75">
        <f>'THAM_SO_MOI'!$C$12*I767</f>
        <v>1130.112</v>
      </c>
      <c r="O767" s="75">
        <f>M767+N767</f>
        <v>2483.902233432812</v>
      </c>
      <c r="P767" s="75">
        <f>(MIN(L767,'THAM_SO_MOI'!$C$41)-O767)/('THAM_SO_MOI'!$C$11*H767)</f>
        <v>0.15239044080685815</v>
      </c>
      <c r="Q767" s="75">
        <f>IF(P767&gt;0,1/P767,NA())</f>
        <v>6.562091393038323</v>
      </c>
      <c r="R767" s="75">
        <f>F767-F766</f>
        <v>0.01760042735042333</v>
      </c>
      <c r="S767" s="75">
        <f>0.5*(Q766+Q767)*R767</f>
        <v>0.11539962111446676</v>
      </c>
      <c r="T767" s="75">
        <f>0.5*(F766*Q766+F767*Q767)*R767</f>
        <v>2.4816446689049347</v>
      </c>
      <c r="U767" s="76">
        <f>U766+S767</f>
        <v>67.81347300988807</v>
      </c>
      <c r="V767" s="76">
        <f>V766+T767</f>
        <v>1023.249103275426</v>
      </c>
    </row>
    <row r="768" spans="1:22" ht="19" customHeight="1">
      <c r="A768" s="68" t="s">
        <v>362</v>
      </c>
      <c r="B768" s="74">
        <v>5</v>
      </c>
      <c r="C768" s="68" t="s">
        <v>363</v>
      </c>
      <c r="D768" s="68" t="s">
        <v>364</v>
      </c>
      <c r="E768" s="75">
        <f>60*F768*'THAM_SO_MOI'!$C$53/(2*PI()*'THAM_SO_MOI'!$C$26)</f>
        <v>2121.3882105263156</v>
      </c>
      <c r="F768" s="75">
        <f>'THAM_SO_MOI'!$E$53+('THAM_SO_MOI'!$C$14-'THAM_SO_MOI'!$E$53)*762/'THAM_SO_MOI'!$C$42</f>
        <v>21.53118376068376</v>
      </c>
      <c r="G768" s="75">
        <f>3.6*F768</f>
        <v>77.51226153846154</v>
      </c>
      <c r="H768" s="75">
        <f>'THAM_SO_MOI'!$D$53</f>
        <v>1.1</v>
      </c>
      <c r="I768" s="75">
        <f>IF(F768&gt;'THAM_SO_MOI'!$C$14,'THAM_SO_MOI'!$C$13*(1+F768^2/1500),'THAM_SO_MOI'!$C$13)</f>
        <v>0.015</v>
      </c>
      <c r="J768" s="75">
        <f>'THAM_SO_MOI'!$C$40*('THAM_SO_MOI'!$C$23*(E768/'THAM_SO_MOI'!$C$22)+'THAM_SO_MOI'!$C$24*(E768/'THAM_SO_MOI'!$C$22)^2-'THAM_SO_MOI'!$C$25*(E768/'THAM_SO_MOI'!$C$22)^3)</f>
        <v>95.51368135914713</v>
      </c>
      <c r="K768" s="75">
        <f>'THAM_SO_MOI'!$C$31*J768/E768</f>
        <v>430.0299975357751</v>
      </c>
      <c r="L768" s="75">
        <f>K768*'THAM_SO_MOI'!$C$53*'THAM_SO_MOI'!$C$17/'THAM_SO_MOI'!$C$26</f>
        <v>3771.364761082607</v>
      </c>
      <c r="M768" s="75">
        <f>'THAM_SO_MOI'!$C$15*'THAM_SO_MOI'!$C$16*F768^2</f>
        <v>1356.0062318487712</v>
      </c>
      <c r="N768" s="75">
        <f>'THAM_SO_MOI'!$C$12*I768</f>
        <v>1130.112</v>
      </c>
      <c r="O768" s="75">
        <f>M768+N768</f>
        <v>2486.1182318487713</v>
      </c>
      <c r="P768" s="75">
        <f>(MIN(L768,'THAM_SO_MOI'!$C$41)-O768)/('THAM_SO_MOI'!$C$11*H768)</f>
        <v>0.15213618953999</v>
      </c>
      <c r="Q768" s="75">
        <f>IF(P768&gt;0,1/P768,NA())</f>
        <v>6.573058014819961</v>
      </c>
      <c r="R768" s="75">
        <f>F768-F767</f>
        <v>0.017600427350430436</v>
      </c>
      <c r="S768" s="75">
        <f>0.5*(Q767+Q768)*R768</f>
        <v>0.11559212144502955</v>
      </c>
      <c r="T768" s="75">
        <f>0.5*(F767*Q767+F768*Q768)*R768</f>
        <v>2.4878188220487507</v>
      </c>
      <c r="U768" s="76">
        <f>U767+S768</f>
        <v>67.9290651313331</v>
      </c>
      <c r="V768" s="76">
        <f>V767+T768</f>
        <v>1025.7369220974747</v>
      </c>
    </row>
    <row r="769" spans="1:22" ht="19" customHeight="1">
      <c r="A769" s="68" t="s">
        <v>362</v>
      </c>
      <c r="B769" s="74">
        <v>5</v>
      </c>
      <c r="C769" s="68" t="s">
        <v>363</v>
      </c>
      <c r="D769" s="68" t="s">
        <v>364</v>
      </c>
      <c r="E769" s="75">
        <f>60*F769*'THAM_SO_MOI'!$C$53/(2*PI()*'THAM_SO_MOI'!$C$26)</f>
        <v>2123.1223157894733</v>
      </c>
      <c r="F769" s="75">
        <f>'THAM_SO_MOI'!$E$53+('THAM_SO_MOI'!$C$14-'THAM_SO_MOI'!$E$53)*763/'THAM_SO_MOI'!$C$42</f>
        <v>21.54878418803419</v>
      </c>
      <c r="G769" s="75">
        <f>3.6*F769</f>
        <v>77.5756230769231</v>
      </c>
      <c r="H769" s="75">
        <f>'THAM_SO_MOI'!$D$53</f>
        <v>1.1</v>
      </c>
      <c r="I769" s="75">
        <f>IF(F769&gt;'THAM_SO_MOI'!$C$14,'THAM_SO_MOI'!$C$13*(1+F769^2/1500),'THAM_SO_MOI'!$C$13)</f>
        <v>0.015</v>
      </c>
      <c r="J769" s="75">
        <f>'THAM_SO_MOI'!$C$40*('THAM_SO_MOI'!$C$23*(E769/'THAM_SO_MOI'!$C$22)+'THAM_SO_MOI'!$C$24*(E769/'THAM_SO_MOI'!$C$22)^2-'THAM_SO_MOI'!$C$25*(E769/'THAM_SO_MOI'!$C$22)^3)</f>
        <v>95.5934188077878</v>
      </c>
      <c r="K769" s="75">
        <f>'THAM_SO_MOI'!$C$31*J769/E769</f>
        <v>430.0374690479357</v>
      </c>
      <c r="L769" s="75">
        <f>K769*'THAM_SO_MOI'!$C$53*'THAM_SO_MOI'!$C$17/'THAM_SO_MOI'!$C$26</f>
        <v>3771.4302862734908</v>
      </c>
      <c r="M769" s="75">
        <f>'THAM_SO_MOI'!$C$15*'THAM_SO_MOI'!$C$16*F769^2</f>
        <v>1358.2240424487316</v>
      </c>
      <c r="N769" s="75">
        <f>'THAM_SO_MOI'!$C$12*I769</f>
        <v>1130.112</v>
      </c>
      <c r="O769" s="75">
        <f>M769+N769</f>
        <v>2488.336042448732</v>
      </c>
      <c r="P769" s="75">
        <f>(MIN(L769,'THAM_SO_MOI'!$C$41)-O769)/('THAM_SO_MOI'!$C$11*H769)</f>
        <v>0.15188142090728685</v>
      </c>
      <c r="Q769" s="75">
        <f>IF(P769&gt;0,1/P769,NA())</f>
        <v>6.584083780796541</v>
      </c>
      <c r="R769" s="75">
        <f>F769-F768</f>
        <v>0.017600427350430436</v>
      </c>
      <c r="S769" s="75">
        <f>0.5*(Q768+Q769)*R769</f>
        <v>0.11578565915653005</v>
      </c>
      <c r="T769" s="75">
        <f>0.5*(F768*Q768+F769*Q769)*R769</f>
        <v>2.49402209656903</v>
      </c>
      <c r="U769" s="76">
        <f>U768+S769</f>
        <v>68.04485079048963</v>
      </c>
      <c r="V769" s="76">
        <f>V768+T769</f>
        <v>1028.2309441940438</v>
      </c>
    </row>
    <row r="770" spans="1:22" ht="19" customHeight="1">
      <c r="A770" s="68" t="s">
        <v>362</v>
      </c>
      <c r="B770" s="74">
        <v>5</v>
      </c>
      <c r="C770" s="68" t="s">
        <v>363</v>
      </c>
      <c r="D770" s="68" t="s">
        <v>364</v>
      </c>
      <c r="E770" s="75">
        <f>60*F770*'THAM_SO_MOI'!$C$53/(2*PI()*'THAM_SO_MOI'!$C$26)</f>
        <v>2124.856421052631</v>
      </c>
      <c r="F770" s="75">
        <f>'THAM_SO_MOI'!$E$53+('THAM_SO_MOI'!$C$14-'THAM_SO_MOI'!$E$53)*764/'THAM_SO_MOI'!$C$42</f>
        <v>21.566384615384614</v>
      </c>
      <c r="G770" s="75">
        <f>3.6*F770</f>
        <v>77.63898461538462</v>
      </c>
      <c r="H770" s="75">
        <f>'THAM_SO_MOI'!$D$53</f>
        <v>1.1</v>
      </c>
      <c r="I770" s="75">
        <f>IF(F770&gt;'THAM_SO_MOI'!$C$14,'THAM_SO_MOI'!$C$13*(1+F770^2/1500),'THAM_SO_MOI'!$C$13)</f>
        <v>0.015</v>
      </c>
      <c r="J770" s="75">
        <f>'THAM_SO_MOI'!$C$40*('THAM_SO_MOI'!$C$23*(E770/'THAM_SO_MOI'!$C$22)+'THAM_SO_MOI'!$C$24*(E770/'THAM_SO_MOI'!$C$22)^2-'THAM_SO_MOI'!$C$25*(E770/'THAM_SO_MOI'!$C$22)^3)</f>
        <v>95.6730940663519</v>
      </c>
      <c r="K770" s="75">
        <f>'THAM_SO_MOI'!$C$31*J770/E770</f>
        <v>430.04464882447104</v>
      </c>
      <c r="L770" s="75">
        <f>K770*'THAM_SO_MOI'!$C$53*'THAM_SO_MOI'!$C$17/'THAM_SO_MOI'!$C$26</f>
        <v>3771.4932529418</v>
      </c>
      <c r="M770" s="75">
        <f>'THAM_SO_MOI'!$C$15*'THAM_SO_MOI'!$C$16*F770^2</f>
        <v>1360.4436652326922</v>
      </c>
      <c r="N770" s="75">
        <f>'THAM_SO_MOI'!$C$12*I770</f>
        <v>1130.112</v>
      </c>
      <c r="O770" s="75">
        <f>M770+N770</f>
        <v>2490.5556652326923</v>
      </c>
      <c r="P770" s="75">
        <f>(MIN(L770,'THAM_SO_MOI'!$C$41)-O770)/('THAM_SO_MOI'!$C$11*H770)</f>
        <v>0.15162613490874857</v>
      </c>
      <c r="Q770" s="75">
        <f>IF(P770&gt;0,1/P770,NA())</f>
        <v>6.595169101961338</v>
      </c>
      <c r="R770" s="75">
        <f>F770-F769</f>
        <v>0.01760042735042333</v>
      </c>
      <c r="S770" s="75">
        <f>0.5*(Q769+Q770)*R770</f>
        <v>0.11598024144791866</v>
      </c>
      <c r="T770" s="75">
        <f>0.5*(F769*Q769+F770*Q770)*R770</f>
        <v>2.500254702433101</v>
      </c>
      <c r="U770" s="76">
        <f>U769+S770</f>
        <v>68.16083103193755</v>
      </c>
      <c r="V770" s="76">
        <f>V769+T770</f>
        <v>1030.7311988964768</v>
      </c>
    </row>
    <row r="771" spans="1:22" ht="19" customHeight="1">
      <c r="A771" s="68" t="s">
        <v>362</v>
      </c>
      <c r="B771" s="74">
        <v>5</v>
      </c>
      <c r="C771" s="68" t="s">
        <v>363</v>
      </c>
      <c r="D771" s="68" t="s">
        <v>364</v>
      </c>
      <c r="E771" s="75">
        <f>60*F771*'THAM_SO_MOI'!$C$53/(2*PI()*'THAM_SO_MOI'!$C$26)</f>
        <v>2126.5905263157892</v>
      </c>
      <c r="F771" s="75">
        <f>'THAM_SO_MOI'!$E$53+('THAM_SO_MOI'!$C$14-'THAM_SO_MOI'!$E$53)*765/'THAM_SO_MOI'!$C$42</f>
        <v>21.583985042735044</v>
      </c>
      <c r="G771" s="75">
        <f>3.6*F771</f>
        <v>77.70234615384616</v>
      </c>
      <c r="H771" s="75">
        <f>'THAM_SO_MOI'!$D$53</f>
        <v>1.1</v>
      </c>
      <c r="I771" s="75">
        <f>IF(F771&gt;'THAM_SO_MOI'!$C$14,'THAM_SO_MOI'!$C$13*(1+F771^2/1500),'THAM_SO_MOI'!$C$13)</f>
        <v>0.015</v>
      </c>
      <c r="J771" s="75">
        <f>'THAM_SO_MOI'!$C$40*('THAM_SO_MOI'!$C$23*(E771/'THAM_SO_MOI'!$C$22)+'THAM_SO_MOI'!$C$24*(E771/'THAM_SO_MOI'!$C$22)^2-'THAM_SO_MOI'!$C$25*(E771/'THAM_SO_MOI'!$C$22)^3)</f>
        <v>95.75270697593626</v>
      </c>
      <c r="K771" s="75">
        <f>'THAM_SO_MOI'!$C$31*J771/E771</f>
        <v>430.0515368653816</v>
      </c>
      <c r="L771" s="75">
        <f>K771*'THAM_SO_MOI'!$C$53*'THAM_SO_MOI'!$C$17/'THAM_SO_MOI'!$C$26</f>
        <v>3771.553661087539</v>
      </c>
      <c r="M771" s="75">
        <f>'THAM_SO_MOI'!$C$15*'THAM_SO_MOI'!$C$16*F771^2</f>
        <v>1362.6651002006547</v>
      </c>
      <c r="N771" s="75">
        <f>'THAM_SO_MOI'!$C$12*I771</f>
        <v>1130.112</v>
      </c>
      <c r="O771" s="75">
        <f>M771+N771</f>
        <v>2492.777100200655</v>
      </c>
      <c r="P771" s="75">
        <f>(MIN(L771,'THAM_SO_MOI'!$C$41)-O771)/('THAM_SO_MOI'!$C$11*H771)</f>
        <v>0.15137033154437549</v>
      </c>
      <c r="Q771" s="75">
        <f>IF(P771&gt;0,1/P771,NA())</f>
        <v>6.606314393298674</v>
      </c>
      <c r="R771" s="75">
        <f>F771-F770</f>
        <v>0.017600427350430436</v>
      </c>
      <c r="S771" s="75">
        <f>0.5*(Q770+Q771)*R771</f>
        <v>0.11617587558811515</v>
      </c>
      <c r="T771" s="75">
        <f>0.5*(F770*Q770+F771*Q771)*R771</f>
        <v>2.50651685162472</v>
      </c>
      <c r="U771" s="76">
        <f>U770+S771</f>
        <v>68.27700690752566</v>
      </c>
      <c r="V771" s="76">
        <f>V770+T771</f>
        <v>1033.2377157481014</v>
      </c>
    </row>
    <row r="772" spans="1:22" ht="19" customHeight="1">
      <c r="A772" s="68" t="s">
        <v>362</v>
      </c>
      <c r="B772" s="74">
        <v>5</v>
      </c>
      <c r="C772" s="68" t="s">
        <v>363</v>
      </c>
      <c r="D772" s="68" t="s">
        <v>364</v>
      </c>
      <c r="E772" s="75">
        <f>60*F772*'THAM_SO_MOI'!$C$53/(2*PI()*'THAM_SO_MOI'!$C$26)</f>
        <v>2128.3246315789465</v>
      </c>
      <c r="F772" s="75">
        <f>'THAM_SO_MOI'!$E$53+('THAM_SO_MOI'!$C$14-'THAM_SO_MOI'!$E$53)*766/'THAM_SO_MOI'!$C$42</f>
        <v>21.601585470085467</v>
      </c>
      <c r="G772" s="75">
        <f>3.6*F772</f>
        <v>77.76570769230769</v>
      </c>
      <c r="H772" s="75">
        <f>'THAM_SO_MOI'!$D$53</f>
        <v>1.1</v>
      </c>
      <c r="I772" s="75">
        <f>IF(F772&gt;'THAM_SO_MOI'!$C$14,'THAM_SO_MOI'!$C$13*(1+F772^2/1500),'THAM_SO_MOI'!$C$13)</f>
        <v>0.015</v>
      </c>
      <c r="J772" s="75">
        <f>'THAM_SO_MOI'!$C$40*('THAM_SO_MOI'!$C$23*(E772/'THAM_SO_MOI'!$C$22)+'THAM_SO_MOI'!$C$24*(E772/'THAM_SO_MOI'!$C$22)^2-'THAM_SO_MOI'!$C$25*(E772/'THAM_SO_MOI'!$C$22)^3)</f>
        <v>95.83225737763745</v>
      </c>
      <c r="K772" s="75">
        <f>'THAM_SO_MOI'!$C$31*J772/E772</f>
        <v>430.05813317066685</v>
      </c>
      <c r="L772" s="75">
        <f>K772*'THAM_SO_MOI'!$C$53*'THAM_SO_MOI'!$C$17/'THAM_SO_MOI'!$C$26</f>
        <v>3771.611510710701</v>
      </c>
      <c r="M772" s="75">
        <f>'THAM_SO_MOI'!$C$15*'THAM_SO_MOI'!$C$16*F772^2</f>
        <v>1364.8883473526173</v>
      </c>
      <c r="N772" s="75">
        <f>'THAM_SO_MOI'!$C$12*I772</f>
        <v>1130.112</v>
      </c>
      <c r="O772" s="75">
        <f>M772+N772</f>
        <v>2495.0003473526176</v>
      </c>
      <c r="P772" s="75">
        <f>(MIN(L772,'THAM_SO_MOI'!$C$41)-O772)/('THAM_SO_MOI'!$C$11*H772)</f>
        <v>0.15111401081416714</v>
      </c>
      <c r="Q772" s="75">
        <f>IF(P772&gt;0,1/P772,NA())</f>
        <v>6.617520073831887</v>
      </c>
      <c r="R772" s="75">
        <f>F772-F771</f>
        <v>0.01760042735042333</v>
      </c>
      <c r="S772" s="75">
        <f>0.5*(Q771+Q772)*R772</f>
        <v>0.11637256891637773</v>
      </c>
      <c r="T772" s="75">
        <f>0.5*(F771*Q771+F772*Q772)*R772</f>
        <v>2.5128087581581897</v>
      </c>
      <c r="U772" s="76">
        <f>U771+S772</f>
        <v>68.39337947644204</v>
      </c>
      <c r="V772" s="76">
        <f>V771+T772</f>
        <v>1035.7505245062596</v>
      </c>
    </row>
    <row r="773" spans="1:22" ht="19" customHeight="1">
      <c r="A773" s="68" t="s">
        <v>362</v>
      </c>
      <c r="B773" s="74">
        <v>5</v>
      </c>
      <c r="C773" s="68" t="s">
        <v>363</v>
      </c>
      <c r="D773" s="68" t="s">
        <v>364</v>
      </c>
      <c r="E773" s="75">
        <f>60*F773*'THAM_SO_MOI'!$C$53/(2*PI()*'THAM_SO_MOI'!$C$26)</f>
        <v>2130.0587368421047</v>
      </c>
      <c r="F773" s="75">
        <f>'THAM_SO_MOI'!$E$53+('THAM_SO_MOI'!$C$14-'THAM_SO_MOI'!$E$53)*767/'THAM_SO_MOI'!$C$42</f>
        <v>21.619185897435898</v>
      </c>
      <c r="G773" s="75">
        <f>3.6*F773</f>
        <v>77.82906923076924</v>
      </c>
      <c r="H773" s="75">
        <f>'THAM_SO_MOI'!$D$53</f>
        <v>1.1</v>
      </c>
      <c r="I773" s="75">
        <f>IF(F773&gt;'THAM_SO_MOI'!$C$14,'THAM_SO_MOI'!$C$13*(1+F773^2/1500),'THAM_SO_MOI'!$C$13)</f>
        <v>0.015</v>
      </c>
      <c r="J773" s="75">
        <f>'THAM_SO_MOI'!$C$40*('THAM_SO_MOI'!$C$23*(E773/'THAM_SO_MOI'!$C$22)+'THAM_SO_MOI'!$C$24*(E773/'THAM_SO_MOI'!$C$22)^2-'THAM_SO_MOI'!$C$25*(E773/'THAM_SO_MOI'!$C$22)^3)</f>
        <v>95.91174511255234</v>
      </c>
      <c r="K773" s="75">
        <f>'THAM_SO_MOI'!$C$31*J773/E773</f>
        <v>430.06443774032726</v>
      </c>
      <c r="L773" s="75">
        <f>K773*'THAM_SO_MOI'!$C$53*'THAM_SO_MOI'!$C$17/'THAM_SO_MOI'!$C$26</f>
        <v>3771.6668018112923</v>
      </c>
      <c r="M773" s="75">
        <f>'THAM_SO_MOI'!$C$15*'THAM_SO_MOI'!$C$16*F773^2</f>
        <v>1367.113406688582</v>
      </c>
      <c r="N773" s="75">
        <f>'THAM_SO_MOI'!$C$12*I773</f>
        <v>1130.112</v>
      </c>
      <c r="O773" s="75">
        <f>M773+N773</f>
        <v>2497.225406688582</v>
      </c>
      <c r="P773" s="75">
        <f>(MIN(L773,'THAM_SO_MOI'!$C$41)-O773)/('THAM_SO_MOI'!$C$11*H773)</f>
        <v>0.15085717271812385</v>
      </c>
      <c r="Q773" s="75">
        <f>IF(P773&gt;0,1/P773,NA())</f>
        <v>6.628786566671887</v>
      </c>
      <c r="R773" s="75">
        <f>F773-F772</f>
        <v>0.017600427350430436</v>
      </c>
      <c r="S773" s="75">
        <f>0.5*(Q772+Q773)*R773</f>
        <v>0.11657032884385547</v>
      </c>
      <c r="T773" s="75">
        <f>0.5*(F772*Q772+F773*Q773)*R773</f>
        <v>2.519130638118105</v>
      </c>
      <c r="U773" s="76">
        <f>U772+S773</f>
        <v>68.50994980528588</v>
      </c>
      <c r="V773" s="76">
        <f>V772+T773</f>
        <v>1038.2696551443778</v>
      </c>
    </row>
    <row r="774" spans="1:22" ht="19" customHeight="1">
      <c r="A774" s="68" t="s">
        <v>362</v>
      </c>
      <c r="B774" s="74">
        <v>5</v>
      </c>
      <c r="C774" s="68" t="s">
        <v>363</v>
      </c>
      <c r="D774" s="68" t="s">
        <v>364</v>
      </c>
      <c r="E774" s="75">
        <f>60*F774*'THAM_SO_MOI'!$C$53/(2*PI()*'THAM_SO_MOI'!$C$26)</f>
        <v>2131.7928421052625</v>
      </c>
      <c r="F774" s="75">
        <f>'THAM_SO_MOI'!$E$53+('THAM_SO_MOI'!$C$14-'THAM_SO_MOI'!$E$53)*768/'THAM_SO_MOI'!$C$42</f>
        <v>21.636786324786325</v>
      </c>
      <c r="G774" s="75">
        <f>3.6*F774</f>
        <v>77.89243076923077</v>
      </c>
      <c r="H774" s="75">
        <f>'THAM_SO_MOI'!$D$53</f>
        <v>1.1</v>
      </c>
      <c r="I774" s="75">
        <f>IF(F774&gt;'THAM_SO_MOI'!$C$14,'THAM_SO_MOI'!$C$13*(1+F774^2/1500),'THAM_SO_MOI'!$C$13)</f>
        <v>0.015</v>
      </c>
      <c r="J774" s="75">
        <f>'THAM_SO_MOI'!$C$40*('THAM_SO_MOI'!$C$23*(E774/'THAM_SO_MOI'!$C$22)+'THAM_SO_MOI'!$C$24*(E774/'THAM_SO_MOI'!$C$22)^2-'THAM_SO_MOI'!$C$25*(E774/'THAM_SO_MOI'!$C$22)^3)</f>
        <v>95.99117002177758</v>
      </c>
      <c r="K774" s="75">
        <f>'THAM_SO_MOI'!$C$31*J774/E774</f>
        <v>430.0704505743627</v>
      </c>
      <c r="L774" s="75">
        <f>K774*'THAM_SO_MOI'!$C$53*'THAM_SO_MOI'!$C$17/'THAM_SO_MOI'!$C$26</f>
        <v>3771.719534389312</v>
      </c>
      <c r="M774" s="75">
        <f>'THAM_SO_MOI'!$C$15*'THAM_SO_MOI'!$C$16*F774^2</f>
        <v>1369.340278208547</v>
      </c>
      <c r="N774" s="75">
        <f>'THAM_SO_MOI'!$C$12*I774</f>
        <v>1130.112</v>
      </c>
      <c r="O774" s="75">
        <f>M774+N774</f>
        <v>2499.452278208547</v>
      </c>
      <c r="P774" s="75">
        <f>(MIN(L774,'THAM_SO_MOI'!$C$41)-O774)/('THAM_SO_MOI'!$C$11*H774)</f>
        <v>0.15059981725624585</v>
      </c>
      <c r="Q774" s="75">
        <f>IF(P774&gt;0,1/P774,NA())</f>
        <v>6.6401142990665</v>
      </c>
      <c r="R774" s="75">
        <f>F774-F773</f>
        <v>0.017600427350426884</v>
      </c>
      <c r="S774" s="75">
        <f>0.5*(Q773+Q774)*R774</f>
        <v>0.11676916285372244</v>
      </c>
      <c r="T774" s="75">
        <f>0.5*(F773*Q773+F774*Q774)*R774</f>
        <v>2.5254827096685775</v>
      </c>
      <c r="U774" s="76">
        <f>U773+S774</f>
        <v>68.62671896813961</v>
      </c>
      <c r="V774" s="76">
        <f>V773+T774</f>
        <v>1040.7951378540463</v>
      </c>
    </row>
    <row r="775" spans="1:22" ht="19" customHeight="1">
      <c r="A775" s="68" t="s">
        <v>362</v>
      </c>
      <c r="B775" s="74">
        <v>5</v>
      </c>
      <c r="C775" s="68" t="s">
        <v>363</v>
      </c>
      <c r="D775" s="68" t="s">
        <v>364</v>
      </c>
      <c r="E775" s="75">
        <f>60*F775*'THAM_SO_MOI'!$C$53/(2*PI()*'THAM_SO_MOI'!$C$26)</f>
        <v>2133.5269473684207</v>
      </c>
      <c r="F775" s="75">
        <f>'THAM_SO_MOI'!$E$53+('THAM_SO_MOI'!$C$14-'THAM_SO_MOI'!$E$53)*769/'THAM_SO_MOI'!$C$42</f>
        <v>21.65438675213675</v>
      </c>
      <c r="G775" s="75">
        <f>3.6*F775</f>
        <v>77.9557923076923</v>
      </c>
      <c r="H775" s="75">
        <f>'THAM_SO_MOI'!$D$53</f>
        <v>1.1</v>
      </c>
      <c r="I775" s="75">
        <f>IF(F775&gt;'THAM_SO_MOI'!$C$14,'THAM_SO_MOI'!$C$13*(1+F775^2/1500),'THAM_SO_MOI'!$C$13)</f>
        <v>0.015</v>
      </c>
      <c r="J775" s="75">
        <f>'THAM_SO_MOI'!$C$40*('THAM_SO_MOI'!$C$23*(E775/'THAM_SO_MOI'!$C$22)+'THAM_SO_MOI'!$C$24*(E775/'THAM_SO_MOI'!$C$22)^2-'THAM_SO_MOI'!$C$25*(E775/'THAM_SO_MOI'!$C$22)^3)</f>
        <v>96.07053194640989</v>
      </c>
      <c r="K775" s="75">
        <f>'THAM_SO_MOI'!$C$31*J775/E775</f>
        <v>430.076171672773</v>
      </c>
      <c r="L775" s="75">
        <f>K775*'THAM_SO_MOI'!$C$53*'THAM_SO_MOI'!$C$17/'THAM_SO_MOI'!$C$26</f>
        <v>3771.769708444756</v>
      </c>
      <c r="M775" s="75">
        <f>'THAM_SO_MOI'!$C$15*'THAM_SO_MOI'!$C$16*F775^2</f>
        <v>1371.5689619125135</v>
      </c>
      <c r="N775" s="75">
        <f>'THAM_SO_MOI'!$C$12*I775</f>
        <v>1130.112</v>
      </c>
      <c r="O775" s="75">
        <f>M775+N775</f>
        <v>2501.6809619125133</v>
      </c>
      <c r="P775" s="75">
        <f>(MIN(L775,'THAM_SO_MOI'!$C$41)-O775)/('THAM_SO_MOI'!$C$11*H775)</f>
        <v>0.15034194442853244</v>
      </c>
      <c r="Q775" s="75">
        <f>IF(P775&gt;0,1/P775,NA())</f>
        <v>6.651503702450561</v>
      </c>
      <c r="R775" s="75">
        <f>F775-F774</f>
        <v>0.017600427350426884</v>
      </c>
      <c r="S775" s="75">
        <f>0.5*(Q774+Q775)*R775</f>
        <v>0.11696907850266361</v>
      </c>
      <c r="T775" s="75">
        <f>0.5*(F774*Q774+F775*Q775)*R775</f>
        <v>2.5318651930917366</v>
      </c>
      <c r="U775" s="76">
        <f>U774+S775</f>
        <v>68.74368804664228</v>
      </c>
      <c r="V775" s="76">
        <f>V774+T775</f>
        <v>1043.327003047138</v>
      </c>
    </row>
    <row r="776" spans="1:22" ht="19" customHeight="1">
      <c r="A776" s="68" t="s">
        <v>362</v>
      </c>
      <c r="B776" s="74">
        <v>5</v>
      </c>
      <c r="C776" s="68" t="s">
        <v>363</v>
      </c>
      <c r="D776" s="68" t="s">
        <v>364</v>
      </c>
      <c r="E776" s="75">
        <f>60*F776*'THAM_SO_MOI'!$C$53/(2*PI()*'THAM_SO_MOI'!$C$26)</f>
        <v>2135.2610526315784</v>
      </c>
      <c r="F776" s="75">
        <f>'THAM_SO_MOI'!$E$53+('THAM_SO_MOI'!$C$14-'THAM_SO_MOI'!$E$53)*770/'THAM_SO_MOI'!$C$42</f>
        <v>21.67198717948718</v>
      </c>
      <c r="G776" s="75">
        <f>3.6*F776</f>
        <v>78.01915384615384</v>
      </c>
      <c r="H776" s="75">
        <f>'THAM_SO_MOI'!$D$53</f>
        <v>1.1</v>
      </c>
      <c r="I776" s="75">
        <f>IF(F776&gt;'THAM_SO_MOI'!$C$14,'THAM_SO_MOI'!$C$13*(1+F776^2/1500),'THAM_SO_MOI'!$C$13)</f>
        <v>0.015</v>
      </c>
      <c r="J776" s="75">
        <f>'THAM_SO_MOI'!$C$40*('THAM_SO_MOI'!$C$23*(E776/'THAM_SO_MOI'!$C$22)+'THAM_SO_MOI'!$C$24*(E776/'THAM_SO_MOI'!$C$22)^2-'THAM_SO_MOI'!$C$25*(E776/'THAM_SO_MOI'!$C$22)^3)</f>
        <v>96.149830727546</v>
      </c>
      <c r="K776" s="75">
        <f>'THAM_SO_MOI'!$C$31*J776/E776</f>
        <v>430.08160103555844</v>
      </c>
      <c r="L776" s="75">
        <f>K776*'THAM_SO_MOI'!$C$53*'THAM_SO_MOI'!$C$17/'THAM_SO_MOI'!$C$26</f>
        <v>3771.817323977629</v>
      </c>
      <c r="M776" s="75">
        <f>'THAM_SO_MOI'!$C$15*'THAM_SO_MOI'!$C$16*F776^2</f>
        <v>1373.7994578004807</v>
      </c>
      <c r="N776" s="75">
        <f>'THAM_SO_MOI'!$C$12*I776</f>
        <v>1130.112</v>
      </c>
      <c r="O776" s="75">
        <f>M776+N776</f>
        <v>2503.911457800481</v>
      </c>
      <c r="P776" s="75">
        <f>(MIN(L776,'THAM_SO_MOI'!$C$41)-O776)/('THAM_SO_MOI'!$C$11*H776)</f>
        <v>0.15008355423498435</v>
      </c>
      <c r="Q776" s="75">
        <f>IF(P776&gt;0,1/P776,NA())</f>
        <v>6.662955212496566</v>
      </c>
      <c r="R776" s="75">
        <f>F776-F775</f>
        <v>0.017600427350426884</v>
      </c>
      <c r="S776" s="75">
        <f>0.5*(Q775+Q776)*R776</f>
        <v>0.11717008342138524</v>
      </c>
      <c r="T776" s="75">
        <f>0.5*(F775*Q775+F776*Q776)*R776</f>
        <v>2.5382783108052567</v>
      </c>
      <c r="U776" s="76">
        <f>U775+S776</f>
        <v>68.86085813006366</v>
      </c>
      <c r="V776" s="76">
        <f>V775+T776</f>
        <v>1045.8652813579433</v>
      </c>
    </row>
    <row r="777" spans="1:22" ht="19" customHeight="1">
      <c r="A777" s="68" t="s">
        <v>362</v>
      </c>
      <c r="B777" s="74">
        <v>5</v>
      </c>
      <c r="C777" s="68" t="s">
        <v>363</v>
      </c>
      <c r="D777" s="68" t="s">
        <v>364</v>
      </c>
      <c r="E777" s="75">
        <f>60*F777*'THAM_SO_MOI'!$C$53/(2*PI()*'THAM_SO_MOI'!$C$26)</f>
        <v>2136.995157894736</v>
      </c>
      <c r="F777" s="75">
        <f>'THAM_SO_MOI'!$E$53+('THAM_SO_MOI'!$C$14-'THAM_SO_MOI'!$E$53)*771/'THAM_SO_MOI'!$C$42</f>
        <v>21.689587606837605</v>
      </c>
      <c r="G777" s="75">
        <f>3.6*F777</f>
        <v>78.08251538461538</v>
      </c>
      <c r="H777" s="75">
        <f>'THAM_SO_MOI'!$D$53</f>
        <v>1.1</v>
      </c>
      <c r="I777" s="75">
        <f>IF(F777&gt;'THAM_SO_MOI'!$C$14,'THAM_SO_MOI'!$C$13*(1+F777^2/1500),'THAM_SO_MOI'!$C$13)</f>
        <v>0.015</v>
      </c>
      <c r="J777" s="75">
        <f>'THAM_SO_MOI'!$C$40*('THAM_SO_MOI'!$C$23*(E777/'THAM_SO_MOI'!$C$22)+'THAM_SO_MOI'!$C$24*(E777/'THAM_SO_MOI'!$C$22)^2-'THAM_SO_MOI'!$C$25*(E777/'THAM_SO_MOI'!$C$22)^3)</f>
        <v>96.22906620628261</v>
      </c>
      <c r="K777" s="75">
        <f>'THAM_SO_MOI'!$C$31*J777/E777</f>
        <v>430.0867386627187</v>
      </c>
      <c r="L777" s="75">
        <f>K777*'THAM_SO_MOI'!$C$53*'THAM_SO_MOI'!$C$17/'THAM_SO_MOI'!$C$26</f>
        <v>3771.862380987928</v>
      </c>
      <c r="M777" s="75">
        <f>'THAM_SO_MOI'!$C$15*'THAM_SO_MOI'!$C$16*F777^2</f>
        <v>1376.0317658724493</v>
      </c>
      <c r="N777" s="75">
        <f>'THAM_SO_MOI'!$C$12*I777</f>
        <v>1130.112</v>
      </c>
      <c r="O777" s="75">
        <f>M777+N777</f>
        <v>2506.1437658724494</v>
      </c>
      <c r="P777" s="75">
        <f>(MIN(L777,'THAM_SO_MOI'!$C$41)-O777)/('THAM_SO_MOI'!$C$11*H777)</f>
        <v>0.1498246466756012</v>
      </c>
      <c r="Q777" s="75">
        <f>IF(P777&gt;0,1/P777,NA())</f>
        <v>6.674469269166306</v>
      </c>
      <c r="R777" s="75">
        <f>F777-F776</f>
        <v>0.017600427350426884</v>
      </c>
      <c r="S777" s="75">
        <f>0.5*(Q776+Q777)*R777</f>
        <v>0.11737218531565616</v>
      </c>
      <c r="T777" s="75">
        <f>0.5*(F776*Q776+F777*Q777)*R777</f>
        <v>2.5447222873914477</v>
      </c>
      <c r="U777" s="76">
        <f>U776+S777</f>
        <v>68.97823031537932</v>
      </c>
      <c r="V777" s="76">
        <f>V776+T777</f>
        <v>1048.4100036453349</v>
      </c>
    </row>
    <row r="778" spans="1:22" ht="19" customHeight="1">
      <c r="A778" s="68" t="s">
        <v>362</v>
      </c>
      <c r="B778" s="74">
        <v>5</v>
      </c>
      <c r="C778" s="68" t="s">
        <v>363</v>
      </c>
      <c r="D778" s="68" t="s">
        <v>364</v>
      </c>
      <c r="E778" s="75">
        <f>60*F778*'THAM_SO_MOI'!$C$53/(2*PI()*'THAM_SO_MOI'!$C$26)</f>
        <v>2138.729263157894</v>
      </c>
      <c r="F778" s="75">
        <f>'THAM_SO_MOI'!$E$53+('THAM_SO_MOI'!$C$14-'THAM_SO_MOI'!$E$53)*772/'THAM_SO_MOI'!$C$42</f>
        <v>21.707188034188032</v>
      </c>
      <c r="G778" s="75">
        <f>3.6*F778</f>
        <v>78.14587692307691</v>
      </c>
      <c r="H778" s="75">
        <f>'THAM_SO_MOI'!$D$53</f>
        <v>1.1</v>
      </c>
      <c r="I778" s="75">
        <f>IF(F778&gt;'THAM_SO_MOI'!$C$14,'THAM_SO_MOI'!$C$13*(1+F778^2/1500),'THAM_SO_MOI'!$C$13)</f>
        <v>0.015</v>
      </c>
      <c r="J778" s="75">
        <f>'THAM_SO_MOI'!$C$40*('THAM_SO_MOI'!$C$23*(E778/'THAM_SO_MOI'!$C$22)+'THAM_SO_MOI'!$C$24*(E778/'THAM_SO_MOI'!$C$22)^2-'THAM_SO_MOI'!$C$25*(E778/'THAM_SO_MOI'!$C$22)^3)</f>
        <v>96.30823822371643</v>
      </c>
      <c r="K778" s="75">
        <f>'THAM_SO_MOI'!$C$31*J778/E778</f>
        <v>430.0915845542538</v>
      </c>
      <c r="L778" s="75">
        <f>K778*'THAM_SO_MOI'!$C$53*'THAM_SO_MOI'!$C$17/'THAM_SO_MOI'!$C$26</f>
        <v>3771.904879475653</v>
      </c>
      <c r="M778" s="75">
        <f>'THAM_SO_MOI'!$C$15*'THAM_SO_MOI'!$C$16*F778^2</f>
        <v>1378.2658861284187</v>
      </c>
      <c r="N778" s="75">
        <f>'THAM_SO_MOI'!$C$12*I778</f>
        <v>1130.112</v>
      </c>
      <c r="O778" s="75">
        <f>M778+N778</f>
        <v>2508.377886128419</v>
      </c>
      <c r="P778" s="75">
        <f>(MIN(L778,'THAM_SO_MOI'!$C$41)-O778)/('THAM_SO_MOI'!$C$11*H778)</f>
        <v>0.1495652217503829</v>
      </c>
      <c r="Q778" s="75">
        <f>IF(P778&gt;0,1/P778,NA())</f>
        <v>6.686046316763075</v>
      </c>
      <c r="R778" s="75">
        <f>F778-F777</f>
        <v>0.017600427350426884</v>
      </c>
      <c r="S778" s="75">
        <f>0.5*(Q777+Q778)*R778</f>
        <v>0.11757539196719807</v>
      </c>
      <c r="T778" s="75">
        <f>0.5*(F777*Q777+F778*Q778)*R778</f>
        <v>2.551197349623175</v>
      </c>
      <c r="U778" s="76">
        <f>U777+S778</f>
        <v>69.09580570734651</v>
      </c>
      <c r="V778" s="76">
        <f>V777+T778</f>
        <v>1050.961200994958</v>
      </c>
    </row>
    <row r="779" spans="1:22" ht="19" customHeight="1">
      <c r="A779" s="68" t="s">
        <v>362</v>
      </c>
      <c r="B779" s="74">
        <v>5</v>
      </c>
      <c r="C779" s="68" t="s">
        <v>363</v>
      </c>
      <c r="D779" s="68" t="s">
        <v>364</v>
      </c>
      <c r="E779" s="75">
        <f>60*F779*'THAM_SO_MOI'!$C$53/(2*PI()*'THAM_SO_MOI'!$C$26)</f>
        <v>2140.4633684210517</v>
      </c>
      <c r="F779" s="75">
        <f>'THAM_SO_MOI'!$E$53+('THAM_SO_MOI'!$C$14-'THAM_SO_MOI'!$E$53)*773/'THAM_SO_MOI'!$C$42</f>
        <v>21.72478846153846</v>
      </c>
      <c r="G779" s="75">
        <f>3.6*F779</f>
        <v>78.20923846153846</v>
      </c>
      <c r="H779" s="75">
        <f>'THAM_SO_MOI'!$D$53</f>
        <v>1.1</v>
      </c>
      <c r="I779" s="75">
        <f>IF(F779&gt;'THAM_SO_MOI'!$C$14,'THAM_SO_MOI'!$C$13*(1+F779^2/1500),'THAM_SO_MOI'!$C$13)</f>
        <v>0.015</v>
      </c>
      <c r="J779" s="75">
        <f>'THAM_SO_MOI'!$C$40*('THAM_SO_MOI'!$C$23*(E779/'THAM_SO_MOI'!$C$22)+'THAM_SO_MOI'!$C$24*(E779/'THAM_SO_MOI'!$C$22)^2-'THAM_SO_MOI'!$C$25*(E779/'THAM_SO_MOI'!$C$22)^3)</f>
        <v>96.38734662094423</v>
      </c>
      <c r="K779" s="75">
        <f>'THAM_SO_MOI'!$C$31*J779/E779</f>
        <v>430.096138710164</v>
      </c>
      <c r="L779" s="75">
        <f>K779*'THAM_SO_MOI'!$C$53*'THAM_SO_MOI'!$C$17/'THAM_SO_MOI'!$C$26</f>
        <v>3771.9448194408055</v>
      </c>
      <c r="M779" s="75">
        <f>'THAM_SO_MOI'!$C$15*'THAM_SO_MOI'!$C$16*F779^2</f>
        <v>1380.5018185683894</v>
      </c>
      <c r="N779" s="75">
        <f>'THAM_SO_MOI'!$C$12*I779</f>
        <v>1130.112</v>
      </c>
      <c r="O779" s="75">
        <f>M779+N779</f>
        <v>2510.6138185683894</v>
      </c>
      <c r="P779" s="75">
        <f>(MIN(L779,'THAM_SO_MOI'!$C$41)-O779)/('THAM_SO_MOI'!$C$11*H779)</f>
        <v>0.14930527945932956</v>
      </c>
      <c r="Q779" s="75">
        <f>IF(P779&gt;0,1/P779,NA())</f>
        <v>6.697686803984704</v>
      </c>
      <c r="R779" s="75">
        <f>F779-F778</f>
        <v>0.017600427350426884</v>
      </c>
      <c r="S779" s="75">
        <f>0.5*(Q778+Q779)*R779</f>
        <v>0.11777971123461167</v>
      </c>
      <c r="T779" s="75">
        <f>0.5*(F778*Q778+F779*Q779)*R779</f>
        <v>2.557703726490661</v>
      </c>
      <c r="U779" s="76">
        <f>U778+S779</f>
        <v>69.21358541858113</v>
      </c>
      <c r="V779" s="76">
        <f>V778+T779</f>
        <v>1053.5189047214487</v>
      </c>
    </row>
    <row r="780" spans="1:22" ht="19" customHeight="1">
      <c r="A780" s="68" t="s">
        <v>362</v>
      </c>
      <c r="B780" s="74">
        <v>5</v>
      </c>
      <c r="C780" s="68" t="s">
        <v>363</v>
      </c>
      <c r="D780" s="68" t="s">
        <v>364</v>
      </c>
      <c r="E780" s="75">
        <f>60*F780*'THAM_SO_MOI'!$C$53/(2*PI()*'THAM_SO_MOI'!$C$26)</f>
        <v>2142.1974736842103</v>
      </c>
      <c r="F780" s="75">
        <f>'THAM_SO_MOI'!$E$53+('THAM_SO_MOI'!$C$14-'THAM_SO_MOI'!$E$53)*774/'THAM_SO_MOI'!$C$42</f>
        <v>21.74238888888889</v>
      </c>
      <c r="G780" s="75">
        <f>3.6*F780</f>
        <v>78.27260000000001</v>
      </c>
      <c r="H780" s="75">
        <f>'THAM_SO_MOI'!$D$53</f>
        <v>1.1</v>
      </c>
      <c r="I780" s="75">
        <f>IF(F780&gt;'THAM_SO_MOI'!$C$14,'THAM_SO_MOI'!$C$13*(1+F780^2/1500),'THAM_SO_MOI'!$C$13)</f>
        <v>0.015</v>
      </c>
      <c r="J780" s="75">
        <f>'THAM_SO_MOI'!$C$40*('THAM_SO_MOI'!$C$23*(E780/'THAM_SO_MOI'!$C$22)+'THAM_SO_MOI'!$C$24*(E780/'THAM_SO_MOI'!$C$22)^2-'THAM_SO_MOI'!$C$25*(E780/'THAM_SO_MOI'!$C$22)^3)</f>
        <v>96.46639123906277</v>
      </c>
      <c r="K780" s="75">
        <f>'THAM_SO_MOI'!$C$31*J780/E780</f>
        <v>430.10040113044926</v>
      </c>
      <c r="L780" s="75">
        <f>K780*'THAM_SO_MOI'!$C$53*'THAM_SO_MOI'!$C$17/'THAM_SO_MOI'!$C$26</f>
        <v>3771.9822008833858</v>
      </c>
      <c r="M780" s="75">
        <f>'THAM_SO_MOI'!$C$15*'THAM_SO_MOI'!$C$16*F780^2</f>
        <v>1382.7395631923614</v>
      </c>
      <c r="N780" s="75">
        <f>'THAM_SO_MOI'!$C$12*I780</f>
        <v>1130.112</v>
      </c>
      <c r="O780" s="75">
        <f>M780+N780</f>
        <v>2512.8515631923615</v>
      </c>
      <c r="P780" s="75">
        <f>(MIN(L780,'THAM_SO_MOI'!$C$41)-O780)/('THAM_SO_MOI'!$C$11*H780)</f>
        <v>0.14904481980244133</v>
      </c>
      <c r="Q780" s="75">
        <f>IF(P780&gt;0,1/P780,NA())</f>
        <v>6.7093911839774</v>
      </c>
      <c r="R780" s="75">
        <f>F780-F779</f>
        <v>0.017600427350430436</v>
      </c>
      <c r="S780" s="75">
        <f>0.5*(Q779+Q780)*R780</f>
        <v>0.11798515105434104</v>
      </c>
      <c r="T780" s="75">
        <f>0.5*(F779*Q779+F780*Q780)*R780</f>
        <v>2.5642416492292046</v>
      </c>
      <c r="U780" s="76">
        <f>U779+S780</f>
        <v>69.33157056963547</v>
      </c>
      <c r="V780" s="76">
        <f>V779+T780</f>
        <v>1056.083146370678</v>
      </c>
    </row>
    <row r="781" spans="1:22" ht="19" customHeight="1">
      <c r="A781" s="68" t="s">
        <v>362</v>
      </c>
      <c r="B781" s="74">
        <v>5</v>
      </c>
      <c r="C781" s="68" t="s">
        <v>363</v>
      </c>
      <c r="D781" s="68" t="s">
        <v>364</v>
      </c>
      <c r="E781" s="75">
        <f>60*F781*'THAM_SO_MOI'!$C$53/(2*PI()*'THAM_SO_MOI'!$C$26)</f>
        <v>2143.9315789473676</v>
      </c>
      <c r="F781" s="75">
        <f>'THAM_SO_MOI'!$E$53+('THAM_SO_MOI'!$C$14-'THAM_SO_MOI'!$E$53)*775/'THAM_SO_MOI'!$C$42</f>
        <v>21.759989316239313</v>
      </c>
      <c r="G781" s="75">
        <f>3.6*F781</f>
        <v>78.33596153846153</v>
      </c>
      <c r="H781" s="75">
        <f>'THAM_SO_MOI'!$D$53</f>
        <v>1.1</v>
      </c>
      <c r="I781" s="75">
        <f>IF(F781&gt;'THAM_SO_MOI'!$C$14,'THAM_SO_MOI'!$C$13*(1+F781^2/1500),'THAM_SO_MOI'!$C$13)</f>
        <v>0.015</v>
      </c>
      <c r="J781" s="75">
        <f>'THAM_SO_MOI'!$C$40*('THAM_SO_MOI'!$C$23*(E781/'THAM_SO_MOI'!$C$22)+'THAM_SO_MOI'!$C$24*(E781/'THAM_SO_MOI'!$C$22)^2-'THAM_SO_MOI'!$C$25*(E781/'THAM_SO_MOI'!$C$22)^3)</f>
        <v>96.54537191916862</v>
      </c>
      <c r="K781" s="75">
        <f>'THAM_SO_MOI'!$C$31*J781/E781</f>
        <v>430.10437181510923</v>
      </c>
      <c r="L781" s="75">
        <f>K781*'THAM_SO_MOI'!$C$53*'THAM_SO_MOI'!$C$17/'THAM_SO_MOI'!$C$26</f>
        <v>3772.017023803391</v>
      </c>
      <c r="M781" s="75">
        <f>'THAM_SO_MOI'!$C$15*'THAM_SO_MOI'!$C$16*F781^2</f>
        <v>1384.9791200003335</v>
      </c>
      <c r="N781" s="75">
        <f>'THAM_SO_MOI'!$C$12*I781</f>
        <v>1130.112</v>
      </c>
      <c r="O781" s="75">
        <f>M781+N781</f>
        <v>2515.091120000334</v>
      </c>
      <c r="P781" s="75">
        <f>(MIN(L781,'THAM_SO_MOI'!$C$41)-O781)/('THAM_SO_MOI'!$C$11*H781)</f>
        <v>0.148783842779718</v>
      </c>
      <c r="Q781" s="75">
        <f>IF(P781&gt;0,1/P781,NA())</f>
        <v>6.7211599143903715</v>
      </c>
      <c r="R781" s="75">
        <f>F781-F780</f>
        <v>0.01760042735042333</v>
      </c>
      <c r="S781" s="75">
        <f>0.5*(Q780+Q781)*R781</f>
        <v>0.11819171944148513</v>
      </c>
      <c r="T781" s="75">
        <f>0.5*(F780*Q780+F781*Q781)*R781</f>
        <v>2.570811351343687</v>
      </c>
      <c r="U781" s="76">
        <f>U780+S781</f>
        <v>69.44976228907696</v>
      </c>
      <c r="V781" s="76">
        <f>V780+T781</f>
        <v>1058.6539577220217</v>
      </c>
    </row>
    <row r="782" spans="1:22" ht="19" customHeight="1">
      <c r="A782" s="68" t="s">
        <v>362</v>
      </c>
      <c r="B782" s="74">
        <v>5</v>
      </c>
      <c r="C782" s="68" t="s">
        <v>363</v>
      </c>
      <c r="D782" s="68" t="s">
        <v>364</v>
      </c>
      <c r="E782" s="75">
        <f>60*F782*'THAM_SO_MOI'!$C$53/(2*PI()*'THAM_SO_MOI'!$C$26)</f>
        <v>2145.6656842105263</v>
      </c>
      <c r="F782" s="75">
        <f>'THAM_SO_MOI'!$E$53+('THAM_SO_MOI'!$C$14-'THAM_SO_MOI'!$E$53)*776/'THAM_SO_MOI'!$C$42</f>
        <v>21.777589743589743</v>
      </c>
      <c r="G782" s="75">
        <f>3.6*F782</f>
        <v>78.39932307692308</v>
      </c>
      <c r="H782" s="75">
        <f>'THAM_SO_MOI'!$D$53</f>
        <v>1.1</v>
      </c>
      <c r="I782" s="75">
        <f>IF(F782&gt;'THAM_SO_MOI'!$C$14,'THAM_SO_MOI'!$C$13*(1+F782^2/1500),'THAM_SO_MOI'!$C$13)</f>
        <v>0.015</v>
      </c>
      <c r="J782" s="75">
        <f>'THAM_SO_MOI'!$C$40*('THAM_SO_MOI'!$C$23*(E782/'THAM_SO_MOI'!$C$22)+'THAM_SO_MOI'!$C$24*(E782/'THAM_SO_MOI'!$C$22)^2-'THAM_SO_MOI'!$C$25*(E782/'THAM_SO_MOI'!$C$22)^3)</f>
        <v>96.62428850235867</v>
      </c>
      <c r="K782" s="75">
        <f>'THAM_SO_MOI'!$C$31*J782/E782</f>
        <v>430.10805076414437</v>
      </c>
      <c r="L782" s="75">
        <f>K782*'THAM_SO_MOI'!$C$53*'THAM_SO_MOI'!$C$17/'THAM_SO_MOI'!$C$26</f>
        <v>3772.049288200825</v>
      </c>
      <c r="M782" s="75">
        <f>'THAM_SO_MOI'!$C$15*'THAM_SO_MOI'!$C$16*F782^2</f>
        <v>1387.2204889923078</v>
      </c>
      <c r="N782" s="75">
        <f>'THAM_SO_MOI'!$C$12*I782</f>
        <v>1130.112</v>
      </c>
      <c r="O782" s="75">
        <f>M782+N782</f>
        <v>2517.332488992308</v>
      </c>
      <c r="P782" s="75">
        <f>(MIN(L782,'THAM_SO_MOI'!$C$41)-O782)/('THAM_SO_MOI'!$C$11*H782)</f>
        <v>0.1485223483911597</v>
      </c>
      <c r="Q782" s="75">
        <f>IF(P782&gt;0,1/P782,NA())</f>
        <v>6.73299345743123</v>
      </c>
      <c r="R782" s="75">
        <f>F782-F781</f>
        <v>0.017600427350430436</v>
      </c>
      <c r="S782" s="75">
        <f>0.5*(Q781+Q782)*R782</f>
        <v>0.11839942449114739</v>
      </c>
      <c r="T782" s="75">
        <f>0.5*(F781*Q781+F782*Q782)*R782</f>
        <v>2.5774130686448706</v>
      </c>
      <c r="U782" s="76">
        <f>U781+S782</f>
        <v>69.5681617135681</v>
      </c>
      <c r="V782" s="76">
        <f>V781+T782</f>
        <v>1061.2313707906665</v>
      </c>
    </row>
    <row r="783" spans="1:22" ht="19" customHeight="1">
      <c r="A783" s="68" t="s">
        <v>362</v>
      </c>
      <c r="B783" s="74">
        <v>5</v>
      </c>
      <c r="C783" s="68" t="s">
        <v>363</v>
      </c>
      <c r="D783" s="68" t="s">
        <v>364</v>
      </c>
      <c r="E783" s="75">
        <f>60*F783*'THAM_SO_MOI'!$C$53/(2*PI()*'THAM_SO_MOI'!$C$26)</f>
        <v>2147.399789473684</v>
      </c>
      <c r="F783" s="75">
        <f>'THAM_SO_MOI'!$E$53+('THAM_SO_MOI'!$C$14-'THAM_SO_MOI'!$E$53)*777/'THAM_SO_MOI'!$C$42</f>
        <v>21.795190170940174</v>
      </c>
      <c r="G783" s="75">
        <f>3.6*F783</f>
        <v>78.46268461538463</v>
      </c>
      <c r="H783" s="75">
        <f>'THAM_SO_MOI'!$D$53</f>
        <v>1.1</v>
      </c>
      <c r="I783" s="75">
        <f>IF(F783&gt;'THAM_SO_MOI'!$C$14,'THAM_SO_MOI'!$C$13*(1+F783^2/1500),'THAM_SO_MOI'!$C$13)</f>
        <v>0.015</v>
      </c>
      <c r="J783" s="75">
        <f>'THAM_SO_MOI'!$C$40*('THAM_SO_MOI'!$C$23*(E783/'THAM_SO_MOI'!$C$22)+'THAM_SO_MOI'!$C$24*(E783/'THAM_SO_MOI'!$C$22)^2-'THAM_SO_MOI'!$C$25*(E783/'THAM_SO_MOI'!$C$22)^3)</f>
        <v>96.7031408297295</v>
      </c>
      <c r="K783" s="75">
        <f>'THAM_SO_MOI'!$C$31*J783/E783</f>
        <v>430.1114379775543</v>
      </c>
      <c r="L783" s="75">
        <f>K783*'THAM_SO_MOI'!$C$53*'THAM_SO_MOI'!$C$17/'THAM_SO_MOI'!$C$26</f>
        <v>3772.078994075684</v>
      </c>
      <c r="M783" s="75">
        <f>'THAM_SO_MOI'!$C$15*'THAM_SO_MOI'!$C$16*F783^2</f>
        <v>1389.463670168283</v>
      </c>
      <c r="N783" s="75">
        <f>'THAM_SO_MOI'!$C$12*I783</f>
        <v>1130.112</v>
      </c>
      <c r="O783" s="75">
        <f>M783+N783</f>
        <v>2519.575670168283</v>
      </c>
      <c r="P783" s="75">
        <f>(MIN(L783,'THAM_SO_MOI'!$C$41)-O783)/('THAM_SO_MOI'!$C$11*H783)</f>
        <v>0.14826033663676622</v>
      </c>
      <c r="Q783" s="75">
        <f>IF(P783&gt;0,1/P783,NA())</f>
        <v>6.744892279922261</v>
      </c>
      <c r="R783" s="75">
        <f>F783-F782</f>
        <v>0.017600427350430436</v>
      </c>
      <c r="S783" s="75">
        <f>0.5*(Q782+Q783)*R783</f>
        <v>0.11860827437884633</v>
      </c>
      <c r="T783" s="75">
        <f>0.5*(F782*Q782+F783*Q783)*R783</f>
        <v>2.5840470392653865</v>
      </c>
      <c r="U783" s="76">
        <f>U782+S783</f>
        <v>69.68676998794695</v>
      </c>
      <c r="V783" s="76">
        <f>V782+T783</f>
        <v>1063.815417829932</v>
      </c>
    </row>
    <row r="784" spans="1:22" ht="19" customHeight="1">
      <c r="A784" s="68" t="s">
        <v>362</v>
      </c>
      <c r="B784" s="74">
        <v>5</v>
      </c>
      <c r="C784" s="68" t="s">
        <v>363</v>
      </c>
      <c r="D784" s="68" t="s">
        <v>364</v>
      </c>
      <c r="E784" s="75">
        <f>60*F784*'THAM_SO_MOI'!$C$53/(2*PI()*'THAM_SO_MOI'!$C$26)</f>
        <v>2149.1338947368417</v>
      </c>
      <c r="F784" s="75">
        <f>'THAM_SO_MOI'!$E$53+('THAM_SO_MOI'!$C$14-'THAM_SO_MOI'!$E$53)*778/'THAM_SO_MOI'!$C$42</f>
        <v>21.812790598290597</v>
      </c>
      <c r="G784" s="75">
        <f>3.6*F784</f>
        <v>78.52604615384615</v>
      </c>
      <c r="H784" s="75">
        <f>'THAM_SO_MOI'!$D$53</f>
        <v>1.1</v>
      </c>
      <c r="I784" s="75">
        <f>IF(F784&gt;'THAM_SO_MOI'!$C$14,'THAM_SO_MOI'!$C$13*(1+F784^2/1500),'THAM_SO_MOI'!$C$13)</f>
        <v>0.015</v>
      </c>
      <c r="J784" s="75">
        <f>'THAM_SO_MOI'!$C$40*('THAM_SO_MOI'!$C$23*(E784/'THAM_SO_MOI'!$C$22)+'THAM_SO_MOI'!$C$24*(E784/'THAM_SO_MOI'!$C$22)^2-'THAM_SO_MOI'!$C$25*(E784/'THAM_SO_MOI'!$C$22)^3)</f>
        <v>96.78192874237794</v>
      </c>
      <c r="K784" s="75">
        <f>'THAM_SO_MOI'!$C$31*J784/E784</f>
        <v>430.1145334553394</v>
      </c>
      <c r="L784" s="75">
        <f>K784*'THAM_SO_MOI'!$C$53*'THAM_SO_MOI'!$C$17/'THAM_SO_MOI'!$C$26</f>
        <v>3772.1061414279725</v>
      </c>
      <c r="M784" s="75">
        <f>'THAM_SO_MOI'!$C$15*'THAM_SO_MOI'!$C$16*F784^2</f>
        <v>1391.7086635282585</v>
      </c>
      <c r="N784" s="75">
        <f>'THAM_SO_MOI'!$C$12*I784</f>
        <v>1130.112</v>
      </c>
      <c r="O784" s="75">
        <f>M784+N784</f>
        <v>2521.8206635282586</v>
      </c>
      <c r="P784" s="75">
        <f>(MIN(L784,'THAM_SO_MOI'!$C$41)-O784)/('THAM_SO_MOI'!$C$11*H784)</f>
        <v>0.1479978075165381</v>
      </c>
      <c r="Q784" s="75">
        <f>IF(P784&gt;0,1/P784,NA())</f>
        <v>6.756856853357469</v>
      </c>
      <c r="R784" s="75">
        <f>F784-F783</f>
        <v>0.01760042735042333</v>
      </c>
      <c r="S784" s="75">
        <f>0.5*(Q783+Q784)*R784</f>
        <v>0.11881827736196554</v>
      </c>
      <c r="T784" s="75">
        <f>0.5*(F783*Q783+F784*Q784)*R784</f>
        <v>2.5907135036984226</v>
      </c>
      <c r="U784" s="76">
        <f>U783+S784</f>
        <v>69.80558826530891</v>
      </c>
      <c r="V784" s="76">
        <f>V783+T784</f>
        <v>1066.4061313336304</v>
      </c>
    </row>
    <row r="785" spans="1:22" ht="19" customHeight="1">
      <c r="A785" s="68" t="s">
        <v>362</v>
      </c>
      <c r="B785" s="74">
        <v>5</v>
      </c>
      <c r="C785" s="68" t="s">
        <v>363</v>
      </c>
      <c r="D785" s="68" t="s">
        <v>364</v>
      </c>
      <c r="E785" s="75">
        <f>60*F785*'THAM_SO_MOI'!$C$53/(2*PI()*'THAM_SO_MOI'!$C$26)</f>
        <v>2150.8679999999995</v>
      </c>
      <c r="F785" s="75">
        <f>'THAM_SO_MOI'!$E$53+('THAM_SO_MOI'!$C$14-'THAM_SO_MOI'!$E$53)*779/'THAM_SO_MOI'!$C$42</f>
        <v>21.830391025641028</v>
      </c>
      <c r="G785" s="75">
        <f>3.6*F785</f>
        <v>78.5894076923077</v>
      </c>
      <c r="H785" s="75">
        <f>'THAM_SO_MOI'!$D$53</f>
        <v>1.1</v>
      </c>
      <c r="I785" s="75">
        <f>IF(F785&gt;'THAM_SO_MOI'!$C$14,'THAM_SO_MOI'!$C$13*(1+F785^2/1500),'THAM_SO_MOI'!$C$13)</f>
        <v>0.015</v>
      </c>
      <c r="J785" s="75">
        <f>'THAM_SO_MOI'!$C$40*('THAM_SO_MOI'!$C$23*(E785/'THAM_SO_MOI'!$C$22)+'THAM_SO_MOI'!$C$24*(E785/'THAM_SO_MOI'!$C$22)^2-'THAM_SO_MOI'!$C$25*(E785/'THAM_SO_MOI'!$C$22)^3)</f>
        <v>96.8606520814006</v>
      </c>
      <c r="K785" s="75">
        <f>'THAM_SO_MOI'!$C$31*J785/E785</f>
        <v>430.1173371974992</v>
      </c>
      <c r="L785" s="75">
        <f>K785*'THAM_SO_MOI'!$C$53*'THAM_SO_MOI'!$C$17/'THAM_SO_MOI'!$C$26</f>
        <v>3772.130730257684</v>
      </c>
      <c r="M785" s="75">
        <f>'THAM_SO_MOI'!$C$15*'THAM_SO_MOI'!$C$16*F785^2</f>
        <v>1393.955469072236</v>
      </c>
      <c r="N785" s="75">
        <f>'THAM_SO_MOI'!$C$12*I785</f>
        <v>1130.112</v>
      </c>
      <c r="O785" s="75">
        <f>M785+N785</f>
        <v>2524.0674690722362</v>
      </c>
      <c r="P785" s="75">
        <f>(MIN(L785,'THAM_SO_MOI'!$C$41)-O785)/('THAM_SO_MOI'!$C$11*H785)</f>
        <v>0.14773476103047445</v>
      </c>
      <c r="Q785" s="75">
        <f>IF(P785&gt;0,1/P785,NA())</f>
        <v>6.768887653960613</v>
      </c>
      <c r="R785" s="75">
        <f>F785-F784</f>
        <v>0.017600427350430436</v>
      </c>
      <c r="S785" s="75">
        <f>0.5*(Q784+Q785)*R785</f>
        <v>0.11902944178076771</v>
      </c>
      <c r="T785" s="75">
        <f>0.5*(F784*Q784+F785*Q785)*R785</f>
        <v>2.5974127048270637</v>
      </c>
      <c r="U785" s="76">
        <f>U784+S785</f>
        <v>69.92461770708968</v>
      </c>
      <c r="V785" s="76">
        <f>V784+T785</f>
        <v>1069.0035440384574</v>
      </c>
    </row>
    <row r="786" spans="1:22" ht="19" customHeight="1">
      <c r="A786" s="68" t="s">
        <v>362</v>
      </c>
      <c r="B786" s="74">
        <v>5</v>
      </c>
      <c r="C786" s="68" t="s">
        <v>363</v>
      </c>
      <c r="D786" s="68" t="s">
        <v>364</v>
      </c>
      <c r="E786" s="75">
        <f>60*F786*'THAM_SO_MOI'!$C$53/(2*PI()*'THAM_SO_MOI'!$C$26)</f>
        <v>2152.6021052631572</v>
      </c>
      <c r="F786" s="75">
        <f>'THAM_SO_MOI'!$E$53+('THAM_SO_MOI'!$C$14-'THAM_SO_MOI'!$E$53)*780/'THAM_SO_MOI'!$C$42</f>
        <v>21.84799145299145</v>
      </c>
      <c r="G786" s="75">
        <f>3.6*F786</f>
        <v>78.65276923076922</v>
      </c>
      <c r="H786" s="75">
        <f>'THAM_SO_MOI'!$D$53</f>
        <v>1.1</v>
      </c>
      <c r="I786" s="75">
        <f>IF(F786&gt;'THAM_SO_MOI'!$C$14,'THAM_SO_MOI'!$C$13*(1+F786^2/1500),'THAM_SO_MOI'!$C$13)</f>
        <v>0.015</v>
      </c>
      <c r="J786" s="75">
        <f>'THAM_SO_MOI'!$C$40*('THAM_SO_MOI'!$C$23*(E786/'THAM_SO_MOI'!$C$22)+'THAM_SO_MOI'!$C$24*(E786/'THAM_SO_MOI'!$C$22)^2-'THAM_SO_MOI'!$C$25*(E786/'THAM_SO_MOI'!$C$22)^3)</f>
        <v>96.93931068789432</v>
      </c>
      <c r="K786" s="75">
        <f>'THAM_SO_MOI'!$C$31*J786/E786</f>
        <v>430.1198492040342</v>
      </c>
      <c r="L786" s="75">
        <f>K786*'THAM_SO_MOI'!$C$53*'THAM_SO_MOI'!$C$17/'THAM_SO_MOI'!$C$26</f>
        <v>3772.152760564826</v>
      </c>
      <c r="M786" s="75">
        <f>'THAM_SO_MOI'!$C$15*'THAM_SO_MOI'!$C$16*F786^2</f>
        <v>1396.2040868002136</v>
      </c>
      <c r="N786" s="75">
        <f>'THAM_SO_MOI'!$C$12*I786</f>
        <v>1130.112</v>
      </c>
      <c r="O786" s="75">
        <f>M786+N786</f>
        <v>2526.3160868002137</v>
      </c>
      <c r="P786" s="75">
        <f>(MIN(L786,'THAM_SO_MOI'!$C$41)-O786)/('THAM_SO_MOI'!$C$11*H786)</f>
        <v>0.1474711971785763</v>
      </c>
      <c r="Q786" s="75">
        <f>IF(P786&gt;0,1/P786,NA())</f>
        <v>6.7809851627438595</v>
      </c>
      <c r="R786" s="75">
        <f>F786-F785</f>
        <v>0.01760042735042333</v>
      </c>
      <c r="S786" s="75">
        <f>0.5*(Q785+Q786)*R786</f>
        <v>0.1192417760589415</v>
      </c>
      <c r="T786" s="75">
        <f>0.5*(F785*Q785+F786*Q786)*R786</f>
        <v>2.6041448879435194</v>
      </c>
      <c r="U786" s="76">
        <f>U785+S786</f>
        <v>70.04385948314862</v>
      </c>
      <c r="V786" s="76">
        <f>V785+T786</f>
        <v>1071.607688926401</v>
      </c>
    </row>
    <row r="787" spans="1:22" ht="19" customHeight="1">
      <c r="A787" s="68" t="s">
        <v>362</v>
      </c>
      <c r="B787" s="74">
        <v>5</v>
      </c>
      <c r="C787" s="68" t="s">
        <v>363</v>
      </c>
      <c r="D787" s="68" t="s">
        <v>364</v>
      </c>
      <c r="E787" s="75">
        <f>60*F787*'THAM_SO_MOI'!$C$53/(2*PI()*'THAM_SO_MOI'!$C$26)</f>
        <v>2154.336210526316</v>
      </c>
      <c r="F787" s="75">
        <f>'THAM_SO_MOI'!$E$53+('THAM_SO_MOI'!$C$14-'THAM_SO_MOI'!$E$53)*781/'THAM_SO_MOI'!$C$42</f>
        <v>21.86559188034188</v>
      </c>
      <c r="G787" s="75">
        <f>3.6*F787</f>
        <v>78.71613076923077</v>
      </c>
      <c r="H787" s="75">
        <f>'THAM_SO_MOI'!$D$53</f>
        <v>1.1</v>
      </c>
      <c r="I787" s="75">
        <f>IF(F787&gt;'THAM_SO_MOI'!$C$14,'THAM_SO_MOI'!$C$13*(1+F787^2/1500),'THAM_SO_MOI'!$C$13)</f>
        <v>0.015</v>
      </c>
      <c r="J787" s="75">
        <f>'THAM_SO_MOI'!$C$40*('THAM_SO_MOI'!$C$23*(E787/'THAM_SO_MOI'!$C$22)+'THAM_SO_MOI'!$C$24*(E787/'THAM_SO_MOI'!$C$22)^2-'THAM_SO_MOI'!$C$25*(E787/'THAM_SO_MOI'!$C$22)^3)</f>
        <v>97.01790440295579</v>
      </c>
      <c r="K787" s="75">
        <f>'THAM_SO_MOI'!$C$31*J787/E787</f>
        <v>430.12206947494406</v>
      </c>
      <c r="L787" s="75">
        <f>K787*'THAM_SO_MOI'!$C$53*'THAM_SO_MOI'!$C$17/'THAM_SO_MOI'!$C$26</f>
        <v>3772.1722323493927</v>
      </c>
      <c r="M787" s="75">
        <f>'THAM_SO_MOI'!$C$15*'THAM_SO_MOI'!$C$16*F787^2</f>
        <v>1398.454516712193</v>
      </c>
      <c r="N787" s="75">
        <f>'THAM_SO_MOI'!$C$12*I787</f>
        <v>1130.112</v>
      </c>
      <c r="O787" s="75">
        <f>M787+N787</f>
        <v>2528.5665167121933</v>
      </c>
      <c r="P787" s="75">
        <f>(MIN(L787,'THAM_SO_MOI'!$C$41)-O787)/('THAM_SO_MOI'!$C$11*H787)</f>
        <v>0.1472071159608428</v>
      </c>
      <c r="Q787" s="75">
        <f>IF(P787&gt;0,1/P787,NA())</f>
        <v>6.793149865567646</v>
      </c>
      <c r="R787" s="75">
        <f>F787-F786</f>
        <v>0.017600427350430436</v>
      </c>
      <c r="S787" s="75">
        <f>0.5*(Q786+Q787)*R787</f>
        <v>0.11945528870536483</v>
      </c>
      <c r="T787" s="75">
        <f>0.5*(F786*Q786+F787*Q787)*R787</f>
        <v>2.6109103007950134</v>
      </c>
      <c r="U787" s="76">
        <f>U786+S787</f>
        <v>70.16331477185399</v>
      </c>
      <c r="V787" s="76">
        <f>V786+T787</f>
        <v>1074.218599227196</v>
      </c>
    </row>
    <row r="788" spans="1:22" ht="19" customHeight="1">
      <c r="A788" s="68" t="s">
        <v>362</v>
      </c>
      <c r="B788" s="74">
        <v>5</v>
      </c>
      <c r="C788" s="68" t="s">
        <v>363</v>
      </c>
      <c r="D788" s="68" t="s">
        <v>364</v>
      </c>
      <c r="E788" s="75">
        <f>60*F788*'THAM_SO_MOI'!$C$53/(2*PI()*'THAM_SO_MOI'!$C$26)</f>
        <v>2156.070315789473</v>
      </c>
      <c r="F788" s="75">
        <f>'THAM_SO_MOI'!$E$53+('THAM_SO_MOI'!$C$14-'THAM_SO_MOI'!$E$53)*782/'THAM_SO_MOI'!$C$42</f>
        <v>21.88319230769231</v>
      </c>
      <c r="G788" s="75">
        <f>3.6*F788</f>
        <v>78.77949230769231</v>
      </c>
      <c r="H788" s="75">
        <f>'THAM_SO_MOI'!$D$53</f>
        <v>1.1</v>
      </c>
      <c r="I788" s="75">
        <f>IF(F788&gt;'THAM_SO_MOI'!$C$14,'THAM_SO_MOI'!$C$13*(1+F788^2/1500),'THAM_SO_MOI'!$C$13)</f>
        <v>0.015</v>
      </c>
      <c r="J788" s="75">
        <f>'THAM_SO_MOI'!$C$40*('THAM_SO_MOI'!$C$23*(E788/'THAM_SO_MOI'!$C$22)+'THAM_SO_MOI'!$C$24*(E788/'THAM_SO_MOI'!$C$22)^2-'THAM_SO_MOI'!$C$25*(E788/'THAM_SO_MOI'!$C$22)^3)</f>
        <v>97.09643306768167</v>
      </c>
      <c r="K788" s="75">
        <f>'THAM_SO_MOI'!$C$31*J788/E788</f>
        <v>430.123998010229</v>
      </c>
      <c r="L788" s="75">
        <f>K788*'THAM_SO_MOI'!$C$53*'THAM_SO_MOI'!$C$17/'THAM_SO_MOI'!$C$26</f>
        <v>3772.1891456113876</v>
      </c>
      <c r="M788" s="75">
        <f>'THAM_SO_MOI'!$C$15*'THAM_SO_MOI'!$C$16*F788^2</f>
        <v>1400.7067588081734</v>
      </c>
      <c r="N788" s="75">
        <f>'THAM_SO_MOI'!$C$12*I788</f>
        <v>1130.112</v>
      </c>
      <c r="O788" s="75">
        <f>M788+N788</f>
        <v>2530.8187588081737</v>
      </c>
      <c r="P788" s="75">
        <f>(MIN(L788,'THAM_SO_MOI'!$C$41)-O788)/('THAM_SO_MOI'!$C$11*H788)</f>
        <v>0.14694251737727443</v>
      </c>
      <c r="Q788" s="75">
        <f>IF(P788&gt;0,1/P788,NA())</f>
        <v>6.805382253201116</v>
      </c>
      <c r="R788" s="75">
        <f>F788-F787</f>
        <v>0.017600427350426884</v>
      </c>
      <c r="S788" s="75">
        <f>0.5*(Q787+Q788)*R788</f>
        <v>0.11966998831441808</v>
      </c>
      <c r="T788" s="75">
        <f>0.5*(F787*Q787+F788*Q788)*R788</f>
        <v>2.6177091935981256</v>
      </c>
      <c r="U788" s="76">
        <f>U787+S788</f>
        <v>70.2829847601684</v>
      </c>
      <c r="V788" s="76">
        <f>V787+T788</f>
        <v>1076.836308420794</v>
      </c>
    </row>
    <row r="789" spans="1:22" ht="19" customHeight="1">
      <c r="A789" s="68" t="s">
        <v>362</v>
      </c>
      <c r="B789" s="74">
        <v>5</v>
      </c>
      <c r="C789" s="68" t="s">
        <v>363</v>
      </c>
      <c r="D789" s="68" t="s">
        <v>364</v>
      </c>
      <c r="E789" s="75">
        <f>60*F789*'THAM_SO_MOI'!$C$53/(2*PI()*'THAM_SO_MOI'!$C$26)</f>
        <v>2157.8044210526314</v>
      </c>
      <c r="F789" s="75">
        <f>'THAM_SO_MOI'!$E$53+('THAM_SO_MOI'!$C$14-'THAM_SO_MOI'!$E$53)*783/'THAM_SO_MOI'!$C$42</f>
        <v>21.900792735042735</v>
      </c>
      <c r="G789" s="75">
        <f>3.6*F789</f>
        <v>78.84285384615384</v>
      </c>
      <c r="H789" s="75">
        <f>'THAM_SO_MOI'!$D$53</f>
        <v>1.1</v>
      </c>
      <c r="I789" s="75">
        <f>IF(F789&gt;'THAM_SO_MOI'!$C$14,'THAM_SO_MOI'!$C$13*(1+F789^2/1500),'THAM_SO_MOI'!$C$13)</f>
        <v>0.015</v>
      </c>
      <c r="J789" s="75">
        <f>'THAM_SO_MOI'!$C$40*('THAM_SO_MOI'!$C$23*(E789/'THAM_SO_MOI'!$C$22)+'THAM_SO_MOI'!$C$24*(E789/'THAM_SO_MOI'!$C$22)^2-'THAM_SO_MOI'!$C$25*(E789/'THAM_SO_MOI'!$C$22)^3)</f>
        <v>97.17489652316874</v>
      </c>
      <c r="K789" s="75">
        <f>'THAM_SO_MOI'!$C$31*J789/E789</f>
        <v>430.1256348098888</v>
      </c>
      <c r="L789" s="75">
        <f>K789*'THAM_SO_MOI'!$C$53*'THAM_SO_MOI'!$C$17/'THAM_SO_MOI'!$C$26</f>
        <v>3772.2035003508095</v>
      </c>
      <c r="M789" s="75">
        <f>'THAM_SO_MOI'!$C$15*'THAM_SO_MOI'!$C$16*F789^2</f>
        <v>1402.9608130881545</v>
      </c>
      <c r="N789" s="75">
        <f>'THAM_SO_MOI'!$C$12*I789</f>
        <v>1130.112</v>
      </c>
      <c r="O789" s="75">
        <f>M789+N789</f>
        <v>2533.0728130881544</v>
      </c>
      <c r="P789" s="75">
        <f>(MIN(L789,'THAM_SO_MOI'!$C$41)-O789)/('THAM_SO_MOI'!$C$11*H789)</f>
        <v>0.14667740142787106</v>
      </c>
      <c r="Q789" s="75">
        <f>IF(P789&gt;0,1/P789,NA())</f>
        <v>6.817682821383717</v>
      </c>
      <c r="R789" s="75">
        <f>F789-F788</f>
        <v>0.017600427350426884</v>
      </c>
      <c r="S789" s="75">
        <f>0.5*(Q788+Q789)*R789</f>
        <v>0.11988588356768408</v>
      </c>
      <c r="T789" s="75">
        <f>0.5*(F788*Q788+F789*Q789)*R789</f>
        <v>2.6245418190835363</v>
      </c>
      <c r="U789" s="76">
        <f>U788+S789</f>
        <v>70.4028706437361</v>
      </c>
      <c r="V789" s="76">
        <f>V788+T789</f>
        <v>1079.4608502398776</v>
      </c>
    </row>
    <row r="790" spans="1:22" ht="19" customHeight="1">
      <c r="A790" s="68" t="s">
        <v>362</v>
      </c>
      <c r="B790" s="74">
        <v>5</v>
      </c>
      <c r="C790" s="68" t="s">
        <v>363</v>
      </c>
      <c r="D790" s="68" t="s">
        <v>364</v>
      </c>
      <c r="E790" s="75">
        <f>60*F790*'THAM_SO_MOI'!$C$53/(2*PI()*'THAM_SO_MOI'!$C$26)</f>
        <v>2159.5385263157887</v>
      </c>
      <c r="F790" s="75">
        <f>'THAM_SO_MOI'!$E$53+('THAM_SO_MOI'!$C$14-'THAM_SO_MOI'!$E$53)*784/'THAM_SO_MOI'!$C$42</f>
        <v>21.918393162393162</v>
      </c>
      <c r="G790" s="75">
        <f>3.6*F790</f>
        <v>78.90621538461538</v>
      </c>
      <c r="H790" s="75">
        <f>'THAM_SO_MOI'!$D$53</f>
        <v>1.1</v>
      </c>
      <c r="I790" s="75">
        <f>IF(F790&gt;'THAM_SO_MOI'!$C$14,'THAM_SO_MOI'!$C$13*(1+F790^2/1500),'THAM_SO_MOI'!$C$13)</f>
        <v>0.015</v>
      </c>
      <c r="J790" s="75">
        <f>'THAM_SO_MOI'!$C$40*('THAM_SO_MOI'!$C$23*(E790/'THAM_SO_MOI'!$C$22)+'THAM_SO_MOI'!$C$24*(E790/'THAM_SO_MOI'!$C$22)^2-'THAM_SO_MOI'!$C$25*(E790/'THAM_SO_MOI'!$C$22)^3)</f>
        <v>97.25329461051368</v>
      </c>
      <c r="K790" s="75">
        <f>'THAM_SO_MOI'!$C$31*J790/E790</f>
        <v>430.12697987392363</v>
      </c>
      <c r="L790" s="75">
        <f>K790*'THAM_SO_MOI'!$C$53*'THAM_SO_MOI'!$C$17/'THAM_SO_MOI'!$C$26</f>
        <v>3772.2152965676582</v>
      </c>
      <c r="M790" s="75">
        <f>'THAM_SO_MOI'!$C$15*'THAM_SO_MOI'!$C$16*F790^2</f>
        <v>1405.2166795521368</v>
      </c>
      <c r="N790" s="75">
        <f>'THAM_SO_MOI'!$C$12*I790</f>
        <v>1130.112</v>
      </c>
      <c r="O790" s="75">
        <f>M790+N790</f>
        <v>2535.328679552137</v>
      </c>
      <c r="P790" s="75">
        <f>(MIN(L790,'THAM_SO_MOI'!$C$41)-O790)/('THAM_SO_MOI'!$C$11*H790)</f>
        <v>0.14641176811263276</v>
      </c>
      <c r="Q790" s="75">
        <f>IF(P790&gt;0,1/P790,NA())</f>
        <v>6.830052070887583</v>
      </c>
      <c r="R790" s="75">
        <f>F790-F789</f>
        <v>0.017600427350426884</v>
      </c>
      <c r="S790" s="75">
        <f>0.5*(Q789+Q790)*R790</f>
        <v>0.12010298323465354</v>
      </c>
      <c r="T790" s="75">
        <f>0.5*(F789*Q789+F790*Q790)*R790</f>
        <v>2.6314084325191542</v>
      </c>
      <c r="U790" s="76">
        <f>U789+S790</f>
        <v>70.52297362697075</v>
      </c>
      <c r="V790" s="76">
        <f>V789+T790</f>
        <v>1082.0922586723968</v>
      </c>
    </row>
    <row r="791" spans="1:22" ht="19" customHeight="1">
      <c r="A791" s="68" t="s">
        <v>362</v>
      </c>
      <c r="B791" s="74">
        <v>5</v>
      </c>
      <c r="C791" s="68" t="s">
        <v>363</v>
      </c>
      <c r="D791" s="68" t="s">
        <v>364</v>
      </c>
      <c r="E791" s="75">
        <f>60*F791*'THAM_SO_MOI'!$C$53/(2*PI()*'THAM_SO_MOI'!$C$26)</f>
        <v>2161.272631578947</v>
      </c>
      <c r="F791" s="75">
        <f>'THAM_SO_MOI'!$E$53+('THAM_SO_MOI'!$C$14-'THAM_SO_MOI'!$E$53)*785/'THAM_SO_MOI'!$C$42</f>
        <v>21.93599358974359</v>
      </c>
      <c r="G791" s="75">
        <f>3.6*F791</f>
        <v>78.96957692307693</v>
      </c>
      <c r="H791" s="75">
        <f>'THAM_SO_MOI'!$D$53</f>
        <v>1.1</v>
      </c>
      <c r="I791" s="75">
        <f>IF(F791&gt;'THAM_SO_MOI'!$C$14,'THAM_SO_MOI'!$C$13*(1+F791^2/1500),'THAM_SO_MOI'!$C$13)</f>
        <v>0.015</v>
      </c>
      <c r="J791" s="75">
        <f>'THAM_SO_MOI'!$C$40*('THAM_SO_MOI'!$C$23*(E791/'THAM_SO_MOI'!$C$22)+'THAM_SO_MOI'!$C$24*(E791/'THAM_SO_MOI'!$C$22)^2-'THAM_SO_MOI'!$C$25*(E791/'THAM_SO_MOI'!$C$22)^3)</f>
        <v>97.33162717081325</v>
      </c>
      <c r="K791" s="75">
        <f>'THAM_SO_MOI'!$C$31*J791/E791</f>
        <v>430.12803320233337</v>
      </c>
      <c r="L791" s="75">
        <f>K791*'THAM_SO_MOI'!$C$53*'THAM_SO_MOI'!$C$17/'THAM_SO_MOI'!$C$26</f>
        <v>3772.2245342619326</v>
      </c>
      <c r="M791" s="75">
        <f>'THAM_SO_MOI'!$C$15*'THAM_SO_MOI'!$C$16*F791^2</f>
        <v>1407.4743582001204</v>
      </c>
      <c r="N791" s="75">
        <f>'THAM_SO_MOI'!$C$12*I791</f>
        <v>1130.112</v>
      </c>
      <c r="O791" s="75">
        <f>M791+N791</f>
        <v>2537.5863582001202</v>
      </c>
      <c r="P791" s="75">
        <f>(MIN(L791,'THAM_SO_MOI'!$C$41)-O791)/('THAM_SO_MOI'!$C$11*H791)</f>
        <v>0.14614561743155924</v>
      </c>
      <c r="Q791" s="75">
        <f>IF(P791&gt;0,1/P791,NA())</f>
        <v>6.842490507580942</v>
      </c>
      <c r="R791" s="75">
        <f>F791-F790</f>
        <v>0.017600427350426884</v>
      </c>
      <c r="S791" s="75">
        <f>0.5*(Q790+Q791)*R791</f>
        <v>0.12032129617397679</v>
      </c>
      <c r="T791" s="75">
        <f>0.5*(F790*Q790+F791*Q791)*R791</f>
        <v>2.6383092917453</v>
      </c>
      <c r="U791" s="76">
        <f>U790+S791</f>
        <v>70.64329492314474</v>
      </c>
      <c r="V791" s="76">
        <f>V790+T791</f>
        <v>1084.7305679641422</v>
      </c>
    </row>
    <row r="792" spans="1:22" ht="19" customHeight="1">
      <c r="A792" s="68" t="s">
        <v>362</v>
      </c>
      <c r="B792" s="74">
        <v>5</v>
      </c>
      <c r="C792" s="68" t="s">
        <v>363</v>
      </c>
      <c r="D792" s="68" t="s">
        <v>364</v>
      </c>
      <c r="E792" s="75">
        <f>60*F792*'THAM_SO_MOI'!$C$53/(2*PI()*'THAM_SO_MOI'!$C$26)</f>
        <v>2163.0067368421046</v>
      </c>
      <c r="F792" s="75">
        <f>'THAM_SO_MOI'!$E$53+('THAM_SO_MOI'!$C$14-'THAM_SO_MOI'!$E$53)*786/'THAM_SO_MOI'!$C$42</f>
        <v>21.953594017094016</v>
      </c>
      <c r="G792" s="75">
        <f>3.6*F792</f>
        <v>79.03293846153846</v>
      </c>
      <c r="H792" s="75">
        <f>'THAM_SO_MOI'!$D$53</f>
        <v>1.1</v>
      </c>
      <c r="I792" s="75">
        <f>IF(F792&gt;'THAM_SO_MOI'!$C$14,'THAM_SO_MOI'!$C$13*(1+F792^2/1500),'THAM_SO_MOI'!$C$13)</f>
        <v>0.015</v>
      </c>
      <c r="J792" s="75">
        <f>'THAM_SO_MOI'!$C$40*('THAM_SO_MOI'!$C$23*(E792/'THAM_SO_MOI'!$C$22)+'THAM_SO_MOI'!$C$24*(E792/'THAM_SO_MOI'!$C$22)^2-'THAM_SO_MOI'!$C$25*(E792/'THAM_SO_MOI'!$C$22)^3)</f>
        <v>97.40989404516414</v>
      </c>
      <c r="K792" s="75">
        <f>'THAM_SO_MOI'!$C$31*J792/E792</f>
        <v>430.12879479511804</v>
      </c>
      <c r="L792" s="75">
        <f>K792*'THAM_SO_MOI'!$C$53*'THAM_SO_MOI'!$C$17/'THAM_SO_MOI'!$C$26</f>
        <v>3772.231213433635</v>
      </c>
      <c r="M792" s="75">
        <f>'THAM_SO_MOI'!$C$15*'THAM_SO_MOI'!$C$16*F792^2</f>
        <v>1409.7338490321047</v>
      </c>
      <c r="N792" s="75">
        <f>'THAM_SO_MOI'!$C$12*I792</f>
        <v>1130.112</v>
      </c>
      <c r="O792" s="75">
        <f>M792+N792</f>
        <v>2539.8458490321045</v>
      </c>
      <c r="P792" s="75">
        <f>(MIN(L792,'THAM_SO_MOI'!$C$41)-O792)/('THAM_SO_MOI'!$C$11*H792)</f>
        <v>0.1458789493846508</v>
      </c>
      <c r="Q792" s="75">
        <f>IF(P792&gt;0,1/P792,NA())</f>
        <v>6.854998642492409</v>
      </c>
      <c r="R792" s="75">
        <f>F792-F791</f>
        <v>0.017600427350426884</v>
      </c>
      <c r="S792" s="75">
        <f>0.5*(Q791+Q792)*R792</f>
        <v>0.12054083133456325</v>
      </c>
      <c r="T792" s="75">
        <f>0.5*(F791*Q791+F792*Q792)*R792</f>
        <v>2.6452446572066814</v>
      </c>
      <c r="U792" s="76">
        <f>U791+S792</f>
        <v>70.7638357544793</v>
      </c>
      <c r="V792" s="76">
        <f>V791+T792</f>
        <v>1087.3758126213488</v>
      </c>
    </row>
    <row r="793" spans="1:22" ht="19" customHeight="1">
      <c r="A793" s="68" t="s">
        <v>362</v>
      </c>
      <c r="B793" s="74">
        <v>5</v>
      </c>
      <c r="C793" s="68" t="s">
        <v>363</v>
      </c>
      <c r="D793" s="68" t="s">
        <v>364</v>
      </c>
      <c r="E793" s="75">
        <f>60*F793*'THAM_SO_MOI'!$C$53/(2*PI()*'THAM_SO_MOI'!$C$26)</f>
        <v>2164.7408421052623</v>
      </c>
      <c r="F793" s="75">
        <f>'THAM_SO_MOI'!$E$53+('THAM_SO_MOI'!$C$14-'THAM_SO_MOI'!$E$53)*787/'THAM_SO_MOI'!$C$42</f>
        <v>21.971194444444443</v>
      </c>
      <c r="G793" s="75">
        <f>3.6*F793</f>
        <v>79.0963</v>
      </c>
      <c r="H793" s="75">
        <f>'THAM_SO_MOI'!$D$53</f>
        <v>1.1</v>
      </c>
      <c r="I793" s="75">
        <f>IF(F793&gt;'THAM_SO_MOI'!$C$14,'THAM_SO_MOI'!$C$13*(1+F793^2/1500),'THAM_SO_MOI'!$C$13)</f>
        <v>0.015</v>
      </c>
      <c r="J793" s="75">
        <f>'THAM_SO_MOI'!$C$40*('THAM_SO_MOI'!$C$23*(E793/'THAM_SO_MOI'!$C$22)+'THAM_SO_MOI'!$C$24*(E793/'THAM_SO_MOI'!$C$22)^2-'THAM_SO_MOI'!$C$25*(E793/'THAM_SO_MOI'!$C$22)^3)</f>
        <v>97.48809507466311</v>
      </c>
      <c r="K793" s="75">
        <f>'THAM_SO_MOI'!$C$31*J793/E793</f>
        <v>430.12926465227787</v>
      </c>
      <c r="L793" s="75">
        <f>K793*'THAM_SO_MOI'!$C$53*'THAM_SO_MOI'!$C$17/'THAM_SO_MOI'!$C$26</f>
        <v>3772.235334082765</v>
      </c>
      <c r="M793" s="75">
        <f>'THAM_SO_MOI'!$C$15*'THAM_SO_MOI'!$C$16*F793^2</f>
        <v>1411.9951520480902</v>
      </c>
      <c r="N793" s="75">
        <f>'THAM_SO_MOI'!$C$12*I793</f>
        <v>1130.112</v>
      </c>
      <c r="O793" s="75">
        <f>M793+N793</f>
        <v>2542.10715204809</v>
      </c>
      <c r="P793" s="75">
        <f>(MIN(L793,'THAM_SO_MOI'!$C$41)-O793)/('THAM_SO_MOI'!$C$11*H793)</f>
        <v>0.14561176397190753</v>
      </c>
      <c r="Q793" s="75">
        <f>IF(P793&gt;0,1/P793,NA())</f>
        <v>6.867576991876337</v>
      </c>
      <c r="R793" s="75">
        <f>F793-F792</f>
        <v>0.017600427350426884</v>
      </c>
      <c r="S793" s="75">
        <f>0.5*(Q792+Q793)*R793</f>
        <v>0.1207615977567226</v>
      </c>
      <c r="T793" s="75">
        <f>0.5*(F792*Q792+F793*Q793)*R793</f>
        <v>2.652214791985399</v>
      </c>
      <c r="U793" s="76">
        <f>U792+S793</f>
        <v>70.88459735223603</v>
      </c>
      <c r="V793" s="76">
        <f>V792+T793</f>
        <v>1090.0280274133343</v>
      </c>
    </row>
    <row r="794" spans="1:22" ht="19" customHeight="1">
      <c r="A794" s="68" t="s">
        <v>362</v>
      </c>
      <c r="B794" s="74">
        <v>5</v>
      </c>
      <c r="C794" s="68" t="s">
        <v>363</v>
      </c>
      <c r="D794" s="68" t="s">
        <v>364</v>
      </c>
      <c r="E794" s="75">
        <f>60*F794*'THAM_SO_MOI'!$C$53/(2*PI()*'THAM_SO_MOI'!$C$26)</f>
        <v>2166.474947368421</v>
      </c>
      <c r="F794" s="75">
        <f>'THAM_SO_MOI'!$E$53+('THAM_SO_MOI'!$C$14-'THAM_SO_MOI'!$E$53)*788/'THAM_SO_MOI'!$C$42</f>
        <v>21.988794871794873</v>
      </c>
      <c r="G794" s="75">
        <f>3.6*F794</f>
        <v>79.15966153846155</v>
      </c>
      <c r="H794" s="75">
        <f>'THAM_SO_MOI'!$D$53</f>
        <v>1.1</v>
      </c>
      <c r="I794" s="75">
        <f>IF(F794&gt;'THAM_SO_MOI'!$C$14,'THAM_SO_MOI'!$C$13*(1+F794^2/1500),'THAM_SO_MOI'!$C$13)</f>
        <v>0.015</v>
      </c>
      <c r="J794" s="75">
        <f>'THAM_SO_MOI'!$C$40*('THAM_SO_MOI'!$C$23*(E794/'THAM_SO_MOI'!$C$22)+'THAM_SO_MOI'!$C$24*(E794/'THAM_SO_MOI'!$C$22)^2-'THAM_SO_MOI'!$C$25*(E794/'THAM_SO_MOI'!$C$22)^3)</f>
        <v>97.56623010040683</v>
      </c>
      <c r="K794" s="75">
        <f>'THAM_SO_MOI'!$C$31*J794/E794</f>
        <v>430.1294427738123</v>
      </c>
      <c r="L794" s="75">
        <f>K794*'THAM_SO_MOI'!$C$53*'THAM_SO_MOI'!$C$17/'THAM_SO_MOI'!$C$26</f>
        <v>3772.2368962093187</v>
      </c>
      <c r="M794" s="75">
        <f>'THAM_SO_MOI'!$C$15*'THAM_SO_MOI'!$C$16*F794^2</f>
        <v>1414.2582672480771</v>
      </c>
      <c r="N794" s="75">
        <f>'THAM_SO_MOI'!$C$12*I794</f>
        <v>1130.112</v>
      </c>
      <c r="O794" s="75">
        <f>M794+N794</f>
        <v>2544.370267248077</v>
      </c>
      <c r="P794" s="75">
        <f>(MIN(L794,'THAM_SO_MOI'!$C$41)-O794)/('THAM_SO_MOI'!$C$11*H794)</f>
        <v>0.14534406119332877</v>
      </c>
      <c r="Q794" s="75">
        <f>IF(P794&gt;0,1/P794,NA())</f>
        <v>6.88022607727917</v>
      </c>
      <c r="R794" s="75">
        <f>F794-F793</f>
        <v>0.017600427350430436</v>
      </c>
      <c r="S794" s="75">
        <f>0.5*(Q793+Q794)*R794</f>
        <v>0.12098360457334804</v>
      </c>
      <c r="T794" s="75">
        <f>0.5*(F793*Q793+F794*Q794)*R794</f>
        <v>2.659219961834994</v>
      </c>
      <c r="U794" s="76">
        <f>U793+S794</f>
        <v>71.00558095680938</v>
      </c>
      <c r="V794" s="76">
        <f>V793+T794</f>
        <v>1092.6872473751694</v>
      </c>
    </row>
    <row r="795" spans="1:22" ht="19" customHeight="1">
      <c r="A795" s="68" t="s">
        <v>362</v>
      </c>
      <c r="B795" s="74">
        <v>5</v>
      </c>
      <c r="C795" s="68" t="s">
        <v>363</v>
      </c>
      <c r="D795" s="68" t="s">
        <v>364</v>
      </c>
      <c r="E795" s="75">
        <f>60*F795*'THAM_SO_MOI'!$C$53/(2*PI()*'THAM_SO_MOI'!$C$26)</f>
        <v>2168.209052631578</v>
      </c>
      <c r="F795" s="75">
        <f>'THAM_SO_MOI'!$E$53+('THAM_SO_MOI'!$C$14-'THAM_SO_MOI'!$E$53)*789/'THAM_SO_MOI'!$C$42</f>
        <v>22.006395299145296</v>
      </c>
      <c r="G795" s="75">
        <f>3.6*F795</f>
        <v>79.22302307692307</v>
      </c>
      <c r="H795" s="75">
        <f>'THAM_SO_MOI'!$D$53</f>
        <v>1.1</v>
      </c>
      <c r="I795" s="75">
        <f>IF(F795&gt;'THAM_SO_MOI'!$C$14,'THAM_SO_MOI'!$C$13*(1+F795^2/1500),'THAM_SO_MOI'!$C$13)</f>
        <v>0.015</v>
      </c>
      <c r="J795" s="75">
        <f>'THAM_SO_MOI'!$C$40*('THAM_SO_MOI'!$C$23*(E795/'THAM_SO_MOI'!$C$22)+'THAM_SO_MOI'!$C$24*(E795/'THAM_SO_MOI'!$C$22)^2-'THAM_SO_MOI'!$C$25*(E795/'THAM_SO_MOI'!$C$22)^3)</f>
        <v>97.64429896349203</v>
      </c>
      <c r="K795" s="75">
        <f>'THAM_SO_MOI'!$C$31*J795/E795</f>
        <v>430.129329159722</v>
      </c>
      <c r="L795" s="75">
        <f>K795*'THAM_SO_MOI'!$C$53*'THAM_SO_MOI'!$C$17/'THAM_SO_MOI'!$C$26</f>
        <v>3772.2358998133022</v>
      </c>
      <c r="M795" s="75">
        <f>'THAM_SO_MOI'!$C$15*'THAM_SO_MOI'!$C$16*F795^2</f>
        <v>1416.5231946320646</v>
      </c>
      <c r="N795" s="75">
        <f>'THAM_SO_MOI'!$C$12*I795</f>
        <v>1130.112</v>
      </c>
      <c r="O795" s="75">
        <f>M795+N795</f>
        <v>2546.6351946320647</v>
      </c>
      <c r="P795" s="75">
        <f>(MIN(L795,'THAM_SO_MOI'!$C$41)-O795)/('THAM_SO_MOI'!$C$11*H795)</f>
        <v>0.14507584104891544</v>
      </c>
      <c r="Q795" s="75">
        <f>IF(P795&gt;0,1/P795,NA())</f>
        <v>6.892946425606649</v>
      </c>
      <c r="R795" s="75">
        <f>F795-F794</f>
        <v>0.01760042735042333</v>
      </c>
      <c r="S795" s="75">
        <f>0.5*(Q794+Q795)*R795</f>
        <v>0.12120686101094506</v>
      </c>
      <c r="T795" s="75">
        <f>0.5*(F794*Q794+F795*Q795)*R795</f>
        <v>2.666260435211233</v>
      </c>
      <c r="U795" s="76">
        <f>U794+S795</f>
        <v>71.12678781782033</v>
      </c>
      <c r="V795" s="76">
        <f>V794+T795</f>
        <v>1095.3535078103805</v>
      </c>
    </row>
    <row r="796" spans="1:22" ht="19" customHeight="1">
      <c r="A796" s="68" t="s">
        <v>362</v>
      </c>
      <c r="B796" s="74">
        <v>5</v>
      </c>
      <c r="C796" s="68" t="s">
        <v>363</v>
      </c>
      <c r="D796" s="68" t="s">
        <v>364</v>
      </c>
      <c r="E796" s="75">
        <f>60*F796*'THAM_SO_MOI'!$C$53/(2*PI()*'THAM_SO_MOI'!$C$26)</f>
        <v>2169.9431578947365</v>
      </c>
      <c r="F796" s="75">
        <f>'THAM_SO_MOI'!$E$53+('THAM_SO_MOI'!$C$14-'THAM_SO_MOI'!$E$53)*790/'THAM_SO_MOI'!$C$42</f>
        <v>22.023995726495727</v>
      </c>
      <c r="G796" s="75">
        <f>3.6*F796</f>
        <v>79.28638461538462</v>
      </c>
      <c r="H796" s="75">
        <f>'THAM_SO_MOI'!$D$53</f>
        <v>1.1</v>
      </c>
      <c r="I796" s="75">
        <f>IF(F796&gt;'THAM_SO_MOI'!$C$14,'THAM_SO_MOI'!$C$13*(1+F796^2/1500),'THAM_SO_MOI'!$C$13)</f>
        <v>0.015</v>
      </c>
      <c r="J796" s="75">
        <f>'THAM_SO_MOI'!$C$40*('THAM_SO_MOI'!$C$23*(E796/'THAM_SO_MOI'!$C$22)+'THAM_SO_MOI'!$C$24*(E796/'THAM_SO_MOI'!$C$22)^2-'THAM_SO_MOI'!$C$25*(E796/'THAM_SO_MOI'!$C$22)^3)</f>
        <v>97.72230150501552</v>
      </c>
      <c r="K796" s="75">
        <f>'THAM_SO_MOI'!$C$31*J796/E796</f>
        <v>430.1289238100066</v>
      </c>
      <c r="L796" s="75">
        <f>K796*'THAM_SO_MOI'!$C$53*'THAM_SO_MOI'!$C$17/'THAM_SO_MOI'!$C$26</f>
        <v>3772.2323448947122</v>
      </c>
      <c r="M796" s="75">
        <f>'THAM_SO_MOI'!$C$15*'THAM_SO_MOI'!$C$16*F796^2</f>
        <v>1418.7899342000537</v>
      </c>
      <c r="N796" s="75">
        <f>'THAM_SO_MOI'!$C$12*I796</f>
        <v>1130.112</v>
      </c>
      <c r="O796" s="75">
        <f>M796+N796</f>
        <v>2548.901934200054</v>
      </c>
      <c r="P796" s="75">
        <f>(MIN(L796,'THAM_SO_MOI'!$C$41)-O796)/('THAM_SO_MOI'!$C$11*H796)</f>
        <v>0.14480710353866696</v>
      </c>
      <c r="Q796" s="75">
        <f>IF(P796&gt;0,1/P796,NA())</f>
        <v>6.905738569192333</v>
      </c>
      <c r="R796" s="75">
        <f>F796-F795</f>
        <v>0.017600427350430436</v>
      </c>
      <c r="S796" s="75">
        <f>0.5*(Q795+Q796)*R796</f>
        <v>0.12143137639121704</v>
      </c>
      <c r="T796" s="75">
        <f>0.5*(F795*Q795+F796*Q796)*R796</f>
        <v>2.673336483315247</v>
      </c>
      <c r="U796" s="76">
        <f>U795+S796</f>
        <v>71.24821919421154</v>
      </c>
      <c r="V796" s="76">
        <f>V795+T796</f>
        <v>1098.0268442936958</v>
      </c>
    </row>
    <row r="797" spans="1:22" ht="19" customHeight="1">
      <c r="A797" s="68" t="s">
        <v>362</v>
      </c>
      <c r="B797" s="74">
        <v>5</v>
      </c>
      <c r="C797" s="68" t="s">
        <v>363</v>
      </c>
      <c r="D797" s="68" t="s">
        <v>364</v>
      </c>
      <c r="E797" s="75">
        <f>60*F797*'THAM_SO_MOI'!$C$53/(2*PI()*'THAM_SO_MOI'!$C$26)</f>
        <v>2171.6772631578942</v>
      </c>
      <c r="F797" s="75">
        <f>'THAM_SO_MOI'!$E$53+('THAM_SO_MOI'!$C$14-'THAM_SO_MOI'!$E$53)*791/'THAM_SO_MOI'!$C$42</f>
        <v>22.041596153846154</v>
      </c>
      <c r="G797" s="75">
        <f>3.6*F797</f>
        <v>79.34974615384616</v>
      </c>
      <c r="H797" s="75">
        <f>'THAM_SO_MOI'!$D$53</f>
        <v>1.1</v>
      </c>
      <c r="I797" s="75">
        <f>IF(F797&gt;'THAM_SO_MOI'!$C$14,'THAM_SO_MOI'!$C$13*(1+F797^2/1500),'THAM_SO_MOI'!$C$13)</f>
        <v>0.015</v>
      </c>
      <c r="J797" s="75">
        <f>'THAM_SO_MOI'!$C$40*('THAM_SO_MOI'!$C$23*(E797/'THAM_SO_MOI'!$C$22)+'THAM_SO_MOI'!$C$24*(E797/'THAM_SO_MOI'!$C$22)^2-'THAM_SO_MOI'!$C$25*(E797/'THAM_SO_MOI'!$C$22)^3)</f>
        <v>97.8002375660739</v>
      </c>
      <c r="K797" s="75">
        <f>'THAM_SO_MOI'!$C$31*J797/E797</f>
        <v>430.12822672466615</v>
      </c>
      <c r="L797" s="75">
        <f>K797*'THAM_SO_MOI'!$C$53*'THAM_SO_MOI'!$C$17/'THAM_SO_MOI'!$C$26</f>
        <v>3772.226231453549</v>
      </c>
      <c r="M797" s="75">
        <f>'THAM_SO_MOI'!$C$15*'THAM_SO_MOI'!$C$16*F797^2</f>
        <v>1421.0584859520434</v>
      </c>
      <c r="N797" s="75">
        <f>'THAM_SO_MOI'!$C$12*I797</f>
        <v>1130.112</v>
      </c>
      <c r="O797" s="75">
        <f>M797+N797</f>
        <v>2551.1704859520432</v>
      </c>
      <c r="P797" s="75">
        <f>(MIN(L797,'THAM_SO_MOI'!$C$41)-O797)/('THAM_SO_MOI'!$C$11*H797)</f>
        <v>0.14453784866258357</v>
      </c>
      <c r="Q797" s="75">
        <f>IF(P797&gt;0,1/P797,NA())</f>
        <v>6.918603045866902</v>
      </c>
      <c r="R797" s="75">
        <f>F797-F796</f>
        <v>0.017600427350426884</v>
      </c>
      <c r="S797" s="75">
        <f>0.5*(Q796+Q797)*R797</f>
        <v>0.12165716013166657</v>
      </c>
      <c r="T797" s="75">
        <f>0.5*(F796*Q796+F797*Q797)*R797</f>
        <v>2.680448380115162</v>
      </c>
      <c r="U797" s="76">
        <f>U796+S797</f>
        <v>71.3698763543432</v>
      </c>
      <c r="V797" s="76">
        <f>V796+T797</f>
        <v>1100.707292673811</v>
      </c>
    </row>
    <row r="798" spans="1:22" ht="19" customHeight="1">
      <c r="A798" s="68" t="s">
        <v>362</v>
      </c>
      <c r="B798" s="74">
        <v>5</v>
      </c>
      <c r="C798" s="68" t="s">
        <v>363</v>
      </c>
      <c r="D798" s="68" t="s">
        <v>364</v>
      </c>
      <c r="E798" s="75">
        <f>60*F798*'THAM_SO_MOI'!$C$53/(2*PI()*'THAM_SO_MOI'!$C$26)</f>
        <v>2173.411368421052</v>
      </c>
      <c r="F798" s="75">
        <f>'THAM_SO_MOI'!$E$53+('THAM_SO_MOI'!$C$14-'THAM_SO_MOI'!$E$53)*792/'THAM_SO_MOI'!$C$42</f>
        <v>22.05919658119658</v>
      </c>
      <c r="G798" s="75">
        <f>3.6*F798</f>
        <v>79.41310769230769</v>
      </c>
      <c r="H798" s="75">
        <f>'THAM_SO_MOI'!$D$53</f>
        <v>1.1</v>
      </c>
      <c r="I798" s="75">
        <f>IF(F798&gt;'THAM_SO_MOI'!$C$14,'THAM_SO_MOI'!$C$13*(1+F798^2/1500),'THAM_SO_MOI'!$C$13)</f>
        <v>0.015</v>
      </c>
      <c r="J798" s="75">
        <f>'THAM_SO_MOI'!$C$40*('THAM_SO_MOI'!$C$23*(E798/'THAM_SO_MOI'!$C$22)+'THAM_SO_MOI'!$C$24*(E798/'THAM_SO_MOI'!$C$22)^2-'THAM_SO_MOI'!$C$25*(E798/'THAM_SO_MOI'!$C$22)^3)</f>
        <v>97.87810698776394</v>
      </c>
      <c r="K798" s="75">
        <f>'THAM_SO_MOI'!$C$31*J798/E798</f>
        <v>430.12723790370063</v>
      </c>
      <c r="L798" s="75">
        <f>K798*'THAM_SO_MOI'!$C$53*'THAM_SO_MOI'!$C$17/'THAM_SO_MOI'!$C$26</f>
        <v>3772.217559489812</v>
      </c>
      <c r="M798" s="75">
        <f>'THAM_SO_MOI'!$C$15*'THAM_SO_MOI'!$C$16*F798^2</f>
        <v>1423.3288498880343</v>
      </c>
      <c r="N798" s="75">
        <f>'THAM_SO_MOI'!$C$12*I798</f>
        <v>1130.112</v>
      </c>
      <c r="O798" s="75">
        <f>M798+N798</f>
        <v>2553.4408498880343</v>
      </c>
      <c r="P798" s="75">
        <f>(MIN(L798,'THAM_SO_MOI'!$C$41)-O798)/('THAM_SO_MOI'!$C$11*H798)</f>
        <v>0.144268076420665</v>
      </c>
      <c r="Q798" s="75">
        <f>IF(P798&gt;0,1/P798,NA())</f>
        <v>6.931540399028705</v>
      </c>
      <c r="R798" s="75">
        <f>F798-F797</f>
        <v>0.017600427350426884</v>
      </c>
      <c r="S798" s="75">
        <f>0.5*(Q797+Q798)*R798</f>
        <v>0.12188422174743814</v>
      </c>
      <c r="T798" s="75">
        <f>0.5*(F797*Q797+F798*Q798)*R798</f>
        <v>2.6875964023951613</v>
      </c>
      <c r="U798" s="76">
        <f>U797+S798</f>
        <v>71.49176057609064</v>
      </c>
      <c r="V798" s="76">
        <f>V797+T798</f>
        <v>1103.3948890762063</v>
      </c>
    </row>
    <row r="799" spans="1:22" ht="19" customHeight="1">
      <c r="A799" s="68" t="s">
        <v>362</v>
      </c>
      <c r="B799" s="74">
        <v>5</v>
      </c>
      <c r="C799" s="68" t="s">
        <v>363</v>
      </c>
      <c r="D799" s="68" t="s">
        <v>364</v>
      </c>
      <c r="E799" s="75">
        <f>60*F799*'THAM_SO_MOI'!$C$53/(2*PI()*'THAM_SO_MOI'!$C$26)</f>
        <v>2175.1454736842097</v>
      </c>
      <c r="F799" s="75">
        <f>'THAM_SO_MOI'!$E$53+('THAM_SO_MOI'!$C$14-'THAM_SO_MOI'!$E$53)*793/'THAM_SO_MOI'!$C$42</f>
        <v>22.076797008547008</v>
      </c>
      <c r="G799" s="75">
        <f>3.6*F799</f>
        <v>79.47646923076923</v>
      </c>
      <c r="H799" s="75">
        <f>'THAM_SO_MOI'!$D$53</f>
        <v>1.1</v>
      </c>
      <c r="I799" s="75">
        <f>IF(F799&gt;'THAM_SO_MOI'!$C$14,'THAM_SO_MOI'!$C$13*(1+F799^2/1500),'THAM_SO_MOI'!$C$13)</f>
        <v>0.015</v>
      </c>
      <c r="J799" s="75">
        <f>'THAM_SO_MOI'!$C$40*('THAM_SO_MOI'!$C$23*(E799/'THAM_SO_MOI'!$C$22)+'THAM_SO_MOI'!$C$24*(E799/'THAM_SO_MOI'!$C$22)^2-'THAM_SO_MOI'!$C$25*(E799/'THAM_SO_MOI'!$C$22)^3)</f>
        <v>97.95590961118236</v>
      </c>
      <c r="K799" s="75">
        <f>'THAM_SO_MOI'!$C$31*J799/E799</f>
        <v>430.12595734711016</v>
      </c>
      <c r="L799" s="75">
        <f>K799*'THAM_SO_MOI'!$C$53*'THAM_SO_MOI'!$C$17/'THAM_SO_MOI'!$C$26</f>
        <v>3772.206329003503</v>
      </c>
      <c r="M799" s="75">
        <f>'THAM_SO_MOI'!$C$15*'THAM_SO_MOI'!$C$16*F799^2</f>
        <v>1425.601026008026</v>
      </c>
      <c r="N799" s="75">
        <f>'THAM_SO_MOI'!$C$12*I799</f>
        <v>1130.112</v>
      </c>
      <c r="O799" s="75">
        <f>M799+N799</f>
        <v>2555.713026008026</v>
      </c>
      <c r="P799" s="75">
        <f>(MIN(L799,'THAM_SO_MOI'!$C$41)-O799)/('THAM_SO_MOI'!$C$11*H799)</f>
        <v>0.14399778681291156</v>
      </c>
      <c r="Q799" s="75">
        <f>IF(P799&gt;0,1/P799,NA())</f>
        <v>6.944551177715288</v>
      </c>
      <c r="R799" s="75">
        <f>F799-F798</f>
        <v>0.017600427350426884</v>
      </c>
      <c r="S799" s="75">
        <f>0.5*(Q798+Q799)*R799</f>
        <v>0.12211257085217654</v>
      </c>
      <c r="T799" s="75">
        <f>0.5*(F798*Q798+F799*Q799)*R799</f>
        <v>2.6947808297830185</v>
      </c>
      <c r="U799" s="76">
        <f>U798+S799</f>
        <v>71.61387314694282</v>
      </c>
      <c r="V799" s="76">
        <f>V798+T799</f>
        <v>1106.0896699059892</v>
      </c>
    </row>
    <row r="800" spans="1:22" ht="19" customHeight="1">
      <c r="A800" s="68" t="s">
        <v>362</v>
      </c>
      <c r="B800" s="74">
        <v>5</v>
      </c>
      <c r="C800" s="68" t="s">
        <v>363</v>
      </c>
      <c r="D800" s="68" t="s">
        <v>364</v>
      </c>
      <c r="E800" s="75">
        <f>60*F800*'THAM_SO_MOI'!$C$53/(2*PI()*'THAM_SO_MOI'!$C$26)</f>
        <v>2176.8795789473675</v>
      </c>
      <c r="F800" s="75">
        <f>'THAM_SO_MOI'!$E$53+('THAM_SO_MOI'!$C$14-'THAM_SO_MOI'!$E$53)*794/'THAM_SO_MOI'!$C$42</f>
        <v>22.094397435897434</v>
      </c>
      <c r="G800" s="75">
        <f>3.6*F800</f>
        <v>79.53983076923076</v>
      </c>
      <c r="H800" s="75">
        <f>'THAM_SO_MOI'!$D$53</f>
        <v>1.1</v>
      </c>
      <c r="I800" s="75">
        <f>IF(F800&gt;'THAM_SO_MOI'!$C$14,'THAM_SO_MOI'!$C$13*(1+F800^2/1500),'THAM_SO_MOI'!$C$13)</f>
        <v>0.015</v>
      </c>
      <c r="J800" s="75">
        <f>'THAM_SO_MOI'!$C$40*('THAM_SO_MOI'!$C$23*(E800/'THAM_SO_MOI'!$C$22)+'THAM_SO_MOI'!$C$24*(E800/'THAM_SO_MOI'!$C$22)^2-'THAM_SO_MOI'!$C$25*(E800/'THAM_SO_MOI'!$C$22)^3)</f>
        <v>98.03364527742592</v>
      </c>
      <c r="K800" s="75">
        <f>'THAM_SO_MOI'!$C$31*J800/E800</f>
        <v>430.1243850548947</v>
      </c>
      <c r="L800" s="75">
        <f>K800*'THAM_SO_MOI'!$C$53*'THAM_SO_MOI'!$C$17/'THAM_SO_MOI'!$C$26</f>
        <v>3772.192539994621</v>
      </c>
      <c r="M800" s="75">
        <f>'THAM_SO_MOI'!$C$15*'THAM_SO_MOI'!$C$16*F800^2</f>
        <v>1427.8750143120192</v>
      </c>
      <c r="N800" s="75">
        <f>'THAM_SO_MOI'!$C$12*I800</f>
        <v>1130.112</v>
      </c>
      <c r="O800" s="75">
        <f>M800+N800</f>
        <v>2557.9870143120193</v>
      </c>
      <c r="P800" s="75">
        <f>(MIN(L800,'THAM_SO_MOI'!$C$41)-O800)/('THAM_SO_MOI'!$C$11*H800)</f>
        <v>0.1437269798393231</v>
      </c>
      <c r="Q800" s="75">
        <f>IF(P800&gt;0,1/P800,NA())</f>
        <v>6.95763593667613</v>
      </c>
      <c r="R800" s="75">
        <f>F800-F799</f>
        <v>0.017600427350426884</v>
      </c>
      <c r="S800" s="75">
        <f>0.5*(Q799+Q800)*R800</f>
        <v>0.12234221715944346</v>
      </c>
      <c r="T800" s="75">
        <f>0.5*(F799*Q799+F800*Q800)*R800</f>
        <v>2.7020019447900543</v>
      </c>
      <c r="U800" s="76">
        <f>U799+S800</f>
        <v>71.73621536410226</v>
      </c>
      <c r="V800" s="76">
        <f>V799+T800</f>
        <v>1108.7916718507793</v>
      </c>
    </row>
    <row r="801" spans="1:22" ht="19" customHeight="1">
      <c r="A801" s="68" t="s">
        <v>362</v>
      </c>
      <c r="B801" s="74">
        <v>5</v>
      </c>
      <c r="C801" s="68" t="s">
        <v>363</v>
      </c>
      <c r="D801" s="68" t="s">
        <v>364</v>
      </c>
      <c r="E801" s="75">
        <f>60*F801*'THAM_SO_MOI'!$C$53/(2*PI()*'THAM_SO_MOI'!$C$26)</f>
        <v>2178.613684210526</v>
      </c>
      <c r="F801" s="75">
        <f>'THAM_SO_MOI'!$E$53+('THAM_SO_MOI'!$C$14-'THAM_SO_MOI'!$E$53)*795/'THAM_SO_MOI'!$C$42</f>
        <v>22.111997863247865</v>
      </c>
      <c r="G801" s="75">
        <f>3.6*F801</f>
        <v>79.60319230769231</v>
      </c>
      <c r="H801" s="75">
        <f>'THAM_SO_MOI'!$D$53</f>
        <v>1.1</v>
      </c>
      <c r="I801" s="75">
        <f>IF(F801&gt;'THAM_SO_MOI'!$C$14,'THAM_SO_MOI'!$C$13*(1+F801^2/1500),'THAM_SO_MOI'!$C$13)</f>
        <v>0.015</v>
      </c>
      <c r="J801" s="75">
        <f>'THAM_SO_MOI'!$C$40*('THAM_SO_MOI'!$C$23*(E801/'THAM_SO_MOI'!$C$22)+'THAM_SO_MOI'!$C$24*(E801/'THAM_SO_MOI'!$C$22)^2-'THAM_SO_MOI'!$C$25*(E801/'THAM_SO_MOI'!$C$22)^3)</f>
        <v>98.11131382759129</v>
      </c>
      <c r="K801" s="75">
        <f>'THAM_SO_MOI'!$C$31*J801/E801</f>
        <v>430.12252102705395</v>
      </c>
      <c r="L801" s="75">
        <f>K801*'THAM_SO_MOI'!$C$53*'THAM_SO_MOI'!$C$17/'THAM_SO_MOI'!$C$26</f>
        <v>3772.1761924631637</v>
      </c>
      <c r="M801" s="75">
        <f>'THAM_SO_MOI'!$C$15*'THAM_SO_MOI'!$C$16*F801^2</f>
        <v>1430.1508148000137</v>
      </c>
      <c r="N801" s="75">
        <f>'THAM_SO_MOI'!$C$12*I801</f>
        <v>1130.112</v>
      </c>
      <c r="O801" s="75">
        <f>M801+N801</f>
        <v>2560.262814800014</v>
      </c>
      <c r="P801" s="75">
        <f>(MIN(L801,'THAM_SO_MOI'!$C$41)-O801)/('THAM_SO_MOI'!$C$11*H801)</f>
        <v>0.14345565549989936</v>
      </c>
      <c r="Q801" s="75">
        <f>IF(P801&gt;0,1/P801,NA())</f>
        <v>6.97079523644644</v>
      </c>
      <c r="R801" s="75">
        <f>F801-F800</f>
        <v>0.017600427350430436</v>
      </c>
      <c r="S801" s="75">
        <f>0.5*(Q800+Q801)*R801</f>
        <v>0.12257317048400719</v>
      </c>
      <c r="T801" s="75">
        <f>0.5*(F800*Q800+F801*Q801)*R801</f>
        <v>2.7092600328484377</v>
      </c>
      <c r="U801" s="76">
        <f>U800+S801</f>
        <v>71.85878853458627</v>
      </c>
      <c r="V801" s="76">
        <f>V800+T801</f>
        <v>1111.5009318836278</v>
      </c>
    </row>
    <row r="802" spans="1:22" ht="19" customHeight="1">
      <c r="A802" s="68" t="s">
        <v>362</v>
      </c>
      <c r="B802" s="74">
        <v>5</v>
      </c>
      <c r="C802" s="68" t="s">
        <v>363</v>
      </c>
      <c r="D802" s="68" t="s">
        <v>364</v>
      </c>
      <c r="E802" s="75">
        <f>60*F802*'THAM_SO_MOI'!$C$53/(2*PI()*'THAM_SO_MOI'!$C$26)</f>
        <v>2180.3477894736834</v>
      </c>
      <c r="F802" s="75">
        <f>'THAM_SO_MOI'!$E$53+('THAM_SO_MOI'!$C$14-'THAM_SO_MOI'!$E$53)*796/'THAM_SO_MOI'!$C$42</f>
        <v>22.129598290598288</v>
      </c>
      <c r="G802" s="75">
        <f>3.6*F802</f>
        <v>79.66655384615385</v>
      </c>
      <c r="H802" s="75">
        <f>'THAM_SO_MOI'!$D$53</f>
        <v>1.1</v>
      </c>
      <c r="I802" s="75">
        <f>IF(F802&gt;'THAM_SO_MOI'!$C$14,'THAM_SO_MOI'!$C$13*(1+F802^2/1500),'THAM_SO_MOI'!$C$13)</f>
        <v>0.015</v>
      </c>
      <c r="J802" s="75">
        <f>'THAM_SO_MOI'!$C$40*('THAM_SO_MOI'!$C$23*(E802/'THAM_SO_MOI'!$C$22)+'THAM_SO_MOI'!$C$24*(E802/'THAM_SO_MOI'!$C$22)^2-'THAM_SO_MOI'!$C$25*(E802/'THAM_SO_MOI'!$C$22)^3)</f>
        <v>98.1889151027752</v>
      </c>
      <c r="K802" s="75">
        <f>'THAM_SO_MOI'!$C$31*J802/E802</f>
        <v>430.1203652635885</v>
      </c>
      <c r="L802" s="75">
        <f>K802*'THAM_SO_MOI'!$C$53*'THAM_SO_MOI'!$C$17/'THAM_SO_MOI'!$C$26</f>
        <v>3772.1572864091363</v>
      </c>
      <c r="M802" s="75">
        <f>'THAM_SO_MOI'!$C$15*'THAM_SO_MOI'!$C$16*F802^2</f>
        <v>1432.4284274720083</v>
      </c>
      <c r="N802" s="75">
        <f>'THAM_SO_MOI'!$C$12*I802</f>
        <v>1130.112</v>
      </c>
      <c r="O802" s="75">
        <f>M802+N802</f>
        <v>2562.5404274720086</v>
      </c>
      <c r="P802" s="75">
        <f>(MIN(L802,'THAM_SO_MOI'!$C$41)-O802)/('THAM_SO_MOI'!$C$11*H802)</f>
        <v>0.14318381379464112</v>
      </c>
      <c r="Q802" s="75">
        <f>IF(P802&gt;0,1/P802,NA())</f>
        <v>6.984029643422073</v>
      </c>
      <c r="R802" s="75">
        <f>F802-F801</f>
        <v>0.01760042735042333</v>
      </c>
      <c r="S802" s="75">
        <f>0.5*(Q801+Q802)*R802</f>
        <v>0.12280544074300288</v>
      </c>
      <c r="T802" s="75">
        <f>0.5*(F801*Q801+F802*Q802)*R802</f>
        <v>2.716555382345756</v>
      </c>
      <c r="U802" s="76">
        <f>U801+S802</f>
        <v>71.98159397532928</v>
      </c>
      <c r="V802" s="76">
        <f>V801+T802</f>
        <v>1114.2174872659737</v>
      </c>
    </row>
    <row r="803" spans="1:22" ht="19" customHeight="1">
      <c r="A803" s="68" t="s">
        <v>362</v>
      </c>
      <c r="B803" s="74">
        <v>5</v>
      </c>
      <c r="C803" s="68" t="s">
        <v>363</v>
      </c>
      <c r="D803" s="68" t="s">
        <v>364</v>
      </c>
      <c r="E803" s="75">
        <f>60*F803*'THAM_SO_MOI'!$C$53/(2*PI()*'THAM_SO_MOI'!$C$26)</f>
        <v>2182.081894736842</v>
      </c>
      <c r="F803" s="75">
        <f>'THAM_SO_MOI'!$E$53+('THAM_SO_MOI'!$C$14-'THAM_SO_MOI'!$E$53)*797/'THAM_SO_MOI'!$C$42</f>
        <v>22.14719871794872</v>
      </c>
      <c r="G803" s="75">
        <f>3.6*F803</f>
        <v>79.7299153846154</v>
      </c>
      <c r="H803" s="75">
        <f>'THAM_SO_MOI'!$D$53</f>
        <v>1.1</v>
      </c>
      <c r="I803" s="75">
        <f>IF(F803&gt;'THAM_SO_MOI'!$C$14,'THAM_SO_MOI'!$C$13*(1+F803^2/1500),'THAM_SO_MOI'!$C$13)</f>
        <v>0.015</v>
      </c>
      <c r="J803" s="75">
        <f>'THAM_SO_MOI'!$C$40*('THAM_SO_MOI'!$C$23*(E803/'THAM_SO_MOI'!$C$22)+'THAM_SO_MOI'!$C$24*(E803/'THAM_SO_MOI'!$C$22)^2-'THAM_SO_MOI'!$C$25*(E803/'THAM_SO_MOI'!$C$22)^3)</f>
        <v>98.26644894407437</v>
      </c>
      <c r="K803" s="75">
        <f>'THAM_SO_MOI'!$C$31*J803/E803</f>
        <v>430.11791776449763</v>
      </c>
      <c r="L803" s="75">
        <f>K803*'THAM_SO_MOI'!$C$53*'THAM_SO_MOI'!$C$17/'THAM_SO_MOI'!$C$26</f>
        <v>3772.135821832532</v>
      </c>
      <c r="M803" s="75">
        <f>'THAM_SO_MOI'!$C$15*'THAM_SO_MOI'!$C$16*F803^2</f>
        <v>1434.707852328005</v>
      </c>
      <c r="N803" s="75">
        <f>'THAM_SO_MOI'!$C$12*I803</f>
        <v>1130.112</v>
      </c>
      <c r="O803" s="75">
        <f>M803+N803</f>
        <v>2564.8198523280053</v>
      </c>
      <c r="P803" s="75">
        <f>(MIN(L803,'THAM_SO_MOI'!$C$41)-O803)/('THAM_SO_MOI'!$C$11*H803)</f>
        <v>0.14291145472354722</v>
      </c>
      <c r="Q803" s="75">
        <f>IF(P803&gt;0,1/P803,NA())</f>
        <v>6.997339729935812</v>
      </c>
      <c r="R803" s="75">
        <f>F803-F802</f>
        <v>0.017600427350430436</v>
      </c>
      <c r="S803" s="75">
        <f>0.5*(Q802+Q803)*R803</f>
        <v>0.12303903795765929</v>
      </c>
      <c r="T803" s="75">
        <f>0.5*(F802*Q802+F803*Q803)*R803</f>
        <v>2.7238882846722503</v>
      </c>
      <c r="U803" s="76">
        <f>U802+S803</f>
        <v>72.10463301328693</v>
      </c>
      <c r="V803" s="76">
        <f>V802+T803</f>
        <v>1116.941375550646</v>
      </c>
    </row>
    <row r="804" spans="1:22" ht="19" customHeight="1">
      <c r="A804" s="68" t="s">
        <v>362</v>
      </c>
      <c r="B804" s="74">
        <v>5</v>
      </c>
      <c r="C804" s="68" t="s">
        <v>363</v>
      </c>
      <c r="D804" s="68" t="s">
        <v>364</v>
      </c>
      <c r="E804" s="75">
        <f>60*F804*'THAM_SO_MOI'!$C$53/(2*PI()*'THAM_SO_MOI'!$C$26)</f>
        <v>2183.8159999999993</v>
      </c>
      <c r="F804" s="75">
        <f>'THAM_SO_MOI'!$E$53+('THAM_SO_MOI'!$C$14-'THAM_SO_MOI'!$E$53)*798/'THAM_SO_MOI'!$C$42</f>
        <v>22.164799145299142</v>
      </c>
      <c r="G804" s="75">
        <f>3.6*F804</f>
        <v>79.79327692307692</v>
      </c>
      <c r="H804" s="75">
        <f>'THAM_SO_MOI'!$D$53</f>
        <v>1.1</v>
      </c>
      <c r="I804" s="75">
        <f>IF(F804&gt;'THAM_SO_MOI'!$C$14,'THAM_SO_MOI'!$C$13*(1+F804^2/1500),'THAM_SO_MOI'!$C$13)</f>
        <v>0.015</v>
      </c>
      <c r="J804" s="75">
        <f>'THAM_SO_MOI'!$C$40*('THAM_SO_MOI'!$C$23*(E804/'THAM_SO_MOI'!$C$22)+'THAM_SO_MOI'!$C$24*(E804/'THAM_SO_MOI'!$C$22)^2-'THAM_SO_MOI'!$C$25*(E804/'THAM_SO_MOI'!$C$22)^3)</f>
        <v>98.34391519258551</v>
      </c>
      <c r="K804" s="75">
        <f>'THAM_SO_MOI'!$C$31*J804/E804</f>
        <v>430.115178529782</v>
      </c>
      <c r="L804" s="75">
        <f>K804*'THAM_SO_MOI'!$C$53*'THAM_SO_MOI'!$C$17/'THAM_SO_MOI'!$C$26</f>
        <v>3772.111798733358</v>
      </c>
      <c r="M804" s="75">
        <f>'THAM_SO_MOI'!$C$15*'THAM_SO_MOI'!$C$16*F804^2</f>
        <v>1436.989089368002</v>
      </c>
      <c r="N804" s="75">
        <f>'THAM_SO_MOI'!$C$12*I804</f>
        <v>1130.112</v>
      </c>
      <c r="O804" s="75">
        <f>M804+N804</f>
        <v>2567.1010893680022</v>
      </c>
      <c r="P804" s="75">
        <f>(MIN(L804,'THAM_SO_MOI'!$C$41)-O804)/('THAM_SO_MOI'!$C$11*H804)</f>
        <v>0.14263857828661886</v>
      </c>
      <c r="Q804" s="75">
        <f>IF(P804&gt;0,1/P804,NA())</f>
        <v>7.010726074334489</v>
      </c>
      <c r="R804" s="75">
        <f>F804-F803</f>
        <v>0.01760042735042333</v>
      </c>
      <c r="S804" s="75">
        <f>0.5*(Q803+Q804)*R804</f>
        <v>0.12327397225400441</v>
      </c>
      <c r="T804" s="75">
        <f>0.5*(F803*Q803+F804*Q804)*R804</f>
        <v>2.7312590342456122</v>
      </c>
      <c r="U804" s="76">
        <f>U803+S804</f>
        <v>72.22790698554093</v>
      </c>
      <c r="V804" s="76">
        <f>V803+T804</f>
        <v>1119.6726345848915</v>
      </c>
    </row>
    <row r="805" spans="1:22" ht="19" customHeight="1">
      <c r="A805" s="68" t="s">
        <v>362</v>
      </c>
      <c r="B805" s="74">
        <v>5</v>
      </c>
      <c r="C805" s="68" t="s">
        <v>363</v>
      </c>
      <c r="D805" s="68" t="s">
        <v>364</v>
      </c>
      <c r="E805" s="75">
        <f>60*F805*'THAM_SO_MOI'!$C$53/(2*PI()*'THAM_SO_MOI'!$C$26)</f>
        <v>2185.5501052631575</v>
      </c>
      <c r="F805" s="75">
        <f>'THAM_SO_MOI'!$E$53+('THAM_SO_MOI'!$C$14-'THAM_SO_MOI'!$E$53)*799/'THAM_SO_MOI'!$C$42</f>
        <v>22.182399572649572</v>
      </c>
      <c r="G805" s="75">
        <f>3.6*F805</f>
        <v>79.85663846153847</v>
      </c>
      <c r="H805" s="75">
        <f>'THAM_SO_MOI'!$D$53</f>
        <v>1.1</v>
      </c>
      <c r="I805" s="75">
        <f>IF(F805&gt;'THAM_SO_MOI'!$C$14,'THAM_SO_MOI'!$C$13*(1+F805^2/1500),'THAM_SO_MOI'!$C$13)</f>
        <v>0.015</v>
      </c>
      <c r="J805" s="75">
        <f>'THAM_SO_MOI'!$C$40*('THAM_SO_MOI'!$C$23*(E805/'THAM_SO_MOI'!$C$22)+'THAM_SO_MOI'!$C$24*(E805/'THAM_SO_MOI'!$C$22)^2-'THAM_SO_MOI'!$C$25*(E805/'THAM_SO_MOI'!$C$22)^3)</f>
        <v>98.4213136894054</v>
      </c>
      <c r="K805" s="75">
        <f>'THAM_SO_MOI'!$C$31*J805/E805</f>
        <v>430.11214755944127</v>
      </c>
      <c r="L805" s="75">
        <f>K805*'THAM_SO_MOI'!$C$53*'THAM_SO_MOI'!$C$17/'THAM_SO_MOI'!$C$26</f>
        <v>3772.08521711161</v>
      </c>
      <c r="M805" s="75">
        <f>'THAM_SO_MOI'!$C$15*'THAM_SO_MOI'!$C$16*F805^2</f>
        <v>1439.2721385920006</v>
      </c>
      <c r="N805" s="75">
        <f>'THAM_SO_MOI'!$C$12*I805</f>
        <v>1130.112</v>
      </c>
      <c r="O805" s="75">
        <f>M805+N805</f>
        <v>2569.3841385920005</v>
      </c>
      <c r="P805" s="75">
        <f>(MIN(L805,'THAM_SO_MOI'!$C$41)-O805)/('THAM_SO_MOI'!$C$11*H805)</f>
        <v>0.1423651844838552</v>
      </c>
      <c r="Q805" s="75">
        <f>IF(P805&gt;0,1/P805,NA())</f>
        <v>7.024189261057741</v>
      </c>
      <c r="R805" s="75">
        <f>F805-F804</f>
        <v>0.017600427350430436</v>
      </c>
      <c r="S805" s="75">
        <f>0.5*(Q804+Q805)*R805</f>
        <v>0.1235102538650065</v>
      </c>
      <c r="T805" s="75">
        <f>0.5*(F804*Q804+F805*Q805)*R805</f>
        <v>2.7386679285676796</v>
      </c>
      <c r="U805" s="76">
        <f>U804+S805</f>
        <v>72.35141723940593</v>
      </c>
      <c r="V805" s="76">
        <f>V804+T805</f>
        <v>1122.4113025134593</v>
      </c>
    </row>
    <row r="806" spans="1:22" ht="19" customHeight="1">
      <c r="A806" s="68" t="s">
        <v>362</v>
      </c>
      <c r="B806" s="74">
        <v>5</v>
      </c>
      <c r="C806" s="68" t="s">
        <v>363</v>
      </c>
      <c r="D806" s="68" t="s">
        <v>364</v>
      </c>
      <c r="E806" s="75">
        <f>60*F806*'THAM_SO_MOI'!$C$53/(2*PI()*'THAM_SO_MOI'!$C$26)</f>
        <v>2187.2842105263153</v>
      </c>
      <c r="F806" s="75">
        <f>'THAM_SO_MOI'!$E$53+('THAM_SO_MOI'!$C$14-'THAM_SO_MOI'!$E$53)*800/'THAM_SO_MOI'!$C$42</f>
        <v>22.2</v>
      </c>
      <c r="G806" s="75">
        <f>3.6*F806</f>
        <v>79.92</v>
      </c>
      <c r="H806" s="75">
        <f>'THAM_SO_MOI'!$D$53</f>
        <v>1.1</v>
      </c>
      <c r="I806" s="75">
        <f>IF(F806&gt;'THAM_SO_MOI'!$C$14,'THAM_SO_MOI'!$C$13*(1+F806^2/1500),'THAM_SO_MOI'!$C$13)</f>
        <v>0.015</v>
      </c>
      <c r="J806" s="75">
        <f>'THAM_SO_MOI'!$C$40*('THAM_SO_MOI'!$C$23*(E806/'THAM_SO_MOI'!$C$22)+'THAM_SO_MOI'!$C$24*(E806/'THAM_SO_MOI'!$C$22)^2-'THAM_SO_MOI'!$C$25*(E806/'THAM_SO_MOI'!$C$22)^3)</f>
        <v>98.4986442756307</v>
      </c>
      <c r="K806" s="75">
        <f>'THAM_SO_MOI'!$C$31*J806/E806</f>
        <v>430.10882485347554</v>
      </c>
      <c r="L806" s="75">
        <f>K806*'THAM_SO_MOI'!$C$53*'THAM_SO_MOI'!$C$17/'THAM_SO_MOI'!$C$26</f>
        <v>3772.0560769672884</v>
      </c>
      <c r="M806" s="75">
        <f>'THAM_SO_MOI'!$C$15*'THAM_SO_MOI'!$C$16*F806^2</f>
        <v>1441.557</v>
      </c>
      <c r="N806" s="75">
        <f>'THAM_SO_MOI'!$C$12*I806</f>
        <v>1130.112</v>
      </c>
      <c r="O806" s="75">
        <f>M806+N806</f>
        <v>2571.669</v>
      </c>
      <c r="P806" s="75">
        <f>(MIN(L806,'THAM_SO_MOI'!$C$41)-O806)/('THAM_SO_MOI'!$C$11*H806)</f>
        <v>0.1420912733152567</v>
      </c>
      <c r="Q806" s="75">
        <f>IF(P806&gt;0,1/P806,NA())</f>
        <v>7.037729880717646</v>
      </c>
      <c r="R806" s="75">
        <f>F806-F805</f>
        <v>0.017600427350426884</v>
      </c>
      <c r="S806" s="75">
        <f>0.5*(Q805+Q806)*R806</f>
        <v>0.12374789313119743</v>
      </c>
      <c r="T806" s="75">
        <f>0.5*(F805*Q805+F806*Q806)*R806</f>
        <v>2.7461152682476797</v>
      </c>
      <c r="U806" s="76">
        <f>U805+S806</f>
        <v>72.47516513253713</v>
      </c>
      <c r="V806" s="76">
        <f>V805+T806</f>
        <v>1125.157417781707</v>
      </c>
    </row>
    <row r="807" spans="1:22" ht="19" customHeight="1">
      <c r="A807" s="68" t="s">
        <v>362</v>
      </c>
      <c r="B807" s="74">
        <v>5</v>
      </c>
      <c r="C807" s="68" t="s">
        <v>363</v>
      </c>
      <c r="D807" s="68" t="s">
        <v>365</v>
      </c>
      <c r="E807" s="75">
        <f>60*F807*'THAM_SO_MOI'!$C$53/(2*PI()*'THAM_SO_MOI'!$C$26)</f>
        <v>2187.2842105263153</v>
      </c>
      <c r="F807" s="75">
        <f>'THAM_SO_MOI'!$C$14+('THAM_SO_MOI'!$C$37-'THAM_SO_MOI'!$C$14)*0/'THAM_SO_MOI'!$C$42</f>
        <v>22.2</v>
      </c>
      <c r="G807" s="75">
        <f>3.6*F807</f>
        <v>79.92</v>
      </c>
      <c r="H807" s="75">
        <f>'THAM_SO_MOI'!$D$53</f>
        <v>1.1</v>
      </c>
      <c r="I807" s="75">
        <f>IF(F807&gt;='THAM_SO_MOI'!$C$14,'THAM_SO_MOI'!$C$13*(1+F807^2/1500),'THAM_SO_MOI'!$C$13)</f>
        <v>0.0199284</v>
      </c>
      <c r="J807" s="75">
        <f>'THAM_SO_MOI'!$C$40*('THAM_SO_MOI'!$C$23*(E807/'THAM_SO_MOI'!$C$22)+'THAM_SO_MOI'!$C$24*(E807/'THAM_SO_MOI'!$C$22)^2-'THAM_SO_MOI'!$C$25*(E807/'THAM_SO_MOI'!$C$22)^3)</f>
        <v>98.4986442756307</v>
      </c>
      <c r="K807" s="75">
        <f>'THAM_SO_MOI'!$C$31*J807/E807</f>
        <v>430.10882485347554</v>
      </c>
      <c r="L807" s="75">
        <f>K807*'THAM_SO_MOI'!$C$53*'THAM_SO_MOI'!$C$17/'THAM_SO_MOI'!$C$26</f>
        <v>3772.0560769672884</v>
      </c>
      <c r="M807" s="75">
        <f>'THAM_SO_MOI'!$C$15*'THAM_SO_MOI'!$C$16*F807^2</f>
        <v>1441.557</v>
      </c>
      <c r="N807" s="75">
        <f>'THAM_SO_MOI'!$C$12*I807</f>
        <v>1501.42159872</v>
      </c>
      <c r="O807" s="75">
        <f>M807+N807</f>
        <v>2942.9785987200003</v>
      </c>
      <c r="P807" s="75">
        <f>(MIN(L807,'THAM_SO_MOI'!$C$41)-O807)/('THAM_SO_MOI'!$C$11*H807)</f>
        <v>0.09813890604252942</v>
      </c>
      <c r="Q807" s="75">
        <f>IF(P807&gt;0,1/P807,NA())</f>
        <v>10.189638751084514</v>
      </c>
      <c r="R807" s="75">
        <f>0</f>
        <v>0.0</v>
      </c>
      <c r="S807" s="75">
        <f>0</f>
        <v>0.0</v>
      </c>
      <c r="T807" s="75">
        <f>0</f>
        <v>0.0</v>
      </c>
      <c r="U807" s="76">
        <f>U806+S807</f>
        <v>72.47516513253713</v>
      </c>
      <c r="V807" s="76">
        <f>V806+T807</f>
        <v>1125.157417781707</v>
      </c>
    </row>
    <row r="808" spans="1:22" ht="19" customHeight="1">
      <c r="A808" s="68" t="s">
        <v>362</v>
      </c>
      <c r="B808" s="74">
        <v>5</v>
      </c>
      <c r="C808" s="68" t="s">
        <v>363</v>
      </c>
      <c r="D808" s="68" t="s">
        <v>365</v>
      </c>
      <c r="E808" s="75">
        <f>60*F808*'THAM_SO_MOI'!$C$53/(2*PI()*'THAM_SO_MOI'!$C$26)</f>
        <v>2187.637605263157</v>
      </c>
      <c r="F808" s="75">
        <f>'THAM_SO_MOI'!$C$14+('THAM_SO_MOI'!$C$37-'THAM_SO_MOI'!$C$14)*1/'THAM_SO_MOI'!$C$42</f>
        <v>22.203586805555556</v>
      </c>
      <c r="G808" s="75">
        <f>3.6*F808</f>
        <v>79.9329125</v>
      </c>
      <c r="H808" s="75">
        <f>'THAM_SO_MOI'!$D$53</f>
        <v>1.1</v>
      </c>
      <c r="I808" s="75">
        <f>IF(F808&gt;='THAM_SO_MOI'!$C$14,'THAM_SO_MOI'!$C$13*(1+F808^2/1500),'THAM_SO_MOI'!$C$13)</f>
        <v>0.01992999267031841</v>
      </c>
      <c r="J808" s="75">
        <f>'THAM_SO_MOI'!$C$40*('THAM_SO_MOI'!$C$23*(E808/'THAM_SO_MOI'!$C$22)+'THAM_SO_MOI'!$C$24*(E808/'THAM_SO_MOI'!$C$22)^2-'THAM_SO_MOI'!$C$25*(E808/'THAM_SO_MOI'!$C$22)^3)</f>
        <v>98.51439519507228</v>
      </c>
      <c r="K808" s="75">
        <f>'THAM_SO_MOI'!$C$31*J808/E808</f>
        <v>430.1081119319822</v>
      </c>
      <c r="L808" s="75">
        <f>K808*'THAM_SO_MOI'!$C$53*'THAM_SO_MOI'!$C$17/'THAM_SO_MOI'!$C$26</f>
        <v>3772.049824643002</v>
      </c>
      <c r="M808" s="75">
        <f>'THAM_SO_MOI'!$C$15*'THAM_SO_MOI'!$C$16*F808^2</f>
        <v>1442.0228560681346</v>
      </c>
      <c r="N808" s="75">
        <f>'THAM_SO_MOI'!$C$12*I808</f>
        <v>1501.5415917759253</v>
      </c>
      <c r="O808" s="75">
        <f>M808+N808</f>
        <v>2943.56444784406</v>
      </c>
      <c r="P808" s="75">
        <f>(MIN(L808,'THAM_SO_MOI'!$C$41)-O808)/('THAM_SO_MOI'!$C$11*H808)</f>
        <v>0.0980688182763899</v>
      </c>
      <c r="Q808" s="75">
        <f>IF(P808&gt;0,1/P808,NA())</f>
        <v>10.196921076194412</v>
      </c>
      <c r="R808" s="75">
        <f>F808-F807</f>
        <v>0.0035868055555567935</v>
      </c>
      <c r="S808" s="75">
        <f>0.5*(Q807+Q808)*R808</f>
        <v>0.0365613130235875</v>
      </c>
      <c r="T808" s="75">
        <f>0.5*(F807*Q807+F808*Q808)*R808</f>
        <v>0.8117267417060733</v>
      </c>
      <c r="U808" s="76">
        <f>U807+S808</f>
        <v>72.51172644556071</v>
      </c>
      <c r="V808" s="76">
        <f>V807+T808</f>
        <v>1125.969144523413</v>
      </c>
    </row>
    <row r="809" spans="1:22" ht="19" customHeight="1">
      <c r="A809" s="68" t="s">
        <v>362</v>
      </c>
      <c r="B809" s="74">
        <v>5</v>
      </c>
      <c r="C809" s="68" t="s">
        <v>363</v>
      </c>
      <c r="D809" s="68" t="s">
        <v>365</v>
      </c>
      <c r="E809" s="75">
        <f>60*F809*'THAM_SO_MOI'!$C$53/(2*PI()*'THAM_SO_MOI'!$C$26)</f>
        <v>2187.9909999999995</v>
      </c>
      <c r="F809" s="75">
        <f>'THAM_SO_MOI'!$C$14+('THAM_SO_MOI'!$C$37-'THAM_SO_MOI'!$C$14)*2/'THAM_SO_MOI'!$C$42</f>
        <v>22.20717361111111</v>
      </c>
      <c r="G809" s="75">
        <f>3.6*F809</f>
        <v>79.945825</v>
      </c>
      <c r="H809" s="75">
        <f>'THAM_SO_MOI'!$D$53</f>
        <v>1.1</v>
      </c>
      <c r="I809" s="75">
        <f>IF(F809&gt;='THAM_SO_MOI'!$C$14,'THAM_SO_MOI'!$C$13*(1+F809^2/1500),'THAM_SO_MOI'!$C$13)</f>
        <v>0.019931585597940296</v>
      </c>
      <c r="J809" s="75">
        <f>'THAM_SO_MOI'!$C$40*('THAM_SO_MOI'!$C$23*(E809/'THAM_SO_MOI'!$C$22)+'THAM_SO_MOI'!$C$24*(E809/'THAM_SO_MOI'!$C$22)^2-'THAM_SO_MOI'!$C$25*(E809/'THAM_SO_MOI'!$C$22)^3)</f>
        <v>98.53014328619514</v>
      </c>
      <c r="K809" s="75">
        <f>'THAM_SO_MOI'!$C$31*J809/E809</f>
        <v>430.1073868945042</v>
      </c>
      <c r="L809" s="75">
        <f>K809*'THAM_SO_MOI'!$C$53*'THAM_SO_MOI'!$C$17/'THAM_SO_MOI'!$C$26</f>
        <v>3772.0434660614833</v>
      </c>
      <c r="M809" s="75">
        <f>'THAM_SO_MOI'!$C$15*'THAM_SO_MOI'!$C$16*F809^2</f>
        <v>1442.4887873975367</v>
      </c>
      <c r="N809" s="75">
        <f>'THAM_SO_MOI'!$C$12*I809</f>
        <v>1501.6616042173002</v>
      </c>
      <c r="O809" s="75">
        <f>M809+N809</f>
        <v>2944.1503916148367</v>
      </c>
      <c r="P809" s="75">
        <f>(MIN(L809,'THAM_SO_MOI'!$C$41)-O809)/('THAM_SO_MOI'!$C$11*H809)</f>
        <v>0.09799870672900643</v>
      </c>
      <c r="Q809" s="75">
        <f>IF(P809&gt;0,1/P809,NA())</f>
        <v>10.204216294050461</v>
      </c>
      <c r="R809" s="75">
        <f>F809-F808</f>
        <v>0.0035868055555532408</v>
      </c>
      <c r="S809" s="75">
        <f>0.5*(Q808+Q809)*R809</f>
        <v>0.036587456429599576</v>
      </c>
      <c r="T809" s="75">
        <f>0.5*(F808*Q808+F809*Q809)*R809</f>
        <v>0.8124384043386504</v>
      </c>
      <c r="U809" s="76">
        <f>U808+S809</f>
        <v>72.54831390199031</v>
      </c>
      <c r="V809" s="76">
        <f>V808+T809</f>
        <v>1126.7815829277517</v>
      </c>
    </row>
    <row r="810" spans="1:22" ht="19" customHeight="1">
      <c r="A810" s="68" t="s">
        <v>362</v>
      </c>
      <c r="B810" s="74">
        <v>5</v>
      </c>
      <c r="C810" s="68" t="s">
        <v>363</v>
      </c>
      <c r="D810" s="68" t="s">
        <v>365</v>
      </c>
      <c r="E810" s="75">
        <f>60*F810*'THAM_SO_MOI'!$C$53/(2*PI()*'THAM_SO_MOI'!$C$26)</f>
        <v>2188.3443947368414</v>
      </c>
      <c r="F810" s="75">
        <f>'THAM_SO_MOI'!$C$14+('THAM_SO_MOI'!$C$37-'THAM_SO_MOI'!$C$14)*3/'THAM_SO_MOI'!$C$42</f>
        <v>22.210760416666666</v>
      </c>
      <c r="G810" s="75">
        <f>3.6*F810</f>
        <v>79.9587375</v>
      </c>
      <c r="H810" s="75">
        <f>'THAM_SO_MOI'!$D$53</f>
        <v>1.1</v>
      </c>
      <c r="I810" s="75">
        <f>IF(F810&gt;='THAM_SO_MOI'!$C$14,'THAM_SO_MOI'!$C$13*(1+F810^2/1500),'THAM_SO_MOI'!$C$13)</f>
        <v>0.019933178782865667</v>
      </c>
      <c r="J810" s="75">
        <f>'THAM_SO_MOI'!$C$40*('THAM_SO_MOI'!$C$23*(E810/'THAM_SO_MOI'!$C$22)+'THAM_SO_MOI'!$C$24*(E810/'THAM_SO_MOI'!$C$22)^2-'THAM_SO_MOI'!$C$25*(E810/'THAM_SO_MOI'!$C$22)^3)</f>
        <v>98.54588854765443</v>
      </c>
      <c r="K810" s="75">
        <f>'THAM_SO_MOI'!$C$31*J810/E810</f>
        <v>430.1066497410421</v>
      </c>
      <c r="L810" s="75">
        <f>K810*'THAM_SO_MOI'!$C$53*'THAM_SO_MOI'!$C$17/'THAM_SO_MOI'!$C$26</f>
        <v>3772.0370012227363</v>
      </c>
      <c r="M810" s="75">
        <f>'THAM_SO_MOI'!$C$15*'THAM_SO_MOI'!$C$16*F810^2</f>
        <v>1442.9547939882082</v>
      </c>
      <c r="N810" s="75">
        <f>'THAM_SO_MOI'!$C$12*I810</f>
        <v>1501.7816360441257</v>
      </c>
      <c r="O810" s="75">
        <f>M810+N810</f>
        <v>2944.736430032334</v>
      </c>
      <c r="P810" s="75">
        <f>(MIN(L810,'THAM_SO_MOI'!$C$41)-O810)/('THAM_SO_MOI'!$C$11*H810)</f>
        <v>0.09792857140037908</v>
      </c>
      <c r="Q810" s="75">
        <f>IF(P810&gt;0,1/P810,NA())</f>
        <v>10.211524437658946</v>
      </c>
      <c r="R810" s="75">
        <f>F810-F809</f>
        <v>0.0035868055555567935</v>
      </c>
      <c r="S810" s="75">
        <f>0.5*(Q809+Q810)*R810</f>
        <v>0.03661364613865121</v>
      </c>
      <c r="T810" s="75">
        <f>0.5*(F809*Q809+F810*Q810)*R810</f>
        <v>0.8131512828566398</v>
      </c>
      <c r="U810" s="76">
        <f>U809+S810</f>
        <v>72.58492754812896</v>
      </c>
      <c r="V810" s="76">
        <f>V809+T810</f>
        <v>1127.5947342106083</v>
      </c>
    </row>
    <row r="811" spans="1:22" ht="19" customHeight="1">
      <c r="A811" s="68" t="s">
        <v>362</v>
      </c>
      <c r="B811" s="74">
        <v>5</v>
      </c>
      <c r="C811" s="68" t="s">
        <v>363</v>
      </c>
      <c r="D811" s="68" t="s">
        <v>365</v>
      </c>
      <c r="E811" s="75">
        <f>60*F811*'THAM_SO_MOI'!$C$53/(2*PI()*'THAM_SO_MOI'!$C$26)</f>
        <v>2188.6977894736838</v>
      </c>
      <c r="F811" s="75">
        <f>'THAM_SO_MOI'!$C$14+('THAM_SO_MOI'!$C$37-'THAM_SO_MOI'!$C$14)*4/'THAM_SO_MOI'!$C$42</f>
        <v>22.214347222222223</v>
      </c>
      <c r="G811" s="75">
        <f>3.6*F811</f>
        <v>79.97165000000001</v>
      </c>
      <c r="H811" s="75">
        <f>'THAM_SO_MOI'!$D$53</f>
        <v>1.1</v>
      </c>
      <c r="I811" s="75">
        <f>IF(F811&gt;='THAM_SO_MOI'!$C$14,'THAM_SO_MOI'!$C$13*(1+F811^2/1500),'THAM_SO_MOI'!$C$13)</f>
        <v>0.019934772225094523</v>
      </c>
      <c r="J811" s="75">
        <f>'THAM_SO_MOI'!$C$40*('THAM_SO_MOI'!$C$23*(E811/'THAM_SO_MOI'!$C$22)+'THAM_SO_MOI'!$C$24*(E811/'THAM_SO_MOI'!$C$22)^2-'THAM_SO_MOI'!$C$25*(E811/'THAM_SO_MOI'!$C$22)^3)</f>
        <v>98.56163097810521</v>
      </c>
      <c r="K811" s="75">
        <f>'THAM_SO_MOI'!$C$31*J811/E811</f>
        <v>430.10590047159536</v>
      </c>
      <c r="L811" s="75">
        <f>K811*'THAM_SO_MOI'!$C$53*'THAM_SO_MOI'!$C$17/'THAM_SO_MOI'!$C$26</f>
        <v>3772.030430126756</v>
      </c>
      <c r="M811" s="75">
        <f>'THAM_SO_MOI'!$C$15*'THAM_SO_MOI'!$C$16*F811^2</f>
        <v>1443.4208758401478</v>
      </c>
      <c r="N811" s="75">
        <f>'THAM_SO_MOI'!$C$12*I811</f>
        <v>1501.9016872564014</v>
      </c>
      <c r="O811" s="75">
        <f>M811+N811</f>
        <v>2945.322563096549</v>
      </c>
      <c r="P811" s="75">
        <f>(MIN(L811,'THAM_SO_MOI'!$C$41)-O811)/('THAM_SO_MOI'!$C$11*H811)</f>
        <v>0.09785841229050744</v>
      </c>
      <c r="Q811" s="75">
        <f>IF(P811&gt;0,1/P811,NA())</f>
        <v>10.21884554013966</v>
      </c>
      <c r="R811" s="75">
        <f>F811-F810</f>
        <v>0.0035868055555567935</v>
      </c>
      <c r="S811" s="75">
        <f>0.5*(Q810+Q811)*R811</f>
        <v>0.03663988226922438</v>
      </c>
      <c r="T811" s="75">
        <f>0.5*(F810*Q810+F811*Q811)*R811</f>
        <v>0.8138653803900693</v>
      </c>
      <c r="U811" s="76">
        <f>U810+S811</f>
        <v>72.62156743039819</v>
      </c>
      <c r="V811" s="76">
        <f>V810+T811</f>
        <v>1128.4085995909984</v>
      </c>
    </row>
    <row r="812" spans="1:22" ht="19" customHeight="1">
      <c r="A812" s="68" t="s">
        <v>362</v>
      </c>
      <c r="B812" s="74">
        <v>5</v>
      </c>
      <c r="C812" s="68" t="s">
        <v>363</v>
      </c>
      <c r="D812" s="68" t="s">
        <v>365</v>
      </c>
      <c r="E812" s="75">
        <f>60*F812*'THAM_SO_MOI'!$C$53/(2*PI()*'THAM_SO_MOI'!$C$26)</f>
        <v>2189.0511842105257</v>
      </c>
      <c r="F812" s="75">
        <f>'THAM_SO_MOI'!$C$14+('THAM_SO_MOI'!$C$37-'THAM_SO_MOI'!$C$14)*5/'THAM_SO_MOI'!$C$42</f>
        <v>22.217934027777776</v>
      </c>
      <c r="G812" s="75">
        <f>3.6*F812</f>
        <v>79.9845625</v>
      </c>
      <c r="H812" s="75">
        <f>'THAM_SO_MOI'!$D$53</f>
        <v>1.1</v>
      </c>
      <c r="I812" s="75">
        <f>IF(F812&gt;='THAM_SO_MOI'!$C$14,'THAM_SO_MOI'!$C$13*(1+F812^2/1500),'THAM_SO_MOI'!$C$13)</f>
        <v>0.019936365924626855</v>
      </c>
      <c r="J812" s="75">
        <f>'THAM_SO_MOI'!$C$40*('THAM_SO_MOI'!$C$23*(E812/'THAM_SO_MOI'!$C$22)+'THAM_SO_MOI'!$C$24*(E812/'THAM_SO_MOI'!$C$22)^2-'THAM_SO_MOI'!$C$25*(E812/'THAM_SO_MOI'!$C$22)^3)</f>
        <v>98.57737057620258</v>
      </c>
      <c r="K812" s="75">
        <f>'THAM_SO_MOI'!$C$31*J812/E812</f>
        <v>430.1051390861643</v>
      </c>
      <c r="L812" s="75">
        <f>K812*'THAM_SO_MOI'!$C$53*'THAM_SO_MOI'!$C$17/'THAM_SO_MOI'!$C$26</f>
        <v>3772.023752773546</v>
      </c>
      <c r="M812" s="75">
        <f>'THAM_SO_MOI'!$C$15*'THAM_SO_MOI'!$C$16*F812^2</f>
        <v>1443.8870329533556</v>
      </c>
      <c r="N812" s="75">
        <f>'THAM_SO_MOI'!$C$12*I812</f>
        <v>1502.0217578541271</v>
      </c>
      <c r="O812" s="75">
        <f>M812+N812</f>
        <v>2945.9087908074825</v>
      </c>
      <c r="P812" s="75">
        <f>(MIN(L812,'THAM_SO_MOI'!$C$41)-O812)/('THAM_SO_MOI'!$C$11*H812)</f>
        <v>0.09778822939939198</v>
      </c>
      <c r="Q812" s="75">
        <f>IF(P812&gt;0,1/P812,NA())</f>
        <v>10.22617963472624</v>
      </c>
      <c r="R812" s="75">
        <f>F812-F811</f>
        <v>0.0035868055555532408</v>
      </c>
      <c r="S812" s="75">
        <f>0.5*(Q811+Q812)*R812</f>
        <v>0.036666164940317436</v>
      </c>
      <c r="T812" s="75">
        <f>0.5*(F811*Q811+F812*Q812)*R812</f>
        <v>0.8145807000821379</v>
      </c>
      <c r="U812" s="76">
        <f>U811+S812</f>
        <v>72.6582335953385</v>
      </c>
      <c r="V812" s="76">
        <f>V811+T812</f>
        <v>1129.2231802910806</v>
      </c>
    </row>
    <row r="813" spans="1:22" ht="19" customHeight="1">
      <c r="A813" s="68" t="s">
        <v>362</v>
      </c>
      <c r="B813" s="74">
        <v>5</v>
      </c>
      <c r="C813" s="68" t="s">
        <v>363</v>
      </c>
      <c r="D813" s="68" t="s">
        <v>365</v>
      </c>
      <c r="E813" s="75">
        <f>60*F813*'THAM_SO_MOI'!$C$53/(2*PI()*'THAM_SO_MOI'!$C$26)</f>
        <v>2189.404578947368</v>
      </c>
      <c r="F813" s="75">
        <f>'THAM_SO_MOI'!$C$14+('THAM_SO_MOI'!$C$37-'THAM_SO_MOI'!$C$14)*6/'THAM_SO_MOI'!$C$42</f>
        <v>22.221520833333333</v>
      </c>
      <c r="G813" s="75">
        <f>3.6*F813</f>
        <v>79.997475</v>
      </c>
      <c r="H813" s="75">
        <f>'THAM_SO_MOI'!$D$53</f>
        <v>1.1</v>
      </c>
      <c r="I813" s="75">
        <f>IF(F813&gt;='THAM_SO_MOI'!$C$14,'THAM_SO_MOI'!$C$13*(1+F813^2/1500),'THAM_SO_MOI'!$C$13)</f>
        <v>0.019937959881462672</v>
      </c>
      <c r="J813" s="75">
        <f>'THAM_SO_MOI'!$C$40*('THAM_SO_MOI'!$C$23*(E813/'THAM_SO_MOI'!$C$22)+'THAM_SO_MOI'!$C$24*(E813/'THAM_SO_MOI'!$C$22)^2-'THAM_SO_MOI'!$C$25*(E813/'THAM_SO_MOI'!$C$22)^3)</f>
        <v>98.59310734060168</v>
      </c>
      <c r="K813" s="75">
        <f>'THAM_SO_MOI'!$C$31*J813/E813</f>
        <v>430.10436558474856</v>
      </c>
      <c r="L813" s="75">
        <f>K813*'THAM_SO_MOI'!$C$53*'THAM_SO_MOI'!$C$17/'THAM_SO_MOI'!$C$26</f>
        <v>3772.016969163104</v>
      </c>
      <c r="M813" s="75">
        <f>'THAM_SO_MOI'!$C$15*'THAM_SO_MOI'!$C$16*F813^2</f>
        <v>1444.353265327832</v>
      </c>
      <c r="N813" s="75">
        <f>'THAM_SO_MOI'!$C$12*I813</f>
        <v>1502.141847837303</v>
      </c>
      <c r="O813" s="75">
        <f>M813+N813</f>
        <v>2946.495113165135</v>
      </c>
      <c r="P813" s="75">
        <f>(MIN(L813,'THAM_SO_MOI'!$C$41)-O813)/('THAM_SO_MOI'!$C$11*H813)</f>
        <v>0.09771802272703231</v>
      </c>
      <c r="Q813" s="75">
        <f>IF(P813&gt;0,1/P813,NA())</f>
        <v>10.233526754766848</v>
      </c>
      <c r="R813" s="75">
        <f>F813-F812</f>
        <v>0.0035868055555567935</v>
      </c>
      <c r="S813" s="75">
        <f>0.5*(Q812+Q813)*R813</f>
        <v>0.036692494271447315</v>
      </c>
      <c r="T813" s="75">
        <f>0.5*(F812*Q812+F813*Q813)*R813</f>
        <v>0.815297245089275</v>
      </c>
      <c r="U813" s="76">
        <f>U812+S813</f>
        <v>72.69492608960995</v>
      </c>
      <c r="V813" s="76">
        <f>V812+T813</f>
        <v>1130.03847753617</v>
      </c>
    </row>
    <row r="814" spans="1:22" ht="19" customHeight="1">
      <c r="A814" s="68" t="s">
        <v>362</v>
      </c>
      <c r="B814" s="74">
        <v>5</v>
      </c>
      <c r="C814" s="68" t="s">
        <v>363</v>
      </c>
      <c r="D814" s="68" t="s">
        <v>365</v>
      </c>
      <c r="E814" s="75">
        <f>60*F814*'THAM_SO_MOI'!$C$53/(2*PI()*'THAM_SO_MOI'!$C$26)</f>
        <v>2189.75797368421</v>
      </c>
      <c r="F814" s="75">
        <f>'THAM_SO_MOI'!$C$14+('THAM_SO_MOI'!$C$37-'THAM_SO_MOI'!$C$14)*7/'THAM_SO_MOI'!$C$42</f>
        <v>22.22510763888889</v>
      </c>
      <c r="G814" s="75">
        <f>3.6*F814</f>
        <v>80.01038750000001</v>
      </c>
      <c r="H814" s="75">
        <f>'THAM_SO_MOI'!$D$53</f>
        <v>1.1</v>
      </c>
      <c r="I814" s="75">
        <f>IF(F814&gt;='THAM_SO_MOI'!$C$14,'THAM_SO_MOI'!$C$13*(1+F814^2/1500),'THAM_SO_MOI'!$C$13)</f>
        <v>0.019939554095601972</v>
      </c>
      <c r="J814" s="75">
        <f>'THAM_SO_MOI'!$C$40*('THAM_SO_MOI'!$C$23*(E814/'THAM_SO_MOI'!$C$22)+'THAM_SO_MOI'!$C$24*(E814/'THAM_SO_MOI'!$C$22)^2-'THAM_SO_MOI'!$C$25*(E814/'THAM_SO_MOI'!$C$22)^3)</f>
        <v>98.6088412699576</v>
      </c>
      <c r="K814" s="75">
        <f>'THAM_SO_MOI'!$C$31*J814/E814</f>
        <v>430.10357996734854</v>
      </c>
      <c r="L814" s="75">
        <f>K814*'THAM_SO_MOI'!$C$53*'THAM_SO_MOI'!$C$17/'THAM_SO_MOI'!$C$26</f>
        <v>3772.0100792954313</v>
      </c>
      <c r="M814" s="75">
        <f>'THAM_SO_MOI'!$C$15*'THAM_SO_MOI'!$C$16*F814^2</f>
        <v>1444.8195729635772</v>
      </c>
      <c r="N814" s="75">
        <f>'THAM_SO_MOI'!$C$12*I814</f>
        <v>1502.261957205929</v>
      </c>
      <c r="O814" s="75">
        <f>M814+N814</f>
        <v>2947.0815301695066</v>
      </c>
      <c r="P814" s="75">
        <f>(MIN(L814,'THAM_SO_MOI'!$C$41)-O814)/('THAM_SO_MOI'!$C$11*H814)</f>
        <v>0.09764779227342862</v>
      </c>
      <c r="Q814" s="75">
        <f>IF(P814&gt;0,1/P814,NA())</f>
        <v>10.240886933724505</v>
      </c>
      <c r="R814" s="75">
        <f>F814-F813</f>
        <v>0.0035868055555567935</v>
      </c>
      <c r="S814" s="75">
        <f>0.5*(Q813+Q814)*R814</f>
        <v>0.03671887038232442</v>
      </c>
      <c r="T814" s="75">
        <f>0.5*(F813*Q813+F814*Q814)*R814</f>
        <v>0.8160150185739249</v>
      </c>
      <c r="U814" s="76">
        <f>U813+S814</f>
        <v>72.73164495999228</v>
      </c>
      <c r="V814" s="76">
        <f>V813+T814</f>
        <v>1130.854492554744</v>
      </c>
    </row>
    <row r="815" spans="1:22" ht="19" customHeight="1">
      <c r="A815" s="68" t="s">
        <v>362</v>
      </c>
      <c r="B815" s="74">
        <v>5</v>
      </c>
      <c r="C815" s="68" t="s">
        <v>363</v>
      </c>
      <c r="D815" s="68" t="s">
        <v>365</v>
      </c>
      <c r="E815" s="75">
        <f>60*F815*'THAM_SO_MOI'!$C$53/(2*PI()*'THAM_SO_MOI'!$C$26)</f>
        <v>2190.1113684210522</v>
      </c>
      <c r="F815" s="75">
        <f>'THAM_SO_MOI'!$C$14+('THAM_SO_MOI'!$C$37-'THAM_SO_MOI'!$C$14)*8/'THAM_SO_MOI'!$C$42</f>
        <v>22.228694444444443</v>
      </c>
      <c r="G815" s="75">
        <f>3.6*F815</f>
        <v>80.02329999999999</v>
      </c>
      <c r="H815" s="75">
        <f>'THAM_SO_MOI'!$D$53</f>
        <v>1.1</v>
      </c>
      <c r="I815" s="75">
        <f>IF(F815&gt;='THAM_SO_MOI'!$C$14,'THAM_SO_MOI'!$C$13*(1+F815^2/1500),'THAM_SO_MOI'!$C$13)</f>
        <v>0.01994114856704475</v>
      </c>
      <c r="J815" s="75">
        <f>'THAM_SO_MOI'!$C$40*('THAM_SO_MOI'!$C$23*(E815/'THAM_SO_MOI'!$C$22)+'THAM_SO_MOI'!$C$24*(E815/'THAM_SO_MOI'!$C$22)^2-'THAM_SO_MOI'!$C$25*(E815/'THAM_SO_MOI'!$C$22)^3)</f>
        <v>98.62457236292549</v>
      </c>
      <c r="K815" s="75">
        <f>'THAM_SO_MOI'!$C$31*J815/E815</f>
        <v>430.1027822339641</v>
      </c>
      <c r="L815" s="75">
        <f>K815*'THAM_SO_MOI'!$C$53*'THAM_SO_MOI'!$C$17/'THAM_SO_MOI'!$C$26</f>
        <v>3772.003083170528</v>
      </c>
      <c r="M815" s="75">
        <f>'THAM_SO_MOI'!$C$15*'THAM_SO_MOI'!$C$16*F815^2</f>
        <v>1445.2859558605903</v>
      </c>
      <c r="N815" s="75">
        <f>'THAM_SO_MOI'!$C$12*I815</f>
        <v>1502.3820859600053</v>
      </c>
      <c r="O815" s="75">
        <f>M815+N815</f>
        <v>2947.6680418205956</v>
      </c>
      <c r="P815" s="75">
        <f>(MIN(L815,'THAM_SO_MOI'!$C$41)-O815)/('THAM_SO_MOI'!$C$11*H815)</f>
        <v>0.09757753803858099</v>
      </c>
      <c r="Q815" s="75">
        <f>IF(P815&gt;0,1/P815,NA())</f>
        <v>10.24826020517767</v>
      </c>
      <c r="R815" s="75">
        <f>F815-F814</f>
        <v>0.0035868055555532408</v>
      </c>
      <c r="S815" s="75">
        <f>0.5*(Q814+Q815)*R815</f>
        <v>0.036745293393181055</v>
      </c>
      <c r="T815" s="75">
        <f>0.5*(F814*Q814+F815*Q815)*R815</f>
        <v>0.8167340237118484</v>
      </c>
      <c r="U815" s="76">
        <f>U814+S815</f>
        <v>72.76839025338546</v>
      </c>
      <c r="V815" s="76">
        <f>V814+T815</f>
        <v>1131.6712265784558</v>
      </c>
    </row>
    <row r="816" spans="1:22" ht="19" customHeight="1">
      <c r="A816" s="68" t="s">
        <v>362</v>
      </c>
      <c r="B816" s="74">
        <v>5</v>
      </c>
      <c r="C816" s="68" t="s">
        <v>363</v>
      </c>
      <c r="D816" s="68" t="s">
        <v>365</v>
      </c>
      <c r="E816" s="75">
        <f>60*F816*'THAM_SO_MOI'!$C$53/(2*PI()*'THAM_SO_MOI'!$C$26)</f>
        <v>2190.464763157894</v>
      </c>
      <c r="F816" s="75">
        <f>'THAM_SO_MOI'!$C$14+('THAM_SO_MOI'!$C$37-'THAM_SO_MOI'!$C$14)*9/'THAM_SO_MOI'!$C$42</f>
        <v>22.23228125</v>
      </c>
      <c r="G816" s="75">
        <f>3.6*F816</f>
        <v>80.0362125</v>
      </c>
      <c r="H816" s="75">
        <f>'THAM_SO_MOI'!$D$53</f>
        <v>1.1</v>
      </c>
      <c r="I816" s="75">
        <f>IF(F816&gt;='THAM_SO_MOI'!$C$14,'THAM_SO_MOI'!$C$13*(1+F816^2/1500),'THAM_SO_MOI'!$C$13)</f>
        <v>0.019942743295791016</v>
      </c>
      <c r="J816" s="75">
        <f>'THAM_SO_MOI'!$C$40*('THAM_SO_MOI'!$C$23*(E816/'THAM_SO_MOI'!$C$22)+'THAM_SO_MOI'!$C$24*(E816/'THAM_SO_MOI'!$C$22)^2-'THAM_SO_MOI'!$C$25*(E816/'THAM_SO_MOI'!$C$22)^3)</f>
        <v>98.6403006181604</v>
      </c>
      <c r="K816" s="75">
        <f>'THAM_SO_MOI'!$C$31*J816/E816</f>
        <v>430.1019723845951</v>
      </c>
      <c r="L816" s="75">
        <f>K816*'THAM_SO_MOI'!$C$53*'THAM_SO_MOI'!$C$17/'THAM_SO_MOI'!$C$26</f>
        <v>3771.995980788394</v>
      </c>
      <c r="M816" s="75">
        <f>'THAM_SO_MOI'!$C$15*'THAM_SO_MOI'!$C$16*F816^2</f>
        <v>1445.7524140188723</v>
      </c>
      <c r="N816" s="75">
        <f>'THAM_SO_MOI'!$C$12*I816</f>
        <v>1502.5022340995317</v>
      </c>
      <c r="O816" s="75">
        <f>M816+N816</f>
        <v>2948.254648118404</v>
      </c>
      <c r="P816" s="75">
        <f>(MIN(L816,'THAM_SO_MOI'!$C$41)-O816)/('THAM_SO_MOI'!$C$11*H816)</f>
        <v>0.09750726002248934</v>
      </c>
      <c r="Q816" s="75">
        <f>IF(P816&gt;0,1/P816,NA())</f>
        <v>10.255646602820725</v>
      </c>
      <c r="R816" s="75">
        <f>F816-F815</f>
        <v>0.0035868055555567935</v>
      </c>
      <c r="S816" s="75">
        <f>0.5*(Q815+Q816)*R816</f>
        <v>0.03677176342477371</v>
      </c>
      <c r="T816" s="75">
        <f>0.5*(F815*Q815+F816*Q816)*R816</f>
        <v>0.8174542636921852</v>
      </c>
      <c r="U816" s="76">
        <f>U815+S816</f>
        <v>72.80516201681023</v>
      </c>
      <c r="V816" s="76">
        <f>V815+T816</f>
        <v>1132.4886808421481</v>
      </c>
    </row>
    <row r="817" spans="1:22" ht="19" customHeight="1">
      <c r="A817" s="68" t="s">
        <v>362</v>
      </c>
      <c r="B817" s="74">
        <v>5</v>
      </c>
      <c r="C817" s="68" t="s">
        <v>363</v>
      </c>
      <c r="D817" s="68" t="s">
        <v>365</v>
      </c>
      <c r="E817" s="75">
        <f>60*F817*'THAM_SO_MOI'!$C$53/(2*PI()*'THAM_SO_MOI'!$C$26)</f>
        <v>2190.8181578947365</v>
      </c>
      <c r="F817" s="75">
        <f>'THAM_SO_MOI'!$C$14+('THAM_SO_MOI'!$C$37-'THAM_SO_MOI'!$C$14)*10/'THAM_SO_MOI'!$C$42</f>
        <v>22.235868055555557</v>
      </c>
      <c r="G817" s="75">
        <f>3.6*F817</f>
        <v>80.049125</v>
      </c>
      <c r="H817" s="75">
        <f>'THAM_SO_MOI'!$D$53</f>
        <v>1.1</v>
      </c>
      <c r="I817" s="75">
        <f>IF(F817&gt;='THAM_SO_MOI'!$C$14,'THAM_SO_MOI'!$C$13*(1+F817^2/1500),'THAM_SO_MOI'!$C$13)</f>
        <v>0.01994433828184076</v>
      </c>
      <c r="J817" s="75">
        <f>'THAM_SO_MOI'!$C$40*('THAM_SO_MOI'!$C$23*(E817/'THAM_SO_MOI'!$C$22)+'THAM_SO_MOI'!$C$24*(E817/'THAM_SO_MOI'!$C$22)^2-'THAM_SO_MOI'!$C$25*(E817/'THAM_SO_MOI'!$C$22)^3)</f>
        <v>98.65602603431745</v>
      </c>
      <c r="K817" s="75">
        <f>'THAM_SO_MOI'!$C$31*J817/E817</f>
        <v>430.10115041924155</v>
      </c>
      <c r="L817" s="75">
        <f>K817*'THAM_SO_MOI'!$C$53*'THAM_SO_MOI'!$C$17/'THAM_SO_MOI'!$C$26</f>
        <v>3771.9887721490268</v>
      </c>
      <c r="M817" s="75">
        <f>'THAM_SO_MOI'!$C$15*'THAM_SO_MOI'!$C$16*F817^2</f>
        <v>1446.2189474384224</v>
      </c>
      <c r="N817" s="75">
        <f>'THAM_SO_MOI'!$C$12*I817</f>
        <v>1502.6224016245085</v>
      </c>
      <c r="O817" s="75">
        <f>M817+N817</f>
        <v>2948.841349062931</v>
      </c>
      <c r="P817" s="75">
        <f>(MIN(L817,'THAM_SO_MOI'!$C$41)-O817)/('THAM_SO_MOI'!$C$11*H817)</f>
        <v>0.09743695822515341</v>
      </c>
      <c r="Q817" s="75">
        <f>IF(P817&gt;0,1/P817,NA())</f>
        <v>10.263046160464494</v>
      </c>
      <c r="R817" s="75">
        <f>F817-F816</f>
        <v>0.0035868055555567935</v>
      </c>
      <c r="S817" s="75">
        <f>0.5*(Q816+Q817)*R817</f>
        <v>0.0367982805980572</v>
      </c>
      <c r="T817" s="75">
        <f>0.5*(F816*Q816+F817*Q817)*R817</f>
        <v>0.8181757417102173</v>
      </c>
      <c r="U817" s="76">
        <f>U816+S817</f>
        <v>72.84196029740829</v>
      </c>
      <c r="V817" s="76">
        <f>V816+T817</f>
        <v>1133.3068565838585</v>
      </c>
    </row>
    <row r="818" spans="1:22" ht="19" customHeight="1">
      <c r="A818" s="68" t="s">
        <v>362</v>
      </c>
      <c r="B818" s="74">
        <v>5</v>
      </c>
      <c r="C818" s="68" t="s">
        <v>363</v>
      </c>
      <c r="D818" s="68" t="s">
        <v>365</v>
      </c>
      <c r="E818" s="75">
        <f>60*F818*'THAM_SO_MOI'!$C$53/(2*PI()*'THAM_SO_MOI'!$C$26)</f>
        <v>2191.1715526315784</v>
      </c>
      <c r="F818" s="75">
        <f>'THAM_SO_MOI'!$C$14+('THAM_SO_MOI'!$C$37-'THAM_SO_MOI'!$C$14)*11/'THAM_SO_MOI'!$C$42</f>
        <v>22.23945486111111</v>
      </c>
      <c r="G818" s="75">
        <f>3.6*F818</f>
        <v>80.0620375</v>
      </c>
      <c r="H818" s="75">
        <f>'THAM_SO_MOI'!$D$53</f>
        <v>1.1</v>
      </c>
      <c r="I818" s="75">
        <f>IF(F818&gt;='THAM_SO_MOI'!$C$14,'THAM_SO_MOI'!$C$13*(1+F818^2/1500),'THAM_SO_MOI'!$C$13)</f>
        <v>0.019945933525193985</v>
      </c>
      <c r="J818" s="75">
        <f>'THAM_SO_MOI'!$C$40*('THAM_SO_MOI'!$C$23*(E818/'THAM_SO_MOI'!$C$22)+'THAM_SO_MOI'!$C$24*(E818/'THAM_SO_MOI'!$C$22)^2-'THAM_SO_MOI'!$C$25*(E818/'THAM_SO_MOI'!$C$22)^3)</f>
        <v>98.67174861005178</v>
      </c>
      <c r="K818" s="75">
        <f>'THAM_SO_MOI'!$C$31*J818/E818</f>
        <v>430.1003163379037</v>
      </c>
      <c r="L818" s="75">
        <f>K818*'THAM_SO_MOI'!$C$53*'THAM_SO_MOI'!$C$17/'THAM_SO_MOI'!$C$26</f>
        <v>3771.9814572524297</v>
      </c>
      <c r="M818" s="75">
        <f>'THAM_SO_MOI'!$C$15*'THAM_SO_MOI'!$C$16*F818^2</f>
        <v>1446.6855561192408</v>
      </c>
      <c r="N818" s="75">
        <f>'THAM_SO_MOI'!$C$12*I818</f>
        <v>1502.742588534935</v>
      </c>
      <c r="O818" s="75">
        <f>M818+N818</f>
        <v>2949.428144654176</v>
      </c>
      <c r="P818" s="75">
        <f>(MIN(L818,'THAM_SO_MOI'!$C$41)-O818)/('THAM_SO_MOI'!$C$11*H818)</f>
        <v>0.09736663264657358</v>
      </c>
      <c r="Q818" s="75">
        <f>IF(P818&gt;0,1/P818,NA())</f>
        <v>10.270458912036647</v>
      </c>
      <c r="R818" s="75">
        <f>F818-F817</f>
        <v>0.0035868055555532408</v>
      </c>
      <c r="S818" s="75">
        <f>0.5*(Q817+Q818)*R818</f>
        <v>0.03682484503451387</v>
      </c>
      <c r="T818" s="75">
        <f>0.5*(F817*Q817+F818*Q818)*R818</f>
        <v>0.8188984609746917</v>
      </c>
      <c r="U818" s="76">
        <f>U817+S818</f>
        <v>72.87878514244281</v>
      </c>
      <c r="V818" s="76">
        <f>V817+T818</f>
        <v>1134.125755044833</v>
      </c>
    </row>
    <row r="819" spans="1:22" ht="19" customHeight="1">
      <c r="A819" s="68" t="s">
        <v>362</v>
      </c>
      <c r="B819" s="74">
        <v>5</v>
      </c>
      <c r="C819" s="68" t="s">
        <v>363</v>
      </c>
      <c r="D819" s="68" t="s">
        <v>365</v>
      </c>
      <c r="E819" s="75">
        <f>60*F819*'THAM_SO_MOI'!$C$53/(2*PI()*'THAM_SO_MOI'!$C$26)</f>
        <v>2191.5249473684207</v>
      </c>
      <c r="F819" s="75">
        <f>'THAM_SO_MOI'!$C$14+('THAM_SO_MOI'!$C$37-'THAM_SO_MOI'!$C$14)*12/'THAM_SO_MOI'!$C$42</f>
        <v>22.243041666666667</v>
      </c>
      <c r="G819" s="75">
        <f>3.6*F819</f>
        <v>80.07495</v>
      </c>
      <c r="H819" s="75">
        <f>'THAM_SO_MOI'!$D$53</f>
        <v>1.1</v>
      </c>
      <c r="I819" s="75">
        <f>IF(F819&gt;='THAM_SO_MOI'!$C$14,'THAM_SO_MOI'!$C$13*(1+F819^2/1500),'THAM_SO_MOI'!$C$13)</f>
        <v>0.019947529025850695</v>
      </c>
      <c r="J819" s="75">
        <f>'THAM_SO_MOI'!$C$40*('THAM_SO_MOI'!$C$23*(E819/'THAM_SO_MOI'!$C$22)+'THAM_SO_MOI'!$C$24*(E819/'THAM_SO_MOI'!$C$22)^2-'THAM_SO_MOI'!$C$25*(E819/'THAM_SO_MOI'!$C$22)^3)</f>
        <v>98.6874683440185</v>
      </c>
      <c r="K819" s="75">
        <f>'THAM_SO_MOI'!$C$31*J819/E819</f>
        <v>430.0994701405813</v>
      </c>
      <c r="L819" s="75">
        <f>K819*'THAM_SO_MOI'!$C$53*'THAM_SO_MOI'!$C$17/'THAM_SO_MOI'!$C$26</f>
        <v>3771.974036098601</v>
      </c>
      <c r="M819" s="75">
        <f>'THAM_SO_MOI'!$C$15*'THAM_SO_MOI'!$C$16*F819^2</f>
        <v>1447.1522400613285</v>
      </c>
      <c r="N819" s="75">
        <f>'THAM_SO_MOI'!$C$12*I819</f>
        <v>1502.8627948308122</v>
      </c>
      <c r="O819" s="75">
        <f>M819+N819</f>
        <v>2950.0150348921406</v>
      </c>
      <c r="P819" s="75">
        <f>(MIN(L819,'THAM_SO_MOI'!$C$41)-O819)/('THAM_SO_MOI'!$C$11*H819)</f>
        <v>0.09729628328674958</v>
      </c>
      <c r="Q819" s="75">
        <f>IF(P819&gt;0,1/P819,NA())</f>
        <v>10.277884891582351</v>
      </c>
      <c r="R819" s="75">
        <f>F819-F818</f>
        <v>0.0035868055555567935</v>
      </c>
      <c r="S819" s="75">
        <f>0.5*(Q818+Q819)*R819</f>
        <v>0.03685145685615582</v>
      </c>
      <c r="T819" s="75">
        <f>0.5*(F818*Q818+F819*Q819)*R819</f>
        <v>0.8196224247078818</v>
      </c>
      <c r="U819" s="76">
        <f>U818+S819</f>
        <v>72.91563659929896</v>
      </c>
      <c r="V819" s="76">
        <f>V818+T819</f>
        <v>1134.945377469541</v>
      </c>
    </row>
    <row r="820" spans="1:22" ht="19" customHeight="1">
      <c r="A820" s="68" t="s">
        <v>362</v>
      </c>
      <c r="B820" s="74">
        <v>5</v>
      </c>
      <c r="C820" s="68" t="s">
        <v>363</v>
      </c>
      <c r="D820" s="68" t="s">
        <v>365</v>
      </c>
      <c r="E820" s="75">
        <f>60*F820*'THAM_SO_MOI'!$C$53/(2*PI()*'THAM_SO_MOI'!$C$26)</f>
        <v>2191.8783421052626</v>
      </c>
      <c r="F820" s="75">
        <f>'THAM_SO_MOI'!$C$14+('THAM_SO_MOI'!$C$37-'THAM_SO_MOI'!$C$14)*13/'THAM_SO_MOI'!$C$42</f>
        <v>22.24662847222222</v>
      </c>
      <c r="G820" s="75">
        <f>3.6*F820</f>
        <v>80.0878625</v>
      </c>
      <c r="H820" s="75">
        <f>'THAM_SO_MOI'!$D$53</f>
        <v>1.1</v>
      </c>
      <c r="I820" s="75">
        <f>IF(F820&gt;='THAM_SO_MOI'!$C$14,'THAM_SO_MOI'!$C$13*(1+F820^2/1500),'THAM_SO_MOI'!$C$13)</f>
        <v>0.019949124783810886</v>
      </c>
      <c r="J820" s="75">
        <f>'THAM_SO_MOI'!$C$40*('THAM_SO_MOI'!$C$23*(E820/'THAM_SO_MOI'!$C$22)+'THAM_SO_MOI'!$C$24*(E820/'THAM_SO_MOI'!$C$22)^2-'THAM_SO_MOI'!$C$25*(E820/'THAM_SO_MOI'!$C$22)^3)</f>
        <v>98.70318523487269</v>
      </c>
      <c r="K820" s="75">
        <f>'THAM_SO_MOI'!$C$31*J820/E820</f>
        <v>430.09861182727445</v>
      </c>
      <c r="L820" s="75">
        <f>K820*'THAM_SO_MOI'!$C$53*'THAM_SO_MOI'!$C$17/'THAM_SO_MOI'!$C$26</f>
        <v>3771.9665086875416</v>
      </c>
      <c r="M820" s="75">
        <f>'THAM_SO_MOI'!$C$15*'THAM_SO_MOI'!$C$16*F820^2</f>
        <v>1447.6189992646835</v>
      </c>
      <c r="N820" s="75">
        <f>'THAM_SO_MOI'!$C$12*I820</f>
        <v>1502.9830205121393</v>
      </c>
      <c r="O820" s="75">
        <f>M820+N820</f>
        <v>2950.602019776823</v>
      </c>
      <c r="P820" s="75">
        <f>(MIN(L820,'THAM_SO_MOI'!$C$41)-O820)/('THAM_SO_MOI'!$C$11*H820)</f>
        <v>0.09722591014568165</v>
      </c>
      <c r="Q820" s="75">
        <f>IF(P820&gt;0,1/P820,NA())</f>
        <v>10.285324133264652</v>
      </c>
      <c r="R820" s="75">
        <f>F820-F819</f>
        <v>0.0035868055555532408</v>
      </c>
      <c r="S820" s="75">
        <f>0.5*(Q819+Q820)*R820</f>
        <v>0.03687811618516189</v>
      </c>
      <c r="T820" s="75">
        <f>0.5*(F819*Q819+F820*Q820)*R820</f>
        <v>0.8203476361375207</v>
      </c>
      <c r="U820" s="76">
        <f>U819+S820</f>
        <v>72.95251471548413</v>
      </c>
      <c r="V820" s="76">
        <f>V819+T820</f>
        <v>1135.7657251056785</v>
      </c>
    </row>
    <row r="821" spans="1:22" ht="19" customHeight="1">
      <c r="A821" s="68" t="s">
        <v>362</v>
      </c>
      <c r="B821" s="74">
        <v>5</v>
      </c>
      <c r="C821" s="68" t="s">
        <v>363</v>
      </c>
      <c r="D821" s="68" t="s">
        <v>365</v>
      </c>
      <c r="E821" s="75">
        <f>60*F821*'THAM_SO_MOI'!$C$53/(2*PI()*'THAM_SO_MOI'!$C$26)</f>
        <v>2192.2317368421045</v>
      </c>
      <c r="F821" s="75">
        <f>'THAM_SO_MOI'!$C$14+('THAM_SO_MOI'!$C$37-'THAM_SO_MOI'!$C$14)*14/'THAM_SO_MOI'!$C$42</f>
        <v>22.250215277777777</v>
      </c>
      <c r="G821" s="75">
        <f>3.6*F821</f>
        <v>80.100775</v>
      </c>
      <c r="H821" s="75">
        <f>'THAM_SO_MOI'!$D$53</f>
        <v>1.1</v>
      </c>
      <c r="I821" s="75">
        <f>IF(F821&gt;='THAM_SO_MOI'!$C$14,'THAM_SO_MOI'!$C$13*(1+F821^2/1500),'THAM_SO_MOI'!$C$13)</f>
        <v>0.019950720799074555</v>
      </c>
      <c r="J821" s="75">
        <f>'THAM_SO_MOI'!$C$40*('THAM_SO_MOI'!$C$23*(E821/'THAM_SO_MOI'!$C$22)+'THAM_SO_MOI'!$C$24*(E821/'THAM_SO_MOI'!$C$22)^2-'THAM_SO_MOI'!$C$25*(E821/'THAM_SO_MOI'!$C$22)^3)</f>
        <v>98.71889928126947</v>
      </c>
      <c r="K821" s="75">
        <f>'THAM_SO_MOI'!$C$31*J821/E821</f>
        <v>430.0977413979831</v>
      </c>
      <c r="L821" s="75">
        <f>K821*'THAM_SO_MOI'!$C$53*'THAM_SO_MOI'!$C$17/'THAM_SO_MOI'!$C$26</f>
        <v>3771.9588750192506</v>
      </c>
      <c r="M821" s="75">
        <f>'THAM_SO_MOI'!$C$15*'THAM_SO_MOI'!$C$16*F821^2</f>
        <v>1448.0858337293078</v>
      </c>
      <c r="N821" s="75">
        <f>'THAM_SO_MOI'!$C$12*I821</f>
        <v>1503.1032655789163</v>
      </c>
      <c r="O821" s="75">
        <f>M821+N821</f>
        <v>2951.1890993082243</v>
      </c>
      <c r="P821" s="75">
        <f>(MIN(L821,'THAM_SO_MOI'!$C$41)-O821)/('THAM_SO_MOI'!$C$11*H821)</f>
        <v>0.09715551322336966</v>
      </c>
      <c r="Q821" s="75">
        <f>IF(P821&gt;0,1/P821,NA())</f>
        <v>10.292776671365072</v>
      </c>
      <c r="R821" s="75">
        <f>F821-F820</f>
        <v>0.0035868055555567935</v>
      </c>
      <c r="S821" s="75">
        <f>0.5*(Q820+Q821)*R821</f>
        <v>0.03690482314442681</v>
      </c>
      <c r="T821" s="75">
        <f>0.5*(F820*Q820+F821*Q821)*R821</f>
        <v>0.8210740985090217</v>
      </c>
      <c r="U821" s="76">
        <f>U820+S821</f>
        <v>72.98941953862855</v>
      </c>
      <c r="V821" s="76">
        <f>V820+T821</f>
        <v>1136.5867992041874</v>
      </c>
    </row>
    <row r="822" spans="1:22" ht="19" customHeight="1">
      <c r="A822" s="68" t="s">
        <v>362</v>
      </c>
      <c r="B822" s="74">
        <v>5</v>
      </c>
      <c r="C822" s="68" t="s">
        <v>363</v>
      </c>
      <c r="D822" s="68" t="s">
        <v>365</v>
      </c>
      <c r="E822" s="75">
        <f>60*F822*'THAM_SO_MOI'!$C$53/(2*PI()*'THAM_SO_MOI'!$C$26)</f>
        <v>2192.585131578947</v>
      </c>
      <c r="F822" s="75">
        <f>'THAM_SO_MOI'!$C$14+('THAM_SO_MOI'!$C$37-'THAM_SO_MOI'!$C$14)*15/'THAM_SO_MOI'!$C$42</f>
        <v>22.253802083333333</v>
      </c>
      <c r="G822" s="75">
        <f>3.6*F822</f>
        <v>80.1136875</v>
      </c>
      <c r="H822" s="75">
        <f>'THAM_SO_MOI'!$D$53</f>
        <v>1.1</v>
      </c>
      <c r="I822" s="75">
        <f>IF(F822&gt;='THAM_SO_MOI'!$C$14,'THAM_SO_MOI'!$C$13*(1+F822^2/1500),'THAM_SO_MOI'!$C$13)</f>
        <v>0.01995231707164171</v>
      </c>
      <c r="J822" s="75">
        <f>'THAM_SO_MOI'!$C$40*('THAM_SO_MOI'!$C$23*(E822/'THAM_SO_MOI'!$C$22)+'THAM_SO_MOI'!$C$24*(E822/'THAM_SO_MOI'!$C$22)^2-'THAM_SO_MOI'!$C$25*(E822/'THAM_SO_MOI'!$C$22)^3)</f>
        <v>98.73461048186404</v>
      </c>
      <c r="K822" s="75">
        <f>'THAM_SO_MOI'!$C$31*J822/E822</f>
        <v>430.09685885270756</v>
      </c>
      <c r="L822" s="75">
        <f>K822*'THAM_SO_MOI'!$C$53*'THAM_SO_MOI'!$C$17/'THAM_SO_MOI'!$C$26</f>
        <v>3771.951135093731</v>
      </c>
      <c r="M822" s="75">
        <f>'THAM_SO_MOI'!$C$15*'THAM_SO_MOI'!$C$16*F822^2</f>
        <v>1448.5527434552002</v>
      </c>
      <c r="N822" s="75">
        <f>'THAM_SO_MOI'!$C$12*I822</f>
        <v>1503.2235300311438</v>
      </c>
      <c r="O822" s="75">
        <f>M822+N822</f>
        <v>2951.776273486344</v>
      </c>
      <c r="P822" s="75">
        <f>(MIN(L822,'THAM_SO_MOI'!$C$41)-O822)/('THAM_SO_MOI'!$C$11*H822)</f>
        <v>0.09708509251981376</v>
      </c>
      <c r="Q822" s="75">
        <f>IF(P822&gt;0,1/P822,NA())</f>
        <v>10.300242540284065</v>
      </c>
      <c r="R822" s="75">
        <f>F822-F821</f>
        <v>0.0035868055555567935</v>
      </c>
      <c r="S822" s="75">
        <f>0.5*(Q821+Q822)*R822</f>
        <v>0.03693157785701545</v>
      </c>
      <c r="T822" s="75">
        <f>0.5*(F821*Q821+F822*Q822)*R822</f>
        <v>0.8218018150733469</v>
      </c>
      <c r="U822" s="76">
        <f>U821+S822</f>
        <v>73.02635111648557</v>
      </c>
      <c r="V822" s="76">
        <f>V821+T822</f>
        <v>1137.4086010192607</v>
      </c>
    </row>
    <row r="823" spans="1:22" ht="19" customHeight="1">
      <c r="A823" s="68" t="s">
        <v>362</v>
      </c>
      <c r="B823" s="74">
        <v>5</v>
      </c>
      <c r="C823" s="68" t="s">
        <v>363</v>
      </c>
      <c r="D823" s="68" t="s">
        <v>365</v>
      </c>
      <c r="E823" s="75">
        <f>60*F823*'THAM_SO_MOI'!$C$53/(2*PI()*'THAM_SO_MOI'!$C$26)</f>
        <v>2192.9385263157887</v>
      </c>
      <c r="F823" s="75">
        <f>'THAM_SO_MOI'!$C$14+('THAM_SO_MOI'!$C$37-'THAM_SO_MOI'!$C$14)*16/'THAM_SO_MOI'!$C$42</f>
        <v>22.257388888888887</v>
      </c>
      <c r="G823" s="75">
        <f>3.6*F823</f>
        <v>80.1266</v>
      </c>
      <c r="H823" s="75">
        <f>'THAM_SO_MOI'!$D$53</f>
        <v>1.1</v>
      </c>
      <c r="I823" s="75">
        <f>IF(F823&gt;='THAM_SO_MOI'!$C$14,'THAM_SO_MOI'!$C$13*(1+F823^2/1500),'THAM_SO_MOI'!$C$13)</f>
        <v>0.019953913601512344</v>
      </c>
      <c r="J823" s="75">
        <f>'THAM_SO_MOI'!$C$40*('THAM_SO_MOI'!$C$23*(E823/'THAM_SO_MOI'!$C$22)+'THAM_SO_MOI'!$C$24*(E823/'THAM_SO_MOI'!$C$22)^2-'THAM_SO_MOI'!$C$25*(E823/'THAM_SO_MOI'!$C$22)^3)</f>
        <v>98.75031883531136</v>
      </c>
      <c r="K823" s="75">
        <f>'THAM_SO_MOI'!$C$31*J823/E823</f>
        <v>430.0959641914473</v>
      </c>
      <c r="L823" s="75">
        <f>K823*'THAM_SO_MOI'!$C$53*'THAM_SO_MOI'!$C$17/'THAM_SO_MOI'!$C$26</f>
        <v>3771.9432889109776</v>
      </c>
      <c r="M823" s="75">
        <f>'THAM_SO_MOI'!$C$15*'THAM_SO_MOI'!$C$16*F823^2</f>
        <v>1449.019728442361</v>
      </c>
      <c r="N823" s="75">
        <f>'THAM_SO_MOI'!$C$12*I823</f>
        <v>1503.3438138688211</v>
      </c>
      <c r="O823" s="75">
        <f>M823+N823</f>
        <v>2952.363542311182</v>
      </c>
      <c r="P823" s="75">
        <f>(MIN(L823,'THAM_SO_MOI'!$C$41)-O823)/('THAM_SO_MOI'!$C$11*H823)</f>
        <v>0.09701464803501364</v>
      </c>
      <c r="Q823" s="75">
        <f>IF(P823&gt;0,1/P823,NA())</f>
        <v>10.307721774541605</v>
      </c>
      <c r="R823" s="75">
        <f>F823-F822</f>
        <v>0.0035868055555532408</v>
      </c>
      <c r="S823" s="75">
        <f>0.5*(Q822+Q823)*R823</f>
        <v>0.036958380446529826</v>
      </c>
      <c r="T823" s="75">
        <f>0.5*(F822*Q822+F823*Q823)*R823</f>
        <v>0.822530789095179</v>
      </c>
      <c r="U823" s="76">
        <f>U822+S823</f>
        <v>73.0633094969321</v>
      </c>
      <c r="V823" s="76">
        <f>V822+T823</f>
        <v>1138.231131808356</v>
      </c>
    </row>
    <row r="824" spans="1:22" ht="19" customHeight="1">
      <c r="A824" s="68" t="s">
        <v>362</v>
      </c>
      <c r="B824" s="74">
        <v>5</v>
      </c>
      <c r="C824" s="68" t="s">
        <v>363</v>
      </c>
      <c r="D824" s="68" t="s">
        <v>365</v>
      </c>
      <c r="E824" s="75">
        <f>60*F824*'THAM_SO_MOI'!$C$53/(2*PI()*'THAM_SO_MOI'!$C$26)</f>
        <v>2193.291921052631</v>
      </c>
      <c r="F824" s="75">
        <f>'THAM_SO_MOI'!$C$14+('THAM_SO_MOI'!$C$37-'THAM_SO_MOI'!$C$14)*17/'THAM_SO_MOI'!$C$42</f>
        <v>22.260975694444443</v>
      </c>
      <c r="G824" s="75">
        <f>3.6*F824</f>
        <v>80.1395125</v>
      </c>
      <c r="H824" s="75">
        <f>'THAM_SO_MOI'!$D$53</f>
        <v>1.1</v>
      </c>
      <c r="I824" s="75">
        <f>IF(F824&gt;='THAM_SO_MOI'!$C$14,'THAM_SO_MOI'!$C$13*(1+F824^2/1500),'THAM_SO_MOI'!$C$13)</f>
        <v>0.01995551038868646</v>
      </c>
      <c r="J824" s="75">
        <f>'THAM_SO_MOI'!$C$40*('THAM_SO_MOI'!$C$23*(E824/'THAM_SO_MOI'!$C$22)+'THAM_SO_MOI'!$C$24*(E824/'THAM_SO_MOI'!$C$22)^2-'THAM_SO_MOI'!$C$25*(E824/'THAM_SO_MOI'!$C$22)^3)</f>
        <v>98.76602434026663</v>
      </c>
      <c r="K824" s="75">
        <f>'THAM_SO_MOI'!$C$31*J824/E824</f>
        <v>430.09505741420264</v>
      </c>
      <c r="L824" s="75">
        <f>K824*'THAM_SO_MOI'!$C$53*'THAM_SO_MOI'!$C$17/'THAM_SO_MOI'!$C$26</f>
        <v>3771.9353364709937</v>
      </c>
      <c r="M824" s="75">
        <f>'THAM_SO_MOI'!$C$15*'THAM_SO_MOI'!$C$16*F824^2</f>
        <v>1449.4867886907903</v>
      </c>
      <c r="N824" s="75">
        <f>'THAM_SO_MOI'!$C$12*I824</f>
        <v>1503.464117091949</v>
      </c>
      <c r="O824" s="75">
        <f>M824+N824</f>
        <v>2952.950905782739</v>
      </c>
      <c r="P824" s="75">
        <f>(MIN(L824,'THAM_SO_MOI'!$C$41)-O824)/('THAM_SO_MOI'!$C$11*H824)</f>
        <v>0.09694417976896953</v>
      </c>
      <c r="Q824" s="75">
        <f>IF(P824&gt;0,1/P824,NA())</f>
        <v>10.315214408777596</v>
      </c>
      <c r="R824" s="75">
        <f>F824-F823</f>
        <v>0.0035868055555567935</v>
      </c>
      <c r="S824" s="75">
        <f>0.5*(Q823+Q824)*R824</f>
        <v>0.03698523103711126</v>
      </c>
      <c r="T824" s="75">
        <f>0.5*(F823*Q823+F824*Q824)*R824</f>
        <v>0.8232610238529783</v>
      </c>
      <c r="U824" s="76">
        <f>U823+S824</f>
        <v>73.10029472796921</v>
      </c>
      <c r="V824" s="76">
        <f>V823+T824</f>
        <v>1139.0543928322088</v>
      </c>
    </row>
    <row r="825" spans="1:22" ht="19" customHeight="1">
      <c r="A825" s="68" t="s">
        <v>362</v>
      </c>
      <c r="B825" s="74">
        <v>5</v>
      </c>
      <c r="C825" s="68" t="s">
        <v>363</v>
      </c>
      <c r="D825" s="68" t="s">
        <v>365</v>
      </c>
      <c r="E825" s="75">
        <f>60*F825*'THAM_SO_MOI'!$C$53/(2*PI()*'THAM_SO_MOI'!$C$26)</f>
        <v>2193.6453157894734</v>
      </c>
      <c r="F825" s="75">
        <f>'THAM_SO_MOI'!$C$14+('THAM_SO_MOI'!$C$37-'THAM_SO_MOI'!$C$14)*18/'THAM_SO_MOI'!$C$42</f>
        <v>22.2645625</v>
      </c>
      <c r="G825" s="75">
        <f>3.6*F825</f>
        <v>80.15242500000001</v>
      </c>
      <c r="H825" s="75">
        <f>'THAM_SO_MOI'!$D$53</f>
        <v>1.1</v>
      </c>
      <c r="I825" s="75">
        <f>IF(F825&gt;='THAM_SO_MOI'!$C$14,'THAM_SO_MOI'!$C$13*(1+F825^2/1500),'THAM_SO_MOI'!$C$13)</f>
        <v>0.019957107433164062</v>
      </c>
      <c r="J825" s="75">
        <f>'THAM_SO_MOI'!$C$40*('THAM_SO_MOI'!$C$23*(E825/'THAM_SO_MOI'!$C$22)+'THAM_SO_MOI'!$C$24*(E825/'THAM_SO_MOI'!$C$22)^2-'THAM_SO_MOI'!$C$25*(E825/'THAM_SO_MOI'!$C$22)^3)</f>
        <v>98.78172699538491</v>
      </c>
      <c r="K825" s="75">
        <f>'THAM_SO_MOI'!$C$31*J825/E825</f>
        <v>430.09413852097344</v>
      </c>
      <c r="L825" s="75">
        <f>K825*'THAM_SO_MOI'!$C$53*'THAM_SO_MOI'!$C$17/'THAM_SO_MOI'!$C$26</f>
        <v>3771.9272777737774</v>
      </c>
      <c r="M825" s="75">
        <f>'THAM_SO_MOI'!$C$15*'THAM_SO_MOI'!$C$16*F825^2</f>
        <v>1449.9539242004885</v>
      </c>
      <c r="N825" s="75">
        <f>'THAM_SO_MOI'!$C$12*I825</f>
        <v>1503.584439700527</v>
      </c>
      <c r="O825" s="75">
        <f>M825+N825</f>
        <v>2953.538363901015</v>
      </c>
      <c r="P825" s="75">
        <f>(MIN(L825,'THAM_SO_MOI'!$C$41)-O825)/('THAM_SO_MOI'!$C$11*H825)</f>
        <v>0.09687368772168112</v>
      </c>
      <c r="Q825" s="75">
        <f>IF(P825&gt;0,1/P825,NA())</f>
        <v>10.322720477752515</v>
      </c>
      <c r="R825" s="75">
        <f>F825-F824</f>
        <v>0.0035868055555567935</v>
      </c>
      <c r="S825" s="75">
        <f>0.5*(Q824+Q825)*R825</f>
        <v>0.037012129753112785</v>
      </c>
      <c r="T825" s="75">
        <f>0.5*(F824*Q824+F825*Q825)*R825</f>
        <v>0.8239925226316994</v>
      </c>
      <c r="U825" s="76">
        <f>U824+S825</f>
        <v>73.13730685772232</v>
      </c>
      <c r="V825" s="76">
        <f>V824+T825</f>
        <v>1139.8783853548405</v>
      </c>
    </row>
    <row r="826" spans="1:22" ht="19" customHeight="1">
      <c r="A826" s="68" t="s">
        <v>362</v>
      </c>
      <c r="B826" s="74">
        <v>5</v>
      </c>
      <c r="C826" s="68" t="s">
        <v>363</v>
      </c>
      <c r="D826" s="68" t="s">
        <v>365</v>
      </c>
      <c r="E826" s="75">
        <f>60*F826*'THAM_SO_MOI'!$C$53/(2*PI()*'THAM_SO_MOI'!$C$26)</f>
        <v>2193.9987105263153</v>
      </c>
      <c r="F826" s="75">
        <f>'THAM_SO_MOI'!$C$14+('THAM_SO_MOI'!$C$37-'THAM_SO_MOI'!$C$14)*19/'THAM_SO_MOI'!$C$42</f>
        <v>22.268149305555553</v>
      </c>
      <c r="G826" s="75">
        <f>3.6*F826</f>
        <v>80.16533749999999</v>
      </c>
      <c r="H826" s="75">
        <f>'THAM_SO_MOI'!$D$53</f>
        <v>1.1</v>
      </c>
      <c r="I826" s="75">
        <f>IF(F826&gt;='THAM_SO_MOI'!$C$14,'THAM_SO_MOI'!$C$13*(1+F826^2/1500),'THAM_SO_MOI'!$C$13)</f>
        <v>0.01995870473494514</v>
      </c>
      <c r="J826" s="75">
        <f>'THAM_SO_MOI'!$C$40*('THAM_SO_MOI'!$C$23*(E826/'THAM_SO_MOI'!$C$22)+'THAM_SO_MOI'!$C$24*(E826/'THAM_SO_MOI'!$C$22)^2-'THAM_SO_MOI'!$C$25*(E826/'THAM_SO_MOI'!$C$22)^3)</f>
        <v>98.79742679932139</v>
      </c>
      <c r="K826" s="75">
        <f>'THAM_SO_MOI'!$C$31*J826/E826</f>
        <v>430.09320751175994</v>
      </c>
      <c r="L826" s="75">
        <f>K826*'THAM_SO_MOI'!$C$53*'THAM_SO_MOI'!$C$17/'THAM_SO_MOI'!$C$26</f>
        <v>3771.9191128193324</v>
      </c>
      <c r="M826" s="75">
        <f>'THAM_SO_MOI'!$C$15*'THAM_SO_MOI'!$C$16*F826^2</f>
        <v>1450.4211349714546</v>
      </c>
      <c r="N826" s="75">
        <f>'THAM_SO_MOI'!$C$12*I826</f>
        <v>1503.7047816945549</v>
      </c>
      <c r="O826" s="75">
        <f>M826+N826</f>
        <v>2954.1259166660093</v>
      </c>
      <c r="P826" s="75">
        <f>(MIN(L826,'THAM_SO_MOI'!$C$41)-O826)/('THAM_SO_MOI'!$C$11*H826)</f>
        <v>0.09680317189314902</v>
      </c>
      <c r="Q826" s="75">
        <f>IF(P826&gt;0,1/P826,NA())</f>
        <v>10.330240016347773</v>
      </c>
      <c r="R826" s="75">
        <f>F826-F825</f>
        <v>0.0035868055555532408</v>
      </c>
      <c r="S826" s="75">
        <f>0.5*(Q825+Q826)*R826</f>
        <v>0.037039076719430256</v>
      </c>
      <c r="T826" s="75">
        <f>0.5*(F825*Q825+F826*Q826)*R826</f>
        <v>0.824725288730168</v>
      </c>
      <c r="U826" s="76">
        <f>U825+S826</f>
        <v>73.17434593444175</v>
      </c>
      <c r="V826" s="76">
        <f>V825+T826</f>
        <v>1140.7031106435707</v>
      </c>
    </row>
    <row r="827" spans="1:22" ht="19" customHeight="1">
      <c r="A827" s="68" t="s">
        <v>362</v>
      </c>
      <c r="B827" s="74">
        <v>5</v>
      </c>
      <c r="C827" s="68" t="s">
        <v>363</v>
      </c>
      <c r="D827" s="68" t="s">
        <v>365</v>
      </c>
      <c r="E827" s="75">
        <f>60*F827*'THAM_SO_MOI'!$C$53/(2*PI()*'THAM_SO_MOI'!$C$26)</f>
        <v>2194.3521052631572</v>
      </c>
      <c r="F827" s="75">
        <f>'THAM_SO_MOI'!$C$14+('THAM_SO_MOI'!$C$37-'THAM_SO_MOI'!$C$14)*20/'THAM_SO_MOI'!$C$42</f>
        <v>22.27173611111111</v>
      </c>
      <c r="G827" s="75">
        <f>3.6*F827</f>
        <v>80.17825</v>
      </c>
      <c r="H827" s="75">
        <f>'THAM_SO_MOI'!$D$53</f>
        <v>1.1</v>
      </c>
      <c r="I827" s="75">
        <f>IF(F827&gt;='THAM_SO_MOI'!$C$14,'THAM_SO_MOI'!$C$13*(1+F827^2/1500),'THAM_SO_MOI'!$C$13)</f>
        <v>0.019960302294029706</v>
      </c>
      <c r="J827" s="75">
        <f>'THAM_SO_MOI'!$C$40*('THAM_SO_MOI'!$C$23*(E827/'THAM_SO_MOI'!$C$22)+'THAM_SO_MOI'!$C$24*(E827/'THAM_SO_MOI'!$C$22)^2-'THAM_SO_MOI'!$C$25*(E827/'THAM_SO_MOI'!$C$22)^3)</f>
        <v>98.81312375073108</v>
      </c>
      <c r="K827" s="75">
        <f>'THAM_SO_MOI'!$C$31*J827/E827</f>
        <v>430.0922643865619</v>
      </c>
      <c r="L827" s="75">
        <f>K827*'THAM_SO_MOI'!$C$53*'THAM_SO_MOI'!$C$17/'THAM_SO_MOI'!$C$26</f>
        <v>3771.9108416076556</v>
      </c>
      <c r="M827" s="75">
        <f>'THAM_SO_MOI'!$C$15*'THAM_SO_MOI'!$C$16*F827^2</f>
        <v>1450.8884210036892</v>
      </c>
      <c r="N827" s="75">
        <f>'THAM_SO_MOI'!$C$12*I827</f>
        <v>1503.8251430740333</v>
      </c>
      <c r="O827" s="75">
        <f>M827+N827</f>
        <v>2954.7135640777224</v>
      </c>
      <c r="P827" s="75">
        <f>(MIN(L827,'THAM_SO_MOI'!$C$41)-O827)/('THAM_SO_MOI'!$C$11*H827)</f>
        <v>0.09673263228337278</v>
      </c>
      <c r="Q827" s="75">
        <f>IF(P827&gt;0,1/P827,NA())</f>
        <v>10.33777305956646</v>
      </c>
      <c r="R827" s="75">
        <f>F827-F826</f>
        <v>0.0035868055555567935</v>
      </c>
      <c r="S827" s="75">
        <f>0.5*(Q826+Q827)*R827</f>
        <v>0.03706607206150481</v>
      </c>
      <c r="T827" s="75">
        <f>0.5*(F826*Q826+F827*Q827)*R827</f>
        <v>0.825459325461145</v>
      </c>
      <c r="U827" s="76">
        <f>U826+S827</f>
        <v>73.21141200650325</v>
      </c>
      <c r="V827" s="76">
        <f>V826+T827</f>
        <v>1141.5285699690319</v>
      </c>
    </row>
    <row r="828" spans="1:22" ht="19" customHeight="1">
      <c r="A828" s="68" t="s">
        <v>362</v>
      </c>
      <c r="B828" s="74">
        <v>5</v>
      </c>
      <c r="C828" s="68" t="s">
        <v>363</v>
      </c>
      <c r="D828" s="68" t="s">
        <v>365</v>
      </c>
      <c r="E828" s="75">
        <f>60*F828*'THAM_SO_MOI'!$C$53/(2*PI()*'THAM_SO_MOI'!$C$26)</f>
        <v>2194.7054999999996</v>
      </c>
      <c r="F828" s="75">
        <f>'THAM_SO_MOI'!$C$14+('THAM_SO_MOI'!$C$37-'THAM_SO_MOI'!$C$14)*21/'THAM_SO_MOI'!$C$42</f>
        <v>22.275322916666667</v>
      </c>
      <c r="G828" s="75">
        <f>3.6*F828</f>
        <v>80.1911625</v>
      </c>
      <c r="H828" s="75">
        <f>'THAM_SO_MOI'!$D$53</f>
        <v>1.1</v>
      </c>
      <c r="I828" s="75">
        <f>IF(F828&gt;='THAM_SO_MOI'!$C$14,'THAM_SO_MOI'!$C$13*(1+F828^2/1500),'THAM_SO_MOI'!$C$13)</f>
        <v>0.01996190011041775</v>
      </c>
      <c r="J828" s="75">
        <f>'THAM_SO_MOI'!$C$40*('THAM_SO_MOI'!$C$23*(E828/'THAM_SO_MOI'!$C$22)+'THAM_SO_MOI'!$C$24*(E828/'THAM_SO_MOI'!$C$22)^2-'THAM_SO_MOI'!$C$25*(E828/'THAM_SO_MOI'!$C$22)^3)</f>
        <v>98.82881784826918</v>
      </c>
      <c r="K828" s="75">
        <f>'THAM_SO_MOI'!$C$31*J828/E828</f>
        <v>430.09130914537946</v>
      </c>
      <c r="L828" s="75">
        <f>K828*'THAM_SO_MOI'!$C$53*'THAM_SO_MOI'!$C$17/'THAM_SO_MOI'!$C$26</f>
        <v>3771.9024641387473</v>
      </c>
      <c r="M828" s="75">
        <f>'THAM_SO_MOI'!$C$15*'THAM_SO_MOI'!$C$16*F828^2</f>
        <v>1451.3557822971925</v>
      </c>
      <c r="N828" s="75">
        <f>'THAM_SO_MOI'!$C$12*I828</f>
        <v>1503.9455238389617</v>
      </c>
      <c r="O828" s="75">
        <f>M828+N828</f>
        <v>2955.3013061361544</v>
      </c>
      <c r="P828" s="75">
        <f>(MIN(L828,'THAM_SO_MOI'!$C$41)-O828)/('THAM_SO_MOI'!$C$11*H828)</f>
        <v>0.0966620688923524</v>
      </c>
      <c r="Q828" s="75">
        <f>IF(P828&gt;0,1/P828,NA())</f>
        <v>10.34531964253371</v>
      </c>
      <c r="R828" s="75">
        <f>F828-F827</f>
        <v>0.0035868055555567935</v>
      </c>
      <c r="S828" s="75">
        <f>0.5*(Q827+Q828)*R828</f>
        <v>0.03709311590499453</v>
      </c>
      <c r="T828" s="75">
        <f>0.5*(F827*Q827+F828*Q828)*R828</f>
        <v>0.8261946361440229</v>
      </c>
      <c r="U828" s="76">
        <f>U827+S828</f>
        <v>73.24850512240825</v>
      </c>
      <c r="V828" s="76">
        <f>V827+T828</f>
        <v>1142.354764605176</v>
      </c>
    </row>
    <row r="829" spans="1:22" ht="19" customHeight="1">
      <c r="A829" s="68" t="s">
        <v>362</v>
      </c>
      <c r="B829" s="74">
        <v>5</v>
      </c>
      <c r="C829" s="68" t="s">
        <v>363</v>
      </c>
      <c r="D829" s="68" t="s">
        <v>365</v>
      </c>
      <c r="E829" s="75">
        <f>60*F829*'THAM_SO_MOI'!$C$53/(2*PI()*'THAM_SO_MOI'!$C$26)</f>
        <v>2195.0588947368415</v>
      </c>
      <c r="F829" s="75">
        <f>'THAM_SO_MOI'!$C$14+('THAM_SO_MOI'!$C$37-'THAM_SO_MOI'!$C$14)*22/'THAM_SO_MOI'!$C$42</f>
        <v>22.27890972222222</v>
      </c>
      <c r="G829" s="75">
        <f>3.6*F829</f>
        <v>80.20407499999999</v>
      </c>
      <c r="H829" s="75">
        <f>'THAM_SO_MOI'!$D$53</f>
        <v>1.1</v>
      </c>
      <c r="I829" s="75">
        <f>IF(F829&gt;='THAM_SO_MOI'!$C$14,'THAM_SO_MOI'!$C$13*(1+F829^2/1500),'THAM_SO_MOI'!$C$13)</f>
        <v>0.019963498184109276</v>
      </c>
      <c r="J829" s="75">
        <f>'THAM_SO_MOI'!$C$40*('THAM_SO_MOI'!$C$23*(E829/'THAM_SO_MOI'!$C$22)+'THAM_SO_MOI'!$C$24*(E829/'THAM_SO_MOI'!$C$22)^2-'THAM_SO_MOI'!$C$25*(E829/'THAM_SO_MOI'!$C$22)^3)</f>
        <v>98.84450909059075</v>
      </c>
      <c r="K829" s="75">
        <f>'THAM_SO_MOI'!$C$31*J829/E829</f>
        <v>430.0903417882126</v>
      </c>
      <c r="L829" s="75">
        <f>K829*'THAM_SO_MOI'!$C$53*'THAM_SO_MOI'!$C$17/'THAM_SO_MOI'!$C$26</f>
        <v>3771.893980412608</v>
      </c>
      <c r="M829" s="75">
        <f>'THAM_SO_MOI'!$C$15*'THAM_SO_MOI'!$C$16*F829^2</f>
        <v>1451.8232188519637</v>
      </c>
      <c r="N829" s="75">
        <f>'THAM_SO_MOI'!$C$12*I829</f>
        <v>1504.0659239893403</v>
      </c>
      <c r="O829" s="75">
        <f>M829+N829</f>
        <v>2955.889142841304</v>
      </c>
      <c r="P829" s="75">
        <f>(MIN(L829,'THAM_SO_MOI'!$C$41)-O829)/('THAM_SO_MOI'!$C$11*H829)</f>
        <v>0.09659148172008808</v>
      </c>
      <c r="Q829" s="75">
        <f>IF(P829&gt;0,1/P829,NA())</f>
        <v>10.352879800497258</v>
      </c>
      <c r="R829" s="75">
        <f>F829-F828</f>
        <v>0.0035868055555532408</v>
      </c>
      <c r="S829" s="75">
        <f>0.5*(Q828+Q829)*R829</f>
        <v>0.03712020837610623</v>
      </c>
      <c r="T829" s="75">
        <f>0.5*(F828*Q828+F829*Q829)*R829</f>
        <v>0.8269312241122216</v>
      </c>
      <c r="U829" s="76">
        <f>U828+S829</f>
        <v>73.28562533078436</v>
      </c>
      <c r="V829" s="76">
        <f>V828+T829</f>
        <v>1143.1816958292882</v>
      </c>
    </row>
    <row r="830" spans="1:22" ht="19" customHeight="1">
      <c r="A830" s="68" t="s">
        <v>362</v>
      </c>
      <c r="B830" s="74">
        <v>5</v>
      </c>
      <c r="C830" s="68" t="s">
        <v>363</v>
      </c>
      <c r="D830" s="68" t="s">
        <v>365</v>
      </c>
      <c r="E830" s="75">
        <f>60*F830*'THAM_SO_MOI'!$C$53/(2*PI()*'THAM_SO_MOI'!$C$26)</f>
        <v>2195.412289473684</v>
      </c>
      <c r="F830" s="75">
        <f>'THAM_SO_MOI'!$C$14+('THAM_SO_MOI'!$C$37-'THAM_SO_MOI'!$C$14)*23/'THAM_SO_MOI'!$C$42</f>
        <v>22.282496527777777</v>
      </c>
      <c r="G830" s="75">
        <f>3.6*F830</f>
        <v>80.2169875</v>
      </c>
      <c r="H830" s="75">
        <f>'THAM_SO_MOI'!$D$53</f>
        <v>1.1</v>
      </c>
      <c r="I830" s="75">
        <f>IF(F830&gt;='THAM_SO_MOI'!$C$14,'THAM_SO_MOI'!$C$13*(1+F830^2/1500),'THAM_SO_MOI'!$C$13)</f>
        <v>0.019965096515104287</v>
      </c>
      <c r="J830" s="75">
        <f>'THAM_SO_MOI'!$C$40*('THAM_SO_MOI'!$C$23*(E830/'THAM_SO_MOI'!$C$22)+'THAM_SO_MOI'!$C$24*(E830/'THAM_SO_MOI'!$C$22)^2-'THAM_SO_MOI'!$C$25*(E830/'THAM_SO_MOI'!$C$22)^3)</f>
        <v>98.86019747635089</v>
      </c>
      <c r="K830" s="75">
        <f>'THAM_SO_MOI'!$C$31*J830/E830</f>
        <v>430.08936231506107</v>
      </c>
      <c r="L830" s="75">
        <f>K830*'THAM_SO_MOI'!$C$53*'THAM_SO_MOI'!$C$17/'THAM_SO_MOI'!$C$26</f>
        <v>3771.8853904292373</v>
      </c>
      <c r="M830" s="75">
        <f>'THAM_SO_MOI'!$C$15*'THAM_SO_MOI'!$C$16*F830^2</f>
        <v>1452.2907306680042</v>
      </c>
      <c r="N830" s="75">
        <f>'THAM_SO_MOI'!$C$12*I830</f>
        <v>1504.1863435251691</v>
      </c>
      <c r="O830" s="75">
        <f>M830+N830</f>
        <v>2956.4770741931734</v>
      </c>
      <c r="P830" s="75">
        <f>(MIN(L830,'THAM_SO_MOI'!$C$41)-O830)/('THAM_SO_MOI'!$C$11*H830)</f>
        <v>0.0965208707665795</v>
      </c>
      <c r="Q830" s="75">
        <f>IF(P830&gt;0,1/P830,NA())</f>
        <v>10.360453568828055</v>
      </c>
      <c r="R830" s="75">
        <f>F830-F829</f>
        <v>0.0035868055555567935</v>
      </c>
      <c r="S830" s="75">
        <f>0.5*(Q829+Q830)*R830</f>
        <v>0.037147349601597976</v>
      </c>
      <c r="T830" s="75">
        <f>0.5*(F829*Q829+F830*Q830)*R830</f>
        <v>0.8276690927132534</v>
      </c>
      <c r="U830" s="76">
        <f>U829+S830</f>
        <v>73.32277268038595</v>
      </c>
      <c r="V830" s="76">
        <f>V829+T830</f>
        <v>1144.0093649220014</v>
      </c>
    </row>
    <row r="831" spans="1:22" ht="19" customHeight="1">
      <c r="A831" s="68" t="s">
        <v>362</v>
      </c>
      <c r="B831" s="74">
        <v>5</v>
      </c>
      <c r="C831" s="68" t="s">
        <v>363</v>
      </c>
      <c r="D831" s="68" t="s">
        <v>365</v>
      </c>
      <c r="E831" s="75">
        <f>60*F831*'THAM_SO_MOI'!$C$53/(2*PI()*'THAM_SO_MOI'!$C$26)</f>
        <v>2195.7656842105257</v>
      </c>
      <c r="F831" s="75">
        <f>'THAM_SO_MOI'!$C$14+('THAM_SO_MOI'!$C$37-'THAM_SO_MOI'!$C$14)*24/'THAM_SO_MOI'!$C$42</f>
        <v>22.286083333333334</v>
      </c>
      <c r="G831" s="75">
        <f>3.6*F831</f>
        <v>80.2299</v>
      </c>
      <c r="H831" s="75">
        <f>'THAM_SO_MOI'!$D$53</f>
        <v>1.1</v>
      </c>
      <c r="I831" s="75">
        <f>IF(F831&gt;='THAM_SO_MOI'!$C$14,'THAM_SO_MOI'!$C$13*(1+F831^2/1500),'THAM_SO_MOI'!$C$13)</f>
        <v>0.019966695103402776</v>
      </c>
      <c r="J831" s="75">
        <f>'THAM_SO_MOI'!$C$40*('THAM_SO_MOI'!$C$23*(E831/'THAM_SO_MOI'!$C$22)+'THAM_SO_MOI'!$C$24*(E831/'THAM_SO_MOI'!$C$22)^2-'THAM_SO_MOI'!$C$25*(E831/'THAM_SO_MOI'!$C$22)^3)</f>
        <v>98.87588300420472</v>
      </c>
      <c r="K831" s="75">
        <f>'THAM_SO_MOI'!$C$31*J831/E831</f>
        <v>430.08837072592513</v>
      </c>
      <c r="L831" s="75">
        <f>K831*'THAM_SO_MOI'!$C$53*'THAM_SO_MOI'!$C$17/'THAM_SO_MOI'!$C$26</f>
        <v>3771.8766941886347</v>
      </c>
      <c r="M831" s="75">
        <f>'THAM_SO_MOI'!$C$15*'THAM_SO_MOI'!$C$16*F831^2</f>
        <v>1452.7583177453128</v>
      </c>
      <c r="N831" s="75">
        <f>'THAM_SO_MOI'!$C$12*I831</f>
        <v>1504.3067824464479</v>
      </c>
      <c r="O831" s="75">
        <f>M831+N831</f>
        <v>2957.0651001917604</v>
      </c>
      <c r="P831" s="75">
        <f>(MIN(L831,'THAM_SO_MOI'!$C$41)-O831)/('THAM_SO_MOI'!$C$11*H831)</f>
        <v>0.09645023603182692</v>
      </c>
      <c r="Q831" s="75">
        <f>IF(P831&gt;0,1/P831,NA())</f>
        <v>10.368040983020686</v>
      </c>
      <c r="R831" s="75">
        <f>F831-F830</f>
        <v>0.0035868055555567935</v>
      </c>
      <c r="S831" s="75">
        <f>0.5*(Q830+Q831)*R831</f>
        <v>0.037174539708449895</v>
      </c>
      <c r="T831" s="75">
        <f>0.5*(F830*Q830+F831*Q831)*R831</f>
        <v>0.8284082453013987</v>
      </c>
      <c r="U831" s="76">
        <f>U830+S831</f>
        <v>73.3599472200944</v>
      </c>
      <c r="V831" s="76">
        <f>V830+T831</f>
        <v>1144.8377731673029</v>
      </c>
    </row>
    <row r="832" spans="1:22" ht="19" customHeight="1">
      <c r="A832" s="68" t="s">
        <v>362</v>
      </c>
      <c r="B832" s="74">
        <v>5</v>
      </c>
      <c r="C832" s="68" t="s">
        <v>363</v>
      </c>
      <c r="D832" s="68" t="s">
        <v>365</v>
      </c>
      <c r="E832" s="75">
        <f>60*F832*'THAM_SO_MOI'!$C$53/(2*PI()*'THAM_SO_MOI'!$C$26)</f>
        <v>2196.119078947368</v>
      </c>
      <c r="F832" s="75">
        <f>'THAM_SO_MOI'!$C$14+('THAM_SO_MOI'!$C$37-'THAM_SO_MOI'!$C$14)*25/'THAM_SO_MOI'!$C$42</f>
        <v>22.289670138888887</v>
      </c>
      <c r="G832" s="75">
        <f>3.6*F832</f>
        <v>80.2428125</v>
      </c>
      <c r="H832" s="75">
        <f>'THAM_SO_MOI'!$D$53</f>
        <v>1.1</v>
      </c>
      <c r="I832" s="75">
        <f>IF(F832&gt;='THAM_SO_MOI'!$C$14,'THAM_SO_MOI'!$C$13*(1+F832^2/1500),'THAM_SO_MOI'!$C$13)</f>
        <v>0.019968293949004748</v>
      </c>
      <c r="J832" s="75">
        <f>'THAM_SO_MOI'!$C$40*('THAM_SO_MOI'!$C$23*(E832/'THAM_SO_MOI'!$C$22)+'THAM_SO_MOI'!$C$24*(E832/'THAM_SO_MOI'!$C$22)^2-'THAM_SO_MOI'!$C$25*(E832/'THAM_SO_MOI'!$C$22)^3)</f>
        <v>98.89156567280743</v>
      </c>
      <c r="K832" s="75">
        <f>'THAM_SO_MOI'!$C$31*J832/E832</f>
        <v>430.08736702080495</v>
      </c>
      <c r="L832" s="75">
        <f>K832*'THAM_SO_MOI'!$C$53*'THAM_SO_MOI'!$C$17/'THAM_SO_MOI'!$C$26</f>
        <v>3771.867891690804</v>
      </c>
      <c r="M832" s="75">
        <f>'THAM_SO_MOI'!$C$15*'THAM_SO_MOI'!$C$16*F832^2</f>
        <v>1453.2259800838895</v>
      </c>
      <c r="N832" s="75">
        <f>'THAM_SO_MOI'!$C$12*I832</f>
        <v>1504.4272407531769</v>
      </c>
      <c r="O832" s="75">
        <f>M832+N832</f>
        <v>2957.6532208370663</v>
      </c>
      <c r="P832" s="75">
        <f>(MIN(L832,'THAM_SO_MOI'!$C$41)-O832)/('THAM_SO_MOI'!$C$11*H832)</f>
        <v>0.0963795775158307</v>
      </c>
      <c r="Q832" s="75">
        <f>IF(P832&gt;0,1/P832,NA())</f>
        <v>10.375642078693966</v>
      </c>
      <c r="R832" s="75">
        <f>F832-F831</f>
        <v>0.0035868055555532408</v>
      </c>
      <c r="S832" s="75">
        <f>0.5*(Q831+Q832)*R832</f>
        <v>0.03720177882419689</v>
      </c>
      <c r="T832" s="75">
        <f>0.5*(F831*Q831+F832*Q832)*R832</f>
        <v>0.8291486852451235</v>
      </c>
      <c r="U832" s="76">
        <f>U831+S832</f>
        <v>73.3971489989186</v>
      </c>
      <c r="V832" s="76">
        <f>V831+T832</f>
        <v>1145.666921852548</v>
      </c>
    </row>
    <row r="833" spans="1:22" ht="19" customHeight="1">
      <c r="A833" s="68" t="s">
        <v>362</v>
      </c>
      <c r="B833" s="74">
        <v>5</v>
      </c>
      <c r="C833" s="68" t="s">
        <v>363</v>
      </c>
      <c r="D833" s="68" t="s">
        <v>365</v>
      </c>
      <c r="E833" s="75">
        <f>60*F833*'THAM_SO_MOI'!$C$53/(2*PI()*'THAM_SO_MOI'!$C$26)</f>
        <v>2196.47247368421</v>
      </c>
      <c r="F833" s="75">
        <f>'THAM_SO_MOI'!$C$14+('THAM_SO_MOI'!$C$37-'THAM_SO_MOI'!$C$14)*26/'THAM_SO_MOI'!$C$42</f>
        <v>22.293256944444444</v>
      </c>
      <c r="G833" s="75">
        <f>3.6*F833</f>
        <v>80.255725</v>
      </c>
      <c r="H833" s="75">
        <f>'THAM_SO_MOI'!$D$53</f>
        <v>1.1</v>
      </c>
      <c r="I833" s="75">
        <f>IF(F833&gt;='THAM_SO_MOI'!$C$14,'THAM_SO_MOI'!$C$13*(1+F833^2/1500),'THAM_SO_MOI'!$C$13)</f>
        <v>0.019969893051910204</v>
      </c>
      <c r="J833" s="75">
        <f>'THAM_SO_MOI'!$C$40*('THAM_SO_MOI'!$C$23*(E833/'THAM_SO_MOI'!$C$22)+'THAM_SO_MOI'!$C$24*(E833/'THAM_SO_MOI'!$C$22)^2-'THAM_SO_MOI'!$C$25*(E833/'THAM_SO_MOI'!$C$22)^3)</f>
        <v>98.90724548081398</v>
      </c>
      <c r="K833" s="75">
        <f>'THAM_SO_MOI'!$C$31*J833/E833</f>
        <v>430.0863511997001</v>
      </c>
      <c r="L833" s="75">
        <f>K833*'THAM_SO_MOI'!$C$53*'THAM_SO_MOI'!$C$17/'THAM_SO_MOI'!$C$26</f>
        <v>3771.8589829357393</v>
      </c>
      <c r="M833" s="75">
        <f>'THAM_SO_MOI'!$C$15*'THAM_SO_MOI'!$C$16*F833^2</f>
        <v>1453.6937176837348</v>
      </c>
      <c r="N833" s="75">
        <f>'THAM_SO_MOI'!$C$12*I833</f>
        <v>1504.5477184453564</v>
      </c>
      <c r="O833" s="75">
        <f>M833+N833</f>
        <v>2958.241436129091</v>
      </c>
      <c r="P833" s="75">
        <f>(MIN(L833,'THAM_SO_MOI'!$C$41)-O833)/('THAM_SO_MOI'!$C$11*H833)</f>
        <v>0.09630889521858994</v>
      </c>
      <c r="Q833" s="75">
        <f>IF(P833&gt;0,1/P833,NA())</f>
        <v>10.383256891591628</v>
      </c>
      <c r="R833" s="75">
        <f>F833-F832</f>
        <v>0.0035868055555567935</v>
      </c>
      <c r="S833" s="75">
        <f>0.5*(Q832+Q833)*R833</f>
        <v>0.03722906707693128</v>
      </c>
      <c r="T833" s="75">
        <f>0.5*(F832*Q832+F833*Q833)*R833</f>
        <v>0.82989041592715</v>
      </c>
      <c r="U833" s="76">
        <f>U832+S833</f>
        <v>73.43437806599553</v>
      </c>
      <c r="V833" s="76">
        <f>V832+T833</f>
        <v>1146.4968122684752</v>
      </c>
    </row>
    <row r="834" spans="1:22" ht="19" customHeight="1">
      <c r="A834" s="68" t="s">
        <v>362</v>
      </c>
      <c r="B834" s="74">
        <v>5</v>
      </c>
      <c r="C834" s="68" t="s">
        <v>363</v>
      </c>
      <c r="D834" s="68" t="s">
        <v>365</v>
      </c>
      <c r="E834" s="75">
        <f>60*F834*'THAM_SO_MOI'!$C$53/(2*PI()*'THAM_SO_MOI'!$C$26)</f>
        <v>2196.8258684210523</v>
      </c>
      <c r="F834" s="75">
        <f>'THAM_SO_MOI'!$C$14+('THAM_SO_MOI'!$C$37-'THAM_SO_MOI'!$C$14)*27/'THAM_SO_MOI'!$C$42</f>
        <v>22.29684375</v>
      </c>
      <c r="G834" s="75">
        <f>3.6*F834</f>
        <v>80.26863750000001</v>
      </c>
      <c r="H834" s="75">
        <f>'THAM_SO_MOI'!$D$53</f>
        <v>1.1</v>
      </c>
      <c r="I834" s="75">
        <f>IF(F834&gt;='THAM_SO_MOI'!$C$14,'THAM_SO_MOI'!$C$13*(1+F834^2/1500),'THAM_SO_MOI'!$C$13)</f>
        <v>0.01997149241211914</v>
      </c>
      <c r="J834" s="75">
        <f>'THAM_SO_MOI'!$C$40*('THAM_SO_MOI'!$C$23*(E834/'THAM_SO_MOI'!$C$22)+'THAM_SO_MOI'!$C$24*(E834/'THAM_SO_MOI'!$C$22)^2-'THAM_SO_MOI'!$C$25*(E834/'THAM_SO_MOI'!$C$22)^3)</f>
        <v>98.92292242687962</v>
      </c>
      <c r="K834" s="75">
        <f>'THAM_SO_MOI'!$C$31*J834/E834</f>
        <v>430.0853232626109</v>
      </c>
      <c r="L834" s="75">
        <f>K834*'THAM_SO_MOI'!$C$53*'THAM_SO_MOI'!$C$17/'THAM_SO_MOI'!$C$26</f>
        <v>3771.8499679234446</v>
      </c>
      <c r="M834" s="75">
        <f>'THAM_SO_MOI'!$C$15*'THAM_SO_MOI'!$C$16*F834^2</f>
        <v>1454.161530544849</v>
      </c>
      <c r="N834" s="75">
        <f>'THAM_SO_MOI'!$C$12*I834</f>
        <v>1504.6682155229857</v>
      </c>
      <c r="O834" s="75">
        <f>M834+N834</f>
        <v>2958.829746067835</v>
      </c>
      <c r="P834" s="75">
        <f>(MIN(L834,'THAM_SO_MOI'!$C$41)-O834)/('THAM_SO_MOI'!$C$11*H834)</f>
        <v>0.09623818914010533</v>
      </c>
      <c r="Q834" s="75">
        <f>IF(P834&gt;0,1/P834,NA())</f>
        <v>10.390885457582556</v>
      </c>
      <c r="R834" s="75">
        <f>F834-F833</f>
        <v>0.0035868055555567935</v>
      </c>
      <c r="S834" s="75">
        <f>0.5*(Q833+Q834)*R834</f>
        <v>0.03725640459497281</v>
      </c>
      <c r="T834" s="75">
        <f>0.5*(F833*Q833+F834*Q834)*R834</f>
        <v>0.8306334407371075</v>
      </c>
      <c r="U834" s="76">
        <f>U833+S834</f>
        <v>73.4716344705905</v>
      </c>
      <c r="V834" s="76">
        <f>V833+T834</f>
        <v>1147.3274457092123</v>
      </c>
    </row>
    <row r="835" spans="1:22" ht="19" customHeight="1">
      <c r="A835" s="68" t="s">
        <v>362</v>
      </c>
      <c r="B835" s="74">
        <v>5</v>
      </c>
      <c r="C835" s="68" t="s">
        <v>363</v>
      </c>
      <c r="D835" s="68" t="s">
        <v>365</v>
      </c>
      <c r="E835" s="75">
        <f>60*F835*'THAM_SO_MOI'!$C$53/(2*PI()*'THAM_SO_MOI'!$C$26)</f>
        <v>2197.1792631578937</v>
      </c>
      <c r="F835" s="75">
        <f>'THAM_SO_MOI'!$C$14+('THAM_SO_MOI'!$C$37-'THAM_SO_MOI'!$C$14)*28/'THAM_SO_MOI'!$C$42</f>
        <v>22.300430555555554</v>
      </c>
      <c r="G835" s="75">
        <f>3.6*F835</f>
        <v>80.28155</v>
      </c>
      <c r="H835" s="75">
        <f>'THAM_SO_MOI'!$D$53</f>
        <v>1.1</v>
      </c>
      <c r="I835" s="75">
        <f>IF(F835&gt;='THAM_SO_MOI'!$C$14,'THAM_SO_MOI'!$C$13*(1+F835^2/1500),'THAM_SO_MOI'!$C$13)</f>
        <v>0.019973092029631555</v>
      </c>
      <c r="J835" s="75">
        <f>'THAM_SO_MOI'!$C$40*('THAM_SO_MOI'!$C$23*(E835/'THAM_SO_MOI'!$C$22)+'THAM_SO_MOI'!$C$24*(E835/'THAM_SO_MOI'!$C$22)^2-'THAM_SO_MOI'!$C$25*(E835/'THAM_SO_MOI'!$C$22)^3)</f>
        <v>98.93859650965938</v>
      </c>
      <c r="K835" s="75">
        <f>'THAM_SO_MOI'!$C$31*J835/E835</f>
        <v>430.0842832095374</v>
      </c>
      <c r="L835" s="75">
        <f>K835*'THAM_SO_MOI'!$C$53*'THAM_SO_MOI'!$C$17/'THAM_SO_MOI'!$C$26</f>
        <v>3771.84084665392</v>
      </c>
      <c r="M835" s="75">
        <f>'THAM_SO_MOI'!$C$15*'THAM_SO_MOI'!$C$16*F835^2</f>
        <v>1454.6294186672308</v>
      </c>
      <c r="N835" s="75">
        <f>'THAM_SO_MOI'!$C$12*I835</f>
        <v>1504.7887319860652</v>
      </c>
      <c r="O835" s="75">
        <f>M835+N835</f>
        <v>2959.418150653296</v>
      </c>
      <c r="P835" s="75">
        <f>(MIN(L835,'THAM_SO_MOI'!$C$41)-O835)/('THAM_SO_MOI'!$C$11*H835)</f>
        <v>0.0961674592803769</v>
      </c>
      <c r="Q835" s="75">
        <f>IF(P835&gt;0,1/P835,NA())</f>
        <v>10.39852781266159</v>
      </c>
      <c r="R835" s="75">
        <f>F835-F834</f>
        <v>0.0035868055555532408</v>
      </c>
      <c r="S835" s="75">
        <f>0.5*(Q834+Q835)*R835</f>
        <v>0.037283791507201985</v>
      </c>
      <c r="T835" s="75">
        <f>0.5*(F834*Q834+F835*Q835)*R835</f>
        <v>0.8313777630789718</v>
      </c>
      <c r="U835" s="76">
        <f>U834+S835</f>
        <v>73.50891826209771</v>
      </c>
      <c r="V835" s="76">
        <f>V834+T835</f>
        <v>1148.1588234722913</v>
      </c>
    </row>
    <row r="836" spans="1:22" ht="19" customHeight="1">
      <c r="A836" s="68" t="s">
        <v>362</v>
      </c>
      <c r="B836" s="74">
        <v>5</v>
      </c>
      <c r="C836" s="68" t="s">
        <v>363</v>
      </c>
      <c r="D836" s="68" t="s">
        <v>365</v>
      </c>
      <c r="E836" s="75">
        <f>60*F836*'THAM_SO_MOI'!$C$53/(2*PI()*'THAM_SO_MOI'!$C$26)</f>
        <v>2197.532657894736</v>
      </c>
      <c r="F836" s="75">
        <f>'THAM_SO_MOI'!$C$14+('THAM_SO_MOI'!$C$37-'THAM_SO_MOI'!$C$14)*29/'THAM_SO_MOI'!$C$42</f>
        <v>22.30401736111111</v>
      </c>
      <c r="G836" s="75">
        <f>3.6*F836</f>
        <v>80.2944625</v>
      </c>
      <c r="H836" s="75">
        <f>'THAM_SO_MOI'!$D$53</f>
        <v>1.1</v>
      </c>
      <c r="I836" s="75">
        <f>IF(F836&gt;='THAM_SO_MOI'!$C$14,'THAM_SO_MOI'!$C$13*(1+F836^2/1500),'THAM_SO_MOI'!$C$13)</f>
        <v>0.019974691904447457</v>
      </c>
      <c r="J836" s="75">
        <f>'THAM_SO_MOI'!$C$40*('THAM_SO_MOI'!$C$23*(E836/'THAM_SO_MOI'!$C$22)+'THAM_SO_MOI'!$C$24*(E836/'THAM_SO_MOI'!$C$22)^2-'THAM_SO_MOI'!$C$25*(E836/'THAM_SO_MOI'!$C$22)^3)</f>
        <v>98.95426772780836</v>
      </c>
      <c r="K836" s="75">
        <f>'THAM_SO_MOI'!$C$31*J836/E836</f>
        <v>430.08323104047906</v>
      </c>
      <c r="L836" s="75">
        <f>K836*'THAM_SO_MOI'!$C$53*'THAM_SO_MOI'!$C$17/'THAM_SO_MOI'!$C$26</f>
        <v>3771.8316191271615</v>
      </c>
      <c r="M836" s="75">
        <f>'THAM_SO_MOI'!$C$15*'THAM_SO_MOI'!$C$16*F836^2</f>
        <v>1455.0973820508818</v>
      </c>
      <c r="N836" s="75">
        <f>'THAM_SO_MOI'!$C$12*I836</f>
        <v>1504.909267834595</v>
      </c>
      <c r="O836" s="75">
        <f>M836+N836</f>
        <v>2960.0066498854767</v>
      </c>
      <c r="P836" s="75">
        <f>(MIN(L836,'THAM_SO_MOI'!$C$41)-O836)/('THAM_SO_MOI'!$C$11*H836)</f>
        <v>0.09609670563940398</v>
      </c>
      <c r="Q836" s="75">
        <f>IF(P836&gt;0,1/P836,NA())</f>
        <v>10.406183992950066</v>
      </c>
      <c r="R836" s="75">
        <f>F836-F835</f>
        <v>0.0035868055555567935</v>
      </c>
      <c r="S836" s="75">
        <f>0.5*(Q835+Q836)*R836</f>
        <v>0.03731122794306294</v>
      </c>
      <c r="T836" s="75">
        <f>0.5*(F835*Q835+F836*Q836)*R836</f>
        <v>0.8321233863711376</v>
      </c>
      <c r="U836" s="76">
        <f>U835+S836</f>
        <v>73.54622949004077</v>
      </c>
      <c r="V836" s="76">
        <f>V835+T836</f>
        <v>1148.9909468586625</v>
      </c>
    </row>
    <row r="837" spans="1:22" ht="19" customHeight="1">
      <c r="A837" s="68" t="s">
        <v>362</v>
      </c>
      <c r="B837" s="74">
        <v>5</v>
      </c>
      <c r="C837" s="68" t="s">
        <v>363</v>
      </c>
      <c r="D837" s="68" t="s">
        <v>365</v>
      </c>
      <c r="E837" s="75">
        <f>60*F837*'THAM_SO_MOI'!$C$53/(2*PI()*'THAM_SO_MOI'!$C$26)</f>
        <v>2197.8860526315784</v>
      </c>
      <c r="F837" s="75">
        <f>'THAM_SO_MOI'!$C$14+('THAM_SO_MOI'!$C$37-'THAM_SO_MOI'!$C$14)*30/'THAM_SO_MOI'!$C$42</f>
        <v>22.307604166666668</v>
      </c>
      <c r="G837" s="75">
        <f>3.6*F837</f>
        <v>80.30737500000001</v>
      </c>
      <c r="H837" s="75">
        <f>'THAM_SO_MOI'!$D$53</f>
        <v>1.1</v>
      </c>
      <c r="I837" s="75">
        <f>IF(F837&gt;='THAM_SO_MOI'!$C$14,'THAM_SO_MOI'!$C$13*(1+F837^2/1500),'THAM_SO_MOI'!$C$13)</f>
        <v>0.01997629203656684</v>
      </c>
      <c r="J837" s="75">
        <f>'THAM_SO_MOI'!$C$40*('THAM_SO_MOI'!$C$23*(E837/'THAM_SO_MOI'!$C$22)+'THAM_SO_MOI'!$C$24*(E837/'THAM_SO_MOI'!$C$22)^2-'THAM_SO_MOI'!$C$25*(E837/'THAM_SO_MOI'!$C$22)^3)</f>
        <v>98.96993607998176</v>
      </c>
      <c r="K837" s="75">
        <f>'THAM_SO_MOI'!$C$31*J837/E837</f>
        <v>430.0821667554365</v>
      </c>
      <c r="L837" s="75">
        <f>K837*'THAM_SO_MOI'!$C$53*'THAM_SO_MOI'!$C$17/'THAM_SO_MOI'!$C$26</f>
        <v>3771.822285343174</v>
      </c>
      <c r="M837" s="75">
        <f>'THAM_SO_MOI'!$C$15*'THAM_SO_MOI'!$C$16*F837^2</f>
        <v>1455.5654206958009</v>
      </c>
      <c r="N837" s="75">
        <f>'THAM_SO_MOI'!$C$12*I837</f>
        <v>1505.029823068575</v>
      </c>
      <c r="O837" s="75">
        <f>M837+N837</f>
        <v>2960.595243764376</v>
      </c>
      <c r="P837" s="75">
        <f>(MIN(L837,'THAM_SO_MOI'!$C$41)-O837)/('THAM_SO_MOI'!$C$11*H837)</f>
        <v>0.09602592821718724</v>
      </c>
      <c r="Q837" s="75">
        <f>IF(P837&gt;0,1/P837,NA())</f>
        <v>10.413854034696168</v>
      </c>
      <c r="R837" s="75">
        <f>F837-F836</f>
        <v>0.0035868055555567935</v>
      </c>
      <c r="S837" s="75">
        <f>0.5*(Q836+Q837)*R837</f>
        <v>0.03733871403223261</v>
      </c>
      <c r="T837" s="75">
        <f>0.5*(F836*Q836+F837*Q837)*R837</f>
        <v>0.8328703140390489</v>
      </c>
      <c r="U837" s="76">
        <f>U836+S837</f>
        <v>73.583568204073</v>
      </c>
      <c r="V837" s="76">
        <f>V836+T837</f>
        <v>1149.8238171727016</v>
      </c>
    </row>
    <row r="838" spans="1:22" ht="19" customHeight="1">
      <c r="A838" s="68" t="s">
        <v>362</v>
      </c>
      <c r="B838" s="74">
        <v>5</v>
      </c>
      <c r="C838" s="68" t="s">
        <v>363</v>
      </c>
      <c r="D838" s="68" t="s">
        <v>365</v>
      </c>
      <c r="E838" s="75">
        <f>60*F838*'THAM_SO_MOI'!$C$53/(2*PI()*'THAM_SO_MOI'!$C$26)</f>
        <v>2198.2394473684208</v>
      </c>
      <c r="F838" s="75">
        <f>'THAM_SO_MOI'!$C$14+('THAM_SO_MOI'!$C$37-'THAM_SO_MOI'!$C$14)*31/'THAM_SO_MOI'!$C$42</f>
        <v>22.31119097222222</v>
      </c>
      <c r="G838" s="75">
        <f>3.6*F838</f>
        <v>80.32028749999999</v>
      </c>
      <c r="H838" s="75">
        <f>'THAM_SO_MOI'!$D$53</f>
        <v>1.1</v>
      </c>
      <c r="I838" s="75">
        <f>IF(F838&gt;='THAM_SO_MOI'!$C$14,'THAM_SO_MOI'!$C$13*(1+F838^2/1500),'THAM_SO_MOI'!$C$13)</f>
        <v>0.019977892425989706</v>
      </c>
      <c r="J838" s="75">
        <f>'THAM_SO_MOI'!$C$40*('THAM_SO_MOI'!$C$23*(E838/'THAM_SO_MOI'!$C$22)+'THAM_SO_MOI'!$C$24*(E838/'THAM_SO_MOI'!$C$22)^2-'THAM_SO_MOI'!$C$25*(E838/'THAM_SO_MOI'!$C$22)^3)</f>
        <v>98.98560156483461</v>
      </c>
      <c r="K838" s="75">
        <f>'THAM_SO_MOI'!$C$31*J838/E838</f>
        <v>430.08109035440947</v>
      </c>
      <c r="L838" s="75">
        <f>K838*'THAM_SO_MOI'!$C$53*'THAM_SO_MOI'!$C$17/'THAM_SO_MOI'!$C$26</f>
        <v>3771.812845301955</v>
      </c>
      <c r="M838" s="75">
        <f>'THAM_SO_MOI'!$C$15*'THAM_SO_MOI'!$C$16*F838^2</f>
        <v>1456.0335346019883</v>
      </c>
      <c r="N838" s="75">
        <f>'THAM_SO_MOI'!$C$12*I838</f>
        <v>1505.1503976880053</v>
      </c>
      <c r="O838" s="75">
        <f>M838+N838</f>
        <v>2961.1839322899937</v>
      </c>
      <c r="P838" s="75">
        <f>(MIN(L838,'THAM_SO_MOI'!$C$41)-O838)/('THAM_SO_MOI'!$C$11*H838)</f>
        <v>0.09595512701372647</v>
      </c>
      <c r="Q838" s="75">
        <f>IF(P838&gt;0,1/P838,NA())</f>
        <v>10.421537974275717</v>
      </c>
      <c r="R838" s="75">
        <f>F838-F837</f>
        <v>0.0035868055555532408</v>
      </c>
      <c r="S838" s="75">
        <f>0.5*(Q837+Q838)*R838</f>
        <v>0.03736624990495498</v>
      </c>
      <c r="T838" s="75">
        <f>0.5*(F837*Q837+F838*Q838)*R838</f>
        <v>0.8336185495226613</v>
      </c>
      <c r="U838" s="76">
        <f>U837+S838</f>
        <v>73.62093445397795</v>
      </c>
      <c r="V838" s="76">
        <f>V837+T838</f>
        <v>1150.6574357222244</v>
      </c>
    </row>
    <row r="839" spans="1:22" ht="19" customHeight="1">
      <c r="A839" s="68" t="s">
        <v>362</v>
      </c>
      <c r="B839" s="74">
        <v>5</v>
      </c>
      <c r="C839" s="68" t="s">
        <v>363</v>
      </c>
      <c r="D839" s="68" t="s">
        <v>365</v>
      </c>
      <c r="E839" s="75">
        <f>60*F839*'THAM_SO_MOI'!$C$53/(2*PI()*'THAM_SO_MOI'!$C$26)</f>
        <v>2198.592842105263</v>
      </c>
      <c r="F839" s="75">
        <f>'THAM_SO_MOI'!$C$14+('THAM_SO_MOI'!$C$37-'THAM_SO_MOI'!$C$14)*32/'THAM_SO_MOI'!$C$42</f>
        <v>22.314777777777778</v>
      </c>
      <c r="G839" s="75">
        <f>3.6*F839</f>
        <v>80.3332</v>
      </c>
      <c r="H839" s="75">
        <f>'THAM_SO_MOI'!$D$53</f>
        <v>1.1</v>
      </c>
      <c r="I839" s="75">
        <f>IF(F839&gt;='THAM_SO_MOI'!$C$14,'THAM_SO_MOI'!$C$13*(1+F839^2/1500),'THAM_SO_MOI'!$C$13)</f>
        <v>0.019979493072716046</v>
      </c>
      <c r="J839" s="75">
        <f>'THAM_SO_MOI'!$C$40*('THAM_SO_MOI'!$C$23*(E839/'THAM_SO_MOI'!$C$22)+'THAM_SO_MOI'!$C$24*(E839/'THAM_SO_MOI'!$C$22)^2-'THAM_SO_MOI'!$C$25*(E839/'THAM_SO_MOI'!$C$22)^3)</f>
        <v>99.00126418102204</v>
      </c>
      <c r="K839" s="75">
        <f>'THAM_SO_MOI'!$C$31*J839/E839</f>
        <v>430.0800018373979</v>
      </c>
      <c r="L839" s="75">
        <f>K839*'THAM_SO_MOI'!$C$53*'THAM_SO_MOI'!$C$17/'THAM_SO_MOI'!$C$26</f>
        <v>3771.8032990035035</v>
      </c>
      <c r="M839" s="75">
        <f>'THAM_SO_MOI'!$C$15*'THAM_SO_MOI'!$C$16*F839^2</f>
        <v>1456.5017237694444</v>
      </c>
      <c r="N839" s="75">
        <f>'THAM_SO_MOI'!$C$12*I839</f>
        <v>1505.2709916928852</v>
      </c>
      <c r="O839" s="75">
        <f>M839+N839</f>
        <v>2961.77271546233</v>
      </c>
      <c r="P839" s="75">
        <f>(MIN(L839,'THAM_SO_MOI'!$C$41)-O839)/('THAM_SO_MOI'!$C$11*H839)</f>
        <v>0.0958843020290215</v>
      </c>
      <c r="Q839" s="75">
        <f>IF(P839&gt;0,1/P839,NA())</f>
        <v>10.429235848192626</v>
      </c>
      <c r="R839" s="75">
        <f>F839-F838</f>
        <v>0.0035868055555567935</v>
      </c>
      <c r="S839" s="75">
        <f>0.5*(Q838+Q839)*R839</f>
        <v>0.037393835692043804</v>
      </c>
      <c r="T839" s="75">
        <f>0.5*(F838*Q838+F839*Q839)*R839</f>
        <v>0.8343680962765126</v>
      </c>
      <c r="U839" s="76">
        <f>U838+S839</f>
        <v>73.65832828967</v>
      </c>
      <c r="V839" s="76">
        <f>V838+T839</f>
        <v>1151.4918038185008</v>
      </c>
    </row>
    <row r="840" spans="1:22" ht="19" customHeight="1">
      <c r="A840" s="68" t="s">
        <v>362</v>
      </c>
      <c r="B840" s="74">
        <v>5</v>
      </c>
      <c r="C840" s="68" t="s">
        <v>363</v>
      </c>
      <c r="D840" s="68" t="s">
        <v>365</v>
      </c>
      <c r="E840" s="75">
        <f>60*F840*'THAM_SO_MOI'!$C$53/(2*PI()*'THAM_SO_MOI'!$C$26)</f>
        <v>2198.9462368421046</v>
      </c>
      <c r="F840" s="75">
        <f>'THAM_SO_MOI'!$C$14+('THAM_SO_MOI'!$C$37-'THAM_SO_MOI'!$C$14)*33/'THAM_SO_MOI'!$C$42</f>
        <v>22.31836458333333</v>
      </c>
      <c r="G840" s="75">
        <f>3.6*F840</f>
        <v>80.34611249999999</v>
      </c>
      <c r="H840" s="75">
        <f>'THAM_SO_MOI'!$D$53</f>
        <v>1.1</v>
      </c>
      <c r="I840" s="75">
        <f>IF(F840&gt;='THAM_SO_MOI'!$C$14,'THAM_SO_MOI'!$C$13*(1+F840^2/1500),'THAM_SO_MOI'!$C$13)</f>
        <v>0.019981093976745877</v>
      </c>
      <c r="J840" s="75">
        <f>'THAM_SO_MOI'!$C$40*('THAM_SO_MOI'!$C$23*(E840/'THAM_SO_MOI'!$C$22)+'THAM_SO_MOI'!$C$24*(E840/'THAM_SO_MOI'!$C$22)^2-'THAM_SO_MOI'!$C$25*(E840/'THAM_SO_MOI'!$C$22)^3)</f>
        <v>99.01692392719913</v>
      </c>
      <c r="K840" s="75">
        <f>'THAM_SO_MOI'!$C$31*J840/E840</f>
        <v>430.0789012044019</v>
      </c>
      <c r="L840" s="75">
        <f>K840*'THAM_SO_MOI'!$C$53*'THAM_SO_MOI'!$C$17/'THAM_SO_MOI'!$C$26</f>
        <v>3771.793646447822</v>
      </c>
      <c r="M840" s="75">
        <f>'THAM_SO_MOI'!$C$15*'THAM_SO_MOI'!$C$16*F840^2</f>
        <v>1456.9699881981687</v>
      </c>
      <c r="N840" s="75">
        <f>'THAM_SO_MOI'!$C$12*I840</f>
        <v>1505.3916050832158</v>
      </c>
      <c r="O840" s="75">
        <f>M840+N840</f>
        <v>2962.3615932813846</v>
      </c>
      <c r="P840" s="75">
        <f>(MIN(L840,'THAM_SO_MOI'!$C$41)-O840)/('THAM_SO_MOI'!$C$11*H840)</f>
        <v>0.09581345326307263</v>
      </c>
      <c r="Q840" s="75">
        <f>IF(P840&gt;0,1/P840,NA())</f>
        <v>10.436947693079434</v>
      </c>
      <c r="R840" s="75">
        <f>F840-F839</f>
        <v>0.0035868055555532408</v>
      </c>
      <c r="S840" s="75">
        <f>0.5*(Q839+Q840)*R840</f>
        <v>0.037421471524514104</v>
      </c>
      <c r="T840" s="75">
        <f>0.5*(F839*Q839+F840*Q840)*R840</f>
        <v>0.8351189577615086</v>
      </c>
      <c r="U840" s="76">
        <f>U839+S840</f>
        <v>73.6957497611945</v>
      </c>
      <c r="V840" s="76">
        <f>V839+T840</f>
        <v>1152.3269227762623</v>
      </c>
    </row>
    <row r="841" spans="1:22" ht="19" customHeight="1">
      <c r="A841" s="68" t="s">
        <v>362</v>
      </c>
      <c r="B841" s="74">
        <v>5</v>
      </c>
      <c r="C841" s="68" t="s">
        <v>363</v>
      </c>
      <c r="D841" s="68" t="s">
        <v>365</v>
      </c>
      <c r="E841" s="75">
        <f>60*F841*'THAM_SO_MOI'!$C$53/(2*PI()*'THAM_SO_MOI'!$C$26)</f>
        <v>2199.299631578947</v>
      </c>
      <c r="F841" s="75">
        <f>'THAM_SO_MOI'!$C$14+('THAM_SO_MOI'!$C$37-'THAM_SO_MOI'!$C$14)*34/'THAM_SO_MOI'!$C$42</f>
        <v>22.321951388888888</v>
      </c>
      <c r="G841" s="75">
        <f>3.6*F841</f>
        <v>80.359025</v>
      </c>
      <c r="H841" s="75">
        <f>'THAM_SO_MOI'!$D$53</f>
        <v>1.1</v>
      </c>
      <c r="I841" s="75">
        <f>IF(F841&gt;='THAM_SO_MOI'!$C$14,'THAM_SO_MOI'!$C$13*(1+F841^2/1500),'THAM_SO_MOI'!$C$13)</f>
        <v>0.019982695138079185</v>
      </c>
      <c r="J841" s="75">
        <f>'THAM_SO_MOI'!$C$40*('THAM_SO_MOI'!$C$23*(E841/'THAM_SO_MOI'!$C$22)+'THAM_SO_MOI'!$C$24*(E841/'THAM_SO_MOI'!$C$22)^2-'THAM_SO_MOI'!$C$25*(E841/'THAM_SO_MOI'!$C$22)^3)</f>
        <v>99.03258080202109</v>
      </c>
      <c r="K841" s="75">
        <f>'THAM_SO_MOI'!$C$31*J841/E841</f>
        <v>430.0777884554216</v>
      </c>
      <c r="L841" s="75">
        <f>K841*'THAM_SO_MOI'!$C$53*'THAM_SO_MOI'!$C$17/'THAM_SO_MOI'!$C$26</f>
        <v>3771.7838876349115</v>
      </c>
      <c r="M841" s="75">
        <f>'THAM_SO_MOI'!$C$15*'THAM_SO_MOI'!$C$16*F841^2</f>
        <v>1457.438327888162</v>
      </c>
      <c r="N841" s="75">
        <f>'THAM_SO_MOI'!$C$12*I841</f>
        <v>1505.5122378589963</v>
      </c>
      <c r="O841" s="75">
        <f>M841+N841</f>
        <v>2962.950565747158</v>
      </c>
      <c r="P841" s="75">
        <f>(MIN(L841,'THAM_SO_MOI'!$C$41)-O841)/('THAM_SO_MOI'!$C$11*H841)</f>
        <v>0.09574258071587989</v>
      </c>
      <c r="Q841" s="75">
        <f>IF(P841&gt;0,1/P841,NA())</f>
        <v>10.444673545697935</v>
      </c>
      <c r="R841" s="75">
        <f>F841-F840</f>
        <v>0.0035868055555567935</v>
      </c>
      <c r="S841" s="75">
        <f>0.5*(Q840+Q841)*R841</f>
        <v>0.0374491575341397</v>
      </c>
      <c r="T841" s="75">
        <f>0.5*(F840*Q840+F841*Q841)*R841</f>
        <v>0.8358711374573708</v>
      </c>
      <c r="U841" s="76">
        <f>U840+S841</f>
        <v>73.73319891872865</v>
      </c>
      <c r="V841" s="76">
        <f>V840+T841</f>
        <v>1153.1627939137197</v>
      </c>
    </row>
    <row r="842" spans="1:22" ht="19" customHeight="1">
      <c r="A842" s="68" t="s">
        <v>362</v>
      </c>
      <c r="B842" s="74">
        <v>5</v>
      </c>
      <c r="C842" s="68" t="s">
        <v>363</v>
      </c>
      <c r="D842" s="68" t="s">
        <v>365</v>
      </c>
      <c r="E842" s="75">
        <f>60*F842*'THAM_SO_MOI'!$C$53/(2*PI()*'THAM_SO_MOI'!$C$26)</f>
        <v>2199.653026315789</v>
      </c>
      <c r="F842" s="75">
        <f>'THAM_SO_MOI'!$C$14+('THAM_SO_MOI'!$C$37-'THAM_SO_MOI'!$C$14)*35/'THAM_SO_MOI'!$C$42</f>
        <v>22.325538194444444</v>
      </c>
      <c r="G842" s="75">
        <f>3.6*F842</f>
        <v>80.3719375</v>
      </c>
      <c r="H842" s="75">
        <f>'THAM_SO_MOI'!$D$53</f>
        <v>1.1</v>
      </c>
      <c r="I842" s="75">
        <f>IF(F842&gt;='THAM_SO_MOI'!$C$14,'THAM_SO_MOI'!$C$13*(1+F842^2/1500),'THAM_SO_MOI'!$C$13)</f>
        <v>0.019984296556715977</v>
      </c>
      <c r="J842" s="75">
        <f>'THAM_SO_MOI'!$C$40*('THAM_SO_MOI'!$C$23*(E842/'THAM_SO_MOI'!$C$22)+'THAM_SO_MOI'!$C$24*(E842/'THAM_SO_MOI'!$C$22)^2-'THAM_SO_MOI'!$C$25*(E842/'THAM_SO_MOI'!$C$22)^3)</f>
        <v>99.04823480414291</v>
      </c>
      <c r="K842" s="75">
        <f>'THAM_SO_MOI'!$C$31*J842/E842</f>
        <v>430.07666359045675</v>
      </c>
      <c r="L842" s="75">
        <f>K842*'THAM_SO_MOI'!$C$53*'THAM_SO_MOI'!$C$17/'THAM_SO_MOI'!$C$26</f>
        <v>3771.774022564767</v>
      </c>
      <c r="M842" s="75">
        <f>'THAM_SO_MOI'!$C$15*'THAM_SO_MOI'!$C$16*F842^2</f>
        <v>1457.9067428394235</v>
      </c>
      <c r="N842" s="75">
        <f>'THAM_SO_MOI'!$C$12*I842</f>
        <v>1505.6328900202273</v>
      </c>
      <c r="O842" s="75">
        <f>M842+N842</f>
        <v>2963.5396328596507</v>
      </c>
      <c r="P842" s="75">
        <f>(MIN(L842,'THAM_SO_MOI'!$C$41)-O842)/('THAM_SO_MOI'!$C$11*H842)</f>
        <v>0.09567168438744278</v>
      </c>
      <c r="Q842" s="75">
        <f>IF(P842&gt;0,1/P842,NA())</f>
        <v>10.452413442939793</v>
      </c>
      <c r="R842" s="75">
        <f>F842-F841</f>
        <v>0.0035868055555567935</v>
      </c>
      <c r="S842" s="75">
        <f>0.5*(Q841+Q842)*R842</f>
        <v>0.03747689385289969</v>
      </c>
      <c r="T842" s="75">
        <f>0.5*(F841*Q841+F842*Q842)*R842</f>
        <v>0.8366246388502954</v>
      </c>
      <c r="U842" s="76">
        <f>U841+S842</f>
        <v>73.77067581258154</v>
      </c>
      <c r="V842" s="76">
        <f>V841+T842</f>
        <v>1153.99941855257</v>
      </c>
    </row>
    <row r="843" spans="1:22" ht="19" customHeight="1">
      <c r="A843" s="68" t="s">
        <v>362</v>
      </c>
      <c r="B843" s="74">
        <v>5</v>
      </c>
      <c r="C843" s="68" t="s">
        <v>363</v>
      </c>
      <c r="D843" s="68" t="s">
        <v>365</v>
      </c>
      <c r="E843" s="75">
        <f>60*F843*'THAM_SO_MOI'!$C$53/(2*PI()*'THAM_SO_MOI'!$C$26)</f>
        <v>2200.006421052631</v>
      </c>
      <c r="F843" s="75">
        <f>'THAM_SO_MOI'!$C$14+('THAM_SO_MOI'!$C$37-'THAM_SO_MOI'!$C$14)*36/'THAM_SO_MOI'!$C$42</f>
        <v>22.329124999999998</v>
      </c>
      <c r="G843" s="75">
        <f>3.6*F843</f>
        <v>80.38485</v>
      </c>
      <c r="H843" s="75">
        <f>'THAM_SO_MOI'!$D$53</f>
        <v>1.1</v>
      </c>
      <c r="I843" s="75">
        <f>IF(F843&gt;='THAM_SO_MOI'!$C$14,'THAM_SO_MOI'!$C$13*(1+F843^2/1500),'THAM_SO_MOI'!$C$13)</f>
        <v>0.019985898232656247</v>
      </c>
      <c r="J843" s="75">
        <f>'THAM_SO_MOI'!$C$40*('THAM_SO_MOI'!$C$23*(E843/'THAM_SO_MOI'!$C$22)+'THAM_SO_MOI'!$C$24*(E843/'THAM_SO_MOI'!$C$22)^2-'THAM_SO_MOI'!$C$25*(E843/'THAM_SO_MOI'!$C$22)^3)</f>
        <v>99.06388593221976</v>
      </c>
      <c r="K843" s="75">
        <f>'THAM_SO_MOI'!$C$31*J843/E843</f>
        <v>430.07552660950734</v>
      </c>
      <c r="L843" s="75">
        <f>K843*'THAM_SO_MOI'!$C$53*'THAM_SO_MOI'!$C$17/'THAM_SO_MOI'!$C$26</f>
        <v>3771.7640512373923</v>
      </c>
      <c r="M843" s="75">
        <f>'THAM_SO_MOI'!$C$15*'THAM_SO_MOI'!$C$16*F843^2</f>
        <v>1458.375233051953</v>
      </c>
      <c r="N843" s="75">
        <f>'THAM_SO_MOI'!$C$12*I843</f>
        <v>1505.7535615669078</v>
      </c>
      <c r="O843" s="75">
        <f>M843+N843</f>
        <v>2964.128794618861</v>
      </c>
      <c r="P843" s="75">
        <f>(MIN(L843,'THAM_SO_MOI'!$C$41)-O843)/('THAM_SO_MOI'!$C$11*H843)</f>
        <v>0.09560076427776175</v>
      </c>
      <c r="Q843" s="75">
        <f>IF(P843&gt;0,1/P843,NA())</f>
        <v>10.460167421826938</v>
      </c>
      <c r="R843" s="75">
        <f>F843-F842</f>
        <v>0.0035868055555532408</v>
      </c>
      <c r="S843" s="75">
        <f>0.5*(Q842+Q843)*R843</f>
        <v>0.037504680613350855</v>
      </c>
      <c r="T843" s="75">
        <f>0.5*(F842*Q842+F843*Q843)*R843</f>
        <v>0.8373794654412683</v>
      </c>
      <c r="U843" s="76">
        <f>U842+S843</f>
        <v>73.8081804931949</v>
      </c>
      <c r="V843" s="76">
        <f>V842+T843</f>
        <v>1154.8367980180112</v>
      </c>
    </row>
    <row r="844" spans="1:22" ht="19" customHeight="1">
      <c r="A844" s="68" t="s">
        <v>362</v>
      </c>
      <c r="B844" s="74">
        <v>5</v>
      </c>
      <c r="C844" s="68" t="s">
        <v>363</v>
      </c>
      <c r="D844" s="68" t="s">
        <v>365</v>
      </c>
      <c r="E844" s="75">
        <f>60*F844*'THAM_SO_MOI'!$C$53/(2*PI()*'THAM_SO_MOI'!$C$26)</f>
        <v>2200.359815789473</v>
      </c>
      <c r="F844" s="75">
        <f>'THAM_SO_MOI'!$C$14+('THAM_SO_MOI'!$C$37-'THAM_SO_MOI'!$C$14)*37/'THAM_SO_MOI'!$C$42</f>
        <v>22.332711805555554</v>
      </c>
      <c r="G844" s="75">
        <f>3.6*F844</f>
        <v>80.3977625</v>
      </c>
      <c r="H844" s="75">
        <f>'THAM_SO_MOI'!$D$53</f>
        <v>1.1</v>
      </c>
      <c r="I844" s="75">
        <f>IF(F844&gt;='THAM_SO_MOI'!$C$14,'THAM_SO_MOI'!$C$13*(1+F844^2/1500),'THAM_SO_MOI'!$C$13)</f>
        <v>0.019987500165900004</v>
      </c>
      <c r="J844" s="75">
        <f>'THAM_SO_MOI'!$C$40*('THAM_SO_MOI'!$C$23*(E844/'THAM_SO_MOI'!$C$22)+'THAM_SO_MOI'!$C$24*(E844/'THAM_SO_MOI'!$C$22)^2-'THAM_SO_MOI'!$C$25*(E844/'THAM_SO_MOI'!$C$22)^3)</f>
        <v>99.07953418490672</v>
      </c>
      <c r="K844" s="75">
        <f>'THAM_SO_MOI'!$C$31*J844/E844</f>
        <v>430.0743775125735</v>
      </c>
      <c r="L844" s="75">
        <f>K844*'THAM_SO_MOI'!$C$53*'THAM_SO_MOI'!$C$17/'THAM_SO_MOI'!$C$26</f>
        <v>3771.753973652786</v>
      </c>
      <c r="M844" s="75">
        <f>'THAM_SO_MOI'!$C$15*'THAM_SO_MOI'!$C$16*F844^2</f>
        <v>1458.8437985257513</v>
      </c>
      <c r="N844" s="75">
        <f>'THAM_SO_MOI'!$C$12*I844</f>
        <v>1505.8742524990391</v>
      </c>
      <c r="O844" s="75">
        <f>M844+N844</f>
        <v>2964.7180510247904</v>
      </c>
      <c r="P844" s="75">
        <f>(MIN(L844,'THAM_SO_MOI'!$C$41)-O844)/('THAM_SO_MOI'!$C$11*H844)</f>
        <v>0.09552982038683658</v>
      </c>
      <c r="Q844" s="75">
        <f>IF(P844&gt;0,1/P844,NA())</f>
        <v>10.467935519512332</v>
      </c>
      <c r="R844" s="75">
        <f>F844-F843</f>
        <v>0.0035868055555567935</v>
      </c>
      <c r="S844" s="75">
        <f>0.5*(Q843+Q844)*R844</f>
        <v>0.03753251794863008</v>
      </c>
      <c r="T844" s="75">
        <f>0.5*(F843*Q843+F844*Q844)*R844</f>
        <v>0.8381356207461329</v>
      </c>
      <c r="U844" s="76">
        <f>U843+S844</f>
        <v>73.84571301114353</v>
      </c>
      <c r="V844" s="76">
        <f>V843+T844</f>
        <v>1155.6749336387575</v>
      </c>
    </row>
    <row r="845" spans="1:22" ht="19" customHeight="1">
      <c r="A845" s="68" t="s">
        <v>362</v>
      </c>
      <c r="B845" s="74">
        <v>5</v>
      </c>
      <c r="C845" s="68" t="s">
        <v>363</v>
      </c>
      <c r="D845" s="68" t="s">
        <v>365</v>
      </c>
      <c r="E845" s="75">
        <f>60*F845*'THAM_SO_MOI'!$C$53/(2*PI()*'THAM_SO_MOI'!$C$26)</f>
        <v>2200.713210526316</v>
      </c>
      <c r="F845" s="75">
        <f>'THAM_SO_MOI'!$C$14+('THAM_SO_MOI'!$C$37-'THAM_SO_MOI'!$C$14)*38/'THAM_SO_MOI'!$C$42</f>
        <v>22.33629861111111</v>
      </c>
      <c r="G845" s="75">
        <f>3.6*F845</f>
        <v>80.410675</v>
      </c>
      <c r="H845" s="75">
        <f>'THAM_SO_MOI'!$D$53</f>
        <v>1.1</v>
      </c>
      <c r="I845" s="75">
        <f>IF(F845&gt;='THAM_SO_MOI'!$C$14,'THAM_SO_MOI'!$C$13*(1+F845^2/1500),'THAM_SO_MOI'!$C$13)</f>
        <v>0.01998910235644724</v>
      </c>
      <c r="J845" s="75">
        <f>'THAM_SO_MOI'!$C$40*('THAM_SO_MOI'!$C$23*(E845/'THAM_SO_MOI'!$C$22)+'THAM_SO_MOI'!$C$24*(E845/'THAM_SO_MOI'!$C$22)^2-'THAM_SO_MOI'!$C$25*(E845/'THAM_SO_MOI'!$C$22)^3)</f>
        <v>99.09517956085898</v>
      </c>
      <c r="K845" s="75">
        <f>'THAM_SO_MOI'!$C$31*J845/E845</f>
        <v>430.0732162996552</v>
      </c>
      <c r="L845" s="75">
        <f>K845*'THAM_SO_MOI'!$C$53*'THAM_SO_MOI'!$C$17/'THAM_SO_MOI'!$C$26</f>
        <v>3771.743789810949</v>
      </c>
      <c r="M845" s="75">
        <f>'THAM_SO_MOI'!$C$15*'THAM_SO_MOI'!$C$16*F845^2</f>
        <v>1459.3124392608183</v>
      </c>
      <c r="N845" s="75">
        <f>'THAM_SO_MOI'!$C$12*I845</f>
        <v>1505.9949628166203</v>
      </c>
      <c r="O845" s="75">
        <f>M845+N845</f>
        <v>2965.3074020774384</v>
      </c>
      <c r="P845" s="75">
        <f>(MIN(L845,'THAM_SO_MOI'!$C$41)-O845)/('THAM_SO_MOI'!$C$11*H845)</f>
        <v>0.09545885271466739</v>
      </c>
      <c r="Q845" s="75">
        <f>IF(P845&gt;0,1/P845,NA())</f>
        <v>10.47571777328043</v>
      </c>
      <c r="R845" s="75">
        <f>F845-F844</f>
        <v>0.0035868055555567935</v>
      </c>
      <c r="S845" s="75">
        <f>0.5*(Q844+Q845)*R845</f>
        <v>0.0375604059921222</v>
      </c>
      <c r="T845" s="75">
        <f>0.5*(F844*Q844+F845*Q845)*R845</f>
        <v>0.8388931082881803</v>
      </c>
      <c r="U845" s="76">
        <f>U844+S845</f>
        <v>73.88327341713565</v>
      </c>
      <c r="V845" s="76">
        <f>V844+T845</f>
        <v>1156.5138267470456</v>
      </c>
    </row>
    <row r="846" spans="1:22" ht="19" customHeight="1">
      <c r="A846" s="68" t="s">
        <v>362</v>
      </c>
      <c r="B846" s="74">
        <v>5</v>
      </c>
      <c r="C846" s="68" t="s">
        <v>363</v>
      </c>
      <c r="D846" s="68" t="s">
        <v>365</v>
      </c>
      <c r="E846" s="75">
        <f>60*F846*'THAM_SO_MOI'!$C$53/(2*PI()*'THAM_SO_MOI'!$C$26)</f>
        <v>2201.0666052631573</v>
      </c>
      <c r="F846" s="75">
        <f>'THAM_SO_MOI'!$C$14+('THAM_SO_MOI'!$C$37-'THAM_SO_MOI'!$C$14)*39/'THAM_SO_MOI'!$C$42</f>
        <v>22.339885416666664</v>
      </c>
      <c r="G846" s="75">
        <f>3.6*F846</f>
        <v>80.4235875</v>
      </c>
      <c r="H846" s="75">
        <f>'THAM_SO_MOI'!$D$53</f>
        <v>1.1</v>
      </c>
      <c r="I846" s="75">
        <f>IF(F846&gt;='THAM_SO_MOI'!$C$14,'THAM_SO_MOI'!$C$13*(1+F846^2/1500),'THAM_SO_MOI'!$C$13)</f>
        <v>0.01999070480429796</v>
      </c>
      <c r="J846" s="75">
        <f>'THAM_SO_MOI'!$C$40*('THAM_SO_MOI'!$C$23*(E846/'THAM_SO_MOI'!$C$22)+'THAM_SO_MOI'!$C$24*(E846/'THAM_SO_MOI'!$C$22)^2-'THAM_SO_MOI'!$C$25*(E846/'THAM_SO_MOI'!$C$22)^3)</f>
        <v>99.11082205873156</v>
      </c>
      <c r="K846" s="75">
        <f>'THAM_SO_MOI'!$C$31*J846/E846</f>
        <v>430.0720429707526</v>
      </c>
      <c r="L846" s="75">
        <f>K846*'THAM_SO_MOI'!$C$53*'THAM_SO_MOI'!$C$17/'THAM_SO_MOI'!$C$26</f>
        <v>3771.7334997118814</v>
      </c>
      <c r="M846" s="75">
        <f>'THAM_SO_MOI'!$C$15*'THAM_SO_MOI'!$C$16*F846^2</f>
        <v>1459.781155257153</v>
      </c>
      <c r="N846" s="75">
        <f>'THAM_SO_MOI'!$C$12*I846</f>
        <v>1506.1156925196517</v>
      </c>
      <c r="O846" s="75">
        <f>M846+N846</f>
        <v>2965.896847776805</v>
      </c>
      <c r="P846" s="75">
        <f>(MIN(L846,'THAM_SO_MOI'!$C$41)-O846)/('THAM_SO_MOI'!$C$11*H846)</f>
        <v>0.09538786126125436</v>
      </c>
      <c r="Q846" s="75">
        <f>IF(P846&gt;0,1/P846,NA())</f>
        <v>10.483514220547793</v>
      </c>
      <c r="R846" s="75">
        <f>F846-F845</f>
        <v>0.0035868055555532408</v>
      </c>
      <c r="S846" s="75">
        <f>0.5*(Q845+Q846)*R846</f>
        <v>0.03758834487779615</v>
      </c>
      <c r="T846" s="75">
        <f>0.5*(F845*Q845+F846*Q846)*R846</f>
        <v>0.8396519316056623</v>
      </c>
      <c r="U846" s="76">
        <f>U845+S846</f>
        <v>73.92086176201344</v>
      </c>
      <c r="V846" s="76">
        <f>V845+T846</f>
        <v>1157.3534786786513</v>
      </c>
    </row>
    <row r="847" spans="1:22" ht="19" customHeight="1">
      <c r="A847" s="68" t="s">
        <v>362</v>
      </c>
      <c r="B847" s="74">
        <v>5</v>
      </c>
      <c r="C847" s="68" t="s">
        <v>363</v>
      </c>
      <c r="D847" s="68" t="s">
        <v>365</v>
      </c>
      <c r="E847" s="75">
        <f>60*F847*'THAM_SO_MOI'!$C$53/(2*PI()*'THAM_SO_MOI'!$C$26)</f>
        <v>2201.4199999999996</v>
      </c>
      <c r="F847" s="75">
        <f>'THAM_SO_MOI'!$C$14+('THAM_SO_MOI'!$C$37-'THAM_SO_MOI'!$C$14)*40/'THAM_SO_MOI'!$C$42</f>
        <v>22.34347222222222</v>
      </c>
      <c r="G847" s="75">
        <f>3.6*F847</f>
        <v>80.4365</v>
      </c>
      <c r="H847" s="75">
        <f>'THAM_SO_MOI'!$D$53</f>
        <v>1.1</v>
      </c>
      <c r="I847" s="75">
        <f>IF(F847&gt;='THAM_SO_MOI'!$C$14,'THAM_SO_MOI'!$C$13*(1+F847^2/1500),'THAM_SO_MOI'!$C$13)</f>
        <v>0.01999230750945216</v>
      </c>
      <c r="J847" s="75">
        <f>'THAM_SO_MOI'!$C$40*('THAM_SO_MOI'!$C$23*(E847/'THAM_SO_MOI'!$C$22)+'THAM_SO_MOI'!$C$24*(E847/'THAM_SO_MOI'!$C$22)^2-'THAM_SO_MOI'!$C$25*(E847/'THAM_SO_MOI'!$C$22)^3)</f>
        <v>99.1264616771796</v>
      </c>
      <c r="K847" s="75">
        <f>'THAM_SO_MOI'!$C$31*J847/E847</f>
        <v>430.0708575258654</v>
      </c>
      <c r="L847" s="75">
        <f>K847*'THAM_SO_MOI'!$C$53*'THAM_SO_MOI'!$C$17/'THAM_SO_MOI'!$C$26</f>
        <v>3771.7231033555827</v>
      </c>
      <c r="M847" s="75">
        <f>'THAM_SO_MOI'!$C$15*'THAM_SO_MOI'!$C$16*F847^2</f>
        <v>1460.249946514757</v>
      </c>
      <c r="N847" s="75">
        <f>'THAM_SO_MOI'!$C$12*I847</f>
        <v>1506.2364416081332</v>
      </c>
      <c r="O847" s="75">
        <f>M847+N847</f>
        <v>2966.4863881228903</v>
      </c>
      <c r="P847" s="75">
        <f>(MIN(L847,'THAM_SO_MOI'!$C$41)-O847)/('THAM_SO_MOI'!$C$11*H847)</f>
        <v>0.09531684602659711</v>
      </c>
      <c r="Q847" s="75">
        <f>IF(P847&gt;0,1/P847,NA())</f>
        <v>10.491324898863745</v>
      </c>
      <c r="R847" s="75">
        <f>F847-F846</f>
        <v>0.0035868055555567935</v>
      </c>
      <c r="S847" s="75">
        <f>0.5*(Q846+Q847)*R847</f>
        <v>0.03761633474020763</v>
      </c>
      <c r="T847" s="75">
        <f>0.5*(F846*Q846+F847*Q847)*R847</f>
        <v>0.840412094251863</v>
      </c>
      <c r="U847" s="76">
        <f>U846+S847</f>
        <v>73.95847809675365</v>
      </c>
      <c r="V847" s="76">
        <f>V846+T847</f>
        <v>1158.1938907729032</v>
      </c>
    </row>
    <row r="848" spans="1:22" ht="19" customHeight="1">
      <c r="A848" s="68" t="s">
        <v>362</v>
      </c>
      <c r="B848" s="74">
        <v>5</v>
      </c>
      <c r="C848" s="68" t="s">
        <v>363</v>
      </c>
      <c r="D848" s="68" t="s">
        <v>365</v>
      </c>
      <c r="E848" s="75">
        <f>60*F848*'THAM_SO_MOI'!$C$53/(2*PI()*'THAM_SO_MOI'!$C$26)</f>
        <v>2201.7733947368415</v>
      </c>
      <c r="F848" s="75">
        <f>'THAM_SO_MOI'!$C$14+('THAM_SO_MOI'!$C$37-'THAM_SO_MOI'!$C$14)*41/'THAM_SO_MOI'!$C$42</f>
        <v>22.347059027777778</v>
      </c>
      <c r="G848" s="75">
        <f>3.6*F848</f>
        <v>80.44941250000001</v>
      </c>
      <c r="H848" s="75">
        <f>'THAM_SO_MOI'!$D$53</f>
        <v>1.1</v>
      </c>
      <c r="I848" s="75">
        <f>IF(F848&gt;='THAM_SO_MOI'!$C$14,'THAM_SO_MOI'!$C$13*(1+F848^2/1500),'THAM_SO_MOI'!$C$13)</f>
        <v>0.01999391047190984</v>
      </c>
      <c r="J848" s="75">
        <f>'THAM_SO_MOI'!$C$40*('THAM_SO_MOI'!$C$23*(E848/'THAM_SO_MOI'!$C$22)+'THAM_SO_MOI'!$C$24*(E848/'THAM_SO_MOI'!$C$22)^2-'THAM_SO_MOI'!$C$25*(E848/'THAM_SO_MOI'!$C$22)^3)</f>
        <v>99.1420984148582</v>
      </c>
      <c r="K848" s="75">
        <f>'THAM_SO_MOI'!$C$31*J848/E848</f>
        <v>430.06965996499366</v>
      </c>
      <c r="L848" s="75">
        <f>K848*'THAM_SO_MOI'!$C$53*'THAM_SO_MOI'!$C$17/'THAM_SO_MOI'!$C$26</f>
        <v>3771.712600742051</v>
      </c>
      <c r="M848" s="75">
        <f>'THAM_SO_MOI'!$C$15*'THAM_SO_MOI'!$C$16*F848^2</f>
        <v>1460.718813033629</v>
      </c>
      <c r="N848" s="75">
        <f>'THAM_SO_MOI'!$C$12*I848</f>
        <v>1506.357210082065</v>
      </c>
      <c r="O848" s="75">
        <f>M848+N848</f>
        <v>2967.0760231156937</v>
      </c>
      <c r="P848" s="75">
        <f>(MIN(L848,'THAM_SO_MOI'!$C$41)-O848)/('THAM_SO_MOI'!$C$11*H848)</f>
        <v>0.09524580701069568</v>
      </c>
      <c r="Q848" s="75">
        <f>IF(P848&gt;0,1/P848,NA())</f>
        <v>10.499149845910848</v>
      </c>
      <c r="R848" s="75">
        <f>F848-F847</f>
        <v>0.0035868055555567935</v>
      </c>
      <c r="S848" s="75">
        <f>0.5*(Q847+Q848)*R848</f>
        <v>0.03764437571416604</v>
      </c>
      <c r="T848" s="75">
        <f>0.5*(F847*Q847+F848*Q848)*R848</f>
        <v>0.8411735997876657</v>
      </c>
      <c r="U848" s="76">
        <f>U847+S848</f>
        <v>73.99612247246782</v>
      </c>
      <c r="V848" s="76">
        <f>V847+T848</f>
        <v>1159.0350643726908</v>
      </c>
    </row>
    <row r="849" spans="1:22" ht="19" customHeight="1">
      <c r="A849" s="68" t="s">
        <v>362</v>
      </c>
      <c r="B849" s="74">
        <v>5</v>
      </c>
      <c r="C849" s="68" t="s">
        <v>363</v>
      </c>
      <c r="D849" s="68" t="s">
        <v>365</v>
      </c>
      <c r="E849" s="75">
        <f>60*F849*'THAM_SO_MOI'!$C$53/(2*PI()*'THAM_SO_MOI'!$C$26)</f>
        <v>2202.1267894736834</v>
      </c>
      <c r="F849" s="75">
        <f>'THAM_SO_MOI'!$C$14+('THAM_SO_MOI'!$C$37-'THAM_SO_MOI'!$C$14)*42/'THAM_SO_MOI'!$C$42</f>
        <v>22.35064583333333</v>
      </c>
      <c r="G849" s="75">
        <f>3.6*F849</f>
        <v>80.46232499999999</v>
      </c>
      <c r="H849" s="75">
        <f>'THAM_SO_MOI'!$D$53</f>
        <v>1.1</v>
      </c>
      <c r="I849" s="75">
        <f>IF(F849&gt;='THAM_SO_MOI'!$C$14,'THAM_SO_MOI'!$C$13*(1+F849^2/1500),'THAM_SO_MOI'!$C$13)</f>
        <v>0.019995513691671005</v>
      </c>
      <c r="J849" s="75">
        <f>'THAM_SO_MOI'!$C$40*('THAM_SO_MOI'!$C$23*(E849/'THAM_SO_MOI'!$C$22)+'THAM_SO_MOI'!$C$24*(E849/'THAM_SO_MOI'!$C$22)^2-'THAM_SO_MOI'!$C$25*(E849/'THAM_SO_MOI'!$C$22)^3)</f>
        <v>99.15773227042247</v>
      </c>
      <c r="K849" s="75">
        <f>'THAM_SO_MOI'!$C$31*J849/E849</f>
        <v>430.06845028813757</v>
      </c>
      <c r="L849" s="75">
        <f>K849*'THAM_SO_MOI'!$C$53*'THAM_SO_MOI'!$C$17/'THAM_SO_MOI'!$C$26</f>
        <v>3771.70199187129</v>
      </c>
      <c r="M849" s="75">
        <f>'THAM_SO_MOI'!$C$15*'THAM_SO_MOI'!$C$16*F849^2</f>
        <v>1461.1877548137693</v>
      </c>
      <c r="N849" s="75">
        <f>'THAM_SO_MOI'!$C$12*I849</f>
        <v>1506.4779979414468</v>
      </c>
      <c r="O849" s="75">
        <f>M849+N849</f>
        <v>2967.665752755216</v>
      </c>
      <c r="P849" s="75">
        <f>(MIN(L849,'THAM_SO_MOI'!$C$41)-O849)/('THAM_SO_MOI'!$C$11*H849)</f>
        <v>0.09517474421355038</v>
      </c>
      <c r="Q849" s="75">
        <f>IF(P849&gt;0,1/P849,NA())</f>
        <v>10.506989099505521</v>
      </c>
      <c r="R849" s="75">
        <f>F849-F848</f>
        <v>0.0035868055555532408</v>
      </c>
      <c r="S849" s="75">
        <f>0.5*(Q848+Q849)*R849</f>
        <v>0.03767246793507136</v>
      </c>
      <c r="T849" s="75">
        <f>0.5*(F848*Q848+F849*Q849)*R849</f>
        <v>0.8419364517890864</v>
      </c>
      <c r="U849" s="76">
        <f>U848+S849</f>
        <v>74.03379494040288</v>
      </c>
      <c r="V849" s="76">
        <f>V848+T849</f>
        <v>1159.8770008244799</v>
      </c>
    </row>
    <row r="850" spans="1:22" ht="19" customHeight="1">
      <c r="A850" s="68" t="s">
        <v>362</v>
      </c>
      <c r="B850" s="74">
        <v>5</v>
      </c>
      <c r="C850" s="68" t="s">
        <v>363</v>
      </c>
      <c r="D850" s="68" t="s">
        <v>365</v>
      </c>
      <c r="E850" s="75">
        <f>60*F850*'THAM_SO_MOI'!$C$53/(2*PI()*'THAM_SO_MOI'!$C$26)</f>
        <v>2202.4801842105257</v>
      </c>
      <c r="F850" s="75">
        <f>'THAM_SO_MOI'!$C$14+('THAM_SO_MOI'!$C$37-'THAM_SO_MOI'!$C$14)*43/'THAM_SO_MOI'!$C$42</f>
        <v>22.354232638888888</v>
      </c>
      <c r="G850" s="75">
        <f>3.6*F850</f>
        <v>80.4752375</v>
      </c>
      <c r="H850" s="75">
        <f>'THAM_SO_MOI'!$D$53</f>
        <v>1.1</v>
      </c>
      <c r="I850" s="75">
        <f>IF(F850&gt;='THAM_SO_MOI'!$C$14,'THAM_SO_MOI'!$C$13*(1+F850^2/1500),'THAM_SO_MOI'!$C$13)</f>
        <v>0.019997117168735652</v>
      </c>
      <c r="J850" s="75">
        <f>'THAM_SO_MOI'!$C$40*('THAM_SO_MOI'!$C$23*(E850/'THAM_SO_MOI'!$C$22)+'THAM_SO_MOI'!$C$24*(E850/'THAM_SO_MOI'!$C$22)^2-'THAM_SO_MOI'!$C$25*(E850/'THAM_SO_MOI'!$C$22)^3)</f>
        <v>99.17336324252759</v>
      </c>
      <c r="K850" s="75">
        <f>'THAM_SO_MOI'!$C$31*J850/E850</f>
        <v>430.067228495297</v>
      </c>
      <c r="L850" s="75">
        <f>K850*'THAM_SO_MOI'!$C$53*'THAM_SO_MOI'!$C$17/'THAM_SO_MOI'!$C$26</f>
        <v>3771.6912767432973</v>
      </c>
      <c r="M850" s="75">
        <f>'THAM_SO_MOI'!$C$15*'THAM_SO_MOI'!$C$16*F850^2</f>
        <v>1461.6567718551785</v>
      </c>
      <c r="N850" s="75">
        <f>'THAM_SO_MOI'!$C$12*I850</f>
        <v>1506.5988051862792</v>
      </c>
      <c r="O850" s="75">
        <f>M850+N850</f>
        <v>2968.2555770414574</v>
      </c>
      <c r="P850" s="75">
        <f>(MIN(L850,'THAM_SO_MOI'!$C$41)-O850)/('THAM_SO_MOI'!$C$11*H850)</f>
        <v>0.09510365763516097</v>
      </c>
      <c r="Q850" s="75">
        <f>IF(P850&gt;0,1/P850,NA())</f>
        <v>10.514842697598707</v>
      </c>
      <c r="R850" s="75">
        <f>F850-F849</f>
        <v>0.0035868055555567935</v>
      </c>
      <c r="S850" s="75">
        <f>0.5*(Q849+Q850)*R850</f>
        <v>0.03770061153891695</v>
      </c>
      <c r="T850" s="75">
        <f>0.5*(F849*Q849+F850*Q850)*R850</f>
        <v>0.8427006538473472</v>
      </c>
      <c r="U850" s="76">
        <f>U849+S850</f>
        <v>74.07149555194181</v>
      </c>
      <c r="V850" s="76">
        <f>V849+T850</f>
        <v>1160.7197014783271</v>
      </c>
    </row>
    <row r="851" spans="1:22" ht="19" customHeight="1">
      <c r="A851" s="68" t="s">
        <v>362</v>
      </c>
      <c r="B851" s="74">
        <v>5</v>
      </c>
      <c r="C851" s="68" t="s">
        <v>363</v>
      </c>
      <c r="D851" s="68" t="s">
        <v>365</v>
      </c>
      <c r="E851" s="75">
        <f>60*F851*'THAM_SO_MOI'!$C$53/(2*PI()*'THAM_SO_MOI'!$C$26)</f>
        <v>2202.833578947368</v>
      </c>
      <c r="F851" s="75">
        <f>'THAM_SO_MOI'!$C$14+('THAM_SO_MOI'!$C$37-'THAM_SO_MOI'!$C$14)*44/'THAM_SO_MOI'!$C$42</f>
        <v>22.357819444444445</v>
      </c>
      <c r="G851" s="75">
        <f>3.6*F851</f>
        <v>80.48815</v>
      </c>
      <c r="H851" s="75">
        <f>'THAM_SO_MOI'!$D$53</f>
        <v>1.1</v>
      </c>
      <c r="I851" s="75">
        <f>IF(F851&gt;='THAM_SO_MOI'!$C$14,'THAM_SO_MOI'!$C$13*(1+F851^2/1500),'THAM_SO_MOI'!$C$13)</f>
        <v>0.01999872090310378</v>
      </c>
      <c r="J851" s="75">
        <f>'THAM_SO_MOI'!$C$40*('THAM_SO_MOI'!$C$23*(E851/'THAM_SO_MOI'!$C$22)+'THAM_SO_MOI'!$C$24*(E851/'THAM_SO_MOI'!$C$22)^2-'THAM_SO_MOI'!$C$25*(E851/'THAM_SO_MOI'!$C$22)^3)</f>
        <v>99.1889913298286</v>
      </c>
      <c r="K851" s="75">
        <f>'THAM_SO_MOI'!$C$31*J851/E851</f>
        <v>430.065994586472</v>
      </c>
      <c r="L851" s="75">
        <f>K851*'THAM_SO_MOI'!$C$53*'THAM_SO_MOI'!$C$17/'THAM_SO_MOI'!$C$26</f>
        <v>3771.6804553580737</v>
      </c>
      <c r="M851" s="75">
        <f>'THAM_SO_MOI'!$C$15*'THAM_SO_MOI'!$C$16*F851^2</f>
        <v>1462.125864157856</v>
      </c>
      <c r="N851" s="75">
        <f>'THAM_SO_MOI'!$C$12*I851</f>
        <v>1506.7196318165613</v>
      </c>
      <c r="O851" s="75">
        <f>M851+N851</f>
        <v>2968.8454959744176</v>
      </c>
      <c r="P851" s="75">
        <f>(MIN(L851,'THAM_SO_MOI'!$C$41)-O851)/('THAM_SO_MOI'!$C$11*H851)</f>
        <v>0.0950325472755275</v>
      </c>
      <c r="Q851" s="75">
        <f>IF(P851&gt;0,1/P851,NA())</f>
        <v>10.5227106782764</v>
      </c>
      <c r="R851" s="75">
        <f>F851-F850</f>
        <v>0.0035868055555567935</v>
      </c>
      <c r="S851" s="75">
        <f>0.5*(Q850+Q851)*R851</f>
        <v>0.0377288066619557</v>
      </c>
      <c r="T851" s="75">
        <f>0.5*(F850*Q850+F851*Q851)*R851</f>
        <v>0.8434662095614239</v>
      </c>
      <c r="U851" s="76">
        <f>U850+S851</f>
        <v>74.10922435860377</v>
      </c>
      <c r="V851" s="76">
        <f>V850+T851</f>
        <v>1161.5631676878886</v>
      </c>
    </row>
    <row r="852" spans="1:22" ht="19" customHeight="1">
      <c r="A852" s="68" t="s">
        <v>362</v>
      </c>
      <c r="B852" s="74">
        <v>5</v>
      </c>
      <c r="C852" s="68" t="s">
        <v>363</v>
      </c>
      <c r="D852" s="68" t="s">
        <v>365</v>
      </c>
      <c r="E852" s="75">
        <f>60*F852*'THAM_SO_MOI'!$C$53/(2*PI()*'THAM_SO_MOI'!$C$26)</f>
        <v>2203.18697368421</v>
      </c>
      <c r="F852" s="75">
        <f>'THAM_SO_MOI'!$C$14+('THAM_SO_MOI'!$C$37-'THAM_SO_MOI'!$C$14)*45/'THAM_SO_MOI'!$C$42</f>
        <v>22.361406249999998</v>
      </c>
      <c r="G852" s="75">
        <f>3.6*F852</f>
        <v>80.50106249999999</v>
      </c>
      <c r="H852" s="75">
        <f>'THAM_SO_MOI'!$D$53</f>
        <v>1.1</v>
      </c>
      <c r="I852" s="75">
        <f>IF(F852&gt;='THAM_SO_MOI'!$C$14,'THAM_SO_MOI'!$C$13*(1+F852^2/1500),'THAM_SO_MOI'!$C$13)</f>
        <v>0.020000324894775393</v>
      </c>
      <c r="J852" s="75">
        <f>'THAM_SO_MOI'!$C$40*('THAM_SO_MOI'!$C$23*(E852/'THAM_SO_MOI'!$C$22)+'THAM_SO_MOI'!$C$24*(E852/'THAM_SO_MOI'!$C$22)^2-'THAM_SO_MOI'!$C$25*(E852/'THAM_SO_MOI'!$C$22)^3)</f>
        <v>99.20461653098059</v>
      </c>
      <c r="K852" s="75">
        <f>'THAM_SO_MOI'!$C$31*J852/E852</f>
        <v>430.06474856166255</v>
      </c>
      <c r="L852" s="75">
        <f>K852*'THAM_SO_MOI'!$C$53*'THAM_SO_MOI'!$C$17/'THAM_SO_MOI'!$C$26</f>
        <v>3771.669527715619</v>
      </c>
      <c r="M852" s="75">
        <f>'THAM_SO_MOI'!$C$15*'THAM_SO_MOI'!$C$16*F852^2</f>
        <v>1462.5950317218017</v>
      </c>
      <c r="N852" s="75">
        <f>'THAM_SO_MOI'!$C$12*I852</f>
        <v>1506.840477832294</v>
      </c>
      <c r="O852" s="75">
        <f>M852+N852</f>
        <v>2969.435509554096</v>
      </c>
      <c r="P852" s="75">
        <f>(MIN(L852,'THAM_SO_MOI'!$C$41)-O852)/('THAM_SO_MOI'!$C$11*H852)</f>
        <v>0.09496141313465002</v>
      </c>
      <c r="Q852" s="75">
        <f>IF(P852&gt;0,1/P852,NA())</f>
        <v>10.530593079760253</v>
      </c>
      <c r="R852" s="75">
        <f>F852-F851</f>
        <v>0.0035868055555532408</v>
      </c>
      <c r="S852" s="75">
        <f>0.5*(Q851+Q852)*R852</f>
        <v>0.0377570534410379</v>
      </c>
      <c r="T852" s="75">
        <f>0.5*(F851*Q851+F852*Q852)*R852</f>
        <v>0.8442331225456039</v>
      </c>
      <c r="U852" s="76">
        <f>U851+S852</f>
        <v>74.14698141204481</v>
      </c>
      <c r="V852" s="76">
        <f>V851+T852</f>
        <v>1162.4074008104342</v>
      </c>
    </row>
    <row r="853" spans="1:22" ht="19" customHeight="1">
      <c r="A853" s="68" t="s">
        <v>362</v>
      </c>
      <c r="B853" s="74">
        <v>5</v>
      </c>
      <c r="C853" s="68" t="s">
        <v>363</v>
      </c>
      <c r="D853" s="68" t="s">
        <v>365</v>
      </c>
      <c r="E853" s="75">
        <f>60*F853*'THAM_SO_MOI'!$C$53/(2*PI()*'THAM_SO_MOI'!$C$26)</f>
        <v>2203.5403684210523</v>
      </c>
      <c r="F853" s="75">
        <f>'THAM_SO_MOI'!$C$14+('THAM_SO_MOI'!$C$37-'THAM_SO_MOI'!$C$14)*46/'THAM_SO_MOI'!$C$42</f>
        <v>22.364993055555555</v>
      </c>
      <c r="G853" s="75">
        <f>3.6*F853</f>
        <v>80.513975</v>
      </c>
      <c r="H853" s="75">
        <f>'THAM_SO_MOI'!$D$53</f>
        <v>1.1</v>
      </c>
      <c r="I853" s="75">
        <f>IF(F853&gt;='THAM_SO_MOI'!$C$14,'THAM_SO_MOI'!$C$13*(1+F853^2/1500),'THAM_SO_MOI'!$C$13)</f>
        <v>0.020001929143750482</v>
      </c>
      <c r="J853" s="75">
        <f>'THAM_SO_MOI'!$C$40*('THAM_SO_MOI'!$C$23*(E853/'THAM_SO_MOI'!$C$22)+'THAM_SO_MOI'!$C$24*(E853/'THAM_SO_MOI'!$C$22)^2-'THAM_SO_MOI'!$C$25*(E853/'THAM_SO_MOI'!$C$22)^3)</f>
        <v>99.22023884463877</v>
      </c>
      <c r="K853" s="75">
        <f>'THAM_SO_MOI'!$C$31*J853/E853</f>
        <v>430.0634904208688</v>
      </c>
      <c r="L853" s="75">
        <f>K853*'THAM_SO_MOI'!$C$53*'THAM_SO_MOI'!$C$17/'THAM_SO_MOI'!$C$26</f>
        <v>3771.658493815935</v>
      </c>
      <c r="M853" s="75">
        <f>'THAM_SO_MOI'!$C$15*'THAM_SO_MOI'!$C$16*F853^2</f>
        <v>1463.064274547016</v>
      </c>
      <c r="N853" s="75">
        <f>'THAM_SO_MOI'!$C$12*I853</f>
        <v>1506.9613432334763</v>
      </c>
      <c r="O853" s="75">
        <f>M853+N853</f>
        <v>2970.025617780492</v>
      </c>
      <c r="P853" s="75">
        <f>(MIN(L853,'THAM_SO_MOI'!$C$41)-O853)/('THAM_SO_MOI'!$C$11*H853)</f>
        <v>0.09489025521252872</v>
      </c>
      <c r="Q853" s="75">
        <f>IF(P853&gt;0,1/P853,NA())</f>
        <v>10.538489940408192</v>
      </c>
      <c r="R853" s="75">
        <f>F853-F852</f>
        <v>0.0035868055555567935</v>
      </c>
      <c r="S853" s="75">
        <f>0.5*(Q852+Q853)*R853</f>
        <v>0.03778535201361374</v>
      </c>
      <c r="T853" s="75">
        <f>0.5*(F852*Q852+F853*Q853)*R853</f>
        <v>0.8450013964295546</v>
      </c>
      <c r="U853" s="76">
        <f>U852+S853</f>
        <v>74.18476676405842</v>
      </c>
      <c r="V853" s="76">
        <f>V852+T853</f>
        <v>1163.2524022068637</v>
      </c>
    </row>
    <row r="854" spans="1:22" ht="19" customHeight="1">
      <c r="A854" s="68" t="s">
        <v>362</v>
      </c>
      <c r="B854" s="74">
        <v>5</v>
      </c>
      <c r="C854" s="68" t="s">
        <v>363</v>
      </c>
      <c r="D854" s="68" t="s">
        <v>365</v>
      </c>
      <c r="E854" s="75">
        <f>60*F854*'THAM_SO_MOI'!$C$53/(2*PI()*'THAM_SO_MOI'!$C$26)</f>
        <v>2203.893763157894</v>
      </c>
      <c r="F854" s="75">
        <f>'THAM_SO_MOI'!$C$14+('THAM_SO_MOI'!$C$37-'THAM_SO_MOI'!$C$14)*47/'THAM_SO_MOI'!$C$42</f>
        <v>22.36857986111111</v>
      </c>
      <c r="G854" s="75">
        <f>3.6*F854</f>
        <v>80.5268875</v>
      </c>
      <c r="H854" s="75">
        <f>'THAM_SO_MOI'!$D$53</f>
        <v>1.1</v>
      </c>
      <c r="I854" s="75">
        <f>IF(F854&gt;='THAM_SO_MOI'!$C$14,'THAM_SO_MOI'!$C$13*(1+F854^2/1500),'THAM_SO_MOI'!$C$13)</f>
        <v>0.020003533650029055</v>
      </c>
      <c r="J854" s="75">
        <f>'THAM_SO_MOI'!$C$40*('THAM_SO_MOI'!$C$23*(E854/'THAM_SO_MOI'!$C$22)+'THAM_SO_MOI'!$C$24*(E854/'THAM_SO_MOI'!$C$22)^2-'THAM_SO_MOI'!$C$25*(E854/'THAM_SO_MOI'!$C$22)^3)</f>
        <v>99.2358582694581</v>
      </c>
      <c r="K854" s="75">
        <f>'THAM_SO_MOI'!$C$31*J854/E854</f>
        <v>430.06222016409026</v>
      </c>
      <c r="L854" s="75">
        <f>K854*'THAM_SO_MOI'!$C$53*'THAM_SO_MOI'!$C$17/'THAM_SO_MOI'!$C$26</f>
        <v>3771.647353659017</v>
      </c>
      <c r="M854" s="75">
        <f>'THAM_SO_MOI'!$C$15*'THAM_SO_MOI'!$C$16*F854^2</f>
        <v>1463.5335926334992</v>
      </c>
      <c r="N854" s="75">
        <f>'THAM_SO_MOI'!$C$12*I854</f>
        <v>1507.0822280201091</v>
      </c>
      <c r="O854" s="75">
        <f>M854+N854</f>
        <v>2970.6158206536084</v>
      </c>
      <c r="P854" s="75">
        <f>(MIN(L854,'THAM_SO_MOI'!$C$41)-O854)/('THAM_SO_MOI'!$C$11*H854)</f>
        <v>0.09481907350916295</v>
      </c>
      <c r="Q854" s="75">
        <f>IF(P854&gt;0,1/P854,NA())</f>
        <v>10.546401298715114</v>
      </c>
      <c r="R854" s="75">
        <f>F854-F853</f>
        <v>0.0035868055555567935</v>
      </c>
      <c r="S854" s="75">
        <f>0.5*(Q853+Q854)*R854</f>
        <v>0.03781370251739912</v>
      </c>
      <c r="T854" s="75">
        <f>0.5*(F853*Q853+F854*Q854)*R854</f>
        <v>0.8457710348508581</v>
      </c>
      <c r="U854" s="76">
        <f>U853+S854</f>
        <v>74.22258046657582</v>
      </c>
      <c r="V854" s="76">
        <f>V853+T854</f>
        <v>1164.0981732417147</v>
      </c>
    </row>
    <row r="855" spans="1:22" ht="19" customHeight="1">
      <c r="A855" s="68" t="s">
        <v>362</v>
      </c>
      <c r="B855" s="74">
        <v>5</v>
      </c>
      <c r="C855" s="68" t="s">
        <v>363</v>
      </c>
      <c r="D855" s="68" t="s">
        <v>365</v>
      </c>
      <c r="E855" s="75">
        <f>60*F855*'THAM_SO_MOI'!$C$53/(2*PI()*'THAM_SO_MOI'!$C$26)</f>
        <v>2204.247157894736</v>
      </c>
      <c r="F855" s="75">
        <f>'THAM_SO_MOI'!$C$14+('THAM_SO_MOI'!$C$37-'THAM_SO_MOI'!$C$14)*48/'THAM_SO_MOI'!$C$42</f>
        <v>22.372166666666665</v>
      </c>
      <c r="G855" s="75">
        <f>3.6*F855</f>
        <v>80.5398</v>
      </c>
      <c r="H855" s="75">
        <f>'THAM_SO_MOI'!$D$53</f>
        <v>1.1</v>
      </c>
      <c r="I855" s="75">
        <f>IF(F855&gt;='THAM_SO_MOI'!$C$14,'THAM_SO_MOI'!$C$13*(1+F855^2/1500),'THAM_SO_MOI'!$C$13)</f>
        <v>0.02000513841361111</v>
      </c>
      <c r="J855" s="75">
        <f>'THAM_SO_MOI'!$C$40*('THAM_SO_MOI'!$C$23*(E855/'THAM_SO_MOI'!$C$22)+'THAM_SO_MOI'!$C$24*(E855/'THAM_SO_MOI'!$C$22)^2-'THAM_SO_MOI'!$C$25*(E855/'THAM_SO_MOI'!$C$22)^3)</f>
        <v>99.2514748040938</v>
      </c>
      <c r="K855" s="75">
        <f>'THAM_SO_MOI'!$C$31*J855/E855</f>
        <v>430.06093779132743</v>
      </c>
      <c r="L855" s="75">
        <f>K855*'THAM_SO_MOI'!$C$53*'THAM_SO_MOI'!$C$17/'THAM_SO_MOI'!$C$26</f>
        <v>3771.6361072448685</v>
      </c>
      <c r="M855" s="75">
        <f>'THAM_SO_MOI'!$C$15*'THAM_SO_MOI'!$C$16*F855^2</f>
        <v>1464.0029859812498</v>
      </c>
      <c r="N855" s="75">
        <f>'THAM_SO_MOI'!$C$12*I855</f>
        <v>1507.203132192192</v>
      </c>
      <c r="O855" s="75">
        <f>M855+N855</f>
        <v>2971.2061181734416</v>
      </c>
      <c r="P855" s="75">
        <f>(MIN(L855,'THAM_SO_MOI'!$C$41)-O855)/('THAM_SO_MOI'!$C$11*H855)</f>
        <v>0.09474786802455334</v>
      </c>
      <c r="Q855" s="75">
        <f>IF(P855&gt;0,1/P855,NA())</f>
        <v>10.554327193313268</v>
      </c>
      <c r="R855" s="75">
        <f>F855-F854</f>
        <v>0.0035868055555532408</v>
      </c>
      <c r="S855" s="75">
        <f>0.5*(Q854+Q855)*R855</f>
        <v>0.03784210509071398</v>
      </c>
      <c r="T855" s="75">
        <f>0.5*(F854*Q854+F855*Q855)*R855</f>
        <v>0.846542041462585</v>
      </c>
      <c r="U855" s="76">
        <f>U854+S855</f>
        <v>74.26042257166654</v>
      </c>
      <c r="V855" s="76">
        <f>V854+T855</f>
        <v>1164.9447152831772</v>
      </c>
    </row>
    <row r="856" spans="1:22" ht="19" customHeight="1">
      <c r="A856" s="68" t="s">
        <v>362</v>
      </c>
      <c r="B856" s="74">
        <v>5</v>
      </c>
      <c r="C856" s="68" t="s">
        <v>363</v>
      </c>
      <c r="D856" s="68" t="s">
        <v>365</v>
      </c>
      <c r="E856" s="75">
        <f>60*F856*'THAM_SO_MOI'!$C$53/(2*PI()*'THAM_SO_MOI'!$C$26)</f>
        <v>2204.600552631578</v>
      </c>
      <c r="F856" s="75">
        <f>'THAM_SO_MOI'!$C$14+('THAM_SO_MOI'!$C$37-'THAM_SO_MOI'!$C$14)*49/'THAM_SO_MOI'!$C$42</f>
        <v>22.37575347222222</v>
      </c>
      <c r="G856" s="75">
        <f>3.6*F856</f>
        <v>80.5527125</v>
      </c>
      <c r="H856" s="75">
        <f>'THAM_SO_MOI'!$D$53</f>
        <v>1.1</v>
      </c>
      <c r="I856" s="75">
        <f>IF(F856&gt;='THAM_SO_MOI'!$C$14,'THAM_SO_MOI'!$C$13*(1+F856^2/1500),'THAM_SO_MOI'!$C$13)</f>
        <v>0.020006743434496647</v>
      </c>
      <c r="J856" s="75">
        <f>'THAM_SO_MOI'!$C$40*('THAM_SO_MOI'!$C$23*(E856/'THAM_SO_MOI'!$C$22)+'THAM_SO_MOI'!$C$24*(E856/'THAM_SO_MOI'!$C$22)^2-'THAM_SO_MOI'!$C$25*(E856/'THAM_SO_MOI'!$C$22)^3)</f>
        <v>99.26708844720096</v>
      </c>
      <c r="K856" s="75">
        <f>'THAM_SO_MOI'!$C$31*J856/E856</f>
        <v>430.0596433025802</v>
      </c>
      <c r="L856" s="75">
        <f>K856*'THAM_SO_MOI'!$C$53*'THAM_SO_MOI'!$C$17/'THAM_SO_MOI'!$C$26</f>
        <v>3771.6247545734905</v>
      </c>
      <c r="M856" s="75">
        <f>'THAM_SO_MOI'!$C$15*'THAM_SO_MOI'!$C$16*F856^2</f>
        <v>1464.4724545902698</v>
      </c>
      <c r="N856" s="75">
        <f>'THAM_SO_MOI'!$C$12*I856</f>
        <v>1507.3240557497252</v>
      </c>
      <c r="O856" s="75">
        <f>M856+N856</f>
        <v>2971.7965103399947</v>
      </c>
      <c r="P856" s="75">
        <f>(MIN(L856,'THAM_SO_MOI'!$C$41)-O856)/('THAM_SO_MOI'!$C$11*H856)</f>
        <v>0.09467663875869972</v>
      </c>
      <c r="Q856" s="75">
        <f>IF(P856&gt;0,1/P856,NA())</f>
        <v>10.562267662973102</v>
      </c>
      <c r="R856" s="75">
        <f>F856-F855</f>
        <v>0.0035868055555567935</v>
      </c>
      <c r="S856" s="75">
        <f>0.5*(Q855+Q856)*R856</f>
        <v>0.03787055987248498</v>
      </c>
      <c r="T856" s="75">
        <f>0.5*(F855*Q855+F856*Q856)*R856</f>
        <v>0.8473144199333652</v>
      </c>
      <c r="U856" s="76">
        <f>U855+S856</f>
        <v>74.29829313153903</v>
      </c>
      <c r="V856" s="76">
        <f>V855+T856</f>
        <v>1165.7920297031105</v>
      </c>
    </row>
    <row r="857" spans="1:22" ht="19" customHeight="1">
      <c r="A857" s="68" t="s">
        <v>362</v>
      </c>
      <c r="B857" s="74">
        <v>5</v>
      </c>
      <c r="C857" s="68" t="s">
        <v>363</v>
      </c>
      <c r="D857" s="68" t="s">
        <v>365</v>
      </c>
      <c r="E857" s="75">
        <f>60*F857*'THAM_SO_MOI'!$C$53/(2*PI()*'THAM_SO_MOI'!$C$26)</f>
        <v>2204.9539473684204</v>
      </c>
      <c r="F857" s="75">
        <f>'THAM_SO_MOI'!$C$14+('THAM_SO_MOI'!$C$37-'THAM_SO_MOI'!$C$14)*50/'THAM_SO_MOI'!$C$42</f>
        <v>22.37934027777778</v>
      </c>
      <c r="G857" s="75">
        <f>3.6*F857</f>
        <v>80.56562500000001</v>
      </c>
      <c r="H857" s="75">
        <f>'THAM_SO_MOI'!$D$53</f>
        <v>1.1</v>
      </c>
      <c r="I857" s="75">
        <f>IF(F857&gt;='THAM_SO_MOI'!$C$14,'THAM_SO_MOI'!$C$13*(1+F857^2/1500),'THAM_SO_MOI'!$C$13)</f>
        <v>0.020008348712685666</v>
      </c>
      <c r="J857" s="75">
        <f>'THAM_SO_MOI'!$C$40*('THAM_SO_MOI'!$C$23*(E857/'THAM_SO_MOI'!$C$22)+'THAM_SO_MOI'!$C$24*(E857/'THAM_SO_MOI'!$C$22)^2-'THAM_SO_MOI'!$C$25*(E857/'THAM_SO_MOI'!$C$22)^3)</f>
        <v>99.28269919743471</v>
      </c>
      <c r="K857" s="75">
        <f>'THAM_SO_MOI'!$C$31*J857/E857</f>
        <v>430.05833669784846</v>
      </c>
      <c r="L857" s="75">
        <f>K857*'THAM_SO_MOI'!$C$53*'THAM_SO_MOI'!$C$17/'THAM_SO_MOI'!$C$26</f>
        <v>3771.6132956448805</v>
      </c>
      <c r="M857" s="75">
        <f>'THAM_SO_MOI'!$C$15*'THAM_SO_MOI'!$C$16*F857^2</f>
        <v>1464.941998460558</v>
      </c>
      <c r="N857" s="75">
        <f>'THAM_SO_MOI'!$C$12*I857</f>
        <v>1507.4449986927084</v>
      </c>
      <c r="O857" s="75">
        <f>M857+N857</f>
        <v>2972.3869971532663</v>
      </c>
      <c r="P857" s="75">
        <f>(MIN(L857,'THAM_SO_MOI'!$C$41)-O857)/('THAM_SO_MOI'!$C$11*H857)</f>
        <v>0.09460538571160206</v>
      </c>
      <c r="Q857" s="75">
        <f>IF(P857&gt;0,1/P857,NA())</f>
        <v>10.570222746603777</v>
      </c>
      <c r="R857" s="75">
        <f>F857-F856</f>
        <v>0.0035868055555567935</v>
      </c>
      <c r="S857" s="75">
        <f>0.5*(Q856+Q857)*R857</f>
        <v>0.03789906700191051</v>
      </c>
      <c r="T857" s="75">
        <f>0.5*(F856*Q856+F857*Q857)*R857</f>
        <v>0.848088173939902</v>
      </c>
      <c r="U857" s="76">
        <f>U856+S857</f>
        <v>74.33619219854094</v>
      </c>
      <c r="V857" s="76">
        <f>V856+T857</f>
        <v>1166.6401178770504</v>
      </c>
    </row>
    <row r="858" spans="1:22" ht="19" customHeight="1">
      <c r="A858" s="68" t="s">
        <v>362</v>
      </c>
      <c r="B858" s="74">
        <v>5</v>
      </c>
      <c r="C858" s="68" t="s">
        <v>363</v>
      </c>
      <c r="D858" s="68" t="s">
        <v>365</v>
      </c>
      <c r="E858" s="75">
        <f>60*F858*'THAM_SO_MOI'!$C$53/(2*PI()*'THAM_SO_MOI'!$C$26)</f>
        <v>2205.3073421052627</v>
      </c>
      <c r="F858" s="75">
        <f>'THAM_SO_MOI'!$C$14+('THAM_SO_MOI'!$C$37-'THAM_SO_MOI'!$C$14)*51/'THAM_SO_MOI'!$C$42</f>
        <v>22.382927083333332</v>
      </c>
      <c r="G858" s="75">
        <f>3.6*F858</f>
        <v>80.5785375</v>
      </c>
      <c r="H858" s="75">
        <f>'THAM_SO_MOI'!$D$53</f>
        <v>1.1</v>
      </c>
      <c r="I858" s="75">
        <f>IF(F858&gt;='THAM_SO_MOI'!$C$14,'THAM_SO_MOI'!$C$13*(1+F858^2/1500),'THAM_SO_MOI'!$C$13)</f>
        <v>0.02000995424817817</v>
      </c>
      <c r="J858" s="75">
        <f>'THAM_SO_MOI'!$C$40*('THAM_SO_MOI'!$C$23*(E858/'THAM_SO_MOI'!$C$22)+'THAM_SO_MOI'!$C$24*(E858/'THAM_SO_MOI'!$C$22)^2-'THAM_SO_MOI'!$C$25*(E858/'THAM_SO_MOI'!$C$22)^3)</f>
        <v>99.2983070534501</v>
      </c>
      <c r="K858" s="75">
        <f>'THAM_SO_MOI'!$C$31*J858/E858</f>
        <v>430.05701797713215</v>
      </c>
      <c r="L858" s="75">
        <f>K858*'THAM_SO_MOI'!$C$53*'THAM_SO_MOI'!$C$17/'THAM_SO_MOI'!$C$26</f>
        <v>3771.601730459038</v>
      </c>
      <c r="M858" s="75">
        <f>'THAM_SO_MOI'!$C$15*'THAM_SO_MOI'!$C$16*F858^2</f>
        <v>1465.4116175921142</v>
      </c>
      <c r="N858" s="75">
        <f>'THAM_SO_MOI'!$C$12*I858</f>
        <v>1507.565961021142</v>
      </c>
      <c r="O858" s="75">
        <f>M858+N858</f>
        <v>2972.977578613256</v>
      </c>
      <c r="P858" s="75">
        <f>(MIN(L858,'THAM_SO_MOI'!$C$41)-O858)/('THAM_SO_MOI'!$C$11*H858)</f>
        <v>0.09453410888326022</v>
      </c>
      <c r="Q858" s="75">
        <f>IF(P858&gt;0,1/P858,NA())</f>
        <v>10.578192483253805</v>
      </c>
      <c r="R858" s="75">
        <f>F858-F857</f>
        <v>0.0035868055555532408</v>
      </c>
      <c r="S858" s="75">
        <f>0.5*(Q857+Q858)*R858</f>
        <v>0.037927626618799976</v>
      </c>
      <c r="T858" s="75">
        <f>0.5*(F857*Q857+F858*Q858)*R858</f>
        <v>0.8488633071745718</v>
      </c>
      <c r="U858" s="76">
        <f>U857+S858</f>
        <v>74.37411982515974</v>
      </c>
      <c r="V858" s="76">
        <f>V857+T858</f>
        <v>1167.488981184225</v>
      </c>
    </row>
    <row r="859" spans="1:22" ht="19" customHeight="1">
      <c r="A859" s="68" t="s">
        <v>362</v>
      </c>
      <c r="B859" s="74">
        <v>5</v>
      </c>
      <c r="C859" s="68" t="s">
        <v>363</v>
      </c>
      <c r="D859" s="68" t="s">
        <v>365</v>
      </c>
      <c r="E859" s="75">
        <f>60*F859*'THAM_SO_MOI'!$C$53/(2*PI()*'THAM_SO_MOI'!$C$26)</f>
        <v>2205.660736842105</v>
      </c>
      <c r="F859" s="75">
        <f>'THAM_SO_MOI'!$C$14+('THAM_SO_MOI'!$C$37-'THAM_SO_MOI'!$C$14)*52/'THAM_SO_MOI'!$C$42</f>
        <v>22.38651388888889</v>
      </c>
      <c r="G859" s="75">
        <f>3.6*F859</f>
        <v>80.59145</v>
      </c>
      <c r="H859" s="75">
        <f>'THAM_SO_MOI'!$D$53</f>
        <v>1.1</v>
      </c>
      <c r="I859" s="75">
        <f>IF(F859&gt;='THAM_SO_MOI'!$C$14,'THAM_SO_MOI'!$C$13*(1+F859^2/1500),'THAM_SO_MOI'!$C$13)</f>
        <v>0.02001156004097415</v>
      </c>
      <c r="J859" s="75">
        <f>'THAM_SO_MOI'!$C$40*('THAM_SO_MOI'!$C$23*(E859/'THAM_SO_MOI'!$C$22)+'THAM_SO_MOI'!$C$24*(E859/'THAM_SO_MOI'!$C$22)^2-'THAM_SO_MOI'!$C$25*(E859/'THAM_SO_MOI'!$C$22)^3)</f>
        <v>99.3139120139023</v>
      </c>
      <c r="K859" s="75">
        <f>'THAM_SO_MOI'!$C$31*J859/E859</f>
        <v>430.0556871404315</v>
      </c>
      <c r="L859" s="75">
        <f>K859*'THAM_SO_MOI'!$C$53*'THAM_SO_MOI'!$C$17/'THAM_SO_MOI'!$C$26</f>
        <v>3771.590059015966</v>
      </c>
      <c r="M859" s="75">
        <f>'THAM_SO_MOI'!$C$15*'THAM_SO_MOI'!$C$16*F859^2</f>
        <v>1465.8813119849392</v>
      </c>
      <c r="N859" s="75">
        <f>'THAM_SO_MOI'!$C$12*I859</f>
        <v>1507.6869427350252</v>
      </c>
      <c r="O859" s="75">
        <f>M859+N859</f>
        <v>2973.5682547199644</v>
      </c>
      <c r="P859" s="75">
        <f>(MIN(L859,'THAM_SO_MOI'!$C$41)-O859)/('THAM_SO_MOI'!$C$11*H859)</f>
        <v>0.09446280827367441</v>
      </c>
      <c r="Q859" s="75">
        <f>IF(P859&gt;0,1/P859,NA())</f>
        <v>10.586176912111634</v>
      </c>
      <c r="R859" s="75">
        <f>F859-F858</f>
        <v>0.0035868055555567935</v>
      </c>
      <c r="S859" s="75">
        <f>0.5*(Q858+Q859)*R859</f>
        <v>0.03795623886357647</v>
      </c>
      <c r="T859" s="75">
        <f>0.5*(F858*Q858+F859*Q859)*R859</f>
        <v>0.8496398233454936</v>
      </c>
      <c r="U859" s="76">
        <f>U858+S859</f>
        <v>74.41207606402331</v>
      </c>
      <c r="V859" s="76">
        <f>V858+T859</f>
        <v>1168.3386210075705</v>
      </c>
    </row>
    <row r="860" spans="1:22" ht="19" customHeight="1">
      <c r="A860" s="68" t="s">
        <v>362</v>
      </c>
      <c r="B860" s="74">
        <v>5</v>
      </c>
      <c r="C860" s="68" t="s">
        <v>363</v>
      </c>
      <c r="D860" s="68" t="s">
        <v>365</v>
      </c>
      <c r="E860" s="75">
        <f>60*F860*'THAM_SO_MOI'!$C$53/(2*PI()*'THAM_SO_MOI'!$C$26)</f>
        <v>2206.014131578947</v>
      </c>
      <c r="F860" s="75">
        <f>'THAM_SO_MOI'!$C$14+('THAM_SO_MOI'!$C$37-'THAM_SO_MOI'!$C$14)*53/'THAM_SO_MOI'!$C$42</f>
        <v>22.390100694444445</v>
      </c>
      <c r="G860" s="75">
        <f>3.6*F860</f>
        <v>80.60436250000001</v>
      </c>
      <c r="H860" s="75">
        <f>'THAM_SO_MOI'!$D$53</f>
        <v>1.1</v>
      </c>
      <c r="I860" s="75">
        <f>IF(F860&gt;='THAM_SO_MOI'!$C$14,'THAM_SO_MOI'!$C$13*(1+F860^2/1500),'THAM_SO_MOI'!$C$13)</f>
        <v>0.020013166091073616</v>
      </c>
      <c r="J860" s="75">
        <f>'THAM_SO_MOI'!$C$40*('THAM_SO_MOI'!$C$23*(E860/'THAM_SO_MOI'!$C$22)+'THAM_SO_MOI'!$C$24*(E860/'THAM_SO_MOI'!$C$22)^2-'THAM_SO_MOI'!$C$25*(E860/'THAM_SO_MOI'!$C$22)^3)</f>
        <v>99.32951407744639</v>
      </c>
      <c r="K860" s="75">
        <f>'THAM_SO_MOI'!$C$31*J860/E860</f>
        <v>430.05434418774644</v>
      </c>
      <c r="L860" s="75">
        <f>K860*'THAM_SO_MOI'!$C$53*'THAM_SO_MOI'!$C$17/'THAM_SO_MOI'!$C$26</f>
        <v>3771.578281315663</v>
      </c>
      <c r="M860" s="75">
        <f>'THAM_SO_MOI'!$C$15*'THAM_SO_MOI'!$C$16*F860^2</f>
        <v>1466.351081639033</v>
      </c>
      <c r="N860" s="75">
        <f>'THAM_SO_MOI'!$C$12*I860</f>
        <v>1507.807943834359</v>
      </c>
      <c r="O860" s="75">
        <f>M860+N860</f>
        <v>2974.159025473392</v>
      </c>
      <c r="P860" s="75">
        <f>(MIN(L860,'THAM_SO_MOI'!$C$41)-O860)/('THAM_SO_MOI'!$C$11*H860)</f>
        <v>0.09439148388284456</v>
      </c>
      <c r="Q860" s="75">
        <f>IF(P860&gt;0,1/P860,NA())</f>
        <v>10.594176072506343</v>
      </c>
      <c r="R860" s="75">
        <f>F860-F859</f>
        <v>0.0035868055555567935</v>
      </c>
      <c r="S860" s="75">
        <f>0.5*(Q859+Q860)*R860</f>
        <v>0.03798490387694083</v>
      </c>
      <c r="T860" s="75">
        <f>0.5*(F859*Q859+F860*Q860)*R860</f>
        <v>0.8504177261690198</v>
      </c>
      <c r="U860" s="76">
        <f>U859+S860</f>
        <v>74.45006096790026</v>
      </c>
      <c r="V860" s="76">
        <f>V859+T860</f>
        <v>1169.1890387337396</v>
      </c>
    </row>
    <row r="861" spans="1:22" ht="19" customHeight="1">
      <c r="A861" s="68" t="s">
        <v>362</v>
      </c>
      <c r="B861" s="74">
        <v>5</v>
      </c>
      <c r="C861" s="68" t="s">
        <v>363</v>
      </c>
      <c r="D861" s="68" t="s">
        <v>365</v>
      </c>
      <c r="E861" s="75">
        <f>60*F861*'THAM_SO_MOI'!$C$53/(2*PI()*'THAM_SO_MOI'!$C$26)</f>
        <v>2206.367526315789</v>
      </c>
      <c r="F861" s="75">
        <f>'THAM_SO_MOI'!$C$14+('THAM_SO_MOI'!$C$37-'THAM_SO_MOI'!$C$14)*54/'THAM_SO_MOI'!$C$42</f>
        <v>22.3936875</v>
      </c>
      <c r="G861" s="75">
        <f>3.6*F861</f>
        <v>80.61727499999999</v>
      </c>
      <c r="H861" s="75">
        <f>'THAM_SO_MOI'!$D$53</f>
        <v>1.1</v>
      </c>
      <c r="I861" s="75">
        <f>IF(F861&gt;='THAM_SO_MOI'!$C$14,'THAM_SO_MOI'!$C$13*(1+F861^2/1500),'THAM_SO_MOI'!$C$13)</f>
        <v>0.02001477239847656</v>
      </c>
      <c r="J861" s="75">
        <f>'THAM_SO_MOI'!$C$40*('THAM_SO_MOI'!$C$23*(E861/'THAM_SO_MOI'!$C$22)+'THAM_SO_MOI'!$C$24*(E861/'THAM_SO_MOI'!$C$22)^2-'THAM_SO_MOI'!$C$25*(E861/'THAM_SO_MOI'!$C$22)^3)</f>
        <v>99.34511324273747</v>
      </c>
      <c r="K861" s="75">
        <f>'THAM_SO_MOI'!$C$31*J861/E861</f>
        <v>430.05298911907687</v>
      </c>
      <c r="L861" s="75">
        <f>K861*'THAM_SO_MOI'!$C$53*'THAM_SO_MOI'!$C$17/'THAM_SO_MOI'!$C$26</f>
        <v>3771.566397358128</v>
      </c>
      <c r="M861" s="75">
        <f>'THAM_SO_MOI'!$C$15*'THAM_SO_MOI'!$C$16*F861^2</f>
        <v>1466.8209265543946</v>
      </c>
      <c r="N861" s="75">
        <f>'THAM_SO_MOI'!$C$12*I861</f>
        <v>1507.928964319143</v>
      </c>
      <c r="O861" s="75">
        <f>M861+N861</f>
        <v>2974.749890873538</v>
      </c>
      <c r="P861" s="75">
        <f>(MIN(L861,'THAM_SO_MOI'!$C$41)-O861)/('THAM_SO_MOI'!$C$11*H861)</f>
        <v>0.09432013571077065</v>
      </c>
      <c r="Q861" s="75">
        <f>IF(P861&gt;0,1/P861,NA())</f>
        <v>10.602190003908227</v>
      </c>
      <c r="R861" s="75">
        <f>F861-F860</f>
        <v>0.0035868055555532408</v>
      </c>
      <c r="S861" s="75">
        <f>0.5*(Q860+Q861)*R861</f>
        <v>0.03801362180021201</v>
      </c>
      <c r="T861" s="75">
        <f>0.5*(F860*Q860+F861*Q861)*R861</f>
        <v>0.851197019377361</v>
      </c>
      <c r="U861" s="76">
        <f>U860+S861</f>
        <v>74.48807458970047</v>
      </c>
      <c r="V861" s="76">
        <f>V860+T861</f>
        <v>1170.040235753117</v>
      </c>
    </row>
    <row r="862" spans="1:22" ht="19" customHeight="1">
      <c r="A862" s="68" t="s">
        <v>362</v>
      </c>
      <c r="B862" s="74">
        <v>5</v>
      </c>
      <c r="C862" s="68" t="s">
        <v>363</v>
      </c>
      <c r="D862" s="68" t="s">
        <v>365</v>
      </c>
      <c r="E862" s="75">
        <f>60*F862*'THAM_SO_MOI'!$C$53/(2*PI()*'THAM_SO_MOI'!$C$26)</f>
        <v>2206.7209210526307</v>
      </c>
      <c r="F862" s="75">
        <f>'THAM_SO_MOI'!$C$14+('THAM_SO_MOI'!$C$37-'THAM_SO_MOI'!$C$14)*55/'THAM_SO_MOI'!$C$42</f>
        <v>22.397274305555555</v>
      </c>
      <c r="G862" s="75">
        <f>3.6*F862</f>
        <v>80.6301875</v>
      </c>
      <c r="H862" s="75">
        <f>'THAM_SO_MOI'!$D$53</f>
        <v>1.1</v>
      </c>
      <c r="I862" s="75">
        <f>IF(F862&gt;='THAM_SO_MOI'!$C$14,'THAM_SO_MOI'!$C$13*(1+F862^2/1500),'THAM_SO_MOI'!$C$13)</f>
        <v>0.02001637896318299</v>
      </c>
      <c r="J862" s="75">
        <f>'THAM_SO_MOI'!$C$40*('THAM_SO_MOI'!$C$23*(E862/'THAM_SO_MOI'!$C$22)+'THAM_SO_MOI'!$C$24*(E862/'THAM_SO_MOI'!$C$22)^2-'THAM_SO_MOI'!$C$25*(E862/'THAM_SO_MOI'!$C$22)^3)</f>
        <v>99.36070950843066</v>
      </c>
      <c r="K862" s="75">
        <f>'THAM_SO_MOI'!$C$31*J862/E862</f>
        <v>430.0516219344228</v>
      </c>
      <c r="L862" s="75">
        <f>K862*'THAM_SO_MOI'!$C$53*'THAM_SO_MOI'!$C$17/'THAM_SO_MOI'!$C$26</f>
        <v>3771.554407143363</v>
      </c>
      <c r="M862" s="75">
        <f>'THAM_SO_MOI'!$C$15*'THAM_SO_MOI'!$C$16*F862^2</f>
        <v>1467.2908467310249</v>
      </c>
      <c r="N862" s="75">
        <f>'THAM_SO_MOI'!$C$12*I862</f>
        <v>1508.050004189377</v>
      </c>
      <c r="O862" s="75">
        <f>M862+N862</f>
        <v>2975.340850920402</v>
      </c>
      <c r="P862" s="75">
        <f>(MIN(L862,'THAM_SO_MOI'!$C$41)-O862)/('THAM_SO_MOI'!$C$11*H862)</f>
        <v>0.09424876375745277</v>
      </c>
      <c r="Q862" s="75">
        <f>IF(P862&gt;0,1/P862,NA())</f>
        <v>10.610218745929433</v>
      </c>
      <c r="R862" s="75">
        <f>F862-F861</f>
        <v>0.0035868055555567935</v>
      </c>
      <c r="S862" s="75">
        <f>0.5*(Q861+Q862)*R862</f>
        <v>0.03804239277532963</v>
      </c>
      <c r="T862" s="75">
        <f>0.5*(F861*Q861+F862*Q862)*R862</f>
        <v>0.8519777067186569</v>
      </c>
      <c r="U862" s="76">
        <f>U861+S862</f>
        <v>74.5261169824758</v>
      </c>
      <c r="V862" s="76">
        <f>V861+T862</f>
        <v>1170.8922134598356</v>
      </c>
    </row>
    <row r="863" spans="1:22" ht="19" customHeight="1">
      <c r="A863" s="68" t="s">
        <v>362</v>
      </c>
      <c r="B863" s="74">
        <v>5</v>
      </c>
      <c r="C863" s="68" t="s">
        <v>363</v>
      </c>
      <c r="D863" s="68" t="s">
        <v>365</v>
      </c>
      <c r="E863" s="75">
        <f>60*F863*'THAM_SO_MOI'!$C$53/(2*PI()*'THAM_SO_MOI'!$C$26)</f>
        <v>2207.0743157894726</v>
      </c>
      <c r="F863" s="75">
        <f>'THAM_SO_MOI'!$C$14+('THAM_SO_MOI'!$C$37-'THAM_SO_MOI'!$C$14)*56/'THAM_SO_MOI'!$C$42</f>
        <v>22.40086111111111</v>
      </c>
      <c r="G863" s="75">
        <f>3.6*F863</f>
        <v>80.64309999999999</v>
      </c>
      <c r="H863" s="75">
        <f>'THAM_SO_MOI'!$D$53</f>
        <v>1.1</v>
      </c>
      <c r="I863" s="75">
        <f>IF(F863&gt;='THAM_SO_MOI'!$C$14,'THAM_SO_MOI'!$C$13*(1+F863^2/1500),'THAM_SO_MOI'!$C$13)</f>
        <v>0.0200179857851929</v>
      </c>
      <c r="J863" s="75">
        <f>'THAM_SO_MOI'!$C$40*('THAM_SO_MOI'!$C$23*(E863/'THAM_SO_MOI'!$C$22)+'THAM_SO_MOI'!$C$24*(E863/'THAM_SO_MOI'!$C$22)^2-'THAM_SO_MOI'!$C$25*(E863/'THAM_SO_MOI'!$C$22)^3)</f>
        <v>99.37630287318107</v>
      </c>
      <c r="K863" s="75">
        <f>'THAM_SO_MOI'!$C$31*J863/E863</f>
        <v>430.0502426337843</v>
      </c>
      <c r="L863" s="75">
        <f>K863*'THAM_SO_MOI'!$C$53*'THAM_SO_MOI'!$C$17/'THAM_SO_MOI'!$C$26</f>
        <v>3771.5423106713656</v>
      </c>
      <c r="M863" s="75">
        <f>'THAM_SO_MOI'!$C$15*'THAM_SO_MOI'!$C$16*F863^2</f>
        <v>1467.7608421689235</v>
      </c>
      <c r="N863" s="75">
        <f>'THAM_SO_MOI'!$C$12*I863</f>
        <v>1508.1710634450612</v>
      </c>
      <c r="O863" s="75">
        <f>M863+N863</f>
        <v>2975.931905613985</v>
      </c>
      <c r="P863" s="75">
        <f>(MIN(L863,'THAM_SO_MOI'!$C$41)-O863)/('THAM_SO_MOI'!$C$11*H863)</f>
        <v>0.09417736802289076</v>
      </c>
      <c r="Q863" s="75">
        <f>IF(P863&gt;0,1/P863,NA())</f>
        <v>10.618262338324637</v>
      </c>
      <c r="R863" s="75">
        <f>F863-F862</f>
        <v>0.0035868055555532408</v>
      </c>
      <c r="S863" s="75">
        <f>0.5*(Q862+Q863)*R863</f>
        <v>0.038071216944479694</v>
      </c>
      <c r="T863" s="75">
        <f>0.5*(F862*Q862+F863*Q863)*R863</f>
        <v>0.852759791948602</v>
      </c>
      <c r="U863" s="76">
        <f>U862+S863</f>
        <v>74.56418819942027</v>
      </c>
      <c r="V863" s="76">
        <f>V862+T863</f>
        <v>1171.7449732517841</v>
      </c>
    </row>
    <row r="864" spans="1:22" ht="19" customHeight="1">
      <c r="A864" s="68" t="s">
        <v>362</v>
      </c>
      <c r="B864" s="74">
        <v>5</v>
      </c>
      <c r="C864" s="68" t="s">
        <v>363</v>
      </c>
      <c r="D864" s="68" t="s">
        <v>365</v>
      </c>
      <c r="E864" s="75">
        <f>60*F864*'THAM_SO_MOI'!$C$53/(2*PI()*'THAM_SO_MOI'!$C$26)</f>
        <v>2207.4277105263154</v>
      </c>
      <c r="F864" s="75">
        <f>'THAM_SO_MOI'!$C$14+('THAM_SO_MOI'!$C$37-'THAM_SO_MOI'!$C$14)*57/'THAM_SO_MOI'!$C$42</f>
        <v>22.404447916666665</v>
      </c>
      <c r="G864" s="75">
        <f>3.6*F864</f>
        <v>80.6560125</v>
      </c>
      <c r="H864" s="75">
        <f>'THAM_SO_MOI'!$D$53</f>
        <v>1.1</v>
      </c>
      <c r="I864" s="75">
        <f>IF(F864&gt;='THAM_SO_MOI'!$C$14,'THAM_SO_MOI'!$C$13*(1+F864^2/1500),'THAM_SO_MOI'!$C$13)</f>
        <v>0.020019592864506296</v>
      </c>
      <c r="J864" s="75">
        <f>'THAM_SO_MOI'!$C$40*('THAM_SO_MOI'!$C$23*(E864/'THAM_SO_MOI'!$C$22)+'THAM_SO_MOI'!$C$24*(E864/'THAM_SO_MOI'!$C$22)^2-'THAM_SO_MOI'!$C$25*(E864/'THAM_SO_MOI'!$C$22)^3)</f>
        <v>99.39189333564387</v>
      </c>
      <c r="K864" s="75">
        <f>'THAM_SO_MOI'!$C$31*J864/E864</f>
        <v>430.04885121716137</v>
      </c>
      <c r="L864" s="75">
        <f>K864*'THAM_SO_MOI'!$C$53*'THAM_SO_MOI'!$C$17/'THAM_SO_MOI'!$C$26</f>
        <v>3771.530107942138</v>
      </c>
      <c r="M864" s="75">
        <f>'THAM_SO_MOI'!$C$15*'THAM_SO_MOI'!$C$16*F864^2</f>
        <v>1468.2309128680909</v>
      </c>
      <c r="N864" s="75">
        <f>'THAM_SO_MOI'!$C$12*I864</f>
        <v>1508.292142086196</v>
      </c>
      <c r="O864" s="75">
        <f>M864+N864</f>
        <v>2976.5230549542866</v>
      </c>
      <c r="P864" s="75">
        <f>(MIN(L864,'THAM_SO_MOI'!$C$41)-O864)/('THAM_SO_MOI'!$C$11*H864)</f>
        <v>0.09410594850708463</v>
      </c>
      <c r="Q864" s="75">
        <f>IF(P864&gt;0,1/P864,NA())</f>
        <v>10.626320820991634</v>
      </c>
      <c r="R864" s="75">
        <f>F864-F863</f>
        <v>0.0035868055555567935</v>
      </c>
      <c r="S864" s="75">
        <f>0.5*(Q863+Q864)*R864</f>
        <v>0.038100094450661946</v>
      </c>
      <c r="T864" s="75">
        <f>0.5*(F863*Q863+F864*Q864)*R864</f>
        <v>0.8535432788431604</v>
      </c>
      <c r="U864" s="76">
        <f>U863+S864</f>
        <v>74.60228829387093</v>
      </c>
      <c r="V864" s="76">
        <f>V863+T864</f>
        <v>1172.5985165306272</v>
      </c>
    </row>
    <row r="865" spans="1:22" ht="19" customHeight="1">
      <c r="A865" s="68" t="s">
        <v>362</v>
      </c>
      <c r="B865" s="74">
        <v>5</v>
      </c>
      <c r="C865" s="68" t="s">
        <v>363</v>
      </c>
      <c r="D865" s="68" t="s">
        <v>365</v>
      </c>
      <c r="E865" s="75">
        <f>60*F865*'THAM_SO_MOI'!$C$53/(2*PI()*'THAM_SO_MOI'!$C$26)</f>
        <v>2207.7811052631573</v>
      </c>
      <c r="F865" s="75">
        <f>'THAM_SO_MOI'!$C$14+('THAM_SO_MOI'!$C$37-'THAM_SO_MOI'!$C$14)*58/'THAM_SO_MOI'!$C$42</f>
        <v>22.408034722222222</v>
      </c>
      <c r="G865" s="75">
        <f>3.6*F865</f>
        <v>80.668925</v>
      </c>
      <c r="H865" s="75">
        <f>'THAM_SO_MOI'!$D$53</f>
        <v>1.1</v>
      </c>
      <c r="I865" s="75">
        <f>IF(F865&gt;='THAM_SO_MOI'!$C$14,'THAM_SO_MOI'!$C$13*(1+F865^2/1500),'THAM_SO_MOI'!$C$13)</f>
        <v>0.020021200201123166</v>
      </c>
      <c r="J865" s="75">
        <f>'THAM_SO_MOI'!$C$40*('THAM_SO_MOI'!$C$23*(E865/'THAM_SO_MOI'!$C$22)+'THAM_SO_MOI'!$C$24*(E865/'THAM_SO_MOI'!$C$22)^2-'THAM_SO_MOI'!$C$25*(E865/'THAM_SO_MOI'!$C$22)^3)</f>
        <v>99.40748089447405</v>
      </c>
      <c r="K865" s="75">
        <f>'THAM_SO_MOI'!$C$31*J865/E865</f>
        <v>430.0474476845539</v>
      </c>
      <c r="L865" s="75">
        <f>K865*'THAM_SO_MOI'!$C$53*'THAM_SO_MOI'!$C$17/'THAM_SO_MOI'!$C$26</f>
        <v>3771.5177989556782</v>
      </c>
      <c r="M865" s="75">
        <f>'THAM_SO_MOI'!$C$15*'THAM_SO_MOI'!$C$16*F865^2</f>
        <v>1468.7010588285268</v>
      </c>
      <c r="N865" s="75">
        <f>'THAM_SO_MOI'!$C$12*I865</f>
        <v>1508.4132401127804</v>
      </c>
      <c r="O865" s="75">
        <f>M865+N865</f>
        <v>2977.1142989413074</v>
      </c>
      <c r="P865" s="75">
        <f>(MIN(L865,'THAM_SO_MOI'!$C$41)-O865)/('THAM_SO_MOI'!$C$11*H865)</f>
        <v>0.09403450521003442</v>
      </c>
      <c r="Q865" s="75">
        <f>IF(P865&gt;0,1/P865,NA())</f>
        <v>10.634394233972</v>
      </c>
      <c r="R865" s="75">
        <f>F865-F864</f>
        <v>0.0035868055555567935</v>
      </c>
      <c r="S865" s="75">
        <f>0.5*(Q864+Q865)*R865</f>
        <v>0.038129025437126755</v>
      </c>
      <c r="T865" s="75">
        <f>0.5*(F864*Q864+F865*Q865)*R865</f>
        <v>0.8543281711859637</v>
      </c>
      <c r="U865" s="76">
        <f>U864+S865</f>
        <v>74.64041731930806</v>
      </c>
      <c r="V865" s="76">
        <f>V864+T865</f>
        <v>1173.452844701813</v>
      </c>
    </row>
    <row r="866" spans="1:22" ht="19" customHeight="1">
      <c r="A866" s="68" t="s">
        <v>362</v>
      </c>
      <c r="B866" s="74">
        <v>5</v>
      </c>
      <c r="C866" s="68" t="s">
        <v>363</v>
      </c>
      <c r="D866" s="68" t="s">
        <v>365</v>
      </c>
      <c r="E866" s="75">
        <f>60*F866*'THAM_SO_MOI'!$C$53/(2*PI()*'THAM_SO_MOI'!$C$26)</f>
        <v>2208.1344999999997</v>
      </c>
      <c r="F866" s="75">
        <f>'THAM_SO_MOI'!$C$14+('THAM_SO_MOI'!$C$37-'THAM_SO_MOI'!$C$14)*59/'THAM_SO_MOI'!$C$42</f>
        <v>22.411621527777775</v>
      </c>
      <c r="G866" s="75">
        <f>3.6*F866</f>
        <v>80.6818375</v>
      </c>
      <c r="H866" s="75">
        <f>'THAM_SO_MOI'!$D$53</f>
        <v>1.1</v>
      </c>
      <c r="I866" s="75">
        <f>IF(F866&gt;='THAM_SO_MOI'!$C$14,'THAM_SO_MOI'!$C$13*(1+F866^2/1500),'THAM_SO_MOI'!$C$13)</f>
        <v>0.02002280779504352</v>
      </c>
      <c r="J866" s="75">
        <f>'THAM_SO_MOI'!$C$40*('THAM_SO_MOI'!$C$23*(E866/'THAM_SO_MOI'!$C$22)+'THAM_SO_MOI'!$C$24*(E866/'THAM_SO_MOI'!$C$22)^2-'THAM_SO_MOI'!$C$25*(E866/'THAM_SO_MOI'!$C$22)^3)</f>
        <v>99.42306554832683</v>
      </c>
      <c r="K866" s="75">
        <f>'THAM_SO_MOI'!$C$31*J866/E866</f>
        <v>430.04603203596207</v>
      </c>
      <c r="L866" s="75">
        <f>K866*'THAM_SO_MOI'!$C$53*'THAM_SO_MOI'!$C$17/'THAM_SO_MOI'!$C$26</f>
        <v>3771.505383711989</v>
      </c>
      <c r="M866" s="75">
        <f>'THAM_SO_MOI'!$C$15*'THAM_SO_MOI'!$C$16*F866^2</f>
        <v>1469.1712800502303</v>
      </c>
      <c r="N866" s="75">
        <f>'THAM_SO_MOI'!$C$12*I866</f>
        <v>1508.534357524815</v>
      </c>
      <c r="O866" s="75">
        <f>M866+N866</f>
        <v>2977.7056375750453</v>
      </c>
      <c r="P866" s="75">
        <f>(MIN(L866,'THAM_SO_MOI'!$C$41)-O866)/('THAM_SO_MOI'!$C$11*H866)</f>
        <v>0.09396303813174046</v>
      </c>
      <c r="Q866" s="75">
        <f>IF(P866&gt;0,1/P866,NA())</f>
        <v>10.642482617451709</v>
      </c>
      <c r="R866" s="75">
        <f>F866-F865</f>
        <v>0.0035868055555532408</v>
      </c>
      <c r="S866" s="75">
        <f>0.5*(Q865+Q866)*R866</f>
        <v>0.03815801004775435</v>
      </c>
      <c r="T866" s="75">
        <f>0.5*(F865*Q865+F866*Q866)*R866</f>
        <v>0.8551144727768134</v>
      </c>
      <c r="U866" s="76">
        <f>U865+S866</f>
        <v>74.67857532935581</v>
      </c>
      <c r="V866" s="76">
        <f>V865+T866</f>
        <v>1174.30795917459</v>
      </c>
    </row>
    <row r="867" spans="1:22" ht="19" customHeight="1">
      <c r="A867" s="68" t="s">
        <v>362</v>
      </c>
      <c r="B867" s="74">
        <v>5</v>
      </c>
      <c r="C867" s="68" t="s">
        <v>363</v>
      </c>
      <c r="D867" s="68" t="s">
        <v>365</v>
      </c>
      <c r="E867" s="75">
        <f>60*F867*'THAM_SO_MOI'!$C$53/(2*PI()*'THAM_SO_MOI'!$C$26)</f>
        <v>2208.4878947368416</v>
      </c>
      <c r="F867" s="75">
        <f>'THAM_SO_MOI'!$C$14+('THAM_SO_MOI'!$C$37-'THAM_SO_MOI'!$C$14)*60/'THAM_SO_MOI'!$C$42</f>
        <v>22.415208333333332</v>
      </c>
      <c r="G867" s="75">
        <f>3.6*F867</f>
        <v>80.69475</v>
      </c>
      <c r="H867" s="75">
        <f>'THAM_SO_MOI'!$D$53</f>
        <v>1.1</v>
      </c>
      <c r="I867" s="75">
        <f>IF(F867&gt;='THAM_SO_MOI'!$C$14,'THAM_SO_MOI'!$C$13*(1+F867^2/1500),'THAM_SO_MOI'!$C$13)</f>
        <v>0.02002441564626736</v>
      </c>
      <c r="J867" s="75">
        <f>'THAM_SO_MOI'!$C$40*('THAM_SO_MOI'!$C$23*(E867/'THAM_SO_MOI'!$C$22)+'THAM_SO_MOI'!$C$24*(E867/'THAM_SO_MOI'!$C$22)^2-'THAM_SO_MOI'!$C$25*(E867/'THAM_SO_MOI'!$C$22)^3)</f>
        <v>99.43864729585725</v>
      </c>
      <c r="K867" s="75">
        <f>'THAM_SO_MOI'!$C$31*J867/E867</f>
        <v>430.04460427138577</v>
      </c>
      <c r="L867" s="75">
        <f>K867*'THAM_SO_MOI'!$C$53*'THAM_SO_MOI'!$C$17/'THAM_SO_MOI'!$C$26</f>
        <v>3771.492862211068</v>
      </c>
      <c r="M867" s="75">
        <f>'THAM_SO_MOI'!$C$15*'THAM_SO_MOI'!$C$16*F867^2</f>
        <v>1469.6415765332033</v>
      </c>
      <c r="N867" s="75">
        <f>'THAM_SO_MOI'!$C$12*I867</f>
        <v>1508.6554943223</v>
      </c>
      <c r="O867" s="75">
        <f>M867+N867</f>
        <v>2978.297070855503</v>
      </c>
      <c r="P867" s="75">
        <f>(MIN(L867,'THAM_SO_MOI'!$C$41)-O867)/('THAM_SO_MOI'!$C$11*H867)</f>
        <v>0.09389154727220221</v>
      </c>
      <c r="Q867" s="75">
        <f>IF(P867&gt;0,1/P867,NA())</f>
        <v>10.65058601176192</v>
      </c>
      <c r="R867" s="75">
        <f>F867-F866</f>
        <v>0.0035868055555567935</v>
      </c>
      <c r="S867" s="75">
        <f>0.5*(Q866+Q867)*R867</f>
        <v>0.03818704842705776</v>
      </c>
      <c r="T867" s="75">
        <f>0.5*(F866*Q866+F867*Q867)*R867</f>
        <v>0.8559021874317589</v>
      </c>
      <c r="U867" s="76">
        <f>U866+S867</f>
        <v>74.71676237778287</v>
      </c>
      <c r="V867" s="76">
        <f>V866+T867</f>
        <v>1175.1638613620219</v>
      </c>
    </row>
    <row r="868" spans="1:22" ht="19" customHeight="1">
      <c r="A868" s="68" t="s">
        <v>362</v>
      </c>
      <c r="B868" s="74">
        <v>5</v>
      </c>
      <c r="C868" s="68" t="s">
        <v>363</v>
      </c>
      <c r="D868" s="68" t="s">
        <v>365</v>
      </c>
      <c r="E868" s="75">
        <f>60*F868*'THAM_SO_MOI'!$C$53/(2*PI()*'THAM_SO_MOI'!$C$26)</f>
        <v>2208.841289473684</v>
      </c>
      <c r="F868" s="75">
        <f>'THAM_SO_MOI'!$C$14+('THAM_SO_MOI'!$C$37-'THAM_SO_MOI'!$C$14)*61/'THAM_SO_MOI'!$C$42</f>
        <v>22.41879513888889</v>
      </c>
      <c r="G868" s="75">
        <f>3.6*F868</f>
        <v>80.7076625</v>
      </c>
      <c r="H868" s="75">
        <f>'THAM_SO_MOI'!$D$53</f>
        <v>1.1</v>
      </c>
      <c r="I868" s="75">
        <f>IF(F868&gt;='THAM_SO_MOI'!$C$14,'THAM_SO_MOI'!$C$13*(1+F868^2/1500),'THAM_SO_MOI'!$C$13)</f>
        <v>0.02002602375479468</v>
      </c>
      <c r="J868" s="75">
        <f>'THAM_SO_MOI'!$C$40*('THAM_SO_MOI'!$C$23*(E868/'THAM_SO_MOI'!$C$22)+'THAM_SO_MOI'!$C$24*(E868/'THAM_SO_MOI'!$C$22)^2-'THAM_SO_MOI'!$C$25*(E868/'THAM_SO_MOI'!$C$22)^3)</f>
        <v>99.45422613572049</v>
      </c>
      <c r="K868" s="75">
        <f>'THAM_SO_MOI'!$C$31*J868/E868</f>
        <v>430.0431643908251</v>
      </c>
      <c r="L868" s="75">
        <f>K868*'THAM_SO_MOI'!$C$53*'THAM_SO_MOI'!$C$17/'THAM_SO_MOI'!$C$26</f>
        <v>3771.4802344529166</v>
      </c>
      <c r="M868" s="75">
        <f>'THAM_SO_MOI'!$C$15*'THAM_SO_MOI'!$C$16*F868^2</f>
        <v>1470.1119482774443</v>
      </c>
      <c r="N868" s="75">
        <f>'THAM_SO_MOI'!$C$12*I868</f>
        <v>1508.776650505235</v>
      </c>
      <c r="O868" s="75">
        <f>M868+N868</f>
        <v>2978.8885987826793</v>
      </c>
      <c r="P868" s="75">
        <f>(MIN(L868,'THAM_SO_MOI'!$C$41)-O868)/('THAM_SO_MOI'!$C$11*H868)</f>
        <v>0.09382003263142014</v>
      </c>
      <c r="Q868" s="75">
        <f>IF(P868&gt;0,1/P868,NA())</f>
        <v>10.658704457379415</v>
      </c>
      <c r="R868" s="75">
        <f>F868-F867</f>
        <v>0.0035868055555567935</v>
      </c>
      <c r="S868" s="75">
        <f>0.5*(Q867+Q868)*R868</f>
        <v>0.038216140719844784</v>
      </c>
      <c r="T868" s="75">
        <f>0.5*(F867*Q867+F868*Q868)*R868</f>
        <v>0.8566913189755311</v>
      </c>
      <c r="U868" s="76">
        <f>U867+S868</f>
        <v>74.75497851850271</v>
      </c>
      <c r="V868" s="76">
        <f>V867+T868</f>
        <v>1176.0205526809973</v>
      </c>
    </row>
    <row r="869" spans="1:22" ht="19" customHeight="1">
      <c r="A869" s="68" t="s">
        <v>362</v>
      </c>
      <c r="B869" s="74">
        <v>5</v>
      </c>
      <c r="C869" s="68" t="s">
        <v>363</v>
      </c>
      <c r="D869" s="68" t="s">
        <v>365</v>
      </c>
      <c r="E869" s="75">
        <f>60*F869*'THAM_SO_MOI'!$C$53/(2*PI()*'THAM_SO_MOI'!$C$26)</f>
        <v>2209.1946842105253</v>
      </c>
      <c r="F869" s="75">
        <f>'THAM_SO_MOI'!$C$14+('THAM_SO_MOI'!$C$37-'THAM_SO_MOI'!$C$14)*62/'THAM_SO_MOI'!$C$42</f>
        <v>22.422381944444442</v>
      </c>
      <c r="G869" s="75">
        <f>3.6*F869</f>
        <v>80.720575</v>
      </c>
      <c r="H869" s="75">
        <f>'THAM_SO_MOI'!$D$53</f>
        <v>1.1</v>
      </c>
      <c r="I869" s="75">
        <f>IF(F869&gt;='THAM_SO_MOI'!$C$14,'THAM_SO_MOI'!$C$13*(1+F869^2/1500),'THAM_SO_MOI'!$C$13)</f>
        <v>0.020027632120625482</v>
      </c>
      <c r="J869" s="75">
        <f>'THAM_SO_MOI'!$C$40*('THAM_SO_MOI'!$C$23*(E869/'THAM_SO_MOI'!$C$22)+'THAM_SO_MOI'!$C$24*(E869/'THAM_SO_MOI'!$C$22)^2-'THAM_SO_MOI'!$C$25*(E869/'THAM_SO_MOI'!$C$22)^3)</f>
        <v>99.46980206657155</v>
      </c>
      <c r="K869" s="75">
        <f>'THAM_SO_MOI'!$C$31*J869/E869</f>
        <v>430.0417123942798</v>
      </c>
      <c r="L869" s="75">
        <f>K869*'THAM_SO_MOI'!$C$53*'THAM_SO_MOI'!$C$17/'THAM_SO_MOI'!$C$26</f>
        <v>3771.467500437532</v>
      </c>
      <c r="M869" s="75">
        <f>'THAM_SO_MOI'!$C$15*'THAM_SO_MOI'!$C$16*F869^2</f>
        <v>1470.5823952829535</v>
      </c>
      <c r="N869" s="75">
        <f>'THAM_SO_MOI'!$C$12*I869</f>
        <v>1508.8978260736203</v>
      </c>
      <c r="O869" s="75">
        <f>M869+N869</f>
        <v>2979.4802213565736</v>
      </c>
      <c r="P869" s="75">
        <f>(MIN(L869,'THAM_SO_MOI'!$C$41)-O869)/('THAM_SO_MOI'!$C$11*H869)</f>
        <v>0.09374849420939378</v>
      </c>
      <c r="Q869" s="75">
        <f>IF(P869&gt;0,1/P869,NA())</f>
        <v>10.666837994927475</v>
      </c>
      <c r="R869" s="75">
        <f>F869-F868</f>
        <v>0.0035868055555532408</v>
      </c>
      <c r="S869" s="75">
        <f>0.5*(Q868+Q869)*R869</f>
        <v>0.03824528707156042</v>
      </c>
      <c r="T869" s="75">
        <f>0.5*(F868*Q868+F869*Q869)*R869</f>
        <v>0.8574818712492239</v>
      </c>
      <c r="U869" s="76">
        <f>U868+S869</f>
        <v>74.79322380557427</v>
      </c>
      <c r="V869" s="76">
        <f>V868+T869</f>
        <v>1176.8780345522466</v>
      </c>
    </row>
    <row r="870" spans="1:22" ht="19" customHeight="1">
      <c r="A870" s="68" t="s">
        <v>362</v>
      </c>
      <c r="B870" s="74">
        <v>5</v>
      </c>
      <c r="C870" s="68" t="s">
        <v>363</v>
      </c>
      <c r="D870" s="68" t="s">
        <v>365</v>
      </c>
      <c r="E870" s="75">
        <f>60*F870*'THAM_SO_MOI'!$C$53/(2*PI()*'THAM_SO_MOI'!$C$26)</f>
        <v>2209.5480789473677</v>
      </c>
      <c r="F870" s="75">
        <f>'THAM_SO_MOI'!$C$14+('THAM_SO_MOI'!$C$37-'THAM_SO_MOI'!$C$14)*63/'THAM_SO_MOI'!$C$42</f>
        <v>22.42596875</v>
      </c>
      <c r="G870" s="75">
        <f>3.6*F870</f>
        <v>80.7334875</v>
      </c>
      <c r="H870" s="75">
        <f>'THAM_SO_MOI'!$D$53</f>
        <v>1.1</v>
      </c>
      <c r="I870" s="75">
        <f>IF(F870&gt;='THAM_SO_MOI'!$C$14,'THAM_SO_MOI'!$C$13*(1+F870^2/1500),'THAM_SO_MOI'!$C$13)</f>
        <v>0.020029240743759766</v>
      </c>
      <c r="J870" s="75">
        <f>'THAM_SO_MOI'!$C$40*('THAM_SO_MOI'!$C$23*(E870/'THAM_SO_MOI'!$C$22)+'THAM_SO_MOI'!$C$24*(E870/'THAM_SO_MOI'!$C$22)^2-'THAM_SO_MOI'!$C$25*(E870/'THAM_SO_MOI'!$C$22)^3)</f>
        <v>99.48537508706562</v>
      </c>
      <c r="K870" s="75">
        <f>'THAM_SO_MOI'!$C$31*J870/E870</f>
        <v>430.04024828175005</v>
      </c>
      <c r="L870" s="75">
        <f>K870*'THAM_SO_MOI'!$C$53*'THAM_SO_MOI'!$C$17/'THAM_SO_MOI'!$C$26</f>
        <v>3771.454660164917</v>
      </c>
      <c r="M870" s="75">
        <f>'THAM_SO_MOI'!$C$15*'THAM_SO_MOI'!$C$16*F870^2</f>
        <v>1471.0529175497313</v>
      </c>
      <c r="N870" s="75">
        <f>'THAM_SO_MOI'!$C$12*I870</f>
        <v>1509.019021027456</v>
      </c>
      <c r="O870" s="75">
        <f>M870+N870</f>
        <v>2980.071938577187</v>
      </c>
      <c r="P870" s="75">
        <f>(MIN(L870,'THAM_SO_MOI'!$C$41)-O870)/('THAM_SO_MOI'!$C$11*H870)</f>
        <v>0.09367693200612334</v>
      </c>
      <c r="Q870" s="75">
        <f>IF(P870&gt;0,1/P870,NA())</f>
        <v>10.674986665176368</v>
      </c>
      <c r="R870" s="75">
        <f>F870-F869</f>
        <v>0.0035868055555567935</v>
      </c>
      <c r="S870" s="75">
        <f>0.5*(Q869+Q870)*R870</f>
        <v>0.03827448762828972</v>
      </c>
      <c r="T870" s="75">
        <f>0.5*(F869*Q869+F870*Q870)*R870</f>
        <v>0.8582738481103716</v>
      </c>
      <c r="U870" s="76">
        <f>U869+S870</f>
        <v>74.83149829320256</v>
      </c>
      <c r="V870" s="76">
        <f>V869+T870</f>
        <v>1177.736308400357</v>
      </c>
    </row>
    <row r="871" spans="1:22" ht="19" customHeight="1">
      <c r="A871" s="68" t="s">
        <v>362</v>
      </c>
      <c r="B871" s="74">
        <v>5</v>
      </c>
      <c r="C871" s="68" t="s">
        <v>363</v>
      </c>
      <c r="D871" s="68" t="s">
        <v>365</v>
      </c>
      <c r="E871" s="75">
        <f>60*F871*'THAM_SO_MOI'!$C$53/(2*PI()*'THAM_SO_MOI'!$C$26)</f>
        <v>2209.90147368421</v>
      </c>
      <c r="F871" s="75">
        <f>'THAM_SO_MOI'!$C$14+('THAM_SO_MOI'!$C$37-'THAM_SO_MOI'!$C$14)*64/'THAM_SO_MOI'!$C$42</f>
        <v>22.429555555555556</v>
      </c>
      <c r="G871" s="75">
        <f>3.6*F871</f>
        <v>80.74640000000001</v>
      </c>
      <c r="H871" s="75">
        <f>'THAM_SO_MOI'!$D$53</f>
        <v>1.1</v>
      </c>
      <c r="I871" s="75">
        <f>IF(F871&gt;='THAM_SO_MOI'!$C$14,'THAM_SO_MOI'!$C$13*(1+F871^2/1500),'THAM_SO_MOI'!$C$13)</f>
        <v>0.02003084962419753</v>
      </c>
      <c r="J871" s="75">
        <f>'THAM_SO_MOI'!$C$40*('THAM_SO_MOI'!$C$23*(E871/'THAM_SO_MOI'!$C$22)+'THAM_SO_MOI'!$C$24*(E871/'THAM_SO_MOI'!$C$22)^2-'THAM_SO_MOI'!$C$25*(E871/'THAM_SO_MOI'!$C$22)^3)</f>
        <v>99.50094519585782</v>
      </c>
      <c r="K871" s="75">
        <f>'THAM_SO_MOI'!$C$31*J871/E871</f>
        <v>430.03877205323585</v>
      </c>
      <c r="L871" s="75">
        <f>K871*'THAM_SO_MOI'!$C$53*'THAM_SO_MOI'!$C$17/'THAM_SO_MOI'!$C$26</f>
        <v>3771.4417136350717</v>
      </c>
      <c r="M871" s="75">
        <f>'THAM_SO_MOI'!$C$15*'THAM_SO_MOI'!$C$16*F871^2</f>
        <v>1471.523515077778</v>
      </c>
      <c r="N871" s="75">
        <f>'THAM_SO_MOI'!$C$12*I871</f>
        <v>1509.1402353667413</v>
      </c>
      <c r="O871" s="75">
        <f>M871+N871</f>
        <v>2980.6637504445193</v>
      </c>
      <c r="P871" s="75">
        <f>(MIN(L871,'THAM_SO_MOI'!$C$41)-O871)/('THAM_SO_MOI'!$C$11*H871)</f>
        <v>0.09360534602160894</v>
      </c>
      <c r="Q871" s="75">
        <f>IF(P871&gt;0,1/P871,NA())</f>
        <v>10.683150509044092</v>
      </c>
      <c r="R871" s="75">
        <f>F871-F870</f>
        <v>0.0035868055555567935</v>
      </c>
      <c r="S871" s="75">
        <f>0.5*(Q870+Q871)*R871</f>
        <v>0.03830374253641901</v>
      </c>
      <c r="T871" s="75">
        <f>0.5*(F870*Q870+F871*Q871)*R871</f>
        <v>0.8590672534253607</v>
      </c>
      <c r="U871" s="76">
        <f>U870+S871</f>
        <v>74.86980203573897</v>
      </c>
      <c r="V871" s="76">
        <f>V870+T871</f>
        <v>1178.5953756537824</v>
      </c>
    </row>
    <row r="872" spans="1:22" ht="19" customHeight="1">
      <c r="A872" s="68" t="s">
        <v>362</v>
      </c>
      <c r="B872" s="74">
        <v>5</v>
      </c>
      <c r="C872" s="68" t="s">
        <v>363</v>
      </c>
      <c r="D872" s="68" t="s">
        <v>365</v>
      </c>
      <c r="E872" s="75">
        <f>60*F872*'THAM_SO_MOI'!$C$53/(2*PI()*'THAM_SO_MOI'!$C$26)</f>
        <v>2210.2548684210524</v>
      </c>
      <c r="F872" s="75">
        <f>'THAM_SO_MOI'!$C$14+('THAM_SO_MOI'!$C$37-'THAM_SO_MOI'!$C$14)*65/'THAM_SO_MOI'!$C$42</f>
        <v>22.43314236111111</v>
      </c>
      <c r="G872" s="75">
        <f>3.6*F872</f>
        <v>80.7593125</v>
      </c>
      <c r="H872" s="75">
        <f>'THAM_SO_MOI'!$D$53</f>
        <v>1.1</v>
      </c>
      <c r="I872" s="75">
        <f>IF(F872&gt;='THAM_SO_MOI'!$C$14,'THAM_SO_MOI'!$C$13*(1+F872^2/1500),'THAM_SO_MOI'!$C$13)</f>
        <v>0.020032458761938775</v>
      </c>
      <c r="J872" s="75">
        <f>'THAM_SO_MOI'!$C$40*('THAM_SO_MOI'!$C$23*(E872/'THAM_SO_MOI'!$C$22)+'THAM_SO_MOI'!$C$24*(E872/'THAM_SO_MOI'!$C$22)^2-'THAM_SO_MOI'!$C$25*(E872/'THAM_SO_MOI'!$C$22)^3)</f>
        <v>99.51651239160324</v>
      </c>
      <c r="K872" s="75">
        <f>'THAM_SO_MOI'!$C$31*J872/E872</f>
        <v>430.0372837087373</v>
      </c>
      <c r="L872" s="75">
        <f>K872*'THAM_SO_MOI'!$C$53*'THAM_SO_MOI'!$C$17/'THAM_SO_MOI'!$C$26</f>
        <v>3771.4286608479956</v>
      </c>
      <c r="M872" s="75">
        <f>'THAM_SO_MOI'!$C$15*'THAM_SO_MOI'!$C$16*F872^2</f>
        <v>1471.9941878670925</v>
      </c>
      <c r="N872" s="75">
        <f>'THAM_SO_MOI'!$C$12*I872</f>
        <v>1509.261469091477</v>
      </c>
      <c r="O872" s="75">
        <f>M872+N872</f>
        <v>2981.2556569585695</v>
      </c>
      <c r="P872" s="75">
        <f>(MIN(L872,'THAM_SO_MOI'!$C$41)-O872)/('THAM_SO_MOI'!$C$11*H872)</f>
        <v>0.09353373625585062</v>
      </c>
      <c r="Q872" s="75">
        <f>IF(P872&gt;0,1/P872,NA())</f>
        <v>10.69132956759705</v>
      </c>
      <c r="R872" s="75">
        <f>F872-F871</f>
        <v>0.0035868055555532408</v>
      </c>
      <c r="S872" s="75">
        <f>0.5*(Q871+Q872)*R872</f>
        <v>0.03833305194297925</v>
      </c>
      <c r="T872" s="75">
        <f>0.5*(F871*Q871+F872*Q872)*R872</f>
        <v>0.8598620910771383</v>
      </c>
      <c r="U872" s="76">
        <f>U871+S872</f>
        <v>74.90813508768196</v>
      </c>
      <c r="V872" s="76">
        <f>V871+T872</f>
        <v>1179.4552377448595</v>
      </c>
    </row>
    <row r="873" spans="1:22" ht="19" customHeight="1">
      <c r="A873" s="68" t="s">
        <v>362</v>
      </c>
      <c r="B873" s="74">
        <v>5</v>
      </c>
      <c r="C873" s="68" t="s">
        <v>363</v>
      </c>
      <c r="D873" s="68" t="s">
        <v>365</v>
      </c>
      <c r="E873" s="75">
        <f>60*F873*'THAM_SO_MOI'!$C$53/(2*PI()*'THAM_SO_MOI'!$C$26)</f>
        <v>2210.6082631578943</v>
      </c>
      <c r="F873" s="75">
        <f>'THAM_SO_MOI'!$C$14+('THAM_SO_MOI'!$C$37-'THAM_SO_MOI'!$C$14)*66/'THAM_SO_MOI'!$C$42</f>
        <v>22.436729166666666</v>
      </c>
      <c r="G873" s="75">
        <f>3.6*F873</f>
        <v>80.772225</v>
      </c>
      <c r="H873" s="75">
        <f>'THAM_SO_MOI'!$D$53</f>
        <v>1.1</v>
      </c>
      <c r="I873" s="75">
        <f>IF(F873&gt;='THAM_SO_MOI'!$C$14,'THAM_SO_MOI'!$C$13*(1+F873^2/1500),'THAM_SO_MOI'!$C$13)</f>
        <v>0.020034068156983505</v>
      </c>
      <c r="J873" s="75">
        <f>'THAM_SO_MOI'!$C$40*('THAM_SO_MOI'!$C$23*(E873/'THAM_SO_MOI'!$C$22)+'THAM_SO_MOI'!$C$24*(E873/'THAM_SO_MOI'!$C$22)^2-'THAM_SO_MOI'!$C$25*(E873/'THAM_SO_MOI'!$C$22)^3)</f>
        <v>99.53207667295696</v>
      </c>
      <c r="K873" s="75">
        <f>'THAM_SO_MOI'!$C$31*J873/E873</f>
        <v>430.0357832482542</v>
      </c>
      <c r="L873" s="75">
        <f>K873*'THAM_SO_MOI'!$C$53*'THAM_SO_MOI'!$C$17/'THAM_SO_MOI'!$C$26</f>
        <v>3771.4155018036877</v>
      </c>
      <c r="M873" s="75">
        <f>'THAM_SO_MOI'!$C$15*'THAM_SO_MOI'!$C$16*F873^2</f>
        <v>1472.4649359176758</v>
      </c>
      <c r="N873" s="75">
        <f>'THAM_SO_MOI'!$C$12*I873</f>
        <v>1509.382722201663</v>
      </c>
      <c r="O873" s="75">
        <f>M873+N873</f>
        <v>2981.847658119339</v>
      </c>
      <c r="P873" s="75">
        <f>(MIN(L873,'THAM_SO_MOI'!$C$41)-O873)/('THAM_SO_MOI'!$C$11*H873)</f>
        <v>0.09346210270884808</v>
      </c>
      <c r="Q873" s="75">
        <f>IF(P873&gt;0,1/P873,NA())</f>
        <v>10.699523882050748</v>
      </c>
      <c r="R873" s="75">
        <f>F873-F872</f>
        <v>0.0035868055555567935</v>
      </c>
      <c r="S873" s="75">
        <f>0.5*(Q872+Q873)*R873</f>
        <v>0.03836241599564896</v>
      </c>
      <c r="T873" s="75">
        <f>0.5*(F872*Q872+F873*Q873)*R873</f>
        <v>0.8606583649652886</v>
      </c>
      <c r="U873" s="76">
        <f>U872+S873</f>
        <v>74.9464975036776</v>
      </c>
      <c r="V873" s="76">
        <f>V872+T873</f>
        <v>1180.3158961098247</v>
      </c>
    </row>
    <row r="874" spans="1:22" ht="19" customHeight="1">
      <c r="A874" s="68" t="s">
        <v>362</v>
      </c>
      <c r="B874" s="74">
        <v>5</v>
      </c>
      <c r="C874" s="68" t="s">
        <v>363</v>
      </c>
      <c r="D874" s="68" t="s">
        <v>365</v>
      </c>
      <c r="E874" s="75">
        <f>60*F874*'THAM_SO_MOI'!$C$53/(2*PI()*'THAM_SO_MOI'!$C$26)</f>
        <v>2210.9616578947366</v>
      </c>
      <c r="F874" s="75">
        <f>'THAM_SO_MOI'!$C$14+('THAM_SO_MOI'!$C$37-'THAM_SO_MOI'!$C$14)*67/'THAM_SO_MOI'!$C$42</f>
        <v>22.440315972222223</v>
      </c>
      <c r="G874" s="75">
        <f>3.6*F874</f>
        <v>80.7851375</v>
      </c>
      <c r="H874" s="75">
        <f>'THAM_SO_MOI'!$D$53</f>
        <v>1.1</v>
      </c>
      <c r="I874" s="75">
        <f>IF(F874&gt;='THAM_SO_MOI'!$C$14,'THAM_SO_MOI'!$C$13*(1+F874^2/1500),'THAM_SO_MOI'!$C$13)</f>
        <v>0.020035677809331714</v>
      </c>
      <c r="J874" s="75">
        <f>'THAM_SO_MOI'!$C$40*('THAM_SO_MOI'!$C$23*(E874/'THAM_SO_MOI'!$C$22)+'THAM_SO_MOI'!$C$24*(E874/'THAM_SO_MOI'!$C$22)^2-'THAM_SO_MOI'!$C$25*(E874/'THAM_SO_MOI'!$C$22)^3)</f>
        <v>99.54763803857415</v>
      </c>
      <c r="K874" s="75">
        <f>'THAM_SO_MOI'!$C$31*J874/E874</f>
        <v>430.0342706717867</v>
      </c>
      <c r="L874" s="75">
        <f>K874*'THAM_SO_MOI'!$C$53*'THAM_SO_MOI'!$C$17/'THAM_SO_MOI'!$C$26</f>
        <v>3771.402236502149</v>
      </c>
      <c r="M874" s="75">
        <f>'THAM_SO_MOI'!$C$15*'THAM_SO_MOI'!$C$16*F874^2</f>
        <v>1472.9357592295275</v>
      </c>
      <c r="N874" s="75">
        <f>'THAM_SO_MOI'!$C$12*I874</f>
        <v>1509.5039946972988</v>
      </c>
      <c r="O874" s="75">
        <f>M874+N874</f>
        <v>2982.4397539268266</v>
      </c>
      <c r="P874" s="75">
        <f>(MIN(L874,'THAM_SO_MOI'!$C$41)-O874)/('THAM_SO_MOI'!$C$11*H874)</f>
        <v>0.09339044538060169</v>
      </c>
      <c r="Q874" s="75">
        <f>IF(P874&gt;0,1/P874,NA())</f>
        <v>10.707733493770359</v>
      </c>
      <c r="R874" s="75">
        <f>F874-F873</f>
        <v>0.0035868055555567935</v>
      </c>
      <c r="S874" s="75">
        <f>0.5*(Q873+Q874)*R874</f>
        <v>0.038391834842414645</v>
      </c>
      <c r="T874" s="75">
        <f>0.5*(F873*Q873+F874*Q874)*R874</f>
        <v>0.8614560789984256</v>
      </c>
      <c r="U874" s="76">
        <f>U873+S874</f>
        <v>74.98488933852002</v>
      </c>
      <c r="V874" s="76">
        <f>V873+T874</f>
        <v>1181.177352188823</v>
      </c>
    </row>
    <row r="875" spans="1:22" ht="19" customHeight="1">
      <c r="A875" s="68" t="s">
        <v>362</v>
      </c>
      <c r="B875" s="74">
        <v>5</v>
      </c>
      <c r="C875" s="68" t="s">
        <v>363</v>
      </c>
      <c r="D875" s="68" t="s">
        <v>365</v>
      </c>
      <c r="E875" s="75">
        <f>60*F875*'THAM_SO_MOI'!$C$53/(2*PI()*'THAM_SO_MOI'!$C$26)</f>
        <v>2211.315052631578</v>
      </c>
      <c r="F875" s="75">
        <f>'THAM_SO_MOI'!$C$14+('THAM_SO_MOI'!$C$37-'THAM_SO_MOI'!$C$14)*68/'THAM_SO_MOI'!$C$42</f>
        <v>22.443902777777776</v>
      </c>
      <c r="G875" s="75">
        <f>3.6*F875</f>
        <v>80.79804999999999</v>
      </c>
      <c r="H875" s="75">
        <f>'THAM_SO_MOI'!$D$53</f>
        <v>1.1</v>
      </c>
      <c r="I875" s="75">
        <f>IF(F875&gt;='THAM_SO_MOI'!$C$14,'THAM_SO_MOI'!$C$13*(1+F875^2/1500),'THAM_SO_MOI'!$C$13)</f>
        <v>0.02003728771898341</v>
      </c>
      <c r="J875" s="75">
        <f>'THAM_SO_MOI'!$C$40*('THAM_SO_MOI'!$C$23*(E875/'THAM_SO_MOI'!$C$22)+'THAM_SO_MOI'!$C$24*(E875/'THAM_SO_MOI'!$C$22)^2-'THAM_SO_MOI'!$C$25*(E875/'THAM_SO_MOI'!$C$22)^3)</f>
        <v>99.56319648710979</v>
      </c>
      <c r="K875" s="75">
        <f>'THAM_SO_MOI'!$C$31*J875/E875</f>
        <v>430.03274597933455</v>
      </c>
      <c r="L875" s="75">
        <f>K875*'THAM_SO_MOI'!$C$53*'THAM_SO_MOI'!$C$17/'THAM_SO_MOI'!$C$26</f>
        <v>3771.3888649433775</v>
      </c>
      <c r="M875" s="75">
        <f>'THAM_SO_MOI'!$C$15*'THAM_SO_MOI'!$C$16*F875^2</f>
        <v>1473.4066578026475</v>
      </c>
      <c r="N875" s="75">
        <f>'THAM_SO_MOI'!$C$12*I875</f>
        <v>1509.6252865783852</v>
      </c>
      <c r="O875" s="75">
        <f>M875+N875</f>
        <v>2983.0319443810326</v>
      </c>
      <c r="P875" s="75">
        <f>(MIN(L875,'THAM_SO_MOI'!$C$41)-O875)/('THAM_SO_MOI'!$C$11*H875)</f>
        <v>0.09331876427111087</v>
      </c>
      <c r="Q875" s="75">
        <f>IF(P875&gt;0,1/P875,NA())</f>
        <v>10.715958444271585</v>
      </c>
      <c r="R875" s="75">
        <f>F875-F874</f>
        <v>0.0035868055555532408</v>
      </c>
      <c r="S875" s="75">
        <f>0.5*(Q874+Q875)*R875</f>
        <v>0.03842130863191501</v>
      </c>
      <c r="T875" s="75">
        <f>0.5*(F874*Q874+F875*Q875)*R875</f>
        <v>0.8622552371019233</v>
      </c>
      <c r="U875" s="76">
        <f>U874+S875</f>
        <v>75.02331064715193</v>
      </c>
      <c r="V875" s="76">
        <f>V874+T875</f>
        <v>1182.039607425925</v>
      </c>
    </row>
    <row r="876" spans="1:22" ht="19" customHeight="1">
      <c r="A876" s="68" t="s">
        <v>362</v>
      </c>
      <c r="B876" s="74">
        <v>5</v>
      </c>
      <c r="C876" s="68" t="s">
        <v>363</v>
      </c>
      <c r="D876" s="68" t="s">
        <v>365</v>
      </c>
      <c r="E876" s="75">
        <f>60*F876*'THAM_SO_MOI'!$C$53/(2*PI()*'THAM_SO_MOI'!$C$26)</f>
        <v>2211.6684473684204</v>
      </c>
      <c r="F876" s="75">
        <f>'THAM_SO_MOI'!$C$14+('THAM_SO_MOI'!$C$37-'THAM_SO_MOI'!$C$14)*69/'THAM_SO_MOI'!$C$42</f>
        <v>22.447489583333333</v>
      </c>
      <c r="G876" s="75">
        <f>3.6*F876</f>
        <v>80.8109625</v>
      </c>
      <c r="H876" s="75">
        <f>'THAM_SO_MOI'!$D$53</f>
        <v>1.1</v>
      </c>
      <c r="I876" s="75">
        <f>IF(F876&gt;='THAM_SO_MOI'!$C$14,'THAM_SO_MOI'!$C$13*(1+F876^2/1500),'THAM_SO_MOI'!$C$13)</f>
        <v>0.020038897885938583</v>
      </c>
      <c r="J876" s="75">
        <f>'THAM_SO_MOI'!$C$40*('THAM_SO_MOI'!$C$23*(E876/'THAM_SO_MOI'!$C$22)+'THAM_SO_MOI'!$C$24*(E876/'THAM_SO_MOI'!$C$22)^2-'THAM_SO_MOI'!$C$25*(E876/'THAM_SO_MOI'!$C$22)^3)</f>
        <v>99.57875201721923</v>
      </c>
      <c r="K876" s="75">
        <f>'THAM_SO_MOI'!$C$31*J876/E876</f>
        <v>430.0312091708983</v>
      </c>
      <c r="L876" s="75">
        <f>K876*'THAM_SO_MOI'!$C$53*'THAM_SO_MOI'!$C$17/'THAM_SO_MOI'!$C$26</f>
        <v>3771.3753871273784</v>
      </c>
      <c r="M876" s="75">
        <f>'THAM_SO_MOI'!$C$15*'THAM_SO_MOI'!$C$16*F876^2</f>
        <v>1473.8776316370363</v>
      </c>
      <c r="N876" s="75">
        <f>'THAM_SO_MOI'!$C$12*I876</f>
        <v>1509.7465978449216</v>
      </c>
      <c r="O876" s="75">
        <f>M876+N876</f>
        <v>2983.6242294819576</v>
      </c>
      <c r="P876" s="75">
        <f>(MIN(L876,'THAM_SO_MOI'!$C$41)-O876)/('THAM_SO_MOI'!$C$11*H876)</f>
        <v>0.09324705938037649</v>
      </c>
      <c r="Q876" s="75">
        <f>IF(P876&gt;0,1/P876,NA())</f>
        <v>10.72419877522107</v>
      </c>
      <c r="R876" s="75">
        <f>F876-F875</f>
        <v>0.0035868055555567935</v>
      </c>
      <c r="S876" s="75">
        <f>0.5*(Q875+Q876)*R876</f>
        <v>0.03845083751344367</v>
      </c>
      <c r="T876" s="75">
        <f>0.5*(F875*Q875+F876*Q876)*R876</f>
        <v>0.863055843217988</v>
      </c>
      <c r="U876" s="76">
        <f>U875+S876</f>
        <v>75.06176148466537</v>
      </c>
      <c r="V876" s="76">
        <f>V875+T876</f>
        <v>1182.902663269143</v>
      </c>
    </row>
    <row r="877" spans="1:22" ht="19" customHeight="1">
      <c r="A877" s="68" t="s">
        <v>362</v>
      </c>
      <c r="B877" s="74">
        <v>5</v>
      </c>
      <c r="C877" s="68" t="s">
        <v>363</v>
      </c>
      <c r="D877" s="68" t="s">
        <v>365</v>
      </c>
      <c r="E877" s="75">
        <f>60*F877*'THAM_SO_MOI'!$C$53/(2*PI()*'THAM_SO_MOI'!$C$26)</f>
        <v>2212.0218421052627</v>
      </c>
      <c r="F877" s="75">
        <f>'THAM_SO_MOI'!$C$14+('THAM_SO_MOI'!$C$37-'THAM_SO_MOI'!$C$14)*70/'THAM_SO_MOI'!$C$42</f>
        <v>22.45107638888889</v>
      </c>
      <c r="G877" s="75">
        <f>3.6*F877</f>
        <v>80.823875</v>
      </c>
      <c r="H877" s="75">
        <f>'THAM_SO_MOI'!$D$53</f>
        <v>1.1</v>
      </c>
      <c r="I877" s="75">
        <f>IF(F877&gt;='THAM_SO_MOI'!$C$14,'THAM_SO_MOI'!$C$13*(1+F877^2/1500),'THAM_SO_MOI'!$C$13)</f>
        <v>0.02004050831019724</v>
      </c>
      <c r="J877" s="75">
        <f>'THAM_SO_MOI'!$C$40*('THAM_SO_MOI'!$C$23*(E877/'THAM_SO_MOI'!$C$22)+'THAM_SO_MOI'!$C$24*(E877/'THAM_SO_MOI'!$C$22)^2-'THAM_SO_MOI'!$C$25*(E877/'THAM_SO_MOI'!$C$22)^3)</f>
        <v>99.59430462755736</v>
      </c>
      <c r="K877" s="75">
        <f>'THAM_SO_MOI'!$C$31*J877/E877</f>
        <v>430.0296602464773</v>
      </c>
      <c r="L877" s="75">
        <f>K877*'THAM_SO_MOI'!$C$53*'THAM_SO_MOI'!$C$17/'THAM_SO_MOI'!$C$26</f>
        <v>3771.3618030541456</v>
      </c>
      <c r="M877" s="75">
        <f>'THAM_SO_MOI'!$C$15*'THAM_SO_MOI'!$C$16*F877^2</f>
        <v>1474.3486807326933</v>
      </c>
      <c r="N877" s="75">
        <f>'THAM_SO_MOI'!$C$12*I877</f>
        <v>1509.8679284969085</v>
      </c>
      <c r="O877" s="75">
        <f>M877+N877</f>
        <v>2984.216609229602</v>
      </c>
      <c r="P877" s="75">
        <f>(MIN(L877,'THAM_SO_MOI'!$C$41)-O877)/('THAM_SO_MOI'!$C$11*H877)</f>
        <v>0.09317533070839769</v>
      </c>
      <c r="Q877" s="75">
        <f>IF(P877&gt;0,1/P877,NA())</f>
        <v>10.732454528437453</v>
      </c>
      <c r="R877" s="75">
        <f>F877-F876</f>
        <v>0.0035868055555567935</v>
      </c>
      <c r="S877" s="75">
        <f>0.5*(Q876+Q877)*R877</f>
        <v>0.03848042163660921</v>
      </c>
      <c r="T877" s="75">
        <f>0.5*(F876*Q876+F877*Q877)*R877</f>
        <v>0.8638579012980385</v>
      </c>
      <c r="U877" s="76">
        <f>U876+S877</f>
        <v>75.10024190630197</v>
      </c>
      <c r="V877" s="76">
        <f>V876+T877</f>
        <v>1183.766521170441</v>
      </c>
    </row>
    <row r="878" spans="1:22" ht="19" customHeight="1">
      <c r="A878" s="68" t="s">
        <v>362</v>
      </c>
      <c r="B878" s="74">
        <v>5</v>
      </c>
      <c r="C878" s="68" t="s">
        <v>363</v>
      </c>
      <c r="D878" s="68" t="s">
        <v>365</v>
      </c>
      <c r="E878" s="75">
        <f>60*F878*'THAM_SO_MOI'!$C$53/(2*PI()*'THAM_SO_MOI'!$C$26)</f>
        <v>2212.3752368421046</v>
      </c>
      <c r="F878" s="75">
        <f>'THAM_SO_MOI'!$C$14+('THAM_SO_MOI'!$C$37-'THAM_SO_MOI'!$C$14)*71/'THAM_SO_MOI'!$C$42</f>
        <v>22.454663194444443</v>
      </c>
      <c r="G878" s="75">
        <f>3.6*F878</f>
        <v>80.8367875</v>
      </c>
      <c r="H878" s="75">
        <f>'THAM_SO_MOI'!$D$53</f>
        <v>1.1</v>
      </c>
      <c r="I878" s="75">
        <f>IF(F878&gt;='THAM_SO_MOI'!$C$14,'THAM_SO_MOI'!$C$13*(1+F878^2/1500),'THAM_SO_MOI'!$C$13)</f>
        <v>0.02004211899175938</v>
      </c>
      <c r="J878" s="75">
        <f>'THAM_SO_MOI'!$C$40*('THAM_SO_MOI'!$C$23*(E878/'THAM_SO_MOI'!$C$22)+'THAM_SO_MOI'!$C$24*(E878/'THAM_SO_MOI'!$C$22)^2-'THAM_SO_MOI'!$C$25*(E878/'THAM_SO_MOI'!$C$22)^3)</f>
        <v>99.60985431677938</v>
      </c>
      <c r="K878" s="75">
        <f>'THAM_SO_MOI'!$C$31*J878/E878</f>
        <v>430.028099206072</v>
      </c>
      <c r="L878" s="75">
        <f>K878*'THAM_SO_MOI'!$C$53*'THAM_SO_MOI'!$C$17/'THAM_SO_MOI'!$C$26</f>
        <v>3771.348112723683</v>
      </c>
      <c r="M878" s="75">
        <f>'THAM_SO_MOI'!$C$15*'THAM_SO_MOI'!$C$16*F878^2</f>
        <v>1474.8198050896185</v>
      </c>
      <c r="N878" s="75">
        <f>'THAM_SO_MOI'!$C$12*I878</f>
        <v>1509.9892785343452</v>
      </c>
      <c r="O878" s="75">
        <f>M878+N878</f>
        <v>2984.8090836239635</v>
      </c>
      <c r="P878" s="75">
        <f>(MIN(L878,'THAM_SO_MOI'!$C$41)-O878)/('THAM_SO_MOI'!$C$11*H878)</f>
        <v>0.09310357825517508</v>
      </c>
      <c r="Q878" s="75">
        <f>IF(P878&gt;0,1/P878,NA())</f>
        <v>10.740725745891682</v>
      </c>
      <c r="R878" s="75">
        <f>F878-F877</f>
        <v>0.0035868055555532408</v>
      </c>
      <c r="S878" s="75">
        <f>0.5*(Q877+Q878)*R878</f>
        <v>0.03851006115168</v>
      </c>
      <c r="T878" s="75">
        <f>0.5*(F877*Q877+F878*Q878)*R878</f>
        <v>0.864661415310455</v>
      </c>
      <c r="U878" s="76">
        <f>U877+S878</f>
        <v>75.13875196745366</v>
      </c>
      <c r="V878" s="76">
        <f>V877+T878</f>
        <v>1184.6311825857513</v>
      </c>
    </row>
    <row r="879" spans="1:22" ht="19" customHeight="1">
      <c r="A879" s="68" t="s">
        <v>362</v>
      </c>
      <c r="B879" s="74">
        <v>5</v>
      </c>
      <c r="C879" s="68" t="s">
        <v>363</v>
      </c>
      <c r="D879" s="68" t="s">
        <v>365</v>
      </c>
      <c r="E879" s="75">
        <f>60*F879*'THAM_SO_MOI'!$C$53/(2*PI()*'THAM_SO_MOI'!$C$26)</f>
        <v>2212.728631578947</v>
      </c>
      <c r="F879" s="75">
        <f>'THAM_SO_MOI'!$C$14+('THAM_SO_MOI'!$C$37-'THAM_SO_MOI'!$C$14)*72/'THAM_SO_MOI'!$C$42</f>
        <v>22.45825</v>
      </c>
      <c r="G879" s="75">
        <f>3.6*F879</f>
        <v>80.8497</v>
      </c>
      <c r="H879" s="75">
        <f>'THAM_SO_MOI'!$D$53</f>
        <v>1.1</v>
      </c>
      <c r="I879" s="75">
        <f>IF(F879&gt;='THAM_SO_MOI'!$C$14,'THAM_SO_MOI'!$C$13*(1+F879^2/1500),'THAM_SO_MOI'!$C$13)</f>
        <v>0.020043729930625</v>
      </c>
      <c r="J879" s="75">
        <f>'THAM_SO_MOI'!$C$40*('THAM_SO_MOI'!$C$23*(E879/'THAM_SO_MOI'!$C$22)+'THAM_SO_MOI'!$C$24*(E879/'THAM_SO_MOI'!$C$22)^2-'THAM_SO_MOI'!$C$25*(E879/'THAM_SO_MOI'!$C$22)^3)</f>
        <v>99.62540108354038</v>
      </c>
      <c r="K879" s="75">
        <f>'THAM_SO_MOI'!$C$31*J879/E879</f>
        <v>430.02652604968216</v>
      </c>
      <c r="L879" s="75">
        <f>K879*'THAM_SO_MOI'!$C$53*'THAM_SO_MOI'!$C$17/'THAM_SO_MOI'!$C$26</f>
        <v>3771.334316135988</v>
      </c>
      <c r="M879" s="75">
        <f>'THAM_SO_MOI'!$C$15*'THAM_SO_MOI'!$C$16*F879^2</f>
        <v>1475.2910047078126</v>
      </c>
      <c r="N879" s="75">
        <f>'THAM_SO_MOI'!$C$12*I879</f>
        <v>1510.110647957232</v>
      </c>
      <c r="O879" s="75">
        <f>M879+N879</f>
        <v>2985.401652665045</v>
      </c>
      <c r="P879" s="75">
        <f>(MIN(L879,'THAM_SO_MOI'!$C$41)-O879)/('THAM_SO_MOI'!$C$11*H879)</f>
        <v>0.09303180202070827</v>
      </c>
      <c r="Q879" s="75">
        <f>IF(P879&gt;0,1/P879,NA())</f>
        <v>10.74901246970801</v>
      </c>
      <c r="R879" s="75">
        <f>F879-F878</f>
        <v>0.0035868055555567935</v>
      </c>
      <c r="S879" s="75">
        <f>0.5*(Q878+Q879)*R879</f>
        <v>0.03853975620958706</v>
      </c>
      <c r="T879" s="75">
        <f>0.5*(F878*Q878+F879*Q879)*R879</f>
        <v>0.8654663892406534</v>
      </c>
      <c r="U879" s="76">
        <f>U878+S879</f>
        <v>75.17729172366325</v>
      </c>
      <c r="V879" s="76">
        <f>V878+T879</f>
        <v>1185.496648974992</v>
      </c>
    </row>
    <row r="880" spans="1:22" ht="19" customHeight="1">
      <c r="A880" s="68" t="s">
        <v>362</v>
      </c>
      <c r="B880" s="74">
        <v>5</v>
      </c>
      <c r="C880" s="68" t="s">
        <v>363</v>
      </c>
      <c r="D880" s="68" t="s">
        <v>365</v>
      </c>
      <c r="E880" s="75">
        <f>60*F880*'THAM_SO_MOI'!$C$53/(2*PI()*'THAM_SO_MOI'!$C$26)</f>
        <v>2213.0820263157893</v>
      </c>
      <c r="F880" s="75">
        <f>'THAM_SO_MOI'!$C$14+('THAM_SO_MOI'!$C$37-'THAM_SO_MOI'!$C$14)*73/'THAM_SO_MOI'!$C$42</f>
        <v>22.461836805555556</v>
      </c>
      <c r="G880" s="75">
        <f>3.6*F880</f>
        <v>80.86261250000001</v>
      </c>
      <c r="H880" s="75">
        <f>'THAM_SO_MOI'!$D$53</f>
        <v>1.1</v>
      </c>
      <c r="I880" s="75">
        <f>IF(F880&gt;='THAM_SO_MOI'!$C$14,'THAM_SO_MOI'!$C$13*(1+F880^2/1500),'THAM_SO_MOI'!$C$13)</f>
        <v>0.0200453411267941</v>
      </c>
      <c r="J880" s="75">
        <f>'THAM_SO_MOI'!$C$40*('THAM_SO_MOI'!$C$23*(E880/'THAM_SO_MOI'!$C$22)+'THAM_SO_MOI'!$C$24*(E880/'THAM_SO_MOI'!$C$22)^2-'THAM_SO_MOI'!$C$25*(E880/'THAM_SO_MOI'!$C$22)^3)</f>
        <v>99.6409449264955</v>
      </c>
      <c r="K880" s="75">
        <f>'THAM_SO_MOI'!$C$31*J880/E880</f>
        <v>430.02494077730785</v>
      </c>
      <c r="L880" s="75">
        <f>K880*'THAM_SO_MOI'!$C$53*'THAM_SO_MOI'!$C$17/'THAM_SO_MOI'!$C$26</f>
        <v>3771.320413291062</v>
      </c>
      <c r="M880" s="75">
        <f>'THAM_SO_MOI'!$C$15*'THAM_SO_MOI'!$C$16*F880^2</f>
        <v>1475.762279587275</v>
      </c>
      <c r="N880" s="75">
        <f>'THAM_SO_MOI'!$C$12*I880</f>
        <v>1510.232036765569</v>
      </c>
      <c r="O880" s="75">
        <f>M880+N880</f>
        <v>2985.994316352844</v>
      </c>
      <c r="P880" s="75">
        <f>(MIN(L880,'THAM_SO_MOI'!$C$41)-O880)/('THAM_SO_MOI'!$C$11*H880)</f>
        <v>0.09296000200499734</v>
      </c>
      <c r="Q880" s="75">
        <f>IF(P880&gt;0,1/P880,NA())</f>
        <v>10.757314742164507</v>
      </c>
      <c r="R880" s="75">
        <f>F880-F879</f>
        <v>0.0035868055555567935</v>
      </c>
      <c r="S880" s="75">
        <f>0.5*(Q879+Q880)*R880</f>
        <v>0.038569506961583296</v>
      </c>
      <c r="T880" s="75">
        <f>0.5*(F879*Q879+F880*Q880)*R880</f>
        <v>0.8662728270834454</v>
      </c>
      <c r="U880" s="76">
        <f>U879+S880</f>
        <v>75.21586123062482</v>
      </c>
      <c r="V880" s="76">
        <f>V879+T880</f>
        <v>1186.3629218020756</v>
      </c>
    </row>
    <row r="881" spans="1:22" ht="19" customHeight="1">
      <c r="A881" s="68" t="s">
        <v>362</v>
      </c>
      <c r="B881" s="74">
        <v>5</v>
      </c>
      <c r="C881" s="68" t="s">
        <v>363</v>
      </c>
      <c r="D881" s="68" t="s">
        <v>365</v>
      </c>
      <c r="E881" s="75">
        <f>60*F881*'THAM_SO_MOI'!$C$53/(2*PI()*'THAM_SO_MOI'!$C$26)</f>
        <v>2213.4354210526308</v>
      </c>
      <c r="F881" s="75">
        <f>'THAM_SO_MOI'!$C$14+('THAM_SO_MOI'!$C$37-'THAM_SO_MOI'!$C$14)*74/'THAM_SO_MOI'!$C$42</f>
        <v>22.46542361111111</v>
      </c>
      <c r="G881" s="75">
        <f>3.6*F881</f>
        <v>80.875525</v>
      </c>
      <c r="H881" s="75">
        <f>'THAM_SO_MOI'!$D$53</f>
        <v>1.1</v>
      </c>
      <c r="I881" s="75">
        <f>IF(F881&gt;='THAM_SO_MOI'!$C$14,'THAM_SO_MOI'!$C$13*(1+F881^2/1500),'THAM_SO_MOI'!$C$13)</f>
        <v>0.020046952580266682</v>
      </c>
      <c r="J881" s="75">
        <f>'THAM_SO_MOI'!$C$40*('THAM_SO_MOI'!$C$23*(E881/'THAM_SO_MOI'!$C$22)+'THAM_SO_MOI'!$C$24*(E881/'THAM_SO_MOI'!$C$22)^2-'THAM_SO_MOI'!$C$25*(E881/'THAM_SO_MOI'!$C$22)^3)</f>
        <v>99.65648584429977</v>
      </c>
      <c r="K881" s="75">
        <f>'THAM_SO_MOI'!$C$31*J881/E881</f>
        <v>430.0233433889491</v>
      </c>
      <c r="L881" s="75">
        <f>K881*'THAM_SO_MOI'!$C$53*'THAM_SO_MOI'!$C$17/'THAM_SO_MOI'!$C$26</f>
        <v>3771.306404188905</v>
      </c>
      <c r="M881" s="75">
        <f>'THAM_SO_MOI'!$C$15*'THAM_SO_MOI'!$C$16*F881^2</f>
        <v>1476.2336297280056</v>
      </c>
      <c r="N881" s="75">
        <f>'THAM_SO_MOI'!$C$12*I881</f>
        <v>1510.353444959356</v>
      </c>
      <c r="O881" s="75">
        <f>M881+N881</f>
        <v>2986.5870746873616</v>
      </c>
      <c r="P881" s="75">
        <f>(MIN(L881,'THAM_SO_MOI'!$C$41)-O881)/('THAM_SO_MOI'!$C$11*H881)</f>
        <v>0.09288817820804254</v>
      </c>
      <c r="Q881" s="75">
        <f>IF(P881&gt;0,1/P881,NA())</f>
        <v>10.76563260569381</v>
      </c>
      <c r="R881" s="75">
        <f>F881-F880</f>
        <v>0.0035868055555532408</v>
      </c>
      <c r="S881" s="75">
        <f>0.5*(Q880+Q881)*R881</f>
        <v>0.03859931355958905</v>
      </c>
      <c r="T881" s="75">
        <f>0.5*(F880*Q880+F881*Q881)*R881</f>
        <v>0.8670807328508056</v>
      </c>
      <c r="U881" s="76">
        <f>U880+S881</f>
        <v>75.25446054418441</v>
      </c>
      <c r="V881" s="76">
        <f>V880+T881</f>
        <v>1187.2300025349264</v>
      </c>
    </row>
    <row r="882" spans="1:22" ht="19" customHeight="1">
      <c r="A882" s="68" t="s">
        <v>362</v>
      </c>
      <c r="B882" s="74">
        <v>5</v>
      </c>
      <c r="C882" s="68" t="s">
        <v>363</v>
      </c>
      <c r="D882" s="68" t="s">
        <v>365</v>
      </c>
      <c r="E882" s="75">
        <f>60*F882*'THAM_SO_MOI'!$C$53/(2*PI()*'THAM_SO_MOI'!$C$26)</f>
        <v>2213.788815789473</v>
      </c>
      <c r="F882" s="75">
        <f>'THAM_SO_MOI'!$C$14+('THAM_SO_MOI'!$C$37-'THAM_SO_MOI'!$C$14)*75/'THAM_SO_MOI'!$C$42</f>
        <v>22.469010416666666</v>
      </c>
      <c r="G882" s="75">
        <f>3.6*F882</f>
        <v>80.8884375</v>
      </c>
      <c r="H882" s="75">
        <f>'THAM_SO_MOI'!$D$53</f>
        <v>1.1</v>
      </c>
      <c r="I882" s="75">
        <f>IF(F882&gt;='THAM_SO_MOI'!$C$14,'THAM_SO_MOI'!$C$13*(1+F882^2/1500),'THAM_SO_MOI'!$C$13)</f>
        <v>0.02004856429104275</v>
      </c>
      <c r="J882" s="75">
        <f>'THAM_SO_MOI'!$C$40*('THAM_SO_MOI'!$C$23*(E882/'THAM_SO_MOI'!$C$22)+'THAM_SO_MOI'!$C$24*(E882/'THAM_SO_MOI'!$C$22)^2-'THAM_SO_MOI'!$C$25*(E882/'THAM_SO_MOI'!$C$22)^3)</f>
        <v>99.67202383560843</v>
      </c>
      <c r="K882" s="75">
        <f>'THAM_SO_MOI'!$C$31*J882/E882</f>
        <v>430.021733884606</v>
      </c>
      <c r="L882" s="75">
        <f>K882*'THAM_SO_MOI'!$C$53*'THAM_SO_MOI'!$C$17/'THAM_SO_MOI'!$C$26</f>
        <v>3771.2922888295184</v>
      </c>
      <c r="M882" s="75">
        <f>'THAM_SO_MOI'!$C$15*'THAM_SO_MOI'!$C$16*F882^2</f>
        <v>1476.7050551300051</v>
      </c>
      <c r="N882" s="75">
        <f>'THAM_SO_MOI'!$C$12*I882</f>
        <v>1510.4748725385937</v>
      </c>
      <c r="O882" s="75">
        <f>M882+N882</f>
        <v>2987.179927668599</v>
      </c>
      <c r="P882" s="75">
        <f>(MIN(L882,'THAM_SO_MOI'!$C$41)-O882)/('THAM_SO_MOI'!$C$11*H882)</f>
        <v>0.09281633062984374</v>
      </c>
      <c r="Q882" s="75">
        <f>IF(P882&gt;0,1/P882,NA())</f>
        <v>10.773966102883888</v>
      </c>
      <c r="R882" s="75">
        <f>F882-F881</f>
        <v>0.0035868055555567935</v>
      </c>
      <c r="S882" s="75">
        <f>0.5*(Q881+Q882)*R882</f>
        <v>0.03862917615619521</v>
      </c>
      <c r="T882" s="75">
        <f>0.5*(F881*Q881+F882*Q882)*R882</f>
        <v>0.867890110571953</v>
      </c>
      <c r="U882" s="76">
        <f>U881+S882</f>
        <v>75.2930897203406</v>
      </c>
      <c r="V882" s="76">
        <f>V881+T882</f>
        <v>1188.0978926454984</v>
      </c>
    </row>
    <row r="883" spans="1:22" ht="19" customHeight="1">
      <c r="A883" s="68" t="s">
        <v>362</v>
      </c>
      <c r="B883" s="74">
        <v>5</v>
      </c>
      <c r="C883" s="68" t="s">
        <v>363</v>
      </c>
      <c r="D883" s="68" t="s">
        <v>365</v>
      </c>
      <c r="E883" s="75">
        <f>60*F883*'THAM_SO_MOI'!$C$53/(2*PI()*'THAM_SO_MOI'!$C$26)</f>
        <v>2214.1422105263146</v>
      </c>
      <c r="F883" s="75">
        <f>'THAM_SO_MOI'!$C$14+('THAM_SO_MOI'!$C$37-'THAM_SO_MOI'!$C$14)*76/'THAM_SO_MOI'!$C$42</f>
        <v>22.47259722222222</v>
      </c>
      <c r="G883" s="75">
        <f>3.6*F883</f>
        <v>80.90135</v>
      </c>
      <c r="H883" s="75">
        <f>'THAM_SO_MOI'!$D$53</f>
        <v>1.1</v>
      </c>
      <c r="I883" s="75">
        <f>IF(F883&gt;='THAM_SO_MOI'!$C$14,'THAM_SO_MOI'!$C$13*(1+F883^2/1500),'THAM_SO_MOI'!$C$13)</f>
        <v>0.020050176259122296</v>
      </c>
      <c r="J883" s="75">
        <f>'THAM_SO_MOI'!$C$40*('THAM_SO_MOI'!$C$23*(E883/'THAM_SO_MOI'!$C$22)+'THAM_SO_MOI'!$C$24*(E883/'THAM_SO_MOI'!$C$22)^2-'THAM_SO_MOI'!$C$25*(E883/'THAM_SO_MOI'!$C$22)^3)</f>
        <v>99.68755889907644</v>
      </c>
      <c r="K883" s="75">
        <f>'THAM_SO_MOI'!$C$31*J883/E883</f>
        <v>430.02011226427834</v>
      </c>
      <c r="L883" s="75">
        <f>K883*'THAM_SO_MOI'!$C$53*'THAM_SO_MOI'!$C$17/'THAM_SO_MOI'!$C$26</f>
        <v>3771.2780672128993</v>
      </c>
      <c r="M883" s="75">
        <f>'THAM_SO_MOI'!$C$15*'THAM_SO_MOI'!$C$16*F883^2</f>
        <v>1477.1765557932724</v>
      </c>
      <c r="N883" s="75">
        <f>'THAM_SO_MOI'!$C$12*I883</f>
        <v>1510.5963195032812</v>
      </c>
      <c r="O883" s="75">
        <f>M883+N883</f>
        <v>2987.7728752965536</v>
      </c>
      <c r="P883" s="75">
        <f>(MIN(L883,'THAM_SO_MOI'!$C$41)-O883)/('THAM_SO_MOI'!$C$11*H883)</f>
        <v>0.09274445927040079</v>
      </c>
      <c r="Q883" s="75">
        <f>IF(P883&gt;0,1/P883,NA())</f>
        <v>10.78231527647871</v>
      </c>
      <c r="R883" s="75">
        <f>F883-F882</f>
        <v>0.0035868055555532408</v>
      </c>
      <c r="S883" s="75">
        <f>0.5*(Q882+Q883)*R883</f>
        <v>0.03865909490428332</v>
      </c>
      <c r="T883" s="75">
        <f>0.5*(F882*Q882+F883*Q883)*R883</f>
        <v>0.8687009642848278</v>
      </c>
      <c r="U883" s="76">
        <f>U882+S883</f>
        <v>75.3317488152449</v>
      </c>
      <c r="V883" s="76">
        <f>V882+T883</f>
        <v>1188.9665936097833</v>
      </c>
    </row>
    <row r="884" spans="1:22" ht="19" customHeight="1">
      <c r="A884" s="68" t="s">
        <v>362</v>
      </c>
      <c r="B884" s="74">
        <v>5</v>
      </c>
      <c r="C884" s="68" t="s">
        <v>363</v>
      </c>
      <c r="D884" s="68" t="s">
        <v>365</v>
      </c>
      <c r="E884" s="75">
        <f>60*F884*'THAM_SO_MOI'!$C$53/(2*PI()*'THAM_SO_MOI'!$C$26)</f>
        <v>2214.4956052631574</v>
      </c>
      <c r="F884" s="75">
        <f>'THAM_SO_MOI'!$C$14+('THAM_SO_MOI'!$C$37-'THAM_SO_MOI'!$C$14)*77/'THAM_SO_MOI'!$C$42</f>
        <v>22.476184027777776</v>
      </c>
      <c r="G884" s="75">
        <f>3.6*F884</f>
        <v>80.91426249999999</v>
      </c>
      <c r="H884" s="75">
        <f>'THAM_SO_MOI'!$D$53</f>
        <v>1.1</v>
      </c>
      <c r="I884" s="75">
        <f>IF(F884&gt;='THAM_SO_MOI'!$C$14,'THAM_SO_MOI'!$C$13*(1+F884^2/1500),'THAM_SO_MOI'!$C$13)</f>
        <v>0.020051788484505326</v>
      </c>
      <c r="J884" s="75">
        <f>'THAM_SO_MOI'!$C$40*('THAM_SO_MOI'!$C$23*(E884/'THAM_SO_MOI'!$C$22)+'THAM_SO_MOI'!$C$24*(E884/'THAM_SO_MOI'!$C$22)^2-'THAM_SO_MOI'!$C$25*(E884/'THAM_SO_MOI'!$C$22)^3)</f>
        <v>99.70309103335907</v>
      </c>
      <c r="K884" s="75">
        <f>'THAM_SO_MOI'!$C$31*J884/E884</f>
        <v>430.0184785279663</v>
      </c>
      <c r="L884" s="75">
        <f>K884*'THAM_SO_MOI'!$C$53*'THAM_SO_MOI'!$C$17/'THAM_SO_MOI'!$C$26</f>
        <v>3771.26373933905</v>
      </c>
      <c r="M884" s="75">
        <f>'THAM_SO_MOI'!$C$15*'THAM_SO_MOI'!$C$16*F884^2</f>
        <v>1477.6481317178086</v>
      </c>
      <c r="N884" s="75">
        <f>'THAM_SO_MOI'!$C$12*I884</f>
        <v>1510.717785853419</v>
      </c>
      <c r="O884" s="75">
        <f>M884+N884</f>
        <v>2988.3659175712273</v>
      </c>
      <c r="P884" s="75">
        <f>(MIN(L884,'THAM_SO_MOI'!$C$41)-O884)/('THAM_SO_MOI'!$C$11*H884)</f>
        <v>0.09267256412971384</v>
      </c>
      <c r="Q884" s="75">
        <f>IF(P884&gt;0,1/P884,NA())</f>
        <v>10.790680169378927</v>
      </c>
      <c r="R884" s="75">
        <f>F884-F883</f>
        <v>0.0035868055555567935</v>
      </c>
      <c r="S884" s="75">
        <f>0.5*(Q883+Q884)*R884</f>
        <v>0.03868906995760179</v>
      </c>
      <c r="T884" s="75">
        <f>0.5*(F883*Q883+F884*Q884)*R884</f>
        <v>0.8695132980490455</v>
      </c>
      <c r="U884" s="76">
        <f>U883+S884</f>
        <v>75.37043788520249</v>
      </c>
      <c r="V884" s="76">
        <f>V883+T884</f>
        <v>1189.8361069078323</v>
      </c>
    </row>
    <row r="885" spans="1:22" ht="19" customHeight="1">
      <c r="A885" s="68" t="s">
        <v>362</v>
      </c>
      <c r="B885" s="74">
        <v>5</v>
      </c>
      <c r="C885" s="68" t="s">
        <v>363</v>
      </c>
      <c r="D885" s="68" t="s">
        <v>365</v>
      </c>
      <c r="E885" s="75">
        <f>60*F885*'THAM_SO_MOI'!$C$53/(2*PI()*'THAM_SO_MOI'!$C$26)</f>
        <v>2214.8489999999997</v>
      </c>
      <c r="F885" s="75">
        <f>'THAM_SO_MOI'!$C$14+('THAM_SO_MOI'!$C$37-'THAM_SO_MOI'!$C$14)*78/'THAM_SO_MOI'!$C$42</f>
        <v>22.479770833333333</v>
      </c>
      <c r="G885" s="75">
        <f>3.6*F885</f>
        <v>80.927175</v>
      </c>
      <c r="H885" s="75">
        <f>'THAM_SO_MOI'!$D$53</f>
        <v>1.1</v>
      </c>
      <c r="I885" s="75">
        <f>IF(F885&gt;='THAM_SO_MOI'!$C$14,'THAM_SO_MOI'!$C$13*(1+F885^2/1500),'THAM_SO_MOI'!$C$13)</f>
        <v>0.02005340096719184</v>
      </c>
      <c r="J885" s="75">
        <f>'THAM_SO_MOI'!$C$40*('THAM_SO_MOI'!$C$23*(E885/'THAM_SO_MOI'!$C$22)+'THAM_SO_MOI'!$C$24*(E885/'THAM_SO_MOI'!$C$22)^2-'THAM_SO_MOI'!$C$25*(E885/'THAM_SO_MOI'!$C$22)^3)</f>
        <v>99.71862023711132</v>
      </c>
      <c r="K885" s="75">
        <f>'THAM_SO_MOI'!$C$31*J885/E885</f>
        <v>430.0168326756697</v>
      </c>
      <c r="L885" s="75">
        <f>K885*'THAM_SO_MOI'!$C$53*'THAM_SO_MOI'!$C$17/'THAM_SO_MOI'!$C$26</f>
        <v>3771.249305207969</v>
      </c>
      <c r="M885" s="75">
        <f>'THAM_SO_MOI'!$C$15*'THAM_SO_MOI'!$C$16*F885^2</f>
        <v>1478.1197829036132</v>
      </c>
      <c r="N885" s="75">
        <f>'THAM_SO_MOI'!$C$12*I885</f>
        <v>1510.839271589007</v>
      </c>
      <c r="O885" s="75">
        <f>M885+N885</f>
        <v>2988.9590544926205</v>
      </c>
      <c r="P885" s="75">
        <f>(MIN(L885,'THAM_SO_MOI'!$C$41)-O885)/('THAM_SO_MOI'!$C$11*H885)</f>
        <v>0.09260064520778276</v>
      </c>
      <c r="Q885" s="75">
        <f>IF(P885&gt;0,1/P885,NA())</f>
        <v>10.79906082464265</v>
      </c>
      <c r="R885" s="75">
        <f>F885-F884</f>
        <v>0.0035868055555567935</v>
      </c>
      <c r="S885" s="75">
        <f>0.5*(Q884+Q885)*R885</f>
        <v>0.03871910147019442</v>
      </c>
      <c r="T885" s="75">
        <f>0.5*(F884*Q884+F885*Q885)*R885</f>
        <v>0.8703271159330679</v>
      </c>
      <c r="U885" s="76">
        <f>U884+S885</f>
        <v>75.40915698667268</v>
      </c>
      <c r="V885" s="76">
        <f>V884+T885</f>
        <v>1190.7064340237655</v>
      </c>
    </row>
    <row r="886" spans="1:22" ht="19" customHeight="1">
      <c r="A886" s="68" t="s">
        <v>362</v>
      </c>
      <c r="B886" s="74">
        <v>5</v>
      </c>
      <c r="C886" s="68" t="s">
        <v>363</v>
      </c>
      <c r="D886" s="68" t="s">
        <v>365</v>
      </c>
      <c r="E886" s="75">
        <f>60*F886*'THAM_SO_MOI'!$C$53/(2*PI()*'THAM_SO_MOI'!$C$26)</f>
        <v>2215.2023947368416</v>
      </c>
      <c r="F886" s="75">
        <f>'THAM_SO_MOI'!$C$14+('THAM_SO_MOI'!$C$37-'THAM_SO_MOI'!$C$14)*79/'THAM_SO_MOI'!$C$42</f>
        <v>22.483357638888886</v>
      </c>
      <c r="G886" s="75">
        <f>3.6*F886</f>
        <v>80.94008749999999</v>
      </c>
      <c r="H886" s="75">
        <f>'THAM_SO_MOI'!$D$53</f>
        <v>1.1</v>
      </c>
      <c r="I886" s="75">
        <f>IF(F886&gt;='THAM_SO_MOI'!$C$14,'THAM_SO_MOI'!$C$13*(1+F886^2/1500),'THAM_SO_MOI'!$C$13)</f>
        <v>0.02005501370718183</v>
      </c>
      <c r="J886" s="75">
        <f>'THAM_SO_MOI'!$C$40*('THAM_SO_MOI'!$C$23*(E886/'THAM_SO_MOI'!$C$22)+'THAM_SO_MOI'!$C$24*(E886/'THAM_SO_MOI'!$C$22)^2-'THAM_SO_MOI'!$C$25*(E886/'THAM_SO_MOI'!$C$22)^3)</f>
        <v>99.73414650898832</v>
      </c>
      <c r="K886" s="75">
        <f>'THAM_SO_MOI'!$C$31*J886/E886</f>
        <v>430.0151747073887</v>
      </c>
      <c r="L886" s="75">
        <f>K886*'THAM_SO_MOI'!$C$53*'THAM_SO_MOI'!$C$17/'THAM_SO_MOI'!$C$26</f>
        <v>3771.234764819657</v>
      </c>
      <c r="M886" s="75">
        <f>'THAM_SO_MOI'!$C$15*'THAM_SO_MOI'!$C$16*F886^2</f>
        <v>1478.591509350686</v>
      </c>
      <c r="N886" s="75">
        <f>'THAM_SO_MOI'!$C$12*I886</f>
        <v>1510.960776710045</v>
      </c>
      <c r="O886" s="75">
        <f>M886+N886</f>
        <v>2989.5522860607307</v>
      </c>
      <c r="P886" s="75">
        <f>(MIN(L886,'THAM_SO_MOI'!$C$41)-O886)/('THAM_SO_MOI'!$C$11*H886)</f>
        <v>0.09252870250460772</v>
      </c>
      <c r="Q886" s="75">
        <f>IF(P886&gt;0,1/P886,NA())</f>
        <v>10.807457285486114</v>
      </c>
      <c r="R886" s="75">
        <f>F886-F885</f>
        <v>0.0035868055555532408</v>
      </c>
      <c r="S886" s="75">
        <f>0.5*(Q885+Q886)*R886</f>
        <v>0.03874918959678578</v>
      </c>
      <c r="T886" s="75">
        <f>0.5*(F885*Q885+F886*Q886)*R886</f>
        <v>0.8711424220228705</v>
      </c>
      <c r="U886" s="76">
        <f>U885+S886</f>
        <v>75.44790617626947</v>
      </c>
      <c r="V886" s="76">
        <f>V885+T886</f>
        <v>1191.5775764457883</v>
      </c>
    </row>
    <row r="887" spans="1:22" ht="19" customHeight="1">
      <c r="A887" s="68" t="s">
        <v>362</v>
      </c>
      <c r="B887" s="74">
        <v>5</v>
      </c>
      <c r="C887" s="68" t="s">
        <v>363</v>
      </c>
      <c r="D887" s="68" t="s">
        <v>365</v>
      </c>
      <c r="E887" s="75">
        <f>60*F887*'THAM_SO_MOI'!$C$53/(2*PI()*'THAM_SO_MOI'!$C$26)</f>
        <v>2215.555789473684</v>
      </c>
      <c r="F887" s="75">
        <f>'THAM_SO_MOI'!$C$14+('THAM_SO_MOI'!$C$37-'THAM_SO_MOI'!$C$14)*80/'THAM_SO_MOI'!$C$42</f>
        <v>22.486944444444443</v>
      </c>
      <c r="G887" s="75">
        <f>3.6*F887</f>
        <v>80.953</v>
      </c>
      <c r="H887" s="75">
        <f>'THAM_SO_MOI'!$D$53</f>
        <v>1.1</v>
      </c>
      <c r="I887" s="75">
        <f>IF(F887&gt;='THAM_SO_MOI'!$C$14,'THAM_SO_MOI'!$C$13*(1+F887^2/1500),'THAM_SO_MOI'!$C$13)</f>
        <v>0.020056626704475305</v>
      </c>
      <c r="J887" s="75">
        <f>'THAM_SO_MOI'!$C$40*('THAM_SO_MOI'!$C$23*(E887/'THAM_SO_MOI'!$C$22)+'THAM_SO_MOI'!$C$24*(E887/'THAM_SO_MOI'!$C$22)^2-'THAM_SO_MOI'!$C$25*(E887/'THAM_SO_MOI'!$C$22)^3)</f>
        <v>99.74966984764517</v>
      </c>
      <c r="K887" s="75">
        <f>'THAM_SO_MOI'!$C$31*J887/E887</f>
        <v>430.01350462312314</v>
      </c>
      <c r="L887" s="75">
        <f>K887*'THAM_SO_MOI'!$C$53*'THAM_SO_MOI'!$C$17/'THAM_SO_MOI'!$C$26</f>
        <v>3771.220118174113</v>
      </c>
      <c r="M887" s="75">
        <f>'THAM_SO_MOI'!$C$15*'THAM_SO_MOI'!$C$16*F887^2</f>
        <v>1479.063311059028</v>
      </c>
      <c r="N887" s="75">
        <f>'THAM_SO_MOI'!$C$12*I887</f>
        <v>1511.082301216533</v>
      </c>
      <c r="O887" s="75">
        <f>M887+N887</f>
        <v>2990.145612275561</v>
      </c>
      <c r="P887" s="75">
        <f>(MIN(L887,'THAM_SO_MOI'!$C$41)-O887)/('THAM_SO_MOI'!$C$11*H887)</f>
        <v>0.09245673602018845</v>
      </c>
      <c r="Q887" s="75">
        <f>IF(P887&gt;0,1/P887,NA())</f>
        <v>10.815869595284484</v>
      </c>
      <c r="R887" s="75">
        <f>F887-F886</f>
        <v>0.0035868055555567935</v>
      </c>
      <c r="S887" s="75">
        <f>0.5*(Q886+Q887)*R887</f>
        <v>0.03877933449278426</v>
      </c>
      <c r="T887" s="75">
        <f>0.5*(F886*Q886+F887*Q887)*R887</f>
        <v>0.8719592204220257</v>
      </c>
      <c r="U887" s="76">
        <f>U886+S887</f>
        <v>75.48668551076226</v>
      </c>
      <c r="V887" s="76">
        <f>V886+T887</f>
        <v>1192.4495356662103</v>
      </c>
    </row>
    <row r="888" spans="1:22" ht="19" customHeight="1">
      <c r="A888" s="68" t="s">
        <v>362</v>
      </c>
      <c r="B888" s="74">
        <v>5</v>
      </c>
      <c r="C888" s="68" t="s">
        <v>363</v>
      </c>
      <c r="D888" s="68" t="s">
        <v>365</v>
      </c>
      <c r="E888" s="75">
        <f>60*F888*'THAM_SO_MOI'!$C$53/(2*PI()*'THAM_SO_MOI'!$C$26)</f>
        <v>2215.909184210526</v>
      </c>
      <c r="F888" s="75">
        <f>'THAM_SO_MOI'!$C$14+('THAM_SO_MOI'!$C$37-'THAM_SO_MOI'!$C$14)*81/'THAM_SO_MOI'!$C$42</f>
        <v>22.49053125</v>
      </c>
      <c r="G888" s="75">
        <f>3.6*F888</f>
        <v>80.9659125</v>
      </c>
      <c r="H888" s="75">
        <f>'THAM_SO_MOI'!$D$53</f>
        <v>1.1</v>
      </c>
      <c r="I888" s="75">
        <f>IF(F888&gt;='THAM_SO_MOI'!$C$14,'THAM_SO_MOI'!$C$13*(1+F888^2/1500),'THAM_SO_MOI'!$C$13)</f>
        <v>0.020058239959072265</v>
      </c>
      <c r="J888" s="75">
        <f>'THAM_SO_MOI'!$C$40*('THAM_SO_MOI'!$C$23*(E888/'THAM_SO_MOI'!$C$22)+'THAM_SO_MOI'!$C$24*(E888/'THAM_SO_MOI'!$C$22)^2-'THAM_SO_MOI'!$C$25*(E888/'THAM_SO_MOI'!$C$22)^3)</f>
        <v>99.76519025173701</v>
      </c>
      <c r="K888" s="75">
        <f>'THAM_SO_MOI'!$C$31*J888/E888</f>
        <v>430.01182242287325</v>
      </c>
      <c r="L888" s="75">
        <f>K888*'THAM_SO_MOI'!$C$53*'THAM_SO_MOI'!$C$17/'THAM_SO_MOI'!$C$26</f>
        <v>3771.2053652713394</v>
      </c>
      <c r="M888" s="75">
        <f>'THAM_SO_MOI'!$C$15*'THAM_SO_MOI'!$C$16*F888^2</f>
        <v>1479.5351880286378</v>
      </c>
      <c r="N888" s="75">
        <f>'THAM_SO_MOI'!$C$12*I888</f>
        <v>1511.2038451084718</v>
      </c>
      <c r="O888" s="75">
        <f>M888+N888</f>
        <v>2990.73903313711</v>
      </c>
      <c r="P888" s="75">
        <f>(MIN(L888,'THAM_SO_MOI'!$C$41)-O888)/('THAM_SO_MOI'!$C$11*H888)</f>
        <v>0.09238474575452528</v>
      </c>
      <c r="Q888" s="75">
        <f>IF(P888&gt;0,1/P888,NA())</f>
        <v>10.824297797572463</v>
      </c>
      <c r="R888" s="75">
        <f>F888-F887</f>
        <v>0.0035868055555567935</v>
      </c>
      <c r="S888" s="75">
        <f>0.5*(Q887+Q888)*R888</f>
        <v>0.03880953631393913</v>
      </c>
      <c r="T888" s="75">
        <f>0.5*(F887*Q887+F888*Q888)*R888</f>
        <v>0.8727775152440007</v>
      </c>
      <c r="U888" s="76">
        <f>U887+S888</f>
        <v>75.52549504707619</v>
      </c>
      <c r="V888" s="76">
        <f>V887+T888</f>
        <v>1193.3223131814543</v>
      </c>
    </row>
    <row r="889" spans="1:22" ht="19" customHeight="1">
      <c r="A889" s="68" t="s">
        <v>362</v>
      </c>
      <c r="B889" s="74">
        <v>5</v>
      </c>
      <c r="C889" s="68" t="s">
        <v>363</v>
      </c>
      <c r="D889" s="68" t="s">
        <v>365</v>
      </c>
      <c r="E889" s="75">
        <f>60*F889*'THAM_SO_MOI'!$C$53/(2*PI()*'THAM_SO_MOI'!$C$26)</f>
        <v>2216.2625789473677</v>
      </c>
      <c r="F889" s="75">
        <f>'THAM_SO_MOI'!$C$14+('THAM_SO_MOI'!$C$37-'THAM_SO_MOI'!$C$14)*82/'THAM_SO_MOI'!$C$42</f>
        <v>22.494118055555553</v>
      </c>
      <c r="G889" s="75">
        <f>3.6*F889</f>
        <v>80.978825</v>
      </c>
      <c r="H889" s="75">
        <f>'THAM_SO_MOI'!$D$53</f>
        <v>1.1</v>
      </c>
      <c r="I889" s="75">
        <f>IF(F889&gt;='THAM_SO_MOI'!$C$14,'THAM_SO_MOI'!$C$13*(1+F889^2/1500),'THAM_SO_MOI'!$C$13)</f>
        <v>0.020059853470972704</v>
      </c>
      <c r="J889" s="75">
        <f>'THAM_SO_MOI'!$C$40*('THAM_SO_MOI'!$C$23*(E889/'THAM_SO_MOI'!$C$22)+'THAM_SO_MOI'!$C$24*(E889/'THAM_SO_MOI'!$C$22)^2-'THAM_SO_MOI'!$C$25*(E889/'THAM_SO_MOI'!$C$22)^3)</f>
        <v>99.78070771991894</v>
      </c>
      <c r="K889" s="75">
        <f>'THAM_SO_MOI'!$C$31*J889/E889</f>
        <v>430.0101281066389</v>
      </c>
      <c r="L889" s="75">
        <f>K889*'THAM_SO_MOI'!$C$53*'THAM_SO_MOI'!$C$17/'THAM_SO_MOI'!$C$26</f>
        <v>3771.190506111334</v>
      </c>
      <c r="M889" s="75">
        <f>'THAM_SO_MOI'!$C$15*'THAM_SO_MOI'!$C$16*F889^2</f>
        <v>1480.007140259516</v>
      </c>
      <c r="N889" s="75">
        <f>'THAM_SO_MOI'!$C$12*I889</f>
        <v>1511.3254083858603</v>
      </c>
      <c r="O889" s="75">
        <f>M889+N889</f>
        <v>2991.3325486453764</v>
      </c>
      <c r="P889" s="75">
        <f>(MIN(L889,'THAM_SO_MOI'!$C$41)-O889)/('THAM_SO_MOI'!$C$11*H889)</f>
        <v>0.0923127317076181</v>
      </c>
      <c r="Q889" s="75">
        <f>IF(P889&gt;0,1/P889,NA())</f>
        <v>10.832741936045156</v>
      </c>
      <c r="R889" s="75">
        <f>F889-F888</f>
        <v>0.0035868055555532408</v>
      </c>
      <c r="S889" s="75">
        <f>0.5*(Q888+Q889)*R889</f>
        <v>0.038839795216688476</v>
      </c>
      <c r="T889" s="75">
        <f>0.5*(F888*Q888+F889*Q889)*R889</f>
        <v>0.8735973106199905</v>
      </c>
      <c r="U889" s="76">
        <f>U888+S889</f>
        <v>75.56433484229288</v>
      </c>
      <c r="V889" s="76">
        <f>V888+T889</f>
        <v>1194.1959104920743</v>
      </c>
    </row>
    <row r="890" spans="1:22" ht="19" customHeight="1">
      <c r="A890" s="68" t="s">
        <v>362</v>
      </c>
      <c r="B890" s="74">
        <v>5</v>
      </c>
      <c r="C890" s="68" t="s">
        <v>363</v>
      </c>
      <c r="D890" s="68" t="s">
        <v>365</v>
      </c>
      <c r="E890" s="75">
        <f>60*F890*'THAM_SO_MOI'!$C$53/(2*PI()*'THAM_SO_MOI'!$C$26)</f>
        <v>2216.61597368421</v>
      </c>
      <c r="F890" s="75">
        <f>'THAM_SO_MOI'!$C$14+('THAM_SO_MOI'!$C$37-'THAM_SO_MOI'!$C$14)*83/'THAM_SO_MOI'!$C$42</f>
        <v>22.49770486111111</v>
      </c>
      <c r="G890" s="75">
        <f>3.6*F890</f>
        <v>80.9917375</v>
      </c>
      <c r="H890" s="75">
        <f>'THAM_SO_MOI'!$D$53</f>
        <v>1.1</v>
      </c>
      <c r="I890" s="75">
        <f>IF(F890&gt;='THAM_SO_MOI'!$C$14,'THAM_SO_MOI'!$C$13*(1+F890^2/1500),'THAM_SO_MOI'!$C$13)</f>
        <v>0.020061467240176625</v>
      </c>
      <c r="J890" s="75">
        <f>'THAM_SO_MOI'!$C$40*('THAM_SO_MOI'!$C$23*(E890/'THAM_SO_MOI'!$C$22)+'THAM_SO_MOI'!$C$24*(E890/'THAM_SO_MOI'!$C$22)^2-'THAM_SO_MOI'!$C$25*(E890/'THAM_SO_MOI'!$C$22)^3)</f>
        <v>99.79622225084607</v>
      </c>
      <c r="K890" s="75">
        <f>'THAM_SO_MOI'!$C$31*J890/E890</f>
        <v>430.00842167442</v>
      </c>
      <c r="L890" s="75">
        <f>K890*'THAM_SO_MOI'!$C$53*'THAM_SO_MOI'!$C$17/'THAM_SO_MOI'!$C$26</f>
        <v>3771.1755406940965</v>
      </c>
      <c r="M890" s="75">
        <f>'THAM_SO_MOI'!$C$15*'THAM_SO_MOI'!$C$16*F890^2</f>
        <v>1480.4791677516628</v>
      </c>
      <c r="N890" s="75">
        <f>'THAM_SO_MOI'!$C$12*I890</f>
        <v>1511.4469910486991</v>
      </c>
      <c r="O890" s="75">
        <f>M890+N890</f>
        <v>2991.926158800362</v>
      </c>
      <c r="P890" s="75">
        <f>(MIN(L890,'THAM_SO_MOI'!$C$41)-O890)/('THAM_SO_MOI'!$C$11*H890)</f>
        <v>0.09224069387946669</v>
      </c>
      <c r="Q890" s="75">
        <f>IF(P890&gt;0,1/P890,NA())</f>
        <v>10.84120205455876</v>
      </c>
      <c r="R890" s="75">
        <f>F890-F889</f>
        <v>0.0035868055555567935</v>
      </c>
      <c r="S890" s="75">
        <f>0.5*(Q889+Q890)*R890</f>
        <v>0.03887011135816245</v>
      </c>
      <c r="T890" s="75">
        <f>0.5*(F889*Q889+F890*Q890)*R890</f>
        <v>0.8744186106990038</v>
      </c>
      <c r="U890" s="76">
        <f>U889+S890</f>
        <v>75.60320495365104</v>
      </c>
      <c r="V890" s="76">
        <f>V889+T890</f>
        <v>1195.0703291027733</v>
      </c>
    </row>
    <row r="891" spans="1:22" ht="19" customHeight="1">
      <c r="A891" s="68" t="s">
        <v>362</v>
      </c>
      <c r="B891" s="74">
        <v>5</v>
      </c>
      <c r="C891" s="68" t="s">
        <v>363</v>
      </c>
      <c r="D891" s="68" t="s">
        <v>365</v>
      </c>
      <c r="E891" s="75">
        <f>60*F891*'THAM_SO_MOI'!$C$53/(2*PI()*'THAM_SO_MOI'!$C$26)</f>
        <v>2216.9693684210524</v>
      </c>
      <c r="F891" s="75">
        <f>'THAM_SO_MOI'!$C$14+('THAM_SO_MOI'!$C$37-'THAM_SO_MOI'!$C$14)*84/'THAM_SO_MOI'!$C$42</f>
        <v>22.501291666666667</v>
      </c>
      <c r="G891" s="75">
        <f>3.6*F891</f>
        <v>81.00465</v>
      </c>
      <c r="H891" s="75">
        <f>'THAM_SO_MOI'!$D$53</f>
        <v>1.1</v>
      </c>
      <c r="I891" s="75">
        <f>IF(F891&gt;='THAM_SO_MOI'!$C$14,'THAM_SO_MOI'!$C$13*(1+F891^2/1500),'THAM_SO_MOI'!$C$13)</f>
        <v>0.020063081266684026</v>
      </c>
      <c r="J891" s="75">
        <f>'THAM_SO_MOI'!$C$40*('THAM_SO_MOI'!$C$23*(E891/'THAM_SO_MOI'!$C$22)+'THAM_SO_MOI'!$C$24*(E891/'THAM_SO_MOI'!$C$22)^2-'THAM_SO_MOI'!$C$25*(E891/'THAM_SO_MOI'!$C$22)^3)</f>
        <v>99.81173384317356</v>
      </c>
      <c r="K891" s="75">
        <f>'THAM_SO_MOI'!$C$31*J891/E891</f>
        <v>430.00670312621685</v>
      </c>
      <c r="L891" s="75">
        <f>K891*'THAM_SO_MOI'!$C$53*'THAM_SO_MOI'!$C$17/'THAM_SO_MOI'!$C$26</f>
        <v>3771.1604690196305</v>
      </c>
      <c r="M891" s="75">
        <f>'THAM_SO_MOI'!$C$15*'THAM_SO_MOI'!$C$16*F891^2</f>
        <v>1480.9512705050784</v>
      </c>
      <c r="N891" s="75">
        <f>'THAM_SO_MOI'!$C$12*I891</f>
        <v>1511.5685930969878</v>
      </c>
      <c r="O891" s="75">
        <f>M891+N891</f>
        <v>2992.519863602066</v>
      </c>
      <c r="P891" s="75">
        <f>(MIN(L891,'THAM_SO_MOI'!$C$41)-O891)/('THAM_SO_MOI'!$C$11*H891)</f>
        <v>0.09216863227007153</v>
      </c>
      <c r="Q891" s="75">
        <f>IF(P891&gt;0,1/P891,NA())</f>
        <v>10.849678197131219</v>
      </c>
      <c r="R891" s="75">
        <f>F891-F890</f>
        <v>0.0035868055555567935</v>
      </c>
      <c r="S891" s="75">
        <f>0.5*(Q890+Q891)*R891</f>
        <v>0.03890048489583938</v>
      </c>
      <c r="T891" s="75">
        <f>0.5*(F890*Q890+F891*Q891)*R891</f>
        <v>0.8752414196401365</v>
      </c>
      <c r="U891" s="76">
        <f>U890+S891</f>
        <v>75.64210543854688</v>
      </c>
      <c r="V891" s="76">
        <f>V890+T891</f>
        <v>1195.9455705224134</v>
      </c>
    </row>
    <row r="892" spans="1:22" ht="19" customHeight="1">
      <c r="A892" s="68" t="s">
        <v>362</v>
      </c>
      <c r="B892" s="74">
        <v>5</v>
      </c>
      <c r="C892" s="68" t="s">
        <v>363</v>
      </c>
      <c r="D892" s="68" t="s">
        <v>365</v>
      </c>
      <c r="E892" s="75">
        <f>60*F892*'THAM_SO_MOI'!$C$53/(2*PI()*'THAM_SO_MOI'!$C$26)</f>
        <v>2217.322763157894</v>
      </c>
      <c r="F892" s="75">
        <f>'THAM_SO_MOI'!$C$14+('THAM_SO_MOI'!$C$37-'THAM_SO_MOI'!$C$14)*85/'THAM_SO_MOI'!$C$42</f>
        <v>22.50487847222222</v>
      </c>
      <c r="G892" s="75">
        <f>3.6*F892</f>
        <v>81.0175625</v>
      </c>
      <c r="H892" s="75">
        <f>'THAM_SO_MOI'!$D$53</f>
        <v>1.1</v>
      </c>
      <c r="I892" s="75">
        <f>IF(F892&gt;='THAM_SO_MOI'!$C$14,'THAM_SO_MOI'!$C$13*(1+F892^2/1500),'THAM_SO_MOI'!$C$13)</f>
        <v>0.02006469555049491</v>
      </c>
      <c r="J892" s="75">
        <f>'THAM_SO_MOI'!$C$40*('THAM_SO_MOI'!$C$23*(E892/'THAM_SO_MOI'!$C$22)+'THAM_SO_MOI'!$C$24*(E892/'THAM_SO_MOI'!$C$22)^2-'THAM_SO_MOI'!$C$25*(E892/'THAM_SO_MOI'!$C$22)^3)</f>
        <v>99.82724249555638</v>
      </c>
      <c r="K892" s="75">
        <f>'THAM_SO_MOI'!$C$31*J892/E892</f>
        <v>430.00497246202906</v>
      </c>
      <c r="L892" s="75">
        <f>K892*'THAM_SO_MOI'!$C$53*'THAM_SO_MOI'!$C$17/'THAM_SO_MOI'!$C$26</f>
        <v>3771.145291087932</v>
      </c>
      <c r="M892" s="75">
        <f>'THAM_SO_MOI'!$C$15*'THAM_SO_MOI'!$C$16*F892^2</f>
        <v>1481.4234485197615</v>
      </c>
      <c r="N892" s="75">
        <f>'THAM_SO_MOI'!$C$12*I892</f>
        <v>1511.690214530727</v>
      </c>
      <c r="O892" s="75">
        <f>M892+N892</f>
        <v>2993.1136630504884</v>
      </c>
      <c r="P892" s="75">
        <f>(MIN(L892,'THAM_SO_MOI'!$C$41)-O892)/('THAM_SO_MOI'!$C$11*H892)</f>
        <v>0.09209654687943222</v>
      </c>
      <c r="Q892" s="75">
        <f>IF(P892&gt;0,1/P892,NA())</f>
        <v>10.85817040794315</v>
      </c>
      <c r="R892" s="75">
        <f>F892-F891</f>
        <v>0.0035868055555532408</v>
      </c>
      <c r="S892" s="75">
        <f>0.5*(Q891+Q892)*R892</f>
        <v>0.03893091598789471</v>
      </c>
      <c r="T892" s="75">
        <f>0.5*(F891*Q891+F892*Q892)*R892</f>
        <v>0.876065741620432</v>
      </c>
      <c r="U892" s="76">
        <f>U891+S892</f>
        <v>75.68103635453477</v>
      </c>
      <c r="V892" s="76">
        <f>V891+T892</f>
        <v>1196.8216362640337</v>
      </c>
    </row>
    <row r="893" spans="1:22" ht="19" customHeight="1">
      <c r="A893" s="68" t="s">
        <v>362</v>
      </c>
      <c r="B893" s="74">
        <v>5</v>
      </c>
      <c r="C893" s="68" t="s">
        <v>363</v>
      </c>
      <c r="D893" s="68" t="s">
        <v>365</v>
      </c>
      <c r="E893" s="75">
        <f>60*F893*'THAM_SO_MOI'!$C$53/(2*PI()*'THAM_SO_MOI'!$C$26)</f>
        <v>2217.676157894736</v>
      </c>
      <c r="F893" s="75">
        <f>'THAM_SO_MOI'!$C$14+('THAM_SO_MOI'!$C$37-'THAM_SO_MOI'!$C$14)*86/'THAM_SO_MOI'!$C$42</f>
        <v>22.508465277777777</v>
      </c>
      <c r="G893" s="75">
        <f>3.6*F893</f>
        <v>81.030475</v>
      </c>
      <c r="H893" s="75">
        <f>'THAM_SO_MOI'!$D$53</f>
        <v>1.1</v>
      </c>
      <c r="I893" s="75">
        <f>IF(F893&gt;='THAM_SO_MOI'!$C$14,'THAM_SO_MOI'!$C$13*(1+F893^2/1500),'THAM_SO_MOI'!$C$13)</f>
        <v>0.020066310091609276</v>
      </c>
      <c r="J893" s="75">
        <f>'THAM_SO_MOI'!$C$40*('THAM_SO_MOI'!$C$23*(E893/'THAM_SO_MOI'!$C$22)+'THAM_SO_MOI'!$C$24*(E893/'THAM_SO_MOI'!$C$22)^2-'THAM_SO_MOI'!$C$25*(E893/'THAM_SO_MOI'!$C$22)^3)</f>
        <v>99.84274820664977</v>
      </c>
      <c r="K893" s="75">
        <f>'THAM_SO_MOI'!$C$31*J893/E893</f>
        <v>430.0032296818568</v>
      </c>
      <c r="L893" s="75">
        <f>K893*'THAM_SO_MOI'!$C$53*'THAM_SO_MOI'!$C$17/'THAM_SO_MOI'!$C$26</f>
        <v>3771.1300068990013</v>
      </c>
      <c r="M893" s="75">
        <f>'THAM_SO_MOI'!$C$15*'THAM_SO_MOI'!$C$16*F893^2</f>
        <v>1481.895701795714</v>
      </c>
      <c r="N893" s="75">
        <f>'THAM_SO_MOI'!$C$12*I893</f>
        <v>1511.8118553499162</v>
      </c>
      <c r="O893" s="75">
        <f>M893+N893</f>
        <v>2993.7075571456303</v>
      </c>
      <c r="P893" s="75">
        <f>(MIN(L893,'THAM_SO_MOI'!$C$41)-O893)/('THAM_SO_MOI'!$C$11*H893)</f>
        <v>0.09202443770754865</v>
      </c>
      <c r="Q893" s="75">
        <f>IF(P893&gt;0,1/P893,NA())</f>
        <v>10.866678731338462</v>
      </c>
      <c r="R893" s="75">
        <f>F893-F892</f>
        <v>0.0035868055555567935</v>
      </c>
      <c r="S893" s="75">
        <f>0.5*(Q892+Q893)*R893</f>
        <v>0.03896140479320426</v>
      </c>
      <c r="T893" s="75">
        <f>0.5*(F892*Q892+F893*Q893)*R893</f>
        <v>0.8768915808349658</v>
      </c>
      <c r="U893" s="76">
        <f>U892+S893</f>
        <v>75.71999775932797</v>
      </c>
      <c r="V893" s="76">
        <f>V892+T893</f>
        <v>1197.6985278448687</v>
      </c>
    </row>
    <row r="894" spans="1:22" ht="19" customHeight="1">
      <c r="A894" s="68" t="s">
        <v>362</v>
      </c>
      <c r="B894" s="74">
        <v>5</v>
      </c>
      <c r="C894" s="68" t="s">
        <v>363</v>
      </c>
      <c r="D894" s="68" t="s">
        <v>365</v>
      </c>
      <c r="E894" s="75">
        <f>60*F894*'THAM_SO_MOI'!$C$53/(2*PI()*'THAM_SO_MOI'!$C$26)</f>
        <v>2218.0295526315786</v>
      </c>
      <c r="F894" s="75">
        <f>'THAM_SO_MOI'!$C$14+('THAM_SO_MOI'!$C$37-'THAM_SO_MOI'!$C$14)*87/'THAM_SO_MOI'!$C$42</f>
        <v>22.512052083333334</v>
      </c>
      <c r="G894" s="75">
        <f>3.6*F894</f>
        <v>81.04338750000001</v>
      </c>
      <c r="H894" s="75">
        <f>'THAM_SO_MOI'!$D$53</f>
        <v>1.1</v>
      </c>
      <c r="I894" s="75">
        <f>IF(F894&gt;='THAM_SO_MOI'!$C$14,'THAM_SO_MOI'!$C$13*(1+F894^2/1500),'THAM_SO_MOI'!$C$13)</f>
        <v>0.020067924890027126</v>
      </c>
      <c r="J894" s="75">
        <f>'THAM_SO_MOI'!$C$40*('THAM_SO_MOI'!$C$23*(E894/'THAM_SO_MOI'!$C$22)+'THAM_SO_MOI'!$C$24*(E894/'THAM_SO_MOI'!$C$22)^2-'THAM_SO_MOI'!$C$25*(E894/'THAM_SO_MOI'!$C$22)^3)</f>
        <v>99.85825097510882</v>
      </c>
      <c r="K894" s="75">
        <f>'THAM_SO_MOI'!$C$31*J894/E894</f>
        <v>430.00147478570017</v>
      </c>
      <c r="L894" s="75">
        <f>K894*'THAM_SO_MOI'!$C$53*'THAM_SO_MOI'!$C$17/'THAM_SO_MOI'!$C$26</f>
        <v>3771.114616452841</v>
      </c>
      <c r="M894" s="75">
        <f>'THAM_SO_MOI'!$C$15*'THAM_SO_MOI'!$C$16*F894^2</f>
        <v>1482.3680303329347</v>
      </c>
      <c r="N894" s="75">
        <f>'THAM_SO_MOI'!$C$12*I894</f>
        <v>1511.9335155545557</v>
      </c>
      <c r="O894" s="75">
        <f>M894+N894</f>
        <v>2994.3015458874906</v>
      </c>
      <c r="P894" s="75">
        <f>(MIN(L894,'THAM_SO_MOI'!$C$41)-O894)/('THAM_SO_MOI'!$C$11*H894)</f>
        <v>0.09195230475442122</v>
      </c>
      <c r="Q894" s="75">
        <f>IF(P894&gt;0,1/P894,NA())</f>
        <v>10.875203211825077</v>
      </c>
      <c r="R894" s="75">
        <f>F894-F893</f>
        <v>0.0035868055555567935</v>
      </c>
      <c r="S894" s="75">
        <f>0.5*(Q893+Q894)*R894</f>
        <v>0.03899195147099946</v>
      </c>
      <c r="T894" s="75">
        <f>0.5*(F893*Q893+F894*Q894)*R894</f>
        <v>0.8777189414890979</v>
      </c>
      <c r="U894" s="76">
        <f>U893+S894</f>
        <v>75.75898971079897</v>
      </c>
      <c r="V894" s="76">
        <f>V893+T894</f>
        <v>1198.5762467863578</v>
      </c>
    </row>
    <row r="895" spans="1:22" ht="19" customHeight="1">
      <c r="A895" s="68" t="s">
        <v>362</v>
      </c>
      <c r="B895" s="74">
        <v>5</v>
      </c>
      <c r="C895" s="68" t="s">
        <v>363</v>
      </c>
      <c r="D895" s="68" t="s">
        <v>365</v>
      </c>
      <c r="E895" s="75">
        <f>60*F895*'THAM_SO_MOI'!$C$53/(2*PI()*'THAM_SO_MOI'!$C$26)</f>
        <v>2218.3829473684204</v>
      </c>
      <c r="F895" s="75">
        <f>'THAM_SO_MOI'!$C$14+('THAM_SO_MOI'!$C$37-'THAM_SO_MOI'!$C$14)*88/'THAM_SO_MOI'!$C$42</f>
        <v>22.515638888888887</v>
      </c>
      <c r="G895" s="75">
        <f>3.6*F895</f>
        <v>81.0563</v>
      </c>
      <c r="H895" s="75">
        <f>'THAM_SO_MOI'!$D$53</f>
        <v>1.1</v>
      </c>
      <c r="I895" s="75">
        <f>IF(F895&gt;='THAM_SO_MOI'!$C$14,'THAM_SO_MOI'!$C$13*(1+F895^2/1500),'THAM_SO_MOI'!$C$13)</f>
        <v>0.020069539945748456</v>
      </c>
      <c r="J895" s="75">
        <f>'THAM_SO_MOI'!$C$40*('THAM_SO_MOI'!$C$23*(E895/'THAM_SO_MOI'!$C$22)+'THAM_SO_MOI'!$C$24*(E895/'THAM_SO_MOI'!$C$22)^2-'THAM_SO_MOI'!$C$25*(E895/'THAM_SO_MOI'!$C$22)^3)</f>
        <v>99.87375079958855</v>
      </c>
      <c r="K895" s="75">
        <f>'THAM_SO_MOI'!$C$31*J895/E895</f>
        <v>429.9997077735589</v>
      </c>
      <c r="L895" s="75">
        <f>K895*'THAM_SO_MOI'!$C$53*'THAM_SO_MOI'!$C$17/'THAM_SO_MOI'!$C$26</f>
        <v>3771.0991197494477</v>
      </c>
      <c r="M895" s="75">
        <f>'THAM_SO_MOI'!$C$15*'THAM_SO_MOI'!$C$16*F895^2</f>
        <v>1482.8404341314235</v>
      </c>
      <c r="N895" s="75">
        <f>'THAM_SO_MOI'!$C$12*I895</f>
        <v>1512.0551951446453</v>
      </c>
      <c r="O895" s="75">
        <f>M895+N895</f>
        <v>2994.8956292760686</v>
      </c>
      <c r="P895" s="75">
        <f>(MIN(L895,'THAM_SO_MOI'!$C$41)-O895)/('THAM_SO_MOI'!$C$11*H895)</f>
        <v>0.09188014802004958</v>
      </c>
      <c r="Q895" s="75">
        <f>IF(P895&gt;0,1/P895,NA())</f>
        <v>10.88374389407585</v>
      </c>
      <c r="R895" s="75">
        <f>F895-F894</f>
        <v>0.0035868055555532408</v>
      </c>
      <c r="S895" s="75">
        <f>0.5*(Q894+Q895)*R895</f>
        <v>0.039022556181217284</v>
      </c>
      <c r="T895" s="75">
        <f>0.5*(F894*Q894+F895*Q895)*R895</f>
        <v>0.878547827806357</v>
      </c>
      <c r="U895" s="76">
        <f>U894+S895</f>
        <v>75.7980122669802</v>
      </c>
      <c r="V895" s="76">
        <f>V894+T895</f>
        <v>1199.4547946141643</v>
      </c>
    </row>
    <row r="896" spans="1:22" ht="19" customHeight="1">
      <c r="A896" s="68" t="s">
        <v>362</v>
      </c>
      <c r="B896" s="74">
        <v>5</v>
      </c>
      <c r="C896" s="68" t="s">
        <v>363</v>
      </c>
      <c r="D896" s="68" t="s">
        <v>365</v>
      </c>
      <c r="E896" s="75">
        <f>60*F896*'THAM_SO_MOI'!$C$53/(2*PI()*'THAM_SO_MOI'!$C$26)</f>
        <v>2218.7363421052623</v>
      </c>
      <c r="F896" s="75">
        <f>'THAM_SO_MOI'!$C$14+('THAM_SO_MOI'!$C$37-'THAM_SO_MOI'!$C$14)*89/'THAM_SO_MOI'!$C$42</f>
        <v>22.519225694444444</v>
      </c>
      <c r="G896" s="75">
        <f>3.6*F896</f>
        <v>81.0692125</v>
      </c>
      <c r="H896" s="75">
        <f>'THAM_SO_MOI'!$D$53</f>
        <v>1.1</v>
      </c>
      <c r="I896" s="75">
        <f>IF(F896&gt;='THAM_SO_MOI'!$C$14,'THAM_SO_MOI'!$C$13*(1+F896^2/1500),'THAM_SO_MOI'!$C$13)</f>
        <v>0.020071155258773267</v>
      </c>
      <c r="J896" s="75">
        <f>'THAM_SO_MOI'!$C$40*('THAM_SO_MOI'!$C$23*(E896/'THAM_SO_MOI'!$C$22)+'THAM_SO_MOI'!$C$24*(E896/'THAM_SO_MOI'!$C$22)^2-'THAM_SO_MOI'!$C$25*(E896/'THAM_SO_MOI'!$C$22)^3)</f>
        <v>99.88924767874417</v>
      </c>
      <c r="K896" s="75">
        <f>'THAM_SO_MOI'!$C$31*J896/E896</f>
        <v>429.99792864543326</v>
      </c>
      <c r="L896" s="75">
        <f>K896*'THAM_SO_MOI'!$C$53*'THAM_SO_MOI'!$C$17/'THAM_SO_MOI'!$C$26</f>
        <v>3771.083516788824</v>
      </c>
      <c r="M896" s="75">
        <f>'THAM_SO_MOI'!$C$15*'THAM_SO_MOI'!$C$16*F896^2</f>
        <v>1483.312913191181</v>
      </c>
      <c r="N896" s="75">
        <f>'THAM_SO_MOI'!$C$12*I896</f>
        <v>1512.176894120185</v>
      </c>
      <c r="O896" s="75">
        <f>M896+N896</f>
        <v>2995.489807311366</v>
      </c>
      <c r="P896" s="75">
        <f>(MIN(L896,'THAM_SO_MOI'!$C$41)-O896)/('THAM_SO_MOI'!$C$11*H896)</f>
        <v>0.09180796750443396</v>
      </c>
      <c r="Q896" s="75">
        <f>IF(P896&gt;0,1/P896,NA())</f>
        <v>10.892300822929165</v>
      </c>
      <c r="R896" s="75">
        <f>F896-F895</f>
        <v>0.0035868055555567935</v>
      </c>
      <c r="S896" s="75">
        <f>0.5*(Q895+Q896)*R896</f>
        <v>0.03905321908450338</v>
      </c>
      <c r="T896" s="75">
        <f>0.5*(F895*Q895+F896*Q896)*R896</f>
        <v>0.879378244028524</v>
      </c>
      <c r="U896" s="76">
        <f>U895+S896</f>
        <v>75.8370654860647</v>
      </c>
      <c r="V896" s="76">
        <f>V895+T896</f>
        <v>1200.3341728581927</v>
      </c>
    </row>
    <row r="897" spans="1:22" ht="19" customHeight="1">
      <c r="A897" s="68" t="s">
        <v>362</v>
      </c>
      <c r="B897" s="74">
        <v>5</v>
      </c>
      <c r="C897" s="68" t="s">
        <v>363</v>
      </c>
      <c r="D897" s="68" t="s">
        <v>365</v>
      </c>
      <c r="E897" s="75">
        <f>60*F897*'THAM_SO_MOI'!$C$53/(2*PI()*'THAM_SO_MOI'!$C$26)</f>
        <v>2219.089736842105</v>
      </c>
      <c r="F897" s="75">
        <f>'THAM_SO_MOI'!$C$14+('THAM_SO_MOI'!$C$37-'THAM_SO_MOI'!$C$14)*90/'THAM_SO_MOI'!$C$42</f>
        <v>22.5228125</v>
      </c>
      <c r="G897" s="75">
        <f>3.6*F897</f>
        <v>81.082125</v>
      </c>
      <c r="H897" s="75">
        <f>'THAM_SO_MOI'!$D$53</f>
        <v>1.1</v>
      </c>
      <c r="I897" s="75">
        <f>IF(F897&gt;='THAM_SO_MOI'!$C$14,'THAM_SO_MOI'!$C$13*(1+F897^2/1500),'THAM_SO_MOI'!$C$13)</f>
        <v>0.020072770829101562</v>
      </c>
      <c r="J897" s="75">
        <f>'THAM_SO_MOI'!$C$40*('THAM_SO_MOI'!$C$23*(E897/'THAM_SO_MOI'!$C$22)+'THAM_SO_MOI'!$C$24*(E897/'THAM_SO_MOI'!$C$22)^2-'THAM_SO_MOI'!$C$25*(E897/'THAM_SO_MOI'!$C$22)^3)</f>
        <v>99.9047416112308</v>
      </c>
      <c r="K897" s="75">
        <f>'THAM_SO_MOI'!$C$31*J897/E897</f>
        <v>429.9961374013232</v>
      </c>
      <c r="L897" s="75">
        <f>K897*'THAM_SO_MOI'!$C$53*'THAM_SO_MOI'!$C$17/'THAM_SO_MOI'!$C$26</f>
        <v>3771.06780757097</v>
      </c>
      <c r="M897" s="75">
        <f>'THAM_SO_MOI'!$C$15*'THAM_SO_MOI'!$C$16*F897^2</f>
        <v>1483.7854675122073</v>
      </c>
      <c r="N897" s="75">
        <f>'THAM_SO_MOI'!$C$12*I897</f>
        <v>1512.298612481175</v>
      </c>
      <c r="O897" s="75">
        <f>M897+N897</f>
        <v>2996.084079993382</v>
      </c>
      <c r="P897" s="75">
        <f>(MIN(L897,'THAM_SO_MOI'!$C$41)-O897)/('THAM_SO_MOI'!$C$11*H897)</f>
        <v>0.09173576320757434</v>
      </c>
      <c r="Q897" s="75">
        <f>IF(P897&gt;0,1/P897,NA())</f>
        <v>10.900874043389798</v>
      </c>
      <c r="R897" s="75">
        <f>F897-F896</f>
        <v>0.0035868055555567935</v>
      </c>
      <c r="S897" s="75">
        <f>0.5*(Q896+Q897)*R897</f>
        <v>0.03908394034186677</v>
      </c>
      <c r="T897" s="75">
        <f>0.5*(F896*Q896+F897*Q897)*R897</f>
        <v>0.8802101944078691</v>
      </c>
      <c r="U897" s="76">
        <f>U896+S897</f>
        <v>75.87614942640657</v>
      </c>
      <c r="V897" s="76">
        <f>V896+T897</f>
        <v>1201.2143830526006</v>
      </c>
    </row>
    <row r="898" spans="1:22" ht="19" customHeight="1">
      <c r="A898" s="68" t="s">
        <v>362</v>
      </c>
      <c r="B898" s="74">
        <v>5</v>
      </c>
      <c r="C898" s="68" t="s">
        <v>363</v>
      </c>
      <c r="D898" s="68" t="s">
        <v>365</v>
      </c>
      <c r="E898" s="75">
        <f>60*F898*'THAM_SO_MOI'!$C$53/(2*PI()*'THAM_SO_MOI'!$C$26)</f>
        <v>2219.4431315789466</v>
      </c>
      <c r="F898" s="75">
        <f>'THAM_SO_MOI'!$C$14+('THAM_SO_MOI'!$C$37-'THAM_SO_MOI'!$C$14)*91/'THAM_SO_MOI'!$C$42</f>
        <v>22.526399305555554</v>
      </c>
      <c r="G898" s="75">
        <f>3.6*F898</f>
        <v>81.09503749999999</v>
      </c>
      <c r="H898" s="75">
        <f>'THAM_SO_MOI'!$D$53</f>
        <v>1.1</v>
      </c>
      <c r="I898" s="75">
        <f>IF(F898&gt;='THAM_SO_MOI'!$C$14,'THAM_SO_MOI'!$C$13*(1+F898^2/1500),'THAM_SO_MOI'!$C$13)</f>
        <v>0.020074386656733337</v>
      </c>
      <c r="J898" s="75">
        <f>'THAM_SO_MOI'!$C$40*('THAM_SO_MOI'!$C$23*(E898/'THAM_SO_MOI'!$C$22)+'THAM_SO_MOI'!$C$24*(E898/'THAM_SO_MOI'!$C$22)^2-'THAM_SO_MOI'!$C$25*(E898/'THAM_SO_MOI'!$C$22)^3)</f>
        <v>99.92023259570348</v>
      </c>
      <c r="K898" s="75">
        <f>'THAM_SO_MOI'!$C$31*J898/E898</f>
        <v>429.9943340412288</v>
      </c>
      <c r="L898" s="75">
        <f>K898*'THAM_SO_MOI'!$C$53*'THAM_SO_MOI'!$C$17/'THAM_SO_MOI'!$C$26</f>
        <v>3771.0519920958855</v>
      </c>
      <c r="M898" s="75">
        <f>'THAM_SO_MOI'!$C$15*'THAM_SO_MOI'!$C$16*F898^2</f>
        <v>1484.2580970945014</v>
      </c>
      <c r="N898" s="75">
        <f>'THAM_SO_MOI'!$C$12*I898</f>
        <v>1512.420350227615</v>
      </c>
      <c r="O898" s="75">
        <f>M898+N898</f>
        <v>2996.6784473221164</v>
      </c>
      <c r="P898" s="75">
        <f>(MIN(L898,'THAM_SO_MOI'!$C$41)-O898)/('THAM_SO_MOI'!$C$11*H898)</f>
        <v>0.09166353512947077</v>
      </c>
      <c r="Q898" s="75">
        <f>IF(P898&gt;0,1/P898,NA())</f>
        <v>10.909463600629666</v>
      </c>
      <c r="R898" s="75">
        <f>F898-F897</f>
        <v>0.0035868055555532408</v>
      </c>
      <c r="S898" s="75">
        <f>0.5*(Q897+Q898)*R898</f>
        <v>0.03911472011503049</v>
      </c>
      <c r="T898" s="75">
        <f>0.5*(F897*Q897+F898*Q898)*R898</f>
        <v>0.8810436832150539</v>
      </c>
      <c r="U898" s="76">
        <f>U897+S898</f>
        <v>75.91526414652161</v>
      </c>
      <c r="V898" s="76">
        <f>V897+T898</f>
        <v>1202.0954267358156</v>
      </c>
    </row>
    <row r="899" spans="1:22" ht="19" customHeight="1">
      <c r="A899" s="68" t="s">
        <v>362</v>
      </c>
      <c r="B899" s="74">
        <v>5</v>
      </c>
      <c r="C899" s="68" t="s">
        <v>363</v>
      </c>
      <c r="D899" s="68" t="s">
        <v>365</v>
      </c>
      <c r="E899" s="75">
        <f>60*F899*'THAM_SO_MOI'!$C$53/(2*PI()*'THAM_SO_MOI'!$C$26)</f>
        <v>2219.796526315789</v>
      </c>
      <c r="F899" s="75">
        <f>'THAM_SO_MOI'!$C$14+('THAM_SO_MOI'!$C$37-'THAM_SO_MOI'!$C$14)*92/'THAM_SO_MOI'!$C$42</f>
        <v>22.52998611111111</v>
      </c>
      <c r="G899" s="75">
        <f>3.6*F899</f>
        <v>81.10795</v>
      </c>
      <c r="H899" s="75">
        <f>'THAM_SO_MOI'!$D$53</f>
        <v>1.1</v>
      </c>
      <c r="I899" s="75">
        <f>IF(F899&gt;='THAM_SO_MOI'!$C$14,'THAM_SO_MOI'!$C$13*(1+F899^2/1500),'THAM_SO_MOI'!$C$13)</f>
        <v>0.020076002741668594</v>
      </c>
      <c r="J899" s="75">
        <f>'THAM_SO_MOI'!$C$40*('THAM_SO_MOI'!$C$23*(E899/'THAM_SO_MOI'!$C$22)+'THAM_SO_MOI'!$C$24*(E899/'THAM_SO_MOI'!$C$22)^2-'THAM_SO_MOI'!$C$25*(E899/'THAM_SO_MOI'!$C$22)^3)</f>
        <v>99.93572063081736</v>
      </c>
      <c r="K899" s="75">
        <f>'THAM_SO_MOI'!$C$31*J899/E899</f>
        <v>429.9925185651498</v>
      </c>
      <c r="L899" s="75">
        <f>K899*'THAM_SO_MOI'!$C$53*'THAM_SO_MOI'!$C$17/'THAM_SO_MOI'!$C$26</f>
        <v>3771.036070363569</v>
      </c>
      <c r="M899" s="75">
        <f>'THAM_SO_MOI'!$C$15*'THAM_SO_MOI'!$C$16*F899^2</f>
        <v>1484.7308019380644</v>
      </c>
      <c r="N899" s="75">
        <f>'THAM_SO_MOI'!$C$12*I899</f>
        <v>1512.5421073595053</v>
      </c>
      <c r="O899" s="75">
        <f>M899+N899</f>
        <v>2997.2729092975696</v>
      </c>
      <c r="P899" s="75">
        <f>(MIN(L899,'THAM_SO_MOI'!$C$41)-O899)/('THAM_SO_MOI'!$C$11*H899)</f>
        <v>0.091591283270123</v>
      </c>
      <c r="Q899" s="75">
        <f>IF(P899&gt;0,1/P899,NA())</f>
        <v>10.918069539988629</v>
      </c>
      <c r="R899" s="75">
        <f>F899-F898</f>
        <v>0.0035868055555567935</v>
      </c>
      <c r="S899" s="75">
        <f>0.5*(Q898+Q899)*R899</f>
        <v>0.03914555856643486</v>
      </c>
      <c r="T899" s="75">
        <f>0.5*(F898*Q898+F899*Q899)*R899</f>
        <v>0.8818787147392203</v>
      </c>
      <c r="U899" s="76">
        <f>U898+S899</f>
        <v>75.95440970508804</v>
      </c>
      <c r="V899" s="76">
        <f>V898+T899</f>
        <v>1202.977305450555</v>
      </c>
    </row>
    <row r="900" spans="1:22" ht="19" customHeight="1">
      <c r="A900" s="68" t="s">
        <v>362</v>
      </c>
      <c r="B900" s="74">
        <v>5</v>
      </c>
      <c r="C900" s="68" t="s">
        <v>363</v>
      </c>
      <c r="D900" s="68" t="s">
        <v>365</v>
      </c>
      <c r="E900" s="75">
        <f>60*F900*'THAM_SO_MOI'!$C$53/(2*PI()*'THAM_SO_MOI'!$C$26)</f>
        <v>2220.1499210526313</v>
      </c>
      <c r="F900" s="75">
        <f>'THAM_SO_MOI'!$C$14+('THAM_SO_MOI'!$C$37-'THAM_SO_MOI'!$C$14)*93/'THAM_SO_MOI'!$C$42</f>
        <v>22.533572916666667</v>
      </c>
      <c r="G900" s="75">
        <f>3.6*F900</f>
        <v>81.1208625</v>
      </c>
      <c r="H900" s="75">
        <f>'THAM_SO_MOI'!$D$53</f>
        <v>1.1</v>
      </c>
      <c r="I900" s="75">
        <f>IF(F900&gt;='THAM_SO_MOI'!$C$14,'THAM_SO_MOI'!$C$13*(1+F900^2/1500),'THAM_SO_MOI'!$C$13)</f>
        <v>0.020077619083907334</v>
      </c>
      <c r="J900" s="75">
        <f>'THAM_SO_MOI'!$C$40*('THAM_SO_MOI'!$C$23*(E900/'THAM_SO_MOI'!$C$22)+'THAM_SO_MOI'!$C$24*(E900/'THAM_SO_MOI'!$C$22)^2-'THAM_SO_MOI'!$C$25*(E900/'THAM_SO_MOI'!$C$22)^3)</f>
        <v>99.95120571522754</v>
      </c>
      <c r="K900" s="75">
        <f>'THAM_SO_MOI'!$C$31*J900/E900</f>
        <v>429.9906909730864</v>
      </c>
      <c r="L900" s="75">
        <f>K900*'THAM_SO_MOI'!$C$53*'THAM_SO_MOI'!$C$17/'THAM_SO_MOI'!$C$26</f>
        <v>3771.020042374021</v>
      </c>
      <c r="M900" s="75">
        <f>'THAM_SO_MOI'!$C$15*'THAM_SO_MOI'!$C$16*F900^2</f>
        <v>1485.203582042896</v>
      </c>
      <c r="N900" s="75">
        <f>'THAM_SO_MOI'!$C$12*I900</f>
        <v>1512.6638838768458</v>
      </c>
      <c r="O900" s="75">
        <f>M900+N900</f>
        <v>2997.867465919742</v>
      </c>
      <c r="P900" s="75">
        <f>(MIN(L900,'THAM_SO_MOI'!$C$41)-O900)/('THAM_SO_MOI'!$C$11*H900)</f>
        <v>0.09151900762953118</v>
      </c>
      <c r="Q900" s="75">
        <f>IF(P900&gt;0,1/P900,NA())</f>
        <v>10.9266919069752</v>
      </c>
      <c r="R900" s="75">
        <f>F900-F899</f>
        <v>0.0035868055555567935</v>
      </c>
      <c r="S900" s="75">
        <f>0.5*(Q899+Q900)*R900</f>
        <v>0.03917645585889136</v>
      </c>
      <c r="T900" s="75">
        <f>0.5*(F899*Q899+F900*Q900)*R900</f>
        <v>0.8827152932802039</v>
      </c>
      <c r="U900" s="76">
        <f>U899+S900</f>
        <v>75.99358616094693</v>
      </c>
      <c r="V900" s="76">
        <f>V899+T900</f>
        <v>1203.860020743835</v>
      </c>
    </row>
    <row r="901" spans="1:22" ht="19" customHeight="1">
      <c r="A901" s="68" t="s">
        <v>362</v>
      </c>
      <c r="B901" s="74">
        <v>5</v>
      </c>
      <c r="C901" s="68" t="s">
        <v>363</v>
      </c>
      <c r="D901" s="68" t="s">
        <v>365</v>
      </c>
      <c r="E901" s="75">
        <f>60*F901*'THAM_SO_MOI'!$C$53/(2*PI()*'THAM_SO_MOI'!$C$26)</f>
        <v>2220.503315789473</v>
      </c>
      <c r="F901" s="75">
        <f>'THAM_SO_MOI'!$C$14+('THAM_SO_MOI'!$C$37-'THAM_SO_MOI'!$C$14)*94/'THAM_SO_MOI'!$C$42</f>
        <v>22.53715972222222</v>
      </c>
      <c r="G901" s="75">
        <f>3.6*F901</f>
        <v>81.133775</v>
      </c>
      <c r="H901" s="75">
        <f>'THAM_SO_MOI'!$D$53</f>
        <v>1.1</v>
      </c>
      <c r="I901" s="75">
        <f>IF(F901&gt;='THAM_SO_MOI'!$C$14,'THAM_SO_MOI'!$C$13*(1+F901^2/1500),'THAM_SO_MOI'!$C$13)</f>
        <v>0.020079235683449555</v>
      </c>
      <c r="J901" s="75">
        <f>'THAM_SO_MOI'!$C$40*('THAM_SO_MOI'!$C$23*(E901/'THAM_SO_MOI'!$C$22)+'THAM_SO_MOI'!$C$24*(E901/'THAM_SO_MOI'!$C$22)^2-'THAM_SO_MOI'!$C$25*(E901/'THAM_SO_MOI'!$C$22)^3)</f>
        <v>99.96668784758911</v>
      </c>
      <c r="K901" s="75">
        <f>'THAM_SO_MOI'!$C$31*J901/E901</f>
        <v>429.98885126503853</v>
      </c>
      <c r="L901" s="75">
        <f>K901*'THAM_SO_MOI'!$C$53*'THAM_SO_MOI'!$C$17/'THAM_SO_MOI'!$C$26</f>
        <v>3771.0039081272425</v>
      </c>
      <c r="M901" s="75">
        <f>'THAM_SO_MOI'!$C$15*'THAM_SO_MOI'!$C$16*F901^2</f>
        <v>1485.676437408995</v>
      </c>
      <c r="N901" s="75">
        <f>'THAM_SO_MOI'!$C$12*I901</f>
        <v>1512.7856797796362</v>
      </c>
      <c r="O901" s="75">
        <f>M901+N901</f>
        <v>2998.462117188631</v>
      </c>
      <c r="P901" s="75">
        <f>(MIN(L901,'THAM_SO_MOI'!$C$41)-O901)/('THAM_SO_MOI'!$C$11*H901)</f>
        <v>0.09144670820769543</v>
      </c>
      <c r="Q901" s="75">
        <f>IF(P901&gt;0,1/P901,NA())</f>
        <v>10.935330747267379</v>
      </c>
      <c r="R901" s="75">
        <f>F901-F900</f>
        <v>0.0035868055555532408</v>
      </c>
      <c r="S901" s="75">
        <f>0.5*(Q900+Q901)*R901</f>
        <v>0.03920741215593405</v>
      </c>
      <c r="T901" s="75">
        <f>0.5*(F900*Q900+F901*Q901)*R901</f>
        <v>0.8835534231564589</v>
      </c>
      <c r="U901" s="76">
        <f>U900+S901</f>
        <v>76.03279357310286</v>
      </c>
      <c r="V901" s="76">
        <f>V900+T901</f>
        <v>1204.7435741669915</v>
      </c>
    </row>
    <row r="902" spans="1:22" ht="19" customHeight="1">
      <c r="A902" s="68" t="s">
        <v>362</v>
      </c>
      <c r="B902" s="74">
        <v>5</v>
      </c>
      <c r="C902" s="68" t="s">
        <v>363</v>
      </c>
      <c r="D902" s="68" t="s">
        <v>365</v>
      </c>
      <c r="E902" s="75">
        <f>60*F902*'THAM_SO_MOI'!$C$53/(2*PI()*'THAM_SO_MOI'!$C$26)</f>
        <v>2220.856710526315</v>
      </c>
      <c r="F902" s="75">
        <f>'THAM_SO_MOI'!$C$14+('THAM_SO_MOI'!$C$37-'THAM_SO_MOI'!$C$14)*95/'THAM_SO_MOI'!$C$42</f>
        <v>22.540746527777777</v>
      </c>
      <c r="G902" s="75">
        <f>3.6*F902</f>
        <v>81.1466875</v>
      </c>
      <c r="H902" s="75">
        <f>'THAM_SO_MOI'!$D$53</f>
        <v>1.1</v>
      </c>
      <c r="I902" s="75">
        <f>IF(F902&gt;='THAM_SO_MOI'!$C$14,'THAM_SO_MOI'!$C$13*(1+F902^2/1500),'THAM_SO_MOI'!$C$13)</f>
        <v>0.02008085254029526</v>
      </c>
      <c r="J902" s="75">
        <f>'THAM_SO_MOI'!$C$40*('THAM_SO_MOI'!$C$23*(E902/'THAM_SO_MOI'!$C$22)+'THAM_SO_MOI'!$C$24*(E902/'THAM_SO_MOI'!$C$22)^2-'THAM_SO_MOI'!$C$25*(E902/'THAM_SO_MOI'!$C$22)^3)</f>
        <v>99.98216702655719</v>
      </c>
      <c r="K902" s="75">
        <f>'THAM_SO_MOI'!$C$31*J902/E902</f>
        <v>429.9869994410061</v>
      </c>
      <c r="L902" s="75">
        <f>K902*'THAM_SO_MOI'!$C$53*'THAM_SO_MOI'!$C$17/'THAM_SO_MOI'!$C$26</f>
        <v>3770.987667623232</v>
      </c>
      <c r="M902" s="75">
        <f>'THAM_SO_MOI'!$C$15*'THAM_SO_MOI'!$C$16*F902^2</f>
        <v>1486.1493680363635</v>
      </c>
      <c r="N902" s="75">
        <f>'THAM_SO_MOI'!$C$12*I902</f>
        <v>1512.907495067877</v>
      </c>
      <c r="O902" s="75">
        <f>M902+N902</f>
        <v>2999.0568631042406</v>
      </c>
      <c r="P902" s="75">
        <f>(MIN(L902,'THAM_SO_MOI'!$C$41)-O902)/('THAM_SO_MOI'!$C$11*H902)</f>
        <v>0.09137438500461549</v>
      </c>
      <c r="Q902" s="75">
        <f>IF(P902&gt;0,1/P902,NA())</f>
        <v>10.943986106713474</v>
      </c>
      <c r="R902" s="75">
        <f>F902-F901</f>
        <v>0.0035868055555567935</v>
      </c>
      <c r="S902" s="75">
        <f>0.5*(Q901+Q902)*R902</f>
        <v>0.039238427621822954</v>
      </c>
      <c r="T902" s="75">
        <f>0.5*(F901*Q901+F902*Q902)*R902</f>
        <v>0.8843931087051493</v>
      </c>
      <c r="U902" s="76">
        <f>U901+S902</f>
        <v>76.07203200072469</v>
      </c>
      <c r="V902" s="76">
        <f>V901+T902</f>
        <v>1205.6279672756966</v>
      </c>
    </row>
    <row r="903" spans="1:22" ht="19" customHeight="1">
      <c r="A903" s="68" t="s">
        <v>362</v>
      </c>
      <c r="B903" s="74">
        <v>5</v>
      </c>
      <c r="C903" s="68" t="s">
        <v>363</v>
      </c>
      <c r="D903" s="68" t="s">
        <v>365</v>
      </c>
      <c r="E903" s="75">
        <f>60*F903*'THAM_SO_MOI'!$C$53/(2*PI()*'THAM_SO_MOI'!$C$26)</f>
        <v>2221.210105263158</v>
      </c>
      <c r="F903" s="75">
        <f>'THAM_SO_MOI'!$C$14+('THAM_SO_MOI'!$C$37-'THAM_SO_MOI'!$C$14)*96/'THAM_SO_MOI'!$C$42</f>
        <v>22.544333333333334</v>
      </c>
      <c r="G903" s="75">
        <f>3.6*F903</f>
        <v>81.15960000000001</v>
      </c>
      <c r="H903" s="75">
        <f>'THAM_SO_MOI'!$D$53</f>
        <v>1.1</v>
      </c>
      <c r="I903" s="75">
        <f>IF(F903&gt;='THAM_SO_MOI'!$C$14,'THAM_SO_MOI'!$C$13*(1+F903^2/1500),'THAM_SO_MOI'!$C$13)</f>
        <v>0.020082469654444445</v>
      </c>
      <c r="J903" s="75">
        <f>'THAM_SO_MOI'!$C$40*('THAM_SO_MOI'!$C$23*(E903/'THAM_SO_MOI'!$C$22)+'THAM_SO_MOI'!$C$24*(E903/'THAM_SO_MOI'!$C$22)^2-'THAM_SO_MOI'!$C$25*(E903/'THAM_SO_MOI'!$C$22)^3)</f>
        <v>99.99764325078696</v>
      </c>
      <c r="K903" s="75">
        <f>'THAM_SO_MOI'!$C$31*J903/E903</f>
        <v>429.9851355009893</v>
      </c>
      <c r="L903" s="75">
        <f>K903*'THAM_SO_MOI'!$C$53*'THAM_SO_MOI'!$C$17/'THAM_SO_MOI'!$C$26</f>
        <v>3770.971320861992</v>
      </c>
      <c r="M903" s="75">
        <f>'THAM_SO_MOI'!$C$15*'THAM_SO_MOI'!$C$16*F903^2</f>
        <v>1486.6223739250001</v>
      </c>
      <c r="N903" s="75">
        <f>'THAM_SO_MOI'!$C$12*I903</f>
        <v>1513.029329741568</v>
      </c>
      <c r="O903" s="75">
        <f>M903+N903</f>
        <v>2999.651703666568</v>
      </c>
      <c r="P903" s="75">
        <f>(MIN(L903,'THAM_SO_MOI'!$C$41)-O903)/('THAM_SO_MOI'!$C$11*H903)</f>
        <v>0.0913020380202916</v>
      </c>
      <c r="Q903" s="75">
        <f>IF(P903&gt;0,1/P903,NA())</f>
        <v>10.952658031332806</v>
      </c>
      <c r="R903" s="75">
        <f>F903-F902</f>
        <v>0.0035868055555567935</v>
      </c>
      <c r="S903" s="75">
        <f>0.5*(Q902+Q903)*R903</f>
        <v>0.03926950242119725</v>
      </c>
      <c r="T903" s="75">
        <f>0.5*(F902*Q902+F903*Q903)*R903</f>
        <v>0.8852343542743419</v>
      </c>
      <c r="U903" s="76">
        <f>U902+S903</f>
        <v>76.11130150314588</v>
      </c>
      <c r="V903" s="76">
        <f>V902+T903</f>
        <v>1206.513201629971</v>
      </c>
    </row>
    <row r="904" spans="1:22" ht="19" customHeight="1">
      <c r="A904" s="68" t="s">
        <v>362</v>
      </c>
      <c r="B904" s="74">
        <v>5</v>
      </c>
      <c r="C904" s="68" t="s">
        <v>363</v>
      </c>
      <c r="D904" s="68" t="s">
        <v>365</v>
      </c>
      <c r="E904" s="75">
        <f>60*F904*'THAM_SO_MOI'!$C$53/(2*PI()*'THAM_SO_MOI'!$C$26)</f>
        <v>2221.5634999999993</v>
      </c>
      <c r="F904" s="75">
        <f>'THAM_SO_MOI'!$C$14+('THAM_SO_MOI'!$C$37-'THAM_SO_MOI'!$C$14)*97/'THAM_SO_MOI'!$C$42</f>
        <v>22.547920138888887</v>
      </c>
      <c r="G904" s="75">
        <f>3.6*F904</f>
        <v>81.1725125</v>
      </c>
      <c r="H904" s="75">
        <f>'THAM_SO_MOI'!$D$53</f>
        <v>1.1</v>
      </c>
      <c r="I904" s="75">
        <f>IF(F904&gt;='THAM_SO_MOI'!$C$14,'THAM_SO_MOI'!$C$13*(1+F904^2/1500),'THAM_SO_MOI'!$C$13)</f>
        <v>0.02008408702589711</v>
      </c>
      <c r="J904" s="75">
        <f>'THAM_SO_MOI'!$C$40*('THAM_SO_MOI'!$C$23*(E904/'THAM_SO_MOI'!$C$22)+'THAM_SO_MOI'!$C$24*(E904/'THAM_SO_MOI'!$C$22)^2-'THAM_SO_MOI'!$C$25*(E904/'THAM_SO_MOI'!$C$22)^3)</f>
        <v>100.01311651893343</v>
      </c>
      <c r="K904" s="75">
        <f>'THAM_SO_MOI'!$C$31*J904/E904</f>
        <v>429.98325944498816</v>
      </c>
      <c r="L904" s="75">
        <f>K904*'THAM_SO_MOI'!$C$53*'THAM_SO_MOI'!$C$17/'THAM_SO_MOI'!$C$26</f>
        <v>3770.954867843521</v>
      </c>
      <c r="M904" s="75">
        <f>'THAM_SO_MOI'!$C$15*'THAM_SO_MOI'!$C$16*F904^2</f>
        <v>1487.095455074905</v>
      </c>
      <c r="N904" s="75">
        <f>'THAM_SO_MOI'!$C$12*I904</f>
        <v>1513.151183800709</v>
      </c>
      <c r="O904" s="75">
        <f>M904+N904</f>
        <v>3000.246638875614</v>
      </c>
      <c r="P904" s="75">
        <f>(MIN(L904,'THAM_SO_MOI'!$C$41)-O904)/('THAM_SO_MOI'!$C$11*H904)</f>
        <v>0.09122966725472378</v>
      </c>
      <c r="Q904" s="75">
        <f>IF(P904&gt;0,1/P904,NA())</f>
        <v>10.961346567316577</v>
      </c>
      <c r="R904" s="75">
        <f>F904-F903</f>
        <v>0.0035868055555532408</v>
      </c>
      <c r="S904" s="75">
        <f>0.5*(Q903+Q904)*R904</f>
        <v>0.03930063671942744</v>
      </c>
      <c r="T904" s="75">
        <f>0.5*(F903*Q903+F904*Q904)*R904</f>
        <v>0.886077164230955</v>
      </c>
      <c r="U904" s="76">
        <f>U903+S904</f>
        <v>76.15060213986531</v>
      </c>
      <c r="V904" s="76">
        <f>V903+T904</f>
        <v>1207.399278794202</v>
      </c>
    </row>
    <row r="905" spans="1:22" ht="19" customHeight="1">
      <c r="A905" s="68" t="s">
        <v>362</v>
      </c>
      <c r="B905" s="74">
        <v>5</v>
      </c>
      <c r="C905" s="68" t="s">
        <v>363</v>
      </c>
      <c r="D905" s="68" t="s">
        <v>365</v>
      </c>
      <c r="E905" s="75">
        <f>60*F905*'THAM_SO_MOI'!$C$53/(2*PI()*'THAM_SO_MOI'!$C$26)</f>
        <v>2221.9168947368416</v>
      </c>
      <c r="F905" s="75">
        <f>'THAM_SO_MOI'!$C$14+('THAM_SO_MOI'!$C$37-'THAM_SO_MOI'!$C$14)*98/'THAM_SO_MOI'!$C$42</f>
        <v>22.551506944444444</v>
      </c>
      <c r="G905" s="75">
        <f>3.6*F905</f>
        <v>81.185425</v>
      </c>
      <c r="H905" s="75">
        <f>'THAM_SO_MOI'!$D$53</f>
        <v>1.1</v>
      </c>
      <c r="I905" s="75">
        <f>IF(F905&gt;='THAM_SO_MOI'!$C$14,'THAM_SO_MOI'!$C$13*(1+F905^2/1500),'THAM_SO_MOI'!$C$13)</f>
        <v>0.020085704654653258</v>
      </c>
      <c r="J905" s="75">
        <f>'THAM_SO_MOI'!$C$40*('THAM_SO_MOI'!$C$23*(E905/'THAM_SO_MOI'!$C$22)+'THAM_SO_MOI'!$C$24*(E905/'THAM_SO_MOI'!$C$22)^2-'THAM_SO_MOI'!$C$25*(E905/'THAM_SO_MOI'!$C$22)^3)</f>
        <v>100.02858682965177</v>
      </c>
      <c r="K905" s="75">
        <f>'THAM_SO_MOI'!$C$31*J905/E905</f>
        <v>429.9813712730025</v>
      </c>
      <c r="L905" s="75">
        <f>K905*'THAM_SO_MOI'!$C$53*'THAM_SO_MOI'!$C$17/'THAM_SO_MOI'!$C$26</f>
        <v>3770.938308567818</v>
      </c>
      <c r="M905" s="75">
        <f>'THAM_SO_MOI'!$C$15*'THAM_SO_MOI'!$C$16*F905^2</f>
        <v>1487.5686114860785</v>
      </c>
      <c r="N905" s="75">
        <f>'THAM_SO_MOI'!$C$12*I905</f>
        <v>1513.2730572453002</v>
      </c>
      <c r="O905" s="75">
        <f>M905+N905</f>
        <v>3000.8416687313784</v>
      </c>
      <c r="P905" s="75">
        <f>(MIN(L905,'THAM_SO_MOI'!$C$41)-O905)/('THAM_SO_MOI'!$C$11*H905)</f>
        <v>0.09115727270791181</v>
      </c>
      <c r="Q905" s="75">
        <f>IF(P905&gt;0,1/P905,NA())</f>
        <v>10.970051761028685</v>
      </c>
      <c r="R905" s="75">
        <f>F905-F904</f>
        <v>0.0035868055555567935</v>
      </c>
      <c r="S905" s="75">
        <f>0.5*(Q904+Q905)*R905</f>
        <v>0.039331830682618876</v>
      </c>
      <c r="T905" s="75">
        <f>0.5*(F904*Q904+F905*Q905)*R905</f>
        <v>0.8869215429608496</v>
      </c>
      <c r="U905" s="76">
        <f>U904+S905</f>
        <v>76.18993397054793</v>
      </c>
      <c r="V905" s="76">
        <f>V904+T905</f>
        <v>1208.2862003371629</v>
      </c>
    </row>
    <row r="906" spans="1:22" ht="19" customHeight="1">
      <c r="A906" s="68" t="s">
        <v>362</v>
      </c>
      <c r="B906" s="74">
        <v>5</v>
      </c>
      <c r="C906" s="68" t="s">
        <v>363</v>
      </c>
      <c r="D906" s="68" t="s">
        <v>365</v>
      </c>
      <c r="E906" s="75">
        <f>60*F906*'THAM_SO_MOI'!$C$53/(2*PI()*'THAM_SO_MOI'!$C$26)</f>
        <v>2222.2702894736835</v>
      </c>
      <c r="F906" s="75">
        <f>'THAM_SO_MOI'!$C$14+('THAM_SO_MOI'!$C$37-'THAM_SO_MOI'!$C$14)*99/'THAM_SO_MOI'!$C$42</f>
        <v>22.555093749999997</v>
      </c>
      <c r="G906" s="75">
        <f>3.6*F906</f>
        <v>81.1983375</v>
      </c>
      <c r="H906" s="75">
        <f>'THAM_SO_MOI'!$D$53</f>
        <v>1.1</v>
      </c>
      <c r="I906" s="75">
        <f>IF(F906&gt;='THAM_SO_MOI'!$C$14,'THAM_SO_MOI'!$C$13*(1+F906^2/1500),'THAM_SO_MOI'!$C$13)</f>
        <v>0.02008732254071289</v>
      </c>
      <c r="J906" s="75">
        <f>'THAM_SO_MOI'!$C$40*('THAM_SO_MOI'!$C$23*(E906/'THAM_SO_MOI'!$C$22)+'THAM_SO_MOI'!$C$24*(E906/'THAM_SO_MOI'!$C$22)^2-'THAM_SO_MOI'!$C$25*(E906/'THAM_SO_MOI'!$C$22)^3)</f>
        <v>100.04405418159705</v>
      </c>
      <c r="K906" s="75">
        <f>'THAM_SO_MOI'!$C$31*J906/E906</f>
        <v>429.9794709850323</v>
      </c>
      <c r="L906" s="75">
        <f>K906*'THAM_SO_MOI'!$C$53*'THAM_SO_MOI'!$C$17/'THAM_SO_MOI'!$C$26</f>
        <v>3770.921643034884</v>
      </c>
      <c r="M906" s="75">
        <f>'THAM_SO_MOI'!$C$15*'THAM_SO_MOI'!$C$16*F906^2</f>
        <v>1488.0418431585204</v>
      </c>
      <c r="N906" s="75">
        <f>'THAM_SO_MOI'!$C$12*I906</f>
        <v>1513.3949500753417</v>
      </c>
      <c r="O906" s="75">
        <f>M906+N906</f>
        <v>3001.436793233862</v>
      </c>
      <c r="P906" s="75">
        <f>(MIN(L906,'THAM_SO_MOI'!$C$41)-O906)/('THAM_SO_MOI'!$C$11*H906)</f>
        <v>0.09108485437985579</v>
      </c>
      <c r="Q906" s="75">
        <f>IF(P906&gt;0,1/P906,NA())</f>
        <v>10.97877365900646</v>
      </c>
      <c r="R906" s="75">
        <f>F906-F905</f>
        <v>0.0035868055555532408</v>
      </c>
      <c r="S906" s="75">
        <f>0.5*(Q905+Q906)*R906</f>
        <v>0.03936308447722513</v>
      </c>
      <c r="T906" s="75">
        <f>0.5*(F905*Q905+F906*Q906)*R906</f>
        <v>0.887767494860123</v>
      </c>
      <c r="U906" s="76">
        <f>U905+S906</f>
        <v>76.22929705502516</v>
      </c>
      <c r="V906" s="76">
        <f>V905+T906</f>
        <v>1209.173967832023</v>
      </c>
    </row>
    <row r="907" spans="1:22" ht="19" customHeight="1">
      <c r="A907" s="68" t="s">
        <v>362</v>
      </c>
      <c r="B907" s="74">
        <v>5</v>
      </c>
      <c r="C907" s="68" t="s">
        <v>363</v>
      </c>
      <c r="D907" s="68" t="s">
        <v>365</v>
      </c>
      <c r="E907" s="75">
        <f>60*F907*'THAM_SO_MOI'!$C$53/(2*PI()*'THAM_SO_MOI'!$C$26)</f>
        <v>2222.623684210526</v>
      </c>
      <c r="F907" s="75">
        <f>'THAM_SO_MOI'!$C$14+('THAM_SO_MOI'!$C$37-'THAM_SO_MOI'!$C$14)*100/'THAM_SO_MOI'!$C$42</f>
        <v>22.558680555555554</v>
      </c>
      <c r="G907" s="75">
        <f>3.6*F907</f>
        <v>81.21124999999999</v>
      </c>
      <c r="H907" s="75">
        <f>'THAM_SO_MOI'!$D$53</f>
        <v>1.1</v>
      </c>
      <c r="I907" s="75">
        <f>IF(F907&gt;='THAM_SO_MOI'!$C$14,'THAM_SO_MOI'!$C$13*(1+F907^2/1500),'THAM_SO_MOI'!$C$13)</f>
        <v>0.020088940684076004</v>
      </c>
      <c r="J907" s="75">
        <f>'THAM_SO_MOI'!$C$40*('THAM_SO_MOI'!$C$23*(E907/'THAM_SO_MOI'!$C$22)+'THAM_SO_MOI'!$C$24*(E907/'THAM_SO_MOI'!$C$22)^2-'THAM_SO_MOI'!$C$25*(E907/'THAM_SO_MOI'!$C$22)^3)</f>
        <v>100.05951857342438</v>
      </c>
      <c r="K907" s="75">
        <f>'THAM_SO_MOI'!$C$31*J907/E907</f>
        <v>429.9775585810776</v>
      </c>
      <c r="L907" s="75">
        <f>K907*'THAM_SO_MOI'!$C$53*'THAM_SO_MOI'!$C$17/'THAM_SO_MOI'!$C$26</f>
        <v>3770.9048712447175</v>
      </c>
      <c r="M907" s="75">
        <f>'THAM_SO_MOI'!$C$15*'THAM_SO_MOI'!$C$16*F907^2</f>
        <v>1488.5151500922311</v>
      </c>
      <c r="N907" s="75">
        <f>'THAM_SO_MOI'!$C$12*I907</f>
        <v>1513.5168622908334</v>
      </c>
      <c r="O907" s="75">
        <f>M907+N907</f>
        <v>3002.0320123830643</v>
      </c>
      <c r="P907" s="75">
        <f>(MIN(L907,'THAM_SO_MOI'!$C$41)-O907)/('THAM_SO_MOI'!$C$11*H907)</f>
        <v>0.09101241227055551</v>
      </c>
      <c r="Q907" s="75">
        <f>IF(P907&gt;0,1/P907,NA())</f>
        <v>10.987512307961556</v>
      </c>
      <c r="R907" s="75">
        <f>F907-F906</f>
        <v>0.0035868055555567935</v>
      </c>
      <c r="S907" s="75">
        <f>0.5*(Q906+Q907)*R907</f>
        <v>0.03939439827063505</v>
      </c>
      <c r="T907" s="75">
        <f>0.5*(F906*Q906+F907*Q907)*R907</f>
        <v>0.8886150243483589</v>
      </c>
      <c r="U907" s="76">
        <f>U906+S907</f>
        <v>76.26869145329579</v>
      </c>
      <c r="V907" s="76">
        <f>V906+T907</f>
        <v>1210.0625828563714</v>
      </c>
    </row>
    <row r="908" spans="1:22" ht="19" customHeight="1">
      <c r="A908" s="68" t="s">
        <v>362</v>
      </c>
      <c r="B908" s="74">
        <v>5</v>
      </c>
      <c r="C908" s="68" t="s">
        <v>363</v>
      </c>
      <c r="D908" s="68" t="s">
        <v>365</v>
      </c>
      <c r="E908" s="75">
        <f>60*F908*'THAM_SO_MOI'!$C$53/(2*PI()*'THAM_SO_MOI'!$C$26)</f>
        <v>2222.9770789473678</v>
      </c>
      <c r="F908" s="75">
        <f>'THAM_SO_MOI'!$C$14+('THAM_SO_MOI'!$C$37-'THAM_SO_MOI'!$C$14)*101/'THAM_SO_MOI'!$C$42</f>
        <v>22.56226736111111</v>
      </c>
      <c r="G908" s="75">
        <f>3.6*F908</f>
        <v>81.2241625</v>
      </c>
      <c r="H908" s="75">
        <f>'THAM_SO_MOI'!$D$53</f>
        <v>1.1</v>
      </c>
      <c r="I908" s="75">
        <f>IF(F908&gt;='THAM_SO_MOI'!$C$14,'THAM_SO_MOI'!$C$13*(1+F908^2/1500),'THAM_SO_MOI'!$C$13)</f>
        <v>0.020090559084742596</v>
      </c>
      <c r="J908" s="75">
        <f>'THAM_SO_MOI'!$C$40*('THAM_SO_MOI'!$C$23*(E908/'THAM_SO_MOI'!$C$22)+'THAM_SO_MOI'!$C$24*(E908/'THAM_SO_MOI'!$C$22)^2-'THAM_SO_MOI'!$C$25*(E908/'THAM_SO_MOI'!$C$22)^3)</f>
        <v>100.07498000378892</v>
      </c>
      <c r="K908" s="75">
        <f>'THAM_SO_MOI'!$C$31*J908/E908</f>
        <v>429.9756340611385</v>
      </c>
      <c r="L908" s="75">
        <f>K908*'THAM_SO_MOI'!$C$53*'THAM_SO_MOI'!$C$17/'THAM_SO_MOI'!$C$26</f>
        <v>3770.8879931973215</v>
      </c>
      <c r="M908" s="75">
        <f>'THAM_SO_MOI'!$C$15*'THAM_SO_MOI'!$C$16*F908^2</f>
        <v>1488.9885322872099</v>
      </c>
      <c r="N908" s="75">
        <f>'THAM_SO_MOI'!$C$12*I908</f>
        <v>1513.638793891775</v>
      </c>
      <c r="O908" s="75">
        <f>M908+N908</f>
        <v>3002.6273261789847</v>
      </c>
      <c r="P908" s="75">
        <f>(MIN(L908,'THAM_SO_MOI'!$C$41)-O908)/('THAM_SO_MOI'!$C$11*H908)</f>
        <v>0.09093994638001146</v>
      </c>
      <c r="Q908" s="75">
        <f>IF(P908&gt;0,1/P908,NA())</f>
        <v>10.996267754780636</v>
      </c>
      <c r="R908" s="75">
        <f>F908-F907</f>
        <v>0.0035868055555567935</v>
      </c>
      <c r="S908" s="75">
        <f>0.5*(Q907+Q908)*R908</f>
        <v>0.03942577223059118</v>
      </c>
      <c r="T908" s="75">
        <f>0.5*(F907*Q907+F908*Q908)*R908</f>
        <v>0.8894641358555206</v>
      </c>
      <c r="U908" s="76">
        <f>U907+S908</f>
        <v>76.30811722552637</v>
      </c>
      <c r="V908" s="76">
        <f>V907+T908</f>
        <v>1210.952046992227</v>
      </c>
    </row>
    <row r="909" spans="1:22" ht="19" customHeight="1">
      <c r="A909" s="68" t="s">
        <v>362</v>
      </c>
      <c r="B909" s="74">
        <v>5</v>
      </c>
      <c r="C909" s="68" t="s">
        <v>363</v>
      </c>
      <c r="D909" s="68" t="s">
        <v>365</v>
      </c>
      <c r="E909" s="75">
        <f>60*F909*'THAM_SO_MOI'!$C$53/(2*PI()*'THAM_SO_MOI'!$C$26)</f>
        <v>2223.3304736842097</v>
      </c>
      <c r="F909" s="75">
        <f>'THAM_SO_MOI'!$C$14+('THAM_SO_MOI'!$C$37-'THAM_SO_MOI'!$C$14)*102/'THAM_SO_MOI'!$C$42</f>
        <v>22.565854166666664</v>
      </c>
      <c r="G909" s="75">
        <f>3.6*F909</f>
        <v>81.23707499999999</v>
      </c>
      <c r="H909" s="75">
        <f>'THAM_SO_MOI'!$D$53</f>
        <v>1.1</v>
      </c>
      <c r="I909" s="75">
        <f>IF(F909&gt;='THAM_SO_MOI'!$C$14,'THAM_SO_MOI'!$C$13*(1+F909^2/1500),'THAM_SO_MOI'!$C$13)</f>
        <v>0.020092177742712672</v>
      </c>
      <c r="J909" s="75">
        <f>'THAM_SO_MOI'!$C$40*('THAM_SO_MOI'!$C$23*(E909/'THAM_SO_MOI'!$C$22)+'THAM_SO_MOI'!$C$24*(E909/'THAM_SO_MOI'!$C$22)^2-'THAM_SO_MOI'!$C$25*(E909/'THAM_SO_MOI'!$C$22)^3)</f>
        <v>100.09043847134572</v>
      </c>
      <c r="K909" s="75">
        <f>'THAM_SO_MOI'!$C$31*J909/E909</f>
        <v>429.9736974252149</v>
      </c>
      <c r="L909" s="75">
        <f>K909*'THAM_SO_MOI'!$C$53*'THAM_SO_MOI'!$C$17/'THAM_SO_MOI'!$C$26</f>
        <v>3770.871008892693</v>
      </c>
      <c r="M909" s="75">
        <f>'THAM_SO_MOI'!$C$15*'THAM_SO_MOI'!$C$16*F909^2</f>
        <v>1489.461989743457</v>
      </c>
      <c r="N909" s="75">
        <f>'THAM_SO_MOI'!$C$12*I909</f>
        <v>1513.7607448781669</v>
      </c>
      <c r="O909" s="75">
        <f>M909+N909</f>
        <v>3003.222734621624</v>
      </c>
      <c r="P909" s="75">
        <f>(MIN(L909,'THAM_SO_MOI'!$C$41)-O909)/('THAM_SO_MOI'!$C$11*H909)</f>
        <v>0.09086745670822315</v>
      </c>
      <c r="Q909" s="75">
        <f>IF(P909&gt;0,1/P909,NA())</f>
        <v>11.005040046526403</v>
      </c>
      <c r="R909" s="75">
        <f>F909-F908</f>
        <v>0.0035868055555532408</v>
      </c>
      <c r="S909" s="75">
        <f>0.5*(Q908+Q909)*R909</f>
        <v>0.039457206525582475</v>
      </c>
      <c r="T909" s="75">
        <f>0.5*(F908*Q908+F909*Q909)*R909</f>
        <v>0.8903148338308212</v>
      </c>
      <c r="U909" s="76">
        <f>U908+S909</f>
        <v>76.34757443205196</v>
      </c>
      <c r="V909" s="76">
        <f>V908+T909</f>
        <v>1211.8423618260579</v>
      </c>
    </row>
    <row r="910" spans="1:22" ht="19" customHeight="1">
      <c r="A910" s="68" t="s">
        <v>362</v>
      </c>
      <c r="B910" s="74">
        <v>5</v>
      </c>
      <c r="C910" s="68" t="s">
        <v>363</v>
      </c>
      <c r="D910" s="68" t="s">
        <v>365</v>
      </c>
      <c r="E910" s="75">
        <f>60*F910*'THAM_SO_MOI'!$C$53/(2*PI()*'THAM_SO_MOI'!$C$26)</f>
        <v>2223.6838684210525</v>
      </c>
      <c r="F910" s="75">
        <f>'THAM_SO_MOI'!$C$14+('THAM_SO_MOI'!$C$37-'THAM_SO_MOI'!$C$14)*103/'THAM_SO_MOI'!$C$42</f>
        <v>22.56944097222222</v>
      </c>
      <c r="G910" s="75">
        <f>3.6*F910</f>
        <v>81.2499875</v>
      </c>
      <c r="H910" s="75">
        <f>'THAM_SO_MOI'!$D$53</f>
        <v>1.1</v>
      </c>
      <c r="I910" s="75">
        <f>IF(F910&gt;='THAM_SO_MOI'!$C$14,'THAM_SO_MOI'!$C$13*(1+F910^2/1500),'THAM_SO_MOI'!$C$13)</f>
        <v>0.020093796657986232</v>
      </c>
      <c r="J910" s="75">
        <f>'THAM_SO_MOI'!$C$40*('THAM_SO_MOI'!$C$23*(E910/'THAM_SO_MOI'!$C$22)+'THAM_SO_MOI'!$C$24*(E910/'THAM_SO_MOI'!$C$22)^2-'THAM_SO_MOI'!$C$25*(E910/'THAM_SO_MOI'!$C$22)^3)</f>
        <v>100.10589397475002</v>
      </c>
      <c r="K910" s="75">
        <f>'THAM_SO_MOI'!$C$31*J910/E910</f>
        <v>429.97174867330705</v>
      </c>
      <c r="L910" s="75">
        <f>K910*'THAM_SO_MOI'!$C$53*'THAM_SO_MOI'!$C$17/'THAM_SO_MOI'!$C$26</f>
        <v>3770.8539183308353</v>
      </c>
      <c r="M910" s="75">
        <f>'THAM_SO_MOI'!$C$15*'THAM_SO_MOI'!$C$16*F910^2</f>
        <v>1489.9355224609726</v>
      </c>
      <c r="N910" s="75">
        <f>'THAM_SO_MOI'!$C$12*I910</f>
        <v>1513.8827152500091</v>
      </c>
      <c r="O910" s="75">
        <f>M910+N910</f>
        <v>3003.8182377109815</v>
      </c>
      <c r="P910" s="75">
        <f>(MIN(L910,'THAM_SO_MOI'!$C$41)-O910)/('THAM_SO_MOI'!$C$11*H910)</f>
        <v>0.090794943255191</v>
      </c>
      <c r="Q910" s="75">
        <f>IF(P910&gt;0,1/P910,NA())</f>
        <v>11.013829230438196</v>
      </c>
      <c r="R910" s="75">
        <f>F910-F909</f>
        <v>0.0035868055555567935</v>
      </c>
      <c r="S910" s="75">
        <f>0.5*(Q909+Q910)*R910</f>
        <v>0.03948870132484771</v>
      </c>
      <c r="T910" s="75">
        <f>0.5*(F909*Q909+F910*Q910)*R910</f>
        <v>0.8911671227428123</v>
      </c>
      <c r="U910" s="76">
        <f>U909+S910</f>
        <v>76.3870631333768</v>
      </c>
      <c r="V910" s="76">
        <f>V909+T910</f>
        <v>1212.7335289488008</v>
      </c>
    </row>
    <row r="911" spans="1:22" ht="19" customHeight="1">
      <c r="A911" s="68" t="s">
        <v>362</v>
      </c>
      <c r="B911" s="74">
        <v>5</v>
      </c>
      <c r="C911" s="68" t="s">
        <v>363</v>
      </c>
      <c r="D911" s="68" t="s">
        <v>365</v>
      </c>
      <c r="E911" s="75">
        <f>60*F911*'THAM_SO_MOI'!$C$53/(2*PI()*'THAM_SO_MOI'!$C$26)</f>
        <v>2224.0372631578944</v>
      </c>
      <c r="F911" s="75">
        <f>'THAM_SO_MOI'!$C$14+('THAM_SO_MOI'!$C$37-'THAM_SO_MOI'!$C$14)*104/'THAM_SO_MOI'!$C$42</f>
        <v>22.573027777777778</v>
      </c>
      <c r="G911" s="75">
        <f>3.6*F911</f>
        <v>81.2629</v>
      </c>
      <c r="H911" s="75">
        <f>'THAM_SO_MOI'!$D$53</f>
        <v>1.1</v>
      </c>
      <c r="I911" s="75">
        <f>IF(F911&gt;='THAM_SO_MOI'!$C$14,'THAM_SO_MOI'!$C$13*(1+F911^2/1500),'THAM_SO_MOI'!$C$13)</f>
        <v>0.02009541583056327</v>
      </c>
      <c r="J911" s="75">
        <f>'THAM_SO_MOI'!$C$40*('THAM_SO_MOI'!$C$23*(E911/'THAM_SO_MOI'!$C$22)+'THAM_SO_MOI'!$C$24*(E911/'THAM_SO_MOI'!$C$22)^2-'THAM_SO_MOI'!$C$25*(E911/'THAM_SO_MOI'!$C$22)^3)</f>
        <v>100.12134651265673</v>
      </c>
      <c r="K911" s="75">
        <f>'THAM_SO_MOI'!$C$31*J911/E911</f>
        <v>429.9697878054145</v>
      </c>
      <c r="L911" s="75">
        <f>K911*'THAM_SO_MOI'!$C$53*'THAM_SO_MOI'!$C$17/'THAM_SO_MOI'!$C$26</f>
        <v>3770.8367215117455</v>
      </c>
      <c r="M911" s="75">
        <f>'THAM_SO_MOI'!$C$15*'THAM_SO_MOI'!$C$16*F911^2</f>
        <v>1490.4091304397573</v>
      </c>
      <c r="N911" s="75">
        <f>'THAM_SO_MOI'!$C$12*I911</f>
        <v>1514.0047050073013</v>
      </c>
      <c r="O911" s="75">
        <f>M911+N911</f>
        <v>3004.413835447059</v>
      </c>
      <c r="P911" s="75">
        <f>(MIN(L911,'THAM_SO_MOI'!$C$41)-O911)/('THAM_SO_MOI'!$C$11*H911)</f>
        <v>0.09072240602091462</v>
      </c>
      <c r="Q911" s="75">
        <f>IF(P911&gt;0,1/P911,NA())</f>
        <v>11.022635353933026</v>
      </c>
      <c r="R911" s="75">
        <f>F911-F910</f>
        <v>0.0035868055555567935</v>
      </c>
      <c r="S911" s="75">
        <f>0.5*(Q910+Q911)*R911</f>
        <v>0.039520256798026614</v>
      </c>
      <c r="T911" s="75">
        <f>0.5*(F910*Q910+F911*Q911)*R911</f>
        <v>0.8920210070715237</v>
      </c>
      <c r="U911" s="76">
        <f>U910+S911</f>
        <v>76.42658339017483</v>
      </c>
      <c r="V911" s="76">
        <f>V910+T911</f>
        <v>1213.6255499558722</v>
      </c>
    </row>
    <row r="912" spans="1:22" ht="19" customHeight="1">
      <c r="A912" s="68" t="s">
        <v>362</v>
      </c>
      <c r="B912" s="74">
        <v>5</v>
      </c>
      <c r="C912" s="68" t="s">
        <v>363</v>
      </c>
      <c r="D912" s="68" t="s">
        <v>365</v>
      </c>
      <c r="E912" s="75">
        <f>60*F912*'THAM_SO_MOI'!$C$53/(2*PI()*'THAM_SO_MOI'!$C$26)</f>
        <v>2224.3906578947363</v>
      </c>
      <c r="F912" s="75">
        <f>'THAM_SO_MOI'!$C$14+('THAM_SO_MOI'!$C$37-'THAM_SO_MOI'!$C$14)*105/'THAM_SO_MOI'!$C$42</f>
        <v>22.57661458333333</v>
      </c>
      <c r="G912" s="75">
        <f>3.6*F912</f>
        <v>81.2758125</v>
      </c>
      <c r="H912" s="75">
        <f>'THAM_SO_MOI'!$D$53</f>
        <v>1.1</v>
      </c>
      <c r="I912" s="75">
        <f>IF(F912&gt;='THAM_SO_MOI'!$C$14,'THAM_SO_MOI'!$C$13*(1+F912^2/1500),'THAM_SO_MOI'!$C$13)</f>
        <v>0.02009703526044379</v>
      </c>
      <c r="J912" s="75">
        <f>'THAM_SO_MOI'!$C$40*('THAM_SO_MOI'!$C$23*(E912/'THAM_SO_MOI'!$C$22)+'THAM_SO_MOI'!$C$24*(E912/'THAM_SO_MOI'!$C$22)^2-'THAM_SO_MOI'!$C$25*(E912/'THAM_SO_MOI'!$C$22)^3)</f>
        <v>100.1367960837211</v>
      </c>
      <c r="K912" s="75">
        <f>'THAM_SO_MOI'!$C$31*J912/E912</f>
        <v>429.9678148215376</v>
      </c>
      <c r="L912" s="75">
        <f>K912*'THAM_SO_MOI'!$C$53*'THAM_SO_MOI'!$C$17/'THAM_SO_MOI'!$C$26</f>
        <v>3770.8194184354247</v>
      </c>
      <c r="M912" s="75">
        <f>'THAM_SO_MOI'!$C$15*'THAM_SO_MOI'!$C$16*F912^2</f>
        <v>1490.8828136798093</v>
      </c>
      <c r="N912" s="75">
        <f>'THAM_SO_MOI'!$C$12*I912</f>
        <v>1514.1267141500437</v>
      </c>
      <c r="O912" s="75">
        <f>M912+N912</f>
        <v>3005.009527829853</v>
      </c>
      <c r="P912" s="75">
        <f>(MIN(L912,'THAM_SO_MOI'!$C$41)-O912)/('THAM_SO_MOI'!$C$11*H912)</f>
        <v>0.09064984500539439</v>
      </c>
      <c r="Q912" s="75">
        <f>IF(P912&gt;0,1/P912,NA())</f>
        <v>11.031458464606223</v>
      </c>
      <c r="R912" s="75">
        <f>F912-F911</f>
        <v>0.0035868055555532408</v>
      </c>
      <c r="S912" s="75">
        <f>0.5*(Q911+Q912)*R912</f>
        <v>0.03955187311551449</v>
      </c>
      <c r="T912" s="75">
        <f>0.5*(F911*Q911+F912*Q912)*R912</f>
        <v>0.8928764913164758</v>
      </c>
      <c r="U912" s="76">
        <f>U911+S912</f>
        <v>76.46613526329034</v>
      </c>
      <c r="V912" s="76">
        <f>V911+T912</f>
        <v>1214.5184264471886</v>
      </c>
    </row>
    <row r="913" spans="1:22" ht="19" customHeight="1">
      <c r="A913" s="68" t="s">
        <v>362</v>
      </c>
      <c r="B913" s="74">
        <v>5</v>
      </c>
      <c r="C913" s="68" t="s">
        <v>363</v>
      </c>
      <c r="D913" s="68" t="s">
        <v>365</v>
      </c>
      <c r="E913" s="75">
        <f>60*F913*'THAM_SO_MOI'!$C$53/(2*PI()*'THAM_SO_MOI'!$C$26)</f>
        <v>2224.744052631578</v>
      </c>
      <c r="F913" s="75">
        <f>'THAM_SO_MOI'!$C$14+('THAM_SO_MOI'!$C$37-'THAM_SO_MOI'!$C$14)*106/'THAM_SO_MOI'!$C$42</f>
        <v>22.580201388888888</v>
      </c>
      <c r="G913" s="75">
        <f>3.6*F913</f>
        <v>81.288725</v>
      </c>
      <c r="H913" s="75">
        <f>'THAM_SO_MOI'!$D$53</f>
        <v>1.1</v>
      </c>
      <c r="I913" s="75">
        <f>IF(F913&gt;='THAM_SO_MOI'!$C$14,'THAM_SO_MOI'!$C$13*(1+F913^2/1500),'THAM_SO_MOI'!$C$13)</f>
        <v>0.020098654947627796</v>
      </c>
      <c r="J913" s="75">
        <f>'THAM_SO_MOI'!$C$40*('THAM_SO_MOI'!$C$23*(E913/'THAM_SO_MOI'!$C$22)+'THAM_SO_MOI'!$C$24*(E913/'THAM_SO_MOI'!$C$22)^2-'THAM_SO_MOI'!$C$25*(E913/'THAM_SO_MOI'!$C$22)^3)</f>
        <v>100.15224268659816</v>
      </c>
      <c r="K913" s="75">
        <f>'THAM_SO_MOI'!$C$31*J913/E913</f>
        <v>429.9658297216762</v>
      </c>
      <c r="L913" s="75">
        <f>K913*'THAM_SO_MOI'!$C$53*'THAM_SO_MOI'!$C$17/'THAM_SO_MOI'!$C$26</f>
        <v>3770.802009101873</v>
      </c>
      <c r="M913" s="75">
        <f>'THAM_SO_MOI'!$C$15*'THAM_SO_MOI'!$C$16*F913^2</f>
        <v>1491.3565721811308</v>
      </c>
      <c r="N913" s="75">
        <f>'THAM_SO_MOI'!$C$12*I913</f>
        <v>1514.2487426782363</v>
      </c>
      <c r="O913" s="75">
        <f>M913+N913</f>
        <v>3005.6053148593674</v>
      </c>
      <c r="P913" s="75">
        <f>(MIN(L913,'THAM_SO_MOI'!$C$41)-O913)/('THAM_SO_MOI'!$C$11*H913)</f>
        <v>0.09057726020862998</v>
      </c>
      <c r="Q913" s="75">
        <f>IF(P913&gt;0,1/P913,NA())</f>
        <v>11.040298610232444</v>
      </c>
      <c r="R913" s="75">
        <f>F913-F912</f>
        <v>0.0035868055555567935</v>
      </c>
      <c r="S913" s="75">
        <f>0.5*(Q912+Q913)*R913</f>
        <v>0.03958355044846564</v>
      </c>
      <c r="T913" s="75">
        <f>0.5*(F912*Q912+F913*Q913)*R913</f>
        <v>0.8937335799967718</v>
      </c>
      <c r="U913" s="76">
        <f>U912+S913</f>
        <v>76.50571881373881</v>
      </c>
      <c r="V913" s="76">
        <f>V912+T913</f>
        <v>1215.4121600271853</v>
      </c>
    </row>
    <row r="914" spans="1:22" ht="19" customHeight="1">
      <c r="A914" s="68" t="s">
        <v>362</v>
      </c>
      <c r="B914" s="74">
        <v>5</v>
      </c>
      <c r="C914" s="68" t="s">
        <v>363</v>
      </c>
      <c r="D914" s="68" t="s">
        <v>365</v>
      </c>
      <c r="E914" s="75">
        <f>60*F914*'THAM_SO_MOI'!$C$53/(2*PI()*'THAM_SO_MOI'!$C$26)</f>
        <v>2225.0974473684205</v>
      </c>
      <c r="F914" s="75">
        <f>'THAM_SO_MOI'!$C$14+('THAM_SO_MOI'!$C$37-'THAM_SO_MOI'!$C$14)*107/'THAM_SO_MOI'!$C$42</f>
        <v>22.583788194444445</v>
      </c>
      <c r="G914" s="75">
        <f>3.6*F914</f>
        <v>81.3016375</v>
      </c>
      <c r="H914" s="75">
        <f>'THAM_SO_MOI'!$D$53</f>
        <v>1.1</v>
      </c>
      <c r="I914" s="75">
        <f>IF(F914&gt;='THAM_SO_MOI'!$C$14,'THAM_SO_MOI'!$C$13*(1+F914^2/1500),'THAM_SO_MOI'!$C$13)</f>
        <v>0.020100274892115282</v>
      </c>
      <c r="J914" s="75">
        <f>'THAM_SO_MOI'!$C$40*('THAM_SO_MOI'!$C$23*(E914/'THAM_SO_MOI'!$C$22)+'THAM_SO_MOI'!$C$24*(E914/'THAM_SO_MOI'!$C$22)^2-'THAM_SO_MOI'!$C$25*(E914/'THAM_SO_MOI'!$C$22)^3)</f>
        <v>100.16768631994312</v>
      </c>
      <c r="K914" s="75">
        <f>'THAM_SO_MOI'!$C$31*J914/E914</f>
        <v>429.9638325058304</v>
      </c>
      <c r="L914" s="75">
        <f>K914*'THAM_SO_MOI'!$C$53*'THAM_SO_MOI'!$C$17/'THAM_SO_MOI'!$C$26</f>
        <v>3770.7844935110897</v>
      </c>
      <c r="M914" s="75">
        <f>'THAM_SO_MOI'!$C$15*'THAM_SO_MOI'!$C$16*F914^2</f>
        <v>1491.8304059437203</v>
      </c>
      <c r="N914" s="75">
        <f>'THAM_SO_MOI'!$C$12*I914</f>
        <v>1514.370790591879</v>
      </c>
      <c r="O914" s="75">
        <f>M914+N914</f>
        <v>3006.2011965355996</v>
      </c>
      <c r="P914" s="75">
        <f>(MIN(L914,'THAM_SO_MOI'!$C$41)-O914)/('THAM_SO_MOI'!$C$11*H914)</f>
        <v>0.09050465163062146</v>
      </c>
      <c r="Q914" s="75">
        <f>IF(P914&gt;0,1/P914,NA())</f>
        <v>11.0491558387664</v>
      </c>
      <c r="R914" s="75">
        <f>F914-F913</f>
        <v>0.0035868055555567935</v>
      </c>
      <c r="S914" s="75">
        <f>0.5*(Q913+Q914)*R914</f>
        <v>0.03961528896844389</v>
      </c>
      <c r="T914" s="75">
        <f>0.5*(F913*Q913+F914*Q914)*R914</f>
        <v>0.8945922776432166</v>
      </c>
      <c r="U914" s="76">
        <f>U913+S914</f>
        <v>76.54533410270726</v>
      </c>
      <c r="V914" s="76">
        <f>V913+T914</f>
        <v>1216.3067523048285</v>
      </c>
    </row>
    <row r="915" spans="1:22" ht="19" customHeight="1">
      <c r="A915" s="68" t="s">
        <v>362</v>
      </c>
      <c r="B915" s="74">
        <v>5</v>
      </c>
      <c r="C915" s="68" t="s">
        <v>363</v>
      </c>
      <c r="D915" s="68" t="s">
        <v>365</v>
      </c>
      <c r="E915" s="75">
        <f>60*F915*'THAM_SO_MOI'!$C$53/(2*PI()*'THAM_SO_MOI'!$C$26)</f>
        <v>2225.4508421052624</v>
      </c>
      <c r="F915" s="75">
        <f>'THAM_SO_MOI'!$C$14+('THAM_SO_MOI'!$C$37-'THAM_SO_MOI'!$C$14)*108/'THAM_SO_MOI'!$C$42</f>
        <v>22.587374999999998</v>
      </c>
      <c r="G915" s="75">
        <f>3.6*F915</f>
        <v>81.31455</v>
      </c>
      <c r="H915" s="75">
        <f>'THAM_SO_MOI'!$D$53</f>
        <v>1.1</v>
      </c>
      <c r="I915" s="75">
        <f>IF(F915&gt;='THAM_SO_MOI'!$C$14,'THAM_SO_MOI'!$C$13*(1+F915^2/1500),'THAM_SO_MOI'!$C$13)</f>
        <v>0.02010189509390625</v>
      </c>
      <c r="J915" s="75">
        <f>'THAM_SO_MOI'!$C$40*('THAM_SO_MOI'!$C$23*(E915/'THAM_SO_MOI'!$C$22)+'THAM_SO_MOI'!$C$24*(E915/'THAM_SO_MOI'!$C$22)^2-'THAM_SO_MOI'!$C$25*(E915/'THAM_SO_MOI'!$C$22)^3)</f>
        <v>100.18312698241104</v>
      </c>
      <c r="K915" s="75">
        <f>'THAM_SO_MOI'!$C$31*J915/E915</f>
        <v>429.9618231740003</v>
      </c>
      <c r="L915" s="75">
        <f>K915*'THAM_SO_MOI'!$C$53*'THAM_SO_MOI'!$C$17/'THAM_SO_MOI'!$C$26</f>
        <v>3770.766871663078</v>
      </c>
      <c r="M915" s="75">
        <f>'THAM_SO_MOI'!$C$15*'THAM_SO_MOI'!$C$16*F915^2</f>
        <v>1492.304314967578</v>
      </c>
      <c r="N915" s="75">
        <f>'THAM_SO_MOI'!$C$12*I915</f>
        <v>1514.492857890972</v>
      </c>
      <c r="O915" s="75">
        <f>M915+N915</f>
        <v>3006.79717285855</v>
      </c>
      <c r="P915" s="75">
        <f>(MIN(L915,'THAM_SO_MOI'!$C$41)-O915)/('THAM_SO_MOI'!$C$11*H915)</f>
        <v>0.09043201927136935</v>
      </c>
      <c r="Q915" s="75">
        <f>IF(P915&gt;0,1/P915,NA())</f>
        <v>11.058030198343682</v>
      </c>
      <c r="R915" s="75">
        <f>F915-F914</f>
        <v>0.0035868055555532408</v>
      </c>
      <c r="S915" s="75">
        <f>0.5*(Q914+Q915)*R915</f>
        <v>0.03964708884777774</v>
      </c>
      <c r="T915" s="75">
        <f>0.5*(F914*Q914+F915*Q915)*R915</f>
        <v>0.8954525888063484</v>
      </c>
      <c r="U915" s="76">
        <f>U914+S915</f>
        <v>76.58498119155503</v>
      </c>
      <c r="V915" s="76">
        <f>V914+T915</f>
        <v>1217.2022048936349</v>
      </c>
    </row>
    <row r="916" spans="1:22" ht="19" customHeight="1">
      <c r="A916" s="68" t="s">
        <v>362</v>
      </c>
      <c r="B916" s="74">
        <v>5</v>
      </c>
      <c r="C916" s="68" t="s">
        <v>363</v>
      </c>
      <c r="D916" s="68" t="s">
        <v>365</v>
      </c>
      <c r="E916" s="75">
        <f>60*F916*'THAM_SO_MOI'!$C$53/(2*PI()*'THAM_SO_MOI'!$C$26)</f>
        <v>2225.804236842105</v>
      </c>
      <c r="F916" s="75">
        <f>'THAM_SO_MOI'!$C$14+('THAM_SO_MOI'!$C$37-'THAM_SO_MOI'!$C$14)*109/'THAM_SO_MOI'!$C$42</f>
        <v>22.590961805555555</v>
      </c>
      <c r="G916" s="75">
        <f>3.6*F916</f>
        <v>81.3274625</v>
      </c>
      <c r="H916" s="75">
        <f>'THAM_SO_MOI'!$D$53</f>
        <v>1.1</v>
      </c>
      <c r="I916" s="75">
        <f>IF(F916&gt;='THAM_SO_MOI'!$C$14,'THAM_SO_MOI'!$C$13*(1+F916^2/1500),'THAM_SO_MOI'!$C$13)</f>
        <v>0.020103515553000696</v>
      </c>
      <c r="J916" s="75">
        <f>'THAM_SO_MOI'!$C$40*('THAM_SO_MOI'!$C$23*(E916/'THAM_SO_MOI'!$C$22)+'THAM_SO_MOI'!$C$24*(E916/'THAM_SO_MOI'!$C$22)^2-'THAM_SO_MOI'!$C$25*(E916/'THAM_SO_MOI'!$C$22)^3)</f>
        <v>100.19856467265697</v>
      </c>
      <c r="K916" s="75">
        <f>'THAM_SO_MOI'!$C$31*J916/E916</f>
        <v>429.9598017261854</v>
      </c>
      <c r="L916" s="75">
        <f>K916*'THAM_SO_MOI'!$C$53*'THAM_SO_MOI'!$C$17/'THAM_SO_MOI'!$C$26</f>
        <v>3770.7491435578313</v>
      </c>
      <c r="M916" s="75">
        <f>'THAM_SO_MOI'!$C$15*'THAM_SO_MOI'!$C$16*F916^2</f>
        <v>1492.7782992527045</v>
      </c>
      <c r="N916" s="75">
        <f>'THAM_SO_MOI'!$C$12*I916</f>
        <v>1514.614944575515</v>
      </c>
      <c r="O916" s="75">
        <f>M916+N916</f>
        <v>3007.3932438282195</v>
      </c>
      <c r="P916" s="75">
        <f>(MIN(L916,'THAM_SO_MOI'!$C$41)-O916)/('THAM_SO_MOI'!$C$11*H916)</f>
        <v>0.0903593631308726</v>
      </c>
      <c r="Q916" s="75">
        <f>IF(P916&gt;0,1/P916,NA())</f>
        <v>11.06692173728187</v>
      </c>
      <c r="R916" s="75">
        <f>F916-F915</f>
        <v>0.0035868055555567935</v>
      </c>
      <c r="S916" s="75">
        <f>0.5*(Q915+Q916)*R916</f>
        <v>0.03967895025956438</v>
      </c>
      <c r="T916" s="75">
        <f>0.5*(F915*Q915+F916*Q916)*R916</f>
        <v>0.8963145180565418</v>
      </c>
      <c r="U916" s="76">
        <f>U915+S916</f>
        <v>76.6246601418146</v>
      </c>
      <c r="V916" s="76">
        <f>V915+T916</f>
        <v>1218.0985194116913</v>
      </c>
    </row>
    <row r="917" spans="1:22" ht="19" customHeight="1">
      <c r="A917" s="68" t="s">
        <v>362</v>
      </c>
      <c r="B917" s="74">
        <v>5</v>
      </c>
      <c r="C917" s="68" t="s">
        <v>363</v>
      </c>
      <c r="D917" s="68" t="s">
        <v>365</v>
      </c>
      <c r="E917" s="75">
        <f>60*F917*'THAM_SO_MOI'!$C$53/(2*PI()*'THAM_SO_MOI'!$C$26)</f>
        <v>2226.157631578947</v>
      </c>
      <c r="F917" s="75">
        <f>'THAM_SO_MOI'!$C$14+('THAM_SO_MOI'!$C$37-'THAM_SO_MOI'!$C$14)*110/'THAM_SO_MOI'!$C$42</f>
        <v>22.59454861111111</v>
      </c>
      <c r="G917" s="75">
        <f>3.6*F917</f>
        <v>81.34037500000001</v>
      </c>
      <c r="H917" s="75">
        <f>'THAM_SO_MOI'!$D$53</f>
        <v>1.1</v>
      </c>
      <c r="I917" s="75">
        <f>IF(F917&gt;='THAM_SO_MOI'!$C$14,'THAM_SO_MOI'!$C$13*(1+F917^2/1500),'THAM_SO_MOI'!$C$13)</f>
        <v>0.020105136269398628</v>
      </c>
      <c r="J917" s="75">
        <f>'THAM_SO_MOI'!$C$40*('THAM_SO_MOI'!$C$23*(E917/'THAM_SO_MOI'!$C$22)+'THAM_SO_MOI'!$C$24*(E917/'THAM_SO_MOI'!$C$22)^2-'THAM_SO_MOI'!$C$25*(E917/'THAM_SO_MOI'!$C$22)^3)</f>
        <v>100.21399938933608</v>
      </c>
      <c r="K917" s="75">
        <f>'THAM_SO_MOI'!$C$31*J917/E917</f>
        <v>429.9577681623862</v>
      </c>
      <c r="L917" s="75">
        <f>K917*'THAM_SO_MOI'!$C$53*'THAM_SO_MOI'!$C$17/'THAM_SO_MOI'!$C$26</f>
        <v>3770.7313091953542</v>
      </c>
      <c r="M917" s="75">
        <f>'THAM_SO_MOI'!$C$15*'THAM_SO_MOI'!$C$16*F917^2</f>
        <v>1493.2523587990997</v>
      </c>
      <c r="N917" s="75">
        <f>'THAM_SO_MOI'!$C$12*I917</f>
        <v>1514.7370506455081</v>
      </c>
      <c r="O917" s="75">
        <f>M917+N917</f>
        <v>3007.989409444608</v>
      </c>
      <c r="P917" s="75">
        <f>(MIN(L917,'THAM_SO_MOI'!$C$41)-O917)/('THAM_SO_MOI'!$C$11*H917)</f>
        <v>0.09028668320913194</v>
      </c>
      <c r="Q917" s="75">
        <f>IF(P917&gt;0,1/P917,NA())</f>
        <v>11.075830504080985</v>
      </c>
      <c r="R917" s="75">
        <f>F917-F916</f>
        <v>0.0035868055555567935</v>
      </c>
      <c r="S917" s="75">
        <f>0.5*(Q916+Q917)*R917</f>
        <v>0.03971087337731897</v>
      </c>
      <c r="T917" s="75">
        <f>0.5*(F916*Q916+F917*Q917)*R917</f>
        <v>0.8971780699760974</v>
      </c>
      <c r="U917" s="76">
        <f>U916+S917</f>
        <v>76.66437101519192</v>
      </c>
      <c r="V917" s="76">
        <f>V916+T917</f>
        <v>1218.9956974816673</v>
      </c>
    </row>
    <row r="918" spans="1:22" ht="19" customHeight="1">
      <c r="A918" s="68" t="s">
        <v>362</v>
      </c>
      <c r="B918" s="74">
        <v>5</v>
      </c>
      <c r="C918" s="68" t="s">
        <v>363</v>
      </c>
      <c r="D918" s="68" t="s">
        <v>365</v>
      </c>
      <c r="E918" s="75">
        <f>60*F918*'THAM_SO_MOI'!$C$53/(2*PI()*'THAM_SO_MOI'!$C$26)</f>
        <v>2226.511026315789</v>
      </c>
      <c r="F918" s="75">
        <f>'THAM_SO_MOI'!$C$14+('THAM_SO_MOI'!$C$37-'THAM_SO_MOI'!$C$14)*111/'THAM_SO_MOI'!$C$42</f>
        <v>22.598135416666665</v>
      </c>
      <c r="G918" s="75">
        <f>3.6*F918</f>
        <v>81.3532875</v>
      </c>
      <c r="H918" s="75">
        <f>'THAM_SO_MOI'!$D$53</f>
        <v>1.1</v>
      </c>
      <c r="I918" s="75">
        <f>IF(F918&gt;='THAM_SO_MOI'!$C$14,'THAM_SO_MOI'!$C$13*(1+F918^2/1500),'THAM_SO_MOI'!$C$13)</f>
        <v>0.02010675724310004</v>
      </c>
      <c r="J918" s="75">
        <f>'THAM_SO_MOI'!$C$40*('THAM_SO_MOI'!$C$23*(E918/'THAM_SO_MOI'!$C$22)+'THAM_SO_MOI'!$C$24*(E918/'THAM_SO_MOI'!$C$22)^2-'THAM_SO_MOI'!$C$25*(E918/'THAM_SO_MOI'!$C$22)^3)</f>
        <v>100.22943113110348</v>
      </c>
      <c r="K918" s="75">
        <f>'THAM_SO_MOI'!$C$31*J918/E918</f>
        <v>429.95572248260254</v>
      </c>
      <c r="L918" s="75">
        <f>K918*'THAM_SO_MOI'!$C$53*'THAM_SO_MOI'!$C$17/'THAM_SO_MOI'!$C$26</f>
        <v>3770.7133685756476</v>
      </c>
      <c r="M918" s="75">
        <f>'THAM_SO_MOI'!$C$15*'THAM_SO_MOI'!$C$16*F918^2</f>
        <v>1493.7264936067627</v>
      </c>
      <c r="N918" s="75">
        <f>'THAM_SO_MOI'!$C$12*I918</f>
        <v>1514.8591761009516</v>
      </c>
      <c r="O918" s="75">
        <f>M918+N918</f>
        <v>3008.5856697077143</v>
      </c>
      <c r="P918" s="75">
        <f>(MIN(L918,'THAM_SO_MOI'!$C$41)-O918)/('THAM_SO_MOI'!$C$11*H918)</f>
        <v>0.0902139795061474</v>
      </c>
      <c r="Q918" s="75">
        <f>IF(P918&gt;0,1/P918,NA())</f>
        <v>11.084756547424643</v>
      </c>
      <c r="R918" s="75">
        <f>F918-F917</f>
        <v>0.0035868055555532408</v>
      </c>
      <c r="S918" s="75">
        <f>0.5*(Q917+Q918)*R918</f>
        <v>0.0397428583753308</v>
      </c>
      <c r="T918" s="75">
        <f>0.5*(F917*Q917+F918*Q918)*R918</f>
        <v>0.8980432491672986</v>
      </c>
      <c r="U918" s="76">
        <f>U917+S918</f>
        <v>76.70411387356725</v>
      </c>
      <c r="V918" s="76">
        <f>V917+T918</f>
        <v>1219.8937407308347</v>
      </c>
    </row>
    <row r="919" spans="1:22" ht="19" customHeight="1">
      <c r="A919" s="68" t="s">
        <v>362</v>
      </c>
      <c r="B919" s="74">
        <v>5</v>
      </c>
      <c r="C919" s="68" t="s">
        <v>363</v>
      </c>
      <c r="D919" s="68" t="s">
        <v>365</v>
      </c>
      <c r="E919" s="75">
        <f>60*F919*'THAM_SO_MOI'!$C$53/(2*PI()*'THAM_SO_MOI'!$C$26)</f>
        <v>2226.864421052631</v>
      </c>
      <c r="F919" s="75">
        <f>'THAM_SO_MOI'!$C$14+('THAM_SO_MOI'!$C$37-'THAM_SO_MOI'!$C$14)*112/'THAM_SO_MOI'!$C$42</f>
        <v>22.60172222222222</v>
      </c>
      <c r="G919" s="75">
        <f>3.6*F919</f>
        <v>81.3662</v>
      </c>
      <c r="H919" s="75">
        <f>'THAM_SO_MOI'!$D$53</f>
        <v>1.1</v>
      </c>
      <c r="I919" s="75">
        <f>IF(F919&gt;='THAM_SO_MOI'!$C$14,'THAM_SO_MOI'!$C$13*(1+F919^2/1500),'THAM_SO_MOI'!$C$13)</f>
        <v>0.02010837847410494</v>
      </c>
      <c r="J919" s="75">
        <f>'THAM_SO_MOI'!$C$40*('THAM_SO_MOI'!$C$23*(E919/'THAM_SO_MOI'!$C$22)+'THAM_SO_MOI'!$C$24*(E919/'THAM_SO_MOI'!$C$22)^2-'THAM_SO_MOI'!$C$25*(E919/'THAM_SO_MOI'!$C$22)^3)</f>
        <v>100.24485989661429</v>
      </c>
      <c r="K919" s="75">
        <f>'THAM_SO_MOI'!$C$31*J919/E919</f>
        <v>429.9536646868345</v>
      </c>
      <c r="L919" s="75">
        <f>K919*'THAM_SO_MOI'!$C$53*'THAM_SO_MOI'!$C$17/'THAM_SO_MOI'!$C$26</f>
        <v>3770.69532169871</v>
      </c>
      <c r="M919" s="75">
        <f>'THAM_SO_MOI'!$C$15*'THAM_SO_MOI'!$C$16*F919^2</f>
        <v>1494.2007036756945</v>
      </c>
      <c r="N919" s="75">
        <f>'THAM_SO_MOI'!$C$12*I919</f>
        <v>1514.9813209418455</v>
      </c>
      <c r="O919" s="75">
        <f>M919+N919</f>
        <v>3009.1820246175403</v>
      </c>
      <c r="P919" s="75">
        <f>(MIN(L919,'THAM_SO_MOI'!$C$41)-O919)/('THAM_SO_MOI'!$C$11*H919)</f>
        <v>0.09014125202191878</v>
      </c>
      <c r="Q919" s="75">
        <f>IF(P919&gt;0,1/P919,NA())</f>
        <v>11.093699916180881</v>
      </c>
      <c r="R919" s="75">
        <f>F919-F918</f>
        <v>0.0035868055555567935</v>
      </c>
      <c r="S919" s="75">
        <f>0.5*(Q918+Q919)*R919</f>
        <v>0.039774905428667386</v>
      </c>
      <c r="T919" s="75">
        <f>0.5*(F918*Q918+F919*Q919)*R919</f>
        <v>0.8989100602525162</v>
      </c>
      <c r="U919" s="76">
        <f>U918+S919</f>
        <v>76.74388877899592</v>
      </c>
      <c r="V919" s="76">
        <f>V918+T919</f>
        <v>1220.7926507910872</v>
      </c>
    </row>
    <row r="920" spans="1:22" ht="19" customHeight="1">
      <c r="A920" s="68" t="s">
        <v>362</v>
      </c>
      <c r="B920" s="74">
        <v>5</v>
      </c>
      <c r="C920" s="68" t="s">
        <v>363</v>
      </c>
      <c r="D920" s="68" t="s">
        <v>365</v>
      </c>
      <c r="E920" s="75">
        <f>60*F920*'THAM_SO_MOI'!$C$53/(2*PI()*'THAM_SO_MOI'!$C$26)</f>
        <v>2227.217815789473</v>
      </c>
      <c r="F920" s="75">
        <f>'THAM_SO_MOI'!$C$14+('THAM_SO_MOI'!$C$37-'THAM_SO_MOI'!$C$14)*113/'THAM_SO_MOI'!$C$42</f>
        <v>22.60530902777778</v>
      </c>
      <c r="G920" s="75">
        <f>3.6*F920</f>
        <v>81.3791125</v>
      </c>
      <c r="H920" s="75">
        <f>'THAM_SO_MOI'!$D$53</f>
        <v>1.1</v>
      </c>
      <c r="I920" s="75">
        <f>IF(F920&gt;='THAM_SO_MOI'!$C$14,'THAM_SO_MOI'!$C$13*(1+F920^2/1500),'THAM_SO_MOI'!$C$13)</f>
        <v>0.020109999962413316</v>
      </c>
      <c r="J920" s="75">
        <f>'THAM_SO_MOI'!$C$40*('THAM_SO_MOI'!$C$23*(E920/'THAM_SO_MOI'!$C$22)+'THAM_SO_MOI'!$C$24*(E920/'THAM_SO_MOI'!$C$22)^2-'THAM_SO_MOI'!$C$25*(E920/'THAM_SO_MOI'!$C$22)^3)</f>
        <v>100.26028568452357</v>
      </c>
      <c r="K920" s="75">
        <f>'THAM_SO_MOI'!$C$31*J920/E920</f>
        <v>429.9515947750818</v>
      </c>
      <c r="L920" s="75">
        <f>K920*'THAM_SO_MOI'!$C$53*'THAM_SO_MOI'!$C$17/'THAM_SO_MOI'!$C$26</f>
        <v>3770.677168564539</v>
      </c>
      <c r="M920" s="75">
        <f>'THAM_SO_MOI'!$C$15*'THAM_SO_MOI'!$C$16*F920^2</f>
        <v>1494.6749890058948</v>
      </c>
      <c r="N920" s="75">
        <f>'THAM_SO_MOI'!$C$12*I920</f>
        <v>1515.103485168189</v>
      </c>
      <c r="O920" s="75">
        <f>M920+N920</f>
        <v>3009.778474174084</v>
      </c>
      <c r="P920" s="75">
        <f>(MIN(L920,'THAM_SO_MOI'!$C$41)-O920)/('THAM_SO_MOI'!$C$11*H920)</f>
        <v>0.09006850075644594</v>
      </c>
      <c r="Q920" s="75">
        <f>IF(P920&gt;0,1/P920,NA())</f>
        <v>11.10266065940298</v>
      </c>
      <c r="R920" s="75">
        <f>F920-F919</f>
        <v>0.0035868055555567935</v>
      </c>
      <c r="S920" s="75">
        <f>0.5*(Q919+Q920)*R920</f>
        <v>0.03980701471282299</v>
      </c>
      <c r="T920" s="75">
        <f>0.5*(F919*Q919+F920*Q920)*R920</f>
        <v>0.8997785078662797</v>
      </c>
      <c r="U920" s="76">
        <f>U919+S920</f>
        <v>76.78369579370874</v>
      </c>
      <c r="V920" s="76">
        <f>V919+T920</f>
        <v>1221.6924292989536</v>
      </c>
    </row>
    <row r="921" spans="1:22" ht="19" customHeight="1">
      <c r="A921" s="68" t="s">
        <v>362</v>
      </c>
      <c r="B921" s="74">
        <v>5</v>
      </c>
      <c r="C921" s="68" t="s">
        <v>363</v>
      </c>
      <c r="D921" s="68" t="s">
        <v>365</v>
      </c>
      <c r="E921" s="75">
        <f>60*F921*'THAM_SO_MOI'!$C$53/(2*PI()*'THAM_SO_MOI'!$C$26)</f>
        <v>2227.571210526315</v>
      </c>
      <c r="F921" s="75">
        <f>'THAM_SO_MOI'!$C$14+('THAM_SO_MOI'!$C$37-'THAM_SO_MOI'!$C$14)*114/'THAM_SO_MOI'!$C$42</f>
        <v>22.60889583333333</v>
      </c>
      <c r="G921" s="75">
        <f>3.6*F921</f>
        <v>81.39202499999999</v>
      </c>
      <c r="H921" s="75">
        <f>'THAM_SO_MOI'!$D$53</f>
        <v>1.1</v>
      </c>
      <c r="I921" s="75">
        <f>IF(F921&gt;='THAM_SO_MOI'!$C$14,'THAM_SO_MOI'!$C$13*(1+F921^2/1500),'THAM_SO_MOI'!$C$13)</f>
        <v>0.02011162170802517</v>
      </c>
      <c r="J921" s="75">
        <f>'THAM_SO_MOI'!$C$40*('THAM_SO_MOI'!$C$23*(E921/'THAM_SO_MOI'!$C$22)+'THAM_SO_MOI'!$C$24*(E921/'THAM_SO_MOI'!$C$22)^2-'THAM_SO_MOI'!$C$25*(E921/'THAM_SO_MOI'!$C$22)^3)</f>
        <v>100.27570849348648</v>
      </c>
      <c r="K921" s="75">
        <f>'THAM_SO_MOI'!$C$31*J921/E921</f>
        <v>429.9495127473448</v>
      </c>
      <c r="L921" s="75">
        <f>K921*'THAM_SO_MOI'!$C$53*'THAM_SO_MOI'!$C$17/'THAM_SO_MOI'!$C$26</f>
        <v>3770.6589091731385</v>
      </c>
      <c r="M921" s="75">
        <f>'THAM_SO_MOI'!$C$15*'THAM_SO_MOI'!$C$16*F921^2</f>
        <v>1495.1493495973632</v>
      </c>
      <c r="N921" s="75">
        <f>'THAM_SO_MOI'!$C$12*I921</f>
        <v>1515.2256687799827</v>
      </c>
      <c r="O921" s="75">
        <f>M921+N921</f>
        <v>3010.375018377346</v>
      </c>
      <c r="P921" s="75">
        <f>(MIN(L921,'THAM_SO_MOI'!$C$41)-O921)/('THAM_SO_MOI'!$C$11*H921)</f>
        <v>0.08999572570972923</v>
      </c>
      <c r="Q921" s="75">
        <f>IF(P921&gt;0,1/P921,NA())</f>
        <v>11.111638826330308</v>
      </c>
      <c r="R921" s="75">
        <f>F921-F920</f>
        <v>0.0035868055555532408</v>
      </c>
      <c r="S921" s="75">
        <f>0.5*(Q920+Q921)*R921</f>
        <v>0.03983918640407583</v>
      </c>
      <c r="T921" s="75">
        <f>0.5*(F920*Q920+F921*Q921)*R921</f>
        <v>0.9006485966633586</v>
      </c>
      <c r="U921" s="76">
        <f>U920+S921</f>
        <v>76.82353498011283</v>
      </c>
      <c r="V921" s="76">
        <f>V920+T921</f>
        <v>1222.593077895617</v>
      </c>
    </row>
    <row r="922" spans="1:22" ht="19" customHeight="1">
      <c r="A922" s="68" t="s">
        <v>362</v>
      </c>
      <c r="B922" s="74">
        <v>5</v>
      </c>
      <c r="C922" s="68" t="s">
        <v>363</v>
      </c>
      <c r="D922" s="68" t="s">
        <v>365</v>
      </c>
      <c r="E922" s="75">
        <f>60*F922*'THAM_SO_MOI'!$C$53/(2*PI()*'THAM_SO_MOI'!$C$26)</f>
        <v>2227.9246052631574</v>
      </c>
      <c r="F922" s="75">
        <f>'THAM_SO_MOI'!$C$14+('THAM_SO_MOI'!$C$37-'THAM_SO_MOI'!$C$14)*115/'THAM_SO_MOI'!$C$42</f>
        <v>22.61248263888889</v>
      </c>
      <c r="G922" s="75">
        <f>3.6*F922</f>
        <v>81.4049375</v>
      </c>
      <c r="H922" s="75">
        <f>'THAM_SO_MOI'!$D$53</f>
        <v>1.1</v>
      </c>
      <c r="I922" s="75">
        <f>IF(F922&gt;='THAM_SO_MOI'!$C$14,'THAM_SO_MOI'!$C$13*(1+F922^2/1500),'THAM_SO_MOI'!$C$13)</f>
        <v>0.020113243710940514</v>
      </c>
      <c r="J922" s="75">
        <f>'THAM_SO_MOI'!$C$40*('THAM_SO_MOI'!$C$23*(E922/'THAM_SO_MOI'!$C$22)+'THAM_SO_MOI'!$C$24*(E922/'THAM_SO_MOI'!$C$22)^2-'THAM_SO_MOI'!$C$25*(E922/'THAM_SO_MOI'!$C$22)^3)</f>
        <v>100.29112832215814</v>
      </c>
      <c r="K922" s="75">
        <f>'THAM_SO_MOI'!$C$31*J922/E922</f>
        <v>429.9474186036234</v>
      </c>
      <c r="L922" s="75">
        <f>K922*'THAM_SO_MOI'!$C$53*'THAM_SO_MOI'!$C$17/'THAM_SO_MOI'!$C$26</f>
        <v>3770.640543524508</v>
      </c>
      <c r="M922" s="75">
        <f>'THAM_SO_MOI'!$C$15*'THAM_SO_MOI'!$C$16*F922^2</f>
        <v>1495.6237854501005</v>
      </c>
      <c r="N922" s="75">
        <f>'THAM_SO_MOI'!$C$12*I922</f>
        <v>1515.347871777227</v>
      </c>
      <c r="O922" s="75">
        <f>M922+N922</f>
        <v>3010.9716572273273</v>
      </c>
      <c r="P922" s="75">
        <f>(MIN(L922,'THAM_SO_MOI'!$C$41)-O922)/('THAM_SO_MOI'!$C$11*H922)</f>
        <v>0.0899229268817685</v>
      </c>
      <c r="Q922" s="75">
        <f>IF(P922&gt;0,1/P922,NA())</f>
        <v>11.120634466389303</v>
      </c>
      <c r="R922" s="75">
        <f>F922-F921</f>
        <v>0.0035868055555567935</v>
      </c>
      <c r="S922" s="75">
        <f>0.5*(Q921+Q922)*R922</f>
        <v>0.039871420679491815</v>
      </c>
      <c r="T922" s="75">
        <f>0.5*(F921*Q921+F922*Q922)*R922</f>
        <v>0.9015203313188623</v>
      </c>
      <c r="U922" s="76">
        <f>U921+S922</f>
        <v>76.86340640079231</v>
      </c>
      <c r="V922" s="76">
        <f>V921+T922</f>
        <v>1223.4945982269358</v>
      </c>
    </row>
    <row r="923" spans="1:22" ht="19" customHeight="1">
      <c r="A923" s="68" t="s">
        <v>362</v>
      </c>
      <c r="B923" s="74">
        <v>5</v>
      </c>
      <c r="C923" s="68" t="s">
        <v>363</v>
      </c>
      <c r="D923" s="68" t="s">
        <v>365</v>
      </c>
      <c r="E923" s="75">
        <f>60*F923*'THAM_SO_MOI'!$C$53/(2*PI()*'THAM_SO_MOI'!$C$26)</f>
        <v>2228.278</v>
      </c>
      <c r="F923" s="75">
        <f>'THAM_SO_MOI'!$C$14+('THAM_SO_MOI'!$C$37-'THAM_SO_MOI'!$C$14)*116/'THAM_SO_MOI'!$C$42</f>
        <v>22.616069444444445</v>
      </c>
      <c r="G923" s="75">
        <f>3.6*F923</f>
        <v>81.41785</v>
      </c>
      <c r="H923" s="75">
        <f>'THAM_SO_MOI'!$D$53</f>
        <v>1.1</v>
      </c>
      <c r="I923" s="75">
        <f>IF(F923&gt;='THAM_SO_MOI'!$C$14,'THAM_SO_MOI'!$C$13*(1+F923^2/1500),'THAM_SO_MOI'!$C$13)</f>
        <v>0.020114865971159336</v>
      </c>
      <c r="J923" s="75">
        <f>'THAM_SO_MOI'!$C$40*('THAM_SO_MOI'!$C$23*(E923/'THAM_SO_MOI'!$C$22)+'THAM_SO_MOI'!$C$24*(E923/'THAM_SO_MOI'!$C$22)^2-'THAM_SO_MOI'!$C$25*(E923/'THAM_SO_MOI'!$C$22)^3)</f>
        <v>100.30654516919361</v>
      </c>
      <c r="K923" s="75">
        <f>'THAM_SO_MOI'!$C$31*J923/E923</f>
        <v>429.9453123439174</v>
      </c>
      <c r="L923" s="75">
        <f>K923*'THAM_SO_MOI'!$C$53*'THAM_SO_MOI'!$C$17/'THAM_SO_MOI'!$C$26</f>
        <v>3770.6220716186444</v>
      </c>
      <c r="M923" s="75">
        <f>'THAM_SO_MOI'!$C$15*'THAM_SO_MOI'!$C$16*F923^2</f>
        <v>1496.098296564106</v>
      </c>
      <c r="N923" s="75">
        <f>'THAM_SO_MOI'!$C$12*I923</f>
        <v>1515.4700941599215</v>
      </c>
      <c r="O923" s="75">
        <f>M923+N923</f>
        <v>3011.5683907240273</v>
      </c>
      <c r="P923" s="75">
        <f>(MIN(L923,'THAM_SO_MOI'!$C$41)-O923)/('THAM_SO_MOI'!$C$11*H923)</f>
        <v>0.08985010427256356</v>
      </c>
      <c r="Q923" s="75">
        <f>IF(P923&gt;0,1/P923,NA())</f>
        <v>11.129647629194327</v>
      </c>
      <c r="R923" s="75">
        <f>F923-F922</f>
        <v>0.0035868055555567935</v>
      </c>
      <c r="S923" s="75">
        <f>0.5*(Q922+Q923)*R923</f>
        <v>0.039903717716572605</v>
      </c>
      <c r="T923" s="75">
        <f>0.5*(F922*Q922+F923*Q923)*R923</f>
        <v>0.9023937165202948</v>
      </c>
      <c r="U923" s="76">
        <f>U922+S923</f>
        <v>76.90331011850888</v>
      </c>
      <c r="V923" s="76">
        <f>V922+T923</f>
        <v>1224.396991943456</v>
      </c>
    </row>
    <row r="924" spans="1:22" ht="19" customHeight="1">
      <c r="A924" s="68" t="s">
        <v>362</v>
      </c>
      <c r="B924" s="74">
        <v>5</v>
      </c>
      <c r="C924" s="68" t="s">
        <v>363</v>
      </c>
      <c r="D924" s="68" t="s">
        <v>365</v>
      </c>
      <c r="E924" s="75">
        <f>60*F924*'THAM_SO_MOI'!$C$53/(2*PI()*'THAM_SO_MOI'!$C$26)</f>
        <v>2228.6313947368417</v>
      </c>
      <c r="F924" s="75">
        <f>'THAM_SO_MOI'!$C$14+('THAM_SO_MOI'!$C$37-'THAM_SO_MOI'!$C$14)*117/'THAM_SO_MOI'!$C$42</f>
        <v>22.61965625</v>
      </c>
      <c r="G924" s="75">
        <f>3.6*F924</f>
        <v>81.4307625</v>
      </c>
      <c r="H924" s="75">
        <f>'THAM_SO_MOI'!$D$53</f>
        <v>1.1</v>
      </c>
      <c r="I924" s="75">
        <f>IF(F924&gt;='THAM_SO_MOI'!$C$14,'THAM_SO_MOI'!$C$13*(1+F924^2/1500),'THAM_SO_MOI'!$C$13)</f>
        <v>0.02011648848868164</v>
      </c>
      <c r="J924" s="75">
        <f>'THAM_SO_MOI'!$C$40*('THAM_SO_MOI'!$C$23*(E924/'THAM_SO_MOI'!$C$22)+'THAM_SO_MOI'!$C$24*(E924/'THAM_SO_MOI'!$C$22)^2-'THAM_SO_MOI'!$C$25*(E924/'THAM_SO_MOI'!$C$22)^3)</f>
        <v>100.32195903324799</v>
      </c>
      <c r="K924" s="75">
        <f>'THAM_SO_MOI'!$C$31*J924/E924</f>
        <v>429.9431939682269</v>
      </c>
      <c r="L924" s="75">
        <f>K924*'THAM_SO_MOI'!$C$53*'THAM_SO_MOI'!$C$17/'THAM_SO_MOI'!$C$26</f>
        <v>3770.603493455549</v>
      </c>
      <c r="M924" s="75">
        <f>'THAM_SO_MOI'!$C$15*'THAM_SO_MOI'!$C$16*F924^2</f>
        <v>1496.57288293938</v>
      </c>
      <c r="N924" s="75">
        <f>'THAM_SO_MOI'!$C$12*I924</f>
        <v>1515.5923359280657</v>
      </c>
      <c r="O924" s="75">
        <f>M924+N924</f>
        <v>3012.1652188674457</v>
      </c>
      <c r="P924" s="75">
        <f>(MIN(L924,'THAM_SO_MOI'!$C$41)-O924)/('THAM_SO_MOI'!$C$11*H924)</f>
        <v>0.08977725788211449</v>
      </c>
      <c r="Q924" s="75">
        <f>IF(P924&gt;0,1/P924,NA())</f>
        <v>11.1386783645485</v>
      </c>
      <c r="R924" s="75">
        <f>F924-F923</f>
        <v>0.0035868055555532408</v>
      </c>
      <c r="S924" s="75">
        <f>0.5*(Q923+Q924)*R924</f>
        <v>0.03993607769361371</v>
      </c>
      <c r="T924" s="75">
        <f>0.5*(F923*Q923+F924*Q924)*R924</f>
        <v>0.9032687569756612</v>
      </c>
      <c r="U924" s="76">
        <f>U923+S924</f>
        <v>76.9432461962025</v>
      </c>
      <c r="V924" s="76">
        <f>V923+T924</f>
        <v>1225.3002607004316</v>
      </c>
    </row>
    <row r="925" spans="1:22" ht="19" customHeight="1">
      <c r="A925" s="68" t="s">
        <v>362</v>
      </c>
      <c r="B925" s="74">
        <v>5</v>
      </c>
      <c r="C925" s="68" t="s">
        <v>363</v>
      </c>
      <c r="D925" s="68" t="s">
        <v>365</v>
      </c>
      <c r="E925" s="75">
        <f>60*F925*'THAM_SO_MOI'!$C$53/(2*PI()*'THAM_SO_MOI'!$C$26)</f>
        <v>2228.9847894736836</v>
      </c>
      <c r="F925" s="75">
        <f>'THAM_SO_MOI'!$C$14+('THAM_SO_MOI'!$C$37-'THAM_SO_MOI'!$C$14)*118/'THAM_SO_MOI'!$C$42</f>
        <v>22.623243055555555</v>
      </c>
      <c r="G925" s="75">
        <f>3.6*F925</f>
        <v>81.443675</v>
      </c>
      <c r="H925" s="75">
        <f>'THAM_SO_MOI'!$D$53</f>
        <v>1.1</v>
      </c>
      <c r="I925" s="75">
        <f>IF(F925&gt;='THAM_SO_MOI'!$C$14,'THAM_SO_MOI'!$C$13*(1+F925^2/1500),'THAM_SO_MOI'!$C$13)</f>
        <v>0.020118111263507425</v>
      </c>
      <c r="J925" s="75">
        <f>'THAM_SO_MOI'!$C$40*('THAM_SO_MOI'!$C$23*(E925/'THAM_SO_MOI'!$C$22)+'THAM_SO_MOI'!$C$24*(E925/'THAM_SO_MOI'!$C$22)^2-'THAM_SO_MOI'!$C$25*(E925/'THAM_SO_MOI'!$C$22)^3)</f>
        <v>100.33736991297646</v>
      </c>
      <c r="K925" s="75">
        <f>'THAM_SO_MOI'!$C$31*J925/E925</f>
        <v>429.94106347655213</v>
      </c>
      <c r="L925" s="75">
        <f>K925*'THAM_SO_MOI'!$C$53*'THAM_SO_MOI'!$C$17/'THAM_SO_MOI'!$C$26</f>
        <v>3770.5848090352247</v>
      </c>
      <c r="M925" s="75">
        <f>'THAM_SO_MOI'!$C$15*'THAM_SO_MOI'!$C$16*F925^2</f>
        <v>1497.0475445759223</v>
      </c>
      <c r="N925" s="75">
        <f>'THAM_SO_MOI'!$C$12*I925</f>
        <v>1515.7145970816603</v>
      </c>
      <c r="O925" s="75">
        <f>M925+N925</f>
        <v>3012.7621416575826</v>
      </c>
      <c r="P925" s="75">
        <f>(MIN(L925,'THAM_SO_MOI'!$C$41)-O925)/('THAM_SO_MOI'!$C$11*H925)</f>
        <v>0.08970438771042168</v>
      </c>
      <c r="Q925" s="75">
        <f>IF(P925&gt;0,1/P925,NA())</f>
        <v>11.147726722444615</v>
      </c>
      <c r="R925" s="75">
        <f>F925-F924</f>
        <v>0.0035868055555567935</v>
      </c>
      <c r="S925" s="75">
        <f>0.5*(Q924+Q925)*R925</f>
        <v>0.03996850078970804</v>
      </c>
      <c r="T925" s="75">
        <f>0.5*(F924*Q924+F925*Q925)*R925</f>
        <v>0.9041454574135642</v>
      </c>
      <c r="U925" s="76">
        <f>U924+S925</f>
        <v>76.9832146969922</v>
      </c>
      <c r="V925" s="76">
        <f>V924+T925</f>
        <v>1226.2044061578451</v>
      </c>
    </row>
    <row r="926" spans="1:22" ht="19" customHeight="1">
      <c r="A926" s="68" t="s">
        <v>362</v>
      </c>
      <c r="B926" s="74">
        <v>5</v>
      </c>
      <c r="C926" s="68" t="s">
        <v>363</v>
      </c>
      <c r="D926" s="68" t="s">
        <v>365</v>
      </c>
      <c r="E926" s="75">
        <f>60*F926*'THAM_SO_MOI'!$C$53/(2*PI()*'THAM_SO_MOI'!$C$26)</f>
        <v>2229.338184210526</v>
      </c>
      <c r="F926" s="75">
        <f>'THAM_SO_MOI'!$C$14+('THAM_SO_MOI'!$C$37-'THAM_SO_MOI'!$C$14)*119/'THAM_SO_MOI'!$C$42</f>
        <v>22.626829861111112</v>
      </c>
      <c r="G926" s="75">
        <f>3.6*F926</f>
        <v>81.45658750000001</v>
      </c>
      <c r="H926" s="75">
        <f>'THAM_SO_MOI'!$D$53</f>
        <v>1.1</v>
      </c>
      <c r="I926" s="75">
        <f>IF(F926&gt;='THAM_SO_MOI'!$C$14,'THAM_SO_MOI'!$C$13*(1+F926^2/1500),'THAM_SO_MOI'!$C$13)</f>
        <v>0.020119734295636692</v>
      </c>
      <c r="J926" s="75">
        <f>'THAM_SO_MOI'!$C$40*('THAM_SO_MOI'!$C$23*(E926/'THAM_SO_MOI'!$C$22)+'THAM_SO_MOI'!$C$24*(E926/'THAM_SO_MOI'!$C$22)^2-'THAM_SO_MOI'!$C$25*(E926/'THAM_SO_MOI'!$C$22)^3)</f>
        <v>100.3527778070341</v>
      </c>
      <c r="K926" s="75">
        <f>'THAM_SO_MOI'!$C$31*J926/E926</f>
        <v>429.9389208688928</v>
      </c>
      <c r="L926" s="75">
        <f>K926*'THAM_SO_MOI'!$C$53*'THAM_SO_MOI'!$C$17/'THAM_SO_MOI'!$C$26</f>
        <v>3770.5660183576692</v>
      </c>
      <c r="M926" s="75">
        <f>'THAM_SO_MOI'!$C$15*'THAM_SO_MOI'!$C$16*F926^2</f>
        <v>1497.5222814737335</v>
      </c>
      <c r="N926" s="75">
        <f>'THAM_SO_MOI'!$C$12*I926</f>
        <v>1515.836877620705</v>
      </c>
      <c r="O926" s="75">
        <f>M926+N926</f>
        <v>3013.359159094439</v>
      </c>
      <c r="P926" s="75">
        <f>(MIN(L926,'THAM_SO_MOI'!$C$41)-O926)/('THAM_SO_MOI'!$C$11*H926)</f>
        <v>0.08963149375748469</v>
      </c>
      <c r="Q926" s="75">
        <f>IF(P926&gt;0,1/P926,NA())</f>
        <v>11.15679275306616</v>
      </c>
      <c r="R926" s="75">
        <f>F926-F925</f>
        <v>0.0035868055555567935</v>
      </c>
      <c r="S926" s="75">
        <f>0.5*(Q925+Q926)*R926</f>
        <v>0.04000098718439337</v>
      </c>
      <c r="T926" s="75">
        <f>0.5*(F925*Q925+F926*Q926)*R926</f>
        <v>0.9050238225752401</v>
      </c>
      <c r="U926" s="76">
        <f>U925+S926</f>
        <v>77.0232156841766</v>
      </c>
      <c r="V926" s="76">
        <f>V925+T926</f>
        <v>1227.1094299804204</v>
      </c>
    </row>
    <row r="927" spans="1:22" ht="19" customHeight="1">
      <c r="A927" s="68" t="s">
        <v>362</v>
      </c>
      <c r="B927" s="74">
        <v>5</v>
      </c>
      <c r="C927" s="68" t="s">
        <v>363</v>
      </c>
      <c r="D927" s="68" t="s">
        <v>365</v>
      </c>
      <c r="E927" s="75">
        <f>60*F927*'THAM_SO_MOI'!$C$53/(2*PI()*'THAM_SO_MOI'!$C$26)</f>
        <v>2229.6915789473674</v>
      </c>
      <c r="F927" s="75">
        <f>'THAM_SO_MOI'!$C$14+('THAM_SO_MOI'!$C$37-'THAM_SO_MOI'!$C$14)*120/'THAM_SO_MOI'!$C$42</f>
        <v>22.630416666666665</v>
      </c>
      <c r="G927" s="75">
        <f>3.6*F927</f>
        <v>81.4695</v>
      </c>
      <c r="H927" s="75">
        <f>'THAM_SO_MOI'!$D$53</f>
        <v>1.1</v>
      </c>
      <c r="I927" s="75">
        <f>IF(F927&gt;='THAM_SO_MOI'!$C$14,'THAM_SO_MOI'!$C$13*(1+F927^2/1500),'THAM_SO_MOI'!$C$13)</f>
        <v>0.020121357585069444</v>
      </c>
      <c r="J927" s="75">
        <f>'THAM_SO_MOI'!$C$40*('THAM_SO_MOI'!$C$23*(E927/'THAM_SO_MOI'!$C$22)+'THAM_SO_MOI'!$C$24*(E927/'THAM_SO_MOI'!$C$22)^2-'THAM_SO_MOI'!$C$25*(E927/'THAM_SO_MOI'!$C$22)^3)</f>
        <v>100.36818271407597</v>
      </c>
      <c r="K927" s="75">
        <f>'THAM_SO_MOI'!$C$31*J927/E927</f>
        <v>429.936766145249</v>
      </c>
      <c r="L927" s="75">
        <f>K927*'THAM_SO_MOI'!$C$53*'THAM_SO_MOI'!$C$17/'THAM_SO_MOI'!$C$26</f>
        <v>3770.547121422881</v>
      </c>
      <c r="M927" s="75">
        <f>'THAM_SO_MOI'!$C$15*'THAM_SO_MOI'!$C$16*F927^2</f>
        <v>1497.9970936328123</v>
      </c>
      <c r="N927" s="75">
        <f>'THAM_SO_MOI'!$C$12*I927</f>
        <v>1515.9591775452</v>
      </c>
      <c r="O927" s="75">
        <f>M927+N927</f>
        <v>3013.9562711780122</v>
      </c>
      <c r="P927" s="75">
        <f>(MIN(L927,'THAM_SO_MOI'!$C$41)-O927)/('THAM_SO_MOI'!$C$11*H927)</f>
        <v>0.0895585760233036</v>
      </c>
      <c r="Q927" s="75">
        <f>IF(P927&gt;0,1/P927,NA())</f>
        <v>11.16587650678808</v>
      </c>
      <c r="R927" s="75">
        <f>F927-F926</f>
        <v>0.0035868055555532408</v>
      </c>
      <c r="S927" s="75">
        <f>0.5*(Q926+Q927)*R927</f>
        <v>0.04003353705801137</v>
      </c>
      <c r="T927" s="75">
        <f>0.5*(F926*Q926+F927*Q927)*R927</f>
        <v>0.9059038572226923</v>
      </c>
      <c r="U927" s="76">
        <f>U926+S927</f>
        <v>77.06324922123461</v>
      </c>
      <c r="V927" s="76">
        <f>V926+T927</f>
        <v>1228.015333837643</v>
      </c>
    </row>
    <row r="928" spans="1:22" ht="19" customHeight="1">
      <c r="A928" s="68" t="s">
        <v>362</v>
      </c>
      <c r="B928" s="74">
        <v>5</v>
      </c>
      <c r="C928" s="68" t="s">
        <v>363</v>
      </c>
      <c r="D928" s="68" t="s">
        <v>365</v>
      </c>
      <c r="E928" s="75">
        <f>60*F928*'THAM_SO_MOI'!$C$53/(2*PI()*'THAM_SO_MOI'!$C$26)</f>
        <v>2230.04497368421</v>
      </c>
      <c r="F928" s="75">
        <f>'THAM_SO_MOI'!$C$14+('THAM_SO_MOI'!$C$37-'THAM_SO_MOI'!$C$14)*121/'THAM_SO_MOI'!$C$42</f>
        <v>22.634003472222222</v>
      </c>
      <c r="G928" s="75">
        <f>3.6*F928</f>
        <v>81.4824125</v>
      </c>
      <c r="H928" s="75">
        <f>'THAM_SO_MOI'!$D$53</f>
        <v>1.1</v>
      </c>
      <c r="I928" s="75">
        <f>IF(F928&gt;='THAM_SO_MOI'!$C$14,'THAM_SO_MOI'!$C$13*(1+F928^2/1500),'THAM_SO_MOI'!$C$13)</f>
        <v>0.020122981131805676</v>
      </c>
      <c r="J928" s="75">
        <f>'THAM_SO_MOI'!$C$40*('THAM_SO_MOI'!$C$23*(E928/'THAM_SO_MOI'!$C$22)+'THAM_SO_MOI'!$C$24*(E928/'THAM_SO_MOI'!$C$22)^2-'THAM_SO_MOI'!$C$25*(E928/'THAM_SO_MOI'!$C$22)^3)</f>
        <v>100.38358463275729</v>
      </c>
      <c r="K928" s="75">
        <f>'THAM_SO_MOI'!$C$31*J928/E928</f>
        <v>429.93459930562085</v>
      </c>
      <c r="L928" s="75">
        <f>K928*'THAM_SO_MOI'!$C$53*'THAM_SO_MOI'!$C$17/'THAM_SO_MOI'!$C$26</f>
        <v>3770.5281182308636</v>
      </c>
      <c r="M928" s="75">
        <f>'THAM_SO_MOI'!$C$15*'THAM_SO_MOI'!$C$16*F928^2</f>
        <v>1498.4719810531603</v>
      </c>
      <c r="N928" s="75">
        <f>'THAM_SO_MOI'!$C$12*I928</f>
        <v>1516.0814968551451</v>
      </c>
      <c r="O928" s="75">
        <f>M928+N928</f>
        <v>3014.5534779083055</v>
      </c>
      <c r="P928" s="75">
        <f>(MIN(L928,'THAM_SO_MOI'!$C$41)-O928)/('THAM_SO_MOI'!$C$11*H928)</f>
        <v>0.08948563450787854</v>
      </c>
      <c r="Q928" s="75">
        <f>IF(P928&gt;0,1/P928,NA())</f>
        <v>11.174978034177737</v>
      </c>
      <c r="R928" s="75">
        <f>F928-F927</f>
        <v>0.0035868055555567935</v>
      </c>
      <c r="S928" s="75">
        <f>0.5*(Q927+Q928)*R928</f>
        <v>0.04006615059171121</v>
      </c>
      <c r="T928" s="75">
        <f>0.5*(F927*Q927+F928*Q928)*R928</f>
        <v>0.9067855661387875</v>
      </c>
      <c r="U928" s="76">
        <f>U927+S928</f>
        <v>77.10331537182633</v>
      </c>
      <c r="V928" s="76">
        <f>V927+T928</f>
        <v>1228.9221194037818</v>
      </c>
    </row>
    <row r="929" spans="1:22" ht="19" customHeight="1">
      <c r="A929" s="68" t="s">
        <v>362</v>
      </c>
      <c r="B929" s="74">
        <v>5</v>
      </c>
      <c r="C929" s="68" t="s">
        <v>363</v>
      </c>
      <c r="D929" s="68" t="s">
        <v>365</v>
      </c>
      <c r="E929" s="75">
        <f>60*F929*'THAM_SO_MOI'!$C$53/(2*PI()*'THAM_SO_MOI'!$C$26)</f>
        <v>2230.398368421052</v>
      </c>
      <c r="F929" s="75">
        <f>'THAM_SO_MOI'!$C$14+('THAM_SO_MOI'!$C$37-'THAM_SO_MOI'!$C$14)*122/'THAM_SO_MOI'!$C$42</f>
        <v>22.637590277777775</v>
      </c>
      <c r="G929" s="75">
        <f>3.6*F929</f>
        <v>81.495325</v>
      </c>
      <c r="H929" s="75">
        <f>'THAM_SO_MOI'!$D$53</f>
        <v>1.1</v>
      </c>
      <c r="I929" s="75">
        <f>IF(F929&gt;='THAM_SO_MOI'!$C$14,'THAM_SO_MOI'!$C$13*(1+F929^2/1500),'THAM_SO_MOI'!$C$13)</f>
        <v>0.020124604935845388</v>
      </c>
      <c r="J929" s="75">
        <f>'THAM_SO_MOI'!$C$40*('THAM_SO_MOI'!$C$23*(E929/'THAM_SO_MOI'!$C$22)+'THAM_SO_MOI'!$C$24*(E929/'THAM_SO_MOI'!$C$22)^2-'THAM_SO_MOI'!$C$25*(E929/'THAM_SO_MOI'!$C$22)^3)</f>
        <v>100.39898356173306</v>
      </c>
      <c r="K929" s="75">
        <f>'THAM_SO_MOI'!$C$31*J929/E929</f>
        <v>429.93242035000816</v>
      </c>
      <c r="L929" s="75">
        <f>K929*'THAM_SO_MOI'!$C$53*'THAM_SO_MOI'!$C$17/'THAM_SO_MOI'!$C$26</f>
        <v>3770.509008781614</v>
      </c>
      <c r="M929" s="75">
        <f>'THAM_SO_MOI'!$C$15*'THAM_SO_MOI'!$C$16*F929^2</f>
        <v>1498.9469437347764</v>
      </c>
      <c r="N929" s="75">
        <f>'THAM_SO_MOI'!$C$12*I929</f>
        <v>1516.2038355505404</v>
      </c>
      <c r="O929" s="75">
        <f>M929+N929</f>
        <v>3015.1507792853167</v>
      </c>
      <c r="P929" s="75">
        <f>(MIN(L929,'THAM_SO_MOI'!$C$41)-O929)/('THAM_SO_MOI'!$C$11*H929)</f>
        <v>0.08941266921120938</v>
      </c>
      <c r="Q929" s="75">
        <f>IF(P929&gt;0,1/P929,NA())</f>
        <v>11.184097385995868</v>
      </c>
      <c r="R929" s="75">
        <f>F929-F928</f>
        <v>0.0035868055555532408</v>
      </c>
      <c r="S929" s="75">
        <f>0.5*(Q928+Q929)*R929</f>
        <v>0.04009882796705629</v>
      </c>
      <c r="T929" s="75">
        <f>0.5*(F928*Q928+F929*Q929)*R929</f>
        <v>0.9076689541183677</v>
      </c>
      <c r="U929" s="76">
        <f>U928+S929</f>
        <v>77.14341419979338</v>
      </c>
      <c r="V929" s="76">
        <f>V928+T929</f>
        <v>1229.8297883579003</v>
      </c>
    </row>
    <row r="930" spans="1:22" ht="19" customHeight="1">
      <c r="A930" s="68" t="s">
        <v>362</v>
      </c>
      <c r="B930" s="74">
        <v>5</v>
      </c>
      <c r="C930" s="68" t="s">
        <v>363</v>
      </c>
      <c r="D930" s="68" t="s">
        <v>365</v>
      </c>
      <c r="E930" s="75">
        <f>60*F930*'THAM_SO_MOI'!$C$53/(2*PI()*'THAM_SO_MOI'!$C$26)</f>
        <v>2230.7517631578944</v>
      </c>
      <c r="F930" s="75">
        <f>'THAM_SO_MOI'!$C$14+('THAM_SO_MOI'!$C$37-'THAM_SO_MOI'!$C$14)*123/'THAM_SO_MOI'!$C$42</f>
        <v>22.641177083333332</v>
      </c>
      <c r="G930" s="75">
        <f>3.6*F930</f>
        <v>81.50823749999999</v>
      </c>
      <c r="H930" s="75">
        <f>'THAM_SO_MOI'!$D$53</f>
        <v>1.1</v>
      </c>
      <c r="I930" s="75">
        <f>IF(F930&gt;='THAM_SO_MOI'!$C$14,'THAM_SO_MOI'!$C$13*(1+F930^2/1500),'THAM_SO_MOI'!$C$13)</f>
        <v>0.02012622899718858</v>
      </c>
      <c r="J930" s="75">
        <f>'THAM_SO_MOI'!$C$40*('THAM_SO_MOI'!$C$23*(E930/'THAM_SO_MOI'!$C$22)+'THAM_SO_MOI'!$C$24*(E930/'THAM_SO_MOI'!$C$22)^2-'THAM_SO_MOI'!$C$25*(E930/'THAM_SO_MOI'!$C$22)^3)</f>
        <v>100.41437949965845</v>
      </c>
      <c r="K930" s="75">
        <f>'THAM_SO_MOI'!$C$31*J930/E930</f>
        <v>429.930229278411</v>
      </c>
      <c r="L930" s="75">
        <f>K930*'THAM_SO_MOI'!$C$53*'THAM_SO_MOI'!$C$17/'THAM_SO_MOI'!$C$26</f>
        <v>3770.4897930751335</v>
      </c>
      <c r="M930" s="75">
        <f>'THAM_SO_MOI'!$C$15*'THAM_SO_MOI'!$C$16*F930^2</f>
        <v>1499.421981677661</v>
      </c>
      <c r="N930" s="75">
        <f>'THAM_SO_MOI'!$C$12*I930</f>
        <v>1516.3261936313854</v>
      </c>
      <c r="O930" s="75">
        <f>M930+N930</f>
        <v>3015.7481753090465</v>
      </c>
      <c r="P930" s="75">
        <f>(MIN(L930,'THAM_SO_MOI'!$C$41)-O930)/('THAM_SO_MOI'!$C$11*H930)</f>
        <v>0.08933968013329632</v>
      </c>
      <c r="Q930" s="75">
        <f>IF(P930&gt;0,1/P930,NA())</f>
        <v>11.19323461319744</v>
      </c>
      <c r="R930" s="75">
        <f>F930-F929</f>
        <v>0.0035868055555567935</v>
      </c>
      <c r="S930" s="75">
        <f>0.5*(Q929+Q930)*R930</f>
        <v>0.04013156936662268</v>
      </c>
      <c r="T930" s="75">
        <f>0.5*(F929*Q929+F930*Q930)*R930</f>
        <v>0.9085540259818053</v>
      </c>
      <c r="U930" s="76">
        <f>U929+S930</f>
        <v>77.18354576916</v>
      </c>
      <c r="V930" s="76">
        <f>V929+T930</f>
        <v>1230.7383423838821</v>
      </c>
    </row>
    <row r="931" spans="1:22" ht="19" customHeight="1">
      <c r="A931" s="68" t="s">
        <v>362</v>
      </c>
      <c r="B931" s="74">
        <v>5</v>
      </c>
      <c r="C931" s="68" t="s">
        <v>363</v>
      </c>
      <c r="D931" s="68" t="s">
        <v>365</v>
      </c>
      <c r="E931" s="75">
        <f>60*F931*'THAM_SO_MOI'!$C$53/(2*PI()*'THAM_SO_MOI'!$C$26)</f>
        <v>2231.1051578947367</v>
      </c>
      <c r="F931" s="75">
        <f>'THAM_SO_MOI'!$C$14+('THAM_SO_MOI'!$C$37-'THAM_SO_MOI'!$C$14)*124/'THAM_SO_MOI'!$C$42</f>
        <v>22.64476388888889</v>
      </c>
      <c r="G931" s="75">
        <f>3.6*F931</f>
        <v>81.52115</v>
      </c>
      <c r="H931" s="75">
        <f>'THAM_SO_MOI'!$D$53</f>
        <v>1.1</v>
      </c>
      <c r="I931" s="75">
        <f>IF(F931&gt;='THAM_SO_MOI'!$C$14,'THAM_SO_MOI'!$C$13*(1+F931^2/1500),'THAM_SO_MOI'!$C$13)</f>
        <v>0.020127853315835262</v>
      </c>
      <c r="J931" s="75">
        <f>'THAM_SO_MOI'!$C$40*('THAM_SO_MOI'!$C$23*(E931/'THAM_SO_MOI'!$C$22)+'THAM_SO_MOI'!$C$24*(E931/'THAM_SO_MOI'!$C$22)^2-'THAM_SO_MOI'!$C$25*(E931/'THAM_SO_MOI'!$C$22)^3)</f>
        <v>100.42977244518853</v>
      </c>
      <c r="K931" s="75">
        <f>'THAM_SO_MOI'!$C$31*J931/E931</f>
        <v>429.92802609082923</v>
      </c>
      <c r="L931" s="75">
        <f>K931*'THAM_SO_MOI'!$C$53*'THAM_SO_MOI'!$C$17/'THAM_SO_MOI'!$C$26</f>
        <v>3770.47047111142</v>
      </c>
      <c r="M931" s="75">
        <f>'THAM_SO_MOI'!$C$15*'THAM_SO_MOI'!$C$16*F931^2</f>
        <v>1499.8970948818142</v>
      </c>
      <c r="N931" s="75">
        <f>'THAM_SO_MOI'!$C$12*I931</f>
        <v>1516.4485710976815</v>
      </c>
      <c r="O931" s="75">
        <f>M931+N931</f>
        <v>3016.3456659794956</v>
      </c>
      <c r="P931" s="75">
        <f>(MIN(L931,'THAM_SO_MOI'!$C$41)-O931)/('THAM_SO_MOI'!$C$11*H931)</f>
        <v>0.08926666727413878</v>
      </c>
      <c r="Q931" s="75">
        <f>IF(P931&gt;0,1/P931,NA())</f>
        <v>11.202389766932718</v>
      </c>
      <c r="R931" s="75">
        <f>F931-F930</f>
        <v>0.0035868055555567935</v>
      </c>
      <c r="S931" s="75">
        <f>0.5*(Q930+Q931)*R931</f>
        <v>0.04016437497340701</v>
      </c>
      <c r="T931" s="75">
        <f>0.5*(F930*Q930+F931*Q931)*R931</f>
        <v>0.9094407865616163</v>
      </c>
      <c r="U931" s="76">
        <f>U930+S931</f>
        <v>77.2237101441334</v>
      </c>
      <c r="V931" s="76">
        <f>V930+T931</f>
        <v>1231.6477831704437</v>
      </c>
    </row>
    <row r="932" spans="1:22" ht="19" customHeight="1">
      <c r="A932" s="68" t="s">
        <v>362</v>
      </c>
      <c r="B932" s="74">
        <v>5</v>
      </c>
      <c r="C932" s="68" t="s">
        <v>363</v>
      </c>
      <c r="D932" s="68" t="s">
        <v>365</v>
      </c>
      <c r="E932" s="75">
        <f>60*F932*'THAM_SO_MOI'!$C$53/(2*PI()*'THAM_SO_MOI'!$C$26)</f>
        <v>2231.458552631578</v>
      </c>
      <c r="F932" s="75">
        <f>'THAM_SO_MOI'!$C$14+('THAM_SO_MOI'!$C$37-'THAM_SO_MOI'!$C$14)*125/'THAM_SO_MOI'!$C$42</f>
        <v>22.648350694444442</v>
      </c>
      <c r="G932" s="75">
        <f>3.6*F932</f>
        <v>81.53406249999999</v>
      </c>
      <c r="H932" s="75">
        <f>'THAM_SO_MOI'!$D$53</f>
        <v>1.1</v>
      </c>
      <c r="I932" s="75">
        <f>IF(F932&gt;='THAM_SO_MOI'!$C$14,'THAM_SO_MOI'!$C$13*(1+F932^2/1500),'THAM_SO_MOI'!$C$13)</f>
        <v>0.02012947789178542</v>
      </c>
      <c r="J932" s="75">
        <f>'THAM_SO_MOI'!$C$40*('THAM_SO_MOI'!$C$23*(E932/'THAM_SO_MOI'!$C$22)+'THAM_SO_MOI'!$C$24*(E932/'THAM_SO_MOI'!$C$22)^2-'THAM_SO_MOI'!$C$25*(E932/'THAM_SO_MOI'!$C$22)^3)</f>
        <v>100.44516239697843</v>
      </c>
      <c r="K932" s="75">
        <f>'THAM_SO_MOI'!$C$31*J932/E932</f>
        <v>429.92581078726323</v>
      </c>
      <c r="L932" s="75">
        <f>K932*'THAM_SO_MOI'!$C$53*'THAM_SO_MOI'!$C$17/'THAM_SO_MOI'!$C$26</f>
        <v>3770.451042890478</v>
      </c>
      <c r="M932" s="75">
        <f>'THAM_SO_MOI'!$C$15*'THAM_SO_MOI'!$C$16*F932^2</f>
        <v>1500.3722833472355</v>
      </c>
      <c r="N932" s="75">
        <f>'THAM_SO_MOI'!$C$12*I932</f>
        <v>1516.570967949427</v>
      </c>
      <c r="O932" s="75">
        <f>M932+N932</f>
        <v>3016.9432512966623</v>
      </c>
      <c r="P932" s="75">
        <f>(MIN(L932,'THAM_SO_MOI'!$C$41)-O932)/('THAM_SO_MOI'!$C$11*H932)</f>
        <v>0.08919363063373768</v>
      </c>
      <c r="Q932" s="75">
        <f>IF(P932&gt;0,1/P932,NA())</f>
        <v>11.211562898547912</v>
      </c>
      <c r="R932" s="75">
        <f>F932-F931</f>
        <v>0.0035868055555532408</v>
      </c>
      <c r="S932" s="75">
        <f>0.5*(Q931+Q932)*R932</f>
        <v>0.04019724497122665</v>
      </c>
      <c r="T932" s="75">
        <f>0.5*(F931*Q931+F932*Q932)*R932</f>
        <v>0.9103292407115278</v>
      </c>
      <c r="U932" s="76">
        <f>U931+S932</f>
        <v>77.26390738910463</v>
      </c>
      <c r="V932" s="76">
        <f>V931+T932</f>
        <v>1232.5581124111552</v>
      </c>
    </row>
    <row r="933" spans="1:22" ht="19" customHeight="1">
      <c r="A933" s="68" t="s">
        <v>362</v>
      </c>
      <c r="B933" s="74">
        <v>5</v>
      </c>
      <c r="C933" s="68" t="s">
        <v>363</v>
      </c>
      <c r="D933" s="68" t="s">
        <v>365</v>
      </c>
      <c r="E933" s="75">
        <f>60*F933*'THAM_SO_MOI'!$C$53/(2*PI()*'THAM_SO_MOI'!$C$26)</f>
        <v>2231.8119473684205</v>
      </c>
      <c r="F933" s="75">
        <f>'THAM_SO_MOI'!$C$14+('THAM_SO_MOI'!$C$37-'THAM_SO_MOI'!$C$14)*126/'THAM_SO_MOI'!$C$42</f>
        <v>22.6519375</v>
      </c>
      <c r="G933" s="75">
        <f>3.6*F933</f>
        <v>81.546975</v>
      </c>
      <c r="H933" s="75">
        <f>'THAM_SO_MOI'!$D$53</f>
        <v>1.1</v>
      </c>
      <c r="I933" s="75">
        <f>IF(F933&gt;='THAM_SO_MOI'!$C$14,'THAM_SO_MOI'!$C$13*(1+F933^2/1500),'THAM_SO_MOI'!$C$13)</f>
        <v>0.02013110272503906</v>
      </c>
      <c r="J933" s="75">
        <f>'THAM_SO_MOI'!$C$40*('THAM_SO_MOI'!$C$23*(E933/'THAM_SO_MOI'!$C$22)+'THAM_SO_MOI'!$C$24*(E933/'THAM_SO_MOI'!$C$22)^2-'THAM_SO_MOI'!$C$25*(E933/'THAM_SO_MOI'!$C$22)^3)</f>
        <v>100.4605493536833</v>
      </c>
      <c r="K933" s="75">
        <f>'THAM_SO_MOI'!$C$31*J933/E933</f>
        <v>429.92358336771275</v>
      </c>
      <c r="L933" s="75">
        <f>K933*'THAM_SO_MOI'!$C$53*'THAM_SO_MOI'!$C$17/'THAM_SO_MOI'!$C$26</f>
        <v>3770.431508412304</v>
      </c>
      <c r="M933" s="75">
        <f>'THAM_SO_MOI'!$C$15*'THAM_SO_MOI'!$C$16*F933^2</f>
        <v>1500.8475470739259</v>
      </c>
      <c r="N933" s="75">
        <f>'THAM_SO_MOI'!$C$12*I933</f>
        <v>1516.693384186623</v>
      </c>
      <c r="O933" s="75">
        <f>M933+N933</f>
        <v>3017.540931260549</v>
      </c>
      <c r="P933" s="75">
        <f>(MIN(L933,'THAM_SO_MOI'!$C$41)-O933)/('THAM_SO_MOI'!$C$11*H933)</f>
        <v>0.08912057021209224</v>
      </c>
      <c r="Q933" s="75">
        <f>IF(P933&gt;0,1/P933,NA())</f>
        <v>11.220754059586525</v>
      </c>
      <c r="R933" s="75">
        <f>F933-F932</f>
        <v>0.0035868055555567935</v>
      </c>
      <c r="S933" s="75">
        <f>0.5*(Q932+Q933)*R933</f>
        <v>0.04023017954472373</v>
      </c>
      <c r="T933" s="75">
        <f>0.5*(F932*Q932+F933*Q933)*R933</f>
        <v>0.9112193933065862</v>
      </c>
      <c r="U933" s="76">
        <f>U932+S933</f>
        <v>77.30413756864935</v>
      </c>
      <c r="V933" s="76">
        <f>V932+T933</f>
        <v>1233.4693318044617</v>
      </c>
    </row>
    <row r="934" spans="1:22" ht="19" customHeight="1">
      <c r="A934" s="68" t="s">
        <v>362</v>
      </c>
      <c r="B934" s="74">
        <v>5</v>
      </c>
      <c r="C934" s="68" t="s">
        <v>363</v>
      </c>
      <c r="D934" s="68" t="s">
        <v>365</v>
      </c>
      <c r="E934" s="75">
        <f>60*F934*'THAM_SO_MOI'!$C$53/(2*PI()*'THAM_SO_MOI'!$C$26)</f>
        <v>2232.1653421052624</v>
      </c>
      <c r="F934" s="75">
        <f>'THAM_SO_MOI'!$C$14+('THAM_SO_MOI'!$C$37-'THAM_SO_MOI'!$C$14)*127/'THAM_SO_MOI'!$C$42</f>
        <v>22.655524305555556</v>
      </c>
      <c r="G934" s="75">
        <f>3.6*F934</f>
        <v>81.5598875</v>
      </c>
      <c r="H934" s="75">
        <f>'THAM_SO_MOI'!$D$53</f>
        <v>1.1</v>
      </c>
      <c r="I934" s="75">
        <f>IF(F934&gt;='THAM_SO_MOI'!$C$14,'THAM_SO_MOI'!$C$13*(1+F934^2/1500),'THAM_SO_MOI'!$C$13)</f>
        <v>0.020132727815596184</v>
      </c>
      <c r="J934" s="75">
        <f>'THAM_SO_MOI'!$C$40*('THAM_SO_MOI'!$C$23*(E934/'THAM_SO_MOI'!$C$22)+'THAM_SO_MOI'!$C$24*(E934/'THAM_SO_MOI'!$C$22)^2-'THAM_SO_MOI'!$C$25*(E934/'THAM_SO_MOI'!$C$22)^3)</f>
        <v>100.47593331395822</v>
      </c>
      <c r="K934" s="75">
        <f>'THAM_SO_MOI'!$C$31*J934/E934</f>
        <v>429.92134383217785</v>
      </c>
      <c r="L934" s="75">
        <f>K934*'THAM_SO_MOI'!$C$53*'THAM_SO_MOI'!$C$17/'THAM_SO_MOI'!$C$26</f>
        <v>3770.4118676769003</v>
      </c>
      <c r="M934" s="75">
        <f>'THAM_SO_MOI'!$C$15*'THAM_SO_MOI'!$C$16*F934^2</f>
        <v>1501.3228860618844</v>
      </c>
      <c r="N934" s="75">
        <f>'THAM_SO_MOI'!$C$12*I934</f>
        <v>1516.815819809269</v>
      </c>
      <c r="O934" s="75">
        <f>M934+N934</f>
        <v>3018.1387058711534</v>
      </c>
      <c r="P934" s="75">
        <f>(MIN(L934,'THAM_SO_MOI'!$C$41)-O934)/('THAM_SO_MOI'!$C$11*H934)</f>
        <v>0.08904748600920297</v>
      </c>
      <c r="Q934" s="75">
        <f>IF(P934&gt;0,1/P934,NA())</f>
        <v>11.229963301789912</v>
      </c>
      <c r="R934" s="75">
        <f>F934-F933</f>
        <v>0.0035868055555567935</v>
      </c>
      <c r="S934" s="75">
        <f>0.5*(Q933+Q934)*R934</f>
        <v>0.04026317887901018</v>
      </c>
      <c r="T934" s="75">
        <f>0.5*(F933*Q933+F934*Q934)*R934</f>
        <v>0.9121112492351284</v>
      </c>
      <c r="U934" s="76">
        <f>U933+S934</f>
        <v>77.34440074752837</v>
      </c>
      <c r="V934" s="76">
        <f>V933+T934</f>
        <v>1234.3814430536968</v>
      </c>
    </row>
    <row r="935" spans="1:22" ht="19" customHeight="1">
      <c r="A935" s="68" t="s">
        <v>362</v>
      </c>
      <c r="B935" s="74">
        <v>5</v>
      </c>
      <c r="C935" s="68" t="s">
        <v>363</v>
      </c>
      <c r="D935" s="68" t="s">
        <v>365</v>
      </c>
      <c r="E935" s="75">
        <f>60*F935*'THAM_SO_MOI'!$C$53/(2*PI()*'THAM_SO_MOI'!$C$26)</f>
        <v>2232.5187368421048</v>
      </c>
      <c r="F935" s="75">
        <f>'THAM_SO_MOI'!$C$14+('THAM_SO_MOI'!$C$37-'THAM_SO_MOI'!$C$14)*128/'THAM_SO_MOI'!$C$42</f>
        <v>22.65911111111111</v>
      </c>
      <c r="G935" s="75">
        <f>3.6*F935</f>
        <v>81.5728</v>
      </c>
      <c r="H935" s="75">
        <f>'THAM_SO_MOI'!$D$53</f>
        <v>1.1</v>
      </c>
      <c r="I935" s="75">
        <f>IF(F935&gt;='THAM_SO_MOI'!$C$14,'THAM_SO_MOI'!$C$13*(1+F935^2/1500),'THAM_SO_MOI'!$C$13)</f>
        <v>0.02013435316345679</v>
      </c>
      <c r="J935" s="75">
        <f>'THAM_SO_MOI'!$C$40*('THAM_SO_MOI'!$C$23*(E935/'THAM_SO_MOI'!$C$22)+'THAM_SO_MOI'!$C$24*(E935/'THAM_SO_MOI'!$C$22)^2-'THAM_SO_MOI'!$C$25*(E935/'THAM_SO_MOI'!$C$22)^3)</f>
        <v>100.49131427645827</v>
      </c>
      <c r="K935" s="75">
        <f>'THAM_SO_MOI'!$C$31*J935/E935</f>
        <v>429.91909218065837</v>
      </c>
      <c r="L935" s="75">
        <f>K935*'THAM_SO_MOI'!$C$53*'THAM_SO_MOI'!$C$17/'THAM_SO_MOI'!$C$26</f>
        <v>3770.3921206842633</v>
      </c>
      <c r="M935" s="75">
        <f>'THAM_SO_MOI'!$C$15*'THAM_SO_MOI'!$C$16*F935^2</f>
        <v>1501.798300311111</v>
      </c>
      <c r="N935" s="75">
        <f>'THAM_SO_MOI'!$C$12*I935</f>
        <v>1516.9382748173655</v>
      </c>
      <c r="O935" s="75">
        <f>M935+N935</f>
        <v>3018.7365751284765</v>
      </c>
      <c r="P935" s="75">
        <f>(MIN(L935,'THAM_SO_MOI'!$C$41)-O935)/('THAM_SO_MOI'!$C$11*H935)</f>
        <v>0.08897437802506944</v>
      </c>
      <c r="Q935" s="75">
        <f>IF(P935&gt;0,1/P935,NA())</f>
        <v>11.239190677098522</v>
      </c>
      <c r="R935" s="75">
        <f>F935-F934</f>
        <v>0.0035868055555532408</v>
      </c>
      <c r="S935" s="75">
        <f>0.5*(Q934+Q935)*R935</f>
        <v>0.040296243160029124</v>
      </c>
      <c r="T935" s="75">
        <f>0.5*(F934*Q934+F935*Q935)*R935</f>
        <v>0.9130048134069813</v>
      </c>
      <c r="U935" s="76">
        <f>U934+S935</f>
        <v>77.3846969906884</v>
      </c>
      <c r="V935" s="76">
        <f>V934+T935</f>
        <v>1235.2944478671038</v>
      </c>
    </row>
    <row r="936" spans="1:22" ht="19" customHeight="1">
      <c r="A936" s="68" t="s">
        <v>362</v>
      </c>
      <c r="B936" s="74">
        <v>5</v>
      </c>
      <c r="C936" s="68" t="s">
        <v>363</v>
      </c>
      <c r="D936" s="68" t="s">
        <v>365</v>
      </c>
      <c r="E936" s="75">
        <f>60*F936*'THAM_SO_MOI'!$C$53/(2*PI()*'THAM_SO_MOI'!$C$26)</f>
        <v>2232.872131578947</v>
      </c>
      <c r="F936" s="75">
        <f>'THAM_SO_MOI'!$C$14+('THAM_SO_MOI'!$C$37-'THAM_SO_MOI'!$C$14)*129/'THAM_SO_MOI'!$C$42</f>
        <v>22.662697916666666</v>
      </c>
      <c r="G936" s="75">
        <f>3.6*F936</f>
        <v>81.5857125</v>
      </c>
      <c r="H936" s="75">
        <f>'THAM_SO_MOI'!$D$53</f>
        <v>1.1</v>
      </c>
      <c r="I936" s="75">
        <f>IF(F936&gt;='THAM_SO_MOI'!$C$14,'THAM_SO_MOI'!$C$13*(1+F936^2/1500),'THAM_SO_MOI'!$C$13)</f>
        <v>0.020135978768620874</v>
      </c>
      <c r="J936" s="75">
        <f>'THAM_SO_MOI'!$C$40*('THAM_SO_MOI'!$C$23*(E936/'THAM_SO_MOI'!$C$22)+'THAM_SO_MOI'!$C$24*(E936/'THAM_SO_MOI'!$C$22)^2-'THAM_SO_MOI'!$C$25*(E936/'THAM_SO_MOI'!$C$22)^3)</f>
        <v>100.5066922398386</v>
      </c>
      <c r="K936" s="75">
        <f>'THAM_SO_MOI'!$C$31*J936/E936</f>
        <v>429.91682841315446</v>
      </c>
      <c r="L936" s="75">
        <f>K936*'THAM_SO_MOI'!$C$53*'THAM_SO_MOI'!$C$17/'THAM_SO_MOI'!$C$26</f>
        <v>3770.3722674343962</v>
      </c>
      <c r="M936" s="75">
        <f>'THAM_SO_MOI'!$C$15*'THAM_SO_MOI'!$C$16*F936^2</f>
        <v>1502.2737898216064</v>
      </c>
      <c r="N936" s="75">
        <f>'THAM_SO_MOI'!$C$12*I936</f>
        <v>1517.0607492109116</v>
      </c>
      <c r="O936" s="75">
        <f>M936+N936</f>
        <v>3019.334539032518</v>
      </c>
      <c r="P936" s="75">
        <f>(MIN(L936,'THAM_SO_MOI'!$C$41)-O936)/('THAM_SO_MOI'!$C$11*H936)</f>
        <v>0.08890124625969202</v>
      </c>
      <c r="Q936" s="75">
        <f>IF(P936&gt;0,1/P936,NA())</f>
        <v>11.24843623765263</v>
      </c>
      <c r="R936" s="75">
        <f>F936-F935</f>
        <v>0.0035868055555567935</v>
      </c>
      <c r="S936" s="75">
        <f>0.5*(Q935+Q936)*R936</f>
        <v>0.04032937257455896</v>
      </c>
      <c r="T936" s="75">
        <f>0.5*(F935*Q935+F936*Q936)*R936</f>
        <v>0.9139000907535663</v>
      </c>
      <c r="U936" s="76">
        <f>U935+S936</f>
        <v>77.42502636326296</v>
      </c>
      <c r="V936" s="76">
        <f>V935+T936</f>
        <v>1236.2083479578573</v>
      </c>
    </row>
    <row r="937" spans="1:22" ht="19" customHeight="1">
      <c r="A937" s="68" t="s">
        <v>362</v>
      </c>
      <c r="B937" s="74">
        <v>5</v>
      </c>
      <c r="C937" s="68" t="s">
        <v>363</v>
      </c>
      <c r="D937" s="68" t="s">
        <v>365</v>
      </c>
      <c r="E937" s="75">
        <f>60*F937*'THAM_SO_MOI'!$C$53/(2*PI()*'THAM_SO_MOI'!$C$26)</f>
        <v>2233.2255263157895</v>
      </c>
      <c r="F937" s="75">
        <f>'THAM_SO_MOI'!$C$14+('THAM_SO_MOI'!$C$37-'THAM_SO_MOI'!$C$14)*130/'THAM_SO_MOI'!$C$42</f>
        <v>22.666284722222223</v>
      </c>
      <c r="G937" s="75">
        <f>3.6*F937</f>
        <v>81.598625</v>
      </c>
      <c r="H937" s="75">
        <f>'THAM_SO_MOI'!$D$53</f>
        <v>1.1</v>
      </c>
      <c r="I937" s="75">
        <f>IF(F937&gt;='THAM_SO_MOI'!$C$14,'THAM_SO_MOI'!$C$13*(1+F937^2/1500),'THAM_SO_MOI'!$C$13)</f>
        <v>0.020137604631088442</v>
      </c>
      <c r="J937" s="75">
        <f>'THAM_SO_MOI'!$C$40*('THAM_SO_MOI'!$C$23*(E937/'THAM_SO_MOI'!$C$22)+'THAM_SO_MOI'!$C$24*(E937/'THAM_SO_MOI'!$C$22)^2-'THAM_SO_MOI'!$C$25*(E937/'THAM_SO_MOI'!$C$22)^3)</f>
        <v>100.52206720275427</v>
      </c>
      <c r="K937" s="75">
        <f>'THAM_SO_MOI'!$C$31*J937/E937</f>
        <v>429.914552529666</v>
      </c>
      <c r="L937" s="75">
        <f>K937*'THAM_SO_MOI'!$C$53*'THAM_SO_MOI'!$C$17/'THAM_SO_MOI'!$C$26</f>
        <v>3770.3523079272973</v>
      </c>
      <c r="M937" s="75">
        <f>'THAM_SO_MOI'!$C$15*'THAM_SO_MOI'!$C$16*F937^2</f>
        <v>1502.7493545933705</v>
      </c>
      <c r="N937" s="75">
        <f>'THAM_SO_MOI'!$C$12*I937</f>
        <v>1517.1832429899082</v>
      </c>
      <c r="O937" s="75">
        <f>M937+N937</f>
        <v>3019.932597583279</v>
      </c>
      <c r="P937" s="75">
        <f>(MIN(L937,'THAM_SO_MOI'!$C$41)-O937)/('THAM_SO_MOI'!$C$11*H937)</f>
        <v>0.0888280907130704</v>
      </c>
      <c r="Q937" s="75">
        <f>IF(P937&gt;0,1/P937,NA())</f>
        <v>11.257700035793489</v>
      </c>
      <c r="R937" s="75">
        <f>F937-F936</f>
        <v>0.0035868055555567935</v>
      </c>
      <c r="S937" s="75">
        <f>0.5*(Q936+Q937)*R937</f>
        <v>0.0403625673098574</v>
      </c>
      <c r="T937" s="75">
        <f>0.5*(F936*Q936+F937*Q937)*R937</f>
        <v>0.9147970862198492</v>
      </c>
      <c r="U937" s="76">
        <f>U936+S937</f>
        <v>77.46538893057281</v>
      </c>
      <c r="V937" s="76">
        <f>V936+T937</f>
        <v>1237.123145044077</v>
      </c>
    </row>
    <row r="938" spans="1:22" ht="19" customHeight="1">
      <c r="A938" s="68" t="s">
        <v>362</v>
      </c>
      <c r="B938" s="74">
        <v>5</v>
      </c>
      <c r="C938" s="68" t="s">
        <v>363</v>
      </c>
      <c r="D938" s="68" t="s">
        <v>365</v>
      </c>
      <c r="E938" s="75">
        <f>60*F938*'THAM_SO_MOI'!$C$53/(2*PI()*'THAM_SO_MOI'!$C$26)</f>
        <v>2233.578921052631</v>
      </c>
      <c r="F938" s="75">
        <f>'THAM_SO_MOI'!$C$14+('THAM_SO_MOI'!$C$37-'THAM_SO_MOI'!$C$14)*131/'THAM_SO_MOI'!$C$42</f>
        <v>22.669871527777776</v>
      </c>
      <c r="G938" s="75">
        <f>3.6*F938</f>
        <v>81.6115375</v>
      </c>
      <c r="H938" s="75">
        <f>'THAM_SO_MOI'!$D$53</f>
        <v>1.1</v>
      </c>
      <c r="I938" s="75">
        <f>IF(F938&gt;='THAM_SO_MOI'!$C$14,'THAM_SO_MOI'!$C$13*(1+F938^2/1500),'THAM_SO_MOI'!$C$13)</f>
        <v>0.020139230750859494</v>
      </c>
      <c r="J938" s="75">
        <f>'THAM_SO_MOI'!$C$40*('THAM_SO_MOI'!$C$23*(E938/'THAM_SO_MOI'!$C$22)+'THAM_SO_MOI'!$C$24*(E938/'THAM_SO_MOI'!$C$22)^2-'THAM_SO_MOI'!$C$25*(E938/'THAM_SO_MOI'!$C$22)^3)</f>
        <v>100.53743916386047</v>
      </c>
      <c r="K938" s="75">
        <f>'THAM_SO_MOI'!$C$31*J938/E938</f>
        <v>429.9122645301934</v>
      </c>
      <c r="L938" s="75">
        <f>K938*'THAM_SO_MOI'!$C$53*'THAM_SO_MOI'!$C$17/'THAM_SO_MOI'!$C$26</f>
        <v>3770.3322421629696</v>
      </c>
      <c r="M938" s="75">
        <f>'THAM_SO_MOI'!$C$15*'THAM_SO_MOI'!$C$16*F938^2</f>
        <v>1503.2249946264021</v>
      </c>
      <c r="N938" s="75">
        <f>'THAM_SO_MOI'!$C$12*I938</f>
        <v>1517.305756154355</v>
      </c>
      <c r="O938" s="75">
        <f>M938+N938</f>
        <v>3020.5307507807574</v>
      </c>
      <c r="P938" s="75">
        <f>(MIN(L938,'THAM_SO_MOI'!$C$41)-O938)/('THAM_SO_MOI'!$C$11*H938)</f>
        <v>0.08875491138520504</v>
      </c>
      <c r="Q938" s="75">
        <f>IF(P938&gt;0,1/P938,NA())</f>
        <v>11.266982124064118</v>
      </c>
      <c r="R938" s="75">
        <f>F938-F937</f>
        <v>0.0035868055555532408</v>
      </c>
      <c r="S938" s="75">
        <f>0.5*(Q937+Q938)*R938</f>
        <v>0.040395827554024114</v>
      </c>
      <c r="T938" s="75">
        <f>0.5*(F937*Q937+F938*Q938)*R938</f>
        <v>0.9156958047725667</v>
      </c>
      <c r="U938" s="76">
        <f>U937+S938</f>
        <v>77.50578475812684</v>
      </c>
      <c r="V938" s="76">
        <f>V937+T938</f>
        <v>1238.0388408488498</v>
      </c>
    </row>
    <row r="939" spans="1:22" ht="19" customHeight="1">
      <c r="A939" s="68" t="s">
        <v>362</v>
      </c>
      <c r="B939" s="74">
        <v>5</v>
      </c>
      <c r="C939" s="68" t="s">
        <v>363</v>
      </c>
      <c r="D939" s="68" t="s">
        <v>365</v>
      </c>
      <c r="E939" s="75">
        <f>60*F939*'THAM_SO_MOI'!$C$53/(2*PI()*'THAM_SO_MOI'!$C$26)</f>
        <v>2233.9323157894733</v>
      </c>
      <c r="F939" s="75">
        <f>'THAM_SO_MOI'!$C$14+('THAM_SO_MOI'!$C$37-'THAM_SO_MOI'!$C$14)*132/'THAM_SO_MOI'!$C$42</f>
        <v>22.673458333333333</v>
      </c>
      <c r="G939" s="75">
        <f>3.6*F939</f>
        <v>81.62445</v>
      </c>
      <c r="H939" s="75">
        <f>'THAM_SO_MOI'!$D$53</f>
        <v>1.1</v>
      </c>
      <c r="I939" s="75">
        <f>IF(F939&gt;='THAM_SO_MOI'!$C$14,'THAM_SO_MOI'!$C$13*(1+F939^2/1500),'THAM_SO_MOI'!$C$13)</f>
        <v>0.02014085712793403</v>
      </c>
      <c r="J939" s="75">
        <f>'THAM_SO_MOI'!$C$40*('THAM_SO_MOI'!$C$23*(E939/'THAM_SO_MOI'!$C$22)+'THAM_SO_MOI'!$C$24*(E939/'THAM_SO_MOI'!$C$22)^2-'THAM_SO_MOI'!$C$25*(E939/'THAM_SO_MOI'!$C$22)^3)</f>
        <v>100.55280812181225</v>
      </c>
      <c r="K939" s="75">
        <f>'THAM_SO_MOI'!$C$31*J939/E939</f>
        <v>429.9099644147361</v>
      </c>
      <c r="L939" s="75">
        <f>K939*'THAM_SO_MOI'!$C$53*'THAM_SO_MOI'!$C$17/'THAM_SO_MOI'!$C$26</f>
        <v>3770.3120701414086</v>
      </c>
      <c r="M939" s="75">
        <f>'THAM_SO_MOI'!$C$15*'THAM_SO_MOI'!$C$16*F939^2</f>
        <v>1503.7007099207033</v>
      </c>
      <c r="N939" s="75">
        <f>'THAM_SO_MOI'!$C$12*I939</f>
        <v>1517.4282887042523</v>
      </c>
      <c r="O939" s="75">
        <f>M939+N939</f>
        <v>3021.128998624956</v>
      </c>
      <c r="P939" s="75">
        <f>(MIN(L939,'THAM_SO_MOI'!$C$41)-O939)/('THAM_SO_MOI'!$C$11*H939)</f>
        <v>0.08868170827609527</v>
      </c>
      <c r="Q939" s="75">
        <f>IF(P939&gt;0,1/P939,NA())</f>
        <v>11.276282555210503</v>
      </c>
      <c r="R939" s="75">
        <f>F939-F938</f>
        <v>0.0035868055555567935</v>
      </c>
      <c r="S939" s="75">
        <f>0.5*(Q938+Q939)*R939</f>
        <v>0.040429153496004726</v>
      </c>
      <c r="T939" s="75">
        <f>0.5*(F938*Q938+F939*Q939)*R939</f>
        <v>0.9165962514003342</v>
      </c>
      <c r="U939" s="76">
        <f>U938+S939</f>
        <v>77.54621391162284</v>
      </c>
      <c r="V939" s="76">
        <f>V938+T939</f>
        <v>1238.95543710025</v>
      </c>
    </row>
    <row r="940" spans="1:22" ht="19" customHeight="1">
      <c r="A940" s="68" t="s">
        <v>362</v>
      </c>
      <c r="B940" s="74">
        <v>5</v>
      </c>
      <c r="C940" s="68" t="s">
        <v>363</v>
      </c>
      <c r="D940" s="68" t="s">
        <v>365</v>
      </c>
      <c r="E940" s="75">
        <f>60*F940*'THAM_SO_MOI'!$C$53/(2*PI()*'THAM_SO_MOI'!$C$26)</f>
        <v>2234.285710526315</v>
      </c>
      <c r="F940" s="75">
        <f>'THAM_SO_MOI'!$C$14+('THAM_SO_MOI'!$C$37-'THAM_SO_MOI'!$C$14)*133/'THAM_SO_MOI'!$C$42</f>
        <v>22.67704513888889</v>
      </c>
      <c r="G940" s="75">
        <f>3.6*F940</f>
        <v>81.63736250000001</v>
      </c>
      <c r="H940" s="75">
        <f>'THAM_SO_MOI'!$D$53</f>
        <v>1.1</v>
      </c>
      <c r="I940" s="75">
        <f>IF(F940&gt;='THAM_SO_MOI'!$C$14,'THAM_SO_MOI'!$C$13*(1+F940^2/1500),'THAM_SO_MOI'!$C$13)</f>
        <v>0.020142483762312043</v>
      </c>
      <c r="J940" s="75">
        <f>'THAM_SO_MOI'!$C$40*('THAM_SO_MOI'!$C$23*(E940/'THAM_SO_MOI'!$C$22)+'THAM_SO_MOI'!$C$24*(E940/'THAM_SO_MOI'!$C$22)^2-'THAM_SO_MOI'!$C$25*(E940/'THAM_SO_MOI'!$C$22)^3)</f>
        <v>100.56817407526471</v>
      </c>
      <c r="K940" s="75">
        <f>'THAM_SO_MOI'!$C$31*J940/E940</f>
        <v>429.9076521832943</v>
      </c>
      <c r="L940" s="75">
        <f>K940*'THAM_SO_MOI'!$C$53*'THAM_SO_MOI'!$C$17/'THAM_SO_MOI'!$C$26</f>
        <v>3770.2917918626167</v>
      </c>
      <c r="M940" s="75">
        <f>'THAM_SO_MOI'!$C$15*'THAM_SO_MOI'!$C$16*F940^2</f>
        <v>1504.1765004762724</v>
      </c>
      <c r="N940" s="75">
        <f>'THAM_SO_MOI'!$C$12*I940</f>
        <v>1517.5508406395993</v>
      </c>
      <c r="O940" s="75">
        <f>M940+N940</f>
        <v>3021.7273411158717</v>
      </c>
      <c r="P940" s="75">
        <f>(MIN(L940,'THAM_SO_MOI'!$C$41)-O940)/('THAM_SO_MOI'!$C$11*H940)</f>
        <v>0.0886084813857416</v>
      </c>
      <c r="Q940" s="75">
        <f>IF(P940&gt;0,1/P940,NA())</f>
        <v>11.285601382182302</v>
      </c>
      <c r="R940" s="75">
        <f>F940-F939</f>
        <v>0.0035868055555567935</v>
      </c>
      <c r="S940" s="75">
        <f>0.5*(Q939+Q940)*R940</f>
        <v>0.04046254532523405</v>
      </c>
      <c r="T940" s="75">
        <f>0.5*(F939*Q939+F940*Q940)*R940</f>
        <v>0.9174984311055706</v>
      </c>
      <c r="U940" s="76">
        <f>U939+S940</f>
        <v>77.58667645694808</v>
      </c>
      <c r="V940" s="76">
        <f>V939+T940</f>
        <v>1239.8729355313556</v>
      </c>
    </row>
    <row r="941" spans="1:22" ht="19" customHeight="1">
      <c r="A941" s="68" t="s">
        <v>362</v>
      </c>
      <c r="B941" s="74">
        <v>5</v>
      </c>
      <c r="C941" s="68" t="s">
        <v>363</v>
      </c>
      <c r="D941" s="68" t="s">
        <v>365</v>
      </c>
      <c r="E941" s="75">
        <f>60*F941*'THAM_SO_MOI'!$C$53/(2*PI()*'THAM_SO_MOI'!$C$26)</f>
        <v>2234.639105263157</v>
      </c>
      <c r="F941" s="75">
        <f>'THAM_SO_MOI'!$C$14+('THAM_SO_MOI'!$C$37-'THAM_SO_MOI'!$C$14)*134/'THAM_SO_MOI'!$C$42</f>
        <v>22.680631944444443</v>
      </c>
      <c r="G941" s="75">
        <f>3.6*F941</f>
        <v>81.650275</v>
      </c>
      <c r="H941" s="75">
        <f>'THAM_SO_MOI'!$D$53</f>
        <v>1.1</v>
      </c>
      <c r="I941" s="75">
        <f>IF(F941&gt;='THAM_SO_MOI'!$C$14,'THAM_SO_MOI'!$C$13*(1+F941^2/1500),'THAM_SO_MOI'!$C$13)</f>
        <v>0.020144110653993536</v>
      </c>
      <c r="J941" s="75">
        <f>'THAM_SO_MOI'!$C$40*('THAM_SO_MOI'!$C$23*(E941/'THAM_SO_MOI'!$C$22)+'THAM_SO_MOI'!$C$24*(E941/'THAM_SO_MOI'!$C$22)^2-'THAM_SO_MOI'!$C$25*(E941/'THAM_SO_MOI'!$C$22)^3)</f>
        <v>100.583537022873</v>
      </c>
      <c r="K941" s="75">
        <f>'THAM_SO_MOI'!$C$31*J941/E941</f>
        <v>429.9053278358682</v>
      </c>
      <c r="L941" s="75">
        <f>K941*'THAM_SO_MOI'!$C$53*'THAM_SO_MOI'!$C$17/'THAM_SO_MOI'!$C$26</f>
        <v>3770.2714073265947</v>
      </c>
      <c r="M941" s="75">
        <f>'THAM_SO_MOI'!$C$15*'THAM_SO_MOI'!$C$16*F941^2</f>
        <v>1504.6523662931097</v>
      </c>
      <c r="N941" s="75">
        <f>'THAM_SO_MOI'!$C$12*I941</f>
        <v>1517.6734119603964</v>
      </c>
      <c r="O941" s="75">
        <f>M941+N941</f>
        <v>3022.325778253506</v>
      </c>
      <c r="P941" s="75">
        <f>(MIN(L941,'THAM_SO_MOI'!$C$41)-O941)/('THAM_SO_MOI'!$C$11*H941)</f>
        <v>0.08853523071414399</v>
      </c>
      <c r="Q941" s="75">
        <f>IF(P941&gt;0,1/P941,NA())</f>
        <v>11.294938658134027</v>
      </c>
      <c r="R941" s="75">
        <f>F941-F940</f>
        <v>0.0035868055555532408</v>
      </c>
      <c r="S941" s="75">
        <f>0.5*(Q940+Q941)*R941</f>
        <v>0.040496003231999506</v>
      </c>
      <c r="T941" s="75">
        <f>0.5*(F940*Q940+F941*Q941)*R941</f>
        <v>0.9184023489127484</v>
      </c>
      <c r="U941" s="76">
        <f>U940+S941</f>
        <v>77.62717246018008</v>
      </c>
      <c r="V941" s="76">
        <f>V940+T941</f>
        <v>1240.7913378802682</v>
      </c>
    </row>
    <row r="942" spans="1:22" ht="19" customHeight="1">
      <c r="A942" s="68" t="s">
        <v>362</v>
      </c>
      <c r="B942" s="74">
        <v>5</v>
      </c>
      <c r="C942" s="68" t="s">
        <v>363</v>
      </c>
      <c r="D942" s="68" t="s">
        <v>365</v>
      </c>
      <c r="E942" s="75">
        <f>60*F942*'THAM_SO_MOI'!$C$53/(2*PI()*'THAM_SO_MOI'!$C$26)</f>
        <v>2234.9924999999994</v>
      </c>
      <c r="F942" s="75">
        <f>'THAM_SO_MOI'!$C$14+('THAM_SO_MOI'!$C$37-'THAM_SO_MOI'!$C$14)*135/'THAM_SO_MOI'!$C$42</f>
        <v>22.68421875</v>
      </c>
      <c r="G942" s="75">
        <f>3.6*F942</f>
        <v>81.6631875</v>
      </c>
      <c r="H942" s="75">
        <f>'THAM_SO_MOI'!$D$53</f>
        <v>1.1</v>
      </c>
      <c r="I942" s="75">
        <f>IF(F942&gt;='THAM_SO_MOI'!$C$14,'THAM_SO_MOI'!$C$13*(1+F942^2/1500),'THAM_SO_MOI'!$C$13)</f>
        <v>0.020145737802978514</v>
      </c>
      <c r="J942" s="75">
        <f>'THAM_SO_MOI'!$C$40*('THAM_SO_MOI'!$C$23*(E942/'THAM_SO_MOI'!$C$22)+'THAM_SO_MOI'!$C$24*(E942/'THAM_SO_MOI'!$C$22)^2-'THAM_SO_MOI'!$C$25*(E942/'THAM_SO_MOI'!$C$22)^3)</f>
        <v>100.5988969632922</v>
      </c>
      <c r="K942" s="75">
        <f>'THAM_SO_MOI'!$C$31*J942/E942</f>
        <v>429.90299137245745</v>
      </c>
      <c r="L942" s="75">
        <f>K942*'THAM_SO_MOI'!$C$53*'THAM_SO_MOI'!$C$17/'THAM_SO_MOI'!$C$26</f>
        <v>3770.25091653334</v>
      </c>
      <c r="M942" s="75">
        <f>'THAM_SO_MOI'!$C$15*'THAM_SO_MOI'!$C$16*F942^2</f>
        <v>1505.1283073712161</v>
      </c>
      <c r="N942" s="75">
        <f>'THAM_SO_MOI'!$C$12*I942</f>
        <v>1517.7960026666437</v>
      </c>
      <c r="O942" s="75">
        <f>M942+N942</f>
        <v>3022.92431003786</v>
      </c>
      <c r="P942" s="75">
        <f>(MIN(L942,'THAM_SO_MOI'!$C$41)-O942)/('THAM_SO_MOI'!$C$11*H942)</f>
        <v>0.08846195626130209</v>
      </c>
      <c r="Q942" s="75">
        <f>IF(P942&gt;0,1/P942,NA())</f>
        <v>11.30429443642603</v>
      </c>
      <c r="R942" s="75">
        <f>F942-F941</f>
        <v>0.0035868055555567935</v>
      </c>
      <c r="S942" s="75">
        <f>0.5*(Q941+Q942)*R942</f>
        <v>0.040529527407445476</v>
      </c>
      <c r="T942" s="75">
        <f>0.5*(F941*Q941+F942*Q942)*R942</f>
        <v>0.9193080098685082</v>
      </c>
      <c r="U942" s="76">
        <f>U941+S942</f>
        <v>77.66770198758752</v>
      </c>
      <c r="V942" s="76">
        <f>V941+T942</f>
        <v>1241.7106458901367</v>
      </c>
    </row>
    <row r="943" spans="1:22" ht="19" customHeight="1">
      <c r="A943" s="68" t="s">
        <v>362</v>
      </c>
      <c r="B943" s="74">
        <v>5</v>
      </c>
      <c r="C943" s="68" t="s">
        <v>363</v>
      </c>
      <c r="D943" s="68" t="s">
        <v>365</v>
      </c>
      <c r="E943" s="75">
        <f>60*F943*'THAM_SO_MOI'!$C$53/(2*PI()*'THAM_SO_MOI'!$C$26)</f>
        <v>2235.3458947368417</v>
      </c>
      <c r="F943" s="75">
        <f>'THAM_SO_MOI'!$C$14+('THAM_SO_MOI'!$C$37-'THAM_SO_MOI'!$C$14)*136/'THAM_SO_MOI'!$C$42</f>
        <v>22.687805555555556</v>
      </c>
      <c r="G943" s="75">
        <f>3.6*F943</f>
        <v>81.6761</v>
      </c>
      <c r="H943" s="75">
        <f>'THAM_SO_MOI'!$D$53</f>
        <v>1.1</v>
      </c>
      <c r="I943" s="75">
        <f>IF(F943&gt;='THAM_SO_MOI'!$C$14,'THAM_SO_MOI'!$C$13*(1+F943^2/1500),'THAM_SO_MOI'!$C$13)</f>
        <v>0.020147365209266972</v>
      </c>
      <c r="J943" s="75">
        <f>'THAM_SO_MOI'!$C$40*('THAM_SO_MOI'!$C$23*(E943/'THAM_SO_MOI'!$C$22)+'THAM_SO_MOI'!$C$24*(E943/'THAM_SO_MOI'!$C$22)^2-'THAM_SO_MOI'!$C$25*(E943/'THAM_SO_MOI'!$C$22)^3)</f>
        <v>100.61425389517747</v>
      </c>
      <c r="K943" s="75">
        <f>'THAM_SO_MOI'!$C$31*J943/E943</f>
        <v>429.90064279306233</v>
      </c>
      <c r="L943" s="75">
        <f>K943*'THAM_SO_MOI'!$C$53*'THAM_SO_MOI'!$C$17/'THAM_SO_MOI'!$C$26</f>
        <v>3770.2303194828546</v>
      </c>
      <c r="M943" s="75">
        <f>'THAM_SO_MOI'!$C$15*'THAM_SO_MOI'!$C$16*F943^2</f>
        <v>1505.6043237105905</v>
      </c>
      <c r="N943" s="75">
        <f>'THAM_SO_MOI'!$C$12*I943</f>
        <v>1517.9186127583412</v>
      </c>
      <c r="O943" s="75">
        <f>M943+N943</f>
        <v>3023.5229364689317</v>
      </c>
      <c r="P943" s="75">
        <f>(MIN(L943,'THAM_SO_MOI'!$C$41)-O943)/('THAM_SO_MOI'!$C$11*H943)</f>
        <v>0.08838865802721625</v>
      </c>
      <c r="Q943" s="75">
        <f>IF(P943&gt;0,1/P943,NA())</f>
        <v>11.313668770625348</v>
      </c>
      <c r="R943" s="75">
        <f>F943-F942</f>
        <v>0.0035868055555567935</v>
      </c>
      <c r="S943" s="75">
        <f>0.5*(Q942+Q943)*R943</f>
        <v>0.04056311804321552</v>
      </c>
      <c r="T943" s="75">
        <f>0.5*(F942*Q942+F943*Q943)*R943</f>
        <v>0.9202154190335572</v>
      </c>
      <c r="U943" s="76">
        <f>U942+S943</f>
        <v>77.70826510563073</v>
      </c>
      <c r="V943" s="76">
        <f>V942+T943</f>
        <v>1242.6308613091703</v>
      </c>
    </row>
    <row r="944" spans="1:22" ht="19" customHeight="1">
      <c r="A944" s="68" t="s">
        <v>362</v>
      </c>
      <c r="B944" s="74">
        <v>5</v>
      </c>
      <c r="C944" s="68" t="s">
        <v>363</v>
      </c>
      <c r="D944" s="68" t="s">
        <v>365</v>
      </c>
      <c r="E944" s="75">
        <f>60*F944*'THAM_SO_MOI'!$C$53/(2*PI()*'THAM_SO_MOI'!$C$26)</f>
        <v>2235.6992894736836</v>
      </c>
      <c r="F944" s="75">
        <f>'THAM_SO_MOI'!$C$14+('THAM_SO_MOI'!$C$37-'THAM_SO_MOI'!$C$14)*137/'THAM_SO_MOI'!$C$42</f>
        <v>22.69139236111111</v>
      </c>
      <c r="G944" s="75">
        <f>3.6*F944</f>
        <v>81.68901249999999</v>
      </c>
      <c r="H944" s="75">
        <f>'THAM_SO_MOI'!$D$53</f>
        <v>1.1</v>
      </c>
      <c r="I944" s="75">
        <f>IF(F944&gt;='THAM_SO_MOI'!$C$14,'THAM_SO_MOI'!$C$13*(1+F944^2/1500),'THAM_SO_MOI'!$C$13)</f>
        <v>0.020148992872858915</v>
      </c>
      <c r="J944" s="75">
        <f>'THAM_SO_MOI'!$C$40*('THAM_SO_MOI'!$C$23*(E944/'THAM_SO_MOI'!$C$22)+'THAM_SO_MOI'!$C$24*(E944/'THAM_SO_MOI'!$C$22)^2-'THAM_SO_MOI'!$C$25*(E944/'THAM_SO_MOI'!$C$22)^3)</f>
        <v>100.62960781718385</v>
      </c>
      <c r="K944" s="75">
        <f>'THAM_SO_MOI'!$C$31*J944/E944</f>
        <v>429.89828209768274</v>
      </c>
      <c r="L944" s="75">
        <f>K944*'THAM_SO_MOI'!$C$53*'THAM_SO_MOI'!$C$17/'THAM_SO_MOI'!$C$26</f>
        <v>3770.2096161751383</v>
      </c>
      <c r="M944" s="75">
        <f>'THAM_SO_MOI'!$C$15*'THAM_SO_MOI'!$C$16*F944^2</f>
        <v>1506.0804153112333</v>
      </c>
      <c r="N944" s="75">
        <f>'THAM_SO_MOI'!$C$12*I944</f>
        <v>1518.0412422354889</v>
      </c>
      <c r="O944" s="75">
        <f>M944+N944</f>
        <v>3024.1216575467224</v>
      </c>
      <c r="P944" s="75">
        <f>(MIN(L944,'THAM_SO_MOI'!$C$41)-O944)/('THAM_SO_MOI'!$C$11*H944)</f>
        <v>0.08831533601188635</v>
      </c>
      <c r="Q944" s="75">
        <f>IF(P944&gt;0,1/P944,NA())</f>
        <v>11.323061714506869</v>
      </c>
      <c r="R944" s="75">
        <f>F944-F943</f>
        <v>0.0035868055555532408</v>
      </c>
      <c r="S944" s="75">
        <f>0.5*(Q943+Q944)*R944</f>
        <v>0.040596775331816826</v>
      </c>
      <c r="T944" s="75">
        <f>0.5*(F943*Q943+F944*Q944)*R944</f>
        <v>0.9211245814909479</v>
      </c>
      <c r="U944" s="76">
        <f>U943+S944</f>
        <v>77.74886188096255</v>
      </c>
      <c r="V944" s="76">
        <f>V943+T944</f>
        <v>1243.5519858906612</v>
      </c>
    </row>
    <row r="945" spans="1:22" ht="19" customHeight="1">
      <c r="A945" s="68" t="s">
        <v>362</v>
      </c>
      <c r="B945" s="74">
        <v>5</v>
      </c>
      <c r="C945" s="68" t="s">
        <v>363</v>
      </c>
      <c r="D945" s="68" t="s">
        <v>365</v>
      </c>
      <c r="E945" s="75">
        <f>60*F945*'THAM_SO_MOI'!$C$53/(2*PI()*'THAM_SO_MOI'!$C$26)</f>
        <v>2236.052684210526</v>
      </c>
      <c r="F945" s="75">
        <f>'THAM_SO_MOI'!$C$14+('THAM_SO_MOI'!$C$37-'THAM_SO_MOI'!$C$14)*138/'THAM_SO_MOI'!$C$42</f>
        <v>22.694979166666666</v>
      </c>
      <c r="G945" s="75">
        <f>3.6*F945</f>
        <v>81.701925</v>
      </c>
      <c r="H945" s="75">
        <f>'THAM_SO_MOI'!$D$53</f>
        <v>1.1</v>
      </c>
      <c r="I945" s="75">
        <f>IF(F945&gt;='THAM_SO_MOI'!$C$14,'THAM_SO_MOI'!$C$13*(1+F945^2/1500),'THAM_SO_MOI'!$C$13)</f>
        <v>0.02015062079375434</v>
      </c>
      <c r="J945" s="75">
        <f>'THAM_SO_MOI'!$C$40*('THAM_SO_MOI'!$C$23*(E945/'THAM_SO_MOI'!$C$22)+'THAM_SO_MOI'!$C$24*(E945/'THAM_SO_MOI'!$C$22)^2-'THAM_SO_MOI'!$C$25*(E945/'THAM_SO_MOI'!$C$22)^3)</f>
        <v>100.64495872796654</v>
      </c>
      <c r="K945" s="75">
        <f>'THAM_SO_MOI'!$C$31*J945/E945</f>
        <v>429.89590928631884</v>
      </c>
      <c r="L945" s="75">
        <f>K945*'THAM_SO_MOI'!$C$53*'THAM_SO_MOI'!$C$17/'THAM_SO_MOI'!$C$26</f>
        <v>3770.188806610192</v>
      </c>
      <c r="M945" s="75">
        <f>'THAM_SO_MOI'!$C$15*'THAM_SO_MOI'!$C$16*F945^2</f>
        <v>1506.5565821731445</v>
      </c>
      <c r="N945" s="75">
        <f>'THAM_SO_MOI'!$C$12*I945</f>
        <v>1518.163891098087</v>
      </c>
      <c r="O945" s="75">
        <f>M945+N945</f>
        <v>3024.7204732712316</v>
      </c>
      <c r="P945" s="75">
        <f>(MIN(L945,'THAM_SO_MOI'!$C$41)-O945)/('THAM_SO_MOI'!$C$11*H945)</f>
        <v>0.08824199021531257</v>
      </c>
      <c r="Q945" s="75">
        <f>IF(P945&gt;0,1/P945,NA())</f>
        <v>11.332473322054229</v>
      </c>
      <c r="R945" s="75">
        <f>F945-F944</f>
        <v>0.0035868055555567935</v>
      </c>
      <c r="S945" s="75">
        <f>0.5*(Q944+Q945)*R945</f>
        <v>0.04063049946662446</v>
      </c>
      <c r="T945" s="75">
        <f>0.5*(F944*Q944+F945*Q945)*R945</f>
        <v>0.9220355023461897</v>
      </c>
      <c r="U945" s="76">
        <f>U944+S945</f>
        <v>77.78949238042918</v>
      </c>
      <c r="V945" s="76">
        <f>V944+T945</f>
        <v>1244.4740213930074</v>
      </c>
    </row>
    <row r="946" spans="1:22" ht="19" customHeight="1">
      <c r="A946" s="68" t="s">
        <v>362</v>
      </c>
      <c r="B946" s="74">
        <v>5</v>
      </c>
      <c r="C946" s="68" t="s">
        <v>363</v>
      </c>
      <c r="D946" s="68" t="s">
        <v>365</v>
      </c>
      <c r="E946" s="75">
        <f>60*F946*'THAM_SO_MOI'!$C$53/(2*PI()*'THAM_SO_MOI'!$C$26)</f>
        <v>2236.406078947368</v>
      </c>
      <c r="F946" s="75">
        <f>'THAM_SO_MOI'!$C$14+('THAM_SO_MOI'!$C$37-'THAM_SO_MOI'!$C$14)*139/'THAM_SO_MOI'!$C$42</f>
        <v>22.698565972222223</v>
      </c>
      <c r="G946" s="75">
        <f>3.6*F946</f>
        <v>81.7148375</v>
      </c>
      <c r="H946" s="75">
        <f>'THAM_SO_MOI'!$D$53</f>
        <v>1.1</v>
      </c>
      <c r="I946" s="75">
        <f>IF(F946&gt;='THAM_SO_MOI'!$C$14,'THAM_SO_MOI'!$C$13*(1+F946^2/1500),'THAM_SO_MOI'!$C$13)</f>
        <v>0.020152248971953245</v>
      </c>
      <c r="J946" s="75">
        <f>'THAM_SO_MOI'!$C$40*('THAM_SO_MOI'!$C$23*(E946/'THAM_SO_MOI'!$C$22)+'THAM_SO_MOI'!$C$24*(E946/'THAM_SO_MOI'!$C$22)^2-'THAM_SO_MOI'!$C$25*(E946/'THAM_SO_MOI'!$C$22)^3)</f>
        <v>100.66030662618056</v>
      </c>
      <c r="K946" s="75">
        <f>'THAM_SO_MOI'!$C$31*J946/E946</f>
        <v>429.8935243589704</v>
      </c>
      <c r="L946" s="75">
        <f>K946*'THAM_SO_MOI'!$C$53*'THAM_SO_MOI'!$C$17/'THAM_SO_MOI'!$C$26</f>
        <v>3770.167890788014</v>
      </c>
      <c r="M946" s="75">
        <f>'THAM_SO_MOI'!$C$15*'THAM_SO_MOI'!$C$16*F946^2</f>
        <v>1507.0328242963246</v>
      </c>
      <c r="N946" s="75">
        <f>'THAM_SO_MOI'!$C$12*I946</f>
        <v>1518.2865593461352</v>
      </c>
      <c r="O946" s="75">
        <f>M946+N946</f>
        <v>3025.31938364246</v>
      </c>
      <c r="P946" s="75">
        <f>(MIN(L946,'THAM_SO_MOI'!$C$41)-O946)/('THAM_SO_MOI'!$C$11*H946)</f>
        <v>0.08816862063749459</v>
      </c>
      <c r="Q946" s="75">
        <f>IF(P946&gt;0,1/P946,NA())</f>
        <v>11.341903647460942</v>
      </c>
      <c r="R946" s="75">
        <f>F946-F945</f>
        <v>0.0035868055555567935</v>
      </c>
      <c r="S946" s="75">
        <f>0.5*(Q945+Q946)*R946</f>
        <v>0.040664290641523014</v>
      </c>
      <c r="T946" s="75">
        <f>0.5*(F945*Q945+F946*Q946)*R946</f>
        <v>0.9229481867191305</v>
      </c>
      <c r="U946" s="76">
        <f>U945+S946</f>
        <v>77.83015667107071</v>
      </c>
      <c r="V946" s="76">
        <f>V945+T946</f>
        <v>1245.3969695797266</v>
      </c>
    </row>
    <row r="947" spans="1:22" ht="19" customHeight="1">
      <c r="A947" s="68" t="s">
        <v>362</v>
      </c>
      <c r="B947" s="74">
        <v>5</v>
      </c>
      <c r="C947" s="68" t="s">
        <v>363</v>
      </c>
      <c r="D947" s="68" t="s">
        <v>365</v>
      </c>
      <c r="E947" s="75">
        <f>60*F947*'THAM_SO_MOI'!$C$53/(2*PI()*'THAM_SO_MOI'!$C$26)</f>
        <v>2236.7594736842098</v>
      </c>
      <c r="F947" s="75">
        <f>'THAM_SO_MOI'!$C$14+('THAM_SO_MOI'!$C$37-'THAM_SO_MOI'!$C$14)*140/'THAM_SO_MOI'!$C$42</f>
        <v>22.702152777777776</v>
      </c>
      <c r="G947" s="75">
        <f>3.6*F947</f>
        <v>81.72775</v>
      </c>
      <c r="H947" s="75">
        <f>'THAM_SO_MOI'!$D$53</f>
        <v>1.1</v>
      </c>
      <c r="I947" s="75">
        <f>IF(F947&gt;='THAM_SO_MOI'!$C$14,'THAM_SO_MOI'!$C$13*(1+F947^2/1500),'THAM_SO_MOI'!$C$13)</f>
        <v>0.020153877407455632</v>
      </c>
      <c r="J947" s="75">
        <f>'THAM_SO_MOI'!$C$40*('THAM_SO_MOI'!$C$23*(E947/'THAM_SO_MOI'!$C$22)+'THAM_SO_MOI'!$C$24*(E947/'THAM_SO_MOI'!$C$22)^2-'THAM_SO_MOI'!$C$25*(E947/'THAM_SO_MOI'!$C$22)^3)</f>
        <v>100.67565151048105</v>
      </c>
      <c r="K947" s="75">
        <f>'THAM_SO_MOI'!$C$31*J947/E947</f>
        <v>429.8911273156375</v>
      </c>
      <c r="L947" s="75">
        <f>K947*'THAM_SO_MOI'!$C$53*'THAM_SO_MOI'!$C$17/'THAM_SO_MOI'!$C$26</f>
        <v>3770.1468687086053</v>
      </c>
      <c r="M947" s="75">
        <f>'THAM_SO_MOI'!$C$15*'THAM_SO_MOI'!$C$16*F947^2</f>
        <v>1507.5091416807725</v>
      </c>
      <c r="N947" s="75">
        <f>'THAM_SO_MOI'!$C$12*I947</f>
        <v>1518.4092469796333</v>
      </c>
      <c r="O947" s="75">
        <f>M947+N947</f>
        <v>3025.918388660406</v>
      </c>
      <c r="P947" s="75">
        <f>(MIN(L947,'THAM_SO_MOI'!$C$41)-O947)/('THAM_SO_MOI'!$C$11*H947)</f>
        <v>0.08809522727843269</v>
      </c>
      <c r="Q947" s="75">
        <f>IF(P947&gt;0,1/P947,NA())</f>
        <v>11.351352745131269</v>
      </c>
      <c r="R947" s="75">
        <f>F947-F946</f>
        <v>0.0035868055555532408</v>
      </c>
      <c r="S947" s="75">
        <f>0.5*(Q946+Q947)*R947</f>
        <v>0.04069814905127192</v>
      </c>
      <c r="T947" s="75">
        <f>0.5*(F946*Q946+F947*Q947)*R947</f>
        <v>0.9238626397522595</v>
      </c>
      <c r="U947" s="76">
        <f>U946+S947</f>
        <v>77.87085482012198</v>
      </c>
      <c r="V947" s="76">
        <f>V946+T947</f>
        <v>1246.320832219479</v>
      </c>
    </row>
    <row r="948" spans="1:22" ht="19" customHeight="1">
      <c r="A948" s="68" t="s">
        <v>362</v>
      </c>
      <c r="B948" s="74">
        <v>5</v>
      </c>
      <c r="C948" s="68" t="s">
        <v>363</v>
      </c>
      <c r="D948" s="68" t="s">
        <v>365</v>
      </c>
      <c r="E948" s="75">
        <f>60*F948*'THAM_SO_MOI'!$C$53/(2*PI()*'THAM_SO_MOI'!$C$26)</f>
        <v>2237.1128684210516</v>
      </c>
      <c r="F948" s="75">
        <f>'THAM_SO_MOI'!$C$14+('THAM_SO_MOI'!$C$37-'THAM_SO_MOI'!$C$14)*141/'THAM_SO_MOI'!$C$42</f>
        <v>22.705739583333333</v>
      </c>
      <c r="G948" s="75">
        <f>3.6*F948</f>
        <v>81.7406625</v>
      </c>
      <c r="H948" s="75">
        <f>'THAM_SO_MOI'!$D$53</f>
        <v>1.1</v>
      </c>
      <c r="I948" s="75">
        <f>IF(F948&gt;='THAM_SO_MOI'!$C$14,'THAM_SO_MOI'!$C$13*(1+F948^2/1500),'THAM_SO_MOI'!$C$13)</f>
        <v>0.0201555061002615</v>
      </c>
      <c r="J948" s="75">
        <f>'THAM_SO_MOI'!$C$40*('THAM_SO_MOI'!$C$23*(E948/'THAM_SO_MOI'!$C$22)+'THAM_SO_MOI'!$C$24*(E948/'THAM_SO_MOI'!$C$22)^2-'THAM_SO_MOI'!$C$25*(E948/'THAM_SO_MOI'!$C$22)^3)</f>
        <v>100.6909933795231</v>
      </c>
      <c r="K948" s="75">
        <f>'THAM_SO_MOI'!$C$31*J948/E948</f>
        <v>429.88871815632</v>
      </c>
      <c r="L948" s="75">
        <f>K948*'THAM_SO_MOI'!$C$53*'THAM_SO_MOI'!$C$17/'THAM_SO_MOI'!$C$26</f>
        <v>3770.1257403719633</v>
      </c>
      <c r="M948" s="75">
        <f>'THAM_SO_MOI'!$C$15*'THAM_SO_MOI'!$C$16*F948^2</f>
        <v>1507.9855343264894</v>
      </c>
      <c r="N948" s="75">
        <f>'THAM_SO_MOI'!$C$12*I948</f>
        <v>1518.5319539985817</v>
      </c>
      <c r="O948" s="75">
        <f>M948+N948</f>
        <v>3026.517488325071</v>
      </c>
      <c r="P948" s="75">
        <f>(MIN(L948,'THAM_SO_MOI'!$C$41)-O948)/('THAM_SO_MOI'!$C$11*H948)</f>
        <v>0.08802181013812645</v>
      </c>
      <c r="Q948" s="75">
        <f>IF(P948&gt;0,1/P948,NA())</f>
        <v>11.360820669681415</v>
      </c>
      <c r="R948" s="75">
        <f>F948-F947</f>
        <v>0.0035868055555567935</v>
      </c>
      <c r="S948" s="75">
        <f>0.5*(Q947+Q948)*R948</f>
        <v>0.04073207489150972</v>
      </c>
      <c r="T948" s="75">
        <f>0.5*(F947*Q947+F948*Q948)*R948</f>
        <v>0.9247788666108195</v>
      </c>
      <c r="U948" s="76">
        <f>U947+S948</f>
        <v>77.91158689501349</v>
      </c>
      <c r="V948" s="76">
        <f>V947+T948</f>
        <v>1247.2456110860896</v>
      </c>
    </row>
    <row r="949" spans="1:22" ht="19" customHeight="1">
      <c r="A949" s="68" t="s">
        <v>362</v>
      </c>
      <c r="B949" s="74">
        <v>5</v>
      </c>
      <c r="C949" s="68" t="s">
        <v>363</v>
      </c>
      <c r="D949" s="68" t="s">
        <v>365</v>
      </c>
      <c r="E949" s="75">
        <f>60*F949*'THAM_SO_MOI'!$C$53/(2*PI()*'THAM_SO_MOI'!$C$26)</f>
        <v>2237.466263157894</v>
      </c>
      <c r="F949" s="75">
        <f>'THAM_SO_MOI'!$C$14+('THAM_SO_MOI'!$C$37-'THAM_SO_MOI'!$C$14)*142/'THAM_SO_MOI'!$C$42</f>
        <v>22.709326388888886</v>
      </c>
      <c r="G949" s="75">
        <f>3.6*F949</f>
        <v>81.753575</v>
      </c>
      <c r="H949" s="75">
        <f>'THAM_SO_MOI'!$D$53</f>
        <v>1.1</v>
      </c>
      <c r="I949" s="75">
        <f>IF(F949&gt;='THAM_SO_MOI'!$C$14,'THAM_SO_MOI'!$C$13*(1+F949^2/1500),'THAM_SO_MOI'!$C$13)</f>
        <v>0.02015713505037085</v>
      </c>
      <c r="J949" s="75">
        <f>'THAM_SO_MOI'!$C$40*('THAM_SO_MOI'!$C$23*(E949/'THAM_SO_MOI'!$C$22)+'THAM_SO_MOI'!$C$24*(E949/'THAM_SO_MOI'!$C$22)^2-'THAM_SO_MOI'!$C$25*(E949/'THAM_SO_MOI'!$C$22)^3)</f>
        <v>100.70633223196192</v>
      </c>
      <c r="K949" s="75">
        <f>'THAM_SO_MOI'!$C$31*J949/E949</f>
        <v>429.88629688101827</v>
      </c>
      <c r="L949" s="75">
        <f>K949*'THAM_SO_MOI'!$C$53*'THAM_SO_MOI'!$C$17/'THAM_SO_MOI'!$C$26</f>
        <v>3770.104505778093</v>
      </c>
      <c r="M949" s="75">
        <f>'THAM_SO_MOI'!$C$15*'THAM_SO_MOI'!$C$16*F949^2</f>
        <v>1508.462002233474</v>
      </c>
      <c r="N949" s="75">
        <f>'THAM_SO_MOI'!$C$12*I949</f>
        <v>1518.6546804029801</v>
      </c>
      <c r="O949" s="75">
        <f>M949+N949</f>
        <v>3027.1166826364542</v>
      </c>
      <c r="P949" s="75">
        <f>(MIN(L949,'THAM_SO_MOI'!$C$41)-O949)/('THAM_SO_MOI'!$C$11*H949)</f>
        <v>0.08794836921657657</v>
      </c>
      <c r="Q949" s="75">
        <f>IF(P949&gt;0,1/P949,NA())</f>
        <v>11.370307475940319</v>
      </c>
      <c r="R949" s="75">
        <f>F949-F948</f>
        <v>0.0035868055555532408</v>
      </c>
      <c r="S949" s="75">
        <f>0.5*(Q948+Q949)*R949</f>
        <v>0.04076606835835433</v>
      </c>
      <c r="T949" s="75">
        <f>0.5*(F948*Q948+F949*Q949)*R949</f>
        <v>0.9256968724737449</v>
      </c>
      <c r="U949" s="76">
        <f>U948+S949</f>
        <v>77.95235296337184</v>
      </c>
      <c r="V949" s="76">
        <f>V948+T949</f>
        <v>1248.1713079585634</v>
      </c>
    </row>
    <row r="950" spans="1:22" ht="19" customHeight="1">
      <c r="A950" s="68" t="s">
        <v>362</v>
      </c>
      <c r="B950" s="74">
        <v>5</v>
      </c>
      <c r="C950" s="68" t="s">
        <v>363</v>
      </c>
      <c r="D950" s="68" t="s">
        <v>365</v>
      </c>
      <c r="E950" s="75">
        <f>60*F950*'THAM_SO_MOI'!$C$53/(2*PI()*'THAM_SO_MOI'!$C$26)</f>
        <v>2237.8196578947363</v>
      </c>
      <c r="F950" s="75">
        <f>'THAM_SO_MOI'!$C$14+('THAM_SO_MOI'!$C$37-'THAM_SO_MOI'!$C$14)*143/'THAM_SO_MOI'!$C$42</f>
        <v>22.712913194444443</v>
      </c>
      <c r="G950" s="75">
        <f>3.6*F950</f>
        <v>81.7664875</v>
      </c>
      <c r="H950" s="75">
        <f>'THAM_SO_MOI'!$D$53</f>
        <v>1.1</v>
      </c>
      <c r="I950" s="75">
        <f>IF(F950&gt;='THAM_SO_MOI'!$C$14,'THAM_SO_MOI'!$C$13*(1+F950^2/1500),'THAM_SO_MOI'!$C$13)</f>
        <v>0.020158764257783682</v>
      </c>
      <c r="J950" s="75">
        <f>'THAM_SO_MOI'!$C$40*('THAM_SO_MOI'!$C$23*(E950/'THAM_SO_MOI'!$C$22)+'THAM_SO_MOI'!$C$24*(E950/'THAM_SO_MOI'!$C$22)^2-'THAM_SO_MOI'!$C$25*(E950/'THAM_SO_MOI'!$C$22)^3)</f>
        <v>100.72166806645252</v>
      </c>
      <c r="K950" s="75">
        <f>'THAM_SO_MOI'!$C$31*J950/E950</f>
        <v>429.883863489732</v>
      </c>
      <c r="L950" s="75">
        <f>K950*'THAM_SO_MOI'!$C$53*'THAM_SO_MOI'!$C$17/'THAM_SO_MOI'!$C$26</f>
        <v>3770.083164926991</v>
      </c>
      <c r="M950" s="75">
        <f>'THAM_SO_MOI'!$C$15*'THAM_SO_MOI'!$C$16*F950^2</f>
        <v>1508.9385454017279</v>
      </c>
      <c r="N950" s="75">
        <f>'THAM_SO_MOI'!$C$12*I950</f>
        <v>1518.777426192829</v>
      </c>
      <c r="O950" s="75">
        <f>M950+N950</f>
        <v>3027.715971594557</v>
      </c>
      <c r="P950" s="75">
        <f>(MIN(L950,'THAM_SO_MOI'!$C$41)-O950)/('THAM_SO_MOI'!$C$11*H950)</f>
        <v>0.08787490451378244</v>
      </c>
      <c r="Q950" s="75">
        <f>IF(P950&gt;0,1/P950,NA())</f>
        <v>11.37981321895102</v>
      </c>
      <c r="R950" s="75">
        <f>F950-F949</f>
        <v>0.0035868055555567935</v>
      </c>
      <c r="S950" s="75">
        <f>0.5*(Q949+Q950)*R950</f>
        <v>0.04080012964901191</v>
      </c>
      <c r="T950" s="75">
        <f>0.5*(F949*Q949+F950*Q950)*R950</f>
        <v>0.9266166625475002</v>
      </c>
      <c r="U950" s="76">
        <f>U949+S950</f>
        <v>77.99315309302085</v>
      </c>
      <c r="V950" s="76">
        <f>V949+T950</f>
        <v>1249.097924621111</v>
      </c>
    </row>
    <row r="951" spans="1:22" ht="19" customHeight="1">
      <c r="A951" s="68" t="s">
        <v>362</v>
      </c>
      <c r="B951" s="74">
        <v>5</v>
      </c>
      <c r="C951" s="68" t="s">
        <v>363</v>
      </c>
      <c r="D951" s="68" t="s">
        <v>365</v>
      </c>
      <c r="E951" s="75">
        <f>60*F951*'THAM_SO_MOI'!$C$53/(2*PI()*'THAM_SO_MOI'!$C$26)</f>
        <v>2238.1730526315787</v>
      </c>
      <c r="F951" s="75">
        <f>'THAM_SO_MOI'!$C$14+('THAM_SO_MOI'!$C$37-'THAM_SO_MOI'!$C$14)*144/'THAM_SO_MOI'!$C$42</f>
        <v>22.7165</v>
      </c>
      <c r="G951" s="75">
        <f>3.6*F951</f>
        <v>81.7794</v>
      </c>
      <c r="H951" s="75">
        <f>'THAM_SO_MOI'!$D$53</f>
        <v>1.1</v>
      </c>
      <c r="I951" s="75">
        <f>IF(F951&gt;='THAM_SO_MOI'!$C$14,'THAM_SO_MOI'!$C$13*(1+F951^2/1500),'THAM_SO_MOI'!$C$13)</f>
        <v>0.0201603937225</v>
      </c>
      <c r="J951" s="75">
        <f>'THAM_SO_MOI'!$C$40*('THAM_SO_MOI'!$C$23*(E951/'THAM_SO_MOI'!$C$22)+'THAM_SO_MOI'!$C$24*(E951/'THAM_SO_MOI'!$C$22)^2-'THAM_SO_MOI'!$C$25*(E951/'THAM_SO_MOI'!$C$22)^3)</f>
        <v>100.73700088165003</v>
      </c>
      <c r="K951" s="75">
        <f>'THAM_SO_MOI'!$C$31*J951/E951</f>
        <v>429.8814179824612</v>
      </c>
      <c r="L951" s="75">
        <f>K951*'THAM_SO_MOI'!$C$53*'THAM_SO_MOI'!$C$17/'THAM_SO_MOI'!$C$26</f>
        <v>3770.0617178186567</v>
      </c>
      <c r="M951" s="75">
        <f>'THAM_SO_MOI'!$C$15*'THAM_SO_MOI'!$C$16*F951^2</f>
        <v>1509.41516383125</v>
      </c>
      <c r="N951" s="75">
        <f>'THAM_SO_MOI'!$C$12*I951</f>
        <v>1518.900191368128</v>
      </c>
      <c r="O951" s="75">
        <f>M951+N951</f>
        <v>3028.3153551993782</v>
      </c>
      <c r="P951" s="75">
        <f>(MIN(L951,'THAM_SO_MOI'!$C$41)-O951)/('THAM_SO_MOI'!$C$11*H951)</f>
        <v>0.08780141602974416</v>
      </c>
      <c r="Q951" s="75">
        <f>IF(P951&gt;0,1/P951,NA())</f>
        <v>11.389337953971422</v>
      </c>
      <c r="R951" s="75">
        <f>F951-F950</f>
        <v>0.0035868055555567935</v>
      </c>
      <c r="S951" s="75">
        <f>0.5*(Q950+Q951)*R951</f>
        <v>0.040834258961175346</v>
      </c>
      <c r="T951" s="75">
        <f>0.5*(F950*Q950+F951*Q951)*R951</f>
        <v>0.9275382420524338</v>
      </c>
      <c r="U951" s="76">
        <f>U950+S951</f>
        <v>78.03398735198202</v>
      </c>
      <c r="V951" s="76">
        <f>V950+T951</f>
        <v>1250.0254628631633</v>
      </c>
    </row>
    <row r="952" spans="1:22" ht="19" customHeight="1">
      <c r="A952" s="68" t="s">
        <v>362</v>
      </c>
      <c r="B952" s="74">
        <v>5</v>
      </c>
      <c r="C952" s="68" t="s">
        <v>363</v>
      </c>
      <c r="D952" s="68" t="s">
        <v>365</v>
      </c>
      <c r="E952" s="75">
        <f>60*F952*'THAM_SO_MOI'!$C$53/(2*PI()*'THAM_SO_MOI'!$C$26)</f>
        <v>2238.5264473684206</v>
      </c>
      <c r="F952" s="75">
        <f>'THAM_SO_MOI'!$C$14+('THAM_SO_MOI'!$C$37-'THAM_SO_MOI'!$C$14)*145/'THAM_SO_MOI'!$C$42</f>
        <v>22.720086805555553</v>
      </c>
      <c r="G952" s="75">
        <f>3.6*F952</f>
        <v>81.7923125</v>
      </c>
      <c r="H952" s="75">
        <f>'THAM_SO_MOI'!$D$53</f>
        <v>1.1</v>
      </c>
      <c r="I952" s="75">
        <f>IF(F952&gt;='THAM_SO_MOI'!$C$14,'THAM_SO_MOI'!$C$13*(1+F952^2/1500),'THAM_SO_MOI'!$C$13)</f>
        <v>0.020162023444519797</v>
      </c>
      <c r="J952" s="75">
        <f>'THAM_SO_MOI'!$C$40*('THAM_SO_MOI'!$C$23*(E952/'THAM_SO_MOI'!$C$22)+'THAM_SO_MOI'!$C$24*(E952/'THAM_SO_MOI'!$C$22)^2-'THAM_SO_MOI'!$C$25*(E952/'THAM_SO_MOI'!$C$22)^3)</f>
        <v>100.75233067620957</v>
      </c>
      <c r="K952" s="75">
        <f>'THAM_SO_MOI'!$C$31*J952/E952</f>
        <v>429.878960359206</v>
      </c>
      <c r="L952" s="75">
        <f>K952*'THAM_SO_MOI'!$C$53*'THAM_SO_MOI'!$C$17/'THAM_SO_MOI'!$C$26</f>
        <v>3770.040164453092</v>
      </c>
      <c r="M952" s="75">
        <f>'THAM_SO_MOI'!$C$15*'THAM_SO_MOI'!$C$16*F952^2</f>
        <v>1509.8918575220403</v>
      </c>
      <c r="N952" s="75">
        <f>'THAM_SO_MOI'!$C$12*I952</f>
        <v>1519.0229759288773</v>
      </c>
      <c r="O952" s="75">
        <f>M952+N952</f>
        <v>3028.9148334509173</v>
      </c>
      <c r="P952" s="75">
        <f>(MIN(L952,'THAM_SO_MOI'!$C$41)-O952)/('THAM_SO_MOI'!$C$11*H952)</f>
        <v>0.08772790376446192</v>
      </c>
      <c r="Q952" s="75">
        <f>IF(P952&gt;0,1/P952,NA())</f>
        <v>11.39888173647544</v>
      </c>
      <c r="R952" s="75">
        <f>F952-F951</f>
        <v>0.0035868055555532408</v>
      </c>
      <c r="S952" s="75">
        <f>0.5*(Q951+Q952)*R952</f>
        <v>0.04086845649343128</v>
      </c>
      <c r="T952" s="75">
        <f>0.5*(F951*Q951+F952*Q952)*R952</f>
        <v>0.9284616162320363</v>
      </c>
      <c r="U952" s="76">
        <f>U951+S952</f>
        <v>78.07485580847545</v>
      </c>
      <c r="V952" s="76">
        <f>V951+T952</f>
        <v>1250.9539244793953</v>
      </c>
    </row>
    <row r="953" spans="1:22" ht="19" customHeight="1">
      <c r="A953" s="68" t="s">
        <v>362</v>
      </c>
      <c r="B953" s="74">
        <v>5</v>
      </c>
      <c r="C953" s="68" t="s">
        <v>363</v>
      </c>
      <c r="D953" s="68" t="s">
        <v>365</v>
      </c>
      <c r="E953" s="75">
        <f>60*F953*'THAM_SO_MOI'!$C$53/(2*PI()*'THAM_SO_MOI'!$C$26)</f>
        <v>2238.8798421052625</v>
      </c>
      <c r="F953" s="75">
        <f>'THAM_SO_MOI'!$C$14+('THAM_SO_MOI'!$C$37-'THAM_SO_MOI'!$C$14)*146/'THAM_SO_MOI'!$C$42</f>
        <v>22.72367361111111</v>
      </c>
      <c r="G953" s="75">
        <f>3.6*F953</f>
        <v>81.805225</v>
      </c>
      <c r="H953" s="75">
        <f>'THAM_SO_MOI'!$D$53</f>
        <v>1.1</v>
      </c>
      <c r="I953" s="75">
        <f>IF(F953&gt;='THAM_SO_MOI'!$C$14,'THAM_SO_MOI'!$C$13*(1+F953^2/1500),'THAM_SO_MOI'!$C$13)</f>
        <v>0.020163653423843072</v>
      </c>
      <c r="J953" s="75">
        <f>'THAM_SO_MOI'!$C$40*('THAM_SO_MOI'!$C$23*(E953/'THAM_SO_MOI'!$C$22)+'THAM_SO_MOI'!$C$24*(E953/'THAM_SO_MOI'!$C$22)^2-'THAM_SO_MOI'!$C$25*(E953/'THAM_SO_MOI'!$C$22)^3)</f>
        <v>100.76765744878621</v>
      </c>
      <c r="K953" s="75">
        <f>'THAM_SO_MOI'!$C$31*J953/E953</f>
        <v>429.87649061996626</v>
      </c>
      <c r="L953" s="75">
        <f>K953*'THAM_SO_MOI'!$C$53*'THAM_SO_MOI'!$C$17/'THAM_SO_MOI'!$C$26</f>
        <v>3770.018504830295</v>
      </c>
      <c r="M953" s="75">
        <f>'THAM_SO_MOI'!$C$15*'THAM_SO_MOI'!$C$16*F953^2</f>
        <v>1510.3686264740995</v>
      </c>
      <c r="N953" s="75">
        <f>'THAM_SO_MOI'!$C$12*I953</f>
        <v>1519.1457798750762</v>
      </c>
      <c r="O953" s="75">
        <f>M953+N953</f>
        <v>3029.5144063491757</v>
      </c>
      <c r="P953" s="75">
        <f>(MIN(L953,'THAM_SO_MOI'!$C$41)-O953)/('THAM_SO_MOI'!$C$11*H953)</f>
        <v>0.08765436771793554</v>
      </c>
      <c r="Q953" s="75">
        <f>IF(P953&gt;0,1/P953,NA())</f>
        <v>11.408444622154104</v>
      </c>
      <c r="R953" s="75">
        <f>F953-F952</f>
        <v>0.0035868055555567935</v>
      </c>
      <c r="S953" s="75">
        <f>0.5*(Q952+Q953)*R953</f>
        <v>0.040902722445264675</v>
      </c>
      <c r="T953" s="75">
        <f>0.5*(F952*Q952+F953*Q953)*R953</f>
        <v>0.9293867903530582</v>
      </c>
      <c r="U953" s="76">
        <f>U952+S953</f>
        <v>78.11575853092071</v>
      </c>
      <c r="V953" s="76">
        <f>V952+T953</f>
        <v>1251.8833112697482</v>
      </c>
    </row>
    <row r="954" spans="1:22" ht="19" customHeight="1">
      <c r="A954" s="68" t="s">
        <v>362</v>
      </c>
      <c r="B954" s="74">
        <v>5</v>
      </c>
      <c r="C954" s="68" t="s">
        <v>363</v>
      </c>
      <c r="D954" s="68" t="s">
        <v>365</v>
      </c>
      <c r="E954" s="75">
        <f>60*F954*'THAM_SO_MOI'!$C$53/(2*PI()*'THAM_SO_MOI'!$C$26)</f>
        <v>2239.2332368421044</v>
      </c>
      <c r="F954" s="75">
        <f>'THAM_SO_MOI'!$C$14+('THAM_SO_MOI'!$C$37-'THAM_SO_MOI'!$C$14)*147/'THAM_SO_MOI'!$C$42</f>
        <v>22.727260416666667</v>
      </c>
      <c r="G954" s="75">
        <f>3.6*F954</f>
        <v>81.8181375</v>
      </c>
      <c r="H954" s="75">
        <f>'THAM_SO_MOI'!$D$53</f>
        <v>1.1</v>
      </c>
      <c r="I954" s="75">
        <f>IF(F954&gt;='THAM_SO_MOI'!$C$14,'THAM_SO_MOI'!$C$13*(1+F954^2/1500),'THAM_SO_MOI'!$C$13)</f>
        <v>0.020165283660469834</v>
      </c>
      <c r="J954" s="75">
        <f>'THAM_SO_MOI'!$C$40*('THAM_SO_MOI'!$C$23*(E954/'THAM_SO_MOI'!$C$22)+'THAM_SO_MOI'!$C$24*(E954/'THAM_SO_MOI'!$C$22)^2-'THAM_SO_MOI'!$C$25*(E954/'THAM_SO_MOI'!$C$22)^3)</f>
        <v>100.7829811980351</v>
      </c>
      <c r="K954" s="75">
        <f>'THAM_SO_MOI'!$C$31*J954/E954</f>
        <v>429.8740087647421</v>
      </c>
      <c r="L954" s="75">
        <f>K954*'THAM_SO_MOI'!$C$53*'THAM_SO_MOI'!$C$17/'THAM_SO_MOI'!$C$26</f>
        <v>3769.9967389502676</v>
      </c>
      <c r="M954" s="75">
        <f>'THAM_SO_MOI'!$C$15*'THAM_SO_MOI'!$C$16*F954^2</f>
        <v>1510.845470687427</v>
      </c>
      <c r="N954" s="75">
        <f>'THAM_SO_MOI'!$C$12*I954</f>
        <v>1519.2686032067259</v>
      </c>
      <c r="O954" s="75">
        <f>M954+N954</f>
        <v>3030.114073894153</v>
      </c>
      <c r="P954" s="75">
        <f>(MIN(L954,'THAM_SO_MOI'!$C$41)-O954)/('THAM_SO_MOI'!$C$11*H954)</f>
        <v>0.08758080789016513</v>
      </c>
      <c r="Q954" s="75">
        <f>IF(P954&gt;0,1/P954,NA())</f>
        <v>11.418026666916541</v>
      </c>
      <c r="R954" s="75">
        <f>F954-F953</f>
        <v>0.0035868055555567935</v>
      </c>
      <c r="S954" s="75">
        <f>0.5*(Q953+Q954)*R954</f>
        <v>0.04093705701669812</v>
      </c>
      <c r="T954" s="75">
        <f>0.5*(F953*Q953+F954*Q954)*R954</f>
        <v>0.9303137696973302</v>
      </c>
      <c r="U954" s="76">
        <f>U953+S954</f>
        <v>78.1566955879374</v>
      </c>
      <c r="V954" s="76">
        <f>V953+T954</f>
        <v>1252.8136250394455</v>
      </c>
    </row>
    <row r="955" spans="1:22" ht="19" customHeight="1">
      <c r="A955" s="68" t="s">
        <v>362</v>
      </c>
      <c r="B955" s="74">
        <v>5</v>
      </c>
      <c r="C955" s="68" t="s">
        <v>363</v>
      </c>
      <c r="D955" s="68" t="s">
        <v>365</v>
      </c>
      <c r="E955" s="75">
        <f>60*F955*'THAM_SO_MOI'!$C$53/(2*PI()*'THAM_SO_MOI'!$C$26)</f>
        <v>2239.5866315789467</v>
      </c>
      <c r="F955" s="75">
        <f>'THAM_SO_MOI'!$C$14+('THAM_SO_MOI'!$C$37-'THAM_SO_MOI'!$C$14)*148/'THAM_SO_MOI'!$C$42</f>
        <v>22.73084722222222</v>
      </c>
      <c r="G955" s="75">
        <f>3.6*F955</f>
        <v>81.83104999999999</v>
      </c>
      <c r="H955" s="75">
        <f>'THAM_SO_MOI'!$D$53</f>
        <v>1.1</v>
      </c>
      <c r="I955" s="75">
        <f>IF(F955&gt;='THAM_SO_MOI'!$C$14,'THAM_SO_MOI'!$C$13*(1+F955^2/1500),'THAM_SO_MOI'!$C$13)</f>
        <v>0.020166914154400074</v>
      </c>
      <c r="J955" s="75">
        <f>'THAM_SO_MOI'!$C$40*('THAM_SO_MOI'!$C$23*(E955/'THAM_SO_MOI'!$C$22)+'THAM_SO_MOI'!$C$24*(E955/'THAM_SO_MOI'!$C$22)^2-'THAM_SO_MOI'!$C$25*(E955/'THAM_SO_MOI'!$C$22)^3)</f>
        <v>100.7983019226114</v>
      </c>
      <c r="K955" s="75">
        <f>'THAM_SO_MOI'!$C$31*J955/E955</f>
        <v>429.8715147935336</v>
      </c>
      <c r="L955" s="75">
        <f>K955*'THAM_SO_MOI'!$C$53*'THAM_SO_MOI'!$C$17/'THAM_SO_MOI'!$C$26</f>
        <v>3769.9748668130105</v>
      </c>
      <c r="M955" s="75">
        <f>'THAM_SO_MOI'!$C$15*'THAM_SO_MOI'!$C$16*F955^2</f>
        <v>1511.3223901620224</v>
      </c>
      <c r="N955" s="75">
        <f>'THAM_SO_MOI'!$C$12*I955</f>
        <v>1519.3914459238251</v>
      </c>
      <c r="O955" s="75">
        <f>M955+N955</f>
        <v>3030.7138360858476</v>
      </c>
      <c r="P955" s="75">
        <f>(MIN(L955,'THAM_SO_MOI'!$C$41)-O955)/('THAM_SO_MOI'!$C$11*H955)</f>
        <v>0.08750722428115094</v>
      </c>
      <c r="Q955" s="75">
        <f>IF(P955&gt;0,1/P955,NA())</f>
        <v>11.42762792689106</v>
      </c>
      <c r="R955" s="75">
        <f>F955-F954</f>
        <v>0.0035868055555532408</v>
      </c>
      <c r="S955" s="75">
        <f>0.5*(Q954+Q955)*R955</f>
        <v>0.04097146040865976</v>
      </c>
      <c r="T955" s="75">
        <f>0.5*(F954*Q954+F955*Q955)*R955</f>
        <v>0.931242559570135</v>
      </c>
      <c r="U955" s="76">
        <f>U954+S955</f>
        <v>78.19766704834606</v>
      </c>
      <c r="V955" s="76">
        <f>V954+T955</f>
        <v>1253.7448675990156</v>
      </c>
    </row>
    <row r="956" spans="1:22" ht="19" customHeight="1">
      <c r="A956" s="68" t="s">
        <v>362</v>
      </c>
      <c r="B956" s="74">
        <v>5</v>
      </c>
      <c r="C956" s="68" t="s">
        <v>363</v>
      </c>
      <c r="D956" s="68" t="s">
        <v>365</v>
      </c>
      <c r="E956" s="75">
        <f>60*F956*'THAM_SO_MOI'!$C$53/(2*PI()*'THAM_SO_MOI'!$C$26)</f>
        <v>2239.940026315789</v>
      </c>
      <c r="F956" s="75">
        <f>'THAM_SO_MOI'!$C$14+('THAM_SO_MOI'!$C$37-'THAM_SO_MOI'!$C$14)*149/'THAM_SO_MOI'!$C$42</f>
        <v>22.734434027777777</v>
      </c>
      <c r="G956" s="75">
        <f>3.6*F956</f>
        <v>81.8439625</v>
      </c>
      <c r="H956" s="75">
        <f>'THAM_SO_MOI'!$D$53</f>
        <v>1.1</v>
      </c>
      <c r="I956" s="75">
        <f>IF(F956&gt;='THAM_SO_MOI'!$C$14,'THAM_SO_MOI'!$C$13*(1+F956^2/1500),'THAM_SO_MOI'!$C$13)</f>
        <v>0.0201685449056338</v>
      </c>
      <c r="J956" s="75">
        <f>'THAM_SO_MOI'!$C$40*('THAM_SO_MOI'!$C$23*(E956/'THAM_SO_MOI'!$C$22)+'THAM_SO_MOI'!$C$24*(E956/'THAM_SO_MOI'!$C$22)^2-'THAM_SO_MOI'!$C$25*(E956/'THAM_SO_MOI'!$C$22)^3)</f>
        <v>100.81361962117016</v>
      </c>
      <c r="K956" s="75">
        <f>'THAM_SO_MOI'!$C$31*J956/E956</f>
        <v>429.8690087063406</v>
      </c>
      <c r="L956" s="75">
        <f>K956*'THAM_SO_MOI'!$C$53*'THAM_SO_MOI'!$C$17/'THAM_SO_MOI'!$C$26</f>
        <v>3769.952888418522</v>
      </c>
      <c r="M956" s="75">
        <f>'THAM_SO_MOI'!$C$15*'THAM_SO_MOI'!$C$16*F956^2</f>
        <v>1511.7993848978867</v>
      </c>
      <c r="N956" s="75">
        <f>'THAM_SO_MOI'!$C$12*I956</f>
        <v>1519.5143080263751</v>
      </c>
      <c r="O956" s="75">
        <f>M956+N956</f>
        <v>3031.313692924262</v>
      </c>
      <c r="P956" s="75">
        <f>(MIN(L956,'THAM_SO_MOI'!$C$41)-O956)/('THAM_SO_MOI'!$C$11*H956)</f>
        <v>0.08743361689089253</v>
      </c>
      <c r="Q956" s="75">
        <f>IF(P956&gt;0,1/P956,NA())</f>
        <v>11.437248458426343</v>
      </c>
      <c r="R956" s="75">
        <f>F956-F955</f>
        <v>0.0035868055555567935</v>
      </c>
      <c r="S956" s="75">
        <f>0.5*(Q955+Q956)*R956</f>
        <v>0.041005932822987895</v>
      </c>
      <c r="T956" s="75">
        <f>0.5*(F955*Q955+F956*Q956)*R956</f>
        <v>0.9321731653003288</v>
      </c>
      <c r="U956" s="76">
        <f>U955+S956</f>
        <v>78.23867298116905</v>
      </c>
      <c r="V956" s="76">
        <f>V955+T956</f>
        <v>1254.677040764316</v>
      </c>
    </row>
    <row r="957" spans="1:22" ht="19" customHeight="1">
      <c r="A957" s="68" t="s">
        <v>362</v>
      </c>
      <c r="B957" s="74">
        <v>5</v>
      </c>
      <c r="C957" s="68" t="s">
        <v>363</v>
      </c>
      <c r="D957" s="68" t="s">
        <v>365</v>
      </c>
      <c r="E957" s="75">
        <f>60*F957*'THAM_SO_MOI'!$C$53/(2*PI()*'THAM_SO_MOI'!$C$26)</f>
        <v>2240.2934210526314</v>
      </c>
      <c r="F957" s="75">
        <f>'THAM_SO_MOI'!$C$14+('THAM_SO_MOI'!$C$37-'THAM_SO_MOI'!$C$14)*150/'THAM_SO_MOI'!$C$42</f>
        <v>22.738020833333334</v>
      </c>
      <c r="G957" s="75">
        <f>3.6*F957</f>
        <v>81.856875</v>
      </c>
      <c r="H957" s="75">
        <f>'THAM_SO_MOI'!$D$53</f>
        <v>1.1</v>
      </c>
      <c r="I957" s="75">
        <f>IF(F957&gt;='THAM_SO_MOI'!$C$14,'THAM_SO_MOI'!$C$13*(1+F957^2/1500),'THAM_SO_MOI'!$C$13)</f>
        <v>0.020170175914171005</v>
      </c>
      <c r="J957" s="75">
        <f>'THAM_SO_MOI'!$C$40*('THAM_SO_MOI'!$C$23*(E957/'THAM_SO_MOI'!$C$22)+'THAM_SO_MOI'!$C$24*(E957/'THAM_SO_MOI'!$C$22)^2-'THAM_SO_MOI'!$C$25*(E957/'THAM_SO_MOI'!$C$22)^3)</f>
        <v>100.82893429236647</v>
      </c>
      <c r="K957" s="75">
        <f>'THAM_SO_MOI'!$C$31*J957/E957</f>
        <v>429.866490503163</v>
      </c>
      <c r="L957" s="75">
        <f>K957*'THAM_SO_MOI'!$C$53*'THAM_SO_MOI'!$C$17/'THAM_SO_MOI'!$C$26</f>
        <v>3769.9308037668006</v>
      </c>
      <c r="M957" s="75">
        <f>'THAM_SO_MOI'!$C$15*'THAM_SO_MOI'!$C$16*F957^2</f>
        <v>1512.27645489502</v>
      </c>
      <c r="N957" s="75">
        <f>'THAM_SO_MOI'!$C$12*I957</f>
        <v>1519.637189514375</v>
      </c>
      <c r="O957" s="75">
        <f>M957+N957</f>
        <v>3031.9136444093947</v>
      </c>
      <c r="P957" s="75">
        <f>(MIN(L957,'THAM_SO_MOI'!$C$41)-O957)/('THAM_SO_MOI'!$C$11*H957)</f>
        <v>0.08735998571938988</v>
      </c>
      <c r="Q957" s="75">
        <f>IF(P957&gt;0,1/P957,NA())</f>
        <v>11.446888318092366</v>
      </c>
      <c r="R957" s="75">
        <f>F957-F956</f>
        <v>0.0035868055555567935</v>
      </c>
      <c r="S957" s="75">
        <f>0.5*(Q956+Q957)*R957</f>
        <v>0.04104047446206942</v>
      </c>
      <c r="T957" s="75">
        <f>0.5*(F956*Q956+F957*Q957)*R957</f>
        <v>0.9331055922321357</v>
      </c>
      <c r="U957" s="76">
        <f>U956+S957</f>
        <v>78.27971345563111</v>
      </c>
      <c r="V957" s="76">
        <f>V956+T957</f>
        <v>1255.610146356548</v>
      </c>
    </row>
    <row r="958" spans="1:22" ht="19" customHeight="1">
      <c r="A958" s="68" t="s">
        <v>362</v>
      </c>
      <c r="B958" s="74">
        <v>5</v>
      </c>
      <c r="C958" s="68" t="s">
        <v>363</v>
      </c>
      <c r="D958" s="68" t="s">
        <v>365</v>
      </c>
      <c r="E958" s="75">
        <f>60*F958*'THAM_SO_MOI'!$C$53/(2*PI()*'THAM_SO_MOI'!$C$26)</f>
        <v>2240.6468157894733</v>
      </c>
      <c r="F958" s="75">
        <f>'THAM_SO_MOI'!$C$14+('THAM_SO_MOI'!$C$37-'THAM_SO_MOI'!$C$14)*151/'THAM_SO_MOI'!$C$42</f>
        <v>22.741607638888887</v>
      </c>
      <c r="G958" s="75">
        <f>3.6*F958</f>
        <v>81.8697875</v>
      </c>
      <c r="H958" s="75">
        <f>'THAM_SO_MOI'!$D$53</f>
        <v>1.1</v>
      </c>
      <c r="I958" s="75">
        <f>IF(F958&gt;='THAM_SO_MOI'!$C$14,'THAM_SO_MOI'!$C$13*(1+F958^2/1500),'THAM_SO_MOI'!$C$13)</f>
        <v>0.020171807180011693</v>
      </c>
      <c r="J958" s="75">
        <f>'THAM_SO_MOI'!$C$40*('THAM_SO_MOI'!$C$23*(E958/'THAM_SO_MOI'!$C$22)+'THAM_SO_MOI'!$C$24*(E958/'THAM_SO_MOI'!$C$22)^2-'THAM_SO_MOI'!$C$25*(E958/'THAM_SO_MOI'!$C$22)^3)</f>
        <v>100.84424593485548</v>
      </c>
      <c r="K958" s="75">
        <f>'THAM_SO_MOI'!$C$31*J958/E958</f>
        <v>429.8639601840011</v>
      </c>
      <c r="L958" s="75">
        <f>K958*'THAM_SO_MOI'!$C$53*'THAM_SO_MOI'!$C$17/'THAM_SO_MOI'!$C$26</f>
        <v>3769.908612857849</v>
      </c>
      <c r="M958" s="75">
        <f>'THAM_SO_MOI'!$C$15*'THAM_SO_MOI'!$C$16*F958^2</f>
        <v>1512.7536001534204</v>
      </c>
      <c r="N958" s="75">
        <f>'THAM_SO_MOI'!$C$12*I958</f>
        <v>1519.7600903878251</v>
      </c>
      <c r="O958" s="75">
        <f>M958+N958</f>
        <v>3032.5136905412455</v>
      </c>
      <c r="P958" s="75">
        <f>(MIN(L958,'THAM_SO_MOI'!$C$41)-O958)/('THAM_SO_MOI'!$C$11*H958)</f>
        <v>0.08728633076664342</v>
      </c>
      <c r="Q958" s="75">
        <f>IF(P958&gt;0,1/P958,NA())</f>
        <v>11.4565475626815</v>
      </c>
      <c r="R958" s="75">
        <f>F958-F957</f>
        <v>0.0035868055555532408</v>
      </c>
      <c r="S958" s="75">
        <f>0.5*(Q957+Q958)*R958</f>
        <v>0.04107508552920857</v>
      </c>
      <c r="T958" s="75">
        <f>0.5*(F957*Q957+F958*Q958)*R958</f>
        <v>0.9340398457335443</v>
      </c>
      <c r="U958" s="76">
        <f>U957+S958</f>
        <v>78.32078854116033</v>
      </c>
      <c r="V958" s="76">
        <f>V957+T958</f>
        <v>1256.5441862022817</v>
      </c>
    </row>
    <row r="959" spans="1:22" ht="19" customHeight="1">
      <c r="A959" s="68" t="s">
        <v>362</v>
      </c>
      <c r="B959" s="74">
        <v>5</v>
      </c>
      <c r="C959" s="68" t="s">
        <v>363</v>
      </c>
      <c r="D959" s="68" t="s">
        <v>365</v>
      </c>
      <c r="E959" s="75">
        <f>60*F959*'THAM_SO_MOI'!$C$53/(2*PI()*'THAM_SO_MOI'!$C$26)</f>
        <v>2241.000210526315</v>
      </c>
      <c r="F959" s="75">
        <f>'THAM_SO_MOI'!$C$14+('THAM_SO_MOI'!$C$37-'THAM_SO_MOI'!$C$14)*152/'THAM_SO_MOI'!$C$42</f>
        <v>22.745194444444444</v>
      </c>
      <c r="G959" s="75">
        <f>3.6*F959</f>
        <v>81.8827</v>
      </c>
      <c r="H959" s="75">
        <f>'THAM_SO_MOI'!$D$53</f>
        <v>1.1</v>
      </c>
      <c r="I959" s="75">
        <f>IF(F959&gt;='THAM_SO_MOI'!$C$14,'THAM_SO_MOI'!$C$13*(1+F959^2/1500),'THAM_SO_MOI'!$C$13)</f>
        <v>0.020173438703155865</v>
      </c>
      <c r="J959" s="75">
        <f>'THAM_SO_MOI'!$C$40*('THAM_SO_MOI'!$C$23*(E959/'THAM_SO_MOI'!$C$22)+'THAM_SO_MOI'!$C$24*(E959/'THAM_SO_MOI'!$C$22)^2-'THAM_SO_MOI'!$C$25*(E959/'THAM_SO_MOI'!$C$22)^3)</f>
        <v>100.85955454729225</v>
      </c>
      <c r="K959" s="75">
        <f>'THAM_SO_MOI'!$C$31*J959/E959</f>
        <v>429.8614177488546</v>
      </c>
      <c r="L959" s="75">
        <f>K959*'THAM_SO_MOI'!$C$53*'THAM_SO_MOI'!$C$17/'THAM_SO_MOI'!$C$26</f>
        <v>3769.8863156916664</v>
      </c>
      <c r="M959" s="75">
        <f>'THAM_SO_MOI'!$C$15*'THAM_SO_MOI'!$C$16*F959^2</f>
        <v>1513.2308206730904</v>
      </c>
      <c r="N959" s="75">
        <f>'THAM_SO_MOI'!$C$12*I959</f>
        <v>1519.8830106467256</v>
      </c>
      <c r="O959" s="75">
        <f>M959+N959</f>
        <v>3033.113831319816</v>
      </c>
      <c r="P959" s="75">
        <f>(MIN(L959,'THAM_SO_MOI'!$C$41)-O959)/('THAM_SO_MOI'!$C$11*H959)</f>
        <v>0.08721265203265274</v>
      </c>
      <c r="Q959" s="75">
        <f>IF(P959&gt;0,1/P959,NA())</f>
        <v>11.466226249209763</v>
      </c>
      <c r="R959" s="75">
        <f>F959-F958</f>
        <v>0.0035868055555567935</v>
      </c>
      <c r="S959" s="75">
        <f>0.5*(Q958+Q959)*R959</f>
        <v>0.041109766228631675</v>
      </c>
      <c r="T959" s="75">
        <f>0.5*(F958*Q958+F959*Q959)*R959</f>
        <v>0.9349759311964315</v>
      </c>
      <c r="U959" s="76">
        <f>U958+S959</f>
        <v>78.36189830738896</v>
      </c>
      <c r="V959" s="76">
        <f>V958+T959</f>
        <v>1257.4791621334782</v>
      </c>
    </row>
    <row r="960" spans="1:22" ht="19" customHeight="1">
      <c r="A960" s="68" t="s">
        <v>362</v>
      </c>
      <c r="B960" s="74">
        <v>5</v>
      </c>
      <c r="C960" s="68" t="s">
        <v>363</v>
      </c>
      <c r="D960" s="68" t="s">
        <v>365</v>
      </c>
      <c r="E960" s="75">
        <f>60*F960*'THAM_SO_MOI'!$C$53/(2*PI()*'THAM_SO_MOI'!$C$26)</f>
        <v>2241.3536052631575</v>
      </c>
      <c r="F960" s="75">
        <f>'THAM_SO_MOI'!$C$14+('THAM_SO_MOI'!$C$37-'THAM_SO_MOI'!$C$14)*153/'THAM_SO_MOI'!$C$42</f>
        <v>22.74878125</v>
      </c>
      <c r="G960" s="75">
        <f>3.6*F960</f>
        <v>81.8956125</v>
      </c>
      <c r="H960" s="75">
        <f>'THAM_SO_MOI'!$D$53</f>
        <v>1.1</v>
      </c>
      <c r="I960" s="75">
        <f>IF(F960&gt;='THAM_SO_MOI'!$C$14,'THAM_SO_MOI'!$C$13*(1+F960^2/1500),'THAM_SO_MOI'!$C$13)</f>
        <v>0.020175070483603515</v>
      </c>
      <c r="J960" s="75">
        <f>'THAM_SO_MOI'!$C$40*('THAM_SO_MOI'!$C$23*(E960/'THAM_SO_MOI'!$C$22)+'THAM_SO_MOI'!$C$24*(E960/'THAM_SO_MOI'!$C$22)^2-'THAM_SO_MOI'!$C$25*(E960/'THAM_SO_MOI'!$C$22)^3)</f>
        <v>100.87486012833197</v>
      </c>
      <c r="K960" s="75">
        <f>'THAM_SO_MOI'!$C$31*J960/E960</f>
        <v>429.85886319772374</v>
      </c>
      <c r="L960" s="75">
        <f>K960*'THAM_SO_MOI'!$C$53*'THAM_SO_MOI'!$C$17/'THAM_SO_MOI'!$C$26</f>
        <v>3769.863912268253</v>
      </c>
      <c r="M960" s="75">
        <f>'THAM_SO_MOI'!$C$15*'THAM_SO_MOI'!$C$16*F960^2</f>
        <v>1513.7081164540284</v>
      </c>
      <c r="N960" s="75">
        <f>'THAM_SO_MOI'!$C$12*I960</f>
        <v>1520.0059502910758</v>
      </c>
      <c r="O960" s="75">
        <f>M960+N960</f>
        <v>3033.714066745104</v>
      </c>
      <c r="P960" s="75">
        <f>(MIN(L960,'THAM_SO_MOI'!$C$41)-O960)/('THAM_SO_MOI'!$C$11*H960)</f>
        <v>0.0871389495174182</v>
      </c>
      <c r="Q960" s="75">
        <f>IF(P960&gt;0,1/P960,NA())</f>
        <v>11.475924434917706</v>
      </c>
      <c r="R960" s="75">
        <f>F960-F959</f>
        <v>0.0035868055555567935</v>
      </c>
      <c r="S960" s="75">
        <f>0.5*(Q959+Q960)*R960</f>
        <v>0.04114451676512475</v>
      </c>
      <c r="T960" s="75">
        <f>0.5*(F959*Q959+F960*Q960)*R960</f>
        <v>0.9359138540283354</v>
      </c>
      <c r="U960" s="76">
        <f>U959+S960</f>
        <v>78.40304282415408</v>
      </c>
      <c r="V960" s="76">
        <f>V959+T960</f>
        <v>1258.4150759875065</v>
      </c>
    </row>
    <row r="961" spans="1:22" ht="19" customHeight="1">
      <c r="A961" s="68" t="s">
        <v>362</v>
      </c>
      <c r="B961" s="74">
        <v>5</v>
      </c>
      <c r="C961" s="68" t="s">
        <v>363</v>
      </c>
      <c r="D961" s="68" t="s">
        <v>365</v>
      </c>
      <c r="E961" s="75">
        <f>60*F961*'THAM_SO_MOI'!$C$53/(2*PI()*'THAM_SO_MOI'!$C$26)</f>
        <v>2241.706999999999</v>
      </c>
      <c r="F961" s="75">
        <f>'THAM_SO_MOI'!$C$14+('THAM_SO_MOI'!$C$37-'THAM_SO_MOI'!$C$14)*154/'THAM_SO_MOI'!$C$42</f>
        <v>22.752368055555554</v>
      </c>
      <c r="G961" s="75">
        <f>3.6*F961</f>
        <v>81.908525</v>
      </c>
      <c r="H961" s="75">
        <f>'THAM_SO_MOI'!$D$53</f>
        <v>1.1</v>
      </c>
      <c r="I961" s="75">
        <f>IF(F961&gt;='THAM_SO_MOI'!$C$14,'THAM_SO_MOI'!$C$13*(1+F961^2/1500),'THAM_SO_MOI'!$C$13)</f>
        <v>0.020176702521354648</v>
      </c>
      <c r="J961" s="75">
        <f>'THAM_SO_MOI'!$C$40*('THAM_SO_MOI'!$C$23*(E961/'THAM_SO_MOI'!$C$22)+'THAM_SO_MOI'!$C$24*(E961/'THAM_SO_MOI'!$C$22)^2-'THAM_SO_MOI'!$C$25*(E961/'THAM_SO_MOI'!$C$22)^3)</f>
        <v>100.89016267662973</v>
      </c>
      <c r="K961" s="75">
        <f>'THAM_SO_MOI'!$C$31*J961/E961</f>
        <v>429.85629653060863</v>
      </c>
      <c r="L961" s="75">
        <f>K961*'THAM_SO_MOI'!$C$53*'THAM_SO_MOI'!$C$17/'THAM_SO_MOI'!$C$26</f>
        <v>3769.8414025876104</v>
      </c>
      <c r="M961" s="75">
        <f>'THAM_SO_MOI'!$C$15*'THAM_SO_MOI'!$C$16*F961^2</f>
        <v>1514.1854874962346</v>
      </c>
      <c r="N961" s="75">
        <f>'THAM_SO_MOI'!$C$12*I961</f>
        <v>1520.1289093208763</v>
      </c>
      <c r="O961" s="75">
        <f>M961+N961</f>
        <v>3034.3143968171107</v>
      </c>
      <c r="P961" s="75">
        <f>(MIN(L961,'THAM_SO_MOI'!$C$41)-O961)/('THAM_SO_MOI'!$C$11*H961)</f>
        <v>0.0870652232209398</v>
      </c>
      <c r="Q961" s="75">
        <f>IF(P961&gt;0,1/P961,NA())</f>
        <v>11.48564217727168</v>
      </c>
      <c r="R961" s="75">
        <f>F961-F960</f>
        <v>0.0035868055555532408</v>
      </c>
      <c r="S961" s="75">
        <f>0.5*(Q960+Q961)*R961</f>
        <v>0.04117933734440335</v>
      </c>
      <c r="T961" s="75">
        <f>0.5*(F960*Q960+F961*Q961)*R961</f>
        <v>0.93685361966088</v>
      </c>
      <c r="U961" s="76">
        <f>U960+S961</f>
        <v>78.44422216149849</v>
      </c>
      <c r="V961" s="76">
        <f>V960+T961</f>
        <v>1259.3519296071674</v>
      </c>
    </row>
    <row r="962" spans="1:22" ht="19" customHeight="1">
      <c r="A962" s="68" t="s">
        <v>362</v>
      </c>
      <c r="B962" s="74">
        <v>5</v>
      </c>
      <c r="C962" s="68" t="s">
        <v>363</v>
      </c>
      <c r="D962" s="68" t="s">
        <v>365</v>
      </c>
      <c r="E962" s="75">
        <f>60*F962*'THAM_SO_MOI'!$C$53/(2*PI()*'THAM_SO_MOI'!$C$26)</f>
        <v>2242.0603947368418</v>
      </c>
      <c r="F962" s="75">
        <f>'THAM_SO_MOI'!$C$14+('THAM_SO_MOI'!$C$37-'THAM_SO_MOI'!$C$14)*155/'THAM_SO_MOI'!$C$42</f>
        <v>22.75595486111111</v>
      </c>
      <c r="G962" s="75">
        <f>3.6*F962</f>
        <v>81.9214375</v>
      </c>
      <c r="H962" s="75">
        <f>'THAM_SO_MOI'!$D$53</f>
        <v>1.1</v>
      </c>
      <c r="I962" s="75">
        <f>IF(F962&gt;='THAM_SO_MOI'!$C$14,'THAM_SO_MOI'!$C$13*(1+F962^2/1500),'THAM_SO_MOI'!$C$13)</f>
        <v>0.020178334816409262</v>
      </c>
      <c r="J962" s="75">
        <f>'THAM_SO_MOI'!$C$40*('THAM_SO_MOI'!$C$23*(E962/'THAM_SO_MOI'!$C$22)+'THAM_SO_MOI'!$C$24*(E962/'THAM_SO_MOI'!$C$22)^2-'THAM_SO_MOI'!$C$25*(E962/'THAM_SO_MOI'!$C$22)^3)</f>
        <v>100.90546219084057</v>
      </c>
      <c r="K962" s="75">
        <f>'THAM_SO_MOI'!$C$31*J962/E962</f>
        <v>429.85371774750865</v>
      </c>
      <c r="L962" s="75">
        <f>K962*'THAM_SO_MOI'!$C$53*'THAM_SO_MOI'!$C$17/'THAM_SO_MOI'!$C$26</f>
        <v>3769.8187866497324</v>
      </c>
      <c r="M962" s="75">
        <f>'THAM_SO_MOI'!$C$15*'THAM_SO_MOI'!$C$16*F962^2</f>
        <v>1514.6629337997097</v>
      </c>
      <c r="N962" s="75">
        <f>'THAM_SO_MOI'!$C$12*I962</f>
        <v>1520.251887736127</v>
      </c>
      <c r="O962" s="75">
        <f>M962+N962</f>
        <v>3034.9148215358364</v>
      </c>
      <c r="P962" s="75">
        <f>(MIN(L962,'THAM_SO_MOI'!$C$41)-O962)/('THAM_SO_MOI'!$C$11*H962)</f>
        <v>0.08699147314321683</v>
      </c>
      <c r="Q962" s="75">
        <f>IF(P962&gt;0,1/P962,NA())</f>
        <v>11.495379533964993</v>
      </c>
      <c r="R962" s="75">
        <f>F962-F961</f>
        <v>0.0035868055555567935</v>
      </c>
      <c r="S962" s="75">
        <f>0.5*(Q961+Q962)*R962</f>
        <v>0.04121422817311749</v>
      </c>
      <c r="T962" s="75">
        <f>0.5*(F961*Q961+F962*Q962)*R962</f>
        <v>0.9377952335499031</v>
      </c>
      <c r="U962" s="76">
        <f>U961+S962</f>
        <v>78.4854363896716</v>
      </c>
      <c r="V962" s="76">
        <f>V961+T962</f>
        <v>1260.2897248407173</v>
      </c>
    </row>
    <row r="963" spans="1:22" ht="19" customHeight="1">
      <c r="A963" s="68" t="s">
        <v>362</v>
      </c>
      <c r="B963" s="74">
        <v>5</v>
      </c>
      <c r="C963" s="68" t="s">
        <v>363</v>
      </c>
      <c r="D963" s="68" t="s">
        <v>365</v>
      </c>
      <c r="E963" s="75">
        <f>60*F963*'THAM_SO_MOI'!$C$53/(2*PI()*'THAM_SO_MOI'!$C$26)</f>
        <v>2242.4137894736837</v>
      </c>
      <c r="F963" s="75">
        <f>'THAM_SO_MOI'!$C$14+('THAM_SO_MOI'!$C$37-'THAM_SO_MOI'!$C$14)*156/'THAM_SO_MOI'!$C$42</f>
        <v>22.759541666666667</v>
      </c>
      <c r="G963" s="75">
        <f>3.6*F963</f>
        <v>81.93435000000001</v>
      </c>
      <c r="H963" s="75">
        <f>'THAM_SO_MOI'!$D$53</f>
        <v>1.1</v>
      </c>
      <c r="I963" s="75">
        <f>IF(F963&gt;='THAM_SO_MOI'!$C$14,'THAM_SO_MOI'!$C$13*(1+F963^2/1500),'THAM_SO_MOI'!$C$13)</f>
        <v>0.02017996736876736</v>
      </c>
      <c r="J963" s="75">
        <f>'THAM_SO_MOI'!$C$40*('THAM_SO_MOI'!$C$23*(E963/'THAM_SO_MOI'!$C$22)+'THAM_SO_MOI'!$C$24*(E963/'THAM_SO_MOI'!$C$22)^2-'THAM_SO_MOI'!$C$25*(E963/'THAM_SO_MOI'!$C$22)^3)</f>
        <v>100.92075866961967</v>
      </c>
      <c r="K963" s="75">
        <f>'THAM_SO_MOI'!$C$31*J963/E963</f>
        <v>429.8511268484245</v>
      </c>
      <c r="L963" s="75">
        <f>K963*'THAM_SO_MOI'!$C$53*'THAM_SO_MOI'!$C$17/'THAM_SO_MOI'!$C$26</f>
        <v>3769.7960644546265</v>
      </c>
      <c r="M963" s="75">
        <f>'THAM_SO_MOI'!$C$15*'THAM_SO_MOI'!$C$16*F963^2</f>
        <v>1515.1404553644534</v>
      </c>
      <c r="N963" s="75">
        <f>'THAM_SO_MOI'!$C$12*I963</f>
        <v>1520.374885536828</v>
      </c>
      <c r="O963" s="75">
        <f>M963+N963</f>
        <v>3035.5153409012814</v>
      </c>
      <c r="P963" s="75">
        <f>(MIN(L963,'THAM_SO_MOI'!$C$41)-O963)/('THAM_SO_MOI'!$C$11*H963)</f>
        <v>0.08691769928425012</v>
      </c>
      <c r="Q963" s="75">
        <f>IF(P963&gt;0,1/P963,NA())</f>
        <v>11.505136562918716</v>
      </c>
      <c r="R963" s="75">
        <f>F963-F962</f>
        <v>0.0035868055555567935</v>
      </c>
      <c r="S963" s="75">
        <f>0.5*(Q962+Q963)*R963</f>
        <v>0.04124918945848797</v>
      </c>
      <c r="T963" s="75">
        <f>0.5*(F962*Q962+F963*Q963)*R963</f>
        <v>0.9387387011671975</v>
      </c>
      <c r="U963" s="76">
        <f>U962+S963</f>
        <v>78.52668557913009</v>
      </c>
      <c r="V963" s="76">
        <f>V962+T963</f>
        <v>1261.2284635418846</v>
      </c>
    </row>
    <row r="964" spans="1:22" ht="19" customHeight="1">
      <c r="A964" s="68" t="s">
        <v>362</v>
      </c>
      <c r="B964" s="74">
        <v>5</v>
      </c>
      <c r="C964" s="68" t="s">
        <v>363</v>
      </c>
      <c r="D964" s="68" t="s">
        <v>365</v>
      </c>
      <c r="E964" s="75">
        <f>60*F964*'THAM_SO_MOI'!$C$53/(2*PI()*'THAM_SO_MOI'!$C$26)</f>
        <v>2242.767184210526</v>
      </c>
      <c r="F964" s="75">
        <f>'THAM_SO_MOI'!$C$14+('THAM_SO_MOI'!$C$37-'THAM_SO_MOI'!$C$14)*157/'THAM_SO_MOI'!$C$42</f>
        <v>22.76312847222222</v>
      </c>
      <c r="G964" s="75">
        <f>3.6*F964</f>
        <v>81.9472625</v>
      </c>
      <c r="H964" s="75">
        <f>'THAM_SO_MOI'!$D$53</f>
        <v>1.1</v>
      </c>
      <c r="I964" s="75">
        <f>IF(F964&gt;='THAM_SO_MOI'!$C$14,'THAM_SO_MOI'!$C$13*(1+F964^2/1500),'THAM_SO_MOI'!$C$13)</f>
        <v>0.020181600178428936</v>
      </c>
      <c r="J964" s="75">
        <f>'THAM_SO_MOI'!$C$40*('THAM_SO_MOI'!$C$23*(E964/'THAM_SO_MOI'!$C$22)+'THAM_SO_MOI'!$C$24*(E964/'THAM_SO_MOI'!$C$22)^2-'THAM_SO_MOI'!$C$25*(E964/'THAM_SO_MOI'!$C$22)^3)</f>
        <v>100.93605211162213</v>
      </c>
      <c r="K964" s="75">
        <f>'THAM_SO_MOI'!$C$31*J964/E964</f>
        <v>429.8485238333558</v>
      </c>
      <c r="L964" s="75">
        <f>K964*'THAM_SO_MOI'!$C$53*'THAM_SO_MOI'!$C$17/'THAM_SO_MOI'!$C$26</f>
        <v>3769.7732360022887</v>
      </c>
      <c r="M964" s="75">
        <f>'THAM_SO_MOI'!$C$15*'THAM_SO_MOI'!$C$16*F964^2</f>
        <v>1515.618052190465</v>
      </c>
      <c r="N964" s="75">
        <f>'THAM_SO_MOI'!$C$12*I964</f>
        <v>1520.4979027229788</v>
      </c>
      <c r="O964" s="75">
        <f>M964+N964</f>
        <v>3036.1159549134436</v>
      </c>
      <c r="P964" s="75">
        <f>(MIN(L964,'THAM_SO_MOI'!$C$41)-O964)/('THAM_SO_MOI'!$C$11*H964)</f>
        <v>0.08684390164403943</v>
      </c>
      <c r="Q964" s="75">
        <f>IF(P964&gt;0,1/P964,NA())</f>
        <v>11.514913322283181</v>
      </c>
      <c r="R964" s="75">
        <f>F964-F963</f>
        <v>0.0035868055555532408</v>
      </c>
      <c r="S964" s="75">
        <f>0.5*(Q963+Q964)*R964</f>
        <v>0.041284221408677456</v>
      </c>
      <c r="T964" s="75">
        <f>0.5*(F963*Q963+F964*Q964)*R964</f>
        <v>0.9396840280089671</v>
      </c>
      <c r="U964" s="76">
        <f>U963+S964</f>
        <v>78.56796980053876</v>
      </c>
      <c r="V964" s="76">
        <f>V963+T964</f>
        <v>1262.1681475698936</v>
      </c>
    </row>
    <row r="965" spans="1:22" ht="19" customHeight="1">
      <c r="A965" s="68" t="s">
        <v>362</v>
      </c>
      <c r="B965" s="74">
        <v>5</v>
      </c>
      <c r="C965" s="68" t="s">
        <v>363</v>
      </c>
      <c r="D965" s="68" t="s">
        <v>365</v>
      </c>
      <c r="E965" s="75">
        <f>60*F965*'THAM_SO_MOI'!$C$53/(2*PI()*'THAM_SO_MOI'!$C$26)</f>
        <v>2243.120578947368</v>
      </c>
      <c r="F965" s="75">
        <f>'THAM_SO_MOI'!$C$14+('THAM_SO_MOI'!$C$37-'THAM_SO_MOI'!$C$14)*158/'THAM_SO_MOI'!$C$42</f>
        <v>22.766715277777777</v>
      </c>
      <c r="G965" s="75">
        <f>3.6*F965</f>
        <v>81.960175</v>
      </c>
      <c r="H965" s="75">
        <f>'THAM_SO_MOI'!$D$53</f>
        <v>1.1</v>
      </c>
      <c r="I965" s="75">
        <f>IF(F965&gt;='THAM_SO_MOI'!$C$14,'THAM_SO_MOI'!$C$13*(1+F965^2/1500),'THAM_SO_MOI'!$C$13)</f>
        <v>0.020183233245394002</v>
      </c>
      <c r="J965" s="75">
        <f>'THAM_SO_MOI'!$C$40*('THAM_SO_MOI'!$C$23*(E965/'THAM_SO_MOI'!$C$22)+'THAM_SO_MOI'!$C$24*(E965/'THAM_SO_MOI'!$C$22)^2-'THAM_SO_MOI'!$C$25*(E965/'THAM_SO_MOI'!$C$22)^3)</f>
        <v>100.95134251550301</v>
      </c>
      <c r="K965" s="75">
        <f>'THAM_SO_MOI'!$C$31*J965/E965</f>
        <v>429.84590870230255</v>
      </c>
      <c r="L965" s="75">
        <f>K965*'THAM_SO_MOI'!$C$53*'THAM_SO_MOI'!$C$17/'THAM_SO_MOI'!$C$26</f>
        <v>3769.7503012927186</v>
      </c>
      <c r="M965" s="75">
        <f>'THAM_SO_MOI'!$C$15*'THAM_SO_MOI'!$C$16*F965^2</f>
        <v>1516.0957242777454</v>
      </c>
      <c r="N965" s="75">
        <f>'THAM_SO_MOI'!$C$12*I965</f>
        <v>1520.6209392945805</v>
      </c>
      <c r="O965" s="75">
        <f>M965+N965</f>
        <v>3036.716663572326</v>
      </c>
      <c r="P965" s="75">
        <f>(MIN(L965,'THAM_SO_MOI'!$C$41)-O965)/('THAM_SO_MOI'!$C$11*H965)</f>
        <v>0.08677008022258437</v>
      </c>
      <c r="Q965" s="75">
        <f>IF(P965&gt;0,1/P965,NA())</f>
        <v>11.524709870438977</v>
      </c>
      <c r="R965" s="75">
        <f>F965-F964</f>
        <v>0.0035868055555567935</v>
      </c>
      <c r="S965" s="75">
        <f>0.5*(Q964+Q965)*R965</f>
        <v>0.041319324232795496</v>
      </c>
      <c r="T965" s="75">
        <f>0.5*(F964*Q964+F965*Q965)*R965</f>
        <v>0.940631219595958</v>
      </c>
      <c r="U965" s="76">
        <f>U964+S965</f>
        <v>78.60928912477156</v>
      </c>
      <c r="V965" s="76">
        <f>V964+T965</f>
        <v>1263.1087787894896</v>
      </c>
    </row>
    <row r="966" spans="1:22" ht="19" customHeight="1">
      <c r="A966" s="68" t="s">
        <v>362</v>
      </c>
      <c r="B966" s="74">
        <v>5</v>
      </c>
      <c r="C966" s="68" t="s">
        <v>363</v>
      </c>
      <c r="D966" s="68" t="s">
        <v>365</v>
      </c>
      <c r="E966" s="75">
        <f>60*F966*'THAM_SO_MOI'!$C$53/(2*PI()*'THAM_SO_MOI'!$C$26)</f>
        <v>2243.4739736842103</v>
      </c>
      <c r="F966" s="75">
        <f>'THAM_SO_MOI'!$C$14+('THAM_SO_MOI'!$C$37-'THAM_SO_MOI'!$C$14)*159/'THAM_SO_MOI'!$C$42</f>
        <v>22.770302083333334</v>
      </c>
      <c r="G966" s="75">
        <f>3.6*F966</f>
        <v>81.9730875</v>
      </c>
      <c r="H966" s="75">
        <f>'THAM_SO_MOI'!$D$53</f>
        <v>1.1</v>
      </c>
      <c r="I966" s="75">
        <f>IF(F966&gt;='THAM_SO_MOI'!$C$14,'THAM_SO_MOI'!$C$13*(1+F966^2/1500),'THAM_SO_MOI'!$C$13)</f>
        <v>0.020184866569662542</v>
      </c>
      <c r="J966" s="75">
        <f>'THAM_SO_MOI'!$C$40*('THAM_SO_MOI'!$C$23*(E966/'THAM_SO_MOI'!$C$22)+'THAM_SO_MOI'!$C$24*(E966/'THAM_SO_MOI'!$C$22)^2-'THAM_SO_MOI'!$C$25*(E966/'THAM_SO_MOI'!$C$22)^3)</f>
        <v>100.96662987991748</v>
      </c>
      <c r="K966" s="75">
        <f>'THAM_SO_MOI'!$C$31*J966/E966</f>
        <v>429.84328145526484</v>
      </c>
      <c r="L966" s="75">
        <f>K966*'THAM_SO_MOI'!$C$53*'THAM_SO_MOI'!$C$17/'THAM_SO_MOI'!$C$26</f>
        <v>3769.727260325917</v>
      </c>
      <c r="M966" s="75">
        <f>'THAM_SO_MOI'!$C$15*'THAM_SO_MOI'!$C$16*F966^2</f>
        <v>1516.5734716262941</v>
      </c>
      <c r="N966" s="75">
        <f>'THAM_SO_MOI'!$C$12*I966</f>
        <v>1520.7439952516318</v>
      </c>
      <c r="O966" s="75">
        <f>M966+N966</f>
        <v>3037.3174668779257</v>
      </c>
      <c r="P966" s="75">
        <f>(MIN(L966,'THAM_SO_MOI'!$C$41)-O966)/('THAM_SO_MOI'!$C$11*H966)</f>
        <v>0.08669623501988533</v>
      </c>
      <c r="Q966" s="75">
        <f>IF(P966&gt;0,1/P966,NA())</f>
        <v>11.534526265997966</v>
      </c>
      <c r="R966" s="75">
        <f>F966-F965</f>
        <v>0.0035868055555567935</v>
      </c>
      <c r="S966" s="75">
        <f>0.5*(Q965+Q966)*R966</f>
        <v>0.041354498140534</v>
      </c>
      <c r="T966" s="75">
        <f>0.5*(F965*Q965+F966*Q966)*R966</f>
        <v>0.9415802814651762</v>
      </c>
      <c r="U966" s="76">
        <f>U965+S966</f>
        <v>78.6506436229121</v>
      </c>
      <c r="V966" s="76">
        <f>V965+T966</f>
        <v>1264.0503590709548</v>
      </c>
    </row>
    <row r="967" spans="1:22" ht="19" customHeight="1">
      <c r="A967" s="68" t="s">
        <v>362</v>
      </c>
      <c r="B967" s="74">
        <v>5</v>
      </c>
      <c r="C967" s="68" t="s">
        <v>363</v>
      </c>
      <c r="D967" s="68" t="s">
        <v>365</v>
      </c>
      <c r="E967" s="75">
        <f>60*F967*'THAM_SO_MOI'!$C$53/(2*PI()*'THAM_SO_MOI'!$C$26)</f>
        <v>2243.8273684210517</v>
      </c>
      <c r="F967" s="75">
        <f>'THAM_SO_MOI'!$C$14+('THAM_SO_MOI'!$C$37-'THAM_SO_MOI'!$C$14)*160/'THAM_SO_MOI'!$C$42</f>
        <v>22.773888888888887</v>
      </c>
      <c r="G967" s="75">
        <f>3.6*F967</f>
        <v>81.98599999999999</v>
      </c>
      <c r="H967" s="75">
        <f>'THAM_SO_MOI'!$D$53</f>
        <v>1.1</v>
      </c>
      <c r="I967" s="75">
        <f>IF(F967&gt;='THAM_SO_MOI'!$C$14,'THAM_SO_MOI'!$C$13*(1+F967^2/1500),'THAM_SO_MOI'!$C$13)</f>
        <v>0.020186500151234566</v>
      </c>
      <c r="J967" s="75">
        <f>'THAM_SO_MOI'!$C$40*('THAM_SO_MOI'!$C$23*(E967/'THAM_SO_MOI'!$C$22)+'THAM_SO_MOI'!$C$24*(E967/'THAM_SO_MOI'!$C$22)^2-'THAM_SO_MOI'!$C$25*(E967/'THAM_SO_MOI'!$C$22)^3)</f>
        <v>100.9819142035206</v>
      </c>
      <c r="K967" s="75">
        <f>'THAM_SO_MOI'!$C$31*J967/E967</f>
        <v>429.84064209224283</v>
      </c>
      <c r="L967" s="75">
        <f>K967*'THAM_SO_MOI'!$C$53*'THAM_SO_MOI'!$C$17/'THAM_SO_MOI'!$C$26</f>
        <v>3769.7041131018864</v>
      </c>
      <c r="M967" s="75">
        <f>'THAM_SO_MOI'!$C$15*'THAM_SO_MOI'!$C$16*F967^2</f>
        <v>1517.051294236111</v>
      </c>
      <c r="N967" s="75">
        <f>'THAM_SO_MOI'!$C$12*I967</f>
        <v>1520.8670705941333</v>
      </c>
      <c r="O967" s="75">
        <f>M967+N967</f>
        <v>3037.918364830244</v>
      </c>
      <c r="P967" s="75">
        <f>(MIN(L967,'THAM_SO_MOI'!$C$41)-O967)/('THAM_SO_MOI'!$C$11*H967)</f>
        <v>0.08662236603594246</v>
      </c>
      <c r="Q967" s="75">
        <f>IF(P967&gt;0,1/P967,NA())</f>
        <v>11.54436256780457</v>
      </c>
      <c r="R967" s="75">
        <f>F967-F966</f>
        <v>0.0035868055555532408</v>
      </c>
      <c r="S967" s="75">
        <f>0.5*(Q966+Q967)*R967</f>
        <v>0.041389743342539295</v>
      </c>
      <c r="T967" s="75">
        <f>0.5*(F966*Q966+F967*Q967)*R967</f>
        <v>0.9425312191783703</v>
      </c>
      <c r="U967" s="76">
        <f>U966+S967</f>
        <v>78.69203336625463</v>
      </c>
      <c r="V967" s="76">
        <f>V966+T967</f>
        <v>1264.9928902901331</v>
      </c>
    </row>
    <row r="968" spans="1:22" ht="19" customHeight="1">
      <c r="A968" s="68" t="s">
        <v>362</v>
      </c>
      <c r="B968" s="74">
        <v>5</v>
      </c>
      <c r="C968" s="68" t="s">
        <v>363</v>
      </c>
      <c r="D968" s="68" t="s">
        <v>365</v>
      </c>
      <c r="E968" s="75">
        <f>60*F968*'THAM_SO_MOI'!$C$53/(2*PI()*'THAM_SO_MOI'!$C$26)</f>
        <v>2244.1807631578945</v>
      </c>
      <c r="F968" s="75">
        <f>'THAM_SO_MOI'!$C$14+('THAM_SO_MOI'!$C$37-'THAM_SO_MOI'!$C$14)*161/'THAM_SO_MOI'!$C$42</f>
        <v>22.777475694444444</v>
      </c>
      <c r="G968" s="75">
        <f>3.6*F968</f>
        <v>81.9989125</v>
      </c>
      <c r="H968" s="75">
        <f>'THAM_SO_MOI'!$D$53</f>
        <v>1.1</v>
      </c>
      <c r="I968" s="75">
        <f>IF(F968&gt;='THAM_SO_MOI'!$C$14,'THAM_SO_MOI'!$C$13*(1+F968^2/1500),'THAM_SO_MOI'!$C$13)</f>
        <v>0.020188133990110074</v>
      </c>
      <c r="J968" s="75">
        <f>'THAM_SO_MOI'!$C$40*('THAM_SO_MOI'!$C$23*(E968/'THAM_SO_MOI'!$C$22)+'THAM_SO_MOI'!$C$24*(E968/'THAM_SO_MOI'!$C$22)^2-'THAM_SO_MOI'!$C$25*(E968/'THAM_SO_MOI'!$C$22)^3)</f>
        <v>100.99719548496759</v>
      </c>
      <c r="K968" s="75">
        <f>'THAM_SO_MOI'!$C$31*J968/E968</f>
        <v>429.83799061323634</v>
      </c>
      <c r="L968" s="75">
        <f>K968*'THAM_SO_MOI'!$C$53*'THAM_SO_MOI'!$C$17/'THAM_SO_MOI'!$C$26</f>
        <v>3769.6808596206247</v>
      </c>
      <c r="M968" s="75">
        <f>'THAM_SO_MOI'!$C$15*'THAM_SO_MOI'!$C$16*F968^2</f>
        <v>1517.5291921071969</v>
      </c>
      <c r="N968" s="75">
        <f>'THAM_SO_MOI'!$C$12*I968</f>
        <v>1520.9901653220852</v>
      </c>
      <c r="O968" s="75">
        <f>M968+N968</f>
        <v>3038.519357429282</v>
      </c>
      <c r="P968" s="75">
        <f>(MIN(L968,'THAM_SO_MOI'!$C$41)-O968)/('THAM_SO_MOI'!$C$11*H968)</f>
        <v>0.08654847327075554</v>
      </c>
      <c r="Q968" s="75">
        <f>IF(P968&gt;0,1/P968,NA())</f>
        <v>11.55421883493694</v>
      </c>
      <c r="R968" s="75">
        <f>F968-F967</f>
        <v>0.0035868055555567935</v>
      </c>
      <c r="S968" s="75">
        <f>0.5*(Q967+Q968)*R968</f>
        <v>0.04142506005041704</v>
      </c>
      <c r="T968" s="75">
        <f>0.5*(F967*Q967+F968*Q968)*R968</f>
        <v>0.9434840383221598</v>
      </c>
      <c r="U968" s="76">
        <f>U967+S968</f>
        <v>78.73345842630505</v>
      </c>
      <c r="V968" s="76">
        <f>V967+T968</f>
        <v>1265.9363743284553</v>
      </c>
    </row>
    <row r="969" spans="1:22" ht="19" customHeight="1">
      <c r="A969" s="68" t="s">
        <v>362</v>
      </c>
      <c r="B969" s="74">
        <v>5</v>
      </c>
      <c r="C969" s="68" t="s">
        <v>363</v>
      </c>
      <c r="D969" s="68" t="s">
        <v>365</v>
      </c>
      <c r="E969" s="75">
        <f>60*F969*'THAM_SO_MOI'!$C$53/(2*PI()*'THAM_SO_MOI'!$C$26)</f>
        <v>2244.534157894736</v>
      </c>
      <c r="F969" s="75">
        <f>'THAM_SO_MOI'!$C$14+('THAM_SO_MOI'!$C$37-'THAM_SO_MOI'!$C$14)*162/'THAM_SO_MOI'!$C$42</f>
        <v>22.781062499999997</v>
      </c>
      <c r="G969" s="75">
        <f>3.6*F969</f>
        <v>82.01182499999999</v>
      </c>
      <c r="H969" s="75">
        <f>'THAM_SO_MOI'!$D$53</f>
        <v>1.1</v>
      </c>
      <c r="I969" s="75">
        <f>IF(F969&gt;='THAM_SO_MOI'!$C$14,'THAM_SO_MOI'!$C$13*(1+F969^2/1500),'THAM_SO_MOI'!$C$13)</f>
        <v>0.020189768086289063</v>
      </c>
      <c r="J969" s="75">
        <f>'THAM_SO_MOI'!$C$40*('THAM_SO_MOI'!$C$23*(E969/'THAM_SO_MOI'!$C$22)+'THAM_SO_MOI'!$C$24*(E969/'THAM_SO_MOI'!$C$22)^2-'THAM_SO_MOI'!$C$25*(E969/'THAM_SO_MOI'!$C$22)^3)</f>
        <v>101.01247372291338</v>
      </c>
      <c r="K969" s="75">
        <f>'THAM_SO_MOI'!$C$31*J969/E969</f>
        <v>429.83532701824527</v>
      </c>
      <c r="L969" s="75">
        <f>K969*'THAM_SO_MOI'!$C$53*'THAM_SO_MOI'!$C$17/'THAM_SO_MOI'!$C$26</f>
        <v>3769.6574998821307</v>
      </c>
      <c r="M969" s="75">
        <f>'THAM_SO_MOI'!$C$15*'THAM_SO_MOI'!$C$16*F969^2</f>
        <v>1518.0071652395504</v>
      </c>
      <c r="N969" s="75">
        <f>'THAM_SO_MOI'!$C$12*I969</f>
        <v>1521.1132794354871</v>
      </c>
      <c r="O969" s="75">
        <f>M969+N969</f>
        <v>3039.1204446750376</v>
      </c>
      <c r="P969" s="75">
        <f>(MIN(L969,'THAM_SO_MOI'!$C$41)-O969)/('THAM_SO_MOI'!$C$11*H969)</f>
        <v>0.08647455672432447</v>
      </c>
      <c r="Q969" s="75">
        <f>IF(P969&gt;0,1/P969,NA())</f>
        <v>11.564095126708057</v>
      </c>
      <c r="R969" s="75">
        <f>F969-F968</f>
        <v>0.0035868055555532408</v>
      </c>
      <c r="S969" s="75">
        <f>0.5*(Q968+Q969)*R969</f>
        <v>0.04146044847632616</v>
      </c>
      <c r="T969" s="75">
        <f>0.5*(F968*Q968+F969*Q969)*R969</f>
        <v>0.944438744498804</v>
      </c>
      <c r="U969" s="76">
        <f>U968+S969</f>
        <v>78.77491887478138</v>
      </c>
      <c r="V969" s="76">
        <f>V968+T969</f>
        <v>1266.880813072954</v>
      </c>
    </row>
    <row r="970" spans="1:22" ht="19" customHeight="1">
      <c r="A970" s="68" t="s">
        <v>362</v>
      </c>
      <c r="B970" s="74">
        <v>5</v>
      </c>
      <c r="C970" s="68" t="s">
        <v>363</v>
      </c>
      <c r="D970" s="68" t="s">
        <v>365</v>
      </c>
      <c r="E970" s="75">
        <f>60*F970*'THAM_SO_MOI'!$C$53/(2*PI()*'THAM_SO_MOI'!$C$26)</f>
        <v>2244.8875526315783</v>
      </c>
      <c r="F970" s="75">
        <f>'THAM_SO_MOI'!$C$14+('THAM_SO_MOI'!$C$37-'THAM_SO_MOI'!$C$14)*163/'THAM_SO_MOI'!$C$42</f>
        <v>22.784649305555554</v>
      </c>
      <c r="G970" s="75">
        <f>3.6*F970</f>
        <v>82.0247375</v>
      </c>
      <c r="H970" s="75">
        <f>'THAM_SO_MOI'!$D$53</f>
        <v>1.1</v>
      </c>
      <c r="I970" s="75">
        <f>IF(F970&gt;='THAM_SO_MOI'!$C$14,'THAM_SO_MOI'!$C$13*(1+F970^2/1500),'THAM_SO_MOI'!$C$13)</f>
        <v>0.020191402439771532</v>
      </c>
      <c r="J970" s="75">
        <f>'THAM_SO_MOI'!$C$40*('THAM_SO_MOI'!$C$23*(E970/'THAM_SO_MOI'!$C$22)+'THAM_SO_MOI'!$C$24*(E970/'THAM_SO_MOI'!$C$22)^2-'THAM_SO_MOI'!$C$25*(E970/'THAM_SO_MOI'!$C$22)^3)</f>
        <v>101.02774891601325</v>
      </c>
      <c r="K970" s="75">
        <f>'THAM_SO_MOI'!$C$31*J970/E970</f>
        <v>429.8326513072699</v>
      </c>
      <c r="L970" s="75">
        <f>K970*'THAM_SO_MOI'!$C$53*'THAM_SO_MOI'!$C$17/'THAM_SO_MOI'!$C$26</f>
        <v>3769.6340338864065</v>
      </c>
      <c r="M970" s="75">
        <f>'THAM_SO_MOI'!$C$15*'THAM_SO_MOI'!$C$16*F970^2</f>
        <v>1518.4852136331733</v>
      </c>
      <c r="N970" s="75">
        <f>'THAM_SO_MOI'!$C$12*I970</f>
        <v>1521.2364129343391</v>
      </c>
      <c r="O970" s="75">
        <f>M970+N970</f>
        <v>3039.7216265675124</v>
      </c>
      <c r="P970" s="75">
        <f>(MIN(L970,'THAM_SO_MOI'!$C$41)-O970)/('THAM_SO_MOI'!$C$11*H970)</f>
        <v>0.0864006163966494</v>
      </c>
      <c r="Q970" s="75">
        <f>IF(P970&gt;0,1/P970,NA())</f>
        <v>11.573991502666871</v>
      </c>
      <c r="R970" s="75">
        <f>F970-F969</f>
        <v>0.0035868055555567935</v>
      </c>
      <c r="S970" s="75">
        <f>0.5*(Q969+Q970)*R970</f>
        <v>0.041495908833598175</v>
      </c>
      <c r="T970" s="75">
        <f>0.5*(F969*Q969+F970*Q970)*R970</f>
        <v>0.9453953433403207</v>
      </c>
      <c r="U970" s="76">
        <f>U969+S970</f>
        <v>78.81641478361497</v>
      </c>
      <c r="V970" s="76">
        <f>V969+T970</f>
        <v>1267.8262084162943</v>
      </c>
    </row>
    <row r="971" spans="1:22" ht="19" customHeight="1">
      <c r="A971" s="68" t="s">
        <v>362</v>
      </c>
      <c r="B971" s="74">
        <v>5</v>
      </c>
      <c r="C971" s="68" t="s">
        <v>363</v>
      </c>
      <c r="D971" s="68" t="s">
        <v>365</v>
      </c>
      <c r="E971" s="75">
        <f>60*F971*'THAM_SO_MOI'!$C$53/(2*PI()*'THAM_SO_MOI'!$C$26)</f>
        <v>2245.2409473684206</v>
      </c>
      <c r="F971" s="75">
        <f>'THAM_SO_MOI'!$C$14+('THAM_SO_MOI'!$C$37-'THAM_SO_MOI'!$C$14)*164/'THAM_SO_MOI'!$C$42</f>
        <v>22.78823611111111</v>
      </c>
      <c r="G971" s="75">
        <f>3.6*F971</f>
        <v>82.03765</v>
      </c>
      <c r="H971" s="75">
        <f>'THAM_SO_MOI'!$D$53</f>
        <v>1.1</v>
      </c>
      <c r="I971" s="75">
        <f>IF(F971&gt;='THAM_SO_MOI'!$C$14,'THAM_SO_MOI'!$C$13*(1+F971^2/1500),'THAM_SO_MOI'!$C$13)</f>
        <v>0.020193037050557482</v>
      </c>
      <c r="J971" s="75">
        <f>'THAM_SO_MOI'!$C$40*('THAM_SO_MOI'!$C$23*(E971/'THAM_SO_MOI'!$C$22)+'THAM_SO_MOI'!$C$24*(E971/'THAM_SO_MOI'!$C$22)^2-'THAM_SO_MOI'!$C$25*(E971/'THAM_SO_MOI'!$C$22)^3)</f>
        <v>101.04302106292225</v>
      </c>
      <c r="K971" s="75">
        <f>'THAM_SO_MOI'!$C$31*J971/E971</f>
        <v>429.82996348031</v>
      </c>
      <c r="L971" s="75">
        <f>K971*'THAM_SO_MOI'!$C$53*'THAM_SO_MOI'!$C$17/'THAM_SO_MOI'!$C$26</f>
        <v>3769.610461633451</v>
      </c>
      <c r="M971" s="75">
        <f>'THAM_SO_MOI'!$C$15*'THAM_SO_MOI'!$C$16*F971^2</f>
        <v>1518.9633372880642</v>
      </c>
      <c r="N971" s="75">
        <f>'THAM_SO_MOI'!$C$12*I971</f>
        <v>1521.3595658186412</v>
      </c>
      <c r="O971" s="75">
        <f>M971+N971</f>
        <v>3040.3229031067053</v>
      </c>
      <c r="P971" s="75">
        <f>(MIN(L971,'THAM_SO_MOI'!$C$41)-O971)/('THAM_SO_MOI'!$C$11*H971)</f>
        <v>0.08632665228773034</v>
      </c>
      <c r="Q971" s="75">
        <f>IF(P971&gt;0,1/P971,NA())</f>
        <v>11.583908022599534</v>
      </c>
      <c r="R971" s="75">
        <f>F971-F970</f>
        <v>0.0035868055555567935</v>
      </c>
      <c r="S971" s="75">
        <f>0.5*(Q970+Q971)*R971</f>
        <v>0.04153144133612579</v>
      </c>
      <c r="T971" s="75">
        <f>0.5*(F970*Q970+F971*Q971)*R971</f>
        <v>0.9463538404945758</v>
      </c>
      <c r="U971" s="76">
        <f>U970+S971</f>
        <v>78.85794622495109</v>
      </c>
      <c r="V971" s="76">
        <f>V970+T971</f>
        <v>1268.772562256789</v>
      </c>
    </row>
    <row r="972" spans="1:22" ht="19" customHeight="1">
      <c r="A972" s="68" t="s">
        <v>362</v>
      </c>
      <c r="B972" s="74">
        <v>5</v>
      </c>
      <c r="C972" s="68" t="s">
        <v>363</v>
      </c>
      <c r="D972" s="68" t="s">
        <v>365</v>
      </c>
      <c r="E972" s="75">
        <f>60*F972*'THAM_SO_MOI'!$C$53/(2*PI()*'THAM_SO_MOI'!$C$26)</f>
        <v>2245.5943421052625</v>
      </c>
      <c r="F972" s="75">
        <f>'THAM_SO_MOI'!$C$14+('THAM_SO_MOI'!$C$37-'THAM_SO_MOI'!$C$14)*165/'THAM_SO_MOI'!$C$42</f>
        <v>22.791822916666664</v>
      </c>
      <c r="G972" s="75">
        <f>3.6*F972</f>
        <v>82.0505625</v>
      </c>
      <c r="H972" s="75">
        <f>'THAM_SO_MOI'!$D$53</f>
        <v>1.1</v>
      </c>
      <c r="I972" s="75">
        <f>IF(F972&gt;='THAM_SO_MOI'!$C$14,'THAM_SO_MOI'!$C$13*(1+F972^2/1500),'THAM_SO_MOI'!$C$13)</f>
        <v>0.020194671918646916</v>
      </c>
      <c r="J972" s="75">
        <f>'THAM_SO_MOI'!$C$40*('THAM_SO_MOI'!$C$23*(E972/'THAM_SO_MOI'!$C$22)+'THAM_SO_MOI'!$C$24*(E972/'THAM_SO_MOI'!$C$22)^2-'THAM_SO_MOI'!$C$25*(E972/'THAM_SO_MOI'!$C$22)^3)</f>
        <v>101.05829016229544</v>
      </c>
      <c r="K972" s="75">
        <f>'THAM_SO_MOI'!$C$31*J972/E972</f>
        <v>429.82726353736564</v>
      </c>
      <c r="L972" s="75">
        <f>K972*'THAM_SO_MOI'!$C$53*'THAM_SO_MOI'!$C$17/'THAM_SO_MOI'!$C$26</f>
        <v>3769.586783123264</v>
      </c>
      <c r="M972" s="75">
        <f>'THAM_SO_MOI'!$C$15*'THAM_SO_MOI'!$C$16*F972^2</f>
        <v>1519.4415362042234</v>
      </c>
      <c r="N972" s="75">
        <f>'THAM_SO_MOI'!$C$12*I972</f>
        <v>1521.4827380883937</v>
      </c>
      <c r="O972" s="75">
        <f>M972+N972</f>
        <v>3040.924274292617</v>
      </c>
      <c r="P972" s="75">
        <f>(MIN(L972,'THAM_SO_MOI'!$C$41)-O972)/('THAM_SO_MOI'!$C$11*H972)</f>
        <v>0.08625266439756712</v>
      </c>
      <c r="Q972" s="75">
        <f>IF(P972&gt;0,1/P972,NA())</f>
        <v>11.593844746530594</v>
      </c>
      <c r="R972" s="75">
        <f>F972-F971</f>
        <v>0.0035868055555532408</v>
      </c>
      <c r="S972" s="75">
        <f>0.5*(Q971+Q972)*R972</f>
        <v>0.041567046198777734</v>
      </c>
      <c r="T972" s="75">
        <f>0.5*(F971*Q971+F972*Q972)*R972</f>
        <v>0.9473142416347481</v>
      </c>
      <c r="U972" s="76">
        <f>U971+S972</f>
        <v>78.89951327114987</v>
      </c>
      <c r="V972" s="76">
        <f>V971+T972</f>
        <v>1269.7198764984237</v>
      </c>
    </row>
    <row r="973" spans="1:22" ht="19" customHeight="1">
      <c r="A973" s="68" t="s">
        <v>362</v>
      </c>
      <c r="B973" s="74">
        <v>5</v>
      </c>
      <c r="C973" s="68" t="s">
        <v>363</v>
      </c>
      <c r="D973" s="68" t="s">
        <v>365</v>
      </c>
      <c r="E973" s="75">
        <f>60*F973*'THAM_SO_MOI'!$C$53/(2*PI()*'THAM_SO_MOI'!$C$26)</f>
        <v>2245.9477368421044</v>
      </c>
      <c r="F973" s="75">
        <f>'THAM_SO_MOI'!$C$14+('THAM_SO_MOI'!$C$37-'THAM_SO_MOI'!$C$14)*166/'THAM_SO_MOI'!$C$42</f>
        <v>22.79540972222222</v>
      </c>
      <c r="G973" s="75">
        <f>3.6*F973</f>
        <v>82.063475</v>
      </c>
      <c r="H973" s="75">
        <f>'THAM_SO_MOI'!$D$53</f>
        <v>1.1</v>
      </c>
      <c r="I973" s="75">
        <f>IF(F973&gt;='THAM_SO_MOI'!$C$14,'THAM_SO_MOI'!$C$13*(1+F973^2/1500),'THAM_SO_MOI'!$C$13)</f>
        <v>0.020196307044039834</v>
      </c>
      <c r="J973" s="75">
        <f>'THAM_SO_MOI'!$C$40*('THAM_SO_MOI'!$C$23*(E973/'THAM_SO_MOI'!$C$22)+'THAM_SO_MOI'!$C$24*(E973/'THAM_SO_MOI'!$C$22)^2-'THAM_SO_MOI'!$C$25*(E973/'THAM_SO_MOI'!$C$22)^3)</f>
        <v>101.07355621278798</v>
      </c>
      <c r="K973" s="75">
        <f>'THAM_SO_MOI'!$C$31*J973/E973</f>
        <v>429.82455147843694</v>
      </c>
      <c r="L973" s="75">
        <f>K973*'THAM_SO_MOI'!$C$53*'THAM_SO_MOI'!$C$17/'THAM_SO_MOI'!$C$26</f>
        <v>3769.5629983558474</v>
      </c>
      <c r="M973" s="75">
        <f>'THAM_SO_MOI'!$C$15*'THAM_SO_MOI'!$C$16*F973^2</f>
        <v>1519.9198103816514</v>
      </c>
      <c r="N973" s="75">
        <f>'THAM_SO_MOI'!$C$12*I973</f>
        <v>1521.6059297435963</v>
      </c>
      <c r="O973" s="75">
        <f>M973+N973</f>
        <v>3041.5257401252475</v>
      </c>
      <c r="P973" s="75">
        <f>(MIN(L973,'THAM_SO_MOI'!$C$41)-O973)/('THAM_SO_MOI'!$C$11*H973)</f>
        <v>0.08617865272615997</v>
      </c>
      <c r="Q973" s="75">
        <f>IF(P973&gt;0,1/P973,NA())</f>
        <v>11.60380173472409</v>
      </c>
      <c r="R973" s="75">
        <f>F973-F972</f>
        <v>0.0035868055555567935</v>
      </c>
      <c r="S973" s="75">
        <f>0.5*(Q972+Q973)*R973</f>
        <v>0.04160272363740341</v>
      </c>
      <c r="T973" s="75">
        <f>0.5*(F972*Q972+F973*Q973)*R973</f>
        <v>0.9482765524594517</v>
      </c>
      <c r="U973" s="76">
        <f>U972+S973</f>
        <v>78.94111599478727</v>
      </c>
      <c r="V973" s="76">
        <f>V972+T973</f>
        <v>1270.6681530508831</v>
      </c>
    </row>
    <row r="974" spans="1:22" ht="19" customHeight="1">
      <c r="A974" s="68" t="s">
        <v>362</v>
      </c>
      <c r="B974" s="74">
        <v>5</v>
      </c>
      <c r="C974" s="68" t="s">
        <v>363</v>
      </c>
      <c r="D974" s="68" t="s">
        <v>365</v>
      </c>
      <c r="E974" s="75">
        <f>60*F974*'THAM_SO_MOI'!$C$53/(2*PI()*'THAM_SO_MOI'!$C$26)</f>
        <v>2246.3011315789468</v>
      </c>
      <c r="F974" s="75">
        <f>'THAM_SO_MOI'!$C$14+('THAM_SO_MOI'!$C$37-'THAM_SO_MOI'!$C$14)*167/'THAM_SO_MOI'!$C$42</f>
        <v>22.798996527777778</v>
      </c>
      <c r="G974" s="75">
        <f>3.6*F974</f>
        <v>82.0763875</v>
      </c>
      <c r="H974" s="75">
        <f>'THAM_SO_MOI'!$D$53</f>
        <v>1.1</v>
      </c>
      <c r="I974" s="75">
        <f>IF(F974&gt;='THAM_SO_MOI'!$C$14,'THAM_SO_MOI'!$C$13*(1+F974^2/1500),'THAM_SO_MOI'!$C$13)</f>
        <v>0.02019794242673623</v>
      </c>
      <c r="J974" s="75">
        <f>'THAM_SO_MOI'!$C$40*('THAM_SO_MOI'!$C$23*(E974/'THAM_SO_MOI'!$C$22)+'THAM_SO_MOI'!$C$24*(E974/'THAM_SO_MOI'!$C$22)^2-'THAM_SO_MOI'!$C$25*(E974/'THAM_SO_MOI'!$C$22)^3)</f>
        <v>101.08881921305493</v>
      </c>
      <c r="K974" s="75">
        <f>'THAM_SO_MOI'!$C$31*J974/E974</f>
        <v>429.8218273035235</v>
      </c>
      <c r="L974" s="75">
        <f>K974*'THAM_SO_MOI'!$C$53*'THAM_SO_MOI'!$C$17/'THAM_SO_MOI'!$C$26</f>
        <v>3769.5391073311966</v>
      </c>
      <c r="M974" s="75">
        <f>'THAM_SO_MOI'!$C$15*'THAM_SO_MOI'!$C$16*F974^2</f>
        <v>1520.398159820348</v>
      </c>
      <c r="N974" s="75">
        <f>'THAM_SO_MOI'!$C$12*I974</f>
        <v>1521.729140784249</v>
      </c>
      <c r="O974" s="75">
        <f>M974+N974</f>
        <v>3042.1273006045967</v>
      </c>
      <c r="P974" s="75">
        <f>(MIN(L974,'THAM_SO_MOI'!$C$41)-O974)/('THAM_SO_MOI'!$C$11*H974)</f>
        <v>0.08610461727350846</v>
      </c>
      <c r="Q974" s="75">
        <f>IF(P974&gt;0,1/P974,NA())</f>
        <v>11.6137790476849</v>
      </c>
      <c r="R974" s="75">
        <f>F974-F973</f>
        <v>0.0035868055555567935</v>
      </c>
      <c r="S974" s="75">
        <f>0.5*(Q973+Q974)*R974</f>
        <v>0.041638473868466606</v>
      </c>
      <c r="T974" s="75">
        <f>0.5*(F973*Q973+F974*Q974)*R974</f>
        <v>0.9492407786844048</v>
      </c>
      <c r="U974" s="76">
        <f>U973+S974</f>
        <v>78.98275446865573</v>
      </c>
      <c r="V974" s="76">
        <f>V973+T974</f>
        <v>1271.6173938295676</v>
      </c>
    </row>
    <row r="975" spans="1:22" ht="19" customHeight="1">
      <c r="A975" s="68" t="s">
        <v>362</v>
      </c>
      <c r="B975" s="74">
        <v>5</v>
      </c>
      <c r="C975" s="68" t="s">
        <v>363</v>
      </c>
      <c r="D975" s="68" t="s">
        <v>365</v>
      </c>
      <c r="E975" s="75">
        <f>60*F975*'THAM_SO_MOI'!$C$53/(2*PI()*'THAM_SO_MOI'!$C$26)</f>
        <v>2246.6545263157886</v>
      </c>
      <c r="F975" s="75">
        <f>'THAM_SO_MOI'!$C$14+('THAM_SO_MOI'!$C$37-'THAM_SO_MOI'!$C$14)*168/'THAM_SO_MOI'!$C$42</f>
        <v>22.80258333333333</v>
      </c>
      <c r="G975" s="75">
        <f>3.6*F975</f>
        <v>82.0893</v>
      </c>
      <c r="H975" s="75">
        <f>'THAM_SO_MOI'!$D$53</f>
        <v>1.1</v>
      </c>
      <c r="I975" s="75">
        <f>IF(F975&gt;='THAM_SO_MOI'!$C$14,'THAM_SO_MOI'!$C$13*(1+F975^2/1500),'THAM_SO_MOI'!$C$13)</f>
        <v>0.02019957806673611</v>
      </c>
      <c r="J975" s="75">
        <f>'THAM_SO_MOI'!$C$40*('THAM_SO_MOI'!$C$23*(E975/'THAM_SO_MOI'!$C$22)+'THAM_SO_MOI'!$C$24*(E975/'THAM_SO_MOI'!$C$22)^2-'THAM_SO_MOI'!$C$25*(E975/'THAM_SO_MOI'!$C$22)^3)</f>
        <v>101.10407916175147</v>
      </c>
      <c r="K975" s="75">
        <f>'THAM_SO_MOI'!$C$31*J975/E975</f>
        <v>429.81909101262573</v>
      </c>
      <c r="L975" s="75">
        <f>K975*'THAM_SO_MOI'!$C$53*'THAM_SO_MOI'!$C$17/'THAM_SO_MOI'!$C$26</f>
        <v>3769.5151100493163</v>
      </c>
      <c r="M975" s="75">
        <f>'THAM_SO_MOI'!$C$15*'THAM_SO_MOI'!$C$16*F975^2</f>
        <v>1520.8765845203125</v>
      </c>
      <c r="N975" s="75">
        <f>'THAM_SO_MOI'!$C$12*I975</f>
        <v>1521.852371210352</v>
      </c>
      <c r="O975" s="75">
        <f>M975+N975</f>
        <v>3042.7289557306644</v>
      </c>
      <c r="P975" s="75">
        <f>(MIN(L975,'THAM_SO_MOI'!$C$41)-O975)/('THAM_SO_MOI'!$C$11*H975)</f>
        <v>0.08603055803961314</v>
      </c>
      <c r="Q975" s="75">
        <f>IF(P975&gt;0,1/P975,NA())</f>
        <v>11.623776746159727</v>
      </c>
      <c r="R975" s="75">
        <f>F975-F974</f>
        <v>0.0035868055555532408</v>
      </c>
      <c r="S975" s="75">
        <f>0.5*(Q974+Q975)*R975</f>
        <v>0.04167429710942015</v>
      </c>
      <c r="T975" s="75">
        <f>0.5*(F974*Q974+F975*Q975)*R975</f>
        <v>0.9502069260509803</v>
      </c>
      <c r="U975" s="76">
        <f>U974+S975</f>
        <v>79.02442876576515</v>
      </c>
      <c r="V975" s="76">
        <f>V974+T975</f>
        <v>1272.5676007556185</v>
      </c>
    </row>
    <row r="976" spans="1:22" ht="19" customHeight="1">
      <c r="A976" s="68" t="s">
        <v>362</v>
      </c>
      <c r="B976" s="74">
        <v>5</v>
      </c>
      <c r="C976" s="68" t="s">
        <v>363</v>
      </c>
      <c r="D976" s="68" t="s">
        <v>365</v>
      </c>
      <c r="E976" s="75">
        <f>60*F976*'THAM_SO_MOI'!$C$53/(2*PI()*'THAM_SO_MOI'!$C$26)</f>
        <v>2247.007921052631</v>
      </c>
      <c r="F976" s="75">
        <f>'THAM_SO_MOI'!$C$14+('THAM_SO_MOI'!$C$37-'THAM_SO_MOI'!$C$14)*169/'THAM_SO_MOI'!$C$42</f>
        <v>22.806170138888888</v>
      </c>
      <c r="G976" s="75">
        <f>3.6*F976</f>
        <v>82.1022125</v>
      </c>
      <c r="H976" s="75">
        <f>'THAM_SO_MOI'!$D$53</f>
        <v>1.1</v>
      </c>
      <c r="I976" s="75">
        <f>IF(F976&gt;='THAM_SO_MOI'!$C$14,'THAM_SO_MOI'!$C$13*(1+F976^2/1500),'THAM_SO_MOI'!$C$13)</f>
        <v>0.020201213964039472</v>
      </c>
      <c r="J976" s="75">
        <f>'THAM_SO_MOI'!$C$40*('THAM_SO_MOI'!$C$23*(E976/'THAM_SO_MOI'!$C$22)+'THAM_SO_MOI'!$C$24*(E976/'THAM_SO_MOI'!$C$22)^2-'THAM_SO_MOI'!$C$25*(E976/'THAM_SO_MOI'!$C$22)^3)</f>
        <v>101.1193360575327</v>
      </c>
      <c r="K976" s="75">
        <f>'THAM_SO_MOI'!$C$31*J976/E976</f>
        <v>429.81634260574356</v>
      </c>
      <c r="L976" s="75">
        <f>K976*'THAM_SO_MOI'!$C$53*'THAM_SO_MOI'!$C$17/'THAM_SO_MOI'!$C$26</f>
        <v>3769.491006510205</v>
      </c>
      <c r="M976" s="75">
        <f>'THAM_SO_MOI'!$C$15*'THAM_SO_MOI'!$C$16*F976^2</f>
        <v>1521.3550844815456</v>
      </c>
      <c r="N976" s="75">
        <f>'THAM_SO_MOI'!$C$12*I976</f>
        <v>1521.9756210219052</v>
      </c>
      <c r="O976" s="75">
        <f>M976+N976</f>
        <v>3043.330705503451</v>
      </c>
      <c r="P976" s="75">
        <f>(MIN(L976,'THAM_SO_MOI'!$C$41)-O976)/('THAM_SO_MOI'!$C$11*H976)</f>
        <v>0.08595647502447375</v>
      </c>
      <c r="Q976" s="75">
        <f>IF(P976&gt;0,1/P976,NA())</f>
        <v>11.633794891138537</v>
      </c>
      <c r="R976" s="75">
        <f>F976-F975</f>
        <v>0.0035868055555567935</v>
      </c>
      <c r="S976" s="75">
        <f>0.5*(Q975+Q976)*R976</f>
        <v>0.04171019357871076</v>
      </c>
      <c r="T976" s="75">
        <f>0.5*(F975*Q975+F976*Q976)*R976</f>
        <v>0.9511750003263376</v>
      </c>
      <c r="U976" s="76">
        <f>U975+S976</f>
        <v>79.06613895934386</v>
      </c>
      <c r="V976" s="76">
        <f>V975+T976</f>
        <v>1273.518775755945</v>
      </c>
    </row>
    <row r="977" spans="1:22" ht="19" customHeight="1">
      <c r="A977" s="68" t="s">
        <v>362</v>
      </c>
      <c r="B977" s="74">
        <v>5</v>
      </c>
      <c r="C977" s="68" t="s">
        <v>363</v>
      </c>
      <c r="D977" s="68" t="s">
        <v>365</v>
      </c>
      <c r="E977" s="75">
        <f>60*F977*'THAM_SO_MOI'!$C$53/(2*PI()*'THAM_SO_MOI'!$C$26)</f>
        <v>2247.3613157894733</v>
      </c>
      <c r="F977" s="75">
        <f>'THAM_SO_MOI'!$C$14+('THAM_SO_MOI'!$C$37-'THAM_SO_MOI'!$C$14)*170/'THAM_SO_MOI'!$C$42</f>
        <v>22.809756944444445</v>
      </c>
      <c r="G977" s="75">
        <f>3.6*F977</f>
        <v>82.115125</v>
      </c>
      <c r="H977" s="75">
        <f>'THAM_SO_MOI'!$D$53</f>
        <v>1.1</v>
      </c>
      <c r="I977" s="75">
        <f>IF(F977&gt;='THAM_SO_MOI'!$C$14,'THAM_SO_MOI'!$C$13*(1+F977^2/1500),'THAM_SO_MOI'!$C$13)</f>
        <v>0.020202850118646313</v>
      </c>
      <c r="J977" s="75">
        <f>'THAM_SO_MOI'!$C$40*('THAM_SO_MOI'!$C$23*(E977/'THAM_SO_MOI'!$C$22)+'THAM_SO_MOI'!$C$24*(E977/'THAM_SO_MOI'!$C$22)^2-'THAM_SO_MOI'!$C$25*(E977/'THAM_SO_MOI'!$C$22)^3)</f>
        <v>101.13458989905372</v>
      </c>
      <c r="K977" s="75">
        <f>'THAM_SO_MOI'!$C$31*J977/E977</f>
        <v>429.81358208287696</v>
      </c>
      <c r="L977" s="75">
        <f>K977*'THAM_SO_MOI'!$C$53*'THAM_SO_MOI'!$C$17/'THAM_SO_MOI'!$C$26</f>
        <v>3769.466796713863</v>
      </c>
      <c r="M977" s="75">
        <f>'THAM_SO_MOI'!$C$15*'THAM_SO_MOI'!$C$16*F977^2</f>
        <v>1521.8336597040472</v>
      </c>
      <c r="N977" s="75">
        <f>'THAM_SO_MOI'!$C$12*I977</f>
        <v>1522.098890218908</v>
      </c>
      <c r="O977" s="75">
        <f>M977+N977</f>
        <v>3043.9325499229553</v>
      </c>
      <c r="P977" s="75">
        <f>(MIN(L977,'THAM_SO_MOI'!$C$41)-O977)/('THAM_SO_MOI'!$C$11*H977)</f>
        <v>0.08588236822809042</v>
      </c>
      <c r="Q977" s="75">
        <f>IF(P977&gt;0,1/P977,NA())</f>
        <v>11.643833543855626</v>
      </c>
      <c r="R977" s="75">
        <f>F977-F976</f>
        <v>0.0035868055555567935</v>
      </c>
      <c r="S977" s="75">
        <f>0.5*(Q976+Q977)*R977</f>
        <v>0.04174616349541193</v>
      </c>
      <c r="T977" s="75">
        <f>0.5*(F976*Q976+F977*Q977)*R977</f>
        <v>0.9521450072950649</v>
      </c>
      <c r="U977" s="76">
        <f>U976+S977</f>
        <v>79.10788512283928</v>
      </c>
      <c r="V977" s="76">
        <f>V976+T977</f>
        <v>1274.47092076324</v>
      </c>
    </row>
    <row r="978" spans="1:22" ht="19" customHeight="1">
      <c r="A978" s="68" t="s">
        <v>362</v>
      </c>
      <c r="B978" s="74">
        <v>5</v>
      </c>
      <c r="C978" s="68" t="s">
        <v>363</v>
      </c>
      <c r="D978" s="68" t="s">
        <v>365</v>
      </c>
      <c r="E978" s="75">
        <f>60*F978*'THAM_SO_MOI'!$C$53/(2*PI()*'THAM_SO_MOI'!$C$26)</f>
        <v>2247.7147105263152</v>
      </c>
      <c r="F978" s="75">
        <f>'THAM_SO_MOI'!$C$14+('THAM_SO_MOI'!$C$37-'THAM_SO_MOI'!$C$14)*171/'THAM_SO_MOI'!$C$42</f>
        <v>22.813343749999998</v>
      </c>
      <c r="G978" s="75">
        <f>3.6*F978</f>
        <v>82.12803749999999</v>
      </c>
      <c r="H978" s="75">
        <f>'THAM_SO_MOI'!$D$53</f>
        <v>1.1</v>
      </c>
      <c r="I978" s="75">
        <f>IF(F978&gt;='THAM_SO_MOI'!$C$14,'THAM_SO_MOI'!$C$13*(1+F978^2/1500),'THAM_SO_MOI'!$C$13)</f>
        <v>0.020204486530556637</v>
      </c>
      <c r="J978" s="75">
        <f>'THAM_SO_MOI'!$C$40*('THAM_SO_MOI'!$C$23*(E978/'THAM_SO_MOI'!$C$22)+'THAM_SO_MOI'!$C$24*(E978/'THAM_SO_MOI'!$C$22)^2-'THAM_SO_MOI'!$C$25*(E978/'THAM_SO_MOI'!$C$22)^3)</f>
        <v>101.14984068496959</v>
      </c>
      <c r="K978" s="75">
        <f>'THAM_SO_MOI'!$C$31*J978/E978</f>
        <v>429.8108094440258</v>
      </c>
      <c r="L978" s="75">
        <f>K978*'THAM_SO_MOI'!$C$53*'THAM_SO_MOI'!$C$17/'THAM_SO_MOI'!$C$26</f>
        <v>3769.442480660289</v>
      </c>
      <c r="M978" s="75">
        <f>'THAM_SO_MOI'!$C$15*'THAM_SO_MOI'!$C$16*F978^2</f>
        <v>1522.3123101878173</v>
      </c>
      <c r="N978" s="75">
        <f>'THAM_SO_MOI'!$C$12*I978</f>
        <v>1522.2221788013617</v>
      </c>
      <c r="O978" s="75">
        <f>M978+N978</f>
        <v>3044.534488989179</v>
      </c>
      <c r="P978" s="75">
        <f>(MIN(L978,'THAM_SO_MOI'!$C$41)-O978)/('THAM_SO_MOI'!$C$11*H978)</f>
        <v>0.08580823765046286</v>
      </c>
      <c r="Q978" s="75">
        <f>IF(P978&gt;0,1/P978,NA())</f>
        <v>11.653892765790953</v>
      </c>
      <c r="R978" s="75">
        <f>F978-F977</f>
        <v>0.0035868055555532408</v>
      </c>
      <c r="S978" s="75">
        <f>0.5*(Q977+Q978)*R978</f>
        <v>0.04178220707959962</v>
      </c>
      <c r="T978" s="75">
        <f>0.5*(F977*Q977+F978*Q978)*R978</f>
        <v>0.9531169527677621</v>
      </c>
      <c r="U978" s="76">
        <f>U977+S978</f>
        <v>79.14966732991888</v>
      </c>
      <c r="V978" s="76">
        <f>V977+T978</f>
        <v>1275.4240377160077</v>
      </c>
    </row>
    <row r="979" spans="1:22" ht="19" customHeight="1">
      <c r="A979" s="68" t="s">
        <v>362</v>
      </c>
      <c r="B979" s="74">
        <v>5</v>
      </c>
      <c r="C979" s="68" t="s">
        <v>363</v>
      </c>
      <c r="D979" s="68" t="s">
        <v>365</v>
      </c>
      <c r="E979" s="75">
        <f>60*F979*'THAM_SO_MOI'!$C$53/(2*PI()*'THAM_SO_MOI'!$C$26)</f>
        <v>2248.0681052631576</v>
      </c>
      <c r="F979" s="75">
        <f>'THAM_SO_MOI'!$C$14+('THAM_SO_MOI'!$C$37-'THAM_SO_MOI'!$C$14)*172/'THAM_SO_MOI'!$C$42</f>
        <v>22.816930555555555</v>
      </c>
      <c r="G979" s="75">
        <f>3.6*F979</f>
        <v>82.14095</v>
      </c>
      <c r="H979" s="75">
        <f>'THAM_SO_MOI'!$D$53</f>
        <v>1.1</v>
      </c>
      <c r="I979" s="75">
        <f>IF(F979&gt;='THAM_SO_MOI'!$C$14,'THAM_SO_MOI'!$C$13*(1+F979^2/1500),'THAM_SO_MOI'!$C$13)</f>
        <v>0.020206123199770446</v>
      </c>
      <c r="J979" s="75">
        <f>'THAM_SO_MOI'!$C$40*('THAM_SO_MOI'!$C$23*(E979/'THAM_SO_MOI'!$C$22)+'THAM_SO_MOI'!$C$24*(E979/'THAM_SO_MOI'!$C$22)^2-'THAM_SO_MOI'!$C$25*(E979/'THAM_SO_MOI'!$C$22)^3)</f>
        <v>101.16508841393551</v>
      </c>
      <c r="K979" s="75">
        <f>'THAM_SO_MOI'!$C$31*J979/E979</f>
        <v>429.80802468919035</v>
      </c>
      <c r="L979" s="75">
        <f>K979*'THAM_SO_MOI'!$C$53*'THAM_SO_MOI'!$C$17/'THAM_SO_MOI'!$C$26</f>
        <v>3769.4180583494863</v>
      </c>
      <c r="M979" s="75">
        <f>'THAM_SO_MOI'!$C$15*'THAM_SO_MOI'!$C$16*F979^2</f>
        <v>1522.791035932856</v>
      </c>
      <c r="N979" s="75">
        <f>'THAM_SO_MOI'!$C$12*I979</f>
        <v>1522.3454867692653</v>
      </c>
      <c r="O979" s="75">
        <f>M979+N979</f>
        <v>3045.1365227021215</v>
      </c>
      <c r="P979" s="75">
        <f>(MIN(L979,'THAM_SO_MOI'!$C$41)-O979)/('THAM_SO_MOI'!$C$11*H979)</f>
        <v>0.08573408329159148</v>
      </c>
      <c r="Q979" s="75">
        <f>IF(P979&gt;0,1/P979,NA())</f>
        <v>11.663972618671211</v>
      </c>
      <c r="R979" s="75">
        <f>F979-F978</f>
        <v>0.0035868055555567935</v>
      </c>
      <c r="S979" s="75">
        <f>0.5*(Q978+Q979)*R979</f>
        <v>0.04181832455235717</v>
      </c>
      <c r="T979" s="75">
        <f>0.5*(F978*Q978+F979*Q979)*R979</f>
        <v>0.9540908425811686</v>
      </c>
      <c r="U979" s="76">
        <f>U978+S979</f>
        <v>79.19148565447124</v>
      </c>
      <c r="V979" s="76">
        <f>V978+T979</f>
        <v>1276.3781285585887</v>
      </c>
    </row>
    <row r="980" spans="1:22" ht="19" customHeight="1">
      <c r="A980" s="68" t="s">
        <v>362</v>
      </c>
      <c r="B980" s="74">
        <v>5</v>
      </c>
      <c r="C980" s="68" t="s">
        <v>363</v>
      </c>
      <c r="D980" s="68" t="s">
        <v>365</v>
      </c>
      <c r="E980" s="75">
        <f>60*F980*'THAM_SO_MOI'!$C$53/(2*PI()*'THAM_SO_MOI'!$C$26)</f>
        <v>2248.4214999999995</v>
      </c>
      <c r="F980" s="75">
        <f>'THAM_SO_MOI'!$C$14+('THAM_SO_MOI'!$C$37-'THAM_SO_MOI'!$C$14)*173/'THAM_SO_MOI'!$C$42</f>
        <v>22.82051736111111</v>
      </c>
      <c r="G980" s="75">
        <f>3.6*F980</f>
        <v>82.1538625</v>
      </c>
      <c r="H980" s="75">
        <f>'THAM_SO_MOI'!$D$53</f>
        <v>1.1</v>
      </c>
      <c r="I980" s="75">
        <f>IF(F980&gt;='THAM_SO_MOI'!$C$14,'THAM_SO_MOI'!$C$13*(1+F980^2/1500),'THAM_SO_MOI'!$C$13)</f>
        <v>0.020207760126287735</v>
      </c>
      <c r="J980" s="75">
        <f>'THAM_SO_MOI'!$C$40*('THAM_SO_MOI'!$C$23*(E980/'THAM_SO_MOI'!$C$22)+'THAM_SO_MOI'!$C$24*(E980/'THAM_SO_MOI'!$C$22)^2-'THAM_SO_MOI'!$C$25*(E980/'THAM_SO_MOI'!$C$22)^3)</f>
        <v>101.18033308460649</v>
      </c>
      <c r="K980" s="75">
        <f>'THAM_SO_MOI'!$C$31*J980/E980</f>
        <v>429.80522781837027</v>
      </c>
      <c r="L980" s="75">
        <f>K980*'THAM_SO_MOI'!$C$53*'THAM_SO_MOI'!$C$17/'THAM_SO_MOI'!$C$26</f>
        <v>3769.3935297814496</v>
      </c>
      <c r="M980" s="75">
        <f>'THAM_SO_MOI'!$C$15*'THAM_SO_MOI'!$C$16*F980^2</f>
        <v>1523.269836939163</v>
      </c>
      <c r="N980" s="75">
        <f>'THAM_SO_MOI'!$C$12*I980</f>
        <v>1522.468814122619</v>
      </c>
      <c r="O980" s="75">
        <f>M980+N980</f>
        <v>3045.738651061782</v>
      </c>
      <c r="P980" s="75">
        <f>(MIN(L980,'THAM_SO_MOI'!$C$41)-O980)/('THAM_SO_MOI'!$C$11*H980)</f>
        <v>0.08565990515147583</v>
      </c>
      <c r="Q980" s="75">
        <f>IF(P980&gt;0,1/P980,NA())</f>
        <v>11.67407316447129</v>
      </c>
      <c r="R980" s="75">
        <f>F980-F979</f>
        <v>0.0035868055555567935</v>
      </c>
      <c r="S980" s="75">
        <f>0.5*(Q979+Q980)*R980</f>
        <v>0.04185451613540716</v>
      </c>
      <c r="T980" s="75">
        <f>0.5*(F979*Q979+F980*Q980)*R980</f>
        <v>0.9550666825897844</v>
      </c>
      <c r="U980" s="76">
        <f>U979+S980</f>
        <v>79.23334017060664</v>
      </c>
      <c r="V980" s="76">
        <f>V979+T980</f>
        <v>1277.3331952411786</v>
      </c>
    </row>
    <row r="981" spans="1:22" ht="19" customHeight="1">
      <c r="A981" s="68" t="s">
        <v>362</v>
      </c>
      <c r="B981" s="74">
        <v>5</v>
      </c>
      <c r="C981" s="68" t="s">
        <v>363</v>
      </c>
      <c r="D981" s="68" t="s">
        <v>365</v>
      </c>
      <c r="E981" s="75">
        <f>60*F981*'THAM_SO_MOI'!$C$53/(2*PI()*'THAM_SO_MOI'!$C$26)</f>
        <v>2248.774894736842</v>
      </c>
      <c r="F981" s="75">
        <f>'THAM_SO_MOI'!$C$14+('THAM_SO_MOI'!$C$37-'THAM_SO_MOI'!$C$14)*174/'THAM_SO_MOI'!$C$42</f>
        <v>22.824104166666665</v>
      </c>
      <c r="G981" s="75">
        <f>3.6*F981</f>
        <v>82.166775</v>
      </c>
      <c r="H981" s="75">
        <f>'THAM_SO_MOI'!$D$53</f>
        <v>1.1</v>
      </c>
      <c r="I981" s="75">
        <f>IF(F981&gt;='THAM_SO_MOI'!$C$14,'THAM_SO_MOI'!$C$13*(1+F981^2/1500),'THAM_SO_MOI'!$C$13)</f>
        <v>0.020209397310108505</v>
      </c>
      <c r="J981" s="75">
        <f>'THAM_SO_MOI'!$C$40*('THAM_SO_MOI'!$C$23*(E981/'THAM_SO_MOI'!$C$22)+'THAM_SO_MOI'!$C$24*(E981/'THAM_SO_MOI'!$C$22)^2-'THAM_SO_MOI'!$C$25*(E981/'THAM_SO_MOI'!$C$22)^3)</f>
        <v>101.19557469563769</v>
      </c>
      <c r="K981" s="75">
        <f>'THAM_SO_MOI'!$C$31*J981/E981</f>
        <v>429.80241883156566</v>
      </c>
      <c r="L981" s="75">
        <f>K981*'THAM_SO_MOI'!$C$53*'THAM_SO_MOI'!$C$17/'THAM_SO_MOI'!$C$26</f>
        <v>3769.3688949561815</v>
      </c>
      <c r="M981" s="75">
        <f>'THAM_SO_MOI'!$C$15*'THAM_SO_MOI'!$C$16*F981^2</f>
        <v>1523.748713206738</v>
      </c>
      <c r="N981" s="75">
        <f>'THAM_SO_MOI'!$C$12*I981</f>
        <v>1522.5921608614228</v>
      </c>
      <c r="O981" s="75">
        <f>M981+N981</f>
        <v>3046.3408740681607</v>
      </c>
      <c r="P981" s="75">
        <f>(MIN(L981,'THAM_SO_MOI'!$C$41)-O981)/('THAM_SO_MOI'!$C$11*H981)</f>
        <v>0.08558570323011608</v>
      </c>
      <c r="Q981" s="75">
        <f>IF(P981&gt;0,1/P981,NA())</f>
        <v>11.684194465415317</v>
      </c>
      <c r="R981" s="75">
        <f>F981-F980</f>
        <v>0.0035868055555532408</v>
      </c>
      <c r="S981" s="75">
        <f>0.5*(Q980+Q981)*R981</f>
        <v>0.04189078205148835</v>
      </c>
      <c r="T981" s="75">
        <f>0.5*(F980*Q980+F981*Q981)*R981</f>
        <v>0.9560444786744808</v>
      </c>
      <c r="U981" s="76">
        <f>U980+S981</f>
        <v>79.27523095265812</v>
      </c>
      <c r="V981" s="76">
        <f>V980+T981</f>
        <v>1278.2892397198532</v>
      </c>
    </row>
    <row r="982" spans="1:22" ht="19" customHeight="1">
      <c r="A982" s="68" t="s">
        <v>362</v>
      </c>
      <c r="B982" s="74">
        <v>5</v>
      </c>
      <c r="C982" s="68" t="s">
        <v>363</v>
      </c>
      <c r="D982" s="68" t="s">
        <v>365</v>
      </c>
      <c r="E982" s="75">
        <f>60*F982*'THAM_SO_MOI'!$C$53/(2*PI()*'THAM_SO_MOI'!$C$26)</f>
        <v>2249.1282894736837</v>
      </c>
      <c r="F982" s="75">
        <f>'THAM_SO_MOI'!$C$14+('THAM_SO_MOI'!$C$37-'THAM_SO_MOI'!$C$14)*175/'THAM_SO_MOI'!$C$42</f>
        <v>22.82769097222222</v>
      </c>
      <c r="G982" s="75">
        <f>3.6*F982</f>
        <v>82.1796875</v>
      </c>
      <c r="H982" s="75">
        <f>'THAM_SO_MOI'!$D$53</f>
        <v>1.1</v>
      </c>
      <c r="I982" s="75">
        <f>IF(F982&gt;='THAM_SO_MOI'!$C$14,'THAM_SO_MOI'!$C$13*(1+F982^2/1500),'THAM_SO_MOI'!$C$13)</f>
        <v>0.020211034751232756</v>
      </c>
      <c r="J982" s="75">
        <f>'THAM_SO_MOI'!$C$40*('THAM_SO_MOI'!$C$23*(E982/'THAM_SO_MOI'!$C$22)+'THAM_SO_MOI'!$C$24*(E982/'THAM_SO_MOI'!$C$22)^2-'THAM_SO_MOI'!$C$25*(E982/'THAM_SO_MOI'!$C$22)^3)</f>
        <v>101.21081324568425</v>
      </c>
      <c r="K982" s="75">
        <f>'THAM_SO_MOI'!$C$31*J982/E982</f>
        <v>429.7995977287768</v>
      </c>
      <c r="L982" s="75">
        <f>K982*'THAM_SO_MOI'!$C$53*'THAM_SO_MOI'!$C$17/'THAM_SO_MOI'!$C$26</f>
        <v>3769.3441538736843</v>
      </c>
      <c r="M982" s="75">
        <f>'THAM_SO_MOI'!$C$15*'THAM_SO_MOI'!$C$16*F982^2</f>
        <v>1524.227664735582</v>
      </c>
      <c r="N982" s="75">
        <f>'THAM_SO_MOI'!$C$12*I982</f>
        <v>1522.715526985677</v>
      </c>
      <c r="O982" s="75">
        <f>M982+N982</f>
        <v>3046.9431917212587</v>
      </c>
      <c r="P982" s="75">
        <f>(MIN(L982,'THAM_SO_MOI'!$C$41)-O982)/('THAM_SO_MOI'!$C$11*H982)</f>
        <v>0.08551147752751247</v>
      </c>
      <c r="Q982" s="75">
        <f>IF(P982&gt;0,1/P982,NA())</f>
        <v>11.69433658397798</v>
      </c>
      <c r="R982" s="75">
        <f>F982-F981</f>
        <v>0.0035868055555567935</v>
      </c>
      <c r="S982" s="75">
        <f>0.5*(Q981+Q982)*R982</f>
        <v>0.041927122524360434</v>
      </c>
      <c r="T982" s="75">
        <f>0.5*(F981*Q981+F982*Q982)*R982</f>
        <v>0.9570242367426286</v>
      </c>
      <c r="U982" s="76">
        <f>U981+S982</f>
        <v>79.31715807518248</v>
      </c>
      <c r="V982" s="76">
        <f>V981+T982</f>
        <v>1279.2462639565958</v>
      </c>
    </row>
    <row r="983" spans="1:22" ht="19" customHeight="1">
      <c r="A983" s="68" t="s">
        <v>362</v>
      </c>
      <c r="B983" s="74">
        <v>5</v>
      </c>
      <c r="C983" s="68" t="s">
        <v>363</v>
      </c>
      <c r="D983" s="68" t="s">
        <v>365</v>
      </c>
      <c r="E983" s="75">
        <f>60*F983*'THAM_SO_MOI'!$C$53/(2*PI()*'THAM_SO_MOI'!$C$26)</f>
        <v>2249.481684210526</v>
      </c>
      <c r="F983" s="75">
        <f>'THAM_SO_MOI'!$C$14+('THAM_SO_MOI'!$C$37-'THAM_SO_MOI'!$C$14)*176/'THAM_SO_MOI'!$C$42</f>
        <v>22.83127777777778</v>
      </c>
      <c r="G983" s="75">
        <f>3.6*F983</f>
        <v>82.1926</v>
      </c>
      <c r="H983" s="75">
        <f>'THAM_SO_MOI'!$D$53</f>
        <v>1.1</v>
      </c>
      <c r="I983" s="75">
        <f>IF(F983&gt;='THAM_SO_MOI'!$C$14,'THAM_SO_MOI'!$C$13*(1+F983^2/1500),'THAM_SO_MOI'!$C$13)</f>
        <v>0.020212672449660494</v>
      </c>
      <c r="J983" s="75">
        <f>'THAM_SO_MOI'!$C$40*('THAM_SO_MOI'!$C$23*(E983/'THAM_SO_MOI'!$C$22)+'THAM_SO_MOI'!$C$24*(E983/'THAM_SO_MOI'!$C$22)^2-'THAM_SO_MOI'!$C$25*(E983/'THAM_SO_MOI'!$C$22)^3)</f>
        <v>101.22604873340126</v>
      </c>
      <c r="K983" s="75">
        <f>'THAM_SO_MOI'!$C$31*J983/E983</f>
        <v>429.79676451000347</v>
      </c>
      <c r="L983" s="75">
        <f>K983*'THAM_SO_MOI'!$C$53*'THAM_SO_MOI'!$C$17/'THAM_SO_MOI'!$C$26</f>
        <v>3769.319306533956</v>
      </c>
      <c r="M983" s="75">
        <f>'THAM_SO_MOI'!$C$15*'THAM_SO_MOI'!$C$16*F983^2</f>
        <v>1524.7066915256946</v>
      </c>
      <c r="N983" s="75">
        <f>'THAM_SO_MOI'!$C$12*I983</f>
        <v>1522.8389124953815</v>
      </c>
      <c r="O983" s="75">
        <f>M983+N983</f>
        <v>3047.545604021076</v>
      </c>
      <c r="P983" s="75">
        <f>(MIN(L983,'THAM_SO_MOI'!$C$41)-O983)/('THAM_SO_MOI'!$C$11*H983)</f>
        <v>0.08543722804366477</v>
      </c>
      <c r="Q983" s="75">
        <f>IF(P983&gt;0,1/P983,NA())</f>
        <v>11.704499582885878</v>
      </c>
      <c r="R983" s="75">
        <f>F983-F982</f>
        <v>0.0035868055555567935</v>
      </c>
      <c r="S983" s="75">
        <f>0.5*(Q982+Q983)*R983</f>
        <v>0.041963537778435256</v>
      </c>
      <c r="T983" s="75">
        <f>0.5*(F982*Q982+F983*Q983)*R983</f>
        <v>0.9580059627196976</v>
      </c>
      <c r="U983" s="76">
        <f>U982+S983</f>
        <v>79.3591216129609</v>
      </c>
      <c r="V983" s="76">
        <f>V982+T983</f>
        <v>1280.2042699193155</v>
      </c>
    </row>
    <row r="984" spans="1:22" ht="19" customHeight="1">
      <c r="A984" s="68" t="s">
        <v>362</v>
      </c>
      <c r="B984" s="74">
        <v>5</v>
      </c>
      <c r="C984" s="68" t="s">
        <v>363</v>
      </c>
      <c r="D984" s="68" t="s">
        <v>365</v>
      </c>
      <c r="E984" s="75">
        <f>60*F984*'THAM_SO_MOI'!$C$53/(2*PI()*'THAM_SO_MOI'!$C$26)</f>
        <v>2249.8350789473675</v>
      </c>
      <c r="F984" s="75">
        <f>'THAM_SO_MOI'!$C$14+('THAM_SO_MOI'!$C$37-'THAM_SO_MOI'!$C$14)*177/'THAM_SO_MOI'!$C$42</f>
        <v>22.83486458333333</v>
      </c>
      <c r="G984" s="75">
        <f>3.6*F984</f>
        <v>82.2055125</v>
      </c>
      <c r="H984" s="75">
        <f>'THAM_SO_MOI'!$D$53</f>
        <v>1.1</v>
      </c>
      <c r="I984" s="75">
        <f>IF(F984&gt;='THAM_SO_MOI'!$C$14,'THAM_SO_MOI'!$C$13*(1+F984^2/1500),'THAM_SO_MOI'!$C$13)</f>
        <v>0.02021431040539171</v>
      </c>
      <c r="J984" s="75">
        <f>'THAM_SO_MOI'!$C$40*('THAM_SO_MOI'!$C$23*(E984/'THAM_SO_MOI'!$C$22)+'THAM_SO_MOI'!$C$24*(E984/'THAM_SO_MOI'!$C$22)^2-'THAM_SO_MOI'!$C$25*(E984/'THAM_SO_MOI'!$C$22)^3)</f>
        <v>101.24128115744377</v>
      </c>
      <c r="K984" s="75">
        <f>'THAM_SO_MOI'!$C$31*J984/E984</f>
        <v>429.7939191752456</v>
      </c>
      <c r="L984" s="75">
        <f>K984*'THAM_SO_MOI'!$C$53*'THAM_SO_MOI'!$C$17/'THAM_SO_MOI'!$C$26</f>
        <v>3769.2943529369954</v>
      </c>
      <c r="M984" s="75">
        <f>'THAM_SO_MOI'!$C$15*'THAM_SO_MOI'!$C$16*F984^2</f>
        <v>1525.185793577075</v>
      </c>
      <c r="N984" s="75">
        <f>'THAM_SO_MOI'!$C$12*I984</f>
        <v>1522.9623173905356</v>
      </c>
      <c r="O984" s="75">
        <f>M984+N984</f>
        <v>3048.1481109676106</v>
      </c>
      <c r="P984" s="75">
        <f>(MIN(L984,'THAM_SO_MOI'!$C$41)-O984)/('THAM_SO_MOI'!$C$11*H984)</f>
        <v>0.08536295477857302</v>
      </c>
      <c r="Q984" s="75">
        <f>IF(P984&gt;0,1/P984,NA())</f>
        <v>11.714683525118678</v>
      </c>
      <c r="R984" s="75">
        <f>F984-F983</f>
        <v>0.0035868055555532408</v>
      </c>
      <c r="S984" s="75">
        <f>0.5*(Q983+Q984)*R984</f>
        <v>0.04200002803915468</v>
      </c>
      <c r="T984" s="75">
        <f>0.5*(F983*Q983+F984*Q984)*R984</f>
        <v>0.9589896625578954</v>
      </c>
      <c r="U984" s="76">
        <f>U983+S984</f>
        <v>79.40112164100006</v>
      </c>
      <c r="V984" s="76">
        <f>V983+T984</f>
        <v>1281.1632595818735</v>
      </c>
    </row>
    <row r="985" spans="1:22" ht="19" customHeight="1">
      <c r="A985" s="68" t="s">
        <v>362</v>
      </c>
      <c r="B985" s="74">
        <v>5</v>
      </c>
      <c r="C985" s="68" t="s">
        <v>363</v>
      </c>
      <c r="D985" s="68" t="s">
        <v>365</v>
      </c>
      <c r="E985" s="75">
        <f>60*F985*'THAM_SO_MOI'!$C$53/(2*PI()*'THAM_SO_MOI'!$C$26)</f>
        <v>2250.1884736842103</v>
      </c>
      <c r="F985" s="75">
        <f>'THAM_SO_MOI'!$C$14+('THAM_SO_MOI'!$C$37-'THAM_SO_MOI'!$C$14)*178/'THAM_SO_MOI'!$C$42</f>
        <v>22.83845138888889</v>
      </c>
      <c r="G985" s="75">
        <f>3.6*F985</f>
        <v>82.218425</v>
      </c>
      <c r="H985" s="75">
        <f>'THAM_SO_MOI'!$D$53</f>
        <v>1.1</v>
      </c>
      <c r="I985" s="75">
        <f>IF(F985&gt;='THAM_SO_MOI'!$C$14,'THAM_SO_MOI'!$C$13*(1+F985^2/1500),'THAM_SO_MOI'!$C$13)</f>
        <v>0.020215948618426408</v>
      </c>
      <c r="J985" s="75">
        <f>'THAM_SO_MOI'!$C$40*('THAM_SO_MOI'!$C$23*(E985/'THAM_SO_MOI'!$C$22)+'THAM_SO_MOI'!$C$24*(E985/'THAM_SO_MOI'!$C$22)^2-'THAM_SO_MOI'!$C$25*(E985/'THAM_SO_MOI'!$C$22)^3)</f>
        <v>101.256510516467</v>
      </c>
      <c r="K985" s="75">
        <f>'THAM_SO_MOI'!$C$31*J985/E985</f>
        <v>429.7910617245033</v>
      </c>
      <c r="L985" s="75">
        <f>K985*'THAM_SO_MOI'!$C$53*'THAM_SO_MOI'!$C$17/'THAM_SO_MOI'!$C$26</f>
        <v>3769.269293082805</v>
      </c>
      <c r="M985" s="75">
        <f>'THAM_SO_MOI'!$C$15*'THAM_SO_MOI'!$C$16*F985^2</f>
        <v>1525.6649708897244</v>
      </c>
      <c r="N985" s="75">
        <f>'THAM_SO_MOI'!$C$12*I985</f>
        <v>1523.0857416711403</v>
      </c>
      <c r="O985" s="75">
        <f>M985+N985</f>
        <v>3048.7507125608645</v>
      </c>
      <c r="P985" s="75">
        <f>(MIN(L985,'THAM_SO_MOI'!$C$41)-O985)/('THAM_SO_MOI'!$C$11*H985)</f>
        <v>0.08528865773223722</v>
      </c>
      <c r="Q985" s="75">
        <f>IF(P985&gt;0,1/P985,NA())</f>
        <v>11.724888473910433</v>
      </c>
      <c r="R985" s="75">
        <f>F985-F984</f>
        <v>0.0035868055555567935</v>
      </c>
      <c r="S985" s="75">
        <f>0.5*(Q984+Q985)*R985</f>
        <v>0.04203659353299554</v>
      </c>
      <c r="T985" s="75">
        <f>0.5*(F984*Q984+F985*Q985)*R985</f>
        <v>0.9599753422362999</v>
      </c>
      <c r="U985" s="76">
        <f>U984+S985</f>
        <v>79.44315823453306</v>
      </c>
      <c r="V985" s="76">
        <f>V984+T985</f>
        <v>1282.1232349241097</v>
      </c>
    </row>
    <row r="986" spans="1:22" ht="19" customHeight="1">
      <c r="A986" s="68" t="s">
        <v>362</v>
      </c>
      <c r="B986" s="74">
        <v>5</v>
      </c>
      <c r="C986" s="68" t="s">
        <v>363</v>
      </c>
      <c r="D986" s="68" t="s">
        <v>365</v>
      </c>
      <c r="E986" s="75">
        <f>60*F986*'THAM_SO_MOI'!$C$53/(2*PI()*'THAM_SO_MOI'!$C$26)</f>
        <v>2250.541868421052</v>
      </c>
      <c r="F986" s="75">
        <f>'THAM_SO_MOI'!$C$14+('THAM_SO_MOI'!$C$37-'THAM_SO_MOI'!$C$14)*179/'THAM_SO_MOI'!$C$42</f>
        <v>22.842038194444445</v>
      </c>
      <c r="G986" s="75">
        <f>3.6*F986</f>
        <v>82.23133750000001</v>
      </c>
      <c r="H986" s="75">
        <f>'THAM_SO_MOI'!$D$53</f>
        <v>1.1</v>
      </c>
      <c r="I986" s="75">
        <f>IF(F986&gt;='THAM_SO_MOI'!$C$14,'THAM_SO_MOI'!$C$13*(1+F986^2/1500),'THAM_SO_MOI'!$C$13)</f>
        <v>0.020217587088764588</v>
      </c>
      <c r="J986" s="75">
        <f>'THAM_SO_MOI'!$C$40*('THAM_SO_MOI'!$C$23*(E986/'THAM_SO_MOI'!$C$22)+'THAM_SO_MOI'!$C$24*(E986/'THAM_SO_MOI'!$C$22)^2-'THAM_SO_MOI'!$C$25*(E986/'THAM_SO_MOI'!$C$22)^3)</f>
        <v>101.27173680912597</v>
      </c>
      <c r="K986" s="75">
        <f>'THAM_SO_MOI'!$C$31*J986/E986</f>
        <v>429.7881921577765</v>
      </c>
      <c r="L986" s="75">
        <f>K986*'THAM_SO_MOI'!$C$53*'THAM_SO_MOI'!$C$17/'THAM_SO_MOI'!$C$26</f>
        <v>3769.2441269713822</v>
      </c>
      <c r="M986" s="75">
        <f>'THAM_SO_MOI'!$C$15*'THAM_SO_MOI'!$C$16*F986^2</f>
        <v>1526.1442234636422</v>
      </c>
      <c r="N986" s="75">
        <f>'THAM_SO_MOI'!$C$12*I986</f>
        <v>1523.209185337195</v>
      </c>
      <c r="O986" s="75">
        <f>M986+N986</f>
        <v>3049.3534088008373</v>
      </c>
      <c r="P986" s="75">
        <f>(MIN(L986,'THAM_SO_MOI'!$C$41)-O986)/('THAM_SO_MOI'!$C$11*H986)</f>
        <v>0.08521433690465734</v>
      </c>
      <c r="Q986" s="75">
        <f>IF(P986&gt;0,1/P986,NA())</f>
        <v>11.735114492750874</v>
      </c>
      <c r="R986" s="75">
        <f>F986-F985</f>
        <v>0.0035868055555567935</v>
      </c>
      <c r="S986" s="75">
        <f>0.5*(Q985+Q986)*R986</f>
        <v>0.04207323448709981</v>
      </c>
      <c r="T986" s="75">
        <f>0.5*(F985*Q985+F986*Q986)*R986</f>
        <v>0.9609630077524302</v>
      </c>
      <c r="U986" s="76">
        <f>U985+S986</f>
        <v>79.48523146902016</v>
      </c>
      <c r="V986" s="76">
        <f>V985+T986</f>
        <v>1283.0841979318623</v>
      </c>
    </row>
    <row r="987" spans="1:22" ht="19" customHeight="1">
      <c r="A987" s="68" t="s">
        <v>362</v>
      </c>
      <c r="B987" s="74">
        <v>5</v>
      </c>
      <c r="C987" s="68" t="s">
        <v>363</v>
      </c>
      <c r="D987" s="68" t="s">
        <v>365</v>
      </c>
      <c r="E987" s="75">
        <f>60*F987*'THAM_SO_MOI'!$C$53/(2*PI()*'THAM_SO_MOI'!$C$26)</f>
        <v>2250.895263157894</v>
      </c>
      <c r="F987" s="75">
        <f>'THAM_SO_MOI'!$C$14+('THAM_SO_MOI'!$C$37-'THAM_SO_MOI'!$C$14)*180/'THAM_SO_MOI'!$C$42</f>
        <v>22.845625</v>
      </c>
      <c r="G987" s="75">
        <f>3.6*F987</f>
        <v>82.24425</v>
      </c>
      <c r="H987" s="75">
        <f>'THAM_SO_MOI'!$D$53</f>
        <v>1.1</v>
      </c>
      <c r="I987" s="75">
        <f>IF(F987&gt;='THAM_SO_MOI'!$C$14,'THAM_SO_MOI'!$C$13*(1+F987^2/1500),'THAM_SO_MOI'!$C$13)</f>
        <v>0.02021922581640625</v>
      </c>
      <c r="J987" s="75">
        <f>'THAM_SO_MOI'!$C$40*('THAM_SO_MOI'!$C$23*(E987/'THAM_SO_MOI'!$C$22)+'THAM_SO_MOI'!$C$24*(E987/'THAM_SO_MOI'!$C$22)^2-'THAM_SO_MOI'!$C$25*(E987/'THAM_SO_MOI'!$C$22)^3)</f>
        <v>101.2869600340758</v>
      </c>
      <c r="K987" s="75">
        <f>'THAM_SO_MOI'!$C$31*J987/E987</f>
        <v>429.7853104750653</v>
      </c>
      <c r="L987" s="75">
        <f>K987*'THAM_SO_MOI'!$C$53*'THAM_SO_MOI'!$C$17/'THAM_SO_MOI'!$C$26</f>
        <v>3769.218854602729</v>
      </c>
      <c r="M987" s="75">
        <f>'THAM_SO_MOI'!$C$15*'THAM_SO_MOI'!$C$16*F987^2</f>
        <v>1526.623551298828</v>
      </c>
      <c r="N987" s="75">
        <f>'THAM_SO_MOI'!$C$12*I987</f>
        <v>1523.3326483887</v>
      </c>
      <c r="O987" s="75">
        <f>M987+N987</f>
        <v>3049.956199687528</v>
      </c>
      <c r="P987" s="75">
        <f>(MIN(L987,'THAM_SO_MOI'!$C$41)-O987)/('THAM_SO_MOI'!$C$11*H987)</f>
        <v>0.08513999229583351</v>
      </c>
      <c r="Q987" s="75">
        <f>IF(P987&gt;0,1/P987,NA())</f>
        <v>11.745361645386676</v>
      </c>
      <c r="R987" s="75">
        <f>F987-F986</f>
        <v>0.0035868055555532408</v>
      </c>
      <c r="S987" s="75">
        <f>0.5*(Q986+Q987)*R987</f>
        <v>0.04210995112965354</v>
      </c>
      <c r="T987" s="75">
        <f>0.5*(F986*Q986+F987*Q987)*R987</f>
        <v>0.9619526651309136</v>
      </c>
      <c r="U987" s="76">
        <f>U986+S987</f>
        <v>79.52734142014982</v>
      </c>
      <c r="V987" s="76">
        <f>V986+T987</f>
        <v>1284.0461505969931</v>
      </c>
    </row>
    <row r="988" spans="1:22" ht="19" customHeight="1">
      <c r="A988" s="68" t="s">
        <v>362</v>
      </c>
      <c r="B988" s="74">
        <v>5</v>
      </c>
      <c r="C988" s="68" t="s">
        <v>363</v>
      </c>
      <c r="D988" s="68" t="s">
        <v>365</v>
      </c>
      <c r="E988" s="75">
        <f>60*F988*'THAM_SO_MOI'!$C$53/(2*PI()*'THAM_SO_MOI'!$C$26)</f>
        <v>2251.2486578947364</v>
      </c>
      <c r="F988" s="75">
        <f>'THAM_SO_MOI'!$C$14+('THAM_SO_MOI'!$C$37-'THAM_SO_MOI'!$C$14)*181/'THAM_SO_MOI'!$C$42</f>
        <v>22.849211805555555</v>
      </c>
      <c r="G988" s="75">
        <f>3.6*F988</f>
        <v>82.2571625</v>
      </c>
      <c r="H988" s="75">
        <f>'THAM_SO_MOI'!$D$53</f>
        <v>1.1</v>
      </c>
      <c r="I988" s="75">
        <f>IF(F988&gt;='THAM_SO_MOI'!$C$14,'THAM_SO_MOI'!$C$13*(1+F988^2/1500),'THAM_SO_MOI'!$C$13)</f>
        <v>0.020220864801351393</v>
      </c>
      <c r="J988" s="75">
        <f>'THAM_SO_MOI'!$C$40*('THAM_SO_MOI'!$C$23*(E988/'THAM_SO_MOI'!$C$22)+'THAM_SO_MOI'!$C$24*(E988/'THAM_SO_MOI'!$C$22)^2-'THAM_SO_MOI'!$C$25*(E988/'THAM_SO_MOI'!$C$22)^3)</f>
        <v>101.30218018997168</v>
      </c>
      <c r="K988" s="75">
        <f>'THAM_SO_MOI'!$C$31*J988/E988</f>
        <v>429.7824166763696</v>
      </c>
      <c r="L988" s="75">
        <f>K988*'THAM_SO_MOI'!$C$53*'THAM_SO_MOI'!$C$17/'THAM_SO_MOI'!$C$26</f>
        <v>3769.193475976844</v>
      </c>
      <c r="M988" s="75">
        <f>'THAM_SO_MOI'!$C$15*'THAM_SO_MOI'!$C$16*F988^2</f>
        <v>1527.102954395283</v>
      </c>
      <c r="N988" s="75">
        <f>'THAM_SO_MOI'!$C$12*I988</f>
        <v>1523.456130825655</v>
      </c>
      <c r="O988" s="75">
        <f>M988+N988</f>
        <v>3050.559085220938</v>
      </c>
      <c r="P988" s="75">
        <f>(MIN(L988,'THAM_SO_MOI'!$C$41)-O988)/('THAM_SO_MOI'!$C$11*H988)</f>
        <v>0.08506562390576539</v>
      </c>
      <c r="Q988" s="75">
        <f>IF(P988&gt;0,1/P988,NA())</f>
        <v>11.75562999582284</v>
      </c>
      <c r="R988" s="75">
        <f>F988-F987</f>
        <v>0.0035868055555567935</v>
      </c>
      <c r="S988" s="75">
        <f>0.5*(Q987+Q988)*R988</f>
        <v>0.04214674368989203</v>
      </c>
      <c r="T988" s="75">
        <f>0.5*(F987*Q987+F988*Q988)*R988</f>
        <v>0.9629443204236264</v>
      </c>
      <c r="U988" s="76">
        <f>U987+S988</f>
        <v>79.56948816383972</v>
      </c>
      <c r="V988" s="76">
        <f>V987+T988</f>
        <v>1285.0090949174169</v>
      </c>
    </row>
    <row r="989" spans="1:22" ht="19" customHeight="1">
      <c r="A989" s="68" t="s">
        <v>362</v>
      </c>
      <c r="B989" s="74">
        <v>5</v>
      </c>
      <c r="C989" s="68" t="s">
        <v>363</v>
      </c>
      <c r="D989" s="68" t="s">
        <v>365</v>
      </c>
      <c r="E989" s="75">
        <f>60*F989*'THAM_SO_MOI'!$C$53/(2*PI()*'THAM_SO_MOI'!$C$26)</f>
        <v>2251.6020526315788</v>
      </c>
      <c r="F989" s="75">
        <f>'THAM_SO_MOI'!$C$14+('THAM_SO_MOI'!$C$37-'THAM_SO_MOI'!$C$14)*182/'THAM_SO_MOI'!$C$42</f>
        <v>22.852798611111112</v>
      </c>
      <c r="G989" s="75">
        <f>3.6*F989</f>
        <v>82.270075</v>
      </c>
      <c r="H989" s="75">
        <f>'THAM_SO_MOI'!$D$53</f>
        <v>1.1</v>
      </c>
      <c r="I989" s="75">
        <f>IF(F989&gt;='THAM_SO_MOI'!$C$14,'THAM_SO_MOI'!$C$13*(1+F989^2/1500),'THAM_SO_MOI'!$C$13)</f>
        <v>0.020222504043600018</v>
      </c>
      <c r="J989" s="75">
        <f>'THAM_SO_MOI'!$C$40*('THAM_SO_MOI'!$C$23*(E989/'THAM_SO_MOI'!$C$22)+'THAM_SO_MOI'!$C$24*(E989/'THAM_SO_MOI'!$C$22)^2-'THAM_SO_MOI'!$C$25*(E989/'THAM_SO_MOI'!$C$22)^3)</f>
        <v>101.31739727546864</v>
      </c>
      <c r="K989" s="75">
        <f>'THAM_SO_MOI'!$C$31*J989/E989</f>
        <v>429.7795107616895</v>
      </c>
      <c r="L989" s="75">
        <f>K989*'THAM_SO_MOI'!$C$53*'THAM_SO_MOI'!$C$17/'THAM_SO_MOI'!$C$26</f>
        <v>3769.1679910937287</v>
      </c>
      <c r="M989" s="75">
        <f>'THAM_SO_MOI'!$C$15*'THAM_SO_MOI'!$C$16*F989^2</f>
        <v>1527.5824327530058</v>
      </c>
      <c r="N989" s="75">
        <f>'THAM_SO_MOI'!$C$12*I989</f>
        <v>1523.5796326480604</v>
      </c>
      <c r="O989" s="75">
        <f>M989+N989</f>
        <v>3051.1620654010662</v>
      </c>
      <c r="P989" s="75">
        <f>(MIN(L989,'THAM_SO_MOI'!$C$41)-O989)/('THAM_SO_MOI'!$C$11*H989)</f>
        <v>0.08499123173445342</v>
      </c>
      <c r="Q989" s="75">
        <f>IF(P989&gt;0,1/P989,NA())</f>
        <v>11.76591960832383</v>
      </c>
      <c r="R989" s="75">
        <f>F989-F988</f>
        <v>0.0035868055555567935</v>
      </c>
      <c r="S989" s="75">
        <f>0.5*(Q988+Q989)*R989</f>
        <v>0.04218361239772899</v>
      </c>
      <c r="T989" s="75">
        <f>0.5*(F988*Q988+F989*Q989)*R989</f>
        <v>0.9639379797012338</v>
      </c>
      <c r="U989" s="76">
        <f>U988+S989</f>
        <v>79.61167177623746</v>
      </c>
      <c r="V989" s="76">
        <f>V988+T989</f>
        <v>1285.9730328971182</v>
      </c>
    </row>
    <row r="990" spans="1:22" ht="19" customHeight="1">
      <c r="A990" s="68" t="s">
        <v>362</v>
      </c>
      <c r="B990" s="74">
        <v>5</v>
      </c>
      <c r="C990" s="68" t="s">
        <v>363</v>
      </c>
      <c r="D990" s="68" t="s">
        <v>365</v>
      </c>
      <c r="E990" s="75">
        <f>60*F990*'THAM_SO_MOI'!$C$53/(2*PI()*'THAM_SO_MOI'!$C$26)</f>
        <v>2251.95544736842</v>
      </c>
      <c r="F990" s="75">
        <f>'THAM_SO_MOI'!$C$14+('THAM_SO_MOI'!$C$37-'THAM_SO_MOI'!$C$14)*183/'THAM_SO_MOI'!$C$42</f>
        <v>22.856385416666665</v>
      </c>
      <c r="G990" s="75">
        <f>3.6*F990</f>
        <v>82.28298749999999</v>
      </c>
      <c r="H990" s="75">
        <f>'THAM_SO_MOI'!$D$53</f>
        <v>1.1</v>
      </c>
      <c r="I990" s="75">
        <f>IF(F990&gt;='THAM_SO_MOI'!$C$14,'THAM_SO_MOI'!$C$13*(1+F990^2/1500),'THAM_SO_MOI'!$C$13)</f>
        <v>0.020224143543152124</v>
      </c>
      <c r="J990" s="75">
        <f>'THAM_SO_MOI'!$C$40*('THAM_SO_MOI'!$C$23*(E990/'THAM_SO_MOI'!$C$22)+'THAM_SO_MOI'!$C$24*(E990/'THAM_SO_MOI'!$C$22)^2-'THAM_SO_MOI'!$C$25*(E990/'THAM_SO_MOI'!$C$22)^3)</f>
        <v>101.33261128922176</v>
      </c>
      <c r="K990" s="75">
        <f>'THAM_SO_MOI'!$C$31*J990/E990</f>
        <v>429.77659273102483</v>
      </c>
      <c r="L990" s="75">
        <f>K990*'THAM_SO_MOI'!$C$53*'THAM_SO_MOI'!$C$17/'THAM_SO_MOI'!$C$26</f>
        <v>3769.1423999533818</v>
      </c>
      <c r="M990" s="75">
        <f>'THAM_SO_MOI'!$C$15*'THAM_SO_MOI'!$C$16*F990^2</f>
        <v>1528.0619863719971</v>
      </c>
      <c r="N990" s="75">
        <f>'THAM_SO_MOI'!$C$12*I990</f>
        <v>1523.7031538559156</v>
      </c>
      <c r="O990" s="75">
        <f>M990+N990</f>
        <v>3051.7651402279125</v>
      </c>
      <c r="P990" s="75">
        <f>(MIN(L990,'THAM_SO_MOI'!$C$41)-O990)/('THAM_SO_MOI'!$C$11*H990)</f>
        <v>0.08491681578189737</v>
      </c>
      <c r="Q990" s="75">
        <f>IF(P990&gt;0,1/P990,NA())</f>
        <v>11.776230547415095</v>
      </c>
      <c r="R990" s="75">
        <f>F990-F989</f>
        <v>0.0035868055555532408</v>
      </c>
      <c r="S990" s="75">
        <f>0.5*(Q989+Q990)*R990</f>
        <v>0.04222055748413648</v>
      </c>
      <c r="T990" s="75">
        <f>0.5*(F989*Q989+F990*Q990)*R990</f>
        <v>0.964933649061889</v>
      </c>
      <c r="U990" s="76">
        <f>U989+S990</f>
        <v>79.6538923337216</v>
      </c>
      <c r="V990" s="76">
        <f>V989+T990</f>
        <v>1286.93796654618</v>
      </c>
    </row>
    <row r="991" spans="1:22" ht="19" customHeight="1">
      <c r="A991" s="68" t="s">
        <v>362</v>
      </c>
      <c r="B991" s="74">
        <v>5</v>
      </c>
      <c r="C991" s="68" t="s">
        <v>363</v>
      </c>
      <c r="D991" s="68" t="s">
        <v>365</v>
      </c>
      <c r="E991" s="75">
        <f>60*F991*'THAM_SO_MOI'!$C$53/(2*PI()*'THAM_SO_MOI'!$C$26)</f>
        <v>2252.3088421052626</v>
      </c>
      <c r="F991" s="75">
        <f>'THAM_SO_MOI'!$C$14+('THAM_SO_MOI'!$C$37-'THAM_SO_MOI'!$C$14)*184/'THAM_SO_MOI'!$C$42</f>
        <v>22.859972222222222</v>
      </c>
      <c r="G991" s="75">
        <f>3.6*F991</f>
        <v>82.2959</v>
      </c>
      <c r="H991" s="75">
        <f>'THAM_SO_MOI'!$D$53</f>
        <v>1.1</v>
      </c>
      <c r="I991" s="75">
        <f>IF(F991&gt;='THAM_SO_MOI'!$C$14,'THAM_SO_MOI'!$C$13*(1+F991^2/1500),'THAM_SO_MOI'!$C$13)</f>
        <v>0.020225783300007717</v>
      </c>
      <c r="J991" s="75">
        <f>'THAM_SO_MOI'!$C$40*('THAM_SO_MOI'!$C$23*(E991/'THAM_SO_MOI'!$C$22)+'THAM_SO_MOI'!$C$24*(E991/'THAM_SO_MOI'!$C$22)^2-'THAM_SO_MOI'!$C$25*(E991/'THAM_SO_MOI'!$C$22)^3)</f>
        <v>101.34782222988625</v>
      </c>
      <c r="K991" s="75">
        <f>'THAM_SO_MOI'!$C$31*J991/E991</f>
        <v>429.77366258437576</v>
      </c>
      <c r="L991" s="75">
        <f>K991*'THAM_SO_MOI'!$C$53*'THAM_SO_MOI'!$C$17/'THAM_SO_MOI'!$C$26</f>
        <v>3769.116702555804</v>
      </c>
      <c r="M991" s="75">
        <f>'THAM_SO_MOI'!$C$15*'THAM_SO_MOI'!$C$16*F991^2</f>
        <v>1528.541615252257</v>
      </c>
      <c r="N991" s="75">
        <f>'THAM_SO_MOI'!$C$12*I991</f>
        <v>1523.8266944492216</v>
      </c>
      <c r="O991" s="75">
        <f>M991+N991</f>
        <v>3052.3683097014787</v>
      </c>
      <c r="P991" s="75">
        <f>(MIN(L991,'THAM_SO_MOI'!$C$41)-O991)/('THAM_SO_MOI'!$C$11*H991)</f>
        <v>0.0848423760480972</v>
      </c>
      <c r="Q991" s="75">
        <f>IF(P991&gt;0,1/P991,NA())</f>
        <v>11.78656287788427</v>
      </c>
      <c r="R991" s="75">
        <f>F991-F990</f>
        <v>0.0035868055555567935</v>
      </c>
      <c r="S991" s="75">
        <f>0.5*(Q990+Q991)*R991</f>
        <v>0.042257579181150424</v>
      </c>
      <c r="T991" s="75">
        <f>0.5*(F990*Q990+F991*Q991)*R991</f>
        <v>0.9659313346313765</v>
      </c>
      <c r="U991" s="76">
        <f>U990+S991</f>
        <v>79.69614991290275</v>
      </c>
      <c r="V991" s="76">
        <f>V990+T991</f>
        <v>1287.9038978808114</v>
      </c>
    </row>
    <row r="992" spans="1:22" ht="19" customHeight="1">
      <c r="A992" s="68" t="s">
        <v>362</v>
      </c>
      <c r="B992" s="74">
        <v>5</v>
      </c>
      <c r="C992" s="68" t="s">
        <v>363</v>
      </c>
      <c r="D992" s="68" t="s">
        <v>365</v>
      </c>
      <c r="E992" s="75">
        <f>60*F992*'THAM_SO_MOI'!$C$53/(2*PI()*'THAM_SO_MOI'!$C$26)</f>
        <v>2252.6622368421044</v>
      </c>
      <c r="F992" s="75">
        <f>'THAM_SO_MOI'!$C$14+('THAM_SO_MOI'!$C$37-'THAM_SO_MOI'!$C$14)*185/'THAM_SO_MOI'!$C$42</f>
        <v>22.863559027777775</v>
      </c>
      <c r="G992" s="75">
        <f>3.6*F992</f>
        <v>82.30881249999999</v>
      </c>
      <c r="H992" s="75">
        <f>'THAM_SO_MOI'!$D$53</f>
        <v>1.1</v>
      </c>
      <c r="I992" s="75">
        <f>IF(F992&gt;='THAM_SO_MOI'!$C$14,'THAM_SO_MOI'!$C$13*(1+F992^2/1500),'THAM_SO_MOI'!$C$13)</f>
        <v>0.020227423314166784</v>
      </c>
      <c r="J992" s="75">
        <f>'THAM_SO_MOI'!$C$40*('THAM_SO_MOI'!$C$23*(E992/'THAM_SO_MOI'!$C$22)+'THAM_SO_MOI'!$C$24*(E992/'THAM_SO_MOI'!$C$22)^2-'THAM_SO_MOI'!$C$25*(E992/'THAM_SO_MOI'!$C$22)^3)</f>
        <v>101.36303009611716</v>
      </c>
      <c r="K992" s="75">
        <f>'THAM_SO_MOI'!$C$31*J992/E992</f>
        <v>429.77072032174226</v>
      </c>
      <c r="L992" s="75">
        <f>K992*'THAM_SO_MOI'!$C$53*'THAM_SO_MOI'!$C$17/'THAM_SO_MOI'!$C$26</f>
        <v>3769.0908989009954</v>
      </c>
      <c r="M992" s="75">
        <f>'THAM_SO_MOI'!$C$15*'THAM_SO_MOI'!$C$16*F992^2</f>
        <v>1529.021319393785</v>
      </c>
      <c r="N992" s="75">
        <f>'THAM_SO_MOI'!$C$12*I992</f>
        <v>1523.950254427977</v>
      </c>
      <c r="O992" s="75">
        <f>M992+N992</f>
        <v>3052.971573821762</v>
      </c>
      <c r="P992" s="75">
        <f>(MIN(L992,'THAM_SO_MOI'!$C$41)-O992)/('THAM_SO_MOI'!$C$11*H992)</f>
        <v>0.08476791253305323</v>
      </c>
      <c r="Q992" s="75">
        <f>IF(P992&gt;0,1/P992,NA())</f>
        <v>11.796916664782488</v>
      </c>
      <c r="R992" s="75">
        <f>F992-F991</f>
        <v>0.0035868055555532408</v>
      </c>
      <c r="S992" s="75">
        <f>0.5*(Q991+Q992)*R992</f>
        <v>0.04229467772145667</v>
      </c>
      <c r="T992" s="75">
        <f>0.5*(F991*Q991+F992*Q992)*R992</f>
        <v>0.9669310425536691</v>
      </c>
      <c r="U992" s="76">
        <f>U991+S992</f>
        <v>79.73844459062421</v>
      </c>
      <c r="V992" s="76">
        <f>V991+T992</f>
        <v>1288.870828923365</v>
      </c>
    </row>
    <row r="993" spans="1:22" ht="19" customHeight="1">
      <c r="A993" s="68" t="s">
        <v>362</v>
      </c>
      <c r="B993" s="74">
        <v>5</v>
      </c>
      <c r="C993" s="68" t="s">
        <v>363</v>
      </c>
      <c r="D993" s="68" t="s">
        <v>365</v>
      </c>
      <c r="E993" s="75">
        <f>60*F993*'THAM_SO_MOI'!$C$53/(2*PI()*'THAM_SO_MOI'!$C$26)</f>
        <v>2253.015631578947</v>
      </c>
      <c r="F993" s="75">
        <f>'THAM_SO_MOI'!$C$14+('THAM_SO_MOI'!$C$37-'THAM_SO_MOI'!$C$14)*186/'THAM_SO_MOI'!$C$42</f>
        <v>22.867145833333332</v>
      </c>
      <c r="G993" s="75">
        <f>3.6*F993</f>
        <v>82.321725</v>
      </c>
      <c r="H993" s="75">
        <f>'THAM_SO_MOI'!$D$53</f>
        <v>1.1</v>
      </c>
      <c r="I993" s="75">
        <f>IF(F993&gt;='THAM_SO_MOI'!$C$14,'THAM_SO_MOI'!$C$13*(1+F993^2/1500),'THAM_SO_MOI'!$C$13)</f>
        <v>0.02022906358562934</v>
      </c>
      <c r="J993" s="75">
        <f>'THAM_SO_MOI'!$C$40*('THAM_SO_MOI'!$C$23*(E993/'THAM_SO_MOI'!$C$22)+'THAM_SO_MOI'!$C$24*(E993/'THAM_SO_MOI'!$C$22)^2-'THAM_SO_MOI'!$C$25*(E993/'THAM_SO_MOI'!$C$22)^3)</f>
        <v>101.37823488656962</v>
      </c>
      <c r="K993" s="75">
        <f>'THAM_SO_MOI'!$C$31*J993/E993</f>
        <v>429.76776594312423</v>
      </c>
      <c r="L993" s="75">
        <f>K993*'THAM_SO_MOI'!$C$53*'THAM_SO_MOI'!$C$17/'THAM_SO_MOI'!$C$26</f>
        <v>3769.064988988954</v>
      </c>
      <c r="M993" s="75">
        <f>'THAM_SO_MOI'!$C$15*'THAM_SO_MOI'!$C$16*F993^2</f>
        <v>1529.5010987965818</v>
      </c>
      <c r="N993" s="75">
        <f>'THAM_SO_MOI'!$C$12*I993</f>
        <v>1524.073833792183</v>
      </c>
      <c r="O993" s="75">
        <f>M993+N993</f>
        <v>3053.5749325887646</v>
      </c>
      <c r="P993" s="75">
        <f>(MIN(L993,'THAM_SO_MOI'!$C$41)-O993)/('THAM_SO_MOI'!$C$11*H993)</f>
        <v>0.08469342523676482</v>
      </c>
      <c r="Q993" s="75">
        <f>IF(P993&gt;0,1/P993,NA())</f>
        <v>11.807291973425903</v>
      </c>
      <c r="R993" s="75">
        <f>F993-F992</f>
        <v>0.0035868055555567935</v>
      </c>
      <c r="S993" s="75">
        <f>0.5*(Q992+Q993)*R993</f>
        <v>0.042331853339023756</v>
      </c>
      <c r="T993" s="75">
        <f>0.5*(F992*Q992+F993*Q993)*R993</f>
        <v>0.9679327790054061</v>
      </c>
      <c r="U993" s="76">
        <f>U992+S993</f>
        <v>79.78077644396323</v>
      </c>
      <c r="V993" s="76">
        <f>V992+T993</f>
        <v>1289.8387617023704</v>
      </c>
    </row>
    <row r="994" spans="1:22" ht="19" customHeight="1">
      <c r="A994" s="68" t="s">
        <v>362</v>
      </c>
      <c r="B994" s="74">
        <v>5</v>
      </c>
      <c r="C994" s="68" t="s">
        <v>363</v>
      </c>
      <c r="D994" s="68" t="s">
        <v>365</v>
      </c>
      <c r="E994" s="75">
        <f>60*F994*'THAM_SO_MOI'!$C$53/(2*PI()*'THAM_SO_MOI'!$C$26)</f>
        <v>2253.369026315789</v>
      </c>
      <c r="F994" s="75">
        <f>'THAM_SO_MOI'!$C$14+('THAM_SO_MOI'!$C$37-'THAM_SO_MOI'!$C$14)*187/'THAM_SO_MOI'!$C$42</f>
        <v>22.87073263888889</v>
      </c>
      <c r="G994" s="75">
        <f>3.6*F994</f>
        <v>82.3346375</v>
      </c>
      <c r="H994" s="75">
        <f>'THAM_SO_MOI'!$D$53</f>
        <v>1.1</v>
      </c>
      <c r="I994" s="75">
        <f>IF(F994&gt;='THAM_SO_MOI'!$C$14,'THAM_SO_MOI'!$C$13*(1+F994^2/1500),'THAM_SO_MOI'!$C$13)</f>
        <v>0.020230704114395374</v>
      </c>
      <c r="J994" s="75">
        <f>'THAM_SO_MOI'!$C$40*('THAM_SO_MOI'!$C$23*(E994/'THAM_SO_MOI'!$C$22)+'THAM_SO_MOI'!$C$24*(E994/'THAM_SO_MOI'!$C$22)^2-'THAM_SO_MOI'!$C$25*(E994/'THAM_SO_MOI'!$C$22)^3)</f>
        <v>101.39343659989873</v>
      </c>
      <c r="K994" s="75">
        <f>'THAM_SO_MOI'!$C$31*J994/E994</f>
        <v>429.76479944852184</v>
      </c>
      <c r="L994" s="75">
        <f>K994*'THAM_SO_MOI'!$C$53*'THAM_SO_MOI'!$C$17/'THAM_SO_MOI'!$C$26</f>
        <v>3769.038972819684</v>
      </c>
      <c r="M994" s="75">
        <f>'THAM_SO_MOI'!$C$15*'THAM_SO_MOI'!$C$16*F994^2</f>
        <v>1529.9809534606475</v>
      </c>
      <c r="N994" s="75">
        <f>'THAM_SO_MOI'!$C$12*I994</f>
        <v>1524.1974325418391</v>
      </c>
      <c r="O994" s="75">
        <f>M994+N994</f>
        <v>3054.1783860024866</v>
      </c>
      <c r="P994" s="75">
        <f>(MIN(L994,'THAM_SO_MOI'!$C$41)-O994)/('THAM_SO_MOI'!$C$11*H994)</f>
        <v>0.08461891415923267</v>
      </c>
      <c r="Q994" s="75">
        <f>IF(P994&gt;0,1/P994,NA())</f>
        <v>11.817688869396715</v>
      </c>
      <c r="R994" s="75">
        <f>F994-F993</f>
        <v>0.0035868055555567935</v>
      </c>
      <c r="S994" s="75">
        <f>0.5*(Q993+Q994)*R994</f>
        <v>0.042369106268479485</v>
      </c>
      <c r="T994" s="75">
        <f>0.5*(F993*Q993+F994*Q994)*R994</f>
        <v>0.968936550181661</v>
      </c>
      <c r="U994" s="76">
        <f>U993+S994</f>
        <v>79.82314555023171</v>
      </c>
      <c r="V994" s="76">
        <f>V993+T994</f>
        <v>1290.8076982525522</v>
      </c>
    </row>
    <row r="995" spans="1:22" ht="19" customHeight="1">
      <c r="A995" s="68" t="s">
        <v>362</v>
      </c>
      <c r="B995" s="74">
        <v>5</v>
      </c>
      <c r="C995" s="68" t="s">
        <v>363</v>
      </c>
      <c r="D995" s="68" t="s">
        <v>365</v>
      </c>
      <c r="E995" s="75">
        <f>60*F995*'THAM_SO_MOI'!$C$53/(2*PI()*'THAM_SO_MOI'!$C$26)</f>
        <v>2253.722421052631</v>
      </c>
      <c r="F995" s="75">
        <f>'THAM_SO_MOI'!$C$14+('THAM_SO_MOI'!$C$37-'THAM_SO_MOI'!$C$14)*188/'THAM_SO_MOI'!$C$42</f>
        <v>22.874319444444442</v>
      </c>
      <c r="G995" s="75">
        <f>3.6*F995</f>
        <v>82.34755</v>
      </c>
      <c r="H995" s="75">
        <f>'THAM_SO_MOI'!$D$53</f>
        <v>1.1</v>
      </c>
      <c r="I995" s="75">
        <f>IF(F995&gt;='THAM_SO_MOI'!$C$14,'THAM_SO_MOI'!$C$13*(1+F995^2/1500),'THAM_SO_MOI'!$C$13)</f>
        <v>0.02023234490046489</v>
      </c>
      <c r="J995" s="75">
        <f>'THAM_SO_MOI'!$C$40*('THAM_SO_MOI'!$C$23*(E995/'THAM_SO_MOI'!$C$22)+'THAM_SO_MOI'!$C$24*(E995/'THAM_SO_MOI'!$C$22)^2-'THAM_SO_MOI'!$C$25*(E995/'THAM_SO_MOI'!$C$22)^3)</f>
        <v>101.4086352347596</v>
      </c>
      <c r="K995" s="75">
        <f>'THAM_SO_MOI'!$C$31*J995/E995</f>
        <v>429.7618208379349</v>
      </c>
      <c r="L995" s="75">
        <f>K995*'THAM_SO_MOI'!$C$53*'THAM_SO_MOI'!$C$17/'THAM_SO_MOI'!$C$26</f>
        <v>3769.0128503931815</v>
      </c>
      <c r="M995" s="75">
        <f>'THAM_SO_MOI'!$C$15*'THAM_SO_MOI'!$C$16*F995^2</f>
        <v>1530.4608833859807</v>
      </c>
      <c r="N995" s="75">
        <f>'THAM_SO_MOI'!$C$12*I995</f>
        <v>1524.321050676945</v>
      </c>
      <c r="O995" s="75">
        <f>M995+N995</f>
        <v>3054.7819340629258</v>
      </c>
      <c r="P995" s="75">
        <f>(MIN(L995,'THAM_SO_MOI'!$C$41)-O995)/('THAM_SO_MOI'!$C$11*H995)</f>
        <v>0.0845443793004564</v>
      </c>
      <c r="Q995" s="75">
        <f>IF(P995&gt;0,1/P995,NA())</f>
        <v>11.828107418544874</v>
      </c>
      <c r="R995" s="75">
        <f>F995-F994</f>
        <v>0.0035868055555532408</v>
      </c>
      <c r="S995" s="75">
        <f>0.5*(Q994+Q995)*R995</f>
        <v>0.04240643674553454</v>
      </c>
      <c r="T995" s="75">
        <f>0.5*(F994*Q994+F995*Q995)*R995</f>
        <v>0.9699423623056412</v>
      </c>
      <c r="U995" s="76">
        <f>U994+S995</f>
        <v>79.86555198697725</v>
      </c>
      <c r="V995" s="76">
        <f>V994+T995</f>
        <v>1291.7776406148578</v>
      </c>
    </row>
    <row r="996" spans="1:22" ht="19" customHeight="1">
      <c r="A996" s="68" t="s">
        <v>362</v>
      </c>
      <c r="B996" s="74">
        <v>5</v>
      </c>
      <c r="C996" s="68" t="s">
        <v>363</v>
      </c>
      <c r="D996" s="68" t="s">
        <v>365</v>
      </c>
      <c r="E996" s="75">
        <f>60*F996*'THAM_SO_MOI'!$C$53/(2*PI()*'THAM_SO_MOI'!$C$26)</f>
        <v>2254.075815789473</v>
      </c>
      <c r="F996" s="75">
        <f>'THAM_SO_MOI'!$C$14+('THAM_SO_MOI'!$C$37-'THAM_SO_MOI'!$C$14)*189/'THAM_SO_MOI'!$C$42</f>
        <v>22.87790625</v>
      </c>
      <c r="G996" s="75">
        <f>3.6*F996</f>
        <v>82.3604625</v>
      </c>
      <c r="H996" s="75">
        <f>'THAM_SO_MOI'!$D$53</f>
        <v>1.1</v>
      </c>
      <c r="I996" s="75">
        <f>IF(F996&gt;='THAM_SO_MOI'!$C$14,'THAM_SO_MOI'!$C$13*(1+F996^2/1500),'THAM_SO_MOI'!$C$13)</f>
        <v>0.02023398594383789</v>
      </c>
      <c r="J996" s="75">
        <f>'THAM_SO_MOI'!$C$40*('THAM_SO_MOI'!$C$23*(E996/'THAM_SO_MOI'!$C$22)+'THAM_SO_MOI'!$C$24*(E996/'THAM_SO_MOI'!$C$22)^2-'THAM_SO_MOI'!$C$25*(E996/'THAM_SO_MOI'!$C$22)^3)</f>
        <v>101.42383078980734</v>
      </c>
      <c r="K996" s="75">
        <f>'THAM_SO_MOI'!$C$31*J996/E996</f>
        <v>429.75883011136364</v>
      </c>
      <c r="L996" s="75">
        <f>K996*'THAM_SO_MOI'!$C$53*'THAM_SO_MOI'!$C$17/'THAM_SO_MOI'!$C$26</f>
        <v>3768.9866217094486</v>
      </c>
      <c r="M996" s="75">
        <f>'THAM_SO_MOI'!$C$15*'THAM_SO_MOI'!$C$16*F996^2</f>
        <v>1530.940888572583</v>
      </c>
      <c r="N996" s="75">
        <f>'THAM_SO_MOI'!$C$12*I996</f>
        <v>1524.4446881975018</v>
      </c>
      <c r="O996" s="75">
        <f>M996+N996</f>
        <v>3055.3855767700848</v>
      </c>
      <c r="P996" s="75">
        <f>(MIN(L996,'THAM_SO_MOI'!$C$41)-O996)/('THAM_SO_MOI'!$C$11*H996)</f>
        <v>0.08446982066043607</v>
      </c>
      <c r="Q996" s="75">
        <f>IF(P996&gt;0,1/P996,NA())</f>
        <v>11.838547686989225</v>
      </c>
      <c r="R996" s="75">
        <f>F996-F995</f>
        <v>0.0035868055555567935</v>
      </c>
      <c r="S996" s="75">
        <f>0.5*(Q995+Q996)*R996</f>
        <v>0.042443845006988126</v>
      </c>
      <c r="T996" s="75">
        <f>0.5*(F995*Q995+F996*Q996)*R996</f>
        <v>0.9709502216288376</v>
      </c>
      <c r="U996" s="76">
        <f>U995+S996</f>
        <v>79.90799583198424</v>
      </c>
      <c r="V996" s="76">
        <f>V995+T996</f>
        <v>1292.7485908364865</v>
      </c>
    </row>
    <row r="997" spans="1:22" ht="19" customHeight="1">
      <c r="A997" s="68" t="s">
        <v>362</v>
      </c>
      <c r="B997" s="74">
        <v>5</v>
      </c>
      <c r="C997" s="68" t="s">
        <v>363</v>
      </c>
      <c r="D997" s="68" t="s">
        <v>365</v>
      </c>
      <c r="E997" s="75">
        <f>60*F997*'THAM_SO_MOI'!$C$53/(2*PI()*'THAM_SO_MOI'!$C$26)</f>
        <v>2254.4292105263153</v>
      </c>
      <c r="F997" s="75">
        <f>'THAM_SO_MOI'!$C$14+('THAM_SO_MOI'!$C$37-'THAM_SO_MOI'!$C$14)*190/'THAM_SO_MOI'!$C$42</f>
        <v>22.881493055555556</v>
      </c>
      <c r="G997" s="75">
        <f>3.6*F997</f>
        <v>82.373375</v>
      </c>
      <c r="H997" s="75">
        <f>'THAM_SO_MOI'!$D$53</f>
        <v>1.1</v>
      </c>
      <c r="I997" s="75">
        <f>IF(F997&gt;='THAM_SO_MOI'!$C$14,'THAM_SO_MOI'!$C$13*(1+F997^2/1500),'THAM_SO_MOI'!$C$13)</f>
        <v>0.02023562724451437</v>
      </c>
      <c r="J997" s="75">
        <f>'THAM_SO_MOI'!$C$40*('THAM_SO_MOI'!$C$23*(E997/'THAM_SO_MOI'!$C$22)+'THAM_SO_MOI'!$C$24*(E997/'THAM_SO_MOI'!$C$22)^2-'THAM_SO_MOI'!$C$25*(E997/'THAM_SO_MOI'!$C$22)^3)</f>
        <v>101.4390232636971</v>
      </c>
      <c r="K997" s="75">
        <f>'THAM_SO_MOI'!$C$31*J997/E997</f>
        <v>429.7558272688079</v>
      </c>
      <c r="L997" s="75">
        <f>K997*'THAM_SO_MOI'!$C$53*'THAM_SO_MOI'!$C$17/'THAM_SO_MOI'!$C$26</f>
        <v>3768.960286768484</v>
      </c>
      <c r="M997" s="75">
        <f>'THAM_SO_MOI'!$C$15*'THAM_SO_MOI'!$C$16*F997^2</f>
        <v>1531.4209690204536</v>
      </c>
      <c r="N997" s="75">
        <f>'THAM_SO_MOI'!$C$12*I997</f>
        <v>1524.5683451035084</v>
      </c>
      <c r="O997" s="75">
        <f>M997+N997</f>
        <v>3055.989314123962</v>
      </c>
      <c r="P997" s="75">
        <f>(MIN(L997,'THAM_SO_MOI'!$C$41)-O997)/('THAM_SO_MOI'!$C$11*H997)</f>
        <v>0.0843952382391716</v>
      </c>
      <c r="Q997" s="75">
        <f>IF(P997&gt;0,1/P997,NA())</f>
        <v>11.849009741118964</v>
      </c>
      <c r="R997" s="75">
        <f>F997-F996</f>
        <v>0.0035868055555567935</v>
      </c>
      <c r="S997" s="75">
        <f>0.5*(Q996+Q997)*R997</f>
        <v>0.04248133129035452</v>
      </c>
      <c r="T997" s="75">
        <f>0.5*(F996*Q996+F997*Q997)*R997</f>
        <v>0.9719601344224991</v>
      </c>
      <c r="U997" s="76">
        <f>U996+S997</f>
        <v>79.9504771632746</v>
      </c>
      <c r="V997" s="76">
        <f>V996+T997</f>
        <v>1293.720550970909</v>
      </c>
    </row>
    <row r="998" spans="1:22" ht="19" customHeight="1">
      <c r="A998" s="68" t="s">
        <v>362</v>
      </c>
      <c r="B998" s="74">
        <v>5</v>
      </c>
      <c r="C998" s="68" t="s">
        <v>363</v>
      </c>
      <c r="D998" s="68" t="s">
        <v>365</v>
      </c>
      <c r="E998" s="75">
        <f>60*F998*'THAM_SO_MOI'!$C$53/(2*PI()*'THAM_SO_MOI'!$C$26)</f>
        <v>2254.782605263157</v>
      </c>
      <c r="F998" s="75">
        <f>'THAM_SO_MOI'!$C$14+('THAM_SO_MOI'!$C$37-'THAM_SO_MOI'!$C$14)*191/'THAM_SO_MOI'!$C$42</f>
        <v>22.88507986111111</v>
      </c>
      <c r="G998" s="75">
        <f>3.6*F998</f>
        <v>82.3862875</v>
      </c>
      <c r="H998" s="75">
        <f>'THAM_SO_MOI'!$D$53</f>
        <v>1.1</v>
      </c>
      <c r="I998" s="75">
        <f>IF(F998&gt;='THAM_SO_MOI'!$C$14,'THAM_SO_MOI'!$C$13*(1+F998^2/1500),'THAM_SO_MOI'!$C$13)</f>
        <v>0.02023726880249433</v>
      </c>
      <c r="J998" s="75">
        <f>'THAM_SO_MOI'!$C$40*('THAM_SO_MOI'!$C$23*(E998/'THAM_SO_MOI'!$C$22)+'THAM_SO_MOI'!$C$24*(E998/'THAM_SO_MOI'!$C$22)^2-'THAM_SO_MOI'!$C$25*(E998/'THAM_SO_MOI'!$C$22)^3)</f>
        <v>101.45421265508386</v>
      </c>
      <c r="K998" s="75">
        <f>'THAM_SO_MOI'!$C$31*J998/E998</f>
        <v>429.7528123102674</v>
      </c>
      <c r="L998" s="75">
        <f>K998*'THAM_SO_MOI'!$C$53*'THAM_SO_MOI'!$C$17/'THAM_SO_MOI'!$C$26</f>
        <v>3768.9338455702873</v>
      </c>
      <c r="M998" s="75">
        <f>'THAM_SO_MOI'!$C$15*'THAM_SO_MOI'!$C$16*F998^2</f>
        <v>1531.9011247295923</v>
      </c>
      <c r="N998" s="75">
        <f>'THAM_SO_MOI'!$C$12*I998</f>
        <v>1524.692021394965</v>
      </c>
      <c r="O998" s="75">
        <f>M998+N998</f>
        <v>3056.5931461245573</v>
      </c>
      <c r="P998" s="75">
        <f>(MIN(L998,'THAM_SO_MOI'!$C$41)-O998)/('THAM_SO_MOI'!$C$11*H998)</f>
        <v>0.08432063203666315</v>
      </c>
      <c r="Q998" s="75">
        <f>IF(P998&gt;0,1/P998,NA())</f>
        <v>11.859493647594975</v>
      </c>
      <c r="R998" s="75">
        <f>F998-F997</f>
        <v>0.0035868055555532408</v>
      </c>
      <c r="S998" s="75">
        <f>0.5*(Q997+Q998)*R998</f>
        <v>0.042518895834246</v>
      </c>
      <c r="T998" s="75">
        <f>0.5*(F997*Q997+F998*Q998)*R998</f>
        <v>0.9729721069864076</v>
      </c>
      <c r="U998" s="76">
        <f>U997+S998</f>
        <v>79.99299605910885</v>
      </c>
      <c r="V998" s="76">
        <f>V997+T998</f>
        <v>1294.6935230778954</v>
      </c>
    </row>
    <row r="999" spans="1:22" ht="19" customHeight="1">
      <c r="A999" s="68" t="s">
        <v>362</v>
      </c>
      <c r="B999" s="74">
        <v>5</v>
      </c>
      <c r="C999" s="68" t="s">
        <v>363</v>
      </c>
      <c r="D999" s="68" t="s">
        <v>365</v>
      </c>
      <c r="E999" s="75">
        <f>60*F999*'THAM_SO_MOI'!$C$53/(2*PI()*'THAM_SO_MOI'!$C$26)</f>
        <v>2255.1359999999995</v>
      </c>
      <c r="F999" s="75">
        <f>'THAM_SO_MOI'!$C$14+('THAM_SO_MOI'!$C$37-'THAM_SO_MOI'!$C$14)*192/'THAM_SO_MOI'!$C$42</f>
        <v>22.888666666666666</v>
      </c>
      <c r="G999" s="75">
        <f>3.6*F999</f>
        <v>82.3992</v>
      </c>
      <c r="H999" s="75">
        <f>'THAM_SO_MOI'!$D$53</f>
        <v>1.1</v>
      </c>
      <c r="I999" s="75">
        <f>IF(F999&gt;='THAM_SO_MOI'!$C$14,'THAM_SO_MOI'!$C$13*(1+F999^2/1500),'THAM_SO_MOI'!$C$13)</f>
        <v>0.02023891061777778</v>
      </c>
      <c r="J999" s="75">
        <f>'THAM_SO_MOI'!$C$40*('THAM_SO_MOI'!$C$23*(E999/'THAM_SO_MOI'!$C$22)+'THAM_SO_MOI'!$C$24*(E999/'THAM_SO_MOI'!$C$22)^2-'THAM_SO_MOI'!$C$25*(E999/'THAM_SO_MOI'!$C$22)^3)</f>
        <v>101.46939896262292</v>
      </c>
      <c r="K999" s="75">
        <f>'THAM_SO_MOI'!$C$31*J999/E999</f>
        <v>429.7497852357428</v>
      </c>
      <c r="L999" s="75">
        <f>K999*'THAM_SO_MOI'!$C$53*'THAM_SO_MOI'!$C$17/'THAM_SO_MOI'!$C$26</f>
        <v>3768.9072981148615</v>
      </c>
      <c r="M999" s="75">
        <f>'THAM_SO_MOI'!$C$15*'THAM_SO_MOI'!$C$16*F999^2</f>
        <v>1532.3813557</v>
      </c>
      <c r="N999" s="75">
        <f>'THAM_SO_MOI'!$C$12*I999</f>
        <v>1524.815717071872</v>
      </c>
      <c r="O999" s="75">
        <f>M999+N999</f>
        <v>3057.197072771872</v>
      </c>
      <c r="P999" s="75">
        <f>(MIN(L999,'THAM_SO_MOI'!$C$41)-O999)/('THAM_SO_MOI'!$C$11*H999)</f>
        <v>0.0842460020529107</v>
      </c>
      <c r="Q999" s="75">
        <f>IF(P999&gt;0,1/P999,NA())</f>
        <v>11.86999947335127</v>
      </c>
      <c r="R999" s="75">
        <f>F999-F998</f>
        <v>0.0035868055555567935</v>
      </c>
      <c r="S999" s="75">
        <f>0.5*(Q998+Q999)*R999</f>
        <v>0.042556538878378354</v>
      </c>
      <c r="T999" s="75">
        <f>0.5*(F998*Q998+F999*Q999)*R999</f>
        <v>0.9739861456490246</v>
      </c>
      <c r="U999" s="76">
        <f>U998+S999</f>
        <v>80.03555259798722</v>
      </c>
      <c r="V999" s="76">
        <f>V998+T999</f>
        <v>1295.6675092235444</v>
      </c>
    </row>
    <row r="1000" spans="1:22" ht="19" customHeight="1">
      <c r="A1000" s="68" t="s">
        <v>362</v>
      </c>
      <c r="B1000" s="74">
        <v>5</v>
      </c>
      <c r="C1000" s="68" t="s">
        <v>363</v>
      </c>
      <c r="D1000" s="68" t="s">
        <v>365</v>
      </c>
      <c r="E1000" s="75">
        <f>60*F1000*'THAM_SO_MOI'!$C$53/(2*PI()*'THAM_SO_MOI'!$C$26)</f>
        <v>2255.4893947368414</v>
      </c>
      <c r="F1000" s="75">
        <f>'THAM_SO_MOI'!$C$14+('THAM_SO_MOI'!$C$37-'THAM_SO_MOI'!$C$14)*193/'THAM_SO_MOI'!$C$42</f>
        <v>22.892253472222222</v>
      </c>
      <c r="G1000" s="75">
        <f>3.6*F1000</f>
        <v>82.4121125</v>
      </c>
      <c r="H1000" s="75">
        <f>'THAM_SO_MOI'!$D$53</f>
        <v>1.1</v>
      </c>
      <c r="I1000" s="75">
        <f>IF(F1000&gt;='THAM_SO_MOI'!$C$14,'THAM_SO_MOI'!$C$13*(1+F1000^2/1500),'THAM_SO_MOI'!$C$13)</f>
        <v>0.0202405526903647</v>
      </c>
      <c r="J1000" s="75">
        <f>'THAM_SO_MOI'!$C$40*('THAM_SO_MOI'!$C$23*(E1000/'THAM_SO_MOI'!$C$22)+'THAM_SO_MOI'!$C$24*(E1000/'THAM_SO_MOI'!$C$22)^2-'THAM_SO_MOI'!$C$25*(E1000/'THAM_SO_MOI'!$C$22)^3)</f>
        <v>101.48458218496926</v>
      </c>
      <c r="K1000" s="75">
        <f>'THAM_SO_MOI'!$C$31*J1000/E1000</f>
        <v>429.7467460452337</v>
      </c>
      <c r="L1000" s="75">
        <f>K1000*'THAM_SO_MOI'!$C$53*'THAM_SO_MOI'!$C$17/'THAM_SO_MOI'!$C$26</f>
        <v>3768.880644402205</v>
      </c>
      <c r="M1000" s="75">
        <f>'THAM_SO_MOI'!$C$15*'THAM_SO_MOI'!$C$16*F1000^2</f>
        <v>1532.861661931676</v>
      </c>
      <c r="N1000" s="75">
        <f>'THAM_SO_MOI'!$C$12*I1000</f>
        <v>1524.939432134229</v>
      </c>
      <c r="O1000" s="75">
        <f>M1000+N1000</f>
        <v>3057.801094065905</v>
      </c>
      <c r="P1000" s="75">
        <f>(MIN(L1000,'THAM_SO_MOI'!$C$41)-O1000)/('THAM_SO_MOI'!$C$11*H1000)</f>
        <v>0.08417134828791424</v>
      </c>
      <c r="Q1000" s="75">
        <f>IF(P1000&gt;0,1/P1000,NA())</f>
        <v>11.880527285596365</v>
      </c>
      <c r="R1000" s="75">
        <f>F1000-F999</f>
        <v>0.0035868055555567935</v>
      </c>
      <c r="S1000" s="75">
        <f>0.5*(Q999+Q1000)*R1000</f>
        <v>0.04259426066319683</v>
      </c>
      <c r="T1000" s="75">
        <f>0.5*(F999*Q999+F1000*Q1000)*R1000</f>
        <v>0.9750022567589495</v>
      </c>
      <c r="U1000" s="76">
        <f>U999+S1000</f>
        <v>80.07814685865041</v>
      </c>
      <c r="V1000" s="76">
        <f>V999+T1000</f>
        <v>1296.6425114803033</v>
      </c>
    </row>
    <row r="1001" spans="1:22" ht="19" customHeight="1">
      <c r="A1001" s="68" t="s">
        <v>362</v>
      </c>
      <c r="B1001" s="74">
        <v>5</v>
      </c>
      <c r="C1001" s="68" t="s">
        <v>363</v>
      </c>
      <c r="D1001" s="68" t="s">
        <v>365</v>
      </c>
      <c r="E1001" s="75">
        <f>60*F1001*'THAM_SO_MOI'!$C$53/(2*PI()*'THAM_SO_MOI'!$C$26)</f>
        <v>2255.8427894736838</v>
      </c>
      <c r="F1001" s="75">
        <f>'THAM_SO_MOI'!$C$14+('THAM_SO_MOI'!$C$37-'THAM_SO_MOI'!$C$14)*194/'THAM_SO_MOI'!$C$42</f>
        <v>22.895840277777776</v>
      </c>
      <c r="G1001" s="75">
        <f>3.6*F1001</f>
        <v>82.42502499999999</v>
      </c>
      <c r="H1001" s="75">
        <f>'THAM_SO_MOI'!$D$53</f>
        <v>1.1</v>
      </c>
      <c r="I1001" s="75">
        <f>IF(F1001&gt;='THAM_SO_MOI'!$C$14,'THAM_SO_MOI'!$C$13*(1+F1001^2/1500),'THAM_SO_MOI'!$C$13)</f>
        <v>0.02024219502025511</v>
      </c>
      <c r="J1001" s="75">
        <f>'THAM_SO_MOI'!$C$40*('THAM_SO_MOI'!$C$23*(E1001/'THAM_SO_MOI'!$C$22)+'THAM_SO_MOI'!$C$24*(E1001/'THAM_SO_MOI'!$C$22)^2-'THAM_SO_MOI'!$C$25*(E1001/'THAM_SO_MOI'!$C$22)^3)</f>
        <v>101.49976232077803</v>
      </c>
      <c r="K1001" s="75">
        <f>'THAM_SO_MOI'!$C$31*J1001/E1001</f>
        <v>429.74369473874003</v>
      </c>
      <c r="L1001" s="75">
        <f>K1001*'THAM_SO_MOI'!$C$53*'THAM_SO_MOI'!$C$17/'THAM_SO_MOI'!$C$26</f>
        <v>3768.853884432315</v>
      </c>
      <c r="M1001" s="75">
        <f>'THAM_SO_MOI'!$C$15*'THAM_SO_MOI'!$C$16*F1001^2</f>
        <v>1533.3420434246202</v>
      </c>
      <c r="N1001" s="75">
        <f>'THAM_SO_MOI'!$C$12*I1001</f>
        <v>1525.0631665820363</v>
      </c>
      <c r="O1001" s="75">
        <f>M1001+N1001</f>
        <v>3058.4052100066565</v>
      </c>
      <c r="P1001" s="75">
        <f>(MIN(L1001,'THAM_SO_MOI'!$C$41)-O1001)/('THAM_SO_MOI'!$C$11*H1001)</f>
        <v>0.0840966707416736</v>
      </c>
      <c r="Q1001" s="75">
        <f>IF(P1001&gt;0,1/P1001,NA())</f>
        <v>11.891077151814716</v>
      </c>
      <c r="R1001" s="75">
        <f>F1001-F1000</f>
        <v>0.0035868055555532408</v>
      </c>
      <c r="S1001" s="75">
        <f>0.5*(Q1000+Q1001)*R1001</f>
        <v>0.04263206143026007</v>
      </c>
      <c r="T1001" s="75">
        <f>0.5*(F1000*Q1000+F1001*Q1001)*R1001</f>
        <v>0.97602044669372</v>
      </c>
      <c r="U1001" s="76">
        <f>U1000+S1001</f>
        <v>80.12077892008067</v>
      </c>
      <c r="V1001" s="76">
        <f>V1000+T1001</f>
        <v>1297.6185319269969</v>
      </c>
    </row>
    <row r="1002" spans="1:22" ht="19" customHeight="1">
      <c r="A1002" s="68" t="s">
        <v>362</v>
      </c>
      <c r="B1002" s="74">
        <v>5</v>
      </c>
      <c r="C1002" s="68" t="s">
        <v>363</v>
      </c>
      <c r="D1002" s="68" t="s">
        <v>365</v>
      </c>
      <c r="E1002" s="75">
        <f>60*F1002*'THAM_SO_MOI'!$C$53/(2*PI()*'THAM_SO_MOI'!$C$26)</f>
        <v>2256.196184210526</v>
      </c>
      <c r="F1002" s="75">
        <f>'THAM_SO_MOI'!$C$14+('THAM_SO_MOI'!$C$37-'THAM_SO_MOI'!$C$14)*195/'THAM_SO_MOI'!$C$42</f>
        <v>22.899427083333332</v>
      </c>
      <c r="G1002" s="75">
        <f>3.6*F1002</f>
        <v>82.4379375</v>
      </c>
      <c r="H1002" s="75">
        <f>'THAM_SO_MOI'!$D$53</f>
        <v>1.1</v>
      </c>
      <c r="I1002" s="75">
        <f>IF(F1002&gt;='THAM_SO_MOI'!$C$14,'THAM_SO_MOI'!$C$13*(1+F1002^2/1500),'THAM_SO_MOI'!$C$13)</f>
        <v>0.020243837607449</v>
      </c>
      <c r="J1002" s="75">
        <f>'THAM_SO_MOI'!$C$40*('THAM_SO_MOI'!$C$23*(E1002/'THAM_SO_MOI'!$C$22)+'THAM_SO_MOI'!$C$24*(E1002/'THAM_SO_MOI'!$C$22)^2-'THAM_SO_MOI'!$C$25*(E1002/'THAM_SO_MOI'!$C$22)^3)</f>
        <v>101.51493936870436</v>
      </c>
      <c r="K1002" s="75">
        <f>'THAM_SO_MOI'!$C$31*J1002/E1002</f>
        <v>429.74063131626207</v>
      </c>
      <c r="L1002" s="75">
        <f>K1002*'THAM_SO_MOI'!$C$53*'THAM_SO_MOI'!$C$17/'THAM_SO_MOI'!$C$26</f>
        <v>3768.8270182051965</v>
      </c>
      <c r="M1002" s="75">
        <f>'THAM_SO_MOI'!$C$15*'THAM_SO_MOI'!$C$16*F1002^2</f>
        <v>1533.822500178833</v>
      </c>
      <c r="N1002" s="75">
        <f>'THAM_SO_MOI'!$C$12*I1002</f>
        <v>1525.1869204152938</v>
      </c>
      <c r="O1002" s="75">
        <f>M1002+N1002</f>
        <v>3059.009420594127</v>
      </c>
      <c r="P1002" s="75">
        <f>(MIN(L1002,'THAM_SO_MOI'!$C$41)-O1002)/('THAM_SO_MOI'!$C$11*H1002)</f>
        <v>0.08402196941418909</v>
      </c>
      <c r="Q1002" s="75">
        <f>IF(P1002&gt;0,1/P1002,NA())</f>
        <v>11.901649139768038</v>
      </c>
      <c r="R1002" s="75">
        <f>F1002-F1001</f>
        <v>0.0035868055555567935</v>
      </c>
      <c r="S1002" s="75">
        <f>0.5*(Q1001+Q1002)*R1002</f>
        <v>0.0426699414222456</v>
      </c>
      <c r="T1002" s="75">
        <f>0.5*(F1001*Q1001+F1002*Q1002)*R1002</f>
        <v>0.9770407218599599</v>
      </c>
      <c r="U1002" s="76">
        <f>U1001+S1002</f>
        <v>80.16344886150291</v>
      </c>
      <c r="V1002" s="76">
        <f>V1001+T1002</f>
        <v>1298.595572648857</v>
      </c>
    </row>
    <row r="1003" spans="1:22" ht="19" customHeight="1">
      <c r="A1003" s="68" t="s">
        <v>362</v>
      </c>
      <c r="B1003" s="74">
        <v>5</v>
      </c>
      <c r="C1003" s="68" t="s">
        <v>363</v>
      </c>
      <c r="D1003" s="68" t="s">
        <v>365</v>
      </c>
      <c r="E1003" s="75">
        <f>60*F1003*'THAM_SO_MOI'!$C$53/(2*PI()*'THAM_SO_MOI'!$C$26)</f>
        <v>2256.549578947368</v>
      </c>
      <c r="F1003" s="75">
        <f>'THAM_SO_MOI'!$C$14+('THAM_SO_MOI'!$C$37-'THAM_SO_MOI'!$C$14)*196/'THAM_SO_MOI'!$C$42</f>
        <v>22.90301388888889</v>
      </c>
      <c r="G1003" s="75">
        <f>3.6*F1003</f>
        <v>82.45085</v>
      </c>
      <c r="H1003" s="75">
        <f>'THAM_SO_MOI'!$D$53</f>
        <v>1.1</v>
      </c>
      <c r="I1003" s="75">
        <f>IF(F1003&gt;='THAM_SO_MOI'!$C$14,'THAM_SO_MOI'!$C$13*(1+F1003^2/1500),'THAM_SO_MOI'!$C$13)</f>
        <v>0.020245480451946372</v>
      </c>
      <c r="J1003" s="75">
        <f>'THAM_SO_MOI'!$C$40*('THAM_SO_MOI'!$C$23*(E1003/'THAM_SO_MOI'!$C$22)+'THAM_SO_MOI'!$C$24*(E1003/'THAM_SO_MOI'!$C$22)^2-'THAM_SO_MOI'!$C$25*(E1003/'THAM_SO_MOI'!$C$22)^3)</f>
        <v>101.53011332740326</v>
      </c>
      <c r="K1003" s="75">
        <f>'THAM_SO_MOI'!$C$31*J1003/E1003</f>
        <v>429.73755577779934</v>
      </c>
      <c r="L1003" s="75">
        <f>K1003*'THAM_SO_MOI'!$C$53*'THAM_SO_MOI'!$C$17/'THAM_SO_MOI'!$C$26</f>
        <v>3768.8000457208436</v>
      </c>
      <c r="M1003" s="75">
        <f>'THAM_SO_MOI'!$C$15*'THAM_SO_MOI'!$C$16*F1003^2</f>
        <v>1534.3030321943145</v>
      </c>
      <c r="N1003" s="75">
        <f>'THAM_SO_MOI'!$C$12*I1003</f>
        <v>1525.3106936340014</v>
      </c>
      <c r="O1003" s="75">
        <f>M1003+N1003</f>
        <v>3059.613725828316</v>
      </c>
      <c r="P1003" s="75">
        <f>(MIN(L1003,'THAM_SO_MOI'!$C$41)-O1003)/('THAM_SO_MOI'!$C$11*H1003)</f>
        <v>0.08394724430546023</v>
      </c>
      <c r="Q1003" s="75">
        <f>IF(P1003&gt;0,1/P1003,NA())</f>
        <v>11.91224331749692</v>
      </c>
      <c r="R1003" s="75">
        <f>F1003-F1002</f>
        <v>0.0035868055555567935</v>
      </c>
      <c r="S1003" s="75">
        <f>0.5*(Q1002+Q1003)*R1003</f>
        <v>0.04270790088257498</v>
      </c>
      <c r="T1003" s="75">
        <f>0.5*(F1002*Q1002+F1003*Q1003)*R1003</f>
        <v>0.9780630886848143</v>
      </c>
      <c r="U1003" s="76">
        <f>U1002+S1003</f>
        <v>80.20615676238549</v>
      </c>
      <c r="V1003" s="76">
        <f>V1002+T1003</f>
        <v>1299.5736357375417</v>
      </c>
    </row>
    <row r="1004" spans="1:22" ht="19" customHeight="1">
      <c r="A1004" s="68" t="s">
        <v>362</v>
      </c>
      <c r="B1004" s="74">
        <v>5</v>
      </c>
      <c r="C1004" s="68" t="s">
        <v>363</v>
      </c>
      <c r="D1004" s="68" t="s">
        <v>365</v>
      </c>
      <c r="E1004" s="75">
        <f>60*F1004*'THAM_SO_MOI'!$C$53/(2*PI()*'THAM_SO_MOI'!$C$26)</f>
        <v>2256.90297368421</v>
      </c>
      <c r="F1004" s="75">
        <f>'THAM_SO_MOI'!$C$14+('THAM_SO_MOI'!$C$37-'THAM_SO_MOI'!$C$14)*197/'THAM_SO_MOI'!$C$42</f>
        <v>22.906600694444442</v>
      </c>
      <c r="G1004" s="75">
        <f>3.6*F1004</f>
        <v>82.4637625</v>
      </c>
      <c r="H1004" s="75">
        <f>'THAM_SO_MOI'!$D$53</f>
        <v>1.1</v>
      </c>
      <c r="I1004" s="75">
        <f>IF(F1004&gt;='THAM_SO_MOI'!$C$14,'THAM_SO_MOI'!$C$13*(1+F1004^2/1500),'THAM_SO_MOI'!$C$13)</f>
        <v>0.020247123553747227</v>
      </c>
      <c r="J1004" s="75">
        <f>'THAM_SO_MOI'!$C$40*('THAM_SO_MOI'!$C$23*(E1004/'THAM_SO_MOI'!$C$22)+'THAM_SO_MOI'!$C$24*(E1004/'THAM_SO_MOI'!$C$22)^2-'THAM_SO_MOI'!$C$25*(E1004/'THAM_SO_MOI'!$C$22)^3)</f>
        <v>101.54528419552996</v>
      </c>
      <c r="K1004" s="75">
        <f>'THAM_SO_MOI'!$C$31*J1004/E1004</f>
        <v>429.7344681233525</v>
      </c>
      <c r="L1004" s="75">
        <f>K1004*'THAM_SO_MOI'!$C$53*'THAM_SO_MOI'!$C$17/'THAM_SO_MOI'!$C$26</f>
        <v>3768.772966979263</v>
      </c>
      <c r="M1004" s="75">
        <f>'THAM_SO_MOI'!$C$15*'THAM_SO_MOI'!$C$16*F1004^2</f>
        <v>1534.7836394710637</v>
      </c>
      <c r="N1004" s="75">
        <f>'THAM_SO_MOI'!$C$12*I1004</f>
        <v>1525.4344862381593</v>
      </c>
      <c r="O1004" s="75">
        <f>M1004+N1004</f>
        <v>3060.218125709223</v>
      </c>
      <c r="P1004" s="75">
        <f>(MIN(L1004,'THAM_SO_MOI'!$C$41)-O1004)/('THAM_SO_MOI'!$C$11*H1004)</f>
        <v>0.08387249541548772</v>
      </c>
      <c r="Q1004" s="75">
        <f>IF(P1004&gt;0,1/P1004,NA())</f>
        <v>11.922859753321971</v>
      </c>
      <c r="R1004" s="75">
        <f>F1004-F1003</f>
        <v>0.0035868055555532408</v>
      </c>
      <c r="S1004" s="75">
        <f>0.5*(Q1003+Q1004)*R1004</f>
        <v>0.04274594005579865</v>
      </c>
      <c r="T1004" s="75">
        <f>0.5*(F1003*Q1003+F1004*Q1004)*R1004</f>
        <v>0.9790875536247768</v>
      </c>
      <c r="U1004" s="76">
        <f>U1003+S1004</f>
        <v>80.24890270244128</v>
      </c>
      <c r="V1004" s="76">
        <f>V1003+T1004</f>
        <v>1300.5527232911666</v>
      </c>
    </row>
    <row r="1005" spans="1:22" ht="19" customHeight="1">
      <c r="A1005" s="68" t="s">
        <v>362</v>
      </c>
      <c r="B1005" s="74">
        <v>5</v>
      </c>
      <c r="C1005" s="68" t="s">
        <v>363</v>
      </c>
      <c r="D1005" s="68" t="s">
        <v>365</v>
      </c>
      <c r="E1005" s="75">
        <f>60*F1005*'THAM_SO_MOI'!$C$53/(2*PI()*'THAM_SO_MOI'!$C$26)</f>
        <v>2257.256368421052</v>
      </c>
      <c r="F1005" s="75">
        <f>'THAM_SO_MOI'!$C$14+('THAM_SO_MOI'!$C$37-'THAM_SO_MOI'!$C$14)*198/'THAM_SO_MOI'!$C$42</f>
        <v>22.9101875</v>
      </c>
      <c r="G1005" s="75">
        <f>3.6*F1005</f>
        <v>82.476675</v>
      </c>
      <c r="H1005" s="75">
        <f>'THAM_SO_MOI'!$D$53</f>
        <v>1.1</v>
      </c>
      <c r="I1005" s="75">
        <f>IF(F1005&gt;='THAM_SO_MOI'!$C$14,'THAM_SO_MOI'!$C$13*(1+F1005^2/1500),'THAM_SO_MOI'!$C$13)</f>
        <v>0.020248766912851563</v>
      </c>
      <c r="J1005" s="75">
        <f>'THAM_SO_MOI'!$C$40*('THAM_SO_MOI'!$C$23*(E1005/'THAM_SO_MOI'!$C$22)+'THAM_SO_MOI'!$C$24*(E1005/'THAM_SO_MOI'!$C$22)^2-'THAM_SO_MOI'!$C$25*(E1005/'THAM_SO_MOI'!$C$22)^3)</f>
        <v>101.5604519717395</v>
      </c>
      <c r="K1005" s="75">
        <f>'THAM_SO_MOI'!$C$31*J1005/E1005</f>
        <v>429.731368352921</v>
      </c>
      <c r="L1005" s="75">
        <f>K1005*'THAM_SO_MOI'!$C$53*'THAM_SO_MOI'!$C$17/'THAM_SO_MOI'!$C$26</f>
        <v>3768.7457819804495</v>
      </c>
      <c r="M1005" s="75">
        <f>'THAM_SO_MOI'!$C$15*'THAM_SO_MOI'!$C$16*F1005^2</f>
        <v>1535.2643220090822</v>
      </c>
      <c r="N1005" s="75">
        <f>'THAM_SO_MOI'!$C$12*I1005</f>
        <v>1525.5582982277672</v>
      </c>
      <c r="O1005" s="75">
        <f>M1005+N1005</f>
        <v>3060.8226202368496</v>
      </c>
      <c r="P1005" s="75">
        <f>(MIN(L1005,'THAM_SO_MOI'!$C$41)-O1005)/('THAM_SO_MOI'!$C$11*H1005)</f>
        <v>0.08379772274427084</v>
      </c>
      <c r="Q1005" s="75">
        <f>IF(P1005&gt;0,1/P1005,NA())</f>
        <v>11.933498515845633</v>
      </c>
      <c r="R1005" s="75">
        <f>F1005-F1004</f>
        <v>0.0035868055555567935</v>
      </c>
      <c r="S1005" s="75">
        <f>0.5*(Q1004+Q1005)*R1005</f>
        <v>0.04278405918760181</v>
      </c>
      <c r="T1005" s="75">
        <f>0.5*(F1004*Q1004+F1005*Q1005)*R1005</f>
        <v>0.9801141231658462</v>
      </c>
      <c r="U1005" s="76">
        <f>U1004+S1005</f>
        <v>80.29168676162888</v>
      </c>
      <c r="V1005" s="76">
        <f>V1004+T1005</f>
        <v>1301.5328374143323</v>
      </c>
    </row>
    <row r="1006" spans="1:22" ht="19" customHeight="1">
      <c r="A1006" s="68" t="s">
        <v>362</v>
      </c>
      <c r="B1006" s="74">
        <v>5</v>
      </c>
      <c r="C1006" s="68" t="s">
        <v>363</v>
      </c>
      <c r="D1006" s="68" t="s">
        <v>365</v>
      </c>
      <c r="E1006" s="75">
        <f>60*F1006*'THAM_SO_MOI'!$C$53/(2*PI()*'THAM_SO_MOI'!$C$26)</f>
        <v>2257.609763157894</v>
      </c>
      <c r="F1006" s="75">
        <f>'THAM_SO_MOI'!$C$14+('THAM_SO_MOI'!$C$37-'THAM_SO_MOI'!$C$14)*199/'THAM_SO_MOI'!$C$42</f>
        <v>22.913774305555556</v>
      </c>
      <c r="G1006" s="75">
        <f>3.6*F1006</f>
        <v>82.4895875</v>
      </c>
      <c r="H1006" s="75">
        <f>'THAM_SO_MOI'!$D$53</f>
        <v>1.1</v>
      </c>
      <c r="I1006" s="75">
        <f>IF(F1006&gt;='THAM_SO_MOI'!$C$14,'THAM_SO_MOI'!$C$13*(1+F1006^2/1500),'THAM_SO_MOI'!$C$13)</f>
        <v>0.02025041052925938</v>
      </c>
      <c r="J1006" s="75">
        <f>'THAM_SO_MOI'!$C$40*('THAM_SO_MOI'!$C$23*(E1006/'THAM_SO_MOI'!$C$22)+'THAM_SO_MOI'!$C$24*(E1006/'THAM_SO_MOI'!$C$22)^2-'THAM_SO_MOI'!$C$25*(E1006/'THAM_SO_MOI'!$C$22)^3)</f>
        <v>101.57561665468702</v>
      </c>
      <c r="K1006" s="75">
        <f>'THAM_SO_MOI'!$C$31*J1006/E1006</f>
        <v>429.728256466505</v>
      </c>
      <c r="L1006" s="75">
        <f>K1006*'THAM_SO_MOI'!$C$53*'THAM_SO_MOI'!$C$17/'THAM_SO_MOI'!$C$26</f>
        <v>3768.718490724404</v>
      </c>
      <c r="M1006" s="75">
        <f>'THAM_SO_MOI'!$C$15*'THAM_SO_MOI'!$C$16*F1006^2</f>
        <v>1535.7450798083687</v>
      </c>
      <c r="N1006" s="75">
        <f>'THAM_SO_MOI'!$C$12*I1006</f>
        <v>1525.6821296028252</v>
      </c>
      <c r="O1006" s="75">
        <f>M1006+N1006</f>
        <v>3061.427209411194</v>
      </c>
      <c r="P1006" s="75">
        <f>(MIN(L1006,'THAM_SO_MOI'!$C$41)-O1006)/('THAM_SO_MOI'!$C$11*H1006)</f>
        <v>0.08372292629180993</v>
      </c>
      <c r="Q1006" s="75">
        <f>IF(P1006&gt;0,1/P1006,NA())</f>
        <v>11.944159673953292</v>
      </c>
      <c r="R1006" s="75">
        <f>F1006-F1005</f>
        <v>0.0035868055555567935</v>
      </c>
      <c r="S1006" s="75">
        <f>0.5*(Q1005+Q1006)*R1006</f>
        <v>0.042822258524428475</v>
      </c>
      <c r="T1006" s="75">
        <f>0.5*(F1005*Q1005+F1006*Q1006)*R1006</f>
        <v>0.9811428038149319</v>
      </c>
      <c r="U1006" s="76">
        <f>U1005+S1006</f>
        <v>80.3345090201533</v>
      </c>
      <c r="V1006" s="76">
        <f>V1005+T1006</f>
        <v>1302.5139802181473</v>
      </c>
    </row>
    <row r="1007" spans="1:22" ht="19" customHeight="1">
      <c r="A1007" s="68" t="s">
        <v>362</v>
      </c>
      <c r="B1007" s="74">
        <v>5</v>
      </c>
      <c r="C1007" s="68" t="s">
        <v>363</v>
      </c>
      <c r="D1007" s="68" t="s">
        <v>365</v>
      </c>
      <c r="E1007" s="75">
        <f>60*F1007*'THAM_SO_MOI'!$C$53/(2*PI()*'THAM_SO_MOI'!$C$26)</f>
        <v>2257.963157894736</v>
      </c>
      <c r="F1007" s="75">
        <f>'THAM_SO_MOI'!$C$14+('THAM_SO_MOI'!$C$37-'THAM_SO_MOI'!$C$14)*200/'THAM_SO_MOI'!$C$42</f>
        <v>22.91736111111111</v>
      </c>
      <c r="G1007" s="75">
        <f>3.6*F1007</f>
        <v>82.5025</v>
      </c>
      <c r="H1007" s="75">
        <f>'THAM_SO_MOI'!$D$53</f>
        <v>1.1</v>
      </c>
      <c r="I1007" s="75">
        <f>IF(F1007&gt;='THAM_SO_MOI'!$C$14,'THAM_SO_MOI'!$C$13*(1+F1007^2/1500),'THAM_SO_MOI'!$C$13)</f>
        <v>0.02025205440297068</v>
      </c>
      <c r="J1007" s="75">
        <f>'THAM_SO_MOI'!$C$40*('THAM_SO_MOI'!$C$23*(E1007/'THAM_SO_MOI'!$C$22)+'THAM_SO_MOI'!$C$24*(E1007/'THAM_SO_MOI'!$C$22)^2-'THAM_SO_MOI'!$C$25*(E1007/'THAM_SO_MOI'!$C$22)^3)</f>
        <v>101.59077824302763</v>
      </c>
      <c r="K1007" s="75">
        <f>'THAM_SO_MOI'!$C$31*J1007/E1007</f>
        <v>429.7251324641046</v>
      </c>
      <c r="L1007" s="75">
        <f>K1007*'THAM_SO_MOI'!$C$53*'THAM_SO_MOI'!$C$17/'THAM_SO_MOI'!$C$26</f>
        <v>3768.691093211129</v>
      </c>
      <c r="M1007" s="75">
        <f>'THAM_SO_MOI'!$C$15*'THAM_SO_MOI'!$C$16*F1007^2</f>
        <v>1536.2259128689236</v>
      </c>
      <c r="N1007" s="75">
        <f>'THAM_SO_MOI'!$C$12*I1007</f>
        <v>1525.8059803633334</v>
      </c>
      <c r="O1007" s="75">
        <f>M1007+N1007</f>
        <v>3062.031893232257</v>
      </c>
      <c r="P1007" s="75">
        <f>(MIN(L1007,'THAM_SO_MOI'!$C$41)-O1007)/('THAM_SO_MOI'!$C$11*H1007)</f>
        <v>0.08364810605810515</v>
      </c>
      <c r="Q1007" s="75">
        <f>IF(P1007&gt;0,1/P1007,NA())</f>
        <v>11.954843296814898</v>
      </c>
      <c r="R1007" s="75">
        <f>F1007-F1006</f>
        <v>0.0035868055555532408</v>
      </c>
      <c r="S1007" s="75">
        <f>0.5*(Q1006+Q1007)*R1007</f>
        <v>0.04286053831386737</v>
      </c>
      <c r="T1007" s="75">
        <f>0.5*(F1006*Q1006+F1007*Q1007)*R1007</f>
        <v>0.9821736021087099</v>
      </c>
      <c r="U1007" s="76">
        <f>U1006+S1007</f>
        <v>80.37736955846717</v>
      </c>
      <c r="V1007" s="76">
        <f>V1006+T1007</f>
        <v>1303.496153820256</v>
      </c>
    </row>
    <row r="1008" spans="1:22" ht="19" customHeight="1">
      <c r="A1008" s="68" t="s">
        <v>362</v>
      </c>
      <c r="B1008" s="74">
        <v>5</v>
      </c>
      <c r="C1008" s="68" t="s">
        <v>363</v>
      </c>
      <c r="D1008" s="68" t="s">
        <v>365</v>
      </c>
      <c r="E1008" s="75">
        <f>60*F1008*'THAM_SO_MOI'!$C$53/(2*PI()*'THAM_SO_MOI'!$C$26)</f>
        <v>2258.316552631579</v>
      </c>
      <c r="F1008" s="75">
        <f>'THAM_SO_MOI'!$C$14+('THAM_SO_MOI'!$C$37-'THAM_SO_MOI'!$C$14)*201/'THAM_SO_MOI'!$C$42</f>
        <v>22.920947916666666</v>
      </c>
      <c r="G1008" s="75">
        <f>3.6*F1008</f>
        <v>82.5154125</v>
      </c>
      <c r="H1008" s="75">
        <f>'THAM_SO_MOI'!$D$53</f>
        <v>1.1</v>
      </c>
      <c r="I1008" s="75">
        <f>IF(F1008&gt;='THAM_SO_MOI'!$C$14,'THAM_SO_MOI'!$C$13*(1+F1008^2/1500),'THAM_SO_MOI'!$C$13)</f>
        <v>0.020253698533985457</v>
      </c>
      <c r="J1008" s="75">
        <f>'THAM_SO_MOI'!$C$40*('THAM_SO_MOI'!$C$23*(E1008/'THAM_SO_MOI'!$C$22)+'THAM_SO_MOI'!$C$24*(E1008/'THAM_SO_MOI'!$C$22)^2-'THAM_SO_MOI'!$C$25*(E1008/'THAM_SO_MOI'!$C$22)^3)</f>
        <v>101.60593673541648</v>
      </c>
      <c r="K1008" s="75">
        <f>'THAM_SO_MOI'!$C$31*J1008/E1008</f>
        <v>429.7219963457198</v>
      </c>
      <c r="L1008" s="75">
        <f>K1008*'THAM_SO_MOI'!$C$53*'THAM_SO_MOI'!$C$17/'THAM_SO_MOI'!$C$26</f>
        <v>3768.663589440622</v>
      </c>
      <c r="M1008" s="75">
        <f>'THAM_SO_MOI'!$C$15*'THAM_SO_MOI'!$C$16*F1008^2</f>
        <v>1536.706821190747</v>
      </c>
      <c r="N1008" s="75">
        <f>'THAM_SO_MOI'!$C$12*I1008</f>
        <v>1525.9298505092916</v>
      </c>
      <c r="O1008" s="75">
        <f>M1008+N1008</f>
        <v>3062.6366717000383</v>
      </c>
      <c r="P1008" s="75">
        <f>(MIN(L1008,'THAM_SO_MOI'!$C$41)-O1008)/('THAM_SO_MOI'!$C$11*H1008)</f>
        <v>0.08357326204315624</v>
      </c>
      <c r="Q1008" s="75">
        <f>IF(P1008&gt;0,1/P1008,NA())</f>
        <v>11.965549453886482</v>
      </c>
      <c r="R1008" s="75">
        <f>F1008-F1007</f>
        <v>0.0035868055555567935</v>
      </c>
      <c r="S1008" s="75">
        <f>0.5*(Q1007+Q1008)*R1008</f>
        <v>0.04289889880465808</v>
      </c>
      <c r="T1008" s="75">
        <f>0.5*(F1007*Q1007+F1008*Q1008)*R1008</f>
        <v>0.9832065246137852</v>
      </c>
      <c r="U1008" s="76">
        <f>U1007+S1008</f>
        <v>80.42026845727182</v>
      </c>
      <c r="V1008" s="76">
        <f>V1007+T1008</f>
        <v>1304.4793603448697</v>
      </c>
    </row>
    <row r="1009" spans="1:22" ht="19" customHeight="1">
      <c r="A1009" s="68" t="s">
        <v>362</v>
      </c>
      <c r="B1009" s="74">
        <v>5</v>
      </c>
      <c r="C1009" s="68" t="s">
        <v>363</v>
      </c>
      <c r="D1009" s="68" t="s">
        <v>365</v>
      </c>
      <c r="E1009" s="75">
        <f>60*F1009*'THAM_SO_MOI'!$C$53/(2*PI()*'THAM_SO_MOI'!$C$26)</f>
        <v>2258.6699473684207</v>
      </c>
      <c r="F1009" s="75">
        <f>'THAM_SO_MOI'!$C$14+('THAM_SO_MOI'!$C$37-'THAM_SO_MOI'!$C$14)*202/'THAM_SO_MOI'!$C$42</f>
        <v>22.924534722222223</v>
      </c>
      <c r="G1009" s="75">
        <f>3.6*F1009</f>
        <v>82.52832500000001</v>
      </c>
      <c r="H1009" s="75">
        <f>'THAM_SO_MOI'!$D$53</f>
        <v>1.1</v>
      </c>
      <c r="I1009" s="75">
        <f>IF(F1009&gt;='THAM_SO_MOI'!$C$14,'THAM_SO_MOI'!$C$13*(1+F1009^2/1500),'THAM_SO_MOI'!$C$13)</f>
        <v>0.020255342922303722</v>
      </c>
      <c r="J1009" s="75">
        <f>'THAM_SO_MOI'!$C$40*('THAM_SO_MOI'!$C$23*(E1009/'THAM_SO_MOI'!$C$22)+'THAM_SO_MOI'!$C$24*(E1009/'THAM_SO_MOI'!$C$22)^2-'THAM_SO_MOI'!$C$25*(E1009/'THAM_SO_MOI'!$C$22)^3)</f>
        <v>101.62109213050859</v>
      </c>
      <c r="K1009" s="75">
        <f>'THAM_SO_MOI'!$C$31*J1009/E1009</f>
        <v>429.71884811135055</v>
      </c>
      <c r="L1009" s="75">
        <f>K1009*'THAM_SO_MOI'!$C$53*'THAM_SO_MOI'!$C$17/'THAM_SO_MOI'!$C$26</f>
        <v>3768.6359794128853</v>
      </c>
      <c r="M1009" s="75">
        <f>'THAM_SO_MOI'!$C$15*'THAM_SO_MOI'!$C$16*F1009^2</f>
        <v>1537.1878047738392</v>
      </c>
      <c r="N1009" s="75">
        <f>'THAM_SO_MOI'!$C$12*I1009</f>
        <v>1526.0537400407004</v>
      </c>
      <c r="O1009" s="75">
        <f>M1009+N1009</f>
        <v>3063.2415448145393</v>
      </c>
      <c r="P1009" s="75">
        <f>(MIN(L1009,'THAM_SO_MOI'!$C$41)-O1009)/('THAM_SO_MOI'!$C$11*H1009)</f>
        <v>0.08349839424696327</v>
      </c>
      <c r="Q1009" s="75">
        <f>IF(P1009&gt;0,1/P1009,NA())</f>
        <v>11.976278214911524</v>
      </c>
      <c r="R1009" s="75">
        <f>F1009-F1008</f>
        <v>0.0035868055555567935</v>
      </c>
      <c r="S1009" s="75">
        <f>0.5*(Q1008+Q1009)*R1009</f>
        <v>0.04293734024631402</v>
      </c>
      <c r="T1009" s="75">
        <f>0.5*(F1008*Q1008+F1009*Q1009)*R1009</f>
        <v>0.9842415779180719</v>
      </c>
      <c r="U1009" s="76">
        <f>U1008+S1009</f>
        <v>80.46320579751813</v>
      </c>
      <c r="V1009" s="76">
        <f>V1008+T1009</f>
        <v>1305.4636019227878</v>
      </c>
    </row>
    <row r="1010" spans="1:22" ht="19" customHeight="1">
      <c r="A1010" s="68" t="s">
        <v>362</v>
      </c>
      <c r="B1010" s="74">
        <v>5</v>
      </c>
      <c r="C1010" s="68" t="s">
        <v>363</v>
      </c>
      <c r="D1010" s="68" t="s">
        <v>365</v>
      </c>
      <c r="E1010" s="75">
        <f>60*F1010*'THAM_SO_MOI'!$C$53/(2*PI()*'THAM_SO_MOI'!$C$26)</f>
        <v>2259.0233421052626</v>
      </c>
      <c r="F1010" s="75">
        <f>'THAM_SO_MOI'!$C$14+('THAM_SO_MOI'!$C$37-'THAM_SO_MOI'!$C$14)*203/'THAM_SO_MOI'!$C$42</f>
        <v>22.928121527777776</v>
      </c>
      <c r="G1010" s="75">
        <f>3.6*F1010</f>
        <v>82.5412375</v>
      </c>
      <c r="H1010" s="75">
        <f>'THAM_SO_MOI'!$D$53</f>
        <v>1.1</v>
      </c>
      <c r="I1010" s="75">
        <f>IF(F1010&gt;='THAM_SO_MOI'!$C$14,'THAM_SO_MOI'!$C$13*(1+F1010^2/1500),'THAM_SO_MOI'!$C$13)</f>
        <v>0.020256987567925468</v>
      </c>
      <c r="J1010" s="75">
        <f>'THAM_SO_MOI'!$C$40*('THAM_SO_MOI'!$C$23*(E1010/'THAM_SO_MOI'!$C$22)+'THAM_SO_MOI'!$C$24*(E1010/'THAM_SO_MOI'!$C$22)^2-'THAM_SO_MOI'!$C$25*(E1010/'THAM_SO_MOI'!$C$22)^3)</f>
        <v>101.63624442695911</v>
      </c>
      <c r="K1010" s="75">
        <f>'THAM_SO_MOI'!$C$31*J1010/E1010</f>
        <v>429.71568776099684</v>
      </c>
      <c r="L1010" s="75">
        <f>K1010*'THAM_SO_MOI'!$C$53*'THAM_SO_MOI'!$C$17/'THAM_SO_MOI'!$C$26</f>
        <v>3768.6082631279173</v>
      </c>
      <c r="M1010" s="75">
        <f>'THAM_SO_MOI'!$C$15*'THAM_SO_MOI'!$C$16*F1010^2</f>
        <v>1537.6688636181993</v>
      </c>
      <c r="N1010" s="75">
        <f>'THAM_SO_MOI'!$C$12*I1010</f>
        <v>1526.177648957559</v>
      </c>
      <c r="O1010" s="75">
        <f>M1010+N1010</f>
        <v>3063.8465125757584</v>
      </c>
      <c r="P1010" s="75">
        <f>(MIN(L1010,'THAM_SO_MOI'!$C$41)-O1010)/('THAM_SO_MOI'!$C$11*H1010)</f>
        <v>0.08342350266952639</v>
      </c>
      <c r="Q1010" s="75">
        <f>IF(P1010&gt;0,1/P1010,NA())</f>
        <v>11.98702964992248</v>
      </c>
      <c r="R1010" s="75">
        <f>F1010-F1009</f>
        <v>0.0035868055555532408</v>
      </c>
      <c r="S1010" s="75">
        <f>0.5*(Q1009+Q1010)*R1010</f>
        <v>0.042975862889509636</v>
      </c>
      <c r="T1010" s="75">
        <f>0.5*(F1009*Q1009+F1010*Q1010)*R1010</f>
        <v>0.9852787686396793</v>
      </c>
      <c r="U1010" s="76">
        <f>U1009+S1010</f>
        <v>80.50618166040763</v>
      </c>
      <c r="V1010" s="76">
        <f>V1009+T1010</f>
        <v>1306.4488806914276</v>
      </c>
    </row>
    <row r="1011" spans="1:22" ht="19" customHeight="1">
      <c r="A1011" s="68" t="s">
        <v>362</v>
      </c>
      <c r="B1011" s="74">
        <v>5</v>
      </c>
      <c r="C1011" s="68" t="s">
        <v>363</v>
      </c>
      <c r="D1011" s="68" t="s">
        <v>365</v>
      </c>
      <c r="E1011" s="75">
        <f>60*F1011*'THAM_SO_MOI'!$C$53/(2*PI()*'THAM_SO_MOI'!$C$26)</f>
        <v>2259.3767368421045</v>
      </c>
      <c r="F1011" s="75">
        <f>'THAM_SO_MOI'!$C$14+('THAM_SO_MOI'!$C$37-'THAM_SO_MOI'!$C$14)*204/'THAM_SO_MOI'!$C$42</f>
        <v>22.931708333333333</v>
      </c>
      <c r="G1011" s="75">
        <f>3.6*F1011</f>
        <v>82.55415</v>
      </c>
      <c r="H1011" s="75">
        <f>'THAM_SO_MOI'!$D$53</f>
        <v>1.1</v>
      </c>
      <c r="I1011" s="75">
        <f>IF(F1011&gt;='THAM_SO_MOI'!$C$14,'THAM_SO_MOI'!$C$13*(1+F1011^2/1500),'THAM_SO_MOI'!$C$13)</f>
        <v>0.020258632470850694</v>
      </c>
      <c r="J1011" s="75">
        <f>'THAM_SO_MOI'!$C$40*('THAM_SO_MOI'!$C$23*(E1011/'THAM_SO_MOI'!$C$22)+'THAM_SO_MOI'!$C$24*(E1011/'THAM_SO_MOI'!$C$22)^2-'THAM_SO_MOI'!$C$25*(E1011/'THAM_SO_MOI'!$C$22)^3)</f>
        <v>101.65139362342315</v>
      </c>
      <c r="K1011" s="75">
        <f>'THAM_SO_MOI'!$C$31*J1011/E1011</f>
        <v>429.7125152946586</v>
      </c>
      <c r="L1011" s="75">
        <f>K1011*'THAM_SO_MOI'!$C$53*'THAM_SO_MOI'!$C$17/'THAM_SO_MOI'!$C$26</f>
        <v>3768.5804405857166</v>
      </c>
      <c r="M1011" s="75">
        <f>'THAM_SO_MOI'!$C$15*'THAM_SO_MOI'!$C$16*F1011^2</f>
        <v>1538.1499977238282</v>
      </c>
      <c r="N1011" s="75">
        <f>'THAM_SO_MOI'!$C$12*I1011</f>
        <v>1526.301577259868</v>
      </c>
      <c r="O1011" s="75">
        <f>M1011+N1011</f>
        <v>3064.4515749836964</v>
      </c>
      <c r="P1011" s="75">
        <f>(MIN(L1011,'THAM_SO_MOI'!$C$41)-O1011)/('THAM_SO_MOI'!$C$11*H1011)</f>
        <v>0.08334858731084521</v>
      </c>
      <c r="Q1011" s="75">
        <f>IF(P1011&gt;0,1/P1011,NA())</f>
        <v>11.997803829242361</v>
      </c>
      <c r="R1011" s="75">
        <f>F1011-F1010</f>
        <v>0.0035868055555567935</v>
      </c>
      <c r="S1011" s="75">
        <f>0.5*(Q1010+Q1011)*R1011</f>
        <v>0.04301446698608651</v>
      </c>
      <c r="T1011" s="75">
        <f>0.5*(F1010*Q1010+F1011*Q1011)*R1011</f>
        <v>0.9863181034270773</v>
      </c>
      <c r="U1011" s="76">
        <f>U1010+S1011</f>
        <v>80.54919612739371</v>
      </c>
      <c r="V1011" s="76">
        <f>V1010+T1011</f>
        <v>1307.4351987948546</v>
      </c>
    </row>
    <row r="1012" spans="1:22" ht="19" customHeight="1">
      <c r="A1012" s="68" t="s">
        <v>362</v>
      </c>
      <c r="B1012" s="74">
        <v>5</v>
      </c>
      <c r="C1012" s="68" t="s">
        <v>363</v>
      </c>
      <c r="D1012" s="68" t="s">
        <v>365</v>
      </c>
      <c r="E1012" s="75">
        <f>60*F1012*'THAM_SO_MOI'!$C$53/(2*PI()*'THAM_SO_MOI'!$C$26)</f>
        <v>2259.730131578947</v>
      </c>
      <c r="F1012" s="75">
        <f>'THAM_SO_MOI'!$C$14+('THAM_SO_MOI'!$C$37-'THAM_SO_MOI'!$C$14)*205/'THAM_SO_MOI'!$C$42</f>
        <v>22.93529513888889</v>
      </c>
      <c r="G1012" s="75">
        <f>3.6*F1012</f>
        <v>82.5670625</v>
      </c>
      <c r="H1012" s="75">
        <f>'THAM_SO_MOI'!$D$53</f>
        <v>1.1</v>
      </c>
      <c r="I1012" s="75">
        <f>IF(F1012&gt;='THAM_SO_MOI'!$C$14,'THAM_SO_MOI'!$C$13*(1+F1012^2/1500),'THAM_SO_MOI'!$C$13)</f>
        <v>0.0202602776310794</v>
      </c>
      <c r="J1012" s="75">
        <f>'THAM_SO_MOI'!$C$40*('THAM_SO_MOI'!$C$23*(E1012/'THAM_SO_MOI'!$C$22)+'THAM_SO_MOI'!$C$24*(E1012/'THAM_SO_MOI'!$C$22)^2-'THAM_SO_MOI'!$C$25*(E1012/'THAM_SO_MOI'!$C$22)^3)</f>
        <v>101.66653971855582</v>
      </c>
      <c r="K1012" s="75">
        <f>'THAM_SO_MOI'!$C$31*J1012/E1012</f>
        <v>429.7093307123359</v>
      </c>
      <c r="L1012" s="75">
        <f>K1012*'THAM_SO_MOI'!$C$53*'THAM_SO_MOI'!$C$17/'THAM_SO_MOI'!$C$26</f>
        <v>3768.5525117862853</v>
      </c>
      <c r="M1012" s="75">
        <f>'THAM_SO_MOI'!$C$15*'THAM_SO_MOI'!$C$16*F1012^2</f>
        <v>1538.6312070907254</v>
      </c>
      <c r="N1012" s="75">
        <f>'THAM_SO_MOI'!$C$12*I1012</f>
        <v>1526.425524947627</v>
      </c>
      <c r="O1012" s="75">
        <f>M1012+N1012</f>
        <v>3065.0567320383525</v>
      </c>
      <c r="P1012" s="75">
        <f>(MIN(L1012,'THAM_SO_MOI'!$C$41)-O1012)/('THAM_SO_MOI'!$C$11*H1012)</f>
        <v>0.0832736481709201</v>
      </c>
      <c r="Q1012" s="75">
        <f>IF(P1012&gt;0,1/P1012,NA())</f>
        <v>12.008600823486065</v>
      </c>
      <c r="R1012" s="75">
        <f>F1012-F1011</f>
        <v>0.0035868055555567935</v>
      </c>
      <c r="S1012" s="75">
        <f>0.5*(Q1011+Q1012)*R1012</f>
        <v>0.04305315278867539</v>
      </c>
      <c r="T1012" s="75">
        <f>0.5*(F1011*Q1011+F1012*Q1012)*R1012</f>
        <v>0.9873595889504465</v>
      </c>
      <c r="U1012" s="76">
        <f>U1011+S1012</f>
        <v>80.59224928018239</v>
      </c>
      <c r="V1012" s="76">
        <f>V1011+T1012</f>
        <v>1308.4225583838052</v>
      </c>
    </row>
    <row r="1013" spans="1:22" ht="19" customHeight="1">
      <c r="A1013" s="68" t="s">
        <v>362</v>
      </c>
      <c r="B1013" s="74">
        <v>5</v>
      </c>
      <c r="C1013" s="68" t="s">
        <v>363</v>
      </c>
      <c r="D1013" s="68" t="s">
        <v>365</v>
      </c>
      <c r="E1013" s="75">
        <f>60*F1013*'THAM_SO_MOI'!$C$53/(2*PI()*'THAM_SO_MOI'!$C$26)</f>
        <v>2260.0835263157887</v>
      </c>
      <c r="F1013" s="75">
        <f>'THAM_SO_MOI'!$C$14+('THAM_SO_MOI'!$C$37-'THAM_SO_MOI'!$C$14)*206/'THAM_SO_MOI'!$C$42</f>
        <v>22.938881944444443</v>
      </c>
      <c r="G1013" s="75">
        <f>3.6*F1013</f>
        <v>82.57997499999999</v>
      </c>
      <c r="H1013" s="75">
        <f>'THAM_SO_MOI'!$D$53</f>
        <v>1.1</v>
      </c>
      <c r="I1013" s="75">
        <f>IF(F1013&gt;='THAM_SO_MOI'!$C$14,'THAM_SO_MOI'!$C$13*(1+F1013^2/1500),'THAM_SO_MOI'!$C$13)</f>
        <v>0.02026192304861159</v>
      </c>
      <c r="J1013" s="75">
        <f>'THAM_SO_MOI'!$C$40*('THAM_SO_MOI'!$C$23*(E1013/'THAM_SO_MOI'!$C$22)+'THAM_SO_MOI'!$C$24*(E1013/'THAM_SO_MOI'!$C$22)^2-'THAM_SO_MOI'!$C$25*(E1013/'THAM_SO_MOI'!$C$22)^3)</f>
        <v>101.68168271101227</v>
      </c>
      <c r="K1013" s="75">
        <f>'THAM_SO_MOI'!$C$31*J1013/E1013</f>
        <v>429.70613401402886</v>
      </c>
      <c r="L1013" s="75">
        <f>K1013*'THAM_SO_MOI'!$C$53*'THAM_SO_MOI'!$C$17/'THAM_SO_MOI'!$C$26</f>
        <v>3768.524476729624</v>
      </c>
      <c r="M1013" s="75">
        <f>'THAM_SO_MOI'!$C$15*'THAM_SO_MOI'!$C$16*F1013^2</f>
        <v>1539.1124917188909</v>
      </c>
      <c r="N1013" s="75">
        <f>'THAM_SO_MOI'!$C$12*I1013</f>
        <v>1526.5494920208362</v>
      </c>
      <c r="O1013" s="75">
        <f>M1013+N1013</f>
        <v>3065.661983739727</v>
      </c>
      <c r="P1013" s="75">
        <f>(MIN(L1013,'THAM_SO_MOI'!$C$41)-O1013)/('THAM_SO_MOI'!$C$11*H1013)</f>
        <v>0.08319868524975106</v>
      </c>
      <c r="Q1013" s="75">
        <f>IF(P1013&gt;0,1/P1013,NA())</f>
        <v>12.019420703562044</v>
      </c>
      <c r="R1013" s="75">
        <f>F1013-F1012</f>
        <v>0.0035868055555532408</v>
      </c>
      <c r="S1013" s="75">
        <f>0.5*(Q1012+Q1013)*R1013</f>
        <v>0.04309192055108452</v>
      </c>
      <c r="T1013" s="75">
        <f>0.5*(F1012*Q1012+F1013*Q1013)*R1013</f>
        <v>0.9884032319106011</v>
      </c>
      <c r="U1013" s="76">
        <f>U1012+S1013</f>
        <v>80.63534120073346</v>
      </c>
      <c r="V1013" s="76">
        <f>V1012+T1013</f>
        <v>1309.4109616157157</v>
      </c>
    </row>
    <row r="1014" spans="1:22" ht="19" customHeight="1">
      <c r="A1014" s="68" t="s">
        <v>362</v>
      </c>
      <c r="B1014" s="74">
        <v>5</v>
      </c>
      <c r="C1014" s="68" t="s">
        <v>363</v>
      </c>
      <c r="D1014" s="68" t="s">
        <v>365</v>
      </c>
      <c r="E1014" s="75">
        <f>60*F1014*'THAM_SO_MOI'!$C$53/(2*PI()*'THAM_SO_MOI'!$C$26)</f>
        <v>2260.4369210526315</v>
      </c>
      <c r="F1014" s="75">
        <f>'THAM_SO_MOI'!$C$14+('THAM_SO_MOI'!$C$37-'THAM_SO_MOI'!$C$14)*207/'THAM_SO_MOI'!$C$42</f>
        <v>22.94246875</v>
      </c>
      <c r="G1014" s="75">
        <f>3.6*F1014</f>
        <v>82.5928875</v>
      </c>
      <c r="H1014" s="75">
        <f>'THAM_SO_MOI'!$D$53</f>
        <v>1.1</v>
      </c>
      <c r="I1014" s="75">
        <f>IF(F1014&gt;='THAM_SO_MOI'!$C$14,'THAM_SO_MOI'!$C$13*(1+F1014^2/1500),'THAM_SO_MOI'!$C$13)</f>
        <v>0.020263568723447267</v>
      </c>
      <c r="J1014" s="75">
        <f>'THAM_SO_MOI'!$C$40*('THAM_SO_MOI'!$C$23*(E1014/'THAM_SO_MOI'!$C$22)+'THAM_SO_MOI'!$C$24*(E1014/'THAM_SO_MOI'!$C$22)^2-'THAM_SO_MOI'!$C$25*(E1014/'THAM_SO_MOI'!$C$22)^3)</f>
        <v>101.69682259944759</v>
      </c>
      <c r="K1014" s="75">
        <f>'THAM_SO_MOI'!$C$31*J1014/E1014</f>
        <v>429.70292519973725</v>
      </c>
      <c r="L1014" s="75">
        <f>K1014*'THAM_SO_MOI'!$C$53*'THAM_SO_MOI'!$C$17/'THAM_SO_MOI'!$C$26</f>
        <v>3768.4963354157308</v>
      </c>
      <c r="M1014" s="75">
        <f>'THAM_SO_MOI'!$C$15*'THAM_SO_MOI'!$C$16*F1014^2</f>
        <v>1539.5938516083254</v>
      </c>
      <c r="N1014" s="75">
        <f>'THAM_SO_MOI'!$C$12*I1014</f>
        <v>1526.6734784794958</v>
      </c>
      <c r="O1014" s="75">
        <f>M1014+N1014</f>
        <v>3066.2673300878214</v>
      </c>
      <c r="P1014" s="75">
        <f>(MIN(L1014,'THAM_SO_MOI'!$C$41)-O1014)/('THAM_SO_MOI'!$C$11*H1014)</f>
        <v>0.08312369854733781</v>
      </c>
      <c r="Q1014" s="75">
        <f>IF(P1014&gt;0,1/P1014,NA())</f>
        <v>12.030263540673827</v>
      </c>
      <c r="R1014" s="75">
        <f>F1014-F1013</f>
        <v>0.0035868055555567935</v>
      </c>
      <c r="S1014" s="75">
        <f>0.5*(Q1013+Q1014)*R1014</f>
        <v>0.04313077052830595</v>
      </c>
      <c r="T1014" s="75">
        <f>0.5*(F1013*Q1013+F1014*Q1014)*R1014</f>
        <v>0.9894490390391539</v>
      </c>
      <c r="U1014" s="76">
        <f>U1013+S1014</f>
        <v>80.67847197126177</v>
      </c>
      <c r="V1014" s="76">
        <f>V1013+T1014</f>
        <v>1310.4004106547548</v>
      </c>
    </row>
    <row r="1015" spans="1:22" ht="19" customHeight="1">
      <c r="A1015" s="68" t="s">
        <v>362</v>
      </c>
      <c r="B1015" s="74">
        <v>5</v>
      </c>
      <c r="C1015" s="68" t="s">
        <v>363</v>
      </c>
      <c r="D1015" s="68" t="s">
        <v>365</v>
      </c>
      <c r="E1015" s="75">
        <f>60*F1015*'THAM_SO_MOI'!$C$53/(2*PI()*'THAM_SO_MOI'!$C$26)</f>
        <v>2260.790315789473</v>
      </c>
      <c r="F1015" s="75">
        <f>'THAM_SO_MOI'!$C$14+('THAM_SO_MOI'!$C$37-'THAM_SO_MOI'!$C$14)*208/'THAM_SO_MOI'!$C$42</f>
        <v>22.946055555555553</v>
      </c>
      <c r="G1015" s="75">
        <f>3.6*F1015</f>
        <v>82.60579999999999</v>
      </c>
      <c r="H1015" s="75">
        <f>'THAM_SO_MOI'!$D$53</f>
        <v>1.1</v>
      </c>
      <c r="I1015" s="75">
        <f>IF(F1015&gt;='THAM_SO_MOI'!$C$14,'THAM_SO_MOI'!$C$13*(1+F1015^2/1500),'THAM_SO_MOI'!$C$13)</f>
        <v>0.02026521465558642</v>
      </c>
      <c r="J1015" s="75">
        <f>'THAM_SO_MOI'!$C$40*('THAM_SO_MOI'!$C$23*(E1015/'THAM_SO_MOI'!$C$22)+'THAM_SO_MOI'!$C$24*(E1015/'THAM_SO_MOI'!$C$22)^2-'THAM_SO_MOI'!$C$25*(E1015/'THAM_SO_MOI'!$C$22)^3)</f>
        <v>101.71195938251681</v>
      </c>
      <c r="K1015" s="75">
        <f>'THAM_SO_MOI'!$C$31*J1015/E1015</f>
        <v>429.6997042694612</v>
      </c>
      <c r="L1015" s="75">
        <f>K1015*'THAM_SO_MOI'!$C$53*'THAM_SO_MOI'!$C$17/'THAM_SO_MOI'!$C$26</f>
        <v>3768.4680878446065</v>
      </c>
      <c r="M1015" s="75">
        <f>'THAM_SO_MOI'!$C$15*'THAM_SO_MOI'!$C$16*F1015^2</f>
        <v>1540.0752867590274</v>
      </c>
      <c r="N1015" s="75">
        <f>'THAM_SO_MOI'!$C$12*I1015</f>
        <v>1526.7974843236052</v>
      </c>
      <c r="O1015" s="75">
        <f>M1015+N1015</f>
        <v>3066.8727710826324</v>
      </c>
      <c r="P1015" s="75">
        <f>(MIN(L1015,'THAM_SO_MOI'!$C$41)-O1015)/('THAM_SO_MOI'!$C$11*H1015)</f>
        <v>0.0830486880636806</v>
      </c>
      <c r="Q1015" s="75">
        <f>IF(P1015&gt;0,1/P1015,NA())</f>
        <v>12.04112940632143</v>
      </c>
      <c r="R1015" s="75">
        <f>F1015-F1014</f>
        <v>0.0035868055555532408</v>
      </c>
      <c r="S1015" s="75">
        <f>0.5*(Q1014+Q1015)*R1015</f>
        <v>0.04316970297609384</v>
      </c>
      <c r="T1015" s="75">
        <f>0.5*(F1014*Q1014+F1015*Q1015)*R1015</f>
        <v>0.9904970170888614</v>
      </c>
      <c r="U1015" s="76">
        <f>U1014+S1015</f>
        <v>80.72164167423786</v>
      </c>
      <c r="V1015" s="76">
        <f>V1014+T1015</f>
        <v>1311.3909076718437</v>
      </c>
    </row>
    <row r="1016" spans="1:22" ht="19" customHeight="1">
      <c r="A1016" s="68" t="s">
        <v>362</v>
      </c>
      <c r="B1016" s="74">
        <v>5</v>
      </c>
      <c r="C1016" s="68" t="s">
        <v>363</v>
      </c>
      <c r="D1016" s="68" t="s">
        <v>365</v>
      </c>
      <c r="E1016" s="75">
        <f>60*F1016*'THAM_SO_MOI'!$C$53/(2*PI()*'THAM_SO_MOI'!$C$26)</f>
        <v>2261.1437105263153</v>
      </c>
      <c r="F1016" s="75">
        <f>'THAM_SO_MOI'!$C$14+('THAM_SO_MOI'!$C$37-'THAM_SO_MOI'!$C$14)*209/'THAM_SO_MOI'!$C$42</f>
        <v>22.94964236111111</v>
      </c>
      <c r="G1016" s="75">
        <f>3.6*F1016</f>
        <v>82.6187125</v>
      </c>
      <c r="H1016" s="75">
        <f>'THAM_SO_MOI'!$D$53</f>
        <v>1.1</v>
      </c>
      <c r="I1016" s="75">
        <f>IF(F1016&gt;='THAM_SO_MOI'!$C$14,'THAM_SO_MOI'!$C$13*(1+F1016^2/1500),'THAM_SO_MOI'!$C$13)</f>
        <v>0.02026686084502905</v>
      </c>
      <c r="J1016" s="75">
        <f>'THAM_SO_MOI'!$C$40*('THAM_SO_MOI'!$C$23*(E1016/'THAM_SO_MOI'!$C$22)+'THAM_SO_MOI'!$C$24*(E1016/'THAM_SO_MOI'!$C$22)^2-'THAM_SO_MOI'!$C$25*(E1016/'THAM_SO_MOI'!$C$22)^3)</f>
        <v>101.72709305887513</v>
      </c>
      <c r="K1016" s="75">
        <f>'THAM_SO_MOI'!$C$31*J1016/E1016</f>
        <v>429.6964712232006</v>
      </c>
      <c r="L1016" s="75">
        <f>K1016*'THAM_SO_MOI'!$C$53*'THAM_SO_MOI'!$C$17/'THAM_SO_MOI'!$C$26</f>
        <v>3768.4397340162504</v>
      </c>
      <c r="M1016" s="75">
        <f>'THAM_SO_MOI'!$C$15*'THAM_SO_MOI'!$C$16*F1016^2</f>
        <v>1540.5567971709988</v>
      </c>
      <c r="N1016" s="75">
        <f>'THAM_SO_MOI'!$C$12*I1016</f>
        <v>1526.9215095531647</v>
      </c>
      <c r="O1016" s="75">
        <f>M1016+N1016</f>
        <v>3067.4783067241633</v>
      </c>
      <c r="P1016" s="75">
        <f>(MIN(L1016,'THAM_SO_MOI'!$C$41)-O1016)/('THAM_SO_MOI'!$C$11*H1016)</f>
        <v>0.08297365379877923</v>
      </c>
      <c r="Q1016" s="75">
        <f>IF(P1016&gt;0,1/P1016,NA())</f>
        <v>12.05201837230305</v>
      </c>
      <c r="R1016" s="75">
        <f>F1016-F1015</f>
        <v>0.0035868055555567935</v>
      </c>
      <c r="S1016" s="75">
        <f>0.5*(Q1015+Q1016)*R1016</f>
        <v>0.043208718151610544</v>
      </c>
      <c r="T1016" s="75">
        <f>0.5*(F1015*Q1015+F1016*Q1016)*R1016</f>
        <v>0.9915471728484655</v>
      </c>
      <c r="U1016" s="76">
        <f>U1015+S1016</f>
        <v>80.76485039238946</v>
      </c>
      <c r="V1016" s="76">
        <f>V1015+T1016</f>
        <v>1312.3824548446921</v>
      </c>
    </row>
    <row r="1017" spans="1:22" ht="19" customHeight="1">
      <c r="A1017" s="68" t="s">
        <v>362</v>
      </c>
      <c r="B1017" s="74">
        <v>5</v>
      </c>
      <c r="C1017" s="68" t="s">
        <v>363</v>
      </c>
      <c r="D1017" s="68" t="s">
        <v>365</v>
      </c>
      <c r="E1017" s="75">
        <f>60*F1017*'THAM_SO_MOI'!$C$53/(2*PI()*'THAM_SO_MOI'!$C$26)</f>
        <v>2261.497105263157</v>
      </c>
      <c r="F1017" s="75">
        <f>'THAM_SO_MOI'!$C$14+('THAM_SO_MOI'!$C$37-'THAM_SO_MOI'!$C$14)*210/'THAM_SO_MOI'!$C$42</f>
        <v>22.953229166666667</v>
      </c>
      <c r="G1017" s="75">
        <f>3.6*F1017</f>
        <v>82.631625</v>
      </c>
      <c r="H1017" s="75">
        <f>'THAM_SO_MOI'!$D$53</f>
        <v>1.1</v>
      </c>
      <c r="I1017" s="75">
        <f>IF(F1017&gt;='THAM_SO_MOI'!$C$14,'THAM_SO_MOI'!$C$13*(1+F1017^2/1500),'THAM_SO_MOI'!$C$13)</f>
        <v>0.02026850729177517</v>
      </c>
      <c r="J1017" s="75">
        <f>'THAM_SO_MOI'!$C$40*('THAM_SO_MOI'!$C$23*(E1017/'THAM_SO_MOI'!$C$22)+'THAM_SO_MOI'!$C$24*(E1017/'THAM_SO_MOI'!$C$22)^2-'THAM_SO_MOI'!$C$25*(E1017/'THAM_SO_MOI'!$C$22)^3)</f>
        <v>101.74222362717765</v>
      </c>
      <c r="K1017" s="75">
        <f>'THAM_SO_MOI'!$C$31*J1017/E1017</f>
        <v>429.69322606095574</v>
      </c>
      <c r="L1017" s="75">
        <f>K1017*'THAM_SO_MOI'!$C$53*'THAM_SO_MOI'!$C$17/'THAM_SO_MOI'!$C$26</f>
        <v>3768.4112739306643</v>
      </c>
      <c r="M1017" s="75">
        <f>'THAM_SO_MOI'!$C$15*'THAM_SO_MOI'!$C$16*F1017^2</f>
        <v>1541.0383828442384</v>
      </c>
      <c r="N1017" s="75">
        <f>'THAM_SO_MOI'!$C$12*I1017</f>
        <v>1527.045554168175</v>
      </c>
      <c r="O1017" s="75">
        <f>M1017+N1017</f>
        <v>3068.083937012413</v>
      </c>
      <c r="P1017" s="75">
        <f>(MIN(L1017,'THAM_SO_MOI'!$C$41)-O1017)/('THAM_SO_MOI'!$C$11*H1017)</f>
        <v>0.08289859575263384</v>
      </c>
      <c r="Q1017" s="75">
        <f>IF(P1017&gt;0,1/P1017,NA())</f>
        <v>12.0629305107165</v>
      </c>
      <c r="R1017" s="75">
        <f>F1017-F1016</f>
        <v>0.0035868055555567935</v>
      </c>
      <c r="S1017" s="75">
        <f>0.5*(Q1016+Q1017)*R1017</f>
        <v>0.04324781631279131</v>
      </c>
      <c r="T1017" s="75">
        <f>0.5*(F1016*Q1016+F1017*Q1017)*R1017</f>
        <v>0.9925995131281358</v>
      </c>
      <c r="U1017" s="76">
        <f>U1016+S1017</f>
        <v>80.80809820870225</v>
      </c>
      <c r="V1017" s="76">
        <f>V1016+T1017</f>
        <v>1313.3750543578203</v>
      </c>
    </row>
    <row r="1018" spans="1:22" ht="19" customHeight="1">
      <c r="A1018" s="68" t="s">
        <v>362</v>
      </c>
      <c r="B1018" s="74">
        <v>5</v>
      </c>
      <c r="C1018" s="68" t="s">
        <v>363</v>
      </c>
      <c r="D1018" s="68" t="s">
        <v>365</v>
      </c>
      <c r="E1018" s="75">
        <f>60*F1018*'THAM_SO_MOI'!$C$53/(2*PI()*'THAM_SO_MOI'!$C$26)</f>
        <v>2261.850499999999</v>
      </c>
      <c r="F1018" s="75">
        <f>'THAM_SO_MOI'!$C$14+('THAM_SO_MOI'!$C$37-'THAM_SO_MOI'!$C$14)*211/'THAM_SO_MOI'!$C$42</f>
        <v>22.95681597222222</v>
      </c>
      <c r="G1018" s="75">
        <f>3.6*F1018</f>
        <v>82.6445375</v>
      </c>
      <c r="H1018" s="75">
        <f>'THAM_SO_MOI'!$D$53</f>
        <v>1.1</v>
      </c>
      <c r="I1018" s="75">
        <f>IF(F1018&gt;='THAM_SO_MOI'!$C$14,'THAM_SO_MOI'!$C$13*(1+F1018^2/1500),'THAM_SO_MOI'!$C$13)</f>
        <v>0.02027015399582477</v>
      </c>
      <c r="J1018" s="75">
        <f>'THAM_SO_MOI'!$C$40*('THAM_SO_MOI'!$C$23*(E1018/'THAM_SO_MOI'!$C$22)+'THAM_SO_MOI'!$C$24*(E1018/'THAM_SO_MOI'!$C$22)^2-'THAM_SO_MOI'!$C$25*(E1018/'THAM_SO_MOI'!$C$22)^3)</f>
        <v>101.75735108607944</v>
      </c>
      <c r="K1018" s="75">
        <f>'THAM_SO_MOI'!$C$31*J1018/E1018</f>
        <v>429.6899687827263</v>
      </c>
      <c r="L1018" s="75">
        <f>K1018*'THAM_SO_MOI'!$C$53*'THAM_SO_MOI'!$C$17/'THAM_SO_MOI'!$C$26</f>
        <v>3768.382707587847</v>
      </c>
      <c r="M1018" s="75">
        <f>'THAM_SO_MOI'!$C$15*'THAM_SO_MOI'!$C$16*F1018^2</f>
        <v>1541.520043778746</v>
      </c>
      <c r="N1018" s="75">
        <f>'THAM_SO_MOI'!$C$12*I1018</f>
        <v>1527.1696181686348</v>
      </c>
      <c r="O1018" s="75">
        <f>M1018+N1018</f>
        <v>3068.689661947381</v>
      </c>
      <c r="P1018" s="75">
        <f>(MIN(L1018,'THAM_SO_MOI'!$C$41)-O1018)/('THAM_SO_MOI'!$C$11*H1018)</f>
        <v>0.08282351392524458</v>
      </c>
      <c r="Q1018" s="75">
        <f>IF(P1018&gt;0,1/P1018,NA())</f>
        <v>12.073865893960825</v>
      </c>
      <c r="R1018" s="75">
        <f>F1018-F1017</f>
        <v>0.0035868055555532408</v>
      </c>
      <c r="S1018" s="75">
        <f>0.5*(Q1017+Q1018)*R1018</f>
        <v>0.04328699771877706</v>
      </c>
      <c r="T1018" s="75">
        <f>0.5*(F1017*Q1017+F1018*Q1018)*R1018</f>
        <v>0.9936540447694199</v>
      </c>
      <c r="U1018" s="76">
        <f>U1017+S1018</f>
        <v>80.85138520642103</v>
      </c>
      <c r="V1018" s="76">
        <f>V1017+T1018</f>
        <v>1314.3687084025898</v>
      </c>
    </row>
    <row r="1019" spans="1:22" ht="19" customHeight="1">
      <c r="A1019" s="68" t="s">
        <v>362</v>
      </c>
      <c r="B1019" s="74">
        <v>5</v>
      </c>
      <c r="C1019" s="68" t="s">
        <v>363</v>
      </c>
      <c r="D1019" s="68" t="s">
        <v>365</v>
      </c>
      <c r="E1019" s="75">
        <f>60*F1019*'THAM_SO_MOI'!$C$53/(2*PI()*'THAM_SO_MOI'!$C$26)</f>
        <v>2262.2038947368414</v>
      </c>
      <c r="F1019" s="75">
        <f>'THAM_SO_MOI'!$C$14+('THAM_SO_MOI'!$C$37-'THAM_SO_MOI'!$C$14)*212/'THAM_SO_MOI'!$C$42</f>
        <v>22.960402777777777</v>
      </c>
      <c r="G1019" s="75">
        <f>3.6*F1019</f>
        <v>82.65745</v>
      </c>
      <c r="H1019" s="75">
        <f>'THAM_SO_MOI'!$D$53</f>
        <v>1.1</v>
      </c>
      <c r="I1019" s="75">
        <f>IF(F1019&gt;='THAM_SO_MOI'!$C$14,'THAM_SO_MOI'!$C$13*(1+F1019^2/1500),'THAM_SO_MOI'!$C$13)</f>
        <v>0.020271800957177854</v>
      </c>
      <c r="J1019" s="75">
        <f>'THAM_SO_MOI'!$C$40*('THAM_SO_MOI'!$C$23*(E1019/'THAM_SO_MOI'!$C$22)+'THAM_SO_MOI'!$C$24*(E1019/'THAM_SO_MOI'!$C$22)^2-'THAM_SO_MOI'!$C$25*(E1019/'THAM_SO_MOI'!$C$22)^3)</f>
        <v>101.77247543423567</v>
      </c>
      <c r="K1019" s="75">
        <f>'THAM_SO_MOI'!$C$31*J1019/E1019</f>
        <v>429.6866993885124</v>
      </c>
      <c r="L1019" s="75">
        <f>K1019*'THAM_SO_MOI'!$C$53*'THAM_SO_MOI'!$C$17/'THAM_SO_MOI'!$C$26</f>
        <v>3768.3540349877976</v>
      </c>
      <c r="M1019" s="75">
        <f>'THAM_SO_MOI'!$C$15*'THAM_SO_MOI'!$C$16*F1019^2</f>
        <v>1542.0017799745224</v>
      </c>
      <c r="N1019" s="75">
        <f>'THAM_SO_MOI'!$C$12*I1019</f>
        <v>1527.2937015545454</v>
      </c>
      <c r="O1019" s="75">
        <f>M1019+N1019</f>
        <v>3069.2954815290677</v>
      </c>
      <c r="P1019" s="75">
        <f>(MIN(L1019,'THAM_SO_MOI'!$C$41)-O1019)/('THAM_SO_MOI'!$C$11*H1019)</f>
        <v>0.08274840831661101</v>
      </c>
      <c r="Q1019" s="75">
        <f>IF(P1019&gt;0,1/P1019,NA())</f>
        <v>12.084824594737961</v>
      </c>
      <c r="R1019" s="75">
        <f>F1019-F1018</f>
        <v>0.0035868055555567935</v>
      </c>
      <c r="S1019" s="75">
        <f>0.5*(Q1018+Q1019)*R1019</f>
        <v>0.04332626262992094</v>
      </c>
      <c r="T1019" s="75">
        <f>0.5*(F1018*Q1018+F1019*Q1019)*R1019</f>
        <v>0.9947107746454131</v>
      </c>
      <c r="U1019" s="76">
        <f>U1018+S1019</f>
        <v>80.89471146905095</v>
      </c>
      <c r="V1019" s="76">
        <f>V1018+T1019</f>
        <v>1315.3634191772353</v>
      </c>
    </row>
    <row r="1020" spans="1:22" ht="19" customHeight="1">
      <c r="A1020" s="68" t="s">
        <v>362</v>
      </c>
      <c r="B1020" s="74">
        <v>5</v>
      </c>
      <c r="C1020" s="68" t="s">
        <v>363</v>
      </c>
      <c r="D1020" s="68" t="s">
        <v>365</v>
      </c>
      <c r="E1020" s="75">
        <f>60*F1020*'THAM_SO_MOI'!$C$53/(2*PI()*'THAM_SO_MOI'!$C$26)</f>
        <v>2262.557289473684</v>
      </c>
      <c r="F1020" s="75">
        <f>'THAM_SO_MOI'!$C$14+('THAM_SO_MOI'!$C$37-'THAM_SO_MOI'!$C$14)*213/'THAM_SO_MOI'!$C$42</f>
        <v>22.963989583333333</v>
      </c>
      <c r="G1020" s="75">
        <f>3.6*F1020</f>
        <v>82.6703625</v>
      </c>
      <c r="H1020" s="75">
        <f>'THAM_SO_MOI'!$D$53</f>
        <v>1.1</v>
      </c>
      <c r="I1020" s="75">
        <f>IF(F1020&gt;='THAM_SO_MOI'!$C$14,'THAM_SO_MOI'!$C$13*(1+F1020^2/1500),'THAM_SO_MOI'!$C$13)</f>
        <v>0.020273448175834416</v>
      </c>
      <c r="J1020" s="75">
        <f>'THAM_SO_MOI'!$C$40*('THAM_SO_MOI'!$C$23*(E1020/'THAM_SO_MOI'!$C$22)+'THAM_SO_MOI'!$C$24*(E1020/'THAM_SO_MOI'!$C$22)^2-'THAM_SO_MOI'!$C$25*(E1020/'THAM_SO_MOI'!$C$22)^3)</f>
        <v>101.7875966703014</v>
      </c>
      <c r="K1020" s="75">
        <f>'THAM_SO_MOI'!$C$31*J1020/E1020</f>
        <v>429.68341787831406</v>
      </c>
      <c r="L1020" s="75">
        <f>K1020*'THAM_SO_MOI'!$C$53*'THAM_SO_MOI'!$C$17/'THAM_SO_MOI'!$C$26</f>
        <v>3768.325256130518</v>
      </c>
      <c r="M1020" s="75">
        <f>'THAM_SO_MOI'!$C$15*'THAM_SO_MOI'!$C$16*F1020^2</f>
        <v>1542.4835914315677</v>
      </c>
      <c r="N1020" s="75">
        <f>'THAM_SO_MOI'!$C$12*I1020</f>
        <v>1527.4178043259055</v>
      </c>
      <c r="O1020" s="75">
        <f>M1020+N1020</f>
        <v>3069.9013957574734</v>
      </c>
      <c r="P1020" s="75">
        <f>(MIN(L1020,'THAM_SO_MOI'!$C$41)-O1020)/('THAM_SO_MOI'!$C$11*H1020)</f>
        <v>0.08267327892673353</v>
      </c>
      <c r="Q1020" s="75">
        <f>IF(P1020&gt;0,1/P1020,NA())</f>
        <v>12.095806686054113</v>
      </c>
      <c r="R1020" s="75">
        <f>F1020-F1019</f>
        <v>0.0035868055555567935</v>
      </c>
      <c r="S1020" s="75">
        <f>0.5*(Q1019+Q1020)*R1020</f>
        <v>0.043365611307407695</v>
      </c>
      <c r="T1020" s="75">
        <f>0.5*(F1019*Q1019+F1020*Q1020)*R1020</f>
        <v>0.9957697096520431</v>
      </c>
      <c r="U1020" s="76">
        <f>U1019+S1020</f>
        <v>80.93807708035835</v>
      </c>
      <c r="V1020" s="76">
        <f>V1019+T1020</f>
        <v>1316.3591888868873</v>
      </c>
    </row>
    <row r="1021" spans="1:22" ht="19" customHeight="1">
      <c r="A1021" s="68" t="s">
        <v>362</v>
      </c>
      <c r="B1021" s="74">
        <v>5</v>
      </c>
      <c r="C1021" s="68" t="s">
        <v>363</v>
      </c>
      <c r="D1021" s="68" t="s">
        <v>365</v>
      </c>
      <c r="E1021" s="75">
        <f>60*F1021*'THAM_SO_MOI'!$C$53/(2*PI()*'THAM_SO_MOI'!$C$26)</f>
        <v>2262.9106842105257</v>
      </c>
      <c r="F1021" s="75">
        <f>'THAM_SO_MOI'!$C$14+('THAM_SO_MOI'!$C$37-'THAM_SO_MOI'!$C$14)*214/'THAM_SO_MOI'!$C$42</f>
        <v>22.967576388888887</v>
      </c>
      <c r="G1021" s="75">
        <f>3.6*F1021</f>
        <v>82.683275</v>
      </c>
      <c r="H1021" s="75">
        <f>'THAM_SO_MOI'!$D$53</f>
        <v>1.1</v>
      </c>
      <c r="I1021" s="75">
        <f>IF(F1021&gt;='THAM_SO_MOI'!$C$14,'THAM_SO_MOI'!$C$13*(1+F1021^2/1500),'THAM_SO_MOI'!$C$13)</f>
        <v>0.020275095651794462</v>
      </c>
      <c r="J1021" s="75">
        <f>'THAM_SO_MOI'!$C$40*('THAM_SO_MOI'!$C$23*(E1021/'THAM_SO_MOI'!$C$22)+'THAM_SO_MOI'!$C$24*(E1021/'THAM_SO_MOI'!$C$22)^2-'THAM_SO_MOI'!$C$25*(E1021/'THAM_SO_MOI'!$C$22)^3)</f>
        <v>101.8027147929318</v>
      </c>
      <c r="K1021" s="75">
        <f>'THAM_SO_MOI'!$C$31*J1021/E1021</f>
        <v>429.68012425213146</v>
      </c>
      <c r="L1021" s="75">
        <f>K1021*'THAM_SO_MOI'!$C$53*'THAM_SO_MOI'!$C$17/'THAM_SO_MOI'!$C$26</f>
        <v>3768.296371016009</v>
      </c>
      <c r="M1021" s="75">
        <f>'THAM_SO_MOI'!$C$15*'THAM_SO_MOI'!$C$16*F1021^2</f>
        <v>1542.9654781498807</v>
      </c>
      <c r="N1021" s="75">
        <f>'THAM_SO_MOI'!$C$12*I1021</f>
        <v>1527.5419264827162</v>
      </c>
      <c r="O1021" s="75">
        <f>M1021+N1021</f>
        <v>3070.507404632597</v>
      </c>
      <c r="P1021" s="75">
        <f>(MIN(L1021,'THAM_SO_MOI'!$C$41)-O1021)/('THAM_SO_MOI'!$C$11*H1021)</f>
        <v>0.0825981257556122</v>
      </c>
      <c r="Q1021" s="75">
        <f>IF(P1021&gt;0,1/P1021,NA())</f>
        <v>12.106812241221515</v>
      </c>
      <c r="R1021" s="75">
        <f>F1021-F1020</f>
        <v>0.0035868055555532408</v>
      </c>
      <c r="S1021" s="75">
        <f>0.5*(Q1020+Q1021)*R1021</f>
        <v>0.043405044013645123</v>
      </c>
      <c r="T1021" s="75">
        <f>0.5*(F1020*Q1020+F1021*Q1021)*R1021</f>
        <v>0.996830856717071</v>
      </c>
      <c r="U1021" s="76">
        <f>U1020+S1021</f>
        <v>80.981482124372</v>
      </c>
      <c r="V1021" s="76">
        <f>V1020+T1021</f>
        <v>1317.3560197436043</v>
      </c>
    </row>
    <row r="1022" spans="1:22" ht="19" customHeight="1">
      <c r="A1022" s="68" t="s">
        <v>362</v>
      </c>
      <c r="B1022" s="74">
        <v>5</v>
      </c>
      <c r="C1022" s="68" t="s">
        <v>363</v>
      </c>
      <c r="D1022" s="68" t="s">
        <v>365</v>
      </c>
      <c r="E1022" s="75">
        <f>60*F1022*'THAM_SO_MOI'!$C$53/(2*PI()*'THAM_SO_MOI'!$C$26)</f>
        <v>2263.264078947368</v>
      </c>
      <c r="F1022" s="75">
        <f>'THAM_SO_MOI'!$C$14+('THAM_SO_MOI'!$C$37-'THAM_SO_MOI'!$C$14)*215/'THAM_SO_MOI'!$C$42</f>
        <v>22.971163194444443</v>
      </c>
      <c r="G1022" s="75">
        <f>3.6*F1022</f>
        <v>82.6961875</v>
      </c>
      <c r="H1022" s="75">
        <f>'THAM_SO_MOI'!$D$53</f>
        <v>1.1</v>
      </c>
      <c r="I1022" s="75">
        <f>IF(F1022&gt;='THAM_SO_MOI'!$C$14,'THAM_SO_MOI'!$C$13*(1+F1022^2/1500),'THAM_SO_MOI'!$C$13)</f>
        <v>0.02027674338505799</v>
      </c>
      <c r="J1022" s="75">
        <f>'THAM_SO_MOI'!$C$40*('THAM_SO_MOI'!$C$23*(E1022/'THAM_SO_MOI'!$C$22)+'THAM_SO_MOI'!$C$24*(E1022/'THAM_SO_MOI'!$C$22)^2-'THAM_SO_MOI'!$C$25*(E1022/'THAM_SO_MOI'!$C$22)^3)</f>
        <v>101.81782980078187</v>
      </c>
      <c r="K1022" s="75">
        <f>'THAM_SO_MOI'!$C$31*J1022/E1022</f>
        <v>429.6768185099641</v>
      </c>
      <c r="L1022" s="75">
        <f>K1022*'THAM_SO_MOI'!$C$53*'THAM_SO_MOI'!$C$17/'THAM_SO_MOI'!$C$26</f>
        <v>3768.2673796442655</v>
      </c>
      <c r="M1022" s="75">
        <f>'THAM_SO_MOI'!$C$15*'THAM_SO_MOI'!$C$16*F1022^2</f>
        <v>1543.4474401294624</v>
      </c>
      <c r="N1022" s="75">
        <f>'THAM_SO_MOI'!$C$12*I1022</f>
        <v>1527.666068024977</v>
      </c>
      <c r="O1022" s="75">
        <f>M1022+N1022</f>
        <v>3071.1135081544394</v>
      </c>
      <c r="P1022" s="75">
        <f>(MIN(L1022,'THAM_SO_MOI'!$C$41)-O1022)/('THAM_SO_MOI'!$C$11*H1022)</f>
        <v>0.08252294880324645</v>
      </c>
      <c r="Q1022" s="75">
        <f>IF(P1022&gt;0,1/P1022,NA())</f>
        <v>12.11784133386009</v>
      </c>
      <c r="R1022" s="75">
        <f>F1022-F1021</f>
        <v>0.0035868055555567935</v>
      </c>
      <c r="S1022" s="75">
        <f>0.5*(Q1021+Q1022)*R1022</f>
        <v>0.04344456101227072</v>
      </c>
      <c r="T1022" s="75">
        <f>0.5*(F1021*Q1021+F1022*Q1022)*R1022</f>
        <v>0.9978942228002698</v>
      </c>
      <c r="U1022" s="76">
        <f>U1021+S1022</f>
        <v>81.02492668538426</v>
      </c>
      <c r="V1022" s="76">
        <f>V1021+T1022</f>
        <v>1318.3539139664047</v>
      </c>
    </row>
    <row r="1023" spans="1:22" ht="19" customHeight="1">
      <c r="A1023" s="68" t="s">
        <v>362</v>
      </c>
      <c r="B1023" s="74">
        <v>5</v>
      </c>
      <c r="C1023" s="68" t="s">
        <v>363</v>
      </c>
      <c r="D1023" s="68" t="s">
        <v>365</v>
      </c>
      <c r="E1023" s="75">
        <f>60*F1023*'THAM_SO_MOI'!$C$53/(2*PI()*'THAM_SO_MOI'!$C$26)</f>
        <v>2263.6174736842104</v>
      </c>
      <c r="F1023" s="75">
        <f>'THAM_SO_MOI'!$C$14+('THAM_SO_MOI'!$C$37-'THAM_SO_MOI'!$C$14)*216/'THAM_SO_MOI'!$C$42</f>
        <v>22.97475</v>
      </c>
      <c r="G1023" s="75">
        <f>3.6*F1023</f>
        <v>82.7091</v>
      </c>
      <c r="H1023" s="75">
        <f>'THAM_SO_MOI'!$D$53</f>
        <v>1.1</v>
      </c>
      <c r="I1023" s="75">
        <f>IF(F1023&gt;='THAM_SO_MOI'!$C$14,'THAM_SO_MOI'!$C$13*(1+F1023^2/1500),'THAM_SO_MOI'!$C$13)</f>
        <v>0.020278391375625</v>
      </c>
      <c r="J1023" s="75">
        <f>'THAM_SO_MOI'!$C$40*('THAM_SO_MOI'!$C$23*(E1023/'THAM_SO_MOI'!$C$22)+'THAM_SO_MOI'!$C$24*(E1023/'THAM_SO_MOI'!$C$22)^2-'THAM_SO_MOI'!$C$25*(E1023/'THAM_SO_MOI'!$C$22)^3)</f>
        <v>101.83294169250681</v>
      </c>
      <c r="K1023" s="75">
        <f>'THAM_SO_MOI'!$C$31*J1023/E1023</f>
        <v>429.67350065181233</v>
      </c>
      <c r="L1023" s="75">
        <f>K1023*'THAM_SO_MOI'!$C$53*'THAM_SO_MOI'!$C$17/'THAM_SO_MOI'!$C$26</f>
        <v>3768.238282015292</v>
      </c>
      <c r="M1023" s="75">
        <f>'THAM_SO_MOI'!$C$15*'THAM_SO_MOI'!$C$16*F1023^2</f>
        <v>1543.9294773703125</v>
      </c>
      <c r="N1023" s="75">
        <f>'THAM_SO_MOI'!$C$12*I1023</f>
        <v>1527.790228952688</v>
      </c>
      <c r="O1023" s="75">
        <f>M1023+N1023</f>
        <v>3071.7197063230005</v>
      </c>
      <c r="P1023" s="75">
        <f>(MIN(L1023,'THAM_SO_MOI'!$C$41)-O1023)/('THAM_SO_MOI'!$C$11*H1023)</f>
        <v>0.08244774806963676</v>
      </c>
      <c r="Q1023" s="75">
        <f>IF(P1023&gt;0,1/P1023,NA())</f>
        <v>12.128894037898805</v>
      </c>
      <c r="R1023" s="75">
        <f>F1023-F1022</f>
        <v>0.0035868055555567935</v>
      </c>
      <c r="S1023" s="75">
        <f>0.5*(Q1022+Q1023)*R1023</f>
        <v>0.04348416256777011</v>
      </c>
      <c r="T1023" s="75">
        <f>0.5*(F1022*Q1022+F1023*Q1023)*R1023</f>
        <v>0.9989598148846782</v>
      </c>
      <c r="U1023" s="76">
        <f>U1022+S1023</f>
        <v>81.06841084795202</v>
      </c>
      <c r="V1023" s="76">
        <f>V1022+T1023</f>
        <v>1319.3528737812894</v>
      </c>
    </row>
    <row r="1024" spans="1:22" ht="19" customHeight="1">
      <c r="A1024" s="68" t="s">
        <v>362</v>
      </c>
      <c r="B1024" s="74">
        <v>5</v>
      </c>
      <c r="C1024" s="68" t="s">
        <v>363</v>
      </c>
      <c r="D1024" s="68" t="s">
        <v>365</v>
      </c>
      <c r="E1024" s="75">
        <f>60*F1024*'THAM_SO_MOI'!$C$53/(2*PI()*'THAM_SO_MOI'!$C$26)</f>
        <v>2263.970868421052</v>
      </c>
      <c r="F1024" s="75">
        <f>'THAM_SO_MOI'!$C$14+('THAM_SO_MOI'!$C$37-'THAM_SO_MOI'!$C$14)*217/'THAM_SO_MOI'!$C$42</f>
        <v>22.978336805555553</v>
      </c>
      <c r="G1024" s="75">
        <f>3.6*F1024</f>
        <v>82.72201249999999</v>
      </c>
      <c r="H1024" s="75">
        <f>'THAM_SO_MOI'!$D$53</f>
        <v>1.1</v>
      </c>
      <c r="I1024" s="75">
        <f>IF(F1024&gt;='THAM_SO_MOI'!$C$14,'THAM_SO_MOI'!$C$13*(1+F1024^2/1500),'THAM_SO_MOI'!$C$13)</f>
        <v>0.020280039623495488</v>
      </c>
      <c r="J1024" s="75">
        <f>'THAM_SO_MOI'!$C$40*('THAM_SO_MOI'!$C$23*(E1024/'THAM_SO_MOI'!$C$22)+'THAM_SO_MOI'!$C$24*(E1024/'THAM_SO_MOI'!$C$22)^2-'THAM_SO_MOI'!$C$25*(E1024/'THAM_SO_MOI'!$C$22)^3)</f>
        <v>101.84805046676166</v>
      </c>
      <c r="K1024" s="75">
        <f>'THAM_SO_MOI'!$C$31*J1024/E1024</f>
        <v>429.67017067767614</v>
      </c>
      <c r="L1024" s="75">
        <f>K1024*'THAM_SO_MOI'!$C$53*'THAM_SO_MOI'!$C$17/'THAM_SO_MOI'!$C$26</f>
        <v>3768.2090781290876</v>
      </c>
      <c r="M1024" s="75">
        <f>'THAM_SO_MOI'!$C$15*'THAM_SO_MOI'!$C$16*F1024^2</f>
        <v>1544.4115898724308</v>
      </c>
      <c r="N1024" s="75">
        <f>'THAM_SO_MOI'!$C$12*I1024</f>
        <v>1527.914409265849</v>
      </c>
      <c r="O1024" s="75">
        <f>M1024+N1024</f>
        <v>3072.3259991382797</v>
      </c>
      <c r="P1024" s="75">
        <f>(MIN(L1024,'THAM_SO_MOI'!$C$41)-O1024)/('THAM_SO_MOI'!$C$11*H1024)</f>
        <v>0.08237252355478314</v>
      </c>
      <c r="Q1024" s="75">
        <f>IF(P1024&gt;0,1/P1024,NA())</f>
        <v>12.13997042757752</v>
      </c>
      <c r="R1024" s="75">
        <f>F1024-F1023</f>
        <v>0.0035868055555532408</v>
      </c>
      <c r="S1024" s="75">
        <f>0.5*(Q1023+Q1024)*R1024</f>
        <v>0.04352384894586956</v>
      </c>
      <c r="T1024" s="75">
        <f>0.5*(F1023*Q1023+F1024*Q1024)*R1024</f>
        <v>1.000027639985636</v>
      </c>
      <c r="U1024" s="76">
        <f>U1023+S1024</f>
        <v>81.11193469689789</v>
      </c>
      <c r="V1024" s="76">
        <f>V1023+T1024</f>
        <v>1320.352901421275</v>
      </c>
    </row>
    <row r="1025" spans="1:22" ht="19" customHeight="1">
      <c r="A1025" s="68" t="s">
        <v>362</v>
      </c>
      <c r="B1025" s="74">
        <v>5</v>
      </c>
      <c r="C1025" s="68" t="s">
        <v>363</v>
      </c>
      <c r="D1025" s="68" t="s">
        <v>365</v>
      </c>
      <c r="E1025" s="75">
        <f>60*F1025*'THAM_SO_MOI'!$C$53/(2*PI()*'THAM_SO_MOI'!$C$26)</f>
        <v>2264.324263157894</v>
      </c>
      <c r="F1025" s="75">
        <f>'THAM_SO_MOI'!$C$14+('THAM_SO_MOI'!$C$37-'THAM_SO_MOI'!$C$14)*218/'THAM_SO_MOI'!$C$42</f>
        <v>22.98192361111111</v>
      </c>
      <c r="G1025" s="75">
        <f>3.6*F1025</f>
        <v>82.734925</v>
      </c>
      <c r="H1025" s="75">
        <f>'THAM_SO_MOI'!$D$53</f>
        <v>1.1</v>
      </c>
      <c r="I1025" s="75">
        <f>IF(F1025&gt;='THAM_SO_MOI'!$C$14,'THAM_SO_MOI'!$C$13*(1+F1025^2/1500),'THAM_SO_MOI'!$C$13)</f>
        <v>0.020281688128669463</v>
      </c>
      <c r="J1025" s="75">
        <f>'THAM_SO_MOI'!$C$40*('THAM_SO_MOI'!$C$23*(E1025/'THAM_SO_MOI'!$C$22)+'THAM_SO_MOI'!$C$24*(E1025/'THAM_SO_MOI'!$C$22)^2-'THAM_SO_MOI'!$C$25*(E1025/'THAM_SO_MOI'!$C$22)^3)</f>
        <v>101.86315612220167</v>
      </c>
      <c r="K1025" s="75">
        <f>'THAM_SO_MOI'!$C$31*J1025/E1025</f>
        <v>429.6668285875557</v>
      </c>
      <c r="L1025" s="75">
        <f>K1025*'THAM_SO_MOI'!$C$53*'THAM_SO_MOI'!$C$17/'THAM_SO_MOI'!$C$26</f>
        <v>3768.179767985654</v>
      </c>
      <c r="M1025" s="75">
        <f>'THAM_SO_MOI'!$C$15*'THAM_SO_MOI'!$C$16*F1025^2</f>
        <v>1544.8937776358182</v>
      </c>
      <c r="N1025" s="75">
        <f>'THAM_SO_MOI'!$C$12*I1025</f>
        <v>1528.0386089644603</v>
      </c>
      <c r="O1025" s="75">
        <f>M1025+N1025</f>
        <v>3072.9323866002787</v>
      </c>
      <c r="P1025" s="75">
        <f>(MIN(L1025,'THAM_SO_MOI'!$C$41)-O1025)/('THAM_SO_MOI'!$C$11*H1025)</f>
        <v>0.08229727525868552</v>
      </c>
      <c r="Q1025" s="75">
        <f>IF(P1025&gt;0,1/P1025,NA())</f>
        <v>12.151070577448573</v>
      </c>
      <c r="R1025" s="75">
        <f>F1025-F1024</f>
        <v>0.0035868055555567935</v>
      </c>
      <c r="S1025" s="75">
        <f>0.5*(Q1024+Q1025)*R1025</f>
        <v>0.04356362041354274</v>
      </c>
      <c r="T1025" s="75">
        <f>0.5*(F1024*Q1024+F1025*Q1025)*R1025</f>
        <v>1.00109770515096</v>
      </c>
      <c r="U1025" s="76">
        <f>U1024+S1025</f>
        <v>81.15549831731143</v>
      </c>
      <c r="V1025" s="76">
        <f>V1024+T1025</f>
        <v>1321.3539991264258</v>
      </c>
    </row>
    <row r="1026" spans="1:22" ht="19" customHeight="1">
      <c r="A1026" s="68" t="s">
        <v>362</v>
      </c>
      <c r="B1026" s="74">
        <v>5</v>
      </c>
      <c r="C1026" s="68" t="s">
        <v>363</v>
      </c>
      <c r="D1026" s="68" t="s">
        <v>365</v>
      </c>
      <c r="E1026" s="75">
        <f>60*F1026*'THAM_SO_MOI'!$C$53/(2*PI()*'THAM_SO_MOI'!$C$26)</f>
        <v>2264.677657894736</v>
      </c>
      <c r="F1026" s="75">
        <f>'THAM_SO_MOI'!$C$14+('THAM_SO_MOI'!$C$37-'THAM_SO_MOI'!$C$14)*219/'THAM_SO_MOI'!$C$42</f>
        <v>22.985510416666667</v>
      </c>
      <c r="G1026" s="75">
        <f>3.6*F1026</f>
        <v>82.7478375</v>
      </c>
      <c r="H1026" s="75">
        <f>'THAM_SO_MOI'!$D$53</f>
        <v>1.1</v>
      </c>
      <c r="I1026" s="75">
        <f>IF(F1026&gt;='THAM_SO_MOI'!$C$14,'THAM_SO_MOI'!$C$13*(1+F1026^2/1500),'THAM_SO_MOI'!$C$13)</f>
        <v>0.020283336891146916</v>
      </c>
      <c r="J1026" s="75">
        <f>'THAM_SO_MOI'!$C$40*('THAM_SO_MOI'!$C$23*(E1026/'THAM_SO_MOI'!$C$22)+'THAM_SO_MOI'!$C$24*(E1026/'THAM_SO_MOI'!$C$22)^2-'THAM_SO_MOI'!$C$25*(E1026/'THAM_SO_MOI'!$C$22)^3)</f>
        <v>101.87825865748181</v>
      </c>
      <c r="K1026" s="75">
        <f>'THAM_SO_MOI'!$C$31*J1026/E1026</f>
        <v>429.6634743814506</v>
      </c>
      <c r="L1026" s="75">
        <f>K1026*'THAM_SO_MOI'!$C$53*'THAM_SO_MOI'!$C$17/'THAM_SO_MOI'!$C$26</f>
        <v>3768.150351584987</v>
      </c>
      <c r="M1026" s="75">
        <f>'THAM_SO_MOI'!$C$15*'THAM_SO_MOI'!$C$16*F1026^2</f>
        <v>1545.3760406604738</v>
      </c>
      <c r="N1026" s="75">
        <f>'THAM_SO_MOI'!$C$12*I1026</f>
        <v>1528.1628280485215</v>
      </c>
      <c r="O1026" s="75">
        <f>M1026+N1026</f>
        <v>3073.5388687089953</v>
      </c>
      <c r="P1026" s="75">
        <f>(MIN(L1026,'THAM_SO_MOI'!$C$41)-O1026)/('THAM_SO_MOI'!$C$11*H1026)</f>
        <v>0.08222200318134373</v>
      </c>
      <c r="Q1026" s="75">
        <f>IF(P1026&gt;0,1/P1026,NA())</f>
        <v>12.16219456237842</v>
      </c>
      <c r="R1026" s="75">
        <f>F1026-F1025</f>
        <v>0.0035868055555567935</v>
      </c>
      <c r="S1026" s="75">
        <f>0.5*(Q1025+Q1026)*R1026</f>
        <v>0.043603477238628396</v>
      </c>
      <c r="T1026" s="75">
        <f>0.5*(F1025*Q1025+F1026*Q1026)*R1026</f>
        <v>1.0021700174521808</v>
      </c>
      <c r="U1026" s="76">
        <f>U1025+S1026</f>
        <v>81.19910179455006</v>
      </c>
      <c r="V1026" s="76">
        <f>V1025+T1026</f>
        <v>1322.356169143878</v>
      </c>
    </row>
    <row r="1027" spans="1:22" ht="19" customHeight="1">
      <c r="A1027" s="68" t="s">
        <v>362</v>
      </c>
      <c r="B1027" s="74">
        <v>5</v>
      </c>
      <c r="C1027" s="68" t="s">
        <v>363</v>
      </c>
      <c r="D1027" s="68" t="s">
        <v>365</v>
      </c>
      <c r="E1027" s="75">
        <f>60*F1027*'THAM_SO_MOI'!$C$53/(2*PI()*'THAM_SO_MOI'!$C$26)</f>
        <v>2265.0310526315784</v>
      </c>
      <c r="F1027" s="75">
        <f>'THAM_SO_MOI'!$C$14+('THAM_SO_MOI'!$C$37-'THAM_SO_MOI'!$C$14)*220/'THAM_SO_MOI'!$C$42</f>
        <v>22.98909722222222</v>
      </c>
      <c r="G1027" s="75">
        <f>3.6*F1027</f>
        <v>82.76075</v>
      </c>
      <c r="H1027" s="75">
        <f>'THAM_SO_MOI'!$D$53</f>
        <v>1.1</v>
      </c>
      <c r="I1027" s="75">
        <f>IF(F1027&gt;='THAM_SO_MOI'!$C$14,'THAM_SO_MOI'!$C$13*(1+F1027^2/1500),'THAM_SO_MOI'!$C$13)</f>
        <v>0.020284985910927856</v>
      </c>
      <c r="J1027" s="75">
        <f>'THAM_SO_MOI'!$C$40*('THAM_SO_MOI'!$C$23*(E1027/'THAM_SO_MOI'!$C$22)+'THAM_SO_MOI'!$C$24*(E1027/'THAM_SO_MOI'!$C$22)^2-'THAM_SO_MOI'!$C$25*(E1027/'THAM_SO_MOI'!$C$22)^3)</f>
        <v>101.89335807125723</v>
      </c>
      <c r="K1027" s="75">
        <f>'THAM_SO_MOI'!$C$31*J1027/E1027</f>
        <v>429.66010805936105</v>
      </c>
      <c r="L1027" s="75">
        <f>K1027*'THAM_SO_MOI'!$C$53*'THAM_SO_MOI'!$C$17/'THAM_SO_MOI'!$C$26</f>
        <v>3768.1208289270894</v>
      </c>
      <c r="M1027" s="75">
        <f>'THAM_SO_MOI'!$C$15*'THAM_SO_MOI'!$C$16*F1027^2</f>
        <v>1545.8583789463976</v>
      </c>
      <c r="N1027" s="75">
        <f>'THAM_SO_MOI'!$C$12*I1027</f>
        <v>1528.2870665180335</v>
      </c>
      <c r="O1027" s="75">
        <f>M1027+N1027</f>
        <v>3074.145445464431</v>
      </c>
      <c r="P1027" s="75">
        <f>(MIN(L1027,'THAM_SO_MOI'!$C$41)-O1027)/('THAM_SO_MOI'!$C$11*H1027)</f>
        <v>0.08214670732275782</v>
      </c>
      <c r="Q1027" s="75">
        <f>IF(P1027&gt;0,1/P1027,NA())</f>
        <v>12.173342457549253</v>
      </c>
      <c r="R1027" s="75">
        <f>F1027-F1026</f>
        <v>0.0035868055555532408</v>
      </c>
      <c r="S1027" s="75">
        <f>0.5*(Q1026+Q1027)*R1027</f>
        <v>0.04364341969022407</v>
      </c>
      <c r="T1027" s="75">
        <f>0.5*(F1026*Q1026+F1027*Q1027)*R1027</f>
        <v>1.0032445839936077</v>
      </c>
      <c r="U1027" s="76">
        <f>U1026+S1027</f>
        <v>81.24274521424029</v>
      </c>
      <c r="V1027" s="76">
        <f>V1026+T1027</f>
        <v>1323.3594137278717</v>
      </c>
    </row>
    <row r="1028" spans="1:22" ht="19" customHeight="1">
      <c r="A1028" s="68" t="s">
        <v>362</v>
      </c>
      <c r="B1028" s="74">
        <v>5</v>
      </c>
      <c r="C1028" s="68" t="s">
        <v>363</v>
      </c>
      <c r="D1028" s="68" t="s">
        <v>365</v>
      </c>
      <c r="E1028" s="75">
        <f>60*F1028*'THAM_SO_MOI'!$C$53/(2*PI()*'THAM_SO_MOI'!$C$26)</f>
        <v>2265.3844473684208</v>
      </c>
      <c r="F1028" s="75">
        <f>'THAM_SO_MOI'!$C$14+('THAM_SO_MOI'!$C$37-'THAM_SO_MOI'!$C$14)*221/'THAM_SO_MOI'!$C$42</f>
        <v>22.992684027777777</v>
      </c>
      <c r="G1028" s="75">
        <f>3.6*F1028</f>
        <v>82.7736625</v>
      </c>
      <c r="H1028" s="75">
        <f>'THAM_SO_MOI'!$D$53</f>
        <v>1.1</v>
      </c>
      <c r="I1028" s="75">
        <f>IF(F1028&gt;='THAM_SO_MOI'!$C$14,'THAM_SO_MOI'!$C$13*(1+F1028^2/1500),'THAM_SO_MOI'!$C$13)</f>
        <v>0.02028663518801227</v>
      </c>
      <c r="J1028" s="75">
        <f>'THAM_SO_MOI'!$C$40*('THAM_SO_MOI'!$C$23*(E1028/'THAM_SO_MOI'!$C$22)+'THAM_SO_MOI'!$C$24*(E1028/'THAM_SO_MOI'!$C$22)^2-'THAM_SO_MOI'!$C$25*(E1028/'THAM_SO_MOI'!$C$22)^3)</f>
        <v>101.90845436218305</v>
      </c>
      <c r="K1028" s="75">
        <f>'THAM_SO_MOI'!$C$31*J1028/E1028</f>
        <v>429.656729621287</v>
      </c>
      <c r="L1028" s="75">
        <f>K1028*'THAM_SO_MOI'!$C$53*'THAM_SO_MOI'!$C$17/'THAM_SO_MOI'!$C$26</f>
        <v>3768.09120001196</v>
      </c>
      <c r="M1028" s="75">
        <f>'THAM_SO_MOI'!$C$15*'THAM_SO_MOI'!$C$16*F1028^2</f>
        <v>1546.34079249359</v>
      </c>
      <c r="N1028" s="75">
        <f>'THAM_SO_MOI'!$C$12*I1028</f>
        <v>1528.4113243729948</v>
      </c>
      <c r="O1028" s="75">
        <f>M1028+N1028</f>
        <v>3074.752116866585</v>
      </c>
      <c r="P1028" s="75">
        <f>(MIN(L1028,'THAM_SO_MOI'!$C$41)-O1028)/('THAM_SO_MOI'!$C$11*H1028)</f>
        <v>0.08207138768292795</v>
      </c>
      <c r="Q1028" s="75">
        <f>IF(P1028&gt;0,1/P1028,NA())</f>
        <v>12.184514338460671</v>
      </c>
      <c r="R1028" s="75">
        <f>F1028-F1027</f>
        <v>0.0035868055555567935</v>
      </c>
      <c r="S1028" s="75">
        <f>0.5*(Q1027+Q1028)*R1028</f>
        <v>0.0436834480386926</v>
      </c>
      <c r="T1028" s="75">
        <f>0.5*(F1027*Q1027+F1028*Q1028)*R1028</f>
        <v>1.0043214119125006</v>
      </c>
      <c r="U1028" s="76">
        <f>U1027+S1028</f>
        <v>81.28642866227898</v>
      </c>
      <c r="V1028" s="76">
        <f>V1027+T1028</f>
        <v>1324.3637351397842</v>
      </c>
    </row>
    <row r="1029" spans="1:22" ht="19" customHeight="1">
      <c r="A1029" s="68" t="s">
        <v>362</v>
      </c>
      <c r="B1029" s="74">
        <v>5</v>
      </c>
      <c r="C1029" s="68" t="s">
        <v>363</v>
      </c>
      <c r="D1029" s="68" t="s">
        <v>365</v>
      </c>
      <c r="E1029" s="75">
        <f>60*F1029*'THAM_SO_MOI'!$C$53/(2*PI()*'THAM_SO_MOI'!$C$26)</f>
        <v>2265.737842105263</v>
      </c>
      <c r="F1029" s="75">
        <f>'THAM_SO_MOI'!$C$14+('THAM_SO_MOI'!$C$37-'THAM_SO_MOI'!$C$14)*222/'THAM_SO_MOI'!$C$42</f>
        <v>22.996270833333334</v>
      </c>
      <c r="G1029" s="75">
        <f>3.6*F1029</f>
        <v>82.786575</v>
      </c>
      <c r="H1029" s="75">
        <f>'THAM_SO_MOI'!$D$53</f>
        <v>1.1</v>
      </c>
      <c r="I1029" s="75">
        <f>IF(F1029&gt;='THAM_SO_MOI'!$C$14,'THAM_SO_MOI'!$C$13*(1+F1029^2/1500),'THAM_SO_MOI'!$C$13)</f>
        <v>0.020288284722400175</v>
      </c>
      <c r="J1029" s="75">
        <f>'THAM_SO_MOI'!$C$40*('THAM_SO_MOI'!$C$23*(E1029/'THAM_SO_MOI'!$C$22)+'THAM_SO_MOI'!$C$24*(E1029/'THAM_SO_MOI'!$C$22)^2-'THAM_SO_MOI'!$C$25*(E1029/'THAM_SO_MOI'!$C$22)^3)</f>
        <v>101.9235475289144</v>
      </c>
      <c r="K1029" s="75">
        <f>'THAM_SO_MOI'!$C$31*J1029/E1029</f>
        <v>429.6533390672286</v>
      </c>
      <c r="L1029" s="75">
        <f>K1029*'THAM_SO_MOI'!$C$53*'THAM_SO_MOI'!$C$17/'THAM_SO_MOI'!$C$26</f>
        <v>3768.061464839601</v>
      </c>
      <c r="M1029" s="75">
        <f>'THAM_SO_MOI'!$C$15*'THAM_SO_MOI'!$C$16*F1029^2</f>
        <v>1546.823281302051</v>
      </c>
      <c r="N1029" s="75">
        <f>'THAM_SO_MOI'!$C$12*I1029</f>
        <v>1528.5356016134072</v>
      </c>
      <c r="O1029" s="75">
        <f>M1029+N1029</f>
        <v>3075.3588829154583</v>
      </c>
      <c r="P1029" s="75">
        <f>(MIN(L1029,'THAM_SO_MOI'!$C$41)-O1029)/('THAM_SO_MOI'!$C$11*H1029)</f>
        <v>0.08199604426185403</v>
      </c>
      <c r="Q1029" s="75">
        <f>IF(P1029&gt;0,1/P1029,NA())</f>
        <v>12.195710280931408</v>
      </c>
      <c r="R1029" s="75">
        <f>F1029-F1028</f>
        <v>0.0035868055555567935</v>
      </c>
      <c r="S1029" s="75">
        <f>0.5*(Q1028+Q1029)*R1029</f>
        <v>0.04372356255527901</v>
      </c>
      <c r="T1029" s="75">
        <f>0.5*(F1028*Q1028+F1029*Q1029)*R1029</f>
        <v>1.0054005083702846</v>
      </c>
      <c r="U1029" s="76">
        <f>U1028+S1029</f>
        <v>81.33015222483426</v>
      </c>
      <c r="V1029" s="76">
        <f>V1028+T1029</f>
        <v>1325.3691356481545</v>
      </c>
    </row>
    <row r="1030" spans="1:22" ht="19" customHeight="1">
      <c r="A1030" s="68" t="s">
        <v>362</v>
      </c>
      <c r="B1030" s="74">
        <v>5</v>
      </c>
      <c r="C1030" s="68" t="s">
        <v>363</v>
      </c>
      <c r="D1030" s="68" t="s">
        <v>365</v>
      </c>
      <c r="E1030" s="75">
        <f>60*F1030*'THAM_SO_MOI'!$C$53/(2*PI()*'THAM_SO_MOI'!$C$26)</f>
        <v>2266.0912368421045</v>
      </c>
      <c r="F1030" s="75">
        <f>'THAM_SO_MOI'!$C$14+('THAM_SO_MOI'!$C$37-'THAM_SO_MOI'!$C$14)*223/'THAM_SO_MOI'!$C$42</f>
        <v>22.999857638888887</v>
      </c>
      <c r="G1030" s="75">
        <f>3.6*F1030</f>
        <v>82.7994875</v>
      </c>
      <c r="H1030" s="75">
        <f>'THAM_SO_MOI'!$D$53</f>
        <v>1.1</v>
      </c>
      <c r="I1030" s="75">
        <f>IF(F1030&gt;='THAM_SO_MOI'!$C$14,'THAM_SO_MOI'!$C$13*(1+F1030^2/1500),'THAM_SO_MOI'!$C$13)</f>
        <v>0.020289934514091553</v>
      </c>
      <c r="J1030" s="75">
        <f>'THAM_SO_MOI'!$C$40*('THAM_SO_MOI'!$C$23*(E1030/'THAM_SO_MOI'!$C$22)+'THAM_SO_MOI'!$C$24*(E1030/'THAM_SO_MOI'!$C$22)^2-'THAM_SO_MOI'!$C$25*(E1030/'THAM_SO_MOI'!$C$22)^3)</f>
        <v>101.93863757010632</v>
      </c>
      <c r="K1030" s="75">
        <f>'THAM_SO_MOI'!$C$31*J1030/E1030</f>
        <v>429.6499363971857</v>
      </c>
      <c r="L1030" s="75">
        <f>K1030*'THAM_SO_MOI'!$C$53*'THAM_SO_MOI'!$C$17/'THAM_SO_MOI'!$C$26</f>
        <v>3768.0316234100096</v>
      </c>
      <c r="M1030" s="75">
        <f>'THAM_SO_MOI'!$C$15*'THAM_SO_MOI'!$C$16*F1030^2</f>
        <v>1547.30584537178</v>
      </c>
      <c r="N1030" s="75">
        <f>'THAM_SO_MOI'!$C$12*I1030</f>
        <v>1528.6598982392688</v>
      </c>
      <c r="O1030" s="75">
        <f>M1030+N1030</f>
        <v>3075.9657436110488</v>
      </c>
      <c r="P1030" s="75">
        <f>(MIN(L1030,'THAM_SO_MOI'!$C$41)-O1030)/('THAM_SO_MOI'!$C$11*H1030)</f>
        <v>0.08192067705953608</v>
      </c>
      <c r="Q1030" s="75">
        <f>IF(P1030&gt;0,1/P1030,NA())</f>
        <v>12.206930361100985</v>
      </c>
      <c r="R1030" s="75">
        <f>F1030-F1029</f>
        <v>0.0035868055555532408</v>
      </c>
      <c r="S1030" s="75">
        <f>0.5*(Q1029+Q1030)*R1030</f>
        <v>0.04376376351250555</v>
      </c>
      <c r="T1030" s="75">
        <f>0.5*(F1029*Q1029+F1030*Q1030)*R1030</f>
        <v>1.0064818805616491</v>
      </c>
      <c r="U1030" s="76">
        <f>U1029+S1030</f>
        <v>81.37391598834677</v>
      </c>
      <c r="V1030" s="76">
        <f>V1029+T1030</f>
        <v>1326.3756175287162</v>
      </c>
    </row>
    <row r="1031" spans="1:22" ht="19" customHeight="1">
      <c r="A1031" s="68" t="s">
        <v>362</v>
      </c>
      <c r="B1031" s="74">
        <v>5</v>
      </c>
      <c r="C1031" s="68" t="s">
        <v>363</v>
      </c>
      <c r="D1031" s="68" t="s">
        <v>365</v>
      </c>
      <c r="E1031" s="75">
        <f>60*F1031*'THAM_SO_MOI'!$C$53/(2*PI()*'THAM_SO_MOI'!$C$26)</f>
        <v>2266.444631578947</v>
      </c>
      <c r="F1031" s="75">
        <f>'THAM_SO_MOI'!$C$14+('THAM_SO_MOI'!$C$37-'THAM_SO_MOI'!$C$14)*224/'THAM_SO_MOI'!$C$42</f>
        <v>23.003444444444444</v>
      </c>
      <c r="G1031" s="75">
        <f>3.6*F1031</f>
        <v>82.8124</v>
      </c>
      <c r="H1031" s="75">
        <f>'THAM_SO_MOI'!$D$53</f>
        <v>1.1</v>
      </c>
      <c r="I1031" s="75">
        <f>IF(F1031&gt;='THAM_SO_MOI'!$C$14,'THAM_SO_MOI'!$C$13*(1+F1031^2/1500),'THAM_SO_MOI'!$C$13)</f>
        <v>0.02029158456308642</v>
      </c>
      <c r="J1031" s="75">
        <f>'THAM_SO_MOI'!$C$40*('THAM_SO_MOI'!$C$23*(E1031/'THAM_SO_MOI'!$C$22)+'THAM_SO_MOI'!$C$24*(E1031/'THAM_SO_MOI'!$C$22)^2-'THAM_SO_MOI'!$C$25*(E1031/'THAM_SO_MOI'!$C$22)^3)</f>
        <v>101.95372448441401</v>
      </c>
      <c r="K1031" s="75">
        <f>'THAM_SO_MOI'!$C$31*J1031/E1031</f>
        <v>429.6465216111584</v>
      </c>
      <c r="L1031" s="75">
        <f>K1031*'THAM_SO_MOI'!$C$53*'THAM_SO_MOI'!$C$17/'THAM_SO_MOI'!$C$26</f>
        <v>3768.0016757231892</v>
      </c>
      <c r="M1031" s="75">
        <f>'THAM_SO_MOI'!$C$15*'THAM_SO_MOI'!$C$16*F1031^2</f>
        <v>1547.7884847027779</v>
      </c>
      <c r="N1031" s="75">
        <f>'THAM_SO_MOI'!$C$12*I1031</f>
        <v>1528.7842142505813</v>
      </c>
      <c r="O1031" s="75">
        <f>M1031+N1031</f>
        <v>3076.572698953359</v>
      </c>
      <c r="P1031" s="75">
        <f>(MIN(L1031,'THAM_SO_MOI'!$C$41)-O1031)/('THAM_SO_MOI'!$C$11*H1031)</f>
        <v>0.08184528607597423</v>
      </c>
      <c r="Q1031" s="75">
        <f>IF(P1031&gt;0,1/P1031,NA())</f>
        <v>12.21817465543139</v>
      </c>
      <c r="R1031" s="75">
        <f>F1031-F1030</f>
        <v>0.0035868055555567935</v>
      </c>
      <c r="S1031" s="75">
        <f>0.5*(Q1030+Q1031)*R1031</f>
        <v>0.04380405118417822</v>
      </c>
      <c r="T1031" s="75">
        <f>0.5*(F1030*Q1030+F1031*Q1031)*R1031</f>
        <v>1.0075655357147237</v>
      </c>
      <c r="U1031" s="76">
        <f>U1030+S1031</f>
        <v>81.41772003953095</v>
      </c>
      <c r="V1031" s="76">
        <f>V1030+T1031</f>
        <v>1327.383183064431</v>
      </c>
    </row>
    <row r="1032" spans="1:22" ht="19" customHeight="1">
      <c r="A1032" s="68" t="s">
        <v>362</v>
      </c>
      <c r="B1032" s="74">
        <v>5</v>
      </c>
      <c r="C1032" s="68" t="s">
        <v>363</v>
      </c>
      <c r="D1032" s="68" t="s">
        <v>365</v>
      </c>
      <c r="E1032" s="75">
        <f>60*F1032*'THAM_SO_MOI'!$C$53/(2*PI()*'THAM_SO_MOI'!$C$26)</f>
        <v>2266.798026315789</v>
      </c>
      <c r="F1032" s="75">
        <f>'THAM_SO_MOI'!$C$14+('THAM_SO_MOI'!$C$37-'THAM_SO_MOI'!$C$14)*225/'THAM_SO_MOI'!$C$42</f>
        <v>23.00703125</v>
      </c>
      <c r="G1032" s="75">
        <f>3.6*F1032</f>
        <v>82.82531250000001</v>
      </c>
      <c r="H1032" s="75">
        <f>'THAM_SO_MOI'!$D$53</f>
        <v>1.1</v>
      </c>
      <c r="I1032" s="75">
        <f>IF(F1032&gt;='THAM_SO_MOI'!$C$14,'THAM_SO_MOI'!$C$13*(1+F1032^2/1500),'THAM_SO_MOI'!$C$13)</f>
        <v>0.020293234869384762</v>
      </c>
      <c r="J1032" s="75">
        <f>'THAM_SO_MOI'!$C$40*('THAM_SO_MOI'!$C$23*(E1032/'THAM_SO_MOI'!$C$22)+'THAM_SO_MOI'!$C$24*(E1032/'THAM_SO_MOI'!$C$22)^2-'THAM_SO_MOI'!$C$25*(E1032/'THAM_SO_MOI'!$C$22)^3)</f>
        <v>101.96880827049249</v>
      </c>
      <c r="K1032" s="75">
        <f>'THAM_SO_MOI'!$C$31*J1032/E1032</f>
        <v>429.64309470914645</v>
      </c>
      <c r="L1032" s="75">
        <f>K1032*'THAM_SO_MOI'!$C$53*'THAM_SO_MOI'!$C$17/'THAM_SO_MOI'!$C$26</f>
        <v>3767.9716217791347</v>
      </c>
      <c r="M1032" s="75">
        <f>'THAM_SO_MOI'!$C$15*'THAM_SO_MOI'!$C$16*F1032^2</f>
        <v>1548.271199295044</v>
      </c>
      <c r="N1032" s="75">
        <f>'THAM_SO_MOI'!$C$12*I1032</f>
        <v>1528.9085496473435</v>
      </c>
      <c r="O1032" s="75">
        <f>M1032+N1032</f>
        <v>3077.1797489423875</v>
      </c>
      <c r="P1032" s="75">
        <f>(MIN(L1032,'THAM_SO_MOI'!$C$41)-O1032)/('THAM_SO_MOI'!$C$11*H1032)</f>
        <v>0.08176987131116799</v>
      </c>
      <c r="Q1032" s="75">
        <f>IF(P1032&gt;0,1/P1032,NA())</f>
        <v>12.2294432407089</v>
      </c>
      <c r="R1032" s="75">
        <f>F1032-F1031</f>
        <v>0.0035868055555567935</v>
      </c>
      <c r="S1032" s="75">
        <f>0.5*(Q1031+Q1032)*R1032</f>
        <v>0.04384442584500284</v>
      </c>
      <c r="T1032" s="75">
        <f>0.5*(F1031*Q1031+F1032*Q1032)*R1032</f>
        <v>1.0086514810822653</v>
      </c>
      <c r="U1032" s="76">
        <f>U1031+S1032</f>
        <v>81.46156446537596</v>
      </c>
      <c r="V1032" s="76">
        <f>V1031+T1032</f>
        <v>1328.3918345455133</v>
      </c>
    </row>
    <row r="1033" spans="1:22" ht="19" customHeight="1">
      <c r="A1033" s="68" t="s">
        <v>362</v>
      </c>
      <c r="B1033" s="74">
        <v>5</v>
      </c>
      <c r="C1033" s="68" t="s">
        <v>363</v>
      </c>
      <c r="D1033" s="68" t="s">
        <v>365</v>
      </c>
      <c r="E1033" s="75">
        <f>60*F1033*'THAM_SO_MOI'!$C$53/(2*PI()*'THAM_SO_MOI'!$C$26)</f>
        <v>2267.1514210526307</v>
      </c>
      <c r="F1033" s="75">
        <f>'THAM_SO_MOI'!$C$14+('THAM_SO_MOI'!$C$37-'THAM_SO_MOI'!$C$14)*226/'THAM_SO_MOI'!$C$42</f>
        <v>23.010618055555554</v>
      </c>
      <c r="G1033" s="75">
        <f>3.6*F1033</f>
        <v>82.838225</v>
      </c>
      <c r="H1033" s="75">
        <f>'THAM_SO_MOI'!$D$53</f>
        <v>1.1</v>
      </c>
      <c r="I1033" s="75">
        <f>IF(F1033&gt;='THAM_SO_MOI'!$C$14,'THAM_SO_MOI'!$C$13*(1+F1033^2/1500),'THAM_SO_MOI'!$C$13)</f>
        <v>0.020294885432986593</v>
      </c>
      <c r="J1033" s="75">
        <f>'THAM_SO_MOI'!$C$40*('THAM_SO_MOI'!$C$23*(E1033/'THAM_SO_MOI'!$C$22)+'THAM_SO_MOI'!$C$24*(E1033/'THAM_SO_MOI'!$C$22)^2-'THAM_SO_MOI'!$C$25*(E1033/'THAM_SO_MOI'!$C$22)^3)</f>
        <v>101.98388892699697</v>
      </c>
      <c r="K1033" s="75">
        <f>'THAM_SO_MOI'!$C$31*J1033/E1033</f>
        <v>429.63965569115027</v>
      </c>
      <c r="L1033" s="75">
        <f>K1033*'THAM_SO_MOI'!$C$53*'THAM_SO_MOI'!$C$17/'THAM_SO_MOI'!$C$26</f>
        <v>3767.941461577852</v>
      </c>
      <c r="M1033" s="75">
        <f>'THAM_SO_MOI'!$C$15*'THAM_SO_MOI'!$C$16*F1033^2</f>
        <v>1548.7539891485785</v>
      </c>
      <c r="N1033" s="75">
        <f>'THAM_SO_MOI'!$C$12*I1033</f>
        <v>1529.0329044295563</v>
      </c>
      <c r="O1033" s="75">
        <f>M1033+N1033</f>
        <v>3077.786893578135</v>
      </c>
      <c r="P1033" s="75">
        <f>(MIN(L1033,'THAM_SO_MOI'!$C$41)-O1033)/('THAM_SO_MOI'!$C$11*H1033)</f>
        <v>0.08169443276511802</v>
      </c>
      <c r="Q1033" s="75">
        <f>IF(P1033&gt;0,1/P1033,NA())</f>
        <v>12.240736194045539</v>
      </c>
      <c r="R1033" s="75">
        <f>F1033-F1032</f>
        <v>0.0035868055555532408</v>
      </c>
      <c r="S1033" s="75">
        <f>0.5*(Q1032+Q1033)*R1033</f>
        <v>0.04388488777098094</v>
      </c>
      <c r="T1033" s="75">
        <f>0.5*(F1032*Q1032+F1033*Q1033)*R1033</f>
        <v>1.0097397239507848</v>
      </c>
      <c r="U1033" s="76">
        <f>U1032+S1033</f>
        <v>81.50544935314694</v>
      </c>
      <c r="V1033" s="76">
        <f>V1032+T1033</f>
        <v>1329.4015742694642</v>
      </c>
    </row>
    <row r="1034" spans="1:22" ht="19" customHeight="1">
      <c r="A1034" s="68" t="s">
        <v>362</v>
      </c>
      <c r="B1034" s="74">
        <v>5</v>
      </c>
      <c r="C1034" s="68" t="s">
        <v>363</v>
      </c>
      <c r="D1034" s="68" t="s">
        <v>365</v>
      </c>
      <c r="E1034" s="75">
        <f>60*F1034*'THAM_SO_MOI'!$C$53/(2*PI()*'THAM_SO_MOI'!$C$26)</f>
        <v>2267.504815789473</v>
      </c>
      <c r="F1034" s="75">
        <f>'THAM_SO_MOI'!$C$14+('THAM_SO_MOI'!$C$37-'THAM_SO_MOI'!$C$14)*227/'THAM_SO_MOI'!$C$42</f>
        <v>23.01420486111111</v>
      </c>
      <c r="G1034" s="75">
        <f>3.6*F1034</f>
        <v>82.85113750000001</v>
      </c>
      <c r="H1034" s="75">
        <f>'THAM_SO_MOI'!$D$53</f>
        <v>1.1</v>
      </c>
      <c r="I1034" s="75">
        <f>IF(F1034&gt;='THAM_SO_MOI'!$C$14,'THAM_SO_MOI'!$C$13*(1+F1034^2/1500),'THAM_SO_MOI'!$C$13)</f>
        <v>0.0202965362538919</v>
      </c>
      <c r="J1034" s="75">
        <f>'THAM_SO_MOI'!$C$40*('THAM_SO_MOI'!$C$23*(E1034/'THAM_SO_MOI'!$C$22)+'THAM_SO_MOI'!$C$24*(E1034/'THAM_SO_MOI'!$C$22)^2-'THAM_SO_MOI'!$C$25*(E1034/'THAM_SO_MOI'!$C$22)^3)</f>
        <v>101.99896645258251</v>
      </c>
      <c r="K1034" s="75">
        <f>'THAM_SO_MOI'!$C$31*J1034/E1034</f>
        <v>429.6362045571696</v>
      </c>
      <c r="L1034" s="75">
        <f>K1034*'THAM_SO_MOI'!$C$53*'THAM_SO_MOI'!$C$17/'THAM_SO_MOI'!$C$26</f>
        <v>3767.911195119337</v>
      </c>
      <c r="M1034" s="75">
        <f>'THAM_SO_MOI'!$C$15*'THAM_SO_MOI'!$C$16*F1034^2</f>
        <v>1549.236854263382</v>
      </c>
      <c r="N1034" s="75">
        <f>'THAM_SO_MOI'!$C$12*I1034</f>
        <v>1529.157278597219</v>
      </c>
      <c r="O1034" s="75">
        <f>M1034+N1034</f>
        <v>3078.3941328606006</v>
      </c>
      <c r="P1034" s="75">
        <f>(MIN(L1034,'THAM_SO_MOI'!$C$41)-O1034)/('THAM_SO_MOI'!$C$11*H1034)</f>
        <v>0.08161897043782387</v>
      </c>
      <c r="Q1034" s="75">
        <f>IF(P1034&gt;0,1/P1034,NA())</f>
        <v>12.252053592881145</v>
      </c>
      <c r="R1034" s="75">
        <f>F1034-F1033</f>
        <v>0.0035868055555567935</v>
      </c>
      <c r="S1034" s="75">
        <f>0.5*(Q1033+Q1034)*R1034</f>
        <v>0.043925437239416665</v>
      </c>
      <c r="T1034" s="75">
        <f>0.5*(F1033*Q1033+F1034*Q1034)*R1034</f>
        <v>1.01083027164073</v>
      </c>
      <c r="U1034" s="76">
        <f>U1033+S1034</f>
        <v>81.54937479038637</v>
      </c>
      <c r="V1034" s="76">
        <f>V1033+T1034</f>
        <v>1330.412404541105</v>
      </c>
    </row>
    <row r="1035" spans="1:22" ht="19" customHeight="1">
      <c r="A1035" s="68" t="s">
        <v>362</v>
      </c>
      <c r="B1035" s="74">
        <v>5</v>
      </c>
      <c r="C1035" s="68" t="s">
        <v>363</v>
      </c>
      <c r="D1035" s="68" t="s">
        <v>365</v>
      </c>
      <c r="E1035" s="75">
        <f>60*F1035*'THAM_SO_MOI'!$C$53/(2*PI()*'THAM_SO_MOI'!$C$26)</f>
        <v>2267.8582105263154</v>
      </c>
      <c r="F1035" s="75">
        <f>'THAM_SO_MOI'!$C$14+('THAM_SO_MOI'!$C$37-'THAM_SO_MOI'!$C$14)*228/'THAM_SO_MOI'!$C$42</f>
        <v>23.017791666666664</v>
      </c>
      <c r="G1035" s="75">
        <f>3.6*F1035</f>
        <v>82.86404999999999</v>
      </c>
      <c r="H1035" s="75">
        <f>'THAM_SO_MOI'!$D$53</f>
        <v>1.1</v>
      </c>
      <c r="I1035" s="75">
        <f>IF(F1035&gt;='THAM_SO_MOI'!$C$14,'THAM_SO_MOI'!$C$13*(1+F1035^2/1500),'THAM_SO_MOI'!$C$13)</f>
        <v>0.020298187332100693</v>
      </c>
      <c r="J1035" s="75">
        <f>'THAM_SO_MOI'!$C$40*('THAM_SO_MOI'!$C$23*(E1035/'THAM_SO_MOI'!$C$22)+'THAM_SO_MOI'!$C$24*(E1035/'THAM_SO_MOI'!$C$22)^2-'THAM_SO_MOI'!$C$25*(E1035/'THAM_SO_MOI'!$C$22)^3)</f>
        <v>102.0140408459042</v>
      </c>
      <c r="K1035" s="75">
        <f>'THAM_SO_MOI'!$C$31*J1035/E1035</f>
        <v>429.6327413072044</v>
      </c>
      <c r="L1035" s="75">
        <f>K1035*'THAM_SO_MOI'!$C$53*'THAM_SO_MOI'!$C$17/'THAM_SO_MOI'!$C$26</f>
        <v>3767.8808224035906</v>
      </c>
      <c r="M1035" s="75">
        <f>'THAM_SO_MOI'!$C$15*'THAM_SO_MOI'!$C$16*F1035^2</f>
        <v>1549.7197946394529</v>
      </c>
      <c r="N1035" s="75">
        <f>'THAM_SO_MOI'!$C$12*I1035</f>
        <v>1529.281672150332</v>
      </c>
      <c r="O1035" s="75">
        <f>M1035+N1035</f>
        <v>3079.001466789785</v>
      </c>
      <c r="P1035" s="75">
        <f>(MIN(L1035,'THAM_SO_MOI'!$C$41)-O1035)/('THAM_SO_MOI'!$C$11*H1035)</f>
        <v>0.0815434843292857</v>
      </c>
      <c r="Q1035" s="75">
        <f>IF(P1035&gt;0,1/P1035,NA())</f>
        <v>12.263395514984856</v>
      </c>
      <c r="R1035" s="75">
        <f>F1035-F1034</f>
        <v>0.0035868055555532408</v>
      </c>
      <c r="S1035" s="75">
        <f>0.5*(Q1034+Q1035)*R1035</f>
        <v>0.043966074528488254</v>
      </c>
      <c r="T1035" s="75">
        <f>0.5*(F1034*Q1034+F1035*Q1035)*R1035</f>
        <v>1.0119231314966457</v>
      </c>
      <c r="U1035" s="76">
        <f>U1034+S1035</f>
        <v>81.59334086491485</v>
      </c>
      <c r="V1035" s="76">
        <f>V1034+T1035</f>
        <v>1331.4243276726015</v>
      </c>
    </row>
    <row r="1036" spans="1:22" ht="19" customHeight="1">
      <c r="A1036" s="68" t="s">
        <v>362</v>
      </c>
      <c r="B1036" s="74">
        <v>5</v>
      </c>
      <c r="C1036" s="68" t="s">
        <v>363</v>
      </c>
      <c r="D1036" s="68" t="s">
        <v>365</v>
      </c>
      <c r="E1036" s="75">
        <f>60*F1036*'THAM_SO_MOI'!$C$53/(2*PI()*'THAM_SO_MOI'!$C$26)</f>
        <v>2268.2116052631573</v>
      </c>
      <c r="F1036" s="75">
        <f>'THAM_SO_MOI'!$C$14+('THAM_SO_MOI'!$C$37-'THAM_SO_MOI'!$C$14)*229/'THAM_SO_MOI'!$C$42</f>
        <v>23.02137847222222</v>
      </c>
      <c r="G1036" s="75">
        <f>3.6*F1036</f>
        <v>82.87696249999999</v>
      </c>
      <c r="H1036" s="75">
        <f>'THAM_SO_MOI'!$D$53</f>
        <v>1.1</v>
      </c>
      <c r="I1036" s="75">
        <f>IF(F1036&gt;='THAM_SO_MOI'!$C$14,'THAM_SO_MOI'!$C$13*(1+F1036^2/1500),'THAM_SO_MOI'!$C$13)</f>
        <v>0.020299838667612966</v>
      </c>
      <c r="J1036" s="75">
        <f>'THAM_SO_MOI'!$C$40*('THAM_SO_MOI'!$C$23*(E1036/'THAM_SO_MOI'!$C$22)+'THAM_SO_MOI'!$C$24*(E1036/'THAM_SO_MOI'!$C$22)^2-'THAM_SO_MOI'!$C$25*(E1036/'THAM_SO_MOI'!$C$22)^3)</f>
        <v>102.02911210561716</v>
      </c>
      <c r="K1036" s="75">
        <f>'THAM_SO_MOI'!$C$31*J1036/E1036</f>
        <v>429.62926594125474</v>
      </c>
      <c r="L1036" s="75">
        <f>K1036*'THAM_SO_MOI'!$C$53*'THAM_SO_MOI'!$C$17/'THAM_SO_MOI'!$C$26</f>
        <v>3767.850343430613</v>
      </c>
      <c r="M1036" s="75">
        <f>'THAM_SO_MOI'!$C$15*'THAM_SO_MOI'!$C$16*F1036^2</f>
        <v>1550.2028102767931</v>
      </c>
      <c r="N1036" s="75">
        <f>'THAM_SO_MOI'!$C$12*I1036</f>
        <v>1529.406085088895</v>
      </c>
      <c r="O1036" s="75">
        <f>M1036+N1036</f>
        <v>3079.608895365688</v>
      </c>
      <c r="P1036" s="75">
        <f>(MIN(L1036,'THAM_SO_MOI'!$C$41)-O1036)/('THAM_SO_MOI'!$C$11*H1036)</f>
        <v>0.08146797443950343</v>
      </c>
      <c r="Q1036" s="75">
        <f>IF(P1036&gt;0,1/P1036,NA())</f>
        <v>12.274762038456977</v>
      </c>
      <c r="R1036" s="75">
        <f>F1036-F1035</f>
        <v>0.0035868055555567935</v>
      </c>
      <c r="S1036" s="75">
        <f>0.5*(Q1035+Q1036)*R1036</f>
        <v>0.044006799917906535</v>
      </c>
      <c r="T1036" s="75">
        <f>0.5*(F1035*Q1035+F1036*Q1036)*R1036</f>
        <v>1.013018310902346</v>
      </c>
      <c r="U1036" s="76">
        <f>U1035+S1036</f>
        <v>81.63734766483276</v>
      </c>
      <c r="V1036" s="76">
        <f>V1035+T1036</f>
        <v>1332.437345983504</v>
      </c>
    </row>
    <row r="1037" spans="1:22" ht="19" customHeight="1">
      <c r="A1037" s="68" t="s">
        <v>362</v>
      </c>
      <c r="B1037" s="74">
        <v>5</v>
      </c>
      <c r="C1037" s="68" t="s">
        <v>363</v>
      </c>
      <c r="D1037" s="68" t="s">
        <v>365</v>
      </c>
      <c r="E1037" s="75">
        <f>60*F1037*'THAM_SO_MOI'!$C$53/(2*PI()*'THAM_SO_MOI'!$C$26)</f>
        <v>2268.5649999999996</v>
      </c>
      <c r="F1037" s="75">
        <f>'THAM_SO_MOI'!$C$14+('THAM_SO_MOI'!$C$37-'THAM_SO_MOI'!$C$14)*230/'THAM_SO_MOI'!$C$42</f>
        <v>23.024965277777778</v>
      </c>
      <c r="G1037" s="75">
        <f>3.6*F1037</f>
        <v>82.889875</v>
      </c>
      <c r="H1037" s="75">
        <f>'THAM_SO_MOI'!$D$53</f>
        <v>1.1</v>
      </c>
      <c r="I1037" s="75">
        <f>IF(F1037&gt;='THAM_SO_MOI'!$C$14,'THAM_SO_MOI'!$C$13*(1+F1037^2/1500),'THAM_SO_MOI'!$C$13)</f>
        <v>0.020301490260428722</v>
      </c>
      <c r="J1037" s="75">
        <f>'THAM_SO_MOI'!$C$40*('THAM_SO_MOI'!$C$23*(E1037/'THAM_SO_MOI'!$C$22)+'THAM_SO_MOI'!$C$24*(E1037/'THAM_SO_MOI'!$C$22)^2-'THAM_SO_MOI'!$C$25*(E1037/'THAM_SO_MOI'!$C$22)^3)</f>
        <v>102.0441802303765</v>
      </c>
      <c r="K1037" s="75">
        <f>'THAM_SO_MOI'!$C$31*J1037/E1037</f>
        <v>429.6257784593206</v>
      </c>
      <c r="L1037" s="75">
        <f>K1037*'THAM_SO_MOI'!$C$53*'THAM_SO_MOI'!$C$17/'THAM_SO_MOI'!$C$26</f>
        <v>3767.819758200404</v>
      </c>
      <c r="M1037" s="75">
        <f>'THAM_SO_MOI'!$C$15*'THAM_SO_MOI'!$C$16*F1037^2</f>
        <v>1550.6859011754016</v>
      </c>
      <c r="N1037" s="75">
        <f>'THAM_SO_MOI'!$C$12*I1037</f>
        <v>1529.5305174129082</v>
      </c>
      <c r="O1037" s="75">
        <f>M1037+N1037</f>
        <v>3080.21641858831</v>
      </c>
      <c r="P1037" s="75">
        <f>(MIN(L1037,'THAM_SO_MOI'!$C$41)-O1037)/('THAM_SO_MOI'!$C$11*H1037)</f>
        <v>0.0813924407684771</v>
      </c>
      <c r="Q1037" s="75">
        <f>IF(P1037&gt;0,1/P1037,NA())</f>
        <v>12.286153241730714</v>
      </c>
      <c r="R1037" s="75">
        <f>F1037-F1036</f>
        <v>0.0035868055555567935</v>
      </c>
      <c r="S1037" s="75">
        <f>0.5*(Q1036+Q1037)*R1037</f>
        <v>0.044047613688268476</v>
      </c>
      <c r="T1037" s="75">
        <f>0.5*(F1036*Q1036+F1037*Q1037)*R1037</f>
        <v>1.0141158172660611</v>
      </c>
      <c r="U1037" s="76">
        <f>U1036+S1037</f>
        <v>81.68139527852102</v>
      </c>
      <c r="V1037" s="76">
        <f>V1036+T1037</f>
        <v>1333.45146180077</v>
      </c>
    </row>
    <row r="1038" spans="1:22" ht="19" customHeight="1">
      <c r="A1038" s="68" t="s">
        <v>362</v>
      </c>
      <c r="B1038" s="74">
        <v>5</v>
      </c>
      <c r="C1038" s="68" t="s">
        <v>363</v>
      </c>
      <c r="D1038" s="68" t="s">
        <v>365</v>
      </c>
      <c r="E1038" s="75">
        <f>60*F1038*'THAM_SO_MOI'!$C$53/(2*PI()*'THAM_SO_MOI'!$C$26)</f>
        <v>2268.918394736841</v>
      </c>
      <c r="F1038" s="75">
        <f>'THAM_SO_MOI'!$C$14+('THAM_SO_MOI'!$C$37-'THAM_SO_MOI'!$C$14)*231/'THAM_SO_MOI'!$C$42</f>
        <v>23.02855208333333</v>
      </c>
      <c r="G1038" s="75">
        <f>3.6*F1038</f>
        <v>82.90278749999999</v>
      </c>
      <c r="H1038" s="75">
        <f>'THAM_SO_MOI'!$D$53</f>
        <v>1.1</v>
      </c>
      <c r="I1038" s="75">
        <f>IF(F1038&gt;='THAM_SO_MOI'!$C$14,'THAM_SO_MOI'!$C$13*(1+F1038^2/1500),'THAM_SO_MOI'!$C$13)</f>
        <v>0.020303142110547956</v>
      </c>
      <c r="J1038" s="75">
        <f>'THAM_SO_MOI'!$C$40*('THAM_SO_MOI'!$C$23*(E1038/'THAM_SO_MOI'!$C$22)+'THAM_SO_MOI'!$C$24*(E1038/'THAM_SO_MOI'!$C$22)^2-'THAM_SO_MOI'!$C$25*(E1038/'THAM_SO_MOI'!$C$22)^3)</f>
        <v>102.05924521883732</v>
      </c>
      <c r="K1038" s="75">
        <f>'THAM_SO_MOI'!$C$31*J1038/E1038</f>
        <v>429.622278861402</v>
      </c>
      <c r="L1038" s="75">
        <f>K1038*'THAM_SO_MOI'!$C$53*'THAM_SO_MOI'!$C$17/'THAM_SO_MOI'!$C$26</f>
        <v>3767.789066712964</v>
      </c>
      <c r="M1038" s="75">
        <f>'THAM_SO_MOI'!$C$15*'THAM_SO_MOI'!$C$16*F1038^2</f>
        <v>1551.1690673352782</v>
      </c>
      <c r="N1038" s="75">
        <f>'THAM_SO_MOI'!$C$12*I1038</f>
        <v>1529.6549691223715</v>
      </c>
      <c r="O1038" s="75">
        <f>M1038+N1038</f>
        <v>3080.8240364576495</v>
      </c>
      <c r="P1038" s="75">
        <f>(MIN(L1038,'THAM_SO_MOI'!$C$41)-O1038)/('THAM_SO_MOI'!$C$11*H1038)</f>
        <v>0.08131688331620672</v>
      </c>
      <c r="Q1038" s="75">
        <f>IF(P1038&gt;0,1/P1038,NA())</f>
        <v>12.297569203573948</v>
      </c>
      <c r="R1038" s="75">
        <f>F1038-F1037</f>
        <v>0.0035868055555532408</v>
      </c>
      <c r="S1038" s="75">
        <f>0.5*(Q1037+Q1038)*R1038</f>
        <v>0.04408851612149883</v>
      </c>
      <c r="T1038" s="75">
        <f>0.5*(F1037*Q1037+F1038*Q1038)*R1038</f>
        <v>1.015215658030621</v>
      </c>
      <c r="U1038" s="76">
        <f>U1037+S1038</f>
        <v>81.72548379464253</v>
      </c>
      <c r="V1038" s="76">
        <f>V1037+T1038</f>
        <v>1334.4666774588006</v>
      </c>
    </row>
    <row r="1039" spans="1:22" ht="19" customHeight="1">
      <c r="A1039" s="68" t="s">
        <v>362</v>
      </c>
      <c r="B1039" s="74">
        <v>5</v>
      </c>
      <c r="C1039" s="68" t="s">
        <v>363</v>
      </c>
      <c r="D1039" s="68" t="s">
        <v>365</v>
      </c>
      <c r="E1039" s="75">
        <f>60*F1039*'THAM_SO_MOI'!$C$53/(2*PI()*'THAM_SO_MOI'!$C$26)</f>
        <v>2269.2717894736834</v>
      </c>
      <c r="F1039" s="75">
        <f>'THAM_SO_MOI'!$C$14+('THAM_SO_MOI'!$C$37-'THAM_SO_MOI'!$C$14)*232/'THAM_SO_MOI'!$C$42</f>
        <v>23.032138888888888</v>
      </c>
      <c r="G1039" s="75">
        <f>3.6*F1039</f>
        <v>82.9157</v>
      </c>
      <c r="H1039" s="75">
        <f>'THAM_SO_MOI'!$D$53</f>
        <v>1.1</v>
      </c>
      <c r="I1039" s="75">
        <f>IF(F1039&gt;='THAM_SO_MOI'!$C$14,'THAM_SO_MOI'!$C$13*(1+F1039^2/1500),'THAM_SO_MOI'!$C$13)</f>
        <v>0.020304794217970677</v>
      </c>
      <c r="J1039" s="75">
        <f>'THAM_SO_MOI'!$C$40*('THAM_SO_MOI'!$C$23*(E1039/'THAM_SO_MOI'!$C$22)+'THAM_SO_MOI'!$C$24*(E1039/'THAM_SO_MOI'!$C$22)^2-'THAM_SO_MOI'!$C$25*(E1039/'THAM_SO_MOI'!$C$22)^3)</f>
        <v>102.07430706965481</v>
      </c>
      <c r="K1039" s="75">
        <f>'THAM_SO_MOI'!$C$31*J1039/E1039</f>
        <v>429.61876714749906</v>
      </c>
      <c r="L1039" s="75">
        <f>K1039*'THAM_SO_MOI'!$C$53*'THAM_SO_MOI'!$C$17/'THAM_SO_MOI'!$C$26</f>
        <v>3767.758268968294</v>
      </c>
      <c r="M1039" s="75">
        <f>'THAM_SO_MOI'!$C$15*'THAM_SO_MOI'!$C$16*F1039^2</f>
        <v>1551.6523087564235</v>
      </c>
      <c r="N1039" s="75">
        <f>'THAM_SO_MOI'!$C$12*I1039</f>
        <v>1529.7794402172854</v>
      </c>
      <c r="O1039" s="75">
        <f>M1039+N1039</f>
        <v>3081.4317489737086</v>
      </c>
      <c r="P1039" s="75">
        <f>(MIN(L1039,'THAM_SO_MOI'!$C$41)-O1039)/('THAM_SO_MOI'!$C$11*H1039)</f>
        <v>0.08124130208269234</v>
      </c>
      <c r="Q1039" s="75">
        <f>IF(P1039&gt;0,1/P1039,NA())</f>
        <v>12.309010003091029</v>
      </c>
      <c r="R1039" s="75">
        <f>F1039-F1038</f>
        <v>0.0035868055555567935</v>
      </c>
      <c r="S1039" s="75">
        <f>0.5*(Q1038+Q1039)*R1039</f>
        <v>0.044129507500857104</v>
      </c>
      <c r="T1039" s="75">
        <f>0.5*(F1038*Q1038+F1039*Q1039)*R1039</f>
        <v>1.0163178406736402</v>
      </c>
      <c r="U1039" s="76">
        <f>U1038+S1039</f>
        <v>81.76961330214338</v>
      </c>
      <c r="V1039" s="76">
        <f>V1038+T1039</f>
        <v>1335.4829952994742</v>
      </c>
    </row>
    <row r="1040" spans="1:22" ht="19" customHeight="1">
      <c r="A1040" s="68" t="s">
        <v>362</v>
      </c>
      <c r="B1040" s="74">
        <v>5</v>
      </c>
      <c r="C1040" s="68" t="s">
        <v>363</v>
      </c>
      <c r="D1040" s="68" t="s">
        <v>365</v>
      </c>
      <c r="E1040" s="75">
        <f>60*F1040*'THAM_SO_MOI'!$C$53/(2*PI()*'THAM_SO_MOI'!$C$26)</f>
        <v>2269.6251842105257</v>
      </c>
      <c r="F1040" s="75">
        <f>'THAM_SO_MOI'!$C$14+('THAM_SO_MOI'!$C$37-'THAM_SO_MOI'!$C$14)*233/'THAM_SO_MOI'!$C$42</f>
        <v>23.035725694444444</v>
      </c>
      <c r="G1040" s="75">
        <f>3.6*F1040</f>
        <v>82.9286125</v>
      </c>
      <c r="H1040" s="75">
        <f>'THAM_SO_MOI'!$D$53</f>
        <v>1.1</v>
      </c>
      <c r="I1040" s="75">
        <f>IF(F1040&gt;='THAM_SO_MOI'!$C$14,'THAM_SO_MOI'!$C$13*(1+F1040^2/1500),'THAM_SO_MOI'!$C$13)</f>
        <v>0.020306446582696876</v>
      </c>
      <c r="J1040" s="75">
        <f>'THAM_SO_MOI'!$C$40*('THAM_SO_MOI'!$C$23*(E1040/'THAM_SO_MOI'!$C$22)+'THAM_SO_MOI'!$C$24*(E1040/'THAM_SO_MOI'!$C$22)^2-'THAM_SO_MOI'!$C$25*(E1040/'THAM_SO_MOI'!$C$22)^3)</f>
        <v>102.08936578148399</v>
      </c>
      <c r="K1040" s="75">
        <f>'THAM_SO_MOI'!$C$31*J1040/E1040</f>
        <v>429.6152433176116</v>
      </c>
      <c r="L1040" s="75">
        <f>K1040*'THAM_SO_MOI'!$C$53*'THAM_SO_MOI'!$C$17/'THAM_SO_MOI'!$C$26</f>
        <v>3767.7273649663925</v>
      </c>
      <c r="M1040" s="75">
        <f>'THAM_SO_MOI'!$C$15*'THAM_SO_MOI'!$C$16*F1040^2</f>
        <v>1552.1356254388377</v>
      </c>
      <c r="N1040" s="75">
        <f>'THAM_SO_MOI'!$C$12*I1040</f>
        <v>1529.9039306976488</v>
      </c>
      <c r="O1040" s="75">
        <f>M1040+N1040</f>
        <v>3082.0395561364867</v>
      </c>
      <c r="P1040" s="75">
        <f>(MIN(L1040,'THAM_SO_MOI'!$C$41)-O1040)/('THAM_SO_MOI'!$C$11*H1040)</f>
        <v>0.08116569706793393</v>
      </c>
      <c r="Q1040" s="75">
        <f>IF(P1040&gt;0,1/P1040,NA())</f>
        <v>12.320475719724573</v>
      </c>
      <c r="R1040" s="75">
        <f>F1040-F1039</f>
        <v>0.0035868055555567935</v>
      </c>
      <c r="S1040" s="75">
        <f>0.5*(Q1039+Q1040)*R1040</f>
        <v>0.044170588110550864</v>
      </c>
      <c r="T1040" s="75">
        <f>0.5*(F1039*Q1039+F1040*Q1040)*R1040</f>
        <v>1.0174223726986353</v>
      </c>
      <c r="U1040" s="76">
        <f>U1039+S1040</f>
        <v>81.81378389025393</v>
      </c>
      <c r="V1040" s="76">
        <f>V1039+T1040</f>
        <v>1336.5004176721727</v>
      </c>
    </row>
    <row r="1041" spans="1:22" ht="19" customHeight="1">
      <c r="A1041" s="68" t="s">
        <v>362</v>
      </c>
      <c r="B1041" s="74">
        <v>5</v>
      </c>
      <c r="C1041" s="68" t="s">
        <v>363</v>
      </c>
      <c r="D1041" s="68" t="s">
        <v>365</v>
      </c>
      <c r="E1041" s="75">
        <f>60*F1041*'THAM_SO_MOI'!$C$53/(2*PI()*'THAM_SO_MOI'!$C$26)</f>
        <v>2269.9785789473676</v>
      </c>
      <c r="F1041" s="75">
        <f>'THAM_SO_MOI'!$C$14+('THAM_SO_MOI'!$C$37-'THAM_SO_MOI'!$C$14)*234/'THAM_SO_MOI'!$C$42</f>
        <v>23.039312499999998</v>
      </c>
      <c r="G1041" s="75">
        <f>3.6*F1041</f>
        <v>82.941525</v>
      </c>
      <c r="H1041" s="75">
        <f>'THAM_SO_MOI'!$D$53</f>
        <v>1.1</v>
      </c>
      <c r="I1041" s="75">
        <f>IF(F1041&gt;='THAM_SO_MOI'!$C$14,'THAM_SO_MOI'!$C$13*(1+F1041^2/1500),'THAM_SO_MOI'!$C$13)</f>
        <v>0.02030809920472656</v>
      </c>
      <c r="J1041" s="75">
        <f>'THAM_SO_MOI'!$C$40*('THAM_SO_MOI'!$C$23*(E1041/'THAM_SO_MOI'!$C$22)+'THAM_SO_MOI'!$C$24*(E1041/'THAM_SO_MOI'!$C$22)^2-'THAM_SO_MOI'!$C$25*(E1041/'THAM_SO_MOI'!$C$22)^3)</f>
        <v>102.10442135298</v>
      </c>
      <c r="K1041" s="75">
        <f>'THAM_SO_MOI'!$C$31*J1041/E1041</f>
        <v>429.61170737173967</v>
      </c>
      <c r="L1041" s="75">
        <f>K1041*'THAM_SO_MOI'!$C$53*'THAM_SO_MOI'!$C$17/'THAM_SO_MOI'!$C$26</f>
        <v>3767.6963547072596</v>
      </c>
      <c r="M1041" s="75">
        <f>'THAM_SO_MOI'!$C$15*'THAM_SO_MOI'!$C$16*F1041^2</f>
        <v>1552.6190173825191</v>
      </c>
      <c r="N1041" s="75">
        <f>'THAM_SO_MOI'!$C$12*I1041</f>
        <v>1530.028440563463</v>
      </c>
      <c r="O1041" s="75">
        <f>M1041+N1041</f>
        <v>3082.647457945982</v>
      </c>
      <c r="P1041" s="75">
        <f>(MIN(L1041,'THAM_SO_MOI'!$C$41)-O1041)/('THAM_SO_MOI'!$C$11*H1041)</f>
        <v>0.0810900682719315</v>
      </c>
      <c r="Q1041" s="75">
        <f>IF(P1041&gt;0,1/P1041,NA())</f>
        <v>12.331966433257273</v>
      </c>
      <c r="R1041" s="75">
        <f>F1041-F1040</f>
        <v>0.0035868055555532408</v>
      </c>
      <c r="S1041" s="75">
        <f>0.5*(Q1040+Q1041)*R1041</f>
        <v>0.044211758236135094</v>
      </c>
      <c r="T1041" s="75">
        <f>0.5*(F1040*Q1040+F1041*Q1041)*R1041</f>
        <v>1.0185292616442414</v>
      </c>
      <c r="U1041" s="76">
        <f>U1040+S1041</f>
        <v>81.85799564849006</v>
      </c>
      <c r="V1041" s="76">
        <f>V1040+T1041</f>
        <v>1337.518946933817</v>
      </c>
    </row>
    <row r="1042" spans="1:22" ht="19" customHeight="1">
      <c r="A1042" s="68" t="s">
        <v>362</v>
      </c>
      <c r="B1042" s="74">
        <v>5</v>
      </c>
      <c r="C1042" s="68" t="s">
        <v>363</v>
      </c>
      <c r="D1042" s="68" t="s">
        <v>365</v>
      </c>
      <c r="E1042" s="75">
        <f>60*F1042*'THAM_SO_MOI'!$C$53/(2*PI()*'THAM_SO_MOI'!$C$26)</f>
        <v>2270.33197368421</v>
      </c>
      <c r="F1042" s="75">
        <f>'THAM_SO_MOI'!$C$14+('THAM_SO_MOI'!$C$37-'THAM_SO_MOI'!$C$14)*235/'THAM_SO_MOI'!$C$42</f>
        <v>23.042899305555554</v>
      </c>
      <c r="G1042" s="75">
        <f>3.6*F1042</f>
        <v>82.9544375</v>
      </c>
      <c r="H1042" s="75">
        <f>'THAM_SO_MOI'!$D$53</f>
        <v>1.1</v>
      </c>
      <c r="I1042" s="75">
        <f>IF(F1042&gt;='THAM_SO_MOI'!$C$14,'THAM_SO_MOI'!$C$13*(1+F1042^2/1500),'THAM_SO_MOI'!$C$13)</f>
        <v>0.02030975208405973</v>
      </c>
      <c r="J1042" s="75">
        <f>'THAM_SO_MOI'!$C$40*('THAM_SO_MOI'!$C$23*(E1042/'THAM_SO_MOI'!$C$22)+'THAM_SO_MOI'!$C$24*(E1042/'THAM_SO_MOI'!$C$22)^2-'THAM_SO_MOI'!$C$25*(E1042/'THAM_SO_MOI'!$C$22)^3)</f>
        <v>102.11947378279795</v>
      </c>
      <c r="K1042" s="75">
        <f>'THAM_SO_MOI'!$C$31*J1042/E1042</f>
        <v>429.60815930988326</v>
      </c>
      <c r="L1042" s="75">
        <f>K1042*'THAM_SO_MOI'!$C$53*'THAM_SO_MOI'!$C$17/'THAM_SO_MOI'!$C$26</f>
        <v>3767.665238190896</v>
      </c>
      <c r="M1042" s="75">
        <f>'THAM_SO_MOI'!$C$15*'THAM_SO_MOI'!$C$16*F1042^2</f>
        <v>1553.1024845874701</v>
      </c>
      <c r="N1042" s="75">
        <f>'THAM_SO_MOI'!$C$12*I1042</f>
        <v>1530.1529698147272</v>
      </c>
      <c r="O1042" s="75">
        <f>M1042+N1042</f>
        <v>3083.2554544021973</v>
      </c>
      <c r="P1042" s="75">
        <f>(MIN(L1042,'THAM_SO_MOI'!$C$41)-O1042)/('THAM_SO_MOI'!$C$11*H1042)</f>
        <v>0.08101441569468502</v>
      </c>
      <c r="Q1042" s="75">
        <f>IF(P1042&gt;0,1/P1042,NA())</f>
        <v>12.343482223813721</v>
      </c>
      <c r="R1042" s="75">
        <f>F1042-F1041</f>
        <v>0.0035868055555567935</v>
      </c>
      <c r="S1042" s="75">
        <f>0.5*(Q1041+Q1042)*R1042</f>
        <v>0.044253018164519334</v>
      </c>
      <c r="T1042" s="75">
        <f>0.5*(F1041*Q1041+F1042*Q1042)*R1042</f>
        <v>1.019638515084401</v>
      </c>
      <c r="U1042" s="76">
        <f>U1041+S1042</f>
        <v>81.90224866665459</v>
      </c>
      <c r="V1042" s="76">
        <f>V1041+T1042</f>
        <v>1338.5385854489014</v>
      </c>
    </row>
    <row r="1043" spans="1:22" ht="19" customHeight="1">
      <c r="A1043" s="68" t="s">
        <v>362</v>
      </c>
      <c r="B1043" s="74">
        <v>5</v>
      </c>
      <c r="C1043" s="68" t="s">
        <v>363</v>
      </c>
      <c r="D1043" s="68" t="s">
        <v>365</v>
      </c>
      <c r="E1043" s="75">
        <f>60*F1043*'THAM_SO_MOI'!$C$53/(2*PI()*'THAM_SO_MOI'!$C$26)</f>
        <v>2270.6853684210523</v>
      </c>
      <c r="F1043" s="75">
        <f>'THAM_SO_MOI'!$C$14+('THAM_SO_MOI'!$C$37-'THAM_SO_MOI'!$C$14)*236/'THAM_SO_MOI'!$C$42</f>
        <v>23.04648611111111</v>
      </c>
      <c r="G1043" s="75">
        <f>3.6*F1043</f>
        <v>82.96735</v>
      </c>
      <c r="H1043" s="75">
        <f>'THAM_SO_MOI'!$D$53</f>
        <v>1.1</v>
      </c>
      <c r="I1043" s="75">
        <f>IF(F1043&gt;='THAM_SO_MOI'!$C$14,'THAM_SO_MOI'!$C$13*(1+F1043^2/1500),'THAM_SO_MOI'!$C$13)</f>
        <v>0.020311405220696372</v>
      </c>
      <c r="J1043" s="75">
        <f>'THAM_SO_MOI'!$C$40*('THAM_SO_MOI'!$C$23*(E1043/'THAM_SO_MOI'!$C$22)+'THAM_SO_MOI'!$C$24*(E1043/'THAM_SO_MOI'!$C$22)^2-'THAM_SO_MOI'!$C$25*(E1043/'THAM_SO_MOI'!$C$22)^3)</f>
        <v>102.13452306959297</v>
      </c>
      <c r="K1043" s="75">
        <f>'THAM_SO_MOI'!$C$31*J1043/E1043</f>
        <v>429.6045991320425</v>
      </c>
      <c r="L1043" s="75">
        <f>K1043*'THAM_SO_MOI'!$C$53*'THAM_SO_MOI'!$C$17/'THAM_SO_MOI'!$C$26</f>
        <v>3767.634015417301</v>
      </c>
      <c r="M1043" s="75">
        <f>'THAM_SO_MOI'!$C$15*'THAM_SO_MOI'!$C$16*F1043^2</f>
        <v>1553.5860270536893</v>
      </c>
      <c r="N1043" s="75">
        <f>'THAM_SO_MOI'!$C$12*I1043</f>
        <v>1530.2775184514412</v>
      </c>
      <c r="O1043" s="75">
        <f>M1043+N1043</f>
        <v>3083.863545505131</v>
      </c>
      <c r="P1043" s="75">
        <f>(MIN(L1043,'THAM_SO_MOI'!$C$41)-O1043)/('THAM_SO_MOI'!$C$11*H1043)</f>
        <v>0.08093873933619443</v>
      </c>
      <c r="Q1043" s="75">
        <f>IF(P1043&gt;0,1/P1043,NA())</f>
        <v>12.355023171862241</v>
      </c>
      <c r="R1043" s="75">
        <f>F1043-F1042</f>
        <v>0.0035868055555567935</v>
      </c>
      <c r="S1043" s="75">
        <f>0.5*(Q1042+Q1043)*R1043</f>
        <v>0.04429436818357999</v>
      </c>
      <c r="T1043" s="75">
        <f>0.5*(F1042*Q1042+F1043*Q1043)*R1043</f>
        <v>1.0207501406194543</v>
      </c>
      <c r="U1043" s="76">
        <f>U1042+S1043</f>
        <v>81.94654303483817</v>
      </c>
      <c r="V1043" s="76">
        <f>V1042+T1043</f>
        <v>1339.5593355895207</v>
      </c>
    </row>
    <row r="1044" spans="1:22" ht="19" customHeight="1">
      <c r="A1044" s="68" t="s">
        <v>362</v>
      </c>
      <c r="B1044" s="74">
        <v>5</v>
      </c>
      <c r="C1044" s="68" t="s">
        <v>363</v>
      </c>
      <c r="D1044" s="68" t="s">
        <v>365</v>
      </c>
      <c r="E1044" s="75">
        <f>60*F1044*'THAM_SO_MOI'!$C$53/(2*PI()*'THAM_SO_MOI'!$C$26)</f>
        <v>2271.038763157894</v>
      </c>
      <c r="F1044" s="75">
        <f>'THAM_SO_MOI'!$C$14+('THAM_SO_MOI'!$C$37-'THAM_SO_MOI'!$C$14)*237/'THAM_SO_MOI'!$C$42</f>
        <v>23.050072916666664</v>
      </c>
      <c r="G1044" s="75">
        <f>3.6*F1044</f>
        <v>82.9802625</v>
      </c>
      <c r="H1044" s="75">
        <f>'THAM_SO_MOI'!$D$53</f>
        <v>1.1</v>
      </c>
      <c r="I1044" s="75">
        <f>IF(F1044&gt;='THAM_SO_MOI'!$C$14,'THAM_SO_MOI'!$C$13*(1+F1044^2/1500),'THAM_SO_MOI'!$C$13)</f>
        <v>0.0203130586146365</v>
      </c>
      <c r="J1044" s="75">
        <f>'THAM_SO_MOI'!$C$40*('THAM_SO_MOI'!$C$23*(E1044/'THAM_SO_MOI'!$C$22)+'THAM_SO_MOI'!$C$24*(E1044/'THAM_SO_MOI'!$C$22)^2-'THAM_SO_MOI'!$C$25*(E1044/'THAM_SO_MOI'!$C$22)^3)</f>
        <v>102.14956921202011</v>
      </c>
      <c r="K1044" s="75">
        <f>'THAM_SO_MOI'!$C$31*J1044/E1044</f>
        <v>429.60102683821714</v>
      </c>
      <c r="L1044" s="75">
        <f>K1044*'THAM_SO_MOI'!$C$53*'THAM_SO_MOI'!$C$17/'THAM_SO_MOI'!$C$26</f>
        <v>3767.602686386474</v>
      </c>
      <c r="M1044" s="75">
        <f>'THAM_SO_MOI'!$C$15*'THAM_SO_MOI'!$C$16*F1044^2</f>
        <v>1554.0696447811765</v>
      </c>
      <c r="N1044" s="75">
        <f>'THAM_SO_MOI'!$C$12*I1044</f>
        <v>1530.4020864736058</v>
      </c>
      <c r="O1044" s="75">
        <f>M1044+N1044</f>
        <v>3084.4717312547823</v>
      </c>
      <c r="P1044" s="75">
        <f>(MIN(L1044,'THAM_SO_MOI'!$C$41)-O1044)/('THAM_SO_MOI'!$C$11*H1044)</f>
        <v>0.08086303919645972</v>
      </c>
      <c r="Q1044" s="75">
        <f>IF(P1044&gt;0,1/P1044,NA())</f>
        <v>12.366589358216716</v>
      </c>
      <c r="R1044" s="75">
        <f>F1044-F1043</f>
        <v>0.0035868055555532408</v>
      </c>
      <c r="S1044" s="75">
        <f>0.5*(Q1043+Q1044)*R1044</f>
        <v>0.04433580858256091</v>
      </c>
      <c r="T1044" s="75">
        <f>0.5*(F1043*Q1043+F1044*Q1044)*R1044</f>
        <v>1.0218641458853879</v>
      </c>
      <c r="U1044" s="76">
        <f>U1043+S1044</f>
        <v>81.99087884342073</v>
      </c>
      <c r="V1044" s="76">
        <f>V1043+T1044</f>
        <v>1340.581199735406</v>
      </c>
    </row>
    <row r="1045" spans="1:22" ht="19" customHeight="1">
      <c r="A1045" s="68" t="s">
        <v>362</v>
      </c>
      <c r="B1045" s="74">
        <v>5</v>
      </c>
      <c r="C1045" s="68" t="s">
        <v>363</v>
      </c>
      <c r="D1045" s="68" t="s">
        <v>365</v>
      </c>
      <c r="E1045" s="75">
        <f>60*F1045*'THAM_SO_MOI'!$C$53/(2*PI()*'THAM_SO_MOI'!$C$26)</f>
        <v>2271.392157894736</v>
      </c>
      <c r="F1045" s="75">
        <f>'THAM_SO_MOI'!$C$14+('THAM_SO_MOI'!$C$37-'THAM_SO_MOI'!$C$14)*238/'THAM_SO_MOI'!$C$42</f>
        <v>23.05365972222222</v>
      </c>
      <c r="G1045" s="75">
        <f>3.6*F1045</f>
        <v>82.993175</v>
      </c>
      <c r="H1045" s="75">
        <f>'THAM_SO_MOI'!$D$53</f>
        <v>1.1</v>
      </c>
      <c r="I1045" s="75">
        <f>IF(F1045&gt;='THAM_SO_MOI'!$C$14,'THAM_SO_MOI'!$C$13*(1+F1045^2/1500),'THAM_SO_MOI'!$C$13)</f>
        <v>0.020314712265880108</v>
      </c>
      <c r="J1045" s="75">
        <f>'THAM_SO_MOI'!$C$40*('THAM_SO_MOI'!$C$23*(E1045/'THAM_SO_MOI'!$C$22)+'THAM_SO_MOI'!$C$24*(E1045/'THAM_SO_MOI'!$C$22)^2-'THAM_SO_MOI'!$C$25*(E1045/'THAM_SO_MOI'!$C$22)^3)</f>
        <v>102.16461220873451</v>
      </c>
      <c r="K1045" s="75">
        <f>'THAM_SO_MOI'!$C$31*J1045/E1045</f>
        <v>429.5974424284073</v>
      </c>
      <c r="L1045" s="75">
        <f>K1045*'THAM_SO_MOI'!$C$53*'THAM_SO_MOI'!$C$17/'THAM_SO_MOI'!$C$26</f>
        <v>3767.5712510984167</v>
      </c>
      <c r="M1045" s="75">
        <f>'THAM_SO_MOI'!$C$15*'THAM_SO_MOI'!$C$16*F1045^2</f>
        <v>1554.5533377699328</v>
      </c>
      <c r="N1045" s="75">
        <f>'THAM_SO_MOI'!$C$12*I1045</f>
        <v>1530.5266738812202</v>
      </c>
      <c r="O1045" s="75">
        <f>M1045+N1045</f>
        <v>3085.0800116511527</v>
      </c>
      <c r="P1045" s="75">
        <f>(MIN(L1045,'THAM_SO_MOI'!$C$41)-O1045)/('THAM_SO_MOI'!$C$11*H1045)</f>
        <v>0.080787315275481</v>
      </c>
      <c r="Q1045" s="75">
        <f>IF(P1045&gt;0,1/P1045,NA())</f>
        <v>12.37818086403845</v>
      </c>
      <c r="R1045" s="75">
        <f>F1045-F1044</f>
        <v>0.0035868055555567935</v>
      </c>
      <c r="S1045" s="75">
        <f>0.5*(Q1044+Q1045)*R1045</f>
        <v>0.04437733965208057</v>
      </c>
      <c r="T1045" s="75">
        <f>0.5*(F1044*Q1044+F1045*Q1045)*R1045</f>
        <v>1.0229805385540276</v>
      </c>
      <c r="U1045" s="76">
        <f>U1044+S1045</f>
        <v>82.03525618307282</v>
      </c>
      <c r="V1045" s="76">
        <f>V1044+T1045</f>
        <v>1341.60418027396</v>
      </c>
    </row>
    <row r="1046" spans="1:22" ht="19" customHeight="1">
      <c r="A1046" s="68" t="s">
        <v>362</v>
      </c>
      <c r="B1046" s="74">
        <v>5</v>
      </c>
      <c r="C1046" s="68" t="s">
        <v>363</v>
      </c>
      <c r="D1046" s="68" t="s">
        <v>365</v>
      </c>
      <c r="E1046" s="75">
        <f>60*F1046*'THAM_SO_MOI'!$C$53/(2*PI()*'THAM_SO_MOI'!$C$26)</f>
        <v>2271.745552631578</v>
      </c>
      <c r="F1046" s="75">
        <f>'THAM_SO_MOI'!$C$14+('THAM_SO_MOI'!$C$37-'THAM_SO_MOI'!$C$14)*239/'THAM_SO_MOI'!$C$42</f>
        <v>23.057246527777778</v>
      </c>
      <c r="G1046" s="75">
        <f>3.6*F1046</f>
        <v>83.0060875</v>
      </c>
      <c r="H1046" s="75">
        <f>'THAM_SO_MOI'!$D$53</f>
        <v>1.1</v>
      </c>
      <c r="I1046" s="75">
        <f>IF(F1046&gt;='THAM_SO_MOI'!$C$14,'THAM_SO_MOI'!$C$13*(1+F1046^2/1500),'THAM_SO_MOI'!$C$13)</f>
        <v>0.020316366174427204</v>
      </c>
      <c r="J1046" s="75">
        <f>'THAM_SO_MOI'!$C$40*('THAM_SO_MOI'!$C$23*(E1046/'THAM_SO_MOI'!$C$22)+'THAM_SO_MOI'!$C$24*(E1046/'THAM_SO_MOI'!$C$22)^2-'THAM_SO_MOI'!$C$25*(E1046/'THAM_SO_MOI'!$C$22)^3)</f>
        <v>102.17965205839131</v>
      </c>
      <c r="K1046" s="75">
        <f>'THAM_SO_MOI'!$C$31*J1046/E1046</f>
        <v>429.5938459026131</v>
      </c>
      <c r="L1046" s="75">
        <f>K1046*'THAM_SO_MOI'!$C$53*'THAM_SO_MOI'!$C$17/'THAM_SO_MOI'!$C$26</f>
        <v>3767.539709553128</v>
      </c>
      <c r="M1046" s="75">
        <f>'THAM_SO_MOI'!$C$15*'THAM_SO_MOI'!$C$16*F1046^2</f>
        <v>1555.0371060199573</v>
      </c>
      <c r="N1046" s="75">
        <f>'THAM_SO_MOI'!$C$12*I1046</f>
        <v>1530.651280674285</v>
      </c>
      <c r="O1046" s="75">
        <f>M1046+N1046</f>
        <v>3085.6883866942426</v>
      </c>
      <c r="P1046" s="75">
        <f>(MIN(L1046,'THAM_SO_MOI'!$C$41)-O1046)/('THAM_SO_MOI'!$C$11*H1046)</f>
        <v>0.08071156757325824</v>
      </c>
      <c r="Q1046" s="75">
        <f>IF(P1046&gt;0,1/P1046,NA())</f>
        <v>12.389797770838054</v>
      </c>
      <c r="R1046" s="75">
        <f>F1046-F1045</f>
        <v>0.0035868055555567935</v>
      </c>
      <c r="S1046" s="75">
        <f>0.5*(Q1045+Q1046)*R1046</f>
        <v>0.044418961683743506</v>
      </c>
      <c r="T1046" s="75">
        <f>0.5*(F1045*Q1045+F1046*Q1046)*R1046</f>
        <v>1.0240993263241016</v>
      </c>
      <c r="U1046" s="76">
        <f>U1045+S1046</f>
        <v>82.07967514475656</v>
      </c>
      <c r="V1046" s="76">
        <f>V1045+T1046</f>
        <v>1342.6282796002843</v>
      </c>
    </row>
    <row r="1047" spans="1:22" ht="19" customHeight="1">
      <c r="A1047" s="68" t="s">
        <v>362</v>
      </c>
      <c r="B1047" s="74">
        <v>5</v>
      </c>
      <c r="C1047" s="68" t="s">
        <v>363</v>
      </c>
      <c r="D1047" s="68" t="s">
        <v>365</v>
      </c>
      <c r="E1047" s="75">
        <f>60*F1047*'THAM_SO_MOI'!$C$53/(2*PI()*'THAM_SO_MOI'!$C$26)</f>
        <v>2272.0989473684203</v>
      </c>
      <c r="F1047" s="75">
        <f>'THAM_SO_MOI'!$C$14+('THAM_SO_MOI'!$C$37-'THAM_SO_MOI'!$C$14)*240/'THAM_SO_MOI'!$C$42</f>
        <v>23.06083333333333</v>
      </c>
      <c r="G1047" s="75">
        <f>3.6*F1047</f>
        <v>83.01899999999999</v>
      </c>
      <c r="H1047" s="75">
        <f>'THAM_SO_MOI'!$D$53</f>
        <v>1.1</v>
      </c>
      <c r="I1047" s="75">
        <f>IF(F1047&gt;='THAM_SO_MOI'!$C$14,'THAM_SO_MOI'!$C$13*(1+F1047^2/1500),'THAM_SO_MOI'!$C$13)</f>
        <v>0.020318020340277774</v>
      </c>
      <c r="J1047" s="75">
        <f>'THAM_SO_MOI'!$C$40*('THAM_SO_MOI'!$C$23*(E1047/'THAM_SO_MOI'!$C$22)+'THAM_SO_MOI'!$C$24*(E1047/'THAM_SO_MOI'!$C$22)^2-'THAM_SO_MOI'!$C$25*(E1047/'THAM_SO_MOI'!$C$22)^3)</f>
        <v>102.1946887596456</v>
      </c>
      <c r="K1047" s="75">
        <f>'THAM_SO_MOI'!$C$31*J1047/E1047</f>
        <v>429.59023726083444</v>
      </c>
      <c r="L1047" s="75">
        <f>K1047*'THAM_SO_MOI'!$C$53*'THAM_SO_MOI'!$C$17/'THAM_SO_MOI'!$C$26</f>
        <v>3767.5080617506087</v>
      </c>
      <c r="M1047" s="75">
        <f>'THAM_SO_MOI'!$C$15*'THAM_SO_MOI'!$C$16*F1047^2</f>
        <v>1555.52094953125</v>
      </c>
      <c r="N1047" s="75">
        <f>'THAM_SO_MOI'!$C$12*I1047</f>
        <v>1530.7759068527998</v>
      </c>
      <c r="O1047" s="75">
        <f>M1047+N1047</f>
        <v>3086.2968563840495</v>
      </c>
      <c r="P1047" s="75">
        <f>(MIN(L1047,'THAM_SO_MOI'!$C$41)-O1047)/('THAM_SO_MOI'!$C$11*H1047)</f>
        <v>0.08063579608979157</v>
      </c>
      <c r="Q1047" s="75">
        <f>IF(P1047&gt;0,1/P1047,NA())</f>
        <v>12.401440160477305</v>
      </c>
      <c r="R1047" s="75">
        <f>F1047-F1046</f>
        <v>0.0035868055555532408</v>
      </c>
      <c r="S1047" s="75">
        <f>0.5*(Q1046+Q1047)*R1047</f>
        <v>0.044460674970542076</v>
      </c>
      <c r="T1047" s="75">
        <f>0.5*(F1046*Q1046+F1047*Q1047)*R1047</f>
        <v>1.025220516930524</v>
      </c>
      <c r="U1047" s="76">
        <f>U1046+S1047</f>
        <v>82.1241358197271</v>
      </c>
      <c r="V1047" s="76">
        <f>V1046+T1047</f>
        <v>1343.653500117215</v>
      </c>
    </row>
    <row r="1048" spans="1:22" ht="19" customHeight="1">
      <c r="A1048" s="68" t="s">
        <v>362</v>
      </c>
      <c r="B1048" s="74">
        <v>5</v>
      </c>
      <c r="C1048" s="68" t="s">
        <v>363</v>
      </c>
      <c r="D1048" s="68" t="s">
        <v>365</v>
      </c>
      <c r="E1048" s="75">
        <f>60*F1048*'THAM_SO_MOI'!$C$53/(2*PI()*'THAM_SO_MOI'!$C$26)</f>
        <v>2272.4523421052627</v>
      </c>
      <c r="F1048" s="75">
        <f>'THAM_SO_MOI'!$C$14+('THAM_SO_MOI'!$C$37-'THAM_SO_MOI'!$C$14)*241/'THAM_SO_MOI'!$C$42</f>
        <v>23.064420138888888</v>
      </c>
      <c r="G1048" s="75">
        <f>3.6*F1048</f>
        <v>83.0319125</v>
      </c>
      <c r="H1048" s="75">
        <f>'THAM_SO_MOI'!$D$53</f>
        <v>1.1</v>
      </c>
      <c r="I1048" s="75">
        <f>IF(F1048&gt;='THAM_SO_MOI'!$C$14,'THAM_SO_MOI'!$C$13*(1+F1048^2/1500),'THAM_SO_MOI'!$C$13)</f>
        <v>0.02031967476343183</v>
      </c>
      <c r="J1048" s="75">
        <f>'THAM_SO_MOI'!$C$40*('THAM_SO_MOI'!$C$23*(E1048/'THAM_SO_MOI'!$C$22)+'THAM_SO_MOI'!$C$24*(E1048/'THAM_SO_MOI'!$C$22)^2-'THAM_SO_MOI'!$C$25*(E1048/'THAM_SO_MOI'!$C$22)^3)</f>
        <v>102.20972231115252</v>
      </c>
      <c r="K1048" s="75">
        <f>'THAM_SO_MOI'!$C$31*J1048/E1048</f>
        <v>429.5866165030713</v>
      </c>
      <c r="L1048" s="75">
        <f>K1048*'THAM_SO_MOI'!$C$53*'THAM_SO_MOI'!$C$17/'THAM_SO_MOI'!$C$26</f>
        <v>3767.4763076908584</v>
      </c>
      <c r="M1048" s="75">
        <f>'THAM_SO_MOI'!$C$15*'THAM_SO_MOI'!$C$16*F1048^2</f>
        <v>1556.0048683038112</v>
      </c>
      <c r="N1048" s="75">
        <f>'THAM_SO_MOI'!$C$12*I1048</f>
        <v>1530.9005524167649</v>
      </c>
      <c r="O1048" s="75">
        <f>M1048+N1048</f>
        <v>3086.9054207205763</v>
      </c>
      <c r="P1048" s="75">
        <f>(MIN(L1048,'THAM_SO_MOI'!$C$41)-O1048)/('THAM_SO_MOI'!$C$11*H1048)</f>
        <v>0.08056000082508077</v>
      </c>
      <c r="Q1048" s="75">
        <f>IF(P1048&gt;0,1/P1048,NA())</f>
        <v>12.413108115171092</v>
      </c>
      <c r="R1048" s="75">
        <f>F1048-F1047</f>
        <v>0.0035868055555567935</v>
      </c>
      <c r="S1048" s="75">
        <f>0.5*(Q1047+Q1048)*R1048</f>
        <v>0.04450247980686396</v>
      </c>
      <c r="T1048" s="75">
        <f>0.5*(F1047*Q1047+F1048*Q1048)*R1048</f>
        <v>1.0263441181445927</v>
      </c>
      <c r="U1048" s="76">
        <f>U1047+S1048</f>
        <v>82.16863829953397</v>
      </c>
      <c r="V1048" s="76">
        <f>V1047+T1048</f>
        <v>1344.6798442353595</v>
      </c>
    </row>
    <row r="1049" spans="1:22" ht="19" customHeight="1">
      <c r="A1049" s="68" t="s">
        <v>362</v>
      </c>
      <c r="B1049" s="74">
        <v>5</v>
      </c>
      <c r="C1049" s="68" t="s">
        <v>363</v>
      </c>
      <c r="D1049" s="68" t="s">
        <v>365</v>
      </c>
      <c r="E1049" s="75">
        <f>60*F1049*'THAM_SO_MOI'!$C$53/(2*PI()*'THAM_SO_MOI'!$C$26)</f>
        <v>2272.805736842105</v>
      </c>
      <c r="F1049" s="75">
        <f>'THAM_SO_MOI'!$C$14+('THAM_SO_MOI'!$C$37-'THAM_SO_MOI'!$C$14)*242/'THAM_SO_MOI'!$C$42</f>
        <v>23.068006944444445</v>
      </c>
      <c r="G1049" s="75">
        <f>3.6*F1049</f>
        <v>83.044825</v>
      </c>
      <c r="H1049" s="75">
        <f>'THAM_SO_MOI'!$D$53</f>
        <v>1.1</v>
      </c>
      <c r="I1049" s="75">
        <f>IF(F1049&gt;='THAM_SO_MOI'!$C$14,'THAM_SO_MOI'!$C$13*(1+F1049^2/1500),'THAM_SO_MOI'!$C$13)</f>
        <v>0.020321329443889372</v>
      </c>
      <c r="J1049" s="75">
        <f>'THAM_SO_MOI'!$C$40*('THAM_SO_MOI'!$C$23*(E1049/'THAM_SO_MOI'!$C$22)+'THAM_SO_MOI'!$C$24*(E1049/'THAM_SO_MOI'!$C$22)^2-'THAM_SO_MOI'!$C$25*(E1049/'THAM_SO_MOI'!$C$22)^3)</f>
        <v>102.22475271156713</v>
      </c>
      <c r="K1049" s="75">
        <f>'THAM_SO_MOI'!$C$31*J1049/E1049</f>
        <v>429.58298362932373</v>
      </c>
      <c r="L1049" s="75">
        <f>K1049*'THAM_SO_MOI'!$C$53*'THAM_SO_MOI'!$C$17/'THAM_SO_MOI'!$C$26</f>
        <v>3767.4444473738768</v>
      </c>
      <c r="M1049" s="75">
        <f>'THAM_SO_MOI'!$C$15*'THAM_SO_MOI'!$C$16*F1049^2</f>
        <v>1556.4888623376414</v>
      </c>
      <c r="N1049" s="75">
        <f>'THAM_SO_MOI'!$C$12*I1049</f>
        <v>1531.0252173661804</v>
      </c>
      <c r="O1049" s="75">
        <f>M1049+N1049</f>
        <v>3087.514079703822</v>
      </c>
      <c r="P1049" s="75">
        <f>(MIN(L1049,'THAM_SO_MOI'!$C$41)-O1049)/('THAM_SO_MOI'!$C$11*H1049)</f>
        <v>0.08048418177912582</v>
      </c>
      <c r="Q1049" s="75">
        <f>IF(P1049&gt;0,1/P1049,NA())</f>
        <v>12.424801717489256</v>
      </c>
      <c r="R1049" s="75">
        <f>F1049-F1048</f>
        <v>0.0035868055555567935</v>
      </c>
      <c r="S1049" s="75">
        <f>0.5*(Q1048+Q1049)*R1049</f>
        <v>0.04454437648810242</v>
      </c>
      <c r="T1049" s="75">
        <f>0.5*(F1048*Q1048+F1049*Q1049)*R1049</f>
        <v>1.027470137765024</v>
      </c>
      <c r="U1049" s="76">
        <f>U1048+S1049</f>
        <v>82.21318267602207</v>
      </c>
      <c r="V1049" s="76">
        <f>V1048+T1049</f>
        <v>1345.7073143731245</v>
      </c>
    </row>
    <row r="1050" spans="1:22" ht="19" customHeight="1">
      <c r="A1050" s="68" t="s">
        <v>362</v>
      </c>
      <c r="B1050" s="74">
        <v>5</v>
      </c>
      <c r="C1050" s="68" t="s">
        <v>363</v>
      </c>
      <c r="D1050" s="68" t="s">
        <v>365</v>
      </c>
      <c r="E1050" s="75">
        <f>60*F1050*'THAM_SO_MOI'!$C$53/(2*PI()*'THAM_SO_MOI'!$C$26)</f>
        <v>2273.159131578947</v>
      </c>
      <c r="F1050" s="75">
        <f>'THAM_SO_MOI'!$C$14+('THAM_SO_MOI'!$C$37-'THAM_SO_MOI'!$C$14)*243/'THAM_SO_MOI'!$C$42</f>
        <v>23.071593749999998</v>
      </c>
      <c r="G1050" s="75">
        <f>3.6*F1050</f>
        <v>83.0577375</v>
      </c>
      <c r="H1050" s="75">
        <f>'THAM_SO_MOI'!$D$53</f>
        <v>1.1</v>
      </c>
      <c r="I1050" s="75">
        <f>IF(F1050&gt;='THAM_SO_MOI'!$C$14,'THAM_SO_MOI'!$C$13*(1+F1050^2/1500),'THAM_SO_MOI'!$C$13)</f>
        <v>0.02032298438165039</v>
      </c>
      <c r="J1050" s="75">
        <f>'THAM_SO_MOI'!$C$40*('THAM_SO_MOI'!$C$23*(E1050/'THAM_SO_MOI'!$C$22)+'THAM_SO_MOI'!$C$24*(E1050/'THAM_SO_MOI'!$C$22)^2-'THAM_SO_MOI'!$C$25*(E1050/'THAM_SO_MOI'!$C$22)^3)</f>
        <v>102.23977995954453</v>
      </c>
      <c r="K1050" s="75">
        <f>'THAM_SO_MOI'!$C$31*J1050/E1050</f>
        <v>429.5793386395917</v>
      </c>
      <c r="L1050" s="75">
        <f>K1050*'THAM_SO_MOI'!$C$53*'THAM_SO_MOI'!$C$17/'THAM_SO_MOI'!$C$26</f>
        <v>3767.4124807996645</v>
      </c>
      <c r="M1050" s="75">
        <f>'THAM_SO_MOI'!$C$15*'THAM_SO_MOI'!$C$16*F1050^2</f>
        <v>1556.9729316327391</v>
      </c>
      <c r="N1050" s="75">
        <f>'THAM_SO_MOI'!$C$12*I1050</f>
        <v>1531.1499017010458</v>
      </c>
      <c r="O1050" s="75">
        <f>M1050+N1050</f>
        <v>3088.122833333785</v>
      </c>
      <c r="P1050" s="75">
        <f>(MIN(L1050,'THAM_SO_MOI'!$C$41)-O1050)/('THAM_SO_MOI'!$C$11*H1050)</f>
        <v>0.08040833895192706</v>
      </c>
      <c r="Q1050" s="75">
        <f>IF(P1050&gt;0,1/P1050,NA())</f>
        <v>12.436521050358472</v>
      </c>
      <c r="R1050" s="75">
        <f>F1050-F1049</f>
        <v>0.0035868055555532408</v>
      </c>
      <c r="S1050" s="75">
        <f>0.5*(Q1049+Q1050)*R1050</f>
        <v>0.04458636531105925</v>
      </c>
      <c r="T1050" s="75">
        <f>0.5*(F1049*Q1049+F1050*Q1050)*R1050</f>
        <v>1.0285985836272658</v>
      </c>
      <c r="U1050" s="76">
        <f>U1049+S1050</f>
        <v>82.25776904133313</v>
      </c>
      <c r="V1050" s="76">
        <f>V1049+T1050</f>
        <v>1346.7359129567517</v>
      </c>
    </row>
    <row r="1051" spans="1:22" ht="19" customHeight="1">
      <c r="A1051" s="68" t="s">
        <v>362</v>
      </c>
      <c r="B1051" s="74">
        <v>5</v>
      </c>
      <c r="C1051" s="68" t="s">
        <v>363</v>
      </c>
      <c r="D1051" s="68" t="s">
        <v>365</v>
      </c>
      <c r="E1051" s="75">
        <f>60*F1051*'THAM_SO_MOI'!$C$53/(2*PI()*'THAM_SO_MOI'!$C$26)</f>
        <v>2273.512526315789</v>
      </c>
      <c r="F1051" s="75">
        <f>'THAM_SO_MOI'!$C$14+('THAM_SO_MOI'!$C$37-'THAM_SO_MOI'!$C$14)*244/'THAM_SO_MOI'!$C$42</f>
        <v>23.075180555555555</v>
      </c>
      <c r="G1051" s="75">
        <f>3.6*F1051</f>
        <v>83.07065</v>
      </c>
      <c r="H1051" s="75">
        <f>'THAM_SO_MOI'!$D$53</f>
        <v>1.1</v>
      </c>
      <c r="I1051" s="75">
        <f>IF(F1051&gt;='THAM_SO_MOI'!$C$14,'THAM_SO_MOI'!$C$13*(1+F1051^2/1500),'THAM_SO_MOI'!$C$13)</f>
        <v>0.020324639576714893</v>
      </c>
      <c r="J1051" s="75">
        <f>'THAM_SO_MOI'!$C$40*('THAM_SO_MOI'!$C$23*(E1051/'THAM_SO_MOI'!$C$22)+'THAM_SO_MOI'!$C$24*(E1051/'THAM_SO_MOI'!$C$22)^2-'THAM_SO_MOI'!$C$25*(E1051/'THAM_SO_MOI'!$C$22)^3)</f>
        <v>102.25480405373987</v>
      </c>
      <c r="K1051" s="75">
        <f>'THAM_SO_MOI'!$C$31*J1051/E1051</f>
        <v>429.5756815338751</v>
      </c>
      <c r="L1051" s="75">
        <f>K1051*'THAM_SO_MOI'!$C$53*'THAM_SO_MOI'!$C$17/'THAM_SO_MOI'!$C$26</f>
        <v>3767.38040796822</v>
      </c>
      <c r="M1051" s="75">
        <f>'THAM_SO_MOI'!$C$15*'THAM_SO_MOI'!$C$16*F1051^2</f>
        <v>1557.4570761891061</v>
      </c>
      <c r="N1051" s="75">
        <f>'THAM_SO_MOI'!$C$12*I1051</f>
        <v>1531.2746054213615</v>
      </c>
      <c r="O1051" s="75">
        <f>M1051+N1051</f>
        <v>3088.7316816104676</v>
      </c>
      <c r="P1051" s="75">
        <f>(MIN(L1051,'THAM_SO_MOI'!$C$41)-O1051)/('THAM_SO_MOI'!$C$11*H1051)</f>
        <v>0.08033247234348397</v>
      </c>
      <c r="Q1051" s="75">
        <f>IF(P1051&gt;0,1/P1051,NA())</f>
        <v>12.448266197064372</v>
      </c>
      <c r="R1051" s="75">
        <f>F1051-F1050</f>
        <v>0.0035868055555567935</v>
      </c>
      <c r="S1051" s="75">
        <f>0.5*(Q1050+Q1051)*R1051</f>
        <v>0.04462844657395255</v>
      </c>
      <c r="T1051" s="75">
        <f>0.5*(F1050*Q1050+F1051*Q1051)*R1051</f>
        <v>1.0297294636037053</v>
      </c>
      <c r="U1051" s="76">
        <f>U1050+S1051</f>
        <v>82.30239748790709</v>
      </c>
      <c r="V1051" s="76">
        <f>V1050+T1051</f>
        <v>1347.7656424203553</v>
      </c>
    </row>
    <row r="1052" spans="1:22" ht="19" customHeight="1">
      <c r="A1052" s="68" t="s">
        <v>362</v>
      </c>
      <c r="B1052" s="74">
        <v>5</v>
      </c>
      <c r="C1052" s="68" t="s">
        <v>363</v>
      </c>
      <c r="D1052" s="68" t="s">
        <v>365</v>
      </c>
      <c r="E1052" s="75">
        <f>60*F1052*'THAM_SO_MOI'!$C$53/(2*PI()*'THAM_SO_MOI'!$C$26)</f>
        <v>2273.865921052631</v>
      </c>
      <c r="F1052" s="75">
        <f>'THAM_SO_MOI'!$C$14+('THAM_SO_MOI'!$C$37-'THAM_SO_MOI'!$C$14)*245/'THAM_SO_MOI'!$C$42</f>
        <v>23.07876736111111</v>
      </c>
      <c r="G1052" s="75">
        <f>3.6*F1052</f>
        <v>83.0835625</v>
      </c>
      <c r="H1052" s="75">
        <f>'THAM_SO_MOI'!$D$53</f>
        <v>1.1</v>
      </c>
      <c r="I1052" s="75">
        <f>IF(F1052&gt;='THAM_SO_MOI'!$C$14,'THAM_SO_MOI'!$C$13*(1+F1052^2/1500),'THAM_SO_MOI'!$C$13)</f>
        <v>0.020326295029082876</v>
      </c>
      <c r="J1052" s="75">
        <f>'THAM_SO_MOI'!$C$40*('THAM_SO_MOI'!$C$23*(E1052/'THAM_SO_MOI'!$C$22)+'THAM_SO_MOI'!$C$24*(E1052/'THAM_SO_MOI'!$C$22)^2-'THAM_SO_MOI'!$C$25*(E1052/'THAM_SO_MOI'!$C$22)^3)</f>
        <v>102.2698249928083</v>
      </c>
      <c r="K1052" s="75">
        <f>'THAM_SO_MOI'!$C$31*J1052/E1052</f>
        <v>429.57201231217425</v>
      </c>
      <c r="L1052" s="75">
        <f>K1052*'THAM_SO_MOI'!$C$53*'THAM_SO_MOI'!$C$17/'THAM_SO_MOI'!$C$26</f>
        <v>3767.3482288795453</v>
      </c>
      <c r="M1052" s="75">
        <f>'THAM_SO_MOI'!$C$15*'THAM_SO_MOI'!$C$16*F1052^2</f>
        <v>1557.9412960067411</v>
      </c>
      <c r="N1052" s="75">
        <f>'THAM_SO_MOI'!$C$12*I1052</f>
        <v>1531.3993285271272</v>
      </c>
      <c r="O1052" s="75">
        <f>M1052+N1052</f>
        <v>3089.3406245338683</v>
      </c>
      <c r="P1052" s="75">
        <f>(MIN(L1052,'THAM_SO_MOI'!$C$41)-O1052)/('THAM_SO_MOI'!$C$11*H1052)</f>
        <v>0.080256581953797</v>
      </c>
      <c r="Q1052" s="75">
        <f>IF(P1052&gt;0,1/P1052,NA())</f>
        <v>12.4600372412532</v>
      </c>
      <c r="R1052" s="75">
        <f>F1052-F1051</f>
        <v>0.0035868055555567935</v>
      </c>
      <c r="S1052" s="75">
        <f>0.5*(Q1051+Q1052)*R1052</f>
        <v>0.04467062057602593</v>
      </c>
      <c r="T1052" s="75">
        <f>0.5*(F1051*Q1051+F1052*Q1052)*R1052</f>
        <v>1.0308627855946726</v>
      </c>
      <c r="U1052" s="76">
        <f>U1051+S1052</f>
        <v>82.34706810848311</v>
      </c>
      <c r="V1052" s="76">
        <f>V1051+T1052</f>
        <v>1348.79650520595</v>
      </c>
    </row>
    <row r="1053" spans="1:22" ht="19" customHeight="1">
      <c r="A1053" s="68" t="s">
        <v>362</v>
      </c>
      <c r="B1053" s="74">
        <v>5</v>
      </c>
      <c r="C1053" s="68" t="s">
        <v>363</v>
      </c>
      <c r="D1053" s="68" t="s">
        <v>365</v>
      </c>
      <c r="E1053" s="75">
        <f>60*F1053*'THAM_SO_MOI'!$C$53/(2*PI()*'THAM_SO_MOI'!$C$26)</f>
        <v>2274.219315789473</v>
      </c>
      <c r="F1053" s="75">
        <f>'THAM_SO_MOI'!$C$14+('THAM_SO_MOI'!$C$37-'THAM_SO_MOI'!$C$14)*246/'THAM_SO_MOI'!$C$42</f>
        <v>23.082354166666665</v>
      </c>
      <c r="G1053" s="75">
        <f>3.6*F1053</f>
        <v>83.096475</v>
      </c>
      <c r="H1053" s="75">
        <f>'THAM_SO_MOI'!$D$53</f>
        <v>1.1</v>
      </c>
      <c r="I1053" s="75">
        <f>IF(F1053&gt;='THAM_SO_MOI'!$C$14,'THAM_SO_MOI'!$C$13*(1+F1053^2/1500),'THAM_SO_MOI'!$C$13)</f>
        <v>0.02032795073875434</v>
      </c>
      <c r="J1053" s="75">
        <f>'THAM_SO_MOI'!$C$40*('THAM_SO_MOI'!$C$23*(E1053/'THAM_SO_MOI'!$C$22)+'THAM_SO_MOI'!$C$24*(E1053/'THAM_SO_MOI'!$C$22)^2-'THAM_SO_MOI'!$C$25*(E1053/'THAM_SO_MOI'!$C$22)^3)</f>
        <v>102.28484277540483</v>
      </c>
      <c r="K1053" s="75">
        <f>'THAM_SO_MOI'!$C$31*J1053/E1053</f>
        <v>429.5683309744888</v>
      </c>
      <c r="L1053" s="75">
        <f>K1053*'THAM_SO_MOI'!$C$53*'THAM_SO_MOI'!$C$17/'THAM_SO_MOI'!$C$26</f>
        <v>3767.315943533639</v>
      </c>
      <c r="M1053" s="75">
        <f>'THAM_SO_MOI'!$C$15*'THAM_SO_MOI'!$C$16*F1053^2</f>
        <v>1558.4255910856446</v>
      </c>
      <c r="N1053" s="75">
        <f>'THAM_SO_MOI'!$C$12*I1053</f>
        <v>1531.524071018343</v>
      </c>
      <c r="O1053" s="75">
        <f>M1053+N1053</f>
        <v>3089.9496621039875</v>
      </c>
      <c r="P1053" s="75">
        <f>(MIN(L1053,'THAM_SO_MOI'!$C$41)-O1053)/('THAM_SO_MOI'!$C$11*H1053)</f>
        <v>0.08018066778286592</v>
      </c>
      <c r="Q1053" s="75">
        <f>IF(P1053&gt;0,1/P1053,NA())</f>
        <v>12.471834266934023</v>
      </c>
      <c r="R1053" s="75">
        <f>F1053-F1052</f>
        <v>0.0035868055555532408</v>
      </c>
      <c r="S1053" s="75">
        <f>0.5*(Q1052+Q1053)*R1053</f>
        <v>0.04471288761795274</v>
      </c>
      <c r="T1053" s="75">
        <f>0.5*(F1052*Q1052+F1053*Q1053)*R1053</f>
        <v>1.0319985575377906</v>
      </c>
      <c r="U1053" s="76">
        <f>U1052+S1053</f>
        <v>82.39178099610106</v>
      </c>
      <c r="V1053" s="76">
        <f>V1052+T1053</f>
        <v>1349.8285037634878</v>
      </c>
    </row>
    <row r="1054" spans="1:22" ht="19" customHeight="1">
      <c r="A1054" s="68" t="s">
        <v>362</v>
      </c>
      <c r="B1054" s="74">
        <v>5</v>
      </c>
      <c r="C1054" s="68" t="s">
        <v>363</v>
      </c>
      <c r="D1054" s="68" t="s">
        <v>365</v>
      </c>
      <c r="E1054" s="75">
        <f>60*F1054*'THAM_SO_MOI'!$C$53/(2*PI()*'THAM_SO_MOI'!$C$26)</f>
        <v>2274.5727105263154</v>
      </c>
      <c r="F1054" s="75">
        <f>'THAM_SO_MOI'!$C$14+('THAM_SO_MOI'!$C$37-'THAM_SO_MOI'!$C$14)*247/'THAM_SO_MOI'!$C$42</f>
        <v>23.08594097222222</v>
      </c>
      <c r="G1054" s="75">
        <f>3.6*F1054</f>
        <v>83.1093875</v>
      </c>
      <c r="H1054" s="75">
        <f>'THAM_SO_MOI'!$D$53</f>
        <v>1.1</v>
      </c>
      <c r="I1054" s="75">
        <f>IF(F1054&gt;='THAM_SO_MOI'!$C$14,'THAM_SO_MOI'!$C$13*(1+F1054^2/1500),'THAM_SO_MOI'!$C$13)</f>
        <v>0.020329606705729288</v>
      </c>
      <c r="J1054" s="75">
        <f>'THAM_SO_MOI'!$C$40*('THAM_SO_MOI'!$C$23*(E1054/'THAM_SO_MOI'!$C$22)+'THAM_SO_MOI'!$C$24*(E1054/'THAM_SO_MOI'!$C$22)^2-'THAM_SO_MOI'!$C$25*(E1054/'THAM_SO_MOI'!$C$22)^3)</f>
        <v>102.29985740018465</v>
      </c>
      <c r="K1054" s="75">
        <f>'THAM_SO_MOI'!$C$31*J1054/E1054</f>
        <v>429.56463752081896</v>
      </c>
      <c r="L1054" s="75">
        <f>K1054*'THAM_SO_MOI'!$C$53*'THAM_SO_MOI'!$C$17/'THAM_SO_MOI'!$C$26</f>
        <v>3767.283551930502</v>
      </c>
      <c r="M1054" s="75">
        <f>'THAM_SO_MOI'!$C$15*'THAM_SO_MOI'!$C$16*F1054^2</f>
        <v>1558.9099614258164</v>
      </c>
      <c r="N1054" s="75">
        <f>'THAM_SO_MOI'!$C$12*I1054</f>
        <v>1531.6488328950093</v>
      </c>
      <c r="O1054" s="75">
        <f>M1054+N1054</f>
        <v>3090.5587943208257</v>
      </c>
      <c r="P1054" s="75">
        <f>(MIN(L1054,'THAM_SO_MOI'!$C$41)-O1054)/('THAM_SO_MOI'!$C$11*H1054)</f>
        <v>0.0801047298306909</v>
      </c>
      <c r="Q1054" s="75">
        <f>IF(P1054&gt;0,1/P1054,NA())</f>
        <v>12.483657358480539</v>
      </c>
      <c r="R1054" s="75">
        <f>F1054-F1053</f>
        <v>0.0035868055555567935</v>
      </c>
      <c r="S1054" s="75">
        <f>0.5*(Q1053+Q1054)*R1054</f>
        <v>0.04475524800184399</v>
      </c>
      <c r="T1054" s="75">
        <f>0.5*(F1053*Q1053+F1054*Q1054)*R1054</f>
        <v>1.033136787408183</v>
      </c>
      <c r="U1054" s="76">
        <f>U1053+S1054</f>
        <v>82.43653624410291</v>
      </c>
      <c r="V1054" s="76">
        <f>V1053+T1054</f>
        <v>1350.861640550896</v>
      </c>
    </row>
    <row r="1055" spans="1:22" ht="19" customHeight="1">
      <c r="A1055" s="68" t="s">
        <v>362</v>
      </c>
      <c r="B1055" s="74">
        <v>5</v>
      </c>
      <c r="C1055" s="68" t="s">
        <v>363</v>
      </c>
      <c r="D1055" s="68" t="s">
        <v>365</v>
      </c>
      <c r="E1055" s="75">
        <f>60*F1055*'THAM_SO_MOI'!$C$53/(2*PI()*'THAM_SO_MOI'!$C$26)</f>
        <v>2274.9261052631573</v>
      </c>
      <c r="F1055" s="75">
        <f>'THAM_SO_MOI'!$C$14+('THAM_SO_MOI'!$C$37-'THAM_SO_MOI'!$C$14)*248/'THAM_SO_MOI'!$C$42</f>
        <v>23.08952777777778</v>
      </c>
      <c r="G1055" s="75">
        <f>3.6*F1055</f>
        <v>83.12230000000001</v>
      </c>
      <c r="H1055" s="75">
        <f>'THAM_SO_MOI'!$D$53</f>
        <v>1.1</v>
      </c>
      <c r="I1055" s="75">
        <f>IF(F1055&gt;='THAM_SO_MOI'!$C$14,'THAM_SO_MOI'!$C$13*(1+F1055^2/1500),'THAM_SO_MOI'!$C$13)</f>
        <v>0.020331262930007716</v>
      </c>
      <c r="J1055" s="75">
        <f>'THAM_SO_MOI'!$C$40*('THAM_SO_MOI'!$C$23*(E1055/'THAM_SO_MOI'!$C$22)+'THAM_SO_MOI'!$C$24*(E1055/'THAM_SO_MOI'!$C$22)^2-'THAM_SO_MOI'!$C$25*(E1055/'THAM_SO_MOI'!$C$22)^3)</f>
        <v>102.3148688658028</v>
      </c>
      <c r="K1055" s="75">
        <f>'THAM_SO_MOI'!$C$31*J1055/E1055</f>
        <v>429.56093195116455</v>
      </c>
      <c r="L1055" s="75">
        <f>K1055*'THAM_SO_MOI'!$C$53*'THAM_SO_MOI'!$C$17/'THAM_SO_MOI'!$C$26</f>
        <v>3767.251054070133</v>
      </c>
      <c r="M1055" s="75">
        <f>'THAM_SO_MOI'!$C$15*'THAM_SO_MOI'!$C$16*F1055^2</f>
        <v>1559.3944070272573</v>
      </c>
      <c r="N1055" s="75">
        <f>'THAM_SO_MOI'!$C$12*I1055</f>
        <v>1531.7736141571254</v>
      </c>
      <c r="O1055" s="75">
        <f>M1055+N1055</f>
        <v>3091.1680211843827</v>
      </c>
      <c r="P1055" s="75">
        <f>(MIN(L1055,'THAM_SO_MOI'!$C$41)-O1055)/('THAM_SO_MOI'!$C$11*H1055)</f>
        <v>0.08002876809727155</v>
      </c>
      <c r="Q1055" s="75">
        <f>IF(P1055&gt;0,1/P1055,NA())</f>
        <v>12.495506600633195</v>
      </c>
      <c r="R1055" s="75">
        <f>F1055-F1054</f>
        <v>0.0035868055555567935</v>
      </c>
      <c r="S1055" s="75">
        <f>0.5*(Q1054+Q1055)*R1055</f>
        <v>0.04479770203085658</v>
      </c>
      <c r="T1055" s="75">
        <f>0.5*(F1054*Q1054+F1055*Q1055)*R1055</f>
        <v>1.0342774832094555</v>
      </c>
      <c r="U1055" s="76">
        <f>U1054+S1055</f>
        <v>82.48133394613377</v>
      </c>
      <c r="V1055" s="76">
        <f>V1054+T1055</f>
        <v>1351.8959180341055</v>
      </c>
    </row>
    <row r="1056" spans="1:22" ht="19" customHeight="1">
      <c r="A1056" s="68" t="s">
        <v>362</v>
      </c>
      <c r="B1056" s="74">
        <v>5</v>
      </c>
      <c r="C1056" s="68" t="s">
        <v>363</v>
      </c>
      <c r="D1056" s="68" t="s">
        <v>365</v>
      </c>
      <c r="E1056" s="75">
        <f>60*F1056*'THAM_SO_MOI'!$C$53/(2*PI()*'THAM_SO_MOI'!$C$26)</f>
        <v>2275.2794999999996</v>
      </c>
      <c r="F1056" s="75">
        <f>'THAM_SO_MOI'!$C$14+('THAM_SO_MOI'!$C$37-'THAM_SO_MOI'!$C$14)*249/'THAM_SO_MOI'!$C$42</f>
        <v>23.093114583333332</v>
      </c>
      <c r="G1056" s="75">
        <f>3.6*F1056</f>
        <v>83.1352125</v>
      </c>
      <c r="H1056" s="75">
        <f>'THAM_SO_MOI'!$D$53</f>
        <v>1.1</v>
      </c>
      <c r="I1056" s="75">
        <f>IF(F1056&gt;='THAM_SO_MOI'!$C$14,'THAM_SO_MOI'!$C$13*(1+F1056^2/1500),'THAM_SO_MOI'!$C$13)</f>
        <v>0.020332919411589625</v>
      </c>
      <c r="J1056" s="75">
        <f>'THAM_SO_MOI'!$C$40*('THAM_SO_MOI'!$C$23*(E1056/'THAM_SO_MOI'!$C$22)+'THAM_SO_MOI'!$C$24*(E1056/'THAM_SO_MOI'!$C$22)^2-'THAM_SO_MOI'!$C$25*(E1056/'THAM_SO_MOI'!$C$22)^3)</f>
        <v>102.32987717091444</v>
      </c>
      <c r="K1056" s="75">
        <f>'THAM_SO_MOI'!$C$31*J1056/E1056</f>
        <v>429.5572142655257</v>
      </c>
      <c r="L1056" s="75">
        <f>K1056*'THAM_SO_MOI'!$C$53*'THAM_SO_MOI'!$C$17/'THAM_SO_MOI'!$C$26</f>
        <v>3767.2184499525333</v>
      </c>
      <c r="M1056" s="75">
        <f>'THAM_SO_MOI'!$C$15*'THAM_SO_MOI'!$C$16*F1056^2</f>
        <v>1559.878927889966</v>
      </c>
      <c r="N1056" s="75">
        <f>'THAM_SO_MOI'!$C$12*I1056</f>
        <v>1531.8984148046916</v>
      </c>
      <c r="O1056" s="75">
        <f>M1056+N1056</f>
        <v>3091.777342694658</v>
      </c>
      <c r="P1056" s="75">
        <f>(MIN(L1056,'THAM_SO_MOI'!$C$41)-O1056)/('THAM_SO_MOI'!$C$11*H1056)</f>
        <v>0.07995278258260836</v>
      </c>
      <c r="Q1056" s="75">
        <f>IF(P1056&gt;0,1/P1056,NA())</f>
        <v>12.507382078500966</v>
      </c>
      <c r="R1056" s="75">
        <f>F1056-F1055</f>
        <v>0.0035868055555532408</v>
      </c>
      <c r="S1056" s="75">
        <f>0.5*(Q1055+Q1056)*R1056</f>
        <v>0.04484025000959881</v>
      </c>
      <c r="T1056" s="75">
        <f>0.5*(F1055*Q1055+F1056*Q1056)*R1056</f>
        <v>1.0354206529830783</v>
      </c>
      <c r="U1056" s="76">
        <f>U1055+S1056</f>
        <v>82.52617419614337</v>
      </c>
      <c r="V1056" s="76">
        <f>V1055+T1056</f>
        <v>1352.9313386870886</v>
      </c>
    </row>
    <row r="1057" spans="1:22" ht="19" customHeight="1">
      <c r="A1057" s="68" t="s">
        <v>362</v>
      </c>
      <c r="B1057" s="74">
        <v>5</v>
      </c>
      <c r="C1057" s="68" t="s">
        <v>363</v>
      </c>
      <c r="D1057" s="68" t="s">
        <v>365</v>
      </c>
      <c r="E1057" s="75">
        <f>60*F1057*'THAM_SO_MOI'!$C$53/(2*PI()*'THAM_SO_MOI'!$C$26)</f>
        <v>2275.6328947368415</v>
      </c>
      <c r="F1057" s="75">
        <f>'THAM_SO_MOI'!$C$14+('THAM_SO_MOI'!$C$37-'THAM_SO_MOI'!$C$14)*250/'THAM_SO_MOI'!$C$42</f>
        <v>23.09670138888889</v>
      </c>
      <c r="G1057" s="75">
        <f>3.6*F1057</f>
        <v>83.14812500000001</v>
      </c>
      <c r="H1057" s="75">
        <f>'THAM_SO_MOI'!$D$53</f>
        <v>1.1</v>
      </c>
      <c r="I1057" s="75">
        <f>IF(F1057&gt;='THAM_SO_MOI'!$C$14,'THAM_SO_MOI'!$C$13*(1+F1057^2/1500),'THAM_SO_MOI'!$C$13)</f>
        <v>0.02033457615047502</v>
      </c>
      <c r="J1057" s="75">
        <f>'THAM_SO_MOI'!$C$40*('THAM_SO_MOI'!$C$23*(E1057/'THAM_SO_MOI'!$C$22)+'THAM_SO_MOI'!$C$24*(E1057/'THAM_SO_MOI'!$C$22)^2-'THAM_SO_MOI'!$C$25*(E1057/'THAM_SO_MOI'!$C$22)^3)</f>
        <v>102.34488231417471</v>
      </c>
      <c r="K1057" s="75">
        <f>'THAM_SO_MOI'!$C$31*J1057/E1057</f>
        <v>429.5534844639026</v>
      </c>
      <c r="L1057" s="75">
        <f>K1057*'THAM_SO_MOI'!$C$53*'THAM_SO_MOI'!$C$17/'THAM_SO_MOI'!$C$26</f>
        <v>3767.1857395777038</v>
      </c>
      <c r="M1057" s="75">
        <f>'THAM_SO_MOI'!$C$15*'THAM_SO_MOI'!$C$16*F1057^2</f>
        <v>1560.3635240139433</v>
      </c>
      <c r="N1057" s="75">
        <f>'THAM_SO_MOI'!$C$12*I1057</f>
        <v>1532.0232348377085</v>
      </c>
      <c r="O1057" s="75">
        <f>M1057+N1057</f>
        <v>3092.386758851652</v>
      </c>
      <c r="P1057" s="75">
        <f>(MIN(L1057,'THAM_SO_MOI'!$C$41)-O1057)/('THAM_SO_MOI'!$C$11*H1057)</f>
        <v>0.07987677328670122</v>
      </c>
      <c r="Q1057" s="75">
        <f>IF(P1057&gt;0,1/P1057,NA())</f>
        <v>12.519283877563582</v>
      </c>
      <c r="R1057" s="75">
        <f>F1057-F1056</f>
        <v>0.0035868055555567935</v>
      </c>
      <c r="S1057" s="75">
        <f>0.5*(Q1056+Q1057)*R1057</f>
        <v>0.044882892244138196</v>
      </c>
      <c r="T1057" s="75">
        <f>0.5*(F1056*Q1056+F1057*Q1057)*R1057</f>
        <v>1.036566304808591</v>
      </c>
      <c r="U1057" s="76">
        <f>U1056+S1057</f>
        <v>82.5710570883875</v>
      </c>
      <c r="V1057" s="76">
        <f>V1056+T1057</f>
        <v>1353.967904991897</v>
      </c>
    </row>
    <row r="1058" spans="1:22" ht="19" customHeight="1">
      <c r="A1058" s="68" t="s">
        <v>362</v>
      </c>
      <c r="B1058" s="74">
        <v>5</v>
      </c>
      <c r="C1058" s="68" t="s">
        <v>363</v>
      </c>
      <c r="D1058" s="68" t="s">
        <v>365</v>
      </c>
      <c r="E1058" s="75">
        <f>60*F1058*'THAM_SO_MOI'!$C$53/(2*PI()*'THAM_SO_MOI'!$C$26)</f>
        <v>2275.9862894736834</v>
      </c>
      <c r="F1058" s="75">
        <f>'THAM_SO_MOI'!$C$14+('THAM_SO_MOI'!$C$37-'THAM_SO_MOI'!$C$14)*251/'THAM_SO_MOI'!$C$42</f>
        <v>23.100288194444442</v>
      </c>
      <c r="G1058" s="75">
        <f>3.6*F1058</f>
        <v>83.16103749999999</v>
      </c>
      <c r="H1058" s="75">
        <f>'THAM_SO_MOI'!$D$53</f>
        <v>1.1</v>
      </c>
      <c r="I1058" s="75">
        <f>IF(F1058&gt;='THAM_SO_MOI'!$C$14,'THAM_SO_MOI'!$C$13*(1+F1058^2/1500),'THAM_SO_MOI'!$C$13)</f>
        <v>0.02033623314666389</v>
      </c>
      <c r="J1058" s="75">
        <f>'THAM_SO_MOI'!$C$40*('THAM_SO_MOI'!$C$23*(E1058/'THAM_SO_MOI'!$C$22)+'THAM_SO_MOI'!$C$24*(E1058/'THAM_SO_MOI'!$C$22)^2-'THAM_SO_MOI'!$C$25*(E1058/'THAM_SO_MOI'!$C$22)^3)</f>
        <v>102.35988429423863</v>
      </c>
      <c r="K1058" s="75">
        <f>'THAM_SO_MOI'!$C$31*J1058/E1058</f>
        <v>429.5497425462948</v>
      </c>
      <c r="L1058" s="75">
        <f>K1058*'THAM_SO_MOI'!$C$53*'THAM_SO_MOI'!$C$17/'THAM_SO_MOI'!$C$26</f>
        <v>3767.1529229456414</v>
      </c>
      <c r="M1058" s="75">
        <f>'THAM_SO_MOI'!$C$15*'THAM_SO_MOI'!$C$16*F1058^2</f>
        <v>1560.8481953991889</v>
      </c>
      <c r="N1058" s="75">
        <f>'THAM_SO_MOI'!$C$12*I1058</f>
        <v>1532.148074256175</v>
      </c>
      <c r="O1058" s="75">
        <f>M1058+N1058</f>
        <v>3092.996269655364</v>
      </c>
      <c r="P1058" s="75">
        <f>(MIN(L1058,'THAM_SO_MOI'!$C$41)-O1058)/('THAM_SO_MOI'!$C$11*H1058)</f>
        <v>0.07980074020954987</v>
      </c>
      <c r="Q1058" s="75">
        <f>IF(P1058&gt;0,1/P1058,NA())</f>
        <v>12.531212083673486</v>
      </c>
      <c r="R1058" s="75">
        <f>F1058-F1057</f>
        <v>0.0035868055555532408</v>
      </c>
      <c r="S1058" s="75">
        <f>0.5*(Q1057+Q1058)*R1058</f>
        <v>0.044925629041564566</v>
      </c>
      <c r="T1058" s="75">
        <f>0.5*(F1057*Q1057+F1058*Q1058)*R1058</f>
        <v>1.0377144467935397</v>
      </c>
      <c r="U1058" s="76">
        <f>U1057+S1058</f>
        <v>82.61598271742906</v>
      </c>
      <c r="V1058" s="76">
        <f>V1057+T1058</f>
        <v>1355.0056194386907</v>
      </c>
    </row>
    <row r="1059" spans="1:22" ht="19" customHeight="1">
      <c r="A1059" s="68" t="s">
        <v>362</v>
      </c>
      <c r="B1059" s="74">
        <v>5</v>
      </c>
      <c r="C1059" s="68" t="s">
        <v>363</v>
      </c>
      <c r="D1059" s="68" t="s">
        <v>365</v>
      </c>
      <c r="E1059" s="75">
        <f>60*F1059*'THAM_SO_MOI'!$C$53/(2*PI()*'THAM_SO_MOI'!$C$26)</f>
        <v>2276.3396842105253</v>
      </c>
      <c r="F1059" s="75">
        <f>'THAM_SO_MOI'!$C$14+('THAM_SO_MOI'!$C$37-'THAM_SO_MOI'!$C$14)*252/'THAM_SO_MOI'!$C$42</f>
        <v>23.103875</v>
      </c>
      <c r="G1059" s="75">
        <f>3.6*F1059</f>
        <v>83.17394999999999</v>
      </c>
      <c r="H1059" s="75">
        <f>'THAM_SO_MOI'!$D$53</f>
        <v>1.1</v>
      </c>
      <c r="I1059" s="75">
        <f>IF(F1059&gt;='THAM_SO_MOI'!$C$14,'THAM_SO_MOI'!$C$13*(1+F1059^2/1500),'THAM_SO_MOI'!$C$13)</f>
        <v>0.020337890400156246</v>
      </c>
      <c r="J1059" s="75">
        <f>'THAM_SO_MOI'!$C$40*('THAM_SO_MOI'!$C$23*(E1059/'THAM_SO_MOI'!$C$22)+'THAM_SO_MOI'!$C$24*(E1059/'THAM_SO_MOI'!$C$22)^2-'THAM_SO_MOI'!$C$25*(E1059/'THAM_SO_MOI'!$C$22)^3)</f>
        <v>102.37488310976138</v>
      </c>
      <c r="K1059" s="75">
        <f>'THAM_SO_MOI'!$C$31*J1059/E1059</f>
        <v>429.54598851270265</v>
      </c>
      <c r="L1059" s="75">
        <f>K1059*'THAM_SO_MOI'!$C$53*'THAM_SO_MOI'!$C$17/'THAM_SO_MOI'!$C$26</f>
        <v>3767.120000056349</v>
      </c>
      <c r="M1059" s="75">
        <f>'THAM_SO_MOI'!$C$15*'THAM_SO_MOI'!$C$16*F1059^2</f>
        <v>1561.332942045703</v>
      </c>
      <c r="N1059" s="75">
        <f>'THAM_SO_MOI'!$C$12*I1059</f>
        <v>1532.2729330600916</v>
      </c>
      <c r="O1059" s="75">
        <f>M1059+N1059</f>
        <v>3093.6058751057944</v>
      </c>
      <c r="P1059" s="75">
        <f>(MIN(L1059,'THAM_SO_MOI'!$C$41)-O1059)/('THAM_SO_MOI'!$C$11*H1059)</f>
        <v>0.07972468335115464</v>
      </c>
      <c r="Q1059" s="75">
        <f>IF(P1059&gt;0,1/P1059,NA())</f>
        <v>12.54316678305775</v>
      </c>
      <c r="R1059" s="75">
        <f>F1059-F1058</f>
        <v>0.0035868055555567935</v>
      </c>
      <c r="S1059" s="75">
        <f>0.5*(Q1058+Q1059)*R1059</f>
        <v>0.04496846071066373</v>
      </c>
      <c r="T1059" s="75">
        <f>0.5*(F1058*Q1058+F1059*Q1059)*R1059</f>
        <v>1.038865087089057</v>
      </c>
      <c r="U1059" s="76">
        <f>U1058+S1059</f>
        <v>82.66095117813973</v>
      </c>
      <c r="V1059" s="76">
        <f>V1058+T1059</f>
        <v>1356.0444845257798</v>
      </c>
    </row>
    <row r="1060" spans="1:22" ht="19" customHeight="1">
      <c r="A1060" s="68" t="s">
        <v>362</v>
      </c>
      <c r="B1060" s="74">
        <v>5</v>
      </c>
      <c r="C1060" s="68" t="s">
        <v>363</v>
      </c>
      <c r="D1060" s="68" t="s">
        <v>365</v>
      </c>
      <c r="E1060" s="75">
        <f>60*F1060*'THAM_SO_MOI'!$C$53/(2*PI()*'THAM_SO_MOI'!$C$26)</f>
        <v>2276.693078947368</v>
      </c>
      <c r="F1060" s="75">
        <f>'THAM_SO_MOI'!$C$14+('THAM_SO_MOI'!$C$37-'THAM_SO_MOI'!$C$14)*253/'THAM_SO_MOI'!$C$42</f>
        <v>23.107461805555555</v>
      </c>
      <c r="G1060" s="75">
        <f>3.6*F1060</f>
        <v>83.1868625</v>
      </c>
      <c r="H1060" s="75">
        <f>'THAM_SO_MOI'!$D$53</f>
        <v>1.1</v>
      </c>
      <c r="I1060" s="75">
        <f>IF(F1060&gt;='THAM_SO_MOI'!$C$14,'THAM_SO_MOI'!$C$13*(1+F1060^2/1500),'THAM_SO_MOI'!$C$13)</f>
        <v>0.020339547910952088</v>
      </c>
      <c r="J1060" s="75">
        <f>'THAM_SO_MOI'!$C$40*('THAM_SO_MOI'!$C$23*(E1060/'THAM_SO_MOI'!$C$22)+'THAM_SO_MOI'!$C$24*(E1060/'THAM_SO_MOI'!$C$22)^2-'THAM_SO_MOI'!$C$25*(E1060/'THAM_SO_MOI'!$C$22)^3)</f>
        <v>102.3898787593981</v>
      </c>
      <c r="K1060" s="75">
        <f>'THAM_SO_MOI'!$C$31*J1060/E1060</f>
        <v>429.5422223631261</v>
      </c>
      <c r="L1060" s="75">
        <f>K1060*'THAM_SO_MOI'!$C$53*'THAM_SO_MOI'!$C$17/'THAM_SO_MOI'!$C$26</f>
        <v>3767.086970909826</v>
      </c>
      <c r="M1060" s="75">
        <f>'THAM_SO_MOI'!$C$15*'THAM_SO_MOI'!$C$16*F1060^2</f>
        <v>1561.817763953486</v>
      </c>
      <c r="N1060" s="75">
        <f>'THAM_SO_MOI'!$C$12*I1060</f>
        <v>1532.3978112494592</v>
      </c>
      <c r="O1060" s="75">
        <f>M1060+N1060</f>
        <v>3094.2155752029453</v>
      </c>
      <c r="P1060" s="75">
        <f>(MIN(L1060,'THAM_SO_MOI'!$C$41)-O1060)/('THAM_SO_MOI'!$C$11*H1060)</f>
        <v>0.07964860271151525</v>
      </c>
      <c r="Q1060" s="75">
        <f>IF(P1060&gt;0,1/P1060,NA())</f>
        <v>12.5551480623203</v>
      </c>
      <c r="R1060" s="75">
        <f>F1060-F1059</f>
        <v>0.0035868055555567935</v>
      </c>
      <c r="S1060" s="75">
        <f>0.5*(Q1059+Q1060)*R1060</f>
        <v>0.04501138756125776</v>
      </c>
      <c r="T1060" s="75">
        <f>0.5*(F1059*Q1059+F1060*Q1060)*R1060</f>
        <v>1.040018233874649</v>
      </c>
      <c r="U1060" s="76">
        <f>U1059+S1060</f>
        <v>82.70596256570099</v>
      </c>
      <c r="V1060" s="76">
        <f>V1059+T1060</f>
        <v>1357.0845027596545</v>
      </c>
    </row>
    <row r="1061" spans="1:22" ht="19" customHeight="1">
      <c r="A1061" s="68" t="s">
        <v>362</v>
      </c>
      <c r="B1061" s="74">
        <v>5</v>
      </c>
      <c r="C1061" s="68" t="s">
        <v>363</v>
      </c>
      <c r="D1061" s="68" t="s">
        <v>365</v>
      </c>
      <c r="E1061" s="75">
        <f>60*F1061*'THAM_SO_MOI'!$C$53/(2*PI()*'THAM_SO_MOI'!$C$26)</f>
        <v>2277.0464736842096</v>
      </c>
      <c r="F1061" s="75">
        <f>'THAM_SO_MOI'!$C$14+('THAM_SO_MOI'!$C$37-'THAM_SO_MOI'!$C$14)*254/'THAM_SO_MOI'!$C$42</f>
        <v>23.11104861111111</v>
      </c>
      <c r="G1061" s="75">
        <f>3.6*F1061</f>
        <v>83.19977499999999</v>
      </c>
      <c r="H1061" s="75">
        <f>'THAM_SO_MOI'!$D$53</f>
        <v>1.1</v>
      </c>
      <c r="I1061" s="75">
        <f>IF(F1061&gt;='THAM_SO_MOI'!$C$14,'THAM_SO_MOI'!$C$13*(1+F1061^2/1500),'THAM_SO_MOI'!$C$13)</f>
        <v>0.020341205679051406</v>
      </c>
      <c r="J1061" s="75">
        <f>'THAM_SO_MOI'!$C$40*('THAM_SO_MOI'!$C$23*(E1061/'THAM_SO_MOI'!$C$22)+'THAM_SO_MOI'!$C$24*(E1061/'THAM_SO_MOI'!$C$22)^2-'THAM_SO_MOI'!$C$25*(E1061/'THAM_SO_MOI'!$C$22)^3)</f>
        <v>102.40487124180375</v>
      </c>
      <c r="K1061" s="75">
        <f>'THAM_SO_MOI'!$C$31*J1061/E1061</f>
        <v>429.5384440975648</v>
      </c>
      <c r="L1061" s="75">
        <f>K1061*'THAM_SO_MOI'!$C$53*'THAM_SO_MOI'!$C$17/'THAM_SO_MOI'!$C$26</f>
        <v>3767.0538355060694</v>
      </c>
      <c r="M1061" s="75">
        <f>'THAM_SO_MOI'!$C$15*'THAM_SO_MOI'!$C$16*F1061^2</f>
        <v>1562.3026611225366</v>
      </c>
      <c r="N1061" s="75">
        <f>'THAM_SO_MOI'!$C$12*I1061</f>
        <v>1532.5227088242762</v>
      </c>
      <c r="O1061" s="75">
        <f>M1061+N1061</f>
        <v>3094.8253699468128</v>
      </c>
      <c r="P1061" s="75">
        <f>(MIN(L1061,'THAM_SO_MOI'!$C$41)-O1061)/('THAM_SO_MOI'!$C$11*H1061)</f>
        <v>0.07957249829063173</v>
      </c>
      <c r="Q1061" s="75">
        <f>IF(P1061&gt;0,1/P1061,NA())</f>
        <v>12.567156008443844</v>
      </c>
      <c r="R1061" s="75">
        <f>F1061-F1060</f>
        <v>0.0035868055555532408</v>
      </c>
      <c r="S1061" s="75">
        <f>0.5*(Q1060+Q1061)*R1061</f>
        <v>0.04505440990465732</v>
      </c>
      <c r="T1061" s="75">
        <f>0.5*(F1060*Q1060+F1061*Q1061)*R1061</f>
        <v>1.041173895368666</v>
      </c>
      <c r="U1061" s="76">
        <f>U1060+S1061</f>
        <v>82.75101697560564</v>
      </c>
      <c r="V1061" s="76">
        <f>V1060+T1061</f>
        <v>1358.1256766550232</v>
      </c>
    </row>
    <row r="1062" spans="1:22" ht="19" customHeight="1">
      <c r="A1062" s="68" t="s">
        <v>362</v>
      </c>
      <c r="B1062" s="74">
        <v>5</v>
      </c>
      <c r="C1062" s="68" t="s">
        <v>363</v>
      </c>
      <c r="D1062" s="68" t="s">
        <v>365</v>
      </c>
      <c r="E1062" s="75">
        <f>60*F1062*'THAM_SO_MOI'!$C$53/(2*PI()*'THAM_SO_MOI'!$C$26)</f>
        <v>2277.399868421052</v>
      </c>
      <c r="F1062" s="75">
        <f>'THAM_SO_MOI'!$C$14+('THAM_SO_MOI'!$C$37-'THAM_SO_MOI'!$C$14)*255/'THAM_SO_MOI'!$C$42</f>
        <v>23.114635416666665</v>
      </c>
      <c r="G1062" s="75">
        <f>3.6*F1062</f>
        <v>83.2126875</v>
      </c>
      <c r="H1062" s="75">
        <f>'THAM_SO_MOI'!$D$53</f>
        <v>1.1</v>
      </c>
      <c r="I1062" s="75">
        <f>IF(F1062&gt;='THAM_SO_MOI'!$C$14,'THAM_SO_MOI'!$C$13*(1+F1062^2/1500),'THAM_SO_MOI'!$C$13)</f>
        <v>0.020342863704454206</v>
      </c>
      <c r="J1062" s="75">
        <f>'THAM_SO_MOI'!$C$40*('THAM_SO_MOI'!$C$23*(E1062/'THAM_SO_MOI'!$C$22)+'THAM_SO_MOI'!$C$24*(E1062/'THAM_SO_MOI'!$C$22)^2-'THAM_SO_MOI'!$C$25*(E1062/'THAM_SO_MOI'!$C$22)^3)</f>
        <v>102.4198605556336</v>
      </c>
      <c r="K1062" s="75">
        <f>'THAM_SO_MOI'!$C$31*J1062/E1062</f>
        <v>429.5346537160193</v>
      </c>
      <c r="L1062" s="75">
        <f>K1062*'THAM_SO_MOI'!$C$53*'THAM_SO_MOI'!$C$17/'THAM_SO_MOI'!$C$26</f>
        <v>3767.020593845083</v>
      </c>
      <c r="M1062" s="75">
        <f>'THAM_SO_MOI'!$C$15*'THAM_SO_MOI'!$C$16*F1062^2</f>
        <v>1562.7876335528565</v>
      </c>
      <c r="N1062" s="75">
        <f>'THAM_SO_MOI'!$C$12*I1062</f>
        <v>1532.6476257845436</v>
      </c>
      <c r="O1062" s="75">
        <f>M1062+N1062</f>
        <v>3095.4352593374</v>
      </c>
      <c r="P1062" s="75">
        <f>(MIN(L1062,'THAM_SO_MOI'!$C$41)-O1062)/('THAM_SO_MOI'!$C$11*H1062)</f>
        <v>0.07949637008850412</v>
      </c>
      <c r="Q1062" s="75">
        <f>IF(P1062&gt;0,1/P1062,NA())</f>
        <v>12.579190708791984</v>
      </c>
      <c r="R1062" s="75">
        <f>F1062-F1061</f>
        <v>0.0035868055555567935</v>
      </c>
      <c r="S1062" s="75">
        <f>0.5*(Q1061+Q1062)*R1062</f>
        <v>0.04509752805366941</v>
      </c>
      <c r="T1062" s="75">
        <f>0.5*(F1061*Q1061+F1062*Q1062)*R1062</f>
        <v>1.0423320798285116</v>
      </c>
      <c r="U1062" s="76">
        <f>U1061+S1062</f>
        <v>82.79611450365931</v>
      </c>
      <c r="V1062" s="76">
        <f>V1061+T1062</f>
        <v>1359.1680087348518</v>
      </c>
    </row>
    <row r="1063" spans="1:22" ht="19" customHeight="1">
      <c r="A1063" s="68" t="s">
        <v>362</v>
      </c>
      <c r="B1063" s="74">
        <v>5</v>
      </c>
      <c r="C1063" s="68" t="s">
        <v>363</v>
      </c>
      <c r="D1063" s="68" t="s">
        <v>365</v>
      </c>
      <c r="E1063" s="75">
        <f>60*F1063*'THAM_SO_MOI'!$C$53/(2*PI()*'THAM_SO_MOI'!$C$26)</f>
        <v>2277.7532631578943</v>
      </c>
      <c r="F1063" s="75">
        <f>'THAM_SO_MOI'!$C$14+('THAM_SO_MOI'!$C$37-'THAM_SO_MOI'!$C$14)*256/'THAM_SO_MOI'!$C$42</f>
        <v>23.118222222222222</v>
      </c>
      <c r="G1063" s="75">
        <f>3.6*F1063</f>
        <v>83.2256</v>
      </c>
      <c r="H1063" s="75">
        <f>'THAM_SO_MOI'!$D$53</f>
        <v>1.1</v>
      </c>
      <c r="I1063" s="75">
        <f>IF(F1063&gt;='THAM_SO_MOI'!$C$14,'THAM_SO_MOI'!$C$13*(1+F1063^2/1500),'THAM_SO_MOI'!$C$13)</f>
        <v>0.020344521987160493</v>
      </c>
      <c r="J1063" s="75">
        <f>'THAM_SO_MOI'!$C$40*('THAM_SO_MOI'!$C$23*(E1063/'THAM_SO_MOI'!$C$22)+'THAM_SO_MOI'!$C$24*(E1063/'THAM_SO_MOI'!$C$22)^2-'THAM_SO_MOI'!$C$25*(E1063/'THAM_SO_MOI'!$C$22)^3)</f>
        <v>102.43484669954275</v>
      </c>
      <c r="K1063" s="75">
        <f>'THAM_SO_MOI'!$C$31*J1063/E1063</f>
        <v>429.5308512184894</v>
      </c>
      <c r="L1063" s="75">
        <f>K1063*'THAM_SO_MOI'!$C$53*'THAM_SO_MOI'!$C$17/'THAM_SO_MOI'!$C$26</f>
        <v>3766.987245926867</v>
      </c>
      <c r="M1063" s="75">
        <f>'THAM_SO_MOI'!$C$15*'THAM_SO_MOI'!$C$16*F1063^2</f>
        <v>1563.2726812444446</v>
      </c>
      <c r="N1063" s="75">
        <f>'THAM_SO_MOI'!$C$12*I1063</f>
        <v>1532.7725621302613</v>
      </c>
      <c r="O1063" s="75">
        <f>M1063+N1063</f>
        <v>3096.045243374706</v>
      </c>
      <c r="P1063" s="75">
        <f>(MIN(L1063,'THAM_SO_MOI'!$C$41)-O1063)/('THAM_SO_MOI'!$C$11*H1063)</f>
        <v>0.07942021810513275</v>
      </c>
      <c r="Q1063" s="75">
        <f>IF(P1063&gt;0,1/P1063,NA())</f>
        <v>12.59125225111126</v>
      </c>
      <c r="R1063" s="75">
        <f>F1063-F1062</f>
        <v>0.0035868055555567935</v>
      </c>
      <c r="S1063" s="75">
        <f>0.5*(Q1062+Q1063)*R1063</f>
        <v>0.04514074232220317</v>
      </c>
      <c r="T1063" s="75">
        <f>0.5*(F1062*Q1062+F1063*Q1063)*R1063</f>
        <v>1.0434927955415534</v>
      </c>
      <c r="U1063" s="76">
        <f>U1062+S1063</f>
        <v>82.84125524598151</v>
      </c>
      <c r="V1063" s="76">
        <f>V1062+T1063</f>
        <v>1360.2115015303934</v>
      </c>
    </row>
    <row r="1064" spans="1:22" ht="19" customHeight="1">
      <c r="A1064" s="68" t="s">
        <v>362</v>
      </c>
      <c r="B1064" s="74">
        <v>5</v>
      </c>
      <c r="C1064" s="68" t="s">
        <v>363</v>
      </c>
      <c r="D1064" s="68" t="s">
        <v>365</v>
      </c>
      <c r="E1064" s="75">
        <f>60*F1064*'THAM_SO_MOI'!$C$53/(2*PI()*'THAM_SO_MOI'!$C$26)</f>
        <v>2278.106657894736</v>
      </c>
      <c r="F1064" s="75">
        <f>'THAM_SO_MOI'!$C$14+('THAM_SO_MOI'!$C$37-'THAM_SO_MOI'!$C$14)*257/'THAM_SO_MOI'!$C$42</f>
        <v>23.121809027777775</v>
      </c>
      <c r="G1064" s="75">
        <f>3.6*F1064</f>
        <v>83.2385125</v>
      </c>
      <c r="H1064" s="75">
        <f>'THAM_SO_MOI'!$D$53</f>
        <v>1.1</v>
      </c>
      <c r="I1064" s="75">
        <f>IF(F1064&gt;='THAM_SO_MOI'!$C$14,'THAM_SO_MOI'!$C$13*(1+F1064^2/1500),'THAM_SO_MOI'!$C$13)</f>
        <v>0.020346180527170257</v>
      </c>
      <c r="J1064" s="75">
        <f>'THAM_SO_MOI'!$C$40*('THAM_SO_MOI'!$C$23*(E1064/'THAM_SO_MOI'!$C$22)+'THAM_SO_MOI'!$C$24*(E1064/'THAM_SO_MOI'!$C$22)^2-'THAM_SO_MOI'!$C$25*(E1064/'THAM_SO_MOI'!$C$22)^3)</f>
        <v>102.4498296721862</v>
      </c>
      <c r="K1064" s="75">
        <f>'THAM_SO_MOI'!$C$31*J1064/E1064</f>
        <v>429.5270366049749</v>
      </c>
      <c r="L1064" s="75">
        <f>K1064*'THAM_SO_MOI'!$C$53*'THAM_SO_MOI'!$C$17/'THAM_SO_MOI'!$C$26</f>
        <v>3766.9537917514185</v>
      </c>
      <c r="M1064" s="75">
        <f>'THAM_SO_MOI'!$C$15*'THAM_SO_MOI'!$C$16*F1064^2</f>
        <v>1563.7578041973006</v>
      </c>
      <c r="N1064" s="75">
        <f>'THAM_SO_MOI'!$C$12*I1064</f>
        <v>1532.897517861429</v>
      </c>
      <c r="O1064" s="75">
        <f>M1064+N1064</f>
        <v>3096.6553220587293</v>
      </c>
      <c r="P1064" s="75">
        <f>(MIN(L1064,'THAM_SO_MOI'!$C$41)-O1064)/('THAM_SO_MOI'!$C$11*H1064)</f>
        <v>0.07934404234051716</v>
      </c>
      <c r="Q1064" s="75">
        <f>IF(P1064&gt;0,1/P1064,NA())</f>
        <v>12.603340723533423</v>
      </c>
      <c r="R1064" s="75">
        <f>F1064-F1063</f>
        <v>0.0035868055555532408</v>
      </c>
      <c r="S1064" s="75">
        <f>0.5*(Q1063+Q1064)*R1064</f>
        <v>0.045184053025679106</v>
      </c>
      <c r="T1064" s="75">
        <f>0.5*(F1063*Q1063+F1064*Q1064)*R1064</f>
        <v>1.044656050834605</v>
      </c>
      <c r="U1064" s="76">
        <f>U1063+S1064</f>
        <v>82.8864392990072</v>
      </c>
      <c r="V1064" s="76">
        <f>V1063+T1064</f>
        <v>1361.256157581228</v>
      </c>
    </row>
    <row r="1065" spans="1:22" ht="19" customHeight="1">
      <c r="A1065" s="68" t="s">
        <v>362</v>
      </c>
      <c r="B1065" s="74">
        <v>5</v>
      </c>
      <c r="C1065" s="68" t="s">
        <v>363</v>
      </c>
      <c r="D1065" s="68" t="s">
        <v>365</v>
      </c>
      <c r="E1065" s="75">
        <f>60*F1065*'THAM_SO_MOI'!$C$53/(2*PI()*'THAM_SO_MOI'!$C$26)</f>
        <v>2278.460052631578</v>
      </c>
      <c r="F1065" s="75">
        <f>'THAM_SO_MOI'!$C$14+('THAM_SO_MOI'!$C$37-'THAM_SO_MOI'!$C$14)*258/'THAM_SO_MOI'!$C$42</f>
        <v>23.125395833333332</v>
      </c>
      <c r="G1065" s="75">
        <f>3.6*F1065</f>
        <v>83.251425</v>
      </c>
      <c r="H1065" s="75">
        <f>'THAM_SO_MOI'!$D$53</f>
        <v>1.1</v>
      </c>
      <c r="I1065" s="75">
        <f>IF(F1065&gt;='THAM_SO_MOI'!$C$14,'THAM_SO_MOI'!$C$13*(1+F1065^2/1500),'THAM_SO_MOI'!$C$13)</f>
        <v>0.020347839324483506</v>
      </c>
      <c r="J1065" s="75">
        <f>'THAM_SO_MOI'!$C$40*('THAM_SO_MOI'!$C$23*(E1065/'THAM_SO_MOI'!$C$22)+'THAM_SO_MOI'!$C$24*(E1065/'THAM_SO_MOI'!$C$22)^2-'THAM_SO_MOI'!$C$25*(E1065/'THAM_SO_MOI'!$C$22)^3)</f>
        <v>102.46480947221913</v>
      </c>
      <c r="K1065" s="75">
        <f>'THAM_SO_MOI'!$C$31*J1065/E1065</f>
        <v>429.523209875476</v>
      </c>
      <c r="L1065" s="75">
        <f>K1065*'THAM_SO_MOI'!$C$53*'THAM_SO_MOI'!$C$17/'THAM_SO_MOI'!$C$26</f>
        <v>3766.9202313187398</v>
      </c>
      <c r="M1065" s="75">
        <f>'THAM_SO_MOI'!$C$15*'THAM_SO_MOI'!$C$16*F1065^2</f>
        <v>1564.2430024114256</v>
      </c>
      <c r="N1065" s="75">
        <f>'THAM_SO_MOI'!$C$12*I1065</f>
        <v>1533.022492978047</v>
      </c>
      <c r="O1065" s="75">
        <f>M1065+N1065</f>
        <v>3097.2654953894726</v>
      </c>
      <c r="P1065" s="75">
        <f>(MIN(L1065,'THAM_SO_MOI'!$C$41)-O1065)/('THAM_SO_MOI'!$C$11*H1065)</f>
        <v>0.07926784279465758</v>
      </c>
      <c r="Q1065" s="75">
        <f>IF(P1065&gt;0,1/P1065,NA())</f>
        <v>12.615456214577307</v>
      </c>
      <c r="R1065" s="75">
        <f>F1065-F1064</f>
        <v>0.0035868055555567935</v>
      </c>
      <c r="S1065" s="75">
        <f>0.5*(Q1064+Q1065)*R1065</f>
        <v>0.0452274604810371</v>
      </c>
      <c r="T1065" s="75">
        <f>0.5*(F1064*Q1064+F1065*Q1065)*R1065</f>
        <v>1.0458218540741402</v>
      </c>
      <c r="U1065" s="76">
        <f>U1064+S1065</f>
        <v>82.93166675948824</v>
      </c>
      <c r="V1065" s="76">
        <f>V1064+T1065</f>
        <v>1362.3019794353022</v>
      </c>
    </row>
    <row r="1066" spans="1:22" ht="19" customHeight="1">
      <c r="A1066" s="68" t="s">
        <v>362</v>
      </c>
      <c r="B1066" s="74">
        <v>5</v>
      </c>
      <c r="C1066" s="68" t="s">
        <v>363</v>
      </c>
      <c r="D1066" s="68" t="s">
        <v>365</v>
      </c>
      <c r="E1066" s="75">
        <f>60*F1066*'THAM_SO_MOI'!$C$53/(2*PI()*'THAM_SO_MOI'!$C$26)</f>
        <v>2278.813447368421</v>
      </c>
      <c r="F1066" s="75">
        <f>'THAM_SO_MOI'!$C$14+('THAM_SO_MOI'!$C$37-'THAM_SO_MOI'!$C$14)*259/'THAM_SO_MOI'!$C$42</f>
        <v>23.12898263888889</v>
      </c>
      <c r="G1066" s="75">
        <f>3.6*F1066</f>
        <v>83.2643375</v>
      </c>
      <c r="H1066" s="75">
        <f>'THAM_SO_MOI'!$D$53</f>
        <v>1.1</v>
      </c>
      <c r="I1066" s="75">
        <f>IF(F1066&gt;='THAM_SO_MOI'!$C$14,'THAM_SO_MOI'!$C$13*(1+F1066^2/1500),'THAM_SO_MOI'!$C$13)</f>
        <v>0.020349498379100234</v>
      </c>
      <c r="J1066" s="75">
        <f>'THAM_SO_MOI'!$C$40*('THAM_SO_MOI'!$C$23*(E1066/'THAM_SO_MOI'!$C$22)+'THAM_SO_MOI'!$C$24*(E1066/'THAM_SO_MOI'!$C$22)^2-'THAM_SO_MOI'!$C$25*(E1066/'THAM_SO_MOI'!$C$22)^3)</f>
        <v>102.4797860982967</v>
      </c>
      <c r="K1066" s="75">
        <f>'THAM_SO_MOI'!$C$31*J1066/E1066</f>
        <v>429.5193710299927</v>
      </c>
      <c r="L1066" s="75">
        <f>K1066*'THAM_SO_MOI'!$C$53*'THAM_SO_MOI'!$C$17/'THAM_SO_MOI'!$C$26</f>
        <v>3766.88656462883</v>
      </c>
      <c r="M1066" s="75">
        <f>'THAM_SO_MOI'!$C$15*'THAM_SO_MOI'!$C$16*F1066^2</f>
        <v>1564.7282758868193</v>
      </c>
      <c r="N1066" s="75">
        <f>'THAM_SO_MOI'!$C$12*I1066</f>
        <v>1533.147487480115</v>
      </c>
      <c r="O1066" s="75">
        <f>M1066+N1066</f>
        <v>3097.8757633669343</v>
      </c>
      <c r="P1066" s="75">
        <f>(MIN(L1066,'THAM_SO_MOI'!$C$41)-O1066)/('THAM_SO_MOI'!$C$11*H1066)</f>
        <v>0.07919161946755397</v>
      </c>
      <c r="Q1066" s="75">
        <f>IF(P1066&gt;0,1/P1066,NA())</f>
        <v>12.627598813151124</v>
      </c>
      <c r="R1066" s="75">
        <f>F1066-F1065</f>
        <v>0.0035868055555567935</v>
      </c>
      <c r="S1066" s="75">
        <f>0.5*(Q1065+Q1066)*R1066</f>
        <v>0.04527096500634109</v>
      </c>
      <c r="T1066" s="75">
        <f>0.5*(F1065*Q1065+F1066*Q1066)*R1066</f>
        <v>1.0469902136571756</v>
      </c>
      <c r="U1066" s="76">
        <f>U1065+S1066</f>
        <v>82.97693772449458</v>
      </c>
      <c r="V1066" s="76">
        <f>V1065+T1066</f>
        <v>1363.3489696489594</v>
      </c>
    </row>
    <row r="1067" spans="1:22" ht="19" customHeight="1">
      <c r="A1067" s="68" t="s">
        <v>362</v>
      </c>
      <c r="B1067" s="74">
        <v>5</v>
      </c>
      <c r="C1067" s="68" t="s">
        <v>363</v>
      </c>
      <c r="D1067" s="68" t="s">
        <v>365</v>
      </c>
      <c r="E1067" s="75">
        <f>60*F1067*'THAM_SO_MOI'!$C$53/(2*PI()*'THAM_SO_MOI'!$C$26)</f>
        <v>2279.1668421052623</v>
      </c>
      <c r="F1067" s="75">
        <f>'THAM_SO_MOI'!$C$14+('THAM_SO_MOI'!$C$37-'THAM_SO_MOI'!$C$14)*260/'THAM_SO_MOI'!$C$42</f>
        <v>23.132569444444442</v>
      </c>
      <c r="G1067" s="75">
        <f>3.6*F1067</f>
        <v>83.27725</v>
      </c>
      <c r="H1067" s="75">
        <f>'THAM_SO_MOI'!$D$53</f>
        <v>1.1</v>
      </c>
      <c r="I1067" s="75">
        <f>IF(F1067&gt;='THAM_SO_MOI'!$C$14,'THAM_SO_MOI'!$C$13*(1+F1067^2/1500),'THAM_SO_MOI'!$C$13)</f>
        <v>0.020351157691020444</v>
      </c>
      <c r="J1067" s="75">
        <f>'THAM_SO_MOI'!$C$40*('THAM_SO_MOI'!$C$23*(E1067/'THAM_SO_MOI'!$C$22)+'THAM_SO_MOI'!$C$24*(E1067/'THAM_SO_MOI'!$C$22)^2-'THAM_SO_MOI'!$C$25*(E1067/'THAM_SO_MOI'!$C$22)^3)</f>
        <v>102.49475954907388</v>
      </c>
      <c r="K1067" s="75">
        <f>'THAM_SO_MOI'!$C$31*J1067/E1067</f>
        <v>429.5155200685249</v>
      </c>
      <c r="L1067" s="75">
        <f>K1067*'THAM_SO_MOI'!$C$53*'THAM_SO_MOI'!$C$17/'THAM_SO_MOI'!$C$26</f>
        <v>3766.8527916816884</v>
      </c>
      <c r="M1067" s="75">
        <f>'THAM_SO_MOI'!$C$15*'THAM_SO_MOI'!$C$16*F1067^2</f>
        <v>1565.2136246234809</v>
      </c>
      <c r="N1067" s="75">
        <f>'THAM_SO_MOI'!$C$12*I1067</f>
        <v>1533.2725013676331</v>
      </c>
      <c r="O1067" s="75">
        <f>M1067+N1067</f>
        <v>3098.486125991114</v>
      </c>
      <c r="P1067" s="75">
        <f>(MIN(L1067,'THAM_SO_MOI'!$C$41)-O1067)/('THAM_SO_MOI'!$C$11*H1067)</f>
        <v>0.07911537235920624</v>
      </c>
      <c r="Q1067" s="75">
        <f>IF(P1067&gt;0,1/P1067,NA())</f>
        <v>12.639768608554558</v>
      </c>
      <c r="R1067" s="75">
        <f>F1067-F1066</f>
        <v>0.0035868055555532408</v>
      </c>
      <c r="S1067" s="75">
        <f>0.5*(Q1066+Q1067)*R1067</f>
        <v>0.04531456692118945</v>
      </c>
      <c r="T1067" s="75">
        <f>0.5*(F1066*Q1066+F1067*Q1067)*R1067</f>
        <v>1.0481611380207838</v>
      </c>
      <c r="U1067" s="76">
        <f>U1066+S1067</f>
        <v>83.02225229141577</v>
      </c>
      <c r="V1067" s="76">
        <f>V1066+T1067</f>
        <v>1364.3971307869801</v>
      </c>
    </row>
    <row r="1068" spans="1:22" ht="19" customHeight="1">
      <c r="A1068" s="68" t="s">
        <v>362</v>
      </c>
      <c r="B1068" s="74">
        <v>5</v>
      </c>
      <c r="C1068" s="68" t="s">
        <v>363</v>
      </c>
      <c r="D1068" s="68" t="s">
        <v>365</v>
      </c>
      <c r="E1068" s="75">
        <f>60*F1068*'THAM_SO_MOI'!$C$53/(2*PI()*'THAM_SO_MOI'!$C$26)</f>
        <v>2279.5202368421046</v>
      </c>
      <c r="F1068" s="75">
        <f>'THAM_SO_MOI'!$C$14+('THAM_SO_MOI'!$C$37-'THAM_SO_MOI'!$C$14)*261/'THAM_SO_MOI'!$C$42</f>
        <v>23.13615625</v>
      </c>
      <c r="G1068" s="75">
        <f>3.6*F1068</f>
        <v>83.2901625</v>
      </c>
      <c r="H1068" s="75">
        <f>'THAM_SO_MOI'!$D$53</f>
        <v>1.1</v>
      </c>
      <c r="I1068" s="75">
        <f>IF(F1068&gt;='THAM_SO_MOI'!$C$14,'THAM_SO_MOI'!$C$13*(1+F1068^2/1500),'THAM_SO_MOI'!$C$13)</f>
        <v>0.02035281726024414</v>
      </c>
      <c r="J1068" s="75">
        <f>'THAM_SO_MOI'!$C$40*('THAM_SO_MOI'!$C$23*(E1068/'THAM_SO_MOI'!$C$22)+'THAM_SO_MOI'!$C$24*(E1068/'THAM_SO_MOI'!$C$22)^2-'THAM_SO_MOI'!$C$25*(E1068/'THAM_SO_MOI'!$C$22)^3)</f>
        <v>102.50972982320589</v>
      </c>
      <c r="K1068" s="75">
        <f>'THAM_SO_MOI'!$C$31*J1068/E1068</f>
        <v>429.5116569910725</v>
      </c>
      <c r="L1068" s="75">
        <f>K1068*'THAM_SO_MOI'!$C$53*'THAM_SO_MOI'!$C$17/'THAM_SO_MOI'!$C$26</f>
        <v>3766.818912477315</v>
      </c>
      <c r="M1068" s="75">
        <f>'THAM_SO_MOI'!$C$15*'THAM_SO_MOI'!$C$16*F1068^2</f>
        <v>1565.699048621411</v>
      </c>
      <c r="N1068" s="75">
        <f>'THAM_SO_MOI'!$C$12*I1068</f>
        <v>1533.3975346406019</v>
      </c>
      <c r="O1068" s="75">
        <f>M1068+N1068</f>
        <v>3099.096583262013</v>
      </c>
      <c r="P1068" s="75">
        <f>(MIN(L1068,'THAM_SO_MOI'!$C$41)-O1068)/('THAM_SO_MOI'!$C$11*H1068)</f>
        <v>0.0790391014696143</v>
      </c>
      <c r="Q1068" s="75">
        <f>IF(P1068&gt;0,1/P1068,NA())</f>
        <v>12.651965690480917</v>
      </c>
      <c r="R1068" s="75">
        <f>F1068-F1067</f>
        <v>0.0035868055555567935</v>
      </c>
      <c r="S1068" s="75">
        <f>0.5*(Q1067+Q1068)*R1068</f>
        <v>0.045358266546723376</v>
      </c>
      <c r="T1068" s="75">
        <f>0.5*(F1067*Q1067+F1068*Q1068)*R1068</f>
        <v>1.0493346356423154</v>
      </c>
      <c r="U1068" s="76">
        <f>U1067+S1068</f>
        <v>83.0676105579625</v>
      </c>
      <c r="V1068" s="76">
        <f>V1067+T1068</f>
        <v>1365.4464654226224</v>
      </c>
    </row>
    <row r="1069" spans="1:22" ht="19" customHeight="1">
      <c r="A1069" s="68" t="s">
        <v>362</v>
      </c>
      <c r="B1069" s="74">
        <v>5</v>
      </c>
      <c r="C1069" s="68" t="s">
        <v>363</v>
      </c>
      <c r="D1069" s="68" t="s">
        <v>365</v>
      </c>
      <c r="E1069" s="75">
        <f>60*F1069*'THAM_SO_MOI'!$C$53/(2*PI()*'THAM_SO_MOI'!$C$26)</f>
        <v>2279.873631578947</v>
      </c>
      <c r="F1069" s="75">
        <f>'THAM_SO_MOI'!$C$14+('THAM_SO_MOI'!$C$37-'THAM_SO_MOI'!$C$14)*262/'THAM_SO_MOI'!$C$42</f>
        <v>23.139743055555556</v>
      </c>
      <c r="G1069" s="75">
        <f>3.6*F1069</f>
        <v>83.303075</v>
      </c>
      <c r="H1069" s="75">
        <f>'THAM_SO_MOI'!$D$53</f>
        <v>1.1</v>
      </c>
      <c r="I1069" s="75">
        <f>IF(F1069&gt;='THAM_SO_MOI'!$C$14,'THAM_SO_MOI'!$C$13*(1+F1069^2/1500),'THAM_SO_MOI'!$C$13)</f>
        <v>0.020354477086771315</v>
      </c>
      <c r="J1069" s="75">
        <f>'THAM_SO_MOI'!$C$40*('THAM_SO_MOI'!$C$23*(E1069/'THAM_SO_MOI'!$C$22)+'THAM_SO_MOI'!$C$24*(E1069/'THAM_SO_MOI'!$C$22)^2-'THAM_SO_MOI'!$C$25*(E1069/'THAM_SO_MOI'!$C$22)^3)</f>
        <v>102.5246969193478</v>
      </c>
      <c r="K1069" s="75">
        <f>'THAM_SO_MOI'!$C$31*J1069/E1069</f>
        <v>429.5077817976357</v>
      </c>
      <c r="L1069" s="75">
        <f>K1069*'THAM_SO_MOI'!$C$53*'THAM_SO_MOI'!$C$17/'THAM_SO_MOI'!$C$26</f>
        <v>3766.7849270157108</v>
      </c>
      <c r="M1069" s="75">
        <f>'THAM_SO_MOI'!$C$15*'THAM_SO_MOI'!$C$16*F1069^2</f>
        <v>1566.18454788061</v>
      </c>
      <c r="N1069" s="75">
        <f>'THAM_SO_MOI'!$C$12*I1069</f>
        <v>1533.5225872990204</v>
      </c>
      <c r="O1069" s="75">
        <f>M1069+N1069</f>
        <v>3099.7071351796303</v>
      </c>
      <c r="P1069" s="75">
        <f>(MIN(L1069,'THAM_SO_MOI'!$C$41)-O1069)/('THAM_SO_MOI'!$C$11*H1069)</f>
        <v>0.07896280679877846</v>
      </c>
      <c r="Q1069" s="75">
        <f>IF(P1069&gt;0,1/P1069,NA())</f>
        <v>12.664190149019245</v>
      </c>
      <c r="R1069" s="75">
        <f>F1069-F1068</f>
        <v>0.0035868055555567935</v>
      </c>
      <c r="S1069" s="75">
        <f>0.5*(Q1068+Q1069)*R1069</f>
        <v>0.04540206420523037</v>
      </c>
      <c r="T1069" s="75">
        <f>0.5*(F1068*Q1068+F1069*Q1069)*R1069</f>
        <v>1.050510715030251</v>
      </c>
      <c r="U1069" s="76">
        <f>U1068+S1069</f>
        <v>83.11301262216773</v>
      </c>
      <c r="V1069" s="76">
        <f>V1068+T1069</f>
        <v>1366.4969761376526</v>
      </c>
    </row>
    <row r="1070" spans="1:22" ht="19" customHeight="1">
      <c r="A1070" s="68" t="s">
        <v>362</v>
      </c>
      <c r="B1070" s="74">
        <v>5</v>
      </c>
      <c r="C1070" s="68" t="s">
        <v>363</v>
      </c>
      <c r="D1070" s="68" t="s">
        <v>365</v>
      </c>
      <c r="E1070" s="75">
        <f>60*F1070*'THAM_SO_MOI'!$C$53/(2*PI()*'THAM_SO_MOI'!$C$26)</f>
        <v>2280.227026315789</v>
      </c>
      <c r="F1070" s="75">
        <f>'THAM_SO_MOI'!$C$14+('THAM_SO_MOI'!$C$37-'THAM_SO_MOI'!$C$14)*263/'THAM_SO_MOI'!$C$42</f>
        <v>23.14332986111111</v>
      </c>
      <c r="G1070" s="75">
        <f>3.6*F1070</f>
        <v>83.31598749999999</v>
      </c>
      <c r="H1070" s="75">
        <f>'THAM_SO_MOI'!$D$53</f>
        <v>1.1</v>
      </c>
      <c r="I1070" s="75">
        <f>IF(F1070&gt;='THAM_SO_MOI'!$C$14,'THAM_SO_MOI'!$C$13*(1+F1070^2/1500),'THAM_SO_MOI'!$C$13)</f>
        <v>0.020356137170601973</v>
      </c>
      <c r="J1070" s="75">
        <f>'THAM_SO_MOI'!$C$40*('THAM_SO_MOI'!$C$23*(E1070/'THAM_SO_MOI'!$C$22)+'THAM_SO_MOI'!$C$24*(E1070/'THAM_SO_MOI'!$C$22)^2-'THAM_SO_MOI'!$C$25*(E1070/'THAM_SO_MOI'!$C$22)^3)</f>
        <v>102.53966083615477</v>
      </c>
      <c r="K1070" s="75">
        <f>'THAM_SO_MOI'!$C$31*J1070/E1070</f>
        <v>429.5038944882146</v>
      </c>
      <c r="L1070" s="75">
        <f>K1070*'THAM_SO_MOI'!$C$53*'THAM_SO_MOI'!$C$17/'THAM_SO_MOI'!$C$26</f>
        <v>3766.750835296876</v>
      </c>
      <c r="M1070" s="75">
        <f>'THAM_SO_MOI'!$C$15*'THAM_SO_MOI'!$C$16*F1070^2</f>
        <v>1566.6701224010767</v>
      </c>
      <c r="N1070" s="75">
        <f>'THAM_SO_MOI'!$C$12*I1070</f>
        <v>1533.6476593428893</v>
      </c>
      <c r="O1070" s="75">
        <f>M1070+N1070</f>
        <v>3100.317781743966</v>
      </c>
      <c r="P1070" s="75">
        <f>(MIN(L1070,'THAM_SO_MOI'!$C$41)-O1070)/('THAM_SO_MOI'!$C$11*H1070)</f>
        <v>0.07888648834669865</v>
      </c>
      <c r="Q1070" s="75">
        <f>IF(P1070&gt;0,1/P1070,NA())</f>
        <v>12.676442074656622</v>
      </c>
      <c r="R1070" s="75">
        <f>F1070-F1069</f>
        <v>0.0035868055555532408</v>
      </c>
      <c r="S1070" s="75">
        <f>0.5*(Q1069+Q1070)*R1070</f>
        <v>0.04544596022055604</v>
      </c>
      <c r="T1070" s="75">
        <f>0.5*(F1069*Q1069+F1070*Q1070)*R1070</f>
        <v>1.051689384733753</v>
      </c>
      <c r="U1070" s="76">
        <f>U1069+S1070</f>
        <v>83.15845858238829</v>
      </c>
      <c r="V1070" s="76">
        <f>V1069+T1070</f>
        <v>1367.5486655223863</v>
      </c>
    </row>
    <row r="1071" spans="1:22" ht="19" customHeight="1">
      <c r="A1071" s="68" t="s">
        <v>362</v>
      </c>
      <c r="B1071" s="74">
        <v>5</v>
      </c>
      <c r="C1071" s="68" t="s">
        <v>363</v>
      </c>
      <c r="D1071" s="68" t="s">
        <v>365</v>
      </c>
      <c r="E1071" s="75">
        <f>60*F1071*'THAM_SO_MOI'!$C$53/(2*PI()*'THAM_SO_MOI'!$C$26)</f>
        <v>2280.580421052631</v>
      </c>
      <c r="F1071" s="75">
        <f>'THAM_SO_MOI'!$C$14+('THAM_SO_MOI'!$C$37-'THAM_SO_MOI'!$C$14)*264/'THAM_SO_MOI'!$C$42</f>
        <v>23.146916666666666</v>
      </c>
      <c r="G1071" s="75">
        <f>3.6*F1071</f>
        <v>83.3289</v>
      </c>
      <c r="H1071" s="75">
        <f>'THAM_SO_MOI'!$D$53</f>
        <v>1.1</v>
      </c>
      <c r="I1071" s="75">
        <f>IF(F1071&gt;='THAM_SO_MOI'!$C$14,'THAM_SO_MOI'!$C$13*(1+F1071^2/1500),'THAM_SO_MOI'!$C$13)</f>
        <v>0.02035779751173611</v>
      </c>
      <c r="J1071" s="75">
        <f>'THAM_SO_MOI'!$C$40*('THAM_SO_MOI'!$C$23*(E1071/'THAM_SO_MOI'!$C$22)+'THAM_SO_MOI'!$C$24*(E1071/'THAM_SO_MOI'!$C$22)^2-'THAM_SO_MOI'!$C$25*(E1071/'THAM_SO_MOI'!$C$22)^3)</f>
        <v>102.55462157228185</v>
      </c>
      <c r="K1071" s="75">
        <f>'THAM_SO_MOI'!$C$31*J1071/E1071</f>
        <v>429.4999950628089</v>
      </c>
      <c r="L1071" s="75">
        <f>K1071*'THAM_SO_MOI'!$C$53*'THAM_SO_MOI'!$C$17/'THAM_SO_MOI'!$C$26</f>
        <v>3766.71663732081</v>
      </c>
      <c r="M1071" s="75">
        <f>'THAM_SO_MOI'!$C$15*'THAM_SO_MOI'!$C$16*F1071^2</f>
        <v>1567.1557721828126</v>
      </c>
      <c r="N1071" s="75">
        <f>'THAM_SO_MOI'!$C$12*I1071</f>
        <v>1533.772750772208</v>
      </c>
      <c r="O1071" s="75">
        <f>M1071+N1071</f>
        <v>3100.9285229550205</v>
      </c>
      <c r="P1071" s="75">
        <f>(MIN(L1071,'THAM_SO_MOI'!$C$41)-O1071)/('THAM_SO_MOI'!$C$11*H1071)</f>
        <v>0.07881014611337472</v>
      </c>
      <c r="Q1071" s="75">
        <f>IF(P1071&gt;0,1/P1071,NA())</f>
        <v>12.688721558280323</v>
      </c>
      <c r="R1071" s="75">
        <f>F1071-F1070</f>
        <v>0.0035868055555567935</v>
      </c>
      <c r="S1071" s="75">
        <f>0.5*(Q1070+Q1071)*R1071</f>
        <v>0.04548995491811268</v>
      </c>
      <c r="T1071" s="75">
        <f>0.5*(F1070*Q1070+F1071*Q1071)*R1071</f>
        <v>1.0528706533428902</v>
      </c>
      <c r="U1071" s="76">
        <f>U1070+S1071</f>
        <v>83.2039485373064</v>
      </c>
      <c r="V1071" s="76">
        <f>V1070+T1071</f>
        <v>1368.601536175729</v>
      </c>
    </row>
    <row r="1072" spans="1:22" ht="19" customHeight="1">
      <c r="A1072" s="68" t="s">
        <v>362</v>
      </c>
      <c r="B1072" s="74">
        <v>5</v>
      </c>
      <c r="C1072" s="68" t="s">
        <v>363</v>
      </c>
      <c r="D1072" s="68" t="s">
        <v>365</v>
      </c>
      <c r="E1072" s="75">
        <f>60*F1072*'THAM_SO_MOI'!$C$53/(2*PI()*'THAM_SO_MOI'!$C$26)</f>
        <v>2280.933815789473</v>
      </c>
      <c r="F1072" s="75">
        <f>'THAM_SO_MOI'!$C$14+('THAM_SO_MOI'!$C$37-'THAM_SO_MOI'!$C$14)*265/'THAM_SO_MOI'!$C$42</f>
        <v>23.150503472222223</v>
      </c>
      <c r="G1072" s="75">
        <f>3.6*F1072</f>
        <v>83.3418125</v>
      </c>
      <c r="H1072" s="75">
        <f>'THAM_SO_MOI'!$D$53</f>
        <v>1.1</v>
      </c>
      <c r="I1072" s="75">
        <f>IF(F1072&gt;='THAM_SO_MOI'!$C$14,'THAM_SO_MOI'!$C$13*(1+F1072^2/1500),'THAM_SO_MOI'!$C$13)</f>
        <v>0.02035945811017373</v>
      </c>
      <c r="J1072" s="75">
        <f>'THAM_SO_MOI'!$C$40*('THAM_SO_MOI'!$C$23*(E1072/'THAM_SO_MOI'!$C$22)+'THAM_SO_MOI'!$C$24*(E1072/'THAM_SO_MOI'!$C$22)^2-'THAM_SO_MOI'!$C$25*(E1072/'THAM_SO_MOI'!$C$22)^3)</f>
        <v>102.56957912638418</v>
      </c>
      <c r="K1072" s="75">
        <f>'THAM_SO_MOI'!$C$31*J1072/E1072</f>
        <v>429.4960835214189</v>
      </c>
      <c r="L1072" s="75">
        <f>K1072*'THAM_SO_MOI'!$C$53*'THAM_SO_MOI'!$C$17/'THAM_SO_MOI'!$C$26</f>
        <v>3766.6823330875136</v>
      </c>
      <c r="M1072" s="75">
        <f>'THAM_SO_MOI'!$C$15*'THAM_SO_MOI'!$C$16*F1072^2</f>
        <v>1567.6414972258167</v>
      </c>
      <c r="N1072" s="75">
        <f>'THAM_SO_MOI'!$C$12*I1072</f>
        <v>1533.8978615869771</v>
      </c>
      <c r="O1072" s="75">
        <f>M1072+N1072</f>
        <v>3101.5393588127936</v>
      </c>
      <c r="P1072" s="75">
        <f>(MIN(L1072,'THAM_SO_MOI'!$C$41)-O1072)/('THAM_SO_MOI'!$C$11*H1072)</f>
        <v>0.0787337800988068</v>
      </c>
      <c r="Q1072" s="75">
        <f>IF(P1072&gt;0,1/P1072,NA())</f>
        <v>12.701028691179975</v>
      </c>
      <c r="R1072" s="75">
        <f>F1072-F1071</f>
        <v>0.0035868055555567935</v>
      </c>
      <c r="S1072" s="75">
        <f>0.5*(Q1071+Q1072)*R1072</f>
        <v>0.04553404862448184</v>
      </c>
      <c r="T1072" s="75">
        <f>0.5*(F1071*Q1071+F1072*Q1072)*R1072</f>
        <v>1.0540545294794677</v>
      </c>
      <c r="U1072" s="76">
        <f>U1071+S1072</f>
        <v>83.24948258593088</v>
      </c>
      <c r="V1072" s="76">
        <f>V1071+T1072</f>
        <v>1369.6555907052086</v>
      </c>
    </row>
    <row r="1073" spans="1:22" ht="19" customHeight="1">
      <c r="A1073" s="68" t="s">
        <v>362</v>
      </c>
      <c r="B1073" s="74">
        <v>5</v>
      </c>
      <c r="C1073" s="68" t="s">
        <v>363</v>
      </c>
      <c r="D1073" s="68" t="s">
        <v>365</v>
      </c>
      <c r="E1073" s="75">
        <f>60*F1073*'THAM_SO_MOI'!$C$53/(2*PI()*'THAM_SO_MOI'!$C$26)</f>
        <v>2281.2872105263154</v>
      </c>
      <c r="F1073" s="75">
        <f>'THAM_SO_MOI'!$C$14+('THAM_SO_MOI'!$C$37-'THAM_SO_MOI'!$C$14)*266/'THAM_SO_MOI'!$C$42</f>
        <v>23.154090277777776</v>
      </c>
      <c r="G1073" s="75">
        <f>3.6*F1073</f>
        <v>83.354725</v>
      </c>
      <c r="H1073" s="75">
        <f>'THAM_SO_MOI'!$D$53</f>
        <v>1.1</v>
      </c>
      <c r="I1073" s="75">
        <f>IF(F1073&gt;='THAM_SO_MOI'!$C$14,'THAM_SO_MOI'!$C$13*(1+F1073^2/1500),'THAM_SO_MOI'!$C$13)</f>
        <v>0.02036111896591483</v>
      </c>
      <c r="J1073" s="75">
        <f>'THAM_SO_MOI'!$C$40*('THAM_SO_MOI'!$C$23*(E1073/'THAM_SO_MOI'!$C$22)+'THAM_SO_MOI'!$C$24*(E1073/'THAM_SO_MOI'!$C$22)^2-'THAM_SO_MOI'!$C$25*(E1073/'THAM_SO_MOI'!$C$22)^3)</f>
        <v>102.58453349711684</v>
      </c>
      <c r="K1073" s="75">
        <f>'THAM_SO_MOI'!$C$31*J1073/E1073</f>
        <v>429.49215986404414</v>
      </c>
      <c r="L1073" s="75">
        <f>K1073*'THAM_SO_MOI'!$C$53*'THAM_SO_MOI'!$C$17/'THAM_SO_MOI'!$C$26</f>
        <v>3766.6479225969842</v>
      </c>
      <c r="M1073" s="75">
        <f>'THAM_SO_MOI'!$C$15*'THAM_SO_MOI'!$C$16*F1073^2</f>
        <v>1568.127297530089</v>
      </c>
      <c r="N1073" s="75">
        <f>'THAM_SO_MOI'!$C$12*I1073</f>
        <v>1534.0229917871961</v>
      </c>
      <c r="O1073" s="75">
        <f>M1073+N1073</f>
        <v>3102.150289317285</v>
      </c>
      <c r="P1073" s="75">
        <f>(MIN(L1073,'THAM_SO_MOI'!$C$41)-O1073)/('THAM_SO_MOI'!$C$11*H1073)</f>
        <v>0.07865739030299469</v>
      </c>
      <c r="Q1073" s="75">
        <f>IF(P1073&gt;0,1/P1073,NA())</f>
        <v>12.713363565049875</v>
      </c>
      <c r="R1073" s="75">
        <f>F1073-F1072</f>
        <v>0.0035868055555532408</v>
      </c>
      <c r="S1073" s="75">
        <f>0.5*(Q1072+Q1073)*R1073</f>
        <v>0.04557824166782724</v>
      </c>
      <c r="T1073" s="75">
        <f>0.5*(F1072*Q1072+F1073*Q1073)*R1073</f>
        <v>1.0552410218066062</v>
      </c>
      <c r="U1073" s="76">
        <f>U1072+S1073</f>
        <v>83.2950608275987</v>
      </c>
      <c r="V1073" s="76">
        <f>V1072+T1073</f>
        <v>1370.7108317270151</v>
      </c>
    </row>
    <row r="1074" spans="1:22" ht="19" customHeight="1">
      <c r="A1074" s="68" t="s">
        <v>362</v>
      </c>
      <c r="B1074" s="74">
        <v>5</v>
      </c>
      <c r="C1074" s="68" t="s">
        <v>363</v>
      </c>
      <c r="D1074" s="68" t="s">
        <v>365</v>
      </c>
      <c r="E1074" s="75">
        <f>60*F1074*'THAM_SO_MOI'!$C$53/(2*PI()*'THAM_SO_MOI'!$C$26)</f>
        <v>2281.6406052631573</v>
      </c>
      <c r="F1074" s="75">
        <f>'THAM_SO_MOI'!$C$14+('THAM_SO_MOI'!$C$37-'THAM_SO_MOI'!$C$14)*267/'THAM_SO_MOI'!$C$42</f>
        <v>23.157677083333333</v>
      </c>
      <c r="G1074" s="75">
        <f>3.6*F1074</f>
        <v>83.3676375</v>
      </c>
      <c r="H1074" s="75">
        <f>'THAM_SO_MOI'!$D$53</f>
        <v>1.1</v>
      </c>
      <c r="I1074" s="75">
        <f>IF(F1074&gt;='THAM_SO_MOI'!$C$14,'THAM_SO_MOI'!$C$13*(1+F1074^2/1500),'THAM_SO_MOI'!$C$13)</f>
        <v>0.020362780078959416</v>
      </c>
      <c r="J1074" s="75">
        <f>'THAM_SO_MOI'!$C$40*('THAM_SO_MOI'!$C$23*(E1074/'THAM_SO_MOI'!$C$22)+'THAM_SO_MOI'!$C$24*(E1074/'THAM_SO_MOI'!$C$22)^2-'THAM_SO_MOI'!$C$25*(E1074/'THAM_SO_MOI'!$C$22)^3)</f>
        <v>102.599484683135</v>
      </c>
      <c r="K1074" s="75">
        <f>'THAM_SO_MOI'!$C$31*J1074/E1074</f>
        <v>429.48822409068526</v>
      </c>
      <c r="L1074" s="75">
        <f>K1074*'THAM_SO_MOI'!$C$53*'THAM_SO_MOI'!$C$17/'THAM_SO_MOI'!$C$26</f>
        <v>3766.6134058492266</v>
      </c>
      <c r="M1074" s="75">
        <f>'THAM_SO_MOI'!$C$15*'THAM_SO_MOI'!$C$16*F1074^2</f>
        <v>1568.61317309563</v>
      </c>
      <c r="N1074" s="75">
        <f>'THAM_SO_MOI'!$C$12*I1074</f>
        <v>1534.1481413728657</v>
      </c>
      <c r="O1074" s="75">
        <f>M1074+N1074</f>
        <v>3102.7613144684956</v>
      </c>
      <c r="P1074" s="75">
        <f>(MIN(L1074,'THAM_SO_MOI'!$C$41)-O1074)/('THAM_SO_MOI'!$C$11*H1074)</f>
        <v>0.0785809767259388</v>
      </c>
      <c r="Q1074" s="75">
        <f>IF(P1074&gt;0,1/P1074,NA())</f>
        <v>12.725726271991093</v>
      </c>
      <c r="R1074" s="75">
        <f>F1074-F1073</f>
        <v>0.0035868055555567935</v>
      </c>
      <c r="S1074" s="75">
        <f>0.5*(Q1073+Q1074)*R1074</f>
        <v>0.04562253437790345</v>
      </c>
      <c r="T1074" s="75">
        <f>0.5*(F1073*Q1073+F1074*Q1074)*R1074</f>
        <v>1.0564301390289734</v>
      </c>
      <c r="U1074" s="76">
        <f>U1073+S1074</f>
        <v>83.3406833619766</v>
      </c>
      <c r="V1074" s="76">
        <f>V1073+T1074</f>
        <v>1371.767261866044</v>
      </c>
    </row>
    <row r="1075" spans="1:22" ht="19" customHeight="1">
      <c r="A1075" s="68" t="s">
        <v>362</v>
      </c>
      <c r="B1075" s="74">
        <v>5</v>
      </c>
      <c r="C1075" s="68" t="s">
        <v>363</v>
      </c>
      <c r="D1075" s="68" t="s">
        <v>365</v>
      </c>
      <c r="E1075" s="75">
        <f>60*F1075*'THAM_SO_MOI'!$C$53/(2*PI()*'THAM_SO_MOI'!$C$26)</f>
        <v>2281.9939999999997</v>
      </c>
      <c r="F1075" s="75">
        <f>'THAM_SO_MOI'!$C$14+('THAM_SO_MOI'!$C$37-'THAM_SO_MOI'!$C$14)*268/'THAM_SO_MOI'!$C$42</f>
        <v>23.16126388888889</v>
      </c>
      <c r="G1075" s="75">
        <f>3.6*F1075</f>
        <v>83.38055</v>
      </c>
      <c r="H1075" s="75">
        <f>'THAM_SO_MOI'!$D$53</f>
        <v>1.1</v>
      </c>
      <c r="I1075" s="75">
        <f>IF(F1075&gt;='THAM_SO_MOI'!$C$14,'THAM_SO_MOI'!$C$13*(1+F1075^2/1500),'THAM_SO_MOI'!$C$13)</f>
        <v>0.020364441449307484</v>
      </c>
      <c r="J1075" s="75">
        <f>'THAM_SO_MOI'!$C$40*('THAM_SO_MOI'!$C$23*(E1075/'THAM_SO_MOI'!$C$22)+'THAM_SO_MOI'!$C$24*(E1075/'THAM_SO_MOI'!$C$22)^2-'THAM_SO_MOI'!$C$25*(E1075/'THAM_SO_MOI'!$C$22)^3)</f>
        <v>102.61443268309372</v>
      </c>
      <c r="K1075" s="75">
        <f>'THAM_SO_MOI'!$C$31*J1075/E1075</f>
        <v>429.48427620134174</v>
      </c>
      <c r="L1075" s="75">
        <f>K1075*'THAM_SO_MOI'!$C$53*'THAM_SO_MOI'!$C$17/'THAM_SO_MOI'!$C$26</f>
        <v>3766.578782844236</v>
      </c>
      <c r="M1075" s="75">
        <f>'THAM_SO_MOI'!$C$15*'THAM_SO_MOI'!$C$16*F1075^2</f>
        <v>1569.0991239224395</v>
      </c>
      <c r="N1075" s="75">
        <f>'THAM_SO_MOI'!$C$12*I1075</f>
        <v>1534.2733103439853</v>
      </c>
      <c r="O1075" s="75">
        <f>M1075+N1075</f>
        <v>3103.3724342664245</v>
      </c>
      <c r="P1075" s="75">
        <f>(MIN(L1075,'THAM_SO_MOI'!$C$41)-O1075)/('THAM_SO_MOI'!$C$11*H1075)</f>
        <v>0.07850453936763861</v>
      </c>
      <c r="Q1075" s="75">
        <f>IF(P1075&gt;0,1/P1075,NA())</f>
        <v>12.738116904513971</v>
      </c>
      <c r="R1075" s="75">
        <f>F1075-F1074</f>
        <v>0.0035868055555567935</v>
      </c>
      <c r="S1075" s="75">
        <f>0.5*(Q1074+Q1075)*R1075</f>
        <v>0.04566692708565766</v>
      </c>
      <c r="T1075" s="75">
        <f>0.5*(F1074*Q1074+F1075*Q1075)*R1075</f>
        <v>1.0576218898835879</v>
      </c>
      <c r="U1075" s="76">
        <f>U1074+S1075</f>
        <v>83.38635028906226</v>
      </c>
      <c r="V1075" s="76">
        <f>V1074+T1075</f>
        <v>1372.8248837559277</v>
      </c>
    </row>
    <row r="1076" spans="1:22" ht="19" customHeight="1">
      <c r="A1076" s="68" t="s">
        <v>362</v>
      </c>
      <c r="B1076" s="74">
        <v>5</v>
      </c>
      <c r="C1076" s="68" t="s">
        <v>363</v>
      </c>
      <c r="D1076" s="68" t="s">
        <v>365</v>
      </c>
      <c r="E1076" s="75">
        <f>60*F1076*'THAM_SO_MOI'!$C$53/(2*PI()*'THAM_SO_MOI'!$C$26)</f>
        <v>2282.3473947368416</v>
      </c>
      <c r="F1076" s="75">
        <f>'THAM_SO_MOI'!$C$14+('THAM_SO_MOI'!$C$37-'THAM_SO_MOI'!$C$14)*269/'THAM_SO_MOI'!$C$42</f>
        <v>23.164850694444443</v>
      </c>
      <c r="G1076" s="75">
        <f>3.6*F1076</f>
        <v>83.3934625</v>
      </c>
      <c r="H1076" s="75">
        <f>'THAM_SO_MOI'!$D$53</f>
        <v>1.1</v>
      </c>
      <c r="I1076" s="75">
        <f>IF(F1076&gt;='THAM_SO_MOI'!$C$14,'THAM_SO_MOI'!$C$13*(1+F1076^2/1500),'THAM_SO_MOI'!$C$13)</f>
        <v>0.02036610307695903</v>
      </c>
      <c r="J1076" s="75">
        <f>'THAM_SO_MOI'!$C$40*('THAM_SO_MOI'!$C$23*(E1076/'THAM_SO_MOI'!$C$22)+'THAM_SO_MOI'!$C$24*(E1076/'THAM_SO_MOI'!$C$22)^2-'THAM_SO_MOI'!$C$25*(E1076/'THAM_SO_MOI'!$C$22)^3)</f>
        <v>102.6293774956481</v>
      </c>
      <c r="K1076" s="75">
        <f>'THAM_SO_MOI'!$C$31*J1076/E1076</f>
        <v>429.4803161960138</v>
      </c>
      <c r="L1076" s="75">
        <f>K1076*'THAM_SO_MOI'!$C$53*'THAM_SO_MOI'!$C$17/'THAM_SO_MOI'!$C$26</f>
        <v>3766.544053582015</v>
      </c>
      <c r="M1076" s="75">
        <f>'THAM_SO_MOI'!$C$15*'THAM_SO_MOI'!$C$16*F1076^2</f>
        <v>1569.5851500105168</v>
      </c>
      <c r="N1076" s="75">
        <f>'THAM_SO_MOI'!$C$12*I1076</f>
        <v>1534.398498700555</v>
      </c>
      <c r="O1076" s="75">
        <f>M1076+N1076</f>
        <v>3103.9836487110715</v>
      </c>
      <c r="P1076" s="75">
        <f>(MIN(L1076,'THAM_SO_MOI'!$C$41)-O1076)/('THAM_SO_MOI'!$C$11*H1076)</f>
        <v>0.0784280782280946</v>
      </c>
      <c r="Q1076" s="75">
        <f>IF(P1076&gt;0,1/P1076,NA())</f>
        <v>12.750535555540093</v>
      </c>
      <c r="R1076" s="75">
        <f>F1076-F1075</f>
        <v>0.0035868055555532408</v>
      </c>
      <c r="S1076" s="75">
        <f>0.5*(Q1075+Q1076)*R1076</f>
        <v>0.04571142012364384</v>
      </c>
      <c r="T1076" s="75">
        <f>0.5*(F1075*Q1075+F1076*Q1076)*R1076</f>
        <v>1.0588162831494339</v>
      </c>
      <c r="U1076" s="76">
        <f>U1075+S1076</f>
        <v>83.4320617091859</v>
      </c>
      <c r="V1076" s="76">
        <f>V1075+T1076</f>
        <v>1373.883700039077</v>
      </c>
    </row>
    <row r="1077" spans="1:22" ht="19" customHeight="1">
      <c r="A1077" s="68" t="s">
        <v>362</v>
      </c>
      <c r="B1077" s="74">
        <v>5</v>
      </c>
      <c r="C1077" s="68" t="s">
        <v>363</v>
      </c>
      <c r="D1077" s="68" t="s">
        <v>365</v>
      </c>
      <c r="E1077" s="75">
        <f>60*F1077*'THAM_SO_MOI'!$C$53/(2*PI()*'THAM_SO_MOI'!$C$26)</f>
        <v>2282.700789473684</v>
      </c>
      <c r="F1077" s="75">
        <f>'THAM_SO_MOI'!$C$14+('THAM_SO_MOI'!$C$37-'THAM_SO_MOI'!$C$14)*270/'THAM_SO_MOI'!$C$42</f>
        <v>23.1684375</v>
      </c>
      <c r="G1077" s="75">
        <f>3.6*F1077</f>
        <v>83.406375</v>
      </c>
      <c r="H1077" s="75">
        <f>'THAM_SO_MOI'!$D$53</f>
        <v>1.1</v>
      </c>
      <c r="I1077" s="75">
        <f>IF(F1077&gt;='THAM_SO_MOI'!$C$14,'THAM_SO_MOI'!$C$13*(1+F1077^2/1500),'THAM_SO_MOI'!$C$13)</f>
        <v>0.02036776496191406</v>
      </c>
      <c r="J1077" s="75">
        <f>'THAM_SO_MOI'!$C$40*('THAM_SO_MOI'!$C$23*(E1077/'THAM_SO_MOI'!$C$22)+'THAM_SO_MOI'!$C$24*(E1077/'THAM_SO_MOI'!$C$22)^2-'THAM_SO_MOI'!$C$25*(E1077/'THAM_SO_MOI'!$C$22)^3)</f>
        <v>102.64431911945331</v>
      </c>
      <c r="K1077" s="75">
        <f>'THAM_SO_MOI'!$C$31*J1077/E1077</f>
        <v>429.4763440747014</v>
      </c>
      <c r="L1077" s="75">
        <f>K1077*'THAM_SO_MOI'!$C$53*'THAM_SO_MOI'!$C$17/'THAM_SO_MOI'!$C$26</f>
        <v>3766.5092180625616</v>
      </c>
      <c r="M1077" s="75">
        <f>'THAM_SO_MOI'!$C$15*'THAM_SO_MOI'!$C$16*F1077^2</f>
        <v>1570.0712513598635</v>
      </c>
      <c r="N1077" s="75">
        <f>'THAM_SO_MOI'!$C$12*I1077</f>
        <v>1534.5237064425748</v>
      </c>
      <c r="O1077" s="75">
        <f>M1077+N1077</f>
        <v>3104.5949578024383</v>
      </c>
      <c r="P1077" s="75">
        <f>(MIN(L1077,'THAM_SO_MOI'!$C$41)-O1077)/('THAM_SO_MOI'!$C$11*H1077)</f>
        <v>0.07835159330730623</v>
      </c>
      <c r="Q1077" s="75">
        <f>IF(P1077&gt;0,1/P1077,NA())</f>
        <v>12.762982318404886</v>
      </c>
      <c r="R1077" s="75">
        <f>F1077-F1076</f>
        <v>0.0035868055555567935</v>
      </c>
      <c r="S1077" s="75">
        <f>0.5*(Q1076+Q1077)*R1077</f>
        <v>0.0457560138260317</v>
      </c>
      <c r="T1077" s="75">
        <f>0.5*(F1076*Q1076+F1077*Q1077)*R1077</f>
        <v>1.0600133276476984</v>
      </c>
      <c r="U1077" s="76">
        <f>U1076+S1077</f>
        <v>83.47781772301194</v>
      </c>
      <c r="V1077" s="76">
        <f>V1076+T1077</f>
        <v>1374.9437133667248</v>
      </c>
    </row>
    <row r="1078" spans="1:22" ht="19" customHeight="1">
      <c r="A1078" s="68" t="s">
        <v>362</v>
      </c>
      <c r="B1078" s="74">
        <v>5</v>
      </c>
      <c r="C1078" s="68" t="s">
        <v>363</v>
      </c>
      <c r="D1078" s="68" t="s">
        <v>365</v>
      </c>
      <c r="E1078" s="75">
        <f>60*F1078*'THAM_SO_MOI'!$C$53/(2*PI()*'THAM_SO_MOI'!$C$26)</f>
        <v>2283.0541842105254</v>
      </c>
      <c r="F1078" s="75">
        <f>'THAM_SO_MOI'!$C$14+('THAM_SO_MOI'!$C$37-'THAM_SO_MOI'!$C$14)*271/'THAM_SO_MOI'!$C$42</f>
        <v>23.172024305555553</v>
      </c>
      <c r="G1078" s="75">
        <f>3.6*F1078</f>
        <v>83.4192875</v>
      </c>
      <c r="H1078" s="75">
        <f>'THAM_SO_MOI'!$D$53</f>
        <v>1.1</v>
      </c>
      <c r="I1078" s="75">
        <f>IF(F1078&gt;='THAM_SO_MOI'!$C$14,'THAM_SO_MOI'!$C$13*(1+F1078^2/1500),'THAM_SO_MOI'!$C$13)</f>
        <v>0.020369427104172572</v>
      </c>
      <c r="J1078" s="75">
        <f>'THAM_SO_MOI'!$C$40*('THAM_SO_MOI'!$C$23*(E1078/'THAM_SO_MOI'!$C$22)+'THAM_SO_MOI'!$C$24*(E1078/'THAM_SO_MOI'!$C$22)^2-'THAM_SO_MOI'!$C$25*(E1078/'THAM_SO_MOI'!$C$22)^3)</f>
        <v>102.65925755316437</v>
      </c>
      <c r="K1078" s="75">
        <f>'THAM_SO_MOI'!$C$31*J1078/E1078</f>
        <v>429.4723598374045</v>
      </c>
      <c r="L1078" s="75">
        <f>K1078*'THAM_SO_MOI'!$C$53*'THAM_SO_MOI'!$C$17/'THAM_SO_MOI'!$C$26</f>
        <v>3766.4742762858777</v>
      </c>
      <c r="M1078" s="75">
        <f>'THAM_SO_MOI'!$C$15*'THAM_SO_MOI'!$C$16*F1078^2</f>
        <v>1570.5574279704779</v>
      </c>
      <c r="N1078" s="75">
        <f>'THAM_SO_MOI'!$C$12*I1078</f>
        <v>1534.648933570045</v>
      </c>
      <c r="O1078" s="75">
        <f>M1078+N1078</f>
        <v>3105.206361540523</v>
      </c>
      <c r="P1078" s="75">
        <f>(MIN(L1078,'THAM_SO_MOI'!$C$41)-O1078)/('THAM_SO_MOI'!$C$11*H1078)</f>
        <v>0.078275084605274</v>
      </c>
      <c r="Q1078" s="75">
        <f>IF(P1078&gt;0,1/P1078,NA())</f>
        <v>12.775457286859606</v>
      </c>
      <c r="R1078" s="75">
        <f>F1078-F1077</f>
        <v>0.0035868055555532408</v>
      </c>
      <c r="S1078" s="75">
        <f>0.5*(Q1077+Q1078)*R1078</f>
        <v>0.0458007085281618</v>
      </c>
      <c r="T1078" s="75">
        <f>0.5*(F1077*Q1077+F1078*Q1078)*R1078</f>
        <v>1.061213032231492</v>
      </c>
      <c r="U1078" s="76">
        <f>U1077+S1078</f>
        <v>83.5236184315401</v>
      </c>
      <c r="V1078" s="76">
        <f>V1077+T1078</f>
        <v>1376.0049263989563</v>
      </c>
    </row>
    <row r="1079" spans="1:22" ht="19" customHeight="1">
      <c r="A1079" s="68" t="s">
        <v>362</v>
      </c>
      <c r="B1079" s="74">
        <v>5</v>
      </c>
      <c r="C1079" s="68" t="s">
        <v>363</v>
      </c>
      <c r="D1079" s="68" t="s">
        <v>365</v>
      </c>
      <c r="E1079" s="75">
        <f>60*F1079*'THAM_SO_MOI'!$C$53/(2*PI()*'THAM_SO_MOI'!$C$26)</f>
        <v>2283.407578947368</v>
      </c>
      <c r="F1079" s="75">
        <f>'THAM_SO_MOI'!$C$14+('THAM_SO_MOI'!$C$37-'THAM_SO_MOI'!$C$14)*272/'THAM_SO_MOI'!$C$42</f>
        <v>23.17561111111111</v>
      </c>
      <c r="G1079" s="75">
        <f>3.6*F1079</f>
        <v>83.4322</v>
      </c>
      <c r="H1079" s="75">
        <f>'THAM_SO_MOI'!$D$53</f>
        <v>1.1</v>
      </c>
      <c r="I1079" s="75">
        <f>IF(F1079&gt;='THAM_SO_MOI'!$C$14,'THAM_SO_MOI'!$C$13*(1+F1079^2/1500),'THAM_SO_MOI'!$C$13)</f>
        <v>0.020371089503734566</v>
      </c>
      <c r="J1079" s="75">
        <f>'THAM_SO_MOI'!$C$40*('THAM_SO_MOI'!$C$23*(E1079/'THAM_SO_MOI'!$C$22)+'THAM_SO_MOI'!$C$24*(E1079/'THAM_SO_MOI'!$C$22)^2-'THAM_SO_MOI'!$C$25*(E1079/'THAM_SO_MOI'!$C$22)^3)</f>
        <v>102.67419279543651</v>
      </c>
      <c r="K1079" s="75">
        <f>'THAM_SO_MOI'!$C$31*J1079/E1079</f>
        <v>429.4683634841232</v>
      </c>
      <c r="L1079" s="75">
        <f>K1079*'THAM_SO_MOI'!$C$53*'THAM_SO_MOI'!$C$17/'THAM_SO_MOI'!$C$26</f>
        <v>3766.439228251963</v>
      </c>
      <c r="M1079" s="75">
        <f>'THAM_SO_MOI'!$C$15*'THAM_SO_MOI'!$C$16*F1079^2</f>
        <v>1571.0436798423611</v>
      </c>
      <c r="N1079" s="75">
        <f>'THAM_SO_MOI'!$C$12*I1079</f>
        <v>1534.7741800829654</v>
      </c>
      <c r="O1079" s="75">
        <f>M1079+N1079</f>
        <v>3105.8178599253265</v>
      </c>
      <c r="P1079" s="75">
        <f>(MIN(L1079,'THAM_SO_MOI'!$C$41)-O1079)/('THAM_SO_MOI'!$C$11*H1079)</f>
        <v>0.07819855212199768</v>
      </c>
      <c r="Q1079" s="75">
        <f>IF(P1079&gt;0,1/P1079,NA())</f>
        <v>12.78796055507394</v>
      </c>
      <c r="R1079" s="75">
        <f>F1079-F1078</f>
        <v>0.0035868055555567935</v>
      </c>
      <c r="S1079" s="75">
        <f>0.5*(Q1078+Q1079)*R1079</f>
        <v>0.04584550456723345</v>
      </c>
      <c r="T1079" s="75">
        <f>0.5*(F1078*Q1078+F1079*Q1079)*R1079</f>
        <v>1.0624154058018118</v>
      </c>
      <c r="U1079" s="76">
        <f>U1078+S1079</f>
        <v>83.56946393610734</v>
      </c>
      <c r="V1079" s="76">
        <f>V1078+T1079</f>
        <v>1377.0673418047581</v>
      </c>
    </row>
    <row r="1080" spans="1:22" ht="19" customHeight="1">
      <c r="A1080" s="68" t="s">
        <v>362</v>
      </c>
      <c r="B1080" s="74">
        <v>5</v>
      </c>
      <c r="C1080" s="68" t="s">
        <v>363</v>
      </c>
      <c r="D1080" s="68" t="s">
        <v>365</v>
      </c>
      <c r="E1080" s="75">
        <f>60*F1080*'THAM_SO_MOI'!$C$53/(2*PI()*'THAM_SO_MOI'!$C$26)</f>
        <v>2283.76097368421</v>
      </c>
      <c r="F1080" s="75">
        <f>'THAM_SO_MOI'!$C$14+('THAM_SO_MOI'!$C$37-'THAM_SO_MOI'!$C$14)*273/'THAM_SO_MOI'!$C$42</f>
        <v>23.179197916666666</v>
      </c>
      <c r="G1080" s="75">
        <f>3.6*F1080</f>
        <v>83.44511250000001</v>
      </c>
      <c r="H1080" s="75">
        <f>'THAM_SO_MOI'!$D$53</f>
        <v>1.1</v>
      </c>
      <c r="I1080" s="75">
        <f>IF(F1080&gt;='THAM_SO_MOI'!$C$14,'THAM_SO_MOI'!$C$13*(1+F1080^2/1500),'THAM_SO_MOI'!$C$13)</f>
        <v>0.020372752160600045</v>
      </c>
      <c r="J1080" s="75">
        <f>'THAM_SO_MOI'!$C$40*('THAM_SO_MOI'!$C$23*(E1080/'THAM_SO_MOI'!$C$22)+'THAM_SO_MOI'!$C$24*(E1080/'THAM_SO_MOI'!$C$22)^2-'THAM_SO_MOI'!$C$25*(E1080/'THAM_SO_MOI'!$C$22)^3)</f>
        <v>102.68912484492475</v>
      </c>
      <c r="K1080" s="75">
        <f>'THAM_SO_MOI'!$C$31*J1080/E1080</f>
        <v>429.4643550148575</v>
      </c>
      <c r="L1080" s="75">
        <f>K1080*'THAM_SO_MOI'!$C$53*'THAM_SO_MOI'!$C$17/'THAM_SO_MOI'!$C$26</f>
        <v>3766.404073960818</v>
      </c>
      <c r="M1080" s="75">
        <f>'THAM_SO_MOI'!$C$15*'THAM_SO_MOI'!$C$16*F1080^2</f>
        <v>1571.530006975513</v>
      </c>
      <c r="N1080" s="75">
        <f>'THAM_SO_MOI'!$C$12*I1080</f>
        <v>1534.899445981336</v>
      </c>
      <c r="O1080" s="75">
        <f>M1080+N1080</f>
        <v>3106.4294529568488</v>
      </c>
      <c r="P1080" s="75">
        <f>(MIN(L1080,'THAM_SO_MOI'!$C$41)-O1080)/('THAM_SO_MOI'!$C$11*H1080)</f>
        <v>0.07812199585747741</v>
      </c>
      <c r="Q1080" s="75">
        <f>IF(P1080&gt;0,1/P1080,NA())</f>
        <v>12.800492217638158</v>
      </c>
      <c r="R1080" s="75">
        <f>F1080-F1079</f>
        <v>0.0035868055555567935</v>
      </c>
      <c r="S1080" s="75">
        <f>0.5*(Q1079+Q1080)*R1080</f>
        <v>0.0458904022816332</v>
      </c>
      <c r="T1080" s="75">
        <f>0.5*(F1079*Q1079+F1080*Q1080)*R1080</f>
        <v>1.0636204572920074</v>
      </c>
      <c r="U1080" s="76">
        <f>U1079+S1080</f>
        <v>83.61535433838897</v>
      </c>
      <c r="V1080" s="76">
        <f>V1079+T1080</f>
        <v>1378.1309622620502</v>
      </c>
    </row>
    <row r="1081" spans="1:22" ht="19" customHeight="1">
      <c r="A1081" s="68" t="s">
        <v>362</v>
      </c>
      <c r="B1081" s="74">
        <v>5</v>
      </c>
      <c r="C1081" s="68" t="s">
        <v>363</v>
      </c>
      <c r="D1081" s="68" t="s">
        <v>365</v>
      </c>
      <c r="E1081" s="75">
        <f>60*F1081*'THAM_SO_MOI'!$C$53/(2*PI()*'THAM_SO_MOI'!$C$26)</f>
        <v>2284.114368421052</v>
      </c>
      <c r="F1081" s="75">
        <f>'THAM_SO_MOI'!$C$14+('THAM_SO_MOI'!$C$37-'THAM_SO_MOI'!$C$14)*274/'THAM_SO_MOI'!$C$42</f>
        <v>23.18278472222222</v>
      </c>
      <c r="G1081" s="75">
        <f>3.6*F1081</f>
        <v>83.45802499999999</v>
      </c>
      <c r="H1081" s="75">
        <f>'THAM_SO_MOI'!$D$53</f>
        <v>1.1</v>
      </c>
      <c r="I1081" s="75">
        <f>IF(F1081&gt;='THAM_SO_MOI'!$C$14,'THAM_SO_MOI'!$C$13*(1+F1081^2/1500),'THAM_SO_MOI'!$C$13)</f>
        <v>0.020374415074769</v>
      </c>
      <c r="J1081" s="75">
        <f>'THAM_SO_MOI'!$C$40*('THAM_SO_MOI'!$C$23*(E1081/'THAM_SO_MOI'!$C$22)+'THAM_SO_MOI'!$C$24*(E1081/'THAM_SO_MOI'!$C$22)^2-'THAM_SO_MOI'!$C$25*(E1081/'THAM_SO_MOI'!$C$22)^3)</f>
        <v>102.70405370028419</v>
      </c>
      <c r="K1081" s="75">
        <f>'THAM_SO_MOI'!$C$31*J1081/E1081</f>
        <v>429.4603344296072</v>
      </c>
      <c r="L1081" s="75">
        <f>K1081*'THAM_SO_MOI'!$C$53*'THAM_SO_MOI'!$C$17/'THAM_SO_MOI'!$C$26</f>
        <v>3766.3688134124404</v>
      </c>
      <c r="M1081" s="75">
        <f>'THAM_SO_MOI'!$C$15*'THAM_SO_MOI'!$C$16*F1081^2</f>
        <v>1572.0164093699325</v>
      </c>
      <c r="N1081" s="75">
        <f>'THAM_SO_MOI'!$C$12*I1081</f>
        <v>1535.0247312651563</v>
      </c>
      <c r="O1081" s="75">
        <f>M1081+N1081</f>
        <v>3107.0411406350886</v>
      </c>
      <c r="P1081" s="75">
        <f>(MIN(L1081,'THAM_SO_MOI'!$C$41)-O1081)/('THAM_SO_MOI'!$C$11*H1081)</f>
        <v>0.07804541581171305</v>
      </c>
      <c r="Q1081" s="75">
        <f>IF(P1081&gt;0,1/P1081,NA())</f>
        <v>12.813052369565568</v>
      </c>
      <c r="R1081" s="75">
        <f>F1081-F1080</f>
        <v>0.0035868055555532408</v>
      </c>
      <c r="S1081" s="75">
        <f>0.5*(Q1080+Q1081)*R1081</f>
        <v>0.04593540201139648</v>
      </c>
      <c r="T1081" s="75">
        <f>0.5*(F1080*Q1080+F1081*Q1081)*R1081</f>
        <v>1.064828195678508</v>
      </c>
      <c r="U1081" s="76">
        <f>U1080+S1081</f>
        <v>83.66128974040036</v>
      </c>
      <c r="V1081" s="76">
        <f>V1080+T1081</f>
        <v>1379.1957904577287</v>
      </c>
    </row>
    <row r="1082" spans="1:22" ht="19" customHeight="1">
      <c r="A1082" s="68" t="s">
        <v>362</v>
      </c>
      <c r="B1082" s="74">
        <v>5</v>
      </c>
      <c r="C1082" s="68" t="s">
        <v>363</v>
      </c>
      <c r="D1082" s="68" t="s">
        <v>365</v>
      </c>
      <c r="E1082" s="75">
        <f>60*F1082*'THAM_SO_MOI'!$C$53/(2*PI()*'THAM_SO_MOI'!$C$26)</f>
        <v>2284.467763157894</v>
      </c>
      <c r="F1082" s="75">
        <f>'THAM_SO_MOI'!$C$14+('THAM_SO_MOI'!$C$37-'THAM_SO_MOI'!$C$14)*275/'THAM_SO_MOI'!$C$42</f>
        <v>23.186371527777776</v>
      </c>
      <c r="G1082" s="75">
        <f>3.6*F1082</f>
        <v>83.47093749999999</v>
      </c>
      <c r="H1082" s="75">
        <f>'THAM_SO_MOI'!$D$53</f>
        <v>1.1</v>
      </c>
      <c r="I1082" s="75">
        <f>IF(F1082&gt;='THAM_SO_MOI'!$C$14,'THAM_SO_MOI'!$C$13*(1+F1082^2/1500),'THAM_SO_MOI'!$C$13)</f>
        <v>0.02037607824624144</v>
      </c>
      <c r="J1082" s="75">
        <f>'THAM_SO_MOI'!$C$40*('THAM_SO_MOI'!$C$23*(E1082/'THAM_SO_MOI'!$C$22)+'THAM_SO_MOI'!$C$24*(E1082/'THAM_SO_MOI'!$C$22)^2-'THAM_SO_MOI'!$C$25*(E1082/'THAM_SO_MOI'!$C$22)^3)</f>
        <v>102.71897936017</v>
      </c>
      <c r="K1082" s="75">
        <f>'THAM_SO_MOI'!$C$31*J1082/E1082</f>
        <v>429.45630172837247</v>
      </c>
      <c r="L1082" s="75">
        <f>K1082*'THAM_SO_MOI'!$C$53*'THAM_SO_MOI'!$C$17/'THAM_SO_MOI'!$C$26</f>
        <v>3766.3334466068322</v>
      </c>
      <c r="M1082" s="75">
        <f>'THAM_SO_MOI'!$C$15*'THAM_SO_MOI'!$C$16*F1082^2</f>
        <v>1572.5028870256212</v>
      </c>
      <c r="N1082" s="75">
        <f>'THAM_SO_MOI'!$C$12*I1082</f>
        <v>1535.150035934427</v>
      </c>
      <c r="O1082" s="75">
        <f>M1082+N1082</f>
        <v>3107.6529229600483</v>
      </c>
      <c r="P1082" s="75">
        <f>(MIN(L1082,'THAM_SO_MOI'!$C$41)-O1082)/('THAM_SO_MOI'!$C$11*H1082)</f>
        <v>0.07796881198470451</v>
      </c>
      <c r="Q1082" s="75">
        <f>IF(P1082&gt;0,1/P1082,NA())</f>
        <v>12.82564110629484</v>
      </c>
      <c r="R1082" s="75">
        <f>F1082-F1081</f>
        <v>0.0035868055555567935</v>
      </c>
      <c r="S1082" s="75">
        <f>0.5*(Q1081+Q1082)*R1082</f>
        <v>0.04598050409821691</v>
      </c>
      <c r="T1082" s="75">
        <f>0.5*(F1081*Q1081+F1082*Q1082)*R1082</f>
        <v>1.066038629981065</v>
      </c>
      <c r="U1082" s="76">
        <f>U1081+S1082</f>
        <v>83.70727024449857</v>
      </c>
      <c r="V1082" s="76">
        <f>V1081+T1082</f>
        <v>1380.2618290877097</v>
      </c>
    </row>
    <row r="1083" spans="1:22" ht="19" customHeight="1">
      <c r="A1083" s="68" t="s">
        <v>362</v>
      </c>
      <c r="B1083" s="74">
        <v>5</v>
      </c>
      <c r="C1083" s="68" t="s">
        <v>363</v>
      </c>
      <c r="D1083" s="68" t="s">
        <v>365</v>
      </c>
      <c r="E1083" s="75">
        <f>60*F1083*'THAM_SO_MOI'!$C$53/(2*PI()*'THAM_SO_MOI'!$C$26)</f>
        <v>2284.821157894736</v>
      </c>
      <c r="F1083" s="75">
        <f>'THAM_SO_MOI'!$C$14+('THAM_SO_MOI'!$C$37-'THAM_SO_MOI'!$C$14)*276/'THAM_SO_MOI'!$C$42</f>
        <v>23.189958333333333</v>
      </c>
      <c r="G1083" s="75">
        <f>3.6*F1083</f>
        <v>83.48385</v>
      </c>
      <c r="H1083" s="75">
        <f>'THAM_SO_MOI'!$D$53</f>
        <v>1.1</v>
      </c>
      <c r="I1083" s="75">
        <f>IF(F1083&gt;='THAM_SO_MOI'!$C$14,'THAM_SO_MOI'!$C$13*(1+F1083^2/1500),'THAM_SO_MOI'!$C$13)</f>
        <v>0.020377741675017363</v>
      </c>
      <c r="J1083" s="75">
        <f>'THAM_SO_MOI'!$C$40*('THAM_SO_MOI'!$C$23*(E1083/'THAM_SO_MOI'!$C$22)+'THAM_SO_MOI'!$C$24*(E1083/'THAM_SO_MOI'!$C$22)^2-'THAM_SO_MOI'!$C$25*(E1083/'THAM_SO_MOI'!$C$22)^3)</f>
        <v>102.73390182323728</v>
      </c>
      <c r="K1083" s="75">
        <f>'THAM_SO_MOI'!$C$31*J1083/E1083</f>
        <v>429.45225691115337</v>
      </c>
      <c r="L1083" s="75">
        <f>K1083*'THAM_SO_MOI'!$C$53*'THAM_SO_MOI'!$C$17/'THAM_SO_MOI'!$C$26</f>
        <v>3766.297973543993</v>
      </c>
      <c r="M1083" s="75">
        <f>'THAM_SO_MOI'!$C$15*'THAM_SO_MOI'!$C$16*F1083^2</f>
        <v>1572.9894399425782</v>
      </c>
      <c r="N1083" s="75">
        <f>'THAM_SO_MOI'!$C$12*I1083</f>
        <v>1535.2753599891482</v>
      </c>
      <c r="O1083" s="75">
        <f>M1083+N1083</f>
        <v>3108.2647999317264</v>
      </c>
      <c r="P1083" s="75">
        <f>(MIN(L1083,'THAM_SO_MOI'!$C$41)-O1083)/('THAM_SO_MOI'!$C$11*H1083)</f>
        <v>0.07789218437645198</v>
      </c>
      <c r="Q1083" s="75">
        <f>IF(P1083&gt;0,1/P1083,NA())</f>
        <v>12.83825852369234</v>
      </c>
      <c r="R1083" s="75">
        <f>F1083-F1082</f>
        <v>0.0035868055555567935</v>
      </c>
      <c r="S1083" s="75">
        <f>0.5*(Q1082+Q1083)*R1083</f>
        <v>0.04602570888504498</v>
      </c>
      <c r="T1083" s="75">
        <f>0.5*(F1082*Q1082+F1083*Q1083)*R1083</f>
        <v>1.067251769253477</v>
      </c>
      <c r="U1083" s="76">
        <f>U1082+S1083</f>
        <v>83.75329595338361</v>
      </c>
      <c r="V1083" s="76">
        <f>V1082+T1083</f>
        <v>1381.3290808569632</v>
      </c>
    </row>
    <row r="1084" spans="1:22" ht="19" customHeight="1">
      <c r="A1084" s="68" t="s">
        <v>362</v>
      </c>
      <c r="B1084" s="74">
        <v>5</v>
      </c>
      <c r="C1084" s="68" t="s">
        <v>363</v>
      </c>
      <c r="D1084" s="68" t="s">
        <v>365</v>
      </c>
      <c r="E1084" s="75">
        <f>60*F1084*'THAM_SO_MOI'!$C$53/(2*PI()*'THAM_SO_MOI'!$C$26)</f>
        <v>2285.174552631578</v>
      </c>
      <c r="F1084" s="75">
        <f>'THAM_SO_MOI'!$C$14+('THAM_SO_MOI'!$C$37-'THAM_SO_MOI'!$C$14)*277/'THAM_SO_MOI'!$C$42</f>
        <v>23.193545138888886</v>
      </c>
      <c r="G1084" s="75">
        <f>3.6*F1084</f>
        <v>83.49676249999999</v>
      </c>
      <c r="H1084" s="75">
        <f>'THAM_SO_MOI'!$D$53</f>
        <v>1.1</v>
      </c>
      <c r="I1084" s="75">
        <f>IF(F1084&gt;='THAM_SO_MOI'!$C$14,'THAM_SO_MOI'!$C$13*(1+F1084^2/1500),'THAM_SO_MOI'!$C$13)</f>
        <v>0.020379405361096763</v>
      </c>
      <c r="J1084" s="75">
        <f>'THAM_SO_MOI'!$C$40*('THAM_SO_MOI'!$C$23*(E1084/'THAM_SO_MOI'!$C$22)+'THAM_SO_MOI'!$C$24*(E1084/'THAM_SO_MOI'!$C$22)^2-'THAM_SO_MOI'!$C$25*(E1084/'THAM_SO_MOI'!$C$22)^3)</f>
        <v>102.74882108814109</v>
      </c>
      <c r="K1084" s="75">
        <f>'THAM_SO_MOI'!$C$31*J1084/E1084</f>
        <v>429.44819997794974</v>
      </c>
      <c r="L1084" s="75">
        <f>K1084*'THAM_SO_MOI'!$C$53*'THAM_SO_MOI'!$C$17/'THAM_SO_MOI'!$C$26</f>
        <v>3766.262394223923</v>
      </c>
      <c r="M1084" s="75">
        <f>'THAM_SO_MOI'!$C$15*'THAM_SO_MOI'!$C$16*F1084^2</f>
        <v>1573.4760681208033</v>
      </c>
      <c r="N1084" s="75">
        <f>'THAM_SO_MOI'!$C$12*I1084</f>
        <v>1535.400703429319</v>
      </c>
      <c r="O1084" s="75">
        <f>M1084+N1084</f>
        <v>3108.8767715501226</v>
      </c>
      <c r="P1084" s="75">
        <f>(MIN(L1084,'THAM_SO_MOI'!$C$41)-O1084)/('THAM_SO_MOI'!$C$11*H1084)</f>
        <v>0.07781553298695558</v>
      </c>
      <c r="Q1084" s="75">
        <f>IF(P1084&gt;0,1/P1084,NA())</f>
        <v>12.85090471805459</v>
      </c>
      <c r="R1084" s="75">
        <f>F1084-F1083</f>
        <v>0.0035868055555532408</v>
      </c>
      <c r="S1084" s="75">
        <f>0.5*(Q1083+Q1084)*R1084</f>
        <v>0.046071016716506</v>
      </c>
      <c r="T1084" s="75">
        <f>0.5*(F1083*Q1083+F1084*Q1084)*R1084</f>
        <v>1.068467622593305</v>
      </c>
      <c r="U1084" s="76">
        <f>U1083+S1084</f>
        <v>83.79936697010012</v>
      </c>
      <c r="V1084" s="76">
        <f>V1083+T1084</f>
        <v>1382.3975484795565</v>
      </c>
    </row>
    <row r="1085" spans="1:22" ht="19" customHeight="1">
      <c r="A1085" s="68" t="s">
        <v>362</v>
      </c>
      <c r="B1085" s="74">
        <v>5</v>
      </c>
      <c r="C1085" s="68" t="s">
        <v>363</v>
      </c>
      <c r="D1085" s="68" t="s">
        <v>365</v>
      </c>
      <c r="E1085" s="75">
        <f>60*F1085*'THAM_SO_MOI'!$C$53/(2*PI()*'THAM_SO_MOI'!$C$26)</f>
        <v>2285.5279473684204</v>
      </c>
      <c r="F1085" s="75">
        <f>'THAM_SO_MOI'!$C$14+('THAM_SO_MOI'!$C$37-'THAM_SO_MOI'!$C$14)*278/'THAM_SO_MOI'!$C$42</f>
        <v>23.197131944444443</v>
      </c>
      <c r="G1085" s="75">
        <f>3.6*F1085</f>
        <v>83.509675</v>
      </c>
      <c r="H1085" s="75">
        <f>'THAM_SO_MOI'!$D$53</f>
        <v>1.1</v>
      </c>
      <c r="I1085" s="75">
        <f>IF(F1085&gt;='THAM_SO_MOI'!$C$14,'THAM_SO_MOI'!$C$13*(1+F1085^2/1500),'THAM_SO_MOI'!$C$13)</f>
        <v>0.020381069304479648</v>
      </c>
      <c r="J1085" s="75">
        <f>'THAM_SO_MOI'!$C$40*('THAM_SO_MOI'!$C$23*(E1085/'THAM_SO_MOI'!$C$22)+'THAM_SO_MOI'!$C$24*(E1085/'THAM_SO_MOI'!$C$22)^2-'THAM_SO_MOI'!$C$25*(E1085/'THAM_SO_MOI'!$C$22)^3)</f>
        <v>102.76373715353662</v>
      </c>
      <c r="K1085" s="75">
        <f>'THAM_SO_MOI'!$C$31*J1085/E1085</f>
        <v>429.44413092876175</v>
      </c>
      <c r="L1085" s="75">
        <f>K1085*'THAM_SO_MOI'!$C$53*'THAM_SO_MOI'!$C$17/'THAM_SO_MOI'!$C$26</f>
        <v>3766.226708646622</v>
      </c>
      <c r="M1085" s="75">
        <f>'THAM_SO_MOI'!$C$15*'THAM_SO_MOI'!$C$16*F1085^2</f>
        <v>1573.9627715602971</v>
      </c>
      <c r="N1085" s="75">
        <f>'THAM_SO_MOI'!$C$12*I1085</f>
        <v>1535.5260662549404</v>
      </c>
      <c r="O1085" s="75">
        <f>M1085+N1085</f>
        <v>3109.4888378152373</v>
      </c>
      <c r="P1085" s="75">
        <f>(MIN(L1085,'THAM_SO_MOI'!$C$41)-O1085)/('THAM_SO_MOI'!$C$11*H1085)</f>
        <v>0.07773885781621497</v>
      </c>
      <c r="Q1085" s="75">
        <f>IF(P1085&gt;0,1/P1085,NA())</f>
        <v>12.863579786110744</v>
      </c>
      <c r="R1085" s="75">
        <f>F1085-F1084</f>
        <v>0.0035868055555567935</v>
      </c>
      <c r="S1085" s="75">
        <f>0.5*(Q1084+Q1085)*R1085</f>
        <v>0.046116427938909646</v>
      </c>
      <c r="T1085" s="75">
        <f>0.5*(F1084*Q1084+F1085*Q1085)*R1085</f>
        <v>1.0696861991421236</v>
      </c>
      <c r="U1085" s="76">
        <f>U1084+S1085</f>
        <v>83.84548339803904</v>
      </c>
      <c r="V1085" s="76">
        <f>V1084+T1085</f>
        <v>1383.4672346786986</v>
      </c>
    </row>
    <row r="1086" spans="1:22" ht="19" customHeight="1">
      <c r="A1086" s="68" t="s">
        <v>362</v>
      </c>
      <c r="B1086" s="74">
        <v>5</v>
      </c>
      <c r="C1086" s="68" t="s">
        <v>363</v>
      </c>
      <c r="D1086" s="68" t="s">
        <v>365</v>
      </c>
      <c r="E1086" s="75">
        <f>60*F1086*'THAM_SO_MOI'!$C$53/(2*PI()*'THAM_SO_MOI'!$C$26)</f>
        <v>2285.881342105263</v>
      </c>
      <c r="F1086" s="75">
        <f>'THAM_SO_MOI'!$C$14+('THAM_SO_MOI'!$C$37-'THAM_SO_MOI'!$C$14)*279/'THAM_SO_MOI'!$C$42</f>
        <v>23.20071875</v>
      </c>
      <c r="G1086" s="75">
        <f>3.6*F1086</f>
        <v>83.5225875</v>
      </c>
      <c r="H1086" s="75">
        <f>'THAM_SO_MOI'!$D$53</f>
        <v>1.1</v>
      </c>
      <c r="I1086" s="75">
        <f>IF(F1086&gt;='THAM_SO_MOI'!$C$14,'THAM_SO_MOI'!$C$13*(1+F1086^2/1500),'THAM_SO_MOI'!$C$13)</f>
        <v>0.020382733505166017</v>
      </c>
      <c r="J1086" s="75">
        <f>'THAM_SO_MOI'!$C$40*('THAM_SO_MOI'!$C$23*(E1086/'THAM_SO_MOI'!$C$22)+'THAM_SO_MOI'!$C$24*(E1086/'THAM_SO_MOI'!$C$22)^2-'THAM_SO_MOI'!$C$25*(E1086/'THAM_SO_MOI'!$C$22)^3)</f>
        <v>102.77865001807889</v>
      </c>
      <c r="K1086" s="75">
        <f>'THAM_SO_MOI'!$C$31*J1086/E1086</f>
        <v>429.4400497635891</v>
      </c>
      <c r="L1086" s="75">
        <f>K1086*'THAM_SO_MOI'!$C$53*'THAM_SO_MOI'!$C$17/'THAM_SO_MOI'!$C$26</f>
        <v>3766.1909168120887</v>
      </c>
      <c r="M1086" s="75">
        <f>'THAM_SO_MOI'!$C$15*'THAM_SO_MOI'!$C$16*F1086^2</f>
        <v>1574.4495502610598</v>
      </c>
      <c r="N1086" s="75">
        <f>'THAM_SO_MOI'!$C$12*I1086</f>
        <v>1535.651448466012</v>
      </c>
      <c r="O1086" s="75">
        <f>M1086+N1086</f>
        <v>3110.100998727072</v>
      </c>
      <c r="P1086" s="75">
        <f>(MIN(L1086,'THAM_SO_MOI'!$C$41)-O1086)/('THAM_SO_MOI'!$C$11*H1086)</f>
        <v>0.07766215886423022</v>
      </c>
      <c r="Q1086" s="75">
        <f>IF(P1086&gt;0,1/P1086,NA())</f>
        <v>12.876283825024878</v>
      </c>
      <c r="R1086" s="75">
        <f>F1086-F1085</f>
        <v>0.0035868055555567935</v>
      </c>
      <c r="S1086" s="75">
        <f>0.5*(Q1085+Q1086)*R1086</f>
        <v>0.0461619428998477</v>
      </c>
      <c r="T1086" s="75">
        <f>0.5*(F1085*Q1085+F1086*Q1086)*R1086</f>
        <v>1.0709075080762196</v>
      </c>
      <c r="U1086" s="76">
        <f>U1085+S1086</f>
        <v>83.89164534093888</v>
      </c>
      <c r="V1086" s="76">
        <f>V1085+T1086</f>
        <v>1384.5381421867748</v>
      </c>
    </row>
    <row r="1087" spans="1:22" ht="19" customHeight="1">
      <c r="A1087" s="68" t="s">
        <v>362</v>
      </c>
      <c r="B1087" s="74">
        <v>5</v>
      </c>
      <c r="C1087" s="68" t="s">
        <v>363</v>
      </c>
      <c r="D1087" s="68" t="s">
        <v>365</v>
      </c>
      <c r="E1087" s="75">
        <f>60*F1087*'THAM_SO_MOI'!$C$53/(2*PI()*'THAM_SO_MOI'!$C$26)</f>
        <v>2286.2347368421047</v>
      </c>
      <c r="F1087" s="75">
        <f>'THAM_SO_MOI'!$C$14+('THAM_SO_MOI'!$C$37-'THAM_SO_MOI'!$C$14)*280/'THAM_SO_MOI'!$C$42</f>
        <v>23.204305555555553</v>
      </c>
      <c r="G1087" s="75">
        <f>3.6*F1087</f>
        <v>83.5355</v>
      </c>
      <c r="H1087" s="75">
        <f>'THAM_SO_MOI'!$D$53</f>
        <v>1.1</v>
      </c>
      <c r="I1087" s="75">
        <f>IF(F1087&gt;='THAM_SO_MOI'!$C$14,'THAM_SO_MOI'!$C$13*(1+F1087^2/1500),'THAM_SO_MOI'!$C$13)</f>
        <v>0.020384397963155863</v>
      </c>
      <c r="J1087" s="75">
        <f>'THAM_SO_MOI'!$C$40*('THAM_SO_MOI'!$C$23*(E1087/'THAM_SO_MOI'!$C$22)+'THAM_SO_MOI'!$C$24*(E1087/'THAM_SO_MOI'!$C$22)^2-'THAM_SO_MOI'!$C$25*(E1087/'THAM_SO_MOI'!$C$22)^3)</f>
        <v>102.79355968042307</v>
      </c>
      <c r="K1087" s="75">
        <f>'THAM_SO_MOI'!$C$31*J1087/E1087</f>
        <v>429.4359564824321</v>
      </c>
      <c r="L1087" s="75">
        <f>K1087*'THAM_SO_MOI'!$C$53*'THAM_SO_MOI'!$C$17/'THAM_SO_MOI'!$C$26</f>
        <v>3766.1550187203243</v>
      </c>
      <c r="M1087" s="75">
        <f>'THAM_SO_MOI'!$C$15*'THAM_SO_MOI'!$C$16*F1087^2</f>
        <v>1574.93640422309</v>
      </c>
      <c r="N1087" s="75">
        <f>'THAM_SO_MOI'!$C$12*I1087</f>
        <v>1535.7768500625332</v>
      </c>
      <c r="O1087" s="75">
        <f>M1087+N1087</f>
        <v>3110.7132542856234</v>
      </c>
      <c r="P1087" s="75">
        <f>(MIN(L1087,'THAM_SO_MOI'!$C$41)-O1087)/('THAM_SO_MOI'!$C$11*H1087)</f>
        <v>0.07758543613100155</v>
      </c>
      <c r="Q1087" s="75">
        <f>IF(P1087&gt;0,1/P1087,NA())</f>
        <v>12.889016932398482</v>
      </c>
      <c r="R1087" s="75">
        <f>F1087-F1086</f>
        <v>0.0035868055555532408</v>
      </c>
      <c r="S1087" s="75">
        <f>0.5*(Q1086+Q1087)*R1087</f>
        <v>0.04620756194861312</v>
      </c>
      <c r="T1087" s="75">
        <f>0.5*(F1086*Q1086+F1087*Q1087)*R1087</f>
        <v>1.0721315586163385</v>
      </c>
      <c r="U1087" s="76">
        <f>U1086+S1087</f>
        <v>83.9378529028875</v>
      </c>
      <c r="V1087" s="76">
        <f>V1086+T1087</f>
        <v>1385.6102737453912</v>
      </c>
    </row>
    <row r="1088" spans="1:22" ht="19" customHeight="1">
      <c r="A1088" s="68" t="s">
        <v>362</v>
      </c>
      <c r="B1088" s="74">
        <v>5</v>
      </c>
      <c r="C1088" s="68" t="s">
        <v>363</v>
      </c>
      <c r="D1088" s="68" t="s">
        <v>365</v>
      </c>
      <c r="E1088" s="75">
        <f>60*F1088*'THAM_SO_MOI'!$C$53/(2*PI()*'THAM_SO_MOI'!$C$26)</f>
        <v>2286.5881315789466</v>
      </c>
      <c r="F1088" s="75">
        <f>'THAM_SO_MOI'!$C$14+('THAM_SO_MOI'!$C$37-'THAM_SO_MOI'!$C$14)*281/'THAM_SO_MOI'!$C$42</f>
        <v>23.20789236111111</v>
      </c>
      <c r="G1088" s="75">
        <f>3.6*F1088</f>
        <v>83.5484125</v>
      </c>
      <c r="H1088" s="75">
        <f>'THAM_SO_MOI'!$D$53</f>
        <v>1.1</v>
      </c>
      <c r="I1088" s="75">
        <f>IF(F1088&gt;='THAM_SO_MOI'!$C$14,'THAM_SO_MOI'!$C$13*(1+F1088^2/1500),'THAM_SO_MOI'!$C$13)</f>
        <v>0.020386062678449193</v>
      </c>
      <c r="J1088" s="75">
        <f>'THAM_SO_MOI'!$C$40*('THAM_SO_MOI'!$C$23*(E1088/'THAM_SO_MOI'!$C$22)+'THAM_SO_MOI'!$C$24*(E1088/'THAM_SO_MOI'!$C$22)^2-'THAM_SO_MOI'!$C$25*(E1088/'THAM_SO_MOI'!$C$22)^3)</f>
        <v>102.80846613922427</v>
      </c>
      <c r="K1088" s="75">
        <f>'THAM_SO_MOI'!$C$31*J1088/E1088</f>
        <v>429.43185108529076</v>
      </c>
      <c r="L1088" s="75">
        <f>K1088*'THAM_SO_MOI'!$C$53*'THAM_SO_MOI'!$C$17/'THAM_SO_MOI'!$C$26</f>
        <v>3766.1190143713306</v>
      </c>
      <c r="M1088" s="75">
        <f>'THAM_SO_MOI'!$C$15*'THAM_SO_MOI'!$C$16*F1088^2</f>
        <v>1575.4233334463895</v>
      </c>
      <c r="N1088" s="75">
        <f>'THAM_SO_MOI'!$C$12*I1088</f>
        <v>1535.902271044505</v>
      </c>
      <c r="O1088" s="75">
        <f>M1088+N1088</f>
        <v>3111.3256044908944</v>
      </c>
      <c r="P1088" s="75">
        <f>(MIN(L1088,'THAM_SO_MOI'!$C$41)-O1088)/('THAM_SO_MOI'!$C$11*H1088)</f>
        <v>0.07750868961652893</v>
      </c>
      <c r="Q1088" s="75">
        <f>IF(P1088&gt;0,1/P1088,NA())</f>
        <v>12.901779206272987</v>
      </c>
      <c r="R1088" s="75">
        <f>F1088-F1087</f>
        <v>0.0035868055555567935</v>
      </c>
      <c r="S1088" s="75">
        <f>0.5*(Q1087+Q1088)*R1088</f>
        <v>0.04625328543620976</v>
      </c>
      <c r="T1088" s="75">
        <f>0.5*(F1087*Q1087+F1088*Q1088)*R1088</f>
        <v>1.0733583600279404</v>
      </c>
      <c r="U1088" s="76">
        <f>U1087+S1088</f>
        <v>83.98410618832371</v>
      </c>
      <c r="V1088" s="76">
        <f>V1087+T1088</f>
        <v>1386.683632105419</v>
      </c>
    </row>
    <row r="1089" spans="1:22" ht="19" customHeight="1">
      <c r="A1089" s="68" t="s">
        <v>362</v>
      </c>
      <c r="B1089" s="74">
        <v>5</v>
      </c>
      <c r="C1089" s="68" t="s">
        <v>363</v>
      </c>
      <c r="D1089" s="68" t="s">
        <v>365</v>
      </c>
      <c r="E1089" s="75">
        <f>60*F1089*'THAM_SO_MOI'!$C$53/(2*PI()*'THAM_SO_MOI'!$C$26)</f>
        <v>2286.941526315789</v>
      </c>
      <c r="F1089" s="75">
        <f>'THAM_SO_MOI'!$C$14+('THAM_SO_MOI'!$C$37-'THAM_SO_MOI'!$C$14)*282/'THAM_SO_MOI'!$C$42</f>
        <v>23.211479166666667</v>
      </c>
      <c r="G1089" s="75">
        <f>3.6*F1089</f>
        <v>83.561325</v>
      </c>
      <c r="H1089" s="75">
        <f>'THAM_SO_MOI'!$D$53</f>
        <v>1.1</v>
      </c>
      <c r="I1089" s="75">
        <f>IF(F1089&gt;='THAM_SO_MOI'!$C$14,'THAM_SO_MOI'!$C$13*(1+F1089^2/1500),'THAM_SO_MOI'!$C$13)</f>
        <v>0.020387727651046007</v>
      </c>
      <c r="J1089" s="75">
        <f>'THAM_SO_MOI'!$C$40*('THAM_SO_MOI'!$C$23*(E1089/'THAM_SO_MOI'!$C$22)+'THAM_SO_MOI'!$C$24*(E1089/'THAM_SO_MOI'!$C$22)^2-'THAM_SO_MOI'!$C$25*(E1089/'THAM_SO_MOI'!$C$22)^3)</f>
        <v>102.82336939313757</v>
      </c>
      <c r="K1089" s="75">
        <f>'THAM_SO_MOI'!$C$31*J1089/E1089</f>
        <v>429.4277335721648</v>
      </c>
      <c r="L1089" s="75">
        <f>K1089*'THAM_SO_MOI'!$C$53*'THAM_SO_MOI'!$C$17/'THAM_SO_MOI'!$C$26</f>
        <v>3766.082903765104</v>
      </c>
      <c r="M1089" s="75">
        <f>'THAM_SO_MOI'!$C$15*'THAM_SO_MOI'!$C$16*F1089^2</f>
        <v>1575.910337930957</v>
      </c>
      <c r="N1089" s="75">
        <f>'THAM_SO_MOI'!$C$12*I1089</f>
        <v>1536.027711411927</v>
      </c>
      <c r="O1089" s="75">
        <f>M1089+N1089</f>
        <v>3111.938049342884</v>
      </c>
      <c r="P1089" s="75">
        <f>(MIN(L1089,'THAM_SO_MOI'!$C$41)-O1089)/('THAM_SO_MOI'!$C$11*H1089)</f>
        <v>0.07743191932081209</v>
      </c>
      <c r="Q1089" s="75">
        <f>IF(P1089&gt;0,1/P1089,NA())</f>
        <v>12.914570745132245</v>
      </c>
      <c r="R1089" s="75">
        <f>F1089-F1088</f>
        <v>0.0035868055555567935</v>
      </c>
      <c r="S1089" s="75">
        <f>0.5*(Q1088+Q1089)*R1089</f>
        <v>0.046299113714949325</v>
      </c>
      <c r="T1089" s="75">
        <f>0.5*(F1088*Q1088+F1089*Q1089)*R1089</f>
        <v>1.0745879216118759</v>
      </c>
      <c r="U1089" s="76">
        <f>U1088+S1089</f>
        <v>84.03040530203866</v>
      </c>
      <c r="V1089" s="76">
        <f>V1088+T1089</f>
        <v>1387.758220027031</v>
      </c>
    </row>
    <row r="1090" spans="1:22" ht="19" customHeight="1">
      <c r="A1090" s="68" t="s">
        <v>362</v>
      </c>
      <c r="B1090" s="74">
        <v>5</v>
      </c>
      <c r="C1090" s="68" t="s">
        <v>363</v>
      </c>
      <c r="D1090" s="68" t="s">
        <v>365</v>
      </c>
      <c r="E1090" s="75">
        <f>60*F1090*'THAM_SO_MOI'!$C$53/(2*PI()*'THAM_SO_MOI'!$C$26)</f>
        <v>2287.294921052631</v>
      </c>
      <c r="F1090" s="75">
        <f>'THAM_SO_MOI'!$C$14+('THAM_SO_MOI'!$C$37-'THAM_SO_MOI'!$C$14)*283/'THAM_SO_MOI'!$C$42</f>
        <v>23.21506597222222</v>
      </c>
      <c r="G1090" s="75">
        <f>3.6*F1090</f>
        <v>83.5742375</v>
      </c>
      <c r="H1090" s="75">
        <f>'THAM_SO_MOI'!$D$53</f>
        <v>1.1</v>
      </c>
      <c r="I1090" s="75">
        <f>IF(F1090&gt;='THAM_SO_MOI'!$C$14,'THAM_SO_MOI'!$C$13*(1+F1090^2/1500),'THAM_SO_MOI'!$C$13)</f>
        <v>0.0203893928809463</v>
      </c>
      <c r="J1090" s="75">
        <f>'THAM_SO_MOI'!$C$40*('THAM_SO_MOI'!$C$23*(E1090/'THAM_SO_MOI'!$C$22)+'THAM_SO_MOI'!$C$24*(E1090/'THAM_SO_MOI'!$C$22)^2-'THAM_SO_MOI'!$C$25*(E1090/'THAM_SO_MOI'!$C$22)^3)</f>
        <v>102.83826944081814</v>
      </c>
      <c r="K1090" s="75">
        <f>'THAM_SO_MOI'!$C$31*J1090/E1090</f>
        <v>429.4236039430547</v>
      </c>
      <c r="L1090" s="75">
        <f>K1090*'THAM_SO_MOI'!$C$53*'THAM_SO_MOI'!$C$17/'THAM_SO_MOI'!$C$26</f>
        <v>3766.0466869016495</v>
      </c>
      <c r="M1090" s="75">
        <f>'THAM_SO_MOI'!$C$15*'THAM_SO_MOI'!$C$16*F1090^2</f>
        <v>1576.3974176767929</v>
      </c>
      <c r="N1090" s="75">
        <f>'THAM_SO_MOI'!$C$12*I1090</f>
        <v>1536.1531711647992</v>
      </c>
      <c r="O1090" s="75">
        <f>M1090+N1090</f>
        <v>3112.550588841592</v>
      </c>
      <c r="P1090" s="75">
        <f>(MIN(L1090,'THAM_SO_MOI'!$C$41)-O1090)/('THAM_SO_MOI'!$C$11*H1090)</f>
        <v>0.07735512524385149</v>
      </c>
      <c r="Q1090" s="75">
        <f>IF(P1090&gt;0,1/P1090,NA())</f>
        <v>12.927391647904859</v>
      </c>
      <c r="R1090" s="75">
        <f>F1090-F1089</f>
        <v>0.0035868055555532408</v>
      </c>
      <c r="S1090" s="75">
        <f>0.5*(Q1089+Q1090)*R1090</f>
        <v>0.0463450471388717</v>
      </c>
      <c r="T1090" s="75">
        <f>0.5*(F1089*Q1089+F1090*Q1090)*R1090</f>
        <v>1.0758202527141667</v>
      </c>
      <c r="U1090" s="76">
        <f>U1089+S1090</f>
        <v>84.07675034917753</v>
      </c>
      <c r="V1090" s="76">
        <f>V1089+T1090</f>
        <v>1388.8340402797453</v>
      </c>
    </row>
    <row r="1091" spans="1:22" ht="19" customHeight="1">
      <c r="A1091" s="68" t="s">
        <v>362</v>
      </c>
      <c r="B1091" s="74">
        <v>5</v>
      </c>
      <c r="C1091" s="68" t="s">
        <v>363</v>
      </c>
      <c r="D1091" s="68" t="s">
        <v>365</v>
      </c>
      <c r="E1091" s="75">
        <f>60*F1091*'THAM_SO_MOI'!$C$53/(2*PI()*'THAM_SO_MOI'!$C$26)</f>
        <v>2287.648315789473</v>
      </c>
      <c r="F1091" s="75">
        <f>'THAM_SO_MOI'!$C$14+('THAM_SO_MOI'!$C$37-'THAM_SO_MOI'!$C$14)*284/'THAM_SO_MOI'!$C$42</f>
        <v>23.218652777777777</v>
      </c>
      <c r="G1091" s="75">
        <f>3.6*F1091</f>
        <v>83.58715</v>
      </c>
      <c r="H1091" s="75">
        <f>'THAM_SO_MOI'!$D$53</f>
        <v>1.1</v>
      </c>
      <c r="I1091" s="75">
        <f>IF(F1091&gt;='THAM_SO_MOI'!$C$14,'THAM_SO_MOI'!$C$13*(1+F1091^2/1500),'THAM_SO_MOI'!$C$13)</f>
        <v>0.02039105836815008</v>
      </c>
      <c r="J1091" s="75">
        <f>'THAM_SO_MOI'!$C$40*('THAM_SO_MOI'!$C$23*(E1091/'THAM_SO_MOI'!$C$22)+'THAM_SO_MOI'!$C$24*(E1091/'THAM_SO_MOI'!$C$22)^2-'THAM_SO_MOI'!$C$25*(E1091/'THAM_SO_MOI'!$C$22)^3)</f>
        <v>102.85316628092097</v>
      </c>
      <c r="K1091" s="75">
        <f>'THAM_SO_MOI'!$C$31*J1091/E1091</f>
        <v>429.41946219795966</v>
      </c>
      <c r="L1091" s="75">
        <f>K1091*'THAM_SO_MOI'!$C$53*'THAM_SO_MOI'!$C$17/'THAM_SO_MOI'!$C$26</f>
        <v>3766.01036378096</v>
      </c>
      <c r="M1091" s="75">
        <f>'THAM_SO_MOI'!$C$15*'THAM_SO_MOI'!$C$16*F1091^2</f>
        <v>1576.8845726838977</v>
      </c>
      <c r="N1091" s="75">
        <f>'THAM_SO_MOI'!$C$12*I1091</f>
        <v>1536.2786503031216</v>
      </c>
      <c r="O1091" s="75">
        <f>M1091+N1091</f>
        <v>3113.1632229870193</v>
      </c>
      <c r="P1091" s="75">
        <f>(MIN(L1091,'THAM_SO_MOI'!$C$41)-O1091)/('THAM_SO_MOI'!$C$11*H1091)</f>
        <v>0.07727830738564637</v>
      </c>
      <c r="Q1091" s="75">
        <f>IF(P1091&gt;0,1/P1091,NA())</f>
        <v>12.940242013967033</v>
      </c>
      <c r="R1091" s="75">
        <f>F1091-F1090</f>
        <v>0.0035868055555567935</v>
      </c>
      <c r="S1091" s="75">
        <f>0.5*(Q1090+Q1091)*R1091</f>
        <v>0.04639108606375501</v>
      </c>
      <c r="T1091" s="75">
        <f>0.5*(F1090*Q1090+F1091*Q1091)*R1091</f>
        <v>1.0770553627262713</v>
      </c>
      <c r="U1091" s="76">
        <f>U1090+S1091</f>
        <v>84.12314143524128</v>
      </c>
      <c r="V1091" s="76">
        <f>V1090+T1091</f>
        <v>1389.9110956424715</v>
      </c>
    </row>
    <row r="1092" spans="1:22" ht="19" customHeight="1">
      <c r="A1092" s="68" t="s">
        <v>362</v>
      </c>
      <c r="B1092" s="74">
        <v>5</v>
      </c>
      <c r="C1092" s="68" t="s">
        <v>363</v>
      </c>
      <c r="D1092" s="68" t="s">
        <v>365</v>
      </c>
      <c r="E1092" s="75">
        <f>60*F1092*'THAM_SO_MOI'!$C$53/(2*PI()*'THAM_SO_MOI'!$C$26)</f>
        <v>2288.0017105263155</v>
      </c>
      <c r="F1092" s="75">
        <f>'THAM_SO_MOI'!$C$14+('THAM_SO_MOI'!$C$37-'THAM_SO_MOI'!$C$14)*285/'THAM_SO_MOI'!$C$42</f>
        <v>23.222239583333334</v>
      </c>
      <c r="G1092" s="75">
        <f>3.6*F1092</f>
        <v>83.6000625</v>
      </c>
      <c r="H1092" s="75">
        <f>'THAM_SO_MOI'!$D$53</f>
        <v>1.1</v>
      </c>
      <c r="I1092" s="75">
        <f>IF(F1092&gt;='THAM_SO_MOI'!$C$14,'THAM_SO_MOI'!$C$13*(1+F1092^2/1500),'THAM_SO_MOI'!$C$13)</f>
        <v>0.020392724112657332</v>
      </c>
      <c r="J1092" s="75">
        <f>'THAM_SO_MOI'!$C$40*('THAM_SO_MOI'!$C$23*(E1092/'THAM_SO_MOI'!$C$22)+'THAM_SO_MOI'!$C$24*(E1092/'THAM_SO_MOI'!$C$22)^2-'THAM_SO_MOI'!$C$25*(E1092/'THAM_SO_MOI'!$C$22)^3)</f>
        <v>102.86805991210129</v>
      </c>
      <c r="K1092" s="75">
        <f>'THAM_SO_MOI'!$C$31*J1092/E1092</f>
        <v>429.4153083368804</v>
      </c>
      <c r="L1092" s="75">
        <f>K1092*'THAM_SO_MOI'!$C$53*'THAM_SO_MOI'!$C$17/'THAM_SO_MOI'!$C$26</f>
        <v>3765.9739344030404</v>
      </c>
      <c r="M1092" s="75">
        <f>'THAM_SO_MOI'!$C$15*'THAM_SO_MOI'!$C$16*F1092^2</f>
        <v>1577.3718029522706</v>
      </c>
      <c r="N1092" s="75">
        <f>'THAM_SO_MOI'!$C$12*I1092</f>
        <v>1536.4041488268936</v>
      </c>
      <c r="O1092" s="75">
        <f>M1092+N1092</f>
        <v>3113.775951779164</v>
      </c>
      <c r="P1092" s="75">
        <f>(MIN(L1092,'THAM_SO_MOI'!$C$41)-O1092)/('THAM_SO_MOI'!$C$11*H1092)</f>
        <v>0.07720146574619746</v>
      </c>
      <c r="Q1092" s="75">
        <f>IF(P1092&gt;0,1/P1092,NA())</f>
        <v>12.953121943144644</v>
      </c>
      <c r="R1092" s="75">
        <f>F1092-F1091</f>
        <v>0.0035868055555567935</v>
      </c>
      <c r="S1092" s="75">
        <f>0.5*(Q1091+Q1092)*R1092</f>
        <v>0.0464372308467111</v>
      </c>
      <c r="T1092" s="75">
        <f>0.5*(F1091*Q1091+F1092*Q1092)*R1092</f>
        <v>1.078293261075722</v>
      </c>
      <c r="U1092" s="76">
        <f>U1091+S1092</f>
        <v>84.16957866608799</v>
      </c>
      <c r="V1092" s="76">
        <f>V1091+T1092</f>
        <v>1390.9893889035473</v>
      </c>
    </row>
    <row r="1093" spans="1:22" ht="19" customHeight="1">
      <c r="A1093" s="68" t="s">
        <v>362</v>
      </c>
      <c r="B1093" s="74">
        <v>5</v>
      </c>
      <c r="C1093" s="68" t="s">
        <v>363</v>
      </c>
      <c r="D1093" s="68" t="s">
        <v>365</v>
      </c>
      <c r="E1093" s="75">
        <f>60*F1093*'THAM_SO_MOI'!$C$53/(2*PI()*'THAM_SO_MOI'!$C$26)</f>
        <v>2288.3551052631574</v>
      </c>
      <c r="F1093" s="75">
        <f>'THAM_SO_MOI'!$C$14+('THAM_SO_MOI'!$C$37-'THAM_SO_MOI'!$C$14)*286/'THAM_SO_MOI'!$C$42</f>
        <v>23.225826388888887</v>
      </c>
      <c r="G1093" s="75">
        <f>3.6*F1093</f>
        <v>83.61297499999999</v>
      </c>
      <c r="H1093" s="75">
        <f>'THAM_SO_MOI'!$D$53</f>
        <v>1.1</v>
      </c>
      <c r="I1093" s="75">
        <f>IF(F1093&gt;='THAM_SO_MOI'!$C$14,'THAM_SO_MOI'!$C$13*(1+F1093^2/1500),'THAM_SO_MOI'!$C$13)</f>
        <v>0.020394390114468076</v>
      </c>
      <c r="J1093" s="75">
        <f>'THAM_SO_MOI'!$C$40*('THAM_SO_MOI'!$C$23*(E1093/'THAM_SO_MOI'!$C$22)+'THAM_SO_MOI'!$C$24*(E1093/'THAM_SO_MOI'!$C$22)^2-'THAM_SO_MOI'!$C$25*(E1093/'THAM_SO_MOI'!$C$22)^3)</f>
        <v>102.88295033301416</v>
      </c>
      <c r="K1093" s="75">
        <f>'THAM_SO_MOI'!$C$31*J1093/E1093</f>
        <v>429.4111423598168</v>
      </c>
      <c r="L1093" s="75">
        <f>K1093*'THAM_SO_MOI'!$C$53*'THAM_SO_MOI'!$C$17/'THAM_SO_MOI'!$C$26</f>
        <v>3765.9373987678914</v>
      </c>
      <c r="M1093" s="75">
        <f>'THAM_SO_MOI'!$C$15*'THAM_SO_MOI'!$C$16*F1093^2</f>
        <v>1577.8591084819118</v>
      </c>
      <c r="N1093" s="75">
        <f>'THAM_SO_MOI'!$C$12*I1093</f>
        <v>1536.5296667361165</v>
      </c>
      <c r="O1093" s="75">
        <f>M1093+N1093</f>
        <v>3114.388775218028</v>
      </c>
      <c r="P1093" s="75">
        <f>(MIN(L1093,'THAM_SO_MOI'!$C$41)-O1093)/('THAM_SO_MOI'!$C$11*H1093)</f>
        <v>0.07712460032550462</v>
      </c>
      <c r="Q1093" s="75">
        <f>IF(P1093&gt;0,1/P1093,NA())</f>
        <v>12.966031535716189</v>
      </c>
      <c r="R1093" s="75">
        <f>F1093-F1092</f>
        <v>0.0035868055555532408</v>
      </c>
      <c r="S1093" s="75">
        <f>0.5*(Q1092+Q1093)*R1093</f>
        <v>0.046483481846607576</v>
      </c>
      <c r="T1093" s="75">
        <f>0.5*(F1092*Q1092+F1093*Q1093)*R1093</f>
        <v>1.0795339572359501</v>
      </c>
      <c r="U1093" s="76">
        <f>U1092+S1093</f>
        <v>84.2160621479346</v>
      </c>
      <c r="V1093" s="76">
        <f>V1092+T1093</f>
        <v>1392.0689228607832</v>
      </c>
    </row>
    <row r="1094" spans="1:22" ht="19" customHeight="1">
      <c r="A1094" s="68" t="s">
        <v>362</v>
      </c>
      <c r="B1094" s="74">
        <v>5</v>
      </c>
      <c r="C1094" s="68" t="s">
        <v>363</v>
      </c>
      <c r="D1094" s="68" t="s">
        <v>365</v>
      </c>
      <c r="E1094" s="75">
        <f>60*F1094*'THAM_SO_MOI'!$C$53/(2*PI()*'THAM_SO_MOI'!$C$26)</f>
        <v>2288.7084999999997</v>
      </c>
      <c r="F1094" s="75">
        <f>'THAM_SO_MOI'!$C$14+('THAM_SO_MOI'!$C$37-'THAM_SO_MOI'!$C$14)*287/'THAM_SO_MOI'!$C$42</f>
        <v>23.229413194444444</v>
      </c>
      <c r="G1094" s="75">
        <f>3.6*F1094</f>
        <v>83.6258875</v>
      </c>
      <c r="H1094" s="75">
        <f>'THAM_SO_MOI'!$D$53</f>
        <v>1.1</v>
      </c>
      <c r="I1094" s="75">
        <f>IF(F1094&gt;='THAM_SO_MOI'!$C$14,'THAM_SO_MOI'!$C$13*(1+F1094^2/1500),'THAM_SO_MOI'!$C$13)</f>
        <v>0.020396056373582293</v>
      </c>
      <c r="J1094" s="75">
        <f>'THAM_SO_MOI'!$C$40*('THAM_SO_MOI'!$C$23*(E1094/'THAM_SO_MOI'!$C$22)+'THAM_SO_MOI'!$C$24*(E1094/'THAM_SO_MOI'!$C$22)^2-'THAM_SO_MOI'!$C$25*(E1094/'THAM_SO_MOI'!$C$22)^3)</f>
        <v>102.8978375423147</v>
      </c>
      <c r="K1094" s="75">
        <f>'THAM_SO_MOI'!$C$31*J1094/E1094</f>
        <v>429.4069642667685</v>
      </c>
      <c r="L1094" s="75">
        <f>K1094*'THAM_SO_MOI'!$C$53*'THAM_SO_MOI'!$C$17/'THAM_SO_MOI'!$C$26</f>
        <v>3765.900756875509</v>
      </c>
      <c r="M1094" s="75">
        <f>'THAM_SO_MOI'!$C$15*'THAM_SO_MOI'!$C$16*F1094^2</f>
        <v>1578.3464892728218</v>
      </c>
      <c r="N1094" s="75">
        <f>'THAM_SO_MOI'!$C$12*I1094</f>
        <v>1536.6552040307888</v>
      </c>
      <c r="O1094" s="75">
        <f>M1094+N1094</f>
        <v>3115.0016933036104</v>
      </c>
      <c r="P1094" s="75">
        <f>(MIN(L1094,'THAM_SO_MOI'!$C$41)-O1094)/('THAM_SO_MOI'!$C$11*H1094)</f>
        <v>0.07704771112356751</v>
      </c>
      <c r="Q1094" s="75">
        <f>IF(P1094&gt;0,1/P1094,NA())</f>
        <v>12.978970892415232</v>
      </c>
      <c r="R1094" s="75">
        <f>F1094-F1093</f>
        <v>0.0035868055555567935</v>
      </c>
      <c r="S1094" s="75">
        <f>0.5*(Q1093+Q1094)*R1094</f>
        <v>0.04652983942407814</v>
      </c>
      <c r="T1094" s="75">
        <f>0.5*(F1093*Q1093+F1094*Q1094)*R1094</f>
        <v>1.0807774607265583</v>
      </c>
      <c r="U1094" s="76">
        <f>U1093+S1094</f>
        <v>84.26259198735868</v>
      </c>
      <c r="V1094" s="76">
        <f>V1093+T1094</f>
        <v>1393.1497003215097</v>
      </c>
    </row>
    <row r="1095" spans="1:22" ht="19" customHeight="1">
      <c r="A1095" s="68" t="s">
        <v>362</v>
      </c>
      <c r="B1095" s="74">
        <v>5</v>
      </c>
      <c r="C1095" s="68" t="s">
        <v>363</v>
      </c>
      <c r="D1095" s="68" t="s">
        <v>365</v>
      </c>
      <c r="E1095" s="75">
        <f>60*F1095*'THAM_SO_MOI'!$C$53/(2*PI()*'THAM_SO_MOI'!$C$26)</f>
        <v>2289.0618947368416</v>
      </c>
      <c r="F1095" s="75">
        <f>'THAM_SO_MOI'!$C$14+('THAM_SO_MOI'!$C$37-'THAM_SO_MOI'!$C$14)*288/'THAM_SO_MOI'!$C$42</f>
        <v>23.233</v>
      </c>
      <c r="G1095" s="75">
        <f>3.6*F1095</f>
        <v>83.6388</v>
      </c>
      <c r="H1095" s="75">
        <f>'THAM_SO_MOI'!$D$53</f>
        <v>1.1</v>
      </c>
      <c r="I1095" s="75">
        <f>IF(F1095&gt;='THAM_SO_MOI'!$C$14,'THAM_SO_MOI'!$C$13*(1+F1095^2/1500),'THAM_SO_MOI'!$C$13)</f>
        <v>0.020397722889999997</v>
      </c>
      <c r="J1095" s="75">
        <f>'THAM_SO_MOI'!$C$40*('THAM_SO_MOI'!$C$23*(E1095/'THAM_SO_MOI'!$C$22)+'THAM_SO_MOI'!$C$24*(E1095/'THAM_SO_MOI'!$C$22)^2-'THAM_SO_MOI'!$C$25*(E1095/'THAM_SO_MOI'!$C$22)^3)</f>
        <v>102.91272153865802</v>
      </c>
      <c r="K1095" s="75">
        <f>'THAM_SO_MOI'!$C$31*J1095/E1095</f>
        <v>429.40277405773594</v>
      </c>
      <c r="L1095" s="75">
        <f>K1095*'THAM_SO_MOI'!$C$53*'THAM_SO_MOI'!$C$17/'THAM_SO_MOI'!$C$26</f>
        <v>3765.8640087258973</v>
      </c>
      <c r="M1095" s="75">
        <f>'THAM_SO_MOI'!$C$15*'THAM_SO_MOI'!$C$16*F1095^2</f>
        <v>1578.8339453250003</v>
      </c>
      <c r="N1095" s="75">
        <f>'THAM_SO_MOI'!$C$12*I1095</f>
        <v>1536.7807607109119</v>
      </c>
      <c r="O1095" s="75">
        <f>M1095+N1095</f>
        <v>3115.614706035912</v>
      </c>
      <c r="P1095" s="75">
        <f>(MIN(L1095,'THAM_SO_MOI'!$C$41)-O1095)/('THAM_SO_MOI'!$C$11*H1095)</f>
        <v>0.07697079814038653</v>
      </c>
      <c r="Q1095" s="75">
        <f>IF(P1095&gt;0,1/P1095,NA())</f>
        <v>12.991940114432834</v>
      </c>
      <c r="R1095" s="75">
        <f>F1095-F1094</f>
        <v>0.0035868055555567935</v>
      </c>
      <c r="S1095" s="75">
        <f>0.5*(Q1094+Q1095)*R1095</f>
        <v>0.04657630394111686</v>
      </c>
      <c r="T1095" s="75">
        <f>0.5*(F1094*Q1094+F1095*Q1095)*R1095</f>
        <v>1.0820237811039264</v>
      </c>
      <c r="U1095" s="76">
        <f>U1094+S1095</f>
        <v>84.3091682912998</v>
      </c>
      <c r="V1095" s="76">
        <f>V1094+T1095</f>
        <v>1394.2317241026137</v>
      </c>
    </row>
    <row r="1096" spans="1:22" ht="19" customHeight="1">
      <c r="A1096" s="68" t="s">
        <v>362</v>
      </c>
      <c r="B1096" s="74">
        <v>5</v>
      </c>
      <c r="C1096" s="68" t="s">
        <v>363</v>
      </c>
      <c r="D1096" s="68" t="s">
        <v>365</v>
      </c>
      <c r="E1096" s="75">
        <f>60*F1096*'THAM_SO_MOI'!$C$53/(2*PI()*'THAM_SO_MOI'!$C$26)</f>
        <v>2289.4152894736835</v>
      </c>
      <c r="F1096" s="75">
        <f>'THAM_SO_MOI'!$C$14+('THAM_SO_MOI'!$C$37-'THAM_SO_MOI'!$C$14)*289/'THAM_SO_MOI'!$C$42</f>
        <v>23.236586805555554</v>
      </c>
      <c r="G1096" s="75">
        <f>3.6*F1096</f>
        <v>83.6517125</v>
      </c>
      <c r="H1096" s="75">
        <f>'THAM_SO_MOI'!$D$53</f>
        <v>1.1</v>
      </c>
      <c r="I1096" s="75">
        <f>IF(F1096&gt;='THAM_SO_MOI'!$C$14,'THAM_SO_MOI'!$C$13*(1+F1096^2/1500),'THAM_SO_MOI'!$C$13)</f>
        <v>0.020399389663721183</v>
      </c>
      <c r="J1096" s="75">
        <f>'THAM_SO_MOI'!$C$40*('THAM_SO_MOI'!$C$23*(E1096/'THAM_SO_MOI'!$C$22)+'THAM_SO_MOI'!$C$24*(E1096/'THAM_SO_MOI'!$C$22)^2-'THAM_SO_MOI'!$C$25*(E1096/'THAM_SO_MOI'!$C$22)^3)</f>
        <v>102.9276023206992</v>
      </c>
      <c r="K1096" s="75">
        <f>'THAM_SO_MOI'!$C$31*J1096/E1096</f>
        <v>429.39857173271884</v>
      </c>
      <c r="L1096" s="75">
        <f>K1096*'THAM_SO_MOI'!$C$53*'THAM_SO_MOI'!$C$17/'THAM_SO_MOI'!$C$26</f>
        <v>3765.8271543190535</v>
      </c>
      <c r="M1096" s="75">
        <f>'THAM_SO_MOI'!$C$15*'THAM_SO_MOI'!$C$16*F1096^2</f>
        <v>1579.3214766384465</v>
      </c>
      <c r="N1096" s="75">
        <f>'THAM_SO_MOI'!$C$12*I1096</f>
        <v>1536.906336776485</v>
      </c>
      <c r="O1096" s="75">
        <f>M1096+N1096</f>
        <v>3116.2278134149315</v>
      </c>
      <c r="P1096" s="75">
        <f>(MIN(L1096,'THAM_SO_MOI'!$C$41)-O1096)/('THAM_SO_MOI'!$C$11*H1096)</f>
        <v>0.0768938613759614</v>
      </c>
      <c r="Q1096" s="75">
        <f>IF(P1096&gt;0,1/P1096,NA())</f>
        <v>13.004939303420398</v>
      </c>
      <c r="R1096" s="75">
        <f>F1096-F1095</f>
        <v>0.0035868055555532408</v>
      </c>
      <c r="S1096" s="75">
        <f>0.5*(Q1095+Q1096)*R1096</f>
        <v>0.046622875761501835</v>
      </c>
      <c r="T1096" s="75">
        <f>0.5*(F1095*Q1095+F1096*Q1096)*R1096</f>
        <v>1.083272927971078</v>
      </c>
      <c r="U1096" s="76">
        <f>U1095+S1096</f>
        <v>84.3557911670613</v>
      </c>
      <c r="V1096" s="76">
        <f>V1095+T1096</f>
        <v>1395.314997030585</v>
      </c>
    </row>
    <row r="1097" spans="1:22" ht="19" customHeight="1">
      <c r="A1097" s="68" t="s">
        <v>362</v>
      </c>
      <c r="B1097" s="74">
        <v>5</v>
      </c>
      <c r="C1097" s="68" t="s">
        <v>363</v>
      </c>
      <c r="D1097" s="68" t="s">
        <v>365</v>
      </c>
      <c r="E1097" s="75">
        <f>60*F1097*'THAM_SO_MOI'!$C$53/(2*PI()*'THAM_SO_MOI'!$C$26)</f>
        <v>2289.7686842105254</v>
      </c>
      <c r="F1097" s="75">
        <f>'THAM_SO_MOI'!$C$14+('THAM_SO_MOI'!$C$37-'THAM_SO_MOI'!$C$14)*290/'THAM_SO_MOI'!$C$42</f>
        <v>23.24017361111111</v>
      </c>
      <c r="G1097" s="75">
        <f>3.6*F1097</f>
        <v>83.664625</v>
      </c>
      <c r="H1097" s="75">
        <f>'THAM_SO_MOI'!$D$53</f>
        <v>1.1</v>
      </c>
      <c r="I1097" s="75">
        <f>IF(F1097&gt;='THAM_SO_MOI'!$C$14,'THAM_SO_MOI'!$C$13*(1+F1097^2/1500),'THAM_SO_MOI'!$C$13)</f>
        <v>0.020401056694745852</v>
      </c>
      <c r="J1097" s="75">
        <f>'THAM_SO_MOI'!$C$40*('THAM_SO_MOI'!$C$23*(E1097/'THAM_SO_MOI'!$C$22)+'THAM_SO_MOI'!$C$24*(E1097/'THAM_SO_MOI'!$C$22)^2-'THAM_SO_MOI'!$C$25*(E1097/'THAM_SO_MOI'!$C$22)^3)</f>
        <v>102.94247988709336</v>
      </c>
      <c r="K1097" s="75">
        <f>'THAM_SO_MOI'!$C$31*J1097/E1097</f>
        <v>429.39435729171726</v>
      </c>
      <c r="L1097" s="75">
        <f>K1097*'THAM_SO_MOI'!$C$53*'THAM_SO_MOI'!$C$17/'THAM_SO_MOI'!$C$26</f>
        <v>3765.7901936549792</v>
      </c>
      <c r="M1097" s="75">
        <f>'THAM_SO_MOI'!$C$15*'THAM_SO_MOI'!$C$16*F1097^2</f>
        <v>1579.809083213162</v>
      </c>
      <c r="N1097" s="75">
        <f>'THAM_SO_MOI'!$C$12*I1097</f>
        <v>1537.0319322275084</v>
      </c>
      <c r="O1097" s="75">
        <f>M1097+N1097</f>
        <v>3116.84101544067</v>
      </c>
      <c r="P1097" s="75">
        <f>(MIN(L1097,'THAM_SO_MOI'!$C$41)-O1097)/('THAM_SO_MOI'!$C$11*H1097)</f>
        <v>0.07681690083029225</v>
      </c>
      <c r="Q1097" s="75">
        <f>IF(P1097&gt;0,1/P1097,NA())</f>
        <v>13.01796856149209</v>
      </c>
      <c r="R1097" s="75">
        <f>F1097-F1096</f>
        <v>0.0035868055555567935</v>
      </c>
      <c r="S1097" s="75">
        <f>0.5*(Q1096+Q1097)*R1097</f>
        <v>0.04666955525080535</v>
      </c>
      <c r="T1097" s="75">
        <f>0.5*(F1096*Q1096+F1097*Q1097)*R1097</f>
        <v>1.0845249109779522</v>
      </c>
      <c r="U1097" s="76">
        <f>U1096+S1097</f>
        <v>84.4024607223121</v>
      </c>
      <c r="V1097" s="76">
        <f>V1096+T1097</f>
        <v>1396.3995219415629</v>
      </c>
    </row>
    <row r="1098" spans="1:22" ht="19" customHeight="1">
      <c r="A1098" s="68" t="s">
        <v>362</v>
      </c>
      <c r="B1098" s="74">
        <v>5</v>
      </c>
      <c r="C1098" s="68" t="s">
        <v>363</v>
      </c>
      <c r="D1098" s="68" t="s">
        <v>365</v>
      </c>
      <c r="E1098" s="75">
        <f>60*F1098*'THAM_SO_MOI'!$C$53/(2*PI()*'THAM_SO_MOI'!$C$26)</f>
        <v>2290.1220789473678</v>
      </c>
      <c r="F1098" s="75">
        <f>'THAM_SO_MOI'!$C$14+('THAM_SO_MOI'!$C$37-'THAM_SO_MOI'!$C$14)*291/'THAM_SO_MOI'!$C$42</f>
        <v>23.243760416666667</v>
      </c>
      <c r="G1098" s="75">
        <f>3.6*F1098</f>
        <v>83.6775375</v>
      </c>
      <c r="H1098" s="75">
        <f>'THAM_SO_MOI'!$D$53</f>
        <v>1.1</v>
      </c>
      <c r="I1098" s="75">
        <f>IF(F1098&gt;='THAM_SO_MOI'!$C$14,'THAM_SO_MOI'!$C$13*(1+F1098^2/1500),'THAM_SO_MOI'!$C$13)</f>
        <v>0.020402723983074002</v>
      </c>
      <c r="J1098" s="75">
        <f>'THAM_SO_MOI'!$C$40*('THAM_SO_MOI'!$C$23*(E1098/'THAM_SO_MOI'!$C$22)+'THAM_SO_MOI'!$C$24*(E1098/'THAM_SO_MOI'!$C$22)^2-'THAM_SO_MOI'!$C$25*(E1098/'THAM_SO_MOI'!$C$22)^3)</f>
        <v>102.95735423649568</v>
      </c>
      <c r="K1098" s="75">
        <f>'THAM_SO_MOI'!$C$31*J1098/E1098</f>
        <v>429.39013073473126</v>
      </c>
      <c r="L1098" s="75">
        <f>K1098*'THAM_SO_MOI'!$C$53*'THAM_SO_MOI'!$C$17/'THAM_SO_MOI'!$C$26</f>
        <v>3765.7531267336735</v>
      </c>
      <c r="M1098" s="75">
        <f>'THAM_SO_MOI'!$C$15*'THAM_SO_MOI'!$C$16*F1098^2</f>
        <v>1580.2967650491457</v>
      </c>
      <c r="N1098" s="75">
        <f>'THAM_SO_MOI'!$C$12*I1098</f>
        <v>1537.1575470639818</v>
      </c>
      <c r="O1098" s="75">
        <f>M1098+N1098</f>
        <v>3117.4543121131273</v>
      </c>
      <c r="P1098" s="75">
        <f>(MIN(L1098,'THAM_SO_MOI'!$C$41)-O1098)/('THAM_SO_MOI'!$C$11*H1098)</f>
        <v>0.07673991650337905</v>
      </c>
      <c r="Q1098" s="75">
        <f>IF(P1098&gt;0,1/P1098,NA())</f>
        <v>13.031027991227583</v>
      </c>
      <c r="R1098" s="75">
        <f>F1098-F1097</f>
        <v>0.0035868055555567935</v>
      </c>
      <c r="S1098" s="75">
        <f>0.5*(Q1097+Q1098)*R1098</f>
        <v>0.04671634277598734</v>
      </c>
      <c r="T1098" s="75">
        <f>0.5*(F1097*Q1097+F1098*Q1098)*R1098</f>
        <v>1.0857797398119837</v>
      </c>
      <c r="U1098" s="76">
        <f>U1097+S1098</f>
        <v>84.4491770650881</v>
      </c>
      <c r="V1098" s="76">
        <f>V1097+T1098</f>
        <v>1397.485301681375</v>
      </c>
    </row>
    <row r="1099" spans="1:22" ht="19" customHeight="1">
      <c r="A1099" s="68" t="s">
        <v>362</v>
      </c>
      <c r="B1099" s="74">
        <v>5</v>
      </c>
      <c r="C1099" s="68" t="s">
        <v>363</v>
      </c>
      <c r="D1099" s="68" t="s">
        <v>365</v>
      </c>
      <c r="E1099" s="75">
        <f>60*F1099*'THAM_SO_MOI'!$C$53/(2*PI()*'THAM_SO_MOI'!$C$26)</f>
        <v>2290.47547368421</v>
      </c>
      <c r="F1099" s="75">
        <f>'THAM_SO_MOI'!$C$14+('THAM_SO_MOI'!$C$37-'THAM_SO_MOI'!$C$14)*292/'THAM_SO_MOI'!$C$42</f>
        <v>23.24734722222222</v>
      </c>
      <c r="G1099" s="75">
        <f>3.6*F1099</f>
        <v>83.69045</v>
      </c>
      <c r="H1099" s="75">
        <f>'THAM_SO_MOI'!$D$53</f>
        <v>1.1</v>
      </c>
      <c r="I1099" s="75">
        <f>IF(F1099&gt;='THAM_SO_MOI'!$C$14,'THAM_SO_MOI'!$C$13*(1+F1099^2/1500),'THAM_SO_MOI'!$C$13)</f>
        <v>0.020404391528705632</v>
      </c>
      <c r="J1099" s="75">
        <f>'THAM_SO_MOI'!$C$40*('THAM_SO_MOI'!$C$23*(E1099/'THAM_SO_MOI'!$C$22)+'THAM_SO_MOI'!$C$24*(E1099/'THAM_SO_MOI'!$C$22)^2-'THAM_SO_MOI'!$C$25*(E1099/'THAM_SO_MOI'!$C$22)^3)</f>
        <v>102.97222536756122</v>
      </c>
      <c r="K1099" s="75">
        <f>'THAM_SO_MOI'!$C$31*J1099/E1099</f>
        <v>429.38589206176084</v>
      </c>
      <c r="L1099" s="75">
        <f>K1099*'THAM_SO_MOI'!$C$53*'THAM_SO_MOI'!$C$17/'THAM_SO_MOI'!$C$26</f>
        <v>3765.7159535551373</v>
      </c>
      <c r="M1099" s="75">
        <f>'THAM_SO_MOI'!$C$15*'THAM_SO_MOI'!$C$16*F1099^2</f>
        <v>1580.7845221463974</v>
      </c>
      <c r="N1099" s="75">
        <f>'THAM_SO_MOI'!$C$12*I1099</f>
        <v>1537.2831812859054</v>
      </c>
      <c r="O1099" s="75">
        <f>M1099+N1099</f>
        <v>3118.0677034323026</v>
      </c>
      <c r="P1099" s="75">
        <f>(MIN(L1099,'THAM_SO_MOI'!$C$41)-O1099)/('THAM_SO_MOI'!$C$11*H1099)</f>
        <v>0.07666290839522186</v>
      </c>
      <c r="Q1099" s="75">
        <f>IF(P1099&gt;0,1/P1099,NA())</f>
        <v>13.044117695674675</v>
      </c>
      <c r="R1099" s="75">
        <f>F1099-F1098</f>
        <v>0.0035868055555532408</v>
      </c>
      <c r="S1099" s="75">
        <f>0.5*(Q1098+Q1099)*R1099</f>
        <v>0.046763238705820574</v>
      </c>
      <c r="T1099" s="75">
        <f>0.5*(F1098*Q1098+F1099*Q1099)*R1099</f>
        <v>1.0870374242080114</v>
      </c>
      <c r="U1099" s="76">
        <f>U1098+S1099</f>
        <v>84.49594030379392</v>
      </c>
      <c r="V1099" s="76">
        <f>V1098+T1099</f>
        <v>1398.572339105583</v>
      </c>
    </row>
    <row r="1100" spans="1:22" ht="19" customHeight="1">
      <c r="A1100" s="68" t="s">
        <v>362</v>
      </c>
      <c r="B1100" s="74">
        <v>5</v>
      </c>
      <c r="C1100" s="68" t="s">
        <v>363</v>
      </c>
      <c r="D1100" s="68" t="s">
        <v>365</v>
      </c>
      <c r="E1100" s="75">
        <f>60*F1100*'THAM_SO_MOI'!$C$53/(2*PI()*'THAM_SO_MOI'!$C$26)</f>
        <v>2290.8288684210524</v>
      </c>
      <c r="F1100" s="75">
        <f>'THAM_SO_MOI'!$C$14+('THAM_SO_MOI'!$C$37-'THAM_SO_MOI'!$C$14)*293/'THAM_SO_MOI'!$C$42</f>
        <v>23.250934027777777</v>
      </c>
      <c r="G1100" s="75">
        <f>3.6*F1100</f>
        <v>83.7033625</v>
      </c>
      <c r="H1100" s="75">
        <f>'THAM_SO_MOI'!$D$53</f>
        <v>1.1</v>
      </c>
      <c r="I1100" s="75">
        <f>IF(F1100&gt;='THAM_SO_MOI'!$C$14,'THAM_SO_MOI'!$C$13*(1+F1100^2/1500),'THAM_SO_MOI'!$C$13)</f>
        <v>0.020406059331640743</v>
      </c>
      <c r="J1100" s="75">
        <f>'THAM_SO_MOI'!$C$40*('THAM_SO_MOI'!$C$23*(E1100/'THAM_SO_MOI'!$C$22)+'THAM_SO_MOI'!$C$24*(E1100/'THAM_SO_MOI'!$C$22)^2-'THAM_SO_MOI'!$C$25*(E1100/'THAM_SO_MOI'!$C$22)^3)</f>
        <v>102.98709327894504</v>
      </c>
      <c r="K1100" s="75">
        <f>'THAM_SO_MOI'!$C$31*J1100/E1100</f>
        <v>429.3816412728058</v>
      </c>
      <c r="L1100" s="75">
        <f>K1100*'THAM_SO_MOI'!$C$53*'THAM_SO_MOI'!$C$17/'THAM_SO_MOI'!$C$26</f>
        <v>3765.6786741193678</v>
      </c>
      <c r="M1100" s="75">
        <f>'THAM_SO_MOI'!$C$15*'THAM_SO_MOI'!$C$16*F1100^2</f>
        <v>1581.272354504918</v>
      </c>
      <c r="N1100" s="75">
        <f>'THAM_SO_MOI'!$C$12*I1100</f>
        <v>1537.408834893279</v>
      </c>
      <c r="O1100" s="75">
        <f>M1100+N1100</f>
        <v>3118.6811893981967</v>
      </c>
      <c r="P1100" s="75">
        <f>(MIN(L1100,'THAM_SO_MOI'!$C$41)-O1100)/('THAM_SO_MOI'!$C$11*H1100)</f>
        <v>0.07658587650582041</v>
      </c>
      <c r="Q1100" s="75">
        <f>IF(P1100&gt;0,1/P1100,NA())</f>
        <v>13.057237778352011</v>
      </c>
      <c r="R1100" s="75">
        <f>F1100-F1099</f>
        <v>0.0035868055555567935</v>
      </c>
      <c r="S1100" s="75">
        <f>0.5*(Q1099+Q1100)*R1100</f>
        <v>0.04681024341090082</v>
      </c>
      <c r="T1100" s="75">
        <f>0.5*(F1099*Q1099+F1100*Q1100)*R1100</f>
        <v>1.0882979739485497</v>
      </c>
      <c r="U1100" s="76">
        <f>U1099+S1100</f>
        <v>84.54275054720482</v>
      </c>
      <c r="V1100" s="76">
        <f>V1099+T1100</f>
        <v>1399.6606370795316</v>
      </c>
    </row>
    <row r="1101" spans="1:22" ht="19" customHeight="1">
      <c r="A1101" s="68" t="s">
        <v>362</v>
      </c>
      <c r="B1101" s="74">
        <v>5</v>
      </c>
      <c r="C1101" s="68" t="s">
        <v>363</v>
      </c>
      <c r="D1101" s="68" t="s">
        <v>365</v>
      </c>
      <c r="E1101" s="75">
        <f>60*F1101*'THAM_SO_MOI'!$C$53/(2*PI()*'THAM_SO_MOI'!$C$26)</f>
        <v>2291.182263157894</v>
      </c>
      <c r="F1101" s="75">
        <f>'THAM_SO_MOI'!$C$14+('THAM_SO_MOI'!$C$37-'THAM_SO_MOI'!$C$14)*294/'THAM_SO_MOI'!$C$42</f>
        <v>23.25452083333333</v>
      </c>
      <c r="G1101" s="75">
        <f>3.6*F1101</f>
        <v>83.716275</v>
      </c>
      <c r="H1101" s="75">
        <f>'THAM_SO_MOI'!$D$53</f>
        <v>1.1</v>
      </c>
      <c r="I1101" s="75">
        <f>IF(F1101&gt;='THAM_SO_MOI'!$C$14,'THAM_SO_MOI'!$C$13*(1+F1101^2/1500),'THAM_SO_MOI'!$C$13)</f>
        <v>0.02040772739187934</v>
      </c>
      <c r="J1101" s="75">
        <f>'THAM_SO_MOI'!$C$40*('THAM_SO_MOI'!$C$23*(E1101/'THAM_SO_MOI'!$C$22)+'THAM_SO_MOI'!$C$24*(E1101/'THAM_SO_MOI'!$C$22)^2-'THAM_SO_MOI'!$C$25*(E1101/'THAM_SO_MOI'!$C$22)^3)</f>
        <v>103.00195796930228</v>
      </c>
      <c r="K1101" s="75">
        <f>'THAM_SO_MOI'!$C$31*J1101/E1101</f>
        <v>429.3773783678664</v>
      </c>
      <c r="L1101" s="75">
        <f>K1101*'THAM_SO_MOI'!$C$53*'THAM_SO_MOI'!$C$17/'THAM_SO_MOI'!$C$26</f>
        <v>3765.641288426369</v>
      </c>
      <c r="M1101" s="75">
        <f>'THAM_SO_MOI'!$C$15*'THAM_SO_MOI'!$C$16*F1101^2</f>
        <v>1581.7602621247067</v>
      </c>
      <c r="N1101" s="75">
        <f>'THAM_SO_MOI'!$C$12*I1101</f>
        <v>1537.534507886103</v>
      </c>
      <c r="O1101" s="75">
        <f>M1101+N1101</f>
        <v>3119.2947700108098</v>
      </c>
      <c r="P1101" s="75">
        <f>(MIN(L1101,'THAM_SO_MOI'!$C$41)-O1101)/('THAM_SO_MOI'!$C$11*H1101)</f>
        <v>0.07650882083517509</v>
      </c>
      <c r="Q1101" s="75">
        <f>IF(P1101&gt;0,1/P1101,NA())</f>
        <v>13.070388343251631</v>
      </c>
      <c r="R1101" s="75">
        <f>F1101-F1100</f>
        <v>0.0035868055555532408</v>
      </c>
      <c r="S1101" s="75">
        <f>0.5*(Q1100+Q1101)*R1101</f>
        <v>0.046857357263192956</v>
      </c>
      <c r="T1101" s="75">
        <f>0.5*(F1100*Q1100+F1101*Q1101)*R1101</f>
        <v>1.0895613988532653</v>
      </c>
      <c r="U1101" s="76">
        <f>U1100+S1101</f>
        <v>84.58960790446801</v>
      </c>
      <c r="V1101" s="76">
        <f>V1100+T1101</f>
        <v>1400.7501984783848</v>
      </c>
    </row>
    <row r="1102" spans="1:22" ht="19" customHeight="1">
      <c r="A1102" s="68" t="s">
        <v>362</v>
      </c>
      <c r="B1102" s="74">
        <v>5</v>
      </c>
      <c r="C1102" s="68" t="s">
        <v>363</v>
      </c>
      <c r="D1102" s="68" t="s">
        <v>365</v>
      </c>
      <c r="E1102" s="75">
        <f>60*F1102*'THAM_SO_MOI'!$C$53/(2*PI()*'THAM_SO_MOI'!$C$26)</f>
        <v>2291.5356578947362</v>
      </c>
      <c r="F1102" s="75">
        <f>'THAM_SO_MOI'!$C$14+('THAM_SO_MOI'!$C$37-'THAM_SO_MOI'!$C$14)*295/'THAM_SO_MOI'!$C$42</f>
        <v>23.258107638888887</v>
      </c>
      <c r="G1102" s="75">
        <f>3.6*F1102</f>
        <v>83.7291875</v>
      </c>
      <c r="H1102" s="75">
        <f>'THAM_SO_MOI'!$D$53</f>
        <v>1.1</v>
      </c>
      <c r="I1102" s="75">
        <f>IF(F1102&gt;='THAM_SO_MOI'!$C$14,'THAM_SO_MOI'!$C$13*(1+F1102^2/1500),'THAM_SO_MOI'!$C$13)</f>
        <v>0.020409395709421414</v>
      </c>
      <c r="J1102" s="75">
        <f>'THAM_SO_MOI'!$C$40*('THAM_SO_MOI'!$C$23*(E1102/'THAM_SO_MOI'!$C$22)+'THAM_SO_MOI'!$C$24*(E1102/'THAM_SO_MOI'!$C$22)^2-'THAM_SO_MOI'!$C$25*(E1102/'THAM_SO_MOI'!$C$22)^3)</f>
        <v>103.01681943728815</v>
      </c>
      <c r="K1102" s="75">
        <f>'THAM_SO_MOI'!$C$31*J1102/E1102</f>
        <v>429.3731033469427</v>
      </c>
      <c r="L1102" s="75">
        <f>K1102*'THAM_SO_MOI'!$C$53*'THAM_SO_MOI'!$C$17/'THAM_SO_MOI'!$C$26</f>
        <v>3765.60379647614</v>
      </c>
      <c r="M1102" s="75">
        <f>'THAM_SO_MOI'!$C$15*'THAM_SO_MOI'!$C$16*F1102^2</f>
        <v>1582.2482450057646</v>
      </c>
      <c r="N1102" s="75">
        <f>'THAM_SO_MOI'!$C$12*I1102</f>
        <v>1537.660200264377</v>
      </c>
      <c r="O1102" s="75">
        <f>M1102+N1102</f>
        <v>3119.908445270142</v>
      </c>
      <c r="P1102" s="75">
        <f>(MIN(L1102,'THAM_SO_MOI'!$C$41)-O1102)/('THAM_SO_MOI'!$C$11*H1102)</f>
        <v>0.07643174138328579</v>
      </c>
      <c r="Q1102" s="75">
        <f>IF(P1102&gt;0,1/P1102,NA())</f>
        <v>13.083569494841859</v>
      </c>
      <c r="R1102" s="75">
        <f>F1102-F1101</f>
        <v>0.0035868055555567935</v>
      </c>
      <c r="S1102" s="75">
        <f>0.5*(Q1101+Q1102)*R1102</f>
        <v>0.046904580636735936</v>
      </c>
      <c r="T1102" s="75">
        <f>0.5*(F1101*Q1101+F1102*Q1102)*R1102</f>
        <v>1.090827708795396</v>
      </c>
      <c r="U1102" s="76">
        <f>U1101+S1102</f>
        <v>84.63651248510475</v>
      </c>
      <c r="V1102" s="76">
        <f>V1101+T1102</f>
        <v>1401.8410261871802</v>
      </c>
    </row>
    <row r="1103" spans="1:22" ht="19" customHeight="1">
      <c r="A1103" s="68" t="s">
        <v>362</v>
      </c>
      <c r="B1103" s="74">
        <v>5</v>
      </c>
      <c r="C1103" s="68" t="s">
        <v>363</v>
      </c>
      <c r="D1103" s="68" t="s">
        <v>365</v>
      </c>
      <c r="E1103" s="75">
        <f>60*F1103*'THAM_SO_MOI'!$C$53/(2*PI()*'THAM_SO_MOI'!$C$26)</f>
        <v>2291.889052631578</v>
      </c>
      <c r="F1103" s="75">
        <f>'THAM_SO_MOI'!$C$14+('THAM_SO_MOI'!$C$37-'THAM_SO_MOI'!$C$14)*296/'THAM_SO_MOI'!$C$42</f>
        <v>23.261694444444444</v>
      </c>
      <c r="G1103" s="75">
        <f>3.6*F1103</f>
        <v>83.74210000000001</v>
      </c>
      <c r="H1103" s="75">
        <f>'THAM_SO_MOI'!$D$53</f>
        <v>1.1</v>
      </c>
      <c r="I1103" s="75">
        <f>IF(F1103&gt;='THAM_SO_MOI'!$C$14,'THAM_SO_MOI'!$C$13*(1+F1103^2/1500),'THAM_SO_MOI'!$C$13)</f>
        <v>0.020411064284266974</v>
      </c>
      <c r="J1103" s="75">
        <f>'THAM_SO_MOI'!$C$40*('THAM_SO_MOI'!$C$23*(E1103/'THAM_SO_MOI'!$C$22)+'THAM_SO_MOI'!$C$24*(E1103/'THAM_SO_MOI'!$C$22)^2-'THAM_SO_MOI'!$C$25*(E1103/'THAM_SO_MOI'!$C$22)^3)</f>
        <v>103.03167768155762</v>
      </c>
      <c r="K1103" s="75">
        <f>'THAM_SO_MOI'!$C$31*J1103/E1103</f>
        <v>429.3688162100344</v>
      </c>
      <c r="L1103" s="75">
        <f>K1103*'THAM_SO_MOI'!$C$53*'THAM_SO_MOI'!$C$17/'THAM_SO_MOI'!$C$26</f>
        <v>3765.566198268679</v>
      </c>
      <c r="M1103" s="75">
        <f>'THAM_SO_MOI'!$C$15*'THAM_SO_MOI'!$C$16*F1103^2</f>
        <v>1582.7363031480904</v>
      </c>
      <c r="N1103" s="75">
        <f>'THAM_SO_MOI'!$C$12*I1103</f>
        <v>1537.7859120281014</v>
      </c>
      <c r="O1103" s="75">
        <f>M1103+N1103</f>
        <v>3120.522215176192</v>
      </c>
      <c r="P1103" s="75">
        <f>(MIN(L1103,'THAM_SO_MOI'!$C$41)-O1103)/('THAM_SO_MOI'!$C$11*H1103)</f>
        <v>0.07635463815015234</v>
      </c>
      <c r="Q1103" s="75">
        <f>IF(P1103&gt;0,1/P1103,NA())</f>
        <v>13.096781338069963</v>
      </c>
      <c r="R1103" s="75">
        <f>F1103-F1102</f>
        <v>0.0035868055555567935</v>
      </c>
      <c r="S1103" s="75">
        <f>0.5*(Q1102+Q1103)*R1103</f>
        <v>0.04695191390695702</v>
      </c>
      <c r="T1103" s="75">
        <f>0.5*(F1102*Q1102+F1103*Q1103)*R1103</f>
        <v>1.0920969136858392</v>
      </c>
      <c r="U1103" s="76">
        <f>U1102+S1103</f>
        <v>84.6834643990117</v>
      </c>
      <c r="V1103" s="76">
        <f>V1102+T1103</f>
        <v>1402.933123100866</v>
      </c>
    </row>
    <row r="1104" spans="1:22" ht="19" customHeight="1">
      <c r="A1104" s="68" t="s">
        <v>362</v>
      </c>
      <c r="B1104" s="74">
        <v>5</v>
      </c>
      <c r="C1104" s="68" t="s">
        <v>363</v>
      </c>
      <c r="D1104" s="68" t="s">
        <v>365</v>
      </c>
      <c r="E1104" s="75">
        <f>60*F1104*'THAM_SO_MOI'!$C$53/(2*PI()*'THAM_SO_MOI'!$C$26)</f>
        <v>2292.2424473684205</v>
      </c>
      <c r="F1104" s="75">
        <f>'THAM_SO_MOI'!$C$14+('THAM_SO_MOI'!$C$37-'THAM_SO_MOI'!$C$14)*297/'THAM_SO_MOI'!$C$42</f>
        <v>23.265281249999997</v>
      </c>
      <c r="G1104" s="75">
        <f>3.6*F1104</f>
        <v>83.75501249999999</v>
      </c>
      <c r="H1104" s="75">
        <f>'THAM_SO_MOI'!$D$53</f>
        <v>1.1</v>
      </c>
      <c r="I1104" s="75">
        <f>IF(F1104&gt;='THAM_SO_MOI'!$C$14,'THAM_SO_MOI'!$C$13*(1+F1104^2/1500),'THAM_SO_MOI'!$C$13)</f>
        <v>0.020412733116416015</v>
      </c>
      <c r="J1104" s="75">
        <f>'THAM_SO_MOI'!$C$40*('THAM_SO_MOI'!$C$23*(E1104/'THAM_SO_MOI'!$C$22)+'THAM_SO_MOI'!$C$24*(E1104/'THAM_SO_MOI'!$C$22)^2-'THAM_SO_MOI'!$C$25*(E1104/'THAM_SO_MOI'!$C$22)^3)</f>
        <v>103.04653270076588</v>
      </c>
      <c r="K1104" s="75">
        <f>'THAM_SO_MOI'!$C$31*J1104/E1104</f>
        <v>429.36451695714163</v>
      </c>
      <c r="L1104" s="75">
        <f>K1104*'THAM_SO_MOI'!$C$53*'THAM_SO_MOI'!$C$17/'THAM_SO_MOI'!$C$26</f>
        <v>3765.5284938039867</v>
      </c>
      <c r="M1104" s="75">
        <f>'THAM_SO_MOI'!$C$15*'THAM_SO_MOI'!$C$16*F1104^2</f>
        <v>1583.2244365516844</v>
      </c>
      <c r="N1104" s="75">
        <f>'THAM_SO_MOI'!$C$12*I1104</f>
        <v>1537.9116431772757</v>
      </c>
      <c r="O1104" s="75">
        <f>M1104+N1104</f>
        <v>3121.13607972896</v>
      </c>
      <c r="P1104" s="75">
        <f>(MIN(L1104,'THAM_SO_MOI'!$C$41)-O1104)/('THAM_SO_MOI'!$C$11*H1104)</f>
        <v>0.07627751113577494</v>
      </c>
      <c r="Q1104" s="75">
        <f>IF(P1104&gt;0,1/P1104,NA())</f>
        <v>13.110023978364833</v>
      </c>
      <c r="R1104" s="75">
        <f>F1104-F1103</f>
        <v>0.0035868055555532408</v>
      </c>
      <c r="S1104" s="75">
        <f>0.5*(Q1103+Q1104)*R1104</f>
        <v>0.046999357451145266</v>
      </c>
      <c r="T1104" s="75">
        <f>0.5*(F1103*Q1103+F1104*Q1104)*R1104</f>
        <v>1.0933690234841893</v>
      </c>
      <c r="U1104" s="76">
        <f>U1103+S1104</f>
        <v>84.73046375646284</v>
      </c>
      <c r="V1104" s="76">
        <f>V1103+T1104</f>
        <v>1404.0264921243502</v>
      </c>
    </row>
    <row r="1105" spans="1:22" ht="19" customHeight="1">
      <c r="A1105" s="68" t="s">
        <v>362</v>
      </c>
      <c r="B1105" s="74">
        <v>5</v>
      </c>
      <c r="C1105" s="68" t="s">
        <v>363</v>
      </c>
      <c r="D1105" s="68" t="s">
        <v>365</v>
      </c>
      <c r="E1105" s="75">
        <f>60*F1105*'THAM_SO_MOI'!$C$53/(2*PI()*'THAM_SO_MOI'!$C$26)</f>
        <v>2292.595842105263</v>
      </c>
      <c r="F1105" s="75">
        <f>'THAM_SO_MOI'!$C$14+('THAM_SO_MOI'!$C$37-'THAM_SO_MOI'!$C$14)*298/'THAM_SO_MOI'!$C$42</f>
        <v>23.268868055555554</v>
      </c>
      <c r="G1105" s="75">
        <f>3.6*F1105</f>
        <v>83.76792499999999</v>
      </c>
      <c r="H1105" s="75">
        <f>'THAM_SO_MOI'!$D$53</f>
        <v>1.1</v>
      </c>
      <c r="I1105" s="75">
        <f>IF(F1105&gt;='THAM_SO_MOI'!$C$14,'THAM_SO_MOI'!$C$13*(1+F1105^2/1500),'THAM_SO_MOI'!$C$13)</f>
        <v>0.020414402205868536</v>
      </c>
      <c r="J1105" s="75">
        <f>'THAM_SO_MOI'!$C$40*('THAM_SO_MOI'!$C$23*(E1105/'THAM_SO_MOI'!$C$22)+'THAM_SO_MOI'!$C$24*(E1105/'THAM_SO_MOI'!$C$22)^2-'THAM_SO_MOI'!$C$25*(E1105/'THAM_SO_MOI'!$C$22)^3)</f>
        <v>103.06138449356801</v>
      </c>
      <c r="K1105" s="75">
        <f>'THAM_SO_MOI'!$C$31*J1105/E1105</f>
        <v>429.3602055882644</v>
      </c>
      <c r="L1105" s="75">
        <f>K1105*'THAM_SO_MOI'!$C$53*'THAM_SO_MOI'!$C$17/'THAM_SO_MOI'!$C$26</f>
        <v>3765.490683082063</v>
      </c>
      <c r="M1105" s="75">
        <f>'THAM_SO_MOI'!$C$15*'THAM_SO_MOI'!$C$16*F1105^2</f>
        <v>1583.7126452165471</v>
      </c>
      <c r="N1105" s="75">
        <f>'THAM_SO_MOI'!$C$12*I1105</f>
        <v>1538.0373937119002</v>
      </c>
      <c r="O1105" s="75">
        <f>M1105+N1105</f>
        <v>3121.7500389284473</v>
      </c>
      <c r="P1105" s="75">
        <f>(MIN(L1105,'THAM_SO_MOI'!$C$41)-O1105)/('THAM_SO_MOI'!$C$11*H1105)</f>
        <v>0.07620036034015334</v>
      </c>
      <c r="Q1105" s="75">
        <f>IF(P1105&gt;0,1/P1105,NA())</f>
        <v>13.123297521639877</v>
      </c>
      <c r="R1105" s="75">
        <f>F1105-F1104</f>
        <v>0.0035868055555567935</v>
      </c>
      <c r="S1105" s="75">
        <f>0.5*(Q1104+Q1105)*R1105</f>
        <v>0.047046911648462184</v>
      </c>
      <c r="T1105" s="75">
        <f>0.5*(F1104*Q1104+F1105*Q1105)*R1105</f>
        <v>1.0946440481990212</v>
      </c>
      <c r="U1105" s="76">
        <f>U1104+S1105</f>
        <v>84.7775106681113</v>
      </c>
      <c r="V1105" s="76">
        <f>V1104+T1105</f>
        <v>1405.121136172549</v>
      </c>
    </row>
    <row r="1106" spans="1:22" ht="19" customHeight="1">
      <c r="A1106" s="68" t="s">
        <v>362</v>
      </c>
      <c r="B1106" s="74">
        <v>5</v>
      </c>
      <c r="C1106" s="68" t="s">
        <v>363</v>
      </c>
      <c r="D1106" s="68" t="s">
        <v>365</v>
      </c>
      <c r="E1106" s="75">
        <f>60*F1106*'THAM_SO_MOI'!$C$53/(2*PI()*'THAM_SO_MOI'!$C$26)</f>
        <v>2292.949236842105</v>
      </c>
      <c r="F1106" s="75">
        <f>'THAM_SO_MOI'!$C$14+('THAM_SO_MOI'!$C$37-'THAM_SO_MOI'!$C$14)*299/'THAM_SO_MOI'!$C$42</f>
        <v>23.27245486111111</v>
      </c>
      <c r="G1106" s="75">
        <f>3.6*F1106</f>
        <v>83.7808375</v>
      </c>
      <c r="H1106" s="75">
        <f>'THAM_SO_MOI'!$D$53</f>
        <v>1.1</v>
      </c>
      <c r="I1106" s="75">
        <f>IF(F1106&gt;='THAM_SO_MOI'!$C$14,'THAM_SO_MOI'!$C$13*(1+F1106^2/1500),'THAM_SO_MOI'!$C$13)</f>
        <v>0.02041607155262454</v>
      </c>
      <c r="J1106" s="75">
        <f>'THAM_SO_MOI'!$C$40*('THAM_SO_MOI'!$C$23*(E1106/'THAM_SO_MOI'!$C$22)+'THAM_SO_MOI'!$C$24*(E1106/'THAM_SO_MOI'!$C$22)^2-'THAM_SO_MOI'!$C$25*(E1106/'THAM_SO_MOI'!$C$22)^3)</f>
        <v>103.07623305861912</v>
      </c>
      <c r="K1106" s="75">
        <f>'THAM_SO_MOI'!$C$31*J1106/E1106</f>
        <v>429.3558821034027</v>
      </c>
      <c r="L1106" s="75">
        <f>K1106*'THAM_SO_MOI'!$C$53*'THAM_SO_MOI'!$C$17/'THAM_SO_MOI'!$C$26</f>
        <v>3765.4527661029083</v>
      </c>
      <c r="M1106" s="75">
        <f>'THAM_SO_MOI'!$C$15*'THAM_SO_MOI'!$C$16*F1106^2</f>
        <v>1584.2009291426787</v>
      </c>
      <c r="N1106" s="75">
        <f>'THAM_SO_MOI'!$C$12*I1106</f>
        <v>1538.163163631975</v>
      </c>
      <c r="O1106" s="75">
        <f>M1106+N1106</f>
        <v>3122.3640927746537</v>
      </c>
      <c r="P1106" s="75">
        <f>(MIN(L1106,'THAM_SO_MOI'!$C$41)-O1106)/('THAM_SO_MOI'!$C$11*H1106)</f>
        <v>0.07612318576328768</v>
      </c>
      <c r="Q1106" s="75">
        <f>IF(P1106&gt;0,1/P1106,NA())</f>
        <v>13.136602074295675</v>
      </c>
      <c r="R1106" s="75">
        <f>F1106-F1105</f>
        <v>0.0035868055555567935</v>
      </c>
      <c r="S1106" s="75">
        <f>0.5*(Q1105+Q1106)*R1106</f>
        <v>0.04709457687953261</v>
      </c>
      <c r="T1106" s="75">
        <f>0.5*(F1105*Q1105+F1106*Q1106)*R1106</f>
        <v>1.0959219978784023</v>
      </c>
      <c r="U1106" s="76">
        <f>U1105+S1106</f>
        <v>84.82460524499083</v>
      </c>
      <c r="V1106" s="76">
        <f>V1105+T1106</f>
        <v>1406.2170581704274</v>
      </c>
    </row>
    <row r="1107" spans="1:22" ht="19" customHeight="1">
      <c r="A1107" s="68" t="s">
        <v>362</v>
      </c>
      <c r="B1107" s="74">
        <v>5</v>
      </c>
      <c r="C1107" s="68" t="s">
        <v>363</v>
      </c>
      <c r="D1107" s="68" t="s">
        <v>365</v>
      </c>
      <c r="E1107" s="75">
        <f>60*F1107*'THAM_SO_MOI'!$C$53/(2*PI()*'THAM_SO_MOI'!$C$26)</f>
        <v>2293.3026315789466</v>
      </c>
      <c r="F1107" s="75">
        <f>'THAM_SO_MOI'!$C$14+('THAM_SO_MOI'!$C$37-'THAM_SO_MOI'!$C$14)*300/'THAM_SO_MOI'!$C$42</f>
        <v>23.276041666666664</v>
      </c>
      <c r="G1107" s="75">
        <f>3.6*F1107</f>
        <v>83.79374999999999</v>
      </c>
      <c r="H1107" s="75">
        <f>'THAM_SO_MOI'!$D$53</f>
        <v>1.1</v>
      </c>
      <c r="I1107" s="75">
        <f>IF(F1107&gt;='THAM_SO_MOI'!$C$14,'THAM_SO_MOI'!$C$13*(1+F1107^2/1500),'THAM_SO_MOI'!$C$13)</f>
        <v>0.020417741156684027</v>
      </c>
      <c r="J1107" s="75">
        <f>'THAM_SO_MOI'!$C$40*('THAM_SO_MOI'!$C$23*(E1107/'THAM_SO_MOI'!$C$22)+'THAM_SO_MOI'!$C$24*(E1107/'THAM_SO_MOI'!$C$22)^2-'THAM_SO_MOI'!$C$25*(E1107/'THAM_SO_MOI'!$C$22)^3)</f>
        <v>103.0910783945743</v>
      </c>
      <c r="K1107" s="75">
        <f>'THAM_SO_MOI'!$C$31*J1107/E1107</f>
        <v>429.3515465025565</v>
      </c>
      <c r="L1107" s="75">
        <f>K1107*'THAM_SO_MOI'!$C$53*'THAM_SO_MOI'!$C$17/'THAM_SO_MOI'!$C$26</f>
        <v>3765.4147428665224</v>
      </c>
      <c r="M1107" s="75">
        <f>'THAM_SO_MOI'!$C$15*'THAM_SO_MOI'!$C$16*F1107^2</f>
        <v>1584.689288330078</v>
      </c>
      <c r="N1107" s="75">
        <f>'THAM_SO_MOI'!$C$12*I1107</f>
        <v>1538.2889529375</v>
      </c>
      <c r="O1107" s="75">
        <f>M1107+N1107</f>
        <v>3122.9782412675777</v>
      </c>
      <c r="P1107" s="75">
        <f>(MIN(L1107,'THAM_SO_MOI'!$C$41)-O1107)/('THAM_SO_MOI'!$C$11*H1107)</f>
        <v>0.07604598740517808</v>
      </c>
      <c r="Q1107" s="75">
        <f>IF(P1107&gt;0,1/P1107,NA())</f>
        <v>13.149937743222841</v>
      </c>
      <c r="R1107" s="75">
        <f>F1107-F1106</f>
        <v>0.0035868055555532408</v>
      </c>
      <c r="S1107" s="75">
        <f>0.5*(Q1106+Q1107)*R1107</f>
        <v>0.047142353526873446</v>
      </c>
      <c r="T1107" s="75">
        <f>0.5*(F1106*Q1106+F1107*Q1107)*R1107</f>
        <v>1.097202882619896</v>
      </c>
      <c r="U1107" s="76">
        <f>U1106+S1107</f>
        <v>84.87174759851771</v>
      </c>
      <c r="V1107" s="76">
        <f>V1106+T1107</f>
        <v>1407.3142610530474</v>
      </c>
    </row>
    <row r="1108" spans="1:22" ht="19" customHeight="1">
      <c r="A1108" s="68" t="s">
        <v>362</v>
      </c>
      <c r="B1108" s="74">
        <v>5</v>
      </c>
      <c r="C1108" s="68" t="s">
        <v>363</v>
      </c>
      <c r="D1108" s="68" t="s">
        <v>365</v>
      </c>
      <c r="E1108" s="75">
        <f>60*F1108*'THAM_SO_MOI'!$C$53/(2*PI()*'THAM_SO_MOI'!$C$26)</f>
        <v>2293.656026315789</v>
      </c>
      <c r="F1108" s="75">
        <f>'THAM_SO_MOI'!$C$14+('THAM_SO_MOI'!$C$37-'THAM_SO_MOI'!$C$14)*301/'THAM_SO_MOI'!$C$42</f>
        <v>23.27962847222222</v>
      </c>
      <c r="G1108" s="75">
        <f>3.6*F1108</f>
        <v>83.8066625</v>
      </c>
      <c r="H1108" s="75">
        <f>'THAM_SO_MOI'!$D$53</f>
        <v>1.1</v>
      </c>
      <c r="I1108" s="75">
        <f>IF(F1108&gt;='THAM_SO_MOI'!$C$14,'THAM_SO_MOI'!$C$13*(1+F1108^2/1500),'THAM_SO_MOI'!$C$13)</f>
        <v>0.020419411018046993</v>
      </c>
      <c r="J1108" s="75">
        <f>'THAM_SO_MOI'!$C$40*('THAM_SO_MOI'!$C$23*(E1108/'THAM_SO_MOI'!$C$22)+'THAM_SO_MOI'!$C$24*(E1108/'THAM_SO_MOI'!$C$22)^2-'THAM_SO_MOI'!$C$25*(E1108/'THAM_SO_MOI'!$C$22)^3)</f>
        <v>103.10592050008874</v>
      </c>
      <c r="K1108" s="75">
        <f>'THAM_SO_MOI'!$C$31*J1108/E1108</f>
        <v>429.347198785726</v>
      </c>
      <c r="L1108" s="75">
        <f>K1108*'THAM_SO_MOI'!$C$53*'THAM_SO_MOI'!$C$17/'THAM_SO_MOI'!$C$26</f>
        <v>3765.3766133729064</v>
      </c>
      <c r="M1108" s="75">
        <f>'THAM_SO_MOI'!$C$15*'THAM_SO_MOI'!$C$16*F1108^2</f>
        <v>1585.1777227787463</v>
      </c>
      <c r="N1108" s="75">
        <f>'THAM_SO_MOI'!$C$12*I1108</f>
        <v>1538.414761628475</v>
      </c>
      <c r="O1108" s="75">
        <f>M1108+N1108</f>
        <v>3123.5924844072215</v>
      </c>
      <c r="P1108" s="75">
        <f>(MIN(L1108,'THAM_SO_MOI'!$C$41)-O1108)/('THAM_SO_MOI'!$C$11*H1108)</f>
        <v>0.07596876526582444</v>
      </c>
      <c r="Q1108" s="75">
        <f>IF(P1108&gt;0,1/P1108,NA())</f>
        <v>13.163304635804886</v>
      </c>
      <c r="R1108" s="75">
        <f>F1108-F1107</f>
        <v>0.0035868055555567935</v>
      </c>
      <c r="S1108" s="75">
        <f>0.5*(Q1107+Q1108)*R1108</f>
        <v>0.047190241974904554</v>
      </c>
      <c r="T1108" s="75">
        <f>0.5*(F1107*Q1107+F1108*Q1108)*R1108</f>
        <v>1.0984867125708524</v>
      </c>
      <c r="U1108" s="76">
        <f>U1107+S1108</f>
        <v>84.91893784049262</v>
      </c>
      <c r="V1108" s="76">
        <f>V1107+T1108</f>
        <v>1408.4127477656182</v>
      </c>
    </row>
    <row r="1109" spans="1:22" ht="19" customHeight="1">
      <c r="A1109" s="68" t="s">
        <v>362</v>
      </c>
      <c r="B1109" s="74">
        <v>5</v>
      </c>
      <c r="C1109" s="68" t="s">
        <v>363</v>
      </c>
      <c r="D1109" s="68" t="s">
        <v>365</v>
      </c>
      <c r="E1109" s="75">
        <f>60*F1109*'THAM_SO_MOI'!$C$53/(2*PI()*'THAM_SO_MOI'!$C$26)</f>
        <v>2294.009421052631</v>
      </c>
      <c r="F1109" s="75">
        <f>'THAM_SO_MOI'!$C$14+('THAM_SO_MOI'!$C$37-'THAM_SO_MOI'!$C$14)*302/'THAM_SO_MOI'!$C$42</f>
        <v>23.283215277777778</v>
      </c>
      <c r="G1109" s="75">
        <f>3.6*F1109</f>
        <v>83.819575</v>
      </c>
      <c r="H1109" s="75">
        <f>'THAM_SO_MOI'!$D$53</f>
        <v>1.1</v>
      </c>
      <c r="I1109" s="75">
        <f>IF(F1109&gt;='THAM_SO_MOI'!$C$14,'THAM_SO_MOI'!$C$13*(1+F1109^2/1500),'THAM_SO_MOI'!$C$13)</f>
        <v>0.020421081136713443</v>
      </c>
      <c r="J1109" s="75">
        <f>'THAM_SO_MOI'!$C$40*('THAM_SO_MOI'!$C$23*(E1109/'THAM_SO_MOI'!$C$22)+'THAM_SO_MOI'!$C$24*(E1109/'THAM_SO_MOI'!$C$22)^2-'THAM_SO_MOI'!$C$25*(E1109/'THAM_SO_MOI'!$C$22)^3)</f>
        <v>103.12075937381745</v>
      </c>
      <c r="K1109" s="75">
        <f>'THAM_SO_MOI'!$C$31*J1109/E1109</f>
        <v>429.3428389529109</v>
      </c>
      <c r="L1109" s="75">
        <f>K1109*'THAM_SO_MOI'!$C$53*'THAM_SO_MOI'!$C$17/'THAM_SO_MOI'!$C$26</f>
        <v>3765.338377622057</v>
      </c>
      <c r="M1109" s="75">
        <f>'THAM_SO_MOI'!$C$15*'THAM_SO_MOI'!$C$16*F1109^2</f>
        <v>1585.666232488683</v>
      </c>
      <c r="N1109" s="75">
        <f>'THAM_SO_MOI'!$C$12*I1109</f>
        <v>1538.5405897049002</v>
      </c>
      <c r="O1109" s="75">
        <f>M1109+N1109</f>
        <v>3124.2068221935833</v>
      </c>
      <c r="P1109" s="75">
        <f>(MIN(L1109,'THAM_SO_MOI'!$C$41)-O1109)/('THAM_SO_MOI'!$C$11*H1109)</f>
        <v>0.07589151934522656</v>
      </c>
      <c r="Q1109" s="75">
        <f>IF(P1109&gt;0,1/P1109,NA())</f>
        <v>13.176702859921043</v>
      </c>
      <c r="R1109" s="75">
        <f>F1109-F1108</f>
        <v>0.0035868055555567935</v>
      </c>
      <c r="S1109" s="75">
        <f>0.5*(Q1108+Q1109)*R1109</f>
        <v>0.04723824260953867</v>
      </c>
      <c r="T1109" s="75">
        <f>0.5*(F1108*Q1108+F1109*Q1109)*R1109</f>
        <v>1.0997734979188922</v>
      </c>
      <c r="U1109" s="76">
        <f>U1108+S1109</f>
        <v>84.96617608310216</v>
      </c>
      <c r="V1109" s="76">
        <f>V1108+T1109</f>
        <v>1409.512521263537</v>
      </c>
    </row>
    <row r="1110" spans="1:22" ht="19" customHeight="1">
      <c r="A1110" s="68" t="s">
        <v>362</v>
      </c>
      <c r="B1110" s="74">
        <v>5</v>
      </c>
      <c r="C1110" s="68" t="s">
        <v>363</v>
      </c>
      <c r="D1110" s="68" t="s">
        <v>365</v>
      </c>
      <c r="E1110" s="75">
        <f>60*F1110*'THAM_SO_MOI'!$C$53/(2*PI()*'THAM_SO_MOI'!$C$26)</f>
        <v>2294.3628157894727</v>
      </c>
      <c r="F1110" s="75">
        <f>'THAM_SO_MOI'!$C$14+('THAM_SO_MOI'!$C$37-'THAM_SO_MOI'!$C$14)*303/'THAM_SO_MOI'!$C$42</f>
        <v>23.28680208333333</v>
      </c>
      <c r="G1110" s="75">
        <f>3.6*F1110</f>
        <v>83.8324875</v>
      </c>
      <c r="H1110" s="75">
        <f>'THAM_SO_MOI'!$D$53</f>
        <v>1.1</v>
      </c>
      <c r="I1110" s="75">
        <f>IF(F1110&gt;='THAM_SO_MOI'!$C$14,'THAM_SO_MOI'!$C$13*(1+F1110^2/1500),'THAM_SO_MOI'!$C$13)</f>
        <v>0.020422751512683374</v>
      </c>
      <c r="J1110" s="75">
        <f>'THAM_SO_MOI'!$C$40*('THAM_SO_MOI'!$C$23*(E1110/'THAM_SO_MOI'!$C$22)+'THAM_SO_MOI'!$C$24*(E1110/'THAM_SO_MOI'!$C$22)^2-'THAM_SO_MOI'!$C$25*(E1110/'THAM_SO_MOI'!$C$22)^3)</f>
        <v>103.13559501441564</v>
      </c>
      <c r="K1110" s="75">
        <f>'THAM_SO_MOI'!$C$31*J1110/E1110</f>
        <v>429.3384670041116</v>
      </c>
      <c r="L1110" s="75">
        <f>K1110*'THAM_SO_MOI'!$C$53*'THAM_SO_MOI'!$C$17/'THAM_SO_MOI'!$C$26</f>
        <v>3765.30003561398</v>
      </c>
      <c r="M1110" s="75">
        <f>'THAM_SO_MOI'!$C$15*'THAM_SO_MOI'!$C$16*F1110^2</f>
        <v>1586.1548174598875</v>
      </c>
      <c r="N1110" s="75">
        <f>'THAM_SO_MOI'!$C$12*I1110</f>
        <v>1538.6664371667757</v>
      </c>
      <c r="O1110" s="75">
        <f>M1110+N1110</f>
        <v>3124.821254626663</v>
      </c>
      <c r="P1110" s="75">
        <f>(MIN(L1110,'THAM_SO_MOI'!$C$41)-O1110)/('THAM_SO_MOI'!$C$11*H1110)</f>
        <v>0.07581424964338505</v>
      </c>
      <c r="Q1110" s="75">
        <f>IF(P1110&gt;0,1/P1110,NA())</f>
        <v>13.190132523948973</v>
      </c>
      <c r="R1110" s="75">
        <f>F1110-F1109</f>
        <v>0.0035868055555532408</v>
      </c>
      <c r="S1110" s="75">
        <f>0.5*(Q1109+Q1110)*R1110</f>
        <v>0.047286355818611375</v>
      </c>
      <c r="T1110" s="75">
        <f>0.5*(F1109*Q1109+F1110*Q1110)*R1110</f>
        <v>1.1010632489019458</v>
      </c>
      <c r="U1110" s="76">
        <f>U1109+S1110</f>
        <v>85.01346243892077</v>
      </c>
      <c r="V1110" s="76">
        <f>V1109+T1110</f>
        <v>1410.613584512439</v>
      </c>
    </row>
    <row r="1111" spans="1:22" ht="19" customHeight="1">
      <c r="A1111" s="68" t="s">
        <v>362</v>
      </c>
      <c r="B1111" s="74">
        <v>5</v>
      </c>
      <c r="C1111" s="68" t="s">
        <v>363</v>
      </c>
      <c r="D1111" s="68" t="s">
        <v>365</v>
      </c>
      <c r="E1111" s="75">
        <f>60*F1111*'THAM_SO_MOI'!$C$53/(2*PI()*'THAM_SO_MOI'!$C$26)</f>
        <v>2294.716210526315</v>
      </c>
      <c r="F1111" s="75">
        <f>'THAM_SO_MOI'!$C$14+('THAM_SO_MOI'!$C$37-'THAM_SO_MOI'!$C$14)*304/'THAM_SO_MOI'!$C$42</f>
        <v>23.290388888888888</v>
      </c>
      <c r="G1111" s="75">
        <f>3.6*F1111</f>
        <v>83.8454</v>
      </c>
      <c r="H1111" s="75">
        <f>'THAM_SO_MOI'!$D$53</f>
        <v>1.1</v>
      </c>
      <c r="I1111" s="75">
        <f>IF(F1111&gt;='THAM_SO_MOI'!$C$14,'THAM_SO_MOI'!$C$13*(1+F1111^2/1500),'THAM_SO_MOI'!$C$13)</f>
        <v>0.02042442214595679</v>
      </c>
      <c r="J1111" s="75">
        <f>'THAM_SO_MOI'!$C$40*('THAM_SO_MOI'!$C$23*(E1111/'THAM_SO_MOI'!$C$22)+'THAM_SO_MOI'!$C$24*(E1111/'THAM_SO_MOI'!$C$22)^2-'THAM_SO_MOI'!$C$25*(E1111/'THAM_SO_MOI'!$C$22)^3)</f>
        <v>103.15042742053836</v>
      </c>
      <c r="K1111" s="75">
        <f>'THAM_SO_MOI'!$C$31*J1111/E1111</f>
        <v>429.3340829393276</v>
      </c>
      <c r="L1111" s="75">
        <f>K1111*'THAM_SO_MOI'!$C$53*'THAM_SO_MOI'!$C$17/'THAM_SO_MOI'!$C$26</f>
        <v>3765.2615873486698</v>
      </c>
      <c r="M1111" s="75">
        <f>'THAM_SO_MOI'!$C$15*'THAM_SO_MOI'!$C$16*F1111^2</f>
        <v>1586.6434776923609</v>
      </c>
      <c r="N1111" s="75">
        <f>'THAM_SO_MOI'!$C$12*I1111</f>
        <v>1538.7923040141013</v>
      </c>
      <c r="O1111" s="75">
        <f>M1111+N1111</f>
        <v>3125.435781706462</v>
      </c>
      <c r="P1111" s="75">
        <f>(MIN(L1111,'THAM_SO_MOI'!$C$41)-O1111)/('THAM_SO_MOI'!$C$11*H1111)</f>
        <v>0.07573695616029917</v>
      </c>
      <c r="Q1111" s="75">
        <f>IF(P1111&gt;0,1/P1111,NA())</f>
        <v>13.203593736768017</v>
      </c>
      <c r="R1111" s="75">
        <f>F1111-F1110</f>
        <v>0.0035868055555567935</v>
      </c>
      <c r="S1111" s="75">
        <f>0.5*(Q1110+Q1111)*R1111</f>
        <v>0.047334581991892465</v>
      </c>
      <c r="T1111" s="75">
        <f>0.5*(F1110*Q1110+F1111*Q1111)*R1111</f>
        <v>1.1023559758085546</v>
      </c>
      <c r="U1111" s="76">
        <f>U1110+S1111</f>
        <v>85.06079702091266</v>
      </c>
      <c r="V1111" s="76">
        <f>V1110+T1111</f>
        <v>1411.7159404882475</v>
      </c>
    </row>
    <row r="1112" spans="1:22" ht="19" customHeight="1">
      <c r="A1112" s="68" t="s">
        <v>362</v>
      </c>
      <c r="B1112" s="74">
        <v>5</v>
      </c>
      <c r="C1112" s="68" t="s">
        <v>363</v>
      </c>
      <c r="D1112" s="68" t="s">
        <v>365</v>
      </c>
      <c r="E1112" s="75">
        <f>60*F1112*'THAM_SO_MOI'!$C$53/(2*PI()*'THAM_SO_MOI'!$C$26)</f>
        <v>2295.0696052631574</v>
      </c>
      <c r="F1112" s="75">
        <f>'THAM_SO_MOI'!$C$14+('THAM_SO_MOI'!$C$37-'THAM_SO_MOI'!$C$14)*305/'THAM_SO_MOI'!$C$42</f>
        <v>23.293975694444445</v>
      </c>
      <c r="G1112" s="75">
        <f>3.6*F1112</f>
        <v>83.8583125</v>
      </c>
      <c r="H1112" s="75">
        <f>'THAM_SO_MOI'!$D$53</f>
        <v>1.1</v>
      </c>
      <c r="I1112" s="75">
        <f>IF(F1112&gt;='THAM_SO_MOI'!$C$14,'THAM_SO_MOI'!$C$13*(1+F1112^2/1500),'THAM_SO_MOI'!$C$13)</f>
        <v>0.020426093036533685</v>
      </c>
      <c r="J1112" s="75">
        <f>'THAM_SO_MOI'!$C$40*('THAM_SO_MOI'!$C$23*(E1112/'THAM_SO_MOI'!$C$22)+'THAM_SO_MOI'!$C$24*(E1112/'THAM_SO_MOI'!$C$22)^2-'THAM_SO_MOI'!$C$25*(E1112/'THAM_SO_MOI'!$C$22)^3)</f>
        <v>103.16525659084071</v>
      </c>
      <c r="K1112" s="75">
        <f>'THAM_SO_MOI'!$C$31*J1112/E1112</f>
        <v>429.32968675855915</v>
      </c>
      <c r="L1112" s="75">
        <f>K1112*'THAM_SO_MOI'!$C$53*'THAM_SO_MOI'!$C$17/'THAM_SO_MOI'!$C$26</f>
        <v>3765.223032826129</v>
      </c>
      <c r="M1112" s="75">
        <f>'THAM_SO_MOI'!$C$15*'THAM_SO_MOI'!$C$16*F1112^2</f>
        <v>1587.1322131861032</v>
      </c>
      <c r="N1112" s="75">
        <f>'THAM_SO_MOI'!$C$12*I1112</f>
        <v>1538.9181902468772</v>
      </c>
      <c r="O1112" s="75">
        <f>M1112+N1112</f>
        <v>3126.0504034329806</v>
      </c>
      <c r="P1112" s="75">
        <f>(MIN(L1112,'THAM_SO_MOI'!$C$41)-O1112)/('THAM_SO_MOI'!$C$11*H1112)</f>
        <v>0.07565963889596931</v>
      </c>
      <c r="Q1112" s="75">
        <f>IF(P1112&gt;0,1/P1112,NA())</f>
        <v>13.21708660776167</v>
      </c>
      <c r="R1112" s="75">
        <f>F1112-F1111</f>
        <v>0.0035868055555567935</v>
      </c>
      <c r="S1112" s="75">
        <f>0.5*(Q1111+Q1112)*R1112</f>
        <v>0.04738292152067462</v>
      </c>
      <c r="T1112" s="75">
        <f>0.5*(F1111*Q1111+F1112*Q1112)*R1112</f>
        <v>1.1036516889683226</v>
      </c>
      <c r="U1112" s="76">
        <f>U1111+S1112</f>
        <v>85.10817994243334</v>
      </c>
      <c r="V1112" s="76">
        <f>V1111+T1112</f>
        <v>1412.8195921772158</v>
      </c>
    </row>
    <row r="1113" spans="1:22" ht="19" customHeight="1">
      <c r="A1113" s="68" t="s">
        <v>362</v>
      </c>
      <c r="B1113" s="74">
        <v>5</v>
      </c>
      <c r="C1113" s="68" t="s">
        <v>363</v>
      </c>
      <c r="D1113" s="68" t="s">
        <v>365</v>
      </c>
      <c r="E1113" s="75">
        <f>60*F1113*'THAM_SO_MOI'!$C$53/(2*PI()*'THAM_SO_MOI'!$C$26)</f>
        <v>2295.4229999999993</v>
      </c>
      <c r="F1113" s="75">
        <f>'THAM_SO_MOI'!$C$14+('THAM_SO_MOI'!$C$37-'THAM_SO_MOI'!$C$14)*306/'THAM_SO_MOI'!$C$42</f>
        <v>23.297562499999998</v>
      </c>
      <c r="G1113" s="75">
        <f>3.6*F1113</f>
        <v>83.871225</v>
      </c>
      <c r="H1113" s="75">
        <f>'THAM_SO_MOI'!$D$53</f>
        <v>1.1</v>
      </c>
      <c r="I1113" s="75">
        <f>IF(F1113&gt;='THAM_SO_MOI'!$C$14,'THAM_SO_MOI'!$C$13*(1+F1113^2/1500),'THAM_SO_MOI'!$C$13)</f>
        <v>0.020427764184414058</v>
      </c>
      <c r="J1113" s="75">
        <f>'THAM_SO_MOI'!$C$40*('THAM_SO_MOI'!$C$23*(E1113/'THAM_SO_MOI'!$C$22)+'THAM_SO_MOI'!$C$24*(E1113/'THAM_SO_MOI'!$C$22)^2-'THAM_SO_MOI'!$C$25*(E1113/'THAM_SO_MOI'!$C$22)^3)</f>
        <v>103.1800825239778</v>
      </c>
      <c r="K1113" s="75">
        <f>'THAM_SO_MOI'!$C$31*J1113/E1113</f>
        <v>429.3252784618062</v>
      </c>
      <c r="L1113" s="75">
        <f>K1113*'THAM_SO_MOI'!$C$53*'THAM_SO_MOI'!$C$17/'THAM_SO_MOI'!$C$26</f>
        <v>3765.1843720463557</v>
      </c>
      <c r="M1113" s="75">
        <f>'THAM_SO_MOI'!$C$15*'THAM_SO_MOI'!$C$16*F1113^2</f>
        <v>1587.6210239411132</v>
      </c>
      <c r="N1113" s="75">
        <f>'THAM_SO_MOI'!$C$12*I1113</f>
        <v>1539.0440958651027</v>
      </c>
      <c r="O1113" s="75">
        <f>M1113+N1113</f>
        <v>3126.665119806216</v>
      </c>
      <c r="P1113" s="75">
        <f>(MIN(L1113,'THAM_SO_MOI'!$C$41)-O1113)/('THAM_SO_MOI'!$C$11*H1113)</f>
        <v>0.07558229785039537</v>
      </c>
      <c r="Q1113" s="75">
        <f>IF(P1113&gt;0,1/P1113,NA())</f>
        <v>13.230611246820793</v>
      </c>
      <c r="R1113" s="75">
        <f>F1113-F1112</f>
        <v>0.0035868055555532408</v>
      </c>
      <c r="S1113" s="75">
        <f>0.5*(Q1112+Q1113)*R1113</f>
        <v>0.04743137479820496</v>
      </c>
      <c r="T1113" s="75">
        <f>0.5*(F1112*Q1112+F1113*Q1113)*R1113</f>
        <v>1.1049503987619969</v>
      </c>
      <c r="U1113" s="76">
        <f>U1112+S1113</f>
        <v>85.15561131723155</v>
      </c>
      <c r="V1113" s="76">
        <f>V1112+T1113</f>
        <v>1413.9245425759777</v>
      </c>
    </row>
    <row r="1114" spans="1:22" ht="19" customHeight="1">
      <c r="A1114" s="68" t="s">
        <v>362</v>
      </c>
      <c r="B1114" s="74">
        <v>5</v>
      </c>
      <c r="C1114" s="68" t="s">
        <v>363</v>
      </c>
      <c r="D1114" s="68" t="s">
        <v>365</v>
      </c>
      <c r="E1114" s="75">
        <f>60*F1114*'THAM_SO_MOI'!$C$53/(2*PI()*'THAM_SO_MOI'!$C$26)</f>
        <v>2295.7763947368417</v>
      </c>
      <c r="F1114" s="75">
        <f>'THAM_SO_MOI'!$C$14+('THAM_SO_MOI'!$C$37-'THAM_SO_MOI'!$C$14)*307/'THAM_SO_MOI'!$C$42</f>
        <v>23.301149305555555</v>
      </c>
      <c r="G1114" s="75">
        <f>3.6*F1114</f>
        <v>83.8841375</v>
      </c>
      <c r="H1114" s="75">
        <f>'THAM_SO_MOI'!$D$53</f>
        <v>1.1</v>
      </c>
      <c r="I1114" s="75">
        <f>IF(F1114&gt;='THAM_SO_MOI'!$C$14,'THAM_SO_MOI'!$C$13*(1+F1114^2/1500),'THAM_SO_MOI'!$C$13)</f>
        <v>0.02042943558959792</v>
      </c>
      <c r="J1114" s="75">
        <f>'THAM_SO_MOI'!$C$40*('THAM_SO_MOI'!$C$23*(E1114/'THAM_SO_MOI'!$C$22)+'THAM_SO_MOI'!$C$24*(E1114/'THAM_SO_MOI'!$C$22)^2-'THAM_SO_MOI'!$C$25*(E1114/'THAM_SO_MOI'!$C$22)^3)</f>
        <v>103.19490521860477</v>
      </c>
      <c r="K1114" s="75">
        <f>'THAM_SO_MOI'!$C$31*J1114/E1114</f>
        <v>429.3208580490688</v>
      </c>
      <c r="L1114" s="75">
        <f>K1114*'THAM_SO_MOI'!$C$53*'THAM_SO_MOI'!$C$17/'THAM_SO_MOI'!$C$26</f>
        <v>3765.145605009352</v>
      </c>
      <c r="M1114" s="75">
        <f>'THAM_SO_MOI'!$C$15*'THAM_SO_MOI'!$C$16*F1114^2</f>
        <v>1588.1099099573921</v>
      </c>
      <c r="N1114" s="75">
        <f>'THAM_SO_MOI'!$C$12*I1114</f>
        <v>1539.170020868779</v>
      </c>
      <c r="O1114" s="75">
        <f>M1114+N1114</f>
        <v>3127.279930826171</v>
      </c>
      <c r="P1114" s="75">
        <f>(MIN(L1114,'THAM_SO_MOI'!$C$41)-O1114)/('THAM_SO_MOI'!$C$11*H1114)</f>
        <v>0.0755049330235773</v>
      </c>
      <c r="Q1114" s="75">
        <f>IF(P1114&gt;0,1/P1114,NA())</f>
        <v>13.244167764346447</v>
      </c>
      <c r="R1114" s="75">
        <f>F1114-F1113</f>
        <v>0.0035868055555567935</v>
      </c>
      <c r="S1114" s="75">
        <f>0.5*(Q1113+Q1114)*R1114</f>
        <v>0.04747994221969652</v>
      </c>
      <c r="T1114" s="75">
        <f>0.5*(F1113*Q1113+F1114*Q1114)*R1114</f>
        <v>1.1062521156217735</v>
      </c>
      <c r="U1114" s="76">
        <f>U1113+S1114</f>
        <v>85.20309125945124</v>
      </c>
      <c r="V1114" s="76">
        <f>V1113+T1114</f>
        <v>1415.0307946915996</v>
      </c>
    </row>
    <row r="1115" spans="1:22" ht="19" customHeight="1">
      <c r="A1115" s="68" t="s">
        <v>362</v>
      </c>
      <c r="B1115" s="74">
        <v>5</v>
      </c>
      <c r="C1115" s="68" t="s">
        <v>363</v>
      </c>
      <c r="D1115" s="68" t="s">
        <v>365</v>
      </c>
      <c r="E1115" s="75">
        <f>60*F1115*'THAM_SO_MOI'!$C$53/(2*PI()*'THAM_SO_MOI'!$C$26)</f>
        <v>2296.129789473684</v>
      </c>
      <c r="F1115" s="75">
        <f>'THAM_SO_MOI'!$C$14+('THAM_SO_MOI'!$C$37-'THAM_SO_MOI'!$C$14)*308/'THAM_SO_MOI'!$C$42</f>
        <v>23.30473611111111</v>
      </c>
      <c r="G1115" s="75">
        <f>3.6*F1115</f>
        <v>83.89705000000001</v>
      </c>
      <c r="H1115" s="75">
        <f>'THAM_SO_MOI'!$D$53</f>
        <v>1.1</v>
      </c>
      <c r="I1115" s="75">
        <f>IF(F1115&gt;='THAM_SO_MOI'!$C$14,'THAM_SO_MOI'!$C$13*(1+F1115^2/1500),'THAM_SO_MOI'!$C$13)</f>
        <v>0.02043110725208526</v>
      </c>
      <c r="J1115" s="75">
        <f>'THAM_SO_MOI'!$C$40*('THAM_SO_MOI'!$C$23*(E1115/'THAM_SO_MOI'!$C$22)+'THAM_SO_MOI'!$C$24*(E1115/'THAM_SO_MOI'!$C$22)^2-'THAM_SO_MOI'!$C$25*(E1115/'THAM_SO_MOI'!$C$22)^3)</f>
        <v>103.20972467337675</v>
      </c>
      <c r="K1115" s="75">
        <f>'THAM_SO_MOI'!$C$31*J1115/E1115</f>
        <v>429.3164255203471</v>
      </c>
      <c r="L1115" s="75">
        <f>K1115*'THAM_SO_MOI'!$C$53*'THAM_SO_MOI'!$C$17/'THAM_SO_MOI'!$C$26</f>
        <v>3765.1067317151183</v>
      </c>
      <c r="M1115" s="75">
        <f>'THAM_SO_MOI'!$C$15*'THAM_SO_MOI'!$C$16*F1115^2</f>
        <v>1588.5988712349392</v>
      </c>
      <c r="N1115" s="75">
        <f>'THAM_SO_MOI'!$C$12*I1115</f>
        <v>1539.2959652579052</v>
      </c>
      <c r="O1115" s="75">
        <f>M1115+N1115</f>
        <v>3127.8948364928447</v>
      </c>
      <c r="P1115" s="75">
        <f>(MIN(L1115,'THAM_SO_MOI'!$C$41)-O1115)/('THAM_SO_MOI'!$C$11*H1115)</f>
        <v>0.0754275444155154</v>
      </c>
      <c r="Q1115" s="75">
        <f>IF(P1115&gt;0,1/P1115,NA())</f>
        <v>13.257756271252822</v>
      </c>
      <c r="R1115" s="75">
        <f>F1115-F1114</f>
        <v>0.0035868055555567935</v>
      </c>
      <c r="S1115" s="75">
        <f>0.5*(Q1114+Q1115)*R1115</f>
        <v>0.04752862418191578</v>
      </c>
      <c r="T1115" s="75">
        <f>0.5*(F1114*Q1114+F1115*Q1115)*R1115</f>
        <v>1.1075568500217166</v>
      </c>
      <c r="U1115" s="76">
        <f>U1114+S1115</f>
        <v>85.25061988363316</v>
      </c>
      <c r="V1115" s="76">
        <f>V1114+T1115</f>
        <v>1416.1383515416212</v>
      </c>
    </row>
    <row r="1116" spans="1:22" ht="19" customHeight="1">
      <c r="A1116" s="68" t="s">
        <v>362</v>
      </c>
      <c r="B1116" s="74">
        <v>5</v>
      </c>
      <c r="C1116" s="68" t="s">
        <v>363</v>
      </c>
      <c r="D1116" s="68" t="s">
        <v>365</v>
      </c>
      <c r="E1116" s="75">
        <f>60*F1116*'THAM_SO_MOI'!$C$53/(2*PI()*'THAM_SO_MOI'!$C$26)</f>
        <v>2296.4831842105255</v>
      </c>
      <c r="F1116" s="75">
        <f>'THAM_SO_MOI'!$C$14+('THAM_SO_MOI'!$C$37-'THAM_SO_MOI'!$C$14)*309/'THAM_SO_MOI'!$C$42</f>
        <v>23.308322916666665</v>
      </c>
      <c r="G1116" s="75">
        <f>3.6*F1116</f>
        <v>83.90996249999999</v>
      </c>
      <c r="H1116" s="75">
        <f>'THAM_SO_MOI'!$D$53</f>
        <v>1.1</v>
      </c>
      <c r="I1116" s="75">
        <f>IF(F1116&gt;='THAM_SO_MOI'!$C$14,'THAM_SO_MOI'!$C$13*(1+F1116^2/1500),'THAM_SO_MOI'!$C$13)</f>
        <v>0.020432779171876084</v>
      </c>
      <c r="J1116" s="75">
        <f>'THAM_SO_MOI'!$C$40*('THAM_SO_MOI'!$C$23*(E1116/'THAM_SO_MOI'!$C$22)+'THAM_SO_MOI'!$C$24*(E1116/'THAM_SO_MOI'!$C$22)^2-'THAM_SO_MOI'!$C$25*(E1116/'THAM_SO_MOI'!$C$22)^3)</f>
        <v>103.22454088694877</v>
      </c>
      <c r="K1116" s="75">
        <f>'THAM_SO_MOI'!$C$31*J1116/E1116</f>
        <v>429.31198087564087</v>
      </c>
      <c r="L1116" s="75">
        <f>K1116*'THAM_SO_MOI'!$C$53*'THAM_SO_MOI'!$C$17/'THAM_SO_MOI'!$C$26</f>
        <v>3765.0677521636526</v>
      </c>
      <c r="M1116" s="75">
        <f>'THAM_SO_MOI'!$C$15*'THAM_SO_MOI'!$C$16*F1116^2</f>
        <v>1589.0879077737548</v>
      </c>
      <c r="N1116" s="75">
        <f>'THAM_SO_MOI'!$C$12*I1116</f>
        <v>1539.4219290324818</v>
      </c>
      <c r="O1116" s="75">
        <f>M1116+N1116</f>
        <v>3128.5098368062363</v>
      </c>
      <c r="P1116" s="75">
        <f>(MIN(L1116,'THAM_SO_MOI'!$C$41)-O1116)/('THAM_SO_MOI'!$C$11*H1116)</f>
        <v>0.07535013202620931</v>
      </c>
      <c r="Q1116" s="75">
        <f>IF(P1116&gt;0,1/P1116,NA())</f>
        <v>13.271376878970383</v>
      </c>
      <c r="R1116" s="75">
        <f>F1116-F1115</f>
        <v>0.0035868055555532408</v>
      </c>
      <c r="S1116" s="75">
        <f>0.5*(Q1115+Q1116)*R1116</f>
        <v>0.047577421083616116</v>
      </c>
      <c r="T1116" s="75">
        <f>0.5*(F1115*Q1115+F1116*Q1116)*R1116</f>
        <v>1.108864612487891</v>
      </c>
      <c r="U1116" s="76">
        <f>U1115+S1116</f>
        <v>85.29819730471678</v>
      </c>
      <c r="V1116" s="76">
        <f>V1115+T1116</f>
        <v>1417.247216154109</v>
      </c>
    </row>
    <row r="1117" spans="1:22" ht="19" customHeight="1">
      <c r="A1117" s="68" t="s">
        <v>362</v>
      </c>
      <c r="B1117" s="74">
        <v>5</v>
      </c>
      <c r="C1117" s="68" t="s">
        <v>363</v>
      </c>
      <c r="D1117" s="68" t="s">
        <v>365</v>
      </c>
      <c r="E1117" s="75">
        <f>60*F1117*'THAM_SO_MOI'!$C$53/(2*PI()*'THAM_SO_MOI'!$C$26)</f>
        <v>2296.836578947368</v>
      </c>
      <c r="F1117" s="75">
        <f>'THAM_SO_MOI'!$C$14+('THAM_SO_MOI'!$C$37-'THAM_SO_MOI'!$C$14)*310/'THAM_SO_MOI'!$C$42</f>
        <v>23.31190972222222</v>
      </c>
      <c r="G1117" s="75">
        <f>3.6*F1117</f>
        <v>83.922875</v>
      </c>
      <c r="H1117" s="75">
        <f>'THAM_SO_MOI'!$D$53</f>
        <v>1.1</v>
      </c>
      <c r="I1117" s="75">
        <f>IF(F1117&gt;='THAM_SO_MOI'!$C$14,'THAM_SO_MOI'!$C$13*(1+F1117^2/1500),'THAM_SO_MOI'!$C$13)</f>
        <v>0.02043445134897039</v>
      </c>
      <c r="J1117" s="75">
        <f>'THAM_SO_MOI'!$C$40*('THAM_SO_MOI'!$C$23*(E1117/'THAM_SO_MOI'!$C$22)+'THAM_SO_MOI'!$C$24*(E1117/'THAM_SO_MOI'!$C$22)^2-'THAM_SO_MOI'!$C$25*(E1117/'THAM_SO_MOI'!$C$22)^3)</f>
        <v>103.23935385797604</v>
      </c>
      <c r="K1117" s="75">
        <f>'THAM_SO_MOI'!$C$31*J1117/E1117</f>
        <v>429.3075241149502</v>
      </c>
      <c r="L1117" s="75">
        <f>K1117*'THAM_SO_MOI'!$C$53*'THAM_SO_MOI'!$C$17/'THAM_SO_MOI'!$C$26</f>
        <v>3765.0286663549564</v>
      </c>
      <c r="M1117" s="75">
        <f>'THAM_SO_MOI'!$C$15*'THAM_SO_MOI'!$C$16*F1117^2</f>
        <v>1589.5770195738392</v>
      </c>
      <c r="N1117" s="75">
        <f>'THAM_SO_MOI'!$C$12*I1117</f>
        <v>1539.5479121925084</v>
      </c>
      <c r="O1117" s="75">
        <f>M1117+N1117</f>
        <v>3129.124931766348</v>
      </c>
      <c r="P1117" s="75">
        <f>(MIN(L1117,'THAM_SO_MOI'!$C$41)-O1117)/('THAM_SO_MOI'!$C$11*H1117)</f>
        <v>0.07527269585565918</v>
      </c>
      <c r="Q1117" s="75">
        <f>IF(P1117&gt;0,1/P1117,NA())</f>
        <v>13.285029699448682</v>
      </c>
      <c r="R1117" s="75">
        <f>F1117-F1116</f>
        <v>0.0035868055555567935</v>
      </c>
      <c r="S1117" s="75">
        <f>0.5*(Q1116+Q1117)*R1117</f>
        <v>0.04762633332554924</v>
      </c>
      <c r="T1117" s="75">
        <f>0.5*(F1116*Q1116+F1117*Q1117)*R1117</f>
        <v>1.1101754135986641</v>
      </c>
      <c r="U1117" s="76">
        <f>U1116+S1117</f>
        <v>85.34582363804233</v>
      </c>
      <c r="V1117" s="76">
        <f>V1116+T1117</f>
        <v>1418.3573915677077</v>
      </c>
    </row>
    <row r="1118" spans="1:22" ht="19" customHeight="1">
      <c r="A1118" s="68" t="s">
        <v>362</v>
      </c>
      <c r="B1118" s="74">
        <v>5</v>
      </c>
      <c r="C1118" s="68" t="s">
        <v>363</v>
      </c>
      <c r="D1118" s="68" t="s">
        <v>365</v>
      </c>
      <c r="E1118" s="75">
        <f>60*F1118*'THAM_SO_MOI'!$C$53/(2*PI()*'THAM_SO_MOI'!$C$26)</f>
        <v>2297.1899736842097</v>
      </c>
      <c r="F1118" s="75">
        <f>'THAM_SO_MOI'!$C$14+('THAM_SO_MOI'!$C$37-'THAM_SO_MOI'!$C$14)*311/'THAM_SO_MOI'!$C$42</f>
        <v>23.315496527777775</v>
      </c>
      <c r="G1118" s="75">
        <f>3.6*F1118</f>
        <v>83.93578749999999</v>
      </c>
      <c r="H1118" s="75">
        <f>'THAM_SO_MOI'!$D$53</f>
        <v>1.1</v>
      </c>
      <c r="I1118" s="75">
        <f>IF(F1118&gt;='THAM_SO_MOI'!$C$14,'THAM_SO_MOI'!$C$13*(1+F1118^2/1500),'THAM_SO_MOI'!$C$13)</f>
        <v>0.020436123783368176</v>
      </c>
      <c r="J1118" s="75">
        <f>'THAM_SO_MOI'!$C$40*('THAM_SO_MOI'!$C$23*(E1118/'THAM_SO_MOI'!$C$22)+'THAM_SO_MOI'!$C$24*(E1118/'THAM_SO_MOI'!$C$22)^2-'THAM_SO_MOI'!$C$25*(E1118/'THAM_SO_MOI'!$C$22)^3)</f>
        <v>103.25416358511357</v>
      </c>
      <c r="K1118" s="75">
        <f>'THAM_SO_MOI'!$C$31*J1118/E1118</f>
        <v>429.303055238275</v>
      </c>
      <c r="L1118" s="75">
        <f>K1118*'THAM_SO_MOI'!$C$53*'THAM_SO_MOI'!$C$17/'THAM_SO_MOI'!$C$26</f>
        <v>3764.9894742890283</v>
      </c>
      <c r="M1118" s="75">
        <f>'THAM_SO_MOI'!$C$15*'THAM_SO_MOI'!$C$16*F1118^2</f>
        <v>1590.066206635191</v>
      </c>
      <c r="N1118" s="75">
        <f>'THAM_SO_MOI'!$C$12*I1118</f>
        <v>1539.6739147379851</v>
      </c>
      <c r="O1118" s="75">
        <f>M1118+N1118</f>
        <v>3129.7401213731764</v>
      </c>
      <c r="P1118" s="75">
        <f>(MIN(L1118,'THAM_SO_MOI'!$C$41)-O1118)/('THAM_SO_MOI'!$C$11*H1118)</f>
        <v>0.07519523590386507</v>
      </c>
      <c r="Q1118" s="75">
        <f>IF(P1118&gt;0,1/P1118,NA())</f>
        <v>13.298714845159488</v>
      </c>
      <c r="R1118" s="75">
        <f>F1118-F1117</f>
        <v>0.0035868055555532408</v>
      </c>
      <c r="S1118" s="75">
        <f>0.5*(Q1117+Q1118)*R1118</f>
        <v>0.04767536131000437</v>
      </c>
      <c r="T1118" s="75">
        <f>0.5*(F1117*Q1117+F1118*Q1118)*R1118</f>
        <v>1.1114892639739984</v>
      </c>
      <c r="U1118" s="76">
        <f>U1117+S1118</f>
        <v>85.39349899935233</v>
      </c>
      <c r="V1118" s="76">
        <f>V1117+T1118</f>
        <v>1419.4688808316816</v>
      </c>
    </row>
    <row r="1119" spans="1:22" ht="19" customHeight="1">
      <c r="A1119" s="68" t="s">
        <v>362</v>
      </c>
      <c r="B1119" s="74">
        <v>5</v>
      </c>
      <c r="C1119" s="68" t="s">
        <v>363</v>
      </c>
      <c r="D1119" s="68" t="s">
        <v>365</v>
      </c>
      <c r="E1119" s="75">
        <f>60*F1119*'THAM_SO_MOI'!$C$53/(2*PI()*'THAM_SO_MOI'!$C$26)</f>
        <v>2297.543368421052</v>
      </c>
      <c r="F1119" s="75">
        <f>'THAM_SO_MOI'!$C$14+('THAM_SO_MOI'!$C$37-'THAM_SO_MOI'!$C$14)*312/'THAM_SO_MOI'!$C$42</f>
        <v>23.31908333333333</v>
      </c>
      <c r="G1119" s="75">
        <f>3.6*F1119</f>
        <v>83.9487</v>
      </c>
      <c r="H1119" s="75">
        <f>'THAM_SO_MOI'!$D$53</f>
        <v>1.1</v>
      </c>
      <c r="I1119" s="75">
        <f>IF(F1119&gt;='THAM_SO_MOI'!$C$14,'THAM_SO_MOI'!$C$13*(1+F1119^2/1500),'THAM_SO_MOI'!$C$13)</f>
        <v>0.020437796475069443</v>
      </c>
      <c r="J1119" s="75">
        <f>'THAM_SO_MOI'!$C$40*('THAM_SO_MOI'!$C$23*(E1119/'THAM_SO_MOI'!$C$22)+'THAM_SO_MOI'!$C$24*(E1119/'THAM_SO_MOI'!$C$22)^2-'THAM_SO_MOI'!$C$25*(E1119/'THAM_SO_MOI'!$C$22)^3)</f>
        <v>103.26897006701654</v>
      </c>
      <c r="K1119" s="75">
        <f>'THAM_SO_MOI'!$C$31*J1119/E1119</f>
        <v>429.2985742456153</v>
      </c>
      <c r="L1119" s="75">
        <f>K1119*'THAM_SO_MOI'!$C$53*'THAM_SO_MOI'!$C$17/'THAM_SO_MOI'!$C$26</f>
        <v>3764.9501759658688</v>
      </c>
      <c r="M1119" s="75">
        <f>'THAM_SO_MOI'!$C$15*'THAM_SO_MOI'!$C$16*F1119^2</f>
        <v>1590.5554689578125</v>
      </c>
      <c r="N1119" s="75">
        <f>'THAM_SO_MOI'!$C$12*I1119</f>
        <v>1539.7999366689119</v>
      </c>
      <c r="O1119" s="75">
        <f>M1119+N1119</f>
        <v>3130.3554056267244</v>
      </c>
      <c r="P1119" s="75">
        <f>(MIN(L1119,'THAM_SO_MOI'!$C$41)-O1119)/('THAM_SO_MOI'!$C$11*H1119)</f>
        <v>0.07511775217082675</v>
      </c>
      <c r="Q1119" s="75">
        <f>IF(P1119&gt;0,1/P1119,NA())</f>
        <v>13.312432429099854</v>
      </c>
      <c r="R1119" s="75">
        <f>F1119-F1118</f>
        <v>0.0035868055555567935</v>
      </c>
      <c r="S1119" s="75">
        <f>0.5*(Q1118+Q1119)*R1119</f>
        <v>0.04772450544152671</v>
      </c>
      <c r="T1119" s="75">
        <f>0.5*(F1118*Q1118+F1119*Q1119)*R1119</f>
        <v>1.112806174292231</v>
      </c>
      <c r="U1119" s="76">
        <f>U1118+S1119</f>
        <v>85.44122350479385</v>
      </c>
      <c r="V1119" s="76">
        <f>V1118+T1119</f>
        <v>1420.581687005974</v>
      </c>
    </row>
    <row r="1120" spans="1:22" ht="19" customHeight="1">
      <c r="A1120" s="68" t="s">
        <v>362</v>
      </c>
      <c r="B1120" s="74">
        <v>5</v>
      </c>
      <c r="C1120" s="68" t="s">
        <v>363</v>
      </c>
      <c r="D1120" s="68" t="s">
        <v>365</v>
      </c>
      <c r="E1120" s="75">
        <f>60*F1120*'THAM_SO_MOI'!$C$53/(2*PI()*'THAM_SO_MOI'!$C$26)</f>
        <v>2297.8967631578944</v>
      </c>
      <c r="F1120" s="75">
        <f>'THAM_SO_MOI'!$C$14+('THAM_SO_MOI'!$C$37-'THAM_SO_MOI'!$C$14)*313/'THAM_SO_MOI'!$C$42</f>
        <v>23.32267013888889</v>
      </c>
      <c r="G1120" s="75">
        <f>3.6*F1120</f>
        <v>83.9616125</v>
      </c>
      <c r="H1120" s="75">
        <f>'THAM_SO_MOI'!$D$53</f>
        <v>1.1</v>
      </c>
      <c r="I1120" s="75">
        <f>IF(F1120&gt;='THAM_SO_MOI'!$C$14,'THAM_SO_MOI'!$C$13*(1+F1120^2/1500),'THAM_SO_MOI'!$C$13)</f>
        <v>0.02043946942407419</v>
      </c>
      <c r="J1120" s="75">
        <f>'THAM_SO_MOI'!$C$40*('THAM_SO_MOI'!$C$23*(E1120/'THAM_SO_MOI'!$C$22)+'THAM_SO_MOI'!$C$24*(E1120/'THAM_SO_MOI'!$C$22)^2-'THAM_SO_MOI'!$C$25*(E1120/'THAM_SO_MOI'!$C$22)^3)</f>
        <v>103.28377330234008</v>
      </c>
      <c r="K1120" s="75">
        <f>'THAM_SO_MOI'!$C$31*J1120/E1120</f>
        <v>429.2940811369714</v>
      </c>
      <c r="L1120" s="75">
        <f>K1120*'THAM_SO_MOI'!$C$53*'THAM_SO_MOI'!$C$17/'THAM_SO_MOI'!$C$26</f>
        <v>3764.9107713854805</v>
      </c>
      <c r="M1120" s="75">
        <f>'THAM_SO_MOI'!$C$15*'THAM_SO_MOI'!$C$16*F1120^2</f>
        <v>1591.044806541702</v>
      </c>
      <c r="N1120" s="75">
        <f>'THAM_SO_MOI'!$C$12*I1120</f>
        <v>1539.925977985289</v>
      </c>
      <c r="O1120" s="75">
        <f>M1120+N1120</f>
        <v>3130.970784526991</v>
      </c>
      <c r="P1120" s="75">
        <f>(MIN(L1120,'THAM_SO_MOI'!$C$41)-O1120)/('THAM_SO_MOI'!$C$11*H1120)</f>
        <v>0.07504024465654473</v>
      </c>
      <c r="Q1120" s="75">
        <f>IF(P1120&gt;0,1/P1120,NA())</f>
        <v>13.326182564795033</v>
      </c>
      <c r="R1120" s="75">
        <f>F1120-F1119</f>
        <v>0.0035868055555567935</v>
      </c>
      <c r="S1120" s="75">
        <f>0.5*(Q1119+Q1120)*R1120</f>
        <v>0.04777376612622034</v>
      </c>
      <c r="T1120" s="75">
        <f>0.5*(F1119*Q1119+F1120*Q1120)*R1120</f>
        <v>1.1141261552738573</v>
      </c>
      <c r="U1120" s="76">
        <f>U1119+S1120</f>
        <v>85.48899727092008</v>
      </c>
      <c r="V1120" s="76">
        <f>V1119+T1120</f>
        <v>1421.6958131612478</v>
      </c>
    </row>
    <row r="1121" spans="1:22" ht="19" customHeight="1">
      <c r="A1121" s="68" t="s">
        <v>362</v>
      </c>
      <c r="B1121" s="74">
        <v>5</v>
      </c>
      <c r="C1121" s="68" t="s">
        <v>363</v>
      </c>
      <c r="D1121" s="68" t="s">
        <v>365</v>
      </c>
      <c r="E1121" s="75">
        <f>60*F1121*'THAM_SO_MOI'!$C$53/(2*PI()*'THAM_SO_MOI'!$C$26)</f>
        <v>2298.2501578947367</v>
      </c>
      <c r="F1121" s="75">
        <f>'THAM_SO_MOI'!$C$14+('THAM_SO_MOI'!$C$37-'THAM_SO_MOI'!$C$14)*314/'THAM_SO_MOI'!$C$42</f>
        <v>23.326256944444445</v>
      </c>
      <c r="G1121" s="75">
        <f>3.6*F1121</f>
        <v>83.974525</v>
      </c>
      <c r="H1121" s="75">
        <f>'THAM_SO_MOI'!$D$53</f>
        <v>1.1</v>
      </c>
      <c r="I1121" s="75">
        <f>IF(F1121&gt;='THAM_SO_MOI'!$C$14,'THAM_SO_MOI'!$C$13*(1+F1121^2/1500),'THAM_SO_MOI'!$C$13)</f>
        <v>0.020441142630382426</v>
      </c>
      <c r="J1121" s="75">
        <f>'THAM_SO_MOI'!$C$40*('THAM_SO_MOI'!$C$23*(E1121/'THAM_SO_MOI'!$C$22)+'THAM_SO_MOI'!$C$24*(E1121/'THAM_SO_MOI'!$C$22)^2-'THAM_SO_MOI'!$C$25*(E1121/'THAM_SO_MOI'!$C$22)^3)</f>
        <v>103.29857328973922</v>
      </c>
      <c r="K1121" s="75">
        <f>'THAM_SO_MOI'!$C$31*J1121/E1121</f>
        <v>429.28957591234274</v>
      </c>
      <c r="L1121" s="75">
        <f>K1121*'THAM_SO_MOI'!$C$53*'THAM_SO_MOI'!$C$17/'THAM_SO_MOI'!$C$26</f>
        <v>3764.8712605478586</v>
      </c>
      <c r="M1121" s="75">
        <f>'THAM_SO_MOI'!$C$15*'THAM_SO_MOI'!$C$16*F1121^2</f>
        <v>1591.53421938686</v>
      </c>
      <c r="N1121" s="75">
        <f>'THAM_SO_MOI'!$C$12*I1121</f>
        <v>1540.0520386871162</v>
      </c>
      <c r="O1121" s="75">
        <f>M1121+N1121</f>
        <v>3131.5862580739763</v>
      </c>
      <c r="P1121" s="75">
        <f>(MIN(L1121,'THAM_SO_MOI'!$C$41)-O1121)/('THAM_SO_MOI'!$C$11*H1121)</f>
        <v>0.07496271336101826</v>
      </c>
      <c r="Q1121" s="75">
        <f>IF(P1121&gt;0,1/P1121,NA())</f>
        <v>13.339965366301897</v>
      </c>
      <c r="R1121" s="75">
        <f>F1121-F1120</f>
        <v>0.0035868055555567935</v>
      </c>
      <c r="S1121" s="75">
        <f>0.5*(Q1120+Q1121)*R1121</f>
        <v>0.04782314377227888</v>
      </c>
      <c r="T1121" s="75">
        <f>0.5*(F1120*Q1120+F1121*Q1121)*R1121</f>
        <v>1.1154492176939372</v>
      </c>
      <c r="U1121" s="76">
        <f>U1120+S1121</f>
        <v>85.53682041469236</v>
      </c>
      <c r="V1121" s="76">
        <f>V1120+T1121</f>
        <v>1422.8112623789418</v>
      </c>
    </row>
    <row r="1122" spans="1:22" ht="19" customHeight="1">
      <c r="A1122" s="68" t="s">
        <v>362</v>
      </c>
      <c r="B1122" s="74">
        <v>5</v>
      </c>
      <c r="C1122" s="68" t="s">
        <v>363</v>
      </c>
      <c r="D1122" s="68" t="s">
        <v>365</v>
      </c>
      <c r="E1122" s="75">
        <f>60*F1122*'THAM_SO_MOI'!$C$53/(2*PI()*'THAM_SO_MOI'!$C$26)</f>
        <v>2298.603552631578</v>
      </c>
      <c r="F1122" s="75">
        <f>'THAM_SO_MOI'!$C$14+('THAM_SO_MOI'!$C$37-'THAM_SO_MOI'!$C$14)*315/'THAM_SO_MOI'!$C$42</f>
        <v>23.32984375</v>
      </c>
      <c r="G1122" s="75">
        <f>3.6*F1122</f>
        <v>83.9874375</v>
      </c>
      <c r="H1122" s="75">
        <f>'THAM_SO_MOI'!$D$53</f>
        <v>1.1</v>
      </c>
      <c r="I1122" s="75">
        <f>IF(F1122&gt;='THAM_SO_MOI'!$C$14,'THAM_SO_MOI'!$C$13*(1+F1122^2/1500),'THAM_SO_MOI'!$C$13)</f>
        <v>0.020442816093994138</v>
      </c>
      <c r="J1122" s="75">
        <f>'THAM_SO_MOI'!$C$40*('THAM_SO_MOI'!$C$23*(E1122/'THAM_SO_MOI'!$C$22)+'THAM_SO_MOI'!$C$24*(E1122/'THAM_SO_MOI'!$C$22)^2-'THAM_SO_MOI'!$C$25*(E1122/'THAM_SO_MOI'!$C$22)^3)</f>
        <v>103.31337002786908</v>
      </c>
      <c r="K1122" s="75">
        <f>'THAM_SO_MOI'!$C$31*J1122/E1122</f>
        <v>429.2850585717298</v>
      </c>
      <c r="L1122" s="75">
        <f>K1122*'THAM_SO_MOI'!$C$53*'THAM_SO_MOI'!$C$17/'THAM_SO_MOI'!$C$26</f>
        <v>3764.8316434530066</v>
      </c>
      <c r="M1122" s="75">
        <f>'THAM_SO_MOI'!$C$15*'THAM_SO_MOI'!$C$16*F1122^2</f>
        <v>1592.0237074932859</v>
      </c>
      <c r="N1122" s="75">
        <f>'THAM_SO_MOI'!$C$12*I1122</f>
        <v>1540.1781187743936</v>
      </c>
      <c r="O1122" s="75">
        <f>M1122+N1122</f>
        <v>3132.2018262676793</v>
      </c>
      <c r="P1122" s="75">
        <f>(MIN(L1122,'THAM_SO_MOI'!$C$41)-O1122)/('THAM_SO_MOI'!$C$11*H1122)</f>
        <v>0.07488515828424797</v>
      </c>
      <c r="Q1122" s="75">
        <f>IF(P1122&gt;0,1/P1122,NA())</f>
        <v>13.353780948211593</v>
      </c>
      <c r="R1122" s="75">
        <f>F1122-F1121</f>
        <v>0.0035868055555532408</v>
      </c>
      <c r="S1122" s="75">
        <f>0.5*(Q1121+Q1122)*R1122</f>
        <v>0.047872638789712915</v>
      </c>
      <c r="T1122" s="75">
        <f>0.5*(F1121*Q1121+F1122*Q1122)*R1122</f>
        <v>1.116775372375773</v>
      </c>
      <c r="U1122" s="76">
        <f>U1121+S1122</f>
        <v>85.58469305348207</v>
      </c>
      <c r="V1122" s="76">
        <f>V1121+T1122</f>
        <v>1423.9280377513176</v>
      </c>
    </row>
    <row r="1123" spans="1:22" ht="19" customHeight="1">
      <c r="A1123" s="68" t="s">
        <v>362</v>
      </c>
      <c r="B1123" s="74">
        <v>5</v>
      </c>
      <c r="C1123" s="68" t="s">
        <v>363</v>
      </c>
      <c r="D1123" s="68" t="s">
        <v>365</v>
      </c>
      <c r="E1123" s="75">
        <f>60*F1123*'THAM_SO_MOI'!$C$53/(2*PI()*'THAM_SO_MOI'!$C$26)</f>
        <v>2298.9569473684205</v>
      </c>
      <c r="F1123" s="75">
        <f>'THAM_SO_MOI'!$C$14+('THAM_SO_MOI'!$C$37-'THAM_SO_MOI'!$C$14)*316/'THAM_SO_MOI'!$C$42</f>
        <v>23.333430555555555</v>
      </c>
      <c r="G1123" s="75">
        <f>3.6*F1123</f>
        <v>84.00035</v>
      </c>
      <c r="H1123" s="75">
        <f>'THAM_SO_MOI'!$D$53</f>
        <v>1.1</v>
      </c>
      <c r="I1123" s="75">
        <f>IF(F1123&gt;='THAM_SO_MOI'!$C$14,'THAM_SO_MOI'!$C$13*(1+F1123^2/1500),'THAM_SO_MOI'!$C$13)</f>
        <v>0.020444489814909334</v>
      </c>
      <c r="J1123" s="75">
        <f>'THAM_SO_MOI'!$C$40*('THAM_SO_MOI'!$C$23*(E1123/'THAM_SO_MOI'!$C$22)+'THAM_SO_MOI'!$C$24*(E1123/'THAM_SO_MOI'!$C$22)^2-'THAM_SO_MOI'!$C$25*(E1123/'THAM_SO_MOI'!$C$22)^3)</f>
        <v>103.32816351538484</v>
      </c>
      <c r="K1123" s="75">
        <f>'THAM_SO_MOI'!$C$31*J1123/E1123</f>
        <v>429.2805291151323</v>
      </c>
      <c r="L1123" s="75">
        <f>K1123*'THAM_SO_MOI'!$C$53*'THAM_SO_MOI'!$C$17/'THAM_SO_MOI'!$C$26</f>
        <v>3764.791920100923</v>
      </c>
      <c r="M1123" s="75">
        <f>'THAM_SO_MOI'!$C$15*'THAM_SO_MOI'!$C$16*F1123^2</f>
        <v>1592.513270860981</v>
      </c>
      <c r="N1123" s="75">
        <f>'THAM_SO_MOI'!$C$12*I1123</f>
        <v>1540.3042182471213</v>
      </c>
      <c r="O1123" s="75">
        <f>M1123+N1123</f>
        <v>3132.8174891081026</v>
      </c>
      <c r="P1123" s="75">
        <f>(MIN(L1123,'THAM_SO_MOI'!$C$41)-O1123)/('THAM_SO_MOI'!$C$11*H1123)</f>
        <v>0.07480757942623349</v>
      </c>
      <c r="Q1123" s="75">
        <f>IF(P1123&gt;0,1/P1123,NA())</f>
        <v>13.367629425653096</v>
      </c>
      <c r="R1123" s="75">
        <f>F1123-F1122</f>
        <v>0.0035868055555567935</v>
      </c>
      <c r="S1123" s="75">
        <f>0.5*(Q1122+Q1123)*R1123</f>
        <v>0.0479222515906454</v>
      </c>
      <c r="T1123" s="75">
        <f>0.5*(F1122*Q1122+F1123*Q1123)*R1123</f>
        <v>1.1181046301978346</v>
      </c>
      <c r="U1123" s="76">
        <f>U1122+S1123</f>
        <v>85.63261530507272</v>
      </c>
      <c r="V1123" s="76">
        <f>V1122+T1123</f>
        <v>1425.0461423815154</v>
      </c>
    </row>
    <row r="1124" spans="1:22" ht="19" customHeight="1">
      <c r="A1124" s="68" t="s">
        <v>362</v>
      </c>
      <c r="B1124" s="74">
        <v>5</v>
      </c>
      <c r="C1124" s="68" t="s">
        <v>363</v>
      </c>
      <c r="D1124" s="68" t="s">
        <v>365</v>
      </c>
      <c r="E1124" s="75">
        <f>60*F1124*'THAM_SO_MOI'!$C$53/(2*PI()*'THAM_SO_MOI'!$C$26)</f>
        <v>2299.310342105262</v>
      </c>
      <c r="F1124" s="75">
        <f>'THAM_SO_MOI'!$C$14+('THAM_SO_MOI'!$C$37-'THAM_SO_MOI'!$C$14)*317/'THAM_SO_MOI'!$C$42</f>
        <v>23.33701736111111</v>
      </c>
      <c r="G1124" s="75">
        <f>3.6*F1124</f>
        <v>84.0132625</v>
      </c>
      <c r="H1124" s="75">
        <f>'THAM_SO_MOI'!$D$53</f>
        <v>1.1</v>
      </c>
      <c r="I1124" s="75">
        <f>IF(F1124&gt;='THAM_SO_MOI'!$C$14,'THAM_SO_MOI'!$C$13*(1+F1124^2/1500),'THAM_SO_MOI'!$C$13)</f>
        <v>0.020446163793128014</v>
      </c>
      <c r="J1124" s="75">
        <f>'THAM_SO_MOI'!$C$40*('THAM_SO_MOI'!$C$23*(E1124/'THAM_SO_MOI'!$C$22)+'THAM_SO_MOI'!$C$24*(E1124/'THAM_SO_MOI'!$C$22)^2-'THAM_SO_MOI'!$C$25*(E1124/'THAM_SO_MOI'!$C$22)^3)</f>
        <v>103.3429537509415</v>
      </c>
      <c r="K1124" s="75">
        <f>'THAM_SO_MOI'!$C$31*J1124/E1124</f>
        <v>429.2759875425503</v>
      </c>
      <c r="L1124" s="75">
        <f>K1124*'THAM_SO_MOI'!$C$53*'THAM_SO_MOI'!$C$17/'THAM_SO_MOI'!$C$26</f>
        <v>3764.7520904916073</v>
      </c>
      <c r="M1124" s="75">
        <f>'THAM_SO_MOI'!$C$15*'THAM_SO_MOI'!$C$16*F1124^2</f>
        <v>1593.002909489944</v>
      </c>
      <c r="N1124" s="75">
        <f>'THAM_SO_MOI'!$C$12*I1124</f>
        <v>1540.4303371052993</v>
      </c>
      <c r="O1124" s="75">
        <f>M1124+N1124</f>
        <v>3133.433246595243</v>
      </c>
      <c r="P1124" s="75">
        <f>(MIN(L1124,'THAM_SO_MOI'!$C$41)-O1124)/('THAM_SO_MOI'!$C$11*H1124)</f>
        <v>0.07472997678697495</v>
      </c>
      <c r="Q1124" s="75">
        <f>IF(P1124&gt;0,1/P1124,NA())</f>
        <v>13.381510914296108</v>
      </c>
      <c r="R1124" s="75">
        <f>F1124-F1123</f>
        <v>0.0035868055555532408</v>
      </c>
      <c r="S1124" s="75">
        <f>0.5*(Q1123+Q1124)*R1124</f>
        <v>0.04797198258880155</v>
      </c>
      <c r="T1124" s="75">
        <f>0.5*(F1123*Q1123+F1124*Q1124)*R1124</f>
        <v>1.1194370020818936</v>
      </c>
      <c r="U1124" s="76">
        <f>U1123+S1124</f>
        <v>85.68058728766152</v>
      </c>
      <c r="V1124" s="76">
        <f>V1123+T1124</f>
        <v>1426.1655793835973</v>
      </c>
    </row>
    <row r="1125" spans="1:22" ht="19" customHeight="1">
      <c r="A1125" s="68" t="s">
        <v>362</v>
      </c>
      <c r="B1125" s="74">
        <v>5</v>
      </c>
      <c r="C1125" s="68" t="s">
        <v>363</v>
      </c>
      <c r="D1125" s="68" t="s">
        <v>365</v>
      </c>
      <c r="E1125" s="75">
        <f>60*F1125*'THAM_SO_MOI'!$C$53/(2*PI()*'THAM_SO_MOI'!$C$26)</f>
        <v>2299.6637368421048</v>
      </c>
      <c r="F1125" s="75">
        <f>'THAM_SO_MOI'!$C$14+('THAM_SO_MOI'!$C$37-'THAM_SO_MOI'!$C$14)*318/'THAM_SO_MOI'!$C$42</f>
        <v>23.340604166666665</v>
      </c>
      <c r="G1125" s="75">
        <f>3.6*F1125</f>
        <v>84.026175</v>
      </c>
      <c r="H1125" s="75">
        <f>'THAM_SO_MOI'!$D$53</f>
        <v>1.1</v>
      </c>
      <c r="I1125" s="75">
        <f>IF(F1125&gt;='THAM_SO_MOI'!$C$14,'THAM_SO_MOI'!$C$13*(1+F1125^2/1500),'THAM_SO_MOI'!$C$13)</f>
        <v>0.020447838028650172</v>
      </c>
      <c r="J1125" s="75">
        <f>'THAM_SO_MOI'!$C$40*('THAM_SO_MOI'!$C$23*(E1125/'THAM_SO_MOI'!$C$22)+'THAM_SO_MOI'!$C$24*(E1125/'THAM_SO_MOI'!$C$22)^2-'THAM_SO_MOI'!$C$25*(E1125/'THAM_SO_MOI'!$C$22)^3)</f>
        <v>103.35774073319436</v>
      </c>
      <c r="K1125" s="75">
        <f>'THAM_SO_MOI'!$C$31*J1125/E1125</f>
        <v>429.2714338539841</v>
      </c>
      <c r="L1125" s="75">
        <f>K1125*'THAM_SO_MOI'!$C$53*'THAM_SO_MOI'!$C$17/'THAM_SO_MOI'!$C$26</f>
        <v>3764.7121546250632</v>
      </c>
      <c r="M1125" s="75">
        <f>'THAM_SO_MOI'!$C$15*'THAM_SO_MOI'!$C$16*F1125^2</f>
        <v>1593.4926233801757</v>
      </c>
      <c r="N1125" s="75">
        <f>'THAM_SO_MOI'!$C$12*I1125</f>
        <v>1540.5564753489268</v>
      </c>
      <c r="O1125" s="75">
        <f>M1125+N1125</f>
        <v>3134.0490987291023</v>
      </c>
      <c r="P1125" s="75">
        <f>(MIN(L1125,'THAM_SO_MOI'!$C$41)-O1125)/('THAM_SO_MOI'!$C$11*H1125)</f>
        <v>0.07465235036647262</v>
      </c>
      <c r="Q1125" s="75">
        <f>IF(P1125&gt;0,1/P1125,NA())</f>
        <v>13.395425530354279</v>
      </c>
      <c r="R1125" s="75">
        <f>F1125-F1124</f>
        <v>0.0035868055555567935</v>
      </c>
      <c r="S1125" s="75">
        <f>0.5*(Q1124+Q1125)*R1125</f>
        <v>0.048021832200231596</v>
      </c>
      <c r="T1125" s="75">
        <f>0.5*(F1124*Q1124+F1125*Q1125)*R1125</f>
        <v>1.1207724990099206</v>
      </c>
      <c r="U1125" s="76">
        <f>U1124+S1125</f>
        <v>85.72860911986176</v>
      </c>
      <c r="V1125" s="76">
        <f>V1124+T1125</f>
        <v>1427.2863518826073</v>
      </c>
    </row>
    <row r="1126" spans="1:22" ht="19" customHeight="1">
      <c r="A1126" s="68" t="s">
        <v>362</v>
      </c>
      <c r="B1126" s="74">
        <v>5</v>
      </c>
      <c r="C1126" s="68" t="s">
        <v>363</v>
      </c>
      <c r="D1126" s="68" t="s">
        <v>365</v>
      </c>
      <c r="E1126" s="75">
        <f>60*F1126*'THAM_SO_MOI'!$C$53/(2*PI()*'THAM_SO_MOI'!$C$26)</f>
        <v>2300.0171315789466</v>
      </c>
      <c r="F1126" s="75">
        <f>'THAM_SO_MOI'!$C$14+('THAM_SO_MOI'!$C$37-'THAM_SO_MOI'!$C$14)*319/'THAM_SO_MOI'!$C$42</f>
        <v>23.344190972222222</v>
      </c>
      <c r="G1126" s="75">
        <f>3.6*F1126</f>
        <v>84.03908750000001</v>
      </c>
      <c r="H1126" s="75">
        <f>'THAM_SO_MOI'!$D$53</f>
        <v>1.1</v>
      </c>
      <c r="I1126" s="75">
        <f>IF(F1126&gt;='THAM_SO_MOI'!$C$14,'THAM_SO_MOI'!$C$13*(1+F1126^2/1500),'THAM_SO_MOI'!$C$13)</f>
        <v>0.020449512521475813</v>
      </c>
      <c r="J1126" s="75">
        <f>'THAM_SO_MOI'!$C$40*('THAM_SO_MOI'!$C$23*(E1126/'THAM_SO_MOI'!$C$22)+'THAM_SO_MOI'!$C$24*(E1126/'THAM_SO_MOI'!$C$22)^2-'THAM_SO_MOI'!$C$25*(E1126/'THAM_SO_MOI'!$C$22)^3)</f>
        <v>103.37252446079833</v>
      </c>
      <c r="K1126" s="75">
        <f>'THAM_SO_MOI'!$C$31*J1126/E1126</f>
        <v>429.2668680494332</v>
      </c>
      <c r="L1126" s="75">
        <f>K1126*'THAM_SO_MOI'!$C$53*'THAM_SO_MOI'!$C$17/'THAM_SO_MOI'!$C$26</f>
        <v>3764.6721125012864</v>
      </c>
      <c r="M1126" s="75">
        <f>'THAM_SO_MOI'!$C$15*'THAM_SO_MOI'!$C$16*F1126^2</f>
        <v>1593.9824125316761</v>
      </c>
      <c r="N1126" s="75">
        <f>'THAM_SO_MOI'!$C$12*I1126</f>
        <v>1540.6826329780051</v>
      </c>
      <c r="O1126" s="75">
        <f>M1126+N1126</f>
        <v>3134.6650455096815</v>
      </c>
      <c r="P1126" s="75">
        <f>(MIN(L1126,'THAM_SO_MOI'!$C$41)-O1126)/('THAM_SO_MOI'!$C$11*H1126)</f>
        <v>0.07457470016472596</v>
      </c>
      <c r="Q1126" s="75">
        <f>IF(P1126&gt;0,1/P1126,NA())</f>
        <v>13.409373390588605</v>
      </c>
      <c r="R1126" s="75">
        <f>F1126-F1125</f>
        <v>0.0035868055555567935</v>
      </c>
      <c r="S1126" s="75">
        <f>0.5*(Q1125+Q1126)*R1126</f>
        <v>0.04807180084261034</v>
      </c>
      <c r="T1126" s="75">
        <f>0.5*(F1125*Q1125+F1126*Q1126)*R1126</f>
        <v>1.1221111320077777</v>
      </c>
      <c r="U1126" s="76">
        <f>U1125+S1126</f>
        <v>85.77668092070437</v>
      </c>
      <c r="V1126" s="76">
        <f>V1125+T1126</f>
        <v>1428.408463014615</v>
      </c>
    </row>
    <row r="1127" spans="1:22" ht="19" customHeight="1">
      <c r="A1127" s="68" t="s">
        <v>362</v>
      </c>
      <c r="B1127" s="74">
        <v>5</v>
      </c>
      <c r="C1127" s="68" t="s">
        <v>363</v>
      </c>
      <c r="D1127" s="68" t="s">
        <v>365</v>
      </c>
      <c r="E1127" s="75">
        <f>60*F1127*'THAM_SO_MOI'!$C$53/(2*PI()*'THAM_SO_MOI'!$C$26)</f>
        <v>2300.370526315789</v>
      </c>
      <c r="F1127" s="75">
        <f>'THAM_SO_MOI'!$C$14+('THAM_SO_MOI'!$C$37-'THAM_SO_MOI'!$C$14)*320/'THAM_SO_MOI'!$C$42</f>
        <v>23.347777777777775</v>
      </c>
      <c r="G1127" s="75">
        <f>3.6*F1127</f>
        <v>84.05199999999999</v>
      </c>
      <c r="H1127" s="75">
        <f>'THAM_SO_MOI'!$D$53</f>
        <v>1.1</v>
      </c>
      <c r="I1127" s="75">
        <f>IF(F1127&gt;='THAM_SO_MOI'!$C$14,'THAM_SO_MOI'!$C$13*(1+F1127^2/1500),'THAM_SO_MOI'!$C$13)</f>
        <v>0.020451187271604936</v>
      </c>
      <c r="J1127" s="75">
        <f>'THAM_SO_MOI'!$C$40*('THAM_SO_MOI'!$C$23*(E1127/'THAM_SO_MOI'!$C$22)+'THAM_SO_MOI'!$C$24*(E1127/'THAM_SO_MOI'!$C$22)^2-'THAM_SO_MOI'!$C$25*(E1127/'THAM_SO_MOI'!$C$22)^3)</f>
        <v>103.38730493240864</v>
      </c>
      <c r="K1127" s="75">
        <f>'THAM_SO_MOI'!$C$31*J1127/E1127</f>
        <v>429.2622901288979</v>
      </c>
      <c r="L1127" s="75">
        <f>K1127*'THAM_SO_MOI'!$C$53*'THAM_SO_MOI'!$C$17/'THAM_SO_MOI'!$C$26</f>
        <v>3764.6319641202786</v>
      </c>
      <c r="M1127" s="75">
        <f>'THAM_SO_MOI'!$C$15*'THAM_SO_MOI'!$C$16*F1127^2</f>
        <v>1594.4722769444443</v>
      </c>
      <c r="N1127" s="75">
        <f>'THAM_SO_MOI'!$C$12*I1127</f>
        <v>1540.8088099925333</v>
      </c>
      <c r="O1127" s="75">
        <f>M1127+N1127</f>
        <v>3135.2810869369778</v>
      </c>
      <c r="P1127" s="75">
        <f>(MIN(L1127,'THAM_SO_MOI'!$C$41)-O1127)/('THAM_SO_MOI'!$C$11*H1127)</f>
        <v>0.07449702618173544</v>
      </c>
      <c r="Q1127" s="75">
        <f>IF(P1127&gt;0,1/P1127,NA())</f>
        <v>13.423354612310305</v>
      </c>
      <c r="R1127" s="75">
        <f>F1127-F1126</f>
        <v>0.0035868055555532408</v>
      </c>
      <c r="S1127" s="75">
        <f>0.5*(Q1126+Q1127)*R1127</f>
        <v>0.04812188893572342</v>
      </c>
      <c r="T1127" s="75">
        <f>0.5*(F1126*Q1126+F1127*Q1127)*R1127</f>
        <v>1.1234529121565968</v>
      </c>
      <c r="U1127" s="76">
        <f>U1126+S1127</f>
        <v>85.82480280964009</v>
      </c>
      <c r="V1127" s="76">
        <f>V1126+T1127</f>
        <v>1429.5319159267717</v>
      </c>
    </row>
    <row r="1128" spans="1:22" ht="19" customHeight="1">
      <c r="A1128" s="68" t="s">
        <v>362</v>
      </c>
      <c r="B1128" s="74">
        <v>5</v>
      </c>
      <c r="C1128" s="68" t="s">
        <v>363</v>
      </c>
      <c r="D1128" s="68" t="s">
        <v>365</v>
      </c>
      <c r="E1128" s="75">
        <f>60*F1128*'THAM_SO_MOI'!$C$53/(2*PI()*'THAM_SO_MOI'!$C$26)</f>
        <v>2300.723921052631</v>
      </c>
      <c r="F1128" s="75">
        <f>'THAM_SO_MOI'!$C$14+('THAM_SO_MOI'!$C$37-'THAM_SO_MOI'!$C$14)*321/'THAM_SO_MOI'!$C$42</f>
        <v>23.351364583333332</v>
      </c>
      <c r="G1128" s="75">
        <f>3.6*F1128</f>
        <v>84.06491249999999</v>
      </c>
      <c r="H1128" s="75">
        <f>'THAM_SO_MOI'!$D$53</f>
        <v>1.1</v>
      </c>
      <c r="I1128" s="75">
        <f>IF(F1128&gt;='THAM_SO_MOI'!$C$14,'THAM_SO_MOI'!$C$13*(1+F1128^2/1500),'THAM_SO_MOI'!$C$13)</f>
        <v>0.020452862279037542</v>
      </c>
      <c r="J1128" s="75">
        <f>'THAM_SO_MOI'!$C$40*('THAM_SO_MOI'!$C$23*(E1128/'THAM_SO_MOI'!$C$22)+'THAM_SO_MOI'!$C$24*(E1128/'THAM_SO_MOI'!$C$22)^2-'THAM_SO_MOI'!$C$25*(E1128/'THAM_SO_MOI'!$C$22)^3)</f>
        <v>103.40208214668031</v>
      </c>
      <c r="K1128" s="75">
        <f>'THAM_SO_MOI'!$C$31*J1128/E1128</f>
        <v>429.2577000923781</v>
      </c>
      <c r="L1128" s="75">
        <f>K1128*'THAM_SO_MOI'!$C$53*'THAM_SO_MOI'!$C$17/'THAM_SO_MOI'!$C$26</f>
        <v>3764.5917094820393</v>
      </c>
      <c r="M1128" s="75">
        <f>'THAM_SO_MOI'!$C$15*'THAM_SO_MOI'!$C$16*F1128^2</f>
        <v>1594.9622166184815</v>
      </c>
      <c r="N1128" s="75">
        <f>'THAM_SO_MOI'!$C$12*I1128</f>
        <v>1540.9350063925117</v>
      </c>
      <c r="O1128" s="75">
        <f>M1128+N1128</f>
        <v>3135.897223010993</v>
      </c>
      <c r="P1128" s="75">
        <f>(MIN(L1128,'THAM_SO_MOI'!$C$41)-O1128)/('THAM_SO_MOI'!$C$11*H1128)</f>
        <v>0.07441932841750075</v>
      </c>
      <c r="Q1128" s="75">
        <f>IF(P1128&gt;0,1/P1128,NA())</f>
        <v>13.437369313384398</v>
      </c>
      <c r="R1128" s="75">
        <f>F1128-F1127</f>
        <v>0.0035868055555567935</v>
      </c>
      <c r="S1128" s="75">
        <f>0.5*(Q1127+Q1128)*R1128</f>
        <v>0.04817209690147952</v>
      </c>
      <c r="T1128" s="75">
        <f>0.5*(F1127*Q1127+F1128*Q1128)*R1128</f>
        <v>1.124797850593108</v>
      </c>
      <c r="U1128" s="76">
        <f>U1127+S1128</f>
        <v>85.87297490654157</v>
      </c>
      <c r="V1128" s="76">
        <f>V1127+T1128</f>
        <v>1430.6567137773648</v>
      </c>
    </row>
    <row r="1129" spans="1:22" ht="19" customHeight="1">
      <c r="A1129" s="68" t="s">
        <v>362</v>
      </c>
      <c r="B1129" s="74">
        <v>5</v>
      </c>
      <c r="C1129" s="68" t="s">
        <v>363</v>
      </c>
      <c r="D1129" s="68" t="s">
        <v>365</v>
      </c>
      <c r="E1129" s="75">
        <f>60*F1129*'THAM_SO_MOI'!$C$53/(2*PI()*'THAM_SO_MOI'!$C$26)</f>
        <v>2301.0773157894732</v>
      </c>
      <c r="F1129" s="75">
        <f>'THAM_SO_MOI'!$C$14+('THAM_SO_MOI'!$C$37-'THAM_SO_MOI'!$C$14)*322/'THAM_SO_MOI'!$C$42</f>
        <v>23.35495138888889</v>
      </c>
      <c r="G1129" s="75">
        <f>3.6*F1129</f>
        <v>84.077825</v>
      </c>
      <c r="H1129" s="75">
        <f>'THAM_SO_MOI'!$D$53</f>
        <v>1.1</v>
      </c>
      <c r="I1129" s="75">
        <f>IF(F1129&gt;='THAM_SO_MOI'!$C$14,'THAM_SO_MOI'!$C$13*(1+F1129^2/1500),'THAM_SO_MOI'!$C$13)</f>
        <v>0.02045453754377363</v>
      </c>
      <c r="J1129" s="75">
        <f>'THAM_SO_MOI'!$C$40*('THAM_SO_MOI'!$C$23*(E1129/'THAM_SO_MOI'!$C$22)+'THAM_SO_MOI'!$C$24*(E1129/'THAM_SO_MOI'!$C$22)^2-'THAM_SO_MOI'!$C$25*(E1129/'THAM_SO_MOI'!$C$22)^3)</f>
        <v>103.41685610226855</v>
      </c>
      <c r="K1129" s="75">
        <f>'THAM_SO_MOI'!$C$31*J1129/E1129</f>
        <v>429.25309793987395</v>
      </c>
      <c r="L1129" s="75">
        <f>K1129*'THAM_SO_MOI'!$C$53*'THAM_SO_MOI'!$C$17/'THAM_SO_MOI'!$C$26</f>
        <v>3764.55134858657</v>
      </c>
      <c r="M1129" s="75">
        <f>'THAM_SO_MOI'!$C$15*'THAM_SO_MOI'!$C$16*F1129^2</f>
        <v>1595.452231553787</v>
      </c>
      <c r="N1129" s="75">
        <f>'THAM_SO_MOI'!$C$12*I1129</f>
        <v>1541.0612221779402</v>
      </c>
      <c r="O1129" s="75">
        <f>M1129+N1129</f>
        <v>3136.513453731727</v>
      </c>
      <c r="P1129" s="75">
        <f>(MIN(L1129,'THAM_SO_MOI'!$C$41)-O1129)/('THAM_SO_MOI'!$C$11*H1129)</f>
        <v>0.07434160687202211</v>
      </c>
      <c r="Q1129" s="75">
        <f>IF(P1129&gt;0,1/P1129,NA())</f>
        <v>13.45141761223273</v>
      </c>
      <c r="R1129" s="75">
        <f>F1129-F1128</f>
        <v>0.0035868055555567935</v>
      </c>
      <c r="S1129" s="75">
        <f>0.5*(Q1128+Q1129)*R1129</f>
        <v>0.04822242516349319</v>
      </c>
      <c r="T1129" s="75">
        <f>0.5*(F1128*Q1128+F1129*Q1129)*R1129</f>
        <v>1.126145958499929</v>
      </c>
      <c r="U1129" s="76">
        <f>U1128+S1129</f>
        <v>85.92119733170506</v>
      </c>
      <c r="V1129" s="76">
        <f>V1128+T1129</f>
        <v>1431.7828597358646</v>
      </c>
    </row>
    <row r="1130" spans="1:22" ht="19" customHeight="1">
      <c r="A1130" s="68" t="s">
        <v>362</v>
      </c>
      <c r="B1130" s="74">
        <v>5</v>
      </c>
      <c r="C1130" s="68" t="s">
        <v>363</v>
      </c>
      <c r="D1130" s="68" t="s">
        <v>365</v>
      </c>
      <c r="E1130" s="75">
        <f>60*F1130*'THAM_SO_MOI'!$C$53/(2*PI()*'THAM_SO_MOI'!$C$26)</f>
        <v>2301.4307105263147</v>
      </c>
      <c r="F1130" s="75">
        <f>'THAM_SO_MOI'!$C$14+('THAM_SO_MOI'!$C$37-'THAM_SO_MOI'!$C$14)*323/'THAM_SO_MOI'!$C$42</f>
        <v>23.358538194444442</v>
      </c>
      <c r="G1130" s="75">
        <f>3.6*F1130</f>
        <v>84.09073749999999</v>
      </c>
      <c r="H1130" s="75">
        <f>'THAM_SO_MOI'!$D$53</f>
        <v>1.1</v>
      </c>
      <c r="I1130" s="75">
        <f>IF(F1130&gt;='THAM_SO_MOI'!$C$14,'THAM_SO_MOI'!$C$13*(1+F1130^2/1500),'THAM_SO_MOI'!$C$13)</f>
        <v>0.020456213065813196</v>
      </c>
      <c r="J1130" s="75">
        <f>'THAM_SO_MOI'!$C$40*('THAM_SO_MOI'!$C$23*(E1130/'THAM_SO_MOI'!$C$22)+'THAM_SO_MOI'!$C$24*(E1130/'THAM_SO_MOI'!$C$22)^2-'THAM_SO_MOI'!$C$25*(E1130/'THAM_SO_MOI'!$C$22)^3)</f>
        <v>103.4316267978284</v>
      </c>
      <c r="K1130" s="75">
        <f>'THAM_SO_MOI'!$C$31*J1130/E1130</f>
        <v>429.2484836713854</v>
      </c>
      <c r="L1130" s="75">
        <f>K1130*'THAM_SO_MOI'!$C$53*'THAM_SO_MOI'!$C$17/'THAM_SO_MOI'!$C$26</f>
        <v>3764.5108814338696</v>
      </c>
      <c r="M1130" s="75">
        <f>'THAM_SO_MOI'!$C$15*'THAM_SO_MOI'!$C$16*F1130^2</f>
        <v>1595.9423217503606</v>
      </c>
      <c r="N1130" s="75">
        <f>'THAM_SO_MOI'!$C$12*I1130</f>
        <v>1541.187457348819</v>
      </c>
      <c r="O1130" s="75">
        <f>M1130+N1130</f>
        <v>3137.1297790991794</v>
      </c>
      <c r="P1130" s="75">
        <f>(MIN(L1130,'THAM_SO_MOI'!$C$41)-O1130)/('THAM_SO_MOI'!$C$11*H1130)</f>
        <v>0.07426386154529951</v>
      </c>
      <c r="Q1130" s="75">
        <f>IF(P1130&gt;0,1/P1130,NA())</f>
        <v>13.465499627837415</v>
      </c>
      <c r="R1130" s="75">
        <f>F1130-F1129</f>
        <v>0.0035868055555532408</v>
      </c>
      <c r="S1130" s="75">
        <f>0.5*(Q1129+Q1130)*R1130</f>
        <v>0.0482728741475252</v>
      </c>
      <c r="T1130" s="75">
        <f>0.5*(F1129*Q1129+F1130*Q1130)*R1130</f>
        <v>1.127497247115885</v>
      </c>
      <c r="U1130" s="76">
        <f>U1129+S1130</f>
        <v>85.96947020585259</v>
      </c>
      <c r="V1130" s="76">
        <f>V1129+T1130</f>
        <v>1432.9103569829804</v>
      </c>
    </row>
    <row r="1131" spans="1:22" ht="19" customHeight="1">
      <c r="A1131" s="68" t="s">
        <v>362</v>
      </c>
      <c r="B1131" s="74">
        <v>5</v>
      </c>
      <c r="C1131" s="68" t="s">
        <v>363</v>
      </c>
      <c r="D1131" s="68" t="s">
        <v>365</v>
      </c>
      <c r="E1131" s="75">
        <f>60*F1131*'THAM_SO_MOI'!$C$53/(2*PI()*'THAM_SO_MOI'!$C$26)</f>
        <v>2301.7841052631575</v>
      </c>
      <c r="F1131" s="75">
        <f>'THAM_SO_MOI'!$C$14+('THAM_SO_MOI'!$C$37-'THAM_SO_MOI'!$C$14)*324/'THAM_SO_MOI'!$C$42</f>
        <v>23.362125</v>
      </c>
      <c r="G1131" s="75">
        <f>3.6*F1131</f>
        <v>84.10365</v>
      </c>
      <c r="H1131" s="75">
        <f>'THAM_SO_MOI'!$D$53</f>
        <v>1.1</v>
      </c>
      <c r="I1131" s="75">
        <f>IF(F1131&gt;='THAM_SO_MOI'!$C$14,'THAM_SO_MOI'!$C$13*(1+F1131^2/1500),'THAM_SO_MOI'!$C$13)</f>
        <v>0.020457888845156248</v>
      </c>
      <c r="J1131" s="75">
        <f>'THAM_SO_MOI'!$C$40*('THAM_SO_MOI'!$C$23*(E1131/'THAM_SO_MOI'!$C$22)+'THAM_SO_MOI'!$C$24*(E1131/'THAM_SO_MOI'!$C$22)^2-'THAM_SO_MOI'!$C$25*(E1131/'THAM_SO_MOI'!$C$22)^3)</f>
        <v>103.44639423201501</v>
      </c>
      <c r="K1131" s="75">
        <f>'THAM_SO_MOI'!$C$31*J1131/E1131</f>
        <v>429.2438572869122</v>
      </c>
      <c r="L1131" s="75">
        <f>K1131*'THAM_SO_MOI'!$C$53*'THAM_SO_MOI'!$C$17/'THAM_SO_MOI'!$C$26</f>
        <v>3764.470308023937</v>
      </c>
      <c r="M1131" s="75">
        <f>'THAM_SO_MOI'!$C$15*'THAM_SO_MOI'!$C$16*F1131^2</f>
        <v>1596.432487208203</v>
      </c>
      <c r="N1131" s="75">
        <f>'THAM_SO_MOI'!$C$12*I1131</f>
        <v>1541.3137119051478</v>
      </c>
      <c r="O1131" s="75">
        <f>M1131+N1131</f>
        <v>3137.7461991133505</v>
      </c>
      <c r="P1131" s="75">
        <f>(MIN(L1131,'THAM_SO_MOI'!$C$41)-O1131)/('THAM_SO_MOI'!$C$11*H1131)</f>
        <v>0.07418609243733265</v>
      </c>
      <c r="Q1131" s="75">
        <f>IF(P1131&gt;0,1/P1131,NA())</f>
        <v>13.479615479744155</v>
      </c>
      <c r="R1131" s="75">
        <f>F1131-F1130</f>
        <v>0.0035868055555567935</v>
      </c>
      <c r="S1131" s="75">
        <f>0.5*(Q1130+Q1131)*R1131</f>
        <v>0.04832344428149543</v>
      </c>
      <c r="T1131" s="75">
        <f>0.5*(F1130*Q1130+F1131*Q1131)*R1131</f>
        <v>1.1288517277363481</v>
      </c>
      <c r="U1131" s="76">
        <f>U1130+S1131</f>
        <v>86.01779365013408</v>
      </c>
      <c r="V1131" s="76">
        <f>V1130+T1131</f>
        <v>1434.0392087107168</v>
      </c>
    </row>
    <row r="1132" spans="1:22" ht="19" customHeight="1">
      <c r="A1132" s="68" t="s">
        <v>362</v>
      </c>
      <c r="B1132" s="74">
        <v>5</v>
      </c>
      <c r="C1132" s="68" t="s">
        <v>363</v>
      </c>
      <c r="D1132" s="68" t="s">
        <v>365</v>
      </c>
      <c r="E1132" s="75">
        <f>60*F1132*'THAM_SO_MOI'!$C$53/(2*PI()*'THAM_SO_MOI'!$C$26)</f>
        <v>2302.1374999999994</v>
      </c>
      <c r="F1132" s="75">
        <f>'THAM_SO_MOI'!$C$14+('THAM_SO_MOI'!$C$37-'THAM_SO_MOI'!$C$14)*325/'THAM_SO_MOI'!$C$42</f>
        <v>23.365711805555556</v>
      </c>
      <c r="G1132" s="75">
        <f>3.6*F1132</f>
        <v>84.1165625</v>
      </c>
      <c r="H1132" s="75">
        <f>'THAM_SO_MOI'!$D$53</f>
        <v>1.1</v>
      </c>
      <c r="I1132" s="75">
        <f>IF(F1132&gt;='THAM_SO_MOI'!$C$14,'THAM_SO_MOI'!$C$13*(1+F1132^2/1500),'THAM_SO_MOI'!$C$13)</f>
        <v>0.02045956488180278</v>
      </c>
      <c r="J1132" s="75">
        <f>'THAM_SO_MOI'!$C$40*('THAM_SO_MOI'!$C$23*(E1132/'THAM_SO_MOI'!$C$22)+'THAM_SO_MOI'!$C$24*(E1132/'THAM_SO_MOI'!$C$22)^2-'THAM_SO_MOI'!$C$25*(E1132/'THAM_SO_MOI'!$C$22)^3)</f>
        <v>103.46115840348347</v>
      </c>
      <c r="K1132" s="75">
        <f>'THAM_SO_MOI'!$C$31*J1132/E1132</f>
        <v>429.2392187864548</v>
      </c>
      <c r="L1132" s="75">
        <f>K1132*'THAM_SO_MOI'!$C$53*'THAM_SO_MOI'!$C$17/'THAM_SO_MOI'!$C$26</f>
        <v>3764.4296283567755</v>
      </c>
      <c r="M1132" s="75">
        <f>'THAM_SO_MOI'!$C$15*'THAM_SO_MOI'!$C$16*F1132^2</f>
        <v>1596.922727927314</v>
      </c>
      <c r="N1132" s="75">
        <f>'THAM_SO_MOI'!$C$12*I1132</f>
        <v>1541.439985846927</v>
      </c>
      <c r="O1132" s="75">
        <f>M1132+N1132</f>
        <v>3138.362713774241</v>
      </c>
      <c r="P1132" s="75">
        <f>(MIN(L1132,'THAM_SO_MOI'!$C$41)-O1132)/('THAM_SO_MOI'!$C$11*H1132)</f>
        <v>0.07410829954812198</v>
      </c>
      <c r="Q1132" s="75">
        <f>IF(P1132&gt;0,1/P1132,NA())</f>
        <v>13.493765288065385</v>
      </c>
      <c r="R1132" s="75">
        <f>F1132-F1131</f>
        <v>0.0035868055555567935</v>
      </c>
      <c r="S1132" s="75">
        <f>0.5*(Q1131+Q1132)*R1132</f>
        <v>0.04837413599506401</v>
      </c>
      <c r="T1132" s="75">
        <f>0.5*(F1131*Q1131+F1132*Q1132)*R1132</f>
        <v>1.1302094117034878</v>
      </c>
      <c r="U1132" s="76">
        <f>U1131+S1132</f>
        <v>86.06616778612914</v>
      </c>
      <c r="V1132" s="76">
        <f>V1131+T1132</f>
        <v>1435.1694181224202</v>
      </c>
    </row>
    <row r="1133" spans="1:22" ht="19" customHeight="1">
      <c r="A1133" s="68" t="s">
        <v>362</v>
      </c>
      <c r="B1133" s="74">
        <v>5</v>
      </c>
      <c r="C1133" s="68" t="s">
        <v>363</v>
      </c>
      <c r="D1133" s="68" t="s">
        <v>365</v>
      </c>
      <c r="E1133" s="75">
        <f>60*F1133*'THAM_SO_MOI'!$C$53/(2*PI()*'THAM_SO_MOI'!$C$26)</f>
        <v>2302.4908947368417</v>
      </c>
      <c r="F1133" s="75">
        <f>'THAM_SO_MOI'!$C$14+('THAM_SO_MOI'!$C$37-'THAM_SO_MOI'!$C$14)*326/'THAM_SO_MOI'!$C$42</f>
        <v>23.36929861111111</v>
      </c>
      <c r="G1133" s="75">
        <f>3.6*F1133</f>
        <v>84.129475</v>
      </c>
      <c r="H1133" s="75">
        <f>'THAM_SO_MOI'!$D$53</f>
        <v>1.1</v>
      </c>
      <c r="I1133" s="75">
        <f>IF(F1133&gt;='THAM_SO_MOI'!$C$14,'THAM_SO_MOI'!$C$13*(1+F1133^2/1500),'THAM_SO_MOI'!$C$13)</f>
        <v>0.020461241175752796</v>
      </c>
      <c r="J1133" s="75">
        <f>'THAM_SO_MOI'!$C$40*('THAM_SO_MOI'!$C$23*(E1133/'THAM_SO_MOI'!$C$22)+'THAM_SO_MOI'!$C$24*(E1133/'THAM_SO_MOI'!$C$22)^2-'THAM_SO_MOI'!$C$25*(E1133/'THAM_SO_MOI'!$C$22)^3)</f>
        <v>103.4759193108889</v>
      </c>
      <c r="K1133" s="75">
        <f>'THAM_SO_MOI'!$C$31*J1133/E1133</f>
        <v>429.2345681700128</v>
      </c>
      <c r="L1133" s="75">
        <f>K1133*'THAM_SO_MOI'!$C$53*'THAM_SO_MOI'!$C$17/'THAM_SO_MOI'!$C$26</f>
        <v>3764.3888424323804</v>
      </c>
      <c r="M1133" s="75">
        <f>'THAM_SO_MOI'!$C$15*'THAM_SO_MOI'!$C$16*F1133^2</f>
        <v>1597.4130439076928</v>
      </c>
      <c r="N1133" s="75">
        <f>'THAM_SO_MOI'!$C$12*I1133</f>
        <v>1541.5662791741563</v>
      </c>
      <c r="O1133" s="75">
        <f>M1133+N1133</f>
        <v>3138.979323081849</v>
      </c>
      <c r="P1133" s="75">
        <f>(MIN(L1133,'THAM_SO_MOI'!$C$41)-O1133)/('THAM_SO_MOI'!$C$11*H1133)</f>
        <v>0.07403048287766709</v>
      </c>
      <c r="Q1133" s="75">
        <f>IF(P1133&gt;0,1/P1133,NA())</f>
        <v>13.507949173483938</v>
      </c>
      <c r="R1133" s="75">
        <f>F1133-F1132</f>
        <v>0.0035868055555532408</v>
      </c>
      <c r="S1133" s="75">
        <f>0.5*(Q1132+Q1133)*R1133</f>
        <v>0.0484249497200737</v>
      </c>
      <c r="T1133" s="75">
        <f>0.5*(F1132*Q1132+F1133*Q1133)*R1133</f>
        <v>1.1315703104166406</v>
      </c>
      <c r="U1133" s="76">
        <f>U1132+S1133</f>
        <v>86.11459273584921</v>
      </c>
      <c r="V1133" s="76">
        <f>V1132+T1133</f>
        <v>1436.300988432837</v>
      </c>
    </row>
    <row r="1134" spans="1:22" ht="19" customHeight="1">
      <c r="A1134" s="68" t="s">
        <v>362</v>
      </c>
      <c r="B1134" s="74">
        <v>5</v>
      </c>
      <c r="C1134" s="68" t="s">
        <v>363</v>
      </c>
      <c r="D1134" s="68" t="s">
        <v>365</v>
      </c>
      <c r="E1134" s="75">
        <f>60*F1134*'THAM_SO_MOI'!$C$53/(2*PI()*'THAM_SO_MOI'!$C$26)</f>
        <v>2302.8442894736836</v>
      </c>
      <c r="F1134" s="75">
        <f>'THAM_SO_MOI'!$C$14+('THAM_SO_MOI'!$C$37-'THAM_SO_MOI'!$C$14)*327/'THAM_SO_MOI'!$C$42</f>
        <v>23.372885416666666</v>
      </c>
      <c r="G1134" s="75">
        <f>3.6*F1134</f>
        <v>84.1423875</v>
      </c>
      <c r="H1134" s="75">
        <f>'THAM_SO_MOI'!$D$53</f>
        <v>1.1</v>
      </c>
      <c r="I1134" s="75">
        <f>IF(F1134&gt;='THAM_SO_MOI'!$C$14,'THAM_SO_MOI'!$C$13*(1+F1134^2/1500),'THAM_SO_MOI'!$C$13)</f>
        <v>0.020462917727006293</v>
      </c>
      <c r="J1134" s="75">
        <f>'THAM_SO_MOI'!$C$40*('THAM_SO_MOI'!$C$23*(E1134/'THAM_SO_MOI'!$C$22)+'THAM_SO_MOI'!$C$24*(E1134/'THAM_SO_MOI'!$C$22)^2-'THAM_SO_MOI'!$C$25*(E1134/'THAM_SO_MOI'!$C$22)^3)</f>
        <v>103.49067695288636</v>
      </c>
      <c r="K1134" s="75">
        <f>'THAM_SO_MOI'!$C$31*J1134/E1134</f>
        <v>429.2299054375863</v>
      </c>
      <c r="L1134" s="75">
        <f>K1134*'THAM_SO_MOI'!$C$53*'THAM_SO_MOI'!$C$17/'THAM_SO_MOI'!$C$26</f>
        <v>3764.3479502507553</v>
      </c>
      <c r="M1134" s="75">
        <f>'THAM_SO_MOI'!$C$15*'THAM_SO_MOI'!$C$16*F1134^2</f>
        <v>1597.9034351493408</v>
      </c>
      <c r="N1134" s="75">
        <f>'THAM_SO_MOI'!$C$12*I1134</f>
        <v>1541.6925918868358</v>
      </c>
      <c r="O1134" s="75">
        <f>M1134+N1134</f>
        <v>3139.5960270361766</v>
      </c>
      <c r="P1134" s="75">
        <f>(MIN(L1134,'THAM_SO_MOI'!$C$41)-O1134)/('THAM_SO_MOI'!$C$11*H1134)</f>
        <v>0.0739526424259681</v>
      </c>
      <c r="Q1134" s="75">
        <f>IF(P1134&gt;0,1/P1134,NA())</f>
        <v>13.52216725725618</v>
      </c>
      <c r="R1134" s="75">
        <f>F1134-F1133</f>
        <v>0.0035868055555567935</v>
      </c>
      <c r="S1134" s="75">
        <f>0.5*(Q1133+Q1134)*R1134</f>
        <v>0.048475885890562814</v>
      </c>
      <c r="T1134" s="75">
        <f>0.5*(F1133*Q1133+F1134*Q1134)*R1134</f>
        <v>1.1329344353326523</v>
      </c>
      <c r="U1134" s="76">
        <f>U1133+S1134</f>
        <v>86.16306862173978</v>
      </c>
      <c r="V1134" s="76">
        <f>V1133+T1134</f>
        <v>1437.4339228681695</v>
      </c>
    </row>
    <row r="1135" spans="1:22" ht="19" customHeight="1">
      <c r="A1135" s="68" t="s">
        <v>362</v>
      </c>
      <c r="B1135" s="74">
        <v>5</v>
      </c>
      <c r="C1135" s="68" t="s">
        <v>363</v>
      </c>
      <c r="D1135" s="68" t="s">
        <v>365</v>
      </c>
      <c r="E1135" s="75">
        <f>60*F1135*'THAM_SO_MOI'!$C$53/(2*PI()*'THAM_SO_MOI'!$C$26)</f>
        <v>2303.197684210526</v>
      </c>
      <c r="F1135" s="75">
        <f>'THAM_SO_MOI'!$C$14+('THAM_SO_MOI'!$C$37-'THAM_SO_MOI'!$C$14)*328/'THAM_SO_MOI'!$C$42</f>
        <v>23.376472222222223</v>
      </c>
      <c r="G1135" s="75">
        <f>3.6*F1135</f>
        <v>84.1553</v>
      </c>
      <c r="H1135" s="75">
        <f>'THAM_SO_MOI'!$D$53</f>
        <v>1.1</v>
      </c>
      <c r="I1135" s="75">
        <f>IF(F1135&gt;='THAM_SO_MOI'!$C$14,'THAM_SO_MOI'!$C$13*(1+F1135^2/1500),'THAM_SO_MOI'!$C$13)</f>
        <v>0.02046459453556327</v>
      </c>
      <c r="J1135" s="75">
        <f>'THAM_SO_MOI'!$C$40*('THAM_SO_MOI'!$C$23*(E1135/'THAM_SO_MOI'!$C$22)+'THAM_SO_MOI'!$C$24*(E1135/'THAM_SO_MOI'!$C$22)^2-'THAM_SO_MOI'!$C$25*(E1135/'THAM_SO_MOI'!$C$22)^3)</f>
        <v>103.505431328131</v>
      </c>
      <c r="K1135" s="75">
        <f>'THAM_SO_MOI'!$C$31*J1135/E1135</f>
        <v>429.2252305891752</v>
      </c>
      <c r="L1135" s="75">
        <f>K1135*'THAM_SO_MOI'!$C$53*'THAM_SO_MOI'!$C$17/'THAM_SO_MOI'!$C$26</f>
        <v>3764.3069518118978</v>
      </c>
      <c r="M1135" s="75">
        <f>'THAM_SO_MOI'!$C$15*'THAM_SO_MOI'!$C$16*F1135^2</f>
        <v>1598.393901652257</v>
      </c>
      <c r="N1135" s="75">
        <f>'THAM_SO_MOI'!$C$12*I1135</f>
        <v>1541.8189239849653</v>
      </c>
      <c r="O1135" s="75">
        <f>M1135+N1135</f>
        <v>3140.2128256372225</v>
      </c>
      <c r="P1135" s="75">
        <f>(MIN(L1135,'THAM_SO_MOI'!$C$41)-O1135)/('THAM_SO_MOI'!$C$11*H1135)</f>
        <v>0.07387477819302506</v>
      </c>
      <c r="Q1135" s="75">
        <f>IF(P1135&gt;0,1/P1135,NA())</f>
        <v>13.536419661215522</v>
      </c>
      <c r="R1135" s="75">
        <f>F1135-F1134</f>
        <v>0.0035868055555567935</v>
      </c>
      <c r="S1135" s="75">
        <f>0.5*(Q1134+Q1135)*R1135</f>
        <v>0.04852694494234534</v>
      </c>
      <c r="T1135" s="75">
        <f>0.5*(F1134*Q1134+F1135*Q1135)*R1135</f>
        <v>1.134301797956101</v>
      </c>
      <c r="U1135" s="76">
        <f>U1134+S1135</f>
        <v>86.21159556668212</v>
      </c>
      <c r="V1135" s="76">
        <f>V1134+T1135</f>
        <v>1438.5682246661256</v>
      </c>
    </row>
    <row r="1136" spans="1:22" ht="19" customHeight="1">
      <c r="A1136" s="68" t="s">
        <v>362</v>
      </c>
      <c r="B1136" s="74">
        <v>5</v>
      </c>
      <c r="C1136" s="68" t="s">
        <v>363</v>
      </c>
      <c r="D1136" s="68" t="s">
        <v>365</v>
      </c>
      <c r="E1136" s="75">
        <f>60*F1136*'THAM_SO_MOI'!$C$53/(2*PI()*'THAM_SO_MOI'!$C$26)</f>
        <v>2303.551078947368</v>
      </c>
      <c r="F1136" s="75">
        <f>'THAM_SO_MOI'!$C$14+('THAM_SO_MOI'!$C$37-'THAM_SO_MOI'!$C$14)*329/'THAM_SO_MOI'!$C$42</f>
        <v>23.380059027777776</v>
      </c>
      <c r="G1136" s="75">
        <f>3.6*F1136</f>
        <v>84.1682125</v>
      </c>
      <c r="H1136" s="75">
        <f>'THAM_SO_MOI'!$D$53</f>
        <v>1.1</v>
      </c>
      <c r="I1136" s="75">
        <f>IF(F1136&gt;='THAM_SO_MOI'!$C$14,'THAM_SO_MOI'!$C$13*(1+F1136^2/1500),'THAM_SO_MOI'!$C$13)</f>
        <v>0.020466271601423728</v>
      </c>
      <c r="J1136" s="75">
        <f>'THAM_SO_MOI'!$C$40*('THAM_SO_MOI'!$C$23*(E1136/'THAM_SO_MOI'!$C$22)+'THAM_SO_MOI'!$C$24*(E1136/'THAM_SO_MOI'!$C$22)^2-'THAM_SO_MOI'!$C$25*(E1136/'THAM_SO_MOI'!$C$22)^3)</f>
        <v>103.52018243527793</v>
      </c>
      <c r="K1136" s="75">
        <f>'THAM_SO_MOI'!$C$31*J1136/E1136</f>
        <v>429.2205436247798</v>
      </c>
      <c r="L1136" s="75">
        <f>K1136*'THAM_SO_MOI'!$C$53*'THAM_SO_MOI'!$C$17/'THAM_SO_MOI'!$C$26</f>
        <v>3764.26584711581</v>
      </c>
      <c r="M1136" s="75">
        <f>'THAM_SO_MOI'!$C$15*'THAM_SO_MOI'!$C$16*F1136^2</f>
        <v>1598.8844434164414</v>
      </c>
      <c r="N1136" s="75">
        <f>'THAM_SO_MOI'!$C$12*I1136</f>
        <v>1541.9452754685449</v>
      </c>
      <c r="O1136" s="75">
        <f>M1136+N1136</f>
        <v>3140.8297188849865</v>
      </c>
      <c r="P1136" s="75">
        <f>(MIN(L1136,'THAM_SO_MOI'!$C$41)-O1136)/('THAM_SO_MOI'!$C$11*H1136)</f>
        <v>0.07379689017883809</v>
      </c>
      <c r="Q1136" s="75">
        <f>IF(P1136&gt;0,1/P1136,NA())</f>
        <v>13.550706507775837</v>
      </c>
      <c r="R1136" s="75">
        <f>F1136-F1135</f>
        <v>0.0035868055555532408</v>
      </c>
      <c r="S1136" s="75">
        <f>0.5*(Q1135+Q1136)*R1136</f>
        <v>0.04857812731345489</v>
      </c>
      <c r="T1136" s="75">
        <f>0.5*(F1135*Q1135+F1136*Q1136)*R1136</f>
        <v>1.1356724098497082</v>
      </c>
      <c r="U1136" s="76">
        <f>U1135+S1136</f>
        <v>86.26017369399557</v>
      </c>
      <c r="V1136" s="76">
        <f>V1135+T1136</f>
        <v>1439.7038970759754</v>
      </c>
    </row>
    <row r="1137" spans="1:22" ht="19" customHeight="1">
      <c r="A1137" s="68" t="s">
        <v>362</v>
      </c>
      <c r="B1137" s="74">
        <v>5</v>
      </c>
      <c r="C1137" s="68" t="s">
        <v>363</v>
      </c>
      <c r="D1137" s="68" t="s">
        <v>365</v>
      </c>
      <c r="E1137" s="75">
        <f>60*F1137*'THAM_SO_MOI'!$C$53/(2*PI()*'THAM_SO_MOI'!$C$26)</f>
        <v>2303.9044736842097</v>
      </c>
      <c r="F1137" s="75">
        <f>'THAM_SO_MOI'!$C$14+('THAM_SO_MOI'!$C$37-'THAM_SO_MOI'!$C$14)*330/'THAM_SO_MOI'!$C$42</f>
        <v>23.383645833333333</v>
      </c>
      <c r="G1137" s="75">
        <f>3.6*F1137</f>
        <v>84.181125</v>
      </c>
      <c r="H1137" s="75">
        <f>'THAM_SO_MOI'!$D$53</f>
        <v>1.1</v>
      </c>
      <c r="I1137" s="75">
        <f>IF(F1137&gt;='THAM_SO_MOI'!$C$14,'THAM_SO_MOI'!$C$13*(1+F1137^2/1500),'THAM_SO_MOI'!$C$13)</f>
        <v>0.020467948924587673</v>
      </c>
      <c r="J1137" s="75">
        <f>'THAM_SO_MOI'!$C$40*('THAM_SO_MOI'!$C$23*(E1137/'THAM_SO_MOI'!$C$22)+'THAM_SO_MOI'!$C$24*(E1137/'THAM_SO_MOI'!$C$22)^2-'THAM_SO_MOI'!$C$25*(E1137/'THAM_SO_MOI'!$C$22)^3)</f>
        <v>103.53493027298228</v>
      </c>
      <c r="K1137" s="75">
        <f>'THAM_SO_MOI'!$C$31*J1137/E1137</f>
        <v>429.21584454439994</v>
      </c>
      <c r="L1137" s="75">
        <f>K1137*'THAM_SO_MOI'!$C$53*'THAM_SO_MOI'!$C$17/'THAM_SO_MOI'!$C$26</f>
        <v>3764.2246361624916</v>
      </c>
      <c r="M1137" s="75">
        <f>'THAM_SO_MOI'!$C$15*'THAM_SO_MOI'!$C$16*F1137^2</f>
        <v>1599.3750604418947</v>
      </c>
      <c r="N1137" s="75">
        <f>'THAM_SO_MOI'!$C$12*I1137</f>
        <v>1542.071646337575</v>
      </c>
      <c r="O1137" s="75">
        <f>M1137+N1137</f>
        <v>3141.4467067794694</v>
      </c>
      <c r="P1137" s="75">
        <f>(MIN(L1137,'THAM_SO_MOI'!$C$41)-O1137)/('THAM_SO_MOI'!$C$11*H1137)</f>
        <v>0.07371897838340695</v>
      </c>
      <c r="Q1137" s="75">
        <f>IF(P1137&gt;0,1/P1137,NA())</f>
        <v>13.565027919935</v>
      </c>
      <c r="R1137" s="75">
        <f>F1137-F1136</f>
        <v>0.0035868055555567935</v>
      </c>
      <c r="S1137" s="75">
        <f>0.5*(Q1136+Q1137)*R1137</f>
        <v>0.04862943344415792</v>
      </c>
      <c r="T1137" s="75">
        <f>0.5*(F1136*Q1136+F1137*Q1137)*R1137</f>
        <v>1.1370462826346885</v>
      </c>
      <c r="U1137" s="76">
        <f>U1136+S1137</f>
        <v>86.30880312743973</v>
      </c>
      <c r="V1137" s="76">
        <f>V1136+T1137</f>
        <v>1440.84094335861</v>
      </c>
    </row>
    <row r="1138" spans="1:22" ht="19" customHeight="1">
      <c r="A1138" s="68" t="s">
        <v>362</v>
      </c>
      <c r="B1138" s="74">
        <v>5</v>
      </c>
      <c r="C1138" s="68" t="s">
        <v>363</v>
      </c>
      <c r="D1138" s="68" t="s">
        <v>365</v>
      </c>
      <c r="E1138" s="75">
        <f>60*F1138*'THAM_SO_MOI'!$C$53/(2*PI()*'THAM_SO_MOI'!$C$26)</f>
        <v>2304.257868421052</v>
      </c>
      <c r="F1138" s="75">
        <f>'THAM_SO_MOI'!$C$14+('THAM_SO_MOI'!$C$37-'THAM_SO_MOI'!$C$14)*331/'THAM_SO_MOI'!$C$42</f>
        <v>23.38723263888889</v>
      </c>
      <c r="G1138" s="75">
        <f>3.6*F1138</f>
        <v>84.19403750000001</v>
      </c>
      <c r="H1138" s="75">
        <f>'THAM_SO_MOI'!$D$53</f>
        <v>1.1</v>
      </c>
      <c r="I1138" s="75">
        <f>IF(F1138&gt;='THAM_SO_MOI'!$C$14,'THAM_SO_MOI'!$C$13*(1+F1138^2/1500),'THAM_SO_MOI'!$C$13)</f>
        <v>0.020469626505055096</v>
      </c>
      <c r="J1138" s="75">
        <f>'THAM_SO_MOI'!$C$40*('THAM_SO_MOI'!$C$23*(E1138/'THAM_SO_MOI'!$C$22)+'THAM_SO_MOI'!$C$24*(E1138/'THAM_SO_MOI'!$C$22)^2-'THAM_SO_MOI'!$C$25*(E1138/'THAM_SO_MOI'!$C$22)^3)</f>
        <v>103.54967483989914</v>
      </c>
      <c r="K1138" s="75">
        <f>'THAM_SO_MOI'!$C$31*J1138/E1138</f>
        <v>429.2111333480356</v>
      </c>
      <c r="L1138" s="75">
        <f>K1138*'THAM_SO_MOI'!$C$53*'THAM_SO_MOI'!$C$17/'THAM_SO_MOI'!$C$26</f>
        <v>3764.183318951942</v>
      </c>
      <c r="M1138" s="75">
        <f>'THAM_SO_MOI'!$C$15*'THAM_SO_MOI'!$C$16*F1138^2</f>
        <v>1599.8657527286161</v>
      </c>
      <c r="N1138" s="75">
        <f>'THAM_SO_MOI'!$C$12*I1138</f>
        <v>1542.1980365920551</v>
      </c>
      <c r="O1138" s="75">
        <f>M1138+N1138</f>
        <v>3142.0637893206713</v>
      </c>
      <c r="P1138" s="75">
        <f>(MIN(L1138,'THAM_SO_MOI'!$C$41)-O1138)/('THAM_SO_MOI'!$C$11*H1138)</f>
        <v>0.0736410428067319</v>
      </c>
      <c r="Q1138" s="75">
        <f>IF(P1138&gt;0,1/P1138,NA())</f>
        <v>13.579384021278214</v>
      </c>
      <c r="R1138" s="75">
        <f>F1138-F1137</f>
        <v>0.0035868055555567935</v>
      </c>
      <c r="S1138" s="75">
        <f>0.5*(Q1137+Q1138)*R1138</f>
        <v>0.048680863776532864</v>
      </c>
      <c r="T1138" s="75">
        <f>0.5*(F1137*Q1137+F1138*Q1138)*R1138</f>
        <v>1.1384234279809473</v>
      </c>
      <c r="U1138" s="76">
        <f>U1137+S1138</f>
        <v>86.35748399121627</v>
      </c>
      <c r="V1138" s="76">
        <f>V1137+T1138</f>
        <v>1441.979366786591</v>
      </c>
    </row>
    <row r="1139" spans="1:22" ht="19" customHeight="1">
      <c r="A1139" s="68" t="s">
        <v>362</v>
      </c>
      <c r="B1139" s="74">
        <v>5</v>
      </c>
      <c r="C1139" s="68" t="s">
        <v>363</v>
      </c>
      <c r="D1139" s="68" t="s">
        <v>365</v>
      </c>
      <c r="E1139" s="75">
        <f>60*F1139*'THAM_SO_MOI'!$C$53/(2*PI()*'THAM_SO_MOI'!$C$26)</f>
        <v>2304.611263157894</v>
      </c>
      <c r="F1139" s="75">
        <f>'THAM_SO_MOI'!$C$14+('THAM_SO_MOI'!$C$37-'THAM_SO_MOI'!$C$14)*332/'THAM_SO_MOI'!$C$42</f>
        <v>23.390819444444443</v>
      </c>
      <c r="G1139" s="75">
        <f>3.6*F1139</f>
        <v>84.20694999999999</v>
      </c>
      <c r="H1139" s="75">
        <f>'THAM_SO_MOI'!$D$53</f>
        <v>1.1</v>
      </c>
      <c r="I1139" s="75">
        <f>IF(F1139&gt;='THAM_SO_MOI'!$C$14,'THAM_SO_MOI'!$C$13*(1+F1139^2/1500),'THAM_SO_MOI'!$C$13)</f>
        <v>0.020471304342826003</v>
      </c>
      <c r="J1139" s="75">
        <f>'THAM_SO_MOI'!$C$40*('THAM_SO_MOI'!$C$23*(E1139/'THAM_SO_MOI'!$C$22)+'THAM_SO_MOI'!$C$24*(E1139/'THAM_SO_MOI'!$C$22)^2-'THAM_SO_MOI'!$C$25*(E1139/'THAM_SO_MOI'!$C$22)^3)</f>
        <v>103.56441613468363</v>
      </c>
      <c r="K1139" s="75">
        <f>'THAM_SO_MOI'!$C$31*J1139/E1139</f>
        <v>429.2064100356869</v>
      </c>
      <c r="L1139" s="75">
        <f>K1139*'THAM_SO_MOI'!$C$53*'THAM_SO_MOI'!$C$17/'THAM_SO_MOI'!$C$26</f>
        <v>3764.141895484161</v>
      </c>
      <c r="M1139" s="75">
        <f>'THAM_SO_MOI'!$C$15*'THAM_SO_MOI'!$C$16*F1139^2</f>
        <v>1600.3565202766058</v>
      </c>
      <c r="N1139" s="75">
        <f>'THAM_SO_MOI'!$C$12*I1139</f>
        <v>1542.3244462319853</v>
      </c>
      <c r="O1139" s="75">
        <f>M1139+N1139</f>
        <v>3142.680966508591</v>
      </c>
      <c r="P1139" s="75">
        <f>(MIN(L1139,'THAM_SO_MOI'!$C$41)-O1139)/('THAM_SO_MOI'!$C$11*H1139)</f>
        <v>0.07356308344881272</v>
      </c>
      <c r="Q1139" s="75">
        <f>IF(P1139&gt;0,1/P1139,NA())</f>
        <v>13.593774935981692</v>
      </c>
      <c r="R1139" s="75">
        <f>F1139-F1138</f>
        <v>0.0035868055555532408</v>
      </c>
      <c r="S1139" s="75">
        <f>0.5*(Q1138+Q1139)*R1139</f>
        <v>0.048732418754915574</v>
      </c>
      <c r="T1139" s="75">
        <f>0.5*(F1138*Q1138+F1139*Q1139)*R1139</f>
        <v>1.1398038576175311</v>
      </c>
      <c r="U1139" s="76">
        <f>U1138+S1139</f>
        <v>86.40621640997118</v>
      </c>
      <c r="V1139" s="76">
        <f>V1138+T1139</f>
        <v>1443.1191706442087</v>
      </c>
    </row>
    <row r="1140" spans="1:22" ht="19" customHeight="1">
      <c r="A1140" s="68" t="s">
        <v>362</v>
      </c>
      <c r="B1140" s="74">
        <v>5</v>
      </c>
      <c r="C1140" s="68" t="s">
        <v>363</v>
      </c>
      <c r="D1140" s="68" t="s">
        <v>365</v>
      </c>
      <c r="E1140" s="75">
        <f>60*F1140*'THAM_SO_MOI'!$C$53/(2*PI()*'THAM_SO_MOI'!$C$26)</f>
        <v>2304.9646578947363</v>
      </c>
      <c r="F1140" s="75">
        <f>'THAM_SO_MOI'!$C$14+('THAM_SO_MOI'!$C$37-'THAM_SO_MOI'!$C$14)*333/'THAM_SO_MOI'!$C$42</f>
        <v>23.39440625</v>
      </c>
      <c r="G1140" s="75">
        <f>3.6*F1140</f>
        <v>84.2198625</v>
      </c>
      <c r="H1140" s="75">
        <f>'THAM_SO_MOI'!$D$53</f>
        <v>1.1</v>
      </c>
      <c r="I1140" s="75">
        <f>IF(F1140&gt;='THAM_SO_MOI'!$C$14,'THAM_SO_MOI'!$C$13*(1+F1140^2/1500),'THAM_SO_MOI'!$C$13)</f>
        <v>0.020472982437900387</v>
      </c>
      <c r="J1140" s="75">
        <f>'THAM_SO_MOI'!$C$40*('THAM_SO_MOI'!$C$23*(E1140/'THAM_SO_MOI'!$C$22)+'THAM_SO_MOI'!$C$24*(E1140/'THAM_SO_MOI'!$C$22)^2-'THAM_SO_MOI'!$C$25*(E1140/'THAM_SO_MOI'!$C$22)^3)</f>
        <v>103.57915415599089</v>
      </c>
      <c r="K1140" s="75">
        <f>'THAM_SO_MOI'!$C$31*J1140/E1140</f>
        <v>429.2016746073538</v>
      </c>
      <c r="L1140" s="75">
        <f>K1140*'THAM_SO_MOI'!$C$53*'THAM_SO_MOI'!$C$17/'THAM_SO_MOI'!$C$26</f>
        <v>3764.10036575915</v>
      </c>
      <c r="M1140" s="75">
        <f>'THAM_SO_MOI'!$C$15*'THAM_SO_MOI'!$C$16*F1140^2</f>
        <v>1600.8473630858643</v>
      </c>
      <c r="N1140" s="75">
        <f>'THAM_SO_MOI'!$C$12*I1140</f>
        <v>1542.4508752573656</v>
      </c>
      <c r="O1140" s="75">
        <f>M1140+N1140</f>
        <v>3143.29823834323</v>
      </c>
      <c r="P1140" s="75">
        <f>(MIN(L1140,'THAM_SO_MOI'!$C$41)-O1140)/('THAM_SO_MOI'!$C$11*H1140)</f>
        <v>0.07348510030964962</v>
      </c>
      <c r="Q1140" s="75">
        <f>IF(P1140&gt;0,1/P1140,NA())</f>
        <v>13.608200788816042</v>
      </c>
      <c r="R1140" s="75">
        <f>F1140-F1139</f>
        <v>0.0035868055555567935</v>
      </c>
      <c r="S1140" s="75">
        <f>0.5*(Q1139+Q1140)*R1140</f>
        <v>0.048784098825912774</v>
      </c>
      <c r="T1140" s="75">
        <f>0.5*(F1139*Q1139+F1140*Q1140)*R1140</f>
        <v>1.1411875833329828</v>
      </c>
      <c r="U1140" s="76">
        <f>U1139+S1140</f>
        <v>86.4550005087971</v>
      </c>
      <c r="V1140" s="76">
        <f>V1139+T1140</f>
        <v>1444.2603582275417</v>
      </c>
    </row>
    <row r="1141" spans="1:22" ht="19" customHeight="1">
      <c r="A1141" s="68" t="s">
        <v>362</v>
      </c>
      <c r="B1141" s="74">
        <v>5</v>
      </c>
      <c r="C1141" s="68" t="s">
        <v>363</v>
      </c>
      <c r="D1141" s="68" t="s">
        <v>365</v>
      </c>
      <c r="E1141" s="75">
        <f>60*F1141*'THAM_SO_MOI'!$C$53/(2*PI()*'THAM_SO_MOI'!$C$26)</f>
        <v>2305.318052631578</v>
      </c>
      <c r="F1141" s="75">
        <f>'THAM_SO_MOI'!$C$14+('THAM_SO_MOI'!$C$37-'THAM_SO_MOI'!$C$14)*334/'THAM_SO_MOI'!$C$42</f>
        <v>23.397993055555553</v>
      </c>
      <c r="G1141" s="75">
        <f>3.6*F1141</f>
        <v>84.23277499999999</v>
      </c>
      <c r="H1141" s="75">
        <f>'THAM_SO_MOI'!$D$53</f>
        <v>1.1</v>
      </c>
      <c r="I1141" s="75">
        <f>IF(F1141&gt;='THAM_SO_MOI'!$C$14,'THAM_SO_MOI'!$C$13*(1+F1141^2/1500),'THAM_SO_MOI'!$C$13)</f>
        <v>0.020474660790278258</v>
      </c>
      <c r="J1141" s="75">
        <f>'THAM_SO_MOI'!$C$40*('THAM_SO_MOI'!$C$23*(E1141/'THAM_SO_MOI'!$C$22)+'THAM_SO_MOI'!$C$24*(E1141/'THAM_SO_MOI'!$C$22)^2-'THAM_SO_MOI'!$C$25*(E1141/'THAM_SO_MOI'!$C$22)^3)</f>
        <v>103.59388890247591</v>
      </c>
      <c r="K1141" s="75">
        <f>'THAM_SO_MOI'!$C$31*J1141/E1141</f>
        <v>429.196927063036</v>
      </c>
      <c r="L1141" s="75">
        <f>K1141*'THAM_SO_MOI'!$C$53*'THAM_SO_MOI'!$C$17/'THAM_SO_MOI'!$C$26</f>
        <v>3764.058729776906</v>
      </c>
      <c r="M1141" s="75">
        <f>'THAM_SO_MOI'!$C$15*'THAM_SO_MOI'!$C$16*F1141^2</f>
        <v>1601.3382811563908</v>
      </c>
      <c r="N1141" s="75">
        <f>'THAM_SO_MOI'!$C$12*I1141</f>
        <v>1542.5773236681962</v>
      </c>
      <c r="O1141" s="75">
        <f>M1141+N1141</f>
        <v>3143.915604824587</v>
      </c>
      <c r="P1141" s="75">
        <f>(MIN(L1141,'THAM_SO_MOI'!$C$41)-O1141)/('THAM_SO_MOI'!$C$11*H1141)</f>
        <v>0.07340709338924234</v>
      </c>
      <c r="Q1141" s="75">
        <f>IF(P1141&gt;0,1/P1141,NA())</f>
        <v>13.622661705149982</v>
      </c>
      <c r="R1141" s="75">
        <f>F1141-F1140</f>
        <v>0.0035868055555532408</v>
      </c>
      <c r="S1141" s="75">
        <f>0.5*(Q1140+Q1141)*R1141</f>
        <v>0.04883590443793185</v>
      </c>
      <c r="T1141" s="75">
        <f>0.5*(F1140*Q1140+F1141*Q1141)*R1141</f>
        <v>1.1425746169643816</v>
      </c>
      <c r="U1141" s="76">
        <f>U1140+S1141</f>
        <v>86.50383641323504</v>
      </c>
      <c r="V1141" s="76">
        <f>V1140+T1141</f>
        <v>1445.402932844506</v>
      </c>
    </row>
    <row r="1142" spans="1:22" ht="19" customHeight="1">
      <c r="A1142" s="68" t="s">
        <v>362</v>
      </c>
      <c r="B1142" s="74">
        <v>5</v>
      </c>
      <c r="C1142" s="68" t="s">
        <v>363</v>
      </c>
      <c r="D1142" s="68" t="s">
        <v>365</v>
      </c>
      <c r="E1142" s="75">
        <f>60*F1142*'THAM_SO_MOI'!$C$53/(2*PI()*'THAM_SO_MOI'!$C$26)</f>
        <v>2305.6714473684206</v>
      </c>
      <c r="F1142" s="75">
        <f>'THAM_SO_MOI'!$C$14+('THAM_SO_MOI'!$C$37-'THAM_SO_MOI'!$C$14)*335/'THAM_SO_MOI'!$C$42</f>
        <v>23.40157986111111</v>
      </c>
      <c r="G1142" s="75">
        <f>3.6*F1142</f>
        <v>84.2456875</v>
      </c>
      <c r="H1142" s="75">
        <f>'THAM_SO_MOI'!$D$53</f>
        <v>1.1</v>
      </c>
      <c r="I1142" s="75">
        <f>IF(F1142&gt;='THAM_SO_MOI'!$C$14,'THAM_SO_MOI'!$C$13*(1+F1142^2/1500),'THAM_SO_MOI'!$C$13)</f>
        <v>0.02047633939995961</v>
      </c>
      <c r="J1142" s="75">
        <f>'THAM_SO_MOI'!$C$40*('THAM_SO_MOI'!$C$23*(E1142/'THAM_SO_MOI'!$C$22)+'THAM_SO_MOI'!$C$24*(E1142/'THAM_SO_MOI'!$C$22)^2-'THAM_SO_MOI'!$C$25*(E1142/'THAM_SO_MOI'!$C$22)^3)</f>
        <v>103.60862037279394</v>
      </c>
      <c r="K1142" s="75">
        <f>'THAM_SO_MOI'!$C$31*J1142/E1142</f>
        <v>429.1921674027339</v>
      </c>
      <c r="L1142" s="75">
        <f>K1142*'THAM_SO_MOI'!$C$53*'THAM_SO_MOI'!$C$17/'THAM_SO_MOI'!$C$26</f>
        <v>3764.0169875374327</v>
      </c>
      <c r="M1142" s="75">
        <f>'THAM_SO_MOI'!$C$15*'THAM_SO_MOI'!$C$16*F1142^2</f>
        <v>1601.829274488186</v>
      </c>
      <c r="N1142" s="75">
        <f>'THAM_SO_MOI'!$C$12*I1142</f>
        <v>1542.703791464477</v>
      </c>
      <c r="O1142" s="75">
        <f>M1142+N1142</f>
        <v>3144.533065952663</v>
      </c>
      <c r="P1142" s="75">
        <f>(MIN(L1142,'THAM_SO_MOI'!$C$41)-O1142)/('THAM_SO_MOI'!$C$11*H1142)</f>
        <v>0.0733290626875911</v>
      </c>
      <c r="Q1142" s="75">
        <f>IF(P1142&gt;0,1/P1142,NA())</f>
        <v>13.637157810953749</v>
      </c>
      <c r="R1142" s="75">
        <f>F1142-F1141</f>
        <v>0.0035868055555567935</v>
      </c>
      <c r="S1142" s="75">
        <f>0.5*(Q1141+Q1142)*R1142</f>
        <v>0.04888783604191818</v>
      </c>
      <c r="T1142" s="75">
        <f>0.5*(F1141*Q1141+F1142*Q1142)*R1142</f>
        <v>1.1439649704146284</v>
      </c>
      <c r="U1142" s="76">
        <f>U1141+S1142</f>
        <v>86.55272424927695</v>
      </c>
      <c r="V1142" s="76">
        <f>V1141+T1142</f>
        <v>1446.5468978149206</v>
      </c>
    </row>
    <row r="1143" spans="1:22" ht="19" customHeight="1">
      <c r="A1143" s="68" t="s">
        <v>362</v>
      </c>
      <c r="B1143" s="74">
        <v>5</v>
      </c>
      <c r="C1143" s="68" t="s">
        <v>363</v>
      </c>
      <c r="D1143" s="68" t="s">
        <v>365</v>
      </c>
      <c r="E1143" s="75">
        <f>60*F1143*'THAM_SO_MOI'!$C$53/(2*PI()*'THAM_SO_MOI'!$C$26)</f>
        <v>2306.0248421052625</v>
      </c>
      <c r="F1143" s="75">
        <f>'THAM_SO_MOI'!$C$14+('THAM_SO_MOI'!$C$37-'THAM_SO_MOI'!$C$14)*336/'THAM_SO_MOI'!$C$42</f>
        <v>23.405166666666666</v>
      </c>
      <c r="G1143" s="75">
        <f>3.6*F1143</f>
        <v>84.2586</v>
      </c>
      <c r="H1143" s="75">
        <f>'THAM_SO_MOI'!$D$53</f>
        <v>1.1</v>
      </c>
      <c r="I1143" s="75">
        <f>IF(F1143&gt;='THAM_SO_MOI'!$C$14,'THAM_SO_MOI'!$C$13*(1+F1143^2/1500),'THAM_SO_MOI'!$C$13)</f>
        <v>0.020478018266944446</v>
      </c>
      <c r="J1143" s="75">
        <f>'THAM_SO_MOI'!$C$40*('THAM_SO_MOI'!$C$23*(E1143/'THAM_SO_MOI'!$C$22)+'THAM_SO_MOI'!$C$24*(E1143/'THAM_SO_MOI'!$C$22)^2-'THAM_SO_MOI'!$C$25*(E1143/'THAM_SO_MOI'!$C$22)^3)</f>
        <v>103.62334856560003</v>
      </c>
      <c r="K1143" s="75">
        <f>'THAM_SO_MOI'!$C$31*J1143/E1143</f>
        <v>429.18739562644737</v>
      </c>
      <c r="L1143" s="75">
        <f>K1143*'THAM_SO_MOI'!$C$53*'THAM_SO_MOI'!$C$17/'THAM_SO_MOI'!$C$26</f>
        <v>3763.9751390407278</v>
      </c>
      <c r="M1143" s="75">
        <f>'THAM_SO_MOI'!$C$15*'THAM_SO_MOI'!$C$16*F1143^2</f>
        <v>1602.3203430812503</v>
      </c>
      <c r="N1143" s="75">
        <f>'THAM_SO_MOI'!$C$12*I1143</f>
        <v>1542.8302786462082</v>
      </c>
      <c r="O1143" s="75">
        <f>M1143+N1143</f>
        <v>3145.150621727458</v>
      </c>
      <c r="P1143" s="75">
        <f>(MIN(L1143,'THAM_SO_MOI'!$C$41)-O1143)/('THAM_SO_MOI'!$C$11*H1143)</f>
        <v>0.07325100820469568</v>
      </c>
      <c r="Q1143" s="75">
        <f>IF(P1143&gt;0,1/P1143,NA())</f>
        <v>13.651689232802887</v>
      </c>
      <c r="R1143" s="75">
        <f>F1143-F1142</f>
        <v>0.0035868055555567935</v>
      </c>
      <c r="S1143" s="75">
        <f>0.5*(Q1142+Q1143)*R1143</f>
        <v>0.04893989409064294</v>
      </c>
      <c r="T1143" s="75">
        <f>0.5*(F1142*Q1142+F1143*Q1143)*R1143</f>
        <v>1.1453586556358246</v>
      </c>
      <c r="U1143" s="76">
        <f>U1142+S1143</f>
        <v>86.60166414336759</v>
      </c>
      <c r="V1143" s="76">
        <f>V1142+T1143</f>
        <v>1447.6922564705565</v>
      </c>
    </row>
    <row r="1144" spans="1:22" ht="19" customHeight="1">
      <c r="A1144" s="68" t="s">
        <v>362</v>
      </c>
      <c r="B1144" s="74">
        <v>5</v>
      </c>
      <c r="C1144" s="68" t="s">
        <v>363</v>
      </c>
      <c r="D1144" s="68" t="s">
        <v>365</v>
      </c>
      <c r="E1144" s="75">
        <f>60*F1144*'THAM_SO_MOI'!$C$53/(2*PI()*'THAM_SO_MOI'!$C$26)</f>
        <v>2306.3782368421053</v>
      </c>
      <c r="F1144" s="75">
        <f>'THAM_SO_MOI'!$C$14+('THAM_SO_MOI'!$C$37-'THAM_SO_MOI'!$C$14)*337/'THAM_SO_MOI'!$C$42</f>
        <v>23.408753472222223</v>
      </c>
      <c r="G1144" s="75">
        <f>3.6*F1144</f>
        <v>84.2715125</v>
      </c>
      <c r="H1144" s="75">
        <f>'THAM_SO_MOI'!$D$53</f>
        <v>1.1</v>
      </c>
      <c r="I1144" s="75">
        <f>IF(F1144&gt;='THAM_SO_MOI'!$C$14,'THAM_SO_MOI'!$C$13*(1+F1144^2/1500),'THAM_SO_MOI'!$C$13)</f>
        <v>0.020479697391232756</v>
      </c>
      <c r="J1144" s="75">
        <f>'THAM_SO_MOI'!$C$40*('THAM_SO_MOI'!$C$23*(E1144/'THAM_SO_MOI'!$C$22)+'THAM_SO_MOI'!$C$24*(E1144/'THAM_SO_MOI'!$C$22)^2-'THAM_SO_MOI'!$C$25*(E1144/'THAM_SO_MOI'!$C$22)^3)</f>
        <v>103.63807347954928</v>
      </c>
      <c r="K1144" s="75">
        <f>'THAM_SO_MOI'!$C$31*J1144/E1144</f>
        <v>429.1826117341762</v>
      </c>
      <c r="L1144" s="75">
        <f>K1144*'THAM_SO_MOI'!$C$53*'THAM_SO_MOI'!$C$17/'THAM_SO_MOI'!$C$26</f>
        <v>3763.93318428679</v>
      </c>
      <c r="M1144" s="75">
        <f>'THAM_SO_MOI'!$C$15*'THAM_SO_MOI'!$C$16*F1144^2</f>
        <v>1602.8114869355823</v>
      </c>
      <c r="N1144" s="75">
        <f>'THAM_SO_MOI'!$C$12*I1144</f>
        <v>1542.956785213389</v>
      </c>
      <c r="O1144" s="75">
        <f>M1144+N1144</f>
        <v>3145.768272148971</v>
      </c>
      <c r="P1144" s="75">
        <f>(MIN(L1144,'THAM_SO_MOI'!$C$41)-O1144)/('THAM_SO_MOI'!$C$11*H1144)</f>
        <v>0.07317292994055621</v>
      </c>
      <c r="Q1144" s="75">
        <f>IF(P1144&gt;0,1/P1144,NA())</f>
        <v>13.666256097881744</v>
      </c>
      <c r="R1144" s="75">
        <f>F1144-F1143</f>
        <v>0.0035868055555567935</v>
      </c>
      <c r="S1144" s="75">
        <f>0.5*(Q1143+Q1144)*R1144</f>
        <v>0.048992079039248196</v>
      </c>
      <c r="T1144" s="75">
        <f>0.5*(F1143*Q1143+F1144*Q1144)*R1144</f>
        <v>1.1467556846420628</v>
      </c>
      <c r="U1144" s="76">
        <f>U1143+S1144</f>
        <v>86.65065622240684</v>
      </c>
      <c r="V1144" s="76">
        <f>V1143+T1144</f>
        <v>1448.8390121551986</v>
      </c>
    </row>
    <row r="1145" spans="1:22" ht="19" customHeight="1">
      <c r="A1145" s="68" t="s">
        <v>362</v>
      </c>
      <c r="B1145" s="74">
        <v>5</v>
      </c>
      <c r="C1145" s="68" t="s">
        <v>363</v>
      </c>
      <c r="D1145" s="68" t="s">
        <v>365</v>
      </c>
      <c r="E1145" s="75">
        <f>60*F1145*'THAM_SO_MOI'!$C$53/(2*PI()*'THAM_SO_MOI'!$C$26)</f>
        <v>2306.7316315789467</v>
      </c>
      <c r="F1145" s="75">
        <f>'THAM_SO_MOI'!$C$14+('THAM_SO_MOI'!$C$37-'THAM_SO_MOI'!$C$14)*338/'THAM_SO_MOI'!$C$42</f>
        <v>23.412340277777776</v>
      </c>
      <c r="G1145" s="75">
        <f>3.6*F1145</f>
        <v>84.284425</v>
      </c>
      <c r="H1145" s="75">
        <f>'THAM_SO_MOI'!$D$53</f>
        <v>1.1</v>
      </c>
      <c r="I1145" s="75">
        <f>IF(F1145&gt;='THAM_SO_MOI'!$C$14,'THAM_SO_MOI'!$C$13*(1+F1145^2/1500),'THAM_SO_MOI'!$C$13)</f>
        <v>0.020481376772824553</v>
      </c>
      <c r="J1145" s="75">
        <f>'THAM_SO_MOI'!$C$40*('THAM_SO_MOI'!$C$23*(E1145/'THAM_SO_MOI'!$C$22)+'THAM_SO_MOI'!$C$24*(E1145/'THAM_SO_MOI'!$C$22)^2-'THAM_SO_MOI'!$C$25*(E1145/'THAM_SO_MOI'!$C$22)^3)</f>
        <v>103.65279511329678</v>
      </c>
      <c r="K1145" s="75">
        <f>'THAM_SO_MOI'!$C$31*J1145/E1145</f>
        <v>429.1778157259207</v>
      </c>
      <c r="L1145" s="75">
        <f>K1145*'THAM_SO_MOI'!$C$53*'THAM_SO_MOI'!$C$17/'THAM_SO_MOI'!$C$26</f>
        <v>3763.891123275623</v>
      </c>
      <c r="M1145" s="75">
        <f>'THAM_SO_MOI'!$C$15*'THAM_SO_MOI'!$C$16*F1145^2</f>
        <v>1603.3027060511827</v>
      </c>
      <c r="N1145" s="75">
        <f>'THAM_SO_MOI'!$C$12*I1145</f>
        <v>1543.0833111660202</v>
      </c>
      <c r="O1145" s="75">
        <f>M1145+N1145</f>
        <v>3146.3860172172026</v>
      </c>
      <c r="P1145" s="75">
        <f>(MIN(L1145,'THAM_SO_MOI'!$C$41)-O1145)/('THAM_SO_MOI'!$C$11*H1145)</f>
        <v>0.07309482789517285</v>
      </c>
      <c r="Q1145" s="75">
        <f>IF(P1145&gt;0,1/P1145,NA())</f>
        <v>13.680858533987184</v>
      </c>
      <c r="R1145" s="75">
        <f>F1145-F1144</f>
        <v>0.0035868055555532408</v>
      </c>
      <c r="S1145" s="75">
        <f>0.5*(Q1144+Q1145)*R1145</f>
        <v>0.04904439134496939</v>
      </c>
      <c r="T1145" s="75">
        <f>0.5*(F1144*Q1144+F1145*Q1145)*R1145</f>
        <v>1.148156069502971</v>
      </c>
      <c r="U1145" s="76">
        <f>U1144+S1145</f>
        <v>86.6997006137518</v>
      </c>
      <c r="V1145" s="76">
        <f>V1144+T1145</f>
        <v>1449.9871682247015</v>
      </c>
    </row>
    <row r="1146" spans="1:22" ht="19" customHeight="1">
      <c r="A1146" s="68" t="s">
        <v>362</v>
      </c>
      <c r="B1146" s="74">
        <v>5</v>
      </c>
      <c r="C1146" s="68" t="s">
        <v>363</v>
      </c>
      <c r="D1146" s="68" t="s">
        <v>365</v>
      </c>
      <c r="E1146" s="75">
        <f>60*F1146*'THAM_SO_MOI'!$C$53/(2*PI()*'THAM_SO_MOI'!$C$26)</f>
        <v>2307.085026315789</v>
      </c>
      <c r="F1146" s="75">
        <f>'THAM_SO_MOI'!$C$14+('THAM_SO_MOI'!$C$37-'THAM_SO_MOI'!$C$14)*339/'THAM_SO_MOI'!$C$42</f>
        <v>23.415927083333333</v>
      </c>
      <c r="G1146" s="75">
        <f>3.6*F1146</f>
        <v>84.2973375</v>
      </c>
      <c r="H1146" s="75">
        <f>'THAM_SO_MOI'!$D$53</f>
        <v>1.1</v>
      </c>
      <c r="I1146" s="75">
        <f>IF(F1146&gt;='THAM_SO_MOI'!$C$14,'THAM_SO_MOI'!$C$13*(1+F1146^2/1500),'THAM_SO_MOI'!$C$13)</f>
        <v>0.020483056411719835</v>
      </c>
      <c r="J1146" s="75">
        <f>'THAM_SO_MOI'!$C$40*('THAM_SO_MOI'!$C$23*(E1146/'THAM_SO_MOI'!$C$22)+'THAM_SO_MOI'!$C$24*(E1146/'THAM_SO_MOI'!$C$22)^2-'THAM_SO_MOI'!$C$25*(E1146/'THAM_SO_MOI'!$C$22)^3)</f>
        <v>103.6675134654977</v>
      </c>
      <c r="K1146" s="75">
        <f>'THAM_SO_MOI'!$C$31*J1146/E1146</f>
        <v>429.17300760168075</v>
      </c>
      <c r="L1146" s="75">
        <f>K1146*'THAM_SO_MOI'!$C$53*'THAM_SO_MOI'!$C$17/'THAM_SO_MOI'!$C$26</f>
        <v>3763.848956007225</v>
      </c>
      <c r="M1146" s="75">
        <f>'THAM_SO_MOI'!$C$15*'THAM_SO_MOI'!$C$16*F1146^2</f>
        <v>1603.7940004280517</v>
      </c>
      <c r="N1146" s="75">
        <f>'THAM_SO_MOI'!$C$12*I1146</f>
        <v>1543.2098565041017</v>
      </c>
      <c r="O1146" s="75">
        <f>M1146+N1146</f>
        <v>3147.003856932153</v>
      </c>
      <c r="P1146" s="75">
        <f>(MIN(L1146,'THAM_SO_MOI'!$C$41)-O1146)/('THAM_SO_MOI'!$C$11*H1146)</f>
        <v>0.07301670206854538</v>
      </c>
      <c r="Q1146" s="75">
        <f>IF(P1146&gt;0,1/P1146,NA())</f>
        <v>13.695496669532362</v>
      </c>
      <c r="R1146" s="75">
        <f>F1146-F1145</f>
        <v>0.0035868055555567935</v>
      </c>
      <c r="S1146" s="75">
        <f>0.5*(Q1145+Q1146)*R1146</f>
        <v>0.04909683146744002</v>
      </c>
      <c r="T1146" s="75">
        <f>0.5*(F1145*Q1145+F1146*Q1146)*R1146</f>
        <v>1.1495598223508878</v>
      </c>
      <c r="U1146" s="76">
        <f>U1145+S1146</f>
        <v>86.74879744521924</v>
      </c>
      <c r="V1146" s="76">
        <f>V1145+T1146</f>
        <v>1451.1367280470524</v>
      </c>
    </row>
    <row r="1147" spans="1:22" ht="19" customHeight="1">
      <c r="A1147" s="68" t="s">
        <v>362</v>
      </c>
      <c r="B1147" s="74">
        <v>5</v>
      </c>
      <c r="C1147" s="68" t="s">
        <v>363</v>
      </c>
      <c r="D1147" s="68" t="s">
        <v>365</v>
      </c>
      <c r="E1147" s="75">
        <f>60*F1147*'THAM_SO_MOI'!$C$53/(2*PI()*'THAM_SO_MOI'!$C$26)</f>
        <v>2307.438421052631</v>
      </c>
      <c r="F1147" s="75">
        <f>'THAM_SO_MOI'!$C$14+('THAM_SO_MOI'!$C$37-'THAM_SO_MOI'!$C$14)*340/'THAM_SO_MOI'!$C$42</f>
        <v>23.419513888888886</v>
      </c>
      <c r="G1147" s="75">
        <f>3.6*F1147</f>
        <v>84.31025</v>
      </c>
      <c r="H1147" s="75">
        <f>'THAM_SO_MOI'!$D$53</f>
        <v>1.1</v>
      </c>
      <c r="I1147" s="75">
        <f>IF(F1147&gt;='THAM_SO_MOI'!$C$14,'THAM_SO_MOI'!$C$13*(1+F1147^2/1500),'THAM_SO_MOI'!$C$13)</f>
        <v>0.020484736307918593</v>
      </c>
      <c r="J1147" s="75">
        <f>'THAM_SO_MOI'!$C$40*('THAM_SO_MOI'!$C$23*(E1147/'THAM_SO_MOI'!$C$22)+'THAM_SO_MOI'!$C$24*(E1147/'THAM_SO_MOI'!$C$22)^2-'THAM_SO_MOI'!$C$25*(E1147/'THAM_SO_MOI'!$C$22)^3)</f>
        <v>103.68222853480712</v>
      </c>
      <c r="K1147" s="75">
        <f>'THAM_SO_MOI'!$C$31*J1147/E1147</f>
        <v>429.1681873614563</v>
      </c>
      <c r="L1147" s="75">
        <f>K1147*'THAM_SO_MOI'!$C$53*'THAM_SO_MOI'!$C$17/'THAM_SO_MOI'!$C$26</f>
        <v>3763.806682481595</v>
      </c>
      <c r="M1147" s="75">
        <f>'THAM_SO_MOI'!$C$15*'THAM_SO_MOI'!$C$16*F1147^2</f>
        <v>1604.285370066189</v>
      </c>
      <c r="N1147" s="75">
        <f>'THAM_SO_MOI'!$C$12*I1147</f>
        <v>1543.3364212276333</v>
      </c>
      <c r="O1147" s="75">
        <f>M1147+N1147</f>
        <v>3147.6217912938223</v>
      </c>
      <c r="P1147" s="75">
        <f>(MIN(L1147,'THAM_SO_MOI'!$C$41)-O1147)/('THAM_SO_MOI'!$C$11*H1147)</f>
        <v>0.07293855246067386</v>
      </c>
      <c r="Q1147" s="75">
        <f>IF(P1147&gt;0,1/P1147,NA())</f>
        <v>13.710170633550316</v>
      </c>
      <c r="R1147" s="75">
        <f>F1147-F1146</f>
        <v>0.0035868055555532408</v>
      </c>
      <c r="S1147" s="75">
        <f>0.5*(Q1146+Q1147)*R1147</f>
        <v>0.04914939986817038</v>
      </c>
      <c r="T1147" s="75">
        <f>0.5*(F1146*Q1146+F1147*Q1147)*R1147</f>
        <v>1.1509669553686956</v>
      </c>
      <c r="U1147" s="76">
        <f>U1146+S1147</f>
        <v>86.79794684508741</v>
      </c>
      <c r="V1147" s="76">
        <f>V1146+T1147</f>
        <v>1452.287695002421</v>
      </c>
    </row>
    <row r="1148" spans="1:22" ht="19" customHeight="1">
      <c r="A1148" s="68" t="s">
        <v>362</v>
      </c>
      <c r="B1148" s="74">
        <v>5</v>
      </c>
      <c r="C1148" s="68" t="s">
        <v>363</v>
      </c>
      <c r="D1148" s="68" t="s">
        <v>365</v>
      </c>
      <c r="E1148" s="75">
        <f>60*F1148*'THAM_SO_MOI'!$C$53/(2*PI()*'THAM_SO_MOI'!$C$26)</f>
        <v>2307.7918157894733</v>
      </c>
      <c r="F1148" s="75">
        <f>'THAM_SO_MOI'!$C$14+('THAM_SO_MOI'!$C$37-'THAM_SO_MOI'!$C$14)*341/'THAM_SO_MOI'!$C$42</f>
        <v>23.423100694444443</v>
      </c>
      <c r="G1148" s="75">
        <f>3.6*F1148</f>
        <v>84.3231625</v>
      </c>
      <c r="H1148" s="75">
        <f>'THAM_SO_MOI'!$D$53</f>
        <v>1.1</v>
      </c>
      <c r="I1148" s="75">
        <f>IF(F1148&gt;='THAM_SO_MOI'!$C$14,'THAM_SO_MOI'!$C$13*(1+F1148^2/1500),'THAM_SO_MOI'!$C$13)</f>
        <v>0.020486416461420836</v>
      </c>
      <c r="J1148" s="75">
        <f>'THAM_SO_MOI'!$C$40*('THAM_SO_MOI'!$C$23*(E1148/'THAM_SO_MOI'!$C$22)+'THAM_SO_MOI'!$C$24*(E1148/'THAM_SO_MOI'!$C$22)^2-'THAM_SO_MOI'!$C$25*(E1148/'THAM_SO_MOI'!$C$22)^3)</f>
        <v>103.69694031988016</v>
      </c>
      <c r="K1148" s="75">
        <f>'THAM_SO_MOI'!$C$31*J1148/E1148</f>
        <v>429.1633550052474</v>
      </c>
      <c r="L1148" s="75">
        <f>K1148*'THAM_SO_MOI'!$C$53*'THAM_SO_MOI'!$C$17/'THAM_SO_MOI'!$C$26</f>
        <v>3763.764302698734</v>
      </c>
      <c r="M1148" s="75">
        <f>'THAM_SO_MOI'!$C$15*'THAM_SO_MOI'!$C$16*F1148^2</f>
        <v>1604.7768149655953</v>
      </c>
      <c r="N1148" s="75">
        <f>'THAM_SO_MOI'!$C$12*I1148</f>
        <v>1543.463005336615</v>
      </c>
      <c r="O1148" s="75">
        <f>M1148+N1148</f>
        <v>3148.2398203022103</v>
      </c>
      <c r="P1148" s="75">
        <f>(MIN(L1148,'THAM_SO_MOI'!$C$41)-O1148)/('THAM_SO_MOI'!$C$11*H1148)</f>
        <v>0.07286037907155819</v>
      </c>
      <c r="Q1148" s="75">
        <f>IF(P1148&gt;0,1/P1148,NA())</f>
        <v>13.724880555697801</v>
      </c>
      <c r="R1148" s="75">
        <f>F1148-F1147</f>
        <v>0.0035868055555567935</v>
      </c>
      <c r="S1148" s="75">
        <f>0.5*(Q1147+Q1148)*R1148</f>
        <v>0.04920209701129008</v>
      </c>
      <c r="T1148" s="75">
        <f>0.5*(F1147*Q1147+F1148*Q1148)*R1148</f>
        <v>1.1523774808072464</v>
      </c>
      <c r="U1148" s="76">
        <f>U1147+S1148</f>
        <v>86.8471489420987</v>
      </c>
      <c r="V1148" s="76">
        <f>V1147+T1148</f>
        <v>1453.4400724832283</v>
      </c>
    </row>
    <row r="1149" spans="1:22" ht="19" customHeight="1">
      <c r="A1149" s="68" t="s">
        <v>362</v>
      </c>
      <c r="B1149" s="74">
        <v>5</v>
      </c>
      <c r="C1149" s="68" t="s">
        <v>363</v>
      </c>
      <c r="D1149" s="68" t="s">
        <v>365</v>
      </c>
      <c r="E1149" s="75">
        <f>60*F1149*'THAM_SO_MOI'!$C$53/(2*PI()*'THAM_SO_MOI'!$C$26)</f>
        <v>2308.145210526315</v>
      </c>
      <c r="F1149" s="75">
        <f>'THAM_SO_MOI'!$C$14+('THAM_SO_MOI'!$C$37-'THAM_SO_MOI'!$C$14)*342/'THAM_SO_MOI'!$C$42</f>
        <v>23.4266875</v>
      </c>
      <c r="G1149" s="75">
        <f>3.6*F1149</f>
        <v>84.33607500000001</v>
      </c>
      <c r="H1149" s="75">
        <f>'THAM_SO_MOI'!$D$53</f>
        <v>1.1</v>
      </c>
      <c r="I1149" s="75">
        <f>IF(F1149&gt;='THAM_SO_MOI'!$C$14,'THAM_SO_MOI'!$C$13*(1+F1149^2/1500),'THAM_SO_MOI'!$C$13)</f>
        <v>0.020488096872226563</v>
      </c>
      <c r="J1149" s="75">
        <f>'THAM_SO_MOI'!$C$40*('THAM_SO_MOI'!$C$23*(E1149/'THAM_SO_MOI'!$C$22)+'THAM_SO_MOI'!$C$24*(E1149/'THAM_SO_MOI'!$C$22)^2-'THAM_SO_MOI'!$C$25*(E1149/'THAM_SO_MOI'!$C$22)^3)</f>
        <v>103.71164881937193</v>
      </c>
      <c r="K1149" s="75">
        <f>'THAM_SO_MOI'!$C$31*J1149/E1149</f>
        <v>429.15851053305414</v>
      </c>
      <c r="L1149" s="75">
        <f>K1149*'THAM_SO_MOI'!$C$53*'THAM_SO_MOI'!$C$17/'THAM_SO_MOI'!$C$26</f>
        <v>3763.7218166586426</v>
      </c>
      <c r="M1149" s="75">
        <f>'THAM_SO_MOI'!$C$15*'THAM_SO_MOI'!$C$16*F1149^2</f>
        <v>1605.2683351262697</v>
      </c>
      <c r="N1149" s="75">
        <f>'THAM_SO_MOI'!$C$12*I1149</f>
        <v>1543.5896088310471</v>
      </c>
      <c r="O1149" s="75">
        <f>M1149+N1149</f>
        <v>3148.857943957317</v>
      </c>
      <c r="P1149" s="75">
        <f>(MIN(L1149,'THAM_SO_MOI'!$C$41)-O1149)/('THAM_SO_MOI'!$C$11*H1149)</f>
        <v>0.07278218190119863</v>
      </c>
      <c r="Q1149" s="75">
        <f>IF(P1149&gt;0,1/P1149,NA())</f>
        <v>13.73962656625895</v>
      </c>
      <c r="R1149" s="75">
        <f>F1149-F1148</f>
        <v>0.0035868055555567935</v>
      </c>
      <c r="S1149" s="75">
        <f>0.5*(Q1148+Q1149)*R1149</f>
        <v>0.0492549233628318</v>
      </c>
      <c r="T1149" s="75">
        <f>0.5*(F1148*Q1148+F1149*Q1149)*R1149</f>
        <v>1.1537914109686298</v>
      </c>
      <c r="U1149" s="76">
        <f>U1148+S1149</f>
        <v>86.89640386546154</v>
      </c>
      <c r="V1149" s="76">
        <f>V1148+T1149</f>
        <v>1454.5938638941968</v>
      </c>
    </row>
    <row r="1150" spans="1:22" ht="19" customHeight="1">
      <c r="A1150" s="68" t="s">
        <v>362</v>
      </c>
      <c r="B1150" s="74">
        <v>5</v>
      </c>
      <c r="C1150" s="68" t="s">
        <v>363</v>
      </c>
      <c r="D1150" s="68" t="s">
        <v>365</v>
      </c>
      <c r="E1150" s="75">
        <f>60*F1150*'THAM_SO_MOI'!$C$53/(2*PI()*'THAM_SO_MOI'!$C$26)</f>
        <v>2308.498605263157</v>
      </c>
      <c r="F1150" s="75">
        <f>'THAM_SO_MOI'!$C$14+('THAM_SO_MOI'!$C$37-'THAM_SO_MOI'!$C$14)*343/'THAM_SO_MOI'!$C$42</f>
        <v>23.430274305555553</v>
      </c>
      <c r="G1150" s="75">
        <f>3.6*F1150</f>
        <v>84.34898749999999</v>
      </c>
      <c r="H1150" s="75">
        <f>'THAM_SO_MOI'!$D$53</f>
        <v>1.1</v>
      </c>
      <c r="I1150" s="75">
        <f>IF(F1150&gt;='THAM_SO_MOI'!$C$14,'THAM_SO_MOI'!$C$13*(1+F1150^2/1500),'THAM_SO_MOI'!$C$13)</f>
        <v>0.020489777540335766</v>
      </c>
      <c r="J1150" s="75">
        <f>'THAM_SO_MOI'!$C$40*('THAM_SO_MOI'!$C$23*(E1150/'THAM_SO_MOI'!$C$22)+'THAM_SO_MOI'!$C$24*(E1150/'THAM_SO_MOI'!$C$22)^2-'THAM_SO_MOI'!$C$25*(E1150/'THAM_SO_MOI'!$C$22)^3)</f>
        <v>103.7263540319375</v>
      </c>
      <c r="K1150" s="75">
        <f>'THAM_SO_MOI'!$C$31*J1150/E1150</f>
        <v>429.1536539448763</v>
      </c>
      <c r="L1150" s="75">
        <f>K1150*'THAM_SO_MOI'!$C$53*'THAM_SO_MOI'!$C$17/'THAM_SO_MOI'!$C$26</f>
        <v>3763.6792243613195</v>
      </c>
      <c r="M1150" s="75">
        <f>'THAM_SO_MOI'!$C$15*'THAM_SO_MOI'!$C$16*F1150^2</f>
        <v>1605.7599305482122</v>
      </c>
      <c r="N1150" s="75">
        <f>'THAM_SO_MOI'!$C$12*I1150</f>
        <v>1543.716231710929</v>
      </c>
      <c r="O1150" s="75">
        <f>M1150+N1150</f>
        <v>3149.4761622591413</v>
      </c>
      <c r="P1150" s="75">
        <f>(MIN(L1150,'THAM_SO_MOI'!$C$41)-O1150)/('THAM_SO_MOI'!$C$11*H1150)</f>
        <v>0.07270396094959497</v>
      </c>
      <c r="Q1150" s="75">
        <f>IF(P1150&gt;0,1/P1150,NA())</f>
        <v>13.75440879614924</v>
      </c>
      <c r="R1150" s="75">
        <f>F1150-F1149</f>
        <v>0.0035868055555532408</v>
      </c>
      <c r="S1150" s="75">
        <f>0.5*(Q1149+Q1150)*R1150</f>
        <v>0.04930787939123148</v>
      </c>
      <c r="T1150" s="75">
        <f>0.5*(F1149*Q1149+F1150*Q1150)*R1150</f>
        <v>1.1552087582179267</v>
      </c>
      <c r="U1150" s="76">
        <f>U1149+S1150</f>
        <v>86.94571174485277</v>
      </c>
      <c r="V1150" s="76">
        <f>V1149+T1150</f>
        <v>1455.7490726524147</v>
      </c>
    </row>
    <row r="1151" spans="1:22" ht="19" customHeight="1">
      <c r="A1151" s="68" t="s">
        <v>362</v>
      </c>
      <c r="B1151" s="74">
        <v>5</v>
      </c>
      <c r="C1151" s="68" t="s">
        <v>363</v>
      </c>
      <c r="D1151" s="68" t="s">
        <v>365</v>
      </c>
      <c r="E1151" s="75">
        <f>60*F1151*'THAM_SO_MOI'!$C$53/(2*PI()*'THAM_SO_MOI'!$C$26)</f>
        <v>2308.8519999999994</v>
      </c>
      <c r="F1151" s="75">
        <f>'THAM_SO_MOI'!$C$14+('THAM_SO_MOI'!$C$37-'THAM_SO_MOI'!$C$14)*344/'THAM_SO_MOI'!$C$42</f>
        <v>23.43386111111111</v>
      </c>
      <c r="G1151" s="75">
        <f>3.6*F1151</f>
        <v>84.36189999999999</v>
      </c>
      <c r="H1151" s="75">
        <f>'THAM_SO_MOI'!$D$53</f>
        <v>1.1</v>
      </c>
      <c r="I1151" s="75">
        <f>IF(F1151&gt;='THAM_SO_MOI'!$C$14,'THAM_SO_MOI'!$C$13*(1+F1151^2/1500),'THAM_SO_MOI'!$C$13)</f>
        <v>0.020491458465748454</v>
      </c>
      <c r="J1151" s="75">
        <f>'THAM_SO_MOI'!$C$40*('THAM_SO_MOI'!$C$23*(E1151/'THAM_SO_MOI'!$C$22)+'THAM_SO_MOI'!$C$24*(E1151/'THAM_SO_MOI'!$C$22)^2-'THAM_SO_MOI'!$C$25*(E1151/'THAM_SO_MOI'!$C$22)^3)</f>
        <v>103.74105595623206</v>
      </c>
      <c r="K1151" s="75">
        <f>'THAM_SO_MOI'!$C$31*J1151/E1151</f>
        <v>429.148785240714</v>
      </c>
      <c r="L1151" s="75">
        <f>K1151*'THAM_SO_MOI'!$C$53*'THAM_SO_MOI'!$C$17/'THAM_SO_MOI'!$C$26</f>
        <v>3763.6365258067653</v>
      </c>
      <c r="M1151" s="75">
        <f>'THAM_SO_MOI'!$C$15*'THAM_SO_MOI'!$C$16*F1151^2</f>
        <v>1606.2516012314236</v>
      </c>
      <c r="N1151" s="75">
        <f>'THAM_SO_MOI'!$C$12*I1151</f>
        <v>1543.8428739762612</v>
      </c>
      <c r="O1151" s="75">
        <f>M1151+N1151</f>
        <v>3150.094475207685</v>
      </c>
      <c r="P1151" s="75">
        <f>(MIN(L1151,'THAM_SO_MOI'!$C$41)-O1151)/('THAM_SO_MOI'!$C$11*H1151)</f>
        <v>0.07262571621674722</v>
      </c>
      <c r="Q1151" s="75">
        <f>IF(P1151&gt;0,1/P1151,NA())</f>
        <v>13.769227376919192</v>
      </c>
      <c r="R1151" s="75">
        <f>F1151-F1150</f>
        <v>0.0035868055555567935</v>
      </c>
      <c r="S1151" s="75">
        <f>0.5*(Q1150+Q1151)*R1151</f>
        <v>0.04936096556734289</v>
      </c>
      <c r="T1151" s="75">
        <f>0.5*(F1150*Q1150+F1151*Q1151)*R1151</f>
        <v>1.156629534983594</v>
      </c>
      <c r="U1151" s="76">
        <f>U1150+S1151</f>
        <v>86.99507271042012</v>
      </c>
      <c r="V1151" s="76">
        <f>V1150+T1151</f>
        <v>1456.9057021873982</v>
      </c>
    </row>
    <row r="1152" spans="1:22" ht="19" customHeight="1">
      <c r="A1152" s="68" t="s">
        <v>362</v>
      </c>
      <c r="B1152" s="74">
        <v>5</v>
      </c>
      <c r="C1152" s="68" t="s">
        <v>363</v>
      </c>
      <c r="D1152" s="68" t="s">
        <v>365</v>
      </c>
      <c r="E1152" s="75">
        <f>60*F1152*'THAM_SO_MOI'!$C$53/(2*PI()*'THAM_SO_MOI'!$C$26)</f>
        <v>2309.2053947368418</v>
      </c>
      <c r="F1152" s="75">
        <f>'THAM_SO_MOI'!$C$14+('THAM_SO_MOI'!$C$37-'THAM_SO_MOI'!$C$14)*345/'THAM_SO_MOI'!$C$42</f>
        <v>23.437447916666667</v>
      </c>
      <c r="G1152" s="75">
        <f>3.6*F1152</f>
        <v>84.3748125</v>
      </c>
      <c r="H1152" s="75">
        <f>'THAM_SO_MOI'!$D$53</f>
        <v>1.1</v>
      </c>
      <c r="I1152" s="75">
        <f>IF(F1152&gt;='THAM_SO_MOI'!$C$14,'THAM_SO_MOI'!$C$13*(1+F1152^2/1500),'THAM_SO_MOI'!$C$13)</f>
        <v>0.020493139648464626</v>
      </c>
      <c r="J1152" s="75">
        <f>'THAM_SO_MOI'!$C$40*('THAM_SO_MOI'!$C$23*(E1152/'THAM_SO_MOI'!$C$22)+'THAM_SO_MOI'!$C$24*(E1152/'THAM_SO_MOI'!$C$22)^2-'THAM_SO_MOI'!$C$25*(E1152/'THAM_SO_MOI'!$C$22)^3)</f>
        <v>103.75575459091067</v>
      </c>
      <c r="K1152" s="75">
        <f>'THAM_SO_MOI'!$C$31*J1152/E1152</f>
        <v>429.14390442056737</v>
      </c>
      <c r="L1152" s="75">
        <f>K1152*'THAM_SO_MOI'!$C$53*'THAM_SO_MOI'!$C$17/'THAM_SO_MOI'!$C$26</f>
        <v>3763.5937209949807</v>
      </c>
      <c r="M1152" s="75">
        <f>'THAM_SO_MOI'!$C$15*'THAM_SO_MOI'!$C$16*F1152^2</f>
        <v>1606.7433471759036</v>
      </c>
      <c r="N1152" s="75">
        <f>'THAM_SO_MOI'!$C$12*I1152</f>
        <v>1543.9695356270438</v>
      </c>
      <c r="O1152" s="75">
        <f>M1152+N1152</f>
        <v>3150.712882802947</v>
      </c>
      <c r="P1152" s="75">
        <f>(MIN(L1152,'THAM_SO_MOI'!$C$41)-O1152)/('THAM_SO_MOI'!$C$11*H1152)</f>
        <v>0.07254744770265545</v>
      </c>
      <c r="Q1152" s="75">
        <f>IF(P1152&gt;0,1/P1152,NA())</f>
        <v>13.784082440758244</v>
      </c>
      <c r="R1152" s="75">
        <f>F1152-F1151</f>
        <v>0.0035868055555567935</v>
      </c>
      <c r="S1152" s="75">
        <f>0.5*(Q1151+Q1152)*R1152</f>
        <v>0.04941418236401149</v>
      </c>
      <c r="T1152" s="75">
        <f>0.5*(F1151*Q1151+F1152*Q1152)*R1152</f>
        <v>1.15805375374752</v>
      </c>
      <c r="U1152" s="76">
        <f>U1151+S1152</f>
        <v>87.04448689278414</v>
      </c>
      <c r="V1152" s="76">
        <f>V1151+T1152</f>
        <v>1458.0637559411457</v>
      </c>
    </row>
    <row r="1153" spans="1:22" ht="19" customHeight="1">
      <c r="A1153" s="68" t="s">
        <v>362</v>
      </c>
      <c r="B1153" s="74">
        <v>5</v>
      </c>
      <c r="C1153" s="68" t="s">
        <v>363</v>
      </c>
      <c r="D1153" s="68" t="s">
        <v>365</v>
      </c>
      <c r="E1153" s="75">
        <f>60*F1153*'THAM_SO_MOI'!$C$53/(2*PI()*'THAM_SO_MOI'!$C$26)</f>
        <v>2309.558789473683</v>
      </c>
      <c r="F1153" s="75">
        <f>'THAM_SO_MOI'!$C$14+('THAM_SO_MOI'!$C$37-'THAM_SO_MOI'!$C$14)*346/'THAM_SO_MOI'!$C$42</f>
        <v>23.44103472222222</v>
      </c>
      <c r="G1153" s="75">
        <f>3.6*F1153</f>
        <v>84.38772499999999</v>
      </c>
      <c r="H1153" s="75">
        <f>'THAM_SO_MOI'!$D$53</f>
        <v>1.1</v>
      </c>
      <c r="I1153" s="75">
        <f>IF(F1153&gt;='THAM_SO_MOI'!$C$14,'THAM_SO_MOI'!$C$13*(1+F1153^2/1500),'THAM_SO_MOI'!$C$13)</f>
        <v>0.02049482108848428</v>
      </c>
      <c r="J1153" s="75">
        <f>'THAM_SO_MOI'!$C$40*('THAM_SO_MOI'!$C$23*(E1153/'THAM_SO_MOI'!$C$22)+'THAM_SO_MOI'!$C$24*(E1153/'THAM_SO_MOI'!$C$22)^2-'THAM_SO_MOI'!$C$25*(E1153/'THAM_SO_MOI'!$C$22)^3)</f>
        <v>103.7704499346284</v>
      </c>
      <c r="K1153" s="75">
        <f>'THAM_SO_MOI'!$C$31*J1153/E1153</f>
        <v>429.13901148443625</v>
      </c>
      <c r="L1153" s="75">
        <f>K1153*'THAM_SO_MOI'!$C$53*'THAM_SO_MOI'!$C$17/'THAM_SO_MOI'!$C$26</f>
        <v>3763.5508099259646</v>
      </c>
      <c r="M1153" s="75">
        <f>'THAM_SO_MOI'!$C$15*'THAM_SO_MOI'!$C$16*F1153^2</f>
        <v>1607.2351683816512</v>
      </c>
      <c r="N1153" s="75">
        <f>'THAM_SO_MOI'!$C$12*I1153</f>
        <v>1544.0962166632764</v>
      </c>
      <c r="O1153" s="75">
        <f>M1153+N1153</f>
        <v>3151.3313850449276</v>
      </c>
      <c r="P1153" s="75">
        <f>(MIN(L1153,'THAM_SO_MOI'!$C$41)-O1153)/('THAM_SO_MOI'!$C$11*H1153)</f>
        <v>0.07246915540731974</v>
      </c>
      <c r="Q1153" s="75">
        <f>IF(P1153&gt;0,1/P1153,NA())</f>
        <v>13.79897412049865</v>
      </c>
      <c r="R1153" s="75">
        <f>F1153-F1152</f>
        <v>0.0035868055555532408</v>
      </c>
      <c r="S1153" s="75">
        <f>0.5*(Q1152+Q1153)*R1153</f>
        <v>0.04946753025652775</v>
      </c>
      <c r="T1153" s="75">
        <f>0.5*(F1152*Q1152+F1153*Q1153)*R1153</f>
        <v>1.1594814270556864</v>
      </c>
      <c r="U1153" s="76">
        <f>U1152+S1153</f>
        <v>87.09395442304066</v>
      </c>
      <c r="V1153" s="76">
        <f>V1152+T1153</f>
        <v>1459.2232373682014</v>
      </c>
    </row>
    <row r="1154" spans="1:22" ht="19" customHeight="1">
      <c r="A1154" s="68" t="s">
        <v>362</v>
      </c>
      <c r="B1154" s="74">
        <v>5</v>
      </c>
      <c r="C1154" s="68" t="s">
        <v>363</v>
      </c>
      <c r="D1154" s="68" t="s">
        <v>365</v>
      </c>
      <c r="E1154" s="75">
        <f>60*F1154*'THAM_SO_MOI'!$C$53/(2*PI()*'THAM_SO_MOI'!$C$26)</f>
        <v>2309.9121842105255</v>
      </c>
      <c r="F1154" s="75">
        <f>'THAM_SO_MOI'!$C$14+('THAM_SO_MOI'!$C$37-'THAM_SO_MOI'!$C$14)*347/'THAM_SO_MOI'!$C$42</f>
        <v>23.444621527777777</v>
      </c>
      <c r="G1154" s="75">
        <f>3.6*F1154</f>
        <v>84.4006375</v>
      </c>
      <c r="H1154" s="75">
        <f>'THAM_SO_MOI'!$D$53</f>
        <v>1.1</v>
      </c>
      <c r="I1154" s="75">
        <f>IF(F1154&gt;='THAM_SO_MOI'!$C$14,'THAM_SO_MOI'!$C$13*(1+F1154^2/1500),'THAM_SO_MOI'!$C$13)</f>
        <v>0.020496502785807412</v>
      </c>
      <c r="J1154" s="75">
        <f>'THAM_SO_MOI'!$C$40*('THAM_SO_MOI'!$C$23*(E1154/'THAM_SO_MOI'!$C$22)+'THAM_SO_MOI'!$C$24*(E1154/'THAM_SO_MOI'!$C$22)^2-'THAM_SO_MOI'!$C$25*(E1154/'THAM_SO_MOI'!$C$22)^3)</f>
        <v>103.78514198604043</v>
      </c>
      <c r="K1154" s="75">
        <f>'THAM_SO_MOI'!$C$31*J1154/E1154</f>
        <v>429.13410643232055</v>
      </c>
      <c r="L1154" s="75">
        <f>K1154*'THAM_SO_MOI'!$C$53*'THAM_SO_MOI'!$C$17/'THAM_SO_MOI'!$C$26</f>
        <v>3763.507792599716</v>
      </c>
      <c r="M1154" s="75">
        <f>'THAM_SO_MOI'!$C$15*'THAM_SO_MOI'!$C$16*F1154^2</f>
        <v>1607.727064848668</v>
      </c>
      <c r="N1154" s="75">
        <f>'THAM_SO_MOI'!$C$12*I1154</f>
        <v>1544.2229170849591</v>
      </c>
      <c r="O1154" s="75">
        <f>M1154+N1154</f>
        <v>3151.949981933627</v>
      </c>
      <c r="P1154" s="75">
        <f>(MIN(L1154,'THAM_SO_MOI'!$C$41)-O1154)/('THAM_SO_MOI'!$C$11*H1154)</f>
        <v>0.07239083933073973</v>
      </c>
      <c r="Q1154" s="75">
        <f>IF(P1154&gt;0,1/P1154,NA())</f>
        <v>13.813902549619485</v>
      </c>
      <c r="R1154" s="75">
        <f>F1154-F1153</f>
        <v>0.0035868055555567935</v>
      </c>
      <c r="S1154" s="75">
        <f>0.5*(Q1153+Q1154)*R1154</f>
        <v>0.049521009722642145</v>
      </c>
      <c r="T1154" s="75">
        <f>0.5*(F1153*Q1153+F1154*Q1154)*R1154</f>
        <v>1.1609125675185636</v>
      </c>
      <c r="U1154" s="76">
        <f>U1153+S1154</f>
        <v>87.1434754327633</v>
      </c>
      <c r="V1154" s="76">
        <f>V1153+T1154</f>
        <v>1460.38414993572</v>
      </c>
    </row>
    <row r="1155" spans="1:22" ht="19" customHeight="1">
      <c r="A1155" s="68" t="s">
        <v>362</v>
      </c>
      <c r="B1155" s="74">
        <v>5</v>
      </c>
      <c r="C1155" s="68" t="s">
        <v>363</v>
      </c>
      <c r="D1155" s="68" t="s">
        <v>365</v>
      </c>
      <c r="E1155" s="75">
        <f>60*F1155*'THAM_SO_MOI'!$C$53/(2*PI()*'THAM_SO_MOI'!$C$26)</f>
        <v>2310.265578947368</v>
      </c>
      <c r="F1155" s="75">
        <f>'THAM_SO_MOI'!$C$14+('THAM_SO_MOI'!$C$37-'THAM_SO_MOI'!$C$14)*348/'THAM_SO_MOI'!$C$42</f>
        <v>23.448208333333334</v>
      </c>
      <c r="G1155" s="75">
        <f>3.6*F1155</f>
        <v>84.41355</v>
      </c>
      <c r="H1155" s="75">
        <f>'THAM_SO_MOI'!$D$53</f>
        <v>1.1</v>
      </c>
      <c r="I1155" s="75">
        <f>IF(F1155&gt;='THAM_SO_MOI'!$C$14,'THAM_SO_MOI'!$C$13*(1+F1155^2/1500),'THAM_SO_MOI'!$C$13)</f>
        <v>0.020498184740434026</v>
      </c>
      <c r="J1155" s="75">
        <f>'THAM_SO_MOI'!$C$40*('THAM_SO_MOI'!$C$23*(E1155/'THAM_SO_MOI'!$C$22)+'THAM_SO_MOI'!$C$24*(E1155/'THAM_SO_MOI'!$C$22)^2-'THAM_SO_MOI'!$C$25*(E1155/'THAM_SO_MOI'!$C$22)^3)</f>
        <v>103.79983074380185</v>
      </c>
      <c r="K1155" s="75">
        <f>'THAM_SO_MOI'!$C$31*J1155/E1155</f>
        <v>429.12918926422043</v>
      </c>
      <c r="L1155" s="75">
        <f>K1155*'THAM_SO_MOI'!$C$53*'THAM_SO_MOI'!$C$17/'THAM_SO_MOI'!$C$26</f>
        <v>3763.4646690162376</v>
      </c>
      <c r="M1155" s="75">
        <f>'THAM_SO_MOI'!$C$15*'THAM_SO_MOI'!$C$16*F1155^2</f>
        <v>1608.2190365769532</v>
      </c>
      <c r="N1155" s="75">
        <f>'THAM_SO_MOI'!$C$12*I1155</f>
        <v>1544.349636892092</v>
      </c>
      <c r="O1155" s="75">
        <f>M1155+N1155</f>
        <v>3152.5686734690453</v>
      </c>
      <c r="P1155" s="75">
        <f>(MIN(L1155,'THAM_SO_MOI'!$C$41)-O1155)/('THAM_SO_MOI'!$C$11*H1155)</f>
        <v>0.07231249947291576</v>
      </c>
      <c r="Q1155" s="75">
        <f>IF(P1155&gt;0,1/P1155,NA())</f>
        <v>13.828867862250348</v>
      </c>
      <c r="R1155" s="75">
        <f>F1155-F1154</f>
        <v>0.0035868055555567935</v>
      </c>
      <c r="S1155" s="75">
        <f>0.5*(Q1154+Q1155)*R1155</f>
        <v>0.04957462124213784</v>
      </c>
      <c r="T1155" s="75">
        <f>0.5*(F1154*Q1154+F1155*Q1155)*R1155</f>
        <v>1.1623471878011353</v>
      </c>
      <c r="U1155" s="76">
        <f>U1154+S1155</f>
        <v>87.19305005400544</v>
      </c>
      <c r="V1155" s="76">
        <f>V1154+T1155</f>
        <v>1461.546497123521</v>
      </c>
    </row>
    <row r="1156" spans="1:22" ht="19" customHeight="1">
      <c r="A1156" s="68" t="s">
        <v>362</v>
      </c>
      <c r="B1156" s="74">
        <v>5</v>
      </c>
      <c r="C1156" s="68" t="s">
        <v>363</v>
      </c>
      <c r="D1156" s="68" t="s">
        <v>365</v>
      </c>
      <c r="E1156" s="75">
        <f>60*F1156*'THAM_SO_MOI'!$C$53/(2*PI()*'THAM_SO_MOI'!$C$26)</f>
        <v>2310.61897368421</v>
      </c>
      <c r="F1156" s="75">
        <f>'THAM_SO_MOI'!$C$14+('THAM_SO_MOI'!$C$37-'THAM_SO_MOI'!$C$14)*349/'THAM_SO_MOI'!$C$42</f>
        <v>23.451795138888887</v>
      </c>
      <c r="G1156" s="75">
        <f>3.6*F1156</f>
        <v>84.4264625</v>
      </c>
      <c r="H1156" s="75">
        <f>'THAM_SO_MOI'!$D$53</f>
        <v>1.1</v>
      </c>
      <c r="I1156" s="75">
        <f>IF(F1156&gt;='THAM_SO_MOI'!$C$14,'THAM_SO_MOI'!$C$13*(1+F1156^2/1500),'THAM_SO_MOI'!$C$13)</f>
        <v>0.020499866952364124</v>
      </c>
      <c r="J1156" s="75">
        <f>'THAM_SO_MOI'!$C$40*('THAM_SO_MOI'!$C$23*(E1156/'THAM_SO_MOI'!$C$22)+'THAM_SO_MOI'!$C$24*(E1156/'THAM_SO_MOI'!$C$22)^2-'THAM_SO_MOI'!$C$25*(E1156/'THAM_SO_MOI'!$C$22)^3)</f>
        <v>103.81451620656775</v>
      </c>
      <c r="K1156" s="75">
        <f>'THAM_SO_MOI'!$C$31*J1156/E1156</f>
        <v>429.1242599801359</v>
      </c>
      <c r="L1156" s="75">
        <f>K1156*'THAM_SO_MOI'!$C$53*'THAM_SO_MOI'!$C$17/'THAM_SO_MOI'!$C$26</f>
        <v>3763.421439175528</v>
      </c>
      <c r="M1156" s="75">
        <f>'THAM_SO_MOI'!$C$15*'THAM_SO_MOI'!$C$16*F1156^2</f>
        <v>1608.7110835665064</v>
      </c>
      <c r="N1156" s="75">
        <f>'THAM_SO_MOI'!$C$12*I1156</f>
        <v>1544.476376084675</v>
      </c>
      <c r="O1156" s="75">
        <f>M1156+N1156</f>
        <v>3153.1874596511816</v>
      </c>
      <c r="P1156" s="75">
        <f>(MIN(L1156,'THAM_SO_MOI'!$C$41)-O1156)/('THAM_SO_MOI'!$C$11*H1156)</f>
        <v>0.07223413583384784</v>
      </c>
      <c r="Q1156" s="75">
        <f>IF(P1156&gt;0,1/P1156,NA())</f>
        <v>13.84387019317555</v>
      </c>
      <c r="R1156" s="75">
        <f>F1156-F1155</f>
        <v>0.0035868055555532408</v>
      </c>
      <c r="S1156" s="75">
        <f>0.5*(Q1155+Q1156)*R1156</f>
        <v>0.04962836529728559</v>
      </c>
      <c r="T1156" s="75">
        <f>0.5*(F1155*Q1155+F1156*Q1156)*R1156</f>
        <v>1.1637853006336034</v>
      </c>
      <c r="U1156" s="76">
        <f>U1155+S1156</f>
        <v>87.24267841930272</v>
      </c>
      <c r="V1156" s="76">
        <f>V1155+T1156</f>
        <v>1462.7102824241547</v>
      </c>
    </row>
    <row r="1157" spans="1:22" ht="19" customHeight="1">
      <c r="A1157" s="68" t="s">
        <v>362</v>
      </c>
      <c r="B1157" s="74">
        <v>5</v>
      </c>
      <c r="C1157" s="68" t="s">
        <v>363</v>
      </c>
      <c r="D1157" s="68" t="s">
        <v>365</v>
      </c>
      <c r="E1157" s="75">
        <f>60*F1157*'THAM_SO_MOI'!$C$53/(2*PI()*'THAM_SO_MOI'!$C$26)</f>
        <v>2310.972368421052</v>
      </c>
      <c r="F1157" s="75">
        <f>'THAM_SO_MOI'!$C$14+('THAM_SO_MOI'!$C$37-'THAM_SO_MOI'!$C$14)*350/'THAM_SO_MOI'!$C$42</f>
        <v>23.455381944444444</v>
      </c>
      <c r="G1157" s="75">
        <f>3.6*F1157</f>
        <v>84.439375</v>
      </c>
      <c r="H1157" s="75">
        <f>'THAM_SO_MOI'!$D$53</f>
        <v>1.1</v>
      </c>
      <c r="I1157" s="75">
        <f>IF(F1157&gt;='THAM_SO_MOI'!$C$14,'THAM_SO_MOI'!$C$13*(1+F1157^2/1500),'THAM_SO_MOI'!$C$13)</f>
        <v>0.020501549421597706</v>
      </c>
      <c r="J1157" s="75">
        <f>'THAM_SO_MOI'!$C$40*('THAM_SO_MOI'!$C$23*(E1157/'THAM_SO_MOI'!$C$22)+'THAM_SO_MOI'!$C$24*(E1157/'THAM_SO_MOI'!$C$22)^2-'THAM_SO_MOI'!$C$25*(E1157/'THAM_SO_MOI'!$C$22)^3)</f>
        <v>103.82919837299328</v>
      </c>
      <c r="K1157" s="75">
        <f>'THAM_SO_MOI'!$C$31*J1157/E1157</f>
        <v>429.11931858006693</v>
      </c>
      <c r="L1157" s="75">
        <f>K1157*'THAM_SO_MOI'!$C$53*'THAM_SO_MOI'!$C$17/'THAM_SO_MOI'!$C$26</f>
        <v>3763.3781030775876</v>
      </c>
      <c r="M1157" s="75">
        <f>'THAM_SO_MOI'!$C$15*'THAM_SO_MOI'!$C$16*F1157^2</f>
        <v>1609.2032058173284</v>
      </c>
      <c r="N1157" s="75">
        <f>'THAM_SO_MOI'!$C$12*I1157</f>
        <v>1544.6031346627085</v>
      </c>
      <c r="O1157" s="75">
        <f>M1157+N1157</f>
        <v>3153.806340480037</v>
      </c>
      <c r="P1157" s="75">
        <f>(MIN(L1157,'THAM_SO_MOI'!$C$41)-O1157)/('THAM_SO_MOI'!$C$11*H1157)</f>
        <v>0.07215574841353581</v>
      </c>
      <c r="Q1157" s="75">
        <f>IF(P1157&gt;0,1/P1157,NA())</f>
        <v>13.858909677838065</v>
      </c>
      <c r="R1157" s="75">
        <f>F1157-F1156</f>
        <v>0.0035868055555567935</v>
      </c>
      <c r="S1157" s="75">
        <f>0.5*(Q1156+Q1157)*R1157</f>
        <v>0.04968224237285927</v>
      </c>
      <c r="T1157" s="75">
        <f>0.5*(F1156*Q1156+F1157*Q1157)*R1157</f>
        <v>1.1652269188117954</v>
      </c>
      <c r="U1157" s="76">
        <f>U1156+S1157</f>
        <v>87.29236066167557</v>
      </c>
      <c r="V1157" s="76">
        <f>V1156+T1157</f>
        <v>1463.8755093429666</v>
      </c>
    </row>
    <row r="1158" spans="1:22" ht="19" customHeight="1">
      <c r="A1158" s="68" t="s">
        <v>362</v>
      </c>
      <c r="B1158" s="74">
        <v>5</v>
      </c>
      <c r="C1158" s="68" t="s">
        <v>363</v>
      </c>
      <c r="D1158" s="68" t="s">
        <v>365</v>
      </c>
      <c r="E1158" s="75">
        <f>60*F1158*'THAM_SO_MOI'!$C$53/(2*PI()*'THAM_SO_MOI'!$C$26)</f>
        <v>2311.3257631578945</v>
      </c>
      <c r="F1158" s="75">
        <f>'THAM_SO_MOI'!$C$14+('THAM_SO_MOI'!$C$37-'THAM_SO_MOI'!$C$14)*351/'THAM_SO_MOI'!$C$42</f>
        <v>23.45896875</v>
      </c>
      <c r="G1158" s="75">
        <f>3.6*F1158</f>
        <v>84.4522875</v>
      </c>
      <c r="H1158" s="75">
        <f>'THAM_SO_MOI'!$D$53</f>
        <v>1.1</v>
      </c>
      <c r="I1158" s="75">
        <f>IF(F1158&gt;='THAM_SO_MOI'!$C$14,'THAM_SO_MOI'!$C$13*(1+F1158^2/1500),'THAM_SO_MOI'!$C$13)</f>
        <v>0.020503232148134765</v>
      </c>
      <c r="J1158" s="75">
        <f>'THAM_SO_MOI'!$C$40*('THAM_SO_MOI'!$C$23*(E1158/'THAM_SO_MOI'!$C$22)+'THAM_SO_MOI'!$C$24*(E1158/'THAM_SO_MOI'!$C$22)^2-'THAM_SO_MOI'!$C$25*(E1158/'THAM_SO_MOI'!$C$22)^3)</f>
        <v>103.84387724173351</v>
      </c>
      <c r="K1158" s="75">
        <f>'THAM_SO_MOI'!$C$31*J1158/E1158</f>
        <v>429.11436506401344</v>
      </c>
      <c r="L1158" s="75">
        <f>K1158*'THAM_SO_MOI'!$C$53*'THAM_SO_MOI'!$C$17/'THAM_SO_MOI'!$C$26</f>
        <v>3763.3346607224157</v>
      </c>
      <c r="M1158" s="75">
        <f>'THAM_SO_MOI'!$C$15*'THAM_SO_MOI'!$C$16*F1158^2</f>
        <v>1609.6954033294192</v>
      </c>
      <c r="N1158" s="75">
        <f>'THAM_SO_MOI'!$C$12*I1158</f>
        <v>1544.7299126261917</v>
      </c>
      <c r="O1158" s="75">
        <f>M1158+N1158</f>
        <v>3154.425315955611</v>
      </c>
      <c r="P1158" s="75">
        <f>(MIN(L1158,'THAM_SO_MOI'!$C$41)-O1158)/('THAM_SO_MOI'!$C$11*H1158)</f>
        <v>0.07207733721197974</v>
      </c>
      <c r="Q1158" s="75">
        <f>IF(P1158&gt;0,1/P1158,NA())</f>
        <v>13.873986452343486</v>
      </c>
      <c r="R1158" s="75">
        <f>F1158-F1157</f>
        <v>0.0035868055555567935</v>
      </c>
      <c r="S1158" s="75">
        <f>0.5*(Q1157+Q1158)*R1158</f>
        <v>0.04973625295570734</v>
      </c>
      <c r="T1158" s="75">
        <f>0.5*(F1157*Q1157+F1158*Q1158)*R1158</f>
        <v>1.1666720551871588</v>
      </c>
      <c r="U1158" s="76">
        <f>U1157+S1158</f>
        <v>87.34209691463128</v>
      </c>
      <c r="V1158" s="76">
        <f>V1157+T1158</f>
        <v>1465.0421813981536</v>
      </c>
    </row>
    <row r="1159" spans="1:22" ht="19" customHeight="1">
      <c r="A1159" s="68" t="s">
        <v>362</v>
      </c>
      <c r="B1159" s="74">
        <v>5</v>
      </c>
      <c r="C1159" s="68" t="s">
        <v>363</v>
      </c>
      <c r="D1159" s="68" t="s">
        <v>365</v>
      </c>
      <c r="E1159" s="75">
        <f>60*F1159*'THAM_SO_MOI'!$C$53/(2*PI()*'THAM_SO_MOI'!$C$26)</f>
        <v>2311.679157894736</v>
      </c>
      <c r="F1159" s="75">
        <f>'THAM_SO_MOI'!$C$14+('THAM_SO_MOI'!$C$37-'THAM_SO_MOI'!$C$14)*352/'THAM_SO_MOI'!$C$42</f>
        <v>23.462555555555554</v>
      </c>
      <c r="G1159" s="75">
        <f>3.6*F1159</f>
        <v>84.4652</v>
      </c>
      <c r="H1159" s="75">
        <f>'THAM_SO_MOI'!$D$53</f>
        <v>1.1</v>
      </c>
      <c r="I1159" s="75">
        <f>IF(F1159&gt;='THAM_SO_MOI'!$C$14,'THAM_SO_MOI'!$C$13*(1+F1159^2/1500),'THAM_SO_MOI'!$C$13)</f>
        <v>0.020504915131975308</v>
      </c>
      <c r="J1159" s="75">
        <f>'THAM_SO_MOI'!$C$40*('THAM_SO_MOI'!$C$23*(E1159/'THAM_SO_MOI'!$C$22)+'THAM_SO_MOI'!$C$24*(E1159/'THAM_SO_MOI'!$C$22)^2-'THAM_SO_MOI'!$C$25*(E1159/'THAM_SO_MOI'!$C$22)^3)</f>
        <v>103.85855281144352</v>
      </c>
      <c r="K1159" s="75">
        <f>'THAM_SO_MOI'!$C$31*J1159/E1159</f>
        <v>429.1093994319755</v>
      </c>
      <c r="L1159" s="75">
        <f>K1159*'THAM_SO_MOI'!$C$53*'THAM_SO_MOI'!$C$17/'THAM_SO_MOI'!$C$26</f>
        <v>3763.2911121100124</v>
      </c>
      <c r="M1159" s="75">
        <f>'THAM_SO_MOI'!$C$15*'THAM_SO_MOI'!$C$16*F1159^2</f>
        <v>1610.1876761027777</v>
      </c>
      <c r="N1159" s="75">
        <f>'THAM_SO_MOI'!$C$12*I1159</f>
        <v>1544.8567099751253</v>
      </c>
      <c r="O1159" s="75">
        <f>M1159+N1159</f>
        <v>3155.0443860779033</v>
      </c>
      <c r="P1159" s="75">
        <f>(MIN(L1159,'THAM_SO_MOI'!$C$41)-O1159)/('THAM_SO_MOI'!$C$11*H1159)</f>
        <v>0.07199890222917958</v>
      </c>
      <c r="Q1159" s="75">
        <f>IF(P1159&gt;0,1/P1159,NA())</f>
        <v>13.889100653464157</v>
      </c>
      <c r="R1159" s="75">
        <f>F1159-F1158</f>
        <v>0.0035868055555532408</v>
      </c>
      <c r="S1159" s="75">
        <f>0.5*(Q1158+Q1159)*R1159</f>
        <v>0.049790397535209696</v>
      </c>
      <c r="T1159" s="75">
        <f>0.5*(F1158*Q1158+F1159*Q1159)*R1159</f>
        <v>1.1681207226775148</v>
      </c>
      <c r="U1159" s="76">
        <f>U1158+S1159</f>
        <v>87.39188731216649</v>
      </c>
      <c r="V1159" s="76">
        <f>V1158+T1159</f>
        <v>1466.210302120831</v>
      </c>
    </row>
    <row r="1160" spans="1:22" ht="19" customHeight="1">
      <c r="A1160" s="68" t="s">
        <v>362</v>
      </c>
      <c r="B1160" s="74">
        <v>5</v>
      </c>
      <c r="C1160" s="68" t="s">
        <v>363</v>
      </c>
      <c r="D1160" s="68" t="s">
        <v>365</v>
      </c>
      <c r="E1160" s="75">
        <f>60*F1160*'THAM_SO_MOI'!$C$53/(2*PI()*'THAM_SO_MOI'!$C$26)</f>
        <v>2312.0325526315783</v>
      </c>
      <c r="F1160" s="75">
        <f>'THAM_SO_MOI'!$C$14+('THAM_SO_MOI'!$C$37-'THAM_SO_MOI'!$C$14)*353/'THAM_SO_MOI'!$C$42</f>
        <v>23.46614236111111</v>
      </c>
      <c r="G1160" s="75">
        <f>3.6*F1160</f>
        <v>84.4781125</v>
      </c>
      <c r="H1160" s="75">
        <f>'THAM_SO_MOI'!$D$53</f>
        <v>1.1</v>
      </c>
      <c r="I1160" s="75">
        <f>IF(F1160&gt;='THAM_SO_MOI'!$C$14,'THAM_SO_MOI'!$C$13*(1+F1160^2/1500),'THAM_SO_MOI'!$C$13)</f>
        <v>0.02050659837311933</v>
      </c>
      <c r="J1160" s="75">
        <f>'THAM_SO_MOI'!$C$40*('THAM_SO_MOI'!$C$23*(E1160/'THAM_SO_MOI'!$C$22)+'THAM_SO_MOI'!$C$24*(E1160/'THAM_SO_MOI'!$C$22)^2-'THAM_SO_MOI'!$C$25*(E1160/'THAM_SO_MOI'!$C$22)^3)</f>
        <v>103.87322508077852</v>
      </c>
      <c r="K1160" s="75">
        <f>'THAM_SO_MOI'!$C$31*J1160/E1160</f>
        <v>429.10442168395315</v>
      </c>
      <c r="L1160" s="75">
        <f>K1160*'THAM_SO_MOI'!$C$53*'THAM_SO_MOI'!$C$17/'THAM_SO_MOI'!$C$26</f>
        <v>3763.247457240379</v>
      </c>
      <c r="M1160" s="75">
        <f>'THAM_SO_MOI'!$C$15*'THAM_SO_MOI'!$C$16*F1160^2</f>
        <v>1610.680024137405</v>
      </c>
      <c r="N1160" s="75">
        <f>'THAM_SO_MOI'!$C$12*I1160</f>
        <v>1544.983526709509</v>
      </c>
      <c r="O1160" s="75">
        <f>M1160+N1160</f>
        <v>3155.6635508469144</v>
      </c>
      <c r="P1160" s="75">
        <f>(MIN(L1160,'THAM_SO_MOI'!$C$41)-O1160)/('THAM_SO_MOI'!$C$11*H1160)</f>
        <v>0.07192044346513553</v>
      </c>
      <c r="Q1160" s="75">
        <f>IF(P1160&gt;0,1/P1160,NA())</f>
        <v>13.90425241864317</v>
      </c>
      <c r="R1160" s="75">
        <f>F1160-F1159</f>
        <v>0.0035868055555567935</v>
      </c>
      <c r="S1160" s="75">
        <f>0.5*(Q1159+Q1160)*R1160</f>
        <v>0.04984467660329302</v>
      </c>
      <c r="T1160" s="75">
        <f>0.5*(F1159*Q1159+F1160*Q1160)*R1160</f>
        <v>1.1695729342674643</v>
      </c>
      <c r="U1160" s="76">
        <f>U1159+S1160</f>
        <v>87.44173198876979</v>
      </c>
      <c r="V1160" s="76">
        <f>V1159+T1160</f>
        <v>1467.3798750550986</v>
      </c>
    </row>
    <row r="1161" spans="1:22" ht="19" customHeight="1">
      <c r="A1161" s="68" t="s">
        <v>362</v>
      </c>
      <c r="B1161" s="74">
        <v>5</v>
      </c>
      <c r="C1161" s="68" t="s">
        <v>363</v>
      </c>
      <c r="D1161" s="68" t="s">
        <v>365</v>
      </c>
      <c r="E1161" s="75">
        <f>60*F1161*'THAM_SO_MOI'!$C$53/(2*PI()*'THAM_SO_MOI'!$C$26)</f>
        <v>2312.3859473684206</v>
      </c>
      <c r="F1161" s="75">
        <f>'THAM_SO_MOI'!$C$14+('THAM_SO_MOI'!$C$37-'THAM_SO_MOI'!$C$14)*354/'THAM_SO_MOI'!$C$42</f>
        <v>23.469729166666667</v>
      </c>
      <c r="G1161" s="75">
        <f>3.6*F1161</f>
        <v>84.49102500000001</v>
      </c>
      <c r="H1161" s="75">
        <f>'THAM_SO_MOI'!$D$53</f>
        <v>1.1</v>
      </c>
      <c r="I1161" s="75">
        <f>IF(F1161&gt;='THAM_SO_MOI'!$C$14,'THAM_SO_MOI'!$C$13*(1+F1161^2/1500),'THAM_SO_MOI'!$C$13)</f>
        <v>0.02050828187156684</v>
      </c>
      <c r="J1161" s="75">
        <f>'THAM_SO_MOI'!$C$40*('THAM_SO_MOI'!$C$23*(E1161/'THAM_SO_MOI'!$C$22)+'THAM_SO_MOI'!$C$24*(E1161/'THAM_SO_MOI'!$C$22)^2-'THAM_SO_MOI'!$C$25*(E1161/'THAM_SO_MOI'!$C$22)^3)</f>
        <v>103.88789404839355</v>
      </c>
      <c r="K1161" s="75">
        <f>'THAM_SO_MOI'!$C$31*J1161/E1161</f>
        <v>429.09943181994623</v>
      </c>
      <c r="L1161" s="75">
        <f>K1161*'THAM_SO_MOI'!$C$53*'THAM_SO_MOI'!$C$17/'THAM_SO_MOI'!$C$26</f>
        <v>3763.203696113513</v>
      </c>
      <c r="M1161" s="75">
        <f>'THAM_SO_MOI'!$C$15*'THAM_SO_MOI'!$C$16*F1161^2</f>
        <v>1611.172447433301</v>
      </c>
      <c r="N1161" s="75">
        <f>'THAM_SO_MOI'!$C$12*I1161</f>
        <v>1545.1103628293429</v>
      </c>
      <c r="O1161" s="75">
        <f>M1161+N1161</f>
        <v>3156.2828102626436</v>
      </c>
      <c r="P1161" s="75">
        <f>(MIN(L1161,'THAM_SO_MOI'!$C$41)-O1161)/('THAM_SO_MOI'!$C$11*H1161)</f>
        <v>0.07184196091984722</v>
      </c>
      <c r="Q1161" s="75">
        <f>IF(P1161&gt;0,1/P1161,NA())</f>
        <v>13.919441885998657</v>
      </c>
      <c r="R1161" s="75">
        <f>F1161-F1160</f>
        <v>0.0035868055555567935</v>
      </c>
      <c r="S1161" s="75">
        <f>0.5*(Q1160+Q1161)*R1161</f>
        <v>0.04989909065400161</v>
      </c>
      <c r="T1161" s="75">
        <f>0.5*(F1160*Q1160+F1161*Q1161)*R1161</f>
        <v>1.1710287029983637</v>
      </c>
      <c r="U1161" s="76">
        <f>U1160+S1161</f>
        <v>87.4916310794238</v>
      </c>
      <c r="V1161" s="76">
        <f>V1160+T1161</f>
        <v>1468.550903758097</v>
      </c>
    </row>
    <row r="1162" spans="1:22" ht="19" customHeight="1">
      <c r="A1162" s="68" t="s">
        <v>362</v>
      </c>
      <c r="B1162" s="74">
        <v>5</v>
      </c>
      <c r="C1162" s="68" t="s">
        <v>363</v>
      </c>
      <c r="D1162" s="68" t="s">
        <v>365</v>
      </c>
      <c r="E1162" s="75">
        <f>60*F1162*'THAM_SO_MOI'!$C$53/(2*PI()*'THAM_SO_MOI'!$C$26)</f>
        <v>2312.7393421052625</v>
      </c>
      <c r="F1162" s="75">
        <f>'THAM_SO_MOI'!$C$14+('THAM_SO_MOI'!$C$37-'THAM_SO_MOI'!$C$14)*355/'THAM_SO_MOI'!$C$42</f>
        <v>23.47331597222222</v>
      </c>
      <c r="G1162" s="75">
        <f>3.6*F1162</f>
        <v>84.50393749999999</v>
      </c>
      <c r="H1162" s="75">
        <f>'THAM_SO_MOI'!$D$53</f>
        <v>1.1</v>
      </c>
      <c r="I1162" s="75">
        <f>IF(F1162&gt;='THAM_SO_MOI'!$C$14,'THAM_SO_MOI'!$C$13*(1+F1162^2/1500),'THAM_SO_MOI'!$C$13)</f>
        <v>0.020509965627317828</v>
      </c>
      <c r="J1162" s="75">
        <f>'THAM_SO_MOI'!$C$40*('THAM_SO_MOI'!$C$23*(E1162/'THAM_SO_MOI'!$C$22)+'THAM_SO_MOI'!$C$24*(E1162/'THAM_SO_MOI'!$C$22)^2-'THAM_SO_MOI'!$C$25*(E1162/'THAM_SO_MOI'!$C$22)^3)</f>
        <v>103.90255971294374</v>
      </c>
      <c r="K1162" s="75">
        <f>'THAM_SO_MOI'!$C$31*J1162/E1162</f>
        <v>429.094429839955</v>
      </c>
      <c r="L1162" s="75">
        <f>K1162*'THAM_SO_MOI'!$C$53*'THAM_SO_MOI'!$C$17/'THAM_SO_MOI'!$C$26</f>
        <v>3763.1598287294173</v>
      </c>
      <c r="M1162" s="75">
        <f>'THAM_SO_MOI'!$C$15*'THAM_SO_MOI'!$C$16*F1162^2</f>
        <v>1611.6649459904647</v>
      </c>
      <c r="N1162" s="75">
        <f>'THAM_SO_MOI'!$C$12*I1162</f>
        <v>1545.237218334627</v>
      </c>
      <c r="O1162" s="75">
        <f>M1162+N1162</f>
        <v>3156.9021643250917</v>
      </c>
      <c r="P1162" s="75">
        <f>(MIN(L1162,'THAM_SO_MOI'!$C$41)-O1162)/('THAM_SO_MOI'!$C$11*H1162)</f>
        <v>0.07176345459331505</v>
      </c>
      <c r="Q1162" s="75">
        <f>IF(P1162&gt;0,1/P1162,NA())</f>
        <v>13.934669194327672</v>
      </c>
      <c r="R1162" s="75">
        <f>F1162-F1161</f>
        <v>0.0035868055555532408</v>
      </c>
      <c r="S1162" s="75">
        <f>0.5*(Q1161+Q1162)*R1162</f>
        <v>0.049953640183955775</v>
      </c>
      <c r="T1162" s="75">
        <f>0.5*(F1161*Q1161+F1162*Q1162)*R1162</f>
        <v>1.1724880419791182</v>
      </c>
      <c r="U1162" s="76">
        <f>U1161+S1162</f>
        <v>87.54158471960776</v>
      </c>
      <c r="V1162" s="76">
        <f>V1161+T1162</f>
        <v>1469.7233918000761</v>
      </c>
    </row>
    <row r="1163" spans="1:22" ht="19" customHeight="1">
      <c r="A1163" s="68" t="s">
        <v>362</v>
      </c>
      <c r="B1163" s="74">
        <v>5</v>
      </c>
      <c r="C1163" s="68" t="s">
        <v>363</v>
      </c>
      <c r="D1163" s="68" t="s">
        <v>365</v>
      </c>
      <c r="E1163" s="75">
        <f>60*F1163*'THAM_SO_MOI'!$C$53/(2*PI()*'THAM_SO_MOI'!$C$26)</f>
        <v>2313.092736842105</v>
      </c>
      <c r="F1163" s="75">
        <f>'THAM_SO_MOI'!$C$14+('THAM_SO_MOI'!$C$37-'THAM_SO_MOI'!$C$14)*356/'THAM_SO_MOI'!$C$42</f>
        <v>23.476902777777777</v>
      </c>
      <c r="G1163" s="75">
        <f>3.6*F1163</f>
        <v>84.51685</v>
      </c>
      <c r="H1163" s="75">
        <f>'THAM_SO_MOI'!$D$53</f>
        <v>1.1</v>
      </c>
      <c r="I1163" s="75">
        <f>IF(F1163&gt;='THAM_SO_MOI'!$C$14,'THAM_SO_MOI'!$C$13*(1+F1163^2/1500),'THAM_SO_MOI'!$C$13)</f>
        <v>0.0205116496403723</v>
      </c>
      <c r="J1163" s="75">
        <f>'THAM_SO_MOI'!$C$40*('THAM_SO_MOI'!$C$23*(E1163/'THAM_SO_MOI'!$C$22)+'THAM_SO_MOI'!$C$24*(E1163/'THAM_SO_MOI'!$C$22)^2-'THAM_SO_MOI'!$C$25*(E1163/'THAM_SO_MOI'!$C$22)^3)</f>
        <v>103.91722207308419</v>
      </c>
      <c r="K1163" s="75">
        <f>'THAM_SO_MOI'!$C$31*J1163/E1163</f>
        <v>429.0894157439792</v>
      </c>
      <c r="L1163" s="75">
        <f>K1163*'THAM_SO_MOI'!$C$53*'THAM_SO_MOI'!$C$17/'THAM_SO_MOI'!$C$26</f>
        <v>3763.11585508809</v>
      </c>
      <c r="M1163" s="75">
        <f>'THAM_SO_MOI'!$C$15*'THAM_SO_MOI'!$C$16*F1163^2</f>
        <v>1612.1575198088979</v>
      </c>
      <c r="N1163" s="75">
        <f>'THAM_SO_MOI'!$C$12*I1163</f>
        <v>1545.3640932253616</v>
      </c>
      <c r="O1163" s="75">
        <f>M1163+N1163</f>
        <v>3157.5216130342596</v>
      </c>
      <c r="P1163" s="75">
        <f>(MIN(L1163,'THAM_SO_MOI'!$C$41)-O1163)/('THAM_SO_MOI'!$C$11*H1163)</f>
        <v>0.07168492448553869</v>
      </c>
      <c r="Q1163" s="75">
        <f>IF(P1163&gt;0,1/P1163,NA())</f>
        <v>13.949934483110662</v>
      </c>
      <c r="R1163" s="75">
        <f>F1163-F1162</f>
        <v>0.0035868055555567935</v>
      </c>
      <c r="S1163" s="75">
        <f>0.5*(Q1162+Q1163)*R1163</f>
        <v>0.05000832569236761</v>
      </c>
      <c r="T1163" s="75">
        <f>0.5*(F1162*Q1162+F1163*Q1163)*R1163</f>
        <v>1.1739509643866015</v>
      </c>
      <c r="U1163" s="76">
        <f>U1162+S1163</f>
        <v>87.59159304530013</v>
      </c>
      <c r="V1163" s="76">
        <f>V1162+T1163</f>
        <v>1470.8973427644628</v>
      </c>
    </row>
    <row r="1164" spans="1:22" ht="19" customHeight="1">
      <c r="A1164" s="68" t="s">
        <v>362</v>
      </c>
      <c r="B1164" s="74">
        <v>5</v>
      </c>
      <c r="C1164" s="68" t="s">
        <v>363</v>
      </c>
      <c r="D1164" s="68" t="s">
        <v>365</v>
      </c>
      <c r="E1164" s="75">
        <f>60*F1164*'THAM_SO_MOI'!$C$53/(2*PI()*'THAM_SO_MOI'!$C$26)</f>
        <v>2313.4461315789467</v>
      </c>
      <c r="F1164" s="75">
        <f>'THAM_SO_MOI'!$C$14+('THAM_SO_MOI'!$C$37-'THAM_SO_MOI'!$C$14)*357/'THAM_SO_MOI'!$C$42</f>
        <v>23.48048958333333</v>
      </c>
      <c r="G1164" s="75">
        <f>3.6*F1164</f>
        <v>84.52976249999999</v>
      </c>
      <c r="H1164" s="75">
        <f>'THAM_SO_MOI'!$D$53</f>
        <v>1.1</v>
      </c>
      <c r="I1164" s="75">
        <f>IF(F1164&gt;='THAM_SO_MOI'!$C$14,'THAM_SO_MOI'!$C$13*(1+F1164^2/1500),'THAM_SO_MOI'!$C$13)</f>
        <v>0.02051333391073025</v>
      </c>
      <c r="J1164" s="75">
        <f>'THAM_SO_MOI'!$C$40*('THAM_SO_MOI'!$C$23*(E1164/'THAM_SO_MOI'!$C$22)+'THAM_SO_MOI'!$C$24*(E1164/'THAM_SO_MOI'!$C$22)^2-'THAM_SO_MOI'!$C$25*(E1164/'THAM_SO_MOI'!$C$22)^3)</f>
        <v>103.93188112747</v>
      </c>
      <c r="K1164" s="75">
        <f>'THAM_SO_MOI'!$C$31*J1164/E1164</f>
        <v>429.08438953201903</v>
      </c>
      <c r="L1164" s="75">
        <f>K1164*'THAM_SO_MOI'!$C$53*'THAM_SO_MOI'!$C$17/'THAM_SO_MOI'!$C$26</f>
        <v>3763.0717751895318</v>
      </c>
      <c r="M1164" s="75">
        <f>'THAM_SO_MOI'!$C$15*'THAM_SO_MOI'!$C$16*F1164^2</f>
        <v>1612.6501688885983</v>
      </c>
      <c r="N1164" s="75">
        <f>'THAM_SO_MOI'!$C$12*I1164</f>
        <v>1545.4909875015458</v>
      </c>
      <c r="O1164" s="75">
        <f>M1164+N1164</f>
        <v>3158.141156390144</v>
      </c>
      <c r="P1164" s="75">
        <f>(MIN(L1164,'THAM_SO_MOI'!$C$41)-O1164)/('THAM_SO_MOI'!$C$11*H1164)</f>
        <v>0.07160637059651843</v>
      </c>
      <c r="Q1164" s="75">
        <f>IF(P1164&gt;0,1/P1164,NA())</f>
        <v>13.965237892515402</v>
      </c>
      <c r="R1164" s="75">
        <f>F1164-F1163</f>
        <v>0.0035868055555532408</v>
      </c>
      <c r="S1164" s="75">
        <f>0.5*(Q1163+Q1164)*R1164</f>
        <v>0.050063147680560964</v>
      </c>
      <c r="T1164" s="75">
        <f>0.5*(F1163*Q1163+F1164*Q1164)*R1164</f>
        <v>1.1754174834544318</v>
      </c>
      <c r="U1164" s="76">
        <f>U1163+S1164</f>
        <v>87.64165619298069</v>
      </c>
      <c r="V1164" s="76">
        <f>V1163+T1164</f>
        <v>1472.0727602479171</v>
      </c>
    </row>
    <row r="1165" spans="1:22" ht="19" customHeight="1">
      <c r="A1165" s="68" t="s">
        <v>362</v>
      </c>
      <c r="B1165" s="74">
        <v>5</v>
      </c>
      <c r="C1165" s="68" t="s">
        <v>363</v>
      </c>
      <c r="D1165" s="68" t="s">
        <v>365</v>
      </c>
      <c r="E1165" s="75">
        <f>60*F1165*'THAM_SO_MOI'!$C$53/(2*PI()*'THAM_SO_MOI'!$C$26)</f>
        <v>2313.799526315789</v>
      </c>
      <c r="F1165" s="75">
        <f>'THAM_SO_MOI'!$C$14+('THAM_SO_MOI'!$C$37-'THAM_SO_MOI'!$C$14)*358/'THAM_SO_MOI'!$C$42</f>
        <v>23.484076388888887</v>
      </c>
      <c r="G1165" s="75">
        <f>3.6*F1165</f>
        <v>84.542675</v>
      </c>
      <c r="H1165" s="75">
        <f>'THAM_SO_MOI'!$D$53</f>
        <v>1.1</v>
      </c>
      <c r="I1165" s="75">
        <f>IF(F1165&gt;='THAM_SO_MOI'!$C$14,'THAM_SO_MOI'!$C$13*(1+F1165^2/1500),'THAM_SO_MOI'!$C$13)</f>
        <v>0.020515018438391684</v>
      </c>
      <c r="J1165" s="75">
        <f>'THAM_SO_MOI'!$C$40*('THAM_SO_MOI'!$C$23*(E1165/'THAM_SO_MOI'!$C$22)+'THAM_SO_MOI'!$C$24*(E1165/'THAM_SO_MOI'!$C$22)^2-'THAM_SO_MOI'!$C$25*(E1165/'THAM_SO_MOI'!$C$22)^3)</f>
        <v>103.94653687475633</v>
      </c>
      <c r="K1165" s="75">
        <f>'THAM_SO_MOI'!$C$31*J1165/E1165</f>
        <v>429.0793512040744</v>
      </c>
      <c r="L1165" s="75">
        <f>K1165*'THAM_SO_MOI'!$C$53*'THAM_SO_MOI'!$C$17/'THAM_SO_MOI'!$C$26</f>
        <v>3763.0275890337425</v>
      </c>
      <c r="M1165" s="75">
        <f>'THAM_SO_MOI'!$C$15*'THAM_SO_MOI'!$C$16*F1165^2</f>
        <v>1613.142893229568</v>
      </c>
      <c r="N1165" s="75">
        <f>'THAM_SO_MOI'!$C$12*I1165</f>
        <v>1545.6179011631802</v>
      </c>
      <c r="O1165" s="75">
        <f>M1165+N1165</f>
        <v>3158.7607943927483</v>
      </c>
      <c r="P1165" s="75">
        <f>(MIN(L1165,'THAM_SO_MOI'!$C$41)-O1165)/('THAM_SO_MOI'!$C$11*H1165)</f>
        <v>0.07152779292625405</v>
      </c>
      <c r="Q1165" s="75">
        <f>IF(P1165&gt;0,1/P1165,NA())</f>
        <v>13.980579563401475</v>
      </c>
      <c r="R1165" s="75">
        <f>F1165-F1164</f>
        <v>0.0035868055555567935</v>
      </c>
      <c r="S1165" s="75">
        <f>0.5*(Q1164+Q1165)*R1165</f>
        <v>0.05011810665272934</v>
      </c>
      <c r="T1165" s="75">
        <f>0.5*(F1164*Q1164+F1165*Q1165)*R1165</f>
        <v>1.1768876124908048</v>
      </c>
      <c r="U1165" s="76">
        <f>U1164+S1165</f>
        <v>87.69177429963342</v>
      </c>
      <c r="V1165" s="76">
        <f>V1164+T1165</f>
        <v>1473.249647860408</v>
      </c>
    </row>
    <row r="1166" spans="1:22" ht="19" customHeight="1">
      <c r="A1166" s="68" t="s">
        <v>362</v>
      </c>
      <c r="B1166" s="74">
        <v>5</v>
      </c>
      <c r="C1166" s="68" t="s">
        <v>363</v>
      </c>
      <c r="D1166" s="68" t="s">
        <v>365</v>
      </c>
      <c r="E1166" s="75">
        <f>60*F1166*'THAM_SO_MOI'!$C$53/(2*PI()*'THAM_SO_MOI'!$C$26)</f>
        <v>2314.152921052631</v>
      </c>
      <c r="F1166" s="75">
        <f>'THAM_SO_MOI'!$C$14+('THAM_SO_MOI'!$C$37-'THAM_SO_MOI'!$C$14)*359/'THAM_SO_MOI'!$C$42</f>
        <v>23.487663194444444</v>
      </c>
      <c r="G1166" s="75">
        <f>3.6*F1166</f>
        <v>84.5555875</v>
      </c>
      <c r="H1166" s="75">
        <f>'THAM_SO_MOI'!$D$53</f>
        <v>1.1</v>
      </c>
      <c r="I1166" s="75">
        <f>IF(F1166&gt;='THAM_SO_MOI'!$C$14,'THAM_SO_MOI'!$C$13*(1+F1166^2/1500),'THAM_SO_MOI'!$C$13)</f>
        <v>0.0205167032233566</v>
      </c>
      <c r="J1166" s="75">
        <f>'THAM_SO_MOI'!$C$40*('THAM_SO_MOI'!$C$23*(E1166/'THAM_SO_MOI'!$C$22)+'THAM_SO_MOI'!$C$24*(E1166/'THAM_SO_MOI'!$C$22)^2-'THAM_SO_MOI'!$C$25*(E1166/'THAM_SO_MOI'!$C$22)^3)</f>
        <v>103.96118931359821</v>
      </c>
      <c r="K1166" s="75">
        <f>'THAM_SO_MOI'!$C$31*J1166/E1166</f>
        <v>429.07430076014515</v>
      </c>
      <c r="L1166" s="75">
        <f>K1166*'THAM_SO_MOI'!$C$53*'THAM_SO_MOI'!$C$17/'THAM_SO_MOI'!$C$26</f>
        <v>3762.983296620721</v>
      </c>
      <c r="M1166" s="75">
        <f>'THAM_SO_MOI'!$C$15*'THAM_SO_MOI'!$C$16*F1166^2</f>
        <v>1613.6356928318062</v>
      </c>
      <c r="N1166" s="75">
        <f>'THAM_SO_MOI'!$C$12*I1166</f>
        <v>1545.744834210265</v>
      </c>
      <c r="O1166" s="75">
        <f>M1166+N1166</f>
        <v>3159.380527042071</v>
      </c>
      <c r="P1166" s="75">
        <f>(MIN(L1166,'THAM_SO_MOI'!$C$41)-O1166)/('THAM_SO_MOI'!$C$11*H1166)</f>
        <v>0.07144919147474549</v>
      </c>
      <c r="Q1166" s="75">
        <f>IF(P1166&gt;0,1/P1166,NA())</f>
        <v>13.995959637324393</v>
      </c>
      <c r="R1166" s="75">
        <f>F1166-F1165</f>
        <v>0.0035868055555567935</v>
      </c>
      <c r="S1166" s="75">
        <f>0.5*(Q1165+Q1166)*R1166</f>
        <v>0.050173203115207975</v>
      </c>
      <c r="T1166" s="75">
        <f>0.5*(F1165*Q1165+F1166*Q1166)*R1166</f>
        <v>1.178361364861451</v>
      </c>
      <c r="U1166" s="76">
        <f>U1165+S1166</f>
        <v>87.74194750274863</v>
      </c>
      <c r="V1166" s="76">
        <f>V1165+T1166</f>
        <v>1474.4280092252695</v>
      </c>
    </row>
    <row r="1167" spans="1:22" ht="19" customHeight="1">
      <c r="A1167" s="68" t="s">
        <v>362</v>
      </c>
      <c r="B1167" s="74">
        <v>5</v>
      </c>
      <c r="C1167" s="68" t="s">
        <v>363</v>
      </c>
      <c r="D1167" s="68" t="s">
        <v>365</v>
      </c>
      <c r="E1167" s="75">
        <f>60*F1167*'THAM_SO_MOI'!$C$53/(2*PI()*'THAM_SO_MOI'!$C$26)</f>
        <v>2314.5063157894733</v>
      </c>
      <c r="F1167" s="75">
        <f>'THAM_SO_MOI'!$C$14+('THAM_SO_MOI'!$C$37-'THAM_SO_MOI'!$C$14)*360/'THAM_SO_MOI'!$C$42</f>
        <v>23.49125</v>
      </c>
      <c r="G1167" s="75">
        <f>3.6*F1167</f>
        <v>84.5685</v>
      </c>
      <c r="H1167" s="75">
        <f>'THAM_SO_MOI'!$D$53</f>
        <v>1.1</v>
      </c>
      <c r="I1167" s="75">
        <f>IF(F1167&gt;='THAM_SO_MOI'!$C$14,'THAM_SO_MOI'!$C$13*(1+F1167^2/1500),'THAM_SO_MOI'!$C$13)</f>
        <v>0.020518388265625</v>
      </c>
      <c r="J1167" s="75">
        <f>'THAM_SO_MOI'!$C$40*('THAM_SO_MOI'!$C$23*(E1167/'THAM_SO_MOI'!$C$22)+'THAM_SO_MOI'!$C$24*(E1167/'THAM_SO_MOI'!$C$22)^2-'THAM_SO_MOI'!$C$25*(E1167/'THAM_SO_MOI'!$C$22)^3)</f>
        <v>103.97583844265084</v>
      </c>
      <c r="K1167" s="75">
        <f>'THAM_SO_MOI'!$C$31*J1167/E1167</f>
        <v>429.0692382002316</v>
      </c>
      <c r="L1167" s="75">
        <f>K1167*'THAM_SO_MOI'!$C$53*'THAM_SO_MOI'!$C$17/'THAM_SO_MOI'!$C$26</f>
        <v>3762.9388979504693</v>
      </c>
      <c r="M1167" s="75">
        <f>'THAM_SO_MOI'!$C$15*'THAM_SO_MOI'!$C$16*F1167^2</f>
        <v>1614.1285676953128</v>
      </c>
      <c r="N1167" s="75">
        <f>'THAM_SO_MOI'!$C$12*I1167</f>
        <v>1545.8717866428</v>
      </c>
      <c r="O1167" s="75">
        <f>M1167+N1167</f>
        <v>3160.0003543381126</v>
      </c>
      <c r="P1167" s="75">
        <f>(MIN(L1167,'THAM_SO_MOI'!$C$41)-O1167)/('THAM_SO_MOI'!$C$11*H1167)</f>
        <v>0.07137056624199292</v>
      </c>
      <c r="Q1167" s="75">
        <f>IF(P1167&gt;0,1/P1167,NA())</f>
        <v>14.011378256539897</v>
      </c>
      <c r="R1167" s="75">
        <f>F1167-F1166</f>
        <v>0.0035868055555567935</v>
      </c>
      <c r="S1167" s="75">
        <f>0.5*(Q1166+Q1167)*R1167</f>
        <v>0.050228437577034366</v>
      </c>
      <c r="T1167" s="75">
        <f>0.5*(F1166*Q1166+F1167*Q1167)*R1167</f>
        <v>1.1798387540028397</v>
      </c>
      <c r="U1167" s="76">
        <f>U1166+S1167</f>
        <v>87.79217594032566</v>
      </c>
      <c r="V1167" s="76">
        <f>V1166+T1167</f>
        <v>1475.6078479792723</v>
      </c>
    </row>
    <row r="1168" spans="1:22" ht="19" customHeight="1">
      <c r="A1168" s="68" t="s">
        <v>362</v>
      </c>
      <c r="B1168" s="74">
        <v>5</v>
      </c>
      <c r="C1168" s="68" t="s">
        <v>363</v>
      </c>
      <c r="D1168" s="68" t="s">
        <v>365</v>
      </c>
      <c r="E1168" s="75">
        <f>60*F1168*'THAM_SO_MOI'!$C$53/(2*PI()*'THAM_SO_MOI'!$C$26)</f>
        <v>2314.859710526315</v>
      </c>
      <c r="F1168" s="75">
        <f>'THAM_SO_MOI'!$C$14+('THAM_SO_MOI'!$C$37-'THAM_SO_MOI'!$C$14)*361/'THAM_SO_MOI'!$C$42</f>
        <v>23.494836805555554</v>
      </c>
      <c r="G1168" s="75">
        <f>3.6*F1168</f>
        <v>84.5814125</v>
      </c>
      <c r="H1168" s="75">
        <f>'THAM_SO_MOI'!$D$53</f>
        <v>1.1</v>
      </c>
      <c r="I1168" s="75">
        <f>IF(F1168&gt;='THAM_SO_MOI'!$C$14,'THAM_SO_MOI'!$C$13*(1+F1168^2/1500),'THAM_SO_MOI'!$C$13)</f>
        <v>0.02052007356519688</v>
      </c>
      <c r="J1168" s="75">
        <f>'THAM_SO_MOI'!$C$40*('THAM_SO_MOI'!$C$23*(E1168/'THAM_SO_MOI'!$C$22)+'THAM_SO_MOI'!$C$24*(E1168/'THAM_SO_MOI'!$C$22)^2-'THAM_SO_MOI'!$C$25*(E1168/'THAM_SO_MOI'!$C$22)^3)</f>
        <v>103.99048426056926</v>
      </c>
      <c r="K1168" s="75">
        <f>'THAM_SO_MOI'!$C$31*J1168/E1168</f>
        <v>429.0641635243336</v>
      </c>
      <c r="L1168" s="75">
        <f>K1168*'THAM_SO_MOI'!$C$53*'THAM_SO_MOI'!$C$17/'THAM_SO_MOI'!$C$26</f>
        <v>3762.8943930229866</v>
      </c>
      <c r="M1168" s="75">
        <f>'THAM_SO_MOI'!$C$15*'THAM_SO_MOI'!$C$16*F1168^2</f>
        <v>1614.621517820087</v>
      </c>
      <c r="N1168" s="75">
        <f>'THAM_SO_MOI'!$C$12*I1168</f>
        <v>1545.998758460785</v>
      </c>
      <c r="O1168" s="75">
        <f>M1168+N1168</f>
        <v>3160.620276280872</v>
      </c>
      <c r="P1168" s="75">
        <f>(MIN(L1168,'THAM_SO_MOI'!$C$41)-O1168)/('THAM_SO_MOI'!$C$11*H1168)</f>
        <v>0.07129191722799653</v>
      </c>
      <c r="Q1168" s="75">
        <f>IF(P1168&gt;0,1/P1168,NA())</f>
        <v>14.02683556400833</v>
      </c>
      <c r="R1168" s="75">
        <f>F1168-F1167</f>
        <v>0.0035868055555532408</v>
      </c>
      <c r="S1168" s="75">
        <f>0.5*(Q1167+Q1168)*R1168</f>
        <v>0.05028381054966602</v>
      </c>
      <c r="T1168" s="75">
        <f>0.5*(F1167*Q1167+F1168*Q1168)*R1168</f>
        <v>1.1813197934155966</v>
      </c>
      <c r="U1168" s="76">
        <f>U1167+S1168</f>
        <v>87.84245975087534</v>
      </c>
      <c r="V1168" s="76">
        <f>V1167+T1168</f>
        <v>1476.789167772688</v>
      </c>
    </row>
    <row r="1169" spans="1:22" ht="19" customHeight="1">
      <c r="A1169" s="68" t="s">
        <v>362</v>
      </c>
      <c r="B1169" s="74">
        <v>5</v>
      </c>
      <c r="C1169" s="68" t="s">
        <v>363</v>
      </c>
      <c r="D1169" s="68" t="s">
        <v>365</v>
      </c>
      <c r="E1169" s="75">
        <f>60*F1169*'THAM_SO_MOI'!$C$53/(2*PI()*'THAM_SO_MOI'!$C$26)</f>
        <v>2315.2131052631576</v>
      </c>
      <c r="F1169" s="75">
        <f>'THAM_SO_MOI'!$C$14+('THAM_SO_MOI'!$C$37-'THAM_SO_MOI'!$C$14)*362/'THAM_SO_MOI'!$C$42</f>
        <v>23.49842361111111</v>
      </c>
      <c r="G1169" s="75">
        <f>3.6*F1169</f>
        <v>84.594325</v>
      </c>
      <c r="H1169" s="75">
        <f>'THAM_SO_MOI'!$D$53</f>
        <v>1.1</v>
      </c>
      <c r="I1169" s="75">
        <f>IF(F1169&gt;='THAM_SO_MOI'!$C$14,'THAM_SO_MOI'!$C$13*(1+F1169^2/1500),'THAM_SO_MOI'!$C$13)</f>
        <v>0.020521759122072238</v>
      </c>
      <c r="J1169" s="75">
        <f>'THAM_SO_MOI'!$C$40*('THAM_SO_MOI'!$C$23*(E1169/'THAM_SO_MOI'!$C$22)+'THAM_SO_MOI'!$C$24*(E1169/'THAM_SO_MOI'!$C$22)^2-'THAM_SO_MOI'!$C$25*(E1169/'THAM_SO_MOI'!$C$22)^3)</f>
        <v>104.00512676600862</v>
      </c>
      <c r="K1169" s="75">
        <f>'THAM_SO_MOI'!$C$31*J1169/E1169</f>
        <v>429.05907673245105</v>
      </c>
      <c r="L1169" s="75">
        <f>K1169*'THAM_SO_MOI'!$C$53*'THAM_SO_MOI'!$C$17/'THAM_SO_MOI'!$C$26</f>
        <v>3762.849781838272</v>
      </c>
      <c r="M1169" s="75">
        <f>'THAM_SO_MOI'!$C$15*'THAM_SO_MOI'!$C$16*F1169^2</f>
        <v>1615.1145432061307</v>
      </c>
      <c r="N1169" s="75">
        <f>'THAM_SO_MOI'!$C$12*I1169</f>
        <v>1546.1257496642202</v>
      </c>
      <c r="O1169" s="75">
        <f>M1169+N1169</f>
        <v>3161.240292870351</v>
      </c>
      <c r="P1169" s="75">
        <f>(MIN(L1169,'THAM_SO_MOI'!$C$41)-O1169)/('THAM_SO_MOI'!$C$11*H1169)</f>
        <v>0.07121324443275581</v>
      </c>
      <c r="Q1169" s="75">
        <f>IF(P1169&gt;0,1/P1169,NA())</f>
        <v>14.042331703399151</v>
      </c>
      <c r="R1169" s="75">
        <f>F1169-F1168</f>
        <v>0.0035868055555567935</v>
      </c>
      <c r="S1169" s="75">
        <f>0.5*(Q1168+Q1169)*R1169</f>
        <v>0.05033932254729502</v>
      </c>
      <c r="T1169" s="75">
        <f>0.5*(F1168*Q1168+F1169*Q1169)*R1169</f>
        <v>1.1828044966719402</v>
      </c>
      <c r="U1169" s="76">
        <f>U1168+S1169</f>
        <v>87.89279907342264</v>
      </c>
      <c r="V1169" s="76">
        <f>V1168+T1169</f>
        <v>1477.9719722693599</v>
      </c>
    </row>
    <row r="1170" spans="1:22" ht="19" customHeight="1">
      <c r="A1170" s="68" t="s">
        <v>362</v>
      </c>
      <c r="B1170" s="74">
        <v>5</v>
      </c>
      <c r="C1170" s="68" t="s">
        <v>363</v>
      </c>
      <c r="D1170" s="68" t="s">
        <v>365</v>
      </c>
      <c r="E1170" s="75">
        <f>60*F1170*'THAM_SO_MOI'!$C$53/(2*PI()*'THAM_SO_MOI'!$C$26)</f>
        <v>2315.5664999999995</v>
      </c>
      <c r="F1170" s="75">
        <f>'THAM_SO_MOI'!$C$14+('THAM_SO_MOI'!$C$37-'THAM_SO_MOI'!$C$14)*363/'THAM_SO_MOI'!$C$42</f>
        <v>23.502010416666664</v>
      </c>
      <c r="G1170" s="75">
        <f>3.6*F1170</f>
        <v>84.6072375</v>
      </c>
      <c r="H1170" s="75">
        <f>'THAM_SO_MOI'!$D$53</f>
        <v>1.1</v>
      </c>
      <c r="I1170" s="75">
        <f>IF(F1170&gt;='THAM_SO_MOI'!$C$14,'THAM_SO_MOI'!$C$13*(1+F1170^2/1500),'THAM_SO_MOI'!$C$13)</f>
        <v>0.020523444936251082</v>
      </c>
      <c r="J1170" s="75">
        <f>'THAM_SO_MOI'!$C$40*('THAM_SO_MOI'!$C$23*(E1170/'THAM_SO_MOI'!$C$22)+'THAM_SO_MOI'!$C$24*(E1170/'THAM_SO_MOI'!$C$22)^2-'THAM_SO_MOI'!$C$25*(E1170/'THAM_SO_MOI'!$C$22)^3)</f>
        <v>104.019765957624</v>
      </c>
      <c r="K1170" s="75">
        <f>'THAM_SO_MOI'!$C$31*J1170/E1170</f>
        <v>429.0539778245842</v>
      </c>
      <c r="L1170" s="75">
        <f>K1170*'THAM_SO_MOI'!$C$53*'THAM_SO_MOI'!$C$17/'THAM_SO_MOI'!$C$26</f>
        <v>3762.805064396328</v>
      </c>
      <c r="M1170" s="75">
        <f>'THAM_SO_MOI'!$C$15*'THAM_SO_MOI'!$C$16*F1170^2</f>
        <v>1615.6076438534424</v>
      </c>
      <c r="N1170" s="75">
        <f>'THAM_SO_MOI'!$C$12*I1170</f>
        <v>1546.2527602531056</v>
      </c>
      <c r="O1170" s="75">
        <f>M1170+N1170</f>
        <v>3161.8604041065482</v>
      </c>
      <c r="P1170" s="75">
        <f>(MIN(L1170,'THAM_SO_MOI'!$C$41)-O1170)/('THAM_SO_MOI'!$C$11*H1170)</f>
        <v>0.0711345478562713</v>
      </c>
      <c r="Q1170" s="75">
        <f>IF(P1170&gt;0,1/P1170,NA())</f>
        <v>14.057866819094977</v>
      </c>
      <c r="R1170" s="75">
        <f>F1170-F1169</f>
        <v>0.0035868055555532408</v>
      </c>
      <c r="S1170" s="75">
        <f>0.5*(Q1169+Q1170)*R1170</f>
        <v>0.05039497408631546</v>
      </c>
      <c r="T1170" s="75">
        <f>0.5*(F1169*Q1169+F1170*Q1170)*R1170</f>
        <v>1.1842928774032122</v>
      </c>
      <c r="U1170" s="76">
        <f>U1169+S1170</f>
        <v>87.94319404750895</v>
      </c>
      <c r="V1170" s="76">
        <f>V1169+T1170</f>
        <v>1479.1562651467632</v>
      </c>
    </row>
    <row r="1171" spans="1:22" ht="19" customHeight="1">
      <c r="A1171" s="68" t="s">
        <v>362</v>
      </c>
      <c r="B1171" s="74">
        <v>5</v>
      </c>
      <c r="C1171" s="68" t="s">
        <v>363</v>
      </c>
      <c r="D1171" s="68" t="s">
        <v>365</v>
      </c>
      <c r="E1171" s="75">
        <f>60*F1171*'THAM_SO_MOI'!$C$53/(2*PI()*'THAM_SO_MOI'!$C$26)</f>
        <v>2315.919894736842</v>
      </c>
      <c r="F1171" s="75">
        <f>'THAM_SO_MOI'!$C$14+('THAM_SO_MOI'!$C$37-'THAM_SO_MOI'!$C$14)*364/'THAM_SO_MOI'!$C$42</f>
        <v>23.50559722222222</v>
      </c>
      <c r="G1171" s="75">
        <f>3.6*F1171</f>
        <v>84.62015</v>
      </c>
      <c r="H1171" s="75">
        <f>'THAM_SO_MOI'!$D$53</f>
        <v>1.1</v>
      </c>
      <c r="I1171" s="75">
        <f>IF(F1171&gt;='THAM_SO_MOI'!$C$14,'THAM_SO_MOI'!$C$13*(1+F1171^2/1500),'THAM_SO_MOI'!$C$13)</f>
        <v>0.02052513100773341</v>
      </c>
      <c r="J1171" s="75">
        <f>'THAM_SO_MOI'!$C$40*('THAM_SO_MOI'!$C$23*(E1171/'THAM_SO_MOI'!$C$22)+'THAM_SO_MOI'!$C$24*(E1171/'THAM_SO_MOI'!$C$22)^2-'THAM_SO_MOI'!$C$25*(E1171/'THAM_SO_MOI'!$C$22)^3)</f>
        <v>104.03440183407055</v>
      </c>
      <c r="K1171" s="75">
        <f>'THAM_SO_MOI'!$C$31*J1171/E1171</f>
        <v>429.04886680073275</v>
      </c>
      <c r="L1171" s="75">
        <f>K1171*'THAM_SO_MOI'!$C$53*'THAM_SO_MOI'!$C$17/'THAM_SO_MOI'!$C$26</f>
        <v>3762.760240697151</v>
      </c>
      <c r="M1171" s="75">
        <f>'THAM_SO_MOI'!$C$15*'THAM_SO_MOI'!$C$16*F1171^2</f>
        <v>1616.1008197620224</v>
      </c>
      <c r="N1171" s="75">
        <f>'THAM_SO_MOI'!$C$12*I1171</f>
        <v>1546.3797902274414</v>
      </c>
      <c r="O1171" s="75">
        <f>M1171+N1171</f>
        <v>3162.480609989464</v>
      </c>
      <c r="P1171" s="75">
        <f>(MIN(L1171,'THAM_SO_MOI'!$C$41)-O1171)/('THAM_SO_MOI'!$C$11*H1171)</f>
        <v>0.07105582749854254</v>
      </c>
      <c r="Q1171" s="75">
        <f>IF(P1171&gt;0,1/P1171,NA())</f>
        <v>14.073441056196431</v>
      </c>
      <c r="R1171" s="75">
        <f>F1171-F1170</f>
        <v>0.0035868055555567935</v>
      </c>
      <c r="S1171" s="75">
        <f>0.5*(Q1170+Q1171)*R1171</f>
        <v>0.0504507656860869</v>
      </c>
      <c r="T1171" s="75">
        <f>0.5*(F1170*Q1170+F1171*Q1171)*R1171</f>
        <v>1.1857849493178638</v>
      </c>
      <c r="U1171" s="76">
        <f>U1170+S1171</f>
        <v>87.99364481319505</v>
      </c>
      <c r="V1171" s="76">
        <f>V1170+T1171</f>
        <v>1480.342050096081</v>
      </c>
    </row>
    <row r="1172" spans="1:22" ht="19" customHeight="1">
      <c r="A1172" s="68" t="s">
        <v>362</v>
      </c>
      <c r="B1172" s="74">
        <v>5</v>
      </c>
      <c r="C1172" s="68" t="s">
        <v>363</v>
      </c>
      <c r="D1172" s="68" t="s">
        <v>365</v>
      </c>
      <c r="E1172" s="75">
        <f>60*F1172*'THAM_SO_MOI'!$C$53/(2*PI()*'THAM_SO_MOI'!$C$26)</f>
        <v>2316.2732894736837</v>
      </c>
      <c r="F1172" s="75">
        <f>'THAM_SO_MOI'!$C$14+('THAM_SO_MOI'!$C$37-'THAM_SO_MOI'!$C$14)*365/'THAM_SO_MOI'!$C$42</f>
        <v>23.509184027777778</v>
      </c>
      <c r="G1172" s="75">
        <f>3.6*F1172</f>
        <v>84.63306250000001</v>
      </c>
      <c r="H1172" s="75">
        <f>'THAM_SO_MOI'!$D$53</f>
        <v>1.1</v>
      </c>
      <c r="I1172" s="75">
        <f>IF(F1172&gt;='THAM_SO_MOI'!$C$14,'THAM_SO_MOI'!$C$13*(1+F1172^2/1500),'THAM_SO_MOI'!$C$13)</f>
        <v>0.020526817336519215</v>
      </c>
      <c r="J1172" s="75">
        <f>'THAM_SO_MOI'!$C$40*('THAM_SO_MOI'!$C$23*(E1172/'THAM_SO_MOI'!$C$22)+'THAM_SO_MOI'!$C$24*(E1172/'THAM_SO_MOI'!$C$22)^2-'THAM_SO_MOI'!$C$25*(E1172/'THAM_SO_MOI'!$C$22)^3)</f>
        <v>104.04903439400336</v>
      </c>
      <c r="K1172" s="75">
        <f>'THAM_SO_MOI'!$C$31*J1172/E1172</f>
        <v>429.04374366089695</v>
      </c>
      <c r="L1172" s="75">
        <f>K1172*'THAM_SO_MOI'!$C$53*'THAM_SO_MOI'!$C$17/'THAM_SO_MOI'!$C$26</f>
        <v>3762.715310740745</v>
      </c>
      <c r="M1172" s="75">
        <f>'THAM_SO_MOI'!$C$15*'THAM_SO_MOI'!$C$16*F1172^2</f>
        <v>1616.5940709318716</v>
      </c>
      <c r="N1172" s="75">
        <f>'THAM_SO_MOI'!$C$12*I1172</f>
        <v>1546.506839587227</v>
      </c>
      <c r="O1172" s="75">
        <f>M1172+N1172</f>
        <v>3163.1009105190988</v>
      </c>
      <c r="P1172" s="75">
        <f>(MIN(L1172,'THAM_SO_MOI'!$C$41)-O1172)/('THAM_SO_MOI'!$C$11*H1172)</f>
        <v>0.07097708335956987</v>
      </c>
      <c r="Q1172" s="75">
        <f>IF(P1172&gt;0,1/P1172,NA())</f>
        <v>14.089054560526254</v>
      </c>
      <c r="R1172" s="75">
        <f>F1172-F1171</f>
        <v>0.0035868055555567935</v>
      </c>
      <c r="S1172" s="75">
        <f>0.5*(Q1171+Q1172)*R1172</f>
        <v>0.05050669786820239</v>
      </c>
      <c r="T1172" s="75">
        <f>0.5*(F1171*Q1171+F1172*Q1172)*R1172</f>
        <v>1.1872807261843012</v>
      </c>
      <c r="U1172" s="76">
        <f>U1171+S1172</f>
        <v>88.04415151106325</v>
      </c>
      <c r="V1172" s="76">
        <f>V1171+T1172</f>
        <v>1481.5293308222654</v>
      </c>
    </row>
    <row r="1173" spans="1:22" ht="19" customHeight="1">
      <c r="A1173" s="68" t="s">
        <v>362</v>
      </c>
      <c r="B1173" s="74">
        <v>5</v>
      </c>
      <c r="C1173" s="68" t="s">
        <v>363</v>
      </c>
      <c r="D1173" s="68" t="s">
        <v>365</v>
      </c>
      <c r="E1173" s="75">
        <f>60*F1173*'THAM_SO_MOI'!$C$53/(2*PI()*'THAM_SO_MOI'!$C$26)</f>
        <v>2316.6266842105256</v>
      </c>
      <c r="F1173" s="75">
        <f>'THAM_SO_MOI'!$C$14+('THAM_SO_MOI'!$C$37-'THAM_SO_MOI'!$C$14)*366/'THAM_SO_MOI'!$C$42</f>
        <v>23.51277083333333</v>
      </c>
      <c r="G1173" s="75">
        <f>3.6*F1173</f>
        <v>84.64597499999999</v>
      </c>
      <c r="H1173" s="75">
        <f>'THAM_SO_MOI'!$D$53</f>
        <v>1.1</v>
      </c>
      <c r="I1173" s="75">
        <f>IF(F1173&gt;='THAM_SO_MOI'!$C$14,'THAM_SO_MOI'!$C$13*(1+F1173^2/1500),'THAM_SO_MOI'!$C$13)</f>
        <v>0.020528503922608504</v>
      </c>
      <c r="J1173" s="75">
        <f>'THAM_SO_MOI'!$C$40*('THAM_SO_MOI'!$C$23*(E1173/'THAM_SO_MOI'!$C$22)+'THAM_SO_MOI'!$C$24*(E1173/'THAM_SO_MOI'!$C$22)^2-'THAM_SO_MOI'!$C$25*(E1173/'THAM_SO_MOI'!$C$22)^3)</f>
        <v>104.06366363607746</v>
      </c>
      <c r="K1173" s="75">
        <f>'THAM_SO_MOI'!$C$31*J1173/E1173</f>
        <v>429.0386084050765</v>
      </c>
      <c r="L1173" s="75">
        <f>K1173*'THAM_SO_MOI'!$C$53*'THAM_SO_MOI'!$C$17/'THAM_SO_MOI'!$C$26</f>
        <v>3762.6702745271054</v>
      </c>
      <c r="M1173" s="75">
        <f>'THAM_SO_MOI'!$C$15*'THAM_SO_MOI'!$C$16*F1173^2</f>
        <v>1617.087397362988</v>
      </c>
      <c r="N1173" s="75">
        <f>'THAM_SO_MOI'!$C$12*I1173</f>
        <v>1546.6339083324629</v>
      </c>
      <c r="O1173" s="75">
        <f>M1173+N1173</f>
        <v>3163.7213056954506</v>
      </c>
      <c r="P1173" s="75">
        <f>(MIN(L1173,'THAM_SO_MOI'!$C$41)-O1173)/('THAM_SO_MOI'!$C$11*H1173)</f>
        <v>0.07089831543935303</v>
      </c>
      <c r="Q1173" s="75">
        <f>IF(P1173&gt;0,1/P1173,NA())</f>
        <v>14.10470747863407</v>
      </c>
      <c r="R1173" s="75">
        <f>F1173-F1172</f>
        <v>0.0035868055555532408</v>
      </c>
      <c r="S1173" s="75">
        <f>0.5*(Q1172+Q1173)*R1173</f>
        <v>0.05056277115700316</v>
      </c>
      <c r="T1173" s="75">
        <f>0.5*(F1172*Q1172+F1173*Q1173)*R1173</f>
        <v>1.1887802218430257</v>
      </c>
      <c r="U1173" s="76">
        <f>U1172+S1173</f>
        <v>88.09471428222025</v>
      </c>
      <c r="V1173" s="76">
        <f>V1172+T1173</f>
        <v>1482.7181110441084</v>
      </c>
    </row>
    <row r="1174" spans="1:22" ht="19" customHeight="1">
      <c r="A1174" s="68" t="s">
        <v>362</v>
      </c>
      <c r="B1174" s="74">
        <v>5</v>
      </c>
      <c r="C1174" s="68" t="s">
        <v>363</v>
      </c>
      <c r="D1174" s="68" t="s">
        <v>365</v>
      </c>
      <c r="E1174" s="75">
        <f>60*F1174*'THAM_SO_MOI'!$C$53/(2*PI()*'THAM_SO_MOI'!$C$26)</f>
        <v>2316.9800789473675</v>
      </c>
      <c r="F1174" s="75">
        <f>'THAM_SO_MOI'!$C$14+('THAM_SO_MOI'!$C$37-'THAM_SO_MOI'!$C$14)*367/'THAM_SO_MOI'!$C$42</f>
        <v>23.516357638888888</v>
      </c>
      <c r="G1174" s="75">
        <f>3.6*F1174</f>
        <v>84.65888749999999</v>
      </c>
      <c r="H1174" s="75">
        <f>'THAM_SO_MOI'!$D$53</f>
        <v>1.1</v>
      </c>
      <c r="I1174" s="75">
        <f>IF(F1174&gt;='THAM_SO_MOI'!$C$14,'THAM_SO_MOI'!$C$13*(1+F1174^2/1500),'THAM_SO_MOI'!$C$13)</f>
        <v>0.020530190766001277</v>
      </c>
      <c r="J1174" s="75">
        <f>'THAM_SO_MOI'!$C$40*('THAM_SO_MOI'!$C$23*(E1174/'THAM_SO_MOI'!$C$22)+'THAM_SO_MOI'!$C$24*(E1174/'THAM_SO_MOI'!$C$22)^2-'THAM_SO_MOI'!$C$25*(E1174/'THAM_SO_MOI'!$C$22)^3)</f>
        <v>104.07828955894811</v>
      </c>
      <c r="K1174" s="75">
        <f>'THAM_SO_MOI'!$C$31*J1174/E1174</f>
        <v>429.0334610332718</v>
      </c>
      <c r="L1174" s="75">
        <f>K1174*'THAM_SO_MOI'!$C$53*'THAM_SO_MOI'!$C$17/'THAM_SO_MOI'!$C$26</f>
        <v>3762.6251320562365</v>
      </c>
      <c r="M1174" s="75">
        <f>'THAM_SO_MOI'!$C$15*'THAM_SO_MOI'!$C$16*F1174^2</f>
        <v>1617.580799055374</v>
      </c>
      <c r="N1174" s="75">
        <f>'THAM_SO_MOI'!$C$12*I1174</f>
        <v>1546.760996463149</v>
      </c>
      <c r="O1174" s="75">
        <f>M1174+N1174</f>
        <v>3164.341795518523</v>
      </c>
      <c r="P1174" s="75">
        <f>(MIN(L1174,'THAM_SO_MOI'!$C$41)-O1174)/('THAM_SO_MOI'!$C$11*H1174)</f>
        <v>0.07081952373789221</v>
      </c>
      <c r="Q1174" s="75">
        <f>IF(P1174&gt;0,1/P1174,NA())</f>
        <v>14.120399957800716</v>
      </c>
      <c r="R1174" s="75">
        <f>F1174-F1173</f>
        <v>0.0035868055555567935</v>
      </c>
      <c r="S1174" s="75">
        <f>0.5*(Q1173+Q1174)*R1174</f>
        <v>0.05061898607959583</v>
      </c>
      <c r="T1174" s="75">
        <f>0.5*(F1173*Q1173+F1174*Q1174)*R1174</f>
        <v>1.1902834502070894</v>
      </c>
      <c r="U1174" s="76">
        <f>U1173+S1174</f>
        <v>88.14533326829985</v>
      </c>
      <c r="V1174" s="76">
        <f>V1173+T1174</f>
        <v>1483.9083944943154</v>
      </c>
    </row>
    <row r="1175" spans="1:22" ht="19" customHeight="1">
      <c r="A1175" s="68" t="s">
        <v>362</v>
      </c>
      <c r="B1175" s="74">
        <v>5</v>
      </c>
      <c r="C1175" s="68" t="s">
        <v>363</v>
      </c>
      <c r="D1175" s="68" t="s">
        <v>365</v>
      </c>
      <c r="E1175" s="75">
        <f>60*F1175*'THAM_SO_MOI'!$C$53/(2*PI()*'THAM_SO_MOI'!$C$26)</f>
        <v>2317.33347368421</v>
      </c>
      <c r="F1175" s="75">
        <f>'THAM_SO_MOI'!$C$14+('THAM_SO_MOI'!$C$37-'THAM_SO_MOI'!$C$14)*368/'THAM_SO_MOI'!$C$42</f>
        <v>23.519944444444445</v>
      </c>
      <c r="G1175" s="75">
        <f>3.6*F1175</f>
        <v>84.6718</v>
      </c>
      <c r="H1175" s="75">
        <f>'THAM_SO_MOI'!$D$53</f>
        <v>1.1</v>
      </c>
      <c r="I1175" s="75">
        <f>IF(F1175&gt;='THAM_SO_MOI'!$C$14,'THAM_SO_MOI'!$C$13*(1+F1175^2/1500),'THAM_SO_MOI'!$C$13)</f>
        <v>0.02053187786669753</v>
      </c>
      <c r="J1175" s="75">
        <f>'THAM_SO_MOI'!$C$40*('THAM_SO_MOI'!$C$23*(E1175/'THAM_SO_MOI'!$C$22)+'THAM_SO_MOI'!$C$24*(E1175/'THAM_SO_MOI'!$C$22)^2-'THAM_SO_MOI'!$C$25*(E1175/'THAM_SO_MOI'!$C$22)^3)</f>
        <v>104.09291216127036</v>
      </c>
      <c r="K1175" s="75">
        <f>'THAM_SO_MOI'!$C$31*J1175/E1175</f>
        <v>429.02830154548263</v>
      </c>
      <c r="L1175" s="75">
        <f>K1175*'THAM_SO_MOI'!$C$53*'THAM_SO_MOI'!$C$17/'THAM_SO_MOI'!$C$26</f>
        <v>3762.5798833281365</v>
      </c>
      <c r="M1175" s="75">
        <f>'THAM_SO_MOI'!$C$15*'THAM_SO_MOI'!$C$16*F1175^2</f>
        <v>1618.074276009028</v>
      </c>
      <c r="N1175" s="75">
        <f>'THAM_SO_MOI'!$C$12*I1175</f>
        <v>1546.8881039792852</v>
      </c>
      <c r="O1175" s="75">
        <f>M1175+N1175</f>
        <v>3164.962379988313</v>
      </c>
      <c r="P1175" s="75">
        <f>(MIN(L1175,'THAM_SO_MOI'!$C$41)-O1175)/('THAM_SO_MOI'!$C$11*H1175)</f>
        <v>0.07074070825518741</v>
      </c>
      <c r="Q1175" s="75">
        <f>IF(P1175&gt;0,1/P1175,NA())</f>
        <v>14.136132146042941</v>
      </c>
      <c r="R1175" s="75">
        <f>F1175-F1174</f>
        <v>0.0035868055555567935</v>
      </c>
      <c r="S1175" s="75">
        <f>0.5*(Q1174+Q1175)*R1175</f>
        <v>0.050675343165417656</v>
      </c>
      <c r="T1175" s="75">
        <f>0.5*(F1174*Q1174+F1175*Q1175)*R1175</f>
        <v>1.1917904252519183</v>
      </c>
      <c r="U1175" s="76">
        <f>U1174+S1175</f>
        <v>88.19600861146527</v>
      </c>
      <c r="V1175" s="76">
        <f>V1174+T1175</f>
        <v>1485.1001849195673</v>
      </c>
    </row>
    <row r="1176" spans="1:22" ht="19" customHeight="1">
      <c r="A1176" s="68" t="s">
        <v>362</v>
      </c>
      <c r="B1176" s="74">
        <v>5</v>
      </c>
      <c r="C1176" s="68" t="s">
        <v>363</v>
      </c>
      <c r="D1176" s="68" t="s">
        <v>365</v>
      </c>
      <c r="E1176" s="75">
        <f>60*F1176*'THAM_SO_MOI'!$C$53/(2*PI()*'THAM_SO_MOI'!$C$26)</f>
        <v>2317.6868684210517</v>
      </c>
      <c r="F1176" s="75">
        <f>'THAM_SO_MOI'!$C$14+('THAM_SO_MOI'!$C$37-'THAM_SO_MOI'!$C$14)*369/'THAM_SO_MOI'!$C$42</f>
        <v>23.523531249999998</v>
      </c>
      <c r="G1176" s="75">
        <f>3.6*F1176</f>
        <v>84.68471249999999</v>
      </c>
      <c r="H1176" s="75">
        <f>'THAM_SO_MOI'!$D$53</f>
        <v>1.1</v>
      </c>
      <c r="I1176" s="75">
        <f>IF(F1176&gt;='THAM_SO_MOI'!$C$14,'THAM_SO_MOI'!$C$13*(1+F1176^2/1500),'THAM_SO_MOI'!$C$13)</f>
        <v>0.02053356522469726</v>
      </c>
      <c r="J1176" s="75">
        <f>'THAM_SO_MOI'!$C$40*('THAM_SO_MOI'!$C$23*(E1176/'THAM_SO_MOI'!$C$22)+'THAM_SO_MOI'!$C$24*(E1176/'THAM_SO_MOI'!$C$22)^2-'THAM_SO_MOI'!$C$25*(E1176/'THAM_SO_MOI'!$C$22)^3)</f>
        <v>104.10753144169925</v>
      </c>
      <c r="K1176" s="75">
        <f>'THAM_SO_MOI'!$C$31*J1176/E1176</f>
        <v>429.0231299417089</v>
      </c>
      <c r="L1176" s="75">
        <f>K1176*'THAM_SO_MOI'!$C$53*'THAM_SO_MOI'!$C$17/'THAM_SO_MOI'!$C$26</f>
        <v>3762.534528342804</v>
      </c>
      <c r="M1176" s="75">
        <f>'THAM_SO_MOI'!$C$15*'THAM_SO_MOI'!$C$16*F1176^2</f>
        <v>1618.56782822395</v>
      </c>
      <c r="N1176" s="75">
        <f>'THAM_SO_MOI'!$C$12*I1176</f>
        <v>1547.0152308808715</v>
      </c>
      <c r="O1176" s="75">
        <f>M1176+N1176</f>
        <v>3165.5830591048216</v>
      </c>
      <c r="P1176" s="75">
        <f>(MIN(L1176,'THAM_SO_MOI'!$C$41)-O1176)/('THAM_SO_MOI'!$C$11*H1176)</f>
        <v>0.07066186899123847</v>
      </c>
      <c r="Q1176" s="75">
        <f>IF(P1176&gt;0,1/P1176,NA())</f>
        <v>14.151904192117991</v>
      </c>
      <c r="R1176" s="75">
        <f>F1176-F1175</f>
        <v>0.0035868055555532408</v>
      </c>
      <c r="S1176" s="75">
        <f>0.5*(Q1175+Q1176)*R1176</f>
        <v>0.05073184294670379</v>
      </c>
      <c r="T1176" s="75">
        <f>0.5*(F1175*Q1175+F1176*Q1176)*R1176</f>
        <v>1.193301161026346</v>
      </c>
      <c r="U1176" s="76">
        <f>U1175+S1176</f>
        <v>88.24674045441198</v>
      </c>
      <c r="V1176" s="76">
        <f>V1175+T1176</f>
        <v>1486.2934860805935</v>
      </c>
    </row>
    <row r="1177" spans="1:22" ht="19" customHeight="1">
      <c r="A1177" s="68" t="s">
        <v>362</v>
      </c>
      <c r="B1177" s="74">
        <v>5</v>
      </c>
      <c r="C1177" s="68" t="s">
        <v>363</v>
      </c>
      <c r="D1177" s="68" t="s">
        <v>365</v>
      </c>
      <c r="E1177" s="75">
        <f>60*F1177*'THAM_SO_MOI'!$C$53/(2*PI()*'THAM_SO_MOI'!$C$26)</f>
        <v>2318.0402631578945</v>
      </c>
      <c r="F1177" s="75">
        <f>'THAM_SO_MOI'!$C$14+('THAM_SO_MOI'!$C$37-'THAM_SO_MOI'!$C$14)*370/'THAM_SO_MOI'!$C$42</f>
        <v>23.527118055555555</v>
      </c>
      <c r="G1177" s="75">
        <f>3.6*F1177</f>
        <v>84.697625</v>
      </c>
      <c r="H1177" s="75">
        <f>'THAM_SO_MOI'!$D$53</f>
        <v>1.1</v>
      </c>
      <c r="I1177" s="75">
        <f>IF(F1177&gt;='THAM_SO_MOI'!$C$14,'THAM_SO_MOI'!$C$13*(1+F1177^2/1500),'THAM_SO_MOI'!$C$13)</f>
        <v>0.02053525284000048</v>
      </c>
      <c r="J1177" s="75">
        <f>'THAM_SO_MOI'!$C$40*('THAM_SO_MOI'!$C$23*(E1177/'THAM_SO_MOI'!$C$22)+'THAM_SO_MOI'!$C$24*(E1177/'THAM_SO_MOI'!$C$22)^2-'THAM_SO_MOI'!$C$25*(E1177/'THAM_SO_MOI'!$C$22)^3)</f>
        <v>104.12214739889</v>
      </c>
      <c r="K1177" s="75">
        <f>'THAM_SO_MOI'!$C$31*J1177/E1177</f>
        <v>429.01794622195064</v>
      </c>
      <c r="L1177" s="75">
        <f>K1177*'THAM_SO_MOI'!$C$53*'THAM_SO_MOI'!$C$17/'THAM_SO_MOI'!$C$26</f>
        <v>3762.489067100241</v>
      </c>
      <c r="M1177" s="75">
        <f>'THAM_SO_MOI'!$C$15*'THAM_SO_MOI'!$C$16*F1177^2</f>
        <v>1619.0614557001409</v>
      </c>
      <c r="N1177" s="75">
        <f>'THAM_SO_MOI'!$C$12*I1177</f>
        <v>1547.142377167908</v>
      </c>
      <c r="O1177" s="75">
        <f>M1177+N1177</f>
        <v>3166.203832868049</v>
      </c>
      <c r="P1177" s="75">
        <f>(MIN(L1177,'THAM_SO_MOI'!$C$41)-O1177)/('THAM_SO_MOI'!$C$11*H1177)</f>
        <v>0.07058300594604544</v>
      </c>
      <c r="Q1177" s="75">
        <f>IF(P1177&gt;0,1/P1177,NA())</f>
        <v>14.167716245528178</v>
      </c>
      <c r="R1177" s="75">
        <f>F1177-F1176</f>
        <v>0.0035868055555567935</v>
      </c>
      <c r="S1177" s="75">
        <f>0.5*(Q1176+Q1177)*R1177</f>
        <v>0.05078848595850449</v>
      </c>
      <c r="T1177" s="75">
        <f>0.5*(F1176*Q1176+F1177*Q1177)*R1177</f>
        <v>1.194815671653069</v>
      </c>
      <c r="U1177" s="76">
        <f>U1176+S1177</f>
        <v>88.29752894037048</v>
      </c>
      <c r="V1177" s="76">
        <f>V1176+T1177</f>
        <v>1487.4883017522466</v>
      </c>
    </row>
    <row r="1178" spans="1:22" ht="19" customHeight="1">
      <c r="A1178" s="68" t="s">
        <v>362</v>
      </c>
      <c r="B1178" s="74">
        <v>5</v>
      </c>
      <c r="C1178" s="68" t="s">
        <v>363</v>
      </c>
      <c r="D1178" s="68" t="s">
        <v>365</v>
      </c>
      <c r="E1178" s="75">
        <f>60*F1178*'THAM_SO_MOI'!$C$53/(2*PI()*'THAM_SO_MOI'!$C$26)</f>
        <v>2318.3936578947364</v>
      </c>
      <c r="F1178" s="75">
        <f>'THAM_SO_MOI'!$C$14+('THAM_SO_MOI'!$C$37-'THAM_SO_MOI'!$C$14)*371/'THAM_SO_MOI'!$C$42</f>
        <v>23.53070486111111</v>
      </c>
      <c r="G1178" s="75">
        <f>3.6*F1178</f>
        <v>84.7105375</v>
      </c>
      <c r="H1178" s="75">
        <f>'THAM_SO_MOI'!$D$53</f>
        <v>1.1</v>
      </c>
      <c r="I1178" s="75">
        <f>IF(F1178&gt;='THAM_SO_MOI'!$C$14,'THAM_SO_MOI'!$C$13*(1+F1178^2/1500),'THAM_SO_MOI'!$C$13)</f>
        <v>0.02053694071260718</v>
      </c>
      <c r="J1178" s="75">
        <f>'THAM_SO_MOI'!$C$40*('THAM_SO_MOI'!$C$23*(E1178/'THAM_SO_MOI'!$C$22)+'THAM_SO_MOI'!$C$24*(E1178/'THAM_SO_MOI'!$C$22)^2-'THAM_SO_MOI'!$C$25*(E1178/'THAM_SO_MOI'!$C$22)^3)</f>
        <v>104.13676003149769</v>
      </c>
      <c r="K1178" s="75">
        <f>'THAM_SO_MOI'!$C$31*J1178/E1178</f>
        <v>429.0127503862083</v>
      </c>
      <c r="L1178" s="75">
        <f>K1178*'THAM_SO_MOI'!$C$53*'THAM_SO_MOI'!$C$17/'THAM_SO_MOI'!$C$26</f>
        <v>3762.44349960045</v>
      </c>
      <c r="M1178" s="75">
        <f>'THAM_SO_MOI'!$C$15*'THAM_SO_MOI'!$C$16*F1178^2</f>
        <v>1619.5551584376005</v>
      </c>
      <c r="N1178" s="75">
        <f>'THAM_SO_MOI'!$C$12*I1178</f>
        <v>1547.2695428403952</v>
      </c>
      <c r="O1178" s="75">
        <f>M1178+N1178</f>
        <v>3166.8247012779957</v>
      </c>
      <c r="P1178" s="75">
        <f>(MIN(L1178,'THAM_SO_MOI'!$C$41)-O1178)/('THAM_SO_MOI'!$C$11*H1178)</f>
        <v>0.0705041191196087</v>
      </c>
      <c r="Q1178" s="75">
        <f>IF(P1178&gt;0,1/P1178,NA())</f>
        <v>14.183568456525522</v>
      </c>
      <c r="R1178" s="75">
        <f>F1178-F1177</f>
        <v>0.0035868055555567935</v>
      </c>
      <c r="S1178" s="75">
        <f>0.5*(Q1177+Q1178)*R1178</f>
        <v>0.05084527273824927</v>
      </c>
      <c r="T1178" s="75">
        <f>0.5*(F1177*Q1177+F1178*Q1178)*R1178</f>
        <v>1.1963339713184402</v>
      </c>
      <c r="U1178" s="76">
        <f>U1177+S1178</f>
        <v>88.34837421310873</v>
      </c>
      <c r="V1178" s="76">
        <f>V1177+T1178</f>
        <v>1488.684635723565</v>
      </c>
    </row>
    <row r="1179" spans="1:22" ht="19" customHeight="1">
      <c r="A1179" s="68" t="s">
        <v>362</v>
      </c>
      <c r="B1179" s="74">
        <v>5</v>
      </c>
      <c r="C1179" s="68" t="s">
        <v>363</v>
      </c>
      <c r="D1179" s="68" t="s">
        <v>365</v>
      </c>
      <c r="E1179" s="75">
        <f>60*F1179*'THAM_SO_MOI'!$C$53/(2*PI()*'THAM_SO_MOI'!$C$26)</f>
        <v>2318.7470526315783</v>
      </c>
      <c r="F1179" s="75">
        <f>'THAM_SO_MOI'!$C$14+('THAM_SO_MOI'!$C$37-'THAM_SO_MOI'!$C$14)*372/'THAM_SO_MOI'!$C$42</f>
        <v>23.534291666666665</v>
      </c>
      <c r="G1179" s="75">
        <f>3.6*F1179</f>
        <v>84.72345</v>
      </c>
      <c r="H1179" s="75">
        <f>'THAM_SO_MOI'!$D$53</f>
        <v>1.1</v>
      </c>
      <c r="I1179" s="75">
        <f>IF(F1179&gt;='THAM_SO_MOI'!$C$14,'THAM_SO_MOI'!$C$13*(1+F1179^2/1500),'THAM_SO_MOI'!$C$13)</f>
        <v>0.02053862884251736</v>
      </c>
      <c r="J1179" s="75">
        <f>'THAM_SO_MOI'!$C$40*('THAM_SO_MOI'!$C$23*(E1179/'THAM_SO_MOI'!$C$22)+'THAM_SO_MOI'!$C$24*(E1179/'THAM_SO_MOI'!$C$22)^2-'THAM_SO_MOI'!$C$25*(E1179/'THAM_SO_MOI'!$C$22)^3)</f>
        <v>104.15136933817729</v>
      </c>
      <c r="K1179" s="75">
        <f>'THAM_SO_MOI'!$C$31*J1179/E1179</f>
        <v>429.00754243448097</v>
      </c>
      <c r="L1179" s="75">
        <f>K1179*'THAM_SO_MOI'!$C$53*'THAM_SO_MOI'!$C$17/'THAM_SO_MOI'!$C$26</f>
        <v>3762.3978258434227</v>
      </c>
      <c r="M1179" s="75">
        <f>'THAM_SO_MOI'!$C$15*'THAM_SO_MOI'!$C$16*F1179^2</f>
        <v>1620.0489364363277</v>
      </c>
      <c r="N1179" s="75">
        <f>'THAM_SO_MOI'!$C$12*I1179</f>
        <v>1547.396727898332</v>
      </c>
      <c r="O1179" s="75">
        <f>M1179+N1179</f>
        <v>3167.44566433466</v>
      </c>
      <c r="P1179" s="75">
        <f>(MIN(L1179,'THAM_SO_MOI'!$C$41)-O1179)/('THAM_SO_MOI'!$C$11*H1179)</f>
        <v>0.07042520851192745</v>
      </c>
      <c r="Q1179" s="75">
        <f>IF(P1179&gt;0,1/P1179,NA())</f>
        <v>14.199460976116764</v>
      </c>
      <c r="R1179" s="75">
        <f>F1179-F1178</f>
        <v>0.0035868055555532408</v>
      </c>
      <c r="S1179" s="75">
        <f>0.5*(Q1178+Q1179)*R1179</f>
        <v>0.050902203826216255</v>
      </c>
      <c r="T1179" s="75">
        <f>0.5*(F1178*Q1178+F1179*Q1179)*R1179</f>
        <v>1.1978560742835602</v>
      </c>
      <c r="U1179" s="76">
        <f>U1178+S1179</f>
        <v>88.39927641693494</v>
      </c>
      <c r="V1179" s="76">
        <f>V1178+T1179</f>
        <v>1489.8824917978486</v>
      </c>
    </row>
    <row r="1180" spans="1:22" ht="19" customHeight="1">
      <c r="A1180" s="68" t="s">
        <v>362</v>
      </c>
      <c r="B1180" s="74">
        <v>5</v>
      </c>
      <c r="C1180" s="68" t="s">
        <v>363</v>
      </c>
      <c r="D1180" s="68" t="s">
        <v>365</v>
      </c>
      <c r="E1180" s="75">
        <f>60*F1180*'THAM_SO_MOI'!$C$53/(2*PI()*'THAM_SO_MOI'!$C$26)</f>
        <v>2319.10044736842</v>
      </c>
      <c r="F1180" s="75">
        <f>'THAM_SO_MOI'!$C$14+('THAM_SO_MOI'!$C$37-'THAM_SO_MOI'!$C$14)*373/'THAM_SO_MOI'!$C$42</f>
        <v>23.53787847222222</v>
      </c>
      <c r="G1180" s="75">
        <f>3.6*F1180</f>
        <v>84.7363625</v>
      </c>
      <c r="H1180" s="75">
        <f>'THAM_SO_MOI'!$D$53</f>
        <v>1.1</v>
      </c>
      <c r="I1180" s="75">
        <f>IF(F1180&gt;='THAM_SO_MOI'!$C$14,'THAM_SO_MOI'!$C$13*(1+F1180^2/1500),'THAM_SO_MOI'!$C$13)</f>
        <v>0.02054031722973102</v>
      </c>
      <c r="J1180" s="75">
        <f>'THAM_SO_MOI'!$C$40*('THAM_SO_MOI'!$C$23*(E1180/'THAM_SO_MOI'!$C$22)+'THAM_SO_MOI'!$C$24*(E1180/'THAM_SO_MOI'!$C$22)^2-'THAM_SO_MOI'!$C$25*(E1180/'THAM_SO_MOI'!$C$22)^3)</f>
        <v>104.16597531758411</v>
      </c>
      <c r="K1180" s="75">
        <f>'THAM_SO_MOI'!$C$31*J1180/E1180</f>
        <v>429.0023223667696</v>
      </c>
      <c r="L1180" s="75">
        <f>K1180*'THAM_SO_MOI'!$C$53*'THAM_SO_MOI'!$C$17/'THAM_SO_MOI'!$C$26</f>
        <v>3762.3520458291678</v>
      </c>
      <c r="M1180" s="75">
        <f>'THAM_SO_MOI'!$C$15*'THAM_SO_MOI'!$C$16*F1180^2</f>
        <v>1620.5427896963245</v>
      </c>
      <c r="N1180" s="75">
        <f>'THAM_SO_MOI'!$C$12*I1180</f>
        <v>1547.523932341719</v>
      </c>
      <c r="O1180" s="75">
        <f>M1180+N1180</f>
        <v>3168.0667220380437</v>
      </c>
      <c r="P1180" s="75">
        <f>(MIN(L1180,'THAM_SO_MOI'!$C$41)-O1180)/('THAM_SO_MOI'!$C$11*H1180)</f>
        <v>0.07034627412300237</v>
      </c>
      <c r="Q1180" s="75">
        <f>IF(P1180&gt;0,1/P1180,NA())</f>
        <v>14.215393956067564</v>
      </c>
      <c r="R1180" s="75">
        <f>F1180-F1179</f>
        <v>0.0035868055555567935</v>
      </c>
      <c r="S1180" s="75">
        <f>0.5*(Q1179+Q1180)*R1180</f>
        <v>0.05095927976554955</v>
      </c>
      <c r="T1180" s="75">
        <f>0.5*(F1179*Q1179+F1180*Q1180)*R1180</f>
        <v>1.1993819948847333</v>
      </c>
      <c r="U1180" s="76">
        <f>U1179+S1180</f>
        <v>88.45023569670049</v>
      </c>
      <c r="V1180" s="76">
        <f>V1179+T1180</f>
        <v>1491.0818737927334</v>
      </c>
    </row>
    <row r="1181" spans="1:22" ht="19" customHeight="1">
      <c r="A1181" s="68" t="s">
        <v>362</v>
      </c>
      <c r="B1181" s="74">
        <v>5</v>
      </c>
      <c r="C1181" s="68" t="s">
        <v>363</v>
      </c>
      <c r="D1181" s="68" t="s">
        <v>365</v>
      </c>
      <c r="E1181" s="75">
        <f>60*F1181*'THAM_SO_MOI'!$C$53/(2*PI()*'THAM_SO_MOI'!$C$26)</f>
        <v>2319.4538421052625</v>
      </c>
      <c r="F1181" s="75">
        <f>'THAM_SO_MOI'!$C$14+('THAM_SO_MOI'!$C$37-'THAM_SO_MOI'!$C$14)*374/'THAM_SO_MOI'!$C$42</f>
        <v>23.541465277777778</v>
      </c>
      <c r="G1181" s="75">
        <f>3.6*F1181</f>
        <v>84.749275</v>
      </c>
      <c r="H1181" s="75">
        <f>'THAM_SO_MOI'!$D$53</f>
        <v>1.1</v>
      </c>
      <c r="I1181" s="75">
        <f>IF(F1181&gt;='THAM_SO_MOI'!$C$14,'THAM_SO_MOI'!$C$13*(1+F1181^2/1500),'THAM_SO_MOI'!$C$13)</f>
        <v>0.020542005874248166</v>
      </c>
      <c r="J1181" s="75">
        <f>'THAM_SO_MOI'!$C$40*('THAM_SO_MOI'!$C$23*(E1181/'THAM_SO_MOI'!$C$22)+'THAM_SO_MOI'!$C$24*(E1181/'THAM_SO_MOI'!$C$22)^2-'THAM_SO_MOI'!$C$25*(E1181/'THAM_SO_MOI'!$C$22)^3)</f>
        <v>104.18057796837316</v>
      </c>
      <c r="K1181" s="75">
        <f>'THAM_SO_MOI'!$C$31*J1181/E1181</f>
        <v>428.9970901830735</v>
      </c>
      <c r="L1181" s="75">
        <f>K1181*'THAM_SO_MOI'!$C$53*'THAM_SO_MOI'!$C$17/'THAM_SO_MOI'!$C$26</f>
        <v>3762.30615955768</v>
      </c>
      <c r="M1181" s="75">
        <f>'THAM_SO_MOI'!$C$15*'THAM_SO_MOI'!$C$16*F1181^2</f>
        <v>1621.0367182175892</v>
      </c>
      <c r="N1181" s="75">
        <f>'THAM_SO_MOI'!$C$12*I1181</f>
        <v>1547.6511561705563</v>
      </c>
      <c r="O1181" s="75">
        <f>M1181+N1181</f>
        <v>3168.6878743881452</v>
      </c>
      <c r="P1181" s="75">
        <f>(MIN(L1181,'THAM_SO_MOI'!$C$41)-O1181)/('THAM_SO_MOI'!$C$11*H1181)</f>
        <v>0.07026731595283317</v>
      </c>
      <c r="Q1181" s="75">
        <f>IF(P1181&gt;0,1/P1181,NA())</f>
        <v>14.23136754890778</v>
      </c>
      <c r="R1181" s="75">
        <f>F1181-F1180</f>
        <v>0.0035868055555567935</v>
      </c>
      <c r="S1181" s="75">
        <f>0.5*(Q1180+Q1181)*R1181</f>
        <v>0.05101650110182234</v>
      </c>
      <c r="T1181" s="75">
        <f>0.5*(F1180*Q1180+F1181*Q1181)*R1181</f>
        <v>1.2009117475232371</v>
      </c>
      <c r="U1181" s="76">
        <f>U1180+S1181</f>
        <v>88.50125219780232</v>
      </c>
      <c r="V1181" s="76">
        <f>V1180+T1181</f>
        <v>1492.2827855402566</v>
      </c>
    </row>
    <row r="1182" spans="1:22" ht="19" customHeight="1">
      <c r="A1182" s="68" t="s">
        <v>362</v>
      </c>
      <c r="B1182" s="74">
        <v>5</v>
      </c>
      <c r="C1182" s="68" t="s">
        <v>363</v>
      </c>
      <c r="D1182" s="68" t="s">
        <v>365</v>
      </c>
      <c r="E1182" s="75">
        <f>60*F1182*'THAM_SO_MOI'!$C$53/(2*PI()*'THAM_SO_MOI'!$C$26)</f>
        <v>2319.8072368421044</v>
      </c>
      <c r="F1182" s="75">
        <f>'THAM_SO_MOI'!$C$14+('THAM_SO_MOI'!$C$37-'THAM_SO_MOI'!$C$14)*375/'THAM_SO_MOI'!$C$42</f>
        <v>23.54505208333333</v>
      </c>
      <c r="G1182" s="75">
        <f>3.6*F1182</f>
        <v>84.7621875</v>
      </c>
      <c r="H1182" s="75">
        <f>'THAM_SO_MOI'!$D$53</f>
        <v>1.1</v>
      </c>
      <c r="I1182" s="75">
        <f>IF(F1182&gt;='THAM_SO_MOI'!$C$14,'THAM_SO_MOI'!$C$13*(1+F1182^2/1500),'THAM_SO_MOI'!$C$13)</f>
        <v>0.02054369477606879</v>
      </c>
      <c r="J1182" s="75">
        <f>'THAM_SO_MOI'!$C$40*('THAM_SO_MOI'!$C$23*(E1182/'THAM_SO_MOI'!$C$22)+'THAM_SO_MOI'!$C$24*(E1182/'THAM_SO_MOI'!$C$22)^2-'THAM_SO_MOI'!$C$25*(E1182/'THAM_SO_MOI'!$C$22)^3)</f>
        <v>104.19517728919958</v>
      </c>
      <c r="K1182" s="75">
        <f>'THAM_SO_MOI'!$C$31*J1182/E1182</f>
        <v>428.9918458833931</v>
      </c>
      <c r="L1182" s="75">
        <f>K1182*'THAM_SO_MOI'!$C$53*'THAM_SO_MOI'!$C$17/'THAM_SO_MOI'!$C$26</f>
        <v>3762.260167028962</v>
      </c>
      <c r="M1182" s="75">
        <f>'THAM_SO_MOI'!$C$15*'THAM_SO_MOI'!$C$16*F1182^2</f>
        <v>1621.5307220001218</v>
      </c>
      <c r="N1182" s="75">
        <f>'THAM_SO_MOI'!$C$12*I1182</f>
        <v>1547.7783993848436</v>
      </c>
      <c r="O1182" s="75">
        <f>M1182+N1182</f>
        <v>3169.3091213849657</v>
      </c>
      <c r="P1182" s="75">
        <f>(MIN(L1182,'THAM_SO_MOI'!$C$41)-O1182)/('THAM_SO_MOI'!$C$11*H1182)</f>
        <v>0.07018833400142002</v>
      </c>
      <c r="Q1182" s="75">
        <f>IF(P1182&gt;0,1/P1182,NA())</f>
        <v>14.247381907935988</v>
      </c>
      <c r="R1182" s="75">
        <f>F1182-F1181</f>
        <v>0.0035868055555532408</v>
      </c>
      <c r="S1182" s="75">
        <f>0.5*(Q1181+Q1182)*R1182</f>
        <v>0.05107386838350803</v>
      </c>
      <c r="T1182" s="75">
        <f>0.5*(F1181*Q1181+F1182*Q1182)*R1182</f>
        <v>1.2024453466764566</v>
      </c>
      <c r="U1182" s="76">
        <f>U1181+S1182</f>
        <v>88.55232606618583</v>
      </c>
      <c r="V1182" s="76">
        <f>V1181+T1182</f>
        <v>1493.485230886933</v>
      </c>
    </row>
    <row r="1183" spans="1:22" ht="19" customHeight="1">
      <c r="A1183" s="68" t="s">
        <v>362</v>
      </c>
      <c r="B1183" s="74">
        <v>5</v>
      </c>
      <c r="C1183" s="68" t="s">
        <v>363</v>
      </c>
      <c r="D1183" s="68" t="s">
        <v>365</v>
      </c>
      <c r="E1183" s="75">
        <f>60*F1183*'THAM_SO_MOI'!$C$53/(2*PI()*'THAM_SO_MOI'!$C$26)</f>
        <v>2320.160631578947</v>
      </c>
      <c r="F1183" s="75">
        <f>'THAM_SO_MOI'!$C$14+('THAM_SO_MOI'!$C$37-'THAM_SO_MOI'!$C$14)*376/'THAM_SO_MOI'!$C$42</f>
        <v>23.54863888888889</v>
      </c>
      <c r="G1183" s="75">
        <f>3.6*F1183</f>
        <v>84.7751</v>
      </c>
      <c r="H1183" s="75">
        <f>'THAM_SO_MOI'!$D$53</f>
        <v>1.1</v>
      </c>
      <c r="I1183" s="75">
        <f>IF(F1183&gt;='THAM_SO_MOI'!$C$14,'THAM_SO_MOI'!$C$13*(1+F1183^2/1500),'THAM_SO_MOI'!$C$13)</f>
        <v>0.0205453839351929</v>
      </c>
      <c r="J1183" s="75">
        <f>'THAM_SO_MOI'!$C$40*('THAM_SO_MOI'!$C$23*(E1183/'THAM_SO_MOI'!$C$22)+'THAM_SO_MOI'!$C$24*(E1183/'THAM_SO_MOI'!$C$22)^2-'THAM_SO_MOI'!$C$25*(E1183/'THAM_SO_MOI'!$C$22)^3)</f>
        <v>104.20977327871847</v>
      </c>
      <c r="K1183" s="75">
        <f>'THAM_SO_MOI'!$C$31*J1183/E1183</f>
        <v>428.98658946772827</v>
      </c>
      <c r="L1183" s="75">
        <f>K1183*'THAM_SO_MOI'!$C$53*'THAM_SO_MOI'!$C$17/'THAM_SO_MOI'!$C$26</f>
        <v>3762.214068243013</v>
      </c>
      <c r="M1183" s="75">
        <f>'THAM_SO_MOI'!$C$15*'THAM_SO_MOI'!$C$16*F1183^2</f>
        <v>1622.0248010439238</v>
      </c>
      <c r="N1183" s="75">
        <f>'THAM_SO_MOI'!$C$12*I1183</f>
        <v>1547.9056619845812</v>
      </c>
      <c r="O1183" s="75">
        <f>M1183+N1183</f>
        <v>3169.930463028505</v>
      </c>
      <c r="P1183" s="75">
        <f>(MIN(L1183,'THAM_SO_MOI'!$C$41)-O1183)/('THAM_SO_MOI'!$C$11*H1183)</f>
        <v>0.07010932826876276</v>
      </c>
      <c r="Q1183" s="75">
        <f>IF(P1183&gt;0,1/P1183,NA())</f>
        <v>14.263437187224492</v>
      </c>
      <c r="R1183" s="75">
        <f>F1183-F1182</f>
        <v>0.0035868055555567935</v>
      </c>
      <c r="S1183" s="75">
        <f>0.5*(Q1182+Q1183)*R1183</f>
        <v>0.05113138216199816</v>
      </c>
      <c r="T1183" s="75">
        <f>0.5*(F1182*Q1182+F1183*Q1183)*R1183</f>
        <v>1.2039828068983591</v>
      </c>
      <c r="U1183" s="76">
        <f>U1182+S1183</f>
        <v>88.60345744834783</v>
      </c>
      <c r="V1183" s="76">
        <f>V1182+T1183</f>
        <v>1494.6892136938316</v>
      </c>
    </row>
    <row r="1184" spans="1:22" ht="19" customHeight="1">
      <c r="A1184" s="68" t="s">
        <v>362</v>
      </c>
      <c r="B1184" s="74">
        <v>5</v>
      </c>
      <c r="C1184" s="68" t="s">
        <v>363</v>
      </c>
      <c r="D1184" s="68" t="s">
        <v>365</v>
      </c>
      <c r="E1184" s="75">
        <f>60*F1184*'THAM_SO_MOI'!$C$53/(2*PI()*'THAM_SO_MOI'!$C$26)</f>
        <v>2320.514026315789</v>
      </c>
      <c r="F1184" s="75">
        <f>'THAM_SO_MOI'!$C$14+('THAM_SO_MOI'!$C$37-'THAM_SO_MOI'!$C$14)*377/'THAM_SO_MOI'!$C$42</f>
        <v>23.552225694444445</v>
      </c>
      <c r="G1184" s="75">
        <f>3.6*F1184</f>
        <v>84.78801250000001</v>
      </c>
      <c r="H1184" s="75">
        <f>'THAM_SO_MOI'!$D$53</f>
        <v>1.1</v>
      </c>
      <c r="I1184" s="75">
        <f>IF(F1184&gt;='THAM_SO_MOI'!$C$14,'THAM_SO_MOI'!$C$13*(1+F1184^2/1500),'THAM_SO_MOI'!$C$13)</f>
        <v>0.020547073351620492</v>
      </c>
      <c r="J1184" s="75">
        <f>'THAM_SO_MOI'!$C$40*('THAM_SO_MOI'!$C$23*(E1184/'THAM_SO_MOI'!$C$22)+'THAM_SO_MOI'!$C$24*(E1184/'THAM_SO_MOI'!$C$22)^2-'THAM_SO_MOI'!$C$25*(E1184/'THAM_SO_MOI'!$C$22)^3)</f>
        <v>104.22436593558491</v>
      </c>
      <c r="K1184" s="75">
        <f>'THAM_SO_MOI'!$C$31*J1184/E1184</f>
        <v>428.98132093607876</v>
      </c>
      <c r="L1184" s="75">
        <f>K1184*'THAM_SO_MOI'!$C$53*'THAM_SO_MOI'!$C$17/'THAM_SO_MOI'!$C$26</f>
        <v>3762.167863199831</v>
      </c>
      <c r="M1184" s="75">
        <f>'THAM_SO_MOI'!$C$15*'THAM_SO_MOI'!$C$16*F1184^2</f>
        <v>1622.5189553489938</v>
      </c>
      <c r="N1184" s="75">
        <f>'THAM_SO_MOI'!$C$12*I1184</f>
        <v>1548.0329439697693</v>
      </c>
      <c r="O1184" s="75">
        <f>M1184+N1184</f>
        <v>3170.5518993187634</v>
      </c>
      <c r="P1184" s="75">
        <f>(MIN(L1184,'THAM_SO_MOI'!$C$41)-O1184)/('THAM_SO_MOI'!$C$11*H1184)</f>
        <v>0.07003029875486129</v>
      </c>
      <c r="Q1184" s="75">
        <f>IF(P1184&gt;0,1/P1184,NA())</f>
        <v>14.279533541624126</v>
      </c>
      <c r="R1184" s="75">
        <f>F1184-F1183</f>
        <v>0.0035868055555567935</v>
      </c>
      <c r="S1184" s="75">
        <f>0.5*(Q1183+Q1184)*R1184</f>
        <v>0.05118904299116458</v>
      </c>
      <c r="T1184" s="75">
        <f>0.5*(F1183*Q1183+F1184*Q1184)*R1184</f>
        <v>1.2055241428092358</v>
      </c>
      <c r="U1184" s="76">
        <f>U1183+S1184</f>
        <v>88.654646491339</v>
      </c>
      <c r="V1184" s="76">
        <f>V1183+T1184</f>
        <v>1495.8947378366408</v>
      </c>
    </row>
    <row r="1185" spans="1:22" ht="19" customHeight="1">
      <c r="A1185" s="68" t="s">
        <v>362</v>
      </c>
      <c r="B1185" s="74">
        <v>5</v>
      </c>
      <c r="C1185" s="68" t="s">
        <v>363</v>
      </c>
      <c r="D1185" s="68" t="s">
        <v>365</v>
      </c>
      <c r="E1185" s="75">
        <f>60*F1185*'THAM_SO_MOI'!$C$53/(2*PI()*'THAM_SO_MOI'!$C$26)</f>
        <v>2320.867421052631</v>
      </c>
      <c r="F1185" s="75">
        <f>'THAM_SO_MOI'!$C$14+('THAM_SO_MOI'!$C$37-'THAM_SO_MOI'!$C$14)*378/'THAM_SO_MOI'!$C$42</f>
        <v>23.5558125</v>
      </c>
      <c r="G1185" s="75">
        <f>3.6*F1185</f>
        <v>84.80092499999999</v>
      </c>
      <c r="H1185" s="75">
        <f>'THAM_SO_MOI'!$D$53</f>
        <v>1.1</v>
      </c>
      <c r="I1185" s="75">
        <f>IF(F1185&gt;='THAM_SO_MOI'!$C$14,'THAM_SO_MOI'!$C$13*(1+F1185^2/1500),'THAM_SO_MOI'!$C$13)</f>
        <v>0.02054876302535156</v>
      </c>
      <c r="J1185" s="75">
        <f>'THAM_SO_MOI'!$C$40*('THAM_SO_MOI'!$C$23*(E1185/'THAM_SO_MOI'!$C$22)+'THAM_SO_MOI'!$C$24*(E1185/'THAM_SO_MOI'!$C$22)^2-'THAM_SO_MOI'!$C$25*(E1185/'THAM_SO_MOI'!$C$22)^3)</f>
        <v>104.23895525845406</v>
      </c>
      <c r="K1185" s="75">
        <f>'THAM_SO_MOI'!$C$31*J1185/E1185</f>
        <v>428.976040288445</v>
      </c>
      <c r="L1185" s="75">
        <f>K1185*'THAM_SO_MOI'!$C$53*'THAM_SO_MOI'!$C$17/'THAM_SO_MOI'!$C$26</f>
        <v>3762.1215518994204</v>
      </c>
      <c r="M1185" s="75">
        <f>'THAM_SO_MOI'!$C$15*'THAM_SO_MOI'!$C$16*F1185^2</f>
        <v>1623.013184915332</v>
      </c>
      <c r="N1185" s="75">
        <f>'THAM_SO_MOI'!$C$12*I1185</f>
        <v>1548.1602453404068</v>
      </c>
      <c r="O1185" s="75">
        <f>M1185+N1185</f>
        <v>3171.173430255739</v>
      </c>
      <c r="P1185" s="75">
        <f>(MIN(L1185,'THAM_SO_MOI'!$C$41)-O1185)/('THAM_SO_MOI'!$C$11*H1185)</f>
        <v>0.06995124545971607</v>
      </c>
      <c r="Q1185" s="75">
        <f>IF(P1185&gt;0,1/P1185,NA())</f>
        <v>14.295671126769085</v>
      </c>
      <c r="R1185" s="75">
        <f>F1185-F1184</f>
        <v>0.0035868055555532408</v>
      </c>
      <c r="S1185" s="75">
        <f>0.5*(Q1184+Q1185)*R1185</f>
        <v>0.051246851427831835</v>
      </c>
      <c r="T1185" s="75">
        <f>0.5*(F1184*Q1184+F1185*Q1185)*R1185</f>
        <v>1.2070693691068715</v>
      </c>
      <c r="U1185" s="76">
        <f>U1184+S1185</f>
        <v>88.70589334276683</v>
      </c>
      <c r="V1185" s="76">
        <f>V1184+T1185</f>
        <v>1497.1018072057477</v>
      </c>
    </row>
    <row r="1186" spans="1:22" ht="19" customHeight="1">
      <c r="A1186" s="68" t="s">
        <v>362</v>
      </c>
      <c r="B1186" s="74">
        <v>5</v>
      </c>
      <c r="C1186" s="68" t="s">
        <v>363</v>
      </c>
      <c r="D1186" s="68" t="s">
        <v>365</v>
      </c>
      <c r="E1186" s="75">
        <f>60*F1186*'THAM_SO_MOI'!$C$53/(2*PI()*'THAM_SO_MOI'!$C$26)</f>
        <v>2321.2208157894734</v>
      </c>
      <c r="F1186" s="75">
        <f>'THAM_SO_MOI'!$C$14+('THAM_SO_MOI'!$C$37-'THAM_SO_MOI'!$C$14)*379/'THAM_SO_MOI'!$C$42</f>
        <v>23.559399305555555</v>
      </c>
      <c r="G1186" s="75">
        <f>3.6*F1186</f>
        <v>84.8138375</v>
      </c>
      <c r="H1186" s="75">
        <f>'THAM_SO_MOI'!$D$53</f>
        <v>1.1</v>
      </c>
      <c r="I1186" s="75">
        <f>IF(F1186&gt;='THAM_SO_MOI'!$C$14,'THAM_SO_MOI'!$C$13*(1+F1186^2/1500),'THAM_SO_MOI'!$C$13)</f>
        <v>0.020550452956386116</v>
      </c>
      <c r="J1186" s="75">
        <f>'THAM_SO_MOI'!$C$40*('THAM_SO_MOI'!$C$23*(E1186/'THAM_SO_MOI'!$C$22)+'THAM_SO_MOI'!$C$24*(E1186/'THAM_SO_MOI'!$C$22)^2-'THAM_SO_MOI'!$C$25*(E1186/'THAM_SO_MOI'!$C$22)^3)</f>
        <v>104.25354124598101</v>
      </c>
      <c r="K1186" s="75">
        <f>'THAM_SO_MOI'!$C$31*J1186/E1186</f>
        <v>428.9707475248267</v>
      </c>
      <c r="L1186" s="75">
        <f>K1186*'THAM_SO_MOI'!$C$53*'THAM_SO_MOI'!$C$17/'THAM_SO_MOI'!$C$26</f>
        <v>3762.0751343417774</v>
      </c>
      <c r="M1186" s="75">
        <f>'THAM_SO_MOI'!$C$15*'THAM_SO_MOI'!$C$16*F1186^2</f>
        <v>1623.507489742939</v>
      </c>
      <c r="N1186" s="75">
        <f>'THAM_SO_MOI'!$C$12*I1186</f>
        <v>1548.287566096495</v>
      </c>
      <c r="O1186" s="75">
        <f>M1186+N1186</f>
        <v>3171.795055839434</v>
      </c>
      <c r="P1186" s="75">
        <f>(MIN(L1186,'THAM_SO_MOI'!$C$41)-O1186)/('THAM_SO_MOI'!$C$11*H1186)</f>
        <v>0.06987216838332662</v>
      </c>
      <c r="Q1186" s="75">
        <f>IF(P1186&gt;0,1/P1186,NA())</f>
        <v>14.311850099082182</v>
      </c>
      <c r="R1186" s="75">
        <f>F1186-F1185</f>
        <v>0.0035868055555567935</v>
      </c>
      <c r="S1186" s="75">
        <f>0.5*(Q1185+Q1186)*R1186</f>
        <v>0.0513048080317961</v>
      </c>
      <c r="T1186" s="75">
        <f>0.5*(F1185*Q1185+F1186*Q1186)*R1186</f>
        <v>1.2086185005670445</v>
      </c>
      <c r="U1186" s="76">
        <f>U1185+S1186</f>
        <v>88.75719815079863</v>
      </c>
      <c r="V1186" s="76">
        <f>V1185+T1186</f>
        <v>1498.3104257063148</v>
      </c>
    </row>
    <row r="1187" spans="1:22" ht="19" customHeight="1">
      <c r="A1187" s="68" t="s">
        <v>362</v>
      </c>
      <c r="B1187" s="74">
        <v>5</v>
      </c>
      <c r="C1187" s="68" t="s">
        <v>363</v>
      </c>
      <c r="D1187" s="68" t="s">
        <v>365</v>
      </c>
      <c r="E1187" s="75">
        <f>60*F1187*'THAM_SO_MOI'!$C$53/(2*PI()*'THAM_SO_MOI'!$C$26)</f>
        <v>2321.574210526315</v>
      </c>
      <c r="F1187" s="75">
        <f>'THAM_SO_MOI'!$C$14+('THAM_SO_MOI'!$C$37-'THAM_SO_MOI'!$C$14)*380/'THAM_SO_MOI'!$C$42</f>
        <v>23.56298611111111</v>
      </c>
      <c r="G1187" s="75">
        <f>3.6*F1187</f>
        <v>84.82674999999999</v>
      </c>
      <c r="H1187" s="75">
        <f>'THAM_SO_MOI'!$D$53</f>
        <v>1.1</v>
      </c>
      <c r="I1187" s="75">
        <f>IF(F1187&gt;='THAM_SO_MOI'!$C$14,'THAM_SO_MOI'!$C$13*(1+F1187^2/1500),'THAM_SO_MOI'!$C$13)</f>
        <v>0.020552143144724148</v>
      </c>
      <c r="J1187" s="75">
        <f>'THAM_SO_MOI'!$C$40*('THAM_SO_MOI'!$C$23*(E1187/'THAM_SO_MOI'!$C$22)+'THAM_SO_MOI'!$C$24*(E1187/'THAM_SO_MOI'!$C$22)^2-'THAM_SO_MOI'!$C$25*(E1187/'THAM_SO_MOI'!$C$22)^3)</f>
        <v>104.26812389682082</v>
      </c>
      <c r="K1187" s="75">
        <f>'THAM_SO_MOI'!$C$31*J1187/E1187</f>
        <v>428.96544264522396</v>
      </c>
      <c r="L1187" s="75">
        <f>K1187*'THAM_SO_MOI'!$C$53*'THAM_SO_MOI'!$C$17/'THAM_SO_MOI'!$C$26</f>
        <v>3762.0286105269033</v>
      </c>
      <c r="M1187" s="75">
        <f>'THAM_SO_MOI'!$C$15*'THAM_SO_MOI'!$C$16*F1187^2</f>
        <v>1624.001869831814</v>
      </c>
      <c r="N1187" s="75">
        <f>'THAM_SO_MOI'!$C$12*I1187</f>
        <v>1548.4149062380332</v>
      </c>
      <c r="O1187" s="75">
        <f>M1187+N1187</f>
        <v>3172.4167760698474</v>
      </c>
      <c r="P1187" s="75">
        <f>(MIN(L1187,'THAM_SO_MOI'!$C$41)-O1187)/('THAM_SO_MOI'!$C$11*H1187)</f>
        <v>0.0697930675256932</v>
      </c>
      <c r="Q1187" s="75">
        <f>IF(P1187&gt;0,1/P1187,NA())</f>
        <v>14.328070615779511</v>
      </c>
      <c r="R1187" s="75">
        <f>F1187-F1186</f>
        <v>0.0035868055555532408</v>
      </c>
      <c r="S1187" s="75">
        <f>0.5*(Q1186+Q1187)*R1187</f>
        <v>0.05136291336533513</v>
      </c>
      <c r="T1187" s="75">
        <f>0.5*(F1186*Q1186+F1187*Q1187)*R1187</f>
        <v>1.2101715520320335</v>
      </c>
      <c r="U1187" s="76">
        <f>U1186+S1187</f>
        <v>88.80856106416397</v>
      </c>
      <c r="V1187" s="76">
        <f>V1186+T1187</f>
        <v>1499.520597258347</v>
      </c>
    </row>
    <row r="1188" spans="1:22" ht="19" customHeight="1">
      <c r="A1188" s="68" t="s">
        <v>362</v>
      </c>
      <c r="B1188" s="74">
        <v>5</v>
      </c>
      <c r="C1188" s="68" t="s">
        <v>363</v>
      </c>
      <c r="D1188" s="68" t="s">
        <v>365</v>
      </c>
      <c r="E1188" s="75">
        <f>60*F1188*'THAM_SO_MOI'!$C$53/(2*PI()*'THAM_SO_MOI'!$C$26)</f>
        <v>2321.927605263157</v>
      </c>
      <c r="F1188" s="75">
        <f>'THAM_SO_MOI'!$C$14+('THAM_SO_MOI'!$C$37-'THAM_SO_MOI'!$C$14)*381/'THAM_SO_MOI'!$C$42</f>
        <v>23.566572916666665</v>
      </c>
      <c r="G1188" s="75">
        <f>3.6*F1188</f>
        <v>84.8396625</v>
      </c>
      <c r="H1188" s="75">
        <f>'THAM_SO_MOI'!$D$53</f>
        <v>1.1</v>
      </c>
      <c r="I1188" s="75">
        <f>IF(F1188&gt;='THAM_SO_MOI'!$C$14,'THAM_SO_MOI'!$C$13*(1+F1188^2/1500),'THAM_SO_MOI'!$C$13)</f>
        <v>0.020553833590365667</v>
      </c>
      <c r="J1188" s="75">
        <f>'THAM_SO_MOI'!$C$40*('THAM_SO_MOI'!$C$23*(E1188/'THAM_SO_MOI'!$C$22)+'THAM_SO_MOI'!$C$24*(E1188/'THAM_SO_MOI'!$C$22)^2-'THAM_SO_MOI'!$C$25*(E1188/'THAM_SO_MOI'!$C$22)^3)</f>
        <v>104.28270320962874</v>
      </c>
      <c r="K1188" s="75">
        <f>'THAM_SO_MOI'!$C$31*J1188/E1188</f>
        <v>428.9601256496369</v>
      </c>
      <c r="L1188" s="75">
        <f>K1188*'THAM_SO_MOI'!$C$53*'THAM_SO_MOI'!$C$17/'THAM_SO_MOI'!$C$26</f>
        <v>3761.9819804547997</v>
      </c>
      <c r="M1188" s="75">
        <f>'THAM_SO_MOI'!$C$15*'THAM_SO_MOI'!$C$16*F1188^2</f>
        <v>1624.496325181958</v>
      </c>
      <c r="N1188" s="75">
        <f>'THAM_SO_MOI'!$C$12*I1188</f>
        <v>1548.5422657650217</v>
      </c>
      <c r="O1188" s="75">
        <f>M1188+N1188</f>
        <v>3173.0385909469796</v>
      </c>
      <c r="P1188" s="75">
        <f>(MIN(L1188,'THAM_SO_MOI'!$C$41)-O1188)/('THAM_SO_MOI'!$C$11*H1188)</f>
        <v>0.06971394288681579</v>
      </c>
      <c r="Q1188" s="75">
        <f>IF(P1188&gt;0,1/P1188,NA())</f>
        <v>14.344332834875686</v>
      </c>
      <c r="R1188" s="75">
        <f>F1188-F1187</f>
        <v>0.0035868055555567935</v>
      </c>
      <c r="S1188" s="75">
        <f>0.5*(Q1187+Q1188)*R1188</f>
        <v>0.05142116799398792</v>
      </c>
      <c r="T1188" s="75">
        <f>0.5*(F1187*Q1187+F1188*Q1188)*R1188</f>
        <v>1.2117285384290355</v>
      </c>
      <c r="U1188" s="76">
        <f>U1187+S1188</f>
        <v>88.85998223215796</v>
      </c>
      <c r="V1188" s="76">
        <f>V1187+T1188</f>
        <v>1500.732325796776</v>
      </c>
    </row>
    <row r="1189" spans="1:22" ht="19" customHeight="1">
      <c r="A1189" s="68" t="s">
        <v>362</v>
      </c>
      <c r="B1189" s="74">
        <v>5</v>
      </c>
      <c r="C1189" s="68" t="s">
        <v>363</v>
      </c>
      <c r="D1189" s="68" t="s">
        <v>365</v>
      </c>
      <c r="E1189" s="75">
        <f>60*F1189*'THAM_SO_MOI'!$C$53/(2*PI()*'THAM_SO_MOI'!$C$26)</f>
        <v>2322.2809999999995</v>
      </c>
      <c r="F1189" s="75">
        <f>'THAM_SO_MOI'!$C$14+('THAM_SO_MOI'!$C$37-'THAM_SO_MOI'!$C$14)*382/'THAM_SO_MOI'!$C$42</f>
        <v>23.570159722222222</v>
      </c>
      <c r="G1189" s="75">
        <f>3.6*F1189</f>
        <v>84.852575</v>
      </c>
      <c r="H1189" s="75">
        <f>'THAM_SO_MOI'!$D$53</f>
        <v>1.1</v>
      </c>
      <c r="I1189" s="75">
        <f>IF(F1189&gt;='THAM_SO_MOI'!$C$14,'THAM_SO_MOI'!$C$13*(1+F1189^2/1500),'THAM_SO_MOI'!$C$13)</f>
        <v>0.020555524293310666</v>
      </c>
      <c r="J1189" s="75">
        <f>'THAM_SO_MOI'!$C$40*('THAM_SO_MOI'!$C$23*(E1189/'THAM_SO_MOI'!$C$22)+'THAM_SO_MOI'!$C$24*(E1189/'THAM_SO_MOI'!$C$22)^2-'THAM_SO_MOI'!$C$25*(E1189/'THAM_SO_MOI'!$C$22)^3)</f>
        <v>104.29727918305976</v>
      </c>
      <c r="K1189" s="75">
        <f>'THAM_SO_MOI'!$C$31*J1189/E1189</f>
        <v>428.95479653806535</v>
      </c>
      <c r="L1189" s="75">
        <f>K1189*'THAM_SO_MOI'!$C$53*'THAM_SO_MOI'!$C$17/'THAM_SO_MOI'!$C$26</f>
        <v>3761.9352441254646</v>
      </c>
      <c r="M1189" s="75">
        <f>'THAM_SO_MOI'!$C$15*'THAM_SO_MOI'!$C$16*F1189^2</f>
        <v>1624.9908557933704</v>
      </c>
      <c r="N1189" s="75">
        <f>'THAM_SO_MOI'!$C$12*I1189</f>
        <v>1548.6696446774604</v>
      </c>
      <c r="O1189" s="75">
        <f>M1189+N1189</f>
        <v>3173.660500470831</v>
      </c>
      <c r="P1189" s="75">
        <f>(MIN(L1189,'THAM_SO_MOI'!$C$41)-O1189)/('THAM_SO_MOI'!$C$11*H1189)</f>
        <v>0.06963479446669434</v>
      </c>
      <c r="Q1189" s="75">
        <f>IF(P1189&gt;0,1/P1189,NA())</f>
        <v>14.360636915188865</v>
      </c>
      <c r="R1189" s="75">
        <f>F1189-F1188</f>
        <v>0.0035868055555567935</v>
      </c>
      <c r="S1189" s="75">
        <f>0.5*(Q1188+Q1189)*R1189</f>
        <v>0.051479572485810615</v>
      </c>
      <c r="T1189" s="75">
        <f>0.5*(F1188*Q1188+F1189*Q1189)*R1189</f>
        <v>1.213289474752686</v>
      </c>
      <c r="U1189" s="76">
        <f>U1188+S1189</f>
        <v>88.91146180464378</v>
      </c>
      <c r="V1189" s="76">
        <f>V1188+T1189</f>
        <v>1501.9456152715286</v>
      </c>
    </row>
    <row r="1190" spans="1:22" ht="19" customHeight="1">
      <c r="A1190" s="68" t="s">
        <v>362</v>
      </c>
      <c r="B1190" s="74">
        <v>5</v>
      </c>
      <c r="C1190" s="68" t="s">
        <v>363</v>
      </c>
      <c r="D1190" s="68" t="s">
        <v>365</v>
      </c>
      <c r="E1190" s="75">
        <f>60*F1190*'THAM_SO_MOI'!$C$53/(2*PI()*'THAM_SO_MOI'!$C$26)</f>
        <v>2322.634394736842</v>
      </c>
      <c r="F1190" s="75">
        <f>'THAM_SO_MOI'!$C$14+('THAM_SO_MOI'!$C$37-'THAM_SO_MOI'!$C$14)*383/'THAM_SO_MOI'!$C$42</f>
        <v>23.573746527777775</v>
      </c>
      <c r="G1190" s="75">
        <f>3.6*F1190</f>
        <v>84.86548749999999</v>
      </c>
      <c r="H1190" s="75">
        <f>'THAM_SO_MOI'!$D$53</f>
        <v>1.1</v>
      </c>
      <c r="I1190" s="75">
        <f>IF(F1190&gt;='THAM_SO_MOI'!$C$14,'THAM_SO_MOI'!$C$13*(1+F1190^2/1500),'THAM_SO_MOI'!$C$13)</f>
        <v>0.020557215253559146</v>
      </c>
      <c r="J1190" s="75">
        <f>'THAM_SO_MOI'!$C$40*('THAM_SO_MOI'!$C$23*(E1190/'THAM_SO_MOI'!$C$22)+'THAM_SO_MOI'!$C$24*(E1190/'THAM_SO_MOI'!$C$22)^2-'THAM_SO_MOI'!$C$25*(E1190/'THAM_SO_MOI'!$C$22)^3)</f>
        <v>104.31185181576897</v>
      </c>
      <c r="K1190" s="75">
        <f>'THAM_SO_MOI'!$C$31*J1190/E1190</f>
        <v>428.94945531050905</v>
      </c>
      <c r="L1190" s="75">
        <f>K1190*'THAM_SO_MOI'!$C$53*'THAM_SO_MOI'!$C$17/'THAM_SO_MOI'!$C$26</f>
        <v>3761.888401538896</v>
      </c>
      <c r="M1190" s="75">
        <f>'THAM_SO_MOI'!$C$15*'THAM_SO_MOI'!$C$16*F1190^2</f>
        <v>1625.4854616660505</v>
      </c>
      <c r="N1190" s="75">
        <f>'THAM_SO_MOI'!$C$12*I1190</f>
        <v>1548.797042975349</v>
      </c>
      <c r="O1190" s="75">
        <f>M1190+N1190</f>
        <v>3174.2825046413996</v>
      </c>
      <c r="P1190" s="75">
        <f>(MIN(L1190,'THAM_SO_MOI'!$C$41)-O1190)/('THAM_SO_MOI'!$C$11*H1190)</f>
        <v>0.06955562226532863</v>
      </c>
      <c r="Q1190" s="75">
        <f>IF(P1190&gt;0,1/P1190,NA())</f>
        <v>14.376983016345893</v>
      </c>
      <c r="R1190" s="75">
        <f>F1190-F1189</f>
        <v>0.0035868055555532408</v>
      </c>
      <c r="S1190" s="75">
        <f>0.5*(Q1189+Q1190)*R1190</f>
        <v>0.05153812741190321</v>
      </c>
      <c r="T1190" s="75">
        <f>0.5*(F1189*Q1189+F1190*Q1190)*R1190</f>
        <v>1.2148543760775192</v>
      </c>
      <c r="U1190" s="76">
        <f>U1189+S1190</f>
        <v>88.96299993205568</v>
      </c>
      <c r="V1190" s="76">
        <f>V1189+T1190</f>
        <v>1503.160469647606</v>
      </c>
    </row>
    <row r="1191" spans="1:22" ht="19" customHeight="1">
      <c r="A1191" s="68" t="s">
        <v>362</v>
      </c>
      <c r="B1191" s="74">
        <v>5</v>
      </c>
      <c r="C1191" s="68" t="s">
        <v>363</v>
      </c>
      <c r="D1191" s="68" t="s">
        <v>365</v>
      </c>
      <c r="E1191" s="75">
        <f>60*F1191*'THAM_SO_MOI'!$C$53/(2*PI()*'THAM_SO_MOI'!$C$26)</f>
        <v>2322.9877894736837</v>
      </c>
      <c r="F1191" s="75">
        <f>'THAM_SO_MOI'!$C$14+('THAM_SO_MOI'!$C$37-'THAM_SO_MOI'!$C$14)*384/'THAM_SO_MOI'!$C$42</f>
        <v>23.577333333333332</v>
      </c>
      <c r="G1191" s="75">
        <f>3.6*F1191</f>
        <v>84.8784</v>
      </c>
      <c r="H1191" s="75">
        <f>'THAM_SO_MOI'!$D$53</f>
        <v>1.1</v>
      </c>
      <c r="I1191" s="75">
        <f>IF(F1191&gt;='THAM_SO_MOI'!$C$14,'THAM_SO_MOI'!$C$13*(1+F1191^2/1500),'THAM_SO_MOI'!$C$13)</f>
        <v>0.02055890647111111</v>
      </c>
      <c r="J1191" s="75">
        <f>'THAM_SO_MOI'!$C$40*('THAM_SO_MOI'!$C$23*(E1191/'THAM_SO_MOI'!$C$22)+'THAM_SO_MOI'!$C$24*(E1191/'THAM_SO_MOI'!$C$22)^2-'THAM_SO_MOI'!$C$25*(E1191/'THAM_SO_MOI'!$C$22)^3)</f>
        <v>104.32642110641156</v>
      </c>
      <c r="K1191" s="75">
        <f>'THAM_SO_MOI'!$C$31*J1191/E1191</f>
        <v>428.9441019669685</v>
      </c>
      <c r="L1191" s="75">
        <f>K1191*'THAM_SO_MOI'!$C$53*'THAM_SO_MOI'!$C$17/'THAM_SO_MOI'!$C$26</f>
        <v>3761.841452695098</v>
      </c>
      <c r="M1191" s="75">
        <f>'THAM_SO_MOI'!$C$15*'THAM_SO_MOI'!$C$16*F1191^2</f>
        <v>1625.9801428</v>
      </c>
      <c r="N1191" s="75">
        <f>'THAM_SO_MOI'!$C$12*I1191</f>
        <v>1548.924460658688</v>
      </c>
      <c r="O1191" s="75">
        <f>M1191+N1191</f>
        <v>3174.904603458688</v>
      </c>
      <c r="P1191" s="75">
        <f>(MIN(L1191,'THAM_SO_MOI'!$C$41)-O1191)/('THAM_SO_MOI'!$C$11*H1191)</f>
        <v>0.06947642628271895</v>
      </c>
      <c r="Q1191" s="75">
        <f>IF(P1191&gt;0,1/P1191,NA())</f>
        <v>14.39337129878732</v>
      </c>
      <c r="R1191" s="75">
        <f>F1191-F1190</f>
        <v>0.0035868055555567935</v>
      </c>
      <c r="S1191" s="75">
        <f>0.5*(Q1190+Q1191)*R1191</f>
        <v>0.05159683334642858</v>
      </c>
      <c r="T1191" s="75">
        <f>0.5*(F1190*Q1190+F1191*Q1191)*R1191</f>
        <v>1.2164232575584744</v>
      </c>
      <c r="U1191" s="76">
        <f>U1190+S1191</f>
        <v>89.0145967654021</v>
      </c>
      <c r="V1191" s="76">
        <f>V1190+T1191</f>
        <v>1504.3768929051646</v>
      </c>
    </row>
    <row r="1192" spans="1:22" ht="19" customHeight="1">
      <c r="A1192" s="68" t="s">
        <v>362</v>
      </c>
      <c r="B1192" s="74">
        <v>5</v>
      </c>
      <c r="C1192" s="68" t="s">
        <v>363</v>
      </c>
      <c r="D1192" s="68" t="s">
        <v>365</v>
      </c>
      <c r="E1192" s="75">
        <f>60*F1192*'THAM_SO_MOI'!$C$53/(2*PI()*'THAM_SO_MOI'!$C$26)</f>
        <v>2323.341184210526</v>
      </c>
      <c r="F1192" s="75">
        <f>'THAM_SO_MOI'!$C$14+('THAM_SO_MOI'!$C$37-'THAM_SO_MOI'!$C$14)*385/'THAM_SO_MOI'!$C$42</f>
        <v>23.58092013888889</v>
      </c>
      <c r="G1192" s="75">
        <f>3.6*F1192</f>
        <v>84.8913125</v>
      </c>
      <c r="H1192" s="75">
        <f>'THAM_SO_MOI'!$D$53</f>
        <v>1.1</v>
      </c>
      <c r="I1192" s="75">
        <f>IF(F1192&gt;='THAM_SO_MOI'!$C$14,'THAM_SO_MOI'!$C$13*(1+F1192^2/1500),'THAM_SO_MOI'!$C$13)</f>
        <v>0.020560597945966555</v>
      </c>
      <c r="J1192" s="75">
        <f>'THAM_SO_MOI'!$C$40*('THAM_SO_MOI'!$C$23*(E1192/'THAM_SO_MOI'!$C$22)+'THAM_SO_MOI'!$C$24*(E1192/'THAM_SO_MOI'!$C$22)^2-'THAM_SO_MOI'!$C$25*(E1192/'THAM_SO_MOI'!$C$22)^3)</f>
        <v>104.34098705364262</v>
      </c>
      <c r="K1192" s="75">
        <f>'THAM_SO_MOI'!$C$31*J1192/E1192</f>
        <v>428.93873650744354</v>
      </c>
      <c r="L1192" s="75">
        <f>K1192*'THAM_SO_MOI'!$C$53*'THAM_SO_MOI'!$C$17/'THAM_SO_MOI'!$C$26</f>
        <v>3761.794397594069</v>
      </c>
      <c r="M1192" s="75">
        <f>'THAM_SO_MOI'!$C$15*'THAM_SO_MOI'!$C$16*F1192^2</f>
        <v>1626.4748991952176</v>
      </c>
      <c r="N1192" s="75">
        <f>'THAM_SO_MOI'!$C$12*I1192</f>
        <v>1549.0518977274771</v>
      </c>
      <c r="O1192" s="75">
        <f>M1192+N1192</f>
        <v>3175.5267969226948</v>
      </c>
      <c r="P1192" s="75">
        <f>(MIN(L1192,'THAM_SO_MOI'!$C$41)-O1192)/('THAM_SO_MOI'!$C$11*H1192)</f>
        <v>0.06939720651886533</v>
      </c>
      <c r="Q1192" s="75">
        <f>IF(P1192&gt;0,1/P1192,NA())</f>
        <v>14.409801923772743</v>
      </c>
      <c r="R1192" s="75">
        <f>F1192-F1191</f>
        <v>0.0035868055555567935</v>
      </c>
      <c r="S1192" s="75">
        <f>0.5*(Q1191+Q1192)*R1192</f>
        <v>0.05165569086617155</v>
      </c>
      <c r="T1192" s="75">
        <f>0.5*(F1191*Q1191+F1192*Q1192)*R1192</f>
        <v>1.2179961344205488</v>
      </c>
      <c r="U1192" s="76">
        <f>U1191+S1192</f>
        <v>89.06625245626827</v>
      </c>
      <c r="V1192" s="76">
        <f>V1191+T1192</f>
        <v>1505.594889039585</v>
      </c>
    </row>
    <row r="1193" spans="1:22" ht="19" customHeight="1">
      <c r="A1193" s="68" t="s">
        <v>362</v>
      </c>
      <c r="B1193" s="74">
        <v>5</v>
      </c>
      <c r="C1193" s="68" t="s">
        <v>363</v>
      </c>
      <c r="D1193" s="68" t="s">
        <v>365</v>
      </c>
      <c r="E1193" s="75">
        <f>60*F1193*'THAM_SO_MOI'!$C$53/(2*PI()*'THAM_SO_MOI'!$C$26)</f>
        <v>2323.6945789473675</v>
      </c>
      <c r="F1193" s="75">
        <f>'THAM_SO_MOI'!$C$14+('THAM_SO_MOI'!$C$37-'THAM_SO_MOI'!$C$14)*386/'THAM_SO_MOI'!$C$42</f>
        <v>23.584506944444442</v>
      </c>
      <c r="G1193" s="75">
        <f>3.6*F1193</f>
        <v>84.904225</v>
      </c>
      <c r="H1193" s="75">
        <f>'THAM_SO_MOI'!$D$53</f>
        <v>1.1</v>
      </c>
      <c r="I1193" s="75">
        <f>IF(F1193&gt;='THAM_SO_MOI'!$C$14,'THAM_SO_MOI'!$C$13*(1+F1193^2/1500),'THAM_SO_MOI'!$C$13)</f>
        <v>0.02056228967812548</v>
      </c>
      <c r="J1193" s="75">
        <f>'THAM_SO_MOI'!$C$40*('THAM_SO_MOI'!$C$23*(E1193/'THAM_SO_MOI'!$C$22)+'THAM_SO_MOI'!$C$24*(E1193/'THAM_SO_MOI'!$C$22)^2-'THAM_SO_MOI'!$C$25*(E1193/'THAM_SO_MOI'!$C$22)^3)</f>
        <v>104.3555496561172</v>
      </c>
      <c r="K1193" s="75">
        <f>'THAM_SO_MOI'!$C$31*J1193/E1193</f>
        <v>428.9333589319341</v>
      </c>
      <c r="L1193" s="75">
        <f>K1193*'THAM_SO_MOI'!$C$53*'THAM_SO_MOI'!$C$17/'THAM_SO_MOI'!$C$26</f>
        <v>3761.7472362358085</v>
      </c>
      <c r="M1193" s="75">
        <f>'THAM_SO_MOI'!$C$15*'THAM_SO_MOI'!$C$16*F1193^2</f>
        <v>1626.9697308517034</v>
      </c>
      <c r="N1193" s="75">
        <f>'THAM_SO_MOI'!$C$12*I1193</f>
        <v>1549.1793541817162</v>
      </c>
      <c r="O1193" s="75">
        <f>M1193+N1193</f>
        <v>3176.1490850334194</v>
      </c>
      <c r="P1193" s="75">
        <f>(MIN(L1193,'THAM_SO_MOI'!$C$41)-O1193)/('THAM_SO_MOI'!$C$11*H1193)</f>
        <v>0.06931796297376762</v>
      </c>
      <c r="Q1193" s="75">
        <f>IF(P1193&gt;0,1/P1193,NA())</f>
        <v>14.426275053386025</v>
      </c>
      <c r="R1193" s="75">
        <f>F1193-F1192</f>
        <v>0.0035868055555532408</v>
      </c>
      <c r="S1193" s="75">
        <f>0.5*(Q1192+Q1193)*R1193</f>
        <v>0.051714700551016984</v>
      </c>
      <c r="T1193" s="75">
        <f>0.5*(F1192*Q1192+F1193*Q1193)*R1193</f>
        <v>1.2195730219701248</v>
      </c>
      <c r="U1193" s="76">
        <f>U1192+S1193</f>
        <v>89.11796715681929</v>
      </c>
      <c r="V1193" s="76">
        <f>V1192+T1193</f>
        <v>1506.814462061555</v>
      </c>
    </row>
    <row r="1194" spans="1:22" ht="19" customHeight="1">
      <c r="A1194" s="68" t="s">
        <v>362</v>
      </c>
      <c r="B1194" s="74">
        <v>5</v>
      </c>
      <c r="C1194" s="68" t="s">
        <v>363</v>
      </c>
      <c r="D1194" s="68" t="s">
        <v>365</v>
      </c>
      <c r="E1194" s="75">
        <f>60*F1194*'THAM_SO_MOI'!$C$53/(2*PI()*'THAM_SO_MOI'!$C$26)</f>
        <v>2324.04797368421</v>
      </c>
      <c r="F1194" s="75">
        <f>'THAM_SO_MOI'!$C$14+('THAM_SO_MOI'!$C$37-'THAM_SO_MOI'!$C$14)*387/'THAM_SO_MOI'!$C$42</f>
        <v>23.58809375</v>
      </c>
      <c r="G1194" s="75">
        <f>3.6*F1194</f>
        <v>84.9171375</v>
      </c>
      <c r="H1194" s="75">
        <f>'THAM_SO_MOI'!$D$53</f>
        <v>1.1</v>
      </c>
      <c r="I1194" s="75">
        <f>IF(F1194&gt;='THAM_SO_MOI'!$C$14,'THAM_SO_MOI'!$C$13*(1+F1194^2/1500),'THAM_SO_MOI'!$C$13)</f>
        <v>0.02056398166758789</v>
      </c>
      <c r="J1194" s="75">
        <f>'THAM_SO_MOI'!$C$40*('THAM_SO_MOI'!$C$23*(E1194/'THAM_SO_MOI'!$C$22)+'THAM_SO_MOI'!$C$24*(E1194/'THAM_SO_MOI'!$C$22)^2-'THAM_SO_MOI'!$C$25*(E1194/'THAM_SO_MOI'!$C$22)^3)</f>
        <v>104.3701089124905</v>
      </c>
      <c r="K1194" s="75">
        <f>'THAM_SO_MOI'!$C$31*J1194/E1194</f>
        <v>428.92796924044006</v>
      </c>
      <c r="L1194" s="75">
        <f>K1194*'THAM_SO_MOI'!$C$53*'THAM_SO_MOI'!$C$17/'THAM_SO_MOI'!$C$26</f>
        <v>3761.6999686203167</v>
      </c>
      <c r="M1194" s="75">
        <f>'THAM_SO_MOI'!$C$15*'THAM_SO_MOI'!$C$16*F1194^2</f>
        <v>1627.464637769458</v>
      </c>
      <c r="N1194" s="75">
        <f>'THAM_SO_MOI'!$C$12*I1194</f>
        <v>1549.3068300214056</v>
      </c>
      <c r="O1194" s="75">
        <f>M1194+N1194</f>
        <v>3176.7714677908634</v>
      </c>
      <c r="P1194" s="75">
        <f>(MIN(L1194,'THAM_SO_MOI'!$C$41)-O1194)/('THAM_SO_MOI'!$C$11*H1194)</f>
        <v>0.06923869564742578</v>
      </c>
      <c r="Q1194" s="75">
        <f>IF(P1194&gt;0,1/P1194,NA())</f>
        <v>14.442790850540508</v>
      </c>
      <c r="R1194" s="75">
        <f>F1194-F1193</f>
        <v>0.0035868055555567935</v>
      </c>
      <c r="S1194" s="75">
        <f>0.5*(Q1193+Q1194)*R1194</f>
        <v>0.051773862983969444</v>
      </c>
      <c r="T1194" s="75">
        <f>0.5*(F1193*Q1193+F1194*Q1194)*R1194</f>
        <v>1.2211539355954857</v>
      </c>
      <c r="U1194" s="76">
        <f>U1193+S1194</f>
        <v>89.16974101980325</v>
      </c>
      <c r="V1194" s="76">
        <f>V1193+T1194</f>
        <v>1508.0356159971507</v>
      </c>
    </row>
    <row r="1195" spans="1:22" ht="19" customHeight="1">
      <c r="A1195" s="68" t="s">
        <v>362</v>
      </c>
      <c r="B1195" s="74">
        <v>5</v>
      </c>
      <c r="C1195" s="68" t="s">
        <v>363</v>
      </c>
      <c r="D1195" s="68" t="s">
        <v>365</v>
      </c>
      <c r="E1195" s="75">
        <f>60*F1195*'THAM_SO_MOI'!$C$53/(2*PI()*'THAM_SO_MOI'!$C$26)</f>
        <v>2324.4013684210518</v>
      </c>
      <c r="F1195" s="75">
        <f>'THAM_SO_MOI'!$C$14+('THAM_SO_MOI'!$C$37-'THAM_SO_MOI'!$C$14)*388/'THAM_SO_MOI'!$C$42</f>
        <v>23.591680555555556</v>
      </c>
      <c r="G1195" s="75">
        <f>3.6*F1195</f>
        <v>84.93005000000001</v>
      </c>
      <c r="H1195" s="75">
        <f>'THAM_SO_MOI'!$D$53</f>
        <v>1.1</v>
      </c>
      <c r="I1195" s="75">
        <f>IF(F1195&gt;='THAM_SO_MOI'!$C$14,'THAM_SO_MOI'!$C$13*(1+F1195^2/1500),'THAM_SO_MOI'!$C$13)</f>
        <v>0.02056567391435378</v>
      </c>
      <c r="J1195" s="75">
        <f>'THAM_SO_MOI'!$C$40*('THAM_SO_MOI'!$C$23*(E1195/'THAM_SO_MOI'!$C$22)+'THAM_SO_MOI'!$C$24*(E1195/'THAM_SO_MOI'!$C$22)^2-'THAM_SO_MOI'!$C$25*(E1195/'THAM_SO_MOI'!$C$22)^3)</f>
        <v>104.38466482141757</v>
      </c>
      <c r="K1195" s="75">
        <f>'THAM_SO_MOI'!$C$31*J1195/E1195</f>
        <v>428.9225674329617</v>
      </c>
      <c r="L1195" s="75">
        <f>K1195*'THAM_SO_MOI'!$C$53*'THAM_SO_MOI'!$C$17/'THAM_SO_MOI'!$C$26</f>
        <v>3761.652594747594</v>
      </c>
      <c r="M1195" s="75">
        <f>'THAM_SO_MOI'!$C$15*'THAM_SO_MOI'!$C$16*F1195^2</f>
        <v>1627.959619948481</v>
      </c>
      <c r="N1195" s="75">
        <f>'THAM_SO_MOI'!$C$12*I1195</f>
        <v>1549.4343252465453</v>
      </c>
      <c r="O1195" s="75">
        <f>M1195+N1195</f>
        <v>3177.3939451950264</v>
      </c>
      <c r="P1195" s="75">
        <f>(MIN(L1195,'THAM_SO_MOI'!$C$41)-O1195)/('THAM_SO_MOI'!$C$11*H1195)</f>
        <v>0.06915940453983987</v>
      </c>
      <c r="Q1195" s="75">
        <f>IF(P1195&gt;0,1/P1195,NA())</f>
        <v>14.459349478984327</v>
      </c>
      <c r="R1195" s="75">
        <f>F1195-F1194</f>
        <v>0.0035868055555567935</v>
      </c>
      <c r="S1195" s="75">
        <f>0.5*(Q1194+Q1195)*R1195</f>
        <v>0.05183317875071086</v>
      </c>
      <c r="T1195" s="75">
        <f>0.5*(F1194*Q1194+F1195*Q1195)*R1195</f>
        <v>1.2227388907564378</v>
      </c>
      <c r="U1195" s="76">
        <f>U1194+S1195</f>
        <v>89.22157419855397</v>
      </c>
      <c r="V1195" s="76">
        <f>V1194+T1195</f>
        <v>1509.2583548879072</v>
      </c>
    </row>
    <row r="1196" spans="1:22" ht="19" customHeight="1">
      <c r="A1196" s="68" t="s">
        <v>362</v>
      </c>
      <c r="B1196" s="74">
        <v>5</v>
      </c>
      <c r="C1196" s="68" t="s">
        <v>363</v>
      </c>
      <c r="D1196" s="68" t="s">
        <v>365</v>
      </c>
      <c r="E1196" s="75">
        <f>60*F1196*'THAM_SO_MOI'!$C$53/(2*PI()*'THAM_SO_MOI'!$C$26)</f>
        <v>2324.754763157894</v>
      </c>
      <c r="F1196" s="75">
        <f>'THAM_SO_MOI'!$C$14+('THAM_SO_MOI'!$C$37-'THAM_SO_MOI'!$C$14)*389/'THAM_SO_MOI'!$C$42</f>
        <v>23.59526736111111</v>
      </c>
      <c r="G1196" s="75">
        <f>3.6*F1196</f>
        <v>84.9429625</v>
      </c>
      <c r="H1196" s="75">
        <f>'THAM_SO_MOI'!$D$53</f>
        <v>1.1</v>
      </c>
      <c r="I1196" s="75">
        <f>IF(F1196&gt;='THAM_SO_MOI'!$C$14,'THAM_SO_MOI'!$C$13*(1+F1196^2/1500),'THAM_SO_MOI'!$C$13)</f>
        <v>0.02056736641842315</v>
      </c>
      <c r="J1196" s="75">
        <f>'THAM_SO_MOI'!$C$40*('THAM_SO_MOI'!$C$23*(E1196/'THAM_SO_MOI'!$C$22)+'THAM_SO_MOI'!$C$24*(E1196/'THAM_SO_MOI'!$C$22)^2-'THAM_SO_MOI'!$C$25*(E1196/'THAM_SO_MOI'!$C$22)^3)</f>
        <v>104.39921738155357</v>
      </c>
      <c r="K1196" s="75">
        <f>'THAM_SO_MOI'!$C$31*J1196/E1196</f>
        <v>428.9171535094989</v>
      </c>
      <c r="L1196" s="75">
        <f>K1196*'THAM_SO_MOI'!$C$53*'THAM_SO_MOI'!$C$17/'THAM_SO_MOI'!$C$26</f>
        <v>3761.605114617641</v>
      </c>
      <c r="M1196" s="75">
        <f>'THAM_SO_MOI'!$C$15*'THAM_SO_MOI'!$C$16*F1196^2</f>
        <v>1628.454677388772</v>
      </c>
      <c r="N1196" s="75">
        <f>'THAM_SO_MOI'!$C$12*I1196</f>
        <v>1549.561839857135</v>
      </c>
      <c r="O1196" s="75">
        <f>M1196+N1196</f>
        <v>3178.0165172459074</v>
      </c>
      <c r="P1196" s="75">
        <f>(MIN(L1196,'THAM_SO_MOI'!$C$41)-O1196)/('THAM_SO_MOI'!$C$11*H1196)</f>
        <v>0.06908008965101019</v>
      </c>
      <c r="Q1196" s="75">
        <f>IF(P1196&gt;0,1/P1196,NA())</f>
        <v>14.475951103305734</v>
      </c>
      <c r="R1196" s="75">
        <f>F1196-F1195</f>
        <v>0.0035868055555532408</v>
      </c>
      <c r="S1196" s="75">
        <f>0.5*(Q1195+Q1196)*R1196</f>
        <v>0.05189264844008046</v>
      </c>
      <c r="T1196" s="75">
        <f>0.5*(F1195*Q1195+F1196*Q1196)*R1196</f>
        <v>1.224327902995682</v>
      </c>
      <c r="U1196" s="76">
        <f>U1195+S1196</f>
        <v>89.27346684699404</v>
      </c>
      <c r="V1196" s="76">
        <f>V1195+T1196</f>
        <v>1510.4826827909028</v>
      </c>
    </row>
    <row r="1197" spans="1:22" ht="19" customHeight="1">
      <c r="A1197" s="68" t="s">
        <v>362</v>
      </c>
      <c r="B1197" s="74">
        <v>5</v>
      </c>
      <c r="C1197" s="68" t="s">
        <v>363</v>
      </c>
      <c r="D1197" s="68" t="s">
        <v>365</v>
      </c>
      <c r="E1197" s="75">
        <f>60*F1197*'THAM_SO_MOI'!$C$53/(2*PI()*'THAM_SO_MOI'!$C$26)</f>
        <v>2325.1081578947365</v>
      </c>
      <c r="F1197" s="75">
        <f>'THAM_SO_MOI'!$C$14+('THAM_SO_MOI'!$C$37-'THAM_SO_MOI'!$C$14)*390/'THAM_SO_MOI'!$C$42</f>
        <v>23.598854166666666</v>
      </c>
      <c r="G1197" s="75">
        <f>3.6*F1197</f>
        <v>84.95587499999999</v>
      </c>
      <c r="H1197" s="75">
        <f>'THAM_SO_MOI'!$D$53</f>
        <v>1.1</v>
      </c>
      <c r="I1197" s="75">
        <f>IF(F1197&gt;='THAM_SO_MOI'!$C$14,'THAM_SO_MOI'!$C$13*(1+F1197^2/1500),'THAM_SO_MOI'!$C$13)</f>
        <v>0.020569059179796005</v>
      </c>
      <c r="J1197" s="75">
        <f>'THAM_SO_MOI'!$C$40*('THAM_SO_MOI'!$C$23*(E1197/'THAM_SO_MOI'!$C$22)+'THAM_SO_MOI'!$C$24*(E1197/'THAM_SO_MOI'!$C$22)^2-'THAM_SO_MOI'!$C$25*(E1197/'THAM_SO_MOI'!$C$22)^3)</f>
        <v>104.41376659155358</v>
      </c>
      <c r="K1197" s="75">
        <f>'THAM_SO_MOI'!$C$31*J1197/E1197</f>
        <v>428.9117274700516</v>
      </c>
      <c r="L1197" s="75">
        <f>K1197*'THAM_SO_MOI'!$C$53*'THAM_SO_MOI'!$C$17/'THAM_SO_MOI'!$C$26</f>
        <v>3761.557528230456</v>
      </c>
      <c r="M1197" s="75">
        <f>'THAM_SO_MOI'!$C$15*'THAM_SO_MOI'!$C$16*F1197^2</f>
        <v>1628.949810090332</v>
      </c>
      <c r="N1197" s="75">
        <f>'THAM_SO_MOI'!$C$12*I1197</f>
        <v>1549.6893738531749</v>
      </c>
      <c r="O1197" s="75">
        <f>M1197+N1197</f>
        <v>3178.639183943507</v>
      </c>
      <c r="P1197" s="75">
        <f>(MIN(L1197,'THAM_SO_MOI'!$C$41)-O1197)/('THAM_SO_MOI'!$C$11*H1197)</f>
        <v>0.06900075098093619</v>
      </c>
      <c r="Q1197" s="75">
        <f>IF(P1197&gt;0,1/P1197,NA())</f>
        <v>14.492595888938716</v>
      </c>
      <c r="R1197" s="75">
        <f>F1197-F1196</f>
        <v>0.0035868055555567935</v>
      </c>
      <c r="S1197" s="75">
        <f>0.5*(Q1196+Q1197)*R1197</f>
        <v>0.051952272644095215</v>
      </c>
      <c r="T1197" s="75">
        <f>0.5*(F1196*Q1196+F1197*Q1197)*R1197</f>
        <v>1.2259209879393536</v>
      </c>
      <c r="U1197" s="76">
        <f>U1196+S1197</f>
        <v>89.32541911963814</v>
      </c>
      <c r="V1197" s="76">
        <f>V1196+T1197</f>
        <v>1511.7086037788422</v>
      </c>
    </row>
    <row r="1198" spans="1:22" ht="19" customHeight="1">
      <c r="A1198" s="68" t="s">
        <v>362</v>
      </c>
      <c r="B1198" s="74">
        <v>5</v>
      </c>
      <c r="C1198" s="68" t="s">
        <v>363</v>
      </c>
      <c r="D1198" s="68" t="s">
        <v>365</v>
      </c>
      <c r="E1198" s="75">
        <f>60*F1198*'THAM_SO_MOI'!$C$53/(2*PI()*'THAM_SO_MOI'!$C$26)</f>
        <v>2325.461552631579</v>
      </c>
      <c r="F1198" s="75">
        <f>'THAM_SO_MOI'!$C$14+('THAM_SO_MOI'!$C$37-'THAM_SO_MOI'!$C$14)*391/'THAM_SO_MOI'!$C$42</f>
        <v>23.602440972222222</v>
      </c>
      <c r="G1198" s="75">
        <f>3.6*F1198</f>
        <v>84.9687875</v>
      </c>
      <c r="H1198" s="75">
        <f>'THAM_SO_MOI'!$D$53</f>
        <v>1.1</v>
      </c>
      <c r="I1198" s="75">
        <f>IF(F1198&gt;='THAM_SO_MOI'!$C$14,'THAM_SO_MOI'!$C$13*(1+F1198^2/1500),'THAM_SO_MOI'!$C$13)</f>
        <v>0.02057075219847234</v>
      </c>
      <c r="J1198" s="75">
        <f>'THAM_SO_MOI'!$C$40*('THAM_SO_MOI'!$C$23*(E1198/'THAM_SO_MOI'!$C$22)+'THAM_SO_MOI'!$C$24*(E1198/'THAM_SO_MOI'!$C$22)^2-'THAM_SO_MOI'!$C$25*(E1198/'THAM_SO_MOI'!$C$22)^3)</f>
        <v>104.42831245007271</v>
      </c>
      <c r="K1198" s="75">
        <f>'THAM_SO_MOI'!$C$31*J1198/E1198</f>
        <v>428.90628931461987</v>
      </c>
      <c r="L1198" s="75">
        <f>K1198*'THAM_SO_MOI'!$C$53*'THAM_SO_MOI'!$C$17/'THAM_SO_MOI'!$C$26</f>
        <v>3761.50983558604</v>
      </c>
      <c r="M1198" s="75">
        <f>'THAM_SO_MOI'!$C$15*'THAM_SO_MOI'!$C$16*F1198^2</f>
        <v>1629.4450180531605</v>
      </c>
      <c r="N1198" s="75">
        <f>'THAM_SO_MOI'!$C$12*I1198</f>
        <v>1549.816927234665</v>
      </c>
      <c r="O1198" s="75">
        <f>M1198+N1198</f>
        <v>3179.2619452878253</v>
      </c>
      <c r="P1198" s="75">
        <f>(MIN(L1198,'THAM_SO_MOI'!$C$41)-O1198)/('THAM_SO_MOI'!$C$11*H1198)</f>
        <v>0.06892138852961822</v>
      </c>
      <c r="Q1198" s="75">
        <f>IF(P1198&gt;0,1/P1198,NA())</f>
        <v>14.509284002168075</v>
      </c>
      <c r="R1198" s="75">
        <f>F1198-F1197</f>
        <v>0.0035868055555567935</v>
      </c>
      <c r="S1198" s="75">
        <f>0.5*(Q1197+Q1198)*R1198</f>
        <v>0.05201205195750634</v>
      </c>
      <c r="T1198" s="75">
        <f>0.5*(F1197*Q1197+F1198*Q1198)*R1198</f>
        <v>1.2275181612866108</v>
      </c>
      <c r="U1198" s="76">
        <f>U1197+S1198</f>
        <v>89.37743117159565</v>
      </c>
      <c r="V1198" s="76">
        <f>V1197+T1198</f>
        <v>1512.9361219401287</v>
      </c>
    </row>
    <row r="1199" spans="1:22" ht="19" customHeight="1">
      <c r="A1199" s="68" t="s">
        <v>362</v>
      </c>
      <c r="B1199" s="74">
        <v>5</v>
      </c>
      <c r="C1199" s="68" t="s">
        <v>363</v>
      </c>
      <c r="D1199" s="68" t="s">
        <v>365</v>
      </c>
      <c r="E1199" s="75">
        <f>60*F1199*'THAM_SO_MOI'!$C$53/(2*PI()*'THAM_SO_MOI'!$C$26)</f>
        <v>2325.8149473684202</v>
      </c>
      <c r="F1199" s="75">
        <f>'THAM_SO_MOI'!$C$14+('THAM_SO_MOI'!$C$37-'THAM_SO_MOI'!$C$14)*392/'THAM_SO_MOI'!$C$42</f>
        <v>23.606027777777776</v>
      </c>
      <c r="G1199" s="75">
        <f>3.6*F1199</f>
        <v>84.98169999999999</v>
      </c>
      <c r="H1199" s="75">
        <f>'THAM_SO_MOI'!$D$53</f>
        <v>1.1</v>
      </c>
      <c r="I1199" s="75">
        <f>IF(F1199&gt;='THAM_SO_MOI'!$C$14,'THAM_SO_MOI'!$C$13*(1+F1199^2/1500),'THAM_SO_MOI'!$C$13)</f>
        <v>0.02057244547445216</v>
      </c>
      <c r="J1199" s="75">
        <f>'THAM_SO_MOI'!$C$40*('THAM_SO_MOI'!$C$23*(E1199/'THAM_SO_MOI'!$C$22)+'THAM_SO_MOI'!$C$24*(E1199/'THAM_SO_MOI'!$C$22)^2-'THAM_SO_MOI'!$C$25*(E1199/'THAM_SO_MOI'!$C$22)^3)</f>
        <v>104.44285495576604</v>
      </c>
      <c r="K1199" s="75">
        <f>'THAM_SO_MOI'!$C$31*J1199/E1199</f>
        <v>428.90083904320375</v>
      </c>
      <c r="L1199" s="75">
        <f>K1199*'THAM_SO_MOI'!$C$53*'THAM_SO_MOI'!$C$17/'THAM_SO_MOI'!$C$26</f>
        <v>3761.462036684394</v>
      </c>
      <c r="M1199" s="75">
        <f>'THAM_SO_MOI'!$C$15*'THAM_SO_MOI'!$C$16*F1199^2</f>
        <v>1629.9403012772566</v>
      </c>
      <c r="N1199" s="75">
        <f>'THAM_SO_MOI'!$C$12*I1199</f>
        <v>1549.9445000016053</v>
      </c>
      <c r="O1199" s="75">
        <f>M1199+N1199</f>
        <v>3179.884801278862</v>
      </c>
      <c r="P1199" s="75">
        <f>(MIN(L1199,'THAM_SO_MOI'!$C$41)-O1199)/('THAM_SO_MOI'!$C$11*H1199)</f>
        <v>0.06884200229705635</v>
      </c>
      <c r="Q1199" s="75">
        <f>IF(P1199&gt;0,1/P1199,NA())</f>
        <v>14.526015610135143</v>
      </c>
      <c r="R1199" s="75">
        <f>F1199-F1198</f>
        <v>0.0035868055555532408</v>
      </c>
      <c r="S1199" s="75">
        <f>0.5*(Q1198+Q1199)*R1199</f>
        <v>0.052071986978281026</v>
      </c>
      <c r="T1199" s="75">
        <f>0.5*(F1198*Q1198+F1199*Q1199)*R1199</f>
        <v>1.2291194388210556</v>
      </c>
      <c r="U1199" s="76">
        <f>U1198+S1199</f>
        <v>89.42950315857392</v>
      </c>
      <c r="V1199" s="76">
        <f>V1198+T1199</f>
        <v>1514.1652413789498</v>
      </c>
    </row>
    <row r="1200" spans="1:22" ht="19" customHeight="1">
      <c r="A1200" s="68" t="s">
        <v>362</v>
      </c>
      <c r="B1200" s="74">
        <v>5</v>
      </c>
      <c r="C1200" s="68" t="s">
        <v>363</v>
      </c>
      <c r="D1200" s="68" t="s">
        <v>365</v>
      </c>
      <c r="E1200" s="75">
        <f>60*F1200*'THAM_SO_MOI'!$C$53/(2*PI()*'THAM_SO_MOI'!$C$26)</f>
        <v>2326.1683421052626</v>
      </c>
      <c r="F1200" s="75">
        <f>'THAM_SO_MOI'!$C$14+('THAM_SO_MOI'!$C$37-'THAM_SO_MOI'!$C$14)*393/'THAM_SO_MOI'!$C$42</f>
        <v>23.609614583333332</v>
      </c>
      <c r="G1200" s="75">
        <f>3.6*F1200</f>
        <v>84.9946125</v>
      </c>
      <c r="H1200" s="75">
        <f>'THAM_SO_MOI'!$D$53</f>
        <v>1.1</v>
      </c>
      <c r="I1200" s="75">
        <f>IF(F1200&gt;='THAM_SO_MOI'!$C$14,'THAM_SO_MOI'!$C$13*(1+F1200^2/1500),'THAM_SO_MOI'!$C$13)</f>
        <v>0.02057413900773546</v>
      </c>
      <c r="J1200" s="75">
        <f>'THAM_SO_MOI'!$C$40*('THAM_SO_MOI'!$C$23*(E1200/'THAM_SO_MOI'!$C$22)+'THAM_SO_MOI'!$C$24*(E1200/'THAM_SO_MOI'!$C$22)^2-'THAM_SO_MOI'!$C$25*(E1200/'THAM_SO_MOI'!$C$22)^3)</f>
        <v>104.45739410728869</v>
      </c>
      <c r="K1200" s="75">
        <f>'THAM_SO_MOI'!$C$31*J1200/E1200</f>
        <v>428.89537665580286</v>
      </c>
      <c r="L1200" s="75">
        <f>K1200*'THAM_SO_MOI'!$C$53*'THAM_SO_MOI'!$C$17/'THAM_SO_MOI'!$C$26</f>
        <v>3761.414131525514</v>
      </c>
      <c r="M1200" s="75">
        <f>'THAM_SO_MOI'!$C$15*'THAM_SO_MOI'!$C$16*F1200^2</f>
        <v>1630.4356597626222</v>
      </c>
      <c r="N1200" s="75">
        <f>'THAM_SO_MOI'!$C$12*I1200</f>
        <v>1550.0720921539958</v>
      </c>
      <c r="O1200" s="75">
        <f>M1200+N1200</f>
        <v>3180.507751916618</v>
      </c>
      <c r="P1200" s="75">
        <f>(MIN(L1200,'THAM_SO_MOI'!$C$41)-O1200)/('THAM_SO_MOI'!$C$11*H1200)</f>
        <v>0.06876259228325</v>
      </c>
      <c r="Q1200" s="75">
        <f>IF(P1200&gt;0,1/P1200,NA())</f>
        <v>14.542790880843388</v>
      </c>
      <c r="R1200" s="75">
        <f>F1200-F1199</f>
        <v>0.0035868055555567935</v>
      </c>
      <c r="S1200" s="75">
        <f>0.5*(Q1199+Q1200)*R1200</f>
        <v>0.052132078307623585</v>
      </c>
      <c r="T1200" s="75">
        <f>0.5*(F1199*Q1199+F1200*Q1200)*R1200</f>
        <v>1.2307248364112913</v>
      </c>
      <c r="U1200" s="76">
        <f>U1199+S1200</f>
        <v>89.48163523688154</v>
      </c>
      <c r="V1200" s="76">
        <f>V1199+T1200</f>
        <v>1515.395966215361</v>
      </c>
    </row>
    <row r="1201" spans="1:22" ht="19" customHeight="1">
      <c r="A1201" s="68" t="s">
        <v>362</v>
      </c>
      <c r="B1201" s="74">
        <v>5</v>
      </c>
      <c r="C1201" s="68" t="s">
        <v>363</v>
      </c>
      <c r="D1201" s="68" t="s">
        <v>365</v>
      </c>
      <c r="E1201" s="75">
        <f>60*F1201*'THAM_SO_MOI'!$C$53/(2*PI()*'THAM_SO_MOI'!$C$26)</f>
        <v>2326.5217368421045</v>
      </c>
      <c r="F1201" s="75">
        <f>'THAM_SO_MOI'!$C$14+('THAM_SO_MOI'!$C$37-'THAM_SO_MOI'!$C$14)*394/'THAM_SO_MOI'!$C$42</f>
        <v>23.61320138888889</v>
      </c>
      <c r="G1201" s="75">
        <f>3.6*F1201</f>
        <v>85.007525</v>
      </c>
      <c r="H1201" s="75">
        <f>'THAM_SO_MOI'!$D$53</f>
        <v>1.1</v>
      </c>
      <c r="I1201" s="75">
        <f>IF(F1201&gt;='THAM_SO_MOI'!$C$14,'THAM_SO_MOI'!$C$13*(1+F1201^2/1500),'THAM_SO_MOI'!$C$13)</f>
        <v>0.02057583279832224</v>
      </c>
      <c r="J1201" s="75">
        <f>'THAM_SO_MOI'!$C$40*('THAM_SO_MOI'!$C$23*(E1201/'THAM_SO_MOI'!$C$22)+'THAM_SO_MOI'!$C$24*(E1201/'THAM_SO_MOI'!$C$22)^2-'THAM_SO_MOI'!$C$25*(E1201/'THAM_SO_MOI'!$C$22)^3)</f>
        <v>104.47192990329583</v>
      </c>
      <c r="K1201" s="75">
        <f>'THAM_SO_MOI'!$C$31*J1201/E1201</f>
        <v>428.88990215241785</v>
      </c>
      <c r="L1201" s="75">
        <f>K1201*'THAM_SO_MOI'!$C$53*'THAM_SO_MOI'!$C$17/'THAM_SO_MOI'!$C$26</f>
        <v>3761.366120109406</v>
      </c>
      <c r="M1201" s="75">
        <f>'THAM_SO_MOI'!$C$15*'THAM_SO_MOI'!$C$16*F1201^2</f>
        <v>1630.9310935092558</v>
      </c>
      <c r="N1201" s="75">
        <f>'THAM_SO_MOI'!$C$12*I1201</f>
        <v>1550.1997036918362</v>
      </c>
      <c r="O1201" s="75">
        <f>M1201+N1201</f>
        <v>3181.130797201092</v>
      </c>
      <c r="P1201" s="75">
        <f>(MIN(L1201,'THAM_SO_MOI'!$C$41)-O1201)/('THAM_SO_MOI'!$C$11*H1201)</f>
        <v>0.06868315848820004</v>
      </c>
      <c r="Q1201" s="75">
        <f>IF(P1201&gt;0,1/P1201,NA())</f>
        <v>14.559609983163526</v>
      </c>
      <c r="R1201" s="75">
        <f>F1201-F1200</f>
        <v>0.0035868055555567935</v>
      </c>
      <c r="S1201" s="75">
        <f>0.5*(Q1200+Q1201)*R1201</f>
        <v>0.05219232654953041</v>
      </c>
      <c r="T1201" s="75">
        <f>0.5*(F1200*Q1200+F1201*Q1201)*R1201</f>
        <v>1.2323343700004712</v>
      </c>
      <c r="U1201" s="76">
        <f>U1200+S1201</f>
        <v>89.53382756343107</v>
      </c>
      <c r="V1201" s="76">
        <f>V1200+T1201</f>
        <v>1516.6283005853616</v>
      </c>
    </row>
    <row r="1202" spans="1:22" ht="19" customHeight="1">
      <c r="A1202" s="68" t="s">
        <v>362</v>
      </c>
      <c r="B1202" s="74">
        <v>5</v>
      </c>
      <c r="C1202" s="68" t="s">
        <v>363</v>
      </c>
      <c r="D1202" s="68" t="s">
        <v>365</v>
      </c>
      <c r="E1202" s="75">
        <f>60*F1202*'THAM_SO_MOI'!$C$53/(2*PI()*'THAM_SO_MOI'!$C$26)</f>
        <v>2326.8751315789464</v>
      </c>
      <c r="F1202" s="75">
        <f>'THAM_SO_MOI'!$C$14+('THAM_SO_MOI'!$C$37-'THAM_SO_MOI'!$C$14)*395/'THAM_SO_MOI'!$C$42</f>
        <v>23.616788194444442</v>
      </c>
      <c r="G1202" s="75">
        <f>3.6*F1202</f>
        <v>85.0204375</v>
      </c>
      <c r="H1202" s="75">
        <f>'THAM_SO_MOI'!$D$53</f>
        <v>1.1</v>
      </c>
      <c r="I1202" s="75">
        <f>IF(F1202&gt;='THAM_SO_MOI'!$C$14,'THAM_SO_MOI'!$C$13*(1+F1202^2/1500),'THAM_SO_MOI'!$C$13)</f>
        <v>0.020577526846212505</v>
      </c>
      <c r="J1202" s="75">
        <f>'THAM_SO_MOI'!$C$40*('THAM_SO_MOI'!$C$23*(E1202/'THAM_SO_MOI'!$C$22)+'THAM_SO_MOI'!$C$24*(E1202/'THAM_SO_MOI'!$C$22)^2-'THAM_SO_MOI'!$C$25*(E1202/'THAM_SO_MOI'!$C$22)^3)</f>
        <v>104.4864623424425</v>
      </c>
      <c r="K1202" s="75">
        <f>'THAM_SO_MOI'!$C$31*J1202/E1202</f>
        <v>428.8844155330482</v>
      </c>
      <c r="L1202" s="75">
        <f>K1202*'THAM_SO_MOI'!$C$53*'THAM_SO_MOI'!$C$17/'THAM_SO_MOI'!$C$26</f>
        <v>3761.3180024360654</v>
      </c>
      <c r="M1202" s="75">
        <f>'THAM_SO_MOI'!$C$15*'THAM_SO_MOI'!$C$16*F1202^2</f>
        <v>1631.4266025171576</v>
      </c>
      <c r="N1202" s="75">
        <f>'THAM_SO_MOI'!$C$12*I1202</f>
        <v>1550.3273346151273</v>
      </c>
      <c r="O1202" s="75">
        <f>M1202+N1202</f>
        <v>3181.7539371322846</v>
      </c>
      <c r="P1202" s="75">
        <f>(MIN(L1202,'THAM_SO_MOI'!$C$41)-O1202)/('THAM_SO_MOI'!$C$11*H1202)</f>
        <v>0.06860370091190587</v>
      </c>
      <c r="Q1202" s="75">
        <f>IF(P1202&gt;0,1/P1202,NA())</f>
        <v>14.576473086839757</v>
      </c>
      <c r="R1202" s="75">
        <f>F1202-F1201</f>
        <v>0.0035868055555532408</v>
      </c>
      <c r="S1202" s="75">
        <f>0.5*(Q1201+Q1202)*R1202</f>
        <v>0.052252732311274246</v>
      </c>
      <c r="T1202" s="75">
        <f>0.5*(F1201*Q1201+F1202*Q1202)*R1202</f>
        <v>1.233948055617785</v>
      </c>
      <c r="U1202" s="76">
        <f>U1201+S1202</f>
        <v>89.58608029574235</v>
      </c>
      <c r="V1202" s="76">
        <f>V1201+T1202</f>
        <v>1517.8622486409793</v>
      </c>
    </row>
    <row r="1203" spans="1:22" ht="19" customHeight="1">
      <c r="A1203" s="68" t="s">
        <v>362</v>
      </c>
      <c r="B1203" s="74">
        <v>5</v>
      </c>
      <c r="C1203" s="68" t="s">
        <v>363</v>
      </c>
      <c r="D1203" s="68" t="s">
        <v>365</v>
      </c>
      <c r="E1203" s="75">
        <f>60*F1203*'THAM_SO_MOI'!$C$53/(2*PI()*'THAM_SO_MOI'!$C$26)</f>
        <v>2327.2285263157887</v>
      </c>
      <c r="F1203" s="75">
        <f>'THAM_SO_MOI'!$C$14+('THAM_SO_MOI'!$C$37-'THAM_SO_MOI'!$C$14)*396/'THAM_SO_MOI'!$C$42</f>
        <v>23.620375</v>
      </c>
      <c r="G1203" s="75">
        <f>3.6*F1203</f>
        <v>85.03335</v>
      </c>
      <c r="H1203" s="75">
        <f>'THAM_SO_MOI'!$D$53</f>
        <v>1.1</v>
      </c>
      <c r="I1203" s="75">
        <f>IF(F1203&gt;='THAM_SO_MOI'!$C$14,'THAM_SO_MOI'!$C$13*(1+F1203^2/1500),'THAM_SO_MOI'!$C$13)</f>
        <v>0.02057922115140625</v>
      </c>
      <c r="J1203" s="75">
        <f>'THAM_SO_MOI'!$C$40*('THAM_SO_MOI'!$C$23*(E1203/'THAM_SO_MOI'!$C$22)+'THAM_SO_MOI'!$C$24*(E1203/'THAM_SO_MOI'!$C$22)^2-'THAM_SO_MOI'!$C$25*(E1203/'THAM_SO_MOI'!$C$22)^3)</f>
        <v>104.50099142338387</v>
      </c>
      <c r="K1203" s="75">
        <f>'THAM_SO_MOI'!$C$31*J1203/E1203</f>
        <v>428.8789167976941</v>
      </c>
      <c r="L1203" s="75">
        <f>K1203*'THAM_SO_MOI'!$C$53*'THAM_SO_MOI'!$C$17/'THAM_SO_MOI'!$C$26</f>
        <v>3761.2697785054934</v>
      </c>
      <c r="M1203" s="75">
        <f>'THAM_SO_MOI'!$C$15*'THAM_SO_MOI'!$C$16*F1203^2</f>
        <v>1631.922186786328</v>
      </c>
      <c r="N1203" s="75">
        <f>'THAM_SO_MOI'!$C$12*I1203</f>
        <v>1550.454984923868</v>
      </c>
      <c r="O1203" s="75">
        <f>M1203+N1203</f>
        <v>3182.3771717101963</v>
      </c>
      <c r="P1203" s="75">
        <f>(MIN(L1203,'THAM_SO_MOI'!$C$41)-O1203)/('THAM_SO_MOI'!$C$11*H1203)</f>
        <v>0.06852421955436758</v>
      </c>
      <c r="Q1203" s="75">
        <f>IF(P1203&gt;0,1/P1203,NA())</f>
        <v>14.593380362494946</v>
      </c>
      <c r="R1203" s="75">
        <f>F1203-F1202</f>
        <v>0.0035868055555567935</v>
      </c>
      <c r="S1203" s="75">
        <f>0.5*(Q1202+Q1203)*R1203</f>
        <v>0.052313296203425605</v>
      </c>
      <c r="T1203" s="75">
        <f>0.5*(F1202*Q1202+F1203*Q1203)*R1203</f>
        <v>1.2355659093790243</v>
      </c>
      <c r="U1203" s="76">
        <f>U1202+S1203</f>
        <v>89.63839359194577</v>
      </c>
      <c r="V1203" s="76">
        <f>V1202+T1203</f>
        <v>1519.0978145503582</v>
      </c>
    </row>
    <row r="1204" spans="1:22" ht="19" customHeight="1">
      <c r="A1204" s="68" t="s">
        <v>362</v>
      </c>
      <c r="B1204" s="74">
        <v>5</v>
      </c>
      <c r="C1204" s="68" t="s">
        <v>363</v>
      </c>
      <c r="D1204" s="68" t="s">
        <v>365</v>
      </c>
      <c r="E1204" s="75">
        <f>60*F1204*'THAM_SO_MOI'!$C$53/(2*PI()*'THAM_SO_MOI'!$C$26)</f>
        <v>2327.581921052631</v>
      </c>
      <c r="F1204" s="75">
        <f>'THAM_SO_MOI'!$C$14+('THAM_SO_MOI'!$C$37-'THAM_SO_MOI'!$C$14)*397/'THAM_SO_MOI'!$C$42</f>
        <v>23.623961805555552</v>
      </c>
      <c r="G1204" s="75">
        <f>3.6*F1204</f>
        <v>85.0462625</v>
      </c>
      <c r="H1204" s="75">
        <f>'THAM_SO_MOI'!$D$53</f>
        <v>1.1</v>
      </c>
      <c r="I1204" s="75">
        <f>IF(F1204&gt;='THAM_SO_MOI'!$C$14,'THAM_SO_MOI'!$C$13*(1+F1204^2/1500),'THAM_SO_MOI'!$C$13)</f>
        <v>0.020580915713903476</v>
      </c>
      <c r="J1204" s="75">
        <f>'THAM_SO_MOI'!$C$40*('THAM_SO_MOI'!$C$23*(E1204/'THAM_SO_MOI'!$C$22)+'THAM_SO_MOI'!$C$24*(E1204/'THAM_SO_MOI'!$C$22)^2-'THAM_SO_MOI'!$C$25*(E1204/'THAM_SO_MOI'!$C$22)^3)</f>
        <v>104.51551714477503</v>
      </c>
      <c r="K1204" s="75">
        <f>'THAM_SO_MOI'!$C$31*J1204/E1204</f>
        <v>428.8734059463556</v>
      </c>
      <c r="L1204" s="75">
        <f>K1204*'THAM_SO_MOI'!$C$53*'THAM_SO_MOI'!$C$17/'THAM_SO_MOI'!$C$26</f>
        <v>3761.2214483176913</v>
      </c>
      <c r="M1204" s="75">
        <f>'THAM_SO_MOI'!$C$15*'THAM_SO_MOI'!$C$16*F1204^2</f>
        <v>1632.4178463167666</v>
      </c>
      <c r="N1204" s="75">
        <f>'THAM_SO_MOI'!$C$12*I1204</f>
        <v>1550.582654618059</v>
      </c>
      <c r="O1204" s="75">
        <f>M1204+N1204</f>
        <v>3183.0005009348256</v>
      </c>
      <c r="P1204" s="75">
        <f>(MIN(L1204,'THAM_SO_MOI'!$C$41)-O1204)/('THAM_SO_MOI'!$C$11*H1204)</f>
        <v>0.06844471441558546</v>
      </c>
      <c r="Q1204" s="75">
        <f>IF(P1204&gt;0,1/P1204,NA())</f>
        <v>14.610331981636428</v>
      </c>
      <c r="R1204" s="75">
        <f>F1204-F1203</f>
        <v>0.0035868055555532408</v>
      </c>
      <c r="S1204" s="75">
        <f>0.5*(Q1203+Q1204)*R1204</f>
        <v>0.05237401883935459</v>
      </c>
      <c r="T1204" s="75">
        <f>0.5*(F1203*Q1203+F1204*Q1204)*R1204</f>
        <v>1.2371879474748728</v>
      </c>
      <c r="U1204" s="76">
        <f>U1203+S1204</f>
        <v>89.69076761078513</v>
      </c>
      <c r="V1204" s="76">
        <f>V1203+T1204</f>
        <v>1520.335002497833</v>
      </c>
    </row>
    <row r="1205" spans="1:22" ht="19" customHeight="1">
      <c r="A1205" s="68" t="s">
        <v>362</v>
      </c>
      <c r="B1205" s="74">
        <v>5</v>
      </c>
      <c r="C1205" s="68" t="s">
        <v>363</v>
      </c>
      <c r="D1205" s="68" t="s">
        <v>365</v>
      </c>
      <c r="E1205" s="75">
        <f>60*F1205*'THAM_SO_MOI'!$C$53/(2*PI()*'THAM_SO_MOI'!$C$26)</f>
        <v>2327.935315789473</v>
      </c>
      <c r="F1205" s="75">
        <f>'THAM_SO_MOI'!$C$14+('THAM_SO_MOI'!$C$37-'THAM_SO_MOI'!$C$14)*398/'THAM_SO_MOI'!$C$42</f>
        <v>23.62754861111111</v>
      </c>
      <c r="G1205" s="75">
        <f>3.6*F1205</f>
        <v>85.059175</v>
      </c>
      <c r="H1205" s="75">
        <f>'THAM_SO_MOI'!$D$53</f>
        <v>1.1</v>
      </c>
      <c r="I1205" s="75">
        <f>IF(F1205&gt;='THAM_SO_MOI'!$C$14,'THAM_SO_MOI'!$C$13*(1+F1205^2/1500),'THAM_SO_MOI'!$C$13)</f>
        <v>0.020582610533704183</v>
      </c>
      <c r="J1205" s="75">
        <f>'THAM_SO_MOI'!$C$40*('THAM_SO_MOI'!$C$23*(E1205/'THAM_SO_MOI'!$C$22)+'THAM_SO_MOI'!$C$24*(E1205/'THAM_SO_MOI'!$C$22)^2-'THAM_SO_MOI'!$C$25*(E1205/'THAM_SO_MOI'!$C$22)^3)</f>
        <v>104.53003950527106</v>
      </c>
      <c r="K1205" s="75">
        <f>'THAM_SO_MOI'!$C$31*J1205/E1205</f>
        <v>428.8678829790327</v>
      </c>
      <c r="L1205" s="75">
        <f>K1205*'THAM_SO_MOI'!$C$53*'THAM_SO_MOI'!$C$17/'THAM_SO_MOI'!$C$26</f>
        <v>3761.173011872658</v>
      </c>
      <c r="M1205" s="75">
        <f>'THAM_SO_MOI'!$C$15*'THAM_SO_MOI'!$C$16*F1205^2</f>
        <v>1632.9135811084743</v>
      </c>
      <c r="N1205" s="75">
        <f>'THAM_SO_MOI'!$C$12*I1205</f>
        <v>1550.7103436977002</v>
      </c>
      <c r="O1205" s="75">
        <f>M1205+N1205</f>
        <v>3183.6239248061747</v>
      </c>
      <c r="P1205" s="75">
        <f>(MIN(L1205,'THAM_SO_MOI'!$C$41)-O1205)/('THAM_SO_MOI'!$C$11*H1205)</f>
        <v>0.06836518549555914</v>
      </c>
      <c r="Q1205" s="75">
        <f>IF(P1205&gt;0,1/P1205,NA())</f>
        <v>14.627328116661921</v>
      </c>
      <c r="R1205" s="75">
        <f>F1205-F1204</f>
        <v>0.0035868055555567935</v>
      </c>
      <c r="S1205" s="75">
        <f>0.5*(Q1204+Q1205)*R1205</f>
        <v>0.05243490083602885</v>
      </c>
      <c r="T1205" s="75">
        <f>0.5*(F1204*Q1204+F1205*Q1205)*R1205</f>
        <v>1.2388141861898094</v>
      </c>
      <c r="U1205" s="76">
        <f>U1204+S1205</f>
        <v>89.74320251162116</v>
      </c>
      <c r="V1205" s="76">
        <f>V1204+T1205</f>
        <v>1521.5738166840229</v>
      </c>
    </row>
    <row r="1206" spans="1:22" ht="19" customHeight="1">
      <c r="A1206" s="68" t="s">
        <v>362</v>
      </c>
      <c r="B1206" s="74">
        <v>5</v>
      </c>
      <c r="C1206" s="68" t="s">
        <v>363</v>
      </c>
      <c r="D1206" s="68" t="s">
        <v>365</v>
      </c>
      <c r="E1206" s="75">
        <f>60*F1206*'THAM_SO_MOI'!$C$53/(2*PI()*'THAM_SO_MOI'!$C$26)</f>
        <v>2328.2887105263153</v>
      </c>
      <c r="F1206" s="75">
        <f>'THAM_SO_MOI'!$C$14+('THAM_SO_MOI'!$C$37-'THAM_SO_MOI'!$C$14)*399/'THAM_SO_MOI'!$C$42</f>
        <v>23.631135416666666</v>
      </c>
      <c r="G1206" s="75">
        <f>3.6*F1206</f>
        <v>85.0720875</v>
      </c>
      <c r="H1206" s="75">
        <f>'THAM_SO_MOI'!$D$53</f>
        <v>1.1</v>
      </c>
      <c r="I1206" s="75">
        <f>IF(F1206&gt;='THAM_SO_MOI'!$C$14,'THAM_SO_MOI'!$C$13*(1+F1206^2/1500),'THAM_SO_MOI'!$C$13)</f>
        <v>0.020584305610808377</v>
      </c>
      <c r="J1206" s="75">
        <f>'THAM_SO_MOI'!$C$40*('THAM_SO_MOI'!$C$23*(E1206/'THAM_SO_MOI'!$C$22)+'THAM_SO_MOI'!$C$24*(E1206/'THAM_SO_MOI'!$C$22)^2-'THAM_SO_MOI'!$C$25*(E1206/'THAM_SO_MOI'!$C$22)^3)</f>
        <v>104.54455850352711</v>
      </c>
      <c r="K1206" s="75">
        <f>'THAM_SO_MOI'!$C$31*J1206/E1206</f>
        <v>428.8623478957253</v>
      </c>
      <c r="L1206" s="75">
        <f>K1206*'THAM_SO_MOI'!$C$53*'THAM_SO_MOI'!$C$17/'THAM_SO_MOI'!$C$26</f>
        <v>3761.1244691703937</v>
      </c>
      <c r="M1206" s="75">
        <f>'THAM_SO_MOI'!$C$15*'THAM_SO_MOI'!$C$16*F1206^2</f>
        <v>1633.4093911614502</v>
      </c>
      <c r="N1206" s="75">
        <f>'THAM_SO_MOI'!$C$12*I1206</f>
        <v>1550.8380521627919</v>
      </c>
      <c r="O1206" s="75">
        <f>M1206+N1206</f>
        <v>3184.2474433242423</v>
      </c>
      <c r="P1206" s="75">
        <f>(MIN(L1206,'THAM_SO_MOI'!$C$41)-O1206)/('THAM_SO_MOI'!$C$11*H1206)</f>
        <v>0.06828563279428874</v>
      </c>
      <c r="Q1206" s="75">
        <f>IF(P1206&gt;0,1/P1206,NA())</f>
        <v>14.64436894086508</v>
      </c>
      <c r="R1206" s="75">
        <f>F1206-F1205</f>
        <v>0.0035868055555567935</v>
      </c>
      <c r="S1206" s="75">
        <f>0.5*(Q1205+Q1206)*R1206</f>
        <v>0.052495942813256646</v>
      </c>
      <c r="T1206" s="75">
        <f>0.5*(F1205*Q1205+F1206*Q1206)*R1206</f>
        <v>1.2404446418842863</v>
      </c>
      <c r="U1206" s="76">
        <f>U1205+S1206</f>
        <v>89.79569845443442</v>
      </c>
      <c r="V1206" s="76">
        <f>V1205+T1206</f>
        <v>1522.8142613259072</v>
      </c>
    </row>
    <row r="1207" spans="1:22" ht="19" customHeight="1">
      <c r="A1207" s="68" t="s">
        <v>362</v>
      </c>
      <c r="B1207" s="74">
        <v>5</v>
      </c>
      <c r="C1207" s="68" t="s">
        <v>363</v>
      </c>
      <c r="D1207" s="68" t="s">
        <v>365</v>
      </c>
      <c r="E1207" s="75">
        <f>60*F1207*'THAM_SO_MOI'!$C$53/(2*PI()*'THAM_SO_MOI'!$C$26)</f>
        <v>2328.6421052631576</v>
      </c>
      <c r="F1207" s="75">
        <f>'THAM_SO_MOI'!$C$14+('THAM_SO_MOI'!$C$37-'THAM_SO_MOI'!$C$14)*400/'THAM_SO_MOI'!$C$42</f>
        <v>23.634722222222223</v>
      </c>
      <c r="G1207" s="75">
        <f>3.6*F1207</f>
        <v>85.08500000000001</v>
      </c>
      <c r="H1207" s="75">
        <f>'THAM_SO_MOI'!$D$53</f>
        <v>1.1</v>
      </c>
      <c r="I1207" s="75">
        <f>IF(F1207&gt;='THAM_SO_MOI'!$C$14,'THAM_SO_MOI'!$C$13*(1+F1207^2/1500),'THAM_SO_MOI'!$C$13)</f>
        <v>0.020586000945216048</v>
      </c>
      <c r="J1207" s="75">
        <f>'THAM_SO_MOI'!$C$40*('THAM_SO_MOI'!$C$23*(E1207/'THAM_SO_MOI'!$C$22)+'THAM_SO_MOI'!$C$24*(E1207/'THAM_SO_MOI'!$C$22)^2-'THAM_SO_MOI'!$C$25*(E1207/'THAM_SO_MOI'!$C$22)^3)</f>
        <v>104.55907413819826</v>
      </c>
      <c r="K1207" s="75">
        <f>'THAM_SO_MOI'!$C$31*J1207/E1207</f>
        <v>428.8568006964333</v>
      </c>
      <c r="L1207" s="75">
        <f>K1207*'THAM_SO_MOI'!$C$53*'THAM_SO_MOI'!$C$17/'THAM_SO_MOI'!$C$26</f>
        <v>3761.0758202108964</v>
      </c>
      <c r="M1207" s="75">
        <f>'THAM_SO_MOI'!$C$15*'THAM_SO_MOI'!$C$16*F1207^2</f>
        <v>1633.9052764756946</v>
      </c>
      <c r="N1207" s="75">
        <f>'THAM_SO_MOI'!$C$12*I1207</f>
        <v>1550.9657800133332</v>
      </c>
      <c r="O1207" s="75">
        <f>M1207+N1207</f>
        <v>3184.871056489028</v>
      </c>
      <c r="P1207" s="75">
        <f>(MIN(L1207,'THAM_SO_MOI'!$C$41)-O1207)/('THAM_SO_MOI'!$C$11*H1207)</f>
        <v>0.06820605631177425</v>
      </c>
      <c r="Q1207" s="75">
        <f>IF(P1207&gt;0,1/P1207,NA())</f>
        <v>14.66145462844144</v>
      </c>
      <c r="R1207" s="75">
        <f>F1207-F1206</f>
        <v>0.0035868055555567935</v>
      </c>
      <c r="S1207" s="75">
        <f>0.5*(Q1206+Q1207)*R1207</f>
        <v>0.05255714539427792</v>
      </c>
      <c r="T1207" s="75">
        <f>0.5*(F1206*Q1206+F1207*Q1207)*R1207</f>
        <v>1.2420793310087488</v>
      </c>
      <c r="U1207" s="76">
        <f>U1206+S1207</f>
        <v>89.84825559982869</v>
      </c>
      <c r="V1207" s="76">
        <f>V1206+T1207</f>
        <v>1524.0563406569158</v>
      </c>
    </row>
    <row r="1208" spans="1:22" ht="19" customHeight="1">
      <c r="A1208" s="68" t="s">
        <v>362</v>
      </c>
      <c r="B1208" s="74">
        <v>5</v>
      </c>
      <c r="C1208" s="68" t="s">
        <v>363</v>
      </c>
      <c r="D1208" s="68" t="s">
        <v>365</v>
      </c>
      <c r="E1208" s="75">
        <f>60*F1208*'THAM_SO_MOI'!$C$53/(2*PI()*'THAM_SO_MOI'!$C$26)</f>
        <v>2328.995499999999</v>
      </c>
      <c r="F1208" s="75">
        <f>'THAM_SO_MOI'!$C$14+('THAM_SO_MOI'!$C$37-'THAM_SO_MOI'!$C$14)*401/'THAM_SO_MOI'!$C$42</f>
        <v>23.638309027777776</v>
      </c>
      <c r="G1208" s="75">
        <f>3.6*F1208</f>
        <v>85.09791249999999</v>
      </c>
      <c r="H1208" s="75">
        <f>'THAM_SO_MOI'!$D$53</f>
        <v>1.1</v>
      </c>
      <c r="I1208" s="75">
        <f>IF(F1208&gt;='THAM_SO_MOI'!$C$14,'THAM_SO_MOI'!$C$13*(1+F1208^2/1500),'THAM_SO_MOI'!$C$13)</f>
        <v>0.020587696536927203</v>
      </c>
      <c r="J1208" s="75">
        <f>'THAM_SO_MOI'!$C$40*('THAM_SO_MOI'!$C$23*(E1208/'THAM_SO_MOI'!$C$22)+'THAM_SO_MOI'!$C$24*(E1208/'THAM_SO_MOI'!$C$22)^2-'THAM_SO_MOI'!$C$25*(E1208/'THAM_SO_MOI'!$C$22)^3)</f>
        <v>104.57358640793959</v>
      </c>
      <c r="K1208" s="75">
        <f>'THAM_SO_MOI'!$C$31*J1208/E1208</f>
        <v>428.85124138115697</v>
      </c>
      <c r="L1208" s="75">
        <f>K1208*'THAM_SO_MOI'!$C$53*'THAM_SO_MOI'!$C$17/'THAM_SO_MOI'!$C$26</f>
        <v>3761.02706499417</v>
      </c>
      <c r="M1208" s="75">
        <f>'THAM_SO_MOI'!$C$15*'THAM_SO_MOI'!$C$16*F1208^2</f>
        <v>1634.401237051207</v>
      </c>
      <c r="N1208" s="75">
        <f>'THAM_SO_MOI'!$C$12*I1208</f>
        <v>1551.093527249325</v>
      </c>
      <c r="O1208" s="75">
        <f>M1208+N1208</f>
        <v>3185.494764300532</v>
      </c>
      <c r="P1208" s="75">
        <f>(MIN(L1208,'THAM_SO_MOI'!$C$41)-O1208)/('THAM_SO_MOI'!$C$11*H1208)</f>
        <v>0.06812645604801587</v>
      </c>
      <c r="Q1208" s="75">
        <f>IF(P1208&gt;0,1/P1208,NA())</f>
        <v>14.67858535449422</v>
      </c>
      <c r="R1208" s="75">
        <f>F1208-F1207</f>
        <v>0.0035868055555532408</v>
      </c>
      <c r="S1208" s="75">
        <f>0.5*(Q1207+Q1208)*R1208</f>
        <v>0.052618509205473916</v>
      </c>
      <c r="T1208" s="75">
        <f>0.5*(F1207*Q1207+F1208*Q1208)*R1208</f>
        <v>1.2437182700968339</v>
      </c>
      <c r="U1208" s="76">
        <f>U1207+S1208</f>
        <v>89.90087410903416</v>
      </c>
      <c r="V1208" s="76">
        <f>V1207+T1208</f>
        <v>1525.3000589270127</v>
      </c>
    </row>
    <row r="1209" spans="1:22" ht="19" customHeight="1">
      <c r="A1209" s="68" t="s">
        <v>362</v>
      </c>
      <c r="B1209" s="74">
        <v>5</v>
      </c>
      <c r="C1209" s="68" t="s">
        <v>363</v>
      </c>
      <c r="D1209" s="68" t="s">
        <v>365</v>
      </c>
      <c r="E1209" s="75">
        <f>60*F1209*'THAM_SO_MOI'!$C$53/(2*PI()*'THAM_SO_MOI'!$C$26)</f>
        <v>2329.348894736842</v>
      </c>
      <c r="F1209" s="75">
        <f>'THAM_SO_MOI'!$C$14+('THAM_SO_MOI'!$C$37-'THAM_SO_MOI'!$C$14)*402/'THAM_SO_MOI'!$C$42</f>
        <v>23.641895833333333</v>
      </c>
      <c r="G1209" s="75">
        <f>3.6*F1209</f>
        <v>85.110825</v>
      </c>
      <c r="H1209" s="75">
        <f>'THAM_SO_MOI'!$D$53</f>
        <v>1.1</v>
      </c>
      <c r="I1209" s="75">
        <f>IF(F1209&gt;='THAM_SO_MOI'!$C$14,'THAM_SO_MOI'!$C$13*(1+F1209^2/1500),'THAM_SO_MOI'!$C$13)</f>
        <v>0.02058939238594184</v>
      </c>
      <c r="J1209" s="75">
        <f>'THAM_SO_MOI'!$C$40*('THAM_SO_MOI'!$C$23*(E1209/'THAM_SO_MOI'!$C$22)+'THAM_SO_MOI'!$C$24*(E1209/'THAM_SO_MOI'!$C$22)^2-'THAM_SO_MOI'!$C$25*(E1209/'THAM_SO_MOI'!$C$22)^3)</f>
        <v>104.5880953114063</v>
      </c>
      <c r="K1209" s="75">
        <f>'THAM_SO_MOI'!$C$31*J1209/E1209</f>
        <v>428.84566994989615</v>
      </c>
      <c r="L1209" s="75">
        <f>K1209*'THAM_SO_MOI'!$C$53*'THAM_SO_MOI'!$C$17/'THAM_SO_MOI'!$C$26</f>
        <v>3760.978203520212</v>
      </c>
      <c r="M1209" s="75">
        <f>'THAM_SO_MOI'!$C$15*'THAM_SO_MOI'!$C$16*F1209^2</f>
        <v>1634.8972728879885</v>
      </c>
      <c r="N1209" s="75">
        <f>'THAM_SO_MOI'!$C$12*I1209</f>
        <v>1551.2212938707669</v>
      </c>
      <c r="O1209" s="75">
        <f>M1209+N1209</f>
        <v>3186.118566758755</v>
      </c>
      <c r="P1209" s="75">
        <f>(MIN(L1209,'THAM_SO_MOI'!$C$41)-O1209)/('THAM_SO_MOI'!$C$11*H1209)</f>
        <v>0.06804683200301333</v>
      </c>
      <c r="Q1209" s="75">
        <f>IF(P1209&gt;0,1/P1209,NA())</f>
        <v>14.695761295040406</v>
      </c>
      <c r="R1209" s="75">
        <f>F1209-F1208</f>
        <v>0.0035868055555567935</v>
      </c>
      <c r="S1209" s="75">
        <f>0.5*(Q1208+Q1209)*R1209</f>
        <v>0.05268003487670094</v>
      </c>
      <c r="T1209" s="75">
        <f>0.5*(F1208*Q1208+F1209*Q1209)*R1209</f>
        <v>1.2453614757733158</v>
      </c>
      <c r="U1209" s="76">
        <f>U1208+S1209</f>
        <v>89.95355414391086</v>
      </c>
      <c r="V1209" s="76">
        <f>V1208+T1209</f>
        <v>1526.545420402786</v>
      </c>
    </row>
    <row r="1210" spans="1:22" ht="19" customHeight="1">
      <c r="A1210" s="68" t="s">
        <v>362</v>
      </c>
      <c r="B1210" s="74">
        <v>5</v>
      </c>
      <c r="C1210" s="68" t="s">
        <v>363</v>
      </c>
      <c r="D1210" s="68" t="s">
        <v>365</v>
      </c>
      <c r="E1210" s="75">
        <f>60*F1210*'THAM_SO_MOI'!$C$53/(2*PI()*'THAM_SO_MOI'!$C$26)</f>
        <v>2329.7022894736833</v>
      </c>
      <c r="F1210" s="75">
        <f>'THAM_SO_MOI'!$C$14+('THAM_SO_MOI'!$C$37-'THAM_SO_MOI'!$C$14)*403/'THAM_SO_MOI'!$C$42</f>
        <v>23.645482638888886</v>
      </c>
      <c r="G1210" s="75">
        <f>3.6*F1210</f>
        <v>85.12373749999999</v>
      </c>
      <c r="H1210" s="75">
        <f>'THAM_SO_MOI'!$D$53</f>
        <v>1.1</v>
      </c>
      <c r="I1210" s="75">
        <f>IF(F1210&gt;='THAM_SO_MOI'!$C$14,'THAM_SO_MOI'!$C$13*(1+F1210^2/1500),'THAM_SO_MOI'!$C$13)</f>
        <v>0.020591088492259955</v>
      </c>
      <c r="J1210" s="75">
        <f>'THAM_SO_MOI'!$C$40*('THAM_SO_MOI'!$C$23*(E1210/'THAM_SO_MOI'!$C$22)+'THAM_SO_MOI'!$C$24*(E1210/'THAM_SO_MOI'!$C$22)^2-'THAM_SO_MOI'!$C$25*(E1210/'THAM_SO_MOI'!$C$22)^3)</f>
        <v>104.60260084725343</v>
      </c>
      <c r="K1210" s="75">
        <f>'THAM_SO_MOI'!$C$31*J1210/E1210</f>
        <v>428.8400864026509</v>
      </c>
      <c r="L1210" s="75">
        <f>K1210*'THAM_SO_MOI'!$C$53*'THAM_SO_MOI'!$C$17/'THAM_SO_MOI'!$C$26</f>
        <v>3760.929235789023</v>
      </c>
      <c r="M1210" s="75">
        <f>'THAM_SO_MOI'!$C$15*'THAM_SO_MOI'!$C$16*F1210^2</f>
        <v>1635.3933839860374</v>
      </c>
      <c r="N1210" s="75">
        <f>'THAM_SO_MOI'!$C$12*I1210</f>
        <v>1551.3490798776588</v>
      </c>
      <c r="O1210" s="75">
        <f>M1210+N1210</f>
        <v>3186.7424638636962</v>
      </c>
      <c r="P1210" s="75">
        <f>(MIN(L1210,'THAM_SO_MOI'!$C$41)-O1210)/('THAM_SO_MOI'!$C$11*H1210)</f>
        <v>0.0679671841767669</v>
      </c>
      <c r="Q1210" s="75">
        <f>IF(P1210&gt;0,1/P1210,NA())</f>
        <v>14.712982627016467</v>
      </c>
      <c r="R1210" s="75">
        <f>F1210-F1209</f>
        <v>0.0035868055555532408</v>
      </c>
      <c r="S1210" s="75">
        <f>0.5*(Q1209+Q1210)*R1210</f>
        <v>0.0527417230407381</v>
      </c>
      <c r="T1210" s="75">
        <f>0.5*(F1209*Q1209+F1210*Q1210)*R1210</f>
        <v>1.247008964741111</v>
      </c>
      <c r="U1210" s="76">
        <f>U1209+S1210</f>
        <v>90.0062958669516</v>
      </c>
      <c r="V1210" s="76">
        <f>V1209+T1210</f>
        <v>1527.7924293675271</v>
      </c>
    </row>
    <row r="1211" spans="1:22" ht="19" customHeight="1">
      <c r="A1211" s="68" t="s">
        <v>362</v>
      </c>
      <c r="B1211" s="74">
        <v>5</v>
      </c>
      <c r="C1211" s="68" t="s">
        <v>363</v>
      </c>
      <c r="D1211" s="68" t="s">
        <v>365</v>
      </c>
      <c r="E1211" s="75">
        <f>60*F1211*'THAM_SO_MOI'!$C$53/(2*PI()*'THAM_SO_MOI'!$C$26)</f>
        <v>2330.0556842105257</v>
      </c>
      <c r="F1211" s="75">
        <f>'THAM_SO_MOI'!$C$14+('THAM_SO_MOI'!$C$37-'THAM_SO_MOI'!$C$14)*404/'THAM_SO_MOI'!$C$42</f>
        <v>23.649069444444443</v>
      </c>
      <c r="G1211" s="75">
        <f>3.6*F1211</f>
        <v>85.13665</v>
      </c>
      <c r="H1211" s="75">
        <f>'THAM_SO_MOI'!$D$53</f>
        <v>1.1</v>
      </c>
      <c r="I1211" s="75">
        <f>IF(F1211&gt;='THAM_SO_MOI'!$C$14,'THAM_SO_MOI'!$C$13*(1+F1211^2/1500),'THAM_SO_MOI'!$C$13)</f>
        <v>0.020592784855881556</v>
      </c>
      <c r="J1211" s="75">
        <f>'THAM_SO_MOI'!$C$40*('THAM_SO_MOI'!$C$23*(E1211/'THAM_SO_MOI'!$C$22)+'THAM_SO_MOI'!$C$24*(E1211/'THAM_SO_MOI'!$C$22)^2-'THAM_SO_MOI'!$C$25*(E1211/'THAM_SO_MOI'!$C$22)^3)</f>
        <v>104.61710301413613</v>
      </c>
      <c r="K1211" s="75">
        <f>'THAM_SO_MOI'!$C$31*J1211/E1211</f>
        <v>428.83449073942126</v>
      </c>
      <c r="L1211" s="75">
        <f>K1211*'THAM_SO_MOI'!$C$53*'THAM_SO_MOI'!$C$17/'THAM_SO_MOI'!$C$26</f>
        <v>3760.8801618006028</v>
      </c>
      <c r="M1211" s="75">
        <f>'THAM_SO_MOI'!$C$15*'THAM_SO_MOI'!$C$16*F1211^2</f>
        <v>1635.8895703453559</v>
      </c>
      <c r="N1211" s="75">
        <f>'THAM_SO_MOI'!$C$12*I1211</f>
        <v>1551.4768852700013</v>
      </c>
      <c r="O1211" s="75">
        <f>M1211+N1211</f>
        <v>3187.366455615357</v>
      </c>
      <c r="P1211" s="75">
        <f>(MIN(L1211,'THAM_SO_MOI'!$C$41)-O1211)/('THAM_SO_MOI'!$C$11*H1211)</f>
        <v>0.06788751256927623</v>
      </c>
      <c r="Q1211" s="75">
        <f>IF(P1211&gt;0,1/P1211,NA())</f>
        <v>14.730249528284658</v>
      </c>
      <c r="R1211" s="75">
        <f>F1211-F1210</f>
        <v>0.0035868055555567935</v>
      </c>
      <c r="S1211" s="75">
        <f>0.5*(Q1210+Q1211)*R1211</f>
        <v>0.05280357433409125</v>
      </c>
      <c r="T1211" s="75">
        <f>0.5*(F1210*Q1210+F1211*Q1211)*R1211</f>
        <v>1.2486607538003436</v>
      </c>
      <c r="U1211" s="76">
        <f>U1210+S1211</f>
        <v>90.0590994412857</v>
      </c>
      <c r="V1211" s="76">
        <f>V1210+T1211</f>
        <v>1529.0410901213274</v>
      </c>
    </row>
    <row r="1212" spans="1:22" ht="19" customHeight="1">
      <c r="A1212" s="68" t="s">
        <v>362</v>
      </c>
      <c r="B1212" s="74">
        <v>5</v>
      </c>
      <c r="C1212" s="68" t="s">
        <v>363</v>
      </c>
      <c r="D1212" s="68" t="s">
        <v>365</v>
      </c>
      <c r="E1212" s="75">
        <f>60*F1212*'THAM_SO_MOI'!$C$53/(2*PI()*'THAM_SO_MOI'!$C$26)</f>
        <v>2330.409078947368</v>
      </c>
      <c r="F1212" s="75">
        <f>'THAM_SO_MOI'!$C$14+('THAM_SO_MOI'!$C$37-'THAM_SO_MOI'!$C$14)*405/'THAM_SO_MOI'!$C$42</f>
        <v>23.65265625</v>
      </c>
      <c r="G1212" s="75">
        <f>3.6*F1212</f>
        <v>85.1495625</v>
      </c>
      <c r="H1212" s="75">
        <f>'THAM_SO_MOI'!$D$53</f>
        <v>1.1</v>
      </c>
      <c r="I1212" s="75">
        <f>IF(F1212&gt;='THAM_SO_MOI'!$C$14,'THAM_SO_MOI'!$C$13*(1+F1212^2/1500),'THAM_SO_MOI'!$C$13)</f>
        <v>0.02059448147680664</v>
      </c>
      <c r="J1212" s="75">
        <f>'THAM_SO_MOI'!$C$40*('THAM_SO_MOI'!$C$23*(E1212/'THAM_SO_MOI'!$C$22)+'THAM_SO_MOI'!$C$24*(E1212/'THAM_SO_MOI'!$C$22)^2-'THAM_SO_MOI'!$C$25*(E1212/'THAM_SO_MOI'!$C$22)^3)</f>
        <v>104.63160181070951</v>
      </c>
      <c r="K1212" s="75">
        <f>'THAM_SO_MOI'!$C$31*J1212/E1212</f>
        <v>428.8288829602071</v>
      </c>
      <c r="L1212" s="75">
        <f>K1212*'THAM_SO_MOI'!$C$53*'THAM_SO_MOI'!$C$17/'THAM_SO_MOI'!$C$26</f>
        <v>3760.830981554952</v>
      </c>
      <c r="M1212" s="75">
        <f>'THAM_SO_MOI'!$C$15*'THAM_SO_MOI'!$C$16*F1212^2</f>
        <v>1636.3858319659423</v>
      </c>
      <c r="N1212" s="75">
        <f>'THAM_SO_MOI'!$C$12*I1212</f>
        <v>1551.6047100477938</v>
      </c>
      <c r="O1212" s="75">
        <f>M1212+N1212</f>
        <v>3187.990542013736</v>
      </c>
      <c r="P1212" s="75">
        <f>(MIN(L1212,'THAM_SO_MOI'!$C$41)-O1212)/('THAM_SO_MOI'!$C$11*H1212)</f>
        <v>0.06780781718054167</v>
      </c>
      <c r="Q1212" s="75">
        <f>IF(P1212&gt;0,1/P1212,NA())</f>
        <v>14.747562177638759</v>
      </c>
      <c r="R1212" s="75">
        <f>F1212-F1211</f>
        <v>0.0035868055555567935</v>
      </c>
      <c r="S1212" s="75">
        <f>0.5*(Q1211+Q1212)*R1212</f>
        <v>0.052865589396231594</v>
      </c>
      <c r="T1212" s="75">
        <f>0.5*(F1211*Q1211+F1212*Q1212)*R1212</f>
        <v>1.2503168598304009</v>
      </c>
      <c r="U1212" s="76">
        <f>U1211+S1212</f>
        <v>90.11196503068193</v>
      </c>
      <c r="V1212" s="76">
        <f>V1211+T1212</f>
        <v>1530.291406981158</v>
      </c>
    </row>
    <row r="1213" spans="1:22" ht="19" customHeight="1">
      <c r="A1213" s="68" t="s">
        <v>362</v>
      </c>
      <c r="B1213" s="74">
        <v>5</v>
      </c>
      <c r="C1213" s="68" t="s">
        <v>363</v>
      </c>
      <c r="D1213" s="68" t="s">
        <v>365</v>
      </c>
      <c r="E1213" s="75">
        <f>60*F1213*'THAM_SO_MOI'!$C$53/(2*PI()*'THAM_SO_MOI'!$C$26)</f>
        <v>2330.76247368421</v>
      </c>
      <c r="F1213" s="75">
        <f>'THAM_SO_MOI'!$C$14+('THAM_SO_MOI'!$C$37-'THAM_SO_MOI'!$C$14)*406/'THAM_SO_MOI'!$C$42</f>
        <v>23.656243055555553</v>
      </c>
      <c r="G1213" s="75">
        <f>3.6*F1213</f>
        <v>85.16247499999999</v>
      </c>
      <c r="H1213" s="75">
        <f>'THAM_SO_MOI'!$D$53</f>
        <v>1.1</v>
      </c>
      <c r="I1213" s="75">
        <f>IF(F1213&gt;='THAM_SO_MOI'!$C$14,'THAM_SO_MOI'!$C$13*(1+F1213^2/1500),'THAM_SO_MOI'!$C$13)</f>
        <v>0.020596178355035202</v>
      </c>
      <c r="J1213" s="75">
        <f>'THAM_SO_MOI'!$C$40*('THAM_SO_MOI'!$C$23*(E1213/'THAM_SO_MOI'!$C$22)+'THAM_SO_MOI'!$C$24*(E1213/'THAM_SO_MOI'!$C$22)^2-'THAM_SO_MOI'!$C$25*(E1213/'THAM_SO_MOI'!$C$22)^3)</f>
        <v>104.64609723562863</v>
      </c>
      <c r="K1213" s="75">
        <f>'THAM_SO_MOI'!$C$31*J1213/E1213</f>
        <v>428.8232630650085</v>
      </c>
      <c r="L1213" s="75">
        <f>K1213*'THAM_SO_MOI'!$C$53*'THAM_SO_MOI'!$C$17/'THAM_SO_MOI'!$C$26</f>
        <v>3760.781695052069</v>
      </c>
      <c r="M1213" s="75">
        <f>'THAM_SO_MOI'!$C$15*'THAM_SO_MOI'!$C$16*F1213^2</f>
        <v>1636.8821688477972</v>
      </c>
      <c r="N1213" s="75">
        <f>'THAM_SO_MOI'!$C$12*I1213</f>
        <v>1551.7325542110361</v>
      </c>
      <c r="O1213" s="75">
        <f>M1213+N1213</f>
        <v>3188.614723058833</v>
      </c>
      <c r="P1213" s="75">
        <f>(MIN(L1213,'THAM_SO_MOI'!$C$41)-O1213)/('THAM_SO_MOI'!$C$11*H1213)</f>
        <v>0.06772809801056293</v>
      </c>
      <c r="Q1213" s="75">
        <f>IF(P1213&gt;0,1/P1213,NA())</f>
        <v>14.764920754810495</v>
      </c>
      <c r="R1213" s="75">
        <f>F1213-F1212</f>
        <v>0.0035868055555532408</v>
      </c>
      <c r="S1213" s="75">
        <f>0.5*(Q1212+Q1213)*R1213</f>
        <v>0.052927768870139585</v>
      </c>
      <c r="T1213" s="75">
        <f>0.5*(F1212*Q1212+F1213*Q1213)*R1213</f>
        <v>1.251977299802855</v>
      </c>
      <c r="U1213" s="76">
        <f>U1212+S1213</f>
        <v>90.16489279955206</v>
      </c>
      <c r="V1213" s="76">
        <f>V1212+T1213</f>
        <v>1531.5433842809607</v>
      </c>
    </row>
    <row r="1214" spans="1:22" ht="19" customHeight="1">
      <c r="A1214" s="68" t="s">
        <v>362</v>
      </c>
      <c r="B1214" s="74">
        <v>5</v>
      </c>
      <c r="C1214" s="68" t="s">
        <v>363</v>
      </c>
      <c r="D1214" s="68" t="s">
        <v>365</v>
      </c>
      <c r="E1214" s="75">
        <f>60*F1214*'THAM_SO_MOI'!$C$53/(2*PI()*'THAM_SO_MOI'!$C$26)</f>
        <v>2331.115868421052</v>
      </c>
      <c r="F1214" s="75">
        <f>'THAM_SO_MOI'!$C$14+('THAM_SO_MOI'!$C$37-'THAM_SO_MOI'!$C$14)*407/'THAM_SO_MOI'!$C$42</f>
        <v>23.65982986111111</v>
      </c>
      <c r="G1214" s="75">
        <f>3.6*F1214</f>
        <v>85.1753875</v>
      </c>
      <c r="H1214" s="75">
        <f>'THAM_SO_MOI'!$D$53</f>
        <v>1.1</v>
      </c>
      <c r="I1214" s="75">
        <f>IF(F1214&gt;='THAM_SO_MOI'!$C$14,'THAM_SO_MOI'!$C$13*(1+F1214^2/1500),'THAM_SO_MOI'!$C$13)</f>
        <v>0.020597875490567248</v>
      </c>
      <c r="J1214" s="75">
        <f>'THAM_SO_MOI'!$C$40*('THAM_SO_MOI'!$C$23*(E1214/'THAM_SO_MOI'!$C$22)+'THAM_SO_MOI'!$C$24*(E1214/'THAM_SO_MOI'!$C$22)^2-'THAM_SO_MOI'!$C$25*(E1214/'THAM_SO_MOI'!$C$22)^3)</f>
        <v>104.66058928754863</v>
      </c>
      <c r="K1214" s="75">
        <f>'THAM_SO_MOI'!$C$31*J1214/E1214</f>
        <v>428.81763105382544</v>
      </c>
      <c r="L1214" s="75">
        <f>K1214*'THAM_SO_MOI'!$C$53*'THAM_SO_MOI'!$C$17/'THAM_SO_MOI'!$C$26</f>
        <v>3760.732302291956</v>
      </c>
      <c r="M1214" s="75">
        <f>'THAM_SO_MOI'!$C$15*'THAM_SO_MOI'!$C$16*F1214^2</f>
        <v>1637.3785809909205</v>
      </c>
      <c r="N1214" s="75">
        <f>'THAM_SO_MOI'!$C$12*I1214</f>
        <v>1551.860417759729</v>
      </c>
      <c r="O1214" s="75">
        <f>M1214+N1214</f>
        <v>3189.2389987506494</v>
      </c>
      <c r="P1214" s="75">
        <f>(MIN(L1214,'THAM_SO_MOI'!$C$41)-O1214)/('THAM_SO_MOI'!$C$11*H1214)</f>
        <v>0.06764835505934025</v>
      </c>
      <c r="Q1214" s="75">
        <f>IF(P1214&gt;0,1/P1214,NA())</f>
        <v>14.782325440475429</v>
      </c>
      <c r="R1214" s="75">
        <f>F1214-F1213</f>
        <v>0.0035868055555567935</v>
      </c>
      <c r="S1214" s="75">
        <f>0.5*(Q1213+Q1214)*R1214</f>
        <v>0.05299011340232794</v>
      </c>
      <c r="T1214" s="75">
        <f>0.5*(F1213*Q1213+F1214*Q1214)*R1214</f>
        <v>1.25364209078207</v>
      </c>
      <c r="U1214" s="76">
        <f>U1213+S1214</f>
        <v>90.2178829129544</v>
      </c>
      <c r="V1214" s="76">
        <f>V1213+T1214</f>
        <v>1532.7970263717427</v>
      </c>
    </row>
    <row r="1215" spans="1:22" ht="19" customHeight="1">
      <c r="A1215" s="68" t="s">
        <v>362</v>
      </c>
      <c r="B1215" s="74">
        <v>5</v>
      </c>
      <c r="C1215" s="68" t="s">
        <v>363</v>
      </c>
      <c r="D1215" s="68" t="s">
        <v>365</v>
      </c>
      <c r="E1215" s="75">
        <f>60*F1215*'THAM_SO_MOI'!$C$53/(2*PI()*'THAM_SO_MOI'!$C$26)</f>
        <v>2331.469263157894</v>
      </c>
      <c r="F1215" s="75">
        <f>'THAM_SO_MOI'!$C$14+('THAM_SO_MOI'!$C$37-'THAM_SO_MOI'!$C$14)*408/'THAM_SO_MOI'!$C$42</f>
        <v>23.663416666666667</v>
      </c>
      <c r="G1215" s="75">
        <f>3.6*F1215</f>
        <v>85.1883</v>
      </c>
      <c r="H1215" s="75">
        <f>'THAM_SO_MOI'!$D$53</f>
        <v>1.1</v>
      </c>
      <c r="I1215" s="75">
        <f>IF(F1215&gt;='THAM_SO_MOI'!$C$14,'THAM_SO_MOI'!$C$13*(1+F1215^2/1500),'THAM_SO_MOI'!$C$13)</f>
        <v>0.020599572883402778</v>
      </c>
      <c r="J1215" s="75">
        <f>'THAM_SO_MOI'!$C$40*('THAM_SO_MOI'!$C$23*(E1215/'THAM_SO_MOI'!$C$22)+'THAM_SO_MOI'!$C$24*(E1215/'THAM_SO_MOI'!$C$22)^2-'THAM_SO_MOI'!$C$25*(E1215/'THAM_SO_MOI'!$C$22)^3)</f>
        <v>104.67507796512464</v>
      </c>
      <c r="K1215" s="75">
        <f>'THAM_SO_MOI'!$C$31*J1215/E1215</f>
        <v>428.81198692665794</v>
      </c>
      <c r="L1215" s="75">
        <f>K1215*'THAM_SO_MOI'!$C$53*'THAM_SO_MOI'!$C$17/'THAM_SO_MOI'!$C$26</f>
        <v>3760.682803274612</v>
      </c>
      <c r="M1215" s="75">
        <f>'THAM_SO_MOI'!$C$15*'THAM_SO_MOI'!$C$16*F1215^2</f>
        <v>1637.8750683953126</v>
      </c>
      <c r="N1215" s="75">
        <f>'THAM_SO_MOI'!$C$12*I1215</f>
        <v>1551.9883006938721</v>
      </c>
      <c r="O1215" s="75">
        <f>M1215+N1215</f>
        <v>3189.8633690891847</v>
      </c>
      <c r="P1215" s="75">
        <f>(MIN(L1215,'THAM_SO_MOI'!$C$41)-O1215)/('THAM_SO_MOI'!$C$11*H1215)</f>
        <v>0.0675685883268735</v>
      </c>
      <c r="Q1215" s="75">
        <f>IF(P1215&gt;0,1/P1215,NA())</f>
        <v>14.79977641625936</v>
      </c>
      <c r="R1215" s="75">
        <f>F1215-F1214</f>
        <v>0.0035868055555567935</v>
      </c>
      <c r="S1215" s="75">
        <f>0.5*(Q1214+Q1215)*R1215</f>
        <v>0.05305262364239163</v>
      </c>
      <c r="T1215" s="75">
        <f>0.5*(F1214*Q1214+F1215*Q1215)*R1215</f>
        <v>1.255311249914616</v>
      </c>
      <c r="U1215" s="76">
        <f>U1214+S1215</f>
        <v>90.27093553659678</v>
      </c>
      <c r="V1215" s="76">
        <f>V1214+T1215</f>
        <v>1534.0523376216574</v>
      </c>
    </row>
    <row r="1216" spans="1:22" ht="19" customHeight="1">
      <c r="A1216" s="68" t="s">
        <v>362</v>
      </c>
      <c r="B1216" s="74">
        <v>5</v>
      </c>
      <c r="C1216" s="68" t="s">
        <v>363</v>
      </c>
      <c r="D1216" s="68" t="s">
        <v>365</v>
      </c>
      <c r="E1216" s="75">
        <f>60*F1216*'THAM_SO_MOI'!$C$53/(2*PI()*'THAM_SO_MOI'!$C$26)</f>
        <v>2331.822657894736</v>
      </c>
      <c r="F1216" s="75">
        <f>'THAM_SO_MOI'!$C$14+('THAM_SO_MOI'!$C$37-'THAM_SO_MOI'!$C$14)*409/'THAM_SO_MOI'!$C$42</f>
        <v>23.66700347222222</v>
      </c>
      <c r="G1216" s="75">
        <f>3.6*F1216</f>
        <v>85.2012125</v>
      </c>
      <c r="H1216" s="75">
        <f>'THAM_SO_MOI'!$D$53</f>
        <v>1.1</v>
      </c>
      <c r="I1216" s="75">
        <f>IF(F1216&gt;='THAM_SO_MOI'!$C$14,'THAM_SO_MOI'!$C$13*(1+F1216^2/1500),'THAM_SO_MOI'!$C$13)</f>
        <v>0.020601270533541785</v>
      </c>
      <c r="J1216" s="75">
        <f>'THAM_SO_MOI'!$C$40*('THAM_SO_MOI'!$C$23*(E1216/'THAM_SO_MOI'!$C$22)+'THAM_SO_MOI'!$C$24*(E1216/'THAM_SO_MOI'!$C$22)^2-'THAM_SO_MOI'!$C$25*(E1216/'THAM_SO_MOI'!$C$22)^3)</f>
        <v>104.68956326701172</v>
      </c>
      <c r="K1216" s="75">
        <f>'THAM_SO_MOI'!$C$31*J1216/E1216</f>
        <v>428.8063306835059</v>
      </c>
      <c r="L1216" s="75">
        <f>K1216*'THAM_SO_MOI'!$C$53*'THAM_SO_MOI'!$C$17/'THAM_SO_MOI'!$C$26</f>
        <v>3760.633198000036</v>
      </c>
      <c r="M1216" s="75">
        <f>'THAM_SO_MOI'!$C$15*'THAM_SO_MOI'!$C$16*F1216^2</f>
        <v>1638.3716310609727</v>
      </c>
      <c r="N1216" s="75">
        <f>'THAM_SO_MOI'!$C$12*I1216</f>
        <v>1552.1162030134649</v>
      </c>
      <c r="O1216" s="75">
        <f>M1216+N1216</f>
        <v>3190.4878340744376</v>
      </c>
      <c r="P1216" s="75">
        <f>(MIN(L1216,'THAM_SO_MOI'!$C$41)-O1216)/('THAM_SO_MOI'!$C$11*H1216)</f>
        <v>0.06748879781316271</v>
      </c>
      <c r="Q1216" s="75">
        <f>IF(P1216&gt;0,1/P1216,NA())</f>
        <v>14.817273864744477</v>
      </c>
      <c r="R1216" s="75">
        <f>F1216-F1215</f>
        <v>0.0035868055555532408</v>
      </c>
      <c r="S1216" s="75">
        <f>0.5*(Q1215+Q1216)*R1216</f>
        <v>0.05311530024350212</v>
      </c>
      <c r="T1216" s="75">
        <f>0.5*(F1215*Q1215+F1216*Q1216)*R1216</f>
        <v>1.2569847944410213</v>
      </c>
      <c r="U1216" s="76">
        <f>U1215+S1216</f>
        <v>90.32405083684029</v>
      </c>
      <c r="V1216" s="76">
        <f>V1215+T1216</f>
        <v>1535.3093224160984</v>
      </c>
    </row>
    <row r="1217" spans="1:22" ht="19" customHeight="1">
      <c r="A1217" s="68" t="s">
        <v>362</v>
      </c>
      <c r="B1217" s="74">
        <v>5</v>
      </c>
      <c r="C1217" s="68" t="s">
        <v>363</v>
      </c>
      <c r="D1217" s="68" t="s">
        <v>365</v>
      </c>
      <c r="E1217" s="75">
        <f>60*F1217*'THAM_SO_MOI'!$C$53/(2*PI()*'THAM_SO_MOI'!$C$26)</f>
        <v>2332.1760526315784</v>
      </c>
      <c r="F1217" s="75">
        <f>'THAM_SO_MOI'!$C$14+('THAM_SO_MOI'!$C$37-'THAM_SO_MOI'!$C$14)*410/'THAM_SO_MOI'!$C$42</f>
        <v>23.670590277777777</v>
      </c>
      <c r="G1217" s="75">
        <f>3.6*F1217</f>
        <v>85.214125</v>
      </c>
      <c r="H1217" s="75">
        <f>'THAM_SO_MOI'!$D$53</f>
        <v>1.1</v>
      </c>
      <c r="I1217" s="75">
        <f>IF(F1217&gt;='THAM_SO_MOI'!$C$14,'THAM_SO_MOI'!$C$13*(1+F1217^2/1500),'THAM_SO_MOI'!$C$13)</f>
        <v>0.020602968440984276</v>
      </c>
      <c r="J1217" s="75">
        <f>'THAM_SO_MOI'!$C$40*('THAM_SO_MOI'!$C$23*(E1217/'THAM_SO_MOI'!$C$22)+'THAM_SO_MOI'!$C$24*(E1217/'THAM_SO_MOI'!$C$22)^2-'THAM_SO_MOI'!$C$25*(E1217/'THAM_SO_MOI'!$C$22)^3)</f>
        <v>104.70404519186503</v>
      </c>
      <c r="K1217" s="75">
        <f>'THAM_SO_MOI'!$C$31*J1217/E1217</f>
        <v>428.8006623243694</v>
      </c>
      <c r="L1217" s="75">
        <f>K1217*'THAM_SO_MOI'!$C$53*'THAM_SO_MOI'!$C$17/'THAM_SO_MOI'!$C$26</f>
        <v>3760.5834864682283</v>
      </c>
      <c r="M1217" s="75">
        <f>'THAM_SO_MOI'!$C$15*'THAM_SO_MOI'!$C$16*F1217^2</f>
        <v>1638.8682689879015</v>
      </c>
      <c r="N1217" s="75">
        <f>'THAM_SO_MOI'!$C$12*I1217</f>
        <v>1552.2441247185081</v>
      </c>
      <c r="O1217" s="75">
        <f>M1217+N1217</f>
        <v>3191.1123937064094</v>
      </c>
      <c r="P1217" s="75">
        <f>(MIN(L1217,'THAM_SO_MOI'!$C$41)-O1217)/('THAM_SO_MOI'!$C$11*H1217)</f>
        <v>0.0674089835182077</v>
      </c>
      <c r="Q1217" s="75">
        <f>IF(P1217&gt;0,1/P1217,NA())</f>
        <v>14.834817969475715</v>
      </c>
      <c r="R1217" s="75">
        <f>F1217-F1216</f>
        <v>0.0035868055555567935</v>
      </c>
      <c r="S1217" s="75">
        <f>0.5*(Q1216+Q1217)*R1217</f>
        <v>0.05317814386243061</v>
      </c>
      <c r="T1217" s="75">
        <f>0.5*(F1216*Q1216+F1217*Q1217)*R1217</f>
        <v>1.2586627416963883</v>
      </c>
      <c r="U1217" s="76">
        <f>U1216+S1217</f>
        <v>90.37722898070271</v>
      </c>
      <c r="V1217" s="76">
        <f>V1216+T1217</f>
        <v>1536.5679851577947</v>
      </c>
    </row>
    <row r="1218" spans="1:22" ht="19" customHeight="1">
      <c r="A1218" s="68" t="s">
        <v>362</v>
      </c>
      <c r="B1218" s="74">
        <v>5</v>
      </c>
      <c r="C1218" s="68" t="s">
        <v>363</v>
      </c>
      <c r="D1218" s="68" t="s">
        <v>365</v>
      </c>
      <c r="E1218" s="75">
        <f>60*F1218*'THAM_SO_MOI'!$C$53/(2*PI()*'THAM_SO_MOI'!$C$26)</f>
        <v>2332.5294473684207</v>
      </c>
      <c r="F1218" s="75">
        <f>'THAM_SO_MOI'!$C$14+('THAM_SO_MOI'!$C$37-'THAM_SO_MOI'!$C$14)*411/'THAM_SO_MOI'!$C$42</f>
        <v>23.674177083333333</v>
      </c>
      <c r="G1218" s="75">
        <f>3.6*F1218</f>
        <v>85.22703750000001</v>
      </c>
      <c r="H1218" s="75">
        <f>'THAM_SO_MOI'!$D$53</f>
        <v>1.1</v>
      </c>
      <c r="I1218" s="75">
        <f>IF(F1218&gt;='THAM_SO_MOI'!$C$14,'THAM_SO_MOI'!$C$13*(1+F1218^2/1500),'THAM_SO_MOI'!$C$13)</f>
        <v>0.02060466660573025</v>
      </c>
      <c r="J1218" s="75">
        <f>'THAM_SO_MOI'!$C$40*('THAM_SO_MOI'!$C$23*(E1218/'THAM_SO_MOI'!$C$22)+'THAM_SO_MOI'!$C$24*(E1218/'THAM_SO_MOI'!$C$22)^2-'THAM_SO_MOI'!$C$25*(E1218/'THAM_SO_MOI'!$C$22)^3)</f>
        <v>104.71852373833967</v>
      </c>
      <c r="K1218" s="75">
        <f>'THAM_SO_MOI'!$C$31*J1218/E1218</f>
        <v>428.7949818492484</v>
      </c>
      <c r="L1218" s="75">
        <f>K1218*'THAM_SO_MOI'!$C$53*'THAM_SO_MOI'!$C$17/'THAM_SO_MOI'!$C$26</f>
        <v>3760.53366867919</v>
      </c>
      <c r="M1218" s="75">
        <f>'THAM_SO_MOI'!$C$15*'THAM_SO_MOI'!$C$16*F1218^2</f>
        <v>1639.364982176099</v>
      </c>
      <c r="N1218" s="75">
        <f>'THAM_SO_MOI'!$C$12*I1218</f>
        <v>1552.3720658090017</v>
      </c>
      <c r="O1218" s="75">
        <f>M1218+N1218</f>
        <v>3191.7370479851006</v>
      </c>
      <c r="P1218" s="75">
        <f>(MIN(L1218,'THAM_SO_MOI'!$C$41)-O1218)/('THAM_SO_MOI'!$C$11*H1218)</f>
        <v>0.06732914544200874</v>
      </c>
      <c r="Q1218" s="75">
        <f>IF(P1218&gt;0,1/P1218,NA())</f>
        <v>14.852408914966993</v>
      </c>
      <c r="R1218" s="75">
        <f>F1218-F1217</f>
        <v>0.0035868055555567935</v>
      </c>
      <c r="S1218" s="75">
        <f>0.5*(Q1217+Q1218)*R1218</f>
        <v>0.05324115515909705</v>
      </c>
      <c r="T1218" s="75">
        <f>0.5*(F1217*Q1217+F1218*Q1218)*R1218</f>
        <v>1.2603451090997793</v>
      </c>
      <c r="U1218" s="76">
        <f>U1217+S1218</f>
        <v>90.43047013586181</v>
      </c>
      <c r="V1218" s="76">
        <f>V1217+T1218</f>
        <v>1537.8283302668945</v>
      </c>
    </row>
    <row r="1219" spans="1:22" ht="19" customHeight="1">
      <c r="A1219" s="68" t="s">
        <v>362</v>
      </c>
      <c r="B1219" s="74">
        <v>5</v>
      </c>
      <c r="C1219" s="68" t="s">
        <v>363</v>
      </c>
      <c r="D1219" s="68" t="s">
        <v>365</v>
      </c>
      <c r="E1219" s="75">
        <f>60*F1219*'THAM_SO_MOI'!$C$53/(2*PI()*'THAM_SO_MOI'!$C$26)</f>
        <v>2332.8828421052626</v>
      </c>
      <c r="F1219" s="75">
        <f>'THAM_SO_MOI'!$C$14+('THAM_SO_MOI'!$C$37-'THAM_SO_MOI'!$C$14)*412/'THAM_SO_MOI'!$C$42</f>
        <v>23.677763888888887</v>
      </c>
      <c r="G1219" s="75">
        <f>3.6*F1219</f>
        <v>85.23995</v>
      </c>
      <c r="H1219" s="75">
        <f>'THAM_SO_MOI'!$D$53</f>
        <v>1.1</v>
      </c>
      <c r="I1219" s="75">
        <f>IF(F1219&gt;='THAM_SO_MOI'!$C$14,'THAM_SO_MOI'!$C$13*(1+F1219^2/1500),'THAM_SO_MOI'!$C$13)</f>
        <v>0.020606365027779704</v>
      </c>
      <c r="J1219" s="75">
        <f>'THAM_SO_MOI'!$C$40*('THAM_SO_MOI'!$C$23*(E1219/'THAM_SO_MOI'!$C$22)+'THAM_SO_MOI'!$C$24*(E1219/'THAM_SO_MOI'!$C$22)^2-'THAM_SO_MOI'!$C$25*(E1219/'THAM_SO_MOI'!$C$22)^3)</f>
        <v>104.73299890509074</v>
      </c>
      <c r="K1219" s="75">
        <f>'THAM_SO_MOI'!$C$31*J1219/E1219</f>
        <v>428.78928925814307</v>
      </c>
      <c r="L1219" s="75">
        <f>K1219*'THAM_SO_MOI'!$C$53*'THAM_SO_MOI'!$C$17/'THAM_SO_MOI'!$C$26</f>
        <v>3760.483744632921</v>
      </c>
      <c r="M1219" s="75">
        <f>'THAM_SO_MOI'!$C$15*'THAM_SO_MOI'!$C$16*F1219^2</f>
        <v>1639.861770625564</v>
      </c>
      <c r="N1219" s="75">
        <f>'THAM_SO_MOI'!$C$12*I1219</f>
        <v>1552.500026284945</v>
      </c>
      <c r="O1219" s="75">
        <f>M1219+N1219</f>
        <v>3192.361796910509</v>
      </c>
      <c r="P1219" s="75">
        <f>(MIN(L1219,'THAM_SO_MOI'!$C$41)-O1219)/('THAM_SO_MOI'!$C$11*H1219)</f>
        <v>0.0672492835845658</v>
      </c>
      <c r="Q1219" s="75">
        <f>IF(P1219&gt;0,1/P1219,NA())</f>
        <v>14.87004688670776</v>
      </c>
      <c r="R1219" s="75">
        <f>F1219-F1218</f>
        <v>0.0035868055555532408</v>
      </c>
      <c r="S1219" s="75">
        <f>0.5*(Q1218+Q1219)*R1219</f>
        <v>0.05330433479706633</v>
      </c>
      <c r="T1219" s="75">
        <f>0.5*(F1218*Q1218+F1219*Q1219)*R1219</f>
        <v>1.2620319141660221</v>
      </c>
      <c r="U1219" s="76">
        <f>U1218+S1219</f>
        <v>90.48377447065887</v>
      </c>
      <c r="V1219" s="76">
        <f>V1218+T1219</f>
        <v>1539.0903621810605</v>
      </c>
    </row>
    <row r="1220" spans="1:22" ht="19" customHeight="1">
      <c r="A1220" s="68" t="s">
        <v>362</v>
      </c>
      <c r="B1220" s="74">
        <v>5</v>
      </c>
      <c r="C1220" s="68" t="s">
        <v>363</v>
      </c>
      <c r="D1220" s="68" t="s">
        <v>365</v>
      </c>
      <c r="E1220" s="75">
        <f>60*F1220*'THAM_SO_MOI'!$C$53/(2*PI()*'THAM_SO_MOI'!$C$26)</f>
        <v>2333.2362368421045</v>
      </c>
      <c r="F1220" s="75">
        <f>'THAM_SO_MOI'!$C$14+('THAM_SO_MOI'!$C$37-'THAM_SO_MOI'!$C$14)*413/'THAM_SO_MOI'!$C$42</f>
        <v>23.681350694444443</v>
      </c>
      <c r="G1220" s="75">
        <f>3.6*F1220</f>
        <v>85.25286249999999</v>
      </c>
      <c r="H1220" s="75">
        <f>'THAM_SO_MOI'!$D$53</f>
        <v>1.1</v>
      </c>
      <c r="I1220" s="75">
        <f>IF(F1220&gt;='THAM_SO_MOI'!$C$14,'THAM_SO_MOI'!$C$13*(1+F1220^2/1500),'THAM_SO_MOI'!$C$13)</f>
        <v>0.020608063707132643</v>
      </c>
      <c r="J1220" s="75">
        <f>'THAM_SO_MOI'!$C$40*('THAM_SO_MOI'!$C$23*(E1220/'THAM_SO_MOI'!$C$22)+'THAM_SO_MOI'!$C$24*(E1220/'THAM_SO_MOI'!$C$22)^2-'THAM_SO_MOI'!$C$25*(E1220/'THAM_SO_MOI'!$C$22)^3)</f>
        <v>104.74747069077337</v>
      </c>
      <c r="K1220" s="75">
        <f>'THAM_SO_MOI'!$C$31*J1220/E1220</f>
        <v>428.78358455105337</v>
      </c>
      <c r="L1220" s="75">
        <f>K1220*'THAM_SO_MOI'!$C$53*'THAM_SO_MOI'!$C$17/'THAM_SO_MOI'!$C$26</f>
        <v>3760.4337143294224</v>
      </c>
      <c r="M1220" s="75">
        <f>'THAM_SO_MOI'!$C$15*'THAM_SO_MOI'!$C$16*F1220^2</f>
        <v>1640.3586343362983</v>
      </c>
      <c r="N1220" s="75">
        <f>'THAM_SO_MOI'!$C$12*I1220</f>
        <v>1552.6280061463392</v>
      </c>
      <c r="O1220" s="75">
        <f>M1220+N1220</f>
        <v>3192.9866404826375</v>
      </c>
      <c r="P1220" s="75">
        <f>(MIN(L1220,'THAM_SO_MOI'!$C$41)-O1220)/('THAM_SO_MOI'!$C$11*H1220)</f>
        <v>0.06716939794587887</v>
      </c>
      <c r="Q1220" s="75">
        <f>IF(P1220&gt;0,1/P1220,NA())</f>
        <v>14.887732071169388</v>
      </c>
      <c r="R1220" s="75">
        <f>F1220-F1219</f>
        <v>0.0035868055555567935</v>
      </c>
      <c r="S1220" s="75">
        <f>0.5*(Q1219+Q1220)*R1220</f>
        <v>0.05336768344357241</v>
      </c>
      <c r="T1220" s="75">
        <f>0.5*(F1219*Q1219+F1220*Q1220)*R1220</f>
        <v>1.2637231745063475</v>
      </c>
      <c r="U1220" s="76">
        <f>U1219+S1220</f>
        <v>90.53714215410244</v>
      </c>
      <c r="V1220" s="76">
        <f>V1219+T1220</f>
        <v>1540.354085355567</v>
      </c>
    </row>
    <row r="1221" spans="1:22" ht="19" customHeight="1">
      <c r="A1221" s="68" t="s">
        <v>362</v>
      </c>
      <c r="B1221" s="74">
        <v>5</v>
      </c>
      <c r="C1221" s="68" t="s">
        <v>363</v>
      </c>
      <c r="D1221" s="68" t="s">
        <v>365</v>
      </c>
      <c r="E1221" s="75">
        <f>60*F1221*'THAM_SO_MOI'!$C$53/(2*PI()*'THAM_SO_MOI'!$C$26)</f>
        <v>2333.589631578947</v>
      </c>
      <c r="F1221" s="75">
        <f>'THAM_SO_MOI'!$C$14+('THAM_SO_MOI'!$C$37-'THAM_SO_MOI'!$C$14)*414/'THAM_SO_MOI'!$C$42</f>
        <v>23.6849375</v>
      </c>
      <c r="G1221" s="75">
        <f>3.6*F1221</f>
        <v>85.265775</v>
      </c>
      <c r="H1221" s="75">
        <f>'THAM_SO_MOI'!$D$53</f>
        <v>1.1</v>
      </c>
      <c r="I1221" s="75">
        <f>IF(F1221&gt;='THAM_SO_MOI'!$C$14,'THAM_SO_MOI'!$C$13*(1+F1221^2/1500),'THAM_SO_MOI'!$C$13)</f>
        <v>0.02060976264378906</v>
      </c>
      <c r="J1221" s="75">
        <f>'THAM_SO_MOI'!$C$40*('THAM_SO_MOI'!$C$23*(E1221/'THAM_SO_MOI'!$C$22)+'THAM_SO_MOI'!$C$24*(E1221/'THAM_SO_MOI'!$C$22)^2-'THAM_SO_MOI'!$C$25*(E1221/'THAM_SO_MOI'!$C$22)^3)</f>
        <v>104.76193909404263</v>
      </c>
      <c r="K1221" s="75">
        <f>'THAM_SO_MOI'!$C$31*J1221/E1221</f>
        <v>428.777867727979</v>
      </c>
      <c r="L1221" s="75">
        <f>K1221*'THAM_SO_MOI'!$C$53*'THAM_SO_MOI'!$C$17/'THAM_SO_MOI'!$C$26</f>
        <v>3760.38357776869</v>
      </c>
      <c r="M1221" s="75">
        <f>'THAM_SO_MOI'!$C$15*'THAM_SO_MOI'!$C$16*F1221^2</f>
        <v>1640.855573308301</v>
      </c>
      <c r="N1221" s="75">
        <f>'THAM_SO_MOI'!$C$12*I1221</f>
        <v>1552.756005393183</v>
      </c>
      <c r="O1221" s="75">
        <f>M1221+N1221</f>
        <v>3193.611578701484</v>
      </c>
      <c r="P1221" s="75">
        <f>(MIN(L1221,'THAM_SO_MOI'!$C$41)-O1221)/('THAM_SO_MOI'!$C$11*H1221)</f>
        <v>0.06708948852594765</v>
      </c>
      <c r="Q1221" s="75">
        <f>IF(P1221&gt;0,1/P1221,NA())</f>
        <v>14.905464655811741</v>
      </c>
      <c r="R1221" s="75">
        <f>F1221-F1220</f>
        <v>0.0035868055555567935</v>
      </c>
      <c r="S1221" s="75">
        <f>0.5*(Q1220+Q1221)*R1221</f>
        <v>0.0534312017690662</v>
      </c>
      <c r="T1221" s="75">
        <f>0.5*(F1220*Q1220+F1221*Q1221)*R1221</f>
        <v>1.2654189078177467</v>
      </c>
      <c r="U1221" s="76">
        <f>U1220+S1221</f>
        <v>90.59057335587151</v>
      </c>
      <c r="V1221" s="76">
        <f>V1220+T1221</f>
        <v>1541.6195042633847</v>
      </c>
    </row>
    <row r="1222" spans="1:22" ht="19" customHeight="1">
      <c r="A1222" s="68" t="s">
        <v>362</v>
      </c>
      <c r="B1222" s="74">
        <v>5</v>
      </c>
      <c r="C1222" s="68" t="s">
        <v>363</v>
      </c>
      <c r="D1222" s="68" t="s">
        <v>365</v>
      </c>
      <c r="E1222" s="75">
        <f>60*F1222*'THAM_SO_MOI'!$C$53/(2*PI()*'THAM_SO_MOI'!$C$26)</f>
        <v>2333.9430263157888</v>
      </c>
      <c r="F1222" s="75">
        <f>'THAM_SO_MOI'!$C$14+('THAM_SO_MOI'!$C$37-'THAM_SO_MOI'!$C$14)*415/'THAM_SO_MOI'!$C$42</f>
        <v>23.688524305555553</v>
      </c>
      <c r="G1222" s="75">
        <f>3.6*F1222</f>
        <v>85.27868749999999</v>
      </c>
      <c r="H1222" s="75">
        <f>'THAM_SO_MOI'!$D$53</f>
        <v>1.1</v>
      </c>
      <c r="I1222" s="75">
        <f>IF(F1222&gt;='THAM_SO_MOI'!$C$14,'THAM_SO_MOI'!$C$13*(1+F1222^2/1500),'THAM_SO_MOI'!$C$13)</f>
        <v>0.02061146183774896</v>
      </c>
      <c r="J1222" s="75">
        <f>'THAM_SO_MOI'!$C$40*('THAM_SO_MOI'!$C$23*(E1222/'THAM_SO_MOI'!$C$22)+'THAM_SO_MOI'!$C$24*(E1222/'THAM_SO_MOI'!$C$22)^2-'THAM_SO_MOI'!$C$25*(E1222/'THAM_SO_MOI'!$C$22)^3)</f>
        <v>104.77640411355367</v>
      </c>
      <c r="K1222" s="75">
        <f>'THAM_SO_MOI'!$C$31*J1222/E1222</f>
        <v>428.77213878892036</v>
      </c>
      <c r="L1222" s="75">
        <f>K1222*'THAM_SO_MOI'!$C$53*'THAM_SO_MOI'!$C$17/'THAM_SO_MOI'!$C$26</f>
        <v>3760.3333349507284</v>
      </c>
      <c r="M1222" s="75">
        <f>'THAM_SO_MOI'!$C$15*'THAM_SO_MOI'!$C$16*F1222^2</f>
        <v>1641.3525875415717</v>
      </c>
      <c r="N1222" s="75">
        <f>'THAM_SO_MOI'!$C$12*I1222</f>
        <v>1552.884024025477</v>
      </c>
      <c r="O1222" s="75">
        <f>M1222+N1222</f>
        <v>3194.2366115670484</v>
      </c>
      <c r="P1222" s="75">
        <f>(MIN(L1222,'THAM_SO_MOI'!$C$41)-O1222)/('THAM_SO_MOI'!$C$11*H1222)</f>
        <v>0.06700955532477271</v>
      </c>
      <c r="Q1222" s="75">
        <f>IF(P1222&gt;0,1/P1222,NA())</f>
        <v>14.923244829089484</v>
      </c>
      <c r="R1222" s="75">
        <f>F1222-F1221</f>
        <v>0.0035868055555532408</v>
      </c>
      <c r="S1222" s="75">
        <f>0.5*(Q1221+Q1222)*R1222</f>
        <v>0.05349489044771368</v>
      </c>
      <c r="T1222" s="75">
        <f>0.5*(F1221*Q1221+F1222*Q1222)*R1222</f>
        <v>1.2671191318948274</v>
      </c>
      <c r="U1222" s="76">
        <f>U1221+S1222</f>
        <v>90.64406824631922</v>
      </c>
      <c r="V1222" s="76">
        <f>V1221+T1222</f>
        <v>1542.8866233952795</v>
      </c>
    </row>
    <row r="1223" spans="1:22" ht="19" customHeight="1">
      <c r="A1223" s="68" t="s">
        <v>362</v>
      </c>
      <c r="B1223" s="74">
        <v>5</v>
      </c>
      <c r="C1223" s="68" t="s">
        <v>363</v>
      </c>
      <c r="D1223" s="68" t="s">
        <v>365</v>
      </c>
      <c r="E1223" s="75">
        <f>60*F1223*'THAM_SO_MOI'!$C$53/(2*PI()*'THAM_SO_MOI'!$C$26)</f>
        <v>2334.296421052631</v>
      </c>
      <c r="F1223" s="75">
        <f>'THAM_SO_MOI'!$C$14+('THAM_SO_MOI'!$C$37-'THAM_SO_MOI'!$C$14)*416/'THAM_SO_MOI'!$C$42</f>
        <v>23.69211111111111</v>
      </c>
      <c r="G1223" s="75">
        <f>3.6*F1223</f>
        <v>85.2916</v>
      </c>
      <c r="H1223" s="75">
        <f>'THAM_SO_MOI'!$D$53</f>
        <v>1.1</v>
      </c>
      <c r="I1223" s="75">
        <f>IF(F1223&gt;='THAM_SO_MOI'!$C$14,'THAM_SO_MOI'!$C$13*(1+F1223^2/1500),'THAM_SO_MOI'!$C$13)</f>
        <v>0.020613161289012343</v>
      </c>
      <c r="J1223" s="75">
        <f>'THAM_SO_MOI'!$C$40*('THAM_SO_MOI'!$C$23*(E1223/'THAM_SO_MOI'!$C$22)+'THAM_SO_MOI'!$C$24*(E1223/'THAM_SO_MOI'!$C$22)^2-'THAM_SO_MOI'!$C$25*(E1223/'THAM_SO_MOI'!$C$22)^3)</f>
        <v>104.79086574796156</v>
      </c>
      <c r="K1223" s="75">
        <f>'THAM_SO_MOI'!$C$31*J1223/E1223</f>
        <v>428.7663977338771</v>
      </c>
      <c r="L1223" s="75">
        <f>K1223*'THAM_SO_MOI'!$C$53*'THAM_SO_MOI'!$C$17/'THAM_SO_MOI'!$C$26</f>
        <v>3760.2829858755354</v>
      </c>
      <c r="M1223" s="75">
        <f>'THAM_SO_MOI'!$C$15*'THAM_SO_MOI'!$C$16*F1223^2</f>
        <v>1641.849677036111</v>
      </c>
      <c r="N1223" s="75">
        <f>'THAM_SO_MOI'!$C$12*I1223</f>
        <v>1553.0120620432212</v>
      </c>
      <c r="O1223" s="75">
        <f>M1223+N1223</f>
        <v>3194.8617390793324</v>
      </c>
      <c r="P1223" s="75">
        <f>(MIN(L1223,'THAM_SO_MOI'!$C$41)-O1223)/('THAM_SO_MOI'!$C$11*H1223)</f>
        <v>0.06692959834235357</v>
      </c>
      <c r="Q1223" s="75">
        <f>IF(P1223&gt;0,1/P1223,NA())</f>
        <v>14.941072780459109</v>
      </c>
      <c r="R1223" s="75">
        <f>F1223-F1222</f>
        <v>0.0035868055555567935</v>
      </c>
      <c r="S1223" s="75">
        <f>0.5*(Q1222+Q1223)*R1223</f>
        <v>0.05355875015742074</v>
      </c>
      <c r="T1223" s="75">
        <f>0.5*(F1222*Q1222+F1223*Q1223)*R1223</f>
        <v>1.2688238646304695</v>
      </c>
      <c r="U1223" s="76">
        <f>U1222+S1223</f>
        <v>90.69762699647664</v>
      </c>
      <c r="V1223" s="76">
        <f>V1222+T1223</f>
        <v>1544.15544725991</v>
      </c>
    </row>
    <row r="1224" spans="1:22" ht="19" customHeight="1">
      <c r="A1224" s="68" t="s">
        <v>362</v>
      </c>
      <c r="B1224" s="74">
        <v>5</v>
      </c>
      <c r="C1224" s="68" t="s">
        <v>363</v>
      </c>
      <c r="D1224" s="68" t="s">
        <v>365</v>
      </c>
      <c r="E1224" s="75">
        <f>60*F1224*'THAM_SO_MOI'!$C$53/(2*PI()*'THAM_SO_MOI'!$C$26)</f>
        <v>2334.649815789473</v>
      </c>
      <c r="F1224" s="75">
        <f>'THAM_SO_MOI'!$C$14+('THAM_SO_MOI'!$C$37-'THAM_SO_MOI'!$C$14)*417/'THAM_SO_MOI'!$C$42</f>
        <v>23.695697916666667</v>
      </c>
      <c r="G1224" s="75">
        <f>3.6*F1224</f>
        <v>85.3045125</v>
      </c>
      <c r="H1224" s="75">
        <f>'THAM_SO_MOI'!$D$53</f>
        <v>1.1</v>
      </c>
      <c r="I1224" s="75">
        <f>IF(F1224&gt;='THAM_SO_MOI'!$C$14,'THAM_SO_MOI'!$C$13*(1+F1224^2/1500),'THAM_SO_MOI'!$C$13)</f>
        <v>0.02061486099757921</v>
      </c>
      <c r="J1224" s="75">
        <f>'THAM_SO_MOI'!$C$40*('THAM_SO_MOI'!$C$23*(E1224/'THAM_SO_MOI'!$C$22)+'THAM_SO_MOI'!$C$24*(E1224/'THAM_SO_MOI'!$C$22)^2-'THAM_SO_MOI'!$C$25*(E1224/'THAM_SO_MOI'!$C$22)^3)</f>
        <v>104.80532399592144</v>
      </c>
      <c r="K1224" s="75">
        <f>'THAM_SO_MOI'!$C$31*J1224/E1224</f>
        <v>428.76064456284945</v>
      </c>
      <c r="L1224" s="75">
        <f>K1224*'THAM_SO_MOI'!$C$53*'THAM_SO_MOI'!$C$17/'THAM_SO_MOI'!$C$26</f>
        <v>3760.23253054311</v>
      </c>
      <c r="M1224" s="75">
        <f>'THAM_SO_MOI'!$C$15*'THAM_SO_MOI'!$C$16*F1224^2</f>
        <v>1642.3468417919191</v>
      </c>
      <c r="N1224" s="75">
        <f>'THAM_SO_MOI'!$C$12*I1224</f>
        <v>1553.1401194464158</v>
      </c>
      <c r="O1224" s="75">
        <f>M1224+N1224</f>
        <v>3195.486961238335</v>
      </c>
      <c r="P1224" s="75">
        <f>(MIN(L1224,'THAM_SO_MOI'!$C$41)-O1224)/('THAM_SO_MOI'!$C$11*H1224)</f>
        <v>0.06684961757869025</v>
      </c>
      <c r="Q1224" s="75">
        <f>IF(P1224&gt;0,1/P1224,NA())</f>
        <v>14.958948700385259</v>
      </c>
      <c r="R1224" s="75">
        <f>F1224-F1223</f>
        <v>0.0035868055555567935</v>
      </c>
      <c r="S1224" s="75">
        <f>0.5*(Q1223+Q1224)*R1224</f>
        <v>0.05362278157938002</v>
      </c>
      <c r="T1224" s="75">
        <f>0.5*(F1223*Q1223+F1224*Q1224)*R1224</f>
        <v>1.2705331240051556</v>
      </c>
      <c r="U1224" s="76">
        <f>U1223+S1224</f>
        <v>90.75124977805602</v>
      </c>
      <c r="V1224" s="76">
        <f>V1223+T1224</f>
        <v>1545.4259803839152</v>
      </c>
    </row>
    <row r="1225" spans="1:22" ht="19" customHeight="1">
      <c r="A1225" s="68" t="s">
        <v>362</v>
      </c>
      <c r="B1225" s="74">
        <v>5</v>
      </c>
      <c r="C1225" s="68" t="s">
        <v>363</v>
      </c>
      <c r="D1225" s="68" t="s">
        <v>365</v>
      </c>
      <c r="E1225" s="75">
        <f>60*F1225*'THAM_SO_MOI'!$C$53/(2*PI()*'THAM_SO_MOI'!$C$26)</f>
        <v>2335.0032105263153</v>
      </c>
      <c r="F1225" s="75">
        <f>'THAM_SO_MOI'!$C$14+('THAM_SO_MOI'!$C$37-'THAM_SO_MOI'!$C$14)*418/'THAM_SO_MOI'!$C$42</f>
        <v>23.69928472222222</v>
      </c>
      <c r="G1225" s="75">
        <f>3.6*F1225</f>
        <v>85.317425</v>
      </c>
      <c r="H1225" s="75">
        <f>'THAM_SO_MOI'!$D$53</f>
        <v>1.1</v>
      </c>
      <c r="I1225" s="75">
        <f>IF(F1225&gt;='THAM_SO_MOI'!$C$14,'THAM_SO_MOI'!$C$13*(1+F1225^2/1500),'THAM_SO_MOI'!$C$13)</f>
        <v>0.020616560963449555</v>
      </c>
      <c r="J1225" s="75">
        <f>'THAM_SO_MOI'!$C$40*('THAM_SO_MOI'!$C$23*(E1225/'THAM_SO_MOI'!$C$22)+'THAM_SO_MOI'!$C$24*(E1225/'THAM_SO_MOI'!$C$22)^2-'THAM_SO_MOI'!$C$25*(E1225/'THAM_SO_MOI'!$C$22)^3)</f>
        <v>104.8197788560884</v>
      </c>
      <c r="K1225" s="75">
        <f>'THAM_SO_MOI'!$C$31*J1225/E1225</f>
        <v>428.75487927583725</v>
      </c>
      <c r="L1225" s="75">
        <f>K1225*'THAM_SO_MOI'!$C$53*'THAM_SO_MOI'!$C$17/'THAM_SO_MOI'!$C$26</f>
        <v>3760.181968953454</v>
      </c>
      <c r="M1225" s="75">
        <f>'THAM_SO_MOI'!$C$15*'THAM_SO_MOI'!$C$16*F1225^2</f>
        <v>1642.844081808995</v>
      </c>
      <c r="N1225" s="75">
        <f>'THAM_SO_MOI'!$C$12*I1225</f>
        <v>1553.2681962350603</v>
      </c>
      <c r="O1225" s="75">
        <f>M1225+N1225</f>
        <v>3196.1122780440555</v>
      </c>
      <c r="P1225" s="75">
        <f>(MIN(L1225,'THAM_SO_MOI'!$C$41)-O1225)/('THAM_SO_MOI'!$C$11*H1225)</f>
        <v>0.06676961303378302</v>
      </c>
      <c r="Q1225" s="75">
        <f>IF(P1225&gt;0,1/P1225,NA())</f>
        <v>14.97687278034749</v>
      </c>
      <c r="R1225" s="75">
        <f>F1225-F1224</f>
        <v>0.0035868055555532408</v>
      </c>
      <c r="S1225" s="75">
        <f>0.5*(Q1224+Q1225)*R1225</f>
        <v>0.053686985398571134</v>
      </c>
      <c r="T1225" s="75">
        <f>0.5*(F1224*Q1224+F1225*Q1225)*R1225</f>
        <v>1.2722469280988824</v>
      </c>
      <c r="U1225" s="76">
        <f>U1224+S1225</f>
        <v>90.80493676345459</v>
      </c>
      <c r="V1225" s="76">
        <f>V1224+T1225</f>
        <v>1546.698227312014</v>
      </c>
    </row>
    <row r="1226" spans="1:22" ht="19" customHeight="1">
      <c r="A1226" s="68" t="s">
        <v>362</v>
      </c>
      <c r="B1226" s="74">
        <v>5</v>
      </c>
      <c r="C1226" s="68" t="s">
        <v>363</v>
      </c>
      <c r="D1226" s="68" t="s">
        <v>365</v>
      </c>
      <c r="E1226" s="75">
        <f>60*F1226*'THAM_SO_MOI'!$C$53/(2*PI()*'THAM_SO_MOI'!$C$26)</f>
        <v>2335.3566052631572</v>
      </c>
      <c r="F1226" s="75">
        <f>'THAM_SO_MOI'!$C$14+('THAM_SO_MOI'!$C$37-'THAM_SO_MOI'!$C$14)*419/'THAM_SO_MOI'!$C$42</f>
        <v>23.702871527777777</v>
      </c>
      <c r="G1226" s="75">
        <f>3.6*F1226</f>
        <v>85.3303375</v>
      </c>
      <c r="H1226" s="75">
        <f>'THAM_SO_MOI'!$D$53</f>
        <v>1.1</v>
      </c>
      <c r="I1226" s="75">
        <f>IF(F1226&gt;='THAM_SO_MOI'!$C$14,'THAM_SO_MOI'!$C$13*(1+F1226^2/1500),'THAM_SO_MOI'!$C$13)</f>
        <v>0.020618261186623382</v>
      </c>
      <c r="J1226" s="75">
        <f>'THAM_SO_MOI'!$C$40*('THAM_SO_MOI'!$C$23*(E1226/'THAM_SO_MOI'!$C$22)+'THAM_SO_MOI'!$C$24*(E1226/'THAM_SO_MOI'!$C$22)^2-'THAM_SO_MOI'!$C$25*(E1226/'THAM_SO_MOI'!$C$22)^3)</f>
        <v>104.83423032711761</v>
      </c>
      <c r="K1226" s="75">
        <f>'THAM_SO_MOI'!$C$31*J1226/E1226</f>
        <v>428.7491018728408</v>
      </c>
      <c r="L1226" s="75">
        <f>K1226*'THAM_SO_MOI'!$C$53*'THAM_SO_MOI'!$C$17/'THAM_SO_MOI'!$C$26</f>
        <v>3760.1313011065686</v>
      </c>
      <c r="M1226" s="75">
        <f>'THAM_SO_MOI'!$C$15*'THAM_SO_MOI'!$C$16*F1226^2</f>
        <v>1643.34139708734</v>
      </c>
      <c r="N1226" s="75">
        <f>'THAM_SO_MOI'!$C$12*I1226</f>
        <v>1553.396292409155</v>
      </c>
      <c r="O1226" s="75">
        <f>M1226+N1226</f>
        <v>3196.737689496495</v>
      </c>
      <c r="P1226" s="75">
        <f>(MIN(L1226,'THAM_SO_MOI'!$C$41)-O1226)/('THAM_SO_MOI'!$C$11*H1226)</f>
        <v>0.06668958470763184</v>
      </c>
      <c r="Q1226" s="75">
        <f>IF(P1226&gt;0,1/P1226,NA())</f>
        <v>14.994845212847183</v>
      </c>
      <c r="R1226" s="75">
        <f>F1226-F1225</f>
        <v>0.0035868055555567935</v>
      </c>
      <c r="S1226" s="75">
        <f>0.5*(Q1225+Q1226)*R1226</f>
        <v>0.053751362303786084</v>
      </c>
      <c r="T1226" s="75">
        <f>0.5*(F1225*Q1225+F1226*Q1226)*R1226</f>
        <v>1.2739652950918319</v>
      </c>
      <c r="U1226" s="76">
        <f>U1225+S1226</f>
        <v>90.85868812575838</v>
      </c>
      <c r="V1226" s="76">
        <f>V1225+T1226</f>
        <v>1547.9721926071059</v>
      </c>
    </row>
    <row r="1227" spans="1:22" ht="19" customHeight="1">
      <c r="A1227" s="68" t="s">
        <v>362</v>
      </c>
      <c r="B1227" s="74">
        <v>5</v>
      </c>
      <c r="C1227" s="68" t="s">
        <v>363</v>
      </c>
      <c r="D1227" s="68" t="s">
        <v>365</v>
      </c>
      <c r="E1227" s="75">
        <f>60*F1227*'THAM_SO_MOI'!$C$53/(2*PI()*'THAM_SO_MOI'!$C$26)</f>
        <v>2335.709999999999</v>
      </c>
      <c r="F1227" s="75">
        <f>'THAM_SO_MOI'!$C$14+('THAM_SO_MOI'!$C$37-'THAM_SO_MOI'!$C$14)*420/'THAM_SO_MOI'!$C$42</f>
        <v>23.70645833333333</v>
      </c>
      <c r="G1227" s="75">
        <f>3.6*F1227</f>
        <v>85.34325</v>
      </c>
      <c r="H1227" s="75">
        <f>'THAM_SO_MOI'!$D$53</f>
        <v>1.1</v>
      </c>
      <c r="I1227" s="75">
        <f>IF(F1227&gt;='THAM_SO_MOI'!$C$14,'THAM_SO_MOI'!$C$13*(1+F1227^2/1500),'THAM_SO_MOI'!$C$13)</f>
        <v>0.020619961667100693</v>
      </c>
      <c r="J1227" s="75">
        <f>'THAM_SO_MOI'!$C$40*('THAM_SO_MOI'!$C$23*(E1227/'THAM_SO_MOI'!$C$22)+'THAM_SO_MOI'!$C$24*(E1227/'THAM_SO_MOI'!$C$22)^2-'THAM_SO_MOI'!$C$25*(E1227/'THAM_SO_MOI'!$C$22)^3)</f>
        <v>104.84867840766407</v>
      </c>
      <c r="K1227" s="75">
        <f>'THAM_SO_MOI'!$C$31*J1227/E1227</f>
        <v>428.74331235385966</v>
      </c>
      <c r="L1227" s="75">
        <f>K1227*'THAM_SO_MOI'!$C$53*'THAM_SO_MOI'!$C$17/'THAM_SO_MOI'!$C$26</f>
        <v>3760.0805270024493</v>
      </c>
      <c r="M1227" s="75">
        <f>'THAM_SO_MOI'!$C$15*'THAM_SO_MOI'!$C$16*F1227^2</f>
        <v>1643.838787626953</v>
      </c>
      <c r="N1227" s="75">
        <f>'THAM_SO_MOI'!$C$12*I1227</f>
        <v>1553.5244079687</v>
      </c>
      <c r="O1227" s="75">
        <f>M1227+N1227</f>
        <v>3197.363195595653</v>
      </c>
      <c r="P1227" s="75">
        <f>(MIN(L1227,'THAM_SO_MOI'!$C$41)-O1227)/('THAM_SO_MOI'!$C$11*H1227)</f>
        <v>0.0666095326002363</v>
      </c>
      <c r="Q1227" s="75">
        <f>IF(P1227&gt;0,1/P1227,NA())</f>
        <v>15.012866191414355</v>
      </c>
      <c r="R1227" s="75">
        <f>F1227-F1226</f>
        <v>0.0035868055555532408</v>
      </c>
      <c r="S1227" s="75">
        <f>0.5*(Q1226+Q1227)*R1227</f>
        <v>0.053815912987121815</v>
      </c>
      <c r="T1227" s="75">
        <f>0.5*(F1226*Q1226+F1227*Q1227)*R1227</f>
        <v>1.2756882432524124</v>
      </c>
      <c r="U1227" s="76">
        <f>U1226+S1227</f>
        <v>90.9125040387455</v>
      </c>
      <c r="V1227" s="76">
        <f>V1226+T1227</f>
        <v>1549.2478808503583</v>
      </c>
    </row>
    <row r="1228" spans="1:22" ht="19" customHeight="1">
      <c r="A1228" s="68" t="s">
        <v>362</v>
      </c>
      <c r="B1228" s="74">
        <v>5</v>
      </c>
      <c r="C1228" s="68" t="s">
        <v>363</v>
      </c>
      <c r="D1228" s="68" t="s">
        <v>365</v>
      </c>
      <c r="E1228" s="75">
        <f>60*F1228*'THAM_SO_MOI'!$C$53/(2*PI()*'THAM_SO_MOI'!$C$26)</f>
        <v>2336.0633947368415</v>
      </c>
      <c r="F1228" s="75">
        <f>'THAM_SO_MOI'!$C$14+('THAM_SO_MOI'!$C$37-'THAM_SO_MOI'!$C$14)*421/'THAM_SO_MOI'!$C$42</f>
        <v>23.710045138888887</v>
      </c>
      <c r="G1228" s="75">
        <f>3.6*F1228</f>
        <v>85.3561625</v>
      </c>
      <c r="H1228" s="75">
        <f>'THAM_SO_MOI'!$D$53</f>
        <v>1.1</v>
      </c>
      <c r="I1228" s="75">
        <f>IF(F1228&gt;='THAM_SO_MOI'!$C$14,'THAM_SO_MOI'!$C$13*(1+F1228^2/1500),'THAM_SO_MOI'!$C$13)</f>
        <v>0.020621662404881485</v>
      </c>
      <c r="J1228" s="75">
        <f>'THAM_SO_MOI'!$C$40*('THAM_SO_MOI'!$C$23*(E1228/'THAM_SO_MOI'!$C$22)+'THAM_SO_MOI'!$C$24*(E1228/'THAM_SO_MOI'!$C$22)^2-'THAM_SO_MOI'!$C$25*(E1228/'THAM_SO_MOI'!$C$22)^3)</f>
        <v>104.86312309638302</v>
      </c>
      <c r="K1228" s="75">
        <f>'THAM_SO_MOI'!$C$31*J1228/E1228</f>
        <v>428.73751071889427</v>
      </c>
      <c r="L1228" s="75">
        <f>K1228*'THAM_SO_MOI'!$C$53*'THAM_SO_MOI'!$C$17/'THAM_SO_MOI'!$C$26</f>
        <v>3760.0296466411014</v>
      </c>
      <c r="M1228" s="75">
        <f>'THAM_SO_MOI'!$C$15*'THAM_SO_MOI'!$C$16*F1228^2</f>
        <v>1644.3362534278347</v>
      </c>
      <c r="N1228" s="75">
        <f>'THAM_SO_MOI'!$C$12*I1228</f>
        <v>1553.652542913695</v>
      </c>
      <c r="O1228" s="75">
        <f>M1228+N1228</f>
        <v>3197.9887963415295</v>
      </c>
      <c r="P1228" s="75">
        <f>(MIN(L1228,'THAM_SO_MOI'!$C$41)-O1228)/('THAM_SO_MOI'!$C$11*H1228)</f>
        <v>0.06652945671159706</v>
      </c>
      <c r="Q1228" s="75">
        <f>IF(P1228&gt;0,1/P1228,NA())</f>
        <v>15.030935910614243</v>
      </c>
      <c r="R1228" s="75">
        <f>F1228-F1227</f>
        <v>0.0035868055555567935</v>
      </c>
      <c r="S1228" s="75">
        <f>0.5*(Q1227+Q1228)*R1228</f>
        <v>0.053880638144802526</v>
      </c>
      <c r="T1228" s="75">
        <f>0.5*(F1227*Q1227+F1228*Q1228)*R1228</f>
        <v>1.2774157909568096</v>
      </c>
      <c r="U1228" s="76">
        <f>U1227+S1228</f>
        <v>90.9663846768903</v>
      </c>
      <c r="V1228" s="76">
        <f>V1227+T1228</f>
        <v>1550.5252966413152</v>
      </c>
    </row>
    <row r="1229" spans="1:22" ht="19" customHeight="1">
      <c r="A1229" s="68" t="s">
        <v>362</v>
      </c>
      <c r="B1229" s="74">
        <v>5</v>
      </c>
      <c r="C1229" s="68" t="s">
        <v>363</v>
      </c>
      <c r="D1229" s="68" t="s">
        <v>365</v>
      </c>
      <c r="E1229" s="75">
        <f>60*F1229*'THAM_SO_MOI'!$C$53/(2*PI()*'THAM_SO_MOI'!$C$26)</f>
        <v>2336.416789473684</v>
      </c>
      <c r="F1229" s="75">
        <f>'THAM_SO_MOI'!$C$14+('THAM_SO_MOI'!$C$37-'THAM_SO_MOI'!$C$14)*422/'THAM_SO_MOI'!$C$42</f>
        <v>23.713631944444444</v>
      </c>
      <c r="G1229" s="75">
        <f>3.6*F1229</f>
        <v>85.369075</v>
      </c>
      <c r="H1229" s="75">
        <f>'THAM_SO_MOI'!$D$53</f>
        <v>1.1</v>
      </c>
      <c r="I1229" s="75">
        <f>IF(F1229&gt;='THAM_SO_MOI'!$C$14,'THAM_SO_MOI'!$C$13*(1+F1229^2/1500),'THAM_SO_MOI'!$C$13)</f>
        <v>0.020623363399965757</v>
      </c>
      <c r="J1229" s="75">
        <f>'THAM_SO_MOI'!$C$40*('THAM_SO_MOI'!$C$23*(E1229/'THAM_SO_MOI'!$C$22)+'THAM_SO_MOI'!$C$24*(E1229/'THAM_SO_MOI'!$C$22)^2-'THAM_SO_MOI'!$C$25*(E1229/'THAM_SO_MOI'!$C$22)^3)</f>
        <v>104.8775643919295</v>
      </c>
      <c r="K1229" s="75">
        <f>'THAM_SO_MOI'!$C$31*J1229/E1229</f>
        <v>428.7316969679444</v>
      </c>
      <c r="L1229" s="75">
        <f>K1229*'THAM_SO_MOI'!$C$53*'THAM_SO_MOI'!$C$17/'THAM_SO_MOI'!$C$26</f>
        <v>3759.9786600225225</v>
      </c>
      <c r="M1229" s="75">
        <f>'THAM_SO_MOI'!$C$15*'THAM_SO_MOI'!$C$16*F1229^2</f>
        <v>1644.833794489985</v>
      </c>
      <c r="N1229" s="75">
        <f>'THAM_SO_MOI'!$C$12*I1229</f>
        <v>1553.7806972441401</v>
      </c>
      <c r="O1229" s="75">
        <f>M1229+N1229</f>
        <v>3198.6144917341253</v>
      </c>
      <c r="P1229" s="75">
        <f>(MIN(L1229,'THAM_SO_MOI'!$C$41)-O1229)/('THAM_SO_MOI'!$C$11*H1229)</f>
        <v>0.06644935704171372</v>
      </c>
      <c r="Q1229" s="75">
        <f>IF(P1229&gt;0,1/P1229,NA())</f>
        <v>15.049054566054687</v>
      </c>
      <c r="R1229" s="75">
        <f>F1229-F1228</f>
        <v>0.0035868055555567935</v>
      </c>
      <c r="S1229" s="75">
        <f>0.5*(Q1228+Q1229)*R1229</f>
        <v>0.053945538476405784</v>
      </c>
      <c r="T1229" s="75">
        <f>0.5*(F1228*Q1228+F1229*Q1229)*R1229</f>
        <v>1.279147956670715</v>
      </c>
      <c r="U1229" s="76">
        <f>U1228+S1229</f>
        <v>91.02033021536671</v>
      </c>
      <c r="V1229" s="76">
        <f>V1228+T1229</f>
        <v>1551.8044445979858</v>
      </c>
    </row>
    <row r="1230" spans="1:22" ht="19" customHeight="1">
      <c r="A1230" s="68" t="s">
        <v>362</v>
      </c>
      <c r="B1230" s="74">
        <v>5</v>
      </c>
      <c r="C1230" s="68" t="s">
        <v>363</v>
      </c>
      <c r="D1230" s="68" t="s">
        <v>365</v>
      </c>
      <c r="E1230" s="75">
        <f>60*F1230*'THAM_SO_MOI'!$C$53/(2*PI()*'THAM_SO_MOI'!$C$26)</f>
        <v>2336.7701842105257</v>
      </c>
      <c r="F1230" s="75">
        <f>'THAM_SO_MOI'!$C$14+('THAM_SO_MOI'!$C$37-'THAM_SO_MOI'!$C$14)*423/'THAM_SO_MOI'!$C$42</f>
        <v>23.71721875</v>
      </c>
      <c r="G1230" s="75">
        <f>3.6*F1230</f>
        <v>85.38198750000001</v>
      </c>
      <c r="H1230" s="75">
        <f>'THAM_SO_MOI'!$D$53</f>
        <v>1.1</v>
      </c>
      <c r="I1230" s="75">
        <f>IF(F1230&gt;='THAM_SO_MOI'!$C$14,'THAM_SO_MOI'!$C$13*(1+F1230^2/1500),'THAM_SO_MOI'!$C$13)</f>
        <v>0.020625064652353517</v>
      </c>
      <c r="J1230" s="75">
        <f>'THAM_SO_MOI'!$C$40*('THAM_SO_MOI'!$C$23*(E1230/'THAM_SO_MOI'!$C$22)+'THAM_SO_MOI'!$C$24*(E1230/'THAM_SO_MOI'!$C$22)^2-'THAM_SO_MOI'!$C$25*(E1230/'THAM_SO_MOI'!$C$22)^3)</f>
        <v>104.89200229295857</v>
      </c>
      <c r="K1230" s="75">
        <f>'THAM_SO_MOI'!$C$31*J1230/E1230</f>
        <v>428.72587110100994</v>
      </c>
      <c r="L1230" s="75">
        <f>K1230*'THAM_SO_MOI'!$C$53*'THAM_SO_MOI'!$C$17/'THAM_SO_MOI'!$C$26</f>
        <v>3759.9275671467103</v>
      </c>
      <c r="M1230" s="75">
        <f>'THAM_SO_MOI'!$C$15*'THAM_SO_MOI'!$C$16*F1230^2</f>
        <v>1645.3314108134036</v>
      </c>
      <c r="N1230" s="75">
        <f>'THAM_SO_MOI'!$C$12*I1230</f>
        <v>1553.908870960036</v>
      </c>
      <c r="O1230" s="75">
        <f>M1230+N1230</f>
        <v>3199.2402817734396</v>
      </c>
      <c r="P1230" s="75">
        <f>(MIN(L1230,'THAM_SO_MOI'!$C$41)-O1230)/('THAM_SO_MOI'!$C$11*H1230)</f>
        <v>0.06636923359058602</v>
      </c>
      <c r="Q1230" s="75">
        <f>IF(P1230&gt;0,1/P1230,NA())</f>
        <v>15.067222354392872</v>
      </c>
      <c r="R1230" s="75">
        <f>F1230-F1229</f>
        <v>0.0035868055555567935</v>
      </c>
      <c r="S1230" s="75">
        <f>0.5*(Q1229+Q1230)*R1230</f>
        <v>0.05401061468547408</v>
      </c>
      <c r="T1230" s="75">
        <f>0.5*(F1229*Q1229+F1230*Q1230)*R1230</f>
        <v>1.2808847589638848</v>
      </c>
      <c r="U1230" s="76">
        <f>U1229+S1230</f>
        <v>91.0743408300522</v>
      </c>
      <c r="V1230" s="76">
        <f>V1229+T1230</f>
        <v>1553.0853293569496</v>
      </c>
    </row>
    <row r="1231" spans="1:22" ht="19" customHeight="1">
      <c r="A1231" s="68" t="s">
        <v>362</v>
      </c>
      <c r="B1231" s="74">
        <v>5</v>
      </c>
      <c r="C1231" s="68" t="s">
        <v>363</v>
      </c>
      <c r="D1231" s="68" t="s">
        <v>365</v>
      </c>
      <c r="E1231" s="75">
        <f>60*F1231*'THAM_SO_MOI'!$C$53/(2*PI()*'THAM_SO_MOI'!$C$26)</f>
        <v>2337.1235789473676</v>
      </c>
      <c r="F1231" s="75">
        <f>'THAM_SO_MOI'!$C$14+('THAM_SO_MOI'!$C$37-'THAM_SO_MOI'!$C$14)*424/'THAM_SO_MOI'!$C$42</f>
        <v>23.720805555555554</v>
      </c>
      <c r="G1231" s="75">
        <f>3.6*F1231</f>
        <v>85.39489999999999</v>
      </c>
      <c r="H1231" s="75">
        <f>'THAM_SO_MOI'!$D$53</f>
        <v>1.1</v>
      </c>
      <c r="I1231" s="75">
        <f>IF(F1231&gt;='THAM_SO_MOI'!$C$14,'THAM_SO_MOI'!$C$13*(1+F1231^2/1500),'THAM_SO_MOI'!$C$13)</f>
        <v>0.02062676616204475</v>
      </c>
      <c r="J1231" s="75">
        <f>'THAM_SO_MOI'!$C$40*('THAM_SO_MOI'!$C$23*(E1231/'THAM_SO_MOI'!$C$22)+'THAM_SO_MOI'!$C$24*(E1231/'THAM_SO_MOI'!$C$22)^2-'THAM_SO_MOI'!$C$25*(E1231/'THAM_SO_MOI'!$C$22)^3)</f>
        <v>104.9064367981254</v>
      </c>
      <c r="K1231" s="75">
        <f>'THAM_SO_MOI'!$C$31*J1231/E1231</f>
        <v>428.72003311809107</v>
      </c>
      <c r="L1231" s="75">
        <f>K1231*'THAM_SO_MOI'!$C$53*'THAM_SO_MOI'!$C$17/'THAM_SO_MOI'!$C$26</f>
        <v>3759.8763680136685</v>
      </c>
      <c r="M1231" s="75">
        <f>'THAM_SO_MOI'!$C$15*'THAM_SO_MOI'!$C$16*F1231^2</f>
        <v>1645.8291023980903</v>
      </c>
      <c r="N1231" s="75">
        <f>'THAM_SO_MOI'!$C$12*I1231</f>
        <v>1554.0370640613812</v>
      </c>
      <c r="O1231" s="75">
        <f>M1231+N1231</f>
        <v>3199.8661664594715</v>
      </c>
      <c r="P1231" s="75">
        <f>(MIN(L1231,'THAM_SO_MOI'!$C$41)-O1231)/('THAM_SO_MOI'!$C$11*H1231)</f>
        <v>0.06628908635821458</v>
      </c>
      <c r="Q1231" s="75">
        <f>IF(P1231&gt;0,1/P1231,NA())</f>
        <v>15.085439473342197</v>
      </c>
      <c r="R1231" s="75">
        <f>F1231-F1230</f>
        <v>0.0035868055555532408</v>
      </c>
      <c r="S1231" s="75">
        <f>0.5*(Q1230+Q1231)*R1231</f>
        <v>0.054075867479219136</v>
      </c>
      <c r="T1231" s="75">
        <f>0.5*(F1230*Q1230+F1231*Q1231)*R1231</f>
        <v>1.282626216503201</v>
      </c>
      <c r="U1231" s="76">
        <f>U1230+S1231</f>
        <v>91.1284166975314</v>
      </c>
      <c r="V1231" s="76">
        <f>V1230+T1231</f>
        <v>1554.3679555734527</v>
      </c>
    </row>
    <row r="1232" spans="1:22" ht="19" customHeight="1">
      <c r="A1232" s="68" t="s">
        <v>362</v>
      </c>
      <c r="B1232" s="74">
        <v>5</v>
      </c>
      <c r="C1232" s="68" t="s">
        <v>363</v>
      </c>
      <c r="D1232" s="68" t="s">
        <v>365</v>
      </c>
      <c r="E1232" s="75">
        <f>60*F1232*'THAM_SO_MOI'!$C$53/(2*PI()*'THAM_SO_MOI'!$C$26)</f>
        <v>2337.47697368421</v>
      </c>
      <c r="F1232" s="75">
        <f>'THAM_SO_MOI'!$C$14+('THAM_SO_MOI'!$C$37-'THAM_SO_MOI'!$C$14)*425/'THAM_SO_MOI'!$C$42</f>
        <v>23.72439236111111</v>
      </c>
      <c r="G1232" s="75">
        <f>3.6*F1232</f>
        <v>85.4078125</v>
      </c>
      <c r="H1232" s="75">
        <f>'THAM_SO_MOI'!$D$53</f>
        <v>1.1</v>
      </c>
      <c r="I1232" s="75">
        <f>IF(F1232&gt;='THAM_SO_MOI'!$C$14,'THAM_SO_MOI'!$C$13*(1+F1232^2/1500),'THAM_SO_MOI'!$C$13)</f>
        <v>0.02062846792903947</v>
      </c>
      <c r="J1232" s="75">
        <f>'THAM_SO_MOI'!$C$40*('THAM_SO_MOI'!$C$23*(E1232/'THAM_SO_MOI'!$C$22)+'THAM_SO_MOI'!$C$24*(E1232/'THAM_SO_MOI'!$C$22)^2-'THAM_SO_MOI'!$C$25*(E1232/'THAM_SO_MOI'!$C$22)^3)</f>
        <v>104.92086790608514</v>
      </c>
      <c r="K1232" s="75">
        <f>'THAM_SO_MOI'!$C$31*J1232/E1232</f>
        <v>428.7141830191878</v>
      </c>
      <c r="L1232" s="75">
        <f>K1232*'THAM_SO_MOI'!$C$53*'THAM_SO_MOI'!$C$17/'THAM_SO_MOI'!$C$26</f>
        <v>3759.825062623395</v>
      </c>
      <c r="M1232" s="75">
        <f>'THAM_SO_MOI'!$C$15*'THAM_SO_MOI'!$C$16*F1232^2</f>
        <v>1646.3268692440456</v>
      </c>
      <c r="N1232" s="75">
        <f>'THAM_SO_MOI'!$C$12*I1232</f>
        <v>1554.165276548177</v>
      </c>
      <c r="O1232" s="75">
        <f>M1232+N1232</f>
        <v>3200.492145792223</v>
      </c>
      <c r="P1232" s="75">
        <f>(MIN(L1232,'THAM_SO_MOI'!$C$41)-O1232)/('THAM_SO_MOI'!$C$11*H1232)</f>
        <v>0.066208915344599</v>
      </c>
      <c r="Q1232" s="75">
        <f>IF(P1232&gt;0,1/P1232,NA())</f>
        <v>15.103706121679808</v>
      </c>
      <c r="R1232" s="75">
        <f>F1232-F1231</f>
        <v>0.0035868055555567935</v>
      </c>
      <c r="S1232" s="75">
        <f>0.5*(Q1231+Q1232)*R1232</f>
        <v>0.054141297568868915</v>
      </c>
      <c r="T1232" s="75">
        <f>0.5*(F1231*Q1231+F1232*Q1232)*R1232</f>
        <v>1.2843723480609675</v>
      </c>
      <c r="U1232" s="76">
        <f>U1231+S1232</f>
        <v>91.18255799510028</v>
      </c>
      <c r="V1232" s="76">
        <f>V1231+T1232</f>
        <v>1555.6523279215137</v>
      </c>
    </row>
    <row r="1233" spans="1:22" ht="19" customHeight="1">
      <c r="A1233" s="68" t="s">
        <v>362</v>
      </c>
      <c r="B1233" s="74">
        <v>5</v>
      </c>
      <c r="C1233" s="68" t="s">
        <v>363</v>
      </c>
      <c r="D1233" s="68" t="s">
        <v>365</v>
      </c>
      <c r="E1233" s="75">
        <f>60*F1233*'THAM_SO_MOI'!$C$53/(2*PI()*'THAM_SO_MOI'!$C$26)</f>
        <v>2337.830368421052</v>
      </c>
      <c r="F1233" s="75">
        <f>'THAM_SO_MOI'!$C$14+('THAM_SO_MOI'!$C$37-'THAM_SO_MOI'!$C$14)*426/'THAM_SO_MOI'!$C$42</f>
        <v>23.727979166666664</v>
      </c>
      <c r="G1233" s="75">
        <f>3.6*F1233</f>
        <v>85.42072499999999</v>
      </c>
      <c r="H1233" s="75">
        <f>'THAM_SO_MOI'!$D$53</f>
        <v>1.1</v>
      </c>
      <c r="I1233" s="75">
        <f>IF(F1233&gt;='THAM_SO_MOI'!$C$14,'THAM_SO_MOI'!$C$13*(1+F1233^2/1500),'THAM_SO_MOI'!$C$13)</f>
        <v>0.020630169953337673</v>
      </c>
      <c r="J1233" s="75">
        <f>'THAM_SO_MOI'!$C$40*('THAM_SO_MOI'!$C$23*(E1233/'THAM_SO_MOI'!$C$22)+'THAM_SO_MOI'!$C$24*(E1233/'THAM_SO_MOI'!$C$22)^2-'THAM_SO_MOI'!$C$25*(E1233/'THAM_SO_MOI'!$C$22)^3)</f>
        <v>104.93529561549282</v>
      </c>
      <c r="K1233" s="75">
        <f>'THAM_SO_MOI'!$C$31*J1233/E1233</f>
        <v>428.70832080430006</v>
      </c>
      <c r="L1233" s="75">
        <f>K1233*'THAM_SO_MOI'!$C$53*'THAM_SO_MOI'!$C$17/'THAM_SO_MOI'!$C$26</f>
        <v>3759.773650975891</v>
      </c>
      <c r="M1233" s="75">
        <f>'THAM_SO_MOI'!$C$15*'THAM_SO_MOI'!$C$16*F1233^2</f>
        <v>1646.8247113512693</v>
      </c>
      <c r="N1233" s="75">
        <f>'THAM_SO_MOI'!$C$12*I1233</f>
        <v>1554.293508420423</v>
      </c>
      <c r="O1233" s="75">
        <f>M1233+N1233</f>
        <v>3201.1182197716926</v>
      </c>
      <c r="P1233" s="75">
        <f>(MIN(L1233,'THAM_SO_MOI'!$C$41)-O1233)/('THAM_SO_MOI'!$C$11*H1233)</f>
        <v>0.06612872054973944</v>
      </c>
      <c r="Q1233" s="75">
        <f>IF(P1233&gt;0,1/P1233,NA())</f>
        <v>15.122022499253394</v>
      </c>
      <c r="R1233" s="75">
        <f>F1233-F1232</f>
        <v>0.0035868055555532408</v>
      </c>
      <c r="S1233" s="75">
        <f>0.5*(Q1232+Q1233)*R1233</f>
        <v>0.054206905669103904</v>
      </c>
      <c r="T1233" s="75">
        <f>0.5*(F1232*Q1232+F1233*Q1233)*R1233</f>
        <v>1.2861231725016073</v>
      </c>
      <c r="U1233" s="76">
        <f>U1232+S1233</f>
        <v>91.23676490076939</v>
      </c>
      <c r="V1233" s="76">
        <f>V1232+T1233</f>
        <v>1556.9384510940154</v>
      </c>
    </row>
    <row r="1234" spans="1:22" ht="19" customHeight="1">
      <c r="A1234" s="68" t="s">
        <v>362</v>
      </c>
      <c r="B1234" s="74">
        <v>5</v>
      </c>
      <c r="C1234" s="68" t="s">
        <v>363</v>
      </c>
      <c r="D1234" s="68" t="s">
        <v>365</v>
      </c>
      <c r="E1234" s="75">
        <f>60*F1234*'THAM_SO_MOI'!$C$53/(2*PI()*'THAM_SO_MOI'!$C$26)</f>
        <v>2338.183763157894</v>
      </c>
      <c r="F1234" s="75">
        <f>'THAM_SO_MOI'!$C$14+('THAM_SO_MOI'!$C$37-'THAM_SO_MOI'!$C$14)*427/'THAM_SO_MOI'!$C$42</f>
        <v>23.73156597222222</v>
      </c>
      <c r="G1234" s="75">
        <f>3.6*F1234</f>
        <v>85.4336375</v>
      </c>
      <c r="H1234" s="75">
        <f>'THAM_SO_MOI'!$D$53</f>
        <v>1.1</v>
      </c>
      <c r="I1234" s="75">
        <f>IF(F1234&gt;='THAM_SO_MOI'!$C$14,'THAM_SO_MOI'!$C$13*(1+F1234^2/1500),'THAM_SO_MOI'!$C$13)</f>
        <v>0.020631872234939355</v>
      </c>
      <c r="J1234" s="75">
        <f>'THAM_SO_MOI'!$C$40*('THAM_SO_MOI'!$C$23*(E1234/'THAM_SO_MOI'!$C$22)+'THAM_SO_MOI'!$C$24*(E1234/'THAM_SO_MOI'!$C$22)^2-'THAM_SO_MOI'!$C$25*(E1234/'THAM_SO_MOI'!$C$22)^3)</f>
        <v>104.94971992500358</v>
      </c>
      <c r="K1234" s="75">
        <f>'THAM_SO_MOI'!$C$31*J1234/E1234</f>
        <v>428.7024464734277</v>
      </c>
      <c r="L1234" s="75">
        <f>K1234*'THAM_SO_MOI'!$C$53*'THAM_SO_MOI'!$C$17/'THAM_SO_MOI'!$C$26</f>
        <v>3759.7221330711545</v>
      </c>
      <c r="M1234" s="75">
        <f>'THAM_SO_MOI'!$C$15*'THAM_SO_MOI'!$C$16*F1234^2</f>
        <v>1647.3226287197617</v>
      </c>
      <c r="N1234" s="75">
        <f>'THAM_SO_MOI'!$C$12*I1234</f>
        <v>1554.421759678119</v>
      </c>
      <c r="O1234" s="75">
        <f>M1234+N1234</f>
        <v>3201.744388397881</v>
      </c>
      <c r="P1234" s="75">
        <f>(MIN(L1234,'THAM_SO_MOI'!$C$41)-O1234)/('THAM_SO_MOI'!$C$11*H1234)</f>
        <v>0.06604850197363563</v>
      </c>
      <c r="Q1234" s="75">
        <f>IF(P1234&gt;0,1/P1234,NA())</f>
        <v>15.140388806988641</v>
      </c>
      <c r="R1234" s="75">
        <f>F1234-F1233</f>
        <v>0.0035868055555567935</v>
      </c>
      <c r="S1234" s="75">
        <f>0.5*(Q1233+Q1234)*R1234</f>
        <v>0.054272692498886825</v>
      </c>
      <c r="T1234" s="75">
        <f>0.5*(F1233*Q1233+F1234*Q1234)*R1234</f>
        <v>1.2878787088014143</v>
      </c>
      <c r="U1234" s="76">
        <f>U1233+S1234</f>
        <v>91.29103759326827</v>
      </c>
      <c r="V1234" s="76">
        <f>V1233+T1234</f>
        <v>1558.2263298028167</v>
      </c>
    </row>
    <row r="1235" spans="1:22" ht="19" customHeight="1">
      <c r="A1235" s="68" t="s">
        <v>362</v>
      </c>
      <c r="B1235" s="74">
        <v>5</v>
      </c>
      <c r="C1235" s="68" t="s">
        <v>363</v>
      </c>
      <c r="D1235" s="68" t="s">
        <v>365</v>
      </c>
      <c r="E1235" s="75">
        <f>60*F1235*'THAM_SO_MOI'!$C$53/(2*PI()*'THAM_SO_MOI'!$C$26)</f>
        <v>2338.5371578947365</v>
      </c>
      <c r="F1235" s="75">
        <f>'THAM_SO_MOI'!$C$14+('THAM_SO_MOI'!$C$37-'THAM_SO_MOI'!$C$14)*428/'THAM_SO_MOI'!$C$42</f>
        <v>23.735152777777778</v>
      </c>
      <c r="G1235" s="75">
        <f>3.6*F1235</f>
        <v>85.44655</v>
      </c>
      <c r="H1235" s="75">
        <f>'THAM_SO_MOI'!$D$53</f>
        <v>1.1</v>
      </c>
      <c r="I1235" s="75">
        <f>IF(F1235&gt;='THAM_SO_MOI'!$C$14,'THAM_SO_MOI'!$C$13*(1+F1235^2/1500),'THAM_SO_MOI'!$C$13)</f>
        <v>0.02063357477384452</v>
      </c>
      <c r="J1235" s="75">
        <f>'THAM_SO_MOI'!$C$40*('THAM_SO_MOI'!$C$23*(E1235/'THAM_SO_MOI'!$C$22)+'THAM_SO_MOI'!$C$24*(E1235/'THAM_SO_MOI'!$C$22)^2-'THAM_SO_MOI'!$C$25*(E1235/'THAM_SO_MOI'!$C$22)^3)</f>
        <v>104.96414083327255</v>
      </c>
      <c r="K1235" s="75">
        <f>'THAM_SO_MOI'!$C$31*J1235/E1235</f>
        <v>428.696560026571</v>
      </c>
      <c r="L1235" s="75">
        <f>K1235*'THAM_SO_MOI'!$C$53*'THAM_SO_MOI'!$C$17/'THAM_SO_MOI'!$C$26</f>
        <v>3759.6705089091874</v>
      </c>
      <c r="M1235" s="75">
        <f>'THAM_SO_MOI'!$C$15*'THAM_SO_MOI'!$C$16*F1235^2</f>
        <v>1647.8206213495228</v>
      </c>
      <c r="N1235" s="75">
        <f>'THAM_SO_MOI'!$C$12*I1235</f>
        <v>1554.5500303212655</v>
      </c>
      <c r="O1235" s="75">
        <f>M1235+N1235</f>
        <v>3202.370651670788</v>
      </c>
      <c r="P1235" s="75">
        <f>(MIN(L1235,'THAM_SO_MOI'!$C$41)-O1235)/('THAM_SO_MOI'!$C$11*H1235)</f>
        <v>0.06596825961628779</v>
      </c>
      <c r="Q1235" s="75">
        <f>IF(P1235&gt;0,1/P1235,NA())</f>
        <v>15.158805246896291</v>
      </c>
      <c r="R1235" s="75">
        <f>F1235-F1234</f>
        <v>0.0035868055555567935</v>
      </c>
      <c r="S1235" s="75">
        <f>0.5*(Q1234+Q1235)*R1235</f>
        <v>0.05433865878068392</v>
      </c>
      <c r="T1235" s="75">
        <f>0.5*(F1234*Q1234+F1235*Q1235)*R1235</f>
        <v>1.2896389760301472</v>
      </c>
      <c r="U1235" s="76">
        <f>U1234+S1235</f>
        <v>91.34537625204895</v>
      </c>
      <c r="V1235" s="76">
        <f>V1234+T1235</f>
        <v>1559.5159687788469</v>
      </c>
    </row>
    <row r="1236" spans="1:22" ht="19" customHeight="1">
      <c r="A1236" s="68" t="s">
        <v>362</v>
      </c>
      <c r="B1236" s="74">
        <v>5</v>
      </c>
      <c r="C1236" s="68" t="s">
        <v>363</v>
      </c>
      <c r="D1236" s="68" t="s">
        <v>365</v>
      </c>
      <c r="E1236" s="75">
        <f>60*F1236*'THAM_SO_MOI'!$C$53/(2*PI()*'THAM_SO_MOI'!$C$26)</f>
        <v>2338.8905526315784</v>
      </c>
      <c r="F1236" s="75">
        <f>'THAM_SO_MOI'!$C$14+('THAM_SO_MOI'!$C$37-'THAM_SO_MOI'!$C$14)*429/'THAM_SO_MOI'!$C$42</f>
        <v>23.73873958333333</v>
      </c>
      <c r="G1236" s="75">
        <f>3.6*F1236</f>
        <v>85.45946249999999</v>
      </c>
      <c r="H1236" s="75">
        <f>'THAM_SO_MOI'!$D$53</f>
        <v>1.1</v>
      </c>
      <c r="I1236" s="75">
        <f>IF(F1236&gt;='THAM_SO_MOI'!$C$14,'THAM_SO_MOI'!$C$13*(1+F1236^2/1500),'THAM_SO_MOI'!$C$13)</f>
        <v>0.02063527757005317</v>
      </c>
      <c r="J1236" s="75">
        <f>'THAM_SO_MOI'!$C$40*('THAM_SO_MOI'!$C$23*(E1236/'THAM_SO_MOI'!$C$22)+'THAM_SO_MOI'!$C$24*(E1236/'THAM_SO_MOI'!$C$22)^2-'THAM_SO_MOI'!$C$25*(E1236/'THAM_SO_MOI'!$C$22)^3)</f>
        <v>104.97855833895481</v>
      </c>
      <c r="K1236" s="75">
        <f>'THAM_SO_MOI'!$C$31*J1236/E1236</f>
        <v>428.69066146372984</v>
      </c>
      <c r="L1236" s="75">
        <f>K1236*'THAM_SO_MOI'!$C$53*'THAM_SO_MOI'!$C$17/'THAM_SO_MOI'!$C$26</f>
        <v>3759.61877848999</v>
      </c>
      <c r="M1236" s="75">
        <f>'THAM_SO_MOI'!$C$15*'THAM_SO_MOI'!$C$16*F1236^2</f>
        <v>1648.3186892405517</v>
      </c>
      <c r="N1236" s="75">
        <f>'THAM_SO_MOI'!$C$12*I1236</f>
        <v>1554.678320349862</v>
      </c>
      <c r="O1236" s="75">
        <f>M1236+N1236</f>
        <v>3202.9970095904137</v>
      </c>
      <c r="P1236" s="75">
        <f>(MIN(L1236,'THAM_SO_MOI'!$C$41)-O1236)/('THAM_SO_MOI'!$C$11*H1236)</f>
        <v>0.06588799347769607</v>
      </c>
      <c r="Q1236" s="75">
        <f>IF(P1236&gt;0,1/P1236,NA())</f>
        <v>15.177272022079604</v>
      </c>
      <c r="R1236" s="75">
        <f>F1236-F1235</f>
        <v>0.0035868055555532408</v>
      </c>
      <c r="S1236" s="75">
        <f>0.5*(Q1235+Q1236)*R1236</f>
        <v>0.05440480524102756</v>
      </c>
      <c r="T1236" s="75">
        <f>0.5*(F1235*Q1235+F1236*Q1236)*R1236</f>
        <v>1.2914039933644474</v>
      </c>
      <c r="U1236" s="76">
        <f>U1235+S1236</f>
        <v>91.39978105728999</v>
      </c>
      <c r="V1236" s="76">
        <f>V1235+T1236</f>
        <v>1560.8073727722112</v>
      </c>
    </row>
    <row r="1237" spans="1:22" ht="19" customHeight="1">
      <c r="A1237" s="68" t="s">
        <v>362</v>
      </c>
      <c r="B1237" s="74">
        <v>5</v>
      </c>
      <c r="C1237" s="68" t="s">
        <v>363</v>
      </c>
      <c r="D1237" s="68" t="s">
        <v>365</v>
      </c>
      <c r="E1237" s="75">
        <f>60*F1237*'THAM_SO_MOI'!$C$53/(2*PI()*'THAM_SO_MOI'!$C$26)</f>
        <v>2339.2439473684203</v>
      </c>
      <c r="F1237" s="75">
        <f>'THAM_SO_MOI'!$C$14+('THAM_SO_MOI'!$C$37-'THAM_SO_MOI'!$C$14)*430/'THAM_SO_MOI'!$C$42</f>
        <v>23.742326388888888</v>
      </c>
      <c r="G1237" s="75">
        <f>3.6*F1237</f>
        <v>85.472375</v>
      </c>
      <c r="H1237" s="75">
        <f>'THAM_SO_MOI'!$D$53</f>
        <v>1.1</v>
      </c>
      <c r="I1237" s="75">
        <f>IF(F1237&gt;='THAM_SO_MOI'!$C$14,'THAM_SO_MOI'!$C$13*(1+F1237^2/1500),'THAM_SO_MOI'!$C$13)</f>
        <v>0.020636980623565296</v>
      </c>
      <c r="J1237" s="75">
        <f>'THAM_SO_MOI'!$C$40*('THAM_SO_MOI'!$C$23*(E1237/'THAM_SO_MOI'!$C$22)+'THAM_SO_MOI'!$C$24*(E1237/'THAM_SO_MOI'!$C$22)^2-'THAM_SO_MOI'!$C$25*(E1237/'THAM_SO_MOI'!$C$22)^3)</f>
        <v>104.99297244070551</v>
      </c>
      <c r="K1237" s="75">
        <f>'THAM_SO_MOI'!$C$31*J1237/E1237</f>
        <v>428.68475078490434</v>
      </c>
      <c r="L1237" s="75">
        <f>K1237*'THAM_SO_MOI'!$C$53*'THAM_SO_MOI'!$C$17/'THAM_SO_MOI'!$C$26</f>
        <v>3759.5669418135617</v>
      </c>
      <c r="M1237" s="75">
        <f>'THAM_SO_MOI'!$C$15*'THAM_SO_MOI'!$C$16*F1237^2</f>
        <v>1648.8168323928494</v>
      </c>
      <c r="N1237" s="75">
        <f>'THAM_SO_MOI'!$C$12*I1237</f>
        <v>1554.8066297639084</v>
      </c>
      <c r="O1237" s="75">
        <f>M1237+N1237</f>
        <v>3203.623462156758</v>
      </c>
      <c r="P1237" s="75">
        <f>(MIN(L1237,'THAM_SO_MOI'!$C$41)-O1237)/('THAM_SO_MOI'!$C$11*H1237)</f>
        <v>0.06580770355786031</v>
      </c>
      <c r="Q1237" s="75">
        <f>IF(P1237&gt;0,1/P1237,NA())</f>
        <v>15.195789336741814</v>
      </c>
      <c r="R1237" s="75">
        <f>F1237-F1236</f>
        <v>0.0035868055555567935</v>
      </c>
      <c r="S1237" s="75">
        <f>0.5*(Q1236+Q1237)*R1237</f>
        <v>0.05447113261054402</v>
      </c>
      <c r="T1237" s="75">
        <f>0.5*(F1236*Q1236+F1237*Q1237)*R1237</f>
        <v>1.293173780088572</v>
      </c>
      <c r="U1237" s="76">
        <f>U1236+S1237</f>
        <v>91.45425218990053</v>
      </c>
      <c r="V1237" s="76">
        <f>V1236+T1237</f>
        <v>1562.1005465522999</v>
      </c>
    </row>
    <row r="1238" spans="1:22" ht="19" customHeight="1">
      <c r="A1238" s="68" t="s">
        <v>362</v>
      </c>
      <c r="B1238" s="74">
        <v>5</v>
      </c>
      <c r="C1238" s="68" t="s">
        <v>363</v>
      </c>
      <c r="D1238" s="68" t="s">
        <v>365</v>
      </c>
      <c r="E1238" s="75">
        <f>60*F1238*'THAM_SO_MOI'!$C$53/(2*PI()*'THAM_SO_MOI'!$C$26)</f>
        <v>2339.5973421052627</v>
      </c>
      <c r="F1238" s="75">
        <f>'THAM_SO_MOI'!$C$14+('THAM_SO_MOI'!$C$37-'THAM_SO_MOI'!$C$14)*431/'THAM_SO_MOI'!$C$42</f>
        <v>23.745913194444444</v>
      </c>
      <c r="G1238" s="75">
        <f>3.6*F1238</f>
        <v>85.4852875</v>
      </c>
      <c r="H1238" s="75">
        <f>'THAM_SO_MOI'!$D$53</f>
        <v>1.1</v>
      </c>
      <c r="I1238" s="75">
        <f>IF(F1238&gt;='THAM_SO_MOI'!$C$14,'THAM_SO_MOI'!$C$13*(1+F1238^2/1500),'THAM_SO_MOI'!$C$13)</f>
        <v>0.020638683934380907</v>
      </c>
      <c r="J1238" s="75">
        <f>'THAM_SO_MOI'!$C$40*('THAM_SO_MOI'!$C$23*(E1238/'THAM_SO_MOI'!$C$22)+'THAM_SO_MOI'!$C$24*(E1238/'THAM_SO_MOI'!$C$22)^2-'THAM_SO_MOI'!$C$25*(E1238/'THAM_SO_MOI'!$C$22)^3)</f>
        <v>105.00738313717972</v>
      </c>
      <c r="K1238" s="75">
        <f>'THAM_SO_MOI'!$C$31*J1238/E1238</f>
        <v>428.6788279900942</v>
      </c>
      <c r="L1238" s="75">
        <f>K1238*'THAM_SO_MOI'!$C$53*'THAM_SO_MOI'!$C$17/'THAM_SO_MOI'!$C$26</f>
        <v>3759.5149988799008</v>
      </c>
      <c r="M1238" s="75">
        <f>'THAM_SO_MOI'!$C$15*'THAM_SO_MOI'!$C$16*F1238^2</f>
        <v>1649.3150508064155</v>
      </c>
      <c r="N1238" s="75">
        <f>'THAM_SO_MOI'!$C$12*I1238</f>
        <v>1554.9349585634052</v>
      </c>
      <c r="O1238" s="75">
        <f>M1238+N1238</f>
        <v>3204.250009369821</v>
      </c>
      <c r="P1238" s="75">
        <f>(MIN(L1238,'THAM_SO_MOI'!$C$41)-O1238)/('THAM_SO_MOI'!$C$11*H1238)</f>
        <v>0.06572738985678031</v>
      </c>
      <c r="Q1238" s="75">
        <f>IF(P1238&gt;0,1/P1238,NA())</f>
        <v>15.214357396193513</v>
      </c>
      <c r="R1238" s="75">
        <f>F1238-F1237</f>
        <v>0.0035868055555567935</v>
      </c>
      <c r="S1238" s="75">
        <f>0.5*(Q1237+Q1238)*R1238</f>
        <v>0.05453764162349485</v>
      </c>
      <c r="T1238" s="75">
        <f>0.5*(F1237*Q1237+F1238*Q1238)*R1238</f>
        <v>1.2949483555835772</v>
      </c>
      <c r="U1238" s="76">
        <f>U1237+S1238</f>
        <v>91.50878983152403</v>
      </c>
      <c r="V1238" s="76">
        <f>V1237+T1238</f>
        <v>1563.3954949078834</v>
      </c>
    </row>
    <row r="1239" spans="1:22" ht="19" customHeight="1">
      <c r="A1239" s="68" t="s">
        <v>362</v>
      </c>
      <c r="B1239" s="74">
        <v>5</v>
      </c>
      <c r="C1239" s="68" t="s">
        <v>363</v>
      </c>
      <c r="D1239" s="68" t="s">
        <v>365</v>
      </c>
      <c r="E1239" s="75">
        <f>60*F1239*'THAM_SO_MOI'!$C$53/(2*PI()*'THAM_SO_MOI'!$C$26)</f>
        <v>2339.9507368421046</v>
      </c>
      <c r="F1239" s="75">
        <f>'THAM_SO_MOI'!$C$14+('THAM_SO_MOI'!$C$37-'THAM_SO_MOI'!$C$14)*432/'THAM_SO_MOI'!$C$42</f>
        <v>23.749499999999998</v>
      </c>
      <c r="G1239" s="75">
        <f>3.6*F1239</f>
        <v>85.4982</v>
      </c>
      <c r="H1239" s="75">
        <f>'THAM_SO_MOI'!$D$53</f>
        <v>1.1</v>
      </c>
      <c r="I1239" s="75">
        <f>IF(F1239&gt;='THAM_SO_MOI'!$C$14,'THAM_SO_MOI'!$C$13*(1+F1239^2/1500),'THAM_SO_MOI'!$C$13)</f>
        <v>0.0206403875025</v>
      </c>
      <c r="J1239" s="75">
        <f>'THAM_SO_MOI'!$C$40*('THAM_SO_MOI'!$C$23*(E1239/'THAM_SO_MOI'!$C$22)+'THAM_SO_MOI'!$C$24*(E1239/'THAM_SO_MOI'!$C$22)^2-'THAM_SO_MOI'!$C$25*(E1239/'THAM_SO_MOI'!$C$22)^3)</f>
        <v>105.02179042703257</v>
      </c>
      <c r="K1239" s="75">
        <f>'THAM_SO_MOI'!$C$31*J1239/E1239</f>
        <v>428.6728930792997</v>
      </c>
      <c r="L1239" s="75">
        <f>K1239*'THAM_SO_MOI'!$C$53*'THAM_SO_MOI'!$C$17/'THAM_SO_MOI'!$C$26</f>
        <v>3759.4629496890097</v>
      </c>
      <c r="M1239" s="75">
        <f>'THAM_SO_MOI'!$C$15*'THAM_SO_MOI'!$C$16*F1239^2</f>
        <v>1649.8133444812497</v>
      </c>
      <c r="N1239" s="75">
        <f>'THAM_SO_MOI'!$C$12*I1239</f>
        <v>1555.063306748352</v>
      </c>
      <c r="O1239" s="75">
        <f>M1239+N1239</f>
        <v>3204.8766512296015</v>
      </c>
      <c r="P1239" s="75">
        <f>(MIN(L1239,'THAM_SO_MOI'!$C$41)-O1239)/('THAM_SO_MOI'!$C$11*H1239)</f>
        <v>0.06564705237445644</v>
      </c>
      <c r="Q1239" s="75">
        <f>IF(P1239&gt;0,1/P1239,NA())</f>
        <v>15.232976406860036</v>
      </c>
      <c r="R1239" s="75">
        <f>F1239-F1238</f>
        <v>0.0035868055555532408</v>
      </c>
      <c r="S1239" s="75">
        <f>0.5*(Q1238+Q1239)*R1239</f>
        <v>0.05460433301828823</v>
      </c>
      <c r="T1239" s="75">
        <f>0.5*(F1238*Q1238+F1239*Q1239)*R1239</f>
        <v>1.296727739339526</v>
      </c>
      <c r="U1239" s="76">
        <f>U1238+S1239</f>
        <v>91.56339416454232</v>
      </c>
      <c r="V1239" s="76">
        <f>V1238+T1239</f>
        <v>1564.692222647223</v>
      </c>
    </row>
    <row r="1240" spans="1:22" ht="19" customHeight="1">
      <c r="A1240" s="68" t="s">
        <v>362</v>
      </c>
      <c r="B1240" s="74">
        <v>5</v>
      </c>
      <c r="C1240" s="68" t="s">
        <v>363</v>
      </c>
      <c r="D1240" s="68" t="s">
        <v>365</v>
      </c>
      <c r="E1240" s="75">
        <f>60*F1240*'THAM_SO_MOI'!$C$53/(2*PI()*'THAM_SO_MOI'!$C$26)</f>
        <v>2340.304131578947</v>
      </c>
      <c r="F1240" s="75">
        <f>'THAM_SO_MOI'!$C$14+('THAM_SO_MOI'!$C$37-'THAM_SO_MOI'!$C$14)*433/'THAM_SO_MOI'!$C$42</f>
        <v>23.753086805555554</v>
      </c>
      <c r="G1240" s="75">
        <f>3.6*F1240</f>
        <v>85.5111125</v>
      </c>
      <c r="H1240" s="75">
        <f>'THAM_SO_MOI'!$D$53</f>
        <v>1.1</v>
      </c>
      <c r="I1240" s="75">
        <f>IF(F1240&gt;='THAM_SO_MOI'!$C$14,'THAM_SO_MOI'!$C$13*(1+F1240^2/1500),'THAM_SO_MOI'!$C$13)</f>
        <v>0.020642091327922572</v>
      </c>
      <c r="J1240" s="75">
        <f>'THAM_SO_MOI'!$C$40*('THAM_SO_MOI'!$C$23*(E1240/'THAM_SO_MOI'!$C$22)+'THAM_SO_MOI'!$C$24*(E1240/'THAM_SO_MOI'!$C$22)^2-'THAM_SO_MOI'!$C$25*(E1240/'THAM_SO_MOI'!$C$22)^3)</f>
        <v>105.03619430891916</v>
      </c>
      <c r="K1240" s="75">
        <f>'THAM_SO_MOI'!$C$31*J1240/E1240</f>
        <v>428.6669460525207</v>
      </c>
      <c r="L1240" s="75">
        <f>K1240*'THAM_SO_MOI'!$C$53*'THAM_SO_MOI'!$C$17/'THAM_SO_MOI'!$C$26</f>
        <v>3759.4107942408878</v>
      </c>
      <c r="M1240" s="75">
        <f>'THAM_SO_MOI'!$C$15*'THAM_SO_MOI'!$C$16*F1240^2</f>
        <v>1650.311713417353</v>
      </c>
      <c r="N1240" s="75">
        <f>'THAM_SO_MOI'!$C$12*I1240</f>
        <v>1555.191674318749</v>
      </c>
      <c r="O1240" s="75">
        <f>M1240+N1240</f>
        <v>3205.503387736102</v>
      </c>
      <c r="P1240" s="75">
        <f>(MIN(L1240,'THAM_SO_MOI'!$C$41)-O1240)/('THAM_SO_MOI'!$C$11*H1240)</f>
        <v>0.06556669111088846</v>
      </c>
      <c r="Q1240" s="75">
        <f>IF(P1240&gt;0,1/P1240,NA())</f>
        <v>15.251646576289298</v>
      </c>
      <c r="R1240" s="75">
        <f>F1240-F1239</f>
        <v>0.0035868055555567935</v>
      </c>
      <c r="S1240" s="75">
        <f>0.5*(Q1239+Q1240)*R1240</f>
        <v>0.05467120753750718</v>
      </c>
      <c r="T1240" s="75">
        <f>0.5*(F1239*Q1239+F1240*Q1240)*R1240</f>
        <v>1.2985119509562337</v>
      </c>
      <c r="U1240" s="76">
        <f>U1239+S1240</f>
        <v>91.61806537207983</v>
      </c>
      <c r="V1240" s="76">
        <f>V1239+T1240</f>
        <v>1565.9907345981792</v>
      </c>
    </row>
    <row r="1241" spans="1:22" ht="19" customHeight="1">
      <c r="A1241" s="68" t="s">
        <v>362</v>
      </c>
      <c r="B1241" s="74">
        <v>5</v>
      </c>
      <c r="C1241" s="68" t="s">
        <v>363</v>
      </c>
      <c r="D1241" s="68" t="s">
        <v>365</v>
      </c>
      <c r="E1241" s="75">
        <f>60*F1241*'THAM_SO_MOI'!$C$53/(2*PI()*'THAM_SO_MOI'!$C$26)</f>
        <v>2340.657526315789</v>
      </c>
      <c r="F1241" s="75">
        <f>'THAM_SO_MOI'!$C$14+('THAM_SO_MOI'!$C$37-'THAM_SO_MOI'!$C$14)*434/'THAM_SO_MOI'!$C$42</f>
        <v>23.75667361111111</v>
      </c>
      <c r="G1241" s="75">
        <f>3.6*F1241</f>
        <v>85.52402500000001</v>
      </c>
      <c r="H1241" s="75">
        <f>'THAM_SO_MOI'!$D$53</f>
        <v>1.1</v>
      </c>
      <c r="I1241" s="75">
        <f>IF(F1241&gt;='THAM_SO_MOI'!$C$14,'THAM_SO_MOI'!$C$13*(1+F1241^2/1500),'THAM_SO_MOI'!$C$13)</f>
        <v>0.02064379541064863</v>
      </c>
      <c r="J1241" s="75">
        <f>'THAM_SO_MOI'!$C$40*('THAM_SO_MOI'!$C$23*(E1241/'THAM_SO_MOI'!$C$22)+'THAM_SO_MOI'!$C$24*(E1241/'THAM_SO_MOI'!$C$22)^2-'THAM_SO_MOI'!$C$25*(E1241/'THAM_SO_MOI'!$C$22)^3)</f>
        <v>105.05059478149464</v>
      </c>
      <c r="K1241" s="75">
        <f>'THAM_SO_MOI'!$C$31*J1241/E1241</f>
        <v>428.6609869097574</v>
      </c>
      <c r="L1241" s="75">
        <f>K1241*'THAM_SO_MOI'!$C$53*'THAM_SO_MOI'!$C$17/'THAM_SO_MOI'!$C$26</f>
        <v>3759.358532535536</v>
      </c>
      <c r="M1241" s="75">
        <f>'THAM_SO_MOI'!$C$15*'THAM_SO_MOI'!$C$16*F1241^2</f>
        <v>1650.8101576147246</v>
      </c>
      <c r="N1241" s="75">
        <f>'THAM_SO_MOI'!$C$12*I1241</f>
        <v>1555.3200612745964</v>
      </c>
      <c r="O1241" s="75">
        <f>M1241+N1241</f>
        <v>3206.130218889321</v>
      </c>
      <c r="P1241" s="75">
        <f>(MIN(L1241,'THAM_SO_MOI'!$C$41)-O1241)/('THAM_SO_MOI'!$C$11*H1241)</f>
        <v>0.06548630606607661</v>
      </c>
      <c r="Q1241" s="75">
        <f>IF(P1241&gt;0,1/P1241,NA())</f>
        <v>15.270368113159197</v>
      </c>
      <c r="R1241" s="75">
        <f>F1241-F1240</f>
        <v>0.0035868055555567935</v>
      </c>
      <c r="S1241" s="75">
        <f>0.5*(Q1240+Q1241)*R1241</f>
        <v>0.054738265927449965</v>
      </c>
      <c r="T1241" s="75">
        <f>0.5*(F1240*Q1240+F1241*Q1241)*R1241</f>
        <v>1.3003010101324255</v>
      </c>
      <c r="U1241" s="76">
        <f>U1240+S1241</f>
        <v>91.67280363800728</v>
      </c>
      <c r="V1241" s="76">
        <f>V1240+T1241</f>
        <v>1567.2910356083116</v>
      </c>
    </row>
    <row r="1242" spans="1:22" ht="19" customHeight="1">
      <c r="A1242" s="68" t="s">
        <v>362</v>
      </c>
      <c r="B1242" s="74">
        <v>5</v>
      </c>
      <c r="C1242" s="68" t="s">
        <v>363</v>
      </c>
      <c r="D1242" s="68" t="s">
        <v>365</v>
      </c>
      <c r="E1242" s="75">
        <f>60*F1242*'THAM_SO_MOI'!$C$53/(2*PI()*'THAM_SO_MOI'!$C$26)</f>
        <v>2341.010921052631</v>
      </c>
      <c r="F1242" s="75">
        <f>'THAM_SO_MOI'!$C$14+('THAM_SO_MOI'!$C$37-'THAM_SO_MOI'!$C$14)*435/'THAM_SO_MOI'!$C$42</f>
        <v>23.760260416666664</v>
      </c>
      <c r="G1242" s="75">
        <f>3.6*F1242</f>
        <v>85.5369375</v>
      </c>
      <c r="H1242" s="75">
        <f>'THAM_SO_MOI'!$D$53</f>
        <v>1.1</v>
      </c>
      <c r="I1242" s="75">
        <f>IF(F1242&gt;='THAM_SO_MOI'!$C$14,'THAM_SO_MOI'!$C$13*(1+F1242^2/1500),'THAM_SO_MOI'!$C$13)</f>
        <v>0.020645499750678167</v>
      </c>
      <c r="J1242" s="75">
        <f>'THAM_SO_MOI'!$C$40*('THAM_SO_MOI'!$C$23*(E1242/'THAM_SO_MOI'!$C$22)+'THAM_SO_MOI'!$C$24*(E1242/'THAM_SO_MOI'!$C$22)^2-'THAM_SO_MOI'!$C$25*(E1242/'THAM_SO_MOI'!$C$22)^3)</f>
        <v>105.06499184341405</v>
      </c>
      <c r="K1242" s="75">
        <f>'THAM_SO_MOI'!$C$31*J1242/E1242</f>
        <v>428.6550156510094</v>
      </c>
      <c r="L1242" s="75">
        <f>K1242*'THAM_SO_MOI'!$C$53*'THAM_SO_MOI'!$C$17/'THAM_SO_MOI'!$C$26</f>
        <v>3759.3061645729513</v>
      </c>
      <c r="M1242" s="75">
        <f>'THAM_SO_MOI'!$C$15*'THAM_SO_MOI'!$C$16*F1242^2</f>
        <v>1651.3086770733642</v>
      </c>
      <c r="N1242" s="75">
        <f>'THAM_SO_MOI'!$C$12*I1242</f>
        <v>1555.4484676158936</v>
      </c>
      <c r="O1242" s="75">
        <f>M1242+N1242</f>
        <v>3206.757144689258</v>
      </c>
      <c r="P1242" s="75">
        <f>(MIN(L1242,'THAM_SO_MOI'!$C$41)-O1242)/('THAM_SO_MOI'!$C$11*H1242)</f>
        <v>0.06540589724002051</v>
      </c>
      <c r="Q1242" s="75">
        <f>IF(P1242&gt;0,1/P1242,NA())</f>
        <v>15.289141227285555</v>
      </c>
      <c r="R1242" s="75">
        <f>F1242-F1241</f>
        <v>0.0035868055555532408</v>
      </c>
      <c r="S1242" s="75">
        <f>0.5*(Q1241+Q1242)*R1242</f>
        <v>0.05480550893864419</v>
      </c>
      <c r="T1242" s="75">
        <f>0.5*(F1241*Q1241+F1242*Q1242)*R1242</f>
        <v>1.3020949366780161</v>
      </c>
      <c r="U1242" s="76">
        <f>U1241+S1242</f>
        <v>91.72760914694592</v>
      </c>
      <c r="V1242" s="76">
        <f>V1241+T1242</f>
        <v>1568.5931305449897</v>
      </c>
    </row>
    <row r="1243" spans="1:22" ht="19" customHeight="1">
      <c r="A1243" s="68" t="s">
        <v>362</v>
      </c>
      <c r="B1243" s="74">
        <v>5</v>
      </c>
      <c r="C1243" s="68" t="s">
        <v>363</v>
      </c>
      <c r="D1243" s="68" t="s">
        <v>365</v>
      </c>
      <c r="E1243" s="75">
        <f>60*F1243*'THAM_SO_MOI'!$C$53/(2*PI()*'THAM_SO_MOI'!$C$26)</f>
        <v>2341.364315789473</v>
      </c>
      <c r="F1243" s="75">
        <f>'THAM_SO_MOI'!$C$14+('THAM_SO_MOI'!$C$37-'THAM_SO_MOI'!$C$14)*436/'THAM_SO_MOI'!$C$42</f>
        <v>23.76384722222222</v>
      </c>
      <c r="G1243" s="75">
        <f>3.6*F1243</f>
        <v>85.54984999999999</v>
      </c>
      <c r="H1243" s="75">
        <f>'THAM_SO_MOI'!$D$53</f>
        <v>1.1</v>
      </c>
      <c r="I1243" s="75">
        <f>IF(F1243&gt;='THAM_SO_MOI'!$C$14,'THAM_SO_MOI'!$C$13*(1+F1243^2/1500),'THAM_SO_MOI'!$C$13)</f>
        <v>0.020647204348011188</v>
      </c>
      <c r="J1243" s="75">
        <f>'THAM_SO_MOI'!$C$40*('THAM_SO_MOI'!$C$23*(E1243/'THAM_SO_MOI'!$C$22)+'THAM_SO_MOI'!$C$24*(E1243/'THAM_SO_MOI'!$C$22)^2-'THAM_SO_MOI'!$C$25*(E1243/'THAM_SO_MOI'!$C$22)^3)</f>
        <v>105.07938549333252</v>
      </c>
      <c r="K1243" s="75">
        <f>'THAM_SO_MOI'!$C$31*J1243/E1243</f>
        <v>428.64903227627707</v>
      </c>
      <c r="L1243" s="75">
        <f>K1243*'THAM_SO_MOI'!$C$53*'THAM_SO_MOI'!$C$17/'THAM_SO_MOI'!$C$26</f>
        <v>3759.2536903531354</v>
      </c>
      <c r="M1243" s="75">
        <f>'THAM_SO_MOI'!$C$15*'THAM_SO_MOI'!$C$16*F1243^2</f>
        <v>1651.8072717932725</v>
      </c>
      <c r="N1243" s="75">
        <f>'THAM_SO_MOI'!$C$12*I1243</f>
        <v>1555.5768933426414</v>
      </c>
      <c r="O1243" s="75">
        <f>M1243+N1243</f>
        <v>3207.384165135914</v>
      </c>
      <c r="P1243" s="75">
        <f>(MIN(L1243,'THAM_SO_MOI'!$C$41)-O1243)/('THAM_SO_MOI'!$C$11*H1243)</f>
        <v>0.06532546463272032</v>
      </c>
      <c r="Q1243" s="75">
        <f>IF(P1243&gt;0,1/P1243,NA())</f>
        <v>15.307966129629616</v>
      </c>
      <c r="R1243" s="75">
        <f>F1243-F1242</f>
        <v>0.0035868055555567935</v>
      </c>
      <c r="S1243" s="75">
        <f>0.5*(Q1242+Q1243)*R1243</f>
        <v>0.05487293732587548</v>
      </c>
      <c r="T1243" s="75">
        <f>0.5*(F1242*Q1242+F1243*Q1243)*R1243</f>
        <v>1.3038937505148664</v>
      </c>
      <c r="U1243" s="76">
        <f>U1242+S1243</f>
        <v>91.7824820842718</v>
      </c>
      <c r="V1243" s="76">
        <f>V1242+T1243</f>
        <v>1569.8970242955045</v>
      </c>
    </row>
    <row r="1244" spans="1:22" ht="19" customHeight="1">
      <c r="A1244" s="68" t="s">
        <v>362</v>
      </c>
      <c r="B1244" s="74">
        <v>5</v>
      </c>
      <c r="C1244" s="68" t="s">
        <v>363</v>
      </c>
      <c r="D1244" s="68" t="s">
        <v>365</v>
      </c>
      <c r="E1244" s="75">
        <f>60*F1244*'THAM_SO_MOI'!$C$53/(2*PI()*'THAM_SO_MOI'!$C$26)</f>
        <v>2341.7177105263154</v>
      </c>
      <c r="F1244" s="75">
        <f>'THAM_SO_MOI'!$C$14+('THAM_SO_MOI'!$C$37-'THAM_SO_MOI'!$C$14)*437/'THAM_SO_MOI'!$C$42</f>
        <v>23.767434027777778</v>
      </c>
      <c r="G1244" s="75">
        <f>3.6*F1244</f>
        <v>85.5627625</v>
      </c>
      <c r="H1244" s="75">
        <f>'THAM_SO_MOI'!$D$53</f>
        <v>1.1</v>
      </c>
      <c r="I1244" s="75">
        <f>IF(F1244&gt;='THAM_SO_MOI'!$C$14,'THAM_SO_MOI'!$C$13*(1+F1244^2/1500),'THAM_SO_MOI'!$C$13)</f>
        <v>0.02064890920264769</v>
      </c>
      <c r="J1244" s="75">
        <f>'THAM_SO_MOI'!$C$40*('THAM_SO_MOI'!$C$23*(E1244/'THAM_SO_MOI'!$C$22)+'THAM_SO_MOI'!$C$24*(E1244/'THAM_SO_MOI'!$C$22)^2-'THAM_SO_MOI'!$C$25*(E1244/'THAM_SO_MOI'!$C$22)^3)</f>
        <v>105.09377572990522</v>
      </c>
      <c r="K1244" s="75">
        <f>'THAM_SO_MOI'!$C$31*J1244/E1244</f>
        <v>428.6430367855603</v>
      </c>
      <c r="L1244" s="75">
        <f>K1244*'THAM_SO_MOI'!$C$53*'THAM_SO_MOI'!$C$17/'THAM_SO_MOI'!$C$26</f>
        <v>3759.201109876089</v>
      </c>
      <c r="M1244" s="75">
        <f>'THAM_SO_MOI'!$C$15*'THAM_SO_MOI'!$C$16*F1244^2</f>
        <v>1652.3059417744496</v>
      </c>
      <c r="N1244" s="75">
        <f>'THAM_SO_MOI'!$C$12*I1244</f>
        <v>1555.7053384548392</v>
      </c>
      <c r="O1244" s="75">
        <f>M1244+N1244</f>
        <v>3208.011280229289</v>
      </c>
      <c r="P1244" s="75">
        <f>(MIN(L1244,'THAM_SO_MOI'!$C$41)-O1244)/('THAM_SO_MOI'!$C$11*H1244)</f>
        <v>0.0652450082441762</v>
      </c>
      <c r="Q1244" s="75">
        <f>IF(P1244&gt;0,1/P1244,NA())</f>
        <v>15.326843032306007</v>
      </c>
      <c r="R1244" s="75">
        <f>F1244-F1243</f>
        <v>0.0035868055555567935</v>
      </c>
      <c r="S1244" s="75">
        <f>0.5*(Q1243+Q1244)*R1244</f>
        <v>0.05494055184772642</v>
      </c>
      <c r="T1244" s="75">
        <f>0.5*(F1243*Q1243+F1244*Q1244)*R1244</f>
        <v>1.3056974716659058</v>
      </c>
      <c r="U1244" s="76">
        <f>U1243+S1244</f>
        <v>91.83742263611953</v>
      </c>
      <c r="V1244" s="76">
        <f>V1243+T1244</f>
        <v>1571.2027217671705</v>
      </c>
    </row>
    <row r="1245" spans="1:22" ht="19" customHeight="1">
      <c r="A1245" s="68" t="s">
        <v>362</v>
      </c>
      <c r="B1245" s="74">
        <v>5</v>
      </c>
      <c r="C1245" s="68" t="s">
        <v>363</v>
      </c>
      <c r="D1245" s="68" t="s">
        <v>365</v>
      </c>
      <c r="E1245" s="75">
        <f>60*F1245*'THAM_SO_MOI'!$C$53/(2*PI()*'THAM_SO_MOI'!$C$26)</f>
        <v>2342.0711052631573</v>
      </c>
      <c r="F1245" s="75">
        <f>'THAM_SO_MOI'!$C$14+('THAM_SO_MOI'!$C$37-'THAM_SO_MOI'!$C$14)*438/'THAM_SO_MOI'!$C$42</f>
        <v>23.77102083333333</v>
      </c>
      <c r="G1245" s="75">
        <f>3.6*F1245</f>
        <v>85.57567499999999</v>
      </c>
      <c r="H1245" s="75">
        <f>'THAM_SO_MOI'!$D$53</f>
        <v>1.1</v>
      </c>
      <c r="I1245" s="75">
        <f>IF(F1245&gt;='THAM_SO_MOI'!$C$14,'THAM_SO_MOI'!$C$13*(1+F1245^2/1500),'THAM_SO_MOI'!$C$13)</f>
        <v>0.020650614314587673</v>
      </c>
      <c r="J1245" s="75">
        <f>'THAM_SO_MOI'!$C$40*('THAM_SO_MOI'!$C$23*(E1245/'THAM_SO_MOI'!$C$22)+'THAM_SO_MOI'!$C$24*(E1245/'THAM_SO_MOI'!$C$22)^2-'THAM_SO_MOI'!$C$25*(E1245/'THAM_SO_MOI'!$C$22)^3)</f>
        <v>105.10816255178717</v>
      </c>
      <c r="K1245" s="75">
        <f>'THAM_SO_MOI'!$C$31*J1245/E1245</f>
        <v>428.637029178859</v>
      </c>
      <c r="L1245" s="75">
        <f>K1245*'THAM_SO_MOI'!$C$53*'THAM_SO_MOI'!$C$17/'THAM_SO_MOI'!$C$26</f>
        <v>3759.148423141811</v>
      </c>
      <c r="M1245" s="75">
        <f>'THAM_SO_MOI'!$C$15*'THAM_SO_MOI'!$C$16*F1245^2</f>
        <v>1652.8046870168944</v>
      </c>
      <c r="N1245" s="75">
        <f>'THAM_SO_MOI'!$C$12*I1245</f>
        <v>1555.833802952487</v>
      </c>
      <c r="O1245" s="75">
        <f>M1245+N1245</f>
        <v>3208.638489969381</v>
      </c>
      <c r="P1245" s="75">
        <f>(MIN(L1245,'THAM_SO_MOI'!$C$41)-O1245)/('THAM_SO_MOI'!$C$11*H1245)</f>
        <v>0.06516452807438791</v>
      </c>
      <c r="Q1245" s="75">
        <f>IF(P1245&gt;0,1/P1245,NA())</f>
        <v>15.345772148590719</v>
      </c>
      <c r="R1245" s="75">
        <f>F1245-F1244</f>
        <v>0.0035868055555532408</v>
      </c>
      <c r="S1245" s="75">
        <f>0.5*(Q1244+Q1245)*R1245</f>
        <v>0.055008353267093524</v>
      </c>
      <c r="T1245" s="75">
        <f>0.5*(F1244*Q1244+F1245*Q1245)*R1245</f>
        <v>1.3075061202674836</v>
      </c>
      <c r="U1245" s="76">
        <f>U1244+S1245</f>
        <v>91.89243098938663</v>
      </c>
      <c r="V1245" s="76">
        <f>V1244+T1245</f>
        <v>1572.510227887438</v>
      </c>
    </row>
    <row r="1246" spans="1:22" ht="19" customHeight="1">
      <c r="A1246" s="68" t="s">
        <v>362</v>
      </c>
      <c r="B1246" s="74">
        <v>5</v>
      </c>
      <c r="C1246" s="68" t="s">
        <v>363</v>
      </c>
      <c r="D1246" s="68" t="s">
        <v>365</v>
      </c>
      <c r="E1246" s="75">
        <f>60*F1246*'THAM_SO_MOI'!$C$53/(2*PI()*'THAM_SO_MOI'!$C$26)</f>
        <v>2342.4244999999996</v>
      </c>
      <c r="F1246" s="75">
        <f>'THAM_SO_MOI'!$C$14+('THAM_SO_MOI'!$C$37-'THAM_SO_MOI'!$C$14)*439/'THAM_SO_MOI'!$C$42</f>
        <v>23.774607638888888</v>
      </c>
      <c r="G1246" s="75">
        <f>3.6*F1246</f>
        <v>85.5885875</v>
      </c>
      <c r="H1246" s="75">
        <f>'THAM_SO_MOI'!$D$53</f>
        <v>1.1</v>
      </c>
      <c r="I1246" s="75">
        <f>IF(F1246&gt;='THAM_SO_MOI'!$C$14,'THAM_SO_MOI'!$C$13*(1+F1246^2/1500),'THAM_SO_MOI'!$C$13)</f>
        <v>0.020652319683831136</v>
      </c>
      <c r="J1246" s="75">
        <f>'THAM_SO_MOI'!$C$40*('THAM_SO_MOI'!$C$23*(E1246/'THAM_SO_MOI'!$C$22)+'THAM_SO_MOI'!$C$24*(E1246/'THAM_SO_MOI'!$C$22)^2-'THAM_SO_MOI'!$C$25*(E1246/'THAM_SO_MOI'!$C$22)^3)</f>
        <v>105.12254595763355</v>
      </c>
      <c r="K1246" s="75">
        <f>'THAM_SO_MOI'!$C$31*J1246/E1246</f>
        <v>428.6310094561732</v>
      </c>
      <c r="L1246" s="75">
        <f>K1246*'THAM_SO_MOI'!$C$53*'THAM_SO_MOI'!$C$17/'THAM_SO_MOI'!$C$26</f>
        <v>3759.0956301503015</v>
      </c>
      <c r="M1246" s="75">
        <f>'THAM_SO_MOI'!$C$15*'THAM_SO_MOI'!$C$16*F1246^2</f>
        <v>1653.3035075206083</v>
      </c>
      <c r="N1246" s="75">
        <f>'THAM_SO_MOI'!$C$12*I1246</f>
        <v>1555.962286835585</v>
      </c>
      <c r="O1246" s="75">
        <f>M1246+N1246</f>
        <v>3209.2657943561935</v>
      </c>
      <c r="P1246" s="75">
        <f>(MIN(L1246,'THAM_SO_MOI'!$C$41)-O1246)/('THAM_SO_MOI'!$C$11*H1246)</f>
        <v>0.0650840241233556</v>
      </c>
      <c r="Q1246" s="75">
        <f>IF(P1246&gt;0,1/P1246,NA())</f>
        <v>15.364753692928877</v>
      </c>
      <c r="R1246" s="75">
        <f>F1246-F1245</f>
        <v>0.0035868055555567935</v>
      </c>
      <c r="S1246" s="75">
        <f>0.5*(Q1245+Q1246)*R1246</f>
        <v>0.05507634235121648</v>
      </c>
      <c r="T1246" s="75">
        <f>0.5*(F1245*Q1245+F1246*Q1246)*R1246</f>
        <v>1.3093197165701465</v>
      </c>
      <c r="U1246" s="76">
        <f>U1245+S1246</f>
        <v>91.94750733173784</v>
      </c>
      <c r="V1246" s="76">
        <f>V1245+T1246</f>
        <v>1573.8195476040082</v>
      </c>
    </row>
    <row r="1247" spans="1:22" ht="19" customHeight="1">
      <c r="A1247" s="68" t="s">
        <v>362</v>
      </c>
      <c r="B1247" s="74">
        <v>5</v>
      </c>
      <c r="C1247" s="68" t="s">
        <v>363</v>
      </c>
      <c r="D1247" s="68" t="s">
        <v>365</v>
      </c>
      <c r="E1247" s="75">
        <f>60*F1247*'THAM_SO_MOI'!$C$53/(2*PI()*'THAM_SO_MOI'!$C$26)</f>
        <v>2342.7778947368415</v>
      </c>
      <c r="F1247" s="75">
        <f>'THAM_SO_MOI'!$C$14+('THAM_SO_MOI'!$C$37-'THAM_SO_MOI'!$C$14)*440/'THAM_SO_MOI'!$C$42</f>
        <v>23.778194444444445</v>
      </c>
      <c r="G1247" s="75">
        <f>3.6*F1247</f>
        <v>85.6015</v>
      </c>
      <c r="H1247" s="75">
        <f>'THAM_SO_MOI'!$D$53</f>
        <v>1.1</v>
      </c>
      <c r="I1247" s="75">
        <f>IF(F1247&gt;='THAM_SO_MOI'!$C$14,'THAM_SO_MOI'!$C$13*(1+F1247^2/1500),'THAM_SO_MOI'!$C$13)</f>
        <v>0.020654025310378087</v>
      </c>
      <c r="J1247" s="75">
        <f>'THAM_SO_MOI'!$C$40*('THAM_SO_MOI'!$C$23*(E1247/'THAM_SO_MOI'!$C$22)+'THAM_SO_MOI'!$C$24*(E1247/'THAM_SO_MOI'!$C$22)^2-'THAM_SO_MOI'!$C$25*(E1247/'THAM_SO_MOI'!$C$22)^3)</f>
        <v>105.13692594609947</v>
      </c>
      <c r="K1247" s="75">
        <f>'THAM_SO_MOI'!$C$31*J1247/E1247</f>
        <v>428.62497761750313</v>
      </c>
      <c r="L1247" s="75">
        <f>K1247*'THAM_SO_MOI'!$C$53*'THAM_SO_MOI'!$C$17/'THAM_SO_MOI'!$C$26</f>
        <v>3759.0427309015627</v>
      </c>
      <c r="M1247" s="75">
        <f>'THAM_SO_MOI'!$C$15*'THAM_SO_MOI'!$C$16*F1247^2</f>
        <v>1653.8024032855903</v>
      </c>
      <c r="N1247" s="75">
        <f>'THAM_SO_MOI'!$C$12*I1247</f>
        <v>1556.0907901041335</v>
      </c>
      <c r="O1247" s="75">
        <f>M1247+N1247</f>
        <v>3209.893193389724</v>
      </c>
      <c r="P1247" s="75">
        <f>(MIN(L1247,'THAM_SO_MOI'!$C$41)-O1247)/('THAM_SO_MOI'!$C$11*H1247)</f>
        <v>0.06500349639107939</v>
      </c>
      <c r="Q1247" s="75">
        <f>IF(P1247&gt;0,1/P1247,NA())</f>
        <v>15.38378788094286</v>
      </c>
      <c r="R1247" s="75">
        <f>F1247-F1246</f>
        <v>0.0035868055555567935</v>
      </c>
      <c r="S1247" s="75">
        <f>0.5*(Q1246+Q1247)*R1247</f>
        <v>0.05514451987121609</v>
      </c>
      <c r="T1247" s="75">
        <f>0.5*(F1246*Q1246+F1247*Q1247)*R1247</f>
        <v>1.311138280927726</v>
      </c>
      <c r="U1247" s="76">
        <f>U1246+S1247</f>
        <v>92.00265185160906</v>
      </c>
      <c r="V1247" s="76">
        <f>V1246+T1247</f>
        <v>1575.130685884936</v>
      </c>
    </row>
    <row r="1248" spans="1:22" ht="19" customHeight="1">
      <c r="A1248" s="68" t="s">
        <v>362</v>
      </c>
      <c r="B1248" s="74">
        <v>5</v>
      </c>
      <c r="C1248" s="68" t="s">
        <v>363</v>
      </c>
      <c r="D1248" s="68" t="s">
        <v>365</v>
      </c>
      <c r="E1248" s="75">
        <f>60*F1248*'THAM_SO_MOI'!$C$53/(2*PI()*'THAM_SO_MOI'!$C$26)</f>
        <v>2343.131289473684</v>
      </c>
      <c r="F1248" s="75">
        <f>'THAM_SO_MOI'!$C$14+('THAM_SO_MOI'!$C$37-'THAM_SO_MOI'!$C$14)*441/'THAM_SO_MOI'!$C$42</f>
        <v>23.781781249999998</v>
      </c>
      <c r="G1248" s="75">
        <f>3.6*F1248</f>
        <v>85.6144125</v>
      </c>
      <c r="H1248" s="75">
        <f>'THAM_SO_MOI'!$D$53</f>
        <v>1.1</v>
      </c>
      <c r="I1248" s="75">
        <f>IF(F1248&gt;='THAM_SO_MOI'!$C$14,'THAM_SO_MOI'!$C$13*(1+F1248^2/1500),'THAM_SO_MOI'!$C$13)</f>
        <v>0.020655731194228515</v>
      </c>
      <c r="J1248" s="75">
        <f>'THAM_SO_MOI'!$C$40*('THAM_SO_MOI'!$C$23*(E1248/'THAM_SO_MOI'!$C$22)+'THAM_SO_MOI'!$C$24*(E1248/'THAM_SO_MOI'!$C$22)^2-'THAM_SO_MOI'!$C$25*(E1248/'THAM_SO_MOI'!$C$22)^3)</f>
        <v>105.15130251583997</v>
      </c>
      <c r="K1248" s="75">
        <f>'THAM_SO_MOI'!$C$31*J1248/E1248</f>
        <v>428.6189336628484</v>
      </c>
      <c r="L1248" s="75">
        <f>K1248*'THAM_SO_MOI'!$C$53*'THAM_SO_MOI'!$C$17/'THAM_SO_MOI'!$C$26</f>
        <v>3758.989725395591</v>
      </c>
      <c r="M1248" s="75">
        <f>'THAM_SO_MOI'!$C$15*'THAM_SO_MOI'!$C$16*F1248^2</f>
        <v>1654.3013743118406</v>
      </c>
      <c r="N1248" s="75">
        <f>'THAM_SO_MOI'!$C$12*I1248</f>
        <v>1556.2193127581318</v>
      </c>
      <c r="O1248" s="75">
        <f>M1248+N1248</f>
        <v>3210.520687069972</v>
      </c>
      <c r="P1248" s="75">
        <f>(MIN(L1248,'THAM_SO_MOI'!$C$41)-O1248)/('THAM_SO_MOI'!$C$11*H1248)</f>
        <v>0.06492294487755905</v>
      </c>
      <c r="Q1248" s="75">
        <f>IF(P1248&gt;0,1/P1248,NA())</f>
        <v>15.402874929440472</v>
      </c>
      <c r="R1248" s="75">
        <f>F1248-F1247</f>
        <v>0.0035868055555532408</v>
      </c>
      <c r="S1248" s="75">
        <f>0.5*(Q1247+Q1248)*R1248</f>
        <v>0.05521288660261364</v>
      </c>
      <c r="T1248" s="75">
        <f>0.5*(F1247*Q1247+F1248*Q1248)*R1248</f>
        <v>1.3129618338097615</v>
      </c>
      <c r="U1248" s="76">
        <f>U1247+S1248</f>
        <v>92.05786473821168</v>
      </c>
      <c r="V1248" s="76">
        <f>V1247+T1248</f>
        <v>1576.4436477187458</v>
      </c>
    </row>
    <row r="1249" spans="1:22" ht="19" customHeight="1">
      <c r="A1249" s="68" t="s">
        <v>362</v>
      </c>
      <c r="B1249" s="74">
        <v>5</v>
      </c>
      <c r="C1249" s="68" t="s">
        <v>363</v>
      </c>
      <c r="D1249" s="68" t="s">
        <v>365</v>
      </c>
      <c r="E1249" s="75">
        <f>60*F1249*'THAM_SO_MOI'!$C$53/(2*PI()*'THAM_SO_MOI'!$C$26)</f>
        <v>2343.4846842105258</v>
      </c>
      <c r="F1249" s="75">
        <f>'THAM_SO_MOI'!$C$14+('THAM_SO_MOI'!$C$37-'THAM_SO_MOI'!$C$14)*442/'THAM_SO_MOI'!$C$42</f>
        <v>23.785368055555555</v>
      </c>
      <c r="G1249" s="75">
        <f>3.6*F1249</f>
        <v>85.627325</v>
      </c>
      <c r="H1249" s="75">
        <f>'THAM_SO_MOI'!$D$53</f>
        <v>1.1</v>
      </c>
      <c r="I1249" s="75">
        <f>IF(F1249&gt;='THAM_SO_MOI'!$C$14,'THAM_SO_MOI'!$C$13*(1+F1249^2/1500),'THAM_SO_MOI'!$C$13)</f>
        <v>0.020657437335382424</v>
      </c>
      <c r="J1249" s="75">
        <f>'THAM_SO_MOI'!$C$40*('THAM_SO_MOI'!$C$23*(E1249/'THAM_SO_MOI'!$C$22)+'THAM_SO_MOI'!$C$24*(E1249/'THAM_SO_MOI'!$C$22)^2-'THAM_SO_MOI'!$C$25*(E1249/'THAM_SO_MOI'!$C$22)^3)</f>
        <v>105.16567566551025</v>
      </c>
      <c r="K1249" s="75">
        <f>'THAM_SO_MOI'!$C$31*J1249/E1249</f>
        <v>428.61287759220943</v>
      </c>
      <c r="L1249" s="75">
        <f>K1249*'THAM_SO_MOI'!$C$53*'THAM_SO_MOI'!$C$17/'THAM_SO_MOI'!$C$26</f>
        <v>3758.9366136323897</v>
      </c>
      <c r="M1249" s="75">
        <f>'THAM_SO_MOI'!$C$15*'THAM_SO_MOI'!$C$16*F1249^2</f>
        <v>1654.8004205993598</v>
      </c>
      <c r="N1249" s="75">
        <f>'THAM_SO_MOI'!$C$12*I1249</f>
        <v>1556.34785479758</v>
      </c>
      <c r="O1249" s="75">
        <f>M1249+N1249</f>
        <v>3211.14827539694</v>
      </c>
      <c r="P1249" s="75">
        <f>(MIN(L1249,'THAM_SO_MOI'!$C$41)-O1249)/('THAM_SO_MOI'!$C$11*H1249)</f>
        <v>0.06484236958279473</v>
      </c>
      <c r="Q1249" s="75">
        <f>IF(P1249&gt;0,1/P1249,NA())</f>
        <v>15.422015056422923</v>
      </c>
      <c r="R1249" s="75">
        <f>F1249-F1248</f>
        <v>0.0035868055555567935</v>
      </c>
      <c r="S1249" s="75">
        <f>0.5*(Q1248+Q1249)*R1249</f>
        <v>0.0552814433253609</v>
      </c>
      <c r="T1249" s="75">
        <f>0.5*(F1248*Q1248+F1249*Q1249)*R1249</f>
        <v>1.314790395802291</v>
      </c>
      <c r="U1249" s="76">
        <f>U1248+S1249</f>
        <v>92.11314618153703</v>
      </c>
      <c r="V1249" s="76">
        <f>V1248+T1249</f>
        <v>1577.758438114548</v>
      </c>
    </row>
    <row r="1250" spans="1:22" ht="19" customHeight="1">
      <c r="A1250" s="68" t="s">
        <v>362</v>
      </c>
      <c r="B1250" s="74">
        <v>5</v>
      </c>
      <c r="C1250" s="68" t="s">
        <v>363</v>
      </c>
      <c r="D1250" s="68" t="s">
        <v>365</v>
      </c>
      <c r="E1250" s="75">
        <f>60*F1250*'THAM_SO_MOI'!$C$53/(2*PI()*'THAM_SO_MOI'!$C$26)</f>
        <v>2343.8380789473676</v>
      </c>
      <c r="F1250" s="75">
        <f>'THAM_SO_MOI'!$C$14+('THAM_SO_MOI'!$C$37-'THAM_SO_MOI'!$C$14)*443/'THAM_SO_MOI'!$C$42</f>
        <v>23.788954861111108</v>
      </c>
      <c r="G1250" s="75">
        <f>3.6*F1250</f>
        <v>85.6402375</v>
      </c>
      <c r="H1250" s="75">
        <f>'THAM_SO_MOI'!$D$53</f>
        <v>1.1</v>
      </c>
      <c r="I1250" s="75">
        <f>IF(F1250&gt;='THAM_SO_MOI'!$C$14,'THAM_SO_MOI'!$C$13*(1+F1250^2/1500),'THAM_SO_MOI'!$C$13)</f>
        <v>0.02065914373383982</v>
      </c>
      <c r="J1250" s="75">
        <f>'THAM_SO_MOI'!$C$40*('THAM_SO_MOI'!$C$23*(E1250/'THAM_SO_MOI'!$C$22)+'THAM_SO_MOI'!$C$24*(E1250/'THAM_SO_MOI'!$C$22)^2-'THAM_SO_MOI'!$C$25*(E1250/'THAM_SO_MOI'!$C$22)^3)</f>
        <v>105.18004539376533</v>
      </c>
      <c r="K1250" s="75">
        <f>'THAM_SO_MOI'!$C$31*J1250/E1250</f>
        <v>428.6068094055858</v>
      </c>
      <c r="L1250" s="75">
        <f>K1250*'THAM_SO_MOI'!$C$53*'THAM_SO_MOI'!$C$17/'THAM_SO_MOI'!$C$26</f>
        <v>3758.8833956119565</v>
      </c>
      <c r="M1250" s="75">
        <f>'THAM_SO_MOI'!$C$15*'THAM_SO_MOI'!$C$16*F1250^2</f>
        <v>1655.2995421481469</v>
      </c>
      <c r="N1250" s="75">
        <f>'THAM_SO_MOI'!$C$12*I1250</f>
        <v>1556.4764162224792</v>
      </c>
      <c r="O1250" s="75">
        <f>M1250+N1250</f>
        <v>3211.775958370626</v>
      </c>
      <c r="P1250" s="75">
        <f>(MIN(L1250,'THAM_SO_MOI'!$C$41)-O1250)/('THAM_SO_MOI'!$C$11*H1250)</f>
        <v>0.06476177050678628</v>
      </c>
      <c r="Q1250" s="75">
        <f>IF(P1250&gt;0,1/P1250,NA())</f>
        <v>15.441208481093204</v>
      </c>
      <c r="R1250" s="75">
        <f>F1250-F1249</f>
        <v>0.0035868055555532408</v>
      </c>
      <c r="S1250" s="75">
        <f>0.5*(Q1249+Q1250)*R1250</f>
        <v>0.055350190823322196</v>
      </c>
      <c r="T1250" s="75">
        <f>0.5*(F1249*Q1249+F1250*Q1250)*R1250</f>
        <v>1.3166239875956125</v>
      </c>
      <c r="U1250" s="76">
        <f>U1249+S1250</f>
        <v>92.16849637236035</v>
      </c>
      <c r="V1250" s="76">
        <f>V1249+T1250</f>
        <v>1579.0750621021436</v>
      </c>
    </row>
    <row r="1251" spans="1:22" ht="19" customHeight="1">
      <c r="A1251" s="68" t="s">
        <v>362</v>
      </c>
      <c r="B1251" s="74">
        <v>5</v>
      </c>
      <c r="C1251" s="68" t="s">
        <v>363</v>
      </c>
      <c r="D1251" s="68" t="s">
        <v>365</v>
      </c>
      <c r="E1251" s="75">
        <f>60*F1251*'THAM_SO_MOI'!$C$53/(2*PI()*'THAM_SO_MOI'!$C$26)</f>
        <v>2344.1914736842095</v>
      </c>
      <c r="F1251" s="75">
        <f>'THAM_SO_MOI'!$C$14+('THAM_SO_MOI'!$C$37-'THAM_SO_MOI'!$C$14)*444/'THAM_SO_MOI'!$C$42</f>
        <v>23.792541666666665</v>
      </c>
      <c r="G1251" s="75">
        <f>3.6*F1251</f>
        <v>85.65315</v>
      </c>
      <c r="H1251" s="75">
        <f>'THAM_SO_MOI'!$D$53</f>
        <v>1.1</v>
      </c>
      <c r="I1251" s="75">
        <f>IF(F1251&gt;='THAM_SO_MOI'!$C$14,'THAM_SO_MOI'!$C$13*(1+F1251^2/1500),'THAM_SO_MOI'!$C$13)</f>
        <v>0.020660850389600693</v>
      </c>
      <c r="J1251" s="75">
        <f>'THAM_SO_MOI'!$C$40*('THAM_SO_MOI'!$C$23*(E1251/'THAM_SO_MOI'!$C$22)+'THAM_SO_MOI'!$C$24*(E1251/'THAM_SO_MOI'!$C$22)^2-'THAM_SO_MOI'!$C$25*(E1251/'THAM_SO_MOI'!$C$22)^3)</f>
        <v>105.1944116992604</v>
      </c>
      <c r="K1251" s="75">
        <f>'THAM_SO_MOI'!$C$31*J1251/E1251</f>
        <v>428.6007291029779</v>
      </c>
      <c r="L1251" s="75">
        <f>K1251*'THAM_SO_MOI'!$C$53*'THAM_SO_MOI'!$C$17/'THAM_SO_MOI'!$C$26</f>
        <v>3758.830071334293</v>
      </c>
      <c r="M1251" s="75">
        <f>'THAM_SO_MOI'!$C$15*'THAM_SO_MOI'!$C$16*F1251^2</f>
        <v>1655.798738958203</v>
      </c>
      <c r="N1251" s="75">
        <f>'THAM_SO_MOI'!$C$12*I1251</f>
        <v>1556.604997032828</v>
      </c>
      <c r="O1251" s="75">
        <f>M1251+N1251</f>
        <v>3212.4037359910308</v>
      </c>
      <c r="P1251" s="75">
        <f>(MIN(L1251,'THAM_SO_MOI'!$C$41)-O1251)/('THAM_SO_MOI'!$C$11*H1251)</f>
        <v>0.06468114764953384</v>
      </c>
      <c r="Q1251" s="75">
        <f>IF(P1251&gt;0,1/P1251,NA())</f>
        <v>15.460455423864254</v>
      </c>
      <c r="R1251" s="75">
        <f>F1251-F1250</f>
        <v>0.0035868055555567935</v>
      </c>
      <c r="S1251" s="75">
        <f>0.5*(Q1250+Q1251)*R1251</f>
        <v>0.055419129885125124</v>
      </c>
      <c r="T1251" s="75">
        <f>0.5*(F1250*Q1250+F1251*Q1251)*R1251</f>
        <v>1.3184626300045905</v>
      </c>
      <c r="U1251" s="76">
        <f>U1250+S1251</f>
        <v>92.22391550224548</v>
      </c>
      <c r="V1251" s="76">
        <f>V1250+T1251</f>
        <v>1580.3935247321483</v>
      </c>
    </row>
    <row r="1252" spans="1:22" ht="19" customHeight="1">
      <c r="A1252" s="68" t="s">
        <v>362</v>
      </c>
      <c r="B1252" s="74">
        <v>5</v>
      </c>
      <c r="C1252" s="68" t="s">
        <v>363</v>
      </c>
      <c r="D1252" s="68" t="s">
        <v>365</v>
      </c>
      <c r="E1252" s="75">
        <f>60*F1252*'THAM_SO_MOI'!$C$53/(2*PI()*'THAM_SO_MOI'!$C$26)</f>
        <v>2344.544868421052</v>
      </c>
      <c r="F1252" s="75">
        <f>'THAM_SO_MOI'!$C$14+('THAM_SO_MOI'!$C$37-'THAM_SO_MOI'!$C$14)*445/'THAM_SO_MOI'!$C$42</f>
        <v>23.79612847222222</v>
      </c>
      <c r="G1252" s="75">
        <f>3.6*F1252</f>
        <v>85.6660625</v>
      </c>
      <c r="H1252" s="75">
        <f>'THAM_SO_MOI'!$D$53</f>
        <v>1.1</v>
      </c>
      <c r="I1252" s="75">
        <f>IF(F1252&gt;='THAM_SO_MOI'!$C$14,'THAM_SO_MOI'!$C$13*(1+F1252^2/1500),'THAM_SO_MOI'!$C$13)</f>
        <v>0.02066255730266505</v>
      </c>
      <c r="J1252" s="75">
        <f>'THAM_SO_MOI'!$C$40*('THAM_SO_MOI'!$C$23*(E1252/'THAM_SO_MOI'!$C$22)+'THAM_SO_MOI'!$C$24*(E1252/'THAM_SO_MOI'!$C$22)^2-'THAM_SO_MOI'!$C$25*(E1252/'THAM_SO_MOI'!$C$22)^3)</f>
        <v>105.20877458065053</v>
      </c>
      <c r="K1252" s="75">
        <f>'THAM_SO_MOI'!$C$31*J1252/E1252</f>
        <v>428.59463668438536</v>
      </c>
      <c r="L1252" s="75">
        <f>K1252*'THAM_SO_MOI'!$C$53*'THAM_SO_MOI'!$C$17/'THAM_SO_MOI'!$C$26</f>
        <v>3758.776640799397</v>
      </c>
      <c r="M1252" s="75">
        <f>'THAM_SO_MOI'!$C$15*'THAM_SO_MOI'!$C$16*F1252^2</f>
        <v>1656.2980110295275</v>
      </c>
      <c r="N1252" s="75">
        <f>'THAM_SO_MOI'!$C$12*I1252</f>
        <v>1556.733597228627</v>
      </c>
      <c r="O1252" s="75">
        <f>M1252+N1252</f>
        <v>3213.031608258155</v>
      </c>
      <c r="P1252" s="75">
        <f>(MIN(L1252,'THAM_SO_MOI'!$C$41)-O1252)/('THAM_SO_MOI'!$C$11*H1252)</f>
        <v>0.06460050101103719</v>
      </c>
      <c r="Q1252" s="75">
        <f>IF(P1252&gt;0,1/P1252,NA())</f>
        <v>15.479756106367457</v>
      </c>
      <c r="R1252" s="75">
        <f>F1252-F1251</f>
        <v>0.0035868055555567935</v>
      </c>
      <c r="S1252" s="75">
        <f>0.5*(Q1251+Q1252)*R1252</f>
        <v>0.05548826130336873</v>
      </c>
      <c r="T1252" s="75">
        <f>0.5*(F1251*Q1251+F1252*Q1252)*R1252</f>
        <v>1.3203063439499036</v>
      </c>
      <c r="U1252" s="76">
        <f>U1251+S1252</f>
        <v>92.27940376354884</v>
      </c>
      <c r="V1252" s="76">
        <f>V1251+T1252</f>
        <v>1581.7138310760981</v>
      </c>
    </row>
    <row r="1253" spans="1:22" ht="19" customHeight="1">
      <c r="A1253" s="68" t="s">
        <v>362</v>
      </c>
      <c r="B1253" s="74">
        <v>5</v>
      </c>
      <c r="C1253" s="68" t="s">
        <v>363</v>
      </c>
      <c r="D1253" s="68" t="s">
        <v>365</v>
      </c>
      <c r="E1253" s="75">
        <f>60*F1253*'THAM_SO_MOI'!$C$53/(2*PI()*'THAM_SO_MOI'!$C$26)</f>
        <v>2344.8982631578942</v>
      </c>
      <c r="F1253" s="75">
        <f>'THAM_SO_MOI'!$C$14+('THAM_SO_MOI'!$C$37-'THAM_SO_MOI'!$C$14)*446/'THAM_SO_MOI'!$C$42</f>
        <v>23.79971527777778</v>
      </c>
      <c r="G1253" s="75">
        <f>3.6*F1253</f>
        <v>85.67897500000001</v>
      </c>
      <c r="H1253" s="75">
        <f>'THAM_SO_MOI'!$D$53</f>
        <v>1.1</v>
      </c>
      <c r="I1253" s="75">
        <f>IF(F1253&gt;='THAM_SO_MOI'!$C$14,'THAM_SO_MOI'!$C$13*(1+F1253^2/1500),'THAM_SO_MOI'!$C$13)</f>
        <v>0.02066426447303289</v>
      </c>
      <c r="J1253" s="75">
        <f>'THAM_SO_MOI'!$C$40*('THAM_SO_MOI'!$C$23*(E1253/'THAM_SO_MOI'!$C$22)+'THAM_SO_MOI'!$C$24*(E1253/'THAM_SO_MOI'!$C$22)^2-'THAM_SO_MOI'!$C$25*(E1253/'THAM_SO_MOI'!$C$22)^3)</f>
        <v>105.2231340365908</v>
      </c>
      <c r="K1253" s="75">
        <f>'THAM_SO_MOI'!$C$31*J1253/E1253</f>
        <v>428.5885321498083</v>
      </c>
      <c r="L1253" s="75">
        <f>K1253*'THAM_SO_MOI'!$C$53*'THAM_SO_MOI'!$C$17/'THAM_SO_MOI'!$C$26</f>
        <v>3758.7231040072693</v>
      </c>
      <c r="M1253" s="75">
        <f>'THAM_SO_MOI'!$C$15*'THAM_SO_MOI'!$C$16*F1253^2</f>
        <v>1656.7973583621203</v>
      </c>
      <c r="N1253" s="75">
        <f>'THAM_SO_MOI'!$C$12*I1253</f>
        <v>1556.8622168098764</v>
      </c>
      <c r="O1253" s="75">
        <f>M1253+N1253</f>
        <v>3213.659575171997</v>
      </c>
      <c r="P1253" s="75">
        <f>(MIN(L1253,'THAM_SO_MOI'!$C$41)-O1253)/('THAM_SO_MOI'!$C$11*H1253)</f>
        <v>0.06451983059129644</v>
      </c>
      <c r="Q1253" s="75">
        <f>IF(P1253&gt;0,1/P1253,NA())</f>
        <v>15.499110751460922</v>
      </c>
      <c r="R1253" s="75">
        <f>F1253-F1252</f>
        <v>0.0035868055555567935</v>
      </c>
      <c r="S1253" s="75">
        <f>0.5*(Q1252+Q1253)*R1253</f>
        <v>0.05555758587525653</v>
      </c>
      <c r="T1253" s="75">
        <f>0.5*(F1252*Q1252+F1253*Q1253)*R1253</f>
        <v>1.3221551504731779</v>
      </c>
      <c r="U1253" s="76">
        <f>U1252+S1253</f>
        <v>92.3349613494241</v>
      </c>
      <c r="V1253" s="76">
        <f>V1252+T1253</f>
        <v>1583.0359862265714</v>
      </c>
    </row>
    <row r="1254" spans="1:22" ht="19" customHeight="1">
      <c r="A1254" s="68" t="s">
        <v>362</v>
      </c>
      <c r="B1254" s="74">
        <v>5</v>
      </c>
      <c r="C1254" s="68" t="s">
        <v>363</v>
      </c>
      <c r="D1254" s="68" t="s">
        <v>365</v>
      </c>
      <c r="E1254" s="75">
        <f>60*F1254*'THAM_SO_MOI'!$C$53/(2*PI()*'THAM_SO_MOI'!$C$26)</f>
        <v>2345.251657894736</v>
      </c>
      <c r="F1254" s="75">
        <f>'THAM_SO_MOI'!$C$14+('THAM_SO_MOI'!$C$37-'THAM_SO_MOI'!$C$14)*447/'THAM_SO_MOI'!$C$42</f>
        <v>23.80330208333333</v>
      </c>
      <c r="G1254" s="75">
        <f>3.6*F1254</f>
        <v>85.69188749999999</v>
      </c>
      <c r="H1254" s="75">
        <f>'THAM_SO_MOI'!$D$53</f>
        <v>1.1</v>
      </c>
      <c r="I1254" s="75">
        <f>IF(F1254&gt;='THAM_SO_MOI'!$C$14,'THAM_SO_MOI'!$C$13*(1+F1254^2/1500),'THAM_SO_MOI'!$C$13)</f>
        <v>0.020665971900704207</v>
      </c>
      <c r="J1254" s="75">
        <f>'THAM_SO_MOI'!$C$40*('THAM_SO_MOI'!$C$23*(E1254/'THAM_SO_MOI'!$C$22)+'THAM_SO_MOI'!$C$24*(E1254/'THAM_SO_MOI'!$C$22)^2-'THAM_SO_MOI'!$C$25*(E1254/'THAM_SO_MOI'!$C$22)^3)</f>
        <v>105.23749006573642</v>
      </c>
      <c r="K1254" s="75">
        <f>'THAM_SO_MOI'!$C$31*J1254/E1254</f>
        <v>428.5824154992471</v>
      </c>
      <c r="L1254" s="75">
        <f>K1254*'THAM_SO_MOI'!$C$53*'THAM_SO_MOI'!$C$17/'THAM_SO_MOI'!$C$26</f>
        <v>3758.669460957913</v>
      </c>
      <c r="M1254" s="75">
        <f>'THAM_SO_MOI'!$C$15*'THAM_SO_MOI'!$C$16*F1254^2</f>
        <v>1657.2967809559814</v>
      </c>
      <c r="N1254" s="75">
        <f>'THAM_SO_MOI'!$C$12*I1254</f>
        <v>1556.9908557765757</v>
      </c>
      <c r="O1254" s="75">
        <f>M1254+N1254</f>
        <v>3214.287636732557</v>
      </c>
      <c r="P1254" s="75">
        <f>(MIN(L1254,'THAM_SO_MOI'!$C$41)-O1254)/('THAM_SO_MOI'!$C$11*H1254)</f>
        <v>0.06443913639031203</v>
      </c>
      <c r="Q1254" s="75">
        <f>IF(P1254&gt;0,1/P1254,NA())</f>
        <v>15.518519583237975</v>
      </c>
      <c r="R1254" s="75">
        <f>F1254-F1253</f>
        <v>0.0035868055555532408</v>
      </c>
      <c r="S1254" s="75">
        <f>0.5*(Q1253+Q1254)*R1254</f>
        <v>0.055627104402297366</v>
      </c>
      <c r="T1254" s="75">
        <f>0.5*(F1253*Q1253+F1254*Q1254)*R1254</f>
        <v>1.3240090707299508</v>
      </c>
      <c r="U1254" s="76">
        <f>U1253+S1254</f>
        <v>92.3905884538264</v>
      </c>
      <c r="V1254" s="76">
        <f>V1253+T1254</f>
        <v>1584.3599952973013</v>
      </c>
    </row>
    <row r="1255" spans="1:22" ht="19" customHeight="1">
      <c r="A1255" s="68" t="s">
        <v>362</v>
      </c>
      <c r="B1255" s="74">
        <v>5</v>
      </c>
      <c r="C1255" s="68" t="s">
        <v>363</v>
      </c>
      <c r="D1255" s="68" t="s">
        <v>365</v>
      </c>
      <c r="E1255" s="75">
        <f>60*F1255*'THAM_SO_MOI'!$C$53/(2*PI()*'THAM_SO_MOI'!$C$26)</f>
        <v>2345.605052631579</v>
      </c>
      <c r="F1255" s="75">
        <f>'THAM_SO_MOI'!$C$14+('THAM_SO_MOI'!$C$37-'THAM_SO_MOI'!$C$14)*448/'THAM_SO_MOI'!$C$42</f>
        <v>23.80688888888889</v>
      </c>
      <c r="G1255" s="75">
        <f>3.6*F1255</f>
        <v>85.7048</v>
      </c>
      <c r="H1255" s="75">
        <f>'THAM_SO_MOI'!$D$53</f>
        <v>1.1</v>
      </c>
      <c r="I1255" s="75">
        <f>IF(F1255&gt;='THAM_SO_MOI'!$C$14,'THAM_SO_MOI'!$C$13*(1+F1255^2/1500),'THAM_SO_MOI'!$C$13)</f>
        <v>0.020667679585679014</v>
      </c>
      <c r="J1255" s="75">
        <f>'THAM_SO_MOI'!$C$40*('THAM_SO_MOI'!$C$23*(E1255/'THAM_SO_MOI'!$C$22)+'THAM_SO_MOI'!$C$24*(E1255/'THAM_SO_MOI'!$C$22)^2-'THAM_SO_MOI'!$C$25*(E1255/'THAM_SO_MOI'!$C$22)^3)</f>
        <v>105.25184266674242</v>
      </c>
      <c r="K1255" s="75">
        <f>'THAM_SO_MOI'!$C$31*J1255/E1255</f>
        <v>428.57628673270113</v>
      </c>
      <c r="L1255" s="75">
        <f>K1255*'THAM_SO_MOI'!$C$53*'THAM_SO_MOI'!$C$17/'THAM_SO_MOI'!$C$26</f>
        <v>3758.6157116513236</v>
      </c>
      <c r="M1255" s="75">
        <f>'THAM_SO_MOI'!$C$15*'THAM_SO_MOI'!$C$16*F1255^2</f>
        <v>1657.7962788111113</v>
      </c>
      <c r="N1255" s="75">
        <f>'THAM_SO_MOI'!$C$12*I1255</f>
        <v>1557.1195141287255</v>
      </c>
      <c r="O1255" s="75">
        <f>M1255+N1255</f>
        <v>3214.915792939837</v>
      </c>
      <c r="P1255" s="75">
        <f>(MIN(L1255,'THAM_SO_MOI'!$C$41)-O1255)/('THAM_SO_MOI'!$C$11*H1255)</f>
        <v>0.06435841840808319</v>
      </c>
      <c r="Q1255" s="75">
        <f>IF(P1255&gt;0,1/P1255,NA())</f>
        <v>15.537982827036089</v>
      </c>
      <c r="R1255" s="75">
        <f>F1255-F1254</f>
        <v>0.0035868055555567935</v>
      </c>
      <c r="S1255" s="75">
        <f>0.5*(Q1254+Q1255)*R1255</f>
        <v>0.05569681769066698</v>
      </c>
      <c r="T1255" s="75">
        <f>0.5*(F1254*Q1254+F1255*Q1255)*R1255</f>
        <v>1.325868125998355</v>
      </c>
      <c r="U1255" s="76">
        <f>U1254+S1255</f>
        <v>92.44628527151707</v>
      </c>
      <c r="V1255" s="76">
        <f>V1254+T1255</f>
        <v>1585.6858634232997</v>
      </c>
    </row>
    <row r="1256" spans="1:22" ht="19" customHeight="1">
      <c r="A1256" s="68" t="s">
        <v>362</v>
      </c>
      <c r="B1256" s="74">
        <v>5</v>
      </c>
      <c r="C1256" s="68" t="s">
        <v>363</v>
      </c>
      <c r="D1256" s="68" t="s">
        <v>365</v>
      </c>
      <c r="E1256" s="75">
        <f>60*F1256*'THAM_SO_MOI'!$C$53/(2*PI()*'THAM_SO_MOI'!$C$26)</f>
        <v>2345.9584473684204</v>
      </c>
      <c r="F1256" s="75">
        <f>'THAM_SO_MOI'!$C$14+('THAM_SO_MOI'!$C$37-'THAM_SO_MOI'!$C$14)*449/'THAM_SO_MOI'!$C$42</f>
        <v>23.810475694444442</v>
      </c>
      <c r="G1256" s="75">
        <f>3.6*F1256</f>
        <v>85.71771249999999</v>
      </c>
      <c r="H1256" s="75">
        <f>'THAM_SO_MOI'!$D$53</f>
        <v>1.1</v>
      </c>
      <c r="I1256" s="75">
        <f>IF(F1256&gt;='THAM_SO_MOI'!$C$14,'THAM_SO_MOI'!$C$13*(1+F1256^2/1500),'THAM_SO_MOI'!$C$13)</f>
        <v>0.020669387527957293</v>
      </c>
      <c r="J1256" s="75">
        <f>'THAM_SO_MOI'!$C$40*('THAM_SO_MOI'!$C$23*(E1256/'THAM_SO_MOI'!$C$22)+'THAM_SO_MOI'!$C$24*(E1256/'THAM_SO_MOI'!$C$22)^2-'THAM_SO_MOI'!$C$25*(E1256/'THAM_SO_MOI'!$C$22)^3)</f>
        <v>105.26619183826392</v>
      </c>
      <c r="K1256" s="75">
        <f>'THAM_SO_MOI'!$C$31*J1256/E1256</f>
        <v>428.57014585017095</v>
      </c>
      <c r="L1256" s="75">
        <f>K1256*'THAM_SO_MOI'!$C$53*'THAM_SO_MOI'!$C$17/'THAM_SO_MOI'!$C$26</f>
        <v>3758.5618560875046</v>
      </c>
      <c r="M1256" s="75">
        <f>'THAM_SO_MOI'!$C$15*'THAM_SO_MOI'!$C$16*F1256^2</f>
        <v>1658.295851927509</v>
      </c>
      <c r="N1256" s="75">
        <f>'THAM_SO_MOI'!$C$12*I1256</f>
        <v>1557.248191866325</v>
      </c>
      <c r="O1256" s="75">
        <f>M1256+N1256</f>
        <v>3215.544043793834</v>
      </c>
      <c r="P1256" s="75">
        <f>(MIN(L1256,'THAM_SO_MOI'!$C$41)-O1256)/('THAM_SO_MOI'!$C$11*H1256)</f>
        <v>0.06427767664461063</v>
      </c>
      <c r="Q1256" s="75">
        <f>IF(P1256&gt;0,1/P1256,NA())</f>
        <v>15.557500709444902</v>
      </c>
      <c r="R1256" s="75">
        <f>F1256-F1255</f>
        <v>0.0035868055555532408</v>
      </c>
      <c r="S1256" s="75">
        <f>0.5*(Q1255+Q1256)*R1256</f>
        <v>0.055766726550632174</v>
      </c>
      <c r="T1256" s="75">
        <f>0.5*(F1255*Q1255+F1256*Q1256)*R1256</f>
        <v>1.3277323376654924</v>
      </c>
      <c r="U1256" s="76">
        <f>U1255+S1256</f>
        <v>92.5020519980677</v>
      </c>
      <c r="V1256" s="76">
        <f>V1255+T1256</f>
        <v>1587.0135957609652</v>
      </c>
    </row>
    <row r="1257" spans="1:22" ht="19" customHeight="1">
      <c r="A1257" s="68" t="s">
        <v>362</v>
      </c>
      <c r="B1257" s="74">
        <v>5</v>
      </c>
      <c r="C1257" s="68" t="s">
        <v>363</v>
      </c>
      <c r="D1257" s="68" t="s">
        <v>365</v>
      </c>
      <c r="E1257" s="75">
        <f>60*F1257*'THAM_SO_MOI'!$C$53/(2*PI()*'THAM_SO_MOI'!$C$26)</f>
        <v>2346.3118421052627</v>
      </c>
      <c r="F1257" s="75">
        <f>'THAM_SO_MOI'!$C$14+('THAM_SO_MOI'!$C$37-'THAM_SO_MOI'!$C$14)*450/'THAM_SO_MOI'!$C$42</f>
        <v>23.8140625</v>
      </c>
      <c r="G1257" s="75">
        <f>3.6*F1257</f>
        <v>85.730625</v>
      </c>
      <c r="H1257" s="75">
        <f>'THAM_SO_MOI'!$D$53</f>
        <v>1.1</v>
      </c>
      <c r="I1257" s="75">
        <f>IF(F1257&gt;='THAM_SO_MOI'!$C$14,'THAM_SO_MOI'!$C$13*(1+F1257^2/1500),'THAM_SO_MOI'!$C$13)</f>
        <v>0.02067109572753906</v>
      </c>
      <c r="J1257" s="75">
        <f>'THAM_SO_MOI'!$C$40*('THAM_SO_MOI'!$C$23*(E1257/'THAM_SO_MOI'!$C$22)+'THAM_SO_MOI'!$C$24*(E1257/'THAM_SO_MOI'!$C$22)^2-'THAM_SO_MOI'!$C$25*(E1257/'THAM_SO_MOI'!$C$22)^3)</f>
        <v>105.28053757895603</v>
      </c>
      <c r="K1257" s="75">
        <f>'THAM_SO_MOI'!$C$31*J1257/E1257</f>
        <v>428.5639928516561</v>
      </c>
      <c r="L1257" s="75">
        <f>K1257*'THAM_SO_MOI'!$C$53*'THAM_SO_MOI'!$C$17/'THAM_SO_MOI'!$C$26</f>
        <v>3758.5078942664527</v>
      </c>
      <c r="M1257" s="75">
        <f>'THAM_SO_MOI'!$C$15*'THAM_SO_MOI'!$C$16*F1257^2</f>
        <v>1658.795500305176</v>
      </c>
      <c r="N1257" s="75">
        <f>'THAM_SO_MOI'!$C$12*I1257</f>
        <v>1557.376888989375</v>
      </c>
      <c r="O1257" s="75">
        <f>M1257+N1257</f>
        <v>3216.172389294551</v>
      </c>
      <c r="P1257" s="75">
        <f>(MIN(L1257,'THAM_SO_MOI'!$C$41)-O1257)/('THAM_SO_MOI'!$C$11*H1257)</f>
        <v>0.06419691109989366</v>
      </c>
      <c r="Q1257" s="75">
        <f>IF(P1257&gt;0,1/P1257,NA())</f>
        <v>15.577073458315606</v>
      </c>
      <c r="R1257" s="75">
        <f>F1257-F1256</f>
        <v>0.0035868055555567935</v>
      </c>
      <c r="S1257" s="75">
        <f>0.5*(Q1256+Q1257)*R1257</f>
        <v>0.05583683179740921</v>
      </c>
      <c r="T1257" s="75">
        <f>0.5*(F1256*Q1256+F1257*Q1257)*R1257</f>
        <v>1.3296017272479477</v>
      </c>
      <c r="U1257" s="76">
        <f>U1256+S1257</f>
        <v>92.5578888298651</v>
      </c>
      <c r="V1257" s="76">
        <f>V1256+T1257</f>
        <v>1588.3431974882133</v>
      </c>
    </row>
    <row r="1258" spans="1:22" ht="19" customHeight="1">
      <c r="A1258" s="68" t="s">
        <v>362</v>
      </c>
      <c r="B1258" s="74">
        <v>5</v>
      </c>
      <c r="C1258" s="68" t="s">
        <v>363</v>
      </c>
      <c r="D1258" s="68" t="s">
        <v>365</v>
      </c>
      <c r="E1258" s="75">
        <f>60*F1258*'THAM_SO_MOI'!$C$53/(2*PI()*'THAM_SO_MOI'!$C$26)</f>
        <v>2346.6652368421046</v>
      </c>
      <c r="F1258" s="75">
        <f>'THAM_SO_MOI'!$C$14+('THAM_SO_MOI'!$C$37-'THAM_SO_MOI'!$C$14)*451/'THAM_SO_MOI'!$C$42</f>
        <v>23.817649305555555</v>
      </c>
      <c r="G1258" s="75">
        <f>3.6*F1258</f>
        <v>85.7435375</v>
      </c>
      <c r="H1258" s="75">
        <f>'THAM_SO_MOI'!$D$53</f>
        <v>1.1</v>
      </c>
      <c r="I1258" s="75">
        <f>IF(F1258&gt;='THAM_SO_MOI'!$C$14,'THAM_SO_MOI'!$C$13*(1+F1258^2/1500),'THAM_SO_MOI'!$C$13)</f>
        <v>0.02067280418442431</v>
      </c>
      <c r="J1258" s="75">
        <f>'THAM_SO_MOI'!$C$40*('THAM_SO_MOI'!$C$23*(E1258/'THAM_SO_MOI'!$C$22)+'THAM_SO_MOI'!$C$24*(E1258/'THAM_SO_MOI'!$C$22)^2-'THAM_SO_MOI'!$C$25*(E1258/'THAM_SO_MOI'!$C$22)^3)</f>
        <v>105.29487988747385</v>
      </c>
      <c r="K1258" s="75">
        <f>'THAM_SO_MOI'!$C$31*J1258/E1258</f>
        <v>428.55782773715686</v>
      </c>
      <c r="L1258" s="75">
        <f>K1258*'THAM_SO_MOI'!$C$53*'THAM_SO_MOI'!$C$17/'THAM_SO_MOI'!$C$26</f>
        <v>3758.4538261881708</v>
      </c>
      <c r="M1258" s="75">
        <f>'THAM_SO_MOI'!$C$15*'THAM_SO_MOI'!$C$16*F1258^2</f>
        <v>1659.2952239441108</v>
      </c>
      <c r="N1258" s="75">
        <f>'THAM_SO_MOI'!$C$12*I1258</f>
        <v>1557.505605497875</v>
      </c>
      <c r="O1258" s="75">
        <f>M1258+N1258</f>
        <v>3216.800829441986</v>
      </c>
      <c r="P1258" s="75">
        <f>(MIN(L1258,'THAM_SO_MOI'!$C$41)-O1258)/('THAM_SO_MOI'!$C$11*H1258)</f>
        <v>0.06411612177393285</v>
      </c>
      <c r="Q1258" s="75">
        <f>IF(P1258&gt;0,1/P1258,NA())</f>
        <v>15.59670130276909</v>
      </c>
      <c r="R1258" s="75">
        <f>F1258-F1257</f>
        <v>0.0035868055555567935</v>
      </c>
      <c r="S1258" s="75">
        <f>0.5*(Q1257+Q1258)*R1258</f>
        <v>0.05590713425036736</v>
      </c>
      <c r="T1258" s="75">
        <f>0.5*(F1257*Q1257+F1258*Q1258)*R1258</f>
        <v>1.3314763163729104</v>
      </c>
      <c r="U1258" s="76">
        <f>U1257+S1258</f>
        <v>92.61379596411547</v>
      </c>
      <c r="V1258" s="76">
        <f>V1257+T1258</f>
        <v>1589.674673804586</v>
      </c>
    </row>
    <row r="1259" spans="1:22" ht="19" customHeight="1">
      <c r="A1259" s="68" t="s">
        <v>362</v>
      </c>
      <c r="B1259" s="74">
        <v>5</v>
      </c>
      <c r="C1259" s="68" t="s">
        <v>363</v>
      </c>
      <c r="D1259" s="68" t="s">
        <v>365</v>
      </c>
      <c r="E1259" s="75">
        <f>60*F1259*'THAM_SO_MOI'!$C$53/(2*PI()*'THAM_SO_MOI'!$C$26)</f>
        <v>2347.0186315789465</v>
      </c>
      <c r="F1259" s="75">
        <f>'THAM_SO_MOI'!$C$14+('THAM_SO_MOI'!$C$37-'THAM_SO_MOI'!$C$14)*452/'THAM_SO_MOI'!$C$42</f>
        <v>23.82123611111111</v>
      </c>
      <c r="G1259" s="75">
        <f>3.6*F1259</f>
        <v>85.75644999999999</v>
      </c>
      <c r="H1259" s="75">
        <f>'THAM_SO_MOI'!$D$53</f>
        <v>1.1</v>
      </c>
      <c r="I1259" s="75">
        <f>IF(F1259&gt;='THAM_SO_MOI'!$C$14,'THAM_SO_MOI'!$C$13*(1+F1259^2/1500),'THAM_SO_MOI'!$C$13)</f>
        <v>0.020674512898613037</v>
      </c>
      <c r="J1259" s="75">
        <f>'THAM_SO_MOI'!$C$40*('THAM_SO_MOI'!$C$23*(E1259/'THAM_SO_MOI'!$C$22)+'THAM_SO_MOI'!$C$24*(E1259/'THAM_SO_MOI'!$C$22)^2-'THAM_SO_MOI'!$C$25*(E1259/'THAM_SO_MOI'!$C$22)^3)</f>
        <v>105.30921876247255</v>
      </c>
      <c r="K1259" s="75">
        <f>'THAM_SO_MOI'!$C$31*J1259/E1259</f>
        <v>428.5516505066733</v>
      </c>
      <c r="L1259" s="75">
        <f>K1259*'THAM_SO_MOI'!$C$53*'THAM_SO_MOI'!$C$17/'THAM_SO_MOI'!$C$26</f>
        <v>3758.3996518526583</v>
      </c>
      <c r="M1259" s="75">
        <f>'THAM_SO_MOI'!$C$15*'THAM_SO_MOI'!$C$16*F1259^2</f>
        <v>1659.795022844314</v>
      </c>
      <c r="N1259" s="75">
        <f>'THAM_SO_MOI'!$C$12*I1259</f>
        <v>1557.6343413918253</v>
      </c>
      <c r="O1259" s="75">
        <f>M1259+N1259</f>
        <v>3217.429364236139</v>
      </c>
      <c r="P1259" s="75">
        <f>(MIN(L1259,'THAM_SO_MOI'!$C$41)-O1259)/('THAM_SO_MOI'!$C$11*H1259)</f>
        <v>0.06403530866672807</v>
      </c>
      <c r="Q1259" s="75">
        <f>IF(P1259&gt;0,1/P1259,NA())</f>
        <v>15.616384473205283</v>
      </c>
      <c r="R1259" s="75">
        <f>F1259-F1258</f>
        <v>0.0035868055555532408</v>
      </c>
      <c r="S1259" s="75">
        <f>0.5*(Q1258+Q1259)*R1259</f>
        <v>0.05597763473361236</v>
      </c>
      <c r="T1259" s="75">
        <f>0.5*(F1258*Q1258+F1259*Q1259)*R1259</f>
        <v>1.3333561267921432</v>
      </c>
      <c r="U1259" s="76">
        <f>U1258+S1259</f>
        <v>92.66977359884908</v>
      </c>
      <c r="V1259" s="76">
        <f>V1258+T1259</f>
        <v>1591.0080299313781</v>
      </c>
    </row>
    <row r="1260" spans="1:22" ht="19" customHeight="1">
      <c r="A1260" s="68" t="s">
        <v>362</v>
      </c>
      <c r="B1260" s="74">
        <v>5</v>
      </c>
      <c r="C1260" s="68" t="s">
        <v>363</v>
      </c>
      <c r="D1260" s="68" t="s">
        <v>365</v>
      </c>
      <c r="E1260" s="75">
        <f>60*F1260*'THAM_SO_MOI'!$C$53/(2*PI()*'THAM_SO_MOI'!$C$26)</f>
        <v>2347.372026315789</v>
      </c>
      <c r="F1260" s="75">
        <f>'THAM_SO_MOI'!$C$14+('THAM_SO_MOI'!$C$37-'THAM_SO_MOI'!$C$14)*453/'THAM_SO_MOI'!$C$42</f>
        <v>23.824822916666665</v>
      </c>
      <c r="G1260" s="75">
        <f>3.6*F1260</f>
        <v>85.7693625</v>
      </c>
      <c r="H1260" s="75">
        <f>'THAM_SO_MOI'!$D$53</f>
        <v>1.1</v>
      </c>
      <c r="I1260" s="75">
        <f>IF(F1260&gt;='THAM_SO_MOI'!$C$14,'THAM_SO_MOI'!$C$13*(1+F1260^2/1500),'THAM_SO_MOI'!$C$13)</f>
        <v>0.02067622187010525</v>
      </c>
      <c r="J1260" s="75">
        <f>'THAM_SO_MOI'!$C$40*('THAM_SO_MOI'!$C$23*(E1260/'THAM_SO_MOI'!$C$22)+'THAM_SO_MOI'!$C$24*(E1260/'THAM_SO_MOI'!$C$22)^2-'THAM_SO_MOI'!$C$25*(E1260/'THAM_SO_MOI'!$C$22)^3)</f>
        <v>105.32355420260718</v>
      </c>
      <c r="K1260" s="75">
        <f>'THAM_SO_MOI'!$C$31*J1260/E1260</f>
        <v>428.54546116020515</v>
      </c>
      <c r="L1260" s="75">
        <f>K1260*'THAM_SO_MOI'!$C$53*'THAM_SO_MOI'!$C$17/'THAM_SO_MOI'!$C$26</f>
        <v>3758.3453712599135</v>
      </c>
      <c r="M1260" s="75">
        <f>'THAM_SO_MOI'!$C$15*'THAM_SO_MOI'!$C$16*F1260^2</f>
        <v>1660.294897005786</v>
      </c>
      <c r="N1260" s="75">
        <f>'THAM_SO_MOI'!$C$12*I1260</f>
        <v>1557.7630966712256</v>
      </c>
      <c r="O1260" s="75">
        <f>M1260+N1260</f>
        <v>3218.057993677012</v>
      </c>
      <c r="P1260" s="75">
        <f>(MIN(L1260,'THAM_SO_MOI'!$C$41)-O1260)/('THAM_SO_MOI'!$C$11*H1260)</f>
        <v>0.0639544717782791</v>
      </c>
      <c r="Q1260" s="75">
        <f>IF(P1260&gt;0,1/P1260,NA())</f>
        <v>15.636123201311946</v>
      </c>
      <c r="R1260" s="75">
        <f>F1260-F1259</f>
        <v>0.0035868055555567935</v>
      </c>
      <c r="S1260" s="75">
        <f>0.5*(Q1259+Q1260)*R1260</f>
        <v>0.05604833407601986</v>
      </c>
      <c r="T1260" s="75">
        <f>0.5*(F1259*Q1259+F1260*Q1260)*R1260</f>
        <v>1.3352411803828688</v>
      </c>
      <c r="U1260" s="76">
        <f>U1259+S1260</f>
        <v>92.7258219329251</v>
      </c>
      <c r="V1260" s="76">
        <f>V1259+T1260</f>
        <v>1592.343271111761</v>
      </c>
    </row>
    <row r="1261" spans="1:22" ht="19" customHeight="1">
      <c r="A1261" s="68" t="s">
        <v>362</v>
      </c>
      <c r="B1261" s="74">
        <v>5</v>
      </c>
      <c r="C1261" s="68" t="s">
        <v>363</v>
      </c>
      <c r="D1261" s="68" t="s">
        <v>365</v>
      </c>
      <c r="E1261" s="75">
        <f>60*F1261*'THAM_SO_MOI'!$C$53/(2*PI()*'THAM_SO_MOI'!$C$26)</f>
        <v>2347.725421052631</v>
      </c>
      <c r="F1261" s="75">
        <f>'THAM_SO_MOI'!$C$14+('THAM_SO_MOI'!$C$37-'THAM_SO_MOI'!$C$14)*454/'THAM_SO_MOI'!$C$42</f>
        <v>23.828409722222222</v>
      </c>
      <c r="G1261" s="75">
        <f>3.6*F1261</f>
        <v>85.782275</v>
      </c>
      <c r="H1261" s="75">
        <f>'THAM_SO_MOI'!$D$53</f>
        <v>1.1</v>
      </c>
      <c r="I1261" s="75">
        <f>IF(F1261&gt;='THAM_SO_MOI'!$C$14,'THAM_SO_MOI'!$C$13*(1+F1261^2/1500),'THAM_SO_MOI'!$C$13)</f>
        <v>0.020677931098900943</v>
      </c>
      <c r="J1261" s="75">
        <f>'THAM_SO_MOI'!$C$40*('THAM_SO_MOI'!$C$23*(E1261/'THAM_SO_MOI'!$C$22)+'THAM_SO_MOI'!$C$24*(E1261/'THAM_SO_MOI'!$C$22)^2-'THAM_SO_MOI'!$C$25*(E1261/'THAM_SO_MOI'!$C$22)^3)</f>
        <v>105.33788620653289</v>
      </c>
      <c r="K1261" s="75">
        <f>'THAM_SO_MOI'!$C$31*J1261/E1261</f>
        <v>428.5392596977526</v>
      </c>
      <c r="L1261" s="75">
        <f>K1261*'THAM_SO_MOI'!$C$53*'THAM_SO_MOI'!$C$17/'THAM_SO_MOI'!$C$26</f>
        <v>3758.2909844099395</v>
      </c>
      <c r="M1261" s="75">
        <f>'THAM_SO_MOI'!$C$15*'THAM_SO_MOI'!$C$16*F1261^2</f>
        <v>1660.7948464285266</v>
      </c>
      <c r="N1261" s="75">
        <f>'THAM_SO_MOI'!$C$12*I1261</f>
        <v>1557.8918713360763</v>
      </c>
      <c r="O1261" s="75">
        <f>M1261+N1261</f>
        <v>3218.6867177646027</v>
      </c>
      <c r="P1261" s="75">
        <f>(MIN(L1261,'THAM_SO_MOI'!$C$41)-O1261)/('THAM_SO_MOI'!$C$11*H1261)</f>
        <v>0.06387361110858626</v>
      </c>
      <c r="Q1261" s="75">
        <f>IF(P1261&gt;0,1/P1261,NA())</f>
        <v>15.655917720073512</v>
      </c>
      <c r="R1261" s="75">
        <f>F1261-F1260</f>
        <v>0.0035868055555567935</v>
      </c>
      <c r="S1261" s="75">
        <f>0.5*(Q1260+Q1261)*R1261</f>
        <v>0.05611923311076794</v>
      </c>
      <c r="T1261" s="75">
        <f>0.5*(F1260*Q1260+F1261*Q1261)*R1261</f>
        <v>1.337131499136713</v>
      </c>
      <c r="U1261" s="76">
        <f>U1260+S1261</f>
        <v>92.78194116603586</v>
      </c>
      <c r="V1261" s="76">
        <f>V1260+T1261</f>
        <v>1593.6804026108975</v>
      </c>
    </row>
    <row r="1262" spans="1:22" ht="19" customHeight="1">
      <c r="A1262" s="68" t="s">
        <v>362</v>
      </c>
      <c r="B1262" s="74">
        <v>5</v>
      </c>
      <c r="C1262" s="68" t="s">
        <v>363</v>
      </c>
      <c r="D1262" s="68" t="s">
        <v>365</v>
      </c>
      <c r="E1262" s="75">
        <f>60*F1262*'THAM_SO_MOI'!$C$53/(2*PI()*'THAM_SO_MOI'!$C$26)</f>
        <v>2348.078815789473</v>
      </c>
      <c r="F1262" s="75">
        <f>'THAM_SO_MOI'!$C$14+('THAM_SO_MOI'!$C$37-'THAM_SO_MOI'!$C$14)*455/'THAM_SO_MOI'!$C$42</f>
        <v>23.831996527777775</v>
      </c>
      <c r="G1262" s="75">
        <f>3.6*F1262</f>
        <v>85.7951875</v>
      </c>
      <c r="H1262" s="75">
        <f>'THAM_SO_MOI'!$D$53</f>
        <v>1.1</v>
      </c>
      <c r="I1262" s="75">
        <f>IF(F1262&gt;='THAM_SO_MOI'!$C$14,'THAM_SO_MOI'!$C$13*(1+F1262^2/1500),'THAM_SO_MOI'!$C$13)</f>
        <v>0.020679640585000117</v>
      </c>
      <c r="J1262" s="75">
        <f>'THAM_SO_MOI'!$C$40*('THAM_SO_MOI'!$C$23*(E1262/'THAM_SO_MOI'!$C$22)+'THAM_SO_MOI'!$C$24*(E1262/'THAM_SO_MOI'!$C$22)^2-'THAM_SO_MOI'!$C$25*(E1262/'THAM_SO_MOI'!$C$22)^3)</f>
        <v>105.35221477290472</v>
      </c>
      <c r="K1262" s="75">
        <f>'THAM_SO_MOI'!$C$31*J1262/E1262</f>
        <v>428.53304611931543</v>
      </c>
      <c r="L1262" s="75">
        <f>K1262*'THAM_SO_MOI'!$C$53*'THAM_SO_MOI'!$C$17/'THAM_SO_MOI'!$C$26</f>
        <v>3758.2364913027313</v>
      </c>
      <c r="M1262" s="75">
        <f>'THAM_SO_MOI'!$C$15*'THAM_SO_MOI'!$C$16*F1262^2</f>
        <v>1661.2948711125352</v>
      </c>
      <c r="N1262" s="75">
        <f>'THAM_SO_MOI'!$C$12*I1262</f>
        <v>1558.0206653863768</v>
      </c>
      <c r="O1262" s="75">
        <f>M1262+N1262</f>
        <v>3219.315536498912</v>
      </c>
      <c r="P1262" s="75">
        <f>(MIN(L1262,'THAM_SO_MOI'!$C$41)-O1262)/('THAM_SO_MOI'!$C$11*H1262)</f>
        <v>0.06379272665764904</v>
      </c>
      <c r="Q1262" s="75">
        <f>IF(P1262&gt;0,1/P1262,NA())</f>
        <v>15.675768263780514</v>
      </c>
      <c r="R1262" s="75">
        <f>F1262-F1261</f>
        <v>0.0035868055555532408</v>
      </c>
      <c r="S1262" s="75">
        <f>0.5*(Q1261+Q1262)*R1262</f>
        <v>0.056190332675868614</v>
      </c>
      <c r="T1262" s="75">
        <f>0.5*(F1261*Q1261+F1262*Q1262)*R1262</f>
        <v>1.3390271051724487</v>
      </c>
      <c r="U1262" s="76">
        <f>U1261+S1262</f>
        <v>92.83813149871173</v>
      </c>
      <c r="V1262" s="76">
        <f>V1261+T1262</f>
        <v>1595.01942971607</v>
      </c>
    </row>
    <row r="1263" spans="1:22" ht="19" customHeight="1">
      <c r="A1263" s="68" t="s">
        <v>362</v>
      </c>
      <c r="B1263" s="74">
        <v>5</v>
      </c>
      <c r="C1263" s="68" t="s">
        <v>363</v>
      </c>
      <c r="D1263" s="68" t="s">
        <v>365</v>
      </c>
      <c r="E1263" s="75">
        <f>60*F1263*'THAM_SO_MOI'!$C$53/(2*PI()*'THAM_SO_MOI'!$C$26)</f>
        <v>2348.4322105263154</v>
      </c>
      <c r="F1263" s="75">
        <f>'THAM_SO_MOI'!$C$14+('THAM_SO_MOI'!$C$37-'THAM_SO_MOI'!$C$14)*456/'THAM_SO_MOI'!$C$42</f>
        <v>23.835583333333332</v>
      </c>
      <c r="G1263" s="75">
        <f>3.6*F1263</f>
        <v>85.8081</v>
      </c>
      <c r="H1263" s="75">
        <f>'THAM_SO_MOI'!$D$53</f>
        <v>1.1</v>
      </c>
      <c r="I1263" s="75">
        <f>IF(F1263&gt;='THAM_SO_MOI'!$C$14,'THAM_SO_MOI'!$C$13*(1+F1263^2/1500),'THAM_SO_MOI'!$C$13)</f>
        <v>0.02068135032840278</v>
      </c>
      <c r="J1263" s="75">
        <f>'THAM_SO_MOI'!$C$40*('THAM_SO_MOI'!$C$23*(E1263/'THAM_SO_MOI'!$C$22)+'THAM_SO_MOI'!$C$24*(E1263/'THAM_SO_MOI'!$C$22)^2-'THAM_SO_MOI'!$C$25*(E1263/'THAM_SO_MOI'!$C$22)^3)</f>
        <v>105.36653990037789</v>
      </c>
      <c r="K1263" s="75">
        <f>'THAM_SO_MOI'!$C$31*J1263/E1263</f>
        <v>428.5268204248941</v>
      </c>
      <c r="L1263" s="75">
        <f>K1263*'THAM_SO_MOI'!$C$53*'THAM_SO_MOI'!$C$17/'THAM_SO_MOI'!$C$26</f>
        <v>3758.181891938296</v>
      </c>
      <c r="M1263" s="75">
        <f>'THAM_SO_MOI'!$C$15*'THAM_SO_MOI'!$C$16*F1263^2</f>
        <v>1661.7949710578125</v>
      </c>
      <c r="N1263" s="75">
        <f>'THAM_SO_MOI'!$C$12*I1263</f>
        <v>1558.149478822128</v>
      </c>
      <c r="O1263" s="75">
        <f>M1263+N1263</f>
        <v>3219.9444498799403</v>
      </c>
      <c r="P1263" s="75">
        <f>(MIN(L1263,'THAM_SO_MOI'!$C$41)-O1263)/('THAM_SO_MOI'!$C$11*H1263)</f>
        <v>0.06371181842546822</v>
      </c>
      <c r="Q1263" s="75">
        <f>IF(P1263&gt;0,1/P1263,NA())</f>
        <v>15.695675068038225</v>
      </c>
      <c r="R1263" s="75">
        <f>F1263-F1262</f>
        <v>0.0035868055555567935</v>
      </c>
      <c r="S1263" s="75">
        <f>0.5*(Q1262+Q1263)*R1263</f>
        <v>0.056261633614201285</v>
      </c>
      <c r="T1263" s="75">
        <f>0.5*(F1262*Q1262+F1263*Q1263)*R1263</f>
        <v>1.340928020736882</v>
      </c>
      <c r="U1263" s="76">
        <f>U1262+S1263</f>
        <v>92.89439313232593</v>
      </c>
      <c r="V1263" s="76">
        <f>V1262+T1263</f>
        <v>1596.3603577368067</v>
      </c>
    </row>
    <row r="1264" spans="1:22" ht="19" customHeight="1">
      <c r="A1264" s="68" t="s">
        <v>362</v>
      </c>
      <c r="B1264" s="74">
        <v>5</v>
      </c>
      <c r="C1264" s="68" t="s">
        <v>363</v>
      </c>
      <c r="D1264" s="68" t="s">
        <v>365</v>
      </c>
      <c r="E1264" s="75">
        <f>60*F1264*'THAM_SO_MOI'!$C$53/(2*PI()*'THAM_SO_MOI'!$C$26)</f>
        <v>2348.7856052631573</v>
      </c>
      <c r="F1264" s="75">
        <f>'THAM_SO_MOI'!$C$14+('THAM_SO_MOI'!$C$37-'THAM_SO_MOI'!$C$14)*457/'THAM_SO_MOI'!$C$42</f>
        <v>23.83917013888889</v>
      </c>
      <c r="G1264" s="75">
        <f>3.6*F1264</f>
        <v>85.82101250000001</v>
      </c>
      <c r="H1264" s="75">
        <f>'THAM_SO_MOI'!$D$53</f>
        <v>1.1</v>
      </c>
      <c r="I1264" s="75">
        <f>IF(F1264&gt;='THAM_SO_MOI'!$C$14,'THAM_SO_MOI'!$C$13*(1+F1264^2/1500),'THAM_SO_MOI'!$C$13)</f>
        <v>0.020683060329108913</v>
      </c>
      <c r="J1264" s="75">
        <f>'THAM_SO_MOI'!$C$40*('THAM_SO_MOI'!$C$23*(E1264/'THAM_SO_MOI'!$C$22)+'THAM_SO_MOI'!$C$24*(E1264/'THAM_SO_MOI'!$C$22)^2-'THAM_SO_MOI'!$C$25*(E1264/'THAM_SO_MOI'!$C$22)^3)</f>
        <v>105.38086158760737</v>
      </c>
      <c r="K1264" s="75">
        <f>'THAM_SO_MOI'!$C$31*J1264/E1264</f>
        <v>428.520582614488</v>
      </c>
      <c r="L1264" s="75">
        <f>K1264*'THAM_SO_MOI'!$C$53*'THAM_SO_MOI'!$C$17/'THAM_SO_MOI'!$C$26</f>
        <v>3758.1271863166253</v>
      </c>
      <c r="M1264" s="75">
        <f>'THAM_SO_MOI'!$C$15*'THAM_SO_MOI'!$C$16*F1264^2</f>
        <v>1662.2951462643584</v>
      </c>
      <c r="N1264" s="75">
        <f>'THAM_SO_MOI'!$C$12*I1264</f>
        <v>1558.2783116433288</v>
      </c>
      <c r="O1264" s="75">
        <f>M1264+N1264</f>
        <v>3220.573457907687</v>
      </c>
      <c r="P1264" s="75">
        <f>(MIN(L1264,'THAM_SO_MOI'!$C$41)-O1264)/('THAM_SO_MOI'!$C$11*H1264)</f>
        <v>0.06363088641204288</v>
      </c>
      <c r="Q1264" s="75">
        <f>IF(P1264&gt;0,1/P1264,NA())</f>
        <v>15.715638369776638</v>
      </c>
      <c r="R1264" s="75">
        <f>F1264-F1263</f>
        <v>0.0035868055555567935</v>
      </c>
      <c r="S1264" s="75">
        <f>0.5*(Q1263+Q1264)*R1264</f>
        <v>0.05633313677304505</v>
      </c>
      <c r="T1264" s="75">
        <f>0.5*(F1263*Q1263+F1264*Q1264)*R1264</f>
        <v>1.3428342681937877</v>
      </c>
      <c r="U1264" s="76">
        <f>U1263+S1264</f>
        <v>92.95072626909898</v>
      </c>
      <c r="V1264" s="76">
        <f>V1263+T1264</f>
        <v>1597.7031920050006</v>
      </c>
    </row>
    <row r="1265" spans="1:22" ht="19" customHeight="1">
      <c r="A1265" s="68" t="s">
        <v>362</v>
      </c>
      <c r="B1265" s="74">
        <v>5</v>
      </c>
      <c r="C1265" s="68" t="s">
        <v>363</v>
      </c>
      <c r="D1265" s="68" t="s">
        <v>365</v>
      </c>
      <c r="E1265" s="75">
        <f>60*F1265*'THAM_SO_MOI'!$C$53/(2*PI()*'THAM_SO_MOI'!$C$26)</f>
        <v>2349.138999999999</v>
      </c>
      <c r="F1265" s="75">
        <f>'THAM_SO_MOI'!$C$14+('THAM_SO_MOI'!$C$37-'THAM_SO_MOI'!$C$14)*458/'THAM_SO_MOI'!$C$42</f>
        <v>23.842756944444442</v>
      </c>
      <c r="G1265" s="75">
        <f>3.6*F1265</f>
        <v>85.833925</v>
      </c>
      <c r="H1265" s="75">
        <f>'THAM_SO_MOI'!$D$53</f>
        <v>1.1</v>
      </c>
      <c r="I1265" s="75">
        <f>IF(F1265&gt;='THAM_SO_MOI'!$C$14,'THAM_SO_MOI'!$C$13*(1+F1265^2/1500),'THAM_SO_MOI'!$C$13)</f>
        <v>0.020684770587118536</v>
      </c>
      <c r="J1265" s="75">
        <f>'THAM_SO_MOI'!$C$40*('THAM_SO_MOI'!$C$23*(E1265/'THAM_SO_MOI'!$C$22)+'THAM_SO_MOI'!$C$24*(E1265/'THAM_SO_MOI'!$C$22)^2-'THAM_SO_MOI'!$C$25*(E1265/'THAM_SO_MOI'!$C$22)^3)</f>
        <v>105.39517983324839</v>
      </c>
      <c r="K1265" s="75">
        <f>'THAM_SO_MOI'!$C$31*J1265/E1265</f>
        <v>428.5143326880976</v>
      </c>
      <c r="L1265" s="75">
        <f>K1265*'THAM_SO_MOI'!$C$53*'THAM_SO_MOI'!$C$17/'THAM_SO_MOI'!$C$26</f>
        <v>3758.072374437726</v>
      </c>
      <c r="M1265" s="75">
        <f>'THAM_SO_MOI'!$C$15*'THAM_SO_MOI'!$C$16*F1265^2</f>
        <v>1662.795396732172</v>
      </c>
      <c r="N1265" s="75">
        <f>'THAM_SO_MOI'!$C$12*I1265</f>
        <v>1558.4071638499802</v>
      </c>
      <c r="O1265" s="75">
        <f>M1265+N1265</f>
        <v>3221.2025605821523</v>
      </c>
      <c r="P1265" s="75">
        <f>(MIN(L1265,'THAM_SO_MOI'!$C$41)-O1265)/('THAM_SO_MOI'!$C$11*H1265)</f>
        <v>0.06354993061737375</v>
      </c>
      <c r="Q1265" s="75">
        <f>IF(P1265&gt;0,1/P1265,NA())</f>
        <v>15.735658407258946</v>
      </c>
      <c r="R1265" s="75">
        <f>F1265-F1264</f>
        <v>0.0035868055555532408</v>
      </c>
      <c r="S1265" s="75">
        <f>0.5*(Q1264+Q1265)*R1265</f>
        <v>0.05640484300461248</v>
      </c>
      <c r="T1265" s="75">
        <f>0.5*(F1264*Q1264+F1265*Q1265)*R1265</f>
        <v>1.3447458700367152</v>
      </c>
      <c r="U1265" s="76">
        <f>U1264+S1265</f>
        <v>93.0071311121036</v>
      </c>
      <c r="V1265" s="76">
        <f>V1264+T1265</f>
        <v>1599.0479378750372</v>
      </c>
    </row>
    <row r="1266" spans="1:22" ht="19" customHeight="1">
      <c r="A1266" s="68" t="s">
        <v>362</v>
      </c>
      <c r="B1266" s="74">
        <v>5</v>
      </c>
      <c r="C1266" s="68" t="s">
        <v>363</v>
      </c>
      <c r="D1266" s="68" t="s">
        <v>365</v>
      </c>
      <c r="E1266" s="75">
        <f>60*F1266*'THAM_SO_MOI'!$C$53/(2*PI()*'THAM_SO_MOI'!$C$26)</f>
        <v>2349.492394736841</v>
      </c>
      <c r="F1266" s="75">
        <f>'THAM_SO_MOI'!$C$14+('THAM_SO_MOI'!$C$37-'THAM_SO_MOI'!$C$14)*459/'THAM_SO_MOI'!$C$42</f>
        <v>23.84634375</v>
      </c>
      <c r="G1266" s="75">
        <f>3.6*F1266</f>
        <v>85.84683749999999</v>
      </c>
      <c r="H1266" s="75">
        <f>'THAM_SO_MOI'!$D$53</f>
        <v>1.1</v>
      </c>
      <c r="I1266" s="75">
        <f>IF(F1266&gt;='THAM_SO_MOI'!$C$14,'THAM_SO_MOI'!$C$13*(1+F1266^2/1500),'THAM_SO_MOI'!$C$13)</f>
        <v>0.02068648110243164</v>
      </c>
      <c r="J1266" s="75">
        <f>'THAM_SO_MOI'!$C$40*('THAM_SO_MOI'!$C$23*(E1266/'THAM_SO_MOI'!$C$22)+'THAM_SO_MOI'!$C$24*(E1266/'THAM_SO_MOI'!$C$22)^2-'THAM_SO_MOI'!$C$25*(E1266/'THAM_SO_MOI'!$C$22)^3)</f>
        <v>105.40949463595601</v>
      </c>
      <c r="K1266" s="75">
        <f>'THAM_SO_MOI'!$C$31*J1266/E1266</f>
        <v>428.50807064572274</v>
      </c>
      <c r="L1266" s="75">
        <f>K1266*'THAM_SO_MOI'!$C$53*'THAM_SO_MOI'!$C$17/'THAM_SO_MOI'!$C$26</f>
        <v>3758.0174563015953</v>
      </c>
      <c r="M1266" s="75">
        <f>'THAM_SO_MOI'!$C$15*'THAM_SO_MOI'!$C$16*F1266^2</f>
        <v>1663.295722461255</v>
      </c>
      <c r="N1266" s="75">
        <f>'THAM_SO_MOI'!$C$12*I1266</f>
        <v>1558.5360354420818</v>
      </c>
      <c r="O1266" s="75">
        <f>M1266+N1266</f>
        <v>3221.831757903337</v>
      </c>
      <c r="P1266" s="75">
        <f>(MIN(L1266,'THAM_SO_MOI'!$C$41)-O1266)/('THAM_SO_MOI'!$C$11*H1266)</f>
        <v>0.06346895104146051</v>
      </c>
      <c r="Q1266" s="75">
        <f>IF(P1266&gt;0,1/P1266,NA())</f>
        <v>15.755735420091616</v>
      </c>
      <c r="R1266" s="75">
        <f>F1266-F1265</f>
        <v>0.0035868055555567935</v>
      </c>
      <c r="S1266" s="75">
        <f>0.5*(Q1265+Q1266)*R1266</f>
        <v>0.05647675316608396</v>
      </c>
      <c r="T1266" s="75">
        <f>0.5*(F1265*Q1265+F1266*Q1266)*R1266</f>
        <v>1.3466628488898973</v>
      </c>
      <c r="U1266" s="76">
        <f>U1265+S1266</f>
        <v>93.06360786526967</v>
      </c>
      <c r="V1266" s="76">
        <f>V1265+T1266</f>
        <v>1600.3946007239272</v>
      </c>
    </row>
    <row r="1267" spans="1:22" ht="19" customHeight="1">
      <c r="A1267" s="68" t="s">
        <v>362</v>
      </c>
      <c r="B1267" s="74">
        <v>5</v>
      </c>
      <c r="C1267" s="68" t="s">
        <v>363</v>
      </c>
      <c r="D1267" s="68" t="s">
        <v>365</v>
      </c>
      <c r="E1267" s="75">
        <f>60*F1267*'THAM_SO_MOI'!$C$53/(2*PI()*'THAM_SO_MOI'!$C$26)</f>
        <v>2349.8457894736835</v>
      </c>
      <c r="F1267" s="75">
        <f>'THAM_SO_MOI'!$C$14+('THAM_SO_MOI'!$C$37-'THAM_SO_MOI'!$C$14)*460/'THAM_SO_MOI'!$C$42</f>
        <v>23.849930555555556</v>
      </c>
      <c r="G1267" s="75">
        <f>3.6*F1267</f>
        <v>85.85975</v>
      </c>
      <c r="H1267" s="75">
        <f>'THAM_SO_MOI'!$D$53</f>
        <v>1.1</v>
      </c>
      <c r="I1267" s="75">
        <f>IF(F1267&gt;='THAM_SO_MOI'!$C$14,'THAM_SO_MOI'!$C$13*(1+F1267^2/1500),'THAM_SO_MOI'!$C$13)</f>
        <v>0.020688191875048226</v>
      </c>
      <c r="J1267" s="75">
        <f>'THAM_SO_MOI'!$C$40*('THAM_SO_MOI'!$C$23*(E1267/'THAM_SO_MOI'!$C$22)+'THAM_SO_MOI'!$C$24*(E1267/'THAM_SO_MOI'!$C$22)^2-'THAM_SO_MOI'!$C$25*(E1267/'THAM_SO_MOI'!$C$22)^3)</f>
        <v>105.42380599438538</v>
      </c>
      <c r="K1267" s="75">
        <f>'THAM_SO_MOI'!$C$31*J1267/E1267</f>
        <v>428.50179648736344</v>
      </c>
      <c r="L1267" s="75">
        <f>K1267*'THAM_SO_MOI'!$C$53*'THAM_SO_MOI'!$C$17/'THAM_SO_MOI'!$C$26</f>
        <v>3757.9624319082336</v>
      </c>
      <c r="M1267" s="75">
        <f>'THAM_SO_MOI'!$C$15*'THAM_SO_MOI'!$C$16*F1267^2</f>
        <v>1663.796123451606</v>
      </c>
      <c r="N1267" s="75">
        <f>'THAM_SO_MOI'!$C$12*I1267</f>
        <v>1558.6649264196335</v>
      </c>
      <c r="O1267" s="75">
        <f>M1267+N1267</f>
        <v>3222.4610498712395</v>
      </c>
      <c r="P1267" s="75">
        <f>(MIN(L1267,'THAM_SO_MOI'!$C$41)-O1267)/('THAM_SO_MOI'!$C$11*H1267)</f>
        <v>0.06338794768430328</v>
      </c>
      <c r="Q1267" s="75">
        <f>IF(P1267&gt;0,1/P1267,NA())</f>
        <v>15.775869649233483</v>
      </c>
      <c r="R1267" s="75">
        <f>F1267-F1266</f>
        <v>0.0035868055555567935</v>
      </c>
      <c r="S1267" s="75">
        <f>0.5*(Q1266+Q1267)*R1267</f>
        <v>0.056548868119139006</v>
      </c>
      <c r="T1267" s="75">
        <f>0.5*(F1266*Q1266+F1267*Q1267)*R1267</f>
        <v>1.3485852274971606</v>
      </c>
      <c r="U1267" s="76">
        <f>U1266+S1267</f>
        <v>93.12015673338881</v>
      </c>
      <c r="V1267" s="76">
        <f>V1266+T1267</f>
        <v>1601.7431859514243</v>
      </c>
    </row>
    <row r="1268" spans="1:22" ht="19" customHeight="1">
      <c r="A1268" s="68" t="s">
        <v>362</v>
      </c>
      <c r="B1268" s="74">
        <v>5</v>
      </c>
      <c r="C1268" s="68" t="s">
        <v>363</v>
      </c>
      <c r="D1268" s="68" t="s">
        <v>365</v>
      </c>
      <c r="E1268" s="75">
        <f>60*F1268*'THAM_SO_MOI'!$C$53/(2*PI()*'THAM_SO_MOI'!$C$26)</f>
        <v>2350.199184210526</v>
      </c>
      <c r="F1268" s="75">
        <f>'THAM_SO_MOI'!$C$14+('THAM_SO_MOI'!$C$37-'THAM_SO_MOI'!$C$14)*461/'THAM_SO_MOI'!$C$42</f>
        <v>23.85351736111111</v>
      </c>
      <c r="G1268" s="75">
        <f>3.6*F1268</f>
        <v>85.87266249999999</v>
      </c>
      <c r="H1268" s="75">
        <f>'THAM_SO_MOI'!$D$53</f>
        <v>1.1</v>
      </c>
      <c r="I1268" s="75">
        <f>IF(F1268&gt;='THAM_SO_MOI'!$C$14,'THAM_SO_MOI'!$C$13*(1+F1268^2/1500),'THAM_SO_MOI'!$C$13)</f>
        <v>0.02068990290496829</v>
      </c>
      <c r="J1268" s="75">
        <f>'THAM_SO_MOI'!$C$40*('THAM_SO_MOI'!$C$23*(E1268/'THAM_SO_MOI'!$C$22)+'THAM_SO_MOI'!$C$24*(E1268/'THAM_SO_MOI'!$C$22)^2-'THAM_SO_MOI'!$C$25*(E1268/'THAM_SO_MOI'!$C$22)^3)</f>
        <v>105.43811390719156</v>
      </c>
      <c r="K1268" s="75">
        <f>'THAM_SO_MOI'!$C$31*J1268/E1268</f>
        <v>428.4955102130196</v>
      </c>
      <c r="L1268" s="75">
        <f>K1268*'THAM_SO_MOI'!$C$53*'THAM_SO_MOI'!$C$17/'THAM_SO_MOI'!$C$26</f>
        <v>3757.90730125764</v>
      </c>
      <c r="M1268" s="75">
        <f>'THAM_SO_MOI'!$C$15*'THAM_SO_MOI'!$C$16*F1268^2</f>
        <v>1664.2965997032252</v>
      </c>
      <c r="N1268" s="75">
        <f>'THAM_SO_MOI'!$C$12*I1268</f>
        <v>1558.793836782635</v>
      </c>
      <c r="O1268" s="75">
        <f>M1268+N1268</f>
        <v>3223.09043648586</v>
      </c>
      <c r="P1268" s="75">
        <f>(MIN(L1268,'THAM_SO_MOI'!$C$41)-O1268)/('THAM_SO_MOI'!$C$11*H1268)</f>
        <v>0.06330692054590197</v>
      </c>
      <c r="Q1268" s="75">
        <f>IF(P1268&gt;0,1/P1268,NA())</f>
        <v>15.796061337005481</v>
      </c>
      <c r="R1268" s="75">
        <f>F1268-F1267</f>
        <v>0.0035868055555532408</v>
      </c>
      <c r="S1268" s="75">
        <f>0.5*(Q1267+Q1268)*R1268</f>
        <v>0.05662118873049271</v>
      </c>
      <c r="T1268" s="75">
        <f>0.5*(F1267*Q1267+F1268*Q1268)*R1268</f>
        <v>1.350513028734801</v>
      </c>
      <c r="U1268" s="76">
        <f>U1267+S1268</f>
        <v>93.1767779221193</v>
      </c>
      <c r="V1268" s="76">
        <f>V1267+T1268</f>
        <v>1603.0936989801592</v>
      </c>
    </row>
    <row r="1269" spans="1:22" ht="19" customHeight="1">
      <c r="A1269" s="68" t="s">
        <v>362</v>
      </c>
      <c r="B1269" s="74">
        <v>5</v>
      </c>
      <c r="C1269" s="68" t="s">
        <v>363</v>
      </c>
      <c r="D1269" s="68" t="s">
        <v>365</v>
      </c>
      <c r="E1269" s="75">
        <f>60*F1269*'THAM_SO_MOI'!$C$53/(2*PI()*'THAM_SO_MOI'!$C$26)</f>
        <v>2350.552578947368</v>
      </c>
      <c r="F1269" s="75">
        <f>'THAM_SO_MOI'!$C$14+('THAM_SO_MOI'!$C$37-'THAM_SO_MOI'!$C$14)*462/'THAM_SO_MOI'!$C$42</f>
        <v>23.857104166666666</v>
      </c>
      <c r="G1269" s="75">
        <f>3.6*F1269</f>
        <v>85.885575</v>
      </c>
      <c r="H1269" s="75">
        <f>'THAM_SO_MOI'!$D$53</f>
        <v>1.1</v>
      </c>
      <c r="I1269" s="75">
        <f>IF(F1269&gt;='THAM_SO_MOI'!$C$14,'THAM_SO_MOI'!$C$13*(1+F1269^2/1500),'THAM_SO_MOI'!$C$13)</f>
        <v>0.020691614192191836</v>
      </c>
      <c r="J1269" s="75">
        <f>'THAM_SO_MOI'!$C$40*('THAM_SO_MOI'!$C$23*(E1269/'THAM_SO_MOI'!$C$22)+'THAM_SO_MOI'!$C$24*(E1269/'THAM_SO_MOI'!$C$22)^2-'THAM_SO_MOI'!$C$25*(E1269/'THAM_SO_MOI'!$C$22)^3)</f>
        <v>105.4524183730297</v>
      </c>
      <c r="K1269" s="75">
        <f>'THAM_SO_MOI'!$C$31*J1269/E1269</f>
        <v>428.4892118226914</v>
      </c>
      <c r="L1269" s="75">
        <f>K1269*'THAM_SO_MOI'!$C$53*'THAM_SO_MOI'!$C$17/'THAM_SO_MOI'!$C$26</f>
        <v>3757.852064349817</v>
      </c>
      <c r="M1269" s="75">
        <f>'THAM_SO_MOI'!$C$15*'THAM_SO_MOI'!$C$16*F1269^2</f>
        <v>1664.7971512161132</v>
      </c>
      <c r="N1269" s="75">
        <f>'THAM_SO_MOI'!$C$12*I1269</f>
        <v>1558.9227665310868</v>
      </c>
      <c r="O1269" s="75">
        <f>M1269+N1269</f>
        <v>3223.7199177472003</v>
      </c>
      <c r="P1269" s="75">
        <f>(MIN(L1269,'THAM_SO_MOI'!$C$41)-O1269)/('THAM_SO_MOI'!$C$11*H1269)</f>
        <v>0.06322586962625674</v>
      </c>
      <c r="Q1269" s="75">
        <f>IF(P1269&gt;0,1/P1269,NA())</f>
        <v>15.816310727100149</v>
      </c>
      <c r="R1269" s="75">
        <f>F1269-F1268</f>
        <v>0.0035868055555567935</v>
      </c>
      <c r="S1269" s="75">
        <f>0.5*(Q1268+Q1269)*R1269</f>
        <v>0.05669371587193122</v>
      </c>
      <c r="T1269" s="75">
        <f>0.5*(F1268*Q1268+F1269*Q1269)*R1269</f>
        <v>1.3524462756125213</v>
      </c>
      <c r="U1269" s="76">
        <f>U1268+S1269</f>
        <v>93.23347163799123</v>
      </c>
      <c r="V1269" s="76">
        <f>V1268+T1269</f>
        <v>1604.4461452557716</v>
      </c>
    </row>
    <row r="1270" spans="1:22" ht="19" customHeight="1">
      <c r="A1270" s="68" t="s">
        <v>362</v>
      </c>
      <c r="B1270" s="74">
        <v>5</v>
      </c>
      <c r="C1270" s="68" t="s">
        <v>363</v>
      </c>
      <c r="D1270" s="68" t="s">
        <v>365</v>
      </c>
      <c r="E1270" s="75">
        <f>60*F1270*'THAM_SO_MOI'!$C$53/(2*PI()*'THAM_SO_MOI'!$C$26)</f>
        <v>2350.90597368421</v>
      </c>
      <c r="F1270" s="75">
        <f>'THAM_SO_MOI'!$C$14+('THAM_SO_MOI'!$C$37-'THAM_SO_MOI'!$C$14)*463/'THAM_SO_MOI'!$C$42</f>
        <v>23.860690972222223</v>
      </c>
      <c r="G1270" s="75">
        <f>3.6*F1270</f>
        <v>85.8984875</v>
      </c>
      <c r="H1270" s="75">
        <f>'THAM_SO_MOI'!$D$53</f>
        <v>1.1</v>
      </c>
      <c r="I1270" s="75">
        <f>IF(F1270&gt;='THAM_SO_MOI'!$C$14,'THAM_SO_MOI'!$C$13*(1+F1270^2/1500),'THAM_SO_MOI'!$C$13)</f>
        <v>0.02069332573671887</v>
      </c>
      <c r="J1270" s="75">
        <f>'THAM_SO_MOI'!$C$40*('THAM_SO_MOI'!$C$23*(E1270/'THAM_SO_MOI'!$C$22)+'THAM_SO_MOI'!$C$24*(E1270/'THAM_SO_MOI'!$C$22)^2-'THAM_SO_MOI'!$C$25*(E1270/'THAM_SO_MOI'!$C$22)^3)</f>
        <v>105.46671939055489</v>
      </c>
      <c r="K1270" s="75">
        <f>'THAM_SO_MOI'!$C$31*J1270/E1270</f>
        <v>428.4829013163788</v>
      </c>
      <c r="L1270" s="75">
        <f>K1270*'THAM_SO_MOI'!$C$53*'THAM_SO_MOI'!$C$17/'THAM_SO_MOI'!$C$26</f>
        <v>3757.796721184762</v>
      </c>
      <c r="M1270" s="75">
        <f>'THAM_SO_MOI'!$C$15*'THAM_SO_MOI'!$C$16*F1270^2</f>
        <v>1665.2977779902699</v>
      </c>
      <c r="N1270" s="75">
        <f>'THAM_SO_MOI'!$C$12*I1270</f>
        <v>1559.051715664989</v>
      </c>
      <c r="O1270" s="75">
        <f>M1270+N1270</f>
        <v>3224.349493655259</v>
      </c>
      <c r="P1270" s="75">
        <f>(MIN(L1270,'THAM_SO_MOI'!$C$41)-O1270)/('THAM_SO_MOI'!$C$11*H1270)</f>
        <v>0.06314479492536736</v>
      </c>
      <c r="Q1270" s="75">
        <f>IF(P1270&gt;0,1/P1270,NA())</f>
        <v>15.836618064591526</v>
      </c>
      <c r="R1270" s="75">
        <f>F1270-F1269</f>
        <v>0.0035868055555567935</v>
      </c>
      <c r="S1270" s="75">
        <f>0.5*(Q1269+Q1270)*R1270</f>
        <v>0.056766450419841644</v>
      </c>
      <c r="T1270" s="75">
        <f>0.5*(F1269*Q1269+F1270*Q1270)*R1270</f>
        <v>1.3543849912623063</v>
      </c>
      <c r="U1270" s="76">
        <f>U1269+S1270</f>
        <v>93.29023808841107</v>
      </c>
      <c r="V1270" s="76">
        <f>V1269+T1270</f>
        <v>1605.800530247034</v>
      </c>
    </row>
    <row r="1271" spans="1:22" ht="19" customHeight="1">
      <c r="A1271" s="68" t="s">
        <v>362</v>
      </c>
      <c r="B1271" s="74">
        <v>5</v>
      </c>
      <c r="C1271" s="68" t="s">
        <v>363</v>
      </c>
      <c r="D1271" s="68" t="s">
        <v>365</v>
      </c>
      <c r="E1271" s="75">
        <f>60*F1271*'THAM_SO_MOI'!$C$53/(2*PI()*'THAM_SO_MOI'!$C$26)</f>
        <v>2351.259368421052</v>
      </c>
      <c r="F1271" s="75">
        <f>'THAM_SO_MOI'!$C$14+('THAM_SO_MOI'!$C$37-'THAM_SO_MOI'!$C$14)*464/'THAM_SO_MOI'!$C$42</f>
        <v>23.864277777777776</v>
      </c>
      <c r="G1271" s="75">
        <f>3.6*F1271</f>
        <v>85.9114</v>
      </c>
      <c r="H1271" s="75">
        <f>'THAM_SO_MOI'!$D$53</f>
        <v>1.1</v>
      </c>
      <c r="I1271" s="75">
        <f>IF(F1271&gt;='THAM_SO_MOI'!$C$14,'THAM_SO_MOI'!$C$13*(1+F1271^2/1500),'THAM_SO_MOI'!$C$13)</f>
        <v>0.02069503753854938</v>
      </c>
      <c r="J1271" s="75">
        <f>'THAM_SO_MOI'!$C$40*('THAM_SO_MOI'!$C$23*(E1271/'THAM_SO_MOI'!$C$22)+'THAM_SO_MOI'!$C$24*(E1271/'THAM_SO_MOI'!$C$22)^2-'THAM_SO_MOI'!$C$25*(E1271/'THAM_SO_MOI'!$C$22)^3)</f>
        <v>105.48101695842219</v>
      </c>
      <c r="K1271" s="75">
        <f>'THAM_SO_MOI'!$C$31*J1271/E1271</f>
        <v>428.4765786940816</v>
      </c>
      <c r="L1271" s="75">
        <f>K1271*'THAM_SO_MOI'!$C$53*'THAM_SO_MOI'!$C$17/'THAM_SO_MOI'!$C$26</f>
        <v>3757.741271762475</v>
      </c>
      <c r="M1271" s="75">
        <f>'THAM_SO_MOI'!$C$15*'THAM_SO_MOI'!$C$16*F1271^2</f>
        <v>1665.798480025694</v>
      </c>
      <c r="N1271" s="75">
        <f>'THAM_SO_MOI'!$C$12*I1271</f>
        <v>1559.1806841843413</v>
      </c>
      <c r="O1271" s="75">
        <f>M1271+N1271</f>
        <v>3224.9791642100354</v>
      </c>
      <c r="P1271" s="75">
        <f>(MIN(L1271,'THAM_SO_MOI'!$C$41)-O1271)/('THAM_SO_MOI'!$C$11*H1271)</f>
        <v>0.06306369644323388</v>
      </c>
      <c r="Q1271" s="75">
        <f>IF(P1271&gt;0,1/P1271,NA())</f>
        <v>15.856983595944767</v>
      </c>
      <c r="R1271" s="75">
        <f>F1271-F1270</f>
        <v>0.0035868055555532408</v>
      </c>
      <c r="S1271" s="75">
        <f>0.5*(Q1270+Q1271)*R1271</f>
        <v>0.0568393932557515</v>
      </c>
      <c r="T1271" s="75">
        <f>0.5*(F1270*Q1270+F1271*Q1271)*R1271</f>
        <v>1.356329198951377</v>
      </c>
      <c r="U1271" s="76">
        <f>U1270+S1271</f>
        <v>93.34707748166683</v>
      </c>
      <c r="V1271" s="76">
        <f>V1270+T1271</f>
        <v>1607.1568594459854</v>
      </c>
    </row>
    <row r="1272" spans="1:22" ht="19" customHeight="1">
      <c r="A1272" s="68" t="s">
        <v>362</v>
      </c>
      <c r="B1272" s="74">
        <v>5</v>
      </c>
      <c r="C1272" s="68" t="s">
        <v>363</v>
      </c>
      <c r="D1272" s="68" t="s">
        <v>365</v>
      </c>
      <c r="E1272" s="75">
        <f>60*F1272*'THAM_SO_MOI'!$C$53/(2*PI()*'THAM_SO_MOI'!$C$26)</f>
        <v>2351.612763157894</v>
      </c>
      <c r="F1272" s="75">
        <f>'THAM_SO_MOI'!$C$14+('THAM_SO_MOI'!$C$37-'THAM_SO_MOI'!$C$14)*465/'THAM_SO_MOI'!$C$42</f>
        <v>23.867864583333333</v>
      </c>
      <c r="G1272" s="75">
        <f>3.6*F1272</f>
        <v>85.9243125</v>
      </c>
      <c r="H1272" s="75">
        <f>'THAM_SO_MOI'!$D$53</f>
        <v>1.1</v>
      </c>
      <c r="I1272" s="75">
        <f>IF(F1272&gt;='THAM_SO_MOI'!$C$14,'THAM_SO_MOI'!$C$13*(1+F1272^2/1500),'THAM_SO_MOI'!$C$13)</f>
        <v>0.020696749597683375</v>
      </c>
      <c r="J1272" s="75">
        <f>'THAM_SO_MOI'!$C$40*('THAM_SO_MOI'!$C$23*(E1272/'THAM_SO_MOI'!$C$22)+'THAM_SO_MOI'!$C$24*(E1272/'THAM_SO_MOI'!$C$22)^2-'THAM_SO_MOI'!$C$25*(E1272/'THAM_SO_MOI'!$C$22)^3)</f>
        <v>105.49531107528675</v>
      </c>
      <c r="K1272" s="75">
        <f>'THAM_SO_MOI'!$C$31*J1272/E1272</f>
        <v>428.4702439557999</v>
      </c>
      <c r="L1272" s="75">
        <f>K1272*'THAM_SO_MOI'!$C$53*'THAM_SO_MOI'!$C$17/'THAM_SO_MOI'!$C$26</f>
        <v>3757.6857160829577</v>
      </c>
      <c r="M1272" s="75">
        <f>'THAM_SO_MOI'!$C$15*'THAM_SO_MOI'!$C$16*F1272^2</f>
        <v>1666.2992573223878</v>
      </c>
      <c r="N1272" s="75">
        <f>'THAM_SO_MOI'!$C$12*I1272</f>
        <v>1559.3096720891438</v>
      </c>
      <c r="O1272" s="75">
        <f>M1272+N1272</f>
        <v>3225.608929411532</v>
      </c>
      <c r="P1272" s="75">
        <f>(MIN(L1272,'THAM_SO_MOI'!$C$41)-O1272)/('THAM_SO_MOI'!$C$11*H1272)</f>
        <v>0.06298257417985631</v>
      </c>
      <c r="Q1272" s="75">
        <f>IF(P1272&gt;0,1/P1272,NA())</f>
        <v>15.877407569026126</v>
      </c>
      <c r="R1272" s="75">
        <f>F1272-F1271</f>
        <v>0.0035868055555567935</v>
      </c>
      <c r="S1272" s="75">
        <f>0.5*(Q1271+Q1272)*R1272</f>
        <v>0.056912545266365015</v>
      </c>
      <c r="T1272" s="75">
        <f>0.5*(F1271*Q1271+F1272*Q1272)*R1272</f>
        <v>1.3582789220831497</v>
      </c>
      <c r="U1272" s="76">
        <f>U1271+S1272</f>
        <v>93.4039900269332</v>
      </c>
      <c r="V1272" s="76">
        <f>V1271+T1272</f>
        <v>1608.5151383680686</v>
      </c>
    </row>
    <row r="1273" spans="1:22" ht="19" customHeight="1">
      <c r="A1273" s="68" t="s">
        <v>362</v>
      </c>
      <c r="B1273" s="74">
        <v>5</v>
      </c>
      <c r="C1273" s="68" t="s">
        <v>363</v>
      </c>
      <c r="D1273" s="68" t="s">
        <v>365</v>
      </c>
      <c r="E1273" s="75">
        <f>60*F1273*'THAM_SO_MOI'!$C$53/(2*PI()*'THAM_SO_MOI'!$C$26)</f>
        <v>2351.966157894736</v>
      </c>
      <c r="F1273" s="75">
        <f>'THAM_SO_MOI'!$C$14+('THAM_SO_MOI'!$C$37-'THAM_SO_MOI'!$C$14)*466/'THAM_SO_MOI'!$C$42</f>
        <v>23.871451388888886</v>
      </c>
      <c r="G1273" s="75">
        <f>3.6*F1273</f>
        <v>85.937225</v>
      </c>
      <c r="H1273" s="75">
        <f>'THAM_SO_MOI'!$D$53</f>
        <v>1.1</v>
      </c>
      <c r="I1273" s="75">
        <f>IF(F1273&gt;='THAM_SO_MOI'!$C$14,'THAM_SO_MOI'!$C$13*(1+F1273^2/1500),'THAM_SO_MOI'!$C$13)</f>
        <v>0.02069846191412085</v>
      </c>
      <c r="J1273" s="75">
        <f>'THAM_SO_MOI'!$C$40*('THAM_SO_MOI'!$C$23*(E1273/'THAM_SO_MOI'!$C$22)+'THAM_SO_MOI'!$C$24*(E1273/'THAM_SO_MOI'!$C$22)^2-'THAM_SO_MOI'!$C$25*(E1273/'THAM_SO_MOI'!$C$22)^3)</f>
        <v>105.50960173980374</v>
      </c>
      <c r="K1273" s="75">
        <f>'THAM_SO_MOI'!$C$31*J1273/E1273</f>
        <v>428.4638971015338</v>
      </c>
      <c r="L1273" s="75">
        <f>K1273*'THAM_SO_MOI'!$C$53*'THAM_SO_MOI'!$C$17/'THAM_SO_MOI'!$C$26</f>
        <v>3757.6300541462087</v>
      </c>
      <c r="M1273" s="75">
        <f>'THAM_SO_MOI'!$C$15*'THAM_SO_MOI'!$C$16*F1273^2</f>
        <v>1666.8001098803493</v>
      </c>
      <c r="N1273" s="75">
        <f>'THAM_SO_MOI'!$C$12*I1273</f>
        <v>1559.4386793793963</v>
      </c>
      <c r="O1273" s="75">
        <f>M1273+N1273</f>
        <v>3226.2387892597453</v>
      </c>
      <c r="P1273" s="75">
        <f>(MIN(L1273,'THAM_SO_MOI'!$C$41)-O1273)/('THAM_SO_MOI'!$C$11*H1273)</f>
        <v>0.06290142813523475</v>
      </c>
      <c r="Q1273" s="75">
        <f>IF(P1273&gt;0,1/P1273,NA())</f>
        <v>15.897890233112877</v>
      </c>
      <c r="R1273" s="75">
        <f>F1273-F1272</f>
        <v>0.0035868055555532408</v>
      </c>
      <c r="S1273" s="75">
        <f>0.5*(Q1272+Q1273)*R1273</f>
        <v>0.05698590734303542</v>
      </c>
      <c r="T1273" s="75">
        <f>0.5*(F1272*Q1272+F1273*Q1273)*R1273</f>
        <v>1.3602341841847332</v>
      </c>
      <c r="U1273" s="76">
        <f>U1272+S1273</f>
        <v>93.46097593427623</v>
      </c>
      <c r="V1273" s="76">
        <f>V1272+T1273</f>
        <v>1609.8753725522533</v>
      </c>
    </row>
    <row r="1274" spans="1:22" ht="19" customHeight="1">
      <c r="A1274" s="68" t="s">
        <v>362</v>
      </c>
      <c r="B1274" s="74">
        <v>5</v>
      </c>
      <c r="C1274" s="68" t="s">
        <v>363</v>
      </c>
      <c r="D1274" s="68" t="s">
        <v>365</v>
      </c>
      <c r="E1274" s="75">
        <f>60*F1274*'THAM_SO_MOI'!$C$53/(2*PI()*'THAM_SO_MOI'!$C$26)</f>
        <v>2352.3195526315785</v>
      </c>
      <c r="F1274" s="75">
        <f>'THAM_SO_MOI'!$C$14+('THAM_SO_MOI'!$C$37-'THAM_SO_MOI'!$C$14)*467/'THAM_SO_MOI'!$C$42</f>
        <v>23.875038194444443</v>
      </c>
      <c r="G1274" s="75">
        <f>3.6*F1274</f>
        <v>85.9501375</v>
      </c>
      <c r="H1274" s="75">
        <f>'THAM_SO_MOI'!$D$53</f>
        <v>1.1</v>
      </c>
      <c r="I1274" s="75">
        <f>IF(F1274&gt;='THAM_SO_MOI'!$C$14,'THAM_SO_MOI'!$C$13*(1+F1274^2/1500),'THAM_SO_MOI'!$C$13)</f>
        <v>0.02070017448786181</v>
      </c>
      <c r="J1274" s="75">
        <f>'THAM_SO_MOI'!$C$40*('THAM_SO_MOI'!$C$23*(E1274/'THAM_SO_MOI'!$C$22)+'THAM_SO_MOI'!$C$24*(E1274/'THAM_SO_MOI'!$C$22)^2-'THAM_SO_MOI'!$C$25*(E1274/'THAM_SO_MOI'!$C$22)^3)</f>
        <v>105.52388895062822</v>
      </c>
      <c r="K1274" s="75">
        <f>'THAM_SO_MOI'!$C$31*J1274/E1274</f>
        <v>428.45753813128323</v>
      </c>
      <c r="L1274" s="75">
        <f>K1274*'THAM_SO_MOI'!$C$53*'THAM_SO_MOI'!$C$17/'THAM_SO_MOI'!$C$26</f>
        <v>3757.574285952229</v>
      </c>
      <c r="M1274" s="75">
        <f>'THAM_SO_MOI'!$C$15*'THAM_SO_MOI'!$C$16*F1274^2</f>
        <v>1667.3010376995794</v>
      </c>
      <c r="N1274" s="75">
        <f>'THAM_SO_MOI'!$C$12*I1274</f>
        <v>1559.5677060550993</v>
      </c>
      <c r="O1274" s="75">
        <f>M1274+N1274</f>
        <v>3226.8687437546787</v>
      </c>
      <c r="P1274" s="75">
        <f>(MIN(L1274,'THAM_SO_MOI'!$C$41)-O1274)/('THAM_SO_MOI'!$C$11*H1274)</f>
        <v>0.0628202583093691</v>
      </c>
      <c r="Q1274" s="75">
        <f>IF(P1274&gt;0,1/P1274,NA())</f>
        <v>15.918431838903448</v>
      </c>
      <c r="R1274" s="75">
        <f>F1274-F1273</f>
        <v>0.0035868055555567935</v>
      </c>
      <c r="S1274" s="75">
        <f>0.5*(Q1273+Q1274)*R1274</f>
        <v>0.057059480382646195</v>
      </c>
      <c r="T1274" s="75">
        <f>0.5*(F1273*Q1273+F1274*Q1274)*R1274</f>
        <v>1.3621950089280481</v>
      </c>
      <c r="U1274" s="76">
        <f>U1273+S1274</f>
        <v>93.51803541465888</v>
      </c>
      <c r="V1274" s="76">
        <f>V1273+T1274</f>
        <v>1611.2375675611813</v>
      </c>
    </row>
    <row r="1275" spans="1:22" ht="19" customHeight="1">
      <c r="A1275" s="68" t="s">
        <v>362</v>
      </c>
      <c r="B1275" s="74">
        <v>5</v>
      </c>
      <c r="C1275" s="68" t="s">
        <v>363</v>
      </c>
      <c r="D1275" s="68" t="s">
        <v>365</v>
      </c>
      <c r="E1275" s="75">
        <f>60*F1275*'THAM_SO_MOI'!$C$53/(2*PI()*'THAM_SO_MOI'!$C$26)</f>
        <v>2352.672947368421</v>
      </c>
      <c r="F1275" s="75">
        <f>'THAM_SO_MOI'!$C$14+('THAM_SO_MOI'!$C$37-'THAM_SO_MOI'!$C$14)*468/'THAM_SO_MOI'!$C$42</f>
        <v>23.878625</v>
      </c>
      <c r="G1275" s="75">
        <f>3.6*F1275</f>
        <v>85.96305</v>
      </c>
      <c r="H1275" s="75">
        <f>'THAM_SO_MOI'!$D$53</f>
        <v>1.1</v>
      </c>
      <c r="I1275" s="75">
        <f>IF(F1275&gt;='THAM_SO_MOI'!$C$14,'THAM_SO_MOI'!$C$13*(1+F1275^2/1500),'THAM_SO_MOI'!$C$13)</f>
        <v>0.020701887318906247</v>
      </c>
      <c r="J1275" s="75">
        <f>'THAM_SO_MOI'!$C$40*('THAM_SO_MOI'!$C$23*(E1275/'THAM_SO_MOI'!$C$22)+'THAM_SO_MOI'!$C$24*(E1275/'THAM_SO_MOI'!$C$22)^2-'THAM_SO_MOI'!$C$25*(E1275/'THAM_SO_MOI'!$C$22)^3)</f>
        <v>105.53817270641531</v>
      </c>
      <c r="K1275" s="75">
        <f>'THAM_SO_MOI'!$C$31*J1275/E1275</f>
        <v>428.45116704504835</v>
      </c>
      <c r="L1275" s="75">
        <f>K1275*'THAM_SO_MOI'!$C$53*'THAM_SO_MOI'!$C$17/'THAM_SO_MOI'!$C$26</f>
        <v>3757.5184115010193</v>
      </c>
      <c r="M1275" s="75">
        <f>'THAM_SO_MOI'!$C$15*'THAM_SO_MOI'!$C$16*F1275^2</f>
        <v>1667.8020407800784</v>
      </c>
      <c r="N1275" s="75">
        <f>'THAM_SO_MOI'!$C$12*I1275</f>
        <v>1559.696752116252</v>
      </c>
      <c r="O1275" s="75">
        <f>M1275+N1275</f>
        <v>3227.49879289633</v>
      </c>
      <c r="P1275" s="75">
        <f>(MIN(L1275,'THAM_SO_MOI'!$C$41)-O1275)/('THAM_SO_MOI'!$C$11*H1275)</f>
        <v>0.06273906470225961</v>
      </c>
      <c r="Q1275" s="75">
        <f>IF(P1275&gt;0,1/P1275,NA())</f>
        <v>15.939032638527427</v>
      </c>
      <c r="R1275" s="75">
        <f>F1275-F1274</f>
        <v>0.0035868055555567935</v>
      </c>
      <c r="S1275" s="75">
        <f>0.5*(Q1274+Q1275)*R1275</f>
        <v>0.05713326528680113</v>
      </c>
      <c r="T1275" s="75">
        <f>0.5*(F1274*Q1274+F1275*Q1275)*R1275</f>
        <v>1.3641614201105912</v>
      </c>
      <c r="U1275" s="76">
        <f>U1274+S1275</f>
        <v>93.57516867994569</v>
      </c>
      <c r="V1275" s="76">
        <f>V1274+T1275</f>
        <v>1612.601728981292</v>
      </c>
    </row>
    <row r="1276" spans="1:22" ht="19" customHeight="1">
      <c r="A1276" s="68" t="s">
        <v>362</v>
      </c>
      <c r="B1276" s="74">
        <v>5</v>
      </c>
      <c r="C1276" s="68" t="s">
        <v>363</v>
      </c>
      <c r="D1276" s="68" t="s">
        <v>365</v>
      </c>
      <c r="E1276" s="75">
        <f>60*F1276*'THAM_SO_MOI'!$C$53/(2*PI()*'THAM_SO_MOI'!$C$26)</f>
        <v>2353.0263421052628</v>
      </c>
      <c r="F1276" s="75">
        <f>'THAM_SO_MOI'!$C$14+('THAM_SO_MOI'!$C$37-'THAM_SO_MOI'!$C$14)*469/'THAM_SO_MOI'!$C$42</f>
        <v>23.882211805555553</v>
      </c>
      <c r="G1276" s="75">
        <f>3.6*F1276</f>
        <v>85.9759625</v>
      </c>
      <c r="H1276" s="75">
        <f>'THAM_SO_MOI'!$D$53</f>
        <v>1.1</v>
      </c>
      <c r="I1276" s="75">
        <f>IF(F1276&gt;='THAM_SO_MOI'!$C$14,'THAM_SO_MOI'!$C$13*(1+F1276^2/1500),'THAM_SO_MOI'!$C$13)</f>
        <v>0.020703600407254167</v>
      </c>
      <c r="J1276" s="75">
        <f>'THAM_SO_MOI'!$C$40*('THAM_SO_MOI'!$C$23*(E1276/'THAM_SO_MOI'!$C$22)+'THAM_SO_MOI'!$C$24*(E1276/'THAM_SO_MOI'!$C$22)^2-'THAM_SO_MOI'!$C$25*(E1276/'THAM_SO_MOI'!$C$22)^3)</f>
        <v>105.55245300582006</v>
      </c>
      <c r="K1276" s="75">
        <f>'THAM_SO_MOI'!$C$31*J1276/E1276</f>
        <v>428.4447838428288</v>
      </c>
      <c r="L1276" s="75">
        <f>K1276*'THAM_SO_MOI'!$C$53*'THAM_SO_MOI'!$C$17/'THAM_SO_MOI'!$C$26</f>
        <v>3757.462430792577</v>
      </c>
      <c r="M1276" s="75">
        <f>'THAM_SO_MOI'!$C$15*'THAM_SO_MOI'!$C$16*F1276^2</f>
        <v>1668.303119121845</v>
      </c>
      <c r="N1276" s="75">
        <f>'THAM_SO_MOI'!$C$12*I1276</f>
        <v>1559.8258175628548</v>
      </c>
      <c r="O1276" s="75">
        <f>M1276+N1276</f>
        <v>3228.1289366846995</v>
      </c>
      <c r="P1276" s="75">
        <f>(MIN(L1276,'THAM_SO_MOI'!$C$41)-O1276)/('THAM_SO_MOI'!$C$11*H1276)</f>
        <v>0.06265784731390589</v>
      </c>
      <c r="Q1276" s="75">
        <f>IF(P1276&gt;0,1/P1276,NA())</f>
        <v>15.959692885556032</v>
      </c>
      <c r="R1276" s="75">
        <f>F1276-F1275</f>
        <v>0.0035868055555532408</v>
      </c>
      <c r="S1276" s="75">
        <f>0.5*(Q1275+Q1276)*R1276</f>
        <v>0.05720726296242526</v>
      </c>
      <c r="T1276" s="75">
        <f>0.5*(F1275*Q1275+F1276*Q1276)*R1276</f>
        <v>1.3661334416698665</v>
      </c>
      <c r="U1276" s="76">
        <f>U1275+S1276</f>
        <v>93.63237594290811</v>
      </c>
      <c r="V1276" s="76">
        <f>V1275+T1276</f>
        <v>1613.9678624229618</v>
      </c>
    </row>
    <row r="1277" spans="1:22" ht="19" customHeight="1">
      <c r="A1277" s="68" t="s">
        <v>362</v>
      </c>
      <c r="B1277" s="74">
        <v>5</v>
      </c>
      <c r="C1277" s="68" t="s">
        <v>363</v>
      </c>
      <c r="D1277" s="68" t="s">
        <v>365</v>
      </c>
      <c r="E1277" s="75">
        <f>60*F1277*'THAM_SO_MOI'!$C$53/(2*PI()*'THAM_SO_MOI'!$C$26)</f>
        <v>2353.3797368421046</v>
      </c>
      <c r="F1277" s="75">
        <f>'THAM_SO_MOI'!$C$14+('THAM_SO_MOI'!$C$37-'THAM_SO_MOI'!$C$14)*470/'THAM_SO_MOI'!$C$42</f>
        <v>23.88579861111111</v>
      </c>
      <c r="G1277" s="75">
        <f>3.6*F1277</f>
        <v>85.988875</v>
      </c>
      <c r="H1277" s="75">
        <f>'THAM_SO_MOI'!$D$53</f>
        <v>1.1</v>
      </c>
      <c r="I1277" s="75">
        <f>IF(F1277&gt;='THAM_SO_MOI'!$C$14,'THAM_SO_MOI'!$C$13*(1+F1277^2/1500),'THAM_SO_MOI'!$C$13)</f>
        <v>0.020705313752905574</v>
      </c>
      <c r="J1277" s="75">
        <f>'THAM_SO_MOI'!$C$40*('THAM_SO_MOI'!$C$23*(E1277/'THAM_SO_MOI'!$C$22)+'THAM_SO_MOI'!$C$24*(E1277/'THAM_SO_MOI'!$C$22)^2-'THAM_SO_MOI'!$C$25*(E1277/'THAM_SO_MOI'!$C$22)^3)</f>
        <v>105.56672984749765</v>
      </c>
      <c r="K1277" s="75">
        <f>'THAM_SO_MOI'!$C$31*J1277/E1277</f>
        <v>428.43838852462494</v>
      </c>
      <c r="L1277" s="75">
        <f>K1277*'THAM_SO_MOI'!$C$53*'THAM_SO_MOI'!$C$17/'THAM_SO_MOI'!$C$26</f>
        <v>3757.4063438269036</v>
      </c>
      <c r="M1277" s="75">
        <f>'THAM_SO_MOI'!$C$15*'THAM_SO_MOI'!$C$16*F1277^2</f>
        <v>1668.8042727248808</v>
      </c>
      <c r="N1277" s="75">
        <f>'THAM_SO_MOI'!$C$12*I1277</f>
        <v>1559.9549023949082</v>
      </c>
      <c r="O1277" s="75">
        <f>M1277+N1277</f>
        <v>3228.759175119789</v>
      </c>
      <c r="P1277" s="75">
        <f>(MIN(L1277,'THAM_SO_MOI'!$C$41)-O1277)/('THAM_SO_MOI'!$C$11*H1277)</f>
        <v>0.06257660614430807</v>
      </c>
      <c r="Q1277" s="75">
        <f>IF(P1277&gt;0,1/P1277,NA())</f>
        <v>15.980412835012135</v>
      </c>
      <c r="R1277" s="75">
        <f>F1277-F1276</f>
        <v>0.0035868055555567935</v>
      </c>
      <c r="S1277" s="75">
        <f>0.5*(Q1276+Q1277)*R1277</f>
        <v>0.05728147432180262</v>
      </c>
      <c r="T1277" s="75">
        <f>0.5*(F1276*Q1276+F1277*Q1277)*R1277</f>
        <v>1.3681110976843849</v>
      </c>
      <c r="U1277" s="76">
        <f>U1276+S1277</f>
        <v>93.68965741722991</v>
      </c>
      <c r="V1277" s="76">
        <f>V1276+T1277</f>
        <v>1615.3359735206461</v>
      </c>
    </row>
    <row r="1278" spans="1:22" ht="19" customHeight="1">
      <c r="A1278" s="68" t="s">
        <v>362</v>
      </c>
      <c r="B1278" s="74">
        <v>5</v>
      </c>
      <c r="C1278" s="68" t="s">
        <v>363</v>
      </c>
      <c r="D1278" s="68" t="s">
        <v>365</v>
      </c>
      <c r="E1278" s="75">
        <f>60*F1278*'THAM_SO_MOI'!$C$53/(2*PI()*'THAM_SO_MOI'!$C$26)</f>
        <v>2353.733131578947</v>
      </c>
      <c r="F1278" s="75">
        <f>'THAM_SO_MOI'!$C$14+('THAM_SO_MOI'!$C$37-'THAM_SO_MOI'!$C$14)*471/'THAM_SO_MOI'!$C$42</f>
        <v>23.889385416666666</v>
      </c>
      <c r="G1278" s="75">
        <f>3.6*F1278</f>
        <v>86.0017875</v>
      </c>
      <c r="H1278" s="75">
        <f>'THAM_SO_MOI'!$D$53</f>
        <v>1.1</v>
      </c>
      <c r="I1278" s="75">
        <f>IF(F1278&gt;='THAM_SO_MOI'!$C$14,'THAM_SO_MOI'!$C$13*(1+F1278^2/1500),'THAM_SO_MOI'!$C$13)</f>
        <v>0.020707027355860462</v>
      </c>
      <c r="J1278" s="75">
        <f>'THAM_SO_MOI'!$C$40*('THAM_SO_MOI'!$C$23*(E1278/'THAM_SO_MOI'!$C$22)+'THAM_SO_MOI'!$C$24*(E1278/'THAM_SO_MOI'!$C$22)^2-'THAM_SO_MOI'!$C$25*(E1278/'THAM_SO_MOI'!$C$22)^3)</f>
        <v>105.58100323010319</v>
      </c>
      <c r="K1278" s="75">
        <f>'THAM_SO_MOI'!$C$31*J1278/E1278</f>
        <v>428.4319810904366</v>
      </c>
      <c r="L1278" s="75">
        <f>K1278*'THAM_SO_MOI'!$C$53*'THAM_SO_MOI'!$C$17/'THAM_SO_MOI'!$C$26</f>
        <v>3757.3501506039997</v>
      </c>
      <c r="M1278" s="75">
        <f>'THAM_SO_MOI'!$C$15*'THAM_SO_MOI'!$C$16*F1278^2</f>
        <v>1669.3055015891846</v>
      </c>
      <c r="N1278" s="75">
        <f>'THAM_SO_MOI'!$C$12*I1278</f>
        <v>1560.084006612412</v>
      </c>
      <c r="O1278" s="75">
        <f>M1278+N1278</f>
        <v>3229.3895082015965</v>
      </c>
      <c r="P1278" s="75">
        <f>(MIN(L1278,'THAM_SO_MOI'!$C$41)-O1278)/('THAM_SO_MOI'!$C$11*H1278)</f>
        <v>0.06249534119346629</v>
      </c>
      <c r="Q1278" s="75">
        <f>IF(P1278&gt;0,1/P1278,NA())</f>
        <v>16.001192743380802</v>
      </c>
      <c r="R1278" s="75">
        <f>F1278-F1277</f>
        <v>0.0035868055555567935</v>
      </c>
      <c r="S1278" s="75">
        <f>0.5*(Q1277+Q1278)*R1278</f>
        <v>0.05735590028210296</v>
      </c>
      <c r="T1278" s="75">
        <f>0.5*(F1277*Q1277+F1278*Q1278)*R1278</f>
        <v>1.3700944123624548</v>
      </c>
      <c r="U1278" s="76">
        <f>U1277+S1278</f>
        <v>93.74701331751201</v>
      </c>
      <c r="V1278" s="76">
        <f>V1277+T1278</f>
        <v>1616.7060679330086</v>
      </c>
    </row>
    <row r="1279" spans="1:22" ht="19" customHeight="1">
      <c r="A1279" s="68" t="s">
        <v>362</v>
      </c>
      <c r="B1279" s="74">
        <v>5</v>
      </c>
      <c r="C1279" s="68" t="s">
        <v>363</v>
      </c>
      <c r="D1279" s="68" t="s">
        <v>365</v>
      </c>
      <c r="E1279" s="75">
        <f>60*F1279*'THAM_SO_MOI'!$C$53/(2*PI()*'THAM_SO_MOI'!$C$26)</f>
        <v>2354.0865263157884</v>
      </c>
      <c r="F1279" s="75">
        <f>'THAM_SO_MOI'!$C$14+('THAM_SO_MOI'!$C$37-'THAM_SO_MOI'!$C$14)*472/'THAM_SO_MOI'!$C$42</f>
        <v>23.89297222222222</v>
      </c>
      <c r="G1279" s="75">
        <f>3.6*F1279</f>
        <v>86.01469999999999</v>
      </c>
      <c r="H1279" s="75">
        <f>'THAM_SO_MOI'!$D$53</f>
        <v>1.1</v>
      </c>
      <c r="I1279" s="75">
        <f>IF(F1279&gt;='THAM_SO_MOI'!$C$14,'THAM_SO_MOI'!$C$13*(1+F1279^2/1500),'THAM_SO_MOI'!$C$13)</f>
        <v>0.020708741216118827</v>
      </c>
      <c r="J1279" s="75">
        <f>'THAM_SO_MOI'!$C$40*('THAM_SO_MOI'!$C$23*(E1279/'THAM_SO_MOI'!$C$22)+'THAM_SO_MOI'!$C$24*(E1279/'THAM_SO_MOI'!$C$22)^2-'THAM_SO_MOI'!$C$25*(E1279/'THAM_SO_MOI'!$C$22)^3)</f>
        <v>105.59527315229175</v>
      </c>
      <c r="K1279" s="75">
        <f>'THAM_SO_MOI'!$C$31*J1279/E1279</f>
        <v>428.42556154026386</v>
      </c>
      <c r="L1279" s="75">
        <f>K1279*'THAM_SO_MOI'!$C$53*'THAM_SO_MOI'!$C$17/'THAM_SO_MOI'!$C$26</f>
        <v>3757.2938511238654</v>
      </c>
      <c r="M1279" s="75">
        <f>'THAM_SO_MOI'!$C$15*'THAM_SO_MOI'!$C$16*F1279^2</f>
        <v>1669.8068057147568</v>
      </c>
      <c r="N1279" s="75">
        <f>'THAM_SO_MOI'!$C$12*I1279</f>
        <v>1560.2131302153655</v>
      </c>
      <c r="O1279" s="75">
        <f>M1279+N1279</f>
        <v>3230.0199359301223</v>
      </c>
      <c r="P1279" s="75">
        <f>(MIN(L1279,'THAM_SO_MOI'!$C$41)-O1279)/('THAM_SO_MOI'!$C$11*H1279)</f>
        <v>0.0624140524613806</v>
      </c>
      <c r="Q1279" s="75">
        <f>IF(P1279&gt;0,1/P1279,NA())</f>
        <v>16.022032868619792</v>
      </c>
      <c r="R1279" s="75">
        <f>F1279-F1278</f>
        <v>0.0035868055555532408</v>
      </c>
      <c r="S1279" s="75">
        <f>0.5*(Q1278+Q1279)*R1279</f>
        <v>0.05743054176592928</v>
      </c>
      <c r="T1279" s="75">
        <f>0.5*(F1278*Q1278+F1279*Q1279)*R1279</f>
        <v>1.372083410055349</v>
      </c>
      <c r="U1279" s="76">
        <f>U1278+S1279</f>
        <v>93.80444385927794</v>
      </c>
      <c r="V1279" s="76">
        <f>V1278+T1279</f>
        <v>1618.078151343064</v>
      </c>
    </row>
    <row r="1280" spans="1:22" ht="19" customHeight="1">
      <c r="A1280" s="68" t="s">
        <v>362</v>
      </c>
      <c r="B1280" s="74">
        <v>5</v>
      </c>
      <c r="C1280" s="68" t="s">
        <v>363</v>
      </c>
      <c r="D1280" s="68" t="s">
        <v>365</v>
      </c>
      <c r="E1280" s="75">
        <f>60*F1280*'THAM_SO_MOI'!$C$53/(2*PI()*'THAM_SO_MOI'!$C$26)</f>
        <v>2354.439921052631</v>
      </c>
      <c r="F1280" s="75">
        <f>'THAM_SO_MOI'!$C$14+('THAM_SO_MOI'!$C$37-'THAM_SO_MOI'!$C$14)*473/'THAM_SO_MOI'!$C$42</f>
        <v>23.896559027777776</v>
      </c>
      <c r="G1280" s="75">
        <f>3.6*F1280</f>
        <v>86.0276125</v>
      </c>
      <c r="H1280" s="75">
        <f>'THAM_SO_MOI'!$D$53</f>
        <v>1.1</v>
      </c>
      <c r="I1280" s="75">
        <f>IF(F1280&gt;='THAM_SO_MOI'!$C$14,'THAM_SO_MOI'!$C$13*(1+F1280^2/1500),'THAM_SO_MOI'!$C$13)</f>
        <v>0.020710455333680676</v>
      </c>
      <c r="J1280" s="75">
        <f>'THAM_SO_MOI'!$C$40*('THAM_SO_MOI'!$C$23*(E1280/'THAM_SO_MOI'!$C$22)+'THAM_SO_MOI'!$C$24*(E1280/'THAM_SO_MOI'!$C$22)^2-'THAM_SO_MOI'!$C$25*(E1280/'THAM_SO_MOI'!$C$22)^3)</f>
        <v>105.60953961271846</v>
      </c>
      <c r="K1280" s="75">
        <f>'THAM_SO_MOI'!$C$31*J1280/E1280</f>
        <v>428.4191298741065</v>
      </c>
      <c r="L1280" s="75">
        <f>K1280*'THAM_SO_MOI'!$C$53*'THAM_SO_MOI'!$C$17/'THAM_SO_MOI'!$C$26</f>
        <v>3757.2374453864986</v>
      </c>
      <c r="M1280" s="75">
        <f>'THAM_SO_MOI'!$C$15*'THAM_SO_MOI'!$C$16*F1280^2</f>
        <v>1670.3081851015977</v>
      </c>
      <c r="N1280" s="75">
        <f>'THAM_SO_MOI'!$C$12*I1280</f>
        <v>1560.342273203769</v>
      </c>
      <c r="O1280" s="75">
        <f>M1280+N1280</f>
        <v>3230.6504583053666</v>
      </c>
      <c r="P1280" s="75">
        <f>(MIN(L1280,'THAM_SO_MOI'!$C$41)-O1280)/('THAM_SO_MOI'!$C$11*H1280)</f>
        <v>0.06233273994805064</v>
      </c>
      <c r="Q1280" s="75">
        <f>IF(P1280&gt;0,1/P1280,NA())</f>
        <v>16.04293347017025</v>
      </c>
      <c r="R1280" s="75">
        <f>F1280-F1279</f>
        <v>0.0035868055555567935</v>
      </c>
      <c r="S1280" s="75">
        <f>0.5*(Q1279+Q1280)*R1280</f>
        <v>0.05750539970135685</v>
      </c>
      <c r="T1280" s="75">
        <f>0.5*(F1279*Q1279+F1280*Q1280)*R1280</f>
        <v>1.3740781152583363</v>
      </c>
      <c r="U1280" s="76">
        <f>U1279+S1280</f>
        <v>93.8619492589793</v>
      </c>
      <c r="V1280" s="76">
        <f>V1279+T1280</f>
        <v>1619.4522294583223</v>
      </c>
    </row>
    <row r="1281" spans="1:22" ht="19" customHeight="1">
      <c r="A1281" s="68" t="s">
        <v>362</v>
      </c>
      <c r="B1281" s="74">
        <v>5</v>
      </c>
      <c r="C1281" s="68" t="s">
        <v>363</v>
      </c>
      <c r="D1281" s="68" t="s">
        <v>365</v>
      </c>
      <c r="E1281" s="75">
        <f>60*F1281*'THAM_SO_MOI'!$C$53/(2*PI()*'THAM_SO_MOI'!$C$26)</f>
        <v>2354.793315789473</v>
      </c>
      <c r="F1281" s="75">
        <f>'THAM_SO_MOI'!$C$14+('THAM_SO_MOI'!$C$37-'THAM_SO_MOI'!$C$14)*474/'THAM_SO_MOI'!$C$42</f>
        <v>23.900145833333333</v>
      </c>
      <c r="G1281" s="75">
        <f>3.6*F1281</f>
        <v>86.040525</v>
      </c>
      <c r="H1281" s="75">
        <f>'THAM_SO_MOI'!$D$53</f>
        <v>1.1</v>
      </c>
      <c r="I1281" s="75">
        <f>IF(F1281&gt;='THAM_SO_MOI'!$C$14,'THAM_SO_MOI'!$C$13*(1+F1281^2/1500),'THAM_SO_MOI'!$C$13)</f>
        <v>0.020712169708546006</v>
      </c>
      <c r="J1281" s="75">
        <f>'THAM_SO_MOI'!$C$40*('THAM_SO_MOI'!$C$23*(E1281/'THAM_SO_MOI'!$C$22)+'THAM_SO_MOI'!$C$24*(E1281/'THAM_SO_MOI'!$C$22)^2-'THAM_SO_MOI'!$C$25*(E1281/'THAM_SO_MOI'!$C$22)^3)</f>
        <v>105.62380261003848</v>
      </c>
      <c r="K1281" s="75">
        <f>'THAM_SO_MOI'!$C$31*J1281/E1281</f>
        <v>428.4126860919649</v>
      </c>
      <c r="L1281" s="75">
        <f>K1281*'THAM_SO_MOI'!$C$53*'THAM_SO_MOI'!$C$17/'THAM_SO_MOI'!$C$26</f>
        <v>3757.1809333919023</v>
      </c>
      <c r="M1281" s="75">
        <f>'THAM_SO_MOI'!$C$15*'THAM_SO_MOI'!$C$16*F1281^2</f>
        <v>1670.8096397497072</v>
      </c>
      <c r="N1281" s="75">
        <f>'THAM_SO_MOI'!$C$12*I1281</f>
        <v>1560.471435577623</v>
      </c>
      <c r="O1281" s="75">
        <f>M1281+N1281</f>
        <v>3231.28107532733</v>
      </c>
      <c r="P1281" s="75">
        <f>(MIN(L1281,'THAM_SO_MOI'!$C$41)-O1281)/('THAM_SO_MOI'!$C$11*H1281)</f>
        <v>0.06225140365347683</v>
      </c>
      <c r="Q1281" s="75">
        <f>IF(P1281&gt;0,1/P1281,NA())</f>
        <v>16.063894808967067</v>
      </c>
      <c r="R1281" s="75">
        <f>F1281-F1280</f>
        <v>0.0035868055555567935</v>
      </c>
      <c r="S1281" s="75">
        <f>0.5*(Q1280+Q1281)*R1281</f>
        <v>0.05758047502145885</v>
      </c>
      <c r="T1281" s="75">
        <f>0.5*(F1280*Q1280+F1281*Q1281)*R1281</f>
        <v>1.3760785525994428</v>
      </c>
      <c r="U1281" s="76">
        <f>U1280+S1281</f>
        <v>93.91952973400075</v>
      </c>
      <c r="V1281" s="76">
        <f>V1280+T1281</f>
        <v>1620.8283080109218</v>
      </c>
    </row>
    <row r="1282" spans="1:22" ht="19" customHeight="1">
      <c r="A1282" s="68" t="s">
        <v>362</v>
      </c>
      <c r="B1282" s="74">
        <v>5</v>
      </c>
      <c r="C1282" s="68" t="s">
        <v>363</v>
      </c>
      <c r="D1282" s="68" t="s">
        <v>365</v>
      </c>
      <c r="E1282" s="75">
        <f>60*F1282*'THAM_SO_MOI'!$C$53/(2*PI()*'THAM_SO_MOI'!$C$26)</f>
        <v>2355.1467105263155</v>
      </c>
      <c r="F1282" s="75">
        <f>'THAM_SO_MOI'!$C$14+('THAM_SO_MOI'!$C$37-'THAM_SO_MOI'!$C$14)*475/'THAM_SO_MOI'!$C$42</f>
        <v>23.903732638888886</v>
      </c>
      <c r="G1282" s="75">
        <f>3.6*F1282</f>
        <v>86.05343749999999</v>
      </c>
      <c r="H1282" s="75">
        <f>'THAM_SO_MOI'!$D$53</f>
        <v>1.1</v>
      </c>
      <c r="I1282" s="75">
        <f>IF(F1282&gt;='THAM_SO_MOI'!$C$14,'THAM_SO_MOI'!$C$13*(1+F1282^2/1500),'THAM_SO_MOI'!$C$13)</f>
        <v>0.020713884340714816</v>
      </c>
      <c r="J1282" s="75">
        <f>'THAM_SO_MOI'!$C$40*('THAM_SO_MOI'!$C$23*(E1282/'THAM_SO_MOI'!$C$22)+'THAM_SO_MOI'!$C$24*(E1282/'THAM_SO_MOI'!$C$22)^2-'THAM_SO_MOI'!$C$25*(E1282/'THAM_SO_MOI'!$C$22)^3)</f>
        <v>105.6380621429068</v>
      </c>
      <c r="K1282" s="75">
        <f>'THAM_SO_MOI'!$C$31*J1282/E1282</f>
        <v>428.40623019383855</v>
      </c>
      <c r="L1282" s="75">
        <f>K1282*'THAM_SO_MOI'!$C$53*'THAM_SO_MOI'!$C$17/'THAM_SO_MOI'!$C$26</f>
        <v>3757.1243151400727</v>
      </c>
      <c r="M1282" s="75">
        <f>'THAM_SO_MOI'!$C$15*'THAM_SO_MOI'!$C$16*F1282^2</f>
        <v>1671.3111696590847</v>
      </c>
      <c r="N1282" s="75">
        <f>'THAM_SO_MOI'!$C$12*I1282</f>
        <v>1560.600617336927</v>
      </c>
      <c r="O1282" s="75">
        <f>M1282+N1282</f>
        <v>3231.911786996012</v>
      </c>
      <c r="P1282" s="75">
        <f>(MIN(L1282,'THAM_SO_MOI'!$C$41)-O1282)/('THAM_SO_MOI'!$C$11*H1282)</f>
        <v>0.06217004357765876</v>
      </c>
      <c r="Q1282" s="75">
        <f>IF(P1282&gt;0,1/P1282,NA())</f>
        <v>16.084917147450046</v>
      </c>
      <c r="R1282" s="75">
        <f>F1282-F1281</f>
        <v>0.0035868055555532408</v>
      </c>
      <c r="S1282" s="75">
        <f>0.5*(Q1281+Q1282)*R1282</f>
        <v>0.05765576866485667</v>
      </c>
      <c r="T1282" s="75">
        <f>0.5*(F1281*Q1281+F1282*Q1282)*R1282</f>
        <v>1.3780847468526942</v>
      </c>
      <c r="U1282" s="76">
        <f>U1281+S1282</f>
        <v>93.9771855026656</v>
      </c>
      <c r="V1282" s="76">
        <f>V1281+T1282</f>
        <v>1622.2063927577744</v>
      </c>
    </row>
    <row r="1283" spans="1:22" ht="19" customHeight="1">
      <c r="A1283" s="68" t="s">
        <v>362</v>
      </c>
      <c r="B1283" s="74">
        <v>5</v>
      </c>
      <c r="C1283" s="68" t="s">
        <v>363</v>
      </c>
      <c r="D1283" s="68" t="s">
        <v>365</v>
      </c>
      <c r="E1283" s="75">
        <f>60*F1283*'THAM_SO_MOI'!$C$53/(2*PI()*'THAM_SO_MOI'!$C$26)</f>
        <v>2355.5001052631574</v>
      </c>
      <c r="F1283" s="75">
        <f>'THAM_SO_MOI'!$C$14+('THAM_SO_MOI'!$C$37-'THAM_SO_MOI'!$C$14)*476/'THAM_SO_MOI'!$C$42</f>
        <v>23.907319444444443</v>
      </c>
      <c r="G1283" s="75">
        <f>3.6*F1283</f>
        <v>86.06635</v>
      </c>
      <c r="H1283" s="75">
        <f>'THAM_SO_MOI'!$D$53</f>
        <v>1.1</v>
      </c>
      <c r="I1283" s="75">
        <f>IF(F1283&gt;='THAM_SO_MOI'!$C$14,'THAM_SO_MOI'!$C$13*(1+F1283^2/1500),'THAM_SO_MOI'!$C$13)</f>
        <v>0.020715599230187114</v>
      </c>
      <c r="J1283" s="75">
        <f>'THAM_SO_MOI'!$C$40*('THAM_SO_MOI'!$C$23*(E1283/'THAM_SO_MOI'!$C$22)+'THAM_SO_MOI'!$C$24*(E1283/'THAM_SO_MOI'!$C$22)^2-'THAM_SO_MOI'!$C$25*(E1283/'THAM_SO_MOI'!$C$22)^3)</f>
        <v>105.65231820997866</v>
      </c>
      <c r="K1283" s="75">
        <f>'THAM_SO_MOI'!$C$31*J1283/E1283</f>
        <v>428.399762179728</v>
      </c>
      <c r="L1283" s="75">
        <f>K1283*'THAM_SO_MOI'!$C$53*'THAM_SO_MOI'!$C$17/'THAM_SO_MOI'!$C$26</f>
        <v>3757.0675906310134</v>
      </c>
      <c r="M1283" s="75">
        <f>'THAM_SO_MOI'!$C$15*'THAM_SO_MOI'!$C$16*F1283^2</f>
        <v>1671.8127748297309</v>
      </c>
      <c r="N1283" s="75">
        <f>'THAM_SO_MOI'!$C$12*I1283</f>
        <v>1560.7298184816814</v>
      </c>
      <c r="O1283" s="75">
        <f>M1283+N1283</f>
        <v>3232.542593311412</v>
      </c>
      <c r="P1283" s="75">
        <f>(MIN(L1283,'THAM_SO_MOI'!$C$41)-O1283)/('THAM_SO_MOI'!$C$11*H1283)</f>
        <v>0.062088659720596705</v>
      </c>
      <c r="Q1283" s="75">
        <f>IF(P1283&gt;0,1/P1283,NA())</f>
        <v>16.106000749574395</v>
      </c>
      <c r="R1283" s="75">
        <f>F1283-F1282</f>
        <v>0.0035868055555567935</v>
      </c>
      <c r="S1283" s="75">
        <f>0.5*(Q1282+Q1283)*R1283</f>
        <v>0.057731281575759935</v>
      </c>
      <c r="T1283" s="75">
        <f>0.5*(F1282*Q1282+F1283*Q1283)*R1283</f>
        <v>1.3800967229391732</v>
      </c>
      <c r="U1283" s="76">
        <f>U1282+S1283</f>
        <v>94.03491678424136</v>
      </c>
      <c r="V1283" s="76">
        <f>V1282+T1283</f>
        <v>1623.5864894807137</v>
      </c>
    </row>
    <row r="1284" spans="1:22" ht="19" customHeight="1">
      <c r="A1284" s="68" t="s">
        <v>362</v>
      </c>
      <c r="B1284" s="74">
        <v>5</v>
      </c>
      <c r="C1284" s="68" t="s">
        <v>363</v>
      </c>
      <c r="D1284" s="68" t="s">
        <v>365</v>
      </c>
      <c r="E1284" s="75">
        <f>60*F1284*'THAM_SO_MOI'!$C$53/(2*PI()*'THAM_SO_MOI'!$C$26)</f>
        <v>2355.8534999999997</v>
      </c>
      <c r="F1284" s="75">
        <f>'THAM_SO_MOI'!$C$14+('THAM_SO_MOI'!$C$37-'THAM_SO_MOI'!$C$14)*477/'THAM_SO_MOI'!$C$42</f>
        <v>23.91090625</v>
      </c>
      <c r="G1284" s="75">
        <f>3.6*F1284</f>
        <v>86.0792625</v>
      </c>
      <c r="H1284" s="75">
        <f>'THAM_SO_MOI'!$D$53</f>
        <v>1.1</v>
      </c>
      <c r="I1284" s="75">
        <f>IF(F1284&gt;='THAM_SO_MOI'!$C$14,'THAM_SO_MOI'!$C$13*(1+F1284^2/1500),'THAM_SO_MOI'!$C$13)</f>
        <v>0.020717314376962892</v>
      </c>
      <c r="J1284" s="75">
        <f>'THAM_SO_MOI'!$C$40*('THAM_SO_MOI'!$C$23*(E1284/'THAM_SO_MOI'!$C$22)+'THAM_SO_MOI'!$C$24*(E1284/'THAM_SO_MOI'!$C$22)^2-'THAM_SO_MOI'!$C$25*(E1284/'THAM_SO_MOI'!$C$22)^3)</f>
        <v>105.66657080990909</v>
      </c>
      <c r="K1284" s="75">
        <f>'THAM_SO_MOI'!$C$31*J1284/E1284</f>
        <v>428.3932820496329</v>
      </c>
      <c r="L1284" s="75">
        <f>K1284*'THAM_SO_MOI'!$C$53*'THAM_SO_MOI'!$C$17/'THAM_SO_MOI'!$C$26</f>
        <v>3757.0107598647232</v>
      </c>
      <c r="M1284" s="75">
        <f>'THAM_SO_MOI'!$C$15*'THAM_SO_MOI'!$C$16*F1284^2</f>
        <v>1672.3144552616454</v>
      </c>
      <c r="N1284" s="75">
        <f>'THAM_SO_MOI'!$C$12*I1284</f>
        <v>1560.859039011886</v>
      </c>
      <c r="O1284" s="75">
        <f>M1284+N1284</f>
        <v>3233.173494273531</v>
      </c>
      <c r="P1284" s="75">
        <f>(MIN(L1284,'THAM_SO_MOI'!$C$41)-O1284)/('THAM_SO_MOI'!$C$11*H1284)</f>
        <v>0.06200725208229071</v>
      </c>
      <c r="Q1284" s="75">
        <f>IF(P1284&gt;0,1/P1284,NA())</f>
        <v>16.127145880821903</v>
      </c>
      <c r="R1284" s="75">
        <f>F1284-F1283</f>
        <v>0.0035868055555567935</v>
      </c>
      <c r="S1284" s="75">
        <f>0.5*(Q1283+Q1284)*R1284</f>
        <v>0.05780701470349109</v>
      </c>
      <c r="T1284" s="75">
        <f>0.5*(F1283*Q1283+F1284*Q1284)*R1284</f>
        <v>1.3821145059157514</v>
      </c>
      <c r="U1284" s="76">
        <f>U1283+S1284</f>
        <v>94.09272379894485</v>
      </c>
      <c r="V1284" s="76">
        <f>V1283+T1284</f>
        <v>1624.9686039866294</v>
      </c>
    </row>
    <row r="1285" spans="1:22" ht="19" customHeight="1">
      <c r="A1285" s="68" t="s">
        <v>362</v>
      </c>
      <c r="B1285" s="74">
        <v>5</v>
      </c>
      <c r="C1285" s="68" t="s">
        <v>363</v>
      </c>
      <c r="D1285" s="68" t="s">
        <v>365</v>
      </c>
      <c r="E1285" s="75">
        <f>60*F1285*'THAM_SO_MOI'!$C$53/(2*PI()*'THAM_SO_MOI'!$C$26)</f>
        <v>2356.206894736841</v>
      </c>
      <c r="F1285" s="75">
        <f>'THAM_SO_MOI'!$C$14+('THAM_SO_MOI'!$C$37-'THAM_SO_MOI'!$C$14)*478/'THAM_SO_MOI'!$C$42</f>
        <v>23.914493055555553</v>
      </c>
      <c r="G1285" s="75">
        <f>3.6*F1285</f>
        <v>86.092175</v>
      </c>
      <c r="H1285" s="75">
        <f>'THAM_SO_MOI'!$D$53</f>
        <v>1.1</v>
      </c>
      <c r="I1285" s="75">
        <f>IF(F1285&gt;='THAM_SO_MOI'!$C$14,'THAM_SO_MOI'!$C$13*(1+F1285^2/1500),'THAM_SO_MOI'!$C$13)</f>
        <v>0.020719029781042148</v>
      </c>
      <c r="J1285" s="75">
        <f>'THAM_SO_MOI'!$C$40*('THAM_SO_MOI'!$C$23*(E1285/'THAM_SO_MOI'!$C$22)+'THAM_SO_MOI'!$C$24*(E1285/'THAM_SO_MOI'!$C$22)^2-'THAM_SO_MOI'!$C$25*(E1285/'THAM_SO_MOI'!$C$22)^3)</f>
        <v>105.68081994135318</v>
      </c>
      <c r="K1285" s="75">
        <f>'THAM_SO_MOI'!$C$31*J1285/E1285</f>
        <v>428.38678980355326</v>
      </c>
      <c r="L1285" s="75">
        <f>K1285*'THAM_SO_MOI'!$C$53*'THAM_SO_MOI'!$C$17/'THAM_SO_MOI'!$C$26</f>
        <v>3756.953822841201</v>
      </c>
      <c r="M1285" s="75">
        <f>'THAM_SO_MOI'!$C$15*'THAM_SO_MOI'!$C$16*F1285^2</f>
        <v>1672.8162109548284</v>
      </c>
      <c r="N1285" s="75">
        <f>'THAM_SO_MOI'!$C$12*I1285</f>
        <v>1560.9882789275403</v>
      </c>
      <c r="O1285" s="75">
        <f>M1285+N1285</f>
        <v>3233.8044898823687</v>
      </c>
      <c r="P1285" s="75">
        <f>(MIN(L1285,'THAM_SO_MOI'!$C$41)-O1285)/('THAM_SO_MOI'!$C$11*H1285)</f>
        <v>0.061925820662740584</v>
      </c>
      <c r="Q1285" s="75">
        <f>IF(P1285&gt;0,1/P1285,NA())</f>
        <v>16.148352808212007</v>
      </c>
      <c r="R1285" s="75">
        <f>F1285-F1284</f>
        <v>0.0035868055555532408</v>
      </c>
      <c r="S1285" s="75">
        <f>0.5*(Q1284+Q1285)*R1285</f>
        <v>0.05788296900303908</v>
      </c>
      <c r="T1285" s="75">
        <f>0.5*(F1284*Q1284+F1285*Q1285)*R1285</f>
        <v>1.3841381209884227</v>
      </c>
      <c r="U1285" s="76">
        <f>U1284+S1285</f>
        <v>94.15060676794789</v>
      </c>
      <c r="V1285" s="76">
        <f>V1284+T1285</f>
        <v>1626.3527421076178</v>
      </c>
    </row>
    <row r="1286" spans="1:22" ht="19" customHeight="1">
      <c r="A1286" s="68" t="s">
        <v>362</v>
      </c>
      <c r="B1286" s="74">
        <v>5</v>
      </c>
      <c r="C1286" s="68" t="s">
        <v>363</v>
      </c>
      <c r="D1286" s="68" t="s">
        <v>365</v>
      </c>
      <c r="E1286" s="75">
        <f>60*F1286*'THAM_SO_MOI'!$C$53/(2*PI()*'THAM_SO_MOI'!$C$26)</f>
        <v>2356.5602894736835</v>
      </c>
      <c r="F1286" s="75">
        <f>'THAM_SO_MOI'!$C$14+('THAM_SO_MOI'!$C$37-'THAM_SO_MOI'!$C$14)*479/'THAM_SO_MOI'!$C$42</f>
        <v>23.91807986111111</v>
      </c>
      <c r="G1286" s="75">
        <f>3.6*F1286</f>
        <v>86.1050875</v>
      </c>
      <c r="H1286" s="75">
        <f>'THAM_SO_MOI'!$D$53</f>
        <v>1.1</v>
      </c>
      <c r="I1286" s="75">
        <f>IF(F1286&gt;='THAM_SO_MOI'!$C$14,'THAM_SO_MOI'!$C$13*(1+F1286^2/1500),'THAM_SO_MOI'!$C$13)</f>
        <v>0.02072074544242489</v>
      </c>
      <c r="J1286" s="75">
        <f>'THAM_SO_MOI'!$C$40*('THAM_SO_MOI'!$C$23*(E1286/'THAM_SO_MOI'!$C$22)+'THAM_SO_MOI'!$C$24*(E1286/'THAM_SO_MOI'!$C$22)^2-'THAM_SO_MOI'!$C$25*(E1286/'THAM_SO_MOI'!$C$22)^3)</f>
        <v>105.69506560296611</v>
      </c>
      <c r="K1286" s="75">
        <f>'THAM_SO_MOI'!$C$31*J1286/E1286</f>
        <v>428.38028544148915</v>
      </c>
      <c r="L1286" s="75">
        <f>K1286*'THAM_SO_MOI'!$C$53*'THAM_SO_MOI'!$C$17/'THAM_SO_MOI'!$C$26</f>
        <v>3756.896779560447</v>
      </c>
      <c r="M1286" s="75">
        <f>'THAM_SO_MOI'!$C$15*'THAM_SO_MOI'!$C$16*F1286^2</f>
        <v>1673.3180419092803</v>
      </c>
      <c r="N1286" s="75">
        <f>'THAM_SO_MOI'!$C$12*I1286</f>
        <v>1561.1175382286453</v>
      </c>
      <c r="O1286" s="75">
        <f>M1286+N1286</f>
        <v>3234.4355801379256</v>
      </c>
      <c r="P1286" s="75">
        <f>(MIN(L1286,'THAM_SO_MOI'!$C$41)-O1286)/('THAM_SO_MOI'!$C$11*H1286)</f>
        <v>0.06184436546194623</v>
      </c>
      <c r="Q1286" s="75">
        <f>IF(P1286&gt;0,1/P1286,NA())</f>
        <v>16.169621800312836</v>
      </c>
      <c r="R1286" s="75">
        <f>F1286-F1285</f>
        <v>0.0035868055555567935</v>
      </c>
      <c r="S1286" s="75">
        <f>0.5*(Q1285+Q1286)*R1286</f>
        <v>0.05795914543510015</v>
      </c>
      <c r="T1286" s="75">
        <f>0.5*(F1285*Q1285+F1286*Q1286)*R1286</f>
        <v>1.3861675935133793</v>
      </c>
      <c r="U1286" s="76">
        <f>U1285+S1286</f>
        <v>94.208565913383</v>
      </c>
      <c r="V1286" s="76">
        <f>V1285+T1286</f>
        <v>1627.7389097011312</v>
      </c>
    </row>
    <row r="1287" spans="1:22" ht="19" customHeight="1">
      <c r="A1287" s="68" t="s">
        <v>362</v>
      </c>
      <c r="B1287" s="74">
        <v>5</v>
      </c>
      <c r="C1287" s="68" t="s">
        <v>363</v>
      </c>
      <c r="D1287" s="68" t="s">
        <v>365</v>
      </c>
      <c r="E1287" s="75">
        <f>60*F1287*'THAM_SO_MOI'!$C$53/(2*PI()*'THAM_SO_MOI'!$C$26)</f>
        <v>2356.9136842105254</v>
      </c>
      <c r="F1287" s="75">
        <f>'THAM_SO_MOI'!$C$14+('THAM_SO_MOI'!$C$37-'THAM_SO_MOI'!$C$14)*480/'THAM_SO_MOI'!$C$42</f>
        <v>23.921666666666667</v>
      </c>
      <c r="G1287" s="75">
        <f>3.6*F1287</f>
        <v>86.11800000000001</v>
      </c>
      <c r="H1287" s="75">
        <f>'THAM_SO_MOI'!$D$53</f>
        <v>1.1</v>
      </c>
      <c r="I1287" s="75">
        <f>IF(F1287&gt;='THAM_SO_MOI'!$C$14,'THAM_SO_MOI'!$C$13*(1+F1287^2/1500),'THAM_SO_MOI'!$C$13)</f>
        <v>0.02072246136111111</v>
      </c>
      <c r="J1287" s="75">
        <f>'THAM_SO_MOI'!$C$40*('THAM_SO_MOI'!$C$23*(E1287/'THAM_SO_MOI'!$C$22)+'THAM_SO_MOI'!$C$24*(E1287/'THAM_SO_MOI'!$C$22)^2-'THAM_SO_MOI'!$C$25*(E1287/'THAM_SO_MOI'!$C$22)^3)</f>
        <v>105.70930779340297</v>
      </c>
      <c r="K1287" s="75">
        <f>'THAM_SO_MOI'!$C$31*J1287/E1287</f>
        <v>428.37376896344074</v>
      </c>
      <c r="L1287" s="75">
        <f>K1287*'THAM_SO_MOI'!$C$53*'THAM_SO_MOI'!$C$17/'THAM_SO_MOI'!$C$26</f>
        <v>3756.839630022464</v>
      </c>
      <c r="M1287" s="75">
        <f>'THAM_SO_MOI'!$C$15*'THAM_SO_MOI'!$C$16*F1287^2</f>
        <v>1673.819948125</v>
      </c>
      <c r="N1287" s="75">
        <f>'THAM_SO_MOI'!$C$12*I1287</f>
        <v>1561.2468169152</v>
      </c>
      <c r="O1287" s="75">
        <f>M1287+N1287</f>
        <v>3235.0667650402</v>
      </c>
      <c r="P1287" s="75">
        <f>(MIN(L1287,'THAM_SO_MOI'!$C$41)-O1287)/('THAM_SO_MOI'!$C$11*H1287)</f>
        <v>0.0617628864799081</v>
      </c>
      <c r="Q1287" s="75">
        <f>IF(P1287&gt;0,1/P1287,NA())</f>
        <v>16.19095312725235</v>
      </c>
      <c r="R1287" s="75">
        <f>F1287-F1286</f>
        <v>0.0035868055555567935</v>
      </c>
      <c r="S1287" s="75">
        <f>0.5*(Q1286+Q1287)*R1287</f>
        <v>0.058035544965601336</v>
      </c>
      <c r="T1287" s="75">
        <f>0.5*(F1286*Q1286+F1287*Q1287)*R1287</f>
        <v>1.3882029489857177</v>
      </c>
      <c r="U1287" s="76">
        <f>U1286+S1287</f>
        <v>94.2666014583486</v>
      </c>
      <c r="V1287" s="76">
        <f>V1286+T1287</f>
        <v>1629.127112650117</v>
      </c>
    </row>
    <row r="1288" spans="1:22" ht="19" customHeight="1">
      <c r="A1288" s="68" t="s">
        <v>362</v>
      </c>
      <c r="B1288" s="74">
        <v>5</v>
      </c>
      <c r="C1288" s="68" t="s">
        <v>363</v>
      </c>
      <c r="D1288" s="68" t="s">
        <v>365</v>
      </c>
      <c r="E1288" s="75">
        <f>60*F1288*'THAM_SO_MOI'!$C$53/(2*PI()*'THAM_SO_MOI'!$C$26)</f>
        <v>2357.2670789473677</v>
      </c>
      <c r="F1288" s="75">
        <f>'THAM_SO_MOI'!$C$14+('THAM_SO_MOI'!$C$37-'THAM_SO_MOI'!$C$14)*481/'THAM_SO_MOI'!$C$42</f>
        <v>23.92525347222222</v>
      </c>
      <c r="G1288" s="75">
        <f>3.6*F1288</f>
        <v>86.1309125</v>
      </c>
      <c r="H1288" s="75">
        <f>'THAM_SO_MOI'!$D$53</f>
        <v>1.1</v>
      </c>
      <c r="I1288" s="75">
        <f>IF(F1288&gt;='THAM_SO_MOI'!$C$14,'THAM_SO_MOI'!$C$13*(1+F1288^2/1500),'THAM_SO_MOI'!$C$13)</f>
        <v>0.02072417753710081</v>
      </c>
      <c r="J1288" s="75">
        <f>'THAM_SO_MOI'!$C$40*('THAM_SO_MOI'!$C$23*(E1288/'THAM_SO_MOI'!$C$22)+'THAM_SO_MOI'!$C$24*(E1288/'THAM_SO_MOI'!$C$22)^2-'THAM_SO_MOI'!$C$25*(E1288/'THAM_SO_MOI'!$C$22)^3)</f>
        <v>105.72354651131887</v>
      </c>
      <c r="K1288" s="75">
        <f>'THAM_SO_MOI'!$C$31*J1288/E1288</f>
        <v>428.36724036940785</v>
      </c>
      <c r="L1288" s="75">
        <f>K1288*'THAM_SO_MOI'!$C$53*'THAM_SO_MOI'!$C$17/'THAM_SO_MOI'!$C$26</f>
        <v>3756.782374227249</v>
      </c>
      <c r="M1288" s="75">
        <f>'THAM_SO_MOI'!$C$15*'THAM_SO_MOI'!$C$16*F1288^2</f>
        <v>1674.3219296019884</v>
      </c>
      <c r="N1288" s="75">
        <f>'THAM_SO_MOI'!$C$12*I1288</f>
        <v>1561.3761149872048</v>
      </c>
      <c r="O1288" s="75">
        <f>M1288+N1288</f>
        <v>3235.698044589193</v>
      </c>
      <c r="P1288" s="75">
        <f>(MIN(L1288,'THAM_SO_MOI'!$C$41)-O1288)/('THAM_SO_MOI'!$C$11*H1288)</f>
        <v>0.061681383716625925</v>
      </c>
      <c r="Q1288" s="75">
        <f>IF(P1288&gt;0,1/P1288,NA())</f>
        <v>16.212347060730007</v>
      </c>
      <c r="R1288" s="75">
        <f>F1288-F1287</f>
        <v>0.0035868055555532408</v>
      </c>
      <c r="S1288" s="75">
        <f>0.5*(Q1287+Q1288)*R1288</f>
        <v>0.058112168566257234</v>
      </c>
      <c r="T1288" s="75">
        <f>0.5*(F1287*Q1287+F1288*Q1288)*R1288</f>
        <v>1.3902442130528494</v>
      </c>
      <c r="U1288" s="76">
        <f>U1287+S1288</f>
        <v>94.32471362691486</v>
      </c>
      <c r="V1288" s="76">
        <f>V1287+T1288</f>
        <v>1630.5173568631699</v>
      </c>
    </row>
    <row r="1289" spans="1:22" ht="19" customHeight="1">
      <c r="A1289" s="68" t="s">
        <v>362</v>
      </c>
      <c r="B1289" s="74">
        <v>5</v>
      </c>
      <c r="C1289" s="68" t="s">
        <v>363</v>
      </c>
      <c r="D1289" s="68" t="s">
        <v>365</v>
      </c>
      <c r="E1289" s="75">
        <f>60*F1289*'THAM_SO_MOI'!$C$53/(2*PI()*'THAM_SO_MOI'!$C$26)</f>
        <v>2357.62047368421</v>
      </c>
      <c r="F1289" s="75">
        <f>'THAM_SO_MOI'!$C$14+('THAM_SO_MOI'!$C$37-'THAM_SO_MOI'!$C$14)*482/'THAM_SO_MOI'!$C$42</f>
        <v>23.928840277777777</v>
      </c>
      <c r="G1289" s="75">
        <f>3.6*F1289</f>
        <v>86.14382499999999</v>
      </c>
      <c r="H1289" s="75">
        <f>'THAM_SO_MOI'!$D$53</f>
        <v>1.1</v>
      </c>
      <c r="I1289" s="75">
        <f>IF(F1289&gt;='THAM_SO_MOI'!$C$14,'THAM_SO_MOI'!$C$13*(1+F1289^2/1500),'THAM_SO_MOI'!$C$13)</f>
        <v>0.020725893970394</v>
      </c>
      <c r="J1289" s="75">
        <f>'THAM_SO_MOI'!$C$40*('THAM_SO_MOI'!$C$23*(E1289/'THAM_SO_MOI'!$C$22)+'THAM_SO_MOI'!$C$24*(E1289/'THAM_SO_MOI'!$C$22)^2-'THAM_SO_MOI'!$C$25*(E1289/'THAM_SO_MOI'!$C$22)^3)</f>
        <v>105.73778175536894</v>
      </c>
      <c r="K1289" s="75">
        <f>'THAM_SO_MOI'!$C$31*J1289/E1289</f>
        <v>428.36069965939055</v>
      </c>
      <c r="L1289" s="75">
        <f>K1289*'THAM_SO_MOI'!$C$53*'THAM_SO_MOI'!$C$17/'THAM_SO_MOI'!$C$26</f>
        <v>3756.725012174804</v>
      </c>
      <c r="M1289" s="75">
        <f>'THAM_SO_MOI'!$C$15*'THAM_SO_MOI'!$C$16*F1289^2</f>
        <v>1674.8239863402453</v>
      </c>
      <c r="N1289" s="75">
        <f>'THAM_SO_MOI'!$C$12*I1289</f>
        <v>1561.5054324446603</v>
      </c>
      <c r="O1289" s="75">
        <f>M1289+N1289</f>
        <v>3236.3294187849056</v>
      </c>
      <c r="P1289" s="75">
        <f>(MIN(L1289,'THAM_SO_MOI'!$C$41)-O1289)/('THAM_SO_MOI'!$C$11*H1289)</f>
        <v>0.06159985717209973</v>
      </c>
      <c r="Q1289" s="75">
        <f>IF(P1289&gt;0,1/P1289,NA())</f>
        <v>16.233803874027934</v>
      </c>
      <c r="R1289" s="75">
        <f>F1289-F1288</f>
        <v>0.0035868055555567935</v>
      </c>
      <c r="S1289" s="75">
        <f>0.5*(Q1288+Q1289)*R1289</f>
        <v>0.05818901721461201</v>
      </c>
      <c r="T1289" s="75">
        <f>0.5*(F1288*Q1288+F1289*Q1289)*R1289</f>
        <v>1.392291411515613</v>
      </c>
      <c r="U1289" s="76">
        <f>U1288+S1289</f>
        <v>94.38290264412947</v>
      </c>
      <c r="V1289" s="76">
        <f>V1288+T1289</f>
        <v>1631.9096482746854</v>
      </c>
    </row>
    <row r="1290" spans="1:22" ht="19" customHeight="1">
      <c r="A1290" s="68" t="s">
        <v>362</v>
      </c>
      <c r="B1290" s="74">
        <v>5</v>
      </c>
      <c r="C1290" s="68" t="s">
        <v>363</v>
      </c>
      <c r="D1290" s="68" t="s">
        <v>365</v>
      </c>
      <c r="E1290" s="75">
        <f>60*F1290*'THAM_SO_MOI'!$C$53/(2*PI()*'THAM_SO_MOI'!$C$26)</f>
        <v>2357.973868421052</v>
      </c>
      <c r="F1290" s="75">
        <f>'THAM_SO_MOI'!$C$14+('THAM_SO_MOI'!$C$37-'THAM_SO_MOI'!$C$14)*483/'THAM_SO_MOI'!$C$42</f>
        <v>23.93242708333333</v>
      </c>
      <c r="G1290" s="75">
        <f>3.6*F1290</f>
        <v>86.15673749999999</v>
      </c>
      <c r="H1290" s="75">
        <f>'THAM_SO_MOI'!$D$53</f>
        <v>1.1</v>
      </c>
      <c r="I1290" s="75">
        <f>IF(F1290&gt;='THAM_SO_MOI'!$C$14,'THAM_SO_MOI'!$C$13*(1+F1290^2/1500),'THAM_SO_MOI'!$C$13)</f>
        <v>0.020727610660990665</v>
      </c>
      <c r="J1290" s="75">
        <f>'THAM_SO_MOI'!$C$40*('THAM_SO_MOI'!$C$23*(E1290/'THAM_SO_MOI'!$C$22)+'THAM_SO_MOI'!$C$24*(E1290/'THAM_SO_MOI'!$C$22)^2-'THAM_SO_MOI'!$C$25*(E1290/'THAM_SO_MOI'!$C$22)^3)</f>
        <v>105.75201352420818</v>
      </c>
      <c r="K1290" s="75">
        <f>'THAM_SO_MOI'!$C$31*J1290/E1290</f>
        <v>428.35414683338854</v>
      </c>
      <c r="L1290" s="75">
        <f>K1290*'THAM_SO_MOI'!$C$53*'THAM_SO_MOI'!$C$17/'THAM_SO_MOI'!$C$26</f>
        <v>3756.6675438651255</v>
      </c>
      <c r="M1290" s="75">
        <f>'THAM_SO_MOI'!$C$15*'THAM_SO_MOI'!$C$16*F1290^2</f>
        <v>1675.3261183397703</v>
      </c>
      <c r="N1290" s="75">
        <f>'THAM_SO_MOI'!$C$12*I1290</f>
        <v>1561.6347692875656</v>
      </c>
      <c r="O1290" s="75">
        <f>M1290+N1290</f>
        <v>3236.960887627336</v>
      </c>
      <c r="P1290" s="75">
        <f>(MIN(L1290,'THAM_SO_MOI'!$C$41)-O1290)/('THAM_SO_MOI'!$C$11*H1290)</f>
        <v>0.06151830684632925</v>
      </c>
      <c r="Q1290" s="75">
        <f>IF(P1290&gt;0,1/P1290,NA())</f>
        <v>16.255323842022634</v>
      </c>
      <c r="R1290" s="75">
        <f>F1290-F1289</f>
        <v>0.0035868055555532408</v>
      </c>
      <c r="S1290" s="75">
        <f>0.5*(Q1289+Q1290)*R1290</f>
        <v>0.05826609189350448</v>
      </c>
      <c r="T1290" s="75">
        <f>0.5*(F1289*Q1289+F1290*Q1290)*R1290</f>
        <v>1.3943445703155766</v>
      </c>
      <c r="U1290" s="76">
        <f>U1289+S1290</f>
        <v>94.44116873602297</v>
      </c>
      <c r="V1290" s="76">
        <f>V1289+T1290</f>
        <v>1633.303992845001</v>
      </c>
    </row>
    <row r="1291" spans="1:22" ht="19" customHeight="1">
      <c r="A1291" s="68" t="s">
        <v>362</v>
      </c>
      <c r="B1291" s="74">
        <v>5</v>
      </c>
      <c r="C1291" s="68" t="s">
        <v>363</v>
      </c>
      <c r="D1291" s="68" t="s">
        <v>365</v>
      </c>
      <c r="E1291" s="75">
        <f>60*F1291*'THAM_SO_MOI'!$C$53/(2*PI()*'THAM_SO_MOI'!$C$26)</f>
        <v>2358.327263157894</v>
      </c>
      <c r="F1291" s="75">
        <f>'THAM_SO_MOI'!$C$14+('THAM_SO_MOI'!$C$37-'THAM_SO_MOI'!$C$14)*484/'THAM_SO_MOI'!$C$42</f>
        <v>23.936013888888887</v>
      </c>
      <c r="G1291" s="75">
        <f>3.6*F1291</f>
        <v>86.16964999999999</v>
      </c>
      <c r="H1291" s="75">
        <f>'THAM_SO_MOI'!$D$53</f>
        <v>1.1</v>
      </c>
      <c r="I1291" s="75">
        <f>IF(F1291&gt;='THAM_SO_MOI'!$C$14,'THAM_SO_MOI'!$C$13*(1+F1291^2/1500),'THAM_SO_MOI'!$C$13)</f>
        <v>0.020729327608890815</v>
      </c>
      <c r="J1291" s="75">
        <f>'THAM_SO_MOI'!$C$40*('THAM_SO_MOI'!$C$23*(E1291/'THAM_SO_MOI'!$C$22)+'THAM_SO_MOI'!$C$24*(E1291/'THAM_SO_MOI'!$C$22)^2-'THAM_SO_MOI'!$C$25*(E1291/'THAM_SO_MOI'!$C$22)^3)</f>
        <v>105.76624181649183</v>
      </c>
      <c r="K1291" s="75">
        <f>'THAM_SO_MOI'!$C$31*J1291/E1291</f>
        <v>428.3475818914023</v>
      </c>
      <c r="L1291" s="75">
        <f>K1291*'THAM_SO_MOI'!$C$53*'THAM_SO_MOI'!$C$17/'THAM_SO_MOI'!$C$26</f>
        <v>3756.609969298218</v>
      </c>
      <c r="M1291" s="75">
        <f>'THAM_SO_MOI'!$C$15*'THAM_SO_MOI'!$C$16*F1291^2</f>
        <v>1675.828325600564</v>
      </c>
      <c r="N1291" s="75">
        <f>'THAM_SO_MOI'!$C$12*I1291</f>
        <v>1561.7641255159213</v>
      </c>
      <c r="O1291" s="75">
        <f>M1291+N1291</f>
        <v>3237.5924511164853</v>
      </c>
      <c r="P1291" s="75">
        <f>(MIN(L1291,'THAM_SO_MOI'!$C$41)-O1291)/('THAM_SO_MOI'!$C$11*H1291)</f>
        <v>0.061436732739314916</v>
      </c>
      <c r="Q1291" s="75">
        <f>IF(P1291&gt;0,1/P1291,NA())</f>
        <v>16.27690724119635</v>
      </c>
      <c r="R1291" s="75">
        <f>F1291-F1290</f>
        <v>0.0035868055555567935</v>
      </c>
      <c r="S1291" s="75">
        <f>0.5*(Q1290+Q1291)*R1291</f>
        <v>0.05834339359197364</v>
      </c>
      <c r="T1291" s="75">
        <f>0.5*(F1290*Q1290+F1291*Q1291)*R1291</f>
        <v>1.3964037155568056</v>
      </c>
      <c r="U1291" s="76">
        <f>U1290+S1291</f>
        <v>94.49951212961494</v>
      </c>
      <c r="V1291" s="76">
        <f>V1290+T1291</f>
        <v>1634.7003965605577</v>
      </c>
    </row>
    <row r="1292" spans="1:22" ht="19" customHeight="1">
      <c r="A1292" s="68" t="s">
        <v>362</v>
      </c>
      <c r="B1292" s="74">
        <v>5</v>
      </c>
      <c r="C1292" s="68" t="s">
        <v>363</v>
      </c>
      <c r="D1292" s="68" t="s">
        <v>365</v>
      </c>
      <c r="E1292" s="75">
        <f>60*F1292*'THAM_SO_MOI'!$C$53/(2*PI()*'THAM_SO_MOI'!$C$26)</f>
        <v>2358.680657894736</v>
      </c>
      <c r="F1292" s="75">
        <f>'THAM_SO_MOI'!$C$14+('THAM_SO_MOI'!$C$37-'THAM_SO_MOI'!$C$14)*485/'THAM_SO_MOI'!$C$42</f>
        <v>23.939600694444444</v>
      </c>
      <c r="G1292" s="75">
        <f>3.6*F1292</f>
        <v>86.1825625</v>
      </c>
      <c r="H1292" s="75">
        <f>'THAM_SO_MOI'!$D$53</f>
        <v>1.1</v>
      </c>
      <c r="I1292" s="75">
        <f>IF(F1292&gt;='THAM_SO_MOI'!$C$14,'THAM_SO_MOI'!$C$13*(1+F1292^2/1500),'THAM_SO_MOI'!$C$13)</f>
        <v>0.02073104481409445</v>
      </c>
      <c r="J1292" s="75">
        <f>'THAM_SO_MOI'!$C$40*('THAM_SO_MOI'!$C$23*(E1292/'THAM_SO_MOI'!$C$22)+'THAM_SO_MOI'!$C$24*(E1292/'THAM_SO_MOI'!$C$22)^2-'THAM_SO_MOI'!$C$25*(E1292/'THAM_SO_MOI'!$C$22)^3)</f>
        <v>105.78046663087498</v>
      </c>
      <c r="K1292" s="75">
        <f>'THAM_SO_MOI'!$C$31*J1292/E1292</f>
        <v>428.3410048334316</v>
      </c>
      <c r="L1292" s="75">
        <f>K1292*'THAM_SO_MOI'!$C$53*'THAM_SO_MOI'!$C$17/'THAM_SO_MOI'!$C$26</f>
        <v>3756.552288474079</v>
      </c>
      <c r="M1292" s="75">
        <f>'THAM_SO_MOI'!$C$15*'THAM_SO_MOI'!$C$16*F1292^2</f>
        <v>1676.3306081226265</v>
      </c>
      <c r="N1292" s="75">
        <f>'THAM_SO_MOI'!$C$12*I1292</f>
        <v>1561.8935011297272</v>
      </c>
      <c r="O1292" s="75">
        <f>M1292+N1292</f>
        <v>3238.2241092523536</v>
      </c>
      <c r="P1292" s="75">
        <f>(MIN(L1292,'THAM_SO_MOI'!$C$41)-O1292)/('THAM_SO_MOI'!$C$11*H1292)</f>
        <v>0.0613551348510565</v>
      </c>
      <c r="Q1292" s="75">
        <f>IF(P1292&gt;0,1/P1292,NA())</f>
        <v>16.298554349649198</v>
      </c>
      <c r="R1292" s="75">
        <f>F1292-F1291</f>
        <v>0.0035868055555567935</v>
      </c>
      <c r="S1292" s="75">
        <f>0.5*(Q1291+Q1292)*R1292</f>
        <v>0.05842092330443588</v>
      </c>
      <c r="T1292" s="75">
        <f>0.5*(F1291*Q1291+F1292*Q1292)*R1292</f>
        <v>1.398468873486279</v>
      </c>
      <c r="U1292" s="76">
        <f>U1291+S1292</f>
        <v>94.55793305291938</v>
      </c>
      <c r="V1292" s="76">
        <f>V1291+T1292</f>
        <v>1636.098865434044</v>
      </c>
    </row>
    <row r="1293" spans="1:22" ht="19" customHeight="1">
      <c r="A1293" s="68" t="s">
        <v>362</v>
      </c>
      <c r="B1293" s="74">
        <v>5</v>
      </c>
      <c r="C1293" s="68" t="s">
        <v>363</v>
      </c>
      <c r="D1293" s="68" t="s">
        <v>365</v>
      </c>
      <c r="E1293" s="75">
        <f>60*F1293*'THAM_SO_MOI'!$C$53/(2*PI()*'THAM_SO_MOI'!$C$26)</f>
        <v>2359.034052631578</v>
      </c>
      <c r="F1293" s="75">
        <f>'THAM_SO_MOI'!$C$14+('THAM_SO_MOI'!$C$37-'THAM_SO_MOI'!$C$14)*486/'THAM_SO_MOI'!$C$42</f>
        <v>23.9431875</v>
      </c>
      <c r="G1293" s="75">
        <f>3.6*F1293</f>
        <v>86.195475</v>
      </c>
      <c r="H1293" s="75">
        <f>'THAM_SO_MOI'!$D$53</f>
        <v>1.1</v>
      </c>
      <c r="I1293" s="75">
        <f>IF(F1293&gt;='THAM_SO_MOI'!$C$14,'THAM_SO_MOI'!$C$13*(1+F1293^2/1500),'THAM_SO_MOI'!$C$13)</f>
        <v>0.02073276227660156</v>
      </c>
      <c r="J1293" s="75">
        <f>'THAM_SO_MOI'!$C$40*('THAM_SO_MOI'!$C$23*(E1293/'THAM_SO_MOI'!$C$22)+'THAM_SO_MOI'!$C$24*(E1293/'THAM_SO_MOI'!$C$22)^2-'THAM_SO_MOI'!$C$25*(E1293/'THAM_SO_MOI'!$C$22)^3)</f>
        <v>105.79468796601263</v>
      </c>
      <c r="K1293" s="75">
        <f>'THAM_SO_MOI'!$C$31*J1293/E1293</f>
        <v>428.3344156594762</v>
      </c>
      <c r="L1293" s="75">
        <f>K1293*'THAM_SO_MOI'!$C$53*'THAM_SO_MOI'!$C$17/'THAM_SO_MOI'!$C$26</f>
        <v>3756.4945013927063</v>
      </c>
      <c r="M1293" s="75">
        <f>'THAM_SO_MOI'!$C$15*'THAM_SO_MOI'!$C$16*F1293^2</f>
        <v>1676.832965905957</v>
      </c>
      <c r="N1293" s="75">
        <f>'THAM_SO_MOI'!$C$12*I1293</f>
        <v>1562.022896128983</v>
      </c>
      <c r="O1293" s="75">
        <f>M1293+N1293</f>
        <v>3238.85586203494</v>
      </c>
      <c r="P1293" s="75">
        <f>(MIN(L1293,'THAM_SO_MOI'!$C$41)-O1293)/('THAM_SO_MOI'!$C$11*H1293)</f>
        <v>0.06127351318155375</v>
      </c>
      <c r="Q1293" s="75">
        <f>IF(P1293&gt;0,1/P1293,NA())</f>
        <v>16.320265447110803</v>
      </c>
      <c r="R1293" s="75">
        <f>F1293-F1292</f>
        <v>0.0035868055555567935</v>
      </c>
      <c r="S1293" s="75">
        <f>0.5*(Q1292+Q1293)*R1293</f>
        <v>0.058498682031362347</v>
      </c>
      <c r="T1293" s="75">
        <f>0.5*(F1292*Q1292+F1293*Q1293)*R1293</f>
        <v>1.4005400705102002</v>
      </c>
      <c r="U1293" s="76">
        <f>U1292+S1293</f>
        <v>94.61643173495074</v>
      </c>
      <c r="V1293" s="76">
        <f>V1292+T1293</f>
        <v>1637.4994055045543</v>
      </c>
    </row>
    <row r="1294" spans="1:22" ht="19" customHeight="1">
      <c r="A1294" s="68" t="s">
        <v>362</v>
      </c>
      <c r="B1294" s="74">
        <v>5</v>
      </c>
      <c r="C1294" s="68" t="s">
        <v>363</v>
      </c>
      <c r="D1294" s="68" t="s">
        <v>365</v>
      </c>
      <c r="E1294" s="75">
        <f>60*F1294*'THAM_SO_MOI'!$C$53/(2*PI()*'THAM_SO_MOI'!$C$26)</f>
        <v>2359.3874473684205</v>
      </c>
      <c r="F1294" s="75">
        <f>'THAM_SO_MOI'!$C$14+('THAM_SO_MOI'!$C$37-'THAM_SO_MOI'!$C$14)*487/'THAM_SO_MOI'!$C$42</f>
        <v>23.946774305555554</v>
      </c>
      <c r="G1294" s="75">
        <f>3.6*F1294</f>
        <v>86.2083875</v>
      </c>
      <c r="H1294" s="75">
        <f>'THAM_SO_MOI'!$D$53</f>
        <v>1.1</v>
      </c>
      <c r="I1294" s="75">
        <f>IF(F1294&gt;='THAM_SO_MOI'!$C$14,'THAM_SO_MOI'!$C$13*(1+F1294^2/1500),'THAM_SO_MOI'!$C$13)</f>
        <v>0.020734479996412158</v>
      </c>
      <c r="J1294" s="75">
        <f>'THAM_SO_MOI'!$C$40*('THAM_SO_MOI'!$C$23*(E1294/'THAM_SO_MOI'!$C$22)+'THAM_SO_MOI'!$C$24*(E1294/'THAM_SO_MOI'!$C$22)^2-'THAM_SO_MOI'!$C$25*(E1294/'THAM_SO_MOI'!$C$22)^3)</f>
        <v>105.80890582056004</v>
      </c>
      <c r="K1294" s="75">
        <f>'THAM_SO_MOI'!$C$31*J1294/E1294</f>
        <v>428.32781436953655</v>
      </c>
      <c r="L1294" s="75">
        <f>K1294*'THAM_SO_MOI'!$C$53*'THAM_SO_MOI'!$C$17/'THAM_SO_MOI'!$C$26</f>
        <v>3756.4366080541054</v>
      </c>
      <c r="M1294" s="75">
        <f>'THAM_SO_MOI'!$C$15*'THAM_SO_MOI'!$C$16*F1294^2</f>
        <v>1677.335398950556</v>
      </c>
      <c r="N1294" s="75">
        <f>'THAM_SO_MOI'!$C$12*I1294</f>
        <v>1562.1523105136891</v>
      </c>
      <c r="O1294" s="75">
        <f>M1294+N1294</f>
        <v>3239.487709464245</v>
      </c>
      <c r="P1294" s="75">
        <f>(MIN(L1294,'THAM_SO_MOI'!$C$41)-O1294)/('THAM_SO_MOI'!$C$11*H1294)</f>
        <v>0.06119186773080729</v>
      </c>
      <c r="Q1294" s="75">
        <f>IF(P1294&gt;0,1/P1294,NA())</f>
        <v>16.34204081495205</v>
      </c>
      <c r="R1294" s="75">
        <f>F1294-F1293</f>
        <v>0.0035868055555532408</v>
      </c>
      <c r="S1294" s="75">
        <f>0.5*(Q1293+Q1294)*R1294</f>
        <v>0.05857667077897423</v>
      </c>
      <c r="T1294" s="75">
        <f>0.5*(F1293*Q1293+F1294*Q1294)*R1294</f>
        <v>1.4026173331868133</v>
      </c>
      <c r="U1294" s="76">
        <f>U1293+S1294</f>
        <v>94.67500840572971</v>
      </c>
      <c r="V1294" s="76">
        <f>V1293+T1294</f>
        <v>1638.902022837741</v>
      </c>
    </row>
    <row r="1295" spans="1:22" ht="19" customHeight="1">
      <c r="A1295" s="68" t="s">
        <v>362</v>
      </c>
      <c r="B1295" s="74">
        <v>5</v>
      </c>
      <c r="C1295" s="68" t="s">
        <v>363</v>
      </c>
      <c r="D1295" s="68" t="s">
        <v>365</v>
      </c>
      <c r="E1295" s="75">
        <f>60*F1295*'THAM_SO_MOI'!$C$53/(2*PI()*'THAM_SO_MOI'!$C$26)</f>
        <v>2359.7408421052623</v>
      </c>
      <c r="F1295" s="75">
        <f>'THAM_SO_MOI'!$C$14+('THAM_SO_MOI'!$C$37-'THAM_SO_MOI'!$C$14)*488/'THAM_SO_MOI'!$C$42</f>
        <v>23.95036111111111</v>
      </c>
      <c r="G1295" s="75">
        <f>3.6*F1295</f>
        <v>86.2213</v>
      </c>
      <c r="H1295" s="75">
        <f>'THAM_SO_MOI'!$D$53</f>
        <v>1.1</v>
      </c>
      <c r="I1295" s="75">
        <f>IF(F1295&gt;='THAM_SO_MOI'!$C$14,'THAM_SO_MOI'!$C$13*(1+F1295^2/1500),'THAM_SO_MOI'!$C$13)</f>
        <v>0.020736197973526233</v>
      </c>
      <c r="J1295" s="75">
        <f>'THAM_SO_MOI'!$C$40*('THAM_SO_MOI'!$C$23*(E1295/'THAM_SO_MOI'!$C$22)+'THAM_SO_MOI'!$C$24*(E1295/'THAM_SO_MOI'!$C$22)^2-'THAM_SO_MOI'!$C$25*(E1295/'THAM_SO_MOI'!$C$22)^3)</f>
        <v>105.82312019317224</v>
      </c>
      <c r="K1295" s="75">
        <f>'THAM_SO_MOI'!$C$31*J1295/E1295</f>
        <v>428.32120096361245</v>
      </c>
      <c r="L1295" s="75">
        <f>K1295*'THAM_SO_MOI'!$C$53*'THAM_SO_MOI'!$C$17/'THAM_SO_MOI'!$C$26</f>
        <v>3756.378608458273</v>
      </c>
      <c r="M1295" s="75">
        <f>'THAM_SO_MOI'!$C$15*'THAM_SO_MOI'!$C$16*F1295^2</f>
        <v>1677.8379072564235</v>
      </c>
      <c r="N1295" s="75">
        <f>'THAM_SO_MOI'!$C$12*I1295</f>
        <v>1562.2817442838452</v>
      </c>
      <c r="O1295" s="75">
        <f>M1295+N1295</f>
        <v>3240.119651540269</v>
      </c>
      <c r="P1295" s="75">
        <f>(MIN(L1295,'THAM_SO_MOI'!$C$41)-O1295)/('THAM_SO_MOI'!$C$11*H1295)</f>
        <v>0.0611101984988168</v>
      </c>
      <c r="Q1295" s="75">
        <f>IF(P1295&gt;0,1/P1295,NA())</f>
        <v>16.363880736197604</v>
      </c>
      <c r="R1295" s="75">
        <f>F1295-F1294</f>
        <v>0.0035868055555567935</v>
      </c>
      <c r="S1295" s="75">
        <f>0.5*(Q1294+Q1295)*R1295</f>
        <v>0.058654890559634125</v>
      </c>
      <c r="T1295" s="75">
        <f>0.5*(F1294*Q1294+F1295*Q1295)*R1295</f>
        <v>1.4047006882358766</v>
      </c>
      <c r="U1295" s="76">
        <f>U1294+S1295</f>
        <v>94.73366329628935</v>
      </c>
      <c r="V1295" s="76">
        <f>V1294+T1295</f>
        <v>1640.3067235259768</v>
      </c>
    </row>
    <row r="1296" spans="1:22" ht="19" customHeight="1">
      <c r="A1296" s="68" t="s">
        <v>362</v>
      </c>
      <c r="B1296" s="74">
        <v>5</v>
      </c>
      <c r="C1296" s="68" t="s">
        <v>363</v>
      </c>
      <c r="D1296" s="68" t="s">
        <v>365</v>
      </c>
      <c r="E1296" s="75">
        <f>60*F1296*'THAM_SO_MOI'!$C$53/(2*PI()*'THAM_SO_MOI'!$C$26)</f>
        <v>2360.0942368421047</v>
      </c>
      <c r="F1296" s="75">
        <f>'THAM_SO_MOI'!$C$14+('THAM_SO_MOI'!$C$37-'THAM_SO_MOI'!$C$14)*489/'THAM_SO_MOI'!$C$42</f>
        <v>23.953947916666664</v>
      </c>
      <c r="G1296" s="75">
        <f>3.6*F1296</f>
        <v>86.2342125</v>
      </c>
      <c r="H1296" s="75">
        <f>'THAM_SO_MOI'!$D$53</f>
        <v>1.1</v>
      </c>
      <c r="I1296" s="75">
        <f>IF(F1296&gt;='THAM_SO_MOI'!$C$14,'THAM_SO_MOI'!$C$13*(1+F1296^2/1500),'THAM_SO_MOI'!$C$13)</f>
        <v>0.020737916207943793</v>
      </c>
      <c r="J1296" s="75">
        <f>'THAM_SO_MOI'!$C$40*('THAM_SO_MOI'!$C$23*(E1296/'THAM_SO_MOI'!$C$22)+'THAM_SO_MOI'!$C$24*(E1296/'THAM_SO_MOI'!$C$22)^2-'THAM_SO_MOI'!$C$25*(E1296/'THAM_SO_MOI'!$C$22)^3)</f>
        <v>105.83733108250436</v>
      </c>
      <c r="K1296" s="75">
        <f>'THAM_SO_MOI'!$C$31*J1296/E1296</f>
        <v>428.3145754417039</v>
      </c>
      <c r="L1296" s="75">
        <f>K1296*'THAM_SO_MOI'!$C$53*'THAM_SO_MOI'!$C$17/'THAM_SO_MOI'!$C$26</f>
        <v>3756.3205026052096</v>
      </c>
      <c r="M1296" s="75">
        <f>'THAM_SO_MOI'!$C$15*'THAM_SO_MOI'!$C$16*F1296^2</f>
        <v>1678.3404908235593</v>
      </c>
      <c r="N1296" s="75">
        <f>'THAM_SO_MOI'!$C$12*I1296</f>
        <v>1562.4111974394518</v>
      </c>
      <c r="O1296" s="75">
        <f>M1296+N1296</f>
        <v>3240.751688263011</v>
      </c>
      <c r="P1296" s="75">
        <f>(MIN(L1296,'THAM_SO_MOI'!$C$41)-O1296)/('THAM_SO_MOI'!$C$11*H1296)</f>
        <v>0.06102850548558221</v>
      </c>
      <c r="Q1296" s="75">
        <f>IF(P1296&gt;0,1/P1296,NA())</f>
        <v>16.385785495537768</v>
      </c>
      <c r="R1296" s="75">
        <f>F1296-F1295</f>
        <v>0.0035868055555532408</v>
      </c>
      <c r="S1296" s="75">
        <f>0.5*(Q1295+Q1296)*R1296</f>
        <v>0.05873334239125141</v>
      </c>
      <c r="T1296" s="75">
        <f>0.5*(F1295*Q1295+F1296*Q1296)*R1296</f>
        <v>1.4067901625245294</v>
      </c>
      <c r="U1296" s="76">
        <f>U1295+S1296</f>
        <v>94.7923966386806</v>
      </c>
      <c r="V1296" s="76">
        <f>V1295+T1296</f>
        <v>1641.7135136885013</v>
      </c>
    </row>
    <row r="1297" spans="1:22" ht="19" customHeight="1">
      <c r="A1297" s="68" t="s">
        <v>362</v>
      </c>
      <c r="B1297" s="74">
        <v>5</v>
      </c>
      <c r="C1297" s="68" t="s">
        <v>363</v>
      </c>
      <c r="D1297" s="68" t="s">
        <v>365</v>
      </c>
      <c r="E1297" s="75">
        <f>60*F1297*'THAM_SO_MOI'!$C$53/(2*PI()*'THAM_SO_MOI'!$C$26)</f>
        <v>2360.4476315789466</v>
      </c>
      <c r="F1297" s="75">
        <f>'THAM_SO_MOI'!$C$14+('THAM_SO_MOI'!$C$37-'THAM_SO_MOI'!$C$14)*490/'THAM_SO_MOI'!$C$42</f>
        <v>23.95753472222222</v>
      </c>
      <c r="G1297" s="75">
        <f>3.6*F1297</f>
        <v>86.247125</v>
      </c>
      <c r="H1297" s="75">
        <f>'THAM_SO_MOI'!$D$53</f>
        <v>1.1</v>
      </c>
      <c r="I1297" s="75">
        <f>IF(F1297&gt;='THAM_SO_MOI'!$C$14,'THAM_SO_MOI'!$C$13*(1+F1297^2/1500),'THAM_SO_MOI'!$C$13)</f>
        <v>0.020739634699664833</v>
      </c>
      <c r="J1297" s="75">
        <f>'THAM_SO_MOI'!$C$40*('THAM_SO_MOI'!$C$23*(E1297/'THAM_SO_MOI'!$C$22)+'THAM_SO_MOI'!$C$24*(E1297/'THAM_SO_MOI'!$C$22)^2-'THAM_SO_MOI'!$C$25*(E1297/'THAM_SO_MOI'!$C$22)^3)</f>
        <v>105.85153848721151</v>
      </c>
      <c r="K1297" s="75">
        <f>'THAM_SO_MOI'!$C$31*J1297/E1297</f>
        <v>428.3079378038109</v>
      </c>
      <c r="L1297" s="75">
        <f>K1297*'THAM_SO_MOI'!$C$53*'THAM_SO_MOI'!$C$17/'THAM_SO_MOI'!$C$26</f>
        <v>3756.262290494915</v>
      </c>
      <c r="M1297" s="75">
        <f>'THAM_SO_MOI'!$C$15*'THAM_SO_MOI'!$C$16*F1297^2</f>
        <v>1678.843149651964</v>
      </c>
      <c r="N1297" s="75">
        <f>'THAM_SO_MOI'!$C$12*I1297</f>
        <v>1562.5406699805083</v>
      </c>
      <c r="O1297" s="75">
        <f>M1297+N1297</f>
        <v>3241.3838196324723</v>
      </c>
      <c r="P1297" s="75">
        <f>(MIN(L1297,'THAM_SO_MOI'!$C$41)-O1297)/('THAM_SO_MOI'!$C$11*H1297)</f>
        <v>0.060946788691103496</v>
      </c>
      <c r="Q1297" s="75">
        <f>IF(P1297&gt;0,1/P1297,NA())</f>
        <v>16.40775537934079</v>
      </c>
      <c r="R1297" s="75">
        <f>F1297-F1296</f>
        <v>0.0035868055555567935</v>
      </c>
      <c r="S1297" s="75">
        <f>0.5*(Q1296+Q1297)*R1297</f>
        <v>0.0588120272981966</v>
      </c>
      <c r="T1297" s="75">
        <f>0.5*(F1296*Q1296+F1297*Q1297)*R1297</f>
        <v>1.4088857830892978</v>
      </c>
      <c r="U1297" s="76">
        <f>U1296+S1297</f>
        <v>94.8512086659788</v>
      </c>
      <c r="V1297" s="76">
        <f>V1296+T1297</f>
        <v>1643.1223994715906</v>
      </c>
    </row>
    <row r="1298" spans="1:22" ht="19" customHeight="1">
      <c r="A1298" s="68" t="s">
        <v>362</v>
      </c>
      <c r="B1298" s="74">
        <v>5</v>
      </c>
      <c r="C1298" s="68" t="s">
        <v>363</v>
      </c>
      <c r="D1298" s="68" t="s">
        <v>365</v>
      </c>
      <c r="E1298" s="75">
        <f>60*F1298*'THAM_SO_MOI'!$C$53/(2*PI()*'THAM_SO_MOI'!$C$26)</f>
        <v>2360.801026315789</v>
      </c>
      <c r="F1298" s="75">
        <f>'THAM_SO_MOI'!$C$14+('THAM_SO_MOI'!$C$37-'THAM_SO_MOI'!$C$14)*491/'THAM_SO_MOI'!$C$42</f>
        <v>23.961121527777777</v>
      </c>
      <c r="G1298" s="75">
        <f>3.6*F1298</f>
        <v>86.2600375</v>
      </c>
      <c r="H1298" s="75">
        <f>'THAM_SO_MOI'!$D$53</f>
        <v>1.1</v>
      </c>
      <c r="I1298" s="75">
        <f>IF(F1298&gt;='THAM_SO_MOI'!$C$14,'THAM_SO_MOI'!$C$13*(1+F1298^2/1500),'THAM_SO_MOI'!$C$13)</f>
        <v>0.020741353448689357</v>
      </c>
      <c r="J1298" s="75">
        <f>'THAM_SO_MOI'!$C$40*('THAM_SO_MOI'!$C$23*(E1298/'THAM_SO_MOI'!$C$22)+'THAM_SO_MOI'!$C$24*(E1298/'THAM_SO_MOI'!$C$22)^2-'THAM_SO_MOI'!$C$25*(E1298/'THAM_SO_MOI'!$C$22)^3)</f>
        <v>105.86574240594875</v>
      </c>
      <c r="K1298" s="75">
        <f>'THAM_SO_MOI'!$C$31*J1298/E1298</f>
        <v>428.30128804993325</v>
      </c>
      <c r="L1298" s="75">
        <f>K1298*'THAM_SO_MOI'!$C$53*'THAM_SO_MOI'!$C$17/'THAM_SO_MOI'!$C$26</f>
        <v>3756.2039721273877</v>
      </c>
      <c r="M1298" s="75">
        <f>'THAM_SO_MOI'!$C$15*'THAM_SO_MOI'!$C$16*F1298^2</f>
        <v>1679.345883741637</v>
      </c>
      <c r="N1298" s="75">
        <f>'THAM_SO_MOI'!$C$12*I1298</f>
        <v>1562.6701619070152</v>
      </c>
      <c r="O1298" s="75">
        <f>M1298+N1298</f>
        <v>3242.016045648652</v>
      </c>
      <c r="P1298" s="75">
        <f>(MIN(L1298,'THAM_SO_MOI'!$C$41)-O1298)/('THAM_SO_MOI'!$C$11*H1298)</f>
        <v>0.06086504811538063</v>
      </c>
      <c r="Q1298" s="75">
        <f>IF(P1298&gt;0,1/P1298,NA())</f>
        <v>16.42979067566529</v>
      </c>
      <c r="R1298" s="75">
        <f>F1298-F1297</f>
        <v>0.0035868055555567935</v>
      </c>
      <c r="S1298" s="75">
        <f>0.5*(Q1297+Q1298)*R1298</f>
        <v>0.05889094631047395</v>
      </c>
      <c r="T1298" s="75">
        <f>0.5*(F1297*Q1297+F1298*Q1298)*R1298</f>
        <v>1.410987577116384</v>
      </c>
      <c r="U1298" s="76">
        <f>U1297+S1298</f>
        <v>94.91009961228927</v>
      </c>
      <c r="V1298" s="76">
        <f>V1297+T1298</f>
        <v>1644.533387048707</v>
      </c>
    </row>
    <row r="1299" spans="1:22" ht="19" customHeight="1">
      <c r="A1299" s="68" t="s">
        <v>362</v>
      </c>
      <c r="B1299" s="74">
        <v>5</v>
      </c>
      <c r="C1299" s="68" t="s">
        <v>363</v>
      </c>
      <c r="D1299" s="68" t="s">
        <v>365</v>
      </c>
      <c r="E1299" s="75">
        <f>60*F1299*'THAM_SO_MOI'!$C$53/(2*PI()*'THAM_SO_MOI'!$C$26)</f>
        <v>2361.154421052631</v>
      </c>
      <c r="F1299" s="75">
        <f>'THAM_SO_MOI'!$C$14+('THAM_SO_MOI'!$C$37-'THAM_SO_MOI'!$C$14)*492/'THAM_SO_MOI'!$C$42</f>
        <v>23.96470833333333</v>
      </c>
      <c r="G1299" s="75">
        <f>3.6*F1299</f>
        <v>86.27295</v>
      </c>
      <c r="H1299" s="75">
        <f>'THAM_SO_MOI'!$D$53</f>
        <v>1.1</v>
      </c>
      <c r="I1299" s="75">
        <f>IF(F1299&gt;='THAM_SO_MOI'!$C$14,'THAM_SO_MOI'!$C$13*(1+F1299^2/1500),'THAM_SO_MOI'!$C$13)</f>
        <v>0.02074307245501736</v>
      </c>
      <c r="J1299" s="75">
        <f>'THAM_SO_MOI'!$C$40*('THAM_SO_MOI'!$C$23*(E1299/'THAM_SO_MOI'!$C$22)+'THAM_SO_MOI'!$C$24*(E1299/'THAM_SO_MOI'!$C$22)^2-'THAM_SO_MOI'!$C$25*(E1299/'THAM_SO_MOI'!$C$22)^3)</f>
        <v>105.87994283737123</v>
      </c>
      <c r="K1299" s="75">
        <f>'THAM_SO_MOI'!$C$31*J1299/E1299</f>
        <v>428.2946261800712</v>
      </c>
      <c r="L1299" s="75">
        <f>K1299*'THAM_SO_MOI'!$C$53*'THAM_SO_MOI'!$C$17/'THAM_SO_MOI'!$C$26</f>
        <v>3756.14554750263</v>
      </c>
      <c r="M1299" s="75">
        <f>'THAM_SO_MOI'!$C$15*'THAM_SO_MOI'!$C$16*F1299^2</f>
        <v>1679.848693092578</v>
      </c>
      <c r="N1299" s="75">
        <f>'THAM_SO_MOI'!$C$12*I1299</f>
        <v>1562.7996732189717</v>
      </c>
      <c r="O1299" s="75">
        <f>M1299+N1299</f>
        <v>3242.6483663115496</v>
      </c>
      <c r="P1299" s="75">
        <f>(MIN(L1299,'THAM_SO_MOI'!$C$41)-O1299)/('THAM_SO_MOI'!$C$11*H1299)</f>
        <v>0.06078328375841388</v>
      </c>
      <c r="Q1299" s="75">
        <f>IF(P1299&gt;0,1/P1299,NA())</f>
        <v>16.451891674272627</v>
      </c>
      <c r="R1299" s="75">
        <f>F1299-F1298</f>
        <v>0.0035868055555532408</v>
      </c>
      <c r="S1299" s="75">
        <f>0.5*(Q1298+Q1299)*R1299</f>
        <v>0.058970100464347135</v>
      </c>
      <c r="T1299" s="75">
        <f>0.5*(F1298*Q1298+F1299*Q1299)*R1299</f>
        <v>1.4130955719567635</v>
      </c>
      <c r="U1299" s="76">
        <f>U1298+S1299</f>
        <v>94.96906971275362</v>
      </c>
      <c r="V1299" s="76">
        <f>V1298+T1299</f>
        <v>1645.9464826206638</v>
      </c>
    </row>
    <row r="1300" spans="1:22" ht="19" customHeight="1">
      <c r="A1300" s="68" t="s">
        <v>362</v>
      </c>
      <c r="B1300" s="74">
        <v>5</v>
      </c>
      <c r="C1300" s="68" t="s">
        <v>363</v>
      </c>
      <c r="D1300" s="68" t="s">
        <v>365</v>
      </c>
      <c r="E1300" s="75">
        <f>60*F1300*'THAM_SO_MOI'!$C$53/(2*PI()*'THAM_SO_MOI'!$C$26)</f>
        <v>2361.5078157894727</v>
      </c>
      <c r="F1300" s="75">
        <f>'THAM_SO_MOI'!$C$14+('THAM_SO_MOI'!$C$37-'THAM_SO_MOI'!$C$14)*493/'THAM_SO_MOI'!$C$42</f>
        <v>23.968295138888887</v>
      </c>
      <c r="G1300" s="75">
        <f>3.6*F1300</f>
        <v>86.2858625</v>
      </c>
      <c r="H1300" s="75">
        <f>'THAM_SO_MOI'!$D$53</f>
        <v>1.1</v>
      </c>
      <c r="I1300" s="75">
        <f>IF(F1300&gt;='THAM_SO_MOI'!$C$14,'THAM_SO_MOI'!$C$13*(1+F1300^2/1500),'THAM_SO_MOI'!$C$13)</f>
        <v>0.020744791718648847</v>
      </c>
      <c r="J1300" s="75">
        <f>'THAM_SO_MOI'!$C$40*('THAM_SO_MOI'!$C$23*(E1300/'THAM_SO_MOI'!$C$22)+'THAM_SO_MOI'!$C$24*(E1300/'THAM_SO_MOI'!$C$22)^2-'THAM_SO_MOI'!$C$25*(E1300/'THAM_SO_MOI'!$C$22)^3)</f>
        <v>105.8941397801341</v>
      </c>
      <c r="K1300" s="75">
        <f>'THAM_SO_MOI'!$C$31*J1300/E1300</f>
        <v>428.28795219422483</v>
      </c>
      <c r="L1300" s="75">
        <f>K1300*'THAM_SO_MOI'!$C$53*'THAM_SO_MOI'!$C$17/'THAM_SO_MOI'!$C$26</f>
        <v>3756.0870166206423</v>
      </c>
      <c r="M1300" s="75">
        <f>'THAM_SO_MOI'!$C$15*'THAM_SO_MOI'!$C$16*F1300^2</f>
        <v>1680.3515777047878</v>
      </c>
      <c r="N1300" s="75">
        <f>'THAM_SO_MOI'!$C$12*I1300</f>
        <v>1562.929203916379</v>
      </c>
      <c r="O1300" s="75">
        <f>M1300+N1300</f>
        <v>3243.280781621167</v>
      </c>
      <c r="P1300" s="75">
        <f>(MIN(L1300,'THAM_SO_MOI'!$C$41)-O1300)/('THAM_SO_MOI'!$C$11*H1300)</f>
        <v>0.060701495620203064</v>
      </c>
      <c r="Q1300" s="75">
        <f>IF(P1300&gt;0,1/P1300,NA())</f>
        <v>16.47405866663973</v>
      </c>
      <c r="R1300" s="75">
        <f>F1300-F1299</f>
        <v>0.0035868055555567935</v>
      </c>
      <c r="S1300" s="75">
        <f>0.5*(Q1299+Q1300)*R1300</f>
        <v>0.05904949080238577</v>
      </c>
      <c r="T1300" s="75">
        <f>0.5*(F1299*Q1299+F1300*Q1300)*R1300</f>
        <v>1.4152097951274096</v>
      </c>
      <c r="U1300" s="76">
        <f>U1299+S1300</f>
        <v>95.028119203556</v>
      </c>
      <c r="V1300" s="76">
        <f>V1299+T1300</f>
        <v>1647.3616924157911</v>
      </c>
    </row>
    <row r="1301" spans="1:22" ht="19" customHeight="1">
      <c r="A1301" s="68" t="s">
        <v>362</v>
      </c>
      <c r="B1301" s="74">
        <v>5</v>
      </c>
      <c r="C1301" s="68" t="s">
        <v>363</v>
      </c>
      <c r="D1301" s="68" t="s">
        <v>365</v>
      </c>
      <c r="E1301" s="75">
        <f>60*F1301*'THAM_SO_MOI'!$C$53/(2*PI()*'THAM_SO_MOI'!$C$26)</f>
        <v>2361.8612105263155</v>
      </c>
      <c r="F1301" s="75">
        <f>'THAM_SO_MOI'!$C$14+('THAM_SO_MOI'!$C$37-'THAM_SO_MOI'!$C$14)*494/'THAM_SO_MOI'!$C$42</f>
        <v>23.971881944444444</v>
      </c>
      <c r="G1301" s="75">
        <f>3.6*F1301</f>
        <v>86.298775</v>
      </c>
      <c r="H1301" s="75">
        <f>'THAM_SO_MOI'!$D$53</f>
        <v>1.1</v>
      </c>
      <c r="I1301" s="75">
        <f>IF(F1301&gt;='THAM_SO_MOI'!$C$14,'THAM_SO_MOI'!$C$13*(1+F1301^2/1500),'THAM_SO_MOI'!$C$13)</f>
        <v>0.020746511239583813</v>
      </c>
      <c r="J1301" s="75">
        <f>'THAM_SO_MOI'!$C$40*('THAM_SO_MOI'!$C$23*(E1301/'THAM_SO_MOI'!$C$22)+'THAM_SO_MOI'!$C$24*(E1301/'THAM_SO_MOI'!$C$22)^2-'THAM_SO_MOI'!$C$25*(E1301/'THAM_SO_MOI'!$C$22)^3)</f>
        <v>105.90833323289249</v>
      </c>
      <c r="K1301" s="75">
        <f>'THAM_SO_MOI'!$C$31*J1301/E1301</f>
        <v>428.28126609239405</v>
      </c>
      <c r="L1301" s="75">
        <f>K1301*'THAM_SO_MOI'!$C$53*'THAM_SO_MOI'!$C$17/'THAM_SO_MOI'!$C$26</f>
        <v>3756.028379481424</v>
      </c>
      <c r="M1301" s="75">
        <f>'THAM_SO_MOI'!$C$15*'THAM_SO_MOI'!$C$16*F1301^2</f>
        <v>1680.8545375782662</v>
      </c>
      <c r="N1301" s="75">
        <f>'THAM_SO_MOI'!$C$12*I1301</f>
        <v>1563.0587539992362</v>
      </c>
      <c r="O1301" s="75">
        <f>M1301+N1301</f>
        <v>3243.9132915775026</v>
      </c>
      <c r="P1301" s="75">
        <f>(MIN(L1301,'THAM_SO_MOI'!$C$41)-O1301)/('THAM_SO_MOI'!$C$11*H1301)</f>
        <v>0.06061968370074833</v>
      </c>
      <c r="Q1301" s="75">
        <f>IF(P1301&gt;0,1/P1301,NA())</f>
        <v>16.496291945971592</v>
      </c>
      <c r="R1301" s="75">
        <f>F1301-F1300</f>
        <v>0.0035868055555567935</v>
      </c>
      <c r="S1301" s="75">
        <f>0.5*(Q1300+Q1301)*R1301</f>
        <v>0.05912911837298482</v>
      </c>
      <c r="T1301" s="75">
        <f>0.5*(F1300*Q1300+F1301*Q1301)*R1301</f>
        <v>1.4173302742998874</v>
      </c>
      <c r="U1301" s="76">
        <f>U1300+S1301</f>
        <v>95.08724832192898</v>
      </c>
      <c r="V1301" s="76">
        <f>V1300+T1301</f>
        <v>1648.779022690091</v>
      </c>
    </row>
    <row r="1302" spans="1:22" ht="19" customHeight="1">
      <c r="A1302" s="68" t="s">
        <v>362</v>
      </c>
      <c r="B1302" s="74">
        <v>5</v>
      </c>
      <c r="C1302" s="68" t="s">
        <v>363</v>
      </c>
      <c r="D1302" s="68" t="s">
        <v>365</v>
      </c>
      <c r="E1302" s="75">
        <f>60*F1302*'THAM_SO_MOI'!$C$53/(2*PI()*'THAM_SO_MOI'!$C$26)</f>
        <v>2362.2146052631574</v>
      </c>
      <c r="F1302" s="75">
        <f>'THAM_SO_MOI'!$C$14+('THAM_SO_MOI'!$C$37-'THAM_SO_MOI'!$C$14)*495/'THAM_SO_MOI'!$C$42</f>
        <v>23.975468749999997</v>
      </c>
      <c r="G1302" s="75">
        <f>3.6*F1302</f>
        <v>86.31168749999999</v>
      </c>
      <c r="H1302" s="75">
        <f>'THAM_SO_MOI'!$D$53</f>
        <v>1.1</v>
      </c>
      <c r="I1302" s="75">
        <f>IF(F1302&gt;='THAM_SO_MOI'!$C$14,'THAM_SO_MOI'!$C$13*(1+F1302^2/1500),'THAM_SO_MOI'!$C$13)</f>
        <v>0.020748231017822263</v>
      </c>
      <c r="J1302" s="75">
        <f>'THAM_SO_MOI'!$C$40*('THAM_SO_MOI'!$C$23*(E1302/'THAM_SO_MOI'!$C$22)+'THAM_SO_MOI'!$C$24*(E1302/'THAM_SO_MOI'!$C$22)^2-'THAM_SO_MOI'!$C$25*(E1302/'THAM_SO_MOI'!$C$22)^3)</f>
        <v>105.92252319430136</v>
      </c>
      <c r="K1302" s="75">
        <f>'THAM_SO_MOI'!$C$31*J1302/E1302</f>
        <v>428.2745678745787</v>
      </c>
      <c r="L1302" s="75">
        <f>K1302*'THAM_SO_MOI'!$C$53*'THAM_SO_MOI'!$C$17/'THAM_SO_MOI'!$C$26</f>
        <v>3755.9696360849725</v>
      </c>
      <c r="M1302" s="75">
        <f>'THAM_SO_MOI'!$C$15*'THAM_SO_MOI'!$C$16*F1302^2</f>
        <v>1681.3575727130124</v>
      </c>
      <c r="N1302" s="75">
        <f>'THAM_SO_MOI'!$C$12*I1302</f>
        <v>1563.1883234675436</v>
      </c>
      <c r="O1302" s="75">
        <f>M1302+N1302</f>
        <v>3244.545896180556</v>
      </c>
      <c r="P1302" s="75">
        <f>(MIN(L1302,'THAM_SO_MOI'!$C$41)-O1302)/('THAM_SO_MOI'!$C$11*H1302)</f>
        <v>0.06053784800004931</v>
      </c>
      <c r="Q1302" s="75">
        <f>IF(P1302&gt;0,1/P1302,NA())</f>
        <v>16.518591807214314</v>
      </c>
      <c r="R1302" s="75">
        <f>F1302-F1301</f>
        <v>0.0035868055555532408</v>
      </c>
      <c r="S1302" s="75">
        <f>0.5*(Q1301+Q1302)*R1302</f>
        <v>0.05920898423093582</v>
      </c>
      <c r="T1302" s="75">
        <f>0.5*(F1301*Q1301+F1302*Q1302)*R1302</f>
        <v>1.4194570373141546</v>
      </c>
      <c r="U1302" s="76">
        <f>U1301+S1302</f>
        <v>95.14645730615992</v>
      </c>
      <c r="V1302" s="76">
        <f>V1301+T1302</f>
        <v>1650.1984797274054</v>
      </c>
    </row>
    <row r="1303" spans="1:22" ht="19" customHeight="1">
      <c r="A1303" s="68" t="s">
        <v>362</v>
      </c>
      <c r="B1303" s="74">
        <v>5</v>
      </c>
      <c r="C1303" s="68" t="s">
        <v>363</v>
      </c>
      <c r="D1303" s="68" t="s">
        <v>365</v>
      </c>
      <c r="E1303" s="75">
        <f>60*F1303*'THAM_SO_MOI'!$C$53/(2*PI()*'THAM_SO_MOI'!$C$26)</f>
        <v>2362.5679999999998</v>
      </c>
      <c r="F1303" s="75">
        <f>'THAM_SO_MOI'!$C$14+('THAM_SO_MOI'!$C$37-'THAM_SO_MOI'!$C$14)*496/'THAM_SO_MOI'!$C$42</f>
        <v>23.979055555555554</v>
      </c>
      <c r="G1303" s="75">
        <f>3.6*F1303</f>
        <v>86.3246</v>
      </c>
      <c r="H1303" s="75">
        <f>'THAM_SO_MOI'!$D$53</f>
        <v>1.1</v>
      </c>
      <c r="I1303" s="75">
        <f>IF(F1303&gt;='THAM_SO_MOI'!$C$14,'THAM_SO_MOI'!$C$13*(1+F1303^2/1500),'THAM_SO_MOI'!$C$13)</f>
        <v>0.020749951053364194</v>
      </c>
      <c r="J1303" s="75">
        <f>'THAM_SO_MOI'!$C$40*('THAM_SO_MOI'!$C$23*(E1303/'THAM_SO_MOI'!$C$22)+'THAM_SO_MOI'!$C$24*(E1303/'THAM_SO_MOI'!$C$22)^2-'THAM_SO_MOI'!$C$25*(E1303/'THAM_SO_MOI'!$C$22)^3)</f>
        <v>105.93670966301596</v>
      </c>
      <c r="K1303" s="75">
        <f>'THAM_SO_MOI'!$C$31*J1303/E1303</f>
        <v>428.2678575407789</v>
      </c>
      <c r="L1303" s="75">
        <f>K1303*'THAM_SO_MOI'!$C$53*'THAM_SO_MOI'!$C$17/'THAM_SO_MOI'!$C$26</f>
        <v>3755.9107864312914</v>
      </c>
      <c r="M1303" s="75">
        <f>'THAM_SO_MOI'!$C$15*'THAM_SO_MOI'!$C$16*F1303^2</f>
        <v>1681.8606831090278</v>
      </c>
      <c r="N1303" s="75">
        <f>'THAM_SO_MOI'!$C$12*I1303</f>
        <v>1563.317912321301</v>
      </c>
      <c r="O1303" s="75">
        <f>M1303+N1303</f>
        <v>3245.1785954303286</v>
      </c>
      <c r="P1303" s="75">
        <f>(MIN(L1303,'THAM_SO_MOI'!$C$41)-O1303)/('THAM_SO_MOI'!$C$11*H1303)</f>
        <v>0.06045598851810636</v>
      </c>
      <c r="Q1303" s="75">
        <f>IF(P1303&gt;0,1/P1303,NA())</f>
        <v>16.54095854706773</v>
      </c>
      <c r="R1303" s="75">
        <f>F1303-F1302</f>
        <v>0.0035868055555567935</v>
      </c>
      <c r="S1303" s="75">
        <f>0.5*(Q1302+Q1303)*R1303</f>
        <v>0.0592890894374742</v>
      </c>
      <c r="T1303" s="75">
        <f>0.5*(F1302*Q1302+F1303*Q1303)*R1303</f>
        <v>1.4215901121798071</v>
      </c>
      <c r="U1303" s="76">
        <f>U1302+S1303</f>
        <v>95.20574639559739</v>
      </c>
      <c r="V1303" s="76">
        <f>V1302+T1303</f>
        <v>1651.620069839585</v>
      </c>
    </row>
    <row r="1304" spans="1:22" ht="19" customHeight="1">
      <c r="A1304" s="68" t="s">
        <v>362</v>
      </c>
      <c r="B1304" s="74">
        <v>5</v>
      </c>
      <c r="C1304" s="68" t="s">
        <v>363</v>
      </c>
      <c r="D1304" s="68" t="s">
        <v>365</v>
      </c>
      <c r="E1304" s="75">
        <f>60*F1304*'THAM_SO_MOI'!$C$53/(2*PI()*'THAM_SO_MOI'!$C$26)</f>
        <v>2362.9213947368416</v>
      </c>
      <c r="F1304" s="75">
        <f>'THAM_SO_MOI'!$C$14+('THAM_SO_MOI'!$C$37-'THAM_SO_MOI'!$C$14)*497/'THAM_SO_MOI'!$C$42</f>
        <v>23.98264236111111</v>
      </c>
      <c r="G1304" s="75">
        <f>3.6*F1304</f>
        <v>86.3375125</v>
      </c>
      <c r="H1304" s="75">
        <f>'THAM_SO_MOI'!$D$53</f>
        <v>1.1</v>
      </c>
      <c r="I1304" s="75">
        <f>IF(F1304&gt;='THAM_SO_MOI'!$C$14,'THAM_SO_MOI'!$C$13*(1+F1304^2/1500),'THAM_SO_MOI'!$C$13)</f>
        <v>0.02075167134620961</v>
      </c>
      <c r="J1304" s="75">
        <f>'THAM_SO_MOI'!$C$40*('THAM_SO_MOI'!$C$23*(E1304/'THAM_SO_MOI'!$C$22)+'THAM_SO_MOI'!$C$24*(E1304/'THAM_SO_MOI'!$C$22)^2-'THAM_SO_MOI'!$C$25*(E1304/'THAM_SO_MOI'!$C$22)^3)</f>
        <v>105.95089263769133</v>
      </c>
      <c r="K1304" s="75">
        <f>'THAM_SO_MOI'!$C$31*J1304/E1304</f>
        <v>428.2611350909946</v>
      </c>
      <c r="L1304" s="75">
        <f>K1304*'THAM_SO_MOI'!$C$53*'THAM_SO_MOI'!$C$17/'THAM_SO_MOI'!$C$26</f>
        <v>3755.851830520379</v>
      </c>
      <c r="M1304" s="75">
        <f>'THAM_SO_MOI'!$C$15*'THAM_SO_MOI'!$C$16*F1304^2</f>
        <v>1682.3638687663113</v>
      </c>
      <c r="N1304" s="75">
        <f>'THAM_SO_MOI'!$C$12*I1304</f>
        <v>1563.447520560509</v>
      </c>
      <c r="O1304" s="75">
        <f>M1304+N1304</f>
        <v>3245.81138932682</v>
      </c>
      <c r="P1304" s="75">
        <f>(MIN(L1304,'THAM_SO_MOI'!$C$41)-O1304)/('THAM_SO_MOI'!$C$11*H1304)</f>
        <v>0.060374105254919305</v>
      </c>
      <c r="Q1304" s="75">
        <f>IF(P1304&gt;0,1/P1304,NA())</f>
        <v>16.563392463998788</v>
      </c>
      <c r="R1304" s="75">
        <f>F1304-F1303</f>
        <v>0.0035868055555567935</v>
      </c>
      <c r="S1304" s="75">
        <f>0.5*(Q1303+Q1304)*R1304</f>
        <v>0.059369435059797776</v>
      </c>
      <c r="T1304" s="75">
        <f>0.5*(F1303*Q1303+F1304*Q1304)*R1304</f>
        <v>1.4237295270646515</v>
      </c>
      <c r="U1304" s="76">
        <f>U1303+S1304</f>
        <v>95.26511583065718</v>
      </c>
      <c r="V1304" s="76">
        <f>V1303+T1304</f>
        <v>1653.0437993666496</v>
      </c>
    </row>
    <row r="1305" spans="1:22" ht="19" customHeight="1">
      <c r="A1305" s="68" t="s">
        <v>362</v>
      </c>
      <c r="B1305" s="74">
        <v>5</v>
      </c>
      <c r="C1305" s="68" t="s">
        <v>363</v>
      </c>
      <c r="D1305" s="68" t="s">
        <v>365</v>
      </c>
      <c r="E1305" s="75">
        <f>60*F1305*'THAM_SO_MOI'!$C$53/(2*PI()*'THAM_SO_MOI'!$C$26)</f>
        <v>2363.2747894736835</v>
      </c>
      <c r="F1305" s="75">
        <f>'THAM_SO_MOI'!$C$14+('THAM_SO_MOI'!$C$37-'THAM_SO_MOI'!$C$14)*498/'THAM_SO_MOI'!$C$42</f>
        <v>23.986229166666664</v>
      </c>
      <c r="G1305" s="75">
        <f>3.6*F1305</f>
        <v>86.35042499999999</v>
      </c>
      <c r="H1305" s="75">
        <f>'THAM_SO_MOI'!$D$53</f>
        <v>1.1</v>
      </c>
      <c r="I1305" s="75">
        <f>IF(F1305&gt;='THAM_SO_MOI'!$C$14,'THAM_SO_MOI'!$C$13*(1+F1305^2/1500),'THAM_SO_MOI'!$C$13)</f>
        <v>0.020753391896358508</v>
      </c>
      <c r="J1305" s="75">
        <f>'THAM_SO_MOI'!$C$40*('THAM_SO_MOI'!$C$23*(E1305/'THAM_SO_MOI'!$C$22)+'THAM_SO_MOI'!$C$24*(E1305/'THAM_SO_MOI'!$C$22)^2-'THAM_SO_MOI'!$C$25*(E1305/'THAM_SO_MOI'!$C$22)^3)</f>
        <v>105.9650721169826</v>
      </c>
      <c r="K1305" s="75">
        <f>'THAM_SO_MOI'!$C$31*J1305/E1305</f>
        <v>428.25440052522595</v>
      </c>
      <c r="L1305" s="75">
        <f>K1305*'THAM_SO_MOI'!$C$53*'THAM_SO_MOI'!$C$17/'THAM_SO_MOI'!$C$26</f>
        <v>3755.7927683522353</v>
      </c>
      <c r="M1305" s="75">
        <f>'THAM_SO_MOI'!$C$15*'THAM_SO_MOI'!$C$16*F1305^2</f>
        <v>1682.8671296848631</v>
      </c>
      <c r="N1305" s="75">
        <f>'THAM_SO_MOI'!$C$12*I1305</f>
        <v>1563.577148185167</v>
      </c>
      <c r="O1305" s="75">
        <f>M1305+N1305</f>
        <v>3246.4442778700304</v>
      </c>
      <c r="P1305" s="75">
        <f>(MIN(L1305,'THAM_SO_MOI'!$C$41)-O1305)/('THAM_SO_MOI'!$C$11*H1305)</f>
        <v>0.06029219821048832</v>
      </c>
      <c r="Q1305" s="75">
        <f>IF(P1305&gt;0,1/P1305,NA())</f>
        <v>16.58589385825448</v>
      </c>
      <c r="R1305" s="75">
        <f>F1305-F1304</f>
        <v>0.0035868055555532408</v>
      </c>
      <c r="S1305" s="75">
        <f>0.5*(Q1304+Q1305)*R1305</f>
        <v>0.05945002217164154</v>
      </c>
      <c r="T1305" s="75">
        <f>0.5*(F1304*Q1304+F1305*Q1305)*R1305</f>
        <v>1.425875310308595</v>
      </c>
      <c r="U1305" s="76">
        <f>U1304+S1305</f>
        <v>95.32456585282883</v>
      </c>
      <c r="V1305" s="76">
        <f>V1304+T1305</f>
        <v>1654.4696746769582</v>
      </c>
    </row>
    <row r="1306" spans="1:22" ht="19" customHeight="1">
      <c r="A1306" s="68" t="s">
        <v>362</v>
      </c>
      <c r="B1306" s="74">
        <v>5</v>
      </c>
      <c r="C1306" s="68" t="s">
        <v>363</v>
      </c>
      <c r="D1306" s="68" t="s">
        <v>365</v>
      </c>
      <c r="E1306" s="75">
        <f>60*F1306*'THAM_SO_MOI'!$C$53/(2*PI()*'THAM_SO_MOI'!$C$26)</f>
        <v>2363.6281842105254</v>
      </c>
      <c r="F1306" s="75">
        <f>'THAM_SO_MOI'!$C$14+('THAM_SO_MOI'!$C$37-'THAM_SO_MOI'!$C$14)*499/'THAM_SO_MOI'!$C$42</f>
        <v>23.98981597222222</v>
      </c>
      <c r="G1306" s="75">
        <f>3.6*F1306</f>
        <v>86.3633375</v>
      </c>
      <c r="H1306" s="75">
        <f>'THAM_SO_MOI'!$D$53</f>
        <v>1.1</v>
      </c>
      <c r="I1306" s="75">
        <f>IF(F1306&gt;='THAM_SO_MOI'!$C$14,'THAM_SO_MOI'!$C$13*(1+F1306^2/1500),'THAM_SO_MOI'!$C$13)</f>
        <v>0.020755112703810884</v>
      </c>
      <c r="J1306" s="75">
        <f>'THAM_SO_MOI'!$C$40*('THAM_SO_MOI'!$C$23*(E1306/'THAM_SO_MOI'!$C$22)+'THAM_SO_MOI'!$C$24*(E1306/'THAM_SO_MOI'!$C$22)^2-'THAM_SO_MOI'!$C$25*(E1306/'THAM_SO_MOI'!$C$22)^3)</f>
        <v>105.97924809954489</v>
      </c>
      <c r="K1306" s="75">
        <f>'THAM_SO_MOI'!$C$31*J1306/E1306</f>
        <v>428.24765384347273</v>
      </c>
      <c r="L1306" s="75">
        <f>K1306*'THAM_SO_MOI'!$C$53*'THAM_SO_MOI'!$C$17/'THAM_SO_MOI'!$C$26</f>
        <v>3755.73359992686</v>
      </c>
      <c r="M1306" s="75">
        <f>'THAM_SO_MOI'!$C$15*'THAM_SO_MOI'!$C$16*F1306^2</f>
        <v>1683.3704658646836</v>
      </c>
      <c r="N1306" s="75">
        <f>'THAM_SO_MOI'!$C$12*I1306</f>
        <v>1563.7067951952752</v>
      </c>
      <c r="O1306" s="75">
        <f>M1306+N1306</f>
        <v>3247.077261059959</v>
      </c>
      <c r="P1306" s="75">
        <f>(MIN(L1306,'THAM_SO_MOI'!$C$41)-O1306)/('THAM_SO_MOI'!$C$11*H1306)</f>
        <v>0.06021026738481307</v>
      </c>
      <c r="Q1306" s="75">
        <f>IF(P1306&gt;0,1/P1306,NA())</f>
        <v>16.608463031875385</v>
      </c>
      <c r="R1306" s="75">
        <f>F1306-F1305</f>
        <v>0.0035868055555567935</v>
      </c>
      <c r="S1306" s="75">
        <f>0.5*(Q1305+Q1306)*R1306</f>
        <v>0.05953085185332637</v>
      </c>
      <c r="T1306" s="75">
        <f>0.5*(F1305*Q1305+F1306*Q1306)*R1306</f>
        <v>1.4280274904249335</v>
      </c>
      <c r="U1306" s="76">
        <f>U1305+S1306</f>
        <v>95.38409670468215</v>
      </c>
      <c r="V1306" s="76">
        <f>V1305+T1306</f>
        <v>1655.8977021673832</v>
      </c>
    </row>
    <row r="1307" spans="1:22" ht="19" customHeight="1">
      <c r="A1307" s="68" t="s">
        <v>362</v>
      </c>
      <c r="B1307" s="74">
        <v>5</v>
      </c>
      <c r="C1307" s="68" t="s">
        <v>363</v>
      </c>
      <c r="D1307" s="68" t="s">
        <v>365</v>
      </c>
      <c r="E1307" s="75">
        <f>60*F1307*'THAM_SO_MOI'!$C$53/(2*PI()*'THAM_SO_MOI'!$C$26)</f>
        <v>2363.9815789473682</v>
      </c>
      <c r="F1307" s="75">
        <f>'THAM_SO_MOI'!$C$14+('THAM_SO_MOI'!$C$37-'THAM_SO_MOI'!$C$14)*500/'THAM_SO_MOI'!$C$42</f>
        <v>23.993402777777778</v>
      </c>
      <c r="G1307" s="75">
        <f>3.6*F1307</f>
        <v>86.37625</v>
      </c>
      <c r="H1307" s="75">
        <f>'THAM_SO_MOI'!$D$53</f>
        <v>1.1</v>
      </c>
      <c r="I1307" s="75">
        <f>IF(F1307&gt;='THAM_SO_MOI'!$C$14,'THAM_SO_MOI'!$C$13*(1+F1307^2/1500),'THAM_SO_MOI'!$C$13)</f>
        <v>0.020756833768566744</v>
      </c>
      <c r="J1307" s="75">
        <f>'THAM_SO_MOI'!$C$40*('THAM_SO_MOI'!$C$23*(E1307/'THAM_SO_MOI'!$C$22)+'THAM_SO_MOI'!$C$24*(E1307/'THAM_SO_MOI'!$C$22)^2-'THAM_SO_MOI'!$C$25*(E1307/'THAM_SO_MOI'!$C$22)^3)</f>
        <v>105.99342058403333</v>
      </c>
      <c r="K1307" s="75">
        <f>'THAM_SO_MOI'!$C$31*J1307/E1307</f>
        <v>428.2408950457351</v>
      </c>
      <c r="L1307" s="75">
        <f>K1307*'THAM_SO_MOI'!$C$53*'THAM_SO_MOI'!$C$17/'THAM_SO_MOI'!$C$26</f>
        <v>3755.6743252442543</v>
      </c>
      <c r="M1307" s="75">
        <f>'THAM_SO_MOI'!$C$15*'THAM_SO_MOI'!$C$16*F1307^2</f>
        <v>1683.8738773057728</v>
      </c>
      <c r="N1307" s="75">
        <f>'THAM_SO_MOI'!$C$12*I1307</f>
        <v>1563.8364615908333</v>
      </c>
      <c r="O1307" s="75">
        <f>M1307+N1307</f>
        <v>3247.710338896606</v>
      </c>
      <c r="P1307" s="75">
        <f>(MIN(L1307,'THAM_SO_MOI'!$C$41)-O1307)/('THAM_SO_MOI'!$C$11*H1307)</f>
        <v>0.06012831277789399</v>
      </c>
      <c r="Q1307" s="75">
        <f>IF(P1307&gt;0,1/P1307,NA())</f>
        <v>16.631100288708705</v>
      </c>
      <c r="R1307" s="75">
        <f>F1307-F1306</f>
        <v>0.0035868055555567935</v>
      </c>
      <c r="S1307" s="75">
        <f>0.5*(Q1306+Q1307)*R1307</f>
        <v>0.059611925191276414</v>
      </c>
      <c r="T1307" s="75">
        <f>0.5*(F1306*Q1306+F1307*Q1307)*R1307</f>
        <v>1.4301860960888884</v>
      </c>
      <c r="U1307" s="76">
        <f>U1306+S1307</f>
        <v>95.44370862987343</v>
      </c>
      <c r="V1307" s="76">
        <f>V1306+T1307</f>
        <v>1657.327888263472</v>
      </c>
    </row>
    <row r="1308" spans="1:22" ht="19" customHeight="1">
      <c r="A1308" s="68" t="s">
        <v>362</v>
      </c>
      <c r="B1308" s="74">
        <v>5</v>
      </c>
      <c r="C1308" s="68" t="s">
        <v>363</v>
      </c>
      <c r="D1308" s="68" t="s">
        <v>365</v>
      </c>
      <c r="E1308" s="75">
        <f>60*F1308*'THAM_SO_MOI'!$C$53/(2*PI()*'THAM_SO_MOI'!$C$26)</f>
        <v>2364.3349736842097</v>
      </c>
      <c r="F1308" s="75">
        <f>'THAM_SO_MOI'!$C$14+('THAM_SO_MOI'!$C$37-'THAM_SO_MOI'!$C$14)*501/'THAM_SO_MOI'!$C$42</f>
        <v>23.99698958333333</v>
      </c>
      <c r="G1308" s="75">
        <f>3.6*F1308</f>
        <v>86.3891625</v>
      </c>
      <c r="H1308" s="75">
        <f>'THAM_SO_MOI'!$D$53</f>
        <v>1.1</v>
      </c>
      <c r="I1308" s="75">
        <f>IF(F1308&gt;='THAM_SO_MOI'!$C$14,'THAM_SO_MOI'!$C$13*(1+F1308^2/1500),'THAM_SO_MOI'!$C$13)</f>
        <v>0.02075855509062608</v>
      </c>
      <c r="J1308" s="75">
        <f>'THAM_SO_MOI'!$C$40*('THAM_SO_MOI'!$C$23*(E1308/'THAM_SO_MOI'!$C$22)+'THAM_SO_MOI'!$C$24*(E1308/'THAM_SO_MOI'!$C$22)^2-'THAM_SO_MOI'!$C$25*(E1308/'THAM_SO_MOI'!$C$22)^3)</f>
        <v>106.00758956910296</v>
      </c>
      <c r="K1308" s="75">
        <f>'THAM_SO_MOI'!$C$31*J1308/E1308</f>
        <v>428.23412413201305</v>
      </c>
      <c r="L1308" s="75">
        <f>K1308*'THAM_SO_MOI'!$C$53*'THAM_SO_MOI'!$C$17/'THAM_SO_MOI'!$C$26</f>
        <v>3755.6149443044173</v>
      </c>
      <c r="M1308" s="75">
        <f>'THAM_SO_MOI'!$C$15*'THAM_SO_MOI'!$C$16*F1308^2</f>
        <v>1684.37736400813</v>
      </c>
      <c r="N1308" s="75">
        <f>'THAM_SO_MOI'!$C$12*I1308</f>
        <v>1563.9661473718415</v>
      </c>
      <c r="O1308" s="75">
        <f>M1308+N1308</f>
        <v>3248.3435113799715</v>
      </c>
      <c r="P1308" s="75">
        <f>(MIN(L1308,'THAM_SO_MOI'!$C$41)-O1308)/('THAM_SO_MOI'!$C$11*H1308)</f>
        <v>0.06004633438973081</v>
      </c>
      <c r="Q1308" s="75">
        <f>IF(P1308&gt;0,1/P1308,NA())</f>
        <v>16.65380593442222</v>
      </c>
      <c r="R1308" s="75">
        <f>F1308-F1307</f>
        <v>0.0035868055555532408</v>
      </c>
      <c r="S1308" s="75">
        <f>0.5*(Q1307+Q1308)*R1308</f>
        <v>0.05969324327859732</v>
      </c>
      <c r="T1308" s="75">
        <f>0.5*(F1307*Q1307+F1308*Q1308)*R1308</f>
        <v>1.4323511561515931</v>
      </c>
      <c r="U1308" s="76">
        <f>U1307+S1308</f>
        <v>95.50340187315203</v>
      </c>
      <c r="V1308" s="76">
        <f>V1307+T1308</f>
        <v>1658.7602394196235</v>
      </c>
    </row>
    <row r="1309" spans="1:22" ht="19" customHeight="1">
      <c r="A1309" s="68" t="s">
        <v>362</v>
      </c>
      <c r="B1309" s="74">
        <v>5</v>
      </c>
      <c r="C1309" s="68" t="s">
        <v>363</v>
      </c>
      <c r="D1309" s="68" t="s">
        <v>365</v>
      </c>
      <c r="E1309" s="75">
        <f>60*F1309*'THAM_SO_MOI'!$C$53/(2*PI()*'THAM_SO_MOI'!$C$26)</f>
        <v>2364.688368421052</v>
      </c>
      <c r="F1309" s="75">
        <f>'THAM_SO_MOI'!$C$14+('THAM_SO_MOI'!$C$37-'THAM_SO_MOI'!$C$14)*502/'THAM_SO_MOI'!$C$42</f>
        <v>24.000576388888888</v>
      </c>
      <c r="G1309" s="75">
        <f>3.6*F1309</f>
        <v>86.402075</v>
      </c>
      <c r="H1309" s="75">
        <f>'THAM_SO_MOI'!$D$53</f>
        <v>1.1</v>
      </c>
      <c r="I1309" s="75">
        <f>IF(F1309&gt;='THAM_SO_MOI'!$C$14,'THAM_SO_MOI'!$C$13*(1+F1309^2/1500),'THAM_SO_MOI'!$C$13)</f>
        <v>0.020760276669988906</v>
      </c>
      <c r="J1309" s="75">
        <f>'THAM_SO_MOI'!$C$40*('THAM_SO_MOI'!$C$23*(E1309/'THAM_SO_MOI'!$C$22)+'THAM_SO_MOI'!$C$24*(E1309/'THAM_SO_MOI'!$C$22)^2-'THAM_SO_MOI'!$C$25*(E1309/'THAM_SO_MOI'!$C$22)^3)</f>
        <v>106.02175505340895</v>
      </c>
      <c r="K1309" s="75">
        <f>'THAM_SO_MOI'!$C$31*J1309/E1309</f>
        <v>428.2273411023064</v>
      </c>
      <c r="L1309" s="75">
        <f>K1309*'THAM_SO_MOI'!$C$53*'THAM_SO_MOI'!$C$17/'THAM_SO_MOI'!$C$26</f>
        <v>3755.5554571073485</v>
      </c>
      <c r="M1309" s="75">
        <f>'THAM_SO_MOI'!$C$15*'THAM_SO_MOI'!$C$16*F1309^2</f>
        <v>1684.8809259717557</v>
      </c>
      <c r="N1309" s="75">
        <f>'THAM_SO_MOI'!$C$12*I1309</f>
        <v>1564.0958525383003</v>
      </c>
      <c r="O1309" s="75">
        <f>M1309+N1309</f>
        <v>3248.9767785100557</v>
      </c>
      <c r="P1309" s="75">
        <f>(MIN(L1309,'THAM_SO_MOI'!$C$41)-O1309)/('THAM_SO_MOI'!$C$11*H1309)</f>
        <v>0.05996433222032343</v>
      </c>
      <c r="Q1309" s="75">
        <f>IF(P1309&gt;0,1/P1309,NA())</f>
        <v>16.67658027651769</v>
      </c>
      <c r="R1309" s="75">
        <f>F1309-F1308</f>
        <v>0.0035868055555567935</v>
      </c>
      <c r="S1309" s="75">
        <f>0.5*(Q1308+Q1309)*R1309</f>
        <v>0.0597748072151264</v>
      </c>
      <c r="T1309" s="75">
        <f>0.5*(F1308*Q1308+F1309*Q1309)*R1309</f>
        <v>1.4345226996414162</v>
      </c>
      <c r="U1309" s="76">
        <f>U1308+S1309</f>
        <v>95.56317668036715</v>
      </c>
      <c r="V1309" s="76">
        <f>V1308+T1309</f>
        <v>1660.1947621192649</v>
      </c>
    </row>
    <row r="1310" spans="1:22" ht="19" customHeight="1">
      <c r="A1310" s="68" t="s">
        <v>362</v>
      </c>
      <c r="B1310" s="74">
        <v>5</v>
      </c>
      <c r="C1310" s="68" t="s">
        <v>363</v>
      </c>
      <c r="D1310" s="68" t="s">
        <v>365</v>
      </c>
      <c r="E1310" s="75">
        <f>60*F1310*'THAM_SO_MOI'!$C$53/(2*PI()*'THAM_SO_MOI'!$C$26)</f>
        <v>2365.0417631578944</v>
      </c>
      <c r="F1310" s="75">
        <f>'THAM_SO_MOI'!$C$14+('THAM_SO_MOI'!$C$37-'THAM_SO_MOI'!$C$14)*503/'THAM_SO_MOI'!$C$42</f>
        <v>24.004163194444445</v>
      </c>
      <c r="G1310" s="75">
        <f>3.6*F1310</f>
        <v>86.41498750000001</v>
      </c>
      <c r="H1310" s="75">
        <f>'THAM_SO_MOI'!$D$53</f>
        <v>1.1</v>
      </c>
      <c r="I1310" s="75">
        <f>IF(F1310&gt;='THAM_SO_MOI'!$C$14,'THAM_SO_MOI'!$C$13*(1+F1310^2/1500),'THAM_SO_MOI'!$C$13)</f>
        <v>0.020761998506655215</v>
      </c>
      <c r="J1310" s="75">
        <f>'THAM_SO_MOI'!$C$40*('THAM_SO_MOI'!$C$23*(E1310/'THAM_SO_MOI'!$C$22)+'THAM_SO_MOI'!$C$24*(E1310/'THAM_SO_MOI'!$C$22)^2-'THAM_SO_MOI'!$C$25*(E1310/'THAM_SO_MOI'!$C$22)^3)</f>
        <v>106.0359170356064</v>
      </c>
      <c r="K1310" s="75">
        <f>'THAM_SO_MOI'!$C$31*J1310/E1310</f>
        <v>428.22054595661535</v>
      </c>
      <c r="L1310" s="75">
        <f>K1310*'THAM_SO_MOI'!$C$53*'THAM_SO_MOI'!$C$17/'THAM_SO_MOI'!$C$26</f>
        <v>3755.4958636530487</v>
      </c>
      <c r="M1310" s="75">
        <f>'THAM_SO_MOI'!$C$15*'THAM_SO_MOI'!$C$16*F1310^2</f>
        <v>1685.38456319665</v>
      </c>
      <c r="N1310" s="75">
        <f>'THAM_SO_MOI'!$C$12*I1310</f>
        <v>1564.2255770902093</v>
      </c>
      <c r="O1310" s="75">
        <f>M1310+N1310</f>
        <v>3249.6101402868594</v>
      </c>
      <c r="P1310" s="75">
        <f>(MIN(L1310,'THAM_SO_MOI'!$C$41)-O1310)/('THAM_SO_MOI'!$C$11*H1310)</f>
        <v>0.059882306269672024</v>
      </c>
      <c r="Q1310" s="75">
        <f>IF(P1310&gt;0,1/P1310,NA())</f>
        <v>16.699423624344604</v>
      </c>
      <c r="R1310" s="75">
        <f>F1310-F1309</f>
        <v>0.0035868055555567935</v>
      </c>
      <c r="S1310" s="75">
        <f>0.5*(Q1309+Q1310)*R1310</f>
        <v>0.05985661810694904</v>
      </c>
      <c r="T1310" s="75">
        <f>0.5*(F1309*Q1309+F1310*Q1310)*R1310</f>
        <v>1.4367007557524734</v>
      </c>
      <c r="U1310" s="76">
        <f>U1309+S1310</f>
        <v>95.6230332984741</v>
      </c>
      <c r="V1310" s="76">
        <f>V1309+T1310</f>
        <v>1661.6314628750174</v>
      </c>
    </row>
    <row r="1311" spans="1:22" ht="19" customHeight="1">
      <c r="A1311" s="68" t="s">
        <v>362</v>
      </c>
      <c r="B1311" s="74">
        <v>5</v>
      </c>
      <c r="C1311" s="68" t="s">
        <v>363</v>
      </c>
      <c r="D1311" s="68" t="s">
        <v>365</v>
      </c>
      <c r="E1311" s="75">
        <f>60*F1311*'THAM_SO_MOI'!$C$53/(2*PI()*'THAM_SO_MOI'!$C$26)</f>
        <v>2365.3951578947363</v>
      </c>
      <c r="F1311" s="75">
        <f>'THAM_SO_MOI'!$C$14+('THAM_SO_MOI'!$C$37-'THAM_SO_MOI'!$C$14)*504/'THAM_SO_MOI'!$C$42</f>
        <v>24.007749999999998</v>
      </c>
      <c r="G1311" s="75">
        <f>3.6*F1311</f>
        <v>86.4279</v>
      </c>
      <c r="H1311" s="75">
        <f>'THAM_SO_MOI'!$D$53</f>
        <v>1.1</v>
      </c>
      <c r="I1311" s="75">
        <f>IF(F1311&gt;='THAM_SO_MOI'!$C$14,'THAM_SO_MOI'!$C$13*(1+F1311^2/1500),'THAM_SO_MOI'!$C$13)</f>
        <v>0.020763720600624997</v>
      </c>
      <c r="J1311" s="75">
        <f>'THAM_SO_MOI'!$C$40*('THAM_SO_MOI'!$C$23*(E1311/'THAM_SO_MOI'!$C$22)+'THAM_SO_MOI'!$C$24*(E1311/'THAM_SO_MOI'!$C$22)^2-'THAM_SO_MOI'!$C$25*(E1311/'THAM_SO_MOI'!$C$22)^3)</f>
        <v>106.05007551435044</v>
      </c>
      <c r="K1311" s="75">
        <f>'THAM_SO_MOI'!$C$31*J1311/E1311</f>
        <v>428.21373869494</v>
      </c>
      <c r="L1311" s="75">
        <f>K1311*'THAM_SO_MOI'!$C$53*'THAM_SO_MOI'!$C$17/'THAM_SO_MOI'!$C$26</f>
        <v>3755.436163941519</v>
      </c>
      <c r="M1311" s="75">
        <f>'THAM_SO_MOI'!$C$15*'THAM_SO_MOI'!$C$16*F1311^2</f>
        <v>1685.8882756828123</v>
      </c>
      <c r="N1311" s="75">
        <f>'THAM_SO_MOI'!$C$12*I1311</f>
        <v>1564.355321027568</v>
      </c>
      <c r="O1311" s="75">
        <f>M1311+N1311</f>
        <v>3250.24359671038</v>
      </c>
      <c r="P1311" s="75">
        <f>(MIN(L1311,'THAM_SO_MOI'!$C$41)-O1311)/('THAM_SO_MOI'!$C$11*H1311)</f>
        <v>0.05980025653777685</v>
      </c>
      <c r="Q1311" s="75">
        <f>IF(P1311&gt;0,1/P1311,NA())</f>
        <v>16.722336289114125</v>
      </c>
      <c r="R1311" s="75">
        <f>F1311-F1310</f>
        <v>0.0035868055555532408</v>
      </c>
      <c r="S1311" s="75">
        <f>0.5*(Q1310+Q1311)*R1311</f>
        <v>0.05993867706698018</v>
      </c>
      <c r="T1311" s="75">
        <f>0.5*(F1310*Q1310+F1311*Q1311)*R1311</f>
        <v>1.4388853538587005</v>
      </c>
      <c r="U1311" s="76">
        <f>U1310+S1311</f>
        <v>95.68297197554108</v>
      </c>
      <c r="V1311" s="76">
        <f>V1310+T1311</f>
        <v>1663.0703482288761</v>
      </c>
    </row>
    <row r="1312" spans="1:22" ht="19" customHeight="1">
      <c r="A1312" s="68" t="s">
        <v>362</v>
      </c>
      <c r="B1312" s="74">
        <v>5</v>
      </c>
      <c r="C1312" s="68" t="s">
        <v>363</v>
      </c>
      <c r="D1312" s="68" t="s">
        <v>365</v>
      </c>
      <c r="E1312" s="75">
        <f>60*F1312*'THAM_SO_MOI'!$C$53/(2*PI()*'THAM_SO_MOI'!$C$26)</f>
        <v>2365.748552631578</v>
      </c>
      <c r="F1312" s="75">
        <f>'THAM_SO_MOI'!$C$14+('THAM_SO_MOI'!$C$37-'THAM_SO_MOI'!$C$14)*505/'THAM_SO_MOI'!$C$42</f>
        <v>24.011336805555555</v>
      </c>
      <c r="G1312" s="75">
        <f>3.6*F1312</f>
        <v>86.44081249999999</v>
      </c>
      <c r="H1312" s="75">
        <f>'THAM_SO_MOI'!$D$53</f>
        <v>1.1</v>
      </c>
      <c r="I1312" s="75">
        <f>IF(F1312&gt;='THAM_SO_MOI'!$C$14,'THAM_SO_MOI'!$C$13*(1+F1312^2/1500),'THAM_SO_MOI'!$C$13)</f>
        <v>0.020765442951898267</v>
      </c>
      <c r="J1312" s="75">
        <f>'THAM_SO_MOI'!$C$40*('THAM_SO_MOI'!$C$23*(E1312/'THAM_SO_MOI'!$C$22)+'THAM_SO_MOI'!$C$24*(E1312/'THAM_SO_MOI'!$C$22)^2-'THAM_SO_MOI'!$C$25*(E1312/'THAM_SO_MOI'!$C$22)^3)</f>
        <v>106.06423048829612</v>
      </c>
      <c r="K1312" s="75">
        <f>'THAM_SO_MOI'!$C$31*J1312/E1312</f>
        <v>428.20691931728004</v>
      </c>
      <c r="L1312" s="75">
        <f>K1312*'THAM_SO_MOI'!$C$53*'THAM_SO_MOI'!$C$17/'THAM_SO_MOI'!$C$26</f>
        <v>3755.376357972757</v>
      </c>
      <c r="M1312" s="75">
        <f>'THAM_SO_MOI'!$C$15*'THAM_SO_MOI'!$C$16*F1312^2</f>
        <v>1686.3920634302438</v>
      </c>
      <c r="N1312" s="75">
        <f>'THAM_SO_MOI'!$C$12*I1312</f>
        <v>1564.485084350377</v>
      </c>
      <c r="O1312" s="75">
        <f>M1312+N1312</f>
        <v>3250.877147780621</v>
      </c>
      <c r="P1312" s="75">
        <f>(MIN(L1312,'THAM_SO_MOI'!$C$41)-O1312)/('THAM_SO_MOI'!$C$11*H1312)</f>
        <v>0.059718183024637356</v>
      </c>
      <c r="Q1312" s="75">
        <f>IF(P1312&gt;0,1/P1312,NA())</f>
        <v>16.745318583913374</v>
      </c>
      <c r="R1312" s="75">
        <f>F1312-F1311</f>
        <v>0.0035868055555567935</v>
      </c>
      <c r="S1312" s="75">
        <f>0.5*(Q1311+Q1312)*R1312</f>
        <v>0.06002098521501621</v>
      </c>
      <c r="T1312" s="75">
        <f>0.5*(F1311*Q1311+F1312*Q1312)*R1312</f>
        <v>1.441076523515221</v>
      </c>
      <c r="U1312" s="76">
        <f>U1311+S1312</f>
        <v>95.7429929607561</v>
      </c>
      <c r="V1312" s="76">
        <f>V1311+T1312</f>
        <v>1664.5114247523913</v>
      </c>
    </row>
    <row r="1313" spans="1:22" ht="19" customHeight="1">
      <c r="A1313" s="68" t="s">
        <v>362</v>
      </c>
      <c r="B1313" s="74">
        <v>5</v>
      </c>
      <c r="C1313" s="68" t="s">
        <v>363</v>
      </c>
      <c r="D1313" s="68" t="s">
        <v>365</v>
      </c>
      <c r="E1313" s="75">
        <f>60*F1313*'THAM_SO_MOI'!$C$53/(2*PI()*'THAM_SO_MOI'!$C$26)</f>
        <v>2366.10194736842</v>
      </c>
      <c r="F1313" s="75">
        <f>'THAM_SO_MOI'!$C$14+('THAM_SO_MOI'!$C$37-'THAM_SO_MOI'!$C$14)*506/'THAM_SO_MOI'!$C$42</f>
        <v>24.014923611111108</v>
      </c>
      <c r="G1313" s="75">
        <f>3.6*F1313</f>
        <v>86.45372499999999</v>
      </c>
      <c r="H1313" s="75">
        <f>'THAM_SO_MOI'!$D$53</f>
        <v>1.1</v>
      </c>
      <c r="I1313" s="75">
        <f>IF(F1313&gt;='THAM_SO_MOI'!$C$14,'THAM_SO_MOI'!$C$13*(1+F1313^2/1500),'THAM_SO_MOI'!$C$13)</f>
        <v>0.020767165560475018</v>
      </c>
      <c r="J1313" s="75">
        <f>'THAM_SO_MOI'!$C$40*('THAM_SO_MOI'!$C$23*(E1313/'THAM_SO_MOI'!$C$22)+'THAM_SO_MOI'!$C$24*(E1313/'THAM_SO_MOI'!$C$22)^2-'THAM_SO_MOI'!$C$25*(E1313/'THAM_SO_MOI'!$C$22)^3)</f>
        <v>106.07838195609861</v>
      </c>
      <c r="K1313" s="75">
        <f>'THAM_SO_MOI'!$C$31*J1313/E1313</f>
        <v>428.2000878236358</v>
      </c>
      <c r="L1313" s="75">
        <f>K1313*'THAM_SO_MOI'!$C$53*'THAM_SO_MOI'!$C$17/'THAM_SO_MOI'!$C$26</f>
        <v>3755.316445746766</v>
      </c>
      <c r="M1313" s="75">
        <f>'THAM_SO_MOI'!$C$15*'THAM_SO_MOI'!$C$16*F1313^2</f>
        <v>1686.8959264389428</v>
      </c>
      <c r="N1313" s="75">
        <f>'THAM_SO_MOI'!$C$12*I1313</f>
        <v>1564.6148670586363</v>
      </c>
      <c r="O1313" s="75">
        <f>M1313+N1313</f>
        <v>3251.510793497579</v>
      </c>
      <c r="P1313" s="75">
        <f>(MIN(L1313,'THAM_SO_MOI'!$C$41)-O1313)/('THAM_SO_MOI'!$C$11*H1313)</f>
        <v>0.05963608573025414</v>
      </c>
      <c r="Q1313" s="75">
        <f>IF(P1313&gt;0,1/P1313,NA())</f>
        <v>16.768370823719025</v>
      </c>
      <c r="R1313" s="75">
        <f>F1313-F1312</f>
        <v>0.0035868055555532408</v>
      </c>
      <c r="S1313" s="75">
        <f>0.5*(Q1312+Q1313)*R1313</f>
        <v>0.06010354367719084</v>
      </c>
      <c r="T1313" s="75">
        <f>0.5*(F1312*Q1312+F1313*Q1313)*R1313</f>
        <v>1.443274294445403</v>
      </c>
      <c r="U1313" s="76">
        <f>U1312+S1313</f>
        <v>95.80309650443328</v>
      </c>
      <c r="V1313" s="76">
        <f>V1312+T1313</f>
        <v>1665.9546990468368</v>
      </c>
    </row>
    <row r="1314" spans="1:22" ht="19" customHeight="1">
      <c r="A1314" s="68" t="s">
        <v>362</v>
      </c>
      <c r="B1314" s="74">
        <v>5</v>
      </c>
      <c r="C1314" s="68" t="s">
        <v>363</v>
      </c>
      <c r="D1314" s="68" t="s">
        <v>365</v>
      </c>
      <c r="E1314" s="75">
        <f>60*F1314*'THAM_SO_MOI'!$C$53/(2*PI()*'THAM_SO_MOI'!$C$26)</f>
        <v>2366.4553421052624</v>
      </c>
      <c r="F1314" s="75">
        <f>'THAM_SO_MOI'!$C$14+('THAM_SO_MOI'!$C$37-'THAM_SO_MOI'!$C$14)*507/'THAM_SO_MOI'!$C$42</f>
        <v>24.018510416666665</v>
      </c>
      <c r="G1314" s="75">
        <f>3.6*F1314</f>
        <v>86.46663749999999</v>
      </c>
      <c r="H1314" s="75">
        <f>'THAM_SO_MOI'!$D$53</f>
        <v>1.1</v>
      </c>
      <c r="I1314" s="75">
        <f>IF(F1314&gt;='THAM_SO_MOI'!$C$14,'THAM_SO_MOI'!$C$13*(1+F1314^2/1500),'THAM_SO_MOI'!$C$13)</f>
        <v>0.02076888842635525</v>
      </c>
      <c r="J1314" s="75">
        <f>'THAM_SO_MOI'!$C$40*('THAM_SO_MOI'!$C$23*(E1314/'THAM_SO_MOI'!$C$22)+'THAM_SO_MOI'!$C$24*(E1314/'THAM_SO_MOI'!$C$22)^2-'THAM_SO_MOI'!$C$25*(E1314/'THAM_SO_MOI'!$C$22)^3)</f>
        <v>106.09252991641297</v>
      </c>
      <c r="K1314" s="75">
        <f>'THAM_SO_MOI'!$C$31*J1314/E1314</f>
        <v>428.1932442140068</v>
      </c>
      <c r="L1314" s="75">
        <f>K1314*'THAM_SO_MOI'!$C$53*'THAM_SO_MOI'!$C$17/'THAM_SO_MOI'!$C$26</f>
        <v>3755.256427263541</v>
      </c>
      <c r="M1314" s="75">
        <f>'THAM_SO_MOI'!$C$15*'THAM_SO_MOI'!$C$16*F1314^2</f>
        <v>1687.399864708911</v>
      </c>
      <c r="N1314" s="75">
        <f>'THAM_SO_MOI'!$C$12*I1314</f>
        <v>1564.7446691523455</v>
      </c>
      <c r="O1314" s="75">
        <f>M1314+N1314</f>
        <v>3252.1445338612566</v>
      </c>
      <c r="P1314" s="75">
        <f>(MIN(L1314,'THAM_SO_MOI'!$C$41)-O1314)/('THAM_SO_MOI'!$C$11*H1314)</f>
        <v>0.05955396465462646</v>
      </c>
      <c r="Q1314" s="75">
        <f>IF(P1314&gt;0,1/P1314,NA())</f>
        <v>16.791493325412297</v>
      </c>
      <c r="R1314" s="75">
        <f>F1314-F1313</f>
        <v>0.0035868055555567935</v>
      </c>
      <c r="S1314" s="75">
        <f>0.5*(Q1313+Q1314)*R1314</f>
        <v>0.06018635358691774</v>
      </c>
      <c r="T1314" s="75">
        <f>0.5*(F1313*Q1313+F1314*Q1314)*R1314</f>
        <v>1.4454786965636122</v>
      </c>
      <c r="U1314" s="76">
        <f>U1313+S1314</f>
        <v>95.8632828580202</v>
      </c>
      <c r="V1314" s="76">
        <f>V1313+T1314</f>
        <v>1667.4001777434005</v>
      </c>
    </row>
    <row r="1315" spans="1:22" ht="19" customHeight="1">
      <c r="A1315" s="68" t="s">
        <v>362</v>
      </c>
      <c r="B1315" s="74">
        <v>5</v>
      </c>
      <c r="C1315" s="68" t="s">
        <v>363</v>
      </c>
      <c r="D1315" s="68" t="s">
        <v>365</v>
      </c>
      <c r="E1315" s="75">
        <f>60*F1315*'THAM_SO_MOI'!$C$53/(2*PI()*'THAM_SO_MOI'!$C$26)</f>
        <v>2366.8087368421047</v>
      </c>
      <c r="F1315" s="75">
        <f>'THAM_SO_MOI'!$C$14+('THAM_SO_MOI'!$C$37-'THAM_SO_MOI'!$C$14)*508/'THAM_SO_MOI'!$C$42</f>
        <v>24.02209722222222</v>
      </c>
      <c r="G1315" s="75">
        <f>3.6*F1315</f>
        <v>86.47955</v>
      </c>
      <c r="H1315" s="75">
        <f>'THAM_SO_MOI'!$D$53</f>
        <v>1.1</v>
      </c>
      <c r="I1315" s="75">
        <f>IF(F1315&gt;='THAM_SO_MOI'!$C$14,'THAM_SO_MOI'!$C$13*(1+F1315^2/1500),'THAM_SO_MOI'!$C$13)</f>
        <v>0.020770611549538964</v>
      </c>
      <c r="J1315" s="75">
        <f>'THAM_SO_MOI'!$C$40*('THAM_SO_MOI'!$C$23*(E1315/'THAM_SO_MOI'!$C$22)+'THAM_SO_MOI'!$C$24*(E1315/'THAM_SO_MOI'!$C$22)^2-'THAM_SO_MOI'!$C$25*(E1315/'THAM_SO_MOI'!$C$22)^3)</f>
        <v>106.10667436789436</v>
      </c>
      <c r="K1315" s="75">
        <f>'THAM_SO_MOI'!$C$31*J1315/E1315</f>
        <v>428.18638848839356</v>
      </c>
      <c r="L1315" s="75">
        <f>K1315*'THAM_SO_MOI'!$C$53*'THAM_SO_MOI'!$C$17/'THAM_SO_MOI'!$C$26</f>
        <v>3755.196302523086</v>
      </c>
      <c r="M1315" s="75">
        <f>'THAM_SO_MOI'!$C$15*'THAM_SO_MOI'!$C$16*F1315^2</f>
        <v>1687.9038782401476</v>
      </c>
      <c r="N1315" s="75">
        <f>'THAM_SO_MOI'!$C$12*I1315</f>
        <v>1564.8744906315053</v>
      </c>
      <c r="O1315" s="75">
        <f>M1315+N1315</f>
        <v>3252.7783688716527</v>
      </c>
      <c r="P1315" s="75">
        <f>(MIN(L1315,'THAM_SO_MOI'!$C$41)-O1315)/('THAM_SO_MOI'!$C$11*H1315)</f>
        <v>0.059471819797754885</v>
      </c>
      <c r="Q1315" s="75">
        <f>IF(P1315&gt;0,1/P1315,NA())</f>
        <v>16.8146864077926</v>
      </c>
      <c r="R1315" s="75">
        <f>F1315-F1314</f>
        <v>0.0035868055555567935</v>
      </c>
      <c r="S1315" s="75">
        <f>0.5*(Q1314+Q1315)*R1315</f>
        <v>0.060269416084049725</v>
      </c>
      <c r="T1315" s="75">
        <f>0.5*(F1314*Q1314+F1315*Q1315)*R1315</f>
        <v>1.4476897599551466</v>
      </c>
      <c r="U1315" s="76">
        <f>U1314+S1315</f>
        <v>95.92355227410425</v>
      </c>
      <c r="V1315" s="76">
        <f>V1314+T1315</f>
        <v>1668.8478675033557</v>
      </c>
    </row>
    <row r="1316" spans="1:22" ht="19" customHeight="1">
      <c r="A1316" s="68" t="s">
        <v>362</v>
      </c>
      <c r="B1316" s="74">
        <v>5</v>
      </c>
      <c r="C1316" s="68" t="s">
        <v>363</v>
      </c>
      <c r="D1316" s="68" t="s">
        <v>365</v>
      </c>
      <c r="E1316" s="75">
        <f>60*F1316*'THAM_SO_MOI'!$C$53/(2*PI()*'THAM_SO_MOI'!$C$26)</f>
        <v>2367.1621315789466</v>
      </c>
      <c r="F1316" s="75">
        <f>'THAM_SO_MOI'!$C$14+('THAM_SO_MOI'!$C$37-'THAM_SO_MOI'!$C$14)*509/'THAM_SO_MOI'!$C$42</f>
        <v>24.02568402777778</v>
      </c>
      <c r="G1316" s="75">
        <f>3.6*F1316</f>
        <v>86.4924625</v>
      </c>
      <c r="H1316" s="75">
        <f>'THAM_SO_MOI'!$D$53</f>
        <v>1.1</v>
      </c>
      <c r="I1316" s="75">
        <f>IF(F1316&gt;='THAM_SO_MOI'!$C$14,'THAM_SO_MOI'!$C$13*(1+F1316^2/1500),'THAM_SO_MOI'!$C$13)</f>
        <v>0.020772334930026164</v>
      </c>
      <c r="J1316" s="75">
        <f>'THAM_SO_MOI'!$C$40*('THAM_SO_MOI'!$C$23*(E1316/'THAM_SO_MOI'!$C$22)+'THAM_SO_MOI'!$C$24*(E1316/'THAM_SO_MOI'!$C$22)^2-'THAM_SO_MOI'!$C$25*(E1316/'THAM_SO_MOI'!$C$22)^3)</f>
        <v>106.12081530919788</v>
      </c>
      <c r="K1316" s="75">
        <f>'THAM_SO_MOI'!$C$31*J1316/E1316</f>
        <v>428.17952064679594</v>
      </c>
      <c r="L1316" s="75">
        <f>K1316*'THAM_SO_MOI'!$C$53*'THAM_SO_MOI'!$C$17/'THAM_SO_MOI'!$C$26</f>
        <v>3755.1360715254013</v>
      </c>
      <c r="M1316" s="75">
        <f>'THAM_SO_MOI'!$C$15*'THAM_SO_MOI'!$C$16*F1316^2</f>
        <v>1688.4079670326528</v>
      </c>
      <c r="N1316" s="75">
        <f>'THAM_SO_MOI'!$C$12*I1316</f>
        <v>1565.0043314961154</v>
      </c>
      <c r="O1316" s="75">
        <f>M1316+N1316</f>
        <v>3253.412298528768</v>
      </c>
      <c r="P1316" s="75">
        <f>(MIN(L1316,'THAM_SO_MOI'!$C$41)-O1316)/('THAM_SO_MOI'!$C$11*H1316)</f>
        <v>0.059389651159639345</v>
      </c>
      <c r="Q1316" s="75">
        <f>IF(P1316&gt;0,1/P1316,NA())</f>
        <v>16.837950391592646</v>
      </c>
      <c r="R1316" s="75">
        <f>F1316-F1315</f>
        <v>0.0035868055555567935</v>
      </c>
      <c r="S1316" s="75">
        <f>0.5*(Q1315+Q1316)*R1316</f>
        <v>0.060352732315585</v>
      </c>
      <c r="T1316" s="75">
        <f>0.5*(F1315*Q1315+F1316*Q1316)*R1316</f>
        <v>1.4499075148933174</v>
      </c>
      <c r="U1316" s="76">
        <f>U1315+S1316</f>
        <v>95.98390500641983</v>
      </c>
      <c r="V1316" s="76">
        <f>V1315+T1316</f>
        <v>1670.297775018249</v>
      </c>
    </row>
    <row r="1317" spans="1:22" ht="19" customHeight="1">
      <c r="A1317" s="68" t="s">
        <v>362</v>
      </c>
      <c r="B1317" s="74">
        <v>5</v>
      </c>
      <c r="C1317" s="68" t="s">
        <v>363</v>
      </c>
      <c r="D1317" s="68" t="s">
        <v>365</v>
      </c>
      <c r="E1317" s="75">
        <f>60*F1317*'THAM_SO_MOI'!$C$53/(2*PI()*'THAM_SO_MOI'!$C$26)</f>
        <v>2367.515526315789</v>
      </c>
      <c r="F1317" s="75">
        <f>'THAM_SO_MOI'!$C$14+('THAM_SO_MOI'!$C$37-'THAM_SO_MOI'!$C$14)*510/'THAM_SO_MOI'!$C$42</f>
        <v>24.02927083333333</v>
      </c>
      <c r="G1317" s="75">
        <f>3.6*F1317</f>
        <v>86.505375</v>
      </c>
      <c r="H1317" s="75">
        <f>'THAM_SO_MOI'!$D$53</f>
        <v>1.1</v>
      </c>
      <c r="I1317" s="75">
        <f>IF(F1317&gt;='THAM_SO_MOI'!$C$14,'THAM_SO_MOI'!$C$13*(1+F1317^2/1500),'THAM_SO_MOI'!$C$13)</f>
        <v>0.02077405856781684</v>
      </c>
      <c r="J1317" s="75">
        <f>'THAM_SO_MOI'!$C$40*('THAM_SO_MOI'!$C$23*(E1317/'THAM_SO_MOI'!$C$22)+'THAM_SO_MOI'!$C$24*(E1317/'THAM_SO_MOI'!$C$22)^2-'THAM_SO_MOI'!$C$25*(E1317/'THAM_SO_MOI'!$C$22)^3)</f>
        <v>106.1349527389786</v>
      </c>
      <c r="K1317" s="75">
        <f>'THAM_SO_MOI'!$C$31*J1317/E1317</f>
        <v>428.17264068921367</v>
      </c>
      <c r="L1317" s="75">
        <f>K1317*'THAM_SO_MOI'!$C$53*'THAM_SO_MOI'!$C$17/'THAM_SO_MOI'!$C$26</f>
        <v>3755.075734270484</v>
      </c>
      <c r="M1317" s="75">
        <f>'THAM_SO_MOI'!$C$15*'THAM_SO_MOI'!$C$16*F1317^2</f>
        <v>1688.9121310864255</v>
      </c>
      <c r="N1317" s="75">
        <f>'THAM_SO_MOI'!$C$12*I1317</f>
        <v>1565.134191746175</v>
      </c>
      <c r="O1317" s="75">
        <f>M1317+N1317</f>
        <v>3254.0463228326007</v>
      </c>
      <c r="P1317" s="75">
        <f>(MIN(L1317,'THAM_SO_MOI'!$C$41)-O1317)/('THAM_SO_MOI'!$C$11*H1317)</f>
        <v>0.059307458740279824</v>
      </c>
      <c r="Q1317" s="75">
        <f>IF(P1317&gt;0,1/P1317,NA())</f>
        <v>16.86128559949291</v>
      </c>
      <c r="R1317" s="75">
        <f>F1317-F1316</f>
        <v>0.0035868055555532408</v>
      </c>
      <c r="S1317" s="75">
        <f>0.5*(Q1316+Q1317)*R1317</f>
        <v>0.0604363034353627</v>
      </c>
      <c r="T1317" s="75">
        <f>0.5*(F1316*Q1316+F1317*Q1317)*R1317</f>
        <v>1.4521319918322622</v>
      </c>
      <c r="U1317" s="76">
        <f>U1316+S1317</f>
        <v>96.0443413098552</v>
      </c>
      <c r="V1317" s="76">
        <f>V1316+T1317</f>
        <v>1671.7499070100812</v>
      </c>
    </row>
    <row r="1318" spans="1:22" ht="19" customHeight="1">
      <c r="A1318" s="68" t="s">
        <v>362</v>
      </c>
      <c r="B1318" s="74">
        <v>5</v>
      </c>
      <c r="C1318" s="68" t="s">
        <v>363</v>
      </c>
      <c r="D1318" s="68" t="s">
        <v>365</v>
      </c>
      <c r="E1318" s="75">
        <f>60*F1318*'THAM_SO_MOI'!$C$53/(2*PI()*'THAM_SO_MOI'!$C$26)</f>
        <v>2367.868921052631</v>
      </c>
      <c r="F1318" s="75">
        <f>'THAM_SO_MOI'!$C$14+('THAM_SO_MOI'!$C$37-'THAM_SO_MOI'!$C$14)*511/'THAM_SO_MOI'!$C$42</f>
        <v>24.03285763888889</v>
      </c>
      <c r="G1318" s="75">
        <f>3.6*F1318</f>
        <v>86.5182875</v>
      </c>
      <c r="H1318" s="75">
        <f>'THAM_SO_MOI'!$D$53</f>
        <v>1.1</v>
      </c>
      <c r="I1318" s="75">
        <f>IF(F1318&gt;='THAM_SO_MOI'!$C$14,'THAM_SO_MOI'!$C$13*(1+F1318^2/1500),'THAM_SO_MOI'!$C$13)</f>
        <v>0.020775782462911</v>
      </c>
      <c r="J1318" s="75">
        <f>'THAM_SO_MOI'!$C$40*('THAM_SO_MOI'!$C$23*(E1318/'THAM_SO_MOI'!$C$22)+'THAM_SO_MOI'!$C$24*(E1318/'THAM_SO_MOI'!$C$22)^2-'THAM_SO_MOI'!$C$25*(E1318/'THAM_SO_MOI'!$C$22)^3)</f>
        <v>106.14908665589165</v>
      </c>
      <c r="K1318" s="75">
        <f>'THAM_SO_MOI'!$C$31*J1318/E1318</f>
        <v>428.16574861564703</v>
      </c>
      <c r="L1318" s="75">
        <f>K1318*'THAM_SO_MOI'!$C$53*'THAM_SO_MOI'!$C$17/'THAM_SO_MOI'!$C$26</f>
        <v>3755.015290758336</v>
      </c>
      <c r="M1318" s="75">
        <f>'THAM_SO_MOI'!$C$15*'THAM_SO_MOI'!$C$16*F1318^2</f>
        <v>1689.4163704014677</v>
      </c>
      <c r="N1318" s="75">
        <f>'THAM_SO_MOI'!$C$12*I1318</f>
        <v>1565.2640713816852</v>
      </c>
      <c r="O1318" s="75">
        <f>M1318+N1318</f>
        <v>3254.6804417831527</v>
      </c>
      <c r="P1318" s="75">
        <f>(MIN(L1318,'THAM_SO_MOI'!$C$41)-O1318)/('THAM_SO_MOI'!$C$11*H1318)</f>
        <v>0.05922524253967604</v>
      </c>
      <c r="Q1318" s="75">
        <f>IF(P1318&gt;0,1/P1318,NA())</f>
        <v>16.88469235613653</v>
      </c>
      <c r="R1318" s="75">
        <f>F1318-F1317</f>
        <v>0.0035868055555567935</v>
      </c>
      <c r="S1318" s="75">
        <f>0.5*(Q1317+Q1318)*R1318</f>
        <v>0.060520130604474386</v>
      </c>
      <c r="T1318" s="75">
        <f>0.5*(F1317*Q1317+F1318*Q1318)*R1318</f>
        <v>1.4543632214169575</v>
      </c>
      <c r="U1318" s="76">
        <f>U1317+S1318</f>
        <v>96.10486144045967</v>
      </c>
      <c r="V1318" s="76">
        <f>V1317+T1318</f>
        <v>1673.2042702314982</v>
      </c>
    </row>
    <row r="1319" spans="1:22" ht="19" customHeight="1">
      <c r="A1319" s="68" t="s">
        <v>362</v>
      </c>
      <c r="B1319" s="74">
        <v>5</v>
      </c>
      <c r="C1319" s="68" t="s">
        <v>363</v>
      </c>
      <c r="D1319" s="68" t="s">
        <v>365</v>
      </c>
      <c r="E1319" s="75">
        <f>60*F1319*'THAM_SO_MOI'!$C$53/(2*PI()*'THAM_SO_MOI'!$C$26)</f>
        <v>2368.2223157894728</v>
      </c>
      <c r="F1319" s="75">
        <f>'THAM_SO_MOI'!$C$14+('THAM_SO_MOI'!$C$37-'THAM_SO_MOI'!$C$14)*512/'THAM_SO_MOI'!$C$42</f>
        <v>24.03644444444444</v>
      </c>
      <c r="G1319" s="75">
        <f>3.6*F1319</f>
        <v>86.5312</v>
      </c>
      <c r="H1319" s="75">
        <f>'THAM_SO_MOI'!$D$53</f>
        <v>1.1</v>
      </c>
      <c r="I1319" s="75">
        <f>IF(F1319&gt;='THAM_SO_MOI'!$C$14,'THAM_SO_MOI'!$C$13*(1+F1319^2/1500),'THAM_SO_MOI'!$C$13)</f>
        <v>0.02077750661530864</v>
      </c>
      <c r="J1319" s="75">
        <f>'THAM_SO_MOI'!$C$40*('THAM_SO_MOI'!$C$23*(E1319/'THAM_SO_MOI'!$C$22)+'THAM_SO_MOI'!$C$24*(E1319/'THAM_SO_MOI'!$C$22)^2-'THAM_SO_MOI'!$C$25*(E1319/'THAM_SO_MOI'!$C$22)^3)</f>
        <v>106.16321705859212</v>
      </c>
      <c r="K1319" s="75">
        <f>'THAM_SO_MOI'!$C$31*J1319/E1319</f>
        <v>428.1588444260958</v>
      </c>
      <c r="L1319" s="75">
        <f>K1319*'THAM_SO_MOI'!$C$53*'THAM_SO_MOI'!$C$17/'THAM_SO_MOI'!$C$26</f>
        <v>3754.954740988956</v>
      </c>
      <c r="M1319" s="75">
        <f>'THAM_SO_MOI'!$C$15*'THAM_SO_MOI'!$C$16*F1319^2</f>
        <v>1689.9206849777777</v>
      </c>
      <c r="N1319" s="75">
        <f>'THAM_SO_MOI'!$C$12*I1319</f>
        <v>1565.3939704026452</v>
      </c>
      <c r="O1319" s="75">
        <f>M1319+N1319</f>
        <v>3255.3146553804227</v>
      </c>
      <c r="P1319" s="75">
        <f>(MIN(L1319,'THAM_SO_MOI'!$C$41)-O1319)/('THAM_SO_MOI'!$C$11*H1319)</f>
        <v>0.05914300255782823</v>
      </c>
      <c r="Q1319" s="75">
        <f>IF(P1319&gt;0,1/P1319,NA())</f>
        <v>16.90817098814404</v>
      </c>
      <c r="R1319" s="75">
        <f>F1319-F1318</f>
        <v>0.0035868055555532408</v>
      </c>
      <c r="S1319" s="75">
        <f>0.5*(Q1318+Q1319)*R1319</f>
        <v>0.0606042149906585</v>
      </c>
      <c r="T1319" s="75">
        <f>0.5*(F1318*Q1318+F1319*Q1319)*R1319</f>
        <v>1.456601234468793</v>
      </c>
      <c r="U1319" s="76">
        <f>U1318+S1319</f>
        <v>96.16546565545033</v>
      </c>
      <c r="V1319" s="76">
        <f>V1318+T1319</f>
        <v>1674.660871465967</v>
      </c>
    </row>
    <row r="1320" spans="1:22" ht="19" customHeight="1">
      <c r="A1320" s="68" t="s">
        <v>362</v>
      </c>
      <c r="B1320" s="74">
        <v>5</v>
      </c>
      <c r="C1320" s="68" t="s">
        <v>363</v>
      </c>
      <c r="D1320" s="68" t="s">
        <v>365</v>
      </c>
      <c r="E1320" s="75">
        <f>60*F1320*'THAM_SO_MOI'!$C$53/(2*PI()*'THAM_SO_MOI'!$C$26)</f>
        <v>2368.5757105263156</v>
      </c>
      <c r="F1320" s="75">
        <f>'THAM_SO_MOI'!$C$14+('THAM_SO_MOI'!$C$37-'THAM_SO_MOI'!$C$14)*513/'THAM_SO_MOI'!$C$42</f>
        <v>24.04003125</v>
      </c>
      <c r="G1320" s="75">
        <f>3.6*F1320</f>
        <v>86.5441125</v>
      </c>
      <c r="H1320" s="75">
        <f>'THAM_SO_MOI'!$D$53</f>
        <v>1.1</v>
      </c>
      <c r="I1320" s="75">
        <f>IF(F1320&gt;='THAM_SO_MOI'!$C$14,'THAM_SO_MOI'!$C$13*(1+F1320^2/1500),'THAM_SO_MOI'!$C$13)</f>
        <v>0.020779231025009764</v>
      </c>
      <c r="J1320" s="75">
        <f>'THAM_SO_MOI'!$C$40*('THAM_SO_MOI'!$C$23*(E1320/'THAM_SO_MOI'!$C$22)+'THAM_SO_MOI'!$C$24*(E1320/'THAM_SO_MOI'!$C$22)^2-'THAM_SO_MOI'!$C$25*(E1320/'THAM_SO_MOI'!$C$22)^3)</f>
        <v>106.1773439457352</v>
      </c>
      <c r="K1320" s="75">
        <f>'THAM_SO_MOI'!$C$31*J1320/E1320</f>
        <v>428.15192812056017</v>
      </c>
      <c r="L1320" s="75">
        <f>K1320*'THAM_SO_MOI'!$C$53*'THAM_SO_MOI'!$C$17/'THAM_SO_MOI'!$C$26</f>
        <v>3754.894084962345</v>
      </c>
      <c r="M1320" s="75">
        <f>'THAM_SO_MOI'!$C$15*'THAM_SO_MOI'!$C$16*F1320^2</f>
        <v>1690.4250748153563</v>
      </c>
      <c r="N1320" s="75">
        <f>'THAM_SO_MOI'!$C$12*I1320</f>
        <v>1565.5238888090557</v>
      </c>
      <c r="O1320" s="75">
        <f>M1320+N1320</f>
        <v>3255.948963624412</v>
      </c>
      <c r="P1320" s="75">
        <f>(MIN(L1320,'THAM_SO_MOI'!$C$41)-O1320)/('THAM_SO_MOI'!$C$11*H1320)</f>
        <v>0.05906073879473638</v>
      </c>
      <c r="Q1320" s="75">
        <f>IF(P1320&gt;0,1/P1320,NA())</f>
        <v>16.931721824128655</v>
      </c>
      <c r="R1320" s="75">
        <f>F1320-F1319</f>
        <v>0.0035868055555567935</v>
      </c>
      <c r="S1320" s="75">
        <f>0.5*(Q1319+Q1320)*R1320</f>
        <v>0.060688557769253054</v>
      </c>
      <c r="T1320" s="75">
        <f>0.5*(F1319*Q1319+F1320*Q1320)*R1320</f>
        <v>1.458846062008592</v>
      </c>
      <c r="U1320" s="76">
        <f>U1319+S1320</f>
        <v>96.22615421321959</v>
      </c>
      <c r="V1320" s="76">
        <f>V1319+T1320</f>
        <v>1676.1197175279756</v>
      </c>
    </row>
    <row r="1321" spans="1:22" ht="19" customHeight="1">
      <c r="A1321" s="68" t="s">
        <v>362</v>
      </c>
      <c r="B1321" s="74">
        <v>5</v>
      </c>
      <c r="C1321" s="68" t="s">
        <v>363</v>
      </c>
      <c r="D1321" s="68" t="s">
        <v>365</v>
      </c>
      <c r="E1321" s="75">
        <f>60*F1321*'THAM_SO_MOI'!$C$53/(2*PI()*'THAM_SO_MOI'!$C$26)</f>
        <v>2368.9291052631575</v>
      </c>
      <c r="F1321" s="75">
        <f>'THAM_SO_MOI'!$C$14+('THAM_SO_MOI'!$C$37-'THAM_SO_MOI'!$C$14)*514/'THAM_SO_MOI'!$C$42</f>
        <v>24.043618055555555</v>
      </c>
      <c r="G1321" s="75">
        <f>3.6*F1321</f>
        <v>86.557025</v>
      </c>
      <c r="H1321" s="75">
        <f>'THAM_SO_MOI'!$D$53</f>
        <v>1.1</v>
      </c>
      <c r="I1321" s="75">
        <f>IF(F1321&gt;='THAM_SO_MOI'!$C$14,'THAM_SO_MOI'!$C$13*(1+F1321^2/1500),'THAM_SO_MOI'!$C$13)</f>
        <v>0.020780955692014373</v>
      </c>
      <c r="J1321" s="75">
        <f>'THAM_SO_MOI'!$C$40*('THAM_SO_MOI'!$C$23*(E1321/'THAM_SO_MOI'!$C$22)+'THAM_SO_MOI'!$C$24*(E1321/'THAM_SO_MOI'!$C$22)^2-'THAM_SO_MOI'!$C$25*(E1321/'THAM_SO_MOI'!$C$22)^3)</f>
        <v>106.19146731597594</v>
      </c>
      <c r="K1321" s="75">
        <f>'THAM_SO_MOI'!$C$31*J1321/E1321</f>
        <v>428.1449996990402</v>
      </c>
      <c r="L1321" s="75">
        <f>K1321*'THAM_SO_MOI'!$C$53*'THAM_SO_MOI'!$C$17/'THAM_SO_MOI'!$C$26</f>
        <v>3754.8333226785044</v>
      </c>
      <c r="M1321" s="75">
        <f>'THAM_SO_MOI'!$C$15*'THAM_SO_MOI'!$C$16*F1321^2</f>
        <v>1690.9295399142038</v>
      </c>
      <c r="N1321" s="75">
        <f>'THAM_SO_MOI'!$C$12*I1321</f>
        <v>1565.6538266009165</v>
      </c>
      <c r="O1321" s="75">
        <f>M1321+N1321</f>
        <v>3256.5833665151204</v>
      </c>
      <c r="P1321" s="75">
        <f>(MIN(L1321,'THAM_SO_MOI'!$C$41)-O1321)/('THAM_SO_MOI'!$C$11*H1321)</f>
        <v>0.05897845125040057</v>
      </c>
      <c r="Q1321" s="75">
        <f>IF(P1321&gt;0,1/P1321,NA())</f>
        <v>16.955345194711402</v>
      </c>
      <c r="R1321" s="75">
        <f>F1321-F1320</f>
        <v>0.0035868055555567935</v>
      </c>
      <c r="S1321" s="75">
        <f>0.5*(Q1320+Q1321)*R1321</f>
        <v>0.06077316012235045</v>
      </c>
      <c r="T1321" s="75">
        <f>0.5*(F1320*Q1320+F1321*Q1321)*R1321</f>
        <v>1.4610977352364303</v>
      </c>
      <c r="U1321" s="76">
        <f>U1320+S1321</f>
        <v>96.28692737334194</v>
      </c>
      <c r="V1321" s="76">
        <f>V1320+T1321</f>
        <v>1677.5808152632121</v>
      </c>
    </row>
    <row r="1322" spans="1:22" ht="19" customHeight="1">
      <c r="A1322" s="68" t="s">
        <v>362</v>
      </c>
      <c r="B1322" s="74">
        <v>5</v>
      </c>
      <c r="C1322" s="68" t="s">
        <v>363</v>
      </c>
      <c r="D1322" s="68" t="s">
        <v>365</v>
      </c>
      <c r="E1322" s="75">
        <f>60*F1322*'THAM_SO_MOI'!$C$53/(2*PI()*'THAM_SO_MOI'!$C$26)</f>
        <v>2369.2824999999993</v>
      </c>
      <c r="F1322" s="75">
        <f>'THAM_SO_MOI'!$C$14+('THAM_SO_MOI'!$C$37-'THAM_SO_MOI'!$C$14)*515/'THAM_SO_MOI'!$C$42</f>
        <v>24.04720486111111</v>
      </c>
      <c r="G1322" s="75">
        <f>3.6*F1322</f>
        <v>86.5699375</v>
      </c>
      <c r="H1322" s="75">
        <f>'THAM_SO_MOI'!$D$53</f>
        <v>1.1</v>
      </c>
      <c r="I1322" s="75">
        <f>IF(F1322&gt;='THAM_SO_MOI'!$C$14,'THAM_SO_MOI'!$C$13*(1+F1322^2/1500),'THAM_SO_MOI'!$C$13)</f>
        <v>0.020782680616322456</v>
      </c>
      <c r="J1322" s="75">
        <f>'THAM_SO_MOI'!$C$40*('THAM_SO_MOI'!$C$23*(E1322/'THAM_SO_MOI'!$C$22)+'THAM_SO_MOI'!$C$24*(E1322/'THAM_SO_MOI'!$C$22)^2-'THAM_SO_MOI'!$C$25*(E1322/'THAM_SO_MOI'!$C$22)^3)</f>
        <v>106.2055871679694</v>
      </c>
      <c r="K1322" s="75">
        <f>'THAM_SO_MOI'!$C$31*J1322/E1322</f>
        <v>428.13805916153564</v>
      </c>
      <c r="L1322" s="75">
        <f>K1322*'THAM_SO_MOI'!$C$53*'THAM_SO_MOI'!$C$17/'THAM_SO_MOI'!$C$26</f>
        <v>3754.772454137431</v>
      </c>
      <c r="M1322" s="75">
        <f>'THAM_SO_MOI'!$C$15*'THAM_SO_MOI'!$C$16*F1322^2</f>
        <v>1691.4340802743188</v>
      </c>
      <c r="N1322" s="75">
        <f>'THAM_SO_MOI'!$C$12*I1322</f>
        <v>1565.783783778227</v>
      </c>
      <c r="O1322" s="75">
        <f>M1322+N1322</f>
        <v>3257.217864052546</v>
      </c>
      <c r="P1322" s="75">
        <f>(MIN(L1322,'THAM_SO_MOI'!$C$41)-O1322)/('THAM_SO_MOI'!$C$11*H1322)</f>
        <v>0.05889613992482066</v>
      </c>
      <c r="Q1322" s="75">
        <f>IF(P1322&gt;0,1/P1322,NA())</f>
        <v>16.97904143253655</v>
      </c>
      <c r="R1322" s="75">
        <f>F1322-F1321</f>
        <v>0.0035868055555532408</v>
      </c>
      <c r="S1322" s="75">
        <f>0.5*(Q1321+Q1322)*R1322</f>
        <v>0.06085802323945228</v>
      </c>
      <c r="T1322" s="75">
        <f>0.5*(F1321*Q1321+F1322*Q1322)*R1322</f>
        <v>1.4633562855474984</v>
      </c>
      <c r="U1322" s="76">
        <f>U1321+S1322</f>
        <v>96.34778539658139</v>
      </c>
      <c r="V1322" s="76">
        <f>V1321+T1322</f>
        <v>1679.0441715487596</v>
      </c>
    </row>
    <row r="1323" spans="1:22" ht="19" customHeight="1">
      <c r="A1323" s="68" t="s">
        <v>362</v>
      </c>
      <c r="B1323" s="74">
        <v>5</v>
      </c>
      <c r="C1323" s="68" t="s">
        <v>363</v>
      </c>
      <c r="D1323" s="68" t="s">
        <v>365</v>
      </c>
      <c r="E1323" s="75">
        <f>60*F1323*'THAM_SO_MOI'!$C$53/(2*PI()*'THAM_SO_MOI'!$C$26)</f>
        <v>2369.6358947368412</v>
      </c>
      <c r="F1323" s="75">
        <f>'THAM_SO_MOI'!$C$14+('THAM_SO_MOI'!$C$37-'THAM_SO_MOI'!$C$14)*516/'THAM_SO_MOI'!$C$42</f>
        <v>24.050791666666665</v>
      </c>
      <c r="G1323" s="75">
        <f>3.6*F1323</f>
        <v>86.58285</v>
      </c>
      <c r="H1323" s="75">
        <f>'THAM_SO_MOI'!$D$53</f>
        <v>1.1</v>
      </c>
      <c r="I1323" s="75">
        <f>IF(F1323&gt;='THAM_SO_MOI'!$C$14,'THAM_SO_MOI'!$C$13*(1+F1323^2/1500),'THAM_SO_MOI'!$C$13)</f>
        <v>0.020784405797934023</v>
      </c>
      <c r="J1323" s="75">
        <f>'THAM_SO_MOI'!$C$40*('THAM_SO_MOI'!$C$23*(E1323/'THAM_SO_MOI'!$C$22)+'THAM_SO_MOI'!$C$24*(E1323/'THAM_SO_MOI'!$C$22)^2-'THAM_SO_MOI'!$C$25*(E1323/'THAM_SO_MOI'!$C$22)^3)</f>
        <v>106.2197035003708</v>
      </c>
      <c r="K1323" s="75">
        <f>'THAM_SO_MOI'!$C$31*J1323/E1323</f>
        <v>428.13110650804674</v>
      </c>
      <c r="L1323" s="75">
        <f>K1323*'THAM_SO_MOI'!$C$53*'THAM_SO_MOI'!$C$17/'THAM_SO_MOI'!$C$26</f>
        <v>3754.711479339128</v>
      </c>
      <c r="M1323" s="75">
        <f>'THAM_SO_MOI'!$C$15*'THAM_SO_MOI'!$C$16*F1323^2</f>
        <v>1691.9386958957032</v>
      </c>
      <c r="N1323" s="75">
        <f>'THAM_SO_MOI'!$C$12*I1323</f>
        <v>1565.9137603409877</v>
      </c>
      <c r="O1323" s="75">
        <f>M1323+N1323</f>
        <v>3257.852456236691</v>
      </c>
      <c r="P1323" s="75">
        <f>(MIN(L1323,'THAM_SO_MOI'!$C$41)-O1323)/('THAM_SO_MOI'!$C$11*H1323)</f>
        <v>0.058813804817996786</v>
      </c>
      <c r="Q1323" s="75">
        <f>IF(P1323&gt;0,1/P1323,NA())</f>
        <v>17.00281087228698</v>
      </c>
      <c r="R1323" s="75">
        <f>F1323-F1322</f>
        <v>0.0035868055555567935</v>
      </c>
      <c r="S1323" s="75">
        <f>0.5*(Q1322+Q1323)*R1323</f>
        <v>0.06094314831752574</v>
      </c>
      <c r="T1323" s="75">
        <f>0.5*(F1322*Q1322+F1323*Q1323)*R1323</f>
        <v>1.4656217445335944</v>
      </c>
      <c r="U1323" s="76">
        <f>U1322+S1323</f>
        <v>96.4087285448989</v>
      </c>
      <c r="V1323" s="76">
        <f>V1322+T1323</f>
        <v>1680.5097932932931</v>
      </c>
    </row>
    <row r="1324" spans="1:22" ht="19" customHeight="1">
      <c r="A1324" s="68" t="s">
        <v>362</v>
      </c>
      <c r="B1324" s="74">
        <v>5</v>
      </c>
      <c r="C1324" s="68" t="s">
        <v>363</v>
      </c>
      <c r="D1324" s="68" t="s">
        <v>365</v>
      </c>
      <c r="E1324" s="75">
        <f>60*F1324*'THAM_SO_MOI'!$C$53/(2*PI()*'THAM_SO_MOI'!$C$26)</f>
        <v>2369.9892894736836</v>
      </c>
      <c r="F1324" s="75">
        <f>'THAM_SO_MOI'!$C$14+('THAM_SO_MOI'!$C$37-'THAM_SO_MOI'!$C$14)*517/'THAM_SO_MOI'!$C$42</f>
        <v>24.054378472222222</v>
      </c>
      <c r="G1324" s="75">
        <f>3.6*F1324</f>
        <v>86.5957625</v>
      </c>
      <c r="H1324" s="75">
        <f>'THAM_SO_MOI'!$D$53</f>
        <v>1.1</v>
      </c>
      <c r="I1324" s="75">
        <f>IF(F1324&gt;='THAM_SO_MOI'!$C$14,'THAM_SO_MOI'!$C$13*(1+F1324^2/1500),'THAM_SO_MOI'!$C$13)</f>
        <v>0.020786131236849078</v>
      </c>
      <c r="J1324" s="75">
        <f>'THAM_SO_MOI'!$C$40*('THAM_SO_MOI'!$C$23*(E1324/'THAM_SO_MOI'!$C$22)+'THAM_SO_MOI'!$C$24*(E1324/'THAM_SO_MOI'!$C$22)^2-'THAM_SO_MOI'!$C$25*(E1324/'THAM_SO_MOI'!$C$22)^3)</f>
        <v>106.2338163118352</v>
      </c>
      <c r="K1324" s="75">
        <f>'THAM_SO_MOI'!$C$31*J1324/E1324</f>
        <v>428.12414173857337</v>
      </c>
      <c r="L1324" s="75">
        <f>K1324*'THAM_SO_MOI'!$C$53*'THAM_SO_MOI'!$C$17/'THAM_SO_MOI'!$C$26</f>
        <v>3754.650398283594</v>
      </c>
      <c r="M1324" s="75">
        <f>'THAM_SO_MOI'!$C$15*'THAM_SO_MOI'!$C$16*F1324^2</f>
        <v>1692.4433867783557</v>
      </c>
      <c r="N1324" s="75">
        <f>'THAM_SO_MOI'!$C$12*I1324</f>
        <v>1566.043756289199</v>
      </c>
      <c r="O1324" s="75">
        <f>M1324+N1324</f>
        <v>3258.487143067555</v>
      </c>
      <c r="P1324" s="75">
        <f>(MIN(L1324,'THAM_SO_MOI'!$C$41)-O1324)/('THAM_SO_MOI'!$C$11*H1324)</f>
        <v>0.05873144592992889</v>
      </c>
      <c r="Q1324" s="75">
        <f>IF(P1324&gt;0,1/P1324,NA())</f>
        <v>17.026653850699955</v>
      </c>
      <c r="R1324" s="75">
        <f>F1324-F1323</f>
        <v>0.0035868055555567935</v>
      </c>
      <c r="S1324" s="75">
        <f>0.5*(Q1323+Q1324)*R1324</f>
        <v>0.06102853656051672</v>
      </c>
      <c r="T1324" s="75">
        <f>0.5*(F1323*Q1323+F1324*Q1324)*R1324</f>
        <v>1.467894143971546</v>
      </c>
      <c r="U1324" s="76">
        <f>U1323+S1324</f>
        <v>96.46975708145942</v>
      </c>
      <c r="V1324" s="76">
        <f>V1323+T1324</f>
        <v>1681.9776874372646</v>
      </c>
    </row>
    <row r="1325" spans="1:22" ht="19" customHeight="1">
      <c r="A1325" s="68" t="s">
        <v>362</v>
      </c>
      <c r="B1325" s="74">
        <v>5</v>
      </c>
      <c r="C1325" s="68" t="s">
        <v>363</v>
      </c>
      <c r="D1325" s="68" t="s">
        <v>365</v>
      </c>
      <c r="E1325" s="75">
        <f>60*F1325*'THAM_SO_MOI'!$C$53/(2*PI()*'THAM_SO_MOI'!$C$26)</f>
        <v>2370.3426842105255</v>
      </c>
      <c r="F1325" s="75">
        <f>'THAM_SO_MOI'!$C$14+('THAM_SO_MOI'!$C$37-'THAM_SO_MOI'!$C$14)*518/'THAM_SO_MOI'!$C$42</f>
        <v>24.057965277777775</v>
      </c>
      <c r="G1325" s="75">
        <f>3.6*F1325</f>
        <v>86.60867499999999</v>
      </c>
      <c r="H1325" s="75">
        <f>'THAM_SO_MOI'!$D$53</f>
        <v>1.1</v>
      </c>
      <c r="I1325" s="75">
        <f>IF(F1325&gt;='THAM_SO_MOI'!$C$14,'THAM_SO_MOI'!$C$13*(1+F1325^2/1500),'THAM_SO_MOI'!$C$13)</f>
        <v>0.02078785693306761</v>
      </c>
      <c r="J1325" s="75">
        <f>'THAM_SO_MOI'!$C$40*('THAM_SO_MOI'!$C$23*(E1325/'THAM_SO_MOI'!$C$22)+'THAM_SO_MOI'!$C$24*(E1325/'THAM_SO_MOI'!$C$22)^2-'THAM_SO_MOI'!$C$25*(E1325/'THAM_SO_MOI'!$C$22)^3)</f>
        <v>106.24792560101768</v>
      </c>
      <c r="K1325" s="75">
        <f>'THAM_SO_MOI'!$C$31*J1325/E1325</f>
        <v>428.1171648531155</v>
      </c>
      <c r="L1325" s="75">
        <f>K1325*'THAM_SO_MOI'!$C$53*'THAM_SO_MOI'!$C$17/'THAM_SO_MOI'!$C$26</f>
        <v>3754.589210970828</v>
      </c>
      <c r="M1325" s="75">
        <f>'THAM_SO_MOI'!$C$15*'THAM_SO_MOI'!$C$16*F1325^2</f>
        <v>1692.9481529222762</v>
      </c>
      <c r="N1325" s="75">
        <f>'THAM_SO_MOI'!$C$12*I1325</f>
        <v>1566.1737716228602</v>
      </c>
      <c r="O1325" s="75">
        <f>M1325+N1325</f>
        <v>3259.1219245451366</v>
      </c>
      <c r="P1325" s="75">
        <f>(MIN(L1325,'THAM_SO_MOI'!$C$41)-O1325)/('THAM_SO_MOI'!$C$11*H1325)</f>
        <v>0.0586490632606169</v>
      </c>
      <c r="Q1325" s="75">
        <f>IF(P1325&gt;0,1/P1325,NA())</f>
        <v>17.050570706582867</v>
      </c>
      <c r="R1325" s="75">
        <f>F1325-F1324</f>
        <v>0.0035868055555532408</v>
      </c>
      <c r="S1325" s="75">
        <f>0.5*(Q1324+Q1325)*R1325</f>
        <v>0.061114189179948666</v>
      </c>
      <c r="T1325" s="75">
        <f>0.5*(F1324*Q1324+F1325*Q1325)*R1325</f>
        <v>1.4701735158377394</v>
      </c>
      <c r="U1325" s="76">
        <f>U1324+S1325</f>
        <v>96.53087127063937</v>
      </c>
      <c r="V1325" s="76">
        <f>V1324+T1325</f>
        <v>1683.4478609531025</v>
      </c>
    </row>
    <row r="1326" spans="1:22" ht="19" customHeight="1">
      <c r="A1326" s="68" t="s">
        <v>362</v>
      </c>
      <c r="B1326" s="74">
        <v>5</v>
      </c>
      <c r="C1326" s="68" t="s">
        <v>363</v>
      </c>
      <c r="D1326" s="68" t="s">
        <v>365</v>
      </c>
      <c r="E1326" s="75">
        <f>60*F1326*'THAM_SO_MOI'!$C$53/(2*PI()*'THAM_SO_MOI'!$C$26)</f>
        <v>2370.696078947368</v>
      </c>
      <c r="F1326" s="75">
        <f>'THAM_SO_MOI'!$C$14+('THAM_SO_MOI'!$C$37-'THAM_SO_MOI'!$C$14)*519/'THAM_SO_MOI'!$C$42</f>
        <v>24.061552083333332</v>
      </c>
      <c r="G1326" s="75">
        <f>3.6*F1326</f>
        <v>86.6215875</v>
      </c>
      <c r="H1326" s="75">
        <f>'THAM_SO_MOI'!$D$53</f>
        <v>1.1</v>
      </c>
      <c r="I1326" s="75">
        <f>IF(F1326&gt;='THAM_SO_MOI'!$C$14,'THAM_SO_MOI'!$C$13*(1+F1326^2/1500),'THAM_SO_MOI'!$C$13)</f>
        <v>0.020789582886589626</v>
      </c>
      <c r="J1326" s="75">
        <f>'THAM_SO_MOI'!$C$40*('THAM_SO_MOI'!$C$23*(E1326/'THAM_SO_MOI'!$C$22)+'THAM_SO_MOI'!$C$24*(E1326/'THAM_SO_MOI'!$C$22)^2-'THAM_SO_MOI'!$C$25*(E1326/'THAM_SO_MOI'!$C$22)^3)</f>
        <v>106.26203136657341</v>
      </c>
      <c r="K1326" s="75">
        <f>'THAM_SO_MOI'!$C$31*J1326/E1326</f>
        <v>428.1101758516732</v>
      </c>
      <c r="L1326" s="75">
        <f>K1326*'THAM_SO_MOI'!$C$53*'THAM_SO_MOI'!$C$17/'THAM_SO_MOI'!$C$26</f>
        <v>3754.5279174008315</v>
      </c>
      <c r="M1326" s="75">
        <f>'THAM_SO_MOI'!$C$15*'THAM_SO_MOI'!$C$16*F1326^2</f>
        <v>1693.4529943274656</v>
      </c>
      <c r="N1326" s="75">
        <f>'THAM_SO_MOI'!$C$12*I1326</f>
        <v>1566.3038063419717</v>
      </c>
      <c r="O1326" s="75">
        <f>M1326+N1326</f>
        <v>3259.7568006694373</v>
      </c>
      <c r="P1326" s="75">
        <f>(MIN(L1326,'THAM_SO_MOI'!$C$41)-O1326)/('THAM_SO_MOI'!$C$11*H1326)</f>
        <v>0.05856665681006086</v>
      </c>
      <c r="Q1326" s="75">
        <f>IF(P1326&gt;0,1/P1326,NA())</f>
        <v>17.074561780829107</v>
      </c>
      <c r="R1326" s="75">
        <f>F1326-F1325</f>
        <v>0.0035868055555567935</v>
      </c>
      <c r="S1326" s="75">
        <f>0.5*(Q1325+Q1326)*R1326</f>
        <v>0.06120010739498045</v>
      </c>
      <c r="T1326" s="75">
        <f>0.5*(F1325*Q1325+F1326*Q1326)*R1326</f>
        <v>1.4724598923096497</v>
      </c>
      <c r="U1326" s="76">
        <f>U1325+S1326</f>
        <v>96.59207137803435</v>
      </c>
      <c r="V1326" s="76">
        <f>V1325+T1326</f>
        <v>1684.920320845412</v>
      </c>
    </row>
    <row r="1327" spans="1:22" ht="19" customHeight="1">
      <c r="A1327" s="68" t="s">
        <v>362</v>
      </c>
      <c r="B1327" s="74">
        <v>5</v>
      </c>
      <c r="C1327" s="68" t="s">
        <v>363</v>
      </c>
      <c r="D1327" s="68" t="s">
        <v>365</v>
      </c>
      <c r="E1327" s="75">
        <f>60*F1327*'THAM_SO_MOI'!$C$53/(2*PI()*'THAM_SO_MOI'!$C$26)</f>
        <v>2371.04947368421</v>
      </c>
      <c r="F1327" s="75">
        <f>'THAM_SO_MOI'!$C$14+('THAM_SO_MOI'!$C$37-'THAM_SO_MOI'!$C$14)*520/'THAM_SO_MOI'!$C$42</f>
        <v>24.06513888888889</v>
      </c>
      <c r="G1327" s="75">
        <f>3.6*F1327</f>
        <v>86.6345</v>
      </c>
      <c r="H1327" s="75">
        <f>'THAM_SO_MOI'!$D$53</f>
        <v>1.1</v>
      </c>
      <c r="I1327" s="75">
        <f>IF(F1327&gt;='THAM_SO_MOI'!$C$14,'THAM_SO_MOI'!$C$13*(1+F1327^2/1500),'THAM_SO_MOI'!$C$13)</f>
        <v>0.020791309097415125</v>
      </c>
      <c r="J1327" s="75">
        <f>'THAM_SO_MOI'!$C$40*('THAM_SO_MOI'!$C$23*(E1327/'THAM_SO_MOI'!$C$22)+'THAM_SO_MOI'!$C$24*(E1327/'THAM_SO_MOI'!$C$22)^2-'THAM_SO_MOI'!$C$25*(E1327/'THAM_SO_MOI'!$C$22)^3)</f>
        <v>106.27613360715743</v>
      </c>
      <c r="K1327" s="75">
        <f>'THAM_SO_MOI'!$C$31*J1327/E1327</f>
        <v>428.10317473424635</v>
      </c>
      <c r="L1327" s="75">
        <f>K1327*'THAM_SO_MOI'!$C$53*'THAM_SO_MOI'!$C$17/'THAM_SO_MOI'!$C$26</f>
        <v>3754.4665175736027</v>
      </c>
      <c r="M1327" s="75">
        <f>'THAM_SO_MOI'!$C$15*'THAM_SO_MOI'!$C$16*F1327^2</f>
        <v>1693.9579109939239</v>
      </c>
      <c r="N1327" s="75">
        <f>'THAM_SO_MOI'!$C$12*I1327</f>
        <v>1566.4338604465336</v>
      </c>
      <c r="O1327" s="75">
        <f>M1327+N1327</f>
        <v>3260.3917714404574</v>
      </c>
      <c r="P1327" s="75">
        <f>(MIN(L1327,'THAM_SO_MOI'!$C$41)-O1327)/('THAM_SO_MOI'!$C$11*H1327)</f>
        <v>0.05848422657826054</v>
      </c>
      <c r="Q1327" s="75">
        <f>IF(P1327&gt;0,1/P1327,NA())</f>
        <v>17.09862741643428</v>
      </c>
      <c r="R1327" s="75">
        <f>F1327-F1326</f>
        <v>0.0035868055555567935</v>
      </c>
      <c r="S1327" s="75">
        <f>0.5*(Q1326+Q1327)*R1327</f>
        <v>0.061286292431918854</v>
      </c>
      <c r="T1327" s="75">
        <f>0.5*(F1326*Q1326+F1327*Q1327)*R1327</f>
        <v>1.4747533057542481</v>
      </c>
      <c r="U1327" s="76">
        <f>U1326+S1327</f>
        <v>96.65335767046626</v>
      </c>
      <c r="V1327" s="76">
        <f>V1326+T1327</f>
        <v>1686.3950741511665</v>
      </c>
    </row>
    <row r="1328" spans="1:22" ht="19" customHeight="1">
      <c r="A1328" s="68" t="s">
        <v>362</v>
      </c>
      <c r="B1328" s="74">
        <v>5</v>
      </c>
      <c r="C1328" s="68" t="s">
        <v>363</v>
      </c>
      <c r="D1328" s="68" t="s">
        <v>365</v>
      </c>
      <c r="E1328" s="75">
        <f>60*F1328*'THAM_SO_MOI'!$C$53/(2*PI()*'THAM_SO_MOI'!$C$26)</f>
        <v>2371.402868421052</v>
      </c>
      <c r="F1328" s="75">
        <f>'THAM_SO_MOI'!$C$14+('THAM_SO_MOI'!$C$37-'THAM_SO_MOI'!$C$14)*521/'THAM_SO_MOI'!$C$42</f>
        <v>24.068725694444442</v>
      </c>
      <c r="G1328" s="75">
        <f>3.6*F1328</f>
        <v>86.64741249999999</v>
      </c>
      <c r="H1328" s="75">
        <f>'THAM_SO_MOI'!$D$53</f>
        <v>1.1</v>
      </c>
      <c r="I1328" s="75">
        <f>IF(F1328&gt;='THAM_SO_MOI'!$C$14,'THAM_SO_MOI'!$C$13*(1+F1328^2/1500),'THAM_SO_MOI'!$C$13)</f>
        <v>0.0207930355655441</v>
      </c>
      <c r="J1328" s="75">
        <f>'THAM_SO_MOI'!$C$40*('THAM_SO_MOI'!$C$23*(E1328/'THAM_SO_MOI'!$C$22)+'THAM_SO_MOI'!$C$24*(E1328/'THAM_SO_MOI'!$C$22)^2-'THAM_SO_MOI'!$C$25*(E1328/'THAM_SO_MOI'!$C$22)^3)</f>
        <v>106.29023232142491</v>
      </c>
      <c r="K1328" s="75">
        <f>'THAM_SO_MOI'!$C$31*J1328/E1328</f>
        <v>428.0961615008352</v>
      </c>
      <c r="L1328" s="75">
        <f>K1328*'THAM_SO_MOI'!$C$53*'THAM_SO_MOI'!$C$17/'THAM_SO_MOI'!$C$26</f>
        <v>3754.4050114891443</v>
      </c>
      <c r="M1328" s="75">
        <f>'THAM_SO_MOI'!$C$15*'THAM_SO_MOI'!$C$16*F1328^2</f>
        <v>1694.4629029216499</v>
      </c>
      <c r="N1328" s="75">
        <f>'THAM_SO_MOI'!$C$12*I1328</f>
        <v>1566.563933936545</v>
      </c>
      <c r="O1328" s="75">
        <f>M1328+N1328</f>
        <v>3261.0268368581947</v>
      </c>
      <c r="P1328" s="75">
        <f>(MIN(L1328,'THAM_SO_MOI'!$C$41)-O1328)/('THAM_SO_MOI'!$C$11*H1328)</f>
        <v>0.058401772565216545</v>
      </c>
      <c r="Q1328" s="75">
        <f>IF(P1328&gt;0,1/P1328,NA())</f>
        <v>17.122767958512085</v>
      </c>
      <c r="R1328" s="75">
        <f>F1328-F1327</f>
        <v>0.0035868055555532408</v>
      </c>
      <c r="S1328" s="75">
        <f>0.5*(Q1327+Q1328)*R1328</f>
        <v>0.061372745524820804</v>
      </c>
      <c r="T1328" s="75">
        <f>0.5*(F1327*Q1327+F1328*Q1328)*R1328</f>
        <v>1.4770537887426198</v>
      </c>
      <c r="U1328" s="76">
        <f>U1327+S1328</f>
        <v>96.71473041599108</v>
      </c>
      <c r="V1328" s="76">
        <f>V1327+T1328</f>
        <v>1687.872127939909</v>
      </c>
    </row>
    <row r="1329" spans="1:22" ht="19" customHeight="1">
      <c r="A1329" s="68" t="s">
        <v>362</v>
      </c>
      <c r="B1329" s="74">
        <v>5</v>
      </c>
      <c r="C1329" s="68" t="s">
        <v>363</v>
      </c>
      <c r="D1329" s="68" t="s">
        <v>365</v>
      </c>
      <c r="E1329" s="75">
        <f>60*F1329*'THAM_SO_MOI'!$C$53/(2*PI()*'THAM_SO_MOI'!$C$26)</f>
        <v>2371.756263157894</v>
      </c>
      <c r="F1329" s="75">
        <f>'THAM_SO_MOI'!$C$14+('THAM_SO_MOI'!$C$37-'THAM_SO_MOI'!$C$14)*522/'THAM_SO_MOI'!$C$42</f>
        <v>24.0723125</v>
      </c>
      <c r="G1329" s="75">
        <f>3.6*F1329</f>
        <v>86.660325</v>
      </c>
      <c r="H1329" s="75">
        <f>'THAM_SO_MOI'!$D$53</f>
        <v>1.1</v>
      </c>
      <c r="I1329" s="75">
        <f>IF(F1329&gt;='THAM_SO_MOI'!$C$14,'THAM_SO_MOI'!$C$13*(1+F1329^2/1500),'THAM_SO_MOI'!$C$13)</f>
        <v>0.020794762290976564</v>
      </c>
      <c r="J1329" s="75">
        <f>'THAM_SO_MOI'!$C$40*('THAM_SO_MOI'!$C$23*(E1329/'THAM_SO_MOI'!$C$22)+'THAM_SO_MOI'!$C$24*(E1329/'THAM_SO_MOI'!$C$22)^2-'THAM_SO_MOI'!$C$25*(E1329/'THAM_SO_MOI'!$C$22)^3)</f>
        <v>106.30432750803094</v>
      </c>
      <c r="K1329" s="75">
        <f>'THAM_SO_MOI'!$C$31*J1329/E1329</f>
        <v>428.08913615143956</v>
      </c>
      <c r="L1329" s="75">
        <f>K1329*'THAM_SO_MOI'!$C$53*'THAM_SO_MOI'!$C$17/'THAM_SO_MOI'!$C$26</f>
        <v>3754.343399147454</v>
      </c>
      <c r="M1329" s="75">
        <f>'THAM_SO_MOI'!$C$15*'THAM_SO_MOI'!$C$16*F1329^2</f>
        <v>1694.9679701106445</v>
      </c>
      <c r="N1329" s="75">
        <f>'THAM_SO_MOI'!$C$12*I1329</f>
        <v>1566.6940268120072</v>
      </c>
      <c r="O1329" s="75">
        <f>M1329+N1329</f>
        <v>3261.6619969226517</v>
      </c>
      <c r="P1329" s="75">
        <f>(MIN(L1329,'THAM_SO_MOI'!$C$41)-O1329)/('THAM_SO_MOI'!$C$11*H1329)</f>
        <v>0.05831929477092832</v>
      </c>
      <c r="Q1329" s="75">
        <f>IF(P1329&gt;0,1/P1329,NA())</f>
        <v>17.146983754311304</v>
      </c>
      <c r="R1329" s="75">
        <f>F1329-F1328</f>
        <v>0.0035868055555567935</v>
      </c>
      <c r="S1329" s="75">
        <f>0.5*(Q1328+Q1329)*R1329</f>
        <v>0.06145946791555344</v>
      </c>
      <c r="T1329" s="75">
        <f>0.5*(F1328*Q1328+F1329*Q1329)*R1329</f>
        <v>1.4793613740515525</v>
      </c>
      <c r="U1329" s="76">
        <f>U1328+S1329</f>
        <v>96.77618988390664</v>
      </c>
      <c r="V1329" s="76">
        <f>V1328+T1329</f>
        <v>1689.3514893139604</v>
      </c>
    </row>
    <row r="1330" spans="1:22" ht="19" customHeight="1">
      <c r="A1330" s="68" t="s">
        <v>362</v>
      </c>
      <c r="B1330" s="74">
        <v>5</v>
      </c>
      <c r="C1330" s="68" t="s">
        <v>363</v>
      </c>
      <c r="D1330" s="68" t="s">
        <v>365</v>
      </c>
      <c r="E1330" s="75">
        <f>60*F1330*'THAM_SO_MOI'!$C$53/(2*PI()*'THAM_SO_MOI'!$C$26)</f>
        <v>2372.1096578947363</v>
      </c>
      <c r="F1330" s="75">
        <f>'THAM_SO_MOI'!$C$14+('THAM_SO_MOI'!$C$37-'THAM_SO_MOI'!$C$14)*523/'THAM_SO_MOI'!$C$42</f>
        <v>24.075899305555556</v>
      </c>
      <c r="G1330" s="75">
        <f>3.6*F1330</f>
        <v>86.6732375</v>
      </c>
      <c r="H1330" s="75">
        <f>'THAM_SO_MOI'!$D$53</f>
        <v>1.1</v>
      </c>
      <c r="I1330" s="75">
        <f>IF(F1330&gt;='THAM_SO_MOI'!$C$14,'THAM_SO_MOI'!$C$13*(1+F1330^2/1500),'THAM_SO_MOI'!$C$13)</f>
        <v>0.020796489273712505</v>
      </c>
      <c r="J1330" s="75">
        <f>'THAM_SO_MOI'!$C$40*('THAM_SO_MOI'!$C$23*(E1330/'THAM_SO_MOI'!$C$22)+'THAM_SO_MOI'!$C$24*(E1330/'THAM_SO_MOI'!$C$22)^2-'THAM_SO_MOI'!$C$25*(E1330/'THAM_SO_MOI'!$C$22)^3)</f>
        <v>106.31841916563062</v>
      </c>
      <c r="K1330" s="75">
        <f>'THAM_SO_MOI'!$C$31*J1330/E1330</f>
        <v>428.08209868605934</v>
      </c>
      <c r="L1330" s="75">
        <f>K1330*'THAM_SO_MOI'!$C$53*'THAM_SO_MOI'!$C$17/'THAM_SO_MOI'!$C$26</f>
        <v>3754.2816805485327</v>
      </c>
      <c r="M1330" s="75">
        <f>'THAM_SO_MOI'!$C$15*'THAM_SO_MOI'!$C$16*F1330^2</f>
        <v>1695.4731125609078</v>
      </c>
      <c r="N1330" s="75">
        <f>'THAM_SO_MOI'!$C$12*I1330</f>
        <v>1566.8241390729193</v>
      </c>
      <c r="O1330" s="75">
        <f>M1330+N1330</f>
        <v>3262.297251633827</v>
      </c>
      <c r="P1330" s="75">
        <f>(MIN(L1330,'THAM_SO_MOI'!$C$41)-O1330)/('THAM_SO_MOI'!$C$11*H1330)</f>
        <v>0.05823679319539603</v>
      </c>
      <c r="Q1330" s="75">
        <f>IF(P1330&gt;0,1/P1330,NA())</f>
        <v>17.171275153231758</v>
      </c>
      <c r="R1330" s="75">
        <f>F1330-F1329</f>
        <v>0.0035868055555567935</v>
      </c>
      <c r="S1330" s="75">
        <f>0.5*(Q1329+Q1330)*R1330</f>
        <v>0.06154646085330593</v>
      </c>
      <c r="T1330" s="75">
        <f>0.5*(F1329*Q1329+F1330*Q1330)*R1330</f>
        <v>1.4816760946519227</v>
      </c>
      <c r="U1330" s="76">
        <f>U1329+S1330</f>
        <v>96.83773634475995</v>
      </c>
      <c r="V1330" s="76">
        <f>V1329+T1330</f>
        <v>1690.8331654086123</v>
      </c>
    </row>
    <row r="1331" spans="1:22" ht="19" customHeight="1">
      <c r="A1331" s="68" t="s">
        <v>362</v>
      </c>
      <c r="B1331" s="74">
        <v>5</v>
      </c>
      <c r="C1331" s="68" t="s">
        <v>363</v>
      </c>
      <c r="D1331" s="68" t="s">
        <v>365</v>
      </c>
      <c r="E1331" s="75">
        <f>60*F1331*'THAM_SO_MOI'!$C$53/(2*PI()*'THAM_SO_MOI'!$C$26)</f>
        <v>2372.463052631578</v>
      </c>
      <c r="F1331" s="75">
        <f>'THAM_SO_MOI'!$C$14+('THAM_SO_MOI'!$C$37-'THAM_SO_MOI'!$C$14)*524/'THAM_SO_MOI'!$C$42</f>
        <v>24.07948611111111</v>
      </c>
      <c r="G1331" s="75">
        <f>3.6*F1331</f>
        <v>86.68615</v>
      </c>
      <c r="H1331" s="75">
        <f>'THAM_SO_MOI'!$D$53</f>
        <v>1.1</v>
      </c>
      <c r="I1331" s="75">
        <f>IF(F1331&gt;='THAM_SO_MOI'!$C$14,'THAM_SO_MOI'!$C$13*(1+F1331^2/1500),'THAM_SO_MOI'!$C$13)</f>
        <v>0.020798216513751928</v>
      </c>
      <c r="J1331" s="75">
        <f>'THAM_SO_MOI'!$C$40*('THAM_SO_MOI'!$C$23*(E1331/'THAM_SO_MOI'!$C$22)+'THAM_SO_MOI'!$C$24*(E1331/'THAM_SO_MOI'!$C$22)^2-'THAM_SO_MOI'!$C$25*(E1331/'THAM_SO_MOI'!$C$22)^3)</f>
        <v>106.33250729287903</v>
      </c>
      <c r="K1331" s="75">
        <f>'THAM_SO_MOI'!$C$31*J1331/E1331</f>
        <v>428.07504910469464</v>
      </c>
      <c r="L1331" s="75">
        <f>K1331*'THAM_SO_MOI'!$C$53*'THAM_SO_MOI'!$C$17/'THAM_SO_MOI'!$C$26</f>
        <v>3754.2198556923795</v>
      </c>
      <c r="M1331" s="75">
        <f>'THAM_SO_MOI'!$C$15*'THAM_SO_MOI'!$C$16*F1331^2</f>
        <v>1695.978330272439</v>
      </c>
      <c r="N1331" s="75">
        <f>'THAM_SO_MOI'!$C$12*I1331</f>
        <v>1566.9542707192813</v>
      </c>
      <c r="O1331" s="75">
        <f>M1331+N1331</f>
        <v>3262.9326009917204</v>
      </c>
      <c r="P1331" s="75">
        <f>(MIN(L1331,'THAM_SO_MOI'!$C$41)-O1331)/('THAM_SO_MOI'!$C$11*H1331)</f>
        <v>0.05815426783861968</v>
      </c>
      <c r="Q1331" s="75">
        <f>IF(P1331&gt;0,1/P1331,NA())</f>
        <v>17.195642506841256</v>
      </c>
      <c r="R1331" s="75">
        <f>F1331-F1330</f>
        <v>0.0035868055555532408</v>
      </c>
      <c r="S1331" s="75">
        <f>0.5*(Q1330+Q1331)*R1331</f>
        <v>0.06163372559519533</v>
      </c>
      <c r="T1331" s="75">
        <f>0.5*(F1330*Q1330+F1331*Q1331)*R1331</f>
        <v>1.4839979837234138</v>
      </c>
      <c r="U1331" s="76">
        <f>U1330+S1331</f>
        <v>96.89937007035515</v>
      </c>
      <c r="V1331" s="76">
        <f>V1330+T1331</f>
        <v>1692.3171633923357</v>
      </c>
    </row>
    <row r="1332" spans="1:22" ht="19" customHeight="1">
      <c r="A1332" s="68" t="s">
        <v>362</v>
      </c>
      <c r="B1332" s="74">
        <v>5</v>
      </c>
      <c r="C1332" s="68" t="s">
        <v>363</v>
      </c>
      <c r="D1332" s="68" t="s">
        <v>365</v>
      </c>
      <c r="E1332" s="75">
        <f>60*F1332*'THAM_SO_MOI'!$C$53/(2*PI()*'THAM_SO_MOI'!$C$26)</f>
        <v>2372.8164473684205</v>
      </c>
      <c r="F1332" s="75">
        <f>'THAM_SO_MOI'!$C$14+('THAM_SO_MOI'!$C$37-'THAM_SO_MOI'!$C$14)*525/'THAM_SO_MOI'!$C$42</f>
        <v>24.083072916666666</v>
      </c>
      <c r="G1332" s="75">
        <f>3.6*F1332</f>
        <v>86.6990625</v>
      </c>
      <c r="H1332" s="75">
        <f>'THAM_SO_MOI'!$D$53</f>
        <v>1.1</v>
      </c>
      <c r="I1332" s="75">
        <f>IF(F1332&gt;='THAM_SO_MOI'!$C$14,'THAM_SO_MOI'!$C$13*(1+F1332^2/1500),'THAM_SO_MOI'!$C$13)</f>
        <v>0.020799944011094834</v>
      </c>
      <c r="J1332" s="75">
        <f>'THAM_SO_MOI'!$C$40*('THAM_SO_MOI'!$C$23*(E1332/'THAM_SO_MOI'!$C$22)+'THAM_SO_MOI'!$C$24*(E1332/'THAM_SO_MOI'!$C$22)^2-'THAM_SO_MOI'!$C$25*(E1332/'THAM_SO_MOI'!$C$22)^3)</f>
        <v>106.34659188843139</v>
      </c>
      <c r="K1332" s="75">
        <f>'THAM_SO_MOI'!$C$31*J1332/E1332</f>
        <v>428.0679874073457</v>
      </c>
      <c r="L1332" s="75">
        <f>K1332*'THAM_SO_MOI'!$C$53*'THAM_SO_MOI'!$C$17/'THAM_SO_MOI'!$C$26</f>
        <v>3754.1579245789967</v>
      </c>
      <c r="M1332" s="75">
        <f>'THAM_SO_MOI'!$C$15*'THAM_SO_MOI'!$C$16*F1332^2</f>
        <v>1696.4836232452394</v>
      </c>
      <c r="N1332" s="75">
        <f>'THAM_SO_MOI'!$C$12*I1332</f>
        <v>1567.0844217510937</v>
      </c>
      <c r="O1332" s="75">
        <f>M1332+N1332</f>
        <v>3263.568044996333</v>
      </c>
      <c r="P1332" s="75">
        <f>(MIN(L1332,'THAM_SO_MOI'!$C$41)-O1332)/('THAM_SO_MOI'!$C$11*H1332)</f>
        <v>0.05807171870059938</v>
      </c>
      <c r="Q1332" s="75">
        <f>IF(P1332&gt;0,1/P1332,NA())</f>
        <v>17.220086168892376</v>
      </c>
      <c r="R1332" s="75">
        <f>F1332-F1331</f>
        <v>0.0035868055555567935</v>
      </c>
      <c r="S1332" s="75">
        <f>0.5*(Q1331+Q1332)*R1332</f>
        <v>0.06172126340632832</v>
      </c>
      <c r="T1332" s="75">
        <f>0.5*(F1331*Q1331+F1332*Q1332)*R1332</f>
        <v>1.4863270746561459</v>
      </c>
      <c r="U1332" s="76">
        <f>U1331+S1332</f>
        <v>96.96109133376147</v>
      </c>
      <c r="V1332" s="76">
        <f>V1331+T1332</f>
        <v>1693.803490466992</v>
      </c>
    </row>
    <row r="1333" spans="1:22" ht="19" customHeight="1">
      <c r="A1333" s="68" t="s">
        <v>362</v>
      </c>
      <c r="B1333" s="74">
        <v>5</v>
      </c>
      <c r="C1333" s="68" t="s">
        <v>363</v>
      </c>
      <c r="D1333" s="68" t="s">
        <v>365</v>
      </c>
      <c r="E1333" s="75">
        <f>60*F1333*'THAM_SO_MOI'!$C$53/(2*PI()*'THAM_SO_MOI'!$C$26)</f>
        <v>2373.169842105263</v>
      </c>
      <c r="F1333" s="75">
        <f>'THAM_SO_MOI'!$C$14+('THAM_SO_MOI'!$C$37-'THAM_SO_MOI'!$C$14)*526/'THAM_SO_MOI'!$C$42</f>
        <v>24.086659722222223</v>
      </c>
      <c r="G1333" s="75">
        <f>3.6*F1333</f>
        <v>86.71197500000001</v>
      </c>
      <c r="H1333" s="75">
        <f>'THAM_SO_MOI'!$D$53</f>
        <v>1.1</v>
      </c>
      <c r="I1333" s="75">
        <f>IF(F1333&gt;='THAM_SO_MOI'!$C$14,'THAM_SO_MOI'!$C$13*(1+F1333^2/1500),'THAM_SO_MOI'!$C$13)</f>
        <v>0.020801671765741225</v>
      </c>
      <c r="J1333" s="75">
        <f>'THAM_SO_MOI'!$C$40*('THAM_SO_MOI'!$C$23*(E1333/'THAM_SO_MOI'!$C$22)+'THAM_SO_MOI'!$C$24*(E1333/'THAM_SO_MOI'!$C$22)^2-'THAM_SO_MOI'!$C$25*(E1333/'THAM_SO_MOI'!$C$22)^3)</f>
        <v>106.36067295094271</v>
      </c>
      <c r="K1333" s="75">
        <f>'THAM_SO_MOI'!$C$31*J1333/E1333</f>
        <v>428.06091359401216</v>
      </c>
      <c r="L1333" s="75">
        <f>K1333*'THAM_SO_MOI'!$C$53*'THAM_SO_MOI'!$C$17/'THAM_SO_MOI'!$C$26</f>
        <v>3754.0958872083825</v>
      </c>
      <c r="M1333" s="75">
        <f>'THAM_SO_MOI'!$C$15*'THAM_SO_MOI'!$C$16*F1333^2</f>
        <v>1696.988991479308</v>
      </c>
      <c r="N1333" s="75">
        <f>'THAM_SO_MOI'!$C$12*I1333</f>
        <v>1567.2145921683566</v>
      </c>
      <c r="O1333" s="75">
        <f>M1333+N1333</f>
        <v>3264.2035836476643</v>
      </c>
      <c r="P1333" s="75">
        <f>(MIN(L1333,'THAM_SO_MOI'!$C$41)-O1333)/('THAM_SO_MOI'!$C$11*H1333)</f>
        <v>0.057989145781334975</v>
      </c>
      <c r="Q1333" s="75">
        <f>IF(P1333&gt;0,1/P1333,NA())</f>
        <v>17.24460649533953</v>
      </c>
      <c r="R1333" s="75">
        <f>F1333-F1332</f>
        <v>0.0035868055555567935</v>
      </c>
      <c r="S1333" s="75">
        <f>0.5*(Q1332+Q1333)*R1333</f>
        <v>0.06180907555931223</v>
      </c>
      <c r="T1333" s="75">
        <f>0.5*(F1332*Q1332+F1333*Q1333)*R1333</f>
        <v>1.4886634010390432</v>
      </c>
      <c r="U1333" s="76">
        <f>U1332+S1333</f>
        <v>97.02290040932078</v>
      </c>
      <c r="V1333" s="76">
        <f>V1332+T1333</f>
        <v>1695.292153868031</v>
      </c>
    </row>
    <row r="1334" spans="1:22" ht="19" customHeight="1">
      <c r="A1334" s="68" t="s">
        <v>362</v>
      </c>
      <c r="B1334" s="74">
        <v>5</v>
      </c>
      <c r="C1334" s="68" t="s">
        <v>363</v>
      </c>
      <c r="D1334" s="68" t="s">
        <v>365</v>
      </c>
      <c r="E1334" s="75">
        <f>60*F1334*'THAM_SO_MOI'!$C$53/(2*PI()*'THAM_SO_MOI'!$C$26)</f>
        <v>2373.523236842105</v>
      </c>
      <c r="F1334" s="75">
        <f>'THAM_SO_MOI'!$C$14+('THAM_SO_MOI'!$C$37-'THAM_SO_MOI'!$C$14)*527/'THAM_SO_MOI'!$C$42</f>
        <v>24.090246527777776</v>
      </c>
      <c r="G1334" s="75">
        <f>3.6*F1334</f>
        <v>86.7248875</v>
      </c>
      <c r="H1334" s="75">
        <f>'THAM_SO_MOI'!$D$53</f>
        <v>1.1</v>
      </c>
      <c r="I1334" s="75">
        <f>IF(F1334&gt;='THAM_SO_MOI'!$C$14,'THAM_SO_MOI'!$C$13*(1+F1334^2/1500),'THAM_SO_MOI'!$C$13)</f>
        <v>0.020803399777691092</v>
      </c>
      <c r="J1334" s="75">
        <f>'THAM_SO_MOI'!$C$40*('THAM_SO_MOI'!$C$23*(E1334/'THAM_SO_MOI'!$C$22)+'THAM_SO_MOI'!$C$24*(E1334/'THAM_SO_MOI'!$C$22)^2-'THAM_SO_MOI'!$C$25*(E1334/'THAM_SO_MOI'!$C$22)^3)</f>
        <v>106.37475047906808</v>
      </c>
      <c r="K1334" s="75">
        <f>'THAM_SO_MOI'!$C$31*J1334/E1334</f>
        <v>428.0538276646941</v>
      </c>
      <c r="L1334" s="75">
        <f>K1334*'THAM_SO_MOI'!$C$53*'THAM_SO_MOI'!$C$17/'THAM_SO_MOI'!$C$26</f>
        <v>3754.033743580536</v>
      </c>
      <c r="M1334" s="75">
        <f>'THAM_SO_MOI'!$C$15*'THAM_SO_MOI'!$C$16*F1334^2</f>
        <v>1697.4944349746445</v>
      </c>
      <c r="N1334" s="75">
        <f>'THAM_SO_MOI'!$C$12*I1334</f>
        <v>1567.344781971069</v>
      </c>
      <c r="O1334" s="75">
        <f>M1334+N1334</f>
        <v>3264.839216945714</v>
      </c>
      <c r="P1334" s="75">
        <f>(MIN(L1334,'THAM_SO_MOI'!$C$41)-O1334)/('THAM_SO_MOI'!$C$11*H1334)</f>
        <v>0.05790654908082648</v>
      </c>
      <c r="Q1334" s="75">
        <f>IF(P1334&gt;0,1/P1334,NA())</f>
        <v>17.269203844356035</v>
      </c>
      <c r="R1334" s="75">
        <f>F1334-F1333</f>
        <v>0.0035868055555532408</v>
      </c>
      <c r="S1334" s="75">
        <f>0.5*(Q1333+Q1334)*R1334</f>
        <v>0.061897163334865474</v>
      </c>
      <c r="T1334" s="75">
        <f>0.5*(F1333*Q1333+F1334*Q1334)*R1334</f>
        <v>1.4910069966746697</v>
      </c>
      <c r="U1334" s="76">
        <f>U1333+S1334</f>
        <v>97.08479757265565</v>
      </c>
      <c r="V1334" s="76">
        <f>V1333+T1334</f>
        <v>1696.7831608647057</v>
      </c>
    </row>
    <row r="1335" spans="1:22" ht="19" customHeight="1">
      <c r="A1335" s="68" t="s">
        <v>362</v>
      </c>
      <c r="B1335" s="74">
        <v>5</v>
      </c>
      <c r="C1335" s="68" t="s">
        <v>363</v>
      </c>
      <c r="D1335" s="68" t="s">
        <v>365</v>
      </c>
      <c r="E1335" s="75">
        <f>60*F1335*'THAM_SO_MOI'!$C$53/(2*PI()*'THAM_SO_MOI'!$C$26)</f>
        <v>2373.8766315789467</v>
      </c>
      <c r="F1335" s="75">
        <f>'THAM_SO_MOI'!$C$14+('THAM_SO_MOI'!$C$37-'THAM_SO_MOI'!$C$14)*528/'THAM_SO_MOI'!$C$42</f>
        <v>24.093833333333333</v>
      </c>
      <c r="G1335" s="75">
        <f>3.6*F1335</f>
        <v>86.7378</v>
      </c>
      <c r="H1335" s="75">
        <f>'THAM_SO_MOI'!$D$53</f>
        <v>1.1</v>
      </c>
      <c r="I1335" s="75">
        <f>IF(F1335&gt;='THAM_SO_MOI'!$C$14,'THAM_SO_MOI'!$C$13*(1+F1335^2/1500),'THAM_SO_MOI'!$C$13)</f>
        <v>0.020805128046944444</v>
      </c>
      <c r="J1335" s="75">
        <f>'THAM_SO_MOI'!$C$40*('THAM_SO_MOI'!$C$23*(E1335/'THAM_SO_MOI'!$C$22)+'THAM_SO_MOI'!$C$24*(E1335/'THAM_SO_MOI'!$C$22)^2-'THAM_SO_MOI'!$C$25*(E1335/'THAM_SO_MOI'!$C$22)^3)</f>
        <v>106.38882447146268</v>
      </c>
      <c r="K1335" s="75">
        <f>'THAM_SO_MOI'!$C$31*J1335/E1335</f>
        <v>428.0467296193916</v>
      </c>
      <c r="L1335" s="75">
        <f>K1335*'THAM_SO_MOI'!$C$53*'THAM_SO_MOI'!$C$17/'THAM_SO_MOI'!$C$26</f>
        <v>3753.9714936954583</v>
      </c>
      <c r="M1335" s="75">
        <f>'THAM_SO_MOI'!$C$15*'THAM_SO_MOI'!$C$16*F1335^2</f>
        <v>1697.99995373125</v>
      </c>
      <c r="N1335" s="75">
        <f>'THAM_SO_MOI'!$C$12*I1335</f>
        <v>1567.474991159232</v>
      </c>
      <c r="O1335" s="75">
        <f>M1335+N1335</f>
        <v>3265.474944890482</v>
      </c>
      <c r="P1335" s="75">
        <f>(MIN(L1335,'THAM_SO_MOI'!$C$41)-O1335)/('THAM_SO_MOI'!$C$11*H1335)</f>
        <v>0.05782392859907388</v>
      </c>
      <c r="Q1335" s="75">
        <f>IF(P1335&gt;0,1/P1335,NA())</f>
        <v>17.293878576351457</v>
      </c>
      <c r="R1335" s="75">
        <f>F1335-F1334</f>
        <v>0.0035868055555567935</v>
      </c>
      <c r="S1335" s="75">
        <f>0.5*(Q1334+Q1335)*R1335</f>
        <v>0.06198552802188048</v>
      </c>
      <c r="T1335" s="75">
        <f>0.5*(F1334*Q1334+F1335*Q1335)*R1335</f>
        <v>1.4933578955808955</v>
      </c>
      <c r="U1335" s="76">
        <f>U1334+S1335</f>
        <v>97.14678310067752</v>
      </c>
      <c r="V1335" s="76">
        <f>V1334+T1335</f>
        <v>1698.2765187602865</v>
      </c>
    </row>
    <row r="1336" spans="1:22" ht="19" customHeight="1">
      <c r="A1336" s="68" t="s">
        <v>362</v>
      </c>
      <c r="B1336" s="74">
        <v>5</v>
      </c>
      <c r="C1336" s="68" t="s">
        <v>363</v>
      </c>
      <c r="D1336" s="68" t="s">
        <v>365</v>
      </c>
      <c r="E1336" s="75">
        <f>60*F1336*'THAM_SO_MOI'!$C$53/(2*PI()*'THAM_SO_MOI'!$C$26)</f>
        <v>2374.2300263157886</v>
      </c>
      <c r="F1336" s="75">
        <f>'THAM_SO_MOI'!$C$14+('THAM_SO_MOI'!$C$37-'THAM_SO_MOI'!$C$14)*529/'THAM_SO_MOI'!$C$42</f>
        <v>24.097420138888886</v>
      </c>
      <c r="G1336" s="75">
        <f>3.6*F1336</f>
        <v>86.75071249999999</v>
      </c>
      <c r="H1336" s="75">
        <f>'THAM_SO_MOI'!$D$53</f>
        <v>1.1</v>
      </c>
      <c r="I1336" s="75">
        <f>IF(F1336&gt;='THAM_SO_MOI'!$C$14,'THAM_SO_MOI'!$C$13*(1+F1336^2/1500),'THAM_SO_MOI'!$C$13)</f>
        <v>0.020806856573501276</v>
      </c>
      <c r="J1336" s="75">
        <f>'THAM_SO_MOI'!$C$40*('THAM_SO_MOI'!$C$23*(E1336/'THAM_SO_MOI'!$C$22)+'THAM_SO_MOI'!$C$24*(E1336/'THAM_SO_MOI'!$C$22)^2-'THAM_SO_MOI'!$C$25*(E1336/'THAM_SO_MOI'!$C$22)^3)</f>
        <v>106.40289492678166</v>
      </c>
      <c r="K1336" s="75">
        <f>'THAM_SO_MOI'!$C$31*J1336/E1336</f>
        <v>428.0396194581049</v>
      </c>
      <c r="L1336" s="75">
        <f>K1336*'THAM_SO_MOI'!$C$53*'THAM_SO_MOI'!$C$17/'THAM_SO_MOI'!$C$26</f>
        <v>3753.909137553152</v>
      </c>
      <c r="M1336" s="75">
        <f>'THAM_SO_MOI'!$C$15*'THAM_SO_MOI'!$C$16*F1336^2</f>
        <v>1698.5055477491235</v>
      </c>
      <c r="N1336" s="75">
        <f>'THAM_SO_MOI'!$C$12*I1336</f>
        <v>1567.605219732845</v>
      </c>
      <c r="O1336" s="75">
        <f>M1336+N1336</f>
        <v>3266.1107674819687</v>
      </c>
      <c r="P1336" s="75">
        <f>(MIN(L1336,'THAM_SO_MOI'!$C$41)-O1336)/('THAM_SO_MOI'!$C$11*H1336)</f>
        <v>0.05774128433607758</v>
      </c>
      <c r="Q1336" s="75">
        <f>IF(P1336&gt;0,1/P1336,NA())</f>
        <v>17.31863105398897</v>
      </c>
      <c r="R1336" s="75">
        <f>F1336-F1335</f>
        <v>0.0035868055555532408</v>
      </c>
      <c r="S1336" s="75">
        <f>0.5*(Q1335+Q1336)*R1336</f>
        <v>0.06207417091687254</v>
      </c>
      <c r="T1336" s="75">
        <f>0.5*(F1335*Q1335+F1336*Q1336)*R1336</f>
        <v>1.495716131977758</v>
      </c>
      <c r="U1336" s="76">
        <f>U1335+S1336</f>
        <v>97.2088572715944</v>
      </c>
      <c r="V1336" s="76">
        <f>V1335+T1336</f>
        <v>1699.7722348922644</v>
      </c>
    </row>
    <row r="1337" spans="1:22" ht="19" customHeight="1">
      <c r="A1337" s="68" t="s">
        <v>362</v>
      </c>
      <c r="B1337" s="74">
        <v>5</v>
      </c>
      <c r="C1337" s="68" t="s">
        <v>363</v>
      </c>
      <c r="D1337" s="68" t="s">
        <v>365</v>
      </c>
      <c r="E1337" s="75">
        <f>60*F1337*'THAM_SO_MOI'!$C$53/(2*PI()*'THAM_SO_MOI'!$C$26)</f>
        <v>2374.583421052631</v>
      </c>
      <c r="F1337" s="75">
        <f>'THAM_SO_MOI'!$C$14+('THAM_SO_MOI'!$C$37-'THAM_SO_MOI'!$C$14)*530/'THAM_SO_MOI'!$C$42</f>
        <v>24.101006944444443</v>
      </c>
      <c r="G1337" s="75">
        <f>3.6*F1337</f>
        <v>86.76362499999999</v>
      </c>
      <c r="H1337" s="75">
        <f>'THAM_SO_MOI'!$D$53</f>
        <v>1.1</v>
      </c>
      <c r="I1337" s="75">
        <f>IF(F1337&gt;='THAM_SO_MOI'!$C$14,'THAM_SO_MOI'!$C$13*(1+F1337^2/1500),'THAM_SO_MOI'!$C$13)</f>
        <v>0.020808585357361593</v>
      </c>
      <c r="J1337" s="75">
        <f>'THAM_SO_MOI'!$C$40*('THAM_SO_MOI'!$C$23*(E1337/'THAM_SO_MOI'!$C$22)+'THAM_SO_MOI'!$C$24*(E1337/'THAM_SO_MOI'!$C$22)^2-'THAM_SO_MOI'!$C$25*(E1337/'THAM_SO_MOI'!$C$22)^3)</f>
        <v>106.41696184368</v>
      </c>
      <c r="K1337" s="75">
        <f>'THAM_SO_MOI'!$C$31*J1337/E1337</f>
        <v>428.0324971808334</v>
      </c>
      <c r="L1337" s="75">
        <f>K1337*'THAM_SO_MOI'!$C$53*'THAM_SO_MOI'!$C$17/'THAM_SO_MOI'!$C$26</f>
        <v>3753.8466751536116</v>
      </c>
      <c r="M1337" s="75">
        <f>'THAM_SO_MOI'!$C$15*'THAM_SO_MOI'!$C$16*F1337^2</f>
        <v>1699.0112170282657</v>
      </c>
      <c r="N1337" s="75">
        <f>'THAM_SO_MOI'!$C$12*I1337</f>
        <v>1567.7354676919083</v>
      </c>
      <c r="O1337" s="75">
        <f>M1337+N1337</f>
        <v>3266.746684720174</v>
      </c>
      <c r="P1337" s="75">
        <f>(MIN(L1337,'THAM_SO_MOI'!$C$41)-O1337)/('THAM_SO_MOI'!$C$11*H1337)</f>
        <v>0.05765861629183686</v>
      </c>
      <c r="Q1337" s="75">
        <f>IF(P1337&gt;0,1/P1337,NA())</f>
        <v>17.343461642203458</v>
      </c>
      <c r="R1337" s="75">
        <f>F1337-F1336</f>
        <v>0.0035868055555567935</v>
      </c>
      <c r="S1337" s="75">
        <f>0.5*(Q1336+Q1337)*R1337</f>
        <v>0.06216309332496378</v>
      </c>
      <c r="T1337" s="75">
        <f>0.5*(F1336*Q1336+F1337*Q1337)*R1337</f>
        <v>1.4980817403113156</v>
      </c>
      <c r="U1337" s="76">
        <f>U1336+S1337</f>
        <v>97.27102036491937</v>
      </c>
      <c r="V1337" s="76">
        <f>V1336+T1337</f>
        <v>1701.2703166325757</v>
      </c>
    </row>
    <row r="1338" spans="1:22" ht="19" customHeight="1">
      <c r="A1338" s="68" t="s">
        <v>362</v>
      </c>
      <c r="B1338" s="74">
        <v>5</v>
      </c>
      <c r="C1338" s="68" t="s">
        <v>363</v>
      </c>
      <c r="D1338" s="68" t="s">
        <v>365</v>
      </c>
      <c r="E1338" s="75">
        <f>60*F1338*'THAM_SO_MOI'!$C$53/(2*PI()*'THAM_SO_MOI'!$C$26)</f>
        <v>2374.9368157894733</v>
      </c>
      <c r="F1338" s="75">
        <f>'THAM_SO_MOI'!$C$14+('THAM_SO_MOI'!$C$37-'THAM_SO_MOI'!$C$14)*531/'THAM_SO_MOI'!$C$42</f>
        <v>24.10459375</v>
      </c>
      <c r="G1338" s="75">
        <f>3.6*F1338</f>
        <v>86.7765375</v>
      </c>
      <c r="H1338" s="75">
        <f>'THAM_SO_MOI'!$D$53</f>
        <v>1.1</v>
      </c>
      <c r="I1338" s="75">
        <f>IF(F1338&gt;='THAM_SO_MOI'!$C$14,'THAM_SO_MOI'!$C$13*(1+F1338^2/1500),'THAM_SO_MOI'!$C$13)</f>
        <v>0.02081031439852539</v>
      </c>
      <c r="J1338" s="75">
        <f>'THAM_SO_MOI'!$C$40*('THAM_SO_MOI'!$C$23*(E1338/'THAM_SO_MOI'!$C$22)+'THAM_SO_MOI'!$C$24*(E1338/'THAM_SO_MOI'!$C$22)^2-'THAM_SO_MOI'!$C$25*(E1338/'THAM_SO_MOI'!$C$22)^3)</f>
        <v>106.43102522081293</v>
      </c>
      <c r="K1338" s="75">
        <f>'THAM_SO_MOI'!$C$31*J1338/E1338</f>
        <v>428.02536278757765</v>
      </c>
      <c r="L1338" s="75">
        <f>K1338*'THAM_SO_MOI'!$C$53*'THAM_SO_MOI'!$C$17/'THAM_SO_MOI'!$C$26</f>
        <v>3753.784106496842</v>
      </c>
      <c r="M1338" s="75">
        <f>'THAM_SO_MOI'!$C$15*'THAM_SO_MOI'!$C$16*F1338^2</f>
        <v>1699.5169615686768</v>
      </c>
      <c r="N1338" s="75">
        <f>'THAM_SO_MOI'!$C$12*I1338</f>
        <v>1567.8657350364217</v>
      </c>
      <c r="O1338" s="75">
        <f>M1338+N1338</f>
        <v>3267.3826966050983</v>
      </c>
      <c r="P1338" s="75">
        <f>(MIN(L1338,'THAM_SO_MOI'!$C$41)-O1338)/('THAM_SO_MOI'!$C$11*H1338)</f>
        <v>0.05757592446635221</v>
      </c>
      <c r="Q1338" s="75">
        <f>IF(P1338&gt;0,1/P1338,NA())</f>
        <v>17.36837070821863</v>
      </c>
      <c r="R1338" s="75">
        <f>F1338-F1337</f>
        <v>0.0035868055555567935</v>
      </c>
      <c r="S1338" s="75">
        <f>0.5*(Q1337+Q1338)*R1338</f>
        <v>0.062252296559024985</v>
      </c>
      <c r="T1338" s="75">
        <f>0.5*(F1337*Q1337+F1338*Q1338)*R1338</f>
        <v>1.5004547552331158</v>
      </c>
      <c r="U1338" s="76">
        <f>U1337+S1338</f>
        <v>97.33327266147839</v>
      </c>
      <c r="V1338" s="76">
        <f>V1337+T1338</f>
        <v>1702.7707713878087</v>
      </c>
    </row>
    <row r="1339" spans="1:22" ht="19" customHeight="1">
      <c r="A1339" s="68" t="s">
        <v>362</v>
      </c>
      <c r="B1339" s="74">
        <v>5</v>
      </c>
      <c r="C1339" s="68" t="s">
        <v>363</v>
      </c>
      <c r="D1339" s="68" t="s">
        <v>365</v>
      </c>
      <c r="E1339" s="75">
        <f>60*F1339*'THAM_SO_MOI'!$C$53/(2*PI()*'THAM_SO_MOI'!$C$26)</f>
        <v>2375.290210526315</v>
      </c>
      <c r="F1339" s="75">
        <f>'THAM_SO_MOI'!$C$14+('THAM_SO_MOI'!$C$37-'THAM_SO_MOI'!$C$14)*532/'THAM_SO_MOI'!$C$42</f>
        <v>24.108180555555556</v>
      </c>
      <c r="G1339" s="75">
        <f>3.6*F1339</f>
        <v>86.78945</v>
      </c>
      <c r="H1339" s="75">
        <f>'THAM_SO_MOI'!$D$53</f>
        <v>1.1</v>
      </c>
      <c r="I1339" s="75">
        <f>IF(F1339&gt;='THAM_SO_MOI'!$C$14,'THAM_SO_MOI'!$C$13*(1+F1339^2/1500),'THAM_SO_MOI'!$C$13)</f>
        <v>0.02081204369699267</v>
      </c>
      <c r="J1339" s="75">
        <f>'THAM_SO_MOI'!$C$40*('THAM_SO_MOI'!$C$23*(E1339/'THAM_SO_MOI'!$C$22)+'THAM_SO_MOI'!$C$24*(E1339/'THAM_SO_MOI'!$C$22)^2-'THAM_SO_MOI'!$C$25*(E1339/'THAM_SO_MOI'!$C$22)^3)</f>
        <v>106.44508505683547</v>
      </c>
      <c r="K1339" s="75">
        <f>'THAM_SO_MOI'!$C$31*J1339/E1339</f>
        <v>428.01821627833743</v>
      </c>
      <c r="L1339" s="75">
        <f>K1339*'THAM_SO_MOI'!$C$53*'THAM_SO_MOI'!$C$17/'THAM_SO_MOI'!$C$26</f>
        <v>3753.7214315828414</v>
      </c>
      <c r="M1339" s="75">
        <f>'THAM_SO_MOI'!$C$15*'THAM_SO_MOI'!$C$16*F1339^2</f>
        <v>1700.0227813703561</v>
      </c>
      <c r="N1339" s="75">
        <f>'THAM_SO_MOI'!$C$12*I1339</f>
        <v>1567.9960217663854</v>
      </c>
      <c r="O1339" s="75">
        <f>M1339+N1339</f>
        <v>3268.0188031367416</v>
      </c>
      <c r="P1339" s="75">
        <f>(MIN(L1339,'THAM_SO_MOI'!$C$41)-O1339)/('THAM_SO_MOI'!$C$11*H1339)</f>
        <v>0.05749320885962359</v>
      </c>
      <c r="Q1339" s="75">
        <f>IF(P1339&gt;0,1/P1339,NA())</f>
        <v>17.3933586215655</v>
      </c>
      <c r="R1339" s="75">
        <f>F1339-F1338</f>
        <v>0.0035868055555567935</v>
      </c>
      <c r="S1339" s="75">
        <f>0.5*(Q1338+Q1339)*R1339</f>
        <v>0.062341781940415626</v>
      </c>
      <c r="T1339" s="75">
        <f>0.5*(F1338*Q1338+F1339*Q1339)*R1339</f>
        <v>1.502835211618173</v>
      </c>
      <c r="U1339" s="76">
        <f>U1338+S1339</f>
        <v>97.39561444341881</v>
      </c>
      <c r="V1339" s="76">
        <f>V1338+T1339</f>
        <v>1704.273606599427</v>
      </c>
    </row>
    <row r="1340" spans="1:22" ht="19" customHeight="1">
      <c r="A1340" s="68" t="s">
        <v>362</v>
      </c>
      <c r="B1340" s="74">
        <v>5</v>
      </c>
      <c r="C1340" s="68" t="s">
        <v>363</v>
      </c>
      <c r="D1340" s="68" t="s">
        <v>365</v>
      </c>
      <c r="E1340" s="75">
        <f>60*F1340*'THAM_SO_MOI'!$C$53/(2*PI()*'THAM_SO_MOI'!$C$26)</f>
        <v>2375.6436052631575</v>
      </c>
      <c r="F1340" s="75">
        <f>'THAM_SO_MOI'!$C$14+('THAM_SO_MOI'!$C$37-'THAM_SO_MOI'!$C$14)*533/'THAM_SO_MOI'!$C$42</f>
        <v>24.11176736111111</v>
      </c>
      <c r="G1340" s="75">
        <f>3.6*F1340</f>
        <v>86.8023625</v>
      </c>
      <c r="H1340" s="75">
        <f>'THAM_SO_MOI'!$D$53</f>
        <v>1.1</v>
      </c>
      <c r="I1340" s="75">
        <f>IF(F1340&gt;='THAM_SO_MOI'!$C$14,'THAM_SO_MOI'!$C$13*(1+F1340^2/1500),'THAM_SO_MOI'!$C$13)</f>
        <v>0.02081377325276343</v>
      </c>
      <c r="J1340" s="75">
        <f>'THAM_SO_MOI'!$C$40*('THAM_SO_MOI'!$C$23*(E1340/'THAM_SO_MOI'!$C$22)+'THAM_SO_MOI'!$C$24*(E1340/'THAM_SO_MOI'!$C$22)^2-'THAM_SO_MOI'!$C$25*(E1340/'THAM_SO_MOI'!$C$22)^3)</f>
        <v>106.45914135040277</v>
      </c>
      <c r="K1340" s="75">
        <f>'THAM_SO_MOI'!$C$31*J1340/E1340</f>
        <v>428.01105765311263</v>
      </c>
      <c r="L1340" s="75">
        <f>K1340*'THAM_SO_MOI'!$C$53*'THAM_SO_MOI'!$C$17/'THAM_SO_MOI'!$C$26</f>
        <v>3753.658650411608</v>
      </c>
      <c r="M1340" s="75">
        <f>'THAM_SO_MOI'!$C$15*'THAM_SO_MOI'!$C$16*F1340^2</f>
        <v>1700.5286764333034</v>
      </c>
      <c r="N1340" s="75">
        <f>'THAM_SO_MOI'!$C$12*I1340</f>
        <v>1568.126327881799</v>
      </c>
      <c r="O1340" s="75">
        <f>M1340+N1340</f>
        <v>3268.6550043151024</v>
      </c>
      <c r="P1340" s="75">
        <f>(MIN(L1340,'THAM_SO_MOI'!$C$41)-O1340)/('THAM_SO_MOI'!$C$11*H1340)</f>
        <v>0.05741046947165074</v>
      </c>
      <c r="Q1340" s="75">
        <f>IF(P1340&gt;0,1/P1340,NA())</f>
        <v>17.41842575410047</v>
      </c>
      <c r="R1340" s="75">
        <f>F1340-F1339</f>
        <v>0.0035868055555532408</v>
      </c>
      <c r="S1340" s="75">
        <f>0.5*(Q1339+Q1340)*R1340</f>
        <v>0.0624315507986801</v>
      </c>
      <c r="T1340" s="75">
        <f>0.5*(F1339*Q1339+F1340*Q1340)*R1340</f>
        <v>1.505223144557798</v>
      </c>
      <c r="U1340" s="76">
        <f>U1339+S1340</f>
        <v>97.45804599421749</v>
      </c>
      <c r="V1340" s="76">
        <f>V1339+T1340</f>
        <v>1705.7788297439847</v>
      </c>
    </row>
    <row r="1341" spans="1:22" ht="19" customHeight="1">
      <c r="A1341" s="68" t="s">
        <v>362</v>
      </c>
      <c r="B1341" s="74">
        <v>5</v>
      </c>
      <c r="C1341" s="68" t="s">
        <v>363</v>
      </c>
      <c r="D1341" s="68" t="s">
        <v>365</v>
      </c>
      <c r="E1341" s="75">
        <f>60*F1341*'THAM_SO_MOI'!$C$53/(2*PI()*'THAM_SO_MOI'!$C$26)</f>
        <v>2375.9969999999994</v>
      </c>
      <c r="F1341" s="75">
        <f>'THAM_SO_MOI'!$C$14+('THAM_SO_MOI'!$C$37-'THAM_SO_MOI'!$C$14)*534/'THAM_SO_MOI'!$C$42</f>
        <v>24.115354166666666</v>
      </c>
      <c r="G1341" s="75">
        <f>3.6*F1341</f>
        <v>86.815275</v>
      </c>
      <c r="H1341" s="75">
        <f>'THAM_SO_MOI'!$D$53</f>
        <v>1.1</v>
      </c>
      <c r="I1341" s="75">
        <f>IF(F1341&gt;='THAM_SO_MOI'!$C$14,'THAM_SO_MOI'!$C$13*(1+F1341^2/1500),'THAM_SO_MOI'!$C$13)</f>
        <v>0.02081550306583767</v>
      </c>
      <c r="J1341" s="75">
        <f>'THAM_SO_MOI'!$C$40*('THAM_SO_MOI'!$C$23*(E1341/'THAM_SO_MOI'!$C$22)+'THAM_SO_MOI'!$C$24*(E1341/'THAM_SO_MOI'!$C$22)^2-'THAM_SO_MOI'!$C$25*(E1341/'THAM_SO_MOI'!$C$22)^3)</f>
        <v>106.47319410016996</v>
      </c>
      <c r="K1341" s="75">
        <f>'THAM_SO_MOI'!$C$31*J1341/E1341</f>
        <v>428.0038869119035</v>
      </c>
      <c r="L1341" s="75">
        <f>K1341*'THAM_SO_MOI'!$C$53*'THAM_SO_MOI'!$C$17/'THAM_SO_MOI'!$C$26</f>
        <v>3753.5957629831455</v>
      </c>
      <c r="M1341" s="75">
        <f>'THAM_SO_MOI'!$C$15*'THAM_SO_MOI'!$C$16*F1341^2</f>
        <v>1701.0346467575196</v>
      </c>
      <c r="N1341" s="75">
        <f>'THAM_SO_MOI'!$C$12*I1341</f>
        <v>1568.256653382663</v>
      </c>
      <c r="O1341" s="75">
        <f>M1341+N1341</f>
        <v>3269.2913001401826</v>
      </c>
      <c r="P1341" s="75">
        <f>(MIN(L1341,'THAM_SO_MOI'!$C$41)-O1341)/('THAM_SO_MOI'!$C$11*H1341)</f>
        <v>0.05732770630243406</v>
      </c>
      <c r="Q1341" s="75">
        <f>IF(P1341&gt;0,1/P1341,NA())</f>
        <v>17.44357248002335</v>
      </c>
      <c r="R1341" s="75">
        <f>F1341-F1340</f>
        <v>0.0035868055555567935</v>
      </c>
      <c r="S1341" s="75">
        <f>0.5*(Q1340+Q1341)*R1341</f>
        <v>0.06252160447198321</v>
      </c>
      <c r="T1341" s="75">
        <f>0.5*(F1340*Q1340+F1341*Q1341)*R1341</f>
        <v>1.5076185893702463</v>
      </c>
      <c r="U1341" s="76">
        <f>U1340+S1341</f>
        <v>97.52056759868947</v>
      </c>
      <c r="V1341" s="76">
        <f>V1340+T1341</f>
        <v>1707.2864483333549</v>
      </c>
    </row>
    <row r="1342" spans="1:22" ht="19" customHeight="1">
      <c r="A1342" s="68" t="s">
        <v>362</v>
      </c>
      <c r="B1342" s="74">
        <v>5</v>
      </c>
      <c r="C1342" s="68" t="s">
        <v>363</v>
      </c>
      <c r="D1342" s="68" t="s">
        <v>365</v>
      </c>
      <c r="E1342" s="75">
        <f>60*F1342*'THAM_SO_MOI'!$C$53/(2*PI()*'THAM_SO_MOI'!$C$26)</f>
        <v>2376.3503947368413</v>
      </c>
      <c r="F1342" s="75">
        <f>'THAM_SO_MOI'!$C$14+('THAM_SO_MOI'!$C$37-'THAM_SO_MOI'!$C$14)*535/'THAM_SO_MOI'!$C$42</f>
        <v>24.11894097222222</v>
      </c>
      <c r="G1342" s="75">
        <f>3.6*F1342</f>
        <v>86.8281875</v>
      </c>
      <c r="H1342" s="75">
        <f>'THAM_SO_MOI'!$D$53</f>
        <v>1.1</v>
      </c>
      <c r="I1342" s="75">
        <f>IF(F1342&gt;='THAM_SO_MOI'!$C$14,'THAM_SO_MOI'!$C$13*(1+F1342^2/1500),'THAM_SO_MOI'!$C$13)</f>
        <v>0.020817233136215398</v>
      </c>
      <c r="J1342" s="75">
        <f>'THAM_SO_MOI'!$C$40*('THAM_SO_MOI'!$C$23*(E1342/'THAM_SO_MOI'!$C$22)+'THAM_SO_MOI'!$C$24*(E1342/'THAM_SO_MOI'!$C$22)^2-'THAM_SO_MOI'!$C$25*(E1342/'THAM_SO_MOI'!$C$22)^3)</f>
        <v>106.4872433047921</v>
      </c>
      <c r="K1342" s="75">
        <f>'THAM_SO_MOI'!$C$31*J1342/E1342</f>
        <v>427.9967040547098</v>
      </c>
      <c r="L1342" s="75">
        <f>K1342*'THAM_SO_MOI'!$C$53*'THAM_SO_MOI'!$C$17/'THAM_SO_MOI'!$C$26</f>
        <v>3753.5327692974506</v>
      </c>
      <c r="M1342" s="75">
        <f>'THAM_SO_MOI'!$C$15*'THAM_SO_MOI'!$C$16*F1342^2</f>
        <v>1701.5406923430037</v>
      </c>
      <c r="N1342" s="75">
        <f>'THAM_SO_MOI'!$C$12*I1342</f>
        <v>1568.386998268977</v>
      </c>
      <c r="O1342" s="75">
        <f>M1342+N1342</f>
        <v>3269.927690611981</v>
      </c>
      <c r="P1342" s="75">
        <f>(MIN(L1342,'THAM_SO_MOI'!$C$41)-O1342)/('THAM_SO_MOI'!$C$11*H1342)</f>
        <v>0.05724491935197323</v>
      </c>
      <c r="Q1342" s="75">
        <f>IF(P1342&gt;0,1/P1342,NA())</f>
        <v>17.468799175896297</v>
      </c>
      <c r="R1342" s="75">
        <f>F1342-F1341</f>
        <v>0.0035868055555532408</v>
      </c>
      <c r="S1342" s="75">
        <f>0.5*(Q1341+Q1342)*R1342</f>
        <v>0.06261194430649604</v>
      </c>
      <c r="T1342" s="75">
        <f>0.5*(F1341*Q1341+F1342*Q1342)*R1342</f>
        <v>1.5100215815860603</v>
      </c>
      <c r="U1342" s="76">
        <f>U1341+S1342</f>
        <v>97.58317954299596</v>
      </c>
      <c r="V1342" s="76">
        <f>V1341+T1342</f>
        <v>1708.7964699149409</v>
      </c>
    </row>
    <row r="1343" spans="1:22" ht="19" customHeight="1">
      <c r="A1343" s="68" t="s">
        <v>362</v>
      </c>
      <c r="B1343" s="74">
        <v>5</v>
      </c>
      <c r="C1343" s="68" t="s">
        <v>363</v>
      </c>
      <c r="D1343" s="68" t="s">
        <v>365</v>
      </c>
      <c r="E1343" s="75">
        <f>60*F1343*'THAM_SO_MOI'!$C$53/(2*PI()*'THAM_SO_MOI'!$C$26)</f>
        <v>2376.703789473683</v>
      </c>
      <c r="F1343" s="75">
        <f>'THAM_SO_MOI'!$C$14+('THAM_SO_MOI'!$C$37-'THAM_SO_MOI'!$C$14)*536/'THAM_SO_MOI'!$C$42</f>
        <v>24.122527777777776</v>
      </c>
      <c r="G1343" s="75">
        <f>3.6*F1343</f>
        <v>86.8411</v>
      </c>
      <c r="H1343" s="75">
        <f>'THAM_SO_MOI'!$D$53</f>
        <v>1.1</v>
      </c>
      <c r="I1343" s="75">
        <f>IF(F1343&gt;='THAM_SO_MOI'!$C$14,'THAM_SO_MOI'!$C$13*(1+F1343^2/1500),'THAM_SO_MOI'!$C$13)</f>
        <v>0.0208189634638966</v>
      </c>
      <c r="J1343" s="75">
        <f>'THAM_SO_MOI'!$C$40*('THAM_SO_MOI'!$C$23*(E1343/'THAM_SO_MOI'!$C$22)+'THAM_SO_MOI'!$C$24*(E1343/'THAM_SO_MOI'!$C$22)^2-'THAM_SO_MOI'!$C$25*(E1343/'THAM_SO_MOI'!$C$22)^3)</f>
        <v>106.50128896292432</v>
      </c>
      <c r="K1343" s="75">
        <f>'THAM_SO_MOI'!$C$31*J1343/E1343</f>
        <v>427.98950908153165</v>
      </c>
      <c r="L1343" s="75">
        <f>K1343*'THAM_SO_MOI'!$C$53*'THAM_SO_MOI'!$C$17/'THAM_SO_MOI'!$C$26</f>
        <v>3753.4696693545243</v>
      </c>
      <c r="M1343" s="75">
        <f>'THAM_SO_MOI'!$C$15*'THAM_SO_MOI'!$C$16*F1343^2</f>
        <v>1702.0468131897571</v>
      </c>
      <c r="N1343" s="75">
        <f>'THAM_SO_MOI'!$C$12*I1343</f>
        <v>1568.517362540741</v>
      </c>
      <c r="O1343" s="75">
        <f>M1343+N1343</f>
        <v>3270.5641757304984</v>
      </c>
      <c r="P1343" s="75">
        <f>(MIN(L1343,'THAM_SO_MOI'!$C$41)-O1343)/('THAM_SO_MOI'!$C$11*H1343)</f>
        <v>0.057162108620268215</v>
      </c>
      <c r="Q1343" s="75">
        <f>IF(P1343&gt;0,1/P1343,NA())</f>
        <v>17.494106220662154</v>
      </c>
      <c r="R1343" s="75">
        <f>F1343-F1342</f>
        <v>0.0035868055555567935</v>
      </c>
      <c r="S1343" s="75">
        <f>0.5*(Q1342+Q1343)*R1343</f>
        <v>0.06270257165739124</v>
      </c>
      <c r="T1343" s="75">
        <f>0.5*(F1342*Q1342+F1343*Q1343)*R1343</f>
        <v>1.5124321569722212</v>
      </c>
      <c r="U1343" s="76">
        <f>U1342+S1343</f>
        <v>97.64588211465336</v>
      </c>
      <c r="V1343" s="76">
        <f>V1342+T1343</f>
        <v>1710.308902071913</v>
      </c>
    </row>
    <row r="1344" spans="1:22" ht="19" customHeight="1">
      <c r="A1344" s="68" t="s">
        <v>362</v>
      </c>
      <c r="B1344" s="74">
        <v>5</v>
      </c>
      <c r="C1344" s="68" t="s">
        <v>363</v>
      </c>
      <c r="D1344" s="68" t="s">
        <v>365</v>
      </c>
      <c r="E1344" s="75">
        <f>60*F1344*'THAM_SO_MOI'!$C$53/(2*PI()*'THAM_SO_MOI'!$C$26)</f>
        <v>2377.0571842105255</v>
      </c>
      <c r="F1344" s="75">
        <f>'THAM_SO_MOI'!$C$14+('THAM_SO_MOI'!$C$37-'THAM_SO_MOI'!$C$14)*537/'THAM_SO_MOI'!$C$42</f>
        <v>24.126114583333333</v>
      </c>
      <c r="G1344" s="75">
        <f>3.6*F1344</f>
        <v>86.8540125</v>
      </c>
      <c r="H1344" s="75">
        <f>'THAM_SO_MOI'!$D$53</f>
        <v>1.1</v>
      </c>
      <c r="I1344" s="75">
        <f>IF(F1344&gt;='THAM_SO_MOI'!$C$14,'THAM_SO_MOI'!$C$13*(1+F1344^2/1500),'THAM_SO_MOI'!$C$13)</f>
        <v>0.020820694048881292</v>
      </c>
      <c r="J1344" s="75">
        <f>'THAM_SO_MOI'!$C$40*('THAM_SO_MOI'!$C$23*(E1344/'THAM_SO_MOI'!$C$22)+'THAM_SO_MOI'!$C$24*(E1344/'THAM_SO_MOI'!$C$22)^2-'THAM_SO_MOI'!$C$25*(E1344/'THAM_SO_MOI'!$C$22)^3)</f>
        <v>106.51533107322179</v>
      </c>
      <c r="K1344" s="75">
        <f>'THAM_SO_MOI'!$C$31*J1344/E1344</f>
        <v>427.9823019923691</v>
      </c>
      <c r="L1344" s="75">
        <f>K1344*'THAM_SO_MOI'!$C$53*'THAM_SO_MOI'!$C$17/'THAM_SO_MOI'!$C$26</f>
        <v>3753.406463154368</v>
      </c>
      <c r="M1344" s="75">
        <f>'THAM_SO_MOI'!$C$15*'THAM_SO_MOI'!$C$16*F1344^2</f>
        <v>1702.5530092977783</v>
      </c>
      <c r="N1344" s="75">
        <f>'THAM_SO_MOI'!$C$12*I1344</f>
        <v>1568.6477461979557</v>
      </c>
      <c r="O1344" s="75">
        <f>M1344+N1344</f>
        <v>3271.200755495734</v>
      </c>
      <c r="P1344" s="75">
        <f>(MIN(L1344,'THAM_SO_MOI'!$C$41)-O1344)/('THAM_SO_MOI'!$C$11*H1344)</f>
        <v>0.05707927410731935</v>
      </c>
      <c r="Q1344" s="75">
        <f>IF(P1344&gt;0,1/P1344,NA())</f>
        <v>17.519493995663282</v>
      </c>
      <c r="R1344" s="75">
        <f>F1344-F1343</f>
        <v>0.0035868055555567935</v>
      </c>
      <c r="S1344" s="75">
        <f>0.5*(Q1343+Q1344)*R1344</f>
        <v>0.06279348788798031</v>
      </c>
      <c r="T1344" s="75">
        <f>0.5*(F1343*Q1343+F1344*Q1344)*R1344</f>
        <v>1.5148503515114984</v>
      </c>
      <c r="U1344" s="76">
        <f>U1343+S1344</f>
        <v>97.70867560254135</v>
      </c>
      <c r="V1344" s="76">
        <f>V1343+T1344</f>
        <v>1711.8237524234246</v>
      </c>
    </row>
    <row r="1345" spans="1:22" ht="19" customHeight="1">
      <c r="A1345" s="68" t="s">
        <v>362</v>
      </c>
      <c r="B1345" s="74">
        <v>5</v>
      </c>
      <c r="C1345" s="68" t="s">
        <v>363</v>
      </c>
      <c r="D1345" s="68" t="s">
        <v>365</v>
      </c>
      <c r="E1345" s="75">
        <f>60*F1345*'THAM_SO_MOI'!$C$53/(2*PI()*'THAM_SO_MOI'!$C$26)</f>
        <v>2377.410578947368</v>
      </c>
      <c r="F1345" s="75">
        <f>'THAM_SO_MOI'!$C$14+('THAM_SO_MOI'!$C$37-'THAM_SO_MOI'!$C$14)*538/'THAM_SO_MOI'!$C$42</f>
        <v>24.129701388888886</v>
      </c>
      <c r="G1345" s="75">
        <f>3.6*F1345</f>
        <v>86.866925</v>
      </c>
      <c r="H1345" s="75">
        <f>'THAM_SO_MOI'!$D$53</f>
        <v>1.1</v>
      </c>
      <c r="I1345" s="75">
        <f>IF(F1345&gt;='THAM_SO_MOI'!$C$14,'THAM_SO_MOI'!$C$13*(1+F1345^2/1500),'THAM_SO_MOI'!$C$13)</f>
        <v>0.020822424891169464</v>
      </c>
      <c r="J1345" s="75">
        <f>'THAM_SO_MOI'!$C$40*('THAM_SO_MOI'!$C$23*(E1345/'THAM_SO_MOI'!$C$22)+'THAM_SO_MOI'!$C$24*(E1345/'THAM_SO_MOI'!$C$22)^2-'THAM_SO_MOI'!$C$25*(E1345/'THAM_SO_MOI'!$C$22)^3)</f>
        <v>106.52936963433956</v>
      </c>
      <c r="K1345" s="75">
        <f>'THAM_SO_MOI'!$C$31*J1345/E1345</f>
        <v>427.9750827872221</v>
      </c>
      <c r="L1345" s="75">
        <f>K1345*'THAM_SO_MOI'!$C$53*'THAM_SO_MOI'!$C$17/'THAM_SO_MOI'!$C$26</f>
        <v>3753.34315069698</v>
      </c>
      <c r="M1345" s="75">
        <f>'THAM_SO_MOI'!$C$15*'THAM_SO_MOI'!$C$16*F1345^2</f>
        <v>1703.059280667068</v>
      </c>
      <c r="N1345" s="75">
        <f>'THAM_SO_MOI'!$C$12*I1345</f>
        <v>1568.7781492406205</v>
      </c>
      <c r="O1345" s="75">
        <f>M1345+N1345</f>
        <v>3271.8374299076886</v>
      </c>
      <c r="P1345" s="75">
        <f>(MIN(L1345,'THAM_SO_MOI'!$C$41)-O1345)/('THAM_SO_MOI'!$C$11*H1345)</f>
        <v>0.05699641581312638</v>
      </c>
      <c r="Q1345" s="75">
        <f>IF(P1345&gt;0,1/P1345,NA())</f>
        <v>17.544962884660865</v>
      </c>
      <c r="R1345" s="75">
        <f>F1345-F1344</f>
        <v>0.0035868055555532408</v>
      </c>
      <c r="S1345" s="75">
        <f>0.5*(Q1344+Q1345)*R1345</f>
        <v>0.06288469437040185</v>
      </c>
      <c r="T1345" s="75">
        <f>0.5*(F1344*Q1344+F1345*Q1345)*R1345</f>
        <v>1.5172762014191978</v>
      </c>
      <c r="U1345" s="76">
        <f>U1344+S1345</f>
        <v>97.77156029691174</v>
      </c>
      <c r="V1345" s="76">
        <f>V1344+T1345</f>
        <v>1713.3410286248438</v>
      </c>
    </row>
    <row r="1346" spans="1:22" ht="19" customHeight="1">
      <c r="A1346" s="68" t="s">
        <v>362</v>
      </c>
      <c r="B1346" s="74">
        <v>5</v>
      </c>
      <c r="C1346" s="68" t="s">
        <v>363</v>
      </c>
      <c r="D1346" s="68" t="s">
        <v>365</v>
      </c>
      <c r="E1346" s="75">
        <f>60*F1346*'THAM_SO_MOI'!$C$53/(2*PI()*'THAM_SO_MOI'!$C$26)</f>
        <v>2377.76397368421</v>
      </c>
      <c r="F1346" s="75">
        <f>'THAM_SO_MOI'!$C$14+('THAM_SO_MOI'!$C$37-'THAM_SO_MOI'!$C$14)*539/'THAM_SO_MOI'!$C$42</f>
        <v>24.133288194444443</v>
      </c>
      <c r="G1346" s="75">
        <f>3.6*F1346</f>
        <v>86.8798375</v>
      </c>
      <c r="H1346" s="75">
        <f>'THAM_SO_MOI'!$D$53</f>
        <v>1.1</v>
      </c>
      <c r="I1346" s="75">
        <f>IF(F1346&gt;='THAM_SO_MOI'!$C$14,'THAM_SO_MOI'!$C$13*(1+F1346^2/1500),'THAM_SO_MOI'!$C$13)</f>
        <v>0.020824155990761116</v>
      </c>
      <c r="J1346" s="75">
        <f>'THAM_SO_MOI'!$C$40*('THAM_SO_MOI'!$C$23*(E1346/'THAM_SO_MOI'!$C$22)+'THAM_SO_MOI'!$C$24*(E1346/'THAM_SO_MOI'!$C$22)^2-'THAM_SO_MOI'!$C$25*(E1346/'THAM_SO_MOI'!$C$22)^3)</f>
        <v>106.54340464493276</v>
      </c>
      <c r="K1346" s="75">
        <f>'THAM_SO_MOI'!$C$31*J1346/E1346</f>
        <v>427.9678514660908</v>
      </c>
      <c r="L1346" s="75">
        <f>K1346*'THAM_SO_MOI'!$C$53*'THAM_SO_MOI'!$C$17/'THAM_SO_MOI'!$C$26</f>
        <v>3753.2797319823626</v>
      </c>
      <c r="M1346" s="75">
        <f>'THAM_SO_MOI'!$C$15*'THAM_SO_MOI'!$C$16*F1346^2</f>
        <v>1703.5656272976264</v>
      </c>
      <c r="N1346" s="75">
        <f>'THAM_SO_MOI'!$C$12*I1346</f>
        <v>1568.9085716687352</v>
      </c>
      <c r="O1346" s="75">
        <f>M1346+N1346</f>
        <v>3272.4741989663617</v>
      </c>
      <c r="P1346" s="75">
        <f>(MIN(L1346,'THAM_SO_MOI'!$C$41)-O1346)/('THAM_SO_MOI'!$C$11*H1346)</f>
        <v>0.05691353373768953</v>
      </c>
      <c r="Q1346" s="75">
        <f>IF(P1346&gt;0,1/P1346,NA())</f>
        <v>17.570513273853802</v>
      </c>
      <c r="R1346" s="75">
        <f>F1346-F1345</f>
        <v>0.0035868055555567935</v>
      </c>
      <c r="S1346" s="75">
        <f>0.5*(Q1345+Q1346)*R1346</f>
        <v>0.06297619248569127</v>
      </c>
      <c r="T1346" s="75">
        <f>0.5*(F1345*Q1345+F1346*Q1346)*R1346</f>
        <v>1.5197097431450073</v>
      </c>
      <c r="U1346" s="76">
        <f>U1345+S1346</f>
        <v>97.83453648939744</v>
      </c>
      <c r="V1346" s="76">
        <f>V1345+T1346</f>
        <v>1714.860738367989</v>
      </c>
    </row>
    <row r="1347" spans="1:22" ht="19" customHeight="1">
      <c r="A1347" s="68" t="s">
        <v>362</v>
      </c>
      <c r="B1347" s="74">
        <v>5</v>
      </c>
      <c r="C1347" s="68" t="s">
        <v>363</v>
      </c>
      <c r="D1347" s="68" t="s">
        <v>365</v>
      </c>
      <c r="E1347" s="75">
        <f>60*F1347*'THAM_SO_MOI'!$C$53/(2*PI()*'THAM_SO_MOI'!$C$26)</f>
        <v>2378.1173684210526</v>
      </c>
      <c r="F1347" s="75">
        <f>'THAM_SO_MOI'!$C$14+('THAM_SO_MOI'!$C$37-'THAM_SO_MOI'!$C$14)*540/'THAM_SO_MOI'!$C$42</f>
        <v>24.136875</v>
      </c>
      <c r="G1347" s="75">
        <f>3.6*F1347</f>
        <v>86.89275</v>
      </c>
      <c r="H1347" s="75">
        <f>'THAM_SO_MOI'!$D$53</f>
        <v>1.1</v>
      </c>
      <c r="I1347" s="75">
        <f>IF(F1347&gt;='THAM_SO_MOI'!$C$14,'THAM_SO_MOI'!$C$13*(1+F1347^2/1500),'THAM_SO_MOI'!$C$13)</f>
        <v>0.02082588734765625</v>
      </c>
      <c r="J1347" s="75">
        <f>'THAM_SO_MOI'!$C$40*('THAM_SO_MOI'!$C$23*(E1347/'THAM_SO_MOI'!$C$22)+'THAM_SO_MOI'!$C$24*(E1347/'THAM_SO_MOI'!$C$22)^2-'THAM_SO_MOI'!$C$25*(E1347/'THAM_SO_MOI'!$C$22)^3)</f>
        <v>106.55743610365646</v>
      </c>
      <c r="K1347" s="75">
        <f>'THAM_SO_MOI'!$C$31*J1347/E1347</f>
        <v>427.9606080289747</v>
      </c>
      <c r="L1347" s="75">
        <f>K1347*'THAM_SO_MOI'!$C$53*'THAM_SO_MOI'!$C$17/'THAM_SO_MOI'!$C$26</f>
        <v>3753.216207010511</v>
      </c>
      <c r="M1347" s="75">
        <f>'THAM_SO_MOI'!$C$15*'THAM_SO_MOI'!$C$16*F1347^2</f>
        <v>1704.0720491894533</v>
      </c>
      <c r="N1347" s="75">
        <f>'THAM_SO_MOI'!$C$12*I1347</f>
        <v>1569.0390134822999</v>
      </c>
      <c r="O1347" s="75">
        <f>M1347+N1347</f>
        <v>3273.111062671753</v>
      </c>
      <c r="P1347" s="75">
        <f>(MIN(L1347,'THAM_SO_MOI'!$C$41)-O1347)/('THAM_SO_MOI'!$C$11*H1347)</f>
        <v>0.05683062788100829</v>
      </c>
      <c r="Q1347" s="75">
        <f>IF(P1347&gt;0,1/P1347,NA())</f>
        <v>17.59614555189845</v>
      </c>
      <c r="R1347" s="75">
        <f>F1347-F1346</f>
        <v>0.0035868055555567935</v>
      </c>
      <c r="S1347" s="75">
        <f>0.5*(Q1346+Q1347)*R1347</f>
        <v>0.06306798362328926</v>
      </c>
      <c r="T1347" s="75">
        <f>0.5*(F1346*Q1346+F1347*Q1347)*R1347</f>
        <v>1.5221510133612908</v>
      </c>
      <c r="U1347" s="76">
        <f>U1346+S1347</f>
        <v>97.89760447302072</v>
      </c>
      <c r="V1347" s="76">
        <f>V1346+T1347</f>
        <v>1716.3828893813502</v>
      </c>
    </row>
    <row r="1348" spans="1:22" ht="19" customHeight="1">
      <c r="A1348" s="68" t="s">
        <v>362</v>
      </c>
      <c r="B1348" s="74">
        <v>5</v>
      </c>
      <c r="C1348" s="68" t="s">
        <v>363</v>
      </c>
      <c r="D1348" s="68" t="s">
        <v>365</v>
      </c>
      <c r="E1348" s="75">
        <f>60*F1348*'THAM_SO_MOI'!$C$53/(2*PI()*'THAM_SO_MOI'!$C$26)</f>
        <v>2378.470763157894</v>
      </c>
      <c r="F1348" s="75">
        <f>'THAM_SO_MOI'!$C$14+('THAM_SO_MOI'!$C$37-'THAM_SO_MOI'!$C$14)*541/'THAM_SO_MOI'!$C$42</f>
        <v>24.140461805555553</v>
      </c>
      <c r="G1348" s="75">
        <f>3.6*F1348</f>
        <v>86.90566249999999</v>
      </c>
      <c r="H1348" s="75">
        <f>'THAM_SO_MOI'!$D$53</f>
        <v>1.1</v>
      </c>
      <c r="I1348" s="75">
        <f>IF(F1348&gt;='THAM_SO_MOI'!$C$14,'THAM_SO_MOI'!$C$13*(1+F1348^2/1500),'THAM_SO_MOI'!$C$13)</f>
        <v>0.020827618961854862</v>
      </c>
      <c r="J1348" s="75">
        <f>'THAM_SO_MOI'!$C$40*('THAM_SO_MOI'!$C$23*(E1348/'THAM_SO_MOI'!$C$22)+'THAM_SO_MOI'!$C$24*(E1348/'THAM_SO_MOI'!$C$22)^2-'THAM_SO_MOI'!$C$25*(E1348/'THAM_SO_MOI'!$C$22)^3)</f>
        <v>106.57146400916577</v>
      </c>
      <c r="K1348" s="75">
        <f>'THAM_SO_MOI'!$C$31*J1348/E1348</f>
        <v>427.95335247587434</v>
      </c>
      <c r="L1348" s="75">
        <f>K1348*'THAM_SO_MOI'!$C$53*'THAM_SO_MOI'!$C$17/'THAM_SO_MOI'!$C$26</f>
        <v>3753.1525757814297</v>
      </c>
      <c r="M1348" s="75">
        <f>'THAM_SO_MOI'!$C$15*'THAM_SO_MOI'!$C$16*F1348^2</f>
        <v>1704.578546342548</v>
      </c>
      <c r="N1348" s="75">
        <f>'THAM_SO_MOI'!$C$12*I1348</f>
        <v>1569.1694746813148</v>
      </c>
      <c r="O1348" s="75">
        <f>M1348+N1348</f>
        <v>3273.7480210238627</v>
      </c>
      <c r="P1348" s="75">
        <f>(MIN(L1348,'THAM_SO_MOI'!$C$41)-O1348)/('THAM_SO_MOI'!$C$11*H1348)</f>
        <v>0.056747698243083185</v>
      </c>
      <c r="Q1348" s="75">
        <f>IF(P1348&gt;0,1/P1348,NA())</f>
        <v>17.621860109927667</v>
      </c>
      <c r="R1348" s="75">
        <f>F1348-F1347</f>
        <v>0.0035868055555532408</v>
      </c>
      <c r="S1348" s="75">
        <f>0.5*(Q1347+Q1348)*R1348</f>
        <v>0.06316006918167169</v>
      </c>
      <c r="T1348" s="75">
        <f>0.5*(F1347*Q1347+F1348*Q1348)*R1348</f>
        <v>1.5246000489784435</v>
      </c>
      <c r="U1348" s="76">
        <f>U1347+S1348</f>
        <v>97.9607645422024</v>
      </c>
      <c r="V1348" s="76">
        <f>V1347+T1348</f>
        <v>1717.9074894303287</v>
      </c>
    </row>
    <row r="1349" spans="1:22" ht="19" customHeight="1">
      <c r="A1349" s="68" t="s">
        <v>362</v>
      </c>
      <c r="B1349" s="74">
        <v>5</v>
      </c>
      <c r="C1349" s="68" t="s">
        <v>363</v>
      </c>
      <c r="D1349" s="68" t="s">
        <v>365</v>
      </c>
      <c r="E1349" s="75">
        <f>60*F1349*'THAM_SO_MOI'!$C$53/(2*PI()*'THAM_SO_MOI'!$C$26)</f>
        <v>2378.8241578947363</v>
      </c>
      <c r="F1349" s="75">
        <f>'THAM_SO_MOI'!$C$14+('THAM_SO_MOI'!$C$37-'THAM_SO_MOI'!$C$14)*542/'THAM_SO_MOI'!$C$42</f>
        <v>24.14404861111111</v>
      </c>
      <c r="G1349" s="75">
        <f>3.6*F1349</f>
        <v>86.918575</v>
      </c>
      <c r="H1349" s="75">
        <f>'THAM_SO_MOI'!$D$53</f>
        <v>1.1</v>
      </c>
      <c r="I1349" s="75">
        <f>IF(F1349&gt;='THAM_SO_MOI'!$C$14,'THAM_SO_MOI'!$C$13*(1+F1349^2/1500),'THAM_SO_MOI'!$C$13)</f>
        <v>0.020829350833356963</v>
      </c>
      <c r="J1349" s="75">
        <f>'THAM_SO_MOI'!$C$40*('THAM_SO_MOI'!$C$23*(E1349/'THAM_SO_MOI'!$C$22)+'THAM_SO_MOI'!$C$24*(E1349/'THAM_SO_MOI'!$C$22)^2-'THAM_SO_MOI'!$C$25*(E1349/'THAM_SO_MOI'!$C$22)^3)</f>
        <v>106.58548836011586</v>
      </c>
      <c r="K1349" s="75">
        <f>'THAM_SO_MOI'!$C$31*J1349/E1349</f>
        <v>427.94608480678943</v>
      </c>
      <c r="L1349" s="75">
        <f>K1349*'THAM_SO_MOI'!$C$53*'THAM_SO_MOI'!$C$17/'THAM_SO_MOI'!$C$26</f>
        <v>3753.0888382951175</v>
      </c>
      <c r="M1349" s="75">
        <f>'THAM_SO_MOI'!$C$15*'THAM_SO_MOI'!$C$16*F1349^2</f>
        <v>1705.085118756912</v>
      </c>
      <c r="N1349" s="75">
        <f>'THAM_SO_MOI'!$C$12*I1349</f>
        <v>1569.2999552657805</v>
      </c>
      <c r="O1349" s="75">
        <f>M1349+N1349</f>
        <v>3274.3850740226926</v>
      </c>
      <c r="P1349" s="75">
        <f>(MIN(L1349,'THAM_SO_MOI'!$C$41)-O1349)/('THAM_SO_MOI'!$C$11*H1349)</f>
        <v>0.05666474482391396</v>
      </c>
      <c r="Q1349" s="75">
        <f>IF(P1349&gt;0,1/P1349,NA())</f>
        <v>17.647657341571133</v>
      </c>
      <c r="R1349" s="75">
        <f>F1349-F1348</f>
        <v>0.0035868055555567935</v>
      </c>
      <c r="S1349" s="75">
        <f>0.5*(Q1348+Q1349)*R1349</f>
        <v>0.06325245056842159</v>
      </c>
      <c r="T1349" s="75">
        <f>0.5*(F1348*Q1348+F1349*Q1349)*R1349</f>
        <v>1.5270568871467918</v>
      </c>
      <c r="U1349" s="76">
        <f>U1348+S1349</f>
        <v>98.02401699277083</v>
      </c>
      <c r="V1349" s="76">
        <f>V1348+T1349</f>
        <v>1719.4345463174755</v>
      </c>
    </row>
    <row r="1350" spans="1:22" ht="19" customHeight="1">
      <c r="A1350" s="68" t="s">
        <v>362</v>
      </c>
      <c r="B1350" s="74">
        <v>5</v>
      </c>
      <c r="C1350" s="68" t="s">
        <v>363</v>
      </c>
      <c r="D1350" s="68" t="s">
        <v>365</v>
      </c>
      <c r="E1350" s="75">
        <f>60*F1350*'THAM_SO_MOI'!$C$53/(2*PI()*'THAM_SO_MOI'!$C$26)</f>
        <v>2379.1775526315782</v>
      </c>
      <c r="F1350" s="75">
        <f>'THAM_SO_MOI'!$C$14+('THAM_SO_MOI'!$C$37-'THAM_SO_MOI'!$C$14)*543/'THAM_SO_MOI'!$C$42</f>
        <v>24.147635416666667</v>
      </c>
      <c r="G1350" s="75">
        <f>3.6*F1350</f>
        <v>86.9314875</v>
      </c>
      <c r="H1350" s="75">
        <f>'THAM_SO_MOI'!$D$53</f>
        <v>1.1</v>
      </c>
      <c r="I1350" s="75">
        <f>IF(F1350&gt;='THAM_SO_MOI'!$C$14,'THAM_SO_MOI'!$C$13*(1+F1350^2/1500),'THAM_SO_MOI'!$C$13)</f>
        <v>0.02083108296216254</v>
      </c>
      <c r="J1350" s="75">
        <f>'THAM_SO_MOI'!$C$40*('THAM_SO_MOI'!$C$23*(E1350/'THAM_SO_MOI'!$C$22)+'THAM_SO_MOI'!$C$24*(E1350/'THAM_SO_MOI'!$C$22)^2-'THAM_SO_MOI'!$C$25*(E1350/'THAM_SO_MOI'!$C$22)^3)</f>
        <v>106.59950915516181</v>
      </c>
      <c r="K1350" s="75">
        <f>'THAM_SO_MOI'!$C$31*J1350/E1350</f>
        <v>427.93880502172016</v>
      </c>
      <c r="L1350" s="75">
        <f>K1350*'THAM_SO_MOI'!$C$53*'THAM_SO_MOI'!$C$17/'THAM_SO_MOI'!$C$26</f>
        <v>3753.0249945515743</v>
      </c>
      <c r="M1350" s="75">
        <f>'THAM_SO_MOI'!$C$15*'THAM_SO_MOI'!$C$16*F1350^2</f>
        <v>1705.591766432544</v>
      </c>
      <c r="N1350" s="75">
        <f>'THAM_SO_MOI'!$C$12*I1350</f>
        <v>1569.4304552356957</v>
      </c>
      <c r="O1350" s="75">
        <f>M1350+N1350</f>
        <v>3275.0222216682396</v>
      </c>
      <c r="P1350" s="75">
        <f>(MIN(L1350,'THAM_SO_MOI'!$C$41)-O1350)/('THAM_SO_MOI'!$C$11*H1350)</f>
        <v>0.05658176762350077</v>
      </c>
      <c r="Q1350" s="75">
        <f>IF(P1350&gt;0,1/P1350,NA())</f>
        <v>17.673537642974914</v>
      </c>
      <c r="R1350" s="75">
        <f>F1350-F1349</f>
        <v>0.0035868055555567935</v>
      </c>
      <c r="S1350" s="75">
        <f>0.5*(Q1349+Q1350)*R1350</f>
        <v>0.06334512919973725</v>
      </c>
      <c r="T1350" s="75">
        <f>0.5*(F1349*Q1349+F1350*Q1350)*R1350</f>
        <v>1.5295215652448815</v>
      </c>
      <c r="U1350" s="76">
        <f>U1349+S1350</f>
        <v>98.08736212197056</v>
      </c>
      <c r="V1350" s="76">
        <f>V1349+T1350</f>
        <v>1720.9640678827204</v>
      </c>
    </row>
    <row r="1351" spans="1:22" ht="19" customHeight="1">
      <c r="A1351" s="68" t="s">
        <v>362</v>
      </c>
      <c r="B1351" s="74">
        <v>5</v>
      </c>
      <c r="C1351" s="68" t="s">
        <v>363</v>
      </c>
      <c r="D1351" s="68" t="s">
        <v>365</v>
      </c>
      <c r="E1351" s="75">
        <f>60*F1351*'THAM_SO_MOI'!$C$53/(2*PI()*'THAM_SO_MOI'!$C$26)</f>
        <v>2379.53094736842</v>
      </c>
      <c r="F1351" s="75">
        <f>'THAM_SO_MOI'!$C$14+('THAM_SO_MOI'!$C$37-'THAM_SO_MOI'!$C$14)*544/'THAM_SO_MOI'!$C$42</f>
        <v>24.15122222222222</v>
      </c>
      <c r="G1351" s="75">
        <f>3.6*F1351</f>
        <v>86.94439999999999</v>
      </c>
      <c r="H1351" s="75">
        <f>'THAM_SO_MOI'!$D$53</f>
        <v>1.1</v>
      </c>
      <c r="I1351" s="75">
        <f>IF(F1351&gt;='THAM_SO_MOI'!$C$14,'THAM_SO_MOI'!$C$13*(1+F1351^2/1500),'THAM_SO_MOI'!$C$13)</f>
        <v>0.020832815348271604</v>
      </c>
      <c r="J1351" s="75">
        <f>'THAM_SO_MOI'!$C$40*('THAM_SO_MOI'!$C$23*(E1351/'THAM_SO_MOI'!$C$22)+'THAM_SO_MOI'!$C$24*(E1351/'THAM_SO_MOI'!$C$22)^2-'THAM_SO_MOI'!$C$25*(E1351/'THAM_SO_MOI'!$C$22)^3)</f>
        <v>106.61352639295875</v>
      </c>
      <c r="K1351" s="75">
        <f>'THAM_SO_MOI'!$C$31*J1351/E1351</f>
        <v>427.93151312066647</v>
      </c>
      <c r="L1351" s="75">
        <f>K1351*'THAM_SO_MOI'!$C$53*'THAM_SO_MOI'!$C$17/'THAM_SO_MOI'!$C$26</f>
        <v>3752.9610445508006</v>
      </c>
      <c r="M1351" s="75">
        <f>'THAM_SO_MOI'!$C$15*'THAM_SO_MOI'!$C$16*F1351^2</f>
        <v>1706.0984893694442</v>
      </c>
      <c r="N1351" s="75">
        <f>'THAM_SO_MOI'!$C$12*I1351</f>
        <v>1569.5609745910613</v>
      </c>
      <c r="O1351" s="75">
        <f>M1351+N1351</f>
        <v>3275.6594639605055</v>
      </c>
      <c r="P1351" s="75">
        <f>(MIN(L1351,'THAM_SO_MOI'!$C$41)-O1351)/('THAM_SO_MOI'!$C$11*H1351)</f>
        <v>0.05649876664184364</v>
      </c>
      <c r="Q1351" s="75">
        <f>IF(P1351&gt;0,1/P1351,NA())</f>
        <v>17.69950141282179</v>
      </c>
      <c r="R1351" s="75">
        <f>F1351-F1350</f>
        <v>0.0035868055555532408</v>
      </c>
      <c r="S1351" s="75">
        <f>0.5*(Q1350+Q1351)*R1351</f>
        <v>0.06343810650106668</v>
      </c>
      <c r="T1351" s="75">
        <f>0.5*(F1350*Q1350+F1351*Q1351)*R1351</f>
        <v>1.5319941208949506</v>
      </c>
      <c r="U1351" s="76">
        <f>U1350+S1351</f>
        <v>98.15080022847162</v>
      </c>
      <c r="V1351" s="76">
        <f>V1350+T1351</f>
        <v>1722.4960620036154</v>
      </c>
    </row>
    <row r="1352" spans="1:22" ht="19" customHeight="1">
      <c r="A1352" s="68" t="s">
        <v>362</v>
      </c>
      <c r="B1352" s="74">
        <v>5</v>
      </c>
      <c r="C1352" s="68" t="s">
        <v>363</v>
      </c>
      <c r="D1352" s="68" t="s">
        <v>365</v>
      </c>
      <c r="E1352" s="75">
        <f>60*F1352*'THAM_SO_MOI'!$C$53/(2*PI()*'THAM_SO_MOI'!$C$26)</f>
        <v>2379.8843421052625</v>
      </c>
      <c r="F1352" s="75">
        <f>'THAM_SO_MOI'!$C$14+('THAM_SO_MOI'!$C$37-'THAM_SO_MOI'!$C$14)*545/'THAM_SO_MOI'!$C$42</f>
        <v>24.154809027777777</v>
      </c>
      <c r="G1352" s="75">
        <f>3.6*F1352</f>
        <v>86.9573125</v>
      </c>
      <c r="H1352" s="75">
        <f>'THAM_SO_MOI'!$D$53</f>
        <v>1.1</v>
      </c>
      <c r="I1352" s="75">
        <f>IF(F1352&gt;='THAM_SO_MOI'!$C$14,'THAM_SO_MOI'!$C$13*(1+F1352^2/1500),'THAM_SO_MOI'!$C$13)</f>
        <v>0.020834547991684146</v>
      </c>
      <c r="J1352" s="75">
        <f>'THAM_SO_MOI'!$C$40*('THAM_SO_MOI'!$C$23*(E1352/'THAM_SO_MOI'!$C$22)+'THAM_SO_MOI'!$C$24*(E1352/'THAM_SO_MOI'!$C$22)^2-'THAM_SO_MOI'!$C$25*(E1352/'THAM_SO_MOI'!$C$22)^3)</f>
        <v>106.62754007216174</v>
      </c>
      <c r="K1352" s="75">
        <f>'THAM_SO_MOI'!$C$31*J1352/E1352</f>
        <v>427.92420910362813</v>
      </c>
      <c r="L1352" s="75">
        <f>K1352*'THAM_SO_MOI'!$C$53*'THAM_SO_MOI'!$C$17/'THAM_SO_MOI'!$C$26</f>
        <v>3752.896988292794</v>
      </c>
      <c r="M1352" s="75">
        <f>'THAM_SO_MOI'!$C$15*'THAM_SO_MOI'!$C$16*F1352^2</f>
        <v>1706.6052875676132</v>
      </c>
      <c r="N1352" s="75">
        <f>'THAM_SO_MOI'!$C$12*I1352</f>
        <v>1569.691513331877</v>
      </c>
      <c r="O1352" s="75">
        <f>M1352+N1352</f>
        <v>3276.2968008994903</v>
      </c>
      <c r="P1352" s="75">
        <f>(MIN(L1352,'THAM_SO_MOI'!$C$41)-O1352)/('THAM_SO_MOI'!$C$11*H1352)</f>
        <v>0.0564157418789422</v>
      </c>
      <c r="Q1352" s="75">
        <f>IF(P1352&gt;0,1/P1352,NA())</f>
        <v>17.725549052351663</v>
      </c>
      <c r="R1352" s="75">
        <f>F1352-F1351</f>
        <v>0.0035868055555567935</v>
      </c>
      <c r="S1352" s="75">
        <f>0.5*(Q1351+Q1352)*R1352</f>
        <v>0.06353138390718197</v>
      </c>
      <c r="T1352" s="75">
        <f>0.5*(F1351*Q1351+F1352*Q1352)*R1352</f>
        <v>1.5344745919648934</v>
      </c>
      <c r="U1352" s="76">
        <f>U1351+S1352</f>
        <v>98.2143316123788</v>
      </c>
      <c r="V1352" s="76">
        <f>V1351+T1352</f>
        <v>1724.0305365955803</v>
      </c>
    </row>
    <row r="1353" spans="1:22" ht="19" customHeight="1">
      <c r="A1353" s="68" t="s">
        <v>362</v>
      </c>
      <c r="B1353" s="74">
        <v>5</v>
      </c>
      <c r="C1353" s="68" t="s">
        <v>363</v>
      </c>
      <c r="D1353" s="68" t="s">
        <v>365</v>
      </c>
      <c r="E1353" s="75">
        <f>60*F1353*'THAM_SO_MOI'!$C$53/(2*PI()*'THAM_SO_MOI'!$C$26)</f>
        <v>2380.237736842105</v>
      </c>
      <c r="F1353" s="75">
        <f>'THAM_SO_MOI'!$C$14+('THAM_SO_MOI'!$C$37-'THAM_SO_MOI'!$C$14)*546/'THAM_SO_MOI'!$C$42</f>
        <v>24.158395833333334</v>
      </c>
      <c r="G1353" s="75">
        <f>3.6*F1353</f>
        <v>86.970225</v>
      </c>
      <c r="H1353" s="75">
        <f>'THAM_SO_MOI'!$D$53</f>
        <v>1.1</v>
      </c>
      <c r="I1353" s="75">
        <f>IF(F1353&gt;='THAM_SO_MOI'!$C$14,'THAM_SO_MOI'!$C$13*(1+F1353^2/1500),'THAM_SO_MOI'!$C$13)</f>
        <v>0.020836280892400173</v>
      </c>
      <c r="J1353" s="75">
        <f>'THAM_SO_MOI'!$C$40*('THAM_SO_MOI'!$C$23*(E1353/'THAM_SO_MOI'!$C$22)+'THAM_SO_MOI'!$C$24*(E1353/'THAM_SO_MOI'!$C$22)^2-'THAM_SO_MOI'!$C$25*(E1353/'THAM_SO_MOI'!$C$22)^3)</f>
        <v>106.64155019142598</v>
      </c>
      <c r="K1353" s="75">
        <f>'THAM_SO_MOI'!$C$31*J1353/E1353</f>
        <v>427.91689297060566</v>
      </c>
      <c r="L1353" s="75">
        <f>K1353*'THAM_SO_MOI'!$C$53*'THAM_SO_MOI'!$C$17/'THAM_SO_MOI'!$C$26</f>
        <v>3752.8328257775593</v>
      </c>
      <c r="M1353" s="75">
        <f>'THAM_SO_MOI'!$C$15*'THAM_SO_MOI'!$C$16*F1353^2</f>
        <v>1707.112161027051</v>
      </c>
      <c r="N1353" s="75">
        <f>'THAM_SO_MOI'!$C$12*I1353</f>
        <v>1569.822071458143</v>
      </c>
      <c r="O1353" s="75">
        <f>M1353+N1353</f>
        <v>3276.934232485194</v>
      </c>
      <c r="P1353" s="75">
        <f>(MIN(L1353,'THAM_SO_MOI'!$C$41)-O1353)/('THAM_SO_MOI'!$C$11*H1353)</f>
        <v>0.05633269333479704</v>
      </c>
      <c r="Q1353" s="75">
        <f>IF(P1353&gt;0,1/P1353,NA())</f>
        <v>17.75168096538168</v>
      </c>
      <c r="R1353" s="75">
        <f>F1353-F1352</f>
        <v>0.0035868055555567935</v>
      </c>
      <c r="S1353" s="75">
        <f>0.5*(Q1352+Q1353)*R1353</f>
        <v>0.0636249628616861</v>
      </c>
      <c r="T1353" s="75">
        <f>0.5*(F1352*Q1352+F1353*Q1353)*R1353</f>
        <v>1.536963016556516</v>
      </c>
      <c r="U1353" s="76">
        <f>U1352+S1353</f>
        <v>98.27795657524048</v>
      </c>
      <c r="V1353" s="76">
        <f>V1352+T1353</f>
        <v>1725.5674996121368</v>
      </c>
    </row>
    <row r="1354" spans="1:22" ht="19" customHeight="1">
      <c r="A1354" s="68" t="s">
        <v>362</v>
      </c>
      <c r="B1354" s="74">
        <v>5</v>
      </c>
      <c r="C1354" s="68" t="s">
        <v>363</v>
      </c>
      <c r="D1354" s="68" t="s">
        <v>365</v>
      </c>
      <c r="E1354" s="75">
        <f>60*F1354*'THAM_SO_MOI'!$C$53/(2*PI()*'THAM_SO_MOI'!$C$26)</f>
        <v>2380.5911315789467</v>
      </c>
      <c r="F1354" s="75">
        <f>'THAM_SO_MOI'!$C$14+('THAM_SO_MOI'!$C$37-'THAM_SO_MOI'!$C$14)*547/'THAM_SO_MOI'!$C$42</f>
        <v>24.161982638888887</v>
      </c>
      <c r="G1354" s="75">
        <f>3.6*F1354</f>
        <v>86.9831375</v>
      </c>
      <c r="H1354" s="75">
        <f>'THAM_SO_MOI'!$D$53</f>
        <v>1.1</v>
      </c>
      <c r="I1354" s="75">
        <f>IF(F1354&gt;='THAM_SO_MOI'!$C$14,'THAM_SO_MOI'!$C$13*(1+F1354^2/1500),'THAM_SO_MOI'!$C$13)</f>
        <v>0.02083801405041968</v>
      </c>
      <c r="J1354" s="75">
        <f>'THAM_SO_MOI'!$C$40*('THAM_SO_MOI'!$C$23*(E1354/'THAM_SO_MOI'!$C$22)+'THAM_SO_MOI'!$C$24*(E1354/'THAM_SO_MOI'!$C$22)^2-'THAM_SO_MOI'!$C$25*(E1354/'THAM_SO_MOI'!$C$22)^3)</f>
        <v>106.65555674940643</v>
      </c>
      <c r="K1354" s="75">
        <f>'THAM_SO_MOI'!$C$31*J1354/E1354</f>
        <v>427.9095647215983</v>
      </c>
      <c r="L1354" s="75">
        <f>K1354*'THAM_SO_MOI'!$C$53*'THAM_SO_MOI'!$C$17/'THAM_SO_MOI'!$C$26</f>
        <v>3752.768557005089</v>
      </c>
      <c r="M1354" s="75">
        <f>'THAM_SO_MOI'!$C$15*'THAM_SO_MOI'!$C$16*F1354^2</f>
        <v>1707.6191097477565</v>
      </c>
      <c r="N1354" s="75">
        <f>'THAM_SO_MOI'!$C$12*I1354</f>
        <v>1569.9526489698592</v>
      </c>
      <c r="O1354" s="75">
        <f>M1354+N1354</f>
        <v>3277.571758717616</v>
      </c>
      <c r="P1354" s="75">
        <f>(MIN(L1354,'THAM_SO_MOI'!$C$41)-O1354)/('THAM_SO_MOI'!$C$11*H1354)</f>
        <v>0.05624962100940734</v>
      </c>
      <c r="Q1354" s="75">
        <f>IF(P1354&gt;0,1/P1354,NA())</f>
        <v>17.777897558327677</v>
      </c>
      <c r="R1354" s="75">
        <f>F1354-F1353</f>
        <v>0.0035868055555532408</v>
      </c>
      <c r="S1354" s="75">
        <f>0.5*(Q1353+Q1354)*R1354</f>
        <v>0.06371884481765293</v>
      </c>
      <c r="T1354" s="75">
        <f>0.5*(F1353*Q1353+F1354*Q1354)*R1354</f>
        <v>1.5394594330211502</v>
      </c>
      <c r="U1354" s="76">
        <f>U1353+S1354</f>
        <v>98.34167542005814</v>
      </c>
      <c r="V1354" s="76">
        <f>V1353+T1354</f>
        <v>1727.106959045158</v>
      </c>
    </row>
    <row r="1355" spans="1:22" ht="19" customHeight="1">
      <c r="A1355" s="68" t="s">
        <v>362</v>
      </c>
      <c r="B1355" s="74">
        <v>5</v>
      </c>
      <c r="C1355" s="68" t="s">
        <v>363</v>
      </c>
      <c r="D1355" s="68" t="s">
        <v>365</v>
      </c>
      <c r="E1355" s="75">
        <f>60*F1355*'THAM_SO_MOI'!$C$53/(2*PI()*'THAM_SO_MOI'!$C$26)</f>
        <v>2380.944526315789</v>
      </c>
      <c r="F1355" s="75">
        <f>'THAM_SO_MOI'!$C$14+('THAM_SO_MOI'!$C$37-'THAM_SO_MOI'!$C$14)*548/'THAM_SO_MOI'!$C$42</f>
        <v>24.165569444444444</v>
      </c>
      <c r="G1355" s="75">
        <f>3.6*F1355</f>
        <v>86.99605</v>
      </c>
      <c r="H1355" s="75">
        <f>'THAM_SO_MOI'!$D$53</f>
        <v>1.1</v>
      </c>
      <c r="I1355" s="75">
        <f>IF(F1355&gt;='THAM_SO_MOI'!$C$14,'THAM_SO_MOI'!$C$13*(1+F1355^2/1500),'THAM_SO_MOI'!$C$13)</f>
        <v>0.02083974746574267</v>
      </c>
      <c r="J1355" s="75">
        <f>'THAM_SO_MOI'!$C$40*('THAM_SO_MOI'!$C$23*(E1355/'THAM_SO_MOI'!$C$22)+'THAM_SO_MOI'!$C$24*(E1355/'THAM_SO_MOI'!$C$22)^2-'THAM_SO_MOI'!$C$25*(E1355/'THAM_SO_MOI'!$C$22)^3)</f>
        <v>106.66955974475836</v>
      </c>
      <c r="K1355" s="75">
        <f>'THAM_SO_MOI'!$C$31*J1355/E1355</f>
        <v>427.9022243566068</v>
      </c>
      <c r="L1355" s="75">
        <f>K1355*'THAM_SO_MOI'!$C$53*'THAM_SO_MOI'!$C$17/'THAM_SO_MOI'!$C$26</f>
        <v>3752.7041819753913</v>
      </c>
      <c r="M1355" s="75">
        <f>'THAM_SO_MOI'!$C$15*'THAM_SO_MOI'!$C$16*F1355^2</f>
        <v>1708.126133729731</v>
      </c>
      <c r="N1355" s="75">
        <f>'THAM_SO_MOI'!$C$12*I1355</f>
        <v>1570.0832458670254</v>
      </c>
      <c r="O1355" s="75">
        <f>M1355+N1355</f>
        <v>3278.2093795967567</v>
      </c>
      <c r="P1355" s="75">
        <f>(MIN(L1355,'THAM_SO_MOI'!$C$41)-O1355)/('THAM_SO_MOI'!$C$11*H1355)</f>
        <v>0.05616652490277401</v>
      </c>
      <c r="Q1355" s="75">
        <f>IF(P1355&gt;0,1/P1355,NA())</f>
        <v>17.804199240224154</v>
      </c>
      <c r="R1355" s="75">
        <f>F1355-F1354</f>
        <v>0.0035868055555567935</v>
      </c>
      <c r="S1355" s="75">
        <f>0.5*(Q1354+Q1355)*R1355</f>
        <v>0.06381303123770266</v>
      </c>
      <c r="T1355" s="75">
        <f>0.5*(F1354*Q1354+F1355*Q1355)*R1355</f>
        <v>1.541963879961655</v>
      </c>
      <c r="U1355" s="76">
        <f>U1354+S1355</f>
        <v>98.40548845129584</v>
      </c>
      <c r="V1355" s="76">
        <f>V1354+T1355</f>
        <v>1728.6489229251197</v>
      </c>
    </row>
    <row r="1356" spans="1:22" ht="19" customHeight="1">
      <c r="A1356" s="68" t="s">
        <v>362</v>
      </c>
      <c r="B1356" s="74">
        <v>5</v>
      </c>
      <c r="C1356" s="68" t="s">
        <v>363</v>
      </c>
      <c r="D1356" s="68" t="s">
        <v>365</v>
      </c>
      <c r="E1356" s="75">
        <f>60*F1356*'THAM_SO_MOI'!$C$53/(2*PI()*'THAM_SO_MOI'!$C$26)</f>
        <v>2381.297921052631</v>
      </c>
      <c r="F1356" s="75">
        <f>'THAM_SO_MOI'!$C$14+('THAM_SO_MOI'!$C$37-'THAM_SO_MOI'!$C$14)*549/'THAM_SO_MOI'!$C$42</f>
        <v>24.16915625</v>
      </c>
      <c r="G1356" s="75">
        <f>3.6*F1356</f>
        <v>87.00896250000001</v>
      </c>
      <c r="H1356" s="75">
        <f>'THAM_SO_MOI'!$D$53</f>
        <v>1.1</v>
      </c>
      <c r="I1356" s="75">
        <f>IF(F1356&gt;='THAM_SO_MOI'!$C$14,'THAM_SO_MOI'!$C$13*(1+F1356^2/1500),'THAM_SO_MOI'!$C$13)</f>
        <v>0.02084148113836914</v>
      </c>
      <c r="J1356" s="75">
        <f>'THAM_SO_MOI'!$C$40*('THAM_SO_MOI'!$C$23*(E1356/'THAM_SO_MOI'!$C$22)+'THAM_SO_MOI'!$C$24*(E1356/'THAM_SO_MOI'!$C$22)^2-'THAM_SO_MOI'!$C$25*(E1356/'THAM_SO_MOI'!$C$22)^3)</f>
        <v>106.68355917613677</v>
      </c>
      <c r="K1356" s="75">
        <f>'THAM_SO_MOI'!$C$31*J1356/E1356</f>
        <v>427.8948718756307</v>
      </c>
      <c r="L1356" s="75">
        <f>K1356*'THAM_SO_MOI'!$C$53*'THAM_SO_MOI'!$C$17/'THAM_SO_MOI'!$C$26</f>
        <v>3752.6397006884613</v>
      </c>
      <c r="M1356" s="75">
        <f>'THAM_SO_MOI'!$C$15*'THAM_SO_MOI'!$C$16*F1356^2</f>
        <v>1708.633232972974</v>
      </c>
      <c r="N1356" s="75">
        <f>'THAM_SO_MOI'!$C$12*I1356</f>
        <v>1570.213862149642</v>
      </c>
      <c r="O1356" s="75">
        <f>M1356+N1356</f>
        <v>3278.847095122616</v>
      </c>
      <c r="P1356" s="75">
        <f>(MIN(L1356,'THAM_SO_MOI'!$C$41)-O1356)/('THAM_SO_MOI'!$C$11*H1356)</f>
        <v>0.056083405014896476</v>
      </c>
      <c r="Q1356" s="75">
        <f>IF(P1356&gt;0,1/P1356,NA())</f>
        <v>17.830586422746393</v>
      </c>
      <c r="R1356" s="75">
        <f>F1356-F1355</f>
        <v>0.0035868055555567935</v>
      </c>
      <c r="S1356" s="75">
        <f>0.5*(Q1355+Q1356)*R1356</f>
        <v>0.06390752359350917</v>
      </c>
      <c r="T1356" s="75">
        <f>0.5*(F1355*Q1355+F1356*Q1356)*R1356</f>
        <v>1.5444763962206753</v>
      </c>
      <c r="U1356" s="76">
        <f>U1355+S1356</f>
        <v>98.46939597488935</v>
      </c>
      <c r="V1356" s="76">
        <f>V1355+T1356</f>
        <v>1730.1933993213404</v>
      </c>
    </row>
    <row r="1357" spans="1:22" ht="19" customHeight="1">
      <c r="A1357" s="68" t="s">
        <v>362</v>
      </c>
      <c r="B1357" s="74">
        <v>5</v>
      </c>
      <c r="C1357" s="68" t="s">
        <v>363</v>
      </c>
      <c r="D1357" s="68" t="s">
        <v>365</v>
      </c>
      <c r="E1357" s="75">
        <f>60*F1357*'THAM_SO_MOI'!$C$53/(2*PI()*'THAM_SO_MOI'!$C$26)</f>
        <v>2381.651315789473</v>
      </c>
      <c r="F1357" s="75">
        <f>'THAM_SO_MOI'!$C$14+('THAM_SO_MOI'!$C$37-'THAM_SO_MOI'!$C$14)*550/'THAM_SO_MOI'!$C$42</f>
        <v>24.172743055555554</v>
      </c>
      <c r="G1357" s="75">
        <f>3.6*F1357</f>
        <v>87.021875</v>
      </c>
      <c r="H1357" s="75">
        <f>'THAM_SO_MOI'!$D$53</f>
        <v>1.1</v>
      </c>
      <c r="I1357" s="75">
        <f>IF(F1357&gt;='THAM_SO_MOI'!$C$14,'THAM_SO_MOI'!$C$13*(1+F1357^2/1500),'THAM_SO_MOI'!$C$13)</f>
        <v>0.02084321506829909</v>
      </c>
      <c r="J1357" s="75">
        <f>'THAM_SO_MOI'!$C$40*('THAM_SO_MOI'!$C$23*(E1357/'THAM_SO_MOI'!$C$22)+'THAM_SO_MOI'!$C$24*(E1357/'THAM_SO_MOI'!$C$22)^2-'THAM_SO_MOI'!$C$25*(E1357/'THAM_SO_MOI'!$C$22)^3)</f>
        <v>106.69755504219683</v>
      </c>
      <c r="K1357" s="75">
        <f>'THAM_SO_MOI'!$C$31*J1357/E1357</f>
        <v>427.8875072786702</v>
      </c>
      <c r="L1357" s="75">
        <f>K1357*'THAM_SO_MOI'!$C$53*'THAM_SO_MOI'!$C$17/'THAM_SO_MOI'!$C$26</f>
        <v>3752.5751131443003</v>
      </c>
      <c r="M1357" s="75">
        <f>'THAM_SO_MOI'!$C$15*'THAM_SO_MOI'!$C$16*F1357^2</f>
        <v>1709.1404074774846</v>
      </c>
      <c r="N1357" s="75">
        <f>'THAM_SO_MOI'!$C$12*I1357</f>
        <v>1570.344497817708</v>
      </c>
      <c r="O1357" s="75">
        <f>M1357+N1357</f>
        <v>3279.4849052951927</v>
      </c>
      <c r="P1357" s="75">
        <f>(MIN(L1357,'THAM_SO_MOI'!$C$41)-O1357)/('THAM_SO_MOI'!$C$11*H1357)</f>
        <v>0.05600026134577505</v>
      </c>
      <c r="Q1357" s="75">
        <f>IF(P1357&gt;0,1/P1357,NA())</f>
        <v>17.857059520231065</v>
      </c>
      <c r="R1357" s="75">
        <f>F1357-F1356</f>
        <v>0.0035868055555532408</v>
      </c>
      <c r="S1357" s="75">
        <f>0.5*(Q1356+Q1357)*R1357</f>
        <v>0.0640023233664443</v>
      </c>
      <c r="T1357" s="75">
        <f>0.5*(F1356*Q1356+F1357*Q1357)*R1357</f>
        <v>1.5469970208963801</v>
      </c>
      <c r="U1357" s="76">
        <f>U1356+S1357</f>
        <v>98.53339829825579</v>
      </c>
      <c r="V1357" s="76">
        <f>V1356+T1357</f>
        <v>1731.7403963422369</v>
      </c>
    </row>
    <row r="1358" spans="1:22" ht="19" customHeight="1">
      <c r="A1358" s="68" t="s">
        <v>362</v>
      </c>
      <c r="B1358" s="74">
        <v>5</v>
      </c>
      <c r="C1358" s="68" t="s">
        <v>363</v>
      </c>
      <c r="D1358" s="68" t="s">
        <v>365</v>
      </c>
      <c r="E1358" s="75">
        <f>60*F1358*'THAM_SO_MOI'!$C$53/(2*PI()*'THAM_SO_MOI'!$C$26)</f>
        <v>2382.0047105263147</v>
      </c>
      <c r="F1358" s="75">
        <f>'THAM_SO_MOI'!$C$14+('THAM_SO_MOI'!$C$37-'THAM_SO_MOI'!$C$14)*551/'THAM_SO_MOI'!$C$42</f>
        <v>24.17632986111111</v>
      </c>
      <c r="G1358" s="75">
        <f>3.6*F1358</f>
        <v>87.0347875</v>
      </c>
      <c r="H1358" s="75">
        <f>'THAM_SO_MOI'!$D$53</f>
        <v>1.1</v>
      </c>
      <c r="I1358" s="75">
        <f>IF(F1358&gt;='THAM_SO_MOI'!$C$14,'THAM_SO_MOI'!$C$13*(1+F1358^2/1500),'THAM_SO_MOI'!$C$13)</f>
        <v>0.020844949255532527</v>
      </c>
      <c r="J1358" s="75">
        <f>'THAM_SO_MOI'!$C$40*('THAM_SO_MOI'!$C$23*(E1358/'THAM_SO_MOI'!$C$22)+'THAM_SO_MOI'!$C$24*(E1358/'THAM_SO_MOI'!$C$22)^2-'THAM_SO_MOI'!$C$25*(E1358/'THAM_SO_MOI'!$C$22)^3)</f>
        <v>106.71154734159363</v>
      </c>
      <c r="K1358" s="75">
        <f>'THAM_SO_MOI'!$C$31*J1358/E1358</f>
        <v>427.8801305657253</v>
      </c>
      <c r="L1358" s="75">
        <f>K1358*'THAM_SO_MOI'!$C$53*'THAM_SO_MOI'!$C$17/'THAM_SO_MOI'!$C$26</f>
        <v>3752.5104193429083</v>
      </c>
      <c r="M1358" s="75">
        <f>'THAM_SO_MOI'!$C$15*'THAM_SO_MOI'!$C$16*F1358^2</f>
        <v>1709.6476572432646</v>
      </c>
      <c r="N1358" s="75">
        <f>'THAM_SO_MOI'!$C$12*I1358</f>
        <v>1570.4751528712252</v>
      </c>
      <c r="O1358" s="75">
        <f>M1358+N1358</f>
        <v>3280.1228101144898</v>
      </c>
      <c r="P1358" s="75">
        <f>(MIN(L1358,'THAM_SO_MOI'!$C$41)-O1358)/('THAM_SO_MOI'!$C$11*H1358)</f>
        <v>0.055917093895409394</v>
      </c>
      <c r="Q1358" s="75">
        <f>IF(P1358&gt;0,1/P1358,NA())</f>
        <v>17.883618949698253</v>
      </c>
      <c r="R1358" s="75">
        <f>F1358-F1357</f>
        <v>0.0035868055555567935</v>
      </c>
      <c r="S1358" s="75">
        <f>0.5*(Q1357+Q1358)*R1358</f>
        <v>0.06409743204765578</v>
      </c>
      <c r="T1358" s="75">
        <f>0.5*(F1357*Q1357+F1358*Q1358)*R1358</f>
        <v>1.549525793344519</v>
      </c>
      <c r="U1358" s="76">
        <f>U1357+S1358</f>
        <v>98.59749573030345</v>
      </c>
      <c r="V1358" s="76">
        <f>V1357+T1358</f>
        <v>1733.2899221355815</v>
      </c>
    </row>
    <row r="1359" spans="1:22" ht="19" customHeight="1">
      <c r="A1359" s="68" t="s">
        <v>362</v>
      </c>
      <c r="B1359" s="74">
        <v>5</v>
      </c>
      <c r="C1359" s="68" t="s">
        <v>363</v>
      </c>
      <c r="D1359" s="68" t="s">
        <v>365</v>
      </c>
      <c r="E1359" s="75">
        <f>60*F1359*'THAM_SO_MOI'!$C$53/(2*PI()*'THAM_SO_MOI'!$C$26)</f>
        <v>2382.3581052631575</v>
      </c>
      <c r="F1359" s="75">
        <f>'THAM_SO_MOI'!$C$14+('THAM_SO_MOI'!$C$37-'THAM_SO_MOI'!$C$14)*552/'THAM_SO_MOI'!$C$42</f>
        <v>24.179916666666664</v>
      </c>
      <c r="G1359" s="75">
        <f>3.6*F1359</f>
        <v>87.04769999999999</v>
      </c>
      <c r="H1359" s="75">
        <f>'THAM_SO_MOI'!$D$53</f>
        <v>1.1</v>
      </c>
      <c r="I1359" s="75">
        <f>IF(F1359&gt;='THAM_SO_MOI'!$C$14,'THAM_SO_MOI'!$C$13*(1+F1359^2/1500),'THAM_SO_MOI'!$C$13)</f>
        <v>0.02084668370006944</v>
      </c>
      <c r="J1359" s="75">
        <f>'THAM_SO_MOI'!$C$40*('THAM_SO_MOI'!$C$23*(E1359/'THAM_SO_MOI'!$C$22)+'THAM_SO_MOI'!$C$24*(E1359/'THAM_SO_MOI'!$C$22)^2-'THAM_SO_MOI'!$C$25*(E1359/'THAM_SO_MOI'!$C$22)^3)</f>
        <v>106.72553607298231</v>
      </c>
      <c r="K1359" s="75">
        <f>'THAM_SO_MOI'!$C$31*J1359/E1359</f>
        <v>427.8727417367959</v>
      </c>
      <c r="L1359" s="75">
        <f>K1359*'THAM_SO_MOI'!$C$53*'THAM_SO_MOI'!$C$17/'THAM_SO_MOI'!$C$26</f>
        <v>3752.445619284285</v>
      </c>
      <c r="M1359" s="75">
        <f>'THAM_SO_MOI'!$C$15*'THAM_SO_MOI'!$C$16*F1359^2</f>
        <v>1710.154982270312</v>
      </c>
      <c r="N1359" s="75">
        <f>'THAM_SO_MOI'!$C$12*I1359</f>
        <v>1570.605827310192</v>
      </c>
      <c r="O1359" s="75">
        <f>M1359+N1359</f>
        <v>3280.760809580504</v>
      </c>
      <c r="P1359" s="75">
        <f>(MIN(L1359,'THAM_SO_MOI'!$C$41)-O1359)/('THAM_SO_MOI'!$C$11*H1359)</f>
        <v>0.05583390266379983</v>
      </c>
      <c r="Q1359" s="75">
        <f>IF(P1359&gt;0,1/P1359,NA())</f>
        <v>17.910265130872798</v>
      </c>
      <c r="R1359" s="75">
        <f>F1359-F1358</f>
        <v>0.0035868055555532408</v>
      </c>
      <c r="S1359" s="75">
        <f>0.5*(Q1358+Q1359)*R1359</f>
        <v>0.06419285113751047</v>
      </c>
      <c r="T1359" s="75">
        <f>0.5*(F1358*Q1358+F1359*Q1359)*R1359</f>
        <v>1.552062753165138</v>
      </c>
      <c r="U1359" s="76">
        <f>U1358+S1359</f>
        <v>98.66168858144096</v>
      </c>
      <c r="V1359" s="76">
        <f>V1358+T1359</f>
        <v>1734.8419848887465</v>
      </c>
    </row>
    <row r="1360" spans="1:22" ht="19" customHeight="1">
      <c r="A1360" s="68" t="s">
        <v>362</v>
      </c>
      <c r="B1360" s="74">
        <v>5</v>
      </c>
      <c r="C1360" s="68" t="s">
        <v>363</v>
      </c>
      <c r="D1360" s="68" t="s">
        <v>365</v>
      </c>
      <c r="E1360" s="75">
        <f>60*F1360*'THAM_SO_MOI'!$C$53/(2*PI()*'THAM_SO_MOI'!$C$26)</f>
        <v>2382.7114999999994</v>
      </c>
      <c r="F1360" s="75">
        <f>'THAM_SO_MOI'!$C$14+('THAM_SO_MOI'!$C$37-'THAM_SO_MOI'!$C$14)*553/'THAM_SO_MOI'!$C$42</f>
        <v>24.18350347222222</v>
      </c>
      <c r="G1360" s="75">
        <f>3.6*F1360</f>
        <v>87.06061249999999</v>
      </c>
      <c r="H1360" s="75">
        <f>'THAM_SO_MOI'!$D$53</f>
        <v>1.1</v>
      </c>
      <c r="I1360" s="75">
        <f>IF(F1360&gt;='THAM_SO_MOI'!$C$14,'THAM_SO_MOI'!$C$13*(1+F1360^2/1500),'THAM_SO_MOI'!$C$13)</f>
        <v>0.02084841840190984</v>
      </c>
      <c r="J1360" s="75">
        <f>'THAM_SO_MOI'!$C$40*('THAM_SO_MOI'!$C$23*(E1360/'THAM_SO_MOI'!$C$22)+'THAM_SO_MOI'!$C$24*(E1360/'THAM_SO_MOI'!$C$22)^2-'THAM_SO_MOI'!$C$25*(E1360/'THAM_SO_MOI'!$C$22)^3)</f>
        <v>106.73952123501789</v>
      </c>
      <c r="K1360" s="75">
        <f>'THAM_SO_MOI'!$C$31*J1360/E1360</f>
        <v>427.8653407918819</v>
      </c>
      <c r="L1360" s="75">
        <f>K1360*'THAM_SO_MOI'!$C$53*'THAM_SO_MOI'!$C$17/'THAM_SO_MOI'!$C$26</f>
        <v>3752.38071296843</v>
      </c>
      <c r="M1360" s="75">
        <f>'THAM_SO_MOI'!$C$15*'THAM_SO_MOI'!$C$16*F1360^2</f>
        <v>1710.662382558629</v>
      </c>
      <c r="N1360" s="75">
        <f>'THAM_SO_MOI'!$C$12*I1360</f>
        <v>1570.736521134609</v>
      </c>
      <c r="O1360" s="75">
        <f>M1360+N1360</f>
        <v>3281.398903693238</v>
      </c>
      <c r="P1360" s="75">
        <f>(MIN(L1360,'THAM_SO_MOI'!$C$41)-O1360)/('THAM_SO_MOI'!$C$11*H1360)</f>
        <v>0.055750687650946054</v>
      </c>
      <c r="Q1360" s="75">
        <f>IF(P1360&gt;0,1/P1360,NA())</f>
        <v>17.936998486206665</v>
      </c>
      <c r="R1360" s="75">
        <f>F1360-F1359</f>
        <v>0.0035868055555567935</v>
      </c>
      <c r="S1360" s="75">
        <f>0.5*(Q1359+Q1360)*R1360</f>
        <v>0.06428858214662476</v>
      </c>
      <c r="T1360" s="75">
        <f>0.5*(F1359*Q1359+F1360*Q1360)*R1360</f>
        <v>1.55460794022766</v>
      </c>
      <c r="U1360" s="76">
        <f>U1359+S1360</f>
        <v>98.72597716358759</v>
      </c>
      <c r="V1360" s="76">
        <f>V1359+T1360</f>
        <v>1736.3965928289742</v>
      </c>
    </row>
    <row r="1361" spans="1:22" ht="19" customHeight="1">
      <c r="A1361" s="68" t="s">
        <v>362</v>
      </c>
      <c r="B1361" s="74">
        <v>5</v>
      </c>
      <c r="C1361" s="68" t="s">
        <v>363</v>
      </c>
      <c r="D1361" s="68" t="s">
        <v>365</v>
      </c>
      <c r="E1361" s="75">
        <f>60*F1361*'THAM_SO_MOI'!$C$53/(2*PI()*'THAM_SO_MOI'!$C$26)</f>
        <v>2383.064894736842</v>
      </c>
      <c r="F1361" s="75">
        <f>'THAM_SO_MOI'!$C$14+('THAM_SO_MOI'!$C$37-'THAM_SO_MOI'!$C$14)*554/'THAM_SO_MOI'!$C$42</f>
        <v>24.187090277777777</v>
      </c>
      <c r="G1361" s="75">
        <f>3.6*F1361</f>
        <v>87.073525</v>
      </c>
      <c r="H1361" s="75">
        <f>'THAM_SO_MOI'!$D$53</f>
        <v>1.1</v>
      </c>
      <c r="I1361" s="75">
        <f>IF(F1361&gt;='THAM_SO_MOI'!$C$14,'THAM_SO_MOI'!$C$13*(1+F1361^2/1500),'THAM_SO_MOI'!$C$13)</f>
        <v>0.020850153361053725</v>
      </c>
      <c r="J1361" s="75">
        <f>'THAM_SO_MOI'!$C$40*('THAM_SO_MOI'!$C$23*(E1361/'THAM_SO_MOI'!$C$22)+'THAM_SO_MOI'!$C$24*(E1361/'THAM_SO_MOI'!$C$22)^2-'THAM_SO_MOI'!$C$25*(E1361/'THAM_SO_MOI'!$C$22)^3)</f>
        <v>106.75350282635563</v>
      </c>
      <c r="K1361" s="75">
        <f>'THAM_SO_MOI'!$C$31*J1361/E1361</f>
        <v>427.85792773098376</v>
      </c>
      <c r="L1361" s="75">
        <f>K1361*'THAM_SO_MOI'!$C$53*'THAM_SO_MOI'!$C$17/'THAM_SO_MOI'!$C$26</f>
        <v>3752.315700395346</v>
      </c>
      <c r="M1361" s="75">
        <f>'THAM_SO_MOI'!$C$15*'THAM_SO_MOI'!$C$16*F1361^2</f>
        <v>1711.169858108214</v>
      </c>
      <c r="N1361" s="75">
        <f>'THAM_SO_MOI'!$C$12*I1361</f>
        <v>1570.8672343444766</v>
      </c>
      <c r="O1361" s="75">
        <f>M1361+N1361</f>
        <v>3282.0370924526906</v>
      </c>
      <c r="P1361" s="75">
        <f>(MIN(L1361,'THAM_SO_MOI'!$C$41)-O1361)/('THAM_SO_MOI'!$C$11*H1361)</f>
        <v>0.05566744885684843</v>
      </c>
      <c r="Q1361" s="75">
        <f>IF(P1361&gt;0,1/P1361,NA())</f>
        <v>17.963819440900714</v>
      </c>
      <c r="R1361" s="75">
        <f>F1361-F1360</f>
        <v>0.0035868055555567935</v>
      </c>
      <c r="S1361" s="75">
        <f>0.5*(Q1360+Q1361)*R1361</f>
        <v>0.06438462659499085</v>
      </c>
      <c r="T1361" s="75">
        <f>0.5*(F1360*Q1360+F1361*Q1361)*R1361</f>
        <v>1.5571613946499365</v>
      </c>
      <c r="U1361" s="76">
        <f>U1360+S1361</f>
        <v>98.79036179018257</v>
      </c>
      <c r="V1361" s="76">
        <f>V1360+T1361</f>
        <v>1737.9537542236242</v>
      </c>
    </row>
    <row r="1362" spans="1:22" ht="19" customHeight="1">
      <c r="A1362" s="68" t="s">
        <v>362</v>
      </c>
      <c r="B1362" s="74">
        <v>5</v>
      </c>
      <c r="C1362" s="68" t="s">
        <v>363</v>
      </c>
      <c r="D1362" s="68" t="s">
        <v>365</v>
      </c>
      <c r="E1362" s="75">
        <f>60*F1362*'THAM_SO_MOI'!$C$53/(2*PI()*'THAM_SO_MOI'!$C$26)</f>
        <v>2383.4182894736837</v>
      </c>
      <c r="F1362" s="75">
        <f>'THAM_SO_MOI'!$C$14+('THAM_SO_MOI'!$C$37-'THAM_SO_MOI'!$C$14)*555/'THAM_SO_MOI'!$C$42</f>
        <v>24.190677083333334</v>
      </c>
      <c r="G1362" s="75">
        <f>3.6*F1362</f>
        <v>87.0864375</v>
      </c>
      <c r="H1362" s="75">
        <f>'THAM_SO_MOI'!$D$53</f>
        <v>1.1</v>
      </c>
      <c r="I1362" s="75">
        <f>IF(F1362&gt;='THAM_SO_MOI'!$C$14,'THAM_SO_MOI'!$C$13*(1+F1362^2/1500),'THAM_SO_MOI'!$C$13)</f>
        <v>0.020851888577501088</v>
      </c>
      <c r="J1362" s="75">
        <f>'THAM_SO_MOI'!$C$40*('THAM_SO_MOI'!$C$23*(E1362/'THAM_SO_MOI'!$C$22)+'THAM_SO_MOI'!$C$24*(E1362/'THAM_SO_MOI'!$C$22)^2-'THAM_SO_MOI'!$C$25*(E1362/'THAM_SO_MOI'!$C$22)^3)</f>
        <v>106.76748084565047</v>
      </c>
      <c r="K1362" s="75">
        <f>'THAM_SO_MOI'!$C$31*J1362/E1362</f>
        <v>427.8505025541009</v>
      </c>
      <c r="L1362" s="75">
        <f>K1362*'THAM_SO_MOI'!$C$53*'THAM_SO_MOI'!$C$17/'THAM_SO_MOI'!$C$26</f>
        <v>3752.250581565029</v>
      </c>
      <c r="M1362" s="75">
        <f>'THAM_SO_MOI'!$C$15*'THAM_SO_MOI'!$C$16*F1362^2</f>
        <v>1711.6774089190676</v>
      </c>
      <c r="N1362" s="75">
        <f>'THAM_SO_MOI'!$C$12*I1362</f>
        <v>1570.997966939794</v>
      </c>
      <c r="O1362" s="75">
        <f>M1362+N1362</f>
        <v>3282.6753758588616</v>
      </c>
      <c r="P1362" s="75">
        <f>(MIN(L1362,'THAM_SO_MOI'!$C$41)-O1362)/('THAM_SO_MOI'!$C$11*H1362)</f>
        <v>0.05558418628150654</v>
      </c>
      <c r="Q1362" s="75">
        <f>IF(P1362&gt;0,1/P1362,NA())</f>
        <v>17.99072842292756</v>
      </c>
      <c r="R1362" s="75">
        <f>F1362-F1361</f>
        <v>0.0035868055555567935</v>
      </c>
      <c r="S1362" s="75">
        <f>0.5*(Q1361+Q1362)*R1362</f>
        <v>0.06448098601275595</v>
      </c>
      <c r="T1362" s="75">
        <f>0.5*(F1361*Q1361+F1362*Q1362)*R1362</f>
        <v>1.559723156817268</v>
      </c>
      <c r="U1362" s="76">
        <f>U1361+S1362</f>
        <v>98.85484277619533</v>
      </c>
      <c r="V1362" s="76">
        <f>V1361+T1362</f>
        <v>1739.5134773804414</v>
      </c>
    </row>
    <row r="1363" spans="1:22" ht="19" customHeight="1">
      <c r="A1363" s="68" t="s">
        <v>362</v>
      </c>
      <c r="B1363" s="74">
        <v>5</v>
      </c>
      <c r="C1363" s="68" t="s">
        <v>363</v>
      </c>
      <c r="D1363" s="68" t="s">
        <v>365</v>
      </c>
      <c r="E1363" s="75">
        <f>60*F1363*'THAM_SO_MOI'!$C$53/(2*PI()*'THAM_SO_MOI'!$C$26)</f>
        <v>2383.7716842105256</v>
      </c>
      <c r="F1363" s="75">
        <f>'THAM_SO_MOI'!$C$14+('THAM_SO_MOI'!$C$37-'THAM_SO_MOI'!$C$14)*556/'THAM_SO_MOI'!$C$42</f>
        <v>24.194263888888887</v>
      </c>
      <c r="G1363" s="75">
        <f>3.6*F1363</f>
        <v>87.09935</v>
      </c>
      <c r="H1363" s="75">
        <f>'THAM_SO_MOI'!$D$53</f>
        <v>1.1</v>
      </c>
      <c r="I1363" s="75">
        <f>IF(F1363&gt;='THAM_SO_MOI'!$C$14,'THAM_SO_MOI'!$C$13*(1+F1363^2/1500),'THAM_SO_MOI'!$C$13)</f>
        <v>0.020853624051251927</v>
      </c>
      <c r="J1363" s="75">
        <f>'THAM_SO_MOI'!$C$40*('THAM_SO_MOI'!$C$23*(E1363/'THAM_SO_MOI'!$C$22)+'THAM_SO_MOI'!$C$24*(E1363/'THAM_SO_MOI'!$C$22)^2-'THAM_SO_MOI'!$C$25*(E1363/'THAM_SO_MOI'!$C$22)^3)</f>
        <v>106.7814552915576</v>
      </c>
      <c r="K1363" s="75">
        <f>'THAM_SO_MOI'!$C$31*J1363/E1363</f>
        <v>427.8430652612336</v>
      </c>
      <c r="L1363" s="75">
        <f>K1363*'THAM_SO_MOI'!$C$53*'THAM_SO_MOI'!$C$17/'THAM_SO_MOI'!$C$26</f>
        <v>3752.1853564774806</v>
      </c>
      <c r="M1363" s="75">
        <f>'THAM_SO_MOI'!$C$15*'THAM_SO_MOI'!$C$16*F1363^2</f>
        <v>1712.185034991189</v>
      </c>
      <c r="N1363" s="75">
        <f>'THAM_SO_MOI'!$C$12*I1363</f>
        <v>1571.1287189205614</v>
      </c>
      <c r="O1363" s="75">
        <f>M1363+N1363</f>
        <v>3283.3137539117506</v>
      </c>
      <c r="P1363" s="75">
        <f>(MIN(L1363,'THAM_SO_MOI'!$C$41)-O1363)/('THAM_SO_MOI'!$C$11*H1363)</f>
        <v>0.055500899924920716</v>
      </c>
      <c r="Q1363" s="75">
        <f>IF(P1363&gt;0,1/P1363,NA())</f>
        <v>18.017725863053716</v>
      </c>
      <c r="R1363" s="75">
        <f>F1363-F1362</f>
        <v>0.0035868055555532408</v>
      </c>
      <c r="S1363" s="75">
        <f>0.5*(Q1362+Q1363)*R1363</f>
        <v>0.06457766193992126</v>
      </c>
      <c r="T1363" s="75">
        <f>0.5*(F1362*Q1362+F1363*Q1363)*R1363</f>
        <v>1.562293267375298</v>
      </c>
      <c r="U1363" s="76">
        <f>U1362+S1363</f>
        <v>98.91942043813525</v>
      </c>
      <c r="V1363" s="76">
        <f>V1362+T1363</f>
        <v>1741.0757706478166</v>
      </c>
    </row>
    <row r="1364" spans="1:22" ht="19" customHeight="1">
      <c r="A1364" s="68" t="s">
        <v>362</v>
      </c>
      <c r="B1364" s="74">
        <v>5</v>
      </c>
      <c r="C1364" s="68" t="s">
        <v>363</v>
      </c>
      <c r="D1364" s="68" t="s">
        <v>365</v>
      </c>
      <c r="E1364" s="75">
        <f>60*F1364*'THAM_SO_MOI'!$C$53/(2*PI()*'THAM_SO_MOI'!$C$26)</f>
        <v>2384.1250789473675</v>
      </c>
      <c r="F1364" s="75">
        <f>'THAM_SO_MOI'!$C$14+('THAM_SO_MOI'!$C$37-'THAM_SO_MOI'!$C$14)*557/'THAM_SO_MOI'!$C$42</f>
        <v>24.197850694444444</v>
      </c>
      <c r="G1364" s="75">
        <f>3.6*F1364</f>
        <v>87.1122625</v>
      </c>
      <c r="H1364" s="75">
        <f>'THAM_SO_MOI'!$D$53</f>
        <v>1.1</v>
      </c>
      <c r="I1364" s="75">
        <f>IF(F1364&gt;='THAM_SO_MOI'!$C$14,'THAM_SO_MOI'!$C$13*(1+F1364^2/1500),'THAM_SO_MOI'!$C$13)</f>
        <v>0.020855359782306255</v>
      </c>
      <c r="J1364" s="75">
        <f>'THAM_SO_MOI'!$C$40*('THAM_SO_MOI'!$C$23*(E1364/'THAM_SO_MOI'!$C$22)+'THAM_SO_MOI'!$C$24*(E1364/'THAM_SO_MOI'!$C$22)^2-'THAM_SO_MOI'!$C$25*(E1364/'THAM_SO_MOI'!$C$22)^3)</f>
        <v>106.79542616273216</v>
      </c>
      <c r="K1364" s="75">
        <f>'THAM_SO_MOI'!$C$31*J1364/E1364</f>
        <v>427.8356158523819</v>
      </c>
      <c r="L1364" s="75">
        <f>K1364*'THAM_SO_MOI'!$C$53*'THAM_SO_MOI'!$C$17/'THAM_SO_MOI'!$C$26</f>
        <v>3752.120025132702</v>
      </c>
      <c r="M1364" s="75">
        <f>'THAM_SO_MOI'!$C$15*'THAM_SO_MOI'!$C$16*F1364^2</f>
        <v>1712.6927363245798</v>
      </c>
      <c r="N1364" s="75">
        <f>'THAM_SO_MOI'!$C$12*I1364</f>
        <v>1571.259490286779</v>
      </c>
      <c r="O1364" s="75">
        <f>M1364+N1364</f>
        <v>3283.952226611359</v>
      </c>
      <c r="P1364" s="75">
        <f>(MIN(L1364,'THAM_SO_MOI'!$C$41)-O1364)/('THAM_SO_MOI'!$C$11*H1364)</f>
        <v>0.05541758978709079</v>
      </c>
      <c r="Q1364" s="75">
        <f>IF(P1364&gt;0,1/P1364,NA())</f>
        <v>18.0448121948628</v>
      </c>
      <c r="R1364" s="75">
        <f>F1364-F1363</f>
        <v>0.0035868055555567935</v>
      </c>
      <c r="S1364" s="75">
        <f>0.5*(Q1363+Q1364)*R1364</f>
        <v>0.06467465592680663</v>
      </c>
      <c r="T1364" s="75">
        <f>0.5*(F1363*Q1363+F1364*Q1364)*R1364</f>
        <v>1.5648717672414358</v>
      </c>
      <c r="U1364" s="76">
        <f>U1363+S1364</f>
        <v>98.98409509406206</v>
      </c>
      <c r="V1364" s="76">
        <f>V1363+T1364</f>
        <v>1742.640642415058</v>
      </c>
    </row>
    <row r="1365" spans="1:22" ht="19" customHeight="1">
      <c r="A1365" s="68" t="s">
        <v>362</v>
      </c>
      <c r="B1365" s="74">
        <v>5</v>
      </c>
      <c r="C1365" s="68" t="s">
        <v>363</v>
      </c>
      <c r="D1365" s="68" t="s">
        <v>365</v>
      </c>
      <c r="E1365" s="75">
        <f>60*F1365*'THAM_SO_MOI'!$C$53/(2*PI()*'THAM_SO_MOI'!$C$26)</f>
        <v>2384.47847368421</v>
      </c>
      <c r="F1365" s="75">
        <f>'THAM_SO_MOI'!$C$14+('THAM_SO_MOI'!$C$37-'THAM_SO_MOI'!$C$14)*558/'THAM_SO_MOI'!$C$42</f>
        <v>24.201437499999997</v>
      </c>
      <c r="G1365" s="75">
        <f>3.6*F1365</f>
        <v>87.125175</v>
      </c>
      <c r="H1365" s="75">
        <f>'THAM_SO_MOI'!$D$53</f>
        <v>1.1</v>
      </c>
      <c r="I1365" s="75">
        <f>IF(F1365&gt;='THAM_SO_MOI'!$C$14,'THAM_SO_MOI'!$C$13*(1+F1365^2/1500),'THAM_SO_MOI'!$C$13)</f>
        <v>0.02085709577066406</v>
      </c>
      <c r="J1365" s="75">
        <f>'THAM_SO_MOI'!$C$40*('THAM_SO_MOI'!$C$23*(E1365/'THAM_SO_MOI'!$C$22)+'THAM_SO_MOI'!$C$24*(E1365/'THAM_SO_MOI'!$C$22)^2-'THAM_SO_MOI'!$C$25*(E1365/'THAM_SO_MOI'!$C$22)^3)</f>
        <v>106.80939345782923</v>
      </c>
      <c r="K1365" s="75">
        <f>'THAM_SO_MOI'!$C$31*J1365/E1365</f>
        <v>427.8281543275457</v>
      </c>
      <c r="L1365" s="75">
        <f>K1365*'THAM_SO_MOI'!$C$53*'THAM_SO_MOI'!$C$17/'THAM_SO_MOI'!$C$26</f>
        <v>3752.0545875306916</v>
      </c>
      <c r="M1365" s="75">
        <f>'THAM_SO_MOI'!$C$15*'THAM_SO_MOI'!$C$16*F1365^2</f>
        <v>1713.2005129192382</v>
      </c>
      <c r="N1365" s="75">
        <f>'THAM_SO_MOI'!$C$12*I1365</f>
        <v>1571.3902810384468</v>
      </c>
      <c r="O1365" s="75">
        <f>M1365+N1365</f>
        <v>3284.590793957685</v>
      </c>
      <c r="P1365" s="75">
        <f>(MIN(L1365,'THAM_SO_MOI'!$C$41)-O1365)/('THAM_SO_MOI'!$C$11*H1365)</f>
        <v>0.05533425586801688</v>
      </c>
      <c r="Q1365" s="75">
        <f>IF(P1365&gt;0,1/P1365,NA())</f>
        <v>18.071987854778374</v>
      </c>
      <c r="R1365" s="75">
        <f>F1365-F1364</f>
        <v>0.0035868055555532408</v>
      </c>
      <c r="S1365" s="75">
        <f>0.5*(Q1364+Q1365)*R1365</f>
        <v>0.06477196953342926</v>
      </c>
      <c r="T1365" s="75">
        <f>0.5*(F1364*Q1364+F1365*Q1365)*R1365</f>
        <v>1.5674586975900078</v>
      </c>
      <c r="U1365" s="76">
        <f>U1364+S1365</f>
        <v>99.04886706359548</v>
      </c>
      <c r="V1365" s="76">
        <f>V1364+T1365</f>
        <v>1744.208101112648</v>
      </c>
    </row>
    <row r="1366" spans="1:22" ht="19" customHeight="1">
      <c r="A1366" s="68" t="s">
        <v>362</v>
      </c>
      <c r="B1366" s="74">
        <v>5</v>
      </c>
      <c r="C1366" s="68" t="s">
        <v>363</v>
      </c>
      <c r="D1366" s="68" t="s">
        <v>365</v>
      </c>
      <c r="E1366" s="75">
        <f>60*F1366*'THAM_SO_MOI'!$C$53/(2*PI()*'THAM_SO_MOI'!$C$26)</f>
        <v>2384.831868421052</v>
      </c>
      <c r="F1366" s="75">
        <f>'THAM_SO_MOI'!$C$14+('THAM_SO_MOI'!$C$37-'THAM_SO_MOI'!$C$14)*559/'THAM_SO_MOI'!$C$42</f>
        <v>24.205024305555554</v>
      </c>
      <c r="G1366" s="75">
        <f>3.6*F1366</f>
        <v>87.1380875</v>
      </c>
      <c r="H1366" s="75">
        <f>'THAM_SO_MOI'!$D$53</f>
        <v>1.1</v>
      </c>
      <c r="I1366" s="75">
        <f>IF(F1366&gt;='THAM_SO_MOI'!$C$14,'THAM_SO_MOI'!$C$13*(1+F1366^2/1500),'THAM_SO_MOI'!$C$13)</f>
        <v>0.020858832016325348</v>
      </c>
      <c r="J1366" s="75">
        <f>'THAM_SO_MOI'!$C$40*('THAM_SO_MOI'!$C$23*(E1366/'THAM_SO_MOI'!$C$22)+'THAM_SO_MOI'!$C$24*(E1366/'THAM_SO_MOI'!$C$22)^2-'THAM_SO_MOI'!$C$25*(E1366/'THAM_SO_MOI'!$C$22)^3)</f>
        <v>106.82335717550397</v>
      </c>
      <c r="K1366" s="75">
        <f>'THAM_SO_MOI'!$C$31*J1366/E1366</f>
        <v>427.82068068672527</v>
      </c>
      <c r="L1366" s="75">
        <f>K1366*'THAM_SO_MOI'!$C$53*'THAM_SO_MOI'!$C$17/'THAM_SO_MOI'!$C$26</f>
        <v>3751.9890436714522</v>
      </c>
      <c r="M1366" s="75">
        <f>'THAM_SO_MOI'!$C$15*'THAM_SO_MOI'!$C$16*F1366^2</f>
        <v>1713.7083647751654</v>
      </c>
      <c r="N1366" s="75">
        <f>'THAM_SO_MOI'!$C$12*I1366</f>
        <v>1571.5210911755648</v>
      </c>
      <c r="O1366" s="75">
        <f>M1366+N1366</f>
        <v>3285.22945595073</v>
      </c>
      <c r="P1366" s="75">
        <f>(MIN(L1366,'THAM_SO_MOI'!$C$41)-O1366)/('THAM_SO_MOI'!$C$11*H1366)</f>
        <v>0.055250898167699104</v>
      </c>
      <c r="Q1366" s="75">
        <f>IF(P1366&gt;0,1/P1366,NA())</f>
        <v>18.099253282087314</v>
      </c>
      <c r="R1366" s="75">
        <f>F1366-F1365</f>
        <v>0.0035868055555567935</v>
      </c>
      <c r="S1366" s="75">
        <f>0.5*(Q1365+Q1366)*R1366</f>
        <v>0.06486960433054714</v>
      </c>
      <c r="T1366" s="75">
        <f>0.5*(F1365*Q1365+F1366*Q1366)*R1366</f>
        <v>1.5700540998776829</v>
      </c>
      <c r="U1366" s="76">
        <f>U1365+S1366</f>
        <v>99.11373666792603</v>
      </c>
      <c r="V1366" s="76">
        <f>V1365+T1366</f>
        <v>1745.7781552125257</v>
      </c>
    </row>
    <row r="1367" spans="1:22" ht="19" customHeight="1">
      <c r="A1367" s="68" t="s">
        <v>362</v>
      </c>
      <c r="B1367" s="74">
        <v>5</v>
      </c>
      <c r="C1367" s="68" t="s">
        <v>363</v>
      </c>
      <c r="D1367" s="68" t="s">
        <v>365</v>
      </c>
      <c r="E1367" s="75">
        <f>60*F1367*'THAM_SO_MOI'!$C$53/(2*PI()*'THAM_SO_MOI'!$C$26)</f>
        <v>2385.1852631578945</v>
      </c>
      <c r="F1367" s="75">
        <f>'THAM_SO_MOI'!$C$14+('THAM_SO_MOI'!$C$37-'THAM_SO_MOI'!$C$14)*560/'THAM_SO_MOI'!$C$42</f>
        <v>24.20861111111111</v>
      </c>
      <c r="G1367" s="75">
        <f>3.6*F1367</f>
        <v>87.151</v>
      </c>
      <c r="H1367" s="75">
        <f>'THAM_SO_MOI'!$D$53</f>
        <v>1.1</v>
      </c>
      <c r="I1367" s="75">
        <f>IF(F1367&gt;='THAM_SO_MOI'!$C$14,'THAM_SO_MOI'!$C$13*(1+F1367^2/1500),'THAM_SO_MOI'!$C$13)</f>
        <v>0.02086056851929012</v>
      </c>
      <c r="J1367" s="75">
        <f>'THAM_SO_MOI'!$C$40*('THAM_SO_MOI'!$C$23*(E1367/'THAM_SO_MOI'!$C$22)+'THAM_SO_MOI'!$C$24*(E1367/'THAM_SO_MOI'!$C$22)^2-'THAM_SO_MOI'!$C$25*(E1367/'THAM_SO_MOI'!$C$22)^3)</f>
        <v>106.83731731441135</v>
      </c>
      <c r="K1367" s="75">
        <f>'THAM_SO_MOI'!$C$31*J1367/E1367</f>
        <v>427.81319492991986</v>
      </c>
      <c r="L1367" s="75">
        <f>K1367*'THAM_SO_MOI'!$C$53*'THAM_SO_MOI'!$C$17/'THAM_SO_MOI'!$C$26</f>
        <v>3751.923393554977</v>
      </c>
      <c r="M1367" s="75">
        <f>'THAM_SO_MOI'!$C$15*'THAM_SO_MOI'!$C$16*F1367^2</f>
        <v>1714.2162918923614</v>
      </c>
      <c r="N1367" s="75">
        <f>'THAM_SO_MOI'!$C$12*I1367</f>
        <v>1571.6519206981332</v>
      </c>
      <c r="O1367" s="75">
        <f>M1367+N1367</f>
        <v>3285.8682125904943</v>
      </c>
      <c r="P1367" s="75">
        <f>(MIN(L1367,'THAM_SO_MOI'!$C$41)-O1367)/('THAM_SO_MOI'!$C$11*H1367)</f>
        <v>0.05516751668613664</v>
      </c>
      <c r="Q1367" s="75">
        <f>IF(P1367&gt;0,1/P1367,NA())</f>
        <v>18.126608918963644</v>
      </c>
      <c r="R1367" s="75">
        <f>F1367-F1366</f>
        <v>0.0035868055555567935</v>
      </c>
      <c r="S1367" s="75">
        <f>0.5*(Q1366+Q1367)*R1367</f>
        <v>0.06496756189878221</v>
      </c>
      <c r="T1367" s="75">
        <f>0.5*(F1366*Q1366+F1367*Q1367)*R1367</f>
        <v>1.5726580158224408</v>
      </c>
      <c r="U1367" s="76">
        <f>U1366+S1367</f>
        <v>99.17870422982482</v>
      </c>
      <c r="V1367" s="76">
        <f>V1366+T1367</f>
        <v>1747.3508132283482</v>
      </c>
    </row>
    <row r="1368" spans="1:22" ht="19" customHeight="1">
      <c r="A1368" s="68" t="s">
        <v>362</v>
      </c>
      <c r="B1368" s="74">
        <v>5</v>
      </c>
      <c r="C1368" s="68" t="s">
        <v>363</v>
      </c>
      <c r="D1368" s="68" t="s">
        <v>365</v>
      </c>
      <c r="E1368" s="75">
        <f>60*F1368*'THAM_SO_MOI'!$C$53/(2*PI()*'THAM_SO_MOI'!$C$26)</f>
        <v>2385.5386578947364</v>
      </c>
      <c r="F1368" s="75">
        <f>'THAM_SO_MOI'!$C$14+('THAM_SO_MOI'!$C$37-'THAM_SO_MOI'!$C$14)*561/'THAM_SO_MOI'!$C$42</f>
        <v>24.212197916666664</v>
      </c>
      <c r="G1368" s="75">
        <f>3.6*F1368</f>
        <v>87.1639125</v>
      </c>
      <c r="H1368" s="75">
        <f>'THAM_SO_MOI'!$D$53</f>
        <v>1.1</v>
      </c>
      <c r="I1368" s="75">
        <f>IF(F1368&gt;='THAM_SO_MOI'!$C$14,'THAM_SO_MOI'!$C$13*(1+F1368^2/1500),'THAM_SO_MOI'!$C$13)</f>
        <v>0.020862305279558374</v>
      </c>
      <c r="J1368" s="75">
        <f>'THAM_SO_MOI'!$C$40*('THAM_SO_MOI'!$C$23*(E1368/'THAM_SO_MOI'!$C$22)+'THAM_SO_MOI'!$C$24*(E1368/'THAM_SO_MOI'!$C$22)^2-'THAM_SO_MOI'!$C$25*(E1368/'THAM_SO_MOI'!$C$22)^3)</f>
        <v>106.85127387320665</v>
      </c>
      <c r="K1368" s="75">
        <f>'THAM_SO_MOI'!$C$31*J1368/E1368</f>
        <v>427.80569705713054</v>
      </c>
      <c r="L1368" s="75">
        <f>K1368*'THAM_SO_MOI'!$C$53*'THAM_SO_MOI'!$C$17/'THAM_SO_MOI'!$C$26</f>
        <v>3751.857637181276</v>
      </c>
      <c r="M1368" s="75">
        <f>'THAM_SO_MOI'!$C$15*'THAM_SO_MOI'!$C$16*F1368^2</f>
        <v>1714.7242942708249</v>
      </c>
      <c r="N1368" s="75">
        <f>'THAM_SO_MOI'!$C$12*I1368</f>
        <v>1571.7827696061515</v>
      </c>
      <c r="O1368" s="75">
        <f>M1368+N1368</f>
        <v>3286.5070638769766</v>
      </c>
      <c r="P1368" s="75">
        <f>(MIN(L1368,'THAM_SO_MOI'!$C$41)-O1368)/('THAM_SO_MOI'!$C$11*H1368)</f>
        <v>0.05508411142333092</v>
      </c>
      <c r="Q1368" s="75">
        <f>IF(P1368&gt;0,1/P1368,NA())</f>
        <v>18.15405521049123</v>
      </c>
      <c r="R1368" s="75">
        <f>F1368-F1367</f>
        <v>0.0035868055555532408</v>
      </c>
      <c r="S1368" s="75">
        <f>0.5*(Q1367+Q1368)*R1368</f>
        <v>0.06506584382934497</v>
      </c>
      <c r="T1368" s="75">
        <f>0.5*(F1367*Q1367+F1368*Q1368)*R1368</f>
        <v>1.5752704874212922</v>
      </c>
      <c r="U1368" s="76">
        <f>U1367+S1368</f>
        <v>99.24377007365416</v>
      </c>
      <c r="V1368" s="76">
        <f>V1367+T1368</f>
        <v>1748.9260837157694</v>
      </c>
    </row>
    <row r="1369" spans="1:22" ht="19" customHeight="1">
      <c r="A1369" s="68" t="s">
        <v>362</v>
      </c>
      <c r="B1369" s="74">
        <v>5</v>
      </c>
      <c r="C1369" s="68" t="s">
        <v>363</v>
      </c>
      <c r="D1369" s="68" t="s">
        <v>365</v>
      </c>
      <c r="E1369" s="75">
        <f>60*F1369*'THAM_SO_MOI'!$C$53/(2*PI()*'THAM_SO_MOI'!$C$26)</f>
        <v>2385.8920526315783</v>
      </c>
      <c r="F1369" s="75">
        <f>'THAM_SO_MOI'!$C$14+('THAM_SO_MOI'!$C$37-'THAM_SO_MOI'!$C$14)*562/'THAM_SO_MOI'!$C$42</f>
        <v>24.21578472222222</v>
      </c>
      <c r="G1369" s="75">
        <f>3.6*F1369</f>
        <v>87.176825</v>
      </c>
      <c r="H1369" s="75">
        <f>'THAM_SO_MOI'!$D$53</f>
        <v>1.1</v>
      </c>
      <c r="I1369" s="75">
        <f>IF(F1369&gt;='THAM_SO_MOI'!$C$14,'THAM_SO_MOI'!$C$13*(1+F1369^2/1500),'THAM_SO_MOI'!$C$13)</f>
        <v>0.02086404229713011</v>
      </c>
      <c r="J1369" s="75">
        <f>'THAM_SO_MOI'!$C$40*('THAM_SO_MOI'!$C$23*(E1369/'THAM_SO_MOI'!$C$22)+'THAM_SO_MOI'!$C$24*(E1369/'THAM_SO_MOI'!$C$22)^2-'THAM_SO_MOI'!$C$25*(E1369/'THAM_SO_MOI'!$C$22)^3)</f>
        <v>106.86522685054487</v>
      </c>
      <c r="K1369" s="75">
        <f>'THAM_SO_MOI'!$C$31*J1369/E1369</f>
        <v>427.7981870683566</v>
      </c>
      <c r="L1369" s="75">
        <f>K1369*'THAM_SO_MOI'!$C$53*'THAM_SO_MOI'!$C$17/'THAM_SO_MOI'!$C$26</f>
        <v>3751.7917745503423</v>
      </c>
      <c r="M1369" s="75">
        <f>'THAM_SO_MOI'!$C$15*'THAM_SO_MOI'!$C$16*F1369^2</f>
        <v>1715.2323719105577</v>
      </c>
      <c r="N1369" s="75">
        <f>'THAM_SO_MOI'!$C$12*I1369</f>
        <v>1571.9136378996204</v>
      </c>
      <c r="O1369" s="75">
        <f>M1369+N1369</f>
        <v>3287.146009810178</v>
      </c>
      <c r="P1369" s="75">
        <f>(MIN(L1369,'THAM_SO_MOI'!$C$41)-O1369)/('THAM_SO_MOI'!$C$11*H1369)</f>
        <v>0.055000682379280796</v>
      </c>
      <c r="Q1369" s="75">
        <f>IF(P1369&gt;0,1/P1369,NA())</f>
        <v>18.181592604689357</v>
      </c>
      <c r="R1369" s="75">
        <f>F1369-F1368</f>
        <v>0.0035868055555567935</v>
      </c>
      <c r="S1369" s="75">
        <f>0.5*(Q1368+Q1369)*R1369</f>
        <v>0.0651644517241224</v>
      </c>
      <c r="T1369" s="75">
        <f>0.5*(F1368*Q1368+F1369*Q1369)*R1369</f>
        <v>1.5778915569525986</v>
      </c>
      <c r="U1369" s="76">
        <f>U1368+S1369</f>
        <v>99.30893452537829</v>
      </c>
      <c r="V1369" s="76">
        <f>V1368+T1369</f>
        <v>1750.503975272722</v>
      </c>
    </row>
    <row r="1370" spans="1:22" ht="19" customHeight="1">
      <c r="A1370" s="68" t="s">
        <v>362</v>
      </c>
      <c r="B1370" s="74">
        <v>5</v>
      </c>
      <c r="C1370" s="68" t="s">
        <v>363</v>
      </c>
      <c r="D1370" s="68" t="s">
        <v>365</v>
      </c>
      <c r="E1370" s="75">
        <f>60*F1370*'THAM_SO_MOI'!$C$53/(2*PI()*'THAM_SO_MOI'!$C$26)</f>
        <v>2386.2454473684206</v>
      </c>
      <c r="F1370" s="75">
        <f>'THAM_SO_MOI'!$C$14+('THAM_SO_MOI'!$C$37-'THAM_SO_MOI'!$C$14)*563/'THAM_SO_MOI'!$C$42</f>
        <v>24.219371527777778</v>
      </c>
      <c r="G1370" s="75">
        <f>3.6*F1370</f>
        <v>87.1897375</v>
      </c>
      <c r="H1370" s="75">
        <f>'THAM_SO_MOI'!$D$53</f>
        <v>1.1</v>
      </c>
      <c r="I1370" s="75">
        <f>IF(F1370&gt;='THAM_SO_MOI'!$C$14,'THAM_SO_MOI'!$C$13*(1+F1370^2/1500),'THAM_SO_MOI'!$C$13)</f>
        <v>0.02086577957200533</v>
      </c>
      <c r="J1370" s="75">
        <f>'THAM_SO_MOI'!$C$40*('THAM_SO_MOI'!$C$23*(E1370/'THAM_SO_MOI'!$C$22)+'THAM_SO_MOI'!$C$24*(E1370/'THAM_SO_MOI'!$C$22)^2-'THAM_SO_MOI'!$C$25*(E1370/'THAM_SO_MOI'!$C$22)^3)</f>
        <v>106.87917624508115</v>
      </c>
      <c r="K1370" s="75">
        <f>'THAM_SO_MOI'!$C$31*J1370/E1370</f>
        <v>427.7906649635981</v>
      </c>
      <c r="L1370" s="75">
        <f>K1370*'THAM_SO_MOI'!$C$53*'THAM_SO_MOI'!$C$17/'THAM_SO_MOI'!$C$26</f>
        <v>3751.7258056621768</v>
      </c>
      <c r="M1370" s="75">
        <f>'THAM_SO_MOI'!$C$15*'THAM_SO_MOI'!$C$16*F1370^2</f>
        <v>1715.7405248115588</v>
      </c>
      <c r="N1370" s="75">
        <f>'THAM_SO_MOI'!$C$12*I1370</f>
        <v>1572.0445255785392</v>
      </c>
      <c r="O1370" s="75">
        <f>M1370+N1370</f>
        <v>3287.785050390098</v>
      </c>
      <c r="P1370" s="75">
        <f>(MIN(L1370,'THAM_SO_MOI'!$C$41)-O1370)/('THAM_SO_MOI'!$C$11*H1370)</f>
        <v>0.054917229553986605</v>
      </c>
      <c r="Q1370" s="75">
        <f>IF(P1370&gt;0,1/P1370,NA())</f>
        <v>18.209221552535638</v>
      </c>
      <c r="R1370" s="75">
        <f>F1370-F1369</f>
        <v>0.0035868055555567935</v>
      </c>
      <c r="S1370" s="75">
        <f>0.5*(Q1369+Q1370)*R1370</f>
        <v>0.06526338719518471</v>
      </c>
      <c r="T1370" s="75">
        <f>0.5*(F1369*Q1369+F1370*Q1370)*R1370</f>
        <v>1.5805212669643163</v>
      </c>
      <c r="U1370" s="76">
        <f>U1369+S1370</f>
        <v>99.37419791257348</v>
      </c>
      <c r="V1370" s="76">
        <f>V1369+T1370</f>
        <v>1752.0844965396864</v>
      </c>
    </row>
    <row r="1371" spans="1:22" ht="19" customHeight="1">
      <c r="A1371" s="68" t="s">
        <v>362</v>
      </c>
      <c r="B1371" s="74">
        <v>5</v>
      </c>
      <c r="C1371" s="68" t="s">
        <v>363</v>
      </c>
      <c r="D1371" s="68" t="s">
        <v>365</v>
      </c>
      <c r="E1371" s="75">
        <f>60*F1371*'THAM_SO_MOI'!$C$53/(2*PI()*'THAM_SO_MOI'!$C$26)</f>
        <v>2386.598842105262</v>
      </c>
      <c r="F1371" s="75">
        <f>'THAM_SO_MOI'!$C$14+('THAM_SO_MOI'!$C$37-'THAM_SO_MOI'!$C$14)*564/'THAM_SO_MOI'!$C$42</f>
        <v>24.22295833333333</v>
      </c>
      <c r="G1371" s="75">
        <f>3.6*F1371</f>
        <v>87.20264999999999</v>
      </c>
      <c r="H1371" s="75">
        <f>'THAM_SO_MOI'!$D$53</f>
        <v>1.1</v>
      </c>
      <c r="I1371" s="75">
        <f>IF(F1371&gt;='THAM_SO_MOI'!$C$14,'THAM_SO_MOI'!$C$13*(1+F1371^2/1500),'THAM_SO_MOI'!$C$13)</f>
        <v>0.020867517104184025</v>
      </c>
      <c r="J1371" s="75">
        <f>'THAM_SO_MOI'!$C$40*('THAM_SO_MOI'!$C$23*(E1371/'THAM_SO_MOI'!$C$22)+'THAM_SO_MOI'!$C$24*(E1371/'THAM_SO_MOI'!$C$22)^2-'THAM_SO_MOI'!$C$25*(E1371/'THAM_SO_MOI'!$C$22)^3)</f>
        <v>106.8931220554706</v>
      </c>
      <c r="K1371" s="75">
        <f>'THAM_SO_MOI'!$C$31*J1371/E1371</f>
        <v>427.78313074285523</v>
      </c>
      <c r="L1371" s="75">
        <f>K1371*'THAM_SO_MOI'!$C$53*'THAM_SO_MOI'!$C$17/'THAM_SO_MOI'!$C$26</f>
        <v>3751.6597305167807</v>
      </c>
      <c r="M1371" s="75">
        <f>'THAM_SO_MOI'!$C$15*'THAM_SO_MOI'!$C$16*F1371^2</f>
        <v>1716.248752973828</v>
      </c>
      <c r="N1371" s="75">
        <f>'THAM_SO_MOI'!$C$12*I1371</f>
        <v>1572.175432642908</v>
      </c>
      <c r="O1371" s="75">
        <f>M1371+N1371</f>
        <v>3288.424185616736</v>
      </c>
      <c r="P1371" s="75">
        <f>(MIN(L1371,'THAM_SO_MOI'!$C$41)-O1371)/('THAM_SO_MOI'!$C$11*H1371)</f>
        <v>0.05483375294744847</v>
      </c>
      <c r="Q1371" s="75">
        <f>IF(P1371&gt;0,1/P1371,NA())</f>
        <v>18.236942507991003</v>
      </c>
      <c r="R1371" s="75">
        <f>F1371-F1370</f>
        <v>0.0035868055555532408</v>
      </c>
      <c r="S1371" s="75">
        <f>0.5*(Q1370+Q1371)*R1371</f>
        <v>0.06536265186545091</v>
      </c>
      <c r="T1371" s="75">
        <f>0.5*(F1370*Q1370+F1371*Q1371)*R1371</f>
        <v>1.5831596602903006</v>
      </c>
      <c r="U1371" s="76">
        <f>U1370+S1371</f>
        <v>99.43956056443893</v>
      </c>
      <c r="V1371" s="76">
        <f>V1370+T1371</f>
        <v>1753.6676561999766</v>
      </c>
    </row>
    <row r="1372" spans="1:22" ht="19" customHeight="1">
      <c r="A1372" s="68" t="s">
        <v>362</v>
      </c>
      <c r="B1372" s="74">
        <v>5</v>
      </c>
      <c r="C1372" s="68" t="s">
        <v>363</v>
      </c>
      <c r="D1372" s="68" t="s">
        <v>365</v>
      </c>
      <c r="E1372" s="75">
        <f>60*F1372*'THAM_SO_MOI'!$C$53/(2*PI()*'THAM_SO_MOI'!$C$26)</f>
        <v>2386.952236842105</v>
      </c>
      <c r="F1372" s="75">
        <f>'THAM_SO_MOI'!$C$14+('THAM_SO_MOI'!$C$37-'THAM_SO_MOI'!$C$14)*565/'THAM_SO_MOI'!$C$42</f>
        <v>24.226545138888888</v>
      </c>
      <c r="G1372" s="75">
        <f>3.6*F1372</f>
        <v>87.2155625</v>
      </c>
      <c r="H1372" s="75">
        <f>'THAM_SO_MOI'!$D$53</f>
        <v>1.1</v>
      </c>
      <c r="I1372" s="75">
        <f>IF(F1372&gt;='THAM_SO_MOI'!$C$14,'THAM_SO_MOI'!$C$13*(1+F1372^2/1500),'THAM_SO_MOI'!$C$13)</f>
        <v>0.020869254893666207</v>
      </c>
      <c r="J1372" s="75">
        <f>'THAM_SO_MOI'!$C$40*('THAM_SO_MOI'!$C$23*(E1372/'THAM_SO_MOI'!$C$22)+'THAM_SO_MOI'!$C$24*(E1372/'THAM_SO_MOI'!$C$22)^2-'THAM_SO_MOI'!$C$25*(E1372/'THAM_SO_MOI'!$C$22)^3)</f>
        <v>106.90706428036835</v>
      </c>
      <c r="K1372" s="75">
        <f>'THAM_SO_MOI'!$C$31*J1372/E1372</f>
        <v>427.77558440612773</v>
      </c>
      <c r="L1372" s="75">
        <f>K1372*'THAM_SO_MOI'!$C$53*'THAM_SO_MOI'!$C$17/'THAM_SO_MOI'!$C$26</f>
        <v>3751.5935491141513</v>
      </c>
      <c r="M1372" s="75">
        <f>'THAM_SO_MOI'!$C$15*'THAM_SO_MOI'!$C$16*F1372^2</f>
        <v>1716.757056397366</v>
      </c>
      <c r="N1372" s="75">
        <f>'THAM_SO_MOI'!$C$12*I1372</f>
        <v>1572.306359092727</v>
      </c>
      <c r="O1372" s="75">
        <f>M1372+N1372</f>
        <v>3289.0634154900927</v>
      </c>
      <c r="P1372" s="75">
        <f>(MIN(L1372,'THAM_SO_MOI'!$C$41)-O1372)/('THAM_SO_MOI'!$C$11*H1372)</f>
        <v>0.05475025255966601</v>
      </c>
      <c r="Q1372" s="75">
        <f>IF(P1372&gt;0,1/P1372,NA())</f>
        <v>18.26475592802453</v>
      </c>
      <c r="R1372" s="75">
        <f>F1372-F1371</f>
        <v>0.0035868055555567935</v>
      </c>
      <c r="S1372" s="75">
        <f>0.5*(Q1371+Q1372)*R1372</f>
        <v>0.06546224736877962</v>
      </c>
      <c r="T1372" s="75">
        <f>0.5*(F1371*Q1371+F1372*Q1372)*R1372</f>
        <v>1.5858067800527016</v>
      </c>
      <c r="U1372" s="76">
        <f>U1371+S1372</f>
        <v>99.50502281180772</v>
      </c>
      <c r="V1372" s="76">
        <f>V1371+T1372</f>
        <v>1755.2534629800293</v>
      </c>
    </row>
    <row r="1373" spans="1:22" ht="19" customHeight="1">
      <c r="A1373" s="68" t="s">
        <v>362</v>
      </c>
      <c r="B1373" s="74">
        <v>5</v>
      </c>
      <c r="C1373" s="68" t="s">
        <v>363</v>
      </c>
      <c r="D1373" s="68" t="s">
        <v>365</v>
      </c>
      <c r="E1373" s="75">
        <f>60*F1373*'THAM_SO_MOI'!$C$53/(2*PI()*'THAM_SO_MOI'!$C$26)</f>
        <v>2387.3056315789468</v>
      </c>
      <c r="F1373" s="75">
        <f>'THAM_SO_MOI'!$C$14+('THAM_SO_MOI'!$C$37-'THAM_SO_MOI'!$C$14)*566/'THAM_SO_MOI'!$C$42</f>
        <v>24.230131944444445</v>
      </c>
      <c r="G1373" s="75">
        <f>3.6*F1373</f>
        <v>87.228475</v>
      </c>
      <c r="H1373" s="75">
        <f>'THAM_SO_MOI'!$D$53</f>
        <v>1.1</v>
      </c>
      <c r="I1373" s="75">
        <f>IF(F1373&gt;='THAM_SO_MOI'!$C$14,'THAM_SO_MOI'!$C$13*(1+F1373^2/1500),'THAM_SO_MOI'!$C$13)</f>
        <v>0.02087099294045187</v>
      </c>
      <c r="J1373" s="75">
        <f>'THAM_SO_MOI'!$C$40*('THAM_SO_MOI'!$C$23*(E1373/'THAM_SO_MOI'!$C$22)+'THAM_SO_MOI'!$C$24*(E1373/'THAM_SO_MOI'!$C$22)^2-'THAM_SO_MOI'!$C$25*(E1373/'THAM_SO_MOI'!$C$22)^3)</f>
        <v>106.92100291842947</v>
      </c>
      <c r="K1373" s="75">
        <f>'THAM_SO_MOI'!$C$31*J1373/E1373</f>
        <v>427.76802595341593</v>
      </c>
      <c r="L1373" s="75">
        <f>K1373*'THAM_SO_MOI'!$C$53*'THAM_SO_MOI'!$C$17/'THAM_SO_MOI'!$C$26</f>
        <v>3751.527261454293</v>
      </c>
      <c r="M1373" s="75">
        <f>'THAM_SO_MOI'!$C$15*'THAM_SO_MOI'!$C$16*F1373^2</f>
        <v>1717.2654350821726</v>
      </c>
      <c r="N1373" s="75">
        <f>'THAM_SO_MOI'!$C$12*I1373</f>
        <v>1572.4373049279964</v>
      </c>
      <c r="O1373" s="75">
        <f>M1373+N1373</f>
        <v>3289.702740010169</v>
      </c>
      <c r="P1373" s="75">
        <f>(MIN(L1373,'THAM_SO_MOI'!$C$41)-O1373)/('THAM_SO_MOI'!$C$11*H1373)</f>
        <v>0.05466672839063965</v>
      </c>
      <c r="Q1373" s="75">
        <f>IF(P1373&gt;0,1/P1373,NA())</f>
        <v>18.29266227263795</v>
      </c>
      <c r="R1373" s="75">
        <f>F1373-F1372</f>
        <v>0.0035868055555567935</v>
      </c>
      <c r="S1373" s="75">
        <f>0.5*(Q1372+Q1373)*R1373</f>
        <v>0.06556217534947462</v>
      </c>
      <c r="T1373" s="75">
        <f>0.5*(F1372*Q1372+F1373*Q1373)*R1373</f>
        <v>1.5884626696501796</v>
      </c>
      <c r="U1373" s="76">
        <f>U1372+S1373</f>
        <v>99.57058498715719</v>
      </c>
      <c r="V1373" s="76">
        <f>V1372+T1373</f>
        <v>1756.8419256496795</v>
      </c>
    </row>
    <row r="1374" spans="1:22" ht="19" customHeight="1">
      <c r="A1374" s="68" t="s">
        <v>362</v>
      </c>
      <c r="B1374" s="74">
        <v>5</v>
      </c>
      <c r="C1374" s="68" t="s">
        <v>363</v>
      </c>
      <c r="D1374" s="68" t="s">
        <v>365</v>
      </c>
      <c r="E1374" s="75">
        <f>60*F1374*'THAM_SO_MOI'!$C$53/(2*PI()*'THAM_SO_MOI'!$C$26)</f>
        <v>2387.659026315789</v>
      </c>
      <c r="F1374" s="75">
        <f>'THAM_SO_MOI'!$C$14+('THAM_SO_MOI'!$C$37-'THAM_SO_MOI'!$C$14)*567/'THAM_SO_MOI'!$C$42</f>
        <v>24.233718749999998</v>
      </c>
      <c r="G1374" s="75">
        <f>3.6*F1374</f>
        <v>87.24138749999999</v>
      </c>
      <c r="H1374" s="75">
        <f>'THAM_SO_MOI'!$D$53</f>
        <v>1.1</v>
      </c>
      <c r="I1374" s="75">
        <f>IF(F1374&gt;='THAM_SO_MOI'!$C$14,'THAM_SO_MOI'!$C$13*(1+F1374^2/1500),'THAM_SO_MOI'!$C$13)</f>
        <v>0.020872731244541014</v>
      </c>
      <c r="J1374" s="75">
        <f>'THAM_SO_MOI'!$C$40*('THAM_SO_MOI'!$C$23*(E1374/'THAM_SO_MOI'!$C$22)+'THAM_SO_MOI'!$C$24*(E1374/'THAM_SO_MOI'!$C$22)^2-'THAM_SO_MOI'!$C$25*(E1374/'THAM_SO_MOI'!$C$22)^3)</f>
        <v>106.93493796830911</v>
      </c>
      <c r="K1374" s="75">
        <f>'THAM_SO_MOI'!$C$31*J1374/E1374</f>
        <v>427.76045538471965</v>
      </c>
      <c r="L1374" s="75">
        <f>K1374*'THAM_SO_MOI'!$C$53*'THAM_SO_MOI'!$C$17/'THAM_SO_MOI'!$C$26</f>
        <v>3751.460867537203</v>
      </c>
      <c r="M1374" s="75">
        <f>'THAM_SO_MOI'!$C$15*'THAM_SO_MOI'!$C$16*F1374^2</f>
        <v>1717.7738890282471</v>
      </c>
      <c r="N1374" s="75">
        <f>'THAM_SO_MOI'!$C$12*I1374</f>
        <v>1572.5682701487158</v>
      </c>
      <c r="O1374" s="75">
        <f>M1374+N1374</f>
        <v>3290.342159176963</v>
      </c>
      <c r="P1374" s="75">
        <f>(MIN(L1374,'THAM_SO_MOI'!$C$41)-O1374)/('THAM_SO_MOI'!$C$11*H1374)</f>
        <v>0.054583180440369305</v>
      </c>
      <c r="Q1374" s="75">
        <f>IF(P1374&gt;0,1/P1374,NA())</f>
        <v>18.3206620048913</v>
      </c>
      <c r="R1374" s="75">
        <f>F1374-F1373</f>
        <v>0.0035868055555532408</v>
      </c>
      <c r="S1374" s="75">
        <f>0.5*(Q1373+Q1374)*R1374</f>
        <v>0.06566243746295714</v>
      </c>
      <c r="T1374" s="75">
        <f>0.5*(F1373*Q1373+F1374*Q1374)*R1374</f>
        <v>1.5911273727743824</v>
      </c>
      <c r="U1374" s="76">
        <f>U1373+S1374</f>
        <v>99.63624742462015</v>
      </c>
      <c r="V1374" s="76">
        <f>V1373+T1374</f>
        <v>1758.4330530224538</v>
      </c>
    </row>
    <row r="1375" spans="1:22" ht="19" customHeight="1">
      <c r="A1375" s="68" t="s">
        <v>362</v>
      </c>
      <c r="B1375" s="74">
        <v>5</v>
      </c>
      <c r="C1375" s="68" t="s">
        <v>363</v>
      </c>
      <c r="D1375" s="68" t="s">
        <v>365</v>
      </c>
      <c r="E1375" s="75">
        <f>60*F1375*'THAM_SO_MOI'!$C$53/(2*PI()*'THAM_SO_MOI'!$C$26)</f>
        <v>2388.012421052631</v>
      </c>
      <c r="F1375" s="75">
        <f>'THAM_SO_MOI'!$C$14+('THAM_SO_MOI'!$C$37-'THAM_SO_MOI'!$C$14)*568/'THAM_SO_MOI'!$C$42</f>
        <v>24.237305555555555</v>
      </c>
      <c r="G1375" s="75">
        <f>3.6*F1375</f>
        <v>87.2543</v>
      </c>
      <c r="H1375" s="75">
        <f>'THAM_SO_MOI'!$D$53</f>
        <v>1.1</v>
      </c>
      <c r="I1375" s="75">
        <f>IF(F1375&gt;='THAM_SO_MOI'!$C$14,'THAM_SO_MOI'!$C$13*(1+F1375^2/1500),'THAM_SO_MOI'!$C$13)</f>
        <v>0.020874469805933642</v>
      </c>
      <c r="J1375" s="75">
        <f>'THAM_SO_MOI'!$C$40*('THAM_SO_MOI'!$C$23*(E1375/'THAM_SO_MOI'!$C$22)+'THAM_SO_MOI'!$C$24*(E1375/'THAM_SO_MOI'!$C$22)^2-'THAM_SO_MOI'!$C$25*(E1375/'THAM_SO_MOI'!$C$22)^3)</f>
        <v>106.94886942866235</v>
      </c>
      <c r="K1375" s="75">
        <f>'THAM_SO_MOI'!$C$31*J1375/E1375</f>
        <v>427.75287270003884</v>
      </c>
      <c r="L1375" s="75">
        <f>K1375*'THAM_SO_MOI'!$C$53*'THAM_SO_MOI'!$C$17/'THAM_SO_MOI'!$C$26</f>
        <v>3751.3943673628814</v>
      </c>
      <c r="M1375" s="75">
        <f>'THAM_SO_MOI'!$C$15*'THAM_SO_MOI'!$C$16*F1375^2</f>
        <v>1718.2824182355903</v>
      </c>
      <c r="N1375" s="75">
        <f>'THAM_SO_MOI'!$C$12*I1375</f>
        <v>1572.6992547548855</v>
      </c>
      <c r="O1375" s="75">
        <f>M1375+N1375</f>
        <v>3290.981672990476</v>
      </c>
      <c r="P1375" s="75">
        <f>(MIN(L1375,'THAM_SO_MOI'!$C$41)-O1375)/('THAM_SO_MOI'!$C$11*H1375)</f>
        <v>0.05449960870885484</v>
      </c>
      <c r="Q1375" s="75">
        <f>IF(P1375&gt;0,1/P1375,NA())</f>
        <v>18.34875559092821</v>
      </c>
      <c r="R1375" s="75">
        <f>F1375-F1374</f>
        <v>0.0035868055555567935</v>
      </c>
      <c r="S1375" s="75">
        <f>0.5*(Q1374+Q1375)*R1375</f>
        <v>0.06576303537585873</v>
      </c>
      <c r="T1375" s="75">
        <f>0.5*(F1374*Q1374+F1375*Q1375)*R1375</f>
        <v>1.5938009334123977</v>
      </c>
      <c r="U1375" s="76">
        <f>U1374+S1375</f>
        <v>99.702010459996</v>
      </c>
      <c r="V1375" s="76">
        <f>V1374+T1375</f>
        <v>1760.0268539558663</v>
      </c>
    </row>
    <row r="1376" spans="1:22" ht="19" customHeight="1">
      <c r="A1376" s="68" t="s">
        <v>362</v>
      </c>
      <c r="B1376" s="74">
        <v>5</v>
      </c>
      <c r="C1376" s="68" t="s">
        <v>363</v>
      </c>
      <c r="D1376" s="68" t="s">
        <v>365</v>
      </c>
      <c r="E1376" s="75">
        <f>60*F1376*'THAM_SO_MOI'!$C$53/(2*PI()*'THAM_SO_MOI'!$C$26)</f>
        <v>2388.3658157894733</v>
      </c>
      <c r="F1376" s="75">
        <f>'THAM_SO_MOI'!$C$14+('THAM_SO_MOI'!$C$37-'THAM_SO_MOI'!$C$14)*569/'THAM_SO_MOI'!$C$42</f>
        <v>24.24089236111111</v>
      </c>
      <c r="G1376" s="75">
        <f>3.6*F1376</f>
        <v>87.2672125</v>
      </c>
      <c r="H1376" s="75">
        <f>'THAM_SO_MOI'!$D$53</f>
        <v>1.1</v>
      </c>
      <c r="I1376" s="75">
        <f>IF(F1376&gt;='THAM_SO_MOI'!$C$14,'THAM_SO_MOI'!$C$13*(1+F1376^2/1500),'THAM_SO_MOI'!$C$13)</f>
        <v>0.02087620862462975</v>
      </c>
      <c r="J1376" s="75">
        <f>'THAM_SO_MOI'!$C$40*('THAM_SO_MOI'!$C$23*(E1376/'THAM_SO_MOI'!$C$22)+'THAM_SO_MOI'!$C$24*(E1376/'THAM_SO_MOI'!$C$22)^2-'THAM_SO_MOI'!$C$25*(E1376/'THAM_SO_MOI'!$C$22)^3)</f>
        <v>106.96279729814435</v>
      </c>
      <c r="K1376" s="75">
        <f>'THAM_SO_MOI'!$C$31*J1376/E1376</f>
        <v>427.7452778993738</v>
      </c>
      <c r="L1376" s="75">
        <f>K1376*'THAM_SO_MOI'!$C$53*'THAM_SO_MOI'!$C$17/'THAM_SO_MOI'!$C$26</f>
        <v>3751.327760931331</v>
      </c>
      <c r="M1376" s="75">
        <f>'THAM_SO_MOI'!$C$15*'THAM_SO_MOI'!$C$16*F1376^2</f>
        <v>1718.791022704202</v>
      </c>
      <c r="N1376" s="75">
        <f>'THAM_SO_MOI'!$C$12*I1376</f>
        <v>1572.8302587465053</v>
      </c>
      <c r="O1376" s="75">
        <f>M1376+N1376</f>
        <v>3291.621281450707</v>
      </c>
      <c r="P1376" s="75">
        <f>(MIN(L1376,'THAM_SO_MOI'!$C$41)-O1376)/('THAM_SO_MOI'!$C$11*H1376)</f>
        <v>0.05441601319609654</v>
      </c>
      <c r="Q1376" s="75">
        <f>IF(P1376&gt;0,1/P1376,NA())</f>
        <v>18.37694350000146</v>
      </c>
      <c r="R1376" s="75">
        <f>F1376-F1375</f>
        <v>0.0035868055555567935</v>
      </c>
      <c r="S1376" s="75">
        <f>0.5*(Q1375+Q1376)*R1376</f>
        <v>0.0658639707655268</v>
      </c>
      <c r="T1376" s="75">
        <f>0.5*(F1375*Q1375+F1376*Q1376)*R1376</f>
        <v>1.5964833958349673</v>
      </c>
      <c r="U1376" s="76">
        <f>U1375+S1376</f>
        <v>99.76787443076152</v>
      </c>
      <c r="V1376" s="76">
        <f>V1375+T1376</f>
        <v>1761.6233373517011</v>
      </c>
    </row>
    <row r="1377" spans="1:22" ht="19" customHeight="1">
      <c r="A1377" s="68" t="s">
        <v>362</v>
      </c>
      <c r="B1377" s="74">
        <v>5</v>
      </c>
      <c r="C1377" s="68" t="s">
        <v>363</v>
      </c>
      <c r="D1377" s="68" t="s">
        <v>365</v>
      </c>
      <c r="E1377" s="75">
        <f>60*F1377*'THAM_SO_MOI'!$C$53/(2*PI()*'THAM_SO_MOI'!$C$26)</f>
        <v>2388.719210526315</v>
      </c>
      <c r="F1377" s="75">
        <f>'THAM_SO_MOI'!$C$14+('THAM_SO_MOI'!$C$37-'THAM_SO_MOI'!$C$14)*570/'THAM_SO_MOI'!$C$42</f>
        <v>24.244479166666665</v>
      </c>
      <c r="G1377" s="75">
        <f>3.6*F1377</f>
        <v>87.280125</v>
      </c>
      <c r="H1377" s="75">
        <f>'THAM_SO_MOI'!$D$53</f>
        <v>1.1</v>
      </c>
      <c r="I1377" s="75">
        <f>IF(F1377&gt;='THAM_SO_MOI'!$C$14,'THAM_SO_MOI'!$C$13*(1+F1377^2/1500),'THAM_SO_MOI'!$C$13)</f>
        <v>0.020877947700629337</v>
      </c>
      <c r="J1377" s="75">
        <f>'THAM_SO_MOI'!$C$40*('THAM_SO_MOI'!$C$23*(E1377/'THAM_SO_MOI'!$C$22)+'THAM_SO_MOI'!$C$24*(E1377/'THAM_SO_MOI'!$C$22)^2-'THAM_SO_MOI'!$C$25*(E1377/'THAM_SO_MOI'!$C$22)^3)</f>
        <v>106.97672157541014</v>
      </c>
      <c r="K1377" s="75">
        <f>'THAM_SO_MOI'!$C$31*J1377/E1377</f>
        <v>427.73767098272407</v>
      </c>
      <c r="L1377" s="75">
        <f>K1377*'THAM_SO_MOI'!$C$53*'THAM_SO_MOI'!$C$17/'THAM_SO_MOI'!$C$26</f>
        <v>3751.261048242547</v>
      </c>
      <c r="M1377" s="75">
        <f>'THAM_SO_MOI'!$C$15*'THAM_SO_MOI'!$C$16*F1377^2</f>
        <v>1719.2997024340818</v>
      </c>
      <c r="N1377" s="75">
        <f>'THAM_SO_MOI'!$C$12*I1377</f>
        <v>1572.9612821235748</v>
      </c>
      <c r="O1377" s="75">
        <f>M1377+N1377</f>
        <v>3292.2609845576567</v>
      </c>
      <c r="P1377" s="75">
        <f>(MIN(L1377,'THAM_SO_MOI'!$C$41)-O1377)/('THAM_SO_MOI'!$C$11*H1377)</f>
        <v>0.05433239390209403</v>
      </c>
      <c r="Q1377" s="75">
        <f>IF(P1377&gt;0,1/P1377,NA())</f>
        <v>18.405226204499318</v>
      </c>
      <c r="R1377" s="75">
        <f>F1377-F1376</f>
        <v>0.0035868055555532408</v>
      </c>
      <c r="S1377" s="75">
        <f>0.5*(Q1376+Q1377)*R1377</f>
        <v>0.06596524532070273</v>
      </c>
      <c r="T1377" s="75">
        <f>0.5*(F1376*Q1376+F1377*Q1377)*R1377</f>
        <v>1.5991748046131178</v>
      </c>
      <c r="U1377" s="76">
        <f>U1376+S1377</f>
        <v>99.83383967608222</v>
      </c>
      <c r="V1377" s="76">
        <f>V1376+T1377</f>
        <v>1763.2225121563142</v>
      </c>
    </row>
    <row r="1378" spans="1:22" ht="19" customHeight="1">
      <c r="A1378" s="68" t="s">
        <v>362</v>
      </c>
      <c r="B1378" s="74">
        <v>5</v>
      </c>
      <c r="C1378" s="68" t="s">
        <v>363</v>
      </c>
      <c r="D1378" s="68" t="s">
        <v>365</v>
      </c>
      <c r="E1378" s="75">
        <f>60*F1378*'THAM_SO_MOI'!$C$53/(2*PI()*'THAM_SO_MOI'!$C$26)</f>
        <v>2389.072605263157</v>
      </c>
      <c r="F1378" s="75">
        <f>'THAM_SO_MOI'!$C$14+('THAM_SO_MOI'!$C$37-'THAM_SO_MOI'!$C$14)*571/'THAM_SO_MOI'!$C$42</f>
        <v>24.24806597222222</v>
      </c>
      <c r="G1378" s="75">
        <f>3.6*F1378</f>
        <v>87.2930375</v>
      </c>
      <c r="H1378" s="75">
        <f>'THAM_SO_MOI'!$D$53</f>
        <v>1.1</v>
      </c>
      <c r="I1378" s="75">
        <f>IF(F1378&gt;='THAM_SO_MOI'!$C$14,'THAM_SO_MOI'!$C$13*(1+F1378^2/1500),'THAM_SO_MOI'!$C$13)</f>
        <v>0.02087968703393241</v>
      </c>
      <c r="J1378" s="75">
        <f>'THAM_SO_MOI'!$C$40*('THAM_SO_MOI'!$C$23*(E1378/'THAM_SO_MOI'!$C$22)+'THAM_SO_MOI'!$C$24*(E1378/'THAM_SO_MOI'!$C$22)^2-'THAM_SO_MOI'!$C$25*(E1378/'THAM_SO_MOI'!$C$22)^3)</f>
        <v>106.9906422591149</v>
      </c>
      <c r="K1378" s="75">
        <f>'THAM_SO_MOI'!$C$31*J1378/E1378</f>
        <v>427.73005195009</v>
      </c>
      <c r="L1378" s="75">
        <f>K1378*'THAM_SO_MOI'!$C$53*'THAM_SO_MOI'!$C$17/'THAM_SO_MOI'!$C$26</f>
        <v>3751.1942292965336</v>
      </c>
      <c r="M1378" s="75">
        <f>'THAM_SO_MOI'!$C$15*'THAM_SO_MOI'!$C$16*F1378^2</f>
        <v>1719.8084574252307</v>
      </c>
      <c r="N1378" s="75">
        <f>'THAM_SO_MOI'!$C$12*I1378</f>
        <v>1573.092324886095</v>
      </c>
      <c r="O1378" s="75">
        <f>M1378+N1378</f>
        <v>3292.9007823113257</v>
      </c>
      <c r="P1378" s="75">
        <f>(MIN(L1378,'THAM_SO_MOI'!$C$41)-O1378)/('THAM_SO_MOI'!$C$11*H1378)</f>
        <v>0.05424875082684754</v>
      </c>
      <c r="Q1378" s="75">
        <f>IF(P1378&gt;0,1/P1378,NA())</f>
        <v>18.43360417997133</v>
      </c>
      <c r="R1378" s="75">
        <f>F1378-F1377</f>
        <v>0.0035868055555567935</v>
      </c>
      <c r="S1378" s="75">
        <f>0.5*(Q1377+Q1378)*R1378</f>
        <v>0.06606686074161686</v>
      </c>
      <c r="T1378" s="75">
        <f>0.5*(F1377*Q1377+F1378*Q1378)*R1378</f>
        <v>1.6018752046206695</v>
      </c>
      <c r="U1378" s="76">
        <f>U1377+S1378</f>
        <v>99.89990653682383</v>
      </c>
      <c r="V1378" s="76">
        <f>V1377+T1378</f>
        <v>1764.824387360935</v>
      </c>
    </row>
    <row r="1379" spans="1:22" ht="19" customHeight="1">
      <c r="A1379" s="68" t="s">
        <v>362</v>
      </c>
      <c r="B1379" s="74">
        <v>5</v>
      </c>
      <c r="C1379" s="68" t="s">
        <v>363</v>
      </c>
      <c r="D1379" s="68" t="s">
        <v>365</v>
      </c>
      <c r="E1379" s="75">
        <f>60*F1379*'THAM_SO_MOI'!$C$53/(2*PI()*'THAM_SO_MOI'!$C$26)</f>
        <v>2389.4259999999995</v>
      </c>
      <c r="F1379" s="75">
        <f>'THAM_SO_MOI'!$C$14+('THAM_SO_MOI'!$C$37-'THAM_SO_MOI'!$C$14)*572/'THAM_SO_MOI'!$C$42</f>
        <v>24.251652777777778</v>
      </c>
      <c r="G1379" s="75">
        <f>3.6*F1379</f>
        <v>87.30595000000001</v>
      </c>
      <c r="H1379" s="75">
        <f>'THAM_SO_MOI'!$D$53</f>
        <v>1.1</v>
      </c>
      <c r="I1379" s="75">
        <f>IF(F1379&gt;='THAM_SO_MOI'!$C$14,'THAM_SO_MOI'!$C$13*(1+F1379^2/1500),'THAM_SO_MOI'!$C$13)</f>
        <v>0.020881426624538967</v>
      </c>
      <c r="J1379" s="75">
        <f>'THAM_SO_MOI'!$C$40*('THAM_SO_MOI'!$C$23*(E1379/'THAM_SO_MOI'!$C$22)+'THAM_SO_MOI'!$C$24*(E1379/'THAM_SO_MOI'!$C$22)^2-'THAM_SO_MOI'!$C$25*(E1379/'THAM_SO_MOI'!$C$22)^3)</f>
        <v>107.00455934791368</v>
      </c>
      <c r="K1379" s="75">
        <f>'THAM_SO_MOI'!$C$31*J1379/E1379</f>
        <v>427.7224208014713</v>
      </c>
      <c r="L1379" s="75">
        <f>K1379*'THAM_SO_MOI'!$C$53*'THAM_SO_MOI'!$C$17/'THAM_SO_MOI'!$C$26</f>
        <v>3751.127304093287</v>
      </c>
      <c r="M1379" s="75">
        <f>'THAM_SO_MOI'!$C$15*'THAM_SO_MOI'!$C$16*F1379^2</f>
        <v>1720.3172876776478</v>
      </c>
      <c r="N1379" s="75">
        <f>'THAM_SO_MOI'!$C$12*I1379</f>
        <v>1573.2233870340656</v>
      </c>
      <c r="O1379" s="75">
        <f>M1379+N1379</f>
        <v>3293.540674711713</v>
      </c>
      <c r="P1379" s="75">
        <f>(MIN(L1379,'THAM_SO_MOI'!$C$41)-O1379)/('THAM_SO_MOI'!$C$11*H1379)</f>
        <v>0.05416508397035673</v>
      </c>
      <c r="Q1379" s="75">
        <f>IF(P1379&gt;0,1/P1379,NA())</f>
        <v>18.46207790515522</v>
      </c>
      <c r="R1379" s="75">
        <f>F1379-F1378</f>
        <v>0.0035868055555567935</v>
      </c>
      <c r="S1379" s="75">
        <f>0.5*(Q1378+Q1379)*R1379</f>
        <v>0.06616881873949458</v>
      </c>
      <c r="T1379" s="75">
        <f>0.5*(F1378*Q1378+F1379*Q1379)*R1379</f>
        <v>1.6045846410224662</v>
      </c>
      <c r="U1379" s="76">
        <f>U1378+S1379</f>
        <v>99.96607535556333</v>
      </c>
      <c r="V1379" s="76">
        <f>V1378+T1379</f>
        <v>1766.4289720019574</v>
      </c>
    </row>
    <row r="1380" spans="1:22" ht="19" customHeight="1">
      <c r="A1380" s="68" t="s">
        <v>362</v>
      </c>
      <c r="B1380" s="74">
        <v>5</v>
      </c>
      <c r="C1380" s="68" t="s">
        <v>363</v>
      </c>
      <c r="D1380" s="68" t="s">
        <v>365</v>
      </c>
      <c r="E1380" s="75">
        <f>60*F1380*'THAM_SO_MOI'!$C$53/(2*PI()*'THAM_SO_MOI'!$C$26)</f>
        <v>2389.7793947368414</v>
      </c>
      <c r="F1380" s="75">
        <f>'THAM_SO_MOI'!$C$14+('THAM_SO_MOI'!$C$37-'THAM_SO_MOI'!$C$14)*573/'THAM_SO_MOI'!$C$42</f>
        <v>24.25523958333333</v>
      </c>
      <c r="G1380" s="75">
        <f>3.6*F1380</f>
        <v>87.3188625</v>
      </c>
      <c r="H1380" s="75">
        <f>'THAM_SO_MOI'!$D$53</f>
        <v>1.1</v>
      </c>
      <c r="I1380" s="75">
        <f>IF(F1380&gt;='THAM_SO_MOI'!$C$14,'THAM_SO_MOI'!$C$13*(1+F1380^2/1500),'THAM_SO_MOI'!$C$13)</f>
        <v>0.020883166472448998</v>
      </c>
      <c r="J1380" s="75">
        <f>'THAM_SO_MOI'!$C$40*('THAM_SO_MOI'!$C$23*(E1380/'THAM_SO_MOI'!$C$22)+'THAM_SO_MOI'!$C$24*(E1380/'THAM_SO_MOI'!$C$22)^2-'THAM_SO_MOI'!$C$25*(E1380/'THAM_SO_MOI'!$C$22)^3)</f>
        <v>107.01847284046165</v>
      </c>
      <c r="K1380" s="75">
        <f>'THAM_SO_MOI'!$C$31*J1380/E1380</f>
        <v>427.7147775368683</v>
      </c>
      <c r="L1380" s="75">
        <f>K1380*'THAM_SO_MOI'!$C$53*'THAM_SO_MOI'!$C$17/'THAM_SO_MOI'!$C$26</f>
        <v>3751.0602726328107</v>
      </c>
      <c r="M1380" s="75">
        <f>'THAM_SO_MOI'!$C$15*'THAM_SO_MOI'!$C$16*F1380^2</f>
        <v>1720.826193191333</v>
      </c>
      <c r="N1380" s="75">
        <f>'THAM_SO_MOI'!$C$12*I1380</f>
        <v>1573.3544685674856</v>
      </c>
      <c r="O1380" s="75">
        <f>M1380+N1380</f>
        <v>3294.1806617588186</v>
      </c>
      <c r="P1380" s="75">
        <f>(MIN(L1380,'THAM_SO_MOI'!$C$41)-O1380)/('THAM_SO_MOI'!$C$11*H1380)</f>
        <v>0.05408139333262217</v>
      </c>
      <c r="Q1380" s="75">
        <f>IF(P1380&gt;0,1/P1380,NA())</f>
        <v>18.490647862003122</v>
      </c>
      <c r="R1380" s="75">
        <f>F1380-F1379</f>
        <v>0.0035868055555532408</v>
      </c>
      <c r="S1380" s="75">
        <f>0.5*(Q1379+Q1380)*R1380</f>
        <v>0.06627112103723946</v>
      </c>
      <c r="T1380" s="75">
        <f>0.5*(F1379*Q1379+F1380*Q1380)*R1380</f>
        <v>1.6073031592911375</v>
      </c>
      <c r="U1380" s="76">
        <f>U1379+S1380</f>
        <v>100.03234647660058</v>
      </c>
      <c r="V1380" s="76">
        <f>V1379+T1380</f>
        <v>1768.0362751612486</v>
      </c>
    </row>
    <row r="1381" spans="1:22" ht="19" customHeight="1">
      <c r="A1381" s="68" t="s">
        <v>362</v>
      </c>
      <c r="B1381" s="74">
        <v>5</v>
      </c>
      <c r="C1381" s="68" t="s">
        <v>363</v>
      </c>
      <c r="D1381" s="68" t="s">
        <v>365</v>
      </c>
      <c r="E1381" s="75">
        <f>60*F1381*'THAM_SO_MOI'!$C$53/(2*PI()*'THAM_SO_MOI'!$C$26)</f>
        <v>2390.1327894736837</v>
      </c>
      <c r="F1381" s="75">
        <f>'THAM_SO_MOI'!$C$14+('THAM_SO_MOI'!$C$37-'THAM_SO_MOI'!$C$14)*574/'THAM_SO_MOI'!$C$42</f>
        <v>24.258826388888888</v>
      </c>
      <c r="G1381" s="75">
        <f>3.6*F1381</f>
        <v>87.331775</v>
      </c>
      <c r="H1381" s="75">
        <f>'THAM_SO_MOI'!$D$53</f>
        <v>1.1</v>
      </c>
      <c r="I1381" s="75">
        <f>IF(F1381&gt;='THAM_SO_MOI'!$C$14,'THAM_SO_MOI'!$C$13*(1+F1381^2/1500),'THAM_SO_MOI'!$C$13)</f>
        <v>0.020884906577662517</v>
      </c>
      <c r="J1381" s="75">
        <f>'THAM_SO_MOI'!$C$40*('THAM_SO_MOI'!$C$23*(E1381/'THAM_SO_MOI'!$C$22)+'THAM_SO_MOI'!$C$24*(E1381/'THAM_SO_MOI'!$C$22)^2-'THAM_SO_MOI'!$C$25*(E1381/'THAM_SO_MOI'!$C$22)^3)</f>
        <v>107.03238273541392</v>
      </c>
      <c r="K1381" s="75">
        <f>'THAM_SO_MOI'!$C$31*J1381/E1381</f>
        <v>427.70712215628083</v>
      </c>
      <c r="L1381" s="75">
        <f>K1381*'THAM_SO_MOI'!$C$53*'THAM_SO_MOI'!$C$17/'THAM_SO_MOI'!$C$26</f>
        <v>3750.9931349151034</v>
      </c>
      <c r="M1381" s="75">
        <f>'THAM_SO_MOI'!$C$15*'THAM_SO_MOI'!$C$16*F1381^2</f>
        <v>1721.335173966287</v>
      </c>
      <c r="N1381" s="75">
        <f>'THAM_SO_MOI'!$C$12*I1381</f>
        <v>1573.485569486356</v>
      </c>
      <c r="O1381" s="75">
        <f>M1381+N1381</f>
        <v>3294.820743452643</v>
      </c>
      <c r="P1381" s="75">
        <f>(MIN(L1381,'THAM_SO_MOI'!$C$41)-O1381)/('THAM_SO_MOI'!$C$11*H1381)</f>
        <v>0.05399767891364351</v>
      </c>
      <c r="Q1381" s="75">
        <f>IF(P1381&gt;0,1/P1381,NA())</f>
        <v>18.519314535709267</v>
      </c>
      <c r="R1381" s="75">
        <f>F1381-F1380</f>
        <v>0.0035868055555567935</v>
      </c>
      <c r="S1381" s="75">
        <f>0.5*(Q1380+Q1381)*R1381</f>
        <v>0.0663737693695314</v>
      </c>
      <c r="T1381" s="75">
        <f>0.5*(F1380*Q1380+F1381*Q1381)*R1381</f>
        <v>1.6100308052096917</v>
      </c>
      <c r="U1381" s="76">
        <f>U1380+S1381</f>
        <v>100.09872024597011</v>
      </c>
      <c r="V1381" s="76">
        <f>V1380+T1381</f>
        <v>1769.6463059664582</v>
      </c>
    </row>
    <row r="1382" spans="1:22" ht="19" customHeight="1">
      <c r="A1382" s="68" t="s">
        <v>362</v>
      </c>
      <c r="B1382" s="74">
        <v>5</v>
      </c>
      <c r="C1382" s="68" t="s">
        <v>363</v>
      </c>
      <c r="D1382" s="68" t="s">
        <v>365</v>
      </c>
      <c r="E1382" s="75">
        <f>60*F1382*'THAM_SO_MOI'!$C$53/(2*PI()*'THAM_SO_MOI'!$C$26)</f>
        <v>2390.4861842105256</v>
      </c>
      <c r="F1382" s="75">
        <f>'THAM_SO_MOI'!$C$14+('THAM_SO_MOI'!$C$37-'THAM_SO_MOI'!$C$14)*575/'THAM_SO_MOI'!$C$42</f>
        <v>24.26241319444444</v>
      </c>
      <c r="G1382" s="75">
        <f>3.6*F1382</f>
        <v>87.34468749999999</v>
      </c>
      <c r="H1382" s="75">
        <f>'THAM_SO_MOI'!$D$53</f>
        <v>1.1</v>
      </c>
      <c r="I1382" s="75">
        <f>IF(F1382&gt;='THAM_SO_MOI'!$C$14,'THAM_SO_MOI'!$C$13*(1+F1382^2/1500),'THAM_SO_MOI'!$C$13)</f>
        <v>0.02088664694017952</v>
      </c>
      <c r="J1382" s="75">
        <f>'THAM_SO_MOI'!$C$40*('THAM_SO_MOI'!$C$23*(E1382/'THAM_SO_MOI'!$C$22)+'THAM_SO_MOI'!$C$24*(E1382/'THAM_SO_MOI'!$C$22)^2-'THAM_SO_MOI'!$C$25*(E1382/'THAM_SO_MOI'!$C$22)^3)</f>
        <v>107.04628903142556</v>
      </c>
      <c r="K1382" s="75">
        <f>'THAM_SO_MOI'!$C$31*J1382/E1382</f>
        <v>427.699454659709</v>
      </c>
      <c r="L1382" s="75">
        <f>K1382*'THAM_SO_MOI'!$C$53*'THAM_SO_MOI'!$C$17/'THAM_SO_MOI'!$C$26</f>
        <v>3750.9258909401656</v>
      </c>
      <c r="M1382" s="75">
        <f>'THAM_SO_MOI'!$C$15*'THAM_SO_MOI'!$C$16*F1382^2</f>
        <v>1721.844230002509</v>
      </c>
      <c r="N1382" s="75">
        <f>'THAM_SO_MOI'!$C$12*I1382</f>
        <v>1573.6166897906771</v>
      </c>
      <c r="O1382" s="75">
        <f>M1382+N1382</f>
        <v>3295.460919793186</v>
      </c>
      <c r="P1382" s="75">
        <f>(MIN(L1382,'THAM_SO_MOI'!$C$41)-O1382)/('THAM_SO_MOI'!$C$11*H1382)</f>
        <v>0.053913940713420865</v>
      </c>
      <c r="Q1382" s="75">
        <f>IF(P1382&gt;0,1/P1382,NA())</f>
        <v>18.54807841473678</v>
      </c>
      <c r="R1382" s="75">
        <f>F1382-F1381</f>
        <v>0.0035868055555532408</v>
      </c>
      <c r="S1382" s="75">
        <f>0.5*(Q1381+Q1382)*R1382</f>
        <v>0.06647676548226746</v>
      </c>
      <c r="T1382" s="75">
        <f>0.5*(F1381*Q1381+F1382*Q1382)*R1382</f>
        <v>1.6127676248581588</v>
      </c>
      <c r="U1382" s="76">
        <f>U1381+S1382</f>
        <v>100.16519701145238</v>
      </c>
      <c r="V1382" s="76">
        <f>V1381+T1382</f>
        <v>1771.2590735913163</v>
      </c>
    </row>
    <row r="1383" spans="1:22" ht="19" customHeight="1">
      <c r="A1383" s="68" t="s">
        <v>362</v>
      </c>
      <c r="B1383" s="74">
        <v>5</v>
      </c>
      <c r="C1383" s="68" t="s">
        <v>363</v>
      </c>
      <c r="D1383" s="68" t="s">
        <v>365</v>
      </c>
      <c r="E1383" s="75">
        <f>60*F1383*'THAM_SO_MOI'!$C$53/(2*PI()*'THAM_SO_MOI'!$C$26)</f>
        <v>2390.8395789473675</v>
      </c>
      <c r="F1383" s="75">
        <f>'THAM_SO_MOI'!$C$14+('THAM_SO_MOI'!$C$37-'THAM_SO_MOI'!$C$14)*576/'THAM_SO_MOI'!$C$42</f>
        <v>24.266</v>
      </c>
      <c r="G1383" s="75">
        <f>3.6*F1383</f>
        <v>87.35759999999999</v>
      </c>
      <c r="H1383" s="75">
        <f>'THAM_SO_MOI'!$D$53</f>
        <v>1.1</v>
      </c>
      <c r="I1383" s="75">
        <f>IF(F1383&gt;='THAM_SO_MOI'!$C$14,'THAM_SO_MOI'!$C$13*(1+F1383^2/1500),'THAM_SO_MOI'!$C$13)</f>
        <v>0.020888387559999996</v>
      </c>
      <c r="J1383" s="75">
        <f>'THAM_SO_MOI'!$C$40*('THAM_SO_MOI'!$C$23*(E1383/'THAM_SO_MOI'!$C$22)+'THAM_SO_MOI'!$C$24*(E1383/'THAM_SO_MOI'!$C$22)^2-'THAM_SO_MOI'!$C$25*(E1383/'THAM_SO_MOI'!$C$22)^3)</f>
        <v>107.06019172715166</v>
      </c>
      <c r="K1383" s="75">
        <f>'THAM_SO_MOI'!$C$31*J1383/E1383</f>
        <v>427.69177504715253</v>
      </c>
      <c r="L1383" s="75">
        <f>K1383*'THAM_SO_MOI'!$C$53*'THAM_SO_MOI'!$C$17/'THAM_SO_MOI'!$C$26</f>
        <v>3750.858540707996</v>
      </c>
      <c r="M1383" s="75">
        <f>'THAM_SO_MOI'!$C$15*'THAM_SO_MOI'!$C$16*F1383^2</f>
        <v>1722.3533612999997</v>
      </c>
      <c r="N1383" s="75">
        <f>'THAM_SO_MOI'!$C$12*I1383</f>
        <v>1573.7478294804478</v>
      </c>
      <c r="O1383" s="75">
        <f>M1383+N1383</f>
        <v>3296.1011907804477</v>
      </c>
      <c r="P1383" s="75">
        <f>(MIN(L1383,'THAM_SO_MOI'!$C$41)-O1383)/('THAM_SO_MOI'!$C$11*H1383)</f>
        <v>0.053830178731954115</v>
      </c>
      <c r="Q1383" s="75">
        <f>IF(P1383&gt;0,1/P1383,NA())</f>
        <v>18.576939990845514</v>
      </c>
      <c r="R1383" s="75">
        <f>F1383-F1382</f>
        <v>0.0035868055555567935</v>
      </c>
      <c r="S1383" s="75">
        <f>0.5*(Q1382+Q1383)*R1383</f>
        <v>0.0665801111336454</v>
      </c>
      <c r="T1383" s="75">
        <f>0.5*(F1382*Q1382+F1383*Q1383)*R1383</f>
        <v>1.6155136646400872</v>
      </c>
      <c r="U1383" s="76">
        <f>U1382+S1383</f>
        <v>100.23177712258602</v>
      </c>
      <c r="V1383" s="76">
        <f>V1382+T1383</f>
        <v>1772.8745872559564</v>
      </c>
    </row>
    <row r="1384" spans="1:22" ht="19" customHeight="1">
      <c r="A1384" s="68" t="s">
        <v>362</v>
      </c>
      <c r="B1384" s="74">
        <v>5</v>
      </c>
      <c r="C1384" s="68" t="s">
        <v>363</v>
      </c>
      <c r="D1384" s="68" t="s">
        <v>365</v>
      </c>
      <c r="E1384" s="75">
        <f>60*F1384*'THAM_SO_MOI'!$C$53/(2*PI()*'THAM_SO_MOI'!$C$26)</f>
        <v>2391.19297368421</v>
      </c>
      <c r="F1384" s="75">
        <f>'THAM_SO_MOI'!$C$14+('THAM_SO_MOI'!$C$37-'THAM_SO_MOI'!$C$14)*577/'THAM_SO_MOI'!$C$42</f>
        <v>24.269586805555555</v>
      </c>
      <c r="G1384" s="75">
        <f>3.6*F1384</f>
        <v>87.3705125</v>
      </c>
      <c r="H1384" s="75">
        <f>'THAM_SO_MOI'!$D$53</f>
        <v>1.1</v>
      </c>
      <c r="I1384" s="75">
        <f>IF(F1384&gt;='THAM_SO_MOI'!$C$14,'THAM_SO_MOI'!$C$13*(1+F1384^2/1500),'THAM_SO_MOI'!$C$13)</f>
        <v>0.020890128437123963</v>
      </c>
      <c r="J1384" s="75">
        <f>'THAM_SO_MOI'!$C$40*('THAM_SO_MOI'!$C$23*(E1384/'THAM_SO_MOI'!$C$22)+'THAM_SO_MOI'!$C$24*(E1384/'THAM_SO_MOI'!$C$22)^2-'THAM_SO_MOI'!$C$25*(E1384/'THAM_SO_MOI'!$C$22)^3)</f>
        <v>107.07409082124741</v>
      </c>
      <c r="K1384" s="75">
        <f>'THAM_SO_MOI'!$C$31*J1384/E1384</f>
        <v>427.6840833186117</v>
      </c>
      <c r="L1384" s="75">
        <f>K1384*'THAM_SO_MOI'!$C$53*'THAM_SO_MOI'!$C$17/'THAM_SO_MOI'!$C$26</f>
        <v>3750.791084218595</v>
      </c>
      <c r="M1384" s="75">
        <f>'THAM_SO_MOI'!$C$15*'THAM_SO_MOI'!$C$16*F1384^2</f>
        <v>1722.8625678587593</v>
      </c>
      <c r="N1384" s="75">
        <f>'THAM_SO_MOI'!$C$12*I1384</f>
        <v>1573.8789885556691</v>
      </c>
      <c r="O1384" s="75">
        <f>M1384+N1384</f>
        <v>3296.7415564144285</v>
      </c>
      <c r="P1384" s="75">
        <f>(MIN(L1384,'THAM_SO_MOI'!$C$41)-O1384)/('THAM_SO_MOI'!$C$11*H1384)</f>
        <v>0.05374639296924322</v>
      </c>
      <c r="Q1384" s="75">
        <f>IF(P1384&gt;0,1/P1384,NA())</f>
        <v>18.60589975911979</v>
      </c>
      <c r="R1384" s="75">
        <f>F1384-F1383</f>
        <v>0.0035868055555567935</v>
      </c>
      <c r="S1384" s="75">
        <f>0.5*(Q1383+Q1384)*R1384</f>
        <v>0.06668380809327676</v>
      </c>
      <c r="T1384" s="75">
        <f>0.5*(F1383*Q1383+F1384*Q1384)*R1384</f>
        <v>1.6182689712612364</v>
      </c>
      <c r="U1384" s="76">
        <f>U1383+S1384</f>
        <v>100.2984609306793</v>
      </c>
      <c r="V1384" s="76">
        <f>V1383+T1384</f>
        <v>1774.4928562272175</v>
      </c>
    </row>
    <row r="1385" spans="1:22" ht="19" customHeight="1">
      <c r="A1385" s="68" t="s">
        <v>362</v>
      </c>
      <c r="B1385" s="74">
        <v>5</v>
      </c>
      <c r="C1385" s="68" t="s">
        <v>363</v>
      </c>
      <c r="D1385" s="68" t="s">
        <v>365</v>
      </c>
      <c r="E1385" s="75">
        <f>60*F1385*'THAM_SO_MOI'!$C$53/(2*PI()*'THAM_SO_MOI'!$C$26)</f>
        <v>2391.5463684210517</v>
      </c>
      <c r="F1385" s="75">
        <f>'THAM_SO_MOI'!$C$14+('THAM_SO_MOI'!$C$37-'THAM_SO_MOI'!$C$14)*578/'THAM_SO_MOI'!$C$42</f>
        <v>24.27317361111111</v>
      </c>
      <c r="G1385" s="75">
        <f>3.6*F1385</f>
        <v>87.38342499999999</v>
      </c>
      <c r="H1385" s="75">
        <f>'THAM_SO_MOI'!$D$53</f>
        <v>1.1</v>
      </c>
      <c r="I1385" s="75">
        <f>IF(F1385&gt;='THAM_SO_MOI'!$C$14,'THAM_SO_MOI'!$C$13*(1+F1385^2/1500),'THAM_SO_MOI'!$C$13)</f>
        <v>0.020891869571551407</v>
      </c>
      <c r="J1385" s="75">
        <f>'THAM_SO_MOI'!$C$40*('THAM_SO_MOI'!$C$23*(E1385/'THAM_SO_MOI'!$C$22)+'THAM_SO_MOI'!$C$24*(E1385/'THAM_SO_MOI'!$C$22)^2-'THAM_SO_MOI'!$C$25*(E1385/'THAM_SO_MOI'!$C$22)^3)</f>
        <v>107.08798631236785</v>
      </c>
      <c r="K1385" s="75">
        <f>'THAM_SO_MOI'!$C$31*J1385/E1385</f>
        <v>427.6763794740864</v>
      </c>
      <c r="L1385" s="75">
        <f>K1385*'THAM_SO_MOI'!$C$53*'THAM_SO_MOI'!$C$17/'THAM_SO_MOI'!$C$26</f>
        <v>3750.7235214719635</v>
      </c>
      <c r="M1385" s="75">
        <f>'THAM_SO_MOI'!$C$15*'THAM_SO_MOI'!$C$16*F1385^2</f>
        <v>1723.3718496787867</v>
      </c>
      <c r="N1385" s="75">
        <f>'THAM_SO_MOI'!$C$12*I1385</f>
        <v>1574.0101670163403</v>
      </c>
      <c r="O1385" s="75">
        <f>M1385+N1385</f>
        <v>3297.3820166951273</v>
      </c>
      <c r="P1385" s="75">
        <f>(MIN(L1385,'THAM_SO_MOI'!$C$41)-O1385)/('THAM_SO_MOI'!$C$11*H1385)</f>
        <v>0.05366258342528841</v>
      </c>
      <c r="Q1385" s="75">
        <f>IF(P1385&gt;0,1/P1385,NA())</f>
        <v>18.63495821799648</v>
      </c>
      <c r="R1385" s="75">
        <f>F1385-F1384</f>
        <v>0.0035868055555532408</v>
      </c>
      <c r="S1385" s="75">
        <f>0.5*(Q1384+Q1385)*R1385</f>
        <v>0.06678785814294493</v>
      </c>
      <c r="T1385" s="75">
        <f>0.5*(F1384*Q1384+F1385*Q1385)*R1385</f>
        <v>1.6210335917481808</v>
      </c>
      <c r="U1385" s="76">
        <f>U1384+S1385</f>
        <v>100.36524878882224</v>
      </c>
      <c r="V1385" s="76">
        <f>V1384+T1385</f>
        <v>1776.1138898189656</v>
      </c>
    </row>
    <row r="1386" spans="1:22" ht="19" customHeight="1">
      <c r="A1386" s="68" t="s">
        <v>362</v>
      </c>
      <c r="B1386" s="74">
        <v>5</v>
      </c>
      <c r="C1386" s="68" t="s">
        <v>363</v>
      </c>
      <c r="D1386" s="68" t="s">
        <v>365</v>
      </c>
      <c r="E1386" s="75">
        <f>60*F1386*'THAM_SO_MOI'!$C$53/(2*PI()*'THAM_SO_MOI'!$C$26)</f>
        <v>2391.899763157894</v>
      </c>
      <c r="F1386" s="75">
        <f>'THAM_SO_MOI'!$C$14+('THAM_SO_MOI'!$C$37-'THAM_SO_MOI'!$C$14)*579/'THAM_SO_MOI'!$C$42</f>
        <v>24.276760416666665</v>
      </c>
      <c r="G1386" s="75">
        <f>3.6*F1386</f>
        <v>87.3963375</v>
      </c>
      <c r="H1386" s="75">
        <f>'THAM_SO_MOI'!$D$53</f>
        <v>1.1</v>
      </c>
      <c r="I1386" s="75">
        <f>IF(F1386&gt;='THAM_SO_MOI'!$C$14,'THAM_SO_MOI'!$C$13*(1+F1386^2/1500),'THAM_SO_MOI'!$C$13)</f>
        <v>0.020893610963282336</v>
      </c>
      <c r="J1386" s="75">
        <f>'THAM_SO_MOI'!$C$40*('THAM_SO_MOI'!$C$23*(E1386/'THAM_SO_MOI'!$C$22)+'THAM_SO_MOI'!$C$24*(E1386/'THAM_SO_MOI'!$C$22)^2-'THAM_SO_MOI'!$C$25*(E1386/'THAM_SO_MOI'!$C$22)^3)</f>
        <v>107.10187819916813</v>
      </c>
      <c r="K1386" s="75">
        <f>'THAM_SO_MOI'!$C$31*J1386/E1386</f>
        <v>427.6686635135767</v>
      </c>
      <c r="L1386" s="75">
        <f>K1386*'THAM_SO_MOI'!$C$53*'THAM_SO_MOI'!$C$17/'THAM_SO_MOI'!$C$26</f>
        <v>3750.655852468101</v>
      </c>
      <c r="M1386" s="75">
        <f>'THAM_SO_MOI'!$C$15*'THAM_SO_MOI'!$C$16*F1386^2</f>
        <v>1723.881206760083</v>
      </c>
      <c r="N1386" s="75">
        <f>'THAM_SO_MOI'!$C$12*I1386</f>
        <v>1574.1413648624618</v>
      </c>
      <c r="O1386" s="75">
        <f>M1386+N1386</f>
        <v>3298.022571622545</v>
      </c>
      <c r="P1386" s="75">
        <f>(MIN(L1386,'THAM_SO_MOI'!$C$41)-O1386)/('THAM_SO_MOI'!$C$11*H1386)</f>
        <v>0.0535787501000895</v>
      </c>
      <c r="Q1386" s="75">
        <f>IF(P1386&gt;0,1/P1386,NA())</f>
        <v>18.664115869293664</v>
      </c>
      <c r="R1386" s="75">
        <f>F1386-F1385</f>
        <v>0.0035868055555567935</v>
      </c>
      <c r="S1386" s="75">
        <f>0.5*(Q1385+Q1386)*R1386</f>
        <v>0.06689226307670837</v>
      </c>
      <c r="T1386" s="75">
        <f>0.5*(F1385*Q1385+F1386*Q1386)*R1386</f>
        <v>1.623807573451038</v>
      </c>
      <c r="U1386" s="76">
        <f>U1385+S1386</f>
        <v>100.43214105189895</v>
      </c>
      <c r="V1386" s="76">
        <f>V1385+T1386</f>
        <v>1777.7376973924167</v>
      </c>
    </row>
    <row r="1387" spans="1:22" ht="19" customHeight="1">
      <c r="A1387" s="68" t="s">
        <v>362</v>
      </c>
      <c r="B1387" s="74">
        <v>5</v>
      </c>
      <c r="C1387" s="68" t="s">
        <v>363</v>
      </c>
      <c r="D1387" s="68" t="s">
        <v>365</v>
      </c>
      <c r="E1387" s="75">
        <f>60*F1387*'THAM_SO_MOI'!$C$53/(2*PI()*'THAM_SO_MOI'!$C$26)</f>
        <v>2392.2531578947364</v>
      </c>
      <c r="F1387" s="75">
        <f>'THAM_SO_MOI'!$C$14+('THAM_SO_MOI'!$C$37-'THAM_SO_MOI'!$C$14)*580/'THAM_SO_MOI'!$C$42</f>
        <v>24.280347222222222</v>
      </c>
      <c r="G1387" s="75">
        <f>3.6*F1387</f>
        <v>87.40925</v>
      </c>
      <c r="H1387" s="75">
        <f>'THAM_SO_MOI'!$D$53</f>
        <v>1.1</v>
      </c>
      <c r="I1387" s="75">
        <f>IF(F1387&gt;='THAM_SO_MOI'!$C$14,'THAM_SO_MOI'!$C$13*(1+F1387^2/1500),'THAM_SO_MOI'!$C$13)</f>
        <v>0.02089535261231674</v>
      </c>
      <c r="J1387" s="75">
        <f>'THAM_SO_MOI'!$C$40*('THAM_SO_MOI'!$C$23*(E1387/'THAM_SO_MOI'!$C$22)+'THAM_SO_MOI'!$C$24*(E1387/'THAM_SO_MOI'!$C$22)^2-'THAM_SO_MOI'!$C$25*(E1387/'THAM_SO_MOI'!$C$22)^3)</f>
        <v>107.11576648030332</v>
      </c>
      <c r="K1387" s="75">
        <f>'THAM_SO_MOI'!$C$31*J1387/E1387</f>
        <v>427.66093543708234</v>
      </c>
      <c r="L1387" s="75">
        <f>K1387*'THAM_SO_MOI'!$C$53*'THAM_SO_MOI'!$C$17/'THAM_SO_MOI'!$C$26</f>
        <v>3750.588077207006</v>
      </c>
      <c r="M1387" s="75">
        <f>'THAM_SO_MOI'!$C$15*'THAM_SO_MOI'!$C$16*F1387^2</f>
        <v>1724.3906391026476</v>
      </c>
      <c r="N1387" s="75">
        <f>'THAM_SO_MOI'!$C$12*I1387</f>
        <v>1574.2725820940332</v>
      </c>
      <c r="O1387" s="75">
        <f>M1387+N1387</f>
        <v>3298.6632211966808</v>
      </c>
      <c r="P1387" s="75">
        <f>(MIN(L1387,'THAM_SO_MOI'!$C$41)-O1387)/('THAM_SO_MOI'!$C$11*H1387)</f>
        <v>0.05349489299364644</v>
      </c>
      <c r="Q1387" s="75">
        <f>IF(P1387&gt;0,1/P1387,NA())</f>
        <v>18.69337321823916</v>
      </c>
      <c r="R1387" s="75">
        <f>F1387-F1386</f>
        <v>0.0035868055555567935</v>
      </c>
      <c r="S1387" s="75">
        <f>0.5*(Q1386+Q1387)*R1387</f>
        <v>0.06699702470040751</v>
      </c>
      <c r="T1387" s="75">
        <f>0.5*(F1386*Q1386+F1387*Q1387)*R1387</f>
        <v>1.6265909640317142</v>
      </c>
      <c r="U1387" s="76">
        <f>U1386+S1387</f>
        <v>100.49913807659937</v>
      </c>
      <c r="V1387" s="76">
        <f>V1386+T1387</f>
        <v>1779.3642883564485</v>
      </c>
    </row>
    <row r="1388" spans="1:22" ht="19" customHeight="1">
      <c r="A1388" s="68" t="s">
        <v>362</v>
      </c>
      <c r="B1388" s="74">
        <v>5</v>
      </c>
      <c r="C1388" s="68" t="s">
        <v>363</v>
      </c>
      <c r="D1388" s="68" t="s">
        <v>365</v>
      </c>
      <c r="E1388" s="75">
        <f>60*F1388*'THAM_SO_MOI'!$C$53/(2*PI()*'THAM_SO_MOI'!$C$26)</f>
        <v>2392.6065526315783</v>
      </c>
      <c r="F1388" s="75">
        <f>'THAM_SO_MOI'!$C$14+('THAM_SO_MOI'!$C$37-'THAM_SO_MOI'!$C$14)*581/'THAM_SO_MOI'!$C$42</f>
        <v>24.283934027777775</v>
      </c>
      <c r="G1388" s="75">
        <f>3.6*F1388</f>
        <v>87.4221625</v>
      </c>
      <c r="H1388" s="75">
        <f>'THAM_SO_MOI'!$D$53</f>
        <v>1.1</v>
      </c>
      <c r="I1388" s="75">
        <f>IF(F1388&gt;='THAM_SO_MOI'!$C$14,'THAM_SO_MOI'!$C$13*(1+F1388^2/1500),'THAM_SO_MOI'!$C$13)</f>
        <v>0.02089709451865463</v>
      </c>
      <c r="J1388" s="75">
        <f>'THAM_SO_MOI'!$C$40*('THAM_SO_MOI'!$C$23*(E1388/'THAM_SO_MOI'!$C$22)+'THAM_SO_MOI'!$C$24*(E1388/'THAM_SO_MOI'!$C$22)^2-'THAM_SO_MOI'!$C$25*(E1388/'THAM_SO_MOI'!$C$22)^3)</f>
        <v>107.12965115442857</v>
      </c>
      <c r="K1388" s="75">
        <f>'THAM_SO_MOI'!$C$31*J1388/E1388</f>
        <v>427.6531952446037</v>
      </c>
      <c r="L1388" s="75">
        <f>K1388*'THAM_SO_MOI'!$C$53*'THAM_SO_MOI'!$C$17/'THAM_SO_MOI'!$C$26</f>
        <v>3750.5201956886813</v>
      </c>
      <c r="M1388" s="75">
        <f>'THAM_SO_MOI'!$C$15*'THAM_SO_MOI'!$C$16*F1388^2</f>
        <v>1724.9001467064802</v>
      </c>
      <c r="N1388" s="75">
        <f>'THAM_SO_MOI'!$C$12*I1388</f>
        <v>1574.4038187110548</v>
      </c>
      <c r="O1388" s="75">
        <f>M1388+N1388</f>
        <v>3299.303965417535</v>
      </c>
      <c r="P1388" s="75">
        <f>(MIN(L1388,'THAM_SO_MOI'!$C$41)-O1388)/('THAM_SO_MOI'!$C$11*H1388)</f>
        <v>0.053411012105959554</v>
      </c>
      <c r="Q1388" s="75">
        <f>IF(P1388&gt;0,1/P1388,NA())</f>
        <v>18.72273077349944</v>
      </c>
      <c r="R1388" s="75">
        <f>F1388-F1387</f>
        <v>0.0035868055555532408</v>
      </c>
      <c r="S1388" s="75">
        <f>0.5*(Q1387+Q1388)*R1388</f>
        <v>0.06710214483236289</v>
      </c>
      <c r="T1388" s="75">
        <f>0.5*(F1387*Q1387+F1388*Q1388)*R1388</f>
        <v>1.6293838114810677</v>
      </c>
      <c r="U1388" s="76">
        <f>U1387+S1388</f>
        <v>100.56624022143173</v>
      </c>
      <c r="V1388" s="76">
        <f>V1387+T1388</f>
        <v>1780.9936721679296</v>
      </c>
    </row>
    <row r="1389" spans="1:22" ht="19" customHeight="1">
      <c r="A1389" s="68" t="s">
        <v>362</v>
      </c>
      <c r="B1389" s="74">
        <v>5</v>
      </c>
      <c r="C1389" s="68" t="s">
        <v>363</v>
      </c>
      <c r="D1389" s="68" t="s">
        <v>365</v>
      </c>
      <c r="E1389" s="75">
        <f>60*F1389*'THAM_SO_MOI'!$C$53/(2*PI()*'THAM_SO_MOI'!$C$26)</f>
        <v>2392.95994736842</v>
      </c>
      <c r="F1389" s="75">
        <f>'THAM_SO_MOI'!$C$14+('THAM_SO_MOI'!$C$37-'THAM_SO_MOI'!$C$14)*582/'THAM_SO_MOI'!$C$42</f>
        <v>24.287520833333332</v>
      </c>
      <c r="G1389" s="75">
        <f>3.6*F1389</f>
        <v>87.435075</v>
      </c>
      <c r="H1389" s="75">
        <f>'THAM_SO_MOI'!$D$53</f>
        <v>1.1</v>
      </c>
      <c r="I1389" s="75">
        <f>IF(F1389&gt;='THAM_SO_MOI'!$C$14,'THAM_SO_MOI'!$C$13*(1+F1389^2/1500),'THAM_SO_MOI'!$C$13)</f>
        <v>0.020898836682296005</v>
      </c>
      <c r="J1389" s="75">
        <f>'THAM_SO_MOI'!$C$40*('THAM_SO_MOI'!$C$23*(E1389/'THAM_SO_MOI'!$C$22)+'THAM_SO_MOI'!$C$24*(E1389/'THAM_SO_MOI'!$C$22)^2-'THAM_SO_MOI'!$C$25*(E1389/'THAM_SO_MOI'!$C$22)^3)</f>
        <v>107.143532220199</v>
      </c>
      <c r="K1389" s="75">
        <f>'THAM_SO_MOI'!$C$31*J1389/E1389</f>
        <v>427.64544293614074</v>
      </c>
      <c r="L1389" s="75">
        <f>K1389*'THAM_SO_MOI'!$C$53*'THAM_SO_MOI'!$C$17/'THAM_SO_MOI'!$C$26</f>
        <v>3750.4522079131266</v>
      </c>
      <c r="M1389" s="75">
        <f>'THAM_SO_MOI'!$C$15*'THAM_SO_MOI'!$C$16*F1389^2</f>
        <v>1725.4097295715821</v>
      </c>
      <c r="N1389" s="75">
        <f>'THAM_SO_MOI'!$C$12*I1389</f>
        <v>1574.535074713527</v>
      </c>
      <c r="O1389" s="75">
        <f>M1389+N1389</f>
        <v>3299.944804285109</v>
      </c>
      <c r="P1389" s="75">
        <f>(MIN(L1389,'THAM_SO_MOI'!$C$41)-O1389)/('THAM_SO_MOI'!$C$11*H1389)</f>
        <v>0.05332710743702859</v>
      </c>
      <c r="Q1389" s="75">
        <f>IF(P1389&gt;0,1/P1389,NA())</f>
        <v>18.752189047209278</v>
      </c>
      <c r="R1389" s="75">
        <f>F1389-F1388</f>
        <v>0.0035868055555567935</v>
      </c>
      <c r="S1389" s="75">
        <f>0.5*(Q1388+Q1389)*R1389</f>
        <v>0.06720762530348172</v>
      </c>
      <c r="T1389" s="75">
        <f>0.5*(F1388*Q1388+F1389*Q1389)*R1389</f>
        <v>1.6321861641217201</v>
      </c>
      <c r="U1389" s="76">
        <f>U1388+S1389</f>
        <v>100.63344784673521</v>
      </c>
      <c r="V1389" s="76">
        <f>V1388+T1389</f>
        <v>1782.6258583320514</v>
      </c>
    </row>
    <row r="1390" spans="1:22" ht="19" customHeight="1">
      <c r="A1390" s="68" t="s">
        <v>362</v>
      </c>
      <c r="B1390" s="74">
        <v>5</v>
      </c>
      <c r="C1390" s="68" t="s">
        <v>363</v>
      </c>
      <c r="D1390" s="68" t="s">
        <v>365</v>
      </c>
      <c r="E1390" s="75">
        <f>60*F1390*'THAM_SO_MOI'!$C$53/(2*PI()*'THAM_SO_MOI'!$C$26)</f>
        <v>2393.3133421052626</v>
      </c>
      <c r="F1390" s="75">
        <f>'THAM_SO_MOI'!$C$14+('THAM_SO_MOI'!$C$37-'THAM_SO_MOI'!$C$14)*583/'THAM_SO_MOI'!$C$42</f>
        <v>24.29110763888889</v>
      </c>
      <c r="G1390" s="75">
        <f>3.6*F1390</f>
        <v>87.4479875</v>
      </c>
      <c r="H1390" s="75">
        <f>'THAM_SO_MOI'!$D$53</f>
        <v>1.1</v>
      </c>
      <c r="I1390" s="75">
        <f>IF(F1390&gt;='THAM_SO_MOI'!$C$14,'THAM_SO_MOI'!$C$13*(1+F1390^2/1500),'THAM_SO_MOI'!$C$13)</f>
        <v>0.02090057910324086</v>
      </c>
      <c r="J1390" s="75">
        <f>'THAM_SO_MOI'!$C$40*('THAM_SO_MOI'!$C$23*(E1390/'THAM_SO_MOI'!$C$22)+'THAM_SO_MOI'!$C$24*(E1390/'THAM_SO_MOI'!$C$22)^2-'THAM_SO_MOI'!$C$25*(E1390/'THAM_SO_MOI'!$C$22)^3)</f>
        <v>107.15740967626964</v>
      </c>
      <c r="K1390" s="75">
        <f>'THAM_SO_MOI'!$C$31*J1390/E1390</f>
        <v>427.6376785116929</v>
      </c>
      <c r="L1390" s="75">
        <f>K1390*'THAM_SO_MOI'!$C$53*'THAM_SO_MOI'!$C$17/'THAM_SO_MOI'!$C$26</f>
        <v>3750.384113880337</v>
      </c>
      <c r="M1390" s="75">
        <f>'THAM_SO_MOI'!$C$15*'THAM_SO_MOI'!$C$16*F1390^2</f>
        <v>1725.919387697952</v>
      </c>
      <c r="N1390" s="75">
        <f>'THAM_SO_MOI'!$C$12*I1390</f>
        <v>1574.666350101449</v>
      </c>
      <c r="O1390" s="75">
        <f>M1390+N1390</f>
        <v>3300.585737799401</v>
      </c>
      <c r="P1390" s="75">
        <f>(MIN(L1390,'THAM_SO_MOI'!$C$41)-O1390)/('THAM_SO_MOI'!$C$11*H1390)</f>
        <v>0.05324317898685318</v>
      </c>
      <c r="Q1390" s="75">
        <f>IF(P1390&gt;0,1/P1390,NA())</f>
        <v>18.7817485550012</v>
      </c>
      <c r="R1390" s="75">
        <f>F1390-F1389</f>
        <v>0.0035868055555567935</v>
      </c>
      <c r="S1390" s="75">
        <f>0.5*(Q1389+Q1390)*R1390</f>
        <v>0.0673134679567653</v>
      </c>
      <c r="T1390" s="75">
        <f>0.5*(F1389*Q1389+F1390*Q1390)*R1390</f>
        <v>1.6349980705963216</v>
      </c>
      <c r="U1390" s="76">
        <f>U1389+S1390</f>
        <v>100.70076131469197</v>
      </c>
      <c r="V1390" s="76">
        <f>V1389+T1390</f>
        <v>1784.2608564026477</v>
      </c>
    </row>
    <row r="1391" spans="1:22" ht="19" customHeight="1">
      <c r="A1391" s="68" t="s">
        <v>362</v>
      </c>
      <c r="B1391" s="74">
        <v>5</v>
      </c>
      <c r="C1391" s="68" t="s">
        <v>363</v>
      </c>
      <c r="D1391" s="68" t="s">
        <v>365</v>
      </c>
      <c r="E1391" s="75">
        <f>60*F1391*'THAM_SO_MOI'!$C$53/(2*PI()*'THAM_SO_MOI'!$C$26)</f>
        <v>2393.6667368421045</v>
      </c>
      <c r="F1391" s="75">
        <f>'THAM_SO_MOI'!$C$14+('THAM_SO_MOI'!$C$37-'THAM_SO_MOI'!$C$14)*584/'THAM_SO_MOI'!$C$42</f>
        <v>24.294694444444442</v>
      </c>
      <c r="G1391" s="75">
        <f>3.6*F1391</f>
        <v>87.4609</v>
      </c>
      <c r="H1391" s="75">
        <f>'THAM_SO_MOI'!$D$53</f>
        <v>1.1</v>
      </c>
      <c r="I1391" s="75">
        <f>IF(F1391&gt;='THAM_SO_MOI'!$C$14,'THAM_SO_MOI'!$C$13*(1+F1391^2/1500),'THAM_SO_MOI'!$C$13)</f>
        <v>0.020902321781489198</v>
      </c>
      <c r="J1391" s="75">
        <f>'THAM_SO_MOI'!$C$40*('THAM_SO_MOI'!$C$23*(E1391/'THAM_SO_MOI'!$C$22)+'THAM_SO_MOI'!$C$24*(E1391/'THAM_SO_MOI'!$C$22)^2-'THAM_SO_MOI'!$C$25*(E1391/'THAM_SO_MOI'!$C$22)^3)</f>
        <v>107.17128352129568</v>
      </c>
      <c r="K1391" s="75">
        <f>'THAM_SO_MOI'!$C$31*J1391/E1391</f>
        <v>427.62990197126084</v>
      </c>
      <c r="L1391" s="75">
        <f>K1391*'THAM_SO_MOI'!$C$53*'THAM_SO_MOI'!$C$17/'THAM_SO_MOI'!$C$26</f>
        <v>3750.315913590318</v>
      </c>
      <c r="M1391" s="75">
        <f>'THAM_SO_MOI'!$C$15*'THAM_SO_MOI'!$C$16*F1391^2</f>
        <v>1726.4291210855902</v>
      </c>
      <c r="N1391" s="75">
        <f>'THAM_SO_MOI'!$C$12*I1391</f>
        <v>1574.7976448748213</v>
      </c>
      <c r="O1391" s="75">
        <f>M1391+N1391</f>
        <v>3301.2267659604113</v>
      </c>
      <c r="P1391" s="75">
        <f>(MIN(L1391,'THAM_SO_MOI'!$C$41)-O1391)/('THAM_SO_MOI'!$C$11*H1391)</f>
        <v>0.053159226755434</v>
      </c>
      <c r="Q1391" s="75">
        <f>IF(P1391&gt;0,1/P1391,NA())</f>
        <v>18.81140981603497</v>
      </c>
      <c r="R1391" s="75">
        <f>F1391-F1390</f>
        <v>0.0035868055555532408</v>
      </c>
      <c r="S1391" s="75">
        <f>0.5*(Q1390+Q1391)*R1391</f>
        <v>0.06741967464801267</v>
      </c>
      <c r="T1391" s="75">
        <f>0.5*(F1390*Q1390+F1391*Q1391)*R1391</f>
        <v>1.6378195798848567</v>
      </c>
      <c r="U1391" s="76">
        <f>U1390+S1391</f>
        <v>100.76818098933998</v>
      </c>
      <c r="V1391" s="76">
        <f>V1390+T1391</f>
        <v>1785.8986759825325</v>
      </c>
    </row>
    <row r="1392" spans="1:22" ht="19" customHeight="1">
      <c r="A1392" s="68" t="s">
        <v>362</v>
      </c>
      <c r="B1392" s="74">
        <v>5</v>
      </c>
      <c r="C1392" s="68" t="s">
        <v>363</v>
      </c>
      <c r="D1392" s="68" t="s">
        <v>365</v>
      </c>
      <c r="E1392" s="75">
        <f>60*F1392*'THAM_SO_MOI'!$C$53/(2*PI()*'THAM_SO_MOI'!$C$26)</f>
        <v>2394.020131578947</v>
      </c>
      <c r="F1392" s="75">
        <f>'THAM_SO_MOI'!$C$14+('THAM_SO_MOI'!$C$37-'THAM_SO_MOI'!$C$14)*585/'THAM_SO_MOI'!$C$42</f>
        <v>24.29828125</v>
      </c>
      <c r="G1392" s="75">
        <f>3.6*F1392</f>
        <v>87.4738125</v>
      </c>
      <c r="H1392" s="75">
        <f>'THAM_SO_MOI'!$D$53</f>
        <v>1.1</v>
      </c>
      <c r="I1392" s="75">
        <f>IF(F1392&gt;='THAM_SO_MOI'!$C$14,'THAM_SO_MOI'!$C$13*(1+F1392^2/1500),'THAM_SO_MOI'!$C$13)</f>
        <v>0.020904064717041013</v>
      </c>
      <c r="J1392" s="75">
        <f>'THAM_SO_MOI'!$C$40*('THAM_SO_MOI'!$C$23*(E1392/'THAM_SO_MOI'!$C$22)+'THAM_SO_MOI'!$C$24*(E1392/'THAM_SO_MOI'!$C$22)^2-'THAM_SO_MOI'!$C$25*(E1392/'THAM_SO_MOI'!$C$22)^3)</f>
        <v>107.1851537539322</v>
      </c>
      <c r="K1392" s="75">
        <f>'THAM_SO_MOI'!$C$31*J1392/E1392</f>
        <v>427.6221133148443</v>
      </c>
      <c r="L1392" s="75">
        <f>K1392*'THAM_SO_MOI'!$C$53*'THAM_SO_MOI'!$C$17/'THAM_SO_MOI'!$C$26</f>
        <v>3750.247607043068</v>
      </c>
      <c r="M1392" s="75">
        <f>'THAM_SO_MOI'!$C$15*'THAM_SO_MOI'!$C$16*F1392^2</f>
        <v>1726.938929734497</v>
      </c>
      <c r="N1392" s="75">
        <f>'THAM_SO_MOI'!$C$12*I1392</f>
        <v>1574.9289590336437</v>
      </c>
      <c r="O1392" s="75">
        <f>M1392+N1392</f>
        <v>3301.867888768141</v>
      </c>
      <c r="P1392" s="75">
        <f>(MIN(L1392,'THAM_SO_MOI'!$C$41)-O1392)/('THAM_SO_MOI'!$C$11*H1392)</f>
        <v>0.053075250742770766</v>
      </c>
      <c r="Q1392" s="75">
        <f>IF(P1392&gt;0,1/P1392,NA())</f>
        <v>18.841173353028527</v>
      </c>
      <c r="R1392" s="75">
        <f>F1392-F1391</f>
        <v>0.0035868055555567935</v>
      </c>
      <c r="S1392" s="75">
        <f>0.5*(Q1391+Q1392)*R1392</f>
        <v>0.06752624724593058</v>
      </c>
      <c r="T1392" s="75">
        <f>0.5*(F1391*Q1391+F1392*Q1392)*R1392</f>
        <v>1.6406507413075468</v>
      </c>
      <c r="U1392" s="76">
        <f>U1391+S1392</f>
        <v>100.83570723658592</v>
      </c>
      <c r="V1392" s="76">
        <f>V1391+T1392</f>
        <v>1787.53932672384</v>
      </c>
    </row>
    <row r="1393" spans="1:22" ht="19" customHeight="1">
      <c r="A1393" s="68" t="s">
        <v>362</v>
      </c>
      <c r="B1393" s="74">
        <v>5</v>
      </c>
      <c r="C1393" s="68" t="s">
        <v>363</v>
      </c>
      <c r="D1393" s="68" t="s">
        <v>365</v>
      </c>
      <c r="E1393" s="75">
        <f>60*F1393*'THAM_SO_MOI'!$C$53/(2*PI()*'THAM_SO_MOI'!$C$26)</f>
        <v>2394.373526315789</v>
      </c>
      <c r="F1393" s="75">
        <f>'THAM_SO_MOI'!$C$14+('THAM_SO_MOI'!$C$37-'THAM_SO_MOI'!$C$14)*586/'THAM_SO_MOI'!$C$42</f>
        <v>24.301868055555556</v>
      </c>
      <c r="G1393" s="75">
        <f>3.6*F1393</f>
        <v>87.486725</v>
      </c>
      <c r="H1393" s="75">
        <f>'THAM_SO_MOI'!$D$53</f>
        <v>1.1</v>
      </c>
      <c r="I1393" s="75">
        <f>IF(F1393&gt;='THAM_SO_MOI'!$C$14,'THAM_SO_MOI'!$C$13*(1+F1393^2/1500),'THAM_SO_MOI'!$C$13)</f>
        <v>0.020905807909896316</v>
      </c>
      <c r="J1393" s="75">
        <f>'THAM_SO_MOI'!$C$40*('THAM_SO_MOI'!$C$23*(E1393/'THAM_SO_MOI'!$C$22)+'THAM_SO_MOI'!$C$24*(E1393/'THAM_SO_MOI'!$C$22)^2-'THAM_SO_MOI'!$C$25*(E1393/'THAM_SO_MOI'!$C$22)^3)</f>
        <v>107.19902037283434</v>
      </c>
      <c r="K1393" s="75">
        <f>'THAM_SO_MOI'!$C$31*J1393/E1393</f>
        <v>427.6143125424433</v>
      </c>
      <c r="L1393" s="75">
        <f>K1393*'THAM_SO_MOI'!$C$53*'THAM_SO_MOI'!$C$17/'THAM_SO_MOI'!$C$26</f>
        <v>3750.1791942385876</v>
      </c>
      <c r="M1393" s="75">
        <f>'THAM_SO_MOI'!$C$15*'THAM_SO_MOI'!$C$16*F1393^2</f>
        <v>1727.4488136446726</v>
      </c>
      <c r="N1393" s="75">
        <f>'THAM_SO_MOI'!$C$12*I1393</f>
        <v>1575.0602925779165</v>
      </c>
      <c r="O1393" s="75">
        <f>M1393+N1393</f>
        <v>3302.5091062225893</v>
      </c>
      <c r="P1393" s="75">
        <f>(MIN(L1393,'THAM_SO_MOI'!$C$41)-O1393)/('THAM_SO_MOI'!$C$11*H1393)</f>
        <v>0.052991250948863464</v>
      </c>
      <c r="Q1393" s="75">
        <f>IF(P1393&gt;0,1/P1393,NA())</f>
        <v>18.871039692288065</v>
      </c>
      <c r="R1393" s="75">
        <f>F1393-F1392</f>
        <v>0.0035868055555567935</v>
      </c>
      <c r="S1393" s="75">
        <f>0.5*(Q1392+Q1393)*R1393</f>
        <v>0.06763318763164146</v>
      </c>
      <c r="T1393" s="75">
        <f>0.5*(F1392*Q1392+F1393*Q1393)*R1393</f>
        <v>1.6434916045131278</v>
      </c>
      <c r="U1393" s="76">
        <f>U1392+S1393</f>
        <v>100.90334042421756</v>
      </c>
      <c r="V1393" s="76">
        <f>V1392+T1393</f>
        <v>1789.1828183283533</v>
      </c>
    </row>
    <row r="1394" spans="1:22" ht="19" customHeight="1">
      <c r="A1394" s="68" t="s">
        <v>362</v>
      </c>
      <c r="B1394" s="74">
        <v>5</v>
      </c>
      <c r="C1394" s="68" t="s">
        <v>363</v>
      </c>
      <c r="D1394" s="68" t="s">
        <v>365</v>
      </c>
      <c r="E1394" s="75">
        <f>60*F1394*'THAM_SO_MOI'!$C$53/(2*PI()*'THAM_SO_MOI'!$C$26)</f>
        <v>2394.726921052631</v>
      </c>
      <c r="F1394" s="75">
        <f>'THAM_SO_MOI'!$C$14+('THAM_SO_MOI'!$C$37-'THAM_SO_MOI'!$C$14)*587/'THAM_SO_MOI'!$C$42</f>
        <v>24.30545486111111</v>
      </c>
      <c r="G1394" s="75">
        <f>3.6*F1394</f>
        <v>87.49963749999999</v>
      </c>
      <c r="H1394" s="75">
        <f>'THAM_SO_MOI'!$D$53</f>
        <v>1.1</v>
      </c>
      <c r="I1394" s="75">
        <f>IF(F1394&gt;='THAM_SO_MOI'!$C$14,'THAM_SO_MOI'!$C$13*(1+F1394^2/1500),'THAM_SO_MOI'!$C$13)</f>
        <v>0.020907551360055093</v>
      </c>
      <c r="J1394" s="75">
        <f>'THAM_SO_MOI'!$C$40*('THAM_SO_MOI'!$C$23*(E1394/'THAM_SO_MOI'!$C$22)+'THAM_SO_MOI'!$C$24*(E1394/'THAM_SO_MOI'!$C$22)^2-'THAM_SO_MOI'!$C$25*(E1394/'THAM_SO_MOI'!$C$22)^3)</f>
        <v>107.21288337665716</v>
      </c>
      <c r="K1394" s="75">
        <f>'THAM_SO_MOI'!$C$31*J1394/E1394</f>
        <v>427.60649965405787</v>
      </c>
      <c r="L1394" s="75">
        <f>K1394*'THAM_SO_MOI'!$C$53*'THAM_SO_MOI'!$C$17/'THAM_SO_MOI'!$C$26</f>
        <v>3750.1106751768757</v>
      </c>
      <c r="M1394" s="75">
        <f>'THAM_SO_MOI'!$C$15*'THAM_SO_MOI'!$C$16*F1394^2</f>
        <v>1727.9587728161157</v>
      </c>
      <c r="N1394" s="75">
        <f>'THAM_SO_MOI'!$C$12*I1394</f>
        <v>1575.191645507639</v>
      </c>
      <c r="O1394" s="75">
        <f>M1394+N1394</f>
        <v>3303.150418323755</v>
      </c>
      <c r="P1394" s="75">
        <f>(MIN(L1394,'THAM_SO_MOI'!$C$41)-O1394)/('THAM_SO_MOI'!$C$11*H1394)</f>
        <v>0.05290722737371225</v>
      </c>
      <c r="Q1394" s="75">
        <f>IF(P1394&gt;0,1/P1394,NA())</f>
        <v>18.901009363738932</v>
      </c>
      <c r="R1394" s="75">
        <f>F1394-F1393</f>
        <v>0.0035868055555532408</v>
      </c>
      <c r="S1394" s="75">
        <f>0.5*(Q1393+Q1394)*R1394</f>
        <v>0.0677404976993936</v>
      </c>
      <c r="T1394" s="75">
        <f>0.5*(F1393*Q1393+F1394*Q1394)*R1394</f>
        <v>1.64634221949633</v>
      </c>
      <c r="U1394" s="76">
        <f>U1393+S1394</f>
        <v>100.97108092191695</v>
      </c>
      <c r="V1394" s="76">
        <f>V1393+T1394</f>
        <v>1790.8291605478496</v>
      </c>
    </row>
    <row r="1395" spans="1:22" ht="19" customHeight="1">
      <c r="A1395" s="68" t="s">
        <v>362</v>
      </c>
      <c r="B1395" s="74">
        <v>5</v>
      </c>
      <c r="C1395" s="68" t="s">
        <v>363</v>
      </c>
      <c r="D1395" s="68" t="s">
        <v>365</v>
      </c>
      <c r="E1395" s="75">
        <f>60*F1395*'THAM_SO_MOI'!$C$53/(2*PI()*'THAM_SO_MOI'!$C$26)</f>
        <v>2395.0803157894734</v>
      </c>
      <c r="F1395" s="75">
        <f>'THAM_SO_MOI'!$C$14+('THAM_SO_MOI'!$C$37-'THAM_SO_MOI'!$C$14)*588/'THAM_SO_MOI'!$C$42</f>
        <v>24.309041666666666</v>
      </c>
      <c r="G1395" s="75">
        <f>3.6*F1395</f>
        <v>87.51255</v>
      </c>
      <c r="H1395" s="75">
        <f>'THAM_SO_MOI'!$D$53</f>
        <v>1.1</v>
      </c>
      <c r="I1395" s="75">
        <f>IF(F1395&gt;='THAM_SO_MOI'!$C$14,'THAM_SO_MOI'!$C$13*(1+F1395^2/1500),'THAM_SO_MOI'!$C$13)</f>
        <v>0.02090929506751736</v>
      </c>
      <c r="J1395" s="75">
        <f>'THAM_SO_MOI'!$C$40*('THAM_SO_MOI'!$C$23*(E1395/'THAM_SO_MOI'!$C$22)+'THAM_SO_MOI'!$C$24*(E1395/'THAM_SO_MOI'!$C$22)^2-'THAM_SO_MOI'!$C$25*(E1395/'THAM_SO_MOI'!$C$22)^3)</f>
        <v>107.22674276405584</v>
      </c>
      <c r="K1395" s="75">
        <f>'THAM_SO_MOI'!$C$31*J1395/E1395</f>
        <v>427.59867464968806</v>
      </c>
      <c r="L1395" s="75">
        <f>K1395*'THAM_SO_MOI'!$C$53*'THAM_SO_MOI'!$C$17/'THAM_SO_MOI'!$C$26</f>
        <v>3750.0420498579333</v>
      </c>
      <c r="M1395" s="75">
        <f>'THAM_SO_MOI'!$C$15*'THAM_SO_MOI'!$C$16*F1395^2</f>
        <v>1728.4688072488282</v>
      </c>
      <c r="N1395" s="75">
        <f>'THAM_SO_MOI'!$C$12*I1395</f>
        <v>1575.323017822812</v>
      </c>
      <c r="O1395" s="75">
        <f>M1395+N1395</f>
        <v>3303.7918250716402</v>
      </c>
      <c r="P1395" s="75">
        <f>(MIN(L1395,'THAM_SO_MOI'!$C$41)-O1395)/('THAM_SO_MOI'!$C$11*H1395)</f>
        <v>0.05282318001731689</v>
      </c>
      <c r="Q1395" s="75">
        <f>IF(P1395&gt;0,1/P1395,NA())</f>
        <v>18.931082900956977</v>
      </c>
      <c r="R1395" s="75">
        <f>F1395-F1394</f>
        <v>0.0035868055555567935</v>
      </c>
      <c r="S1395" s="75">
        <f>0.5*(Q1394+Q1395)*R1395</f>
        <v>0.06784817935667424</v>
      </c>
      <c r="T1395" s="75">
        <f>0.5*(F1394*Q1394+F1395*Q1395)*R1395</f>
        <v>1.6492026366008647</v>
      </c>
      <c r="U1395" s="76">
        <f>U1394+S1395</f>
        <v>101.03892910127362</v>
      </c>
      <c r="V1395" s="76">
        <f>V1394+T1395</f>
        <v>1792.4783631844505</v>
      </c>
    </row>
    <row r="1396" spans="1:22" ht="19" customHeight="1">
      <c r="A1396" s="68" t="s">
        <v>362</v>
      </c>
      <c r="B1396" s="74">
        <v>5</v>
      </c>
      <c r="C1396" s="68" t="s">
        <v>363</v>
      </c>
      <c r="D1396" s="68" t="s">
        <v>365</v>
      </c>
      <c r="E1396" s="75">
        <f>60*F1396*'THAM_SO_MOI'!$C$53/(2*PI()*'THAM_SO_MOI'!$C$26)</f>
        <v>2395.4337105263153</v>
      </c>
      <c r="F1396" s="75">
        <f>'THAM_SO_MOI'!$C$14+('THAM_SO_MOI'!$C$37-'THAM_SO_MOI'!$C$14)*589/'THAM_SO_MOI'!$C$42</f>
        <v>24.312628472222222</v>
      </c>
      <c r="G1396" s="75">
        <f>3.6*F1396</f>
        <v>87.5254625</v>
      </c>
      <c r="H1396" s="75">
        <f>'THAM_SO_MOI'!$D$53</f>
        <v>1.1</v>
      </c>
      <c r="I1396" s="75">
        <f>IF(F1396&gt;='THAM_SO_MOI'!$C$14,'THAM_SO_MOI'!$C$13*(1+F1396^2/1500),'THAM_SO_MOI'!$C$13)</f>
        <v>0.020911039032283106</v>
      </c>
      <c r="J1396" s="75">
        <f>'THAM_SO_MOI'!$C$40*('THAM_SO_MOI'!$C$23*(E1396/'THAM_SO_MOI'!$C$22)+'THAM_SO_MOI'!$C$24*(E1396/'THAM_SO_MOI'!$C$22)^2-'THAM_SO_MOI'!$C$25*(E1396/'THAM_SO_MOI'!$C$22)^3)</f>
        <v>107.24059853368543</v>
      </c>
      <c r="K1396" s="75">
        <f>'THAM_SO_MOI'!$C$31*J1396/E1396</f>
        <v>427.59083752933384</v>
      </c>
      <c r="L1396" s="75">
        <f>K1396*'THAM_SO_MOI'!$C$53*'THAM_SO_MOI'!$C$17/'THAM_SO_MOI'!$C$26</f>
        <v>3749.97331828176</v>
      </c>
      <c r="M1396" s="75">
        <f>'THAM_SO_MOI'!$C$15*'THAM_SO_MOI'!$C$16*F1396^2</f>
        <v>1728.9789169428088</v>
      </c>
      <c r="N1396" s="75">
        <f>'THAM_SO_MOI'!$C$12*I1396</f>
        <v>1575.454409523435</v>
      </c>
      <c r="O1396" s="75">
        <f>M1396+N1396</f>
        <v>3304.4333264662437</v>
      </c>
      <c r="P1396" s="75">
        <f>(MIN(L1396,'THAM_SO_MOI'!$C$41)-O1396)/('THAM_SO_MOI'!$C$11*H1396)</f>
        <v>0.05273910887967756</v>
      </c>
      <c r="Q1396" s="75">
        <f>IF(P1396&gt;0,1/P1396,NA())</f>
        <v>18.96126084119975</v>
      </c>
      <c r="R1396" s="75">
        <f>F1396-F1395</f>
        <v>0.0035868055555567935</v>
      </c>
      <c r="S1396" s="75">
        <f>0.5*(Q1395+Q1396)*R1396</f>
        <v>0.06795623452371773</v>
      </c>
      <c r="T1396" s="75">
        <f>0.5*(F1395*Q1395+F1396*Q1396)*R1396</f>
        <v>1.6520729065077018</v>
      </c>
      <c r="U1396" s="76">
        <f>U1395+S1396</f>
        <v>101.10688533579734</v>
      </c>
      <c r="V1396" s="76">
        <f>V1395+T1396</f>
        <v>1794.1304360909583</v>
      </c>
    </row>
    <row r="1397" spans="1:22" ht="19" customHeight="1">
      <c r="A1397" s="68" t="s">
        <v>362</v>
      </c>
      <c r="B1397" s="74">
        <v>5</v>
      </c>
      <c r="C1397" s="68" t="s">
        <v>363</v>
      </c>
      <c r="D1397" s="68" t="s">
        <v>365</v>
      </c>
      <c r="E1397" s="75">
        <f>60*F1397*'THAM_SO_MOI'!$C$53/(2*PI()*'THAM_SO_MOI'!$C$26)</f>
        <v>2395.787105263157</v>
      </c>
      <c r="F1397" s="75">
        <f>'THAM_SO_MOI'!$C$14+('THAM_SO_MOI'!$C$37-'THAM_SO_MOI'!$C$14)*590/'THAM_SO_MOI'!$C$42</f>
        <v>24.316215277777776</v>
      </c>
      <c r="G1397" s="75">
        <f>3.6*F1397</f>
        <v>87.53837499999999</v>
      </c>
      <c r="H1397" s="75">
        <f>'THAM_SO_MOI'!$D$53</f>
        <v>1.1</v>
      </c>
      <c r="I1397" s="75">
        <f>IF(F1397&gt;='THAM_SO_MOI'!$C$14,'THAM_SO_MOI'!$C$13*(1+F1397^2/1500),'THAM_SO_MOI'!$C$13)</f>
        <v>0.02091278325435233</v>
      </c>
      <c r="J1397" s="75">
        <f>'THAM_SO_MOI'!$C$40*('THAM_SO_MOI'!$C$23*(E1397/'THAM_SO_MOI'!$C$22)+'THAM_SO_MOI'!$C$24*(E1397/'THAM_SO_MOI'!$C$22)^2-'THAM_SO_MOI'!$C$25*(E1397/'THAM_SO_MOI'!$C$22)^3)</f>
        <v>107.25445068420102</v>
      </c>
      <c r="K1397" s="75">
        <f>'THAM_SO_MOI'!$C$31*J1397/E1397</f>
        <v>427.58298829299497</v>
      </c>
      <c r="L1397" s="75">
        <f>K1397*'THAM_SO_MOI'!$C$53*'THAM_SO_MOI'!$C$17/'THAM_SO_MOI'!$C$26</f>
        <v>3749.9044804483547</v>
      </c>
      <c r="M1397" s="75">
        <f>'THAM_SO_MOI'!$C$15*'THAM_SO_MOI'!$C$16*F1397^2</f>
        <v>1729.4891018980575</v>
      </c>
      <c r="N1397" s="75">
        <f>'THAM_SO_MOI'!$C$12*I1397</f>
        <v>1575.5858206095081</v>
      </c>
      <c r="O1397" s="75">
        <f>M1397+N1397</f>
        <v>3305.0749225075656</v>
      </c>
      <c r="P1397" s="75">
        <f>(MIN(L1397,'THAM_SO_MOI'!$C$41)-O1397)/('THAM_SO_MOI'!$C$11*H1397)</f>
        <v>0.05265501396079416</v>
      </c>
      <c r="Q1397" s="75">
        <f>IF(P1397&gt;0,1/P1397,NA())</f>
        <v>18.991543725438557</v>
      </c>
      <c r="R1397" s="75">
        <f>F1397-F1396</f>
        <v>0.0035868055555532408</v>
      </c>
      <c r="S1397" s="75">
        <f>0.5*(Q1396+Q1397)*R1397</f>
        <v>0.06806466513422234</v>
      </c>
      <c r="T1397" s="75">
        <f>0.5*(F1396*Q1396+F1397*Q1397)*R1397</f>
        <v>1.6549530802527297</v>
      </c>
      <c r="U1397" s="76">
        <f>U1396+S1397</f>
        <v>101.17495000093156</v>
      </c>
      <c r="V1397" s="76">
        <f>V1396+T1397</f>
        <v>1795.785389171211</v>
      </c>
    </row>
    <row r="1398" spans="1:22" ht="19" customHeight="1">
      <c r="A1398" s="68" t="s">
        <v>362</v>
      </c>
      <c r="B1398" s="74">
        <v>5</v>
      </c>
      <c r="C1398" s="68" t="s">
        <v>363</v>
      </c>
      <c r="D1398" s="68" t="s">
        <v>365</v>
      </c>
      <c r="E1398" s="75">
        <f>60*F1398*'THAM_SO_MOI'!$C$53/(2*PI()*'THAM_SO_MOI'!$C$26)</f>
        <v>2396.1404999999995</v>
      </c>
      <c r="F1398" s="75">
        <f>'THAM_SO_MOI'!$C$14+('THAM_SO_MOI'!$C$37-'THAM_SO_MOI'!$C$14)*591/'THAM_SO_MOI'!$C$42</f>
        <v>24.319802083333332</v>
      </c>
      <c r="G1398" s="75">
        <f>3.6*F1398</f>
        <v>87.5512875</v>
      </c>
      <c r="H1398" s="75">
        <f>'THAM_SO_MOI'!$D$53</f>
        <v>1.1</v>
      </c>
      <c r="I1398" s="75">
        <f>IF(F1398&gt;='THAM_SO_MOI'!$C$14,'THAM_SO_MOI'!$C$13*(1+F1398^2/1500),'THAM_SO_MOI'!$C$13)</f>
        <v>0.020914527733725045</v>
      </c>
      <c r="J1398" s="75">
        <f>'THAM_SO_MOI'!$C$40*('THAM_SO_MOI'!$C$23*(E1398/'THAM_SO_MOI'!$C$22)+'THAM_SO_MOI'!$C$24*(E1398/'THAM_SO_MOI'!$C$22)^2-'THAM_SO_MOI'!$C$25*(E1398/'THAM_SO_MOI'!$C$22)^3)</f>
        <v>107.26829921425774</v>
      </c>
      <c r="K1398" s="75">
        <f>'THAM_SO_MOI'!$C$31*J1398/E1398</f>
        <v>427.5751269406715</v>
      </c>
      <c r="L1398" s="75">
        <f>K1398*'THAM_SO_MOI'!$C$53*'THAM_SO_MOI'!$C$17/'THAM_SO_MOI'!$C$26</f>
        <v>3749.835536357717</v>
      </c>
      <c r="M1398" s="75">
        <f>'THAM_SO_MOI'!$C$15*'THAM_SO_MOI'!$C$16*F1398^2</f>
        <v>1729.999362114575</v>
      </c>
      <c r="N1398" s="75">
        <f>'THAM_SO_MOI'!$C$12*I1398</f>
        <v>1575.717251081032</v>
      </c>
      <c r="O1398" s="75">
        <f>M1398+N1398</f>
        <v>3305.716613195607</v>
      </c>
      <c r="P1398" s="75">
        <f>(MIN(L1398,'THAM_SO_MOI'!$C$41)-O1398)/('THAM_SO_MOI'!$C$11*H1398)</f>
        <v>0.052570895260666446</v>
      </c>
      <c r="Q1398" s="75">
        <f>IF(P1398&gt;0,1/P1398,NA())</f>
        <v>19.021932098390575</v>
      </c>
      <c r="R1398" s="75">
        <f>F1398-F1397</f>
        <v>0.0035868055555567935</v>
      </c>
      <c r="S1398" s="75">
        <f>0.5*(Q1397+Q1398)*R1398</f>
        <v>0.0681734731354671</v>
      </c>
      <c r="T1398" s="75">
        <f>0.5*(F1397*Q1397+F1398*Q1398)*R1398</f>
        <v>1.6578432092298367</v>
      </c>
      <c r="U1398" s="76">
        <f>U1397+S1398</f>
        <v>101.24312347406703</v>
      </c>
      <c r="V1398" s="76">
        <f>V1397+T1398</f>
        <v>1797.4432323804408</v>
      </c>
    </row>
    <row r="1399" spans="1:22" ht="19" customHeight="1">
      <c r="A1399" s="68" t="s">
        <v>362</v>
      </c>
      <c r="B1399" s="74">
        <v>5</v>
      </c>
      <c r="C1399" s="68" t="s">
        <v>363</v>
      </c>
      <c r="D1399" s="68" t="s">
        <v>365</v>
      </c>
      <c r="E1399" s="75">
        <f>60*F1399*'THAM_SO_MOI'!$C$53/(2*PI()*'THAM_SO_MOI'!$C$26)</f>
        <v>2396.4938947368414</v>
      </c>
      <c r="F1399" s="75">
        <f>'THAM_SO_MOI'!$C$14+('THAM_SO_MOI'!$C$37-'THAM_SO_MOI'!$C$14)*592/'THAM_SO_MOI'!$C$42</f>
        <v>24.323388888888886</v>
      </c>
      <c r="G1399" s="75">
        <f>3.6*F1399</f>
        <v>87.56419999999999</v>
      </c>
      <c r="H1399" s="75">
        <f>'THAM_SO_MOI'!$D$53</f>
        <v>1.1</v>
      </c>
      <c r="I1399" s="75">
        <f>IF(F1399&gt;='THAM_SO_MOI'!$C$14,'THAM_SO_MOI'!$C$13*(1+F1399^2/1500),'THAM_SO_MOI'!$C$13)</f>
        <v>0.02091627247040123</v>
      </c>
      <c r="J1399" s="75">
        <f>'THAM_SO_MOI'!$C$40*('THAM_SO_MOI'!$C$23*(E1399/'THAM_SO_MOI'!$C$22)+'THAM_SO_MOI'!$C$24*(E1399/'THAM_SO_MOI'!$C$22)^2-'THAM_SO_MOI'!$C$25*(E1399/'THAM_SO_MOI'!$C$22)^3)</f>
        <v>107.28214412251079</v>
      </c>
      <c r="K1399" s="75">
        <f>'THAM_SO_MOI'!$C$31*J1399/E1399</f>
        <v>427.5672534723639</v>
      </c>
      <c r="L1399" s="75">
        <f>K1399*'THAM_SO_MOI'!$C$53*'THAM_SO_MOI'!$C$17/'THAM_SO_MOI'!$C$26</f>
        <v>3749.7664860098503</v>
      </c>
      <c r="M1399" s="75">
        <f>'THAM_SO_MOI'!$C$15*'THAM_SO_MOI'!$C$16*F1399^2</f>
        <v>1730.5096975923607</v>
      </c>
      <c r="N1399" s="75">
        <f>'THAM_SO_MOI'!$C$12*I1399</f>
        <v>1575.848700938005</v>
      </c>
      <c r="O1399" s="75">
        <f>M1399+N1399</f>
        <v>3306.358398530366</v>
      </c>
      <c r="P1399" s="75">
        <f>(MIN(L1399,'THAM_SO_MOI'!$C$41)-O1399)/('THAM_SO_MOI'!$C$11*H1399)</f>
        <v>0.05248675277929504</v>
      </c>
      <c r="Q1399" s="75">
        <f>IF(P1399&gt;0,1/P1399,NA())</f>
        <v>19.05242650855093</v>
      </c>
      <c r="R1399" s="75">
        <f>F1399-F1398</f>
        <v>0.0035868055555532408</v>
      </c>
      <c r="S1399" s="75">
        <f>0.5*(Q1398+Q1399)*R1399</f>
        <v>0.06828266048775207</v>
      </c>
      <c r="T1399" s="75">
        <f>0.5*(F1398*Q1398+F1399*Q1399)*R1399</f>
        <v>1.660743345177542</v>
      </c>
      <c r="U1399" s="76">
        <f>U1398+S1399</f>
        <v>101.31140613455479</v>
      </c>
      <c r="V1399" s="76">
        <f>V1398+T1399</f>
        <v>1799.1039757256183</v>
      </c>
    </row>
    <row r="1400" spans="1:22" ht="19" customHeight="1">
      <c r="A1400" s="68" t="s">
        <v>362</v>
      </c>
      <c r="B1400" s="74">
        <v>5</v>
      </c>
      <c r="C1400" s="68" t="s">
        <v>363</v>
      </c>
      <c r="D1400" s="68" t="s">
        <v>365</v>
      </c>
      <c r="E1400" s="75">
        <f>60*F1400*'THAM_SO_MOI'!$C$53/(2*PI()*'THAM_SO_MOI'!$C$26)</f>
        <v>2396.8472894736833</v>
      </c>
      <c r="F1400" s="75">
        <f>'THAM_SO_MOI'!$C$14+('THAM_SO_MOI'!$C$37-'THAM_SO_MOI'!$C$14)*593/'THAM_SO_MOI'!$C$42</f>
        <v>24.326975694444442</v>
      </c>
      <c r="G1400" s="75">
        <f>3.6*F1400</f>
        <v>87.5771125</v>
      </c>
      <c r="H1400" s="75">
        <f>'THAM_SO_MOI'!$D$53</f>
        <v>1.1</v>
      </c>
      <c r="I1400" s="75">
        <f>IF(F1400&gt;='THAM_SO_MOI'!$C$14,'THAM_SO_MOI'!$C$13*(1+F1400^2/1500),'THAM_SO_MOI'!$C$13)</f>
        <v>0.020918017464380906</v>
      </c>
      <c r="J1400" s="75">
        <f>'THAM_SO_MOI'!$C$40*('THAM_SO_MOI'!$C$23*(E1400/'THAM_SO_MOI'!$C$22)+'THAM_SO_MOI'!$C$24*(E1400/'THAM_SO_MOI'!$C$22)^2-'THAM_SO_MOI'!$C$25*(E1400/'THAM_SO_MOI'!$C$22)^3)</f>
        <v>107.29598540761518</v>
      </c>
      <c r="K1400" s="75">
        <f>'THAM_SO_MOI'!$C$31*J1400/E1400</f>
        <v>427.55936788807185</v>
      </c>
      <c r="L1400" s="75">
        <f>K1400*'THAM_SO_MOI'!$C$53*'THAM_SO_MOI'!$C$17/'THAM_SO_MOI'!$C$26</f>
        <v>3749.6973294047525</v>
      </c>
      <c r="M1400" s="75">
        <f>'THAM_SO_MOI'!$C$15*'THAM_SO_MOI'!$C$16*F1400^2</f>
        <v>1731.0201083314155</v>
      </c>
      <c r="N1400" s="75">
        <f>'THAM_SO_MOI'!$C$12*I1400</f>
        <v>1575.980170180429</v>
      </c>
      <c r="O1400" s="75">
        <f>M1400+N1400</f>
        <v>3307.0002785118445</v>
      </c>
      <c r="P1400" s="75">
        <f>(MIN(L1400,'THAM_SO_MOI'!$C$41)-O1400)/('THAM_SO_MOI'!$C$11*H1400)</f>
        <v>0.05240258651667945</v>
      </c>
      <c r="Q1400" s="75">
        <f>IF(P1400&gt;0,1/P1400,NA())</f>
        <v>19.08302750822625</v>
      </c>
      <c r="R1400" s="75">
        <f>F1400-F1399</f>
        <v>0.0035868055555567935</v>
      </c>
      <c r="S1400" s="75">
        <f>0.5*(Q1399+Q1400)*R1400</f>
        <v>0.06839222916552852</v>
      </c>
      <c r="T1400" s="75">
        <f>0.5*(F1399*Q1399+F1400*Q1400)*R1400</f>
        <v>1.6636535402067196</v>
      </c>
      <c r="U1400" s="76">
        <f>U1399+S1400</f>
        <v>101.37979836372031</v>
      </c>
      <c r="V1400" s="76">
        <f>V1399+T1400</f>
        <v>1800.767629265825</v>
      </c>
    </row>
    <row r="1401" spans="1:22" ht="19" customHeight="1">
      <c r="A1401" s="68" t="s">
        <v>362</v>
      </c>
      <c r="B1401" s="74">
        <v>5</v>
      </c>
      <c r="C1401" s="68" t="s">
        <v>363</v>
      </c>
      <c r="D1401" s="68" t="s">
        <v>365</v>
      </c>
      <c r="E1401" s="75">
        <f>60*F1401*'THAM_SO_MOI'!$C$53/(2*PI()*'THAM_SO_MOI'!$C$26)</f>
        <v>2397.2006842105257</v>
      </c>
      <c r="F1401" s="75">
        <f>'THAM_SO_MOI'!$C$14+('THAM_SO_MOI'!$C$37-'THAM_SO_MOI'!$C$14)*594/'THAM_SO_MOI'!$C$42</f>
        <v>24.3305625</v>
      </c>
      <c r="G1401" s="75">
        <f>3.6*F1401</f>
        <v>87.590025</v>
      </c>
      <c r="H1401" s="75">
        <f>'THAM_SO_MOI'!$D$53</f>
        <v>1.1</v>
      </c>
      <c r="I1401" s="75">
        <f>IF(F1401&gt;='THAM_SO_MOI'!$C$14,'THAM_SO_MOI'!$C$13*(1+F1401^2/1500),'THAM_SO_MOI'!$C$13)</f>
        <v>0.02091976271566406</v>
      </c>
      <c r="J1401" s="75">
        <f>'THAM_SO_MOI'!$C$40*('THAM_SO_MOI'!$C$23*(E1401/'THAM_SO_MOI'!$C$22)+'THAM_SO_MOI'!$C$24*(E1401/'THAM_SO_MOI'!$C$22)^2-'THAM_SO_MOI'!$C$25*(E1401/'THAM_SO_MOI'!$C$22)^3)</f>
        <v>107.30982306822602</v>
      </c>
      <c r="K1401" s="75">
        <f>'THAM_SO_MOI'!$C$31*J1401/E1401</f>
        <v>427.55147018779513</v>
      </c>
      <c r="L1401" s="75">
        <f>K1401*'THAM_SO_MOI'!$C$53*'THAM_SO_MOI'!$C$17/'THAM_SO_MOI'!$C$26</f>
        <v>3749.6280665424224</v>
      </c>
      <c r="M1401" s="75">
        <f>'THAM_SO_MOI'!$C$15*'THAM_SO_MOI'!$C$16*F1401^2</f>
        <v>1731.5305943317383</v>
      </c>
      <c r="N1401" s="75">
        <f>'THAM_SO_MOI'!$C$12*I1401</f>
        <v>1576.111658808303</v>
      </c>
      <c r="O1401" s="75">
        <f>M1401+N1401</f>
        <v>3307.6422531400412</v>
      </c>
      <c r="P1401" s="75">
        <f>(MIN(L1401,'THAM_SO_MOI'!$C$41)-O1401)/('THAM_SO_MOI'!$C$11*H1401)</f>
        <v>0.05231839647281974</v>
      </c>
      <c r="Q1401" s="75">
        <f>IF(P1401&gt;0,1/P1401,NA())</f>
        <v>19.11373565356722</v>
      </c>
      <c r="R1401" s="75">
        <f>F1401-F1400</f>
        <v>0.0035868055555567935</v>
      </c>
      <c r="S1401" s="75">
        <f>0.5*(Q1400+Q1401)*R1401</f>
        <v>0.06850218115650394</v>
      </c>
      <c r="T1401" s="75">
        <f>0.5*(F1400*Q1400+F1401*Q1401)*R1401</f>
        <v>1.6665738467790805</v>
      </c>
      <c r="U1401" s="76">
        <f>U1400+S1401</f>
        <v>101.44830054487682</v>
      </c>
      <c r="V1401" s="76">
        <f>V1400+T1401</f>
        <v>1802.434203112604</v>
      </c>
    </row>
    <row r="1402" spans="1:22" ht="19" customHeight="1">
      <c r="A1402" s="68" t="s">
        <v>362</v>
      </c>
      <c r="B1402" s="74">
        <v>5</v>
      </c>
      <c r="C1402" s="68" t="s">
        <v>363</v>
      </c>
      <c r="D1402" s="68" t="s">
        <v>365</v>
      </c>
      <c r="E1402" s="75">
        <f>60*F1402*'THAM_SO_MOI'!$C$53/(2*PI()*'THAM_SO_MOI'!$C$26)</f>
        <v>2397.554078947368</v>
      </c>
      <c r="F1402" s="75">
        <f>'THAM_SO_MOI'!$C$14+('THAM_SO_MOI'!$C$37-'THAM_SO_MOI'!$C$14)*595/'THAM_SO_MOI'!$C$42</f>
        <v>24.334149305555556</v>
      </c>
      <c r="G1402" s="75">
        <f>3.6*F1402</f>
        <v>87.60293750000001</v>
      </c>
      <c r="H1402" s="75">
        <f>'THAM_SO_MOI'!$D$53</f>
        <v>1.1</v>
      </c>
      <c r="I1402" s="75">
        <f>IF(F1402&gt;='THAM_SO_MOI'!$C$14,'THAM_SO_MOI'!$C$13*(1+F1402^2/1500),'THAM_SO_MOI'!$C$13)</f>
        <v>0.020921508224250696</v>
      </c>
      <c r="J1402" s="75">
        <f>'THAM_SO_MOI'!$C$40*('THAM_SO_MOI'!$C$23*(E1402/'THAM_SO_MOI'!$C$22)+'THAM_SO_MOI'!$C$24*(E1402/'THAM_SO_MOI'!$C$22)^2-'THAM_SO_MOI'!$C$25*(E1402/'THAM_SO_MOI'!$C$22)^3)</f>
        <v>107.32365710299845</v>
      </c>
      <c r="K1402" s="75">
        <f>'THAM_SO_MOI'!$C$31*J1402/E1402</f>
        <v>427.5435603715339</v>
      </c>
      <c r="L1402" s="75">
        <f>K1402*'THAM_SO_MOI'!$C$53*'THAM_SO_MOI'!$C$17/'THAM_SO_MOI'!$C$26</f>
        <v>3749.5586974228604</v>
      </c>
      <c r="M1402" s="75">
        <f>'THAM_SO_MOI'!$C$15*'THAM_SO_MOI'!$C$16*F1402^2</f>
        <v>1732.04115559333</v>
      </c>
      <c r="N1402" s="75">
        <f>'THAM_SO_MOI'!$C$12*I1402</f>
        <v>1576.243166821627</v>
      </c>
      <c r="O1402" s="75">
        <f>M1402+N1402</f>
        <v>3308.284322414957</v>
      </c>
      <c r="P1402" s="75">
        <f>(MIN(L1402,'THAM_SO_MOI'!$C$41)-O1402)/('THAM_SO_MOI'!$C$11*H1402)</f>
        <v>0.05223418264771584</v>
      </c>
      <c r="Q1402" s="75">
        <f>IF(P1402&gt;0,1/P1402,NA())</f>
        <v>19.144551504602305</v>
      </c>
      <c r="R1402" s="75">
        <f>F1402-F1401</f>
        <v>0.0035868055555567935</v>
      </c>
      <c r="S1402" s="75">
        <f>0.5*(Q1401+Q1402)*R1402</f>
        <v>0.06861251846250478</v>
      </c>
      <c r="T1402" s="75">
        <f>0.5*(F1401*Q1401+F1402*Q1402)*R1402</f>
        <v>1.6695043177283997</v>
      </c>
      <c r="U1402" s="76">
        <f>U1401+S1402</f>
        <v>101.51691306333932</v>
      </c>
      <c r="V1402" s="76">
        <f>V1401+T1402</f>
        <v>1804.1037074303324</v>
      </c>
    </row>
    <row r="1403" spans="1:22" ht="19" customHeight="1">
      <c r="A1403" s="68" t="s">
        <v>362</v>
      </c>
      <c r="B1403" s="74">
        <v>5</v>
      </c>
      <c r="C1403" s="68" t="s">
        <v>363</v>
      </c>
      <c r="D1403" s="68" t="s">
        <v>365</v>
      </c>
      <c r="E1403" s="75">
        <f>60*F1403*'THAM_SO_MOI'!$C$53/(2*PI()*'THAM_SO_MOI'!$C$26)</f>
        <v>2397.90747368421</v>
      </c>
      <c r="F1403" s="75">
        <f>'THAM_SO_MOI'!$C$14+('THAM_SO_MOI'!$C$37-'THAM_SO_MOI'!$C$14)*596/'THAM_SO_MOI'!$C$42</f>
        <v>24.33773611111111</v>
      </c>
      <c r="G1403" s="75">
        <f>3.6*F1403</f>
        <v>87.61585</v>
      </c>
      <c r="H1403" s="75">
        <f>'THAM_SO_MOI'!$D$53</f>
        <v>1.1</v>
      </c>
      <c r="I1403" s="75">
        <f>IF(F1403&gt;='THAM_SO_MOI'!$C$14,'THAM_SO_MOI'!$C$13*(1+F1403^2/1500),'THAM_SO_MOI'!$C$13)</f>
        <v>0.020923253990140816</v>
      </c>
      <c r="J1403" s="75">
        <f>'THAM_SO_MOI'!$C$40*('THAM_SO_MOI'!$C$23*(E1403/'THAM_SO_MOI'!$C$22)+'THAM_SO_MOI'!$C$24*(E1403/'THAM_SO_MOI'!$C$22)^2-'THAM_SO_MOI'!$C$25*(E1403/'THAM_SO_MOI'!$C$22)^3)</f>
        <v>107.33748751058761</v>
      </c>
      <c r="K1403" s="75">
        <f>'THAM_SO_MOI'!$C$31*J1403/E1403</f>
        <v>427.53563843928845</v>
      </c>
      <c r="L1403" s="75">
        <f>K1403*'THAM_SO_MOI'!$C$53*'THAM_SO_MOI'!$C$17/'THAM_SO_MOI'!$C$26</f>
        <v>3749.4892220460697</v>
      </c>
      <c r="M1403" s="75">
        <f>'THAM_SO_MOI'!$C$15*'THAM_SO_MOI'!$C$16*F1403^2</f>
        <v>1732.551792116189</v>
      </c>
      <c r="N1403" s="75">
        <f>'THAM_SO_MOI'!$C$12*I1403</f>
        <v>1576.3746942204014</v>
      </c>
      <c r="O1403" s="75">
        <f>M1403+N1403</f>
        <v>3308.9264863365906</v>
      </c>
      <c r="P1403" s="75">
        <f>(MIN(L1403,'THAM_SO_MOI'!$C$41)-O1403)/('THAM_SO_MOI'!$C$11*H1403)</f>
        <v>0.05214994504136829</v>
      </c>
      <c r="Q1403" s="75">
        <f>IF(P1403&gt;0,1/P1403,NA())</f>
        <v>19.175475625271385</v>
      </c>
      <c r="R1403" s="75">
        <f>F1403-F1402</f>
        <v>0.0035868055555532408</v>
      </c>
      <c r="S1403" s="75">
        <f>0.5*(Q1402+Q1403)*R1403</f>
        <v>0.06872324309919094</v>
      </c>
      <c r="T1403" s="75">
        <f>0.5*(F1402*Q1402+F1403*Q1403)*R1403</f>
        <v>1.6724450062538236</v>
      </c>
      <c r="U1403" s="76">
        <f>U1402+S1403</f>
        <v>101.5856363064385</v>
      </c>
      <c r="V1403" s="76">
        <f>V1402+T1403</f>
        <v>1805.7761524365862</v>
      </c>
    </row>
    <row r="1404" spans="1:22" ht="19" customHeight="1">
      <c r="A1404" s="68" t="s">
        <v>362</v>
      </c>
      <c r="B1404" s="74">
        <v>5</v>
      </c>
      <c r="C1404" s="68" t="s">
        <v>363</v>
      </c>
      <c r="D1404" s="68" t="s">
        <v>365</v>
      </c>
      <c r="E1404" s="75">
        <f>60*F1404*'THAM_SO_MOI'!$C$53/(2*PI()*'THAM_SO_MOI'!$C$26)</f>
        <v>2398.260868421052</v>
      </c>
      <c r="F1404" s="75">
        <f>'THAM_SO_MOI'!$C$14+('THAM_SO_MOI'!$C$37-'THAM_SO_MOI'!$C$14)*597/'THAM_SO_MOI'!$C$42</f>
        <v>24.341322916666666</v>
      </c>
      <c r="G1404" s="75">
        <f>3.6*F1404</f>
        <v>87.6287625</v>
      </c>
      <c r="H1404" s="75">
        <f>'THAM_SO_MOI'!$D$53</f>
        <v>1.1</v>
      </c>
      <c r="I1404" s="75">
        <f>IF(F1404&gt;='THAM_SO_MOI'!$C$14,'THAM_SO_MOI'!$C$13*(1+F1404^2/1500),'THAM_SO_MOI'!$C$13)</f>
        <v>0.020925000013334416</v>
      </c>
      <c r="J1404" s="75">
        <f>'THAM_SO_MOI'!$C$40*('THAM_SO_MOI'!$C$23*(E1404/'THAM_SO_MOI'!$C$22)+'THAM_SO_MOI'!$C$24*(E1404/'THAM_SO_MOI'!$C$22)^2-'THAM_SO_MOI'!$C$25*(E1404/'THAM_SO_MOI'!$C$22)^3)</f>
        <v>107.35131428964854</v>
      </c>
      <c r="K1404" s="75">
        <f>'THAM_SO_MOI'!$C$31*J1404/E1404</f>
        <v>427.5277043910584</v>
      </c>
      <c r="L1404" s="75">
        <f>K1404*'THAM_SO_MOI'!$C$53*'THAM_SO_MOI'!$C$17/'THAM_SO_MOI'!$C$26</f>
        <v>3749.4196404120466</v>
      </c>
      <c r="M1404" s="75">
        <f>'THAM_SO_MOI'!$C$15*'THAM_SO_MOI'!$C$16*F1404^2</f>
        <v>1733.0625039003176</v>
      </c>
      <c r="N1404" s="75">
        <f>'THAM_SO_MOI'!$C$12*I1404</f>
        <v>1576.5062410046257</v>
      </c>
      <c r="O1404" s="75">
        <f>M1404+N1404</f>
        <v>3309.5687449049433</v>
      </c>
      <c r="P1404" s="75">
        <f>(MIN(L1404,'THAM_SO_MOI'!$C$41)-O1404)/('THAM_SO_MOI'!$C$11*H1404)</f>
        <v>0.05206568365377644</v>
      </c>
      <c r="Q1404" s="75">
        <f>IF(P1404&gt;0,1/P1404,NA())</f>
        <v>19.20650858346057</v>
      </c>
      <c r="R1404" s="75">
        <f>F1404-F1403</f>
        <v>0.0035868055555567935</v>
      </c>
      <c r="S1404" s="75">
        <f>0.5*(Q1403+Q1404)*R1404</f>
        <v>0.06883435709658645</v>
      </c>
      <c r="T1404" s="75">
        <f>0.5*(F1403*Q1403+F1404*Q1404)*R1404</f>
        <v>1.6753959659330353</v>
      </c>
      <c r="U1404" s="76">
        <f>U1403+S1404</f>
        <v>101.6544706635351</v>
      </c>
      <c r="V1404" s="76">
        <f>V1403+T1404</f>
        <v>1807.4515484025194</v>
      </c>
    </row>
    <row r="1405" spans="1:22" ht="19" customHeight="1">
      <c r="A1405" s="68" t="s">
        <v>362</v>
      </c>
      <c r="B1405" s="74">
        <v>5</v>
      </c>
      <c r="C1405" s="68" t="s">
        <v>363</v>
      </c>
      <c r="D1405" s="68" t="s">
        <v>365</v>
      </c>
      <c r="E1405" s="75">
        <f>60*F1405*'THAM_SO_MOI'!$C$53/(2*PI()*'THAM_SO_MOI'!$C$26)</f>
        <v>2398.614263157894</v>
      </c>
      <c r="F1405" s="75">
        <f>'THAM_SO_MOI'!$C$14+('THAM_SO_MOI'!$C$37-'THAM_SO_MOI'!$C$14)*598/'THAM_SO_MOI'!$C$42</f>
        <v>24.34490972222222</v>
      </c>
      <c r="G1405" s="75">
        <f>3.6*F1405</f>
        <v>87.64167499999999</v>
      </c>
      <c r="H1405" s="75">
        <f>'THAM_SO_MOI'!$D$53</f>
        <v>1.1</v>
      </c>
      <c r="I1405" s="75">
        <f>IF(F1405&gt;='THAM_SO_MOI'!$C$14,'THAM_SO_MOI'!$C$13*(1+F1405^2/1500),'THAM_SO_MOI'!$C$13)</f>
        <v>0.0209267462938315</v>
      </c>
      <c r="J1405" s="75">
        <f>'THAM_SO_MOI'!$C$40*('THAM_SO_MOI'!$C$23*(E1405/'THAM_SO_MOI'!$C$22)+'THAM_SO_MOI'!$C$24*(E1405/'THAM_SO_MOI'!$C$22)^2-'THAM_SO_MOI'!$C$25*(E1405/'THAM_SO_MOI'!$C$22)^3)</f>
        <v>107.36513743883643</v>
      </c>
      <c r="K1405" s="75">
        <f>'THAM_SO_MOI'!$C$31*J1405/E1405</f>
        <v>427.519758226844</v>
      </c>
      <c r="L1405" s="75">
        <f>K1405*'THAM_SO_MOI'!$C$53*'THAM_SO_MOI'!$C$17/'THAM_SO_MOI'!$C$26</f>
        <v>3749.3499525207935</v>
      </c>
      <c r="M1405" s="75">
        <f>'THAM_SO_MOI'!$C$15*'THAM_SO_MOI'!$C$16*F1405^2</f>
        <v>1733.5732909457136</v>
      </c>
      <c r="N1405" s="75">
        <f>'THAM_SO_MOI'!$C$12*I1405</f>
        <v>1576.6378071743004</v>
      </c>
      <c r="O1405" s="75">
        <f>M1405+N1405</f>
        <v>3310.211098120014</v>
      </c>
      <c r="P1405" s="75">
        <f>(MIN(L1405,'THAM_SO_MOI'!$C$41)-O1405)/('THAM_SO_MOI'!$C$11*H1405)</f>
        <v>0.051981398484940766</v>
      </c>
      <c r="Q1405" s="75">
        <f>IF(P1405&gt;0,1/P1405,NA())</f>
        <v>19.23765095103596</v>
      </c>
      <c r="R1405" s="75">
        <f>F1405-F1404</f>
        <v>0.0035868055555532408</v>
      </c>
      <c r="S1405" s="75">
        <f>0.5*(Q1404+Q1405)*R1405</f>
        <v>0.06894586249845364</v>
      </c>
      <c r="T1405" s="75">
        <f>0.5*(F1404*Q1404+F1405*Q1405)*R1405</f>
        <v>1.6783572507072742</v>
      </c>
      <c r="U1405" s="76">
        <f>U1404+S1405</f>
        <v>101.72341652603355</v>
      </c>
      <c r="V1405" s="76">
        <f>V1404+T1405</f>
        <v>1809.1299056532266</v>
      </c>
    </row>
    <row r="1406" spans="1:22" ht="19" customHeight="1">
      <c r="A1406" s="68" t="s">
        <v>362</v>
      </c>
      <c r="B1406" s="74">
        <v>5</v>
      </c>
      <c r="C1406" s="68" t="s">
        <v>363</v>
      </c>
      <c r="D1406" s="68" t="s">
        <v>365</v>
      </c>
      <c r="E1406" s="75">
        <f>60*F1406*'THAM_SO_MOI'!$C$53/(2*PI()*'THAM_SO_MOI'!$C$26)</f>
        <v>2398.967657894736</v>
      </c>
      <c r="F1406" s="75">
        <f>'THAM_SO_MOI'!$C$14+('THAM_SO_MOI'!$C$37-'THAM_SO_MOI'!$C$14)*599/'THAM_SO_MOI'!$C$42</f>
        <v>24.348496527777776</v>
      </c>
      <c r="G1406" s="75">
        <f>3.6*F1406</f>
        <v>87.65458749999999</v>
      </c>
      <c r="H1406" s="75">
        <f>'THAM_SO_MOI'!$D$53</f>
        <v>1.1</v>
      </c>
      <c r="I1406" s="75">
        <f>IF(F1406&gt;='THAM_SO_MOI'!$C$14,'THAM_SO_MOI'!$C$13*(1+F1406^2/1500),'THAM_SO_MOI'!$C$13)</f>
        <v>0.020928492831632062</v>
      </c>
      <c r="J1406" s="75">
        <f>'THAM_SO_MOI'!$C$40*('THAM_SO_MOI'!$C$23*(E1406/'THAM_SO_MOI'!$C$22)+'THAM_SO_MOI'!$C$24*(E1406/'THAM_SO_MOI'!$C$22)^2-'THAM_SO_MOI'!$C$25*(E1406/'THAM_SO_MOI'!$C$22)^3)</f>
        <v>107.37895695680632</v>
      </c>
      <c r="K1406" s="75">
        <f>'THAM_SO_MOI'!$C$31*J1406/E1406</f>
        <v>427.5117999466451</v>
      </c>
      <c r="L1406" s="75">
        <f>K1406*'THAM_SO_MOI'!$C$53*'THAM_SO_MOI'!$C$17/'THAM_SO_MOI'!$C$26</f>
        <v>3749.280158372309</v>
      </c>
      <c r="M1406" s="75">
        <f>'THAM_SO_MOI'!$C$15*'THAM_SO_MOI'!$C$16*F1406^2</f>
        <v>1734.0841532523789</v>
      </c>
      <c r="N1406" s="75">
        <f>'THAM_SO_MOI'!$C$12*I1406</f>
        <v>1576.769392729425</v>
      </c>
      <c r="O1406" s="75">
        <f>M1406+N1406</f>
        <v>3310.853545981804</v>
      </c>
      <c r="P1406" s="75">
        <f>(MIN(L1406,'THAM_SO_MOI'!$C$41)-O1406)/('THAM_SO_MOI'!$C$11*H1406)</f>
        <v>0.051897089534860934</v>
      </c>
      <c r="Q1406" s="75">
        <f>IF(P1406&gt;0,1/P1406,NA())</f>
        <v>19.268903303879267</v>
      </c>
      <c r="R1406" s="75">
        <f>F1406-F1405</f>
        <v>0.0035868055555567935</v>
      </c>
      <c r="S1406" s="75">
        <f>0.5*(Q1405+Q1406)*R1406</f>
        <v>0.06905776136343951</v>
      </c>
      <c r="T1406" s="75">
        <f>0.5*(F1405*Q1405+F1406*Q1406)*R1406</f>
        <v>1.681328914909497</v>
      </c>
      <c r="U1406" s="76">
        <f>U1405+S1406</f>
        <v>101.79247428739698</v>
      </c>
      <c r="V1406" s="76">
        <f>V1405+T1406</f>
        <v>1810.8112345681361</v>
      </c>
    </row>
    <row r="1407" spans="1:22" ht="19" customHeight="1">
      <c r="A1407" s="68" t="s">
        <v>362</v>
      </c>
      <c r="B1407" s="74">
        <v>5</v>
      </c>
      <c r="C1407" s="68" t="s">
        <v>363</v>
      </c>
      <c r="D1407" s="68" t="s">
        <v>365</v>
      </c>
      <c r="E1407" s="75">
        <f>60*F1407*'THAM_SO_MOI'!$C$53/(2*PI()*'THAM_SO_MOI'!$C$26)</f>
        <v>2399.3210526315784</v>
      </c>
      <c r="F1407" s="75">
        <f>'THAM_SO_MOI'!$C$14+('THAM_SO_MOI'!$C$37-'THAM_SO_MOI'!$C$14)*600/'THAM_SO_MOI'!$C$42</f>
        <v>24.352083333333333</v>
      </c>
      <c r="G1407" s="75">
        <f>3.6*F1407</f>
        <v>87.6675</v>
      </c>
      <c r="H1407" s="75">
        <f>'THAM_SO_MOI'!$D$53</f>
        <v>1.1</v>
      </c>
      <c r="I1407" s="75">
        <f>IF(F1407&gt;='THAM_SO_MOI'!$C$14,'THAM_SO_MOI'!$C$13*(1+F1407^2/1500),'THAM_SO_MOI'!$C$13)</f>
        <v>0.02093023962673611</v>
      </c>
      <c r="J1407" s="75">
        <f>'THAM_SO_MOI'!$C$40*('THAM_SO_MOI'!$C$23*(E1407/'THAM_SO_MOI'!$C$22)+'THAM_SO_MOI'!$C$24*(E1407/'THAM_SO_MOI'!$C$22)^2-'THAM_SO_MOI'!$C$25*(E1407/'THAM_SO_MOI'!$C$22)^3)</f>
        <v>107.39277284221335</v>
      </c>
      <c r="K1407" s="75">
        <f>'THAM_SO_MOI'!$C$31*J1407/E1407</f>
        <v>427.50382955046166</v>
      </c>
      <c r="L1407" s="75">
        <f>K1407*'THAM_SO_MOI'!$C$53*'THAM_SO_MOI'!$C$17/'THAM_SO_MOI'!$C$26</f>
        <v>3749.2102579665916</v>
      </c>
      <c r="M1407" s="75">
        <f>'THAM_SO_MOI'!$C$15*'THAM_SO_MOI'!$C$16*F1407^2</f>
        <v>1734.5950908203124</v>
      </c>
      <c r="N1407" s="75">
        <f>'THAM_SO_MOI'!$C$12*I1407</f>
        <v>1576.90099767</v>
      </c>
      <c r="O1407" s="75">
        <f>M1407+N1407</f>
        <v>3311.496088490312</v>
      </c>
      <c r="P1407" s="75">
        <f>(MIN(L1407,'THAM_SO_MOI'!$C$41)-O1407)/('THAM_SO_MOI'!$C$11*H1407)</f>
        <v>0.05181275680353684</v>
      </c>
      <c r="Q1407" s="75">
        <f>IF(P1407&gt;0,1/P1407,NA())</f>
        <v>19.300266221922744</v>
      </c>
      <c r="R1407" s="75">
        <f>F1407-F1406</f>
        <v>0.0035868055555567935</v>
      </c>
      <c r="S1407" s="75">
        <f>0.5*(Q1406+Q1407)*R1407</f>
        <v>0.06917005576417921</v>
      </c>
      <c r="T1407" s="75">
        <f>0.5*(F1406*Q1406+F1407*Q1407)*R1407</f>
        <v>1.6843110132428096</v>
      </c>
      <c r="U1407" s="76">
        <f>U1406+S1407</f>
        <v>101.86164434316116</v>
      </c>
      <c r="V1407" s="76">
        <f>V1406+T1407</f>
        <v>1812.495545581379</v>
      </c>
    </row>
    <row r="1408" spans="1:22" ht="19" customHeight="1">
      <c r="A1408" s="68" t="s">
        <v>362</v>
      </c>
      <c r="B1408" s="74">
        <v>5</v>
      </c>
      <c r="C1408" s="68" t="s">
        <v>363</v>
      </c>
      <c r="D1408" s="68" t="s">
        <v>365</v>
      </c>
      <c r="E1408" s="75">
        <f>60*F1408*'THAM_SO_MOI'!$C$53/(2*PI()*'THAM_SO_MOI'!$C$26)</f>
        <v>2399.6744473684203</v>
      </c>
      <c r="F1408" s="75">
        <f>'THAM_SO_MOI'!$C$14+('THAM_SO_MOI'!$C$37-'THAM_SO_MOI'!$C$14)*601/'THAM_SO_MOI'!$C$42</f>
        <v>24.355670138888886</v>
      </c>
      <c r="G1408" s="75">
        <f>3.6*F1408</f>
        <v>87.68041249999999</v>
      </c>
      <c r="H1408" s="75">
        <f>'THAM_SO_MOI'!$D$53</f>
        <v>1.1</v>
      </c>
      <c r="I1408" s="75">
        <f>IF(F1408&gt;='THAM_SO_MOI'!$C$14,'THAM_SO_MOI'!$C$13*(1+F1408^2/1500),'THAM_SO_MOI'!$C$13)</f>
        <v>0.020931986679143637</v>
      </c>
      <c r="J1408" s="75">
        <f>'THAM_SO_MOI'!$C$40*('THAM_SO_MOI'!$C$23*(E1408/'THAM_SO_MOI'!$C$22)+'THAM_SO_MOI'!$C$24*(E1408/'THAM_SO_MOI'!$C$22)^2-'THAM_SO_MOI'!$C$25*(E1408/'THAM_SO_MOI'!$C$22)^3)</f>
        <v>107.40658509371264</v>
      </c>
      <c r="K1408" s="75">
        <f>'THAM_SO_MOI'!$C$31*J1408/E1408</f>
        <v>427.4958470382939</v>
      </c>
      <c r="L1408" s="75">
        <f>K1408*'THAM_SO_MOI'!$C$53*'THAM_SO_MOI'!$C$17/'THAM_SO_MOI'!$C$26</f>
        <v>3749.1402513036455</v>
      </c>
      <c r="M1408" s="75">
        <f>'THAM_SO_MOI'!$C$15*'THAM_SO_MOI'!$C$16*F1408^2</f>
        <v>1735.1061036495141</v>
      </c>
      <c r="N1408" s="75">
        <f>'THAM_SO_MOI'!$C$12*I1408</f>
        <v>1577.032621996025</v>
      </c>
      <c r="O1408" s="75">
        <f>M1408+N1408</f>
        <v>3312.138725645539</v>
      </c>
      <c r="P1408" s="75">
        <f>(MIN(L1408,'THAM_SO_MOI'!$C$41)-O1408)/('THAM_SO_MOI'!$C$11*H1408)</f>
        <v>0.051728400290969034</v>
      </c>
      <c r="Q1408" s="75">
        <f>IF(P1408&gt;0,1/P1408,NA())</f>
        <v>19.331740289184708</v>
      </c>
      <c r="R1408" s="75">
        <f>F1408-F1407</f>
        <v>0.0035868055555532408</v>
      </c>
      <c r="S1408" s="75">
        <f>0.5*(Q1407+Q1408)*R1408</f>
        <v>0.06928274778810459</v>
      </c>
      <c r="T1408" s="75">
        <f>0.5*(F1407*Q1407+F1408*Q1408)*R1408</f>
        <v>1.6873036008004125</v>
      </c>
      <c r="U1408" s="76">
        <f>U1407+S1408</f>
        <v>101.93092709094927</v>
      </c>
      <c r="V1408" s="76">
        <f>V1407+T1408</f>
        <v>1814.1828491821793</v>
      </c>
    </row>
    <row r="1409" spans="1:22" ht="19" customHeight="1">
      <c r="A1409" s="68" t="s">
        <v>362</v>
      </c>
      <c r="B1409" s="74">
        <v>5</v>
      </c>
      <c r="C1409" s="68" t="s">
        <v>363</v>
      </c>
      <c r="D1409" s="68" t="s">
        <v>365</v>
      </c>
      <c r="E1409" s="75">
        <f>60*F1409*'THAM_SO_MOI'!$C$53/(2*PI()*'THAM_SO_MOI'!$C$26)</f>
        <v>2400.0278421052626</v>
      </c>
      <c r="F1409" s="75">
        <f>'THAM_SO_MOI'!$C$14+('THAM_SO_MOI'!$C$37-'THAM_SO_MOI'!$C$14)*602/'THAM_SO_MOI'!$C$42</f>
        <v>24.359256944444443</v>
      </c>
      <c r="G1409" s="75">
        <f>3.6*F1409</f>
        <v>87.693325</v>
      </c>
      <c r="H1409" s="75">
        <f>'THAM_SO_MOI'!$D$53</f>
        <v>1.1</v>
      </c>
      <c r="I1409" s="75">
        <f>IF(F1409&gt;='THAM_SO_MOI'!$C$14,'THAM_SO_MOI'!$C$13*(1+F1409^2/1500),'THAM_SO_MOI'!$C$13)</f>
        <v>0.020933733988854647</v>
      </c>
      <c r="J1409" s="75">
        <f>'THAM_SO_MOI'!$C$40*('THAM_SO_MOI'!$C$23*(E1409/'THAM_SO_MOI'!$C$22)+'THAM_SO_MOI'!$C$24*(E1409/'THAM_SO_MOI'!$C$22)^2-'THAM_SO_MOI'!$C$25*(E1409/'THAM_SO_MOI'!$C$22)^3)</f>
        <v>107.42039370995926</v>
      </c>
      <c r="K1409" s="75">
        <f>'THAM_SO_MOI'!$C$31*J1409/E1409</f>
        <v>427.4878524101415</v>
      </c>
      <c r="L1409" s="75">
        <f>K1409*'THAM_SO_MOI'!$C$53*'THAM_SO_MOI'!$C$17/'THAM_SO_MOI'!$C$26</f>
        <v>3749.0701383834657</v>
      </c>
      <c r="M1409" s="75">
        <f>'THAM_SO_MOI'!$C$15*'THAM_SO_MOI'!$C$16*F1409^2</f>
        <v>1735.6171917399845</v>
      </c>
      <c r="N1409" s="75">
        <f>'THAM_SO_MOI'!$C$12*I1409</f>
        <v>1577.1642657075001</v>
      </c>
      <c r="O1409" s="75">
        <f>M1409+N1409</f>
        <v>3312.7814574474846</v>
      </c>
      <c r="P1409" s="75">
        <f>(MIN(L1409,'THAM_SO_MOI'!$C$41)-O1409)/('THAM_SO_MOI'!$C$11*H1409)</f>
        <v>0.051644019997156856</v>
      </c>
      <c r="Q1409" s="75">
        <f>IF(P1409&gt;0,1/P1409,NA())</f>
        <v>19.36332609380627</v>
      </c>
      <c r="R1409" s="75">
        <f>F1409-F1408</f>
        <v>0.0035868055555567935</v>
      </c>
      <c r="S1409" s="75">
        <f>0.5*(Q1408+Q1409)*R1409</f>
        <v>0.06939583953757547</v>
      </c>
      <c r="T1409" s="75">
        <f>0.5*(F1408*Q1408+F1409*Q1409)*R1409</f>
        <v>1.6903067330690635</v>
      </c>
      <c r="U1409" s="76">
        <f>U1408+S1409</f>
        <v>102.00032293048685</v>
      </c>
      <c r="V1409" s="76">
        <f>V1408+T1409</f>
        <v>1815.8731559152484</v>
      </c>
    </row>
    <row r="1410" spans="1:22" ht="19" customHeight="1">
      <c r="A1410" s="68" t="s">
        <v>362</v>
      </c>
      <c r="B1410" s="74">
        <v>5</v>
      </c>
      <c r="C1410" s="68" t="s">
        <v>363</v>
      </c>
      <c r="D1410" s="68" t="s">
        <v>365</v>
      </c>
      <c r="E1410" s="75">
        <f>60*F1410*'THAM_SO_MOI'!$C$53/(2*PI()*'THAM_SO_MOI'!$C$26)</f>
        <v>2400.3812368421045</v>
      </c>
      <c r="F1410" s="75">
        <f>'THAM_SO_MOI'!$C$14+('THAM_SO_MOI'!$C$37-'THAM_SO_MOI'!$C$14)*603/'THAM_SO_MOI'!$C$42</f>
        <v>24.36284375</v>
      </c>
      <c r="G1410" s="75">
        <f>3.6*F1410</f>
        <v>87.7062375</v>
      </c>
      <c r="H1410" s="75">
        <f>'THAM_SO_MOI'!$D$53</f>
        <v>1.1</v>
      </c>
      <c r="I1410" s="75">
        <f>IF(F1410&gt;='THAM_SO_MOI'!$C$14,'THAM_SO_MOI'!$C$13*(1+F1410^2/1500),'THAM_SO_MOI'!$C$13)</f>
        <v>0.020935481555869138</v>
      </c>
      <c r="J1410" s="75">
        <f>'THAM_SO_MOI'!$C$40*('THAM_SO_MOI'!$C$23*(E1410/'THAM_SO_MOI'!$C$22)+'THAM_SO_MOI'!$C$24*(E1410/'THAM_SO_MOI'!$C$22)^2-'THAM_SO_MOI'!$C$25*(E1410/'THAM_SO_MOI'!$C$22)^3)</f>
        <v>107.43419868960838</v>
      </c>
      <c r="K1410" s="75">
        <f>'THAM_SO_MOI'!$C$31*J1410/E1410</f>
        <v>427.4798456660048</v>
      </c>
      <c r="L1410" s="75">
        <f>K1410*'THAM_SO_MOI'!$C$53*'THAM_SO_MOI'!$C$17/'THAM_SO_MOI'!$C$26</f>
        <v>3748.999919206057</v>
      </c>
      <c r="M1410" s="75">
        <f>'THAM_SO_MOI'!$C$15*'THAM_SO_MOI'!$C$16*F1410^2</f>
        <v>1736.1283550917237</v>
      </c>
      <c r="N1410" s="75">
        <f>'THAM_SO_MOI'!$C$12*I1410</f>
        <v>1577.2959288044256</v>
      </c>
      <c r="O1410" s="75">
        <f>M1410+N1410</f>
        <v>3313.424283896149</v>
      </c>
      <c r="P1410" s="75">
        <f>(MIN(L1410,'THAM_SO_MOI'!$C$41)-O1410)/('THAM_SO_MOI'!$C$11*H1410)</f>
        <v>0.051559615922100795</v>
      </c>
      <c r="Q1410" s="75">
        <f>IF(P1410&gt;0,1/P1410,NA())</f>
        <v>19.3950242280869</v>
      </c>
      <c r="R1410" s="75">
        <f>F1410-F1409</f>
        <v>0.0035868055555567935</v>
      </c>
      <c r="S1410" s="75">
        <f>0.5*(Q1409+Q1410)*R1410</f>
        <v>0.06950933312939142</v>
      </c>
      <c r="T1410" s="75">
        <f>0.5*(F1409*Q1409+F1410*Q1410)*R1410</f>
        <v>1.69332046591745</v>
      </c>
      <c r="U1410" s="76">
        <f>U1409+S1410</f>
        <v>102.06983226361623</v>
      </c>
      <c r="V1410" s="76">
        <f>V1409+T1410</f>
        <v>1817.5664763811658</v>
      </c>
    </row>
    <row r="1411" spans="1:22" ht="19" customHeight="1">
      <c r="A1411" s="68" t="s">
        <v>362</v>
      </c>
      <c r="B1411" s="74">
        <v>5</v>
      </c>
      <c r="C1411" s="68" t="s">
        <v>363</v>
      </c>
      <c r="D1411" s="68" t="s">
        <v>365</v>
      </c>
      <c r="E1411" s="75">
        <f>60*F1411*'THAM_SO_MOI'!$C$53/(2*PI()*'THAM_SO_MOI'!$C$26)</f>
        <v>2400.734631578947</v>
      </c>
      <c r="F1411" s="75">
        <f>'THAM_SO_MOI'!$C$14+('THAM_SO_MOI'!$C$37-'THAM_SO_MOI'!$C$14)*604/'THAM_SO_MOI'!$C$42</f>
        <v>24.366430555555553</v>
      </c>
      <c r="G1411" s="75">
        <f>3.6*F1411</f>
        <v>87.71915</v>
      </c>
      <c r="H1411" s="75">
        <f>'THAM_SO_MOI'!$D$53</f>
        <v>1.1</v>
      </c>
      <c r="I1411" s="75">
        <f>IF(F1411&gt;='THAM_SO_MOI'!$C$14,'THAM_SO_MOI'!$C$13*(1+F1411^2/1500),'THAM_SO_MOI'!$C$13)</f>
        <v>0.020937229380187113</v>
      </c>
      <c r="J1411" s="75">
        <f>'THAM_SO_MOI'!$C$40*('THAM_SO_MOI'!$C$23*(E1411/'THAM_SO_MOI'!$C$22)+'THAM_SO_MOI'!$C$24*(E1411/'THAM_SO_MOI'!$C$22)^2-'THAM_SO_MOI'!$C$25*(E1411/'THAM_SO_MOI'!$C$22)^3)</f>
        <v>107.44800003131506</v>
      </c>
      <c r="K1411" s="75">
        <f>'THAM_SO_MOI'!$C$31*J1411/E1411</f>
        <v>427.47182680588355</v>
      </c>
      <c r="L1411" s="75">
        <f>K1411*'THAM_SO_MOI'!$C$53*'THAM_SO_MOI'!$C$17/'THAM_SO_MOI'!$C$26</f>
        <v>3748.9295937714164</v>
      </c>
      <c r="M1411" s="75">
        <f>'THAM_SO_MOI'!$C$15*'THAM_SO_MOI'!$C$16*F1411^2</f>
        <v>1736.6395937047307</v>
      </c>
      <c r="N1411" s="75">
        <f>'THAM_SO_MOI'!$C$12*I1411</f>
        <v>1577.4276112868013</v>
      </c>
      <c r="O1411" s="75">
        <f>M1411+N1411</f>
        <v>3314.067204991532</v>
      </c>
      <c r="P1411" s="75">
        <f>(MIN(L1411,'THAM_SO_MOI'!$C$41)-O1411)/('THAM_SO_MOI'!$C$11*H1411)</f>
        <v>0.05147518806580072</v>
      </c>
      <c r="Q1411" s="75">
        <f>IF(P1411&gt;0,1/P1411,NA())</f>
        <v>19.426835288521925</v>
      </c>
      <c r="R1411" s="75">
        <f>F1411-F1410</f>
        <v>0.0035868055555532408</v>
      </c>
      <c r="S1411" s="75">
        <f>0.5*(Q1410+Q1411)*R1411</f>
        <v>0.06962323069554</v>
      </c>
      <c r="T1411" s="75">
        <f>0.5*(F1410*Q1410+F1411*Q1411)*R1411</f>
        <v>1.6963448556146794</v>
      </c>
      <c r="U1411" s="76">
        <f>U1410+S1411</f>
        <v>102.13945549431178</v>
      </c>
      <c r="V1411" s="76">
        <f>V1410+T1411</f>
        <v>1819.2628212367804</v>
      </c>
    </row>
    <row r="1412" spans="1:22" ht="19" customHeight="1">
      <c r="A1412" s="68" t="s">
        <v>362</v>
      </c>
      <c r="B1412" s="74">
        <v>5</v>
      </c>
      <c r="C1412" s="68" t="s">
        <v>363</v>
      </c>
      <c r="D1412" s="68" t="s">
        <v>365</v>
      </c>
      <c r="E1412" s="75">
        <f>60*F1412*'THAM_SO_MOI'!$C$53/(2*PI()*'THAM_SO_MOI'!$C$26)</f>
        <v>2401.088026315789</v>
      </c>
      <c r="F1412" s="75">
        <f>'THAM_SO_MOI'!$C$14+('THAM_SO_MOI'!$C$37-'THAM_SO_MOI'!$C$14)*605/'THAM_SO_MOI'!$C$42</f>
        <v>24.37001736111111</v>
      </c>
      <c r="G1412" s="75">
        <f>3.6*F1412</f>
        <v>87.7320625</v>
      </c>
      <c r="H1412" s="75">
        <f>'THAM_SO_MOI'!$D$53</f>
        <v>1.1</v>
      </c>
      <c r="I1412" s="75">
        <f>IF(F1412&gt;='THAM_SO_MOI'!$C$14,'THAM_SO_MOI'!$C$13*(1+F1412^2/1500),'THAM_SO_MOI'!$C$13)</f>
        <v>0.020938977461808568</v>
      </c>
      <c r="J1412" s="75">
        <f>'THAM_SO_MOI'!$C$40*('THAM_SO_MOI'!$C$23*(E1412/'THAM_SO_MOI'!$C$22)+'THAM_SO_MOI'!$C$24*(E1412/'THAM_SO_MOI'!$C$22)^2-'THAM_SO_MOI'!$C$25*(E1412/'THAM_SO_MOI'!$C$22)^3)</f>
        <v>107.46179773373444</v>
      </c>
      <c r="K1412" s="75">
        <f>'THAM_SO_MOI'!$C$31*J1412/E1412</f>
        <v>427.46379582977784</v>
      </c>
      <c r="L1412" s="75">
        <f>K1412*'THAM_SO_MOI'!$C$53*'THAM_SO_MOI'!$C$17/'THAM_SO_MOI'!$C$26</f>
        <v>3748.859162079544</v>
      </c>
      <c r="M1412" s="75">
        <f>'THAM_SO_MOI'!$C$15*'THAM_SO_MOI'!$C$16*F1412^2</f>
        <v>1737.1509075790066</v>
      </c>
      <c r="N1412" s="75">
        <f>'THAM_SO_MOI'!$C$12*I1412</f>
        <v>1577.559313154627</v>
      </c>
      <c r="O1412" s="75">
        <f>M1412+N1412</f>
        <v>3314.710220733634</v>
      </c>
      <c r="P1412" s="75">
        <f>(MIN(L1412,'THAM_SO_MOI'!$C$41)-O1412)/('THAM_SO_MOI'!$C$11*H1412)</f>
        <v>0.05139073642825646</v>
      </c>
      <c r="Q1412" s="75">
        <f>IF(P1412&gt;0,1/P1412,NA())</f>
        <v>19.458759875839498</v>
      </c>
      <c r="R1412" s="75">
        <f>F1412-F1411</f>
        <v>0.0035868055555567935</v>
      </c>
      <c r="S1412" s="75">
        <f>0.5*(Q1411+Q1412)*R1412</f>
        <v>0.06973753438333197</v>
      </c>
      <c r="T1412" s="75">
        <f>0.5*(F1411*Q1411+F1412*Q1412)*R1412</f>
        <v>1.699379958833848</v>
      </c>
      <c r="U1412" s="76">
        <f>U1411+S1412</f>
        <v>102.20919302869511</v>
      </c>
      <c r="V1412" s="76">
        <f>V1411+T1412</f>
        <v>1820.9622011956142</v>
      </c>
    </row>
    <row r="1413" spans="1:22" ht="19" customHeight="1">
      <c r="A1413" s="68" t="s">
        <v>362</v>
      </c>
      <c r="B1413" s="74">
        <v>5</v>
      </c>
      <c r="C1413" s="68" t="s">
        <v>363</v>
      </c>
      <c r="D1413" s="68" t="s">
        <v>365</v>
      </c>
      <c r="E1413" s="75">
        <f>60*F1413*'THAM_SO_MOI'!$C$53/(2*PI()*'THAM_SO_MOI'!$C$26)</f>
        <v>2401.441421052631</v>
      </c>
      <c r="F1413" s="75">
        <f>'THAM_SO_MOI'!$C$14+('THAM_SO_MOI'!$C$37-'THAM_SO_MOI'!$C$14)*606/'THAM_SO_MOI'!$C$42</f>
        <v>24.373604166666667</v>
      </c>
      <c r="G1413" s="75">
        <f>3.6*F1413</f>
        <v>87.744975</v>
      </c>
      <c r="H1413" s="75">
        <f>'THAM_SO_MOI'!$D$53</f>
        <v>1.1</v>
      </c>
      <c r="I1413" s="75">
        <f>IF(F1413&gt;='THAM_SO_MOI'!$C$14,'THAM_SO_MOI'!$C$13*(1+F1413^2/1500),'THAM_SO_MOI'!$C$13)</f>
        <v>0.020940725800733504</v>
      </c>
      <c r="J1413" s="75">
        <f>'THAM_SO_MOI'!$C$40*('THAM_SO_MOI'!$C$23*(E1413/'THAM_SO_MOI'!$C$22)+'THAM_SO_MOI'!$C$24*(E1413/'THAM_SO_MOI'!$C$22)^2-'THAM_SO_MOI'!$C$25*(E1413/'THAM_SO_MOI'!$C$22)^3)</f>
        <v>107.47559179552161</v>
      </c>
      <c r="K1413" s="75">
        <f>'THAM_SO_MOI'!$C$31*J1413/E1413</f>
        <v>427.45575273768776</v>
      </c>
      <c r="L1413" s="75">
        <f>K1413*'THAM_SO_MOI'!$C$53*'THAM_SO_MOI'!$C$17/'THAM_SO_MOI'!$C$26</f>
        <v>3748.788624130442</v>
      </c>
      <c r="M1413" s="75">
        <f>'THAM_SO_MOI'!$C$15*'THAM_SO_MOI'!$C$16*F1413^2</f>
        <v>1737.662296714551</v>
      </c>
      <c r="N1413" s="75">
        <f>'THAM_SO_MOI'!$C$12*I1413</f>
        <v>1577.6910344079029</v>
      </c>
      <c r="O1413" s="75">
        <f>M1413+N1413</f>
        <v>3315.3533311224537</v>
      </c>
      <c r="P1413" s="75">
        <f>(MIN(L1413,'THAM_SO_MOI'!$C$41)-O1413)/('THAM_SO_MOI'!$C$11*H1413)</f>
        <v>0.05130626100946826</v>
      </c>
      <c r="Q1413" s="75">
        <f>IF(P1413&gt;0,1/P1413,NA())</f>
        <v>19.49079859503806</v>
      </c>
      <c r="R1413" s="75">
        <f>F1413-F1412</f>
        <v>0.0035868055555567935</v>
      </c>
      <c r="S1413" s="75">
        <f>0.5*(Q1412+Q1413)*R1413</f>
        <v>0.0698522463549139</v>
      </c>
      <c r="T1413" s="75">
        <f>0.5*(F1412*Q1412+F1413*Q1413)*R1413</f>
        <v>1.702425832640434</v>
      </c>
      <c r="U1413" s="76">
        <f>U1412+S1413</f>
        <v>102.27904527505002</v>
      </c>
      <c r="V1413" s="76">
        <f>V1412+T1413</f>
        <v>1822.6646270282547</v>
      </c>
    </row>
    <row r="1414" spans="1:22" ht="19" customHeight="1">
      <c r="A1414" s="68" t="s">
        <v>362</v>
      </c>
      <c r="B1414" s="74">
        <v>5</v>
      </c>
      <c r="C1414" s="68" t="s">
        <v>363</v>
      </c>
      <c r="D1414" s="68" t="s">
        <v>365</v>
      </c>
      <c r="E1414" s="75">
        <f>60*F1414*'THAM_SO_MOI'!$C$53/(2*PI()*'THAM_SO_MOI'!$C$26)</f>
        <v>2401.794815789473</v>
      </c>
      <c r="F1414" s="75">
        <f>'THAM_SO_MOI'!$C$14+('THAM_SO_MOI'!$C$37-'THAM_SO_MOI'!$C$14)*607/'THAM_SO_MOI'!$C$42</f>
        <v>24.37719097222222</v>
      </c>
      <c r="G1414" s="75">
        <f>3.6*F1414</f>
        <v>87.7578875</v>
      </c>
      <c r="H1414" s="75">
        <f>'THAM_SO_MOI'!$D$53</f>
        <v>1.1</v>
      </c>
      <c r="I1414" s="75">
        <f>IF(F1414&gt;='THAM_SO_MOI'!$C$14,'THAM_SO_MOI'!$C$13*(1+F1414^2/1500),'THAM_SO_MOI'!$C$13)</f>
        <v>0.020942474396961924</v>
      </c>
      <c r="J1414" s="75">
        <f>'THAM_SO_MOI'!$C$40*('THAM_SO_MOI'!$C$23*(E1414/'THAM_SO_MOI'!$C$22)+'THAM_SO_MOI'!$C$24*(E1414/'THAM_SO_MOI'!$C$22)^2-'THAM_SO_MOI'!$C$25*(E1414/'THAM_SO_MOI'!$C$22)^3)</f>
        <v>107.48938221533169</v>
      </c>
      <c r="K1414" s="75">
        <f>'THAM_SO_MOI'!$C$31*J1414/E1414</f>
        <v>427.4476975296132</v>
      </c>
      <c r="L1414" s="75">
        <f>K1414*'THAM_SO_MOI'!$C$53*'THAM_SO_MOI'!$C$17/'THAM_SO_MOI'!$C$26</f>
        <v>3748.7179799241085</v>
      </c>
      <c r="M1414" s="75">
        <f>'THAM_SO_MOI'!$C$15*'THAM_SO_MOI'!$C$16*F1414^2</f>
        <v>1738.173761111363</v>
      </c>
      <c r="N1414" s="75">
        <f>'THAM_SO_MOI'!$C$12*I1414</f>
        <v>1577.822775046629</v>
      </c>
      <c r="O1414" s="75">
        <f>M1414+N1414</f>
        <v>3315.996536157992</v>
      </c>
      <c r="P1414" s="75">
        <f>(MIN(L1414,'THAM_SO_MOI'!$C$41)-O1414)/('THAM_SO_MOI'!$C$11*H1414)</f>
        <v>0.05122176180943613</v>
      </c>
      <c r="Q1414" s="75">
        <f>IF(P1414&gt;0,1/P1414,NA())</f>
        <v>19.522952055424593</v>
      </c>
      <c r="R1414" s="75">
        <f>F1414-F1413</f>
        <v>0.0035868055555532408</v>
      </c>
      <c r="S1414" s="75">
        <f>0.5*(Q1413+Q1414)*R1414</f>
        <v>0.06996736878802415</v>
      </c>
      <c r="T1414" s="75">
        <f>0.5*(F1413*Q1413+F1414*Q1414)*R1414</f>
        <v>1.7054825345109934</v>
      </c>
      <c r="U1414" s="76">
        <f>U1413+S1414</f>
        <v>102.34901264383805</v>
      </c>
      <c r="V1414" s="76">
        <f>V1413+T1414</f>
        <v>1824.3701095627657</v>
      </c>
    </row>
    <row r="1415" spans="1:22" ht="19" customHeight="1">
      <c r="A1415" s="68" t="s">
        <v>362</v>
      </c>
      <c r="B1415" s="74">
        <v>5</v>
      </c>
      <c r="C1415" s="68" t="s">
        <v>363</v>
      </c>
      <c r="D1415" s="68" t="s">
        <v>365</v>
      </c>
      <c r="E1415" s="75">
        <f>60*F1415*'THAM_SO_MOI'!$C$53/(2*PI()*'THAM_SO_MOI'!$C$26)</f>
        <v>2402.148210526315</v>
      </c>
      <c r="F1415" s="75">
        <f>'THAM_SO_MOI'!$C$14+('THAM_SO_MOI'!$C$37-'THAM_SO_MOI'!$C$14)*608/'THAM_SO_MOI'!$C$42</f>
        <v>24.380777777777777</v>
      </c>
      <c r="G1415" s="75">
        <f>3.6*F1415</f>
        <v>87.7708</v>
      </c>
      <c r="H1415" s="75">
        <f>'THAM_SO_MOI'!$D$53</f>
        <v>1.1</v>
      </c>
      <c r="I1415" s="75">
        <f>IF(F1415&gt;='THAM_SO_MOI'!$C$14,'THAM_SO_MOI'!$C$13*(1+F1415^2/1500),'THAM_SO_MOI'!$C$13)</f>
        <v>0.020944223250493825</v>
      </c>
      <c r="J1415" s="75">
        <f>'THAM_SO_MOI'!$C$40*('THAM_SO_MOI'!$C$23*(E1415/'THAM_SO_MOI'!$C$22)+'THAM_SO_MOI'!$C$24*(E1415/'THAM_SO_MOI'!$C$22)^2-'THAM_SO_MOI'!$C$25*(E1415/'THAM_SO_MOI'!$C$22)^3)</f>
        <v>107.50316899181978</v>
      </c>
      <c r="K1415" s="75">
        <f>'THAM_SO_MOI'!$C$31*J1415/E1415</f>
        <v>427.4396302055541</v>
      </c>
      <c r="L1415" s="75">
        <f>K1415*'THAM_SO_MOI'!$C$53*'THAM_SO_MOI'!$C$17/'THAM_SO_MOI'!$C$26</f>
        <v>3748.647229460543</v>
      </c>
      <c r="M1415" s="75">
        <f>'THAM_SO_MOI'!$C$15*'THAM_SO_MOI'!$C$16*F1415^2</f>
        <v>1738.6853007694444</v>
      </c>
      <c r="N1415" s="75">
        <f>'THAM_SO_MOI'!$C$12*I1415</f>
        <v>1577.9545350708052</v>
      </c>
      <c r="O1415" s="75">
        <f>M1415+N1415</f>
        <v>3316.6398358402494</v>
      </c>
      <c r="P1415" s="75">
        <f>(MIN(L1415,'THAM_SO_MOI'!$C$41)-O1415)/('THAM_SO_MOI'!$C$11*H1415)</f>
        <v>0.05113723882815971</v>
      </c>
      <c r="Q1415" s="75">
        <f>IF(P1415&gt;0,1/P1415,NA())</f>
        <v>19.555220870653084</v>
      </c>
      <c r="R1415" s="75">
        <f>F1415-F1414</f>
        <v>0.0035868055555567935</v>
      </c>
      <c r="S1415" s="75">
        <f>0.5*(Q1414+Q1415)*R1415</f>
        <v>0.07008290387613224</v>
      </c>
      <c r="T1415" s="75">
        <f>0.5*(F1414*Q1414+F1415*Q1415)*R1415</f>
        <v>1.7085501223368362</v>
      </c>
      <c r="U1415" s="76">
        <f>U1414+S1415</f>
        <v>102.41909554771418</v>
      </c>
      <c r="V1415" s="76">
        <f>V1414+T1415</f>
        <v>1826.0786596851026</v>
      </c>
    </row>
    <row r="1416" spans="1:22" ht="19" customHeight="1">
      <c r="A1416" s="68" t="s">
        <v>362</v>
      </c>
      <c r="B1416" s="74">
        <v>5</v>
      </c>
      <c r="C1416" s="68" t="s">
        <v>363</v>
      </c>
      <c r="D1416" s="68" t="s">
        <v>365</v>
      </c>
      <c r="E1416" s="75">
        <f>60*F1416*'THAM_SO_MOI'!$C$53/(2*PI()*'THAM_SO_MOI'!$C$26)</f>
        <v>2402.5016052631577</v>
      </c>
      <c r="F1416" s="75">
        <f>'THAM_SO_MOI'!$C$14+('THAM_SO_MOI'!$C$37-'THAM_SO_MOI'!$C$14)*609/'THAM_SO_MOI'!$C$42</f>
        <v>24.384364583333333</v>
      </c>
      <c r="G1416" s="75">
        <f>3.6*F1416</f>
        <v>87.78371250000001</v>
      </c>
      <c r="H1416" s="75">
        <f>'THAM_SO_MOI'!$D$53</f>
        <v>1.1</v>
      </c>
      <c r="I1416" s="75">
        <f>IF(F1416&gt;='THAM_SO_MOI'!$C$14,'THAM_SO_MOI'!$C$13*(1+F1416^2/1500),'THAM_SO_MOI'!$C$13)</f>
        <v>0.02094597236132921</v>
      </c>
      <c r="J1416" s="75">
        <f>'THAM_SO_MOI'!$C$40*('THAM_SO_MOI'!$C$23*(E1416/'THAM_SO_MOI'!$C$22)+'THAM_SO_MOI'!$C$24*(E1416/'THAM_SO_MOI'!$C$22)^2-'THAM_SO_MOI'!$C$25*(E1416/'THAM_SO_MOI'!$C$22)^3)</f>
        <v>107.51695212364102</v>
      </c>
      <c r="K1416" s="75">
        <f>'THAM_SO_MOI'!$C$31*J1416/E1416</f>
        <v>427.4315507655106</v>
      </c>
      <c r="L1416" s="75">
        <f>K1416*'THAM_SO_MOI'!$C$53*'THAM_SO_MOI'!$C$17/'THAM_SO_MOI'!$C$26</f>
        <v>3748.576372739747</v>
      </c>
      <c r="M1416" s="75">
        <f>'THAM_SO_MOI'!$C$15*'THAM_SO_MOI'!$C$16*F1416^2</f>
        <v>1739.196915688794</v>
      </c>
      <c r="N1416" s="75">
        <f>'THAM_SO_MOI'!$C$12*I1416</f>
        <v>1578.0863144804318</v>
      </c>
      <c r="O1416" s="75">
        <f>M1416+N1416</f>
        <v>3317.283230169226</v>
      </c>
      <c r="P1416" s="75">
        <f>(MIN(L1416,'THAM_SO_MOI'!$C$41)-O1416)/('THAM_SO_MOI'!$C$11*H1416)</f>
        <v>0.05105269206563935</v>
      </c>
      <c r="Q1416" s="75">
        <f>IF(P1416&gt;0,1/P1416,NA())</f>
        <v>19.587605658762957</v>
      </c>
      <c r="R1416" s="75">
        <f>F1416-F1415</f>
        <v>0.0035868055555567935</v>
      </c>
      <c r="S1416" s="75">
        <f>0.5*(Q1415+Q1416)*R1416</f>
        <v>0.07019885382795264</v>
      </c>
      <c r="T1416" s="75">
        <f>0.5*(F1415*Q1415+F1416*Q1416)*R1416</f>
        <v>1.7116286544124546</v>
      </c>
      <c r="U1416" s="76">
        <f>U1415+S1416</f>
        <v>102.48929440154213</v>
      </c>
      <c r="V1416" s="76">
        <f>V1415+T1416</f>
        <v>1827.790288339515</v>
      </c>
    </row>
    <row r="1417" spans="1:22" ht="19" customHeight="1">
      <c r="A1417" s="68" t="s">
        <v>362</v>
      </c>
      <c r="B1417" s="74">
        <v>5</v>
      </c>
      <c r="C1417" s="68" t="s">
        <v>363</v>
      </c>
      <c r="D1417" s="68" t="s">
        <v>365</v>
      </c>
      <c r="E1417" s="75">
        <f>60*F1417*'THAM_SO_MOI'!$C$53/(2*PI()*'THAM_SO_MOI'!$C$26)</f>
        <v>2402.854999999999</v>
      </c>
      <c r="F1417" s="75">
        <f>'THAM_SO_MOI'!$C$14+('THAM_SO_MOI'!$C$37-'THAM_SO_MOI'!$C$14)*610/'THAM_SO_MOI'!$C$42</f>
        <v>24.387951388888887</v>
      </c>
      <c r="G1417" s="75">
        <f>3.6*F1417</f>
        <v>87.79662499999999</v>
      </c>
      <c r="H1417" s="75">
        <f>'THAM_SO_MOI'!$D$53</f>
        <v>1.1</v>
      </c>
      <c r="I1417" s="75">
        <f>IF(F1417&gt;='THAM_SO_MOI'!$C$14,'THAM_SO_MOI'!$C$13*(1+F1417^2/1500),'THAM_SO_MOI'!$C$13)</f>
        <v>0.020947721729468072</v>
      </c>
      <c r="J1417" s="75">
        <f>'THAM_SO_MOI'!$C$40*('THAM_SO_MOI'!$C$23*(E1417/'THAM_SO_MOI'!$C$22)+'THAM_SO_MOI'!$C$24*(E1417/'THAM_SO_MOI'!$C$22)^2-'THAM_SO_MOI'!$C$25*(E1417/'THAM_SO_MOI'!$C$22)^3)</f>
        <v>107.53073160945048</v>
      </c>
      <c r="K1417" s="75">
        <f>'THAM_SO_MOI'!$C$31*J1417/E1417</f>
        <v>427.42345920948276</v>
      </c>
      <c r="L1417" s="75">
        <f>K1417*'THAM_SO_MOI'!$C$53*'THAM_SO_MOI'!$C$17/'THAM_SO_MOI'!$C$26</f>
        <v>3748.50540976172</v>
      </c>
      <c r="M1417" s="75">
        <f>'THAM_SO_MOI'!$C$15*'THAM_SO_MOI'!$C$16*F1417^2</f>
        <v>1739.7086058694117</v>
      </c>
      <c r="N1417" s="75">
        <f>'THAM_SO_MOI'!$C$12*I1417</f>
        <v>1578.2181132755081</v>
      </c>
      <c r="O1417" s="75">
        <f>M1417+N1417</f>
        <v>3317.92671914492</v>
      </c>
      <c r="P1417" s="75">
        <f>(MIN(L1417,'THAM_SO_MOI'!$C$41)-O1417)/('THAM_SO_MOI'!$C$11*H1417)</f>
        <v>0.05096812152187501</v>
      </c>
      <c r="Q1417" s="75">
        <f>IF(P1417&gt;0,1/P1417,NA())</f>
        <v>19.620107042218734</v>
      </c>
      <c r="R1417" s="75">
        <f>F1417-F1416</f>
        <v>0.0035868055555532408</v>
      </c>
      <c r="S1417" s="75">
        <f>0.5*(Q1416+Q1417)*R1417</f>
        <v>0.07031522086820824</v>
      </c>
      <c r="T1417" s="75">
        <f>0.5*(F1416*Q1416+F1417*Q1417)*R1417</f>
        <v>1.7147181894544123</v>
      </c>
      <c r="U1417" s="76">
        <f>U1416+S1417</f>
        <v>102.55960962241033</v>
      </c>
      <c r="V1417" s="76">
        <f>V1416+T1417</f>
        <v>1829.5050065289695</v>
      </c>
    </row>
    <row r="1418" spans="1:22" ht="19" customHeight="1">
      <c r="A1418" s="68" t="s">
        <v>362</v>
      </c>
      <c r="B1418" s="74">
        <v>5</v>
      </c>
      <c r="C1418" s="68" t="s">
        <v>363</v>
      </c>
      <c r="D1418" s="68" t="s">
        <v>365</v>
      </c>
      <c r="E1418" s="75">
        <f>60*F1418*'THAM_SO_MOI'!$C$53/(2*PI()*'THAM_SO_MOI'!$C$26)</f>
        <v>2403.208394736842</v>
      </c>
      <c r="F1418" s="75">
        <f>'THAM_SO_MOI'!$C$14+('THAM_SO_MOI'!$C$37-'THAM_SO_MOI'!$C$14)*611/'THAM_SO_MOI'!$C$42</f>
        <v>24.391538194444443</v>
      </c>
      <c r="G1418" s="75">
        <f>3.6*F1418</f>
        <v>87.8095375</v>
      </c>
      <c r="H1418" s="75">
        <f>'THAM_SO_MOI'!$D$53</f>
        <v>1.1</v>
      </c>
      <c r="I1418" s="75">
        <f>IF(F1418&gt;='THAM_SO_MOI'!$C$14,'THAM_SO_MOI'!$C$13*(1+F1418^2/1500),'THAM_SO_MOI'!$C$13)</f>
        <v>0.02094947135491042</v>
      </c>
      <c r="J1418" s="75">
        <f>'THAM_SO_MOI'!$C$40*('THAM_SO_MOI'!$C$23*(E1418/'THAM_SO_MOI'!$C$22)+'THAM_SO_MOI'!$C$24*(E1418/'THAM_SO_MOI'!$C$22)^2-'THAM_SO_MOI'!$C$25*(E1418/'THAM_SO_MOI'!$C$22)^3)</f>
        <v>107.54450744790333</v>
      </c>
      <c r="K1418" s="75">
        <f>'THAM_SO_MOI'!$C$31*J1418/E1418</f>
        <v>427.41535553747036</v>
      </c>
      <c r="L1418" s="75">
        <f>K1418*'THAM_SO_MOI'!$C$53*'THAM_SO_MOI'!$C$17/'THAM_SO_MOI'!$C$26</f>
        <v>3748.434340526462</v>
      </c>
      <c r="M1418" s="75">
        <f>'THAM_SO_MOI'!$C$15*'THAM_SO_MOI'!$C$16*F1418^2</f>
        <v>1740.220371311298</v>
      </c>
      <c r="N1418" s="75">
        <f>'THAM_SO_MOI'!$C$12*I1418</f>
        <v>1578.3499314560352</v>
      </c>
      <c r="O1418" s="75">
        <f>M1418+N1418</f>
        <v>3318.5703027673335</v>
      </c>
      <c r="P1418" s="75">
        <f>(MIN(L1418,'THAM_SO_MOI'!$C$41)-O1418)/('THAM_SO_MOI'!$C$11*H1418)</f>
        <v>0.05088352719686658</v>
      </c>
      <c r="Q1418" s="75">
        <f>IF(P1418&gt;0,1/P1418,NA())</f>
        <v>19.65272564794958</v>
      </c>
      <c r="R1418" s="75">
        <f>F1418-F1417</f>
        <v>0.0035868055555567935</v>
      </c>
      <c r="S1418" s="75">
        <f>0.5*(Q1417+Q1418)*R1418</f>
        <v>0.07043200723777408</v>
      </c>
      <c r="T1418" s="75">
        <f>0.5*(F1417*Q1417+F1418*Q1418)*R1418</f>
        <v>1.7178187866051395</v>
      </c>
      <c r="U1418" s="76">
        <f>U1417+S1418</f>
        <v>102.6300416296481</v>
      </c>
      <c r="V1418" s="76">
        <f>V1417+T1418</f>
        <v>1831.2228253155747</v>
      </c>
    </row>
    <row r="1419" spans="1:22" ht="19" customHeight="1">
      <c r="A1419" s="68" t="s">
        <v>362</v>
      </c>
      <c r="B1419" s="74">
        <v>5</v>
      </c>
      <c r="C1419" s="68" t="s">
        <v>363</v>
      </c>
      <c r="D1419" s="68" t="s">
        <v>365</v>
      </c>
      <c r="E1419" s="75">
        <f>60*F1419*'THAM_SO_MOI'!$C$53/(2*PI()*'THAM_SO_MOI'!$C$26)</f>
        <v>2403.561789473684</v>
      </c>
      <c r="F1419" s="75">
        <f>'THAM_SO_MOI'!$C$14+('THAM_SO_MOI'!$C$37-'THAM_SO_MOI'!$C$14)*612/'THAM_SO_MOI'!$C$42</f>
        <v>24.395125</v>
      </c>
      <c r="G1419" s="75">
        <f>3.6*F1419</f>
        <v>87.82245</v>
      </c>
      <c r="H1419" s="75">
        <f>'THAM_SO_MOI'!$D$53</f>
        <v>1.1</v>
      </c>
      <c r="I1419" s="75">
        <f>IF(F1419&gt;='THAM_SO_MOI'!$C$14,'THAM_SO_MOI'!$C$13*(1+F1419^2/1500),'THAM_SO_MOI'!$C$13)</f>
        <v>0.020951221237656248</v>
      </c>
      <c r="J1419" s="75">
        <f>'THAM_SO_MOI'!$C$40*('THAM_SO_MOI'!$C$23*(E1419/'THAM_SO_MOI'!$C$22)+'THAM_SO_MOI'!$C$24*(E1419/'THAM_SO_MOI'!$C$22)^2-'THAM_SO_MOI'!$C$25*(E1419/'THAM_SO_MOI'!$C$22)^3)</f>
        <v>107.55827963765459</v>
      </c>
      <c r="K1419" s="75">
        <f>'THAM_SO_MOI'!$C$31*J1419/E1419</f>
        <v>427.40723974947343</v>
      </c>
      <c r="L1419" s="75">
        <f>K1419*'THAM_SO_MOI'!$C$53*'THAM_SO_MOI'!$C$17/'THAM_SO_MOI'!$C$26</f>
        <v>3748.3631650339726</v>
      </c>
      <c r="M1419" s="75">
        <f>'THAM_SO_MOI'!$C$15*'THAM_SO_MOI'!$C$16*F1419^2</f>
        <v>1740.7322120144534</v>
      </c>
      <c r="N1419" s="75">
        <f>'THAM_SO_MOI'!$C$12*I1419</f>
        <v>1578.4817690220118</v>
      </c>
      <c r="O1419" s="75">
        <f>M1419+N1419</f>
        <v>3319.213981036465</v>
      </c>
      <c r="P1419" s="75">
        <f>(MIN(L1419,'THAM_SO_MOI'!$C$41)-O1419)/('THAM_SO_MOI'!$C$11*H1419)</f>
        <v>0.05079890909061404</v>
      </c>
      <c r="Q1419" s="75">
        <f>IF(P1419&gt;0,1/P1419,NA())</f>
        <v>19.68546210738937</v>
      </c>
      <c r="R1419" s="75">
        <f>F1419-F1418</f>
        <v>0.0035868055555567935</v>
      </c>
      <c r="S1419" s="75">
        <f>0.5*(Q1418+Q1419)*R1419</f>
        <v>0.07054921519319299</v>
      </c>
      <c r="T1419" s="75">
        <f>0.5*(F1418*Q1418+F1419*Q1419)*R1419</f>
        <v>1.720930505421407</v>
      </c>
      <c r="U1419" s="76">
        <f>U1418+S1419</f>
        <v>102.7005908448413</v>
      </c>
      <c r="V1419" s="76">
        <f>V1418+T1419</f>
        <v>1832.943755820996</v>
      </c>
    </row>
    <row r="1420" spans="1:22" ht="19" customHeight="1">
      <c r="A1420" s="68" t="s">
        <v>362</v>
      </c>
      <c r="B1420" s="74">
        <v>5</v>
      </c>
      <c r="C1420" s="68" t="s">
        <v>363</v>
      </c>
      <c r="D1420" s="68" t="s">
        <v>365</v>
      </c>
      <c r="E1420" s="75">
        <f>60*F1420*'THAM_SO_MOI'!$C$53/(2*PI()*'THAM_SO_MOI'!$C$26)</f>
        <v>2403.9151842105257</v>
      </c>
      <c r="F1420" s="75">
        <f>'THAM_SO_MOI'!$C$14+('THAM_SO_MOI'!$C$37-'THAM_SO_MOI'!$C$14)*613/'THAM_SO_MOI'!$C$42</f>
        <v>24.398711805555553</v>
      </c>
      <c r="G1420" s="75">
        <f>3.6*F1420</f>
        <v>87.83536249999999</v>
      </c>
      <c r="H1420" s="75">
        <f>'THAM_SO_MOI'!$D$53</f>
        <v>1.1</v>
      </c>
      <c r="I1420" s="75">
        <f>IF(F1420&gt;='THAM_SO_MOI'!$C$14,'THAM_SO_MOI'!$C$13*(1+F1420^2/1500),'THAM_SO_MOI'!$C$13)</f>
        <v>0.02095297137770556</v>
      </c>
      <c r="J1420" s="75">
        <f>'THAM_SO_MOI'!$C$40*('THAM_SO_MOI'!$C$23*(E1420/'THAM_SO_MOI'!$C$22)+'THAM_SO_MOI'!$C$24*(E1420/'THAM_SO_MOI'!$C$22)^2-'THAM_SO_MOI'!$C$25*(E1420/'THAM_SO_MOI'!$C$22)^3)</f>
        <v>107.57204817735942</v>
      </c>
      <c r="K1420" s="75">
        <f>'THAM_SO_MOI'!$C$31*J1420/E1420</f>
        <v>427.3991118454921</v>
      </c>
      <c r="L1420" s="75">
        <f>K1420*'THAM_SO_MOI'!$C$53*'THAM_SO_MOI'!$C$17/'THAM_SO_MOI'!$C$26</f>
        <v>3748.291883284252</v>
      </c>
      <c r="M1420" s="75">
        <f>'THAM_SO_MOI'!$C$15*'THAM_SO_MOI'!$C$16*F1420^2</f>
        <v>1741.2441279788763</v>
      </c>
      <c r="N1420" s="75">
        <f>'THAM_SO_MOI'!$C$12*I1420</f>
        <v>1578.613625973439</v>
      </c>
      <c r="O1420" s="75">
        <f>M1420+N1420</f>
        <v>3319.8577539523153</v>
      </c>
      <c r="P1420" s="75">
        <f>(MIN(L1420,'THAM_SO_MOI'!$C$41)-O1420)/('THAM_SO_MOI'!$C$11*H1420)</f>
        <v>0.0507142672031175</v>
      </c>
      <c r="Q1420" s="75">
        <f>IF(P1420&gt;0,1/P1420,NA())</f>
        <v>19.718317056517147</v>
      </c>
      <c r="R1420" s="75">
        <f>F1420-F1419</f>
        <v>0.0035868055555532408</v>
      </c>
      <c r="S1420" s="75">
        <f>0.5*(Q1419+Q1420)*R1420</f>
        <v>0.07066684700744646</v>
      </c>
      <c r="T1420" s="75">
        <f>0.5*(F1419*Q1419+F1420*Q1420)*R1420</f>
        <v>1.7240534058934123</v>
      </c>
      <c r="U1420" s="76">
        <f>U1419+S1420</f>
        <v>102.77125769184875</v>
      </c>
      <c r="V1420" s="76">
        <f>V1419+T1420</f>
        <v>1834.6678092268894</v>
      </c>
    </row>
    <row r="1421" spans="1:22" ht="19" customHeight="1">
      <c r="A1421" s="68" t="s">
        <v>362</v>
      </c>
      <c r="B1421" s="74">
        <v>5</v>
      </c>
      <c r="C1421" s="68" t="s">
        <v>363</v>
      </c>
      <c r="D1421" s="68" t="s">
        <v>365</v>
      </c>
      <c r="E1421" s="75">
        <f>60*F1421*'THAM_SO_MOI'!$C$53/(2*PI()*'THAM_SO_MOI'!$C$26)</f>
        <v>2404.2685789473676</v>
      </c>
      <c r="F1421" s="75">
        <f>'THAM_SO_MOI'!$C$14+('THAM_SO_MOI'!$C$37-'THAM_SO_MOI'!$C$14)*614/'THAM_SO_MOI'!$C$42</f>
        <v>24.40229861111111</v>
      </c>
      <c r="G1421" s="75">
        <f>3.6*F1421</f>
        <v>87.848275</v>
      </c>
      <c r="H1421" s="75">
        <f>'THAM_SO_MOI'!$D$53</f>
        <v>1.1</v>
      </c>
      <c r="I1421" s="75">
        <f>IF(F1421&gt;='THAM_SO_MOI'!$C$14,'THAM_SO_MOI'!$C$13*(1+F1421^2/1500),'THAM_SO_MOI'!$C$13)</f>
        <v>0.02095472177505835</v>
      </c>
      <c r="J1421" s="75">
        <f>'THAM_SO_MOI'!$C$40*('THAM_SO_MOI'!$C$23*(E1421/'THAM_SO_MOI'!$C$22)+'THAM_SO_MOI'!$C$24*(E1421/'THAM_SO_MOI'!$C$22)^2-'THAM_SO_MOI'!$C$25*(E1421/'THAM_SO_MOI'!$C$22)^3)</f>
        <v>107.58581306567294</v>
      </c>
      <c r="K1421" s="75">
        <f>'THAM_SO_MOI'!$C$31*J1421/E1421</f>
        <v>427.3909718255263</v>
      </c>
      <c r="L1421" s="75">
        <f>K1421*'THAM_SO_MOI'!$C$53*'THAM_SO_MOI'!$C$17/'THAM_SO_MOI'!$C$26</f>
        <v>3748.2204952773</v>
      </c>
      <c r="M1421" s="75">
        <f>'THAM_SO_MOI'!$C$15*'THAM_SO_MOI'!$C$16*F1421^2</f>
        <v>1741.7561192045682</v>
      </c>
      <c r="N1421" s="75">
        <f>'THAM_SO_MOI'!$C$12*I1421</f>
        <v>1578.7455023103162</v>
      </c>
      <c r="O1421" s="75">
        <f>M1421+N1421</f>
        <v>3320.5016215148844</v>
      </c>
      <c r="P1421" s="75">
        <f>(MIN(L1421,'THAM_SO_MOI'!$C$41)-O1421)/('THAM_SO_MOI'!$C$11*H1421)</f>
        <v>0.050629601534376845</v>
      </c>
      <c r="Q1421" s="75">
        <f>IF(P1421&gt;0,1/P1421,NA())</f>
        <v>19.751291135898292</v>
      </c>
      <c r="R1421" s="75">
        <f>F1421-F1420</f>
        <v>0.0035868055555567935</v>
      </c>
      <c r="S1421" s="75">
        <f>0.5*(Q1420+Q1421)*R1421</f>
        <v>0.07078490497010281</v>
      </c>
      <c r="T1421" s="75">
        <f>0.5*(F1420*Q1420+F1421*Q1421)*R1421</f>
        <v>1.7271875484486914</v>
      </c>
      <c r="U1421" s="76">
        <f>U1420+S1421</f>
        <v>102.84204259681884</v>
      </c>
      <c r="V1421" s="76">
        <f>V1420+T1421</f>
        <v>1836.394996775338</v>
      </c>
    </row>
    <row r="1422" spans="1:22" ht="19" customHeight="1">
      <c r="A1422" s="68" t="s">
        <v>362</v>
      </c>
      <c r="B1422" s="74">
        <v>5</v>
      </c>
      <c r="C1422" s="68" t="s">
        <v>363</v>
      </c>
      <c r="D1422" s="68" t="s">
        <v>365</v>
      </c>
      <c r="E1422" s="75">
        <f>60*F1422*'THAM_SO_MOI'!$C$53/(2*PI()*'THAM_SO_MOI'!$C$26)</f>
        <v>2404.62197368421</v>
      </c>
      <c r="F1422" s="75">
        <f>'THAM_SO_MOI'!$C$14+('THAM_SO_MOI'!$C$37-'THAM_SO_MOI'!$C$14)*615/'THAM_SO_MOI'!$C$42</f>
        <v>24.405885416666663</v>
      </c>
      <c r="G1422" s="75">
        <f>3.6*F1422</f>
        <v>87.86118749999999</v>
      </c>
      <c r="H1422" s="75">
        <f>'THAM_SO_MOI'!$D$53</f>
        <v>1.1</v>
      </c>
      <c r="I1422" s="75">
        <f>IF(F1422&gt;='THAM_SO_MOI'!$C$14,'THAM_SO_MOI'!$C$13*(1+F1422^2/1500),'THAM_SO_MOI'!$C$13)</f>
        <v>0.020956472429714625</v>
      </c>
      <c r="J1422" s="75">
        <f>'THAM_SO_MOI'!$C$40*('THAM_SO_MOI'!$C$23*(E1422/'THAM_SO_MOI'!$C$22)+'THAM_SO_MOI'!$C$24*(E1422/'THAM_SO_MOI'!$C$22)^2-'THAM_SO_MOI'!$C$25*(E1422/'THAM_SO_MOI'!$C$22)^3)</f>
        <v>107.59957430125029</v>
      </c>
      <c r="K1422" s="75">
        <f>'THAM_SO_MOI'!$C$31*J1422/E1422</f>
        <v>427.38281968957614</v>
      </c>
      <c r="L1422" s="75">
        <f>K1422*'THAM_SO_MOI'!$C$53*'THAM_SO_MOI'!$C$17/'THAM_SO_MOI'!$C$26</f>
        <v>3748.1490010131183</v>
      </c>
      <c r="M1422" s="75">
        <f>'THAM_SO_MOI'!$C$15*'THAM_SO_MOI'!$C$16*F1422^2</f>
        <v>1742.268185691528</v>
      </c>
      <c r="N1422" s="75">
        <f>'THAM_SO_MOI'!$C$12*I1422</f>
        <v>1578.8773980326437</v>
      </c>
      <c r="O1422" s="75">
        <f>M1422+N1422</f>
        <v>3321.145583724172</v>
      </c>
      <c r="P1422" s="75">
        <f>(MIN(L1422,'THAM_SO_MOI'!$C$41)-O1422)/('THAM_SO_MOI'!$C$11*H1422)</f>
        <v>0.05054491208439235</v>
      </c>
      <c r="Q1422" s="75">
        <f>IF(P1422&gt;0,1/P1422,NA())</f>
        <v>19.78438499072566</v>
      </c>
      <c r="R1422" s="75">
        <f>F1422-F1421</f>
        <v>0.0035868055555532408</v>
      </c>
      <c r="S1422" s="75">
        <f>0.5*(Q1421+Q1422)*R1422</f>
        <v>0.07090339138676421</v>
      </c>
      <c r="T1422" s="75">
        <f>0.5*(F1421*Q1421+F1422*Q1422)*R1422</f>
        <v>1.7303329939389214</v>
      </c>
      <c r="U1422" s="76">
        <f>U1421+S1422</f>
        <v>102.9129459882056</v>
      </c>
      <c r="V1422" s="76">
        <f>V1421+T1422</f>
        <v>1838.125329769277</v>
      </c>
    </row>
    <row r="1423" spans="1:22" ht="19" customHeight="1">
      <c r="A1423" s="68" t="s">
        <v>362</v>
      </c>
      <c r="B1423" s="74">
        <v>5</v>
      </c>
      <c r="C1423" s="68" t="s">
        <v>363</v>
      </c>
      <c r="D1423" s="68" t="s">
        <v>365</v>
      </c>
      <c r="E1423" s="75">
        <f>60*F1423*'THAM_SO_MOI'!$C$53/(2*PI()*'THAM_SO_MOI'!$C$26)</f>
        <v>2404.975368421052</v>
      </c>
      <c r="F1423" s="75">
        <f>'THAM_SO_MOI'!$C$14+('THAM_SO_MOI'!$C$37-'THAM_SO_MOI'!$C$14)*616/'THAM_SO_MOI'!$C$42</f>
        <v>24.40947222222222</v>
      </c>
      <c r="G1423" s="75">
        <f>3.6*F1423</f>
        <v>87.8741</v>
      </c>
      <c r="H1423" s="75">
        <f>'THAM_SO_MOI'!$D$53</f>
        <v>1.1</v>
      </c>
      <c r="I1423" s="75">
        <f>IF(F1423&gt;='THAM_SO_MOI'!$C$14,'THAM_SO_MOI'!$C$13*(1+F1423^2/1500),'THAM_SO_MOI'!$C$13)</f>
        <v>0.02095822334167438</v>
      </c>
      <c r="J1423" s="75">
        <f>'THAM_SO_MOI'!$C$40*('THAM_SO_MOI'!$C$23*(E1423/'THAM_SO_MOI'!$C$22)+'THAM_SO_MOI'!$C$24*(E1423/'THAM_SO_MOI'!$C$22)^2-'THAM_SO_MOI'!$C$25*(E1423/'THAM_SO_MOI'!$C$22)^3)</f>
        <v>107.61333188274648</v>
      </c>
      <c r="K1423" s="75">
        <f>'THAM_SO_MOI'!$C$31*J1423/E1423</f>
        <v>427.37465543764137</v>
      </c>
      <c r="L1423" s="75">
        <f>K1423*'THAM_SO_MOI'!$C$53*'THAM_SO_MOI'!$C$17/'THAM_SO_MOI'!$C$26</f>
        <v>3748.077400491704</v>
      </c>
      <c r="M1423" s="75">
        <f>'THAM_SO_MOI'!$C$15*'THAM_SO_MOI'!$C$16*F1423^2</f>
        <v>1742.7803274397568</v>
      </c>
      <c r="N1423" s="75">
        <f>'THAM_SO_MOI'!$C$12*I1423</f>
        <v>1579.0093131404212</v>
      </c>
      <c r="O1423" s="75">
        <f>M1423+N1423</f>
        <v>3321.789640580178</v>
      </c>
      <c r="P1423" s="75">
        <f>(MIN(L1423,'THAM_SO_MOI'!$C$41)-O1423)/('THAM_SO_MOI'!$C$11*H1423)</f>
        <v>0.05046019885316357</v>
      </c>
      <c r="Q1423" s="75">
        <f>IF(P1423&gt;0,1/P1423,NA())</f>
        <v>19.817599270861884</v>
      </c>
      <c r="R1423" s="75">
        <f>F1423-F1422</f>
        <v>0.0035868055555567935</v>
      </c>
      <c r="S1423" s="75">
        <f>0.5*(Q1422+Q1423)*R1423</f>
        <v>0.07102230858026745</v>
      </c>
      <c r="T1423" s="75">
        <f>0.5*(F1422*Q1422+F1423*Q1423)*R1423</f>
        <v>1.7334898036695152</v>
      </c>
      <c r="U1423" s="76">
        <f>U1422+S1423</f>
        <v>102.98396829678587</v>
      </c>
      <c r="V1423" s="76">
        <f>V1422+T1423</f>
        <v>1839.8588195729465</v>
      </c>
    </row>
    <row r="1424" spans="1:22" ht="19" customHeight="1">
      <c r="A1424" s="68" t="s">
        <v>362</v>
      </c>
      <c r="B1424" s="74">
        <v>5</v>
      </c>
      <c r="C1424" s="68" t="s">
        <v>363</v>
      </c>
      <c r="D1424" s="68" t="s">
        <v>365</v>
      </c>
      <c r="E1424" s="75">
        <f>60*F1424*'THAM_SO_MOI'!$C$53/(2*PI()*'THAM_SO_MOI'!$C$26)</f>
        <v>2405.3287631578946</v>
      </c>
      <c r="F1424" s="75">
        <f>'THAM_SO_MOI'!$C$14+('THAM_SO_MOI'!$C$37-'THAM_SO_MOI'!$C$14)*617/'THAM_SO_MOI'!$C$42</f>
        <v>24.413059027777777</v>
      </c>
      <c r="G1424" s="75">
        <f>3.6*F1424</f>
        <v>87.8870125</v>
      </c>
      <c r="H1424" s="75">
        <f>'THAM_SO_MOI'!$D$53</f>
        <v>1.1</v>
      </c>
      <c r="I1424" s="75">
        <f>IF(F1424&gt;='THAM_SO_MOI'!$C$14,'THAM_SO_MOI'!$C$13*(1+F1424^2/1500),'THAM_SO_MOI'!$C$13)</f>
        <v>0.02095997451093762</v>
      </c>
      <c r="J1424" s="75">
        <f>'THAM_SO_MOI'!$C$40*('THAM_SO_MOI'!$C$23*(E1424/'THAM_SO_MOI'!$C$22)+'THAM_SO_MOI'!$C$24*(E1424/'THAM_SO_MOI'!$C$22)^2-'THAM_SO_MOI'!$C$25*(E1424/'THAM_SO_MOI'!$C$22)^3)</f>
        <v>107.62708580881672</v>
      </c>
      <c r="K1424" s="75">
        <f>'THAM_SO_MOI'!$C$31*J1424/E1424</f>
        <v>427.3664790697222</v>
      </c>
      <c r="L1424" s="75">
        <f>K1424*'THAM_SO_MOI'!$C$53*'THAM_SO_MOI'!$C$17/'THAM_SO_MOI'!$C$26</f>
        <v>3748.0056937130585</v>
      </c>
      <c r="M1424" s="75">
        <f>'THAM_SO_MOI'!$C$15*'THAM_SO_MOI'!$C$16*F1424^2</f>
        <v>1743.2925444492541</v>
      </c>
      <c r="N1424" s="75">
        <f>'THAM_SO_MOI'!$C$12*I1424</f>
        <v>1579.1412476336493</v>
      </c>
      <c r="O1424" s="75">
        <f>M1424+N1424</f>
        <v>3322.4337920829034</v>
      </c>
      <c r="P1424" s="75">
        <f>(MIN(L1424,'THAM_SO_MOI'!$C$41)-O1424)/('THAM_SO_MOI'!$C$11*H1424)</f>
        <v>0.0503754618406907</v>
      </c>
      <c r="Q1424" s="75">
        <f>IF(P1424&gt;0,1/P1424,NA())</f>
        <v>19.85093463088117</v>
      </c>
      <c r="R1424" s="75">
        <f>F1424-F1423</f>
        <v>0.0035868055555567935</v>
      </c>
      <c r="S1424" s="75">
        <f>0.5*(Q1423+Q1424)*R1424</f>
        <v>0.0711416588897825</v>
      </c>
      <c r="T1424" s="75">
        <f>0.5*(F1423*Q1423+F1424*Q1424)*R1424</f>
        <v>1.7366580393779254</v>
      </c>
      <c r="U1424" s="76">
        <f>U1423+S1424</f>
        <v>103.05510995567566</v>
      </c>
      <c r="V1424" s="76">
        <f>V1423+T1424</f>
        <v>1841.5954776123244</v>
      </c>
    </row>
    <row r="1425" spans="1:22" ht="19" customHeight="1">
      <c r="A1425" s="68" t="s">
        <v>362</v>
      </c>
      <c r="B1425" s="74">
        <v>5</v>
      </c>
      <c r="C1425" s="68" t="s">
        <v>363</v>
      </c>
      <c r="D1425" s="68" t="s">
        <v>365</v>
      </c>
      <c r="E1425" s="75">
        <f>60*F1425*'THAM_SO_MOI'!$C$53/(2*PI()*'THAM_SO_MOI'!$C$26)</f>
        <v>2405.6821578947365</v>
      </c>
      <c r="F1425" s="75">
        <f>'THAM_SO_MOI'!$C$14+('THAM_SO_MOI'!$C$37-'THAM_SO_MOI'!$C$14)*618/'THAM_SO_MOI'!$C$42</f>
        <v>24.416645833333334</v>
      </c>
      <c r="G1425" s="75">
        <f>3.6*F1425</f>
        <v>87.89992500000001</v>
      </c>
      <c r="H1425" s="75">
        <f>'THAM_SO_MOI'!$D$53</f>
        <v>1.1</v>
      </c>
      <c r="I1425" s="75">
        <f>IF(F1425&gt;='THAM_SO_MOI'!$C$14,'THAM_SO_MOI'!$C$13*(1+F1425^2/1500),'THAM_SO_MOI'!$C$13)</f>
        <v>0.020961725937504342</v>
      </c>
      <c r="J1425" s="75">
        <f>'THAM_SO_MOI'!$C$40*('THAM_SO_MOI'!$C$23*(E1425/'THAM_SO_MOI'!$C$22)+'THAM_SO_MOI'!$C$24*(E1425/'THAM_SO_MOI'!$C$22)^2-'THAM_SO_MOI'!$C$25*(E1425/'THAM_SO_MOI'!$C$22)^3)</f>
        <v>107.64083607811605</v>
      </c>
      <c r="K1425" s="75">
        <f>'THAM_SO_MOI'!$C$31*J1425/E1425</f>
        <v>427.35829058581857</v>
      </c>
      <c r="L1425" s="75">
        <f>K1425*'THAM_SO_MOI'!$C$53*'THAM_SO_MOI'!$C$17/'THAM_SO_MOI'!$C$26</f>
        <v>3747.9338806771825</v>
      </c>
      <c r="M1425" s="75">
        <f>'THAM_SO_MOI'!$C$15*'THAM_SO_MOI'!$C$16*F1425^2</f>
        <v>1743.8048367200197</v>
      </c>
      <c r="N1425" s="75">
        <f>'THAM_SO_MOI'!$C$12*I1425</f>
        <v>1579.2732015123272</v>
      </c>
      <c r="O1425" s="75">
        <f>M1425+N1425</f>
        <v>3323.078038232347</v>
      </c>
      <c r="P1425" s="75">
        <f>(MIN(L1425,'THAM_SO_MOI'!$C$41)-O1425)/('THAM_SO_MOI'!$C$11*H1425)</f>
        <v>0.05029070104697391</v>
      </c>
      <c r="Q1425" s="75">
        <f>IF(P1425&gt;0,1/P1425,NA())</f>
        <v>19.884391730112338</v>
      </c>
      <c r="R1425" s="75">
        <f>F1425-F1424</f>
        <v>0.0035868055555567935</v>
      </c>
      <c r="S1425" s="75">
        <f>0.5*(Q1424+Q1425)*R1425</f>
        <v>0.07126144467173691</v>
      </c>
      <c r="T1425" s="75">
        <f>0.5*(F1424*Q1424+F1425*Q1425)*R1425</f>
        <v>1.7398377632565076</v>
      </c>
      <c r="U1425" s="76">
        <f>U1424+S1425</f>
        <v>103.1263714003474</v>
      </c>
      <c r="V1425" s="76">
        <f>V1424+T1425</f>
        <v>1843.3353153755809</v>
      </c>
    </row>
    <row r="1426" spans="1:22" ht="19" customHeight="1">
      <c r="A1426" s="68" t="s">
        <v>362</v>
      </c>
      <c r="B1426" s="74">
        <v>5</v>
      </c>
      <c r="C1426" s="68" t="s">
        <v>363</v>
      </c>
      <c r="D1426" s="68" t="s">
        <v>365</v>
      </c>
      <c r="E1426" s="75">
        <f>60*F1426*'THAM_SO_MOI'!$C$53/(2*PI()*'THAM_SO_MOI'!$C$26)</f>
        <v>2406.0355526315784</v>
      </c>
      <c r="F1426" s="75">
        <f>'THAM_SO_MOI'!$C$14+('THAM_SO_MOI'!$C$37-'THAM_SO_MOI'!$C$14)*619/'THAM_SO_MOI'!$C$42</f>
        <v>24.420232638888887</v>
      </c>
      <c r="G1426" s="75">
        <f>3.6*F1426</f>
        <v>87.9128375</v>
      </c>
      <c r="H1426" s="75">
        <f>'THAM_SO_MOI'!$D$53</f>
        <v>1.1</v>
      </c>
      <c r="I1426" s="75">
        <f>IF(F1426&gt;='THAM_SO_MOI'!$C$14,'THAM_SO_MOI'!$C$13*(1+F1426^2/1500),'THAM_SO_MOI'!$C$13)</f>
        <v>0.02096347762137454</v>
      </c>
      <c r="J1426" s="75">
        <f>'THAM_SO_MOI'!$C$40*('THAM_SO_MOI'!$C$23*(E1426/'THAM_SO_MOI'!$C$22)+'THAM_SO_MOI'!$C$24*(E1426/'THAM_SO_MOI'!$C$22)^2-'THAM_SO_MOI'!$C$25*(E1426/'THAM_SO_MOI'!$C$22)^3)</f>
        <v>107.65458268929962</v>
      </c>
      <c r="K1426" s="75">
        <f>'THAM_SO_MOI'!$C$31*J1426/E1426</f>
        <v>427.3500899859305</v>
      </c>
      <c r="L1426" s="75">
        <f>K1426*'THAM_SO_MOI'!$C$53*'THAM_SO_MOI'!$C$17/'THAM_SO_MOI'!$C$26</f>
        <v>3747.8619613840756</v>
      </c>
      <c r="M1426" s="75">
        <f>'THAM_SO_MOI'!$C$15*'THAM_SO_MOI'!$C$16*F1426^2</f>
        <v>1744.3172042520534</v>
      </c>
      <c r="N1426" s="75">
        <f>'THAM_SO_MOI'!$C$12*I1426</f>
        <v>1579.405174776455</v>
      </c>
      <c r="O1426" s="75">
        <f>M1426+N1426</f>
        <v>3323.7223790285084</v>
      </c>
      <c r="P1426" s="75">
        <f>(MIN(L1426,'THAM_SO_MOI'!$C$41)-O1426)/('THAM_SO_MOI'!$C$11*H1426)</f>
        <v>0.05020591647201316</v>
      </c>
      <c r="Q1426" s="75">
        <f>IF(P1426&gt;0,1/P1426,NA())</f>
        <v>19.91797123268213</v>
      </c>
      <c r="R1426" s="75">
        <f>F1426-F1425</f>
        <v>0.0035868055555532408</v>
      </c>
      <c r="S1426" s="75">
        <f>0.5*(Q1425+Q1426)*R1426</f>
        <v>0.07138166829954887</v>
      </c>
      <c r="T1426" s="75">
        <f>0.5*(F1425*Q1425+F1426*Q1426)*R1426</f>
        <v>1.7430290379463094</v>
      </c>
      <c r="U1426" s="76">
        <f>U1425+S1426</f>
        <v>103.19775306864695</v>
      </c>
      <c r="V1426" s="76">
        <f>V1425+T1426</f>
        <v>1845.0783444135272</v>
      </c>
    </row>
    <row r="1427" spans="1:22" ht="19" customHeight="1">
      <c r="A1427" s="68" t="s">
        <v>362</v>
      </c>
      <c r="B1427" s="74">
        <v>5</v>
      </c>
      <c r="C1427" s="68" t="s">
        <v>363</v>
      </c>
      <c r="D1427" s="68" t="s">
        <v>365</v>
      </c>
      <c r="E1427" s="75">
        <f>60*F1427*'THAM_SO_MOI'!$C$53/(2*PI()*'THAM_SO_MOI'!$C$26)</f>
        <v>2406.3889473684203</v>
      </c>
      <c r="F1427" s="75">
        <f>'THAM_SO_MOI'!$C$14+('THAM_SO_MOI'!$C$37-'THAM_SO_MOI'!$C$14)*620/'THAM_SO_MOI'!$C$42</f>
        <v>24.423819444444444</v>
      </c>
      <c r="G1427" s="75">
        <f>3.6*F1427</f>
        <v>87.92575</v>
      </c>
      <c r="H1427" s="75">
        <f>'THAM_SO_MOI'!$D$53</f>
        <v>1.1</v>
      </c>
      <c r="I1427" s="75">
        <f>IF(F1427&gt;='THAM_SO_MOI'!$C$14,'THAM_SO_MOI'!$C$13*(1+F1427^2/1500),'THAM_SO_MOI'!$C$13)</f>
        <v>0.020965229562548225</v>
      </c>
      <c r="J1427" s="75">
        <f>'THAM_SO_MOI'!$C$40*('THAM_SO_MOI'!$C$23*(E1427/'THAM_SO_MOI'!$C$22)+'THAM_SO_MOI'!$C$24*(E1427/'THAM_SO_MOI'!$C$22)^2-'THAM_SO_MOI'!$C$25*(E1427/'THAM_SO_MOI'!$C$22)^3)</f>
        <v>107.66832564102256</v>
      </c>
      <c r="K1427" s="75">
        <f>'THAM_SO_MOI'!$C$31*J1427/E1427</f>
        <v>427.3418772700581</v>
      </c>
      <c r="L1427" s="75">
        <f>K1427*'THAM_SO_MOI'!$C$53*'THAM_SO_MOI'!$C$17/'THAM_SO_MOI'!$C$26</f>
        <v>3747.789935833738</v>
      </c>
      <c r="M1427" s="75">
        <f>'THAM_SO_MOI'!$C$15*'THAM_SO_MOI'!$C$16*F1427^2</f>
        <v>1744.8296470453558</v>
      </c>
      <c r="N1427" s="75">
        <f>'THAM_SO_MOI'!$C$12*I1427</f>
        <v>1579.5371674260334</v>
      </c>
      <c r="O1427" s="75">
        <f>M1427+N1427</f>
        <v>3324.3668144713893</v>
      </c>
      <c r="P1427" s="75">
        <f>(MIN(L1427,'THAM_SO_MOI'!$C$41)-O1427)/('THAM_SO_MOI'!$C$11*H1427)</f>
        <v>0.05012110811580834</v>
      </c>
      <c r="Q1427" s="75">
        <f>IF(P1427&gt;0,1/P1427,NA())</f>
        <v>19.95167380755888</v>
      </c>
      <c r="R1427" s="75">
        <f>F1427-F1426</f>
        <v>0.0035868055555567935</v>
      </c>
      <c r="S1427" s="75">
        <f>0.5*(Q1426+Q1427)*R1427</f>
        <v>0.07150233216420691</v>
      </c>
      <c r="T1427" s="75">
        <f>0.5*(F1426*Q1426+F1427*Q1427)*R1427</f>
        <v>1.7462319265515343</v>
      </c>
      <c r="U1427" s="76">
        <f>U1426+S1427</f>
        <v>103.26925540081115</v>
      </c>
      <c r="V1427" s="76">
        <f>V1426+T1427</f>
        <v>1846.8245763400787</v>
      </c>
    </row>
    <row r="1428" spans="1:22" ht="19" customHeight="1">
      <c r="A1428" s="68" t="s">
        <v>362</v>
      </c>
      <c r="B1428" s="74">
        <v>5</v>
      </c>
      <c r="C1428" s="68" t="s">
        <v>363</v>
      </c>
      <c r="D1428" s="68" t="s">
        <v>365</v>
      </c>
      <c r="E1428" s="75">
        <f>60*F1428*'THAM_SO_MOI'!$C$53/(2*PI()*'THAM_SO_MOI'!$C$26)</f>
        <v>2406.742342105262</v>
      </c>
      <c r="F1428" s="75">
        <f>'THAM_SO_MOI'!$C$14+('THAM_SO_MOI'!$C$37-'THAM_SO_MOI'!$C$14)*621/'THAM_SO_MOI'!$C$42</f>
        <v>24.427406249999997</v>
      </c>
      <c r="G1428" s="75">
        <f>3.6*F1428</f>
        <v>87.93866249999999</v>
      </c>
      <c r="H1428" s="75">
        <f>'THAM_SO_MOI'!$D$53</f>
        <v>1.1</v>
      </c>
      <c r="I1428" s="75">
        <f>IF(F1428&gt;='THAM_SO_MOI'!$C$14,'THAM_SO_MOI'!$C$13*(1+F1428^2/1500),'THAM_SO_MOI'!$C$13)</f>
        <v>0.020966981761025388</v>
      </c>
      <c r="J1428" s="75">
        <f>'THAM_SO_MOI'!$C$40*('THAM_SO_MOI'!$C$23*(E1428/'THAM_SO_MOI'!$C$22)+'THAM_SO_MOI'!$C$24*(E1428/'THAM_SO_MOI'!$C$22)^2-'THAM_SO_MOI'!$C$25*(E1428/'THAM_SO_MOI'!$C$22)^3)</f>
        <v>107.68206493193989</v>
      </c>
      <c r="K1428" s="75">
        <f>'THAM_SO_MOI'!$C$31*J1428/E1428</f>
        <v>427.333652438201</v>
      </c>
      <c r="L1428" s="75">
        <f>K1428*'THAM_SO_MOI'!$C$53*'THAM_SO_MOI'!$C$17/'THAM_SO_MOI'!$C$26</f>
        <v>3747.717804026168</v>
      </c>
      <c r="M1428" s="75">
        <f>'THAM_SO_MOI'!$C$15*'THAM_SO_MOI'!$C$16*F1428^2</f>
        <v>1745.3421650999264</v>
      </c>
      <c r="N1428" s="75">
        <f>'THAM_SO_MOI'!$C$12*I1428</f>
        <v>1579.6691794610615</v>
      </c>
      <c r="O1428" s="75">
        <f>M1428+N1428</f>
        <v>3325.0113445609877</v>
      </c>
      <c r="P1428" s="75">
        <f>(MIN(L1428,'THAM_SO_MOI'!$C$41)-O1428)/('THAM_SO_MOI'!$C$11*H1428)</f>
        <v>0.050036275978359364</v>
      </c>
      <c r="Q1428" s="75">
        <f>IF(P1428&gt;0,1/P1428,NA())</f>
        <v>19.98550012859668</v>
      </c>
      <c r="R1428" s="75">
        <f>F1428-F1427</f>
        <v>0.0035868055555532408</v>
      </c>
      <c r="S1428" s="75">
        <f>0.5*(Q1427+Q1428)*R1428</f>
        <v>0.07162343867364943</v>
      </c>
      <c r="T1428" s="75">
        <f>0.5*(F1427*Q1427+F1428*Q1428)*R1428</f>
        <v>1.7494464926247015</v>
      </c>
      <c r="U1428" s="76">
        <f>U1427+S1428</f>
        <v>103.3408788394848</v>
      </c>
      <c r="V1428" s="76">
        <f>V1427+T1428</f>
        <v>1848.5740228327033</v>
      </c>
    </row>
    <row r="1429" spans="1:22" ht="19" customHeight="1">
      <c r="A1429" s="68" t="s">
        <v>362</v>
      </c>
      <c r="B1429" s="74">
        <v>5</v>
      </c>
      <c r="C1429" s="68" t="s">
        <v>363</v>
      </c>
      <c r="D1429" s="68" t="s">
        <v>365</v>
      </c>
      <c r="E1429" s="75">
        <f>60*F1429*'THAM_SO_MOI'!$C$53/(2*PI()*'THAM_SO_MOI'!$C$26)</f>
        <v>2407.0957368421045</v>
      </c>
      <c r="F1429" s="75">
        <f>'THAM_SO_MOI'!$C$14+('THAM_SO_MOI'!$C$37-'THAM_SO_MOI'!$C$14)*622/'THAM_SO_MOI'!$C$42</f>
        <v>24.430993055555554</v>
      </c>
      <c r="G1429" s="75">
        <f>3.6*F1429</f>
        <v>87.95157499999999</v>
      </c>
      <c r="H1429" s="75">
        <f>'THAM_SO_MOI'!$D$53</f>
        <v>1.1</v>
      </c>
      <c r="I1429" s="75">
        <f>IF(F1429&gt;='THAM_SO_MOI'!$C$14,'THAM_SO_MOI'!$C$13*(1+F1429^2/1500),'THAM_SO_MOI'!$C$13)</f>
        <v>0.020968734216806034</v>
      </c>
      <c r="J1429" s="75">
        <f>'THAM_SO_MOI'!$C$40*('THAM_SO_MOI'!$C$23*(E1429/'THAM_SO_MOI'!$C$22)+'THAM_SO_MOI'!$C$24*(E1429/'THAM_SO_MOI'!$C$22)^2-'THAM_SO_MOI'!$C$25*(E1429/'THAM_SO_MOI'!$C$22)^3)</f>
        <v>107.6958005607068</v>
      </c>
      <c r="K1429" s="75">
        <f>'THAM_SO_MOI'!$C$31*J1429/E1429</f>
        <v>427.32541549035943</v>
      </c>
      <c r="L1429" s="75">
        <f>K1429*'THAM_SO_MOI'!$C$53*'THAM_SO_MOI'!$C$17/'THAM_SO_MOI'!$C$26</f>
        <v>3747.6455659613666</v>
      </c>
      <c r="M1429" s="75">
        <f>'THAM_SO_MOI'!$C$15*'THAM_SO_MOI'!$C$16*F1429^2</f>
        <v>1745.854758415766</v>
      </c>
      <c r="N1429" s="75">
        <f>'THAM_SO_MOI'!$C$12*I1429</f>
        <v>1579.80121088154</v>
      </c>
      <c r="O1429" s="75">
        <f>M1429+N1429</f>
        <v>3325.655969297306</v>
      </c>
      <c r="P1429" s="75">
        <f>(MIN(L1429,'THAM_SO_MOI'!$C$41)-O1429)/('THAM_SO_MOI'!$C$11*H1429)</f>
        <v>0.04995142005966627</v>
      </c>
      <c r="Q1429" s="75">
        <f>IF(P1429&gt;0,1/P1429,NA())</f>
        <v>20.019450874580023</v>
      </c>
      <c r="R1429" s="75">
        <f>F1429-F1428</f>
        <v>0.0035868055555567935</v>
      </c>
      <c r="S1429" s="75">
        <f>0.5*(Q1428+Q1429)*R1429</f>
        <v>0.07174499025398576</v>
      </c>
      <c r="T1429" s="75">
        <f>0.5*(F1428*Q1428+F1429*Q1429)*R1429</f>
        <v>1.7526728001967782</v>
      </c>
      <c r="U1429" s="76">
        <f>U1428+S1429</f>
        <v>103.41262382973879</v>
      </c>
      <c r="V1429" s="76">
        <f>V1428+T1429</f>
        <v>1850.3266956329</v>
      </c>
    </row>
    <row r="1430" spans="1:22" ht="19" customHeight="1">
      <c r="A1430" s="68" t="s">
        <v>362</v>
      </c>
      <c r="B1430" s="74">
        <v>5</v>
      </c>
      <c r="C1430" s="68" t="s">
        <v>363</v>
      </c>
      <c r="D1430" s="68" t="s">
        <v>365</v>
      </c>
      <c r="E1430" s="75">
        <f>60*F1430*'THAM_SO_MOI'!$C$53/(2*PI()*'THAM_SO_MOI'!$C$26)</f>
        <v>2407.449131578947</v>
      </c>
      <c r="F1430" s="75">
        <f>'THAM_SO_MOI'!$C$14+('THAM_SO_MOI'!$C$37-'THAM_SO_MOI'!$C$14)*623/'THAM_SO_MOI'!$C$42</f>
        <v>24.43457986111111</v>
      </c>
      <c r="G1430" s="75">
        <f>3.6*F1430</f>
        <v>87.9644875</v>
      </c>
      <c r="H1430" s="75">
        <f>'THAM_SO_MOI'!$D$53</f>
        <v>1.1</v>
      </c>
      <c r="I1430" s="75">
        <f>IF(F1430&gt;='THAM_SO_MOI'!$C$14,'THAM_SO_MOI'!$C$13*(1+F1430^2/1500),'THAM_SO_MOI'!$C$13)</f>
        <v>0.02097048692989017</v>
      </c>
      <c r="J1430" s="75">
        <f>'THAM_SO_MOI'!$C$40*('THAM_SO_MOI'!$C$23*(E1430/'THAM_SO_MOI'!$C$22)+'THAM_SO_MOI'!$C$24*(E1430/'THAM_SO_MOI'!$C$22)^2-'THAM_SO_MOI'!$C$25*(E1430/'THAM_SO_MOI'!$C$22)^3)</f>
        <v>107.70953252597842</v>
      </c>
      <c r="K1430" s="75">
        <f>'THAM_SO_MOI'!$C$31*J1430/E1430</f>
        <v>427.31716642653356</v>
      </c>
      <c r="L1430" s="75">
        <f>K1430*'THAM_SO_MOI'!$C$53*'THAM_SO_MOI'!$C$17/'THAM_SO_MOI'!$C$26</f>
        <v>3747.5732216393353</v>
      </c>
      <c r="M1430" s="75">
        <f>'THAM_SO_MOI'!$C$15*'THAM_SO_MOI'!$C$16*F1430^2</f>
        <v>1746.367426992874</v>
      </c>
      <c r="N1430" s="75">
        <f>'THAM_SO_MOI'!$C$12*I1430</f>
        <v>1579.9332616874692</v>
      </c>
      <c r="O1430" s="75">
        <f>M1430+N1430</f>
        <v>3326.3006886803432</v>
      </c>
      <c r="P1430" s="75">
        <f>(MIN(L1430,'THAM_SO_MOI'!$C$41)-O1430)/('THAM_SO_MOI'!$C$11*H1430)</f>
        <v>0.04986654035972918</v>
      </c>
      <c r="Q1430" s="75">
        <f>IF(P1430&gt;0,1/P1430,NA())</f>
        <v>20.05352672926899</v>
      </c>
      <c r="R1430" s="75">
        <f>F1430-F1429</f>
        <v>0.0035868055555567935</v>
      </c>
      <c r="S1430" s="75">
        <f>0.5*(Q1429+Q1430)*R1430</f>
        <v>0.0718669893485943</v>
      </c>
      <c r="T1430" s="75">
        <f>0.5*(F1429*Q1429+F1430*Q1430)*R1430</f>
        <v>1.7559109137554716</v>
      </c>
      <c r="U1430" s="76">
        <f>U1429+S1430</f>
        <v>103.48449081908738</v>
      </c>
      <c r="V1430" s="76">
        <f>V1429+T1430</f>
        <v>1852.0826065466556</v>
      </c>
    </row>
    <row r="1431" spans="1:22" ht="19" customHeight="1">
      <c r="A1431" s="68" t="s">
        <v>362</v>
      </c>
      <c r="B1431" s="74">
        <v>5</v>
      </c>
      <c r="C1431" s="68" t="s">
        <v>363</v>
      </c>
      <c r="D1431" s="68" t="s">
        <v>365</v>
      </c>
      <c r="E1431" s="75">
        <f>60*F1431*'THAM_SO_MOI'!$C$53/(2*PI()*'THAM_SO_MOI'!$C$26)</f>
        <v>2407.802526315789</v>
      </c>
      <c r="F1431" s="75">
        <f>'THAM_SO_MOI'!$C$14+('THAM_SO_MOI'!$C$37-'THAM_SO_MOI'!$C$14)*624/'THAM_SO_MOI'!$C$42</f>
        <v>24.438166666666664</v>
      </c>
      <c r="G1431" s="75">
        <f>3.6*F1431</f>
        <v>87.97739999999999</v>
      </c>
      <c r="H1431" s="75">
        <f>'THAM_SO_MOI'!$D$53</f>
        <v>1.1</v>
      </c>
      <c r="I1431" s="75">
        <f>IF(F1431&gt;='THAM_SO_MOI'!$C$14,'THAM_SO_MOI'!$C$13*(1+F1431^2/1500),'THAM_SO_MOI'!$C$13)</f>
        <v>0.020972239900277776</v>
      </c>
      <c r="J1431" s="75">
        <f>'THAM_SO_MOI'!$C$40*('THAM_SO_MOI'!$C$23*(E1431/'THAM_SO_MOI'!$C$22)+'THAM_SO_MOI'!$C$24*(E1431/'THAM_SO_MOI'!$C$22)^2-'THAM_SO_MOI'!$C$25*(E1431/'THAM_SO_MOI'!$C$22)^3)</f>
        <v>107.72326082640984</v>
      </c>
      <c r="K1431" s="75">
        <f>'THAM_SO_MOI'!$C$31*J1431/E1431</f>
        <v>427.30890524672344</v>
      </c>
      <c r="L1431" s="75">
        <f>K1431*'THAM_SO_MOI'!$C$53*'THAM_SO_MOI'!$C$17/'THAM_SO_MOI'!$C$26</f>
        <v>3747.500771060075</v>
      </c>
      <c r="M1431" s="75">
        <f>'THAM_SO_MOI'!$C$15*'THAM_SO_MOI'!$C$16*F1431^2</f>
        <v>1746.8801708312499</v>
      </c>
      <c r="N1431" s="75">
        <f>'THAM_SO_MOI'!$C$12*I1431</f>
        <v>1580.065331878848</v>
      </c>
      <c r="O1431" s="75">
        <f>M1431+N1431</f>
        <v>3326.9455027100976</v>
      </c>
      <c r="P1431" s="75">
        <f>(MIN(L1431,'THAM_SO_MOI'!$C$41)-O1431)/('THAM_SO_MOI'!$C$11*H1431)</f>
        <v>0.04978163687854842</v>
      </c>
      <c r="Q1431" s="75">
        <f>IF(P1431&gt;0,1/P1431,NA())</f>
        <v>20.087728381444876</v>
      </c>
      <c r="R1431" s="75">
        <f>F1431-F1430</f>
        <v>0.0035868055555532408</v>
      </c>
      <c r="S1431" s="75">
        <f>0.5*(Q1430+Q1431)*R1431</f>
        <v>0.07198943841899422</v>
      </c>
      <c r="T1431" s="75">
        <f>0.5*(F1430*Q1430+F1431*Q1431)*R1431</f>
        <v>1.759160898266838</v>
      </c>
      <c r="U1431" s="76">
        <f>U1430+S1431</f>
        <v>103.55648025750638</v>
      </c>
      <c r="V1431" s="76">
        <f>V1430+T1431</f>
        <v>1853.8417674449224</v>
      </c>
    </row>
    <row r="1432" spans="1:22" ht="19" customHeight="1">
      <c r="A1432" s="68" t="s">
        <v>362</v>
      </c>
      <c r="B1432" s="74">
        <v>5</v>
      </c>
      <c r="C1432" s="68" t="s">
        <v>363</v>
      </c>
      <c r="D1432" s="68" t="s">
        <v>365</v>
      </c>
      <c r="E1432" s="75">
        <f>60*F1432*'THAM_SO_MOI'!$C$53/(2*PI()*'THAM_SO_MOI'!$C$26)</f>
        <v>2408.155921052631</v>
      </c>
      <c r="F1432" s="75">
        <f>'THAM_SO_MOI'!$C$14+('THAM_SO_MOI'!$C$37-'THAM_SO_MOI'!$C$14)*625/'THAM_SO_MOI'!$C$42</f>
        <v>24.44175347222222</v>
      </c>
      <c r="G1432" s="75">
        <f>3.6*F1432</f>
        <v>87.9903125</v>
      </c>
      <c r="H1432" s="75">
        <f>'THAM_SO_MOI'!$D$53</f>
        <v>1.1</v>
      </c>
      <c r="I1432" s="75">
        <f>IF(F1432&gt;='THAM_SO_MOI'!$C$14,'THAM_SO_MOI'!$C$13*(1+F1432^2/1500),'THAM_SO_MOI'!$C$13)</f>
        <v>0.02097399312796887</v>
      </c>
      <c r="J1432" s="75">
        <f>'THAM_SO_MOI'!$C$40*('THAM_SO_MOI'!$C$23*(E1432/'THAM_SO_MOI'!$C$22)+'THAM_SO_MOI'!$C$24*(E1432/'THAM_SO_MOI'!$C$22)^2-'THAM_SO_MOI'!$C$25*(E1432/'THAM_SO_MOI'!$C$22)^3)</f>
        <v>107.73698546065609</v>
      </c>
      <c r="K1432" s="75">
        <f>'THAM_SO_MOI'!$C$31*J1432/E1432</f>
        <v>427.30063195092845</v>
      </c>
      <c r="L1432" s="75">
        <f>K1432*'THAM_SO_MOI'!$C$53*'THAM_SO_MOI'!$C$17/'THAM_SO_MOI'!$C$26</f>
        <v>3747.4282142235797</v>
      </c>
      <c r="M1432" s="75">
        <f>'THAM_SO_MOI'!$C$15*'THAM_SO_MOI'!$C$16*F1432^2</f>
        <v>1747.3929899308946</v>
      </c>
      <c r="N1432" s="75">
        <f>'THAM_SO_MOI'!$C$12*I1432</f>
        <v>1580.1974214556772</v>
      </c>
      <c r="O1432" s="75">
        <f>M1432+N1432</f>
        <v>3327.5904113865718</v>
      </c>
      <c r="P1432" s="75">
        <f>(MIN(L1432,'THAM_SO_MOI'!$C$41)-O1432)/('THAM_SO_MOI'!$C$11*H1432)</f>
        <v>0.0496967096161231</v>
      </c>
      <c r="Q1432" s="75">
        <f>IF(P1432&gt;0,1/P1432,NA())</f>
        <v>20.122056524956935</v>
      </c>
      <c r="R1432" s="75">
        <f>F1432-F1431</f>
        <v>0.0035868055555567935</v>
      </c>
      <c r="S1432" s="75">
        <f>0.5*(Q1431+Q1432)*R1432</f>
        <v>0.07211233994501286</v>
      </c>
      <c r="T1432" s="75">
        <f>0.5*(F1431*Q1431+F1432*Q1432)*R1432</f>
        <v>1.7624228191797033</v>
      </c>
      <c r="U1432" s="76">
        <f>U1431+S1432</f>
        <v>103.62859259745139</v>
      </c>
      <c r="V1432" s="76">
        <f>V1431+T1432</f>
        <v>1855.604190264102</v>
      </c>
    </row>
    <row r="1433" spans="1:22" ht="19" customHeight="1">
      <c r="A1433" s="68" t="s">
        <v>362</v>
      </c>
      <c r="B1433" s="74">
        <v>5</v>
      </c>
      <c r="C1433" s="68" t="s">
        <v>363</v>
      </c>
      <c r="D1433" s="68" t="s">
        <v>365</v>
      </c>
      <c r="E1433" s="75">
        <f>60*F1433*'THAM_SO_MOI'!$C$53/(2*PI()*'THAM_SO_MOI'!$C$26)</f>
        <v>2408.509315789473</v>
      </c>
      <c r="F1433" s="75">
        <f>'THAM_SO_MOI'!$C$14+('THAM_SO_MOI'!$C$37-'THAM_SO_MOI'!$C$14)*626/'THAM_SO_MOI'!$C$42</f>
        <v>24.445340277777778</v>
      </c>
      <c r="G1433" s="75">
        <f>3.6*F1433</f>
        <v>88.003225</v>
      </c>
      <c r="H1433" s="75">
        <f>'THAM_SO_MOI'!$D$53</f>
        <v>1.1</v>
      </c>
      <c r="I1433" s="75">
        <f>IF(F1433&gt;='THAM_SO_MOI'!$C$14,'THAM_SO_MOI'!$C$13*(1+F1433^2/1500),'THAM_SO_MOI'!$C$13)</f>
        <v>0.020975746612963444</v>
      </c>
      <c r="J1433" s="75">
        <f>'THAM_SO_MOI'!$C$40*('THAM_SO_MOI'!$C$23*(E1433/'THAM_SO_MOI'!$C$22)+'THAM_SO_MOI'!$C$24*(E1433/'THAM_SO_MOI'!$C$22)^2-'THAM_SO_MOI'!$C$25*(E1433/'THAM_SO_MOI'!$C$22)^3)</f>
        <v>107.75070642737234</v>
      </c>
      <c r="K1433" s="75">
        <f>'THAM_SO_MOI'!$C$31*J1433/E1433</f>
        <v>427.29234653914915</v>
      </c>
      <c r="L1433" s="75">
        <f>K1433*'THAM_SO_MOI'!$C$53*'THAM_SO_MOI'!$C$17/'THAM_SO_MOI'!$C$26</f>
        <v>3747.355551129855</v>
      </c>
      <c r="M1433" s="75">
        <f>'THAM_SO_MOI'!$C$15*'THAM_SO_MOI'!$C$16*F1433^2</f>
        <v>1747.9058842918078</v>
      </c>
      <c r="N1433" s="75">
        <f>'THAM_SO_MOI'!$C$12*I1433</f>
        <v>1580.3295304179562</v>
      </c>
      <c r="O1433" s="75">
        <f>M1433+N1433</f>
        <v>3328.235414709764</v>
      </c>
      <c r="P1433" s="75">
        <f>(MIN(L1433,'THAM_SO_MOI'!$C$41)-O1433)/('THAM_SO_MOI'!$C$11*H1433)</f>
        <v>0.04961175857245396</v>
      </c>
      <c r="Q1433" s="75">
        <f>IF(P1433&gt;0,1/P1433,NA())</f>
        <v>20.156511858767935</v>
      </c>
      <c r="R1433" s="75">
        <f>F1433-F1432</f>
        <v>0.0035868055555567935</v>
      </c>
      <c r="S1433" s="75">
        <f>0.5*(Q1432+Q1433)*R1433</f>
        <v>0.0722356964243093</v>
      </c>
      <c r="T1433" s="75">
        <f>0.5*(F1432*Q1432+F1433*Q1433)*R1433</f>
        <v>1.765696742414341</v>
      </c>
      <c r="U1433" s="76">
        <f>U1432+S1433</f>
        <v>103.7008282938757</v>
      </c>
      <c r="V1433" s="76">
        <f>V1432+T1433</f>
        <v>1857.3698870065164</v>
      </c>
    </row>
    <row r="1434" spans="1:22" ht="19" customHeight="1">
      <c r="A1434" s="68" t="s">
        <v>362</v>
      </c>
      <c r="B1434" s="74">
        <v>5</v>
      </c>
      <c r="C1434" s="68" t="s">
        <v>363</v>
      </c>
      <c r="D1434" s="68" t="s">
        <v>365</v>
      </c>
      <c r="E1434" s="75">
        <f>60*F1434*'THAM_SO_MOI'!$C$53/(2*PI()*'THAM_SO_MOI'!$C$26)</f>
        <v>2408.862710526315</v>
      </c>
      <c r="F1434" s="75">
        <f>'THAM_SO_MOI'!$C$14+('THAM_SO_MOI'!$C$37-'THAM_SO_MOI'!$C$14)*627/'THAM_SO_MOI'!$C$42</f>
        <v>24.44892708333333</v>
      </c>
      <c r="G1434" s="75">
        <f>3.6*F1434</f>
        <v>88.0161375</v>
      </c>
      <c r="H1434" s="75">
        <f>'THAM_SO_MOI'!$D$53</f>
        <v>1.1</v>
      </c>
      <c r="I1434" s="75">
        <f>IF(F1434&gt;='THAM_SO_MOI'!$C$14,'THAM_SO_MOI'!$C$13*(1+F1434^2/1500),'THAM_SO_MOI'!$C$13)</f>
        <v>0.0209775003552615</v>
      </c>
      <c r="J1434" s="75">
        <f>'THAM_SO_MOI'!$C$40*('THAM_SO_MOI'!$C$23*(E1434/'THAM_SO_MOI'!$C$22)+'THAM_SO_MOI'!$C$24*(E1434/'THAM_SO_MOI'!$C$22)^2-'THAM_SO_MOI'!$C$25*(E1434/'THAM_SO_MOI'!$C$22)^3)</f>
        <v>107.7644237252137</v>
      </c>
      <c r="K1434" s="75">
        <f>'THAM_SO_MOI'!$C$31*J1434/E1434</f>
        <v>427.2840490113854</v>
      </c>
      <c r="L1434" s="75">
        <f>K1434*'THAM_SO_MOI'!$C$53*'THAM_SO_MOI'!$C$17/'THAM_SO_MOI'!$C$26</f>
        <v>3747.282781778899</v>
      </c>
      <c r="M1434" s="75">
        <f>'THAM_SO_MOI'!$C$15*'THAM_SO_MOI'!$C$16*F1434^2</f>
        <v>1748.418853913989</v>
      </c>
      <c r="N1434" s="75">
        <f>'THAM_SO_MOI'!$C$12*I1434</f>
        <v>1580.4616587656858</v>
      </c>
      <c r="O1434" s="75">
        <f>M1434+N1434</f>
        <v>3328.880512679675</v>
      </c>
      <c r="P1434" s="75">
        <f>(MIN(L1434,'THAM_SO_MOI'!$C$41)-O1434)/('THAM_SO_MOI'!$C$11*H1434)</f>
        <v>0.049526783747540715</v>
      </c>
      <c r="Q1434" s="75">
        <f>IF(P1434&gt;0,1/P1434,NA())</f>
        <v>20.191095087002406</v>
      </c>
      <c r="R1434" s="75">
        <f>F1434-F1433</f>
        <v>0.0035868055555532408</v>
      </c>
      <c r="S1434" s="75">
        <f>0.5*(Q1433+Q1434)*R1434</f>
        <v>0.07235951037318379</v>
      </c>
      <c r="T1434" s="75">
        <f>0.5*(F1433*Q1433+F1434*Q1434)*R1434</f>
        <v>1.7689827343825835</v>
      </c>
      <c r="U1434" s="76">
        <f>U1433+S1434</f>
        <v>103.77318780424889</v>
      </c>
      <c r="V1434" s="76">
        <f>V1433+T1434</f>
        <v>1859.138869740899</v>
      </c>
    </row>
    <row r="1435" spans="1:22" ht="19" customHeight="1">
      <c r="A1435" s="68" t="s">
        <v>362</v>
      </c>
      <c r="B1435" s="74">
        <v>5</v>
      </c>
      <c r="C1435" s="68" t="s">
        <v>363</v>
      </c>
      <c r="D1435" s="68" t="s">
        <v>365</v>
      </c>
      <c r="E1435" s="75">
        <f>60*F1435*'THAM_SO_MOI'!$C$53/(2*PI()*'THAM_SO_MOI'!$C$26)</f>
        <v>2409.216105263157</v>
      </c>
      <c r="F1435" s="75">
        <f>'THAM_SO_MOI'!$C$14+('THAM_SO_MOI'!$C$37-'THAM_SO_MOI'!$C$14)*628/'THAM_SO_MOI'!$C$42</f>
        <v>24.452513888888888</v>
      </c>
      <c r="G1435" s="75">
        <f>3.6*F1435</f>
        <v>88.02905</v>
      </c>
      <c r="H1435" s="75">
        <f>'THAM_SO_MOI'!$D$53</f>
        <v>1.1</v>
      </c>
      <c r="I1435" s="75">
        <f>IF(F1435&gt;='THAM_SO_MOI'!$C$14,'THAM_SO_MOI'!$C$13*(1+F1435^2/1500),'THAM_SO_MOI'!$C$13)</f>
        <v>0.020979254354863038</v>
      </c>
      <c r="J1435" s="75">
        <f>'THAM_SO_MOI'!$C$40*('THAM_SO_MOI'!$C$23*(E1435/'THAM_SO_MOI'!$C$22)+'THAM_SO_MOI'!$C$24*(E1435/'THAM_SO_MOI'!$C$22)^2-'THAM_SO_MOI'!$C$25*(E1435/'THAM_SO_MOI'!$C$22)^3)</f>
        <v>107.7781373528353</v>
      </c>
      <c r="K1435" s="75">
        <f>'THAM_SO_MOI'!$C$31*J1435/E1435</f>
        <v>427.27573936763724</v>
      </c>
      <c r="L1435" s="75">
        <f>K1435*'THAM_SO_MOI'!$C$53*'THAM_SO_MOI'!$C$17/'THAM_SO_MOI'!$C$26</f>
        <v>3747.2099061707117</v>
      </c>
      <c r="M1435" s="75">
        <f>'THAM_SO_MOI'!$C$15*'THAM_SO_MOI'!$C$16*F1435^2</f>
        <v>1748.9318987974393</v>
      </c>
      <c r="N1435" s="75">
        <f>'THAM_SO_MOI'!$C$12*I1435</f>
        <v>1580.5938064988652</v>
      </c>
      <c r="O1435" s="75">
        <f>M1435+N1435</f>
        <v>3329.5257052963043</v>
      </c>
      <c r="P1435" s="75">
        <f>(MIN(L1435,'THAM_SO_MOI'!$C$41)-O1435)/('THAM_SO_MOI'!$C$11*H1435)</f>
        <v>0.04944178514138343</v>
      </c>
      <c r="Q1435" s="75">
        <f>IF(P1435&gt;0,1/P1435,NA())</f>
        <v>20.225806918993843</v>
      </c>
      <c r="R1435" s="75">
        <f>F1435-F1434</f>
        <v>0.0035868055555567935</v>
      </c>
      <c r="S1435" s="75">
        <f>0.5*(Q1434+Q1435)*R1435</f>
        <v>0.07248378432675093</v>
      </c>
      <c r="T1435" s="75">
        <f>0.5*(F1434*Q1434+F1435*Q1435)*R1435</f>
        <v>1.7722808619923887</v>
      </c>
      <c r="U1435" s="76">
        <f>U1434+S1435</f>
        <v>103.84567158857564</v>
      </c>
      <c r="V1435" s="76">
        <f>V1434+T1435</f>
        <v>1860.9111506028914</v>
      </c>
    </row>
    <row r="1436" spans="1:22" ht="19" customHeight="1">
      <c r="A1436" s="68" t="s">
        <v>362</v>
      </c>
      <c r="B1436" s="74">
        <v>5</v>
      </c>
      <c r="C1436" s="68" t="s">
        <v>363</v>
      </c>
      <c r="D1436" s="68" t="s">
        <v>365</v>
      </c>
      <c r="E1436" s="75">
        <f>60*F1436*'THAM_SO_MOI'!$C$53/(2*PI()*'THAM_SO_MOI'!$C$26)</f>
        <v>2409.569499999999</v>
      </c>
      <c r="F1436" s="75">
        <f>'THAM_SO_MOI'!$C$14+('THAM_SO_MOI'!$C$37-'THAM_SO_MOI'!$C$14)*629/'THAM_SO_MOI'!$C$42</f>
        <v>24.456100694444444</v>
      </c>
      <c r="G1436" s="75">
        <f>3.6*F1436</f>
        <v>88.0419625</v>
      </c>
      <c r="H1436" s="75">
        <f>'THAM_SO_MOI'!$D$53</f>
        <v>1.1</v>
      </c>
      <c r="I1436" s="75">
        <f>IF(F1436&gt;='THAM_SO_MOI'!$C$14,'THAM_SO_MOI'!$C$13*(1+F1436^2/1500),'THAM_SO_MOI'!$C$13)</f>
        <v>0.02098100861176806</v>
      </c>
      <c r="J1436" s="75">
        <f>'THAM_SO_MOI'!$C$40*('THAM_SO_MOI'!$C$23*(E1436/'THAM_SO_MOI'!$C$22)+'THAM_SO_MOI'!$C$24*(E1436/'THAM_SO_MOI'!$C$22)^2-'THAM_SO_MOI'!$C$25*(E1436/'THAM_SO_MOI'!$C$22)^3)</f>
        <v>107.79184730889227</v>
      </c>
      <c r="K1436" s="75">
        <f>'THAM_SO_MOI'!$C$31*J1436/E1436</f>
        <v>427.26741760790463</v>
      </c>
      <c r="L1436" s="75">
        <f>K1436*'THAM_SO_MOI'!$C$53*'THAM_SO_MOI'!$C$17/'THAM_SO_MOI'!$C$26</f>
        <v>3747.1369243052945</v>
      </c>
      <c r="M1436" s="75">
        <f>'THAM_SO_MOI'!$C$15*'THAM_SO_MOI'!$C$16*F1436^2</f>
        <v>1749.4450189421577</v>
      </c>
      <c r="N1436" s="75">
        <f>'THAM_SO_MOI'!$C$12*I1436</f>
        <v>1580.7259736174951</v>
      </c>
      <c r="O1436" s="75">
        <f>M1436+N1436</f>
        <v>3330.170992559653</v>
      </c>
      <c r="P1436" s="75">
        <f>(MIN(L1436,'THAM_SO_MOI'!$C$41)-O1436)/('THAM_SO_MOI'!$C$11*H1436)</f>
        <v>0.04935676275398221</v>
      </c>
      <c r="Q1436" s="75">
        <f>IF(P1436&gt;0,1/P1436,NA())</f>
        <v>20.26064806933307</v>
      </c>
      <c r="R1436" s="75">
        <f>F1436-F1435</f>
        <v>0.0035868055555567935</v>
      </c>
      <c r="S1436" s="75">
        <f>0.5*(Q1435+Q1436)*R1436</f>
        <v>0.07260852083846552</v>
      </c>
      <c r="T1436" s="75">
        <f>0.5*(F1435*Q1435+F1436*Q1436)*R1436</f>
        <v>1.7755911926365844</v>
      </c>
      <c r="U1436" s="76">
        <f>U1435+S1436</f>
        <v>103.91828010941411</v>
      </c>
      <c r="V1436" s="76">
        <f>V1435+T1436</f>
        <v>1862.686741795528</v>
      </c>
    </row>
    <row r="1437" spans="1:22" ht="19" customHeight="1">
      <c r="A1437" s="68" t="s">
        <v>362</v>
      </c>
      <c r="B1437" s="74">
        <v>5</v>
      </c>
      <c r="C1437" s="68" t="s">
        <v>363</v>
      </c>
      <c r="D1437" s="68" t="s">
        <v>365</v>
      </c>
      <c r="E1437" s="75">
        <f>60*F1437*'THAM_SO_MOI'!$C$53/(2*PI()*'THAM_SO_MOI'!$C$26)</f>
        <v>2409.9228947368415</v>
      </c>
      <c r="F1437" s="75">
        <f>'THAM_SO_MOI'!$C$14+('THAM_SO_MOI'!$C$37-'THAM_SO_MOI'!$C$14)*630/'THAM_SO_MOI'!$C$42</f>
        <v>24.459687499999998</v>
      </c>
      <c r="G1437" s="75">
        <f>3.6*F1437</f>
        <v>88.054875</v>
      </c>
      <c r="H1437" s="75">
        <f>'THAM_SO_MOI'!$D$53</f>
        <v>1.1</v>
      </c>
      <c r="I1437" s="75">
        <f>IF(F1437&gt;='THAM_SO_MOI'!$C$14,'THAM_SO_MOI'!$C$13*(1+F1437^2/1500),'THAM_SO_MOI'!$C$13)</f>
        <v>0.02098276312597656</v>
      </c>
      <c r="J1437" s="75">
        <f>'THAM_SO_MOI'!$C$40*('THAM_SO_MOI'!$C$23*(E1437/'THAM_SO_MOI'!$C$22)+'THAM_SO_MOI'!$C$24*(E1437/'THAM_SO_MOI'!$C$22)^2-'THAM_SO_MOI'!$C$25*(E1437/'THAM_SO_MOI'!$C$22)^3)</f>
        <v>107.80555359203964</v>
      </c>
      <c r="K1437" s="75">
        <f>'THAM_SO_MOI'!$C$31*J1437/E1437</f>
        <v>427.2590837321875</v>
      </c>
      <c r="L1437" s="75">
        <f>K1437*'THAM_SO_MOI'!$C$53*'THAM_SO_MOI'!$C$17/'THAM_SO_MOI'!$C$26</f>
        <v>3747.063836182645</v>
      </c>
      <c r="M1437" s="75">
        <f>'THAM_SO_MOI'!$C$15*'THAM_SO_MOI'!$C$16*F1437^2</f>
        <v>1749.9582143481443</v>
      </c>
      <c r="N1437" s="75">
        <f>'THAM_SO_MOI'!$C$12*I1437</f>
        <v>1580.8581601215749</v>
      </c>
      <c r="O1437" s="75">
        <f>M1437+N1437</f>
        <v>3330.8163744697194</v>
      </c>
      <c r="P1437" s="75">
        <f>(MIN(L1437,'THAM_SO_MOI'!$C$41)-O1437)/('THAM_SO_MOI'!$C$11*H1437)</f>
        <v>0.049271716585336855</v>
      </c>
      <c r="Q1437" s="75">
        <f>IF(P1437&gt;0,1/P1437,NA())</f>
        <v>20.29561925791718</v>
      </c>
      <c r="R1437" s="75">
        <f>F1437-F1436</f>
        <v>0.0035868055555532408</v>
      </c>
      <c r="S1437" s="75">
        <f>0.5*(Q1436+Q1437)*R1437</f>
        <v>0.0727337224809418</v>
      </c>
      <c r="T1437" s="75">
        <f>0.5*(F1436*Q1436+F1437*Q1437)*R1437</f>
        <v>1.7789137942132327</v>
      </c>
      <c r="U1437" s="76">
        <f>U1436+S1437</f>
        <v>103.99101383189506</v>
      </c>
      <c r="V1437" s="76">
        <f>V1436+T1437</f>
        <v>1864.4656555897411</v>
      </c>
    </row>
    <row r="1438" spans="1:22" ht="19" customHeight="1">
      <c r="A1438" s="68" t="s">
        <v>362</v>
      </c>
      <c r="B1438" s="74">
        <v>5</v>
      </c>
      <c r="C1438" s="68" t="s">
        <v>363</v>
      </c>
      <c r="D1438" s="68" t="s">
        <v>365</v>
      </c>
      <c r="E1438" s="75">
        <f>60*F1438*'THAM_SO_MOI'!$C$53/(2*PI()*'THAM_SO_MOI'!$C$26)</f>
        <v>2410.276289473684</v>
      </c>
      <c r="F1438" s="75">
        <f>'THAM_SO_MOI'!$C$14+('THAM_SO_MOI'!$C$37-'THAM_SO_MOI'!$C$14)*631/'THAM_SO_MOI'!$C$42</f>
        <v>24.463274305555554</v>
      </c>
      <c r="G1438" s="75">
        <f>3.6*F1438</f>
        <v>88.0677875</v>
      </c>
      <c r="H1438" s="75">
        <f>'THAM_SO_MOI'!$D$53</f>
        <v>1.1</v>
      </c>
      <c r="I1438" s="75">
        <f>IF(F1438&gt;='THAM_SO_MOI'!$C$14,'THAM_SO_MOI'!$C$13*(1+F1438^2/1500),'THAM_SO_MOI'!$C$13)</f>
        <v>0.020984517897488543</v>
      </c>
      <c r="J1438" s="75">
        <f>'THAM_SO_MOI'!$C$40*('THAM_SO_MOI'!$C$23*(E1438/'THAM_SO_MOI'!$C$22)+'THAM_SO_MOI'!$C$24*(E1438/'THAM_SO_MOI'!$C$22)^2-'THAM_SO_MOI'!$C$25*(E1438/'THAM_SO_MOI'!$C$22)^3)</f>
        <v>107.8192562009326</v>
      </c>
      <c r="K1438" s="75">
        <f>'THAM_SO_MOI'!$C$31*J1438/E1438</f>
        <v>427.250737740486</v>
      </c>
      <c r="L1438" s="75">
        <f>K1438*'THAM_SO_MOI'!$C$53*'THAM_SO_MOI'!$C$17/'THAM_SO_MOI'!$C$26</f>
        <v>3746.990641802765</v>
      </c>
      <c r="M1438" s="75">
        <f>'THAM_SO_MOI'!$C$15*'THAM_SO_MOI'!$C$16*F1438^2</f>
        <v>1750.4714850153998</v>
      </c>
      <c r="N1438" s="75">
        <f>'THAM_SO_MOI'!$C$12*I1438</f>
        <v>1580.990366011105</v>
      </c>
      <c r="O1438" s="75">
        <f>M1438+N1438</f>
        <v>3331.4618510265045</v>
      </c>
      <c r="P1438" s="75">
        <f>(MIN(L1438,'THAM_SO_MOI'!$C$41)-O1438)/('THAM_SO_MOI'!$C$11*H1438)</f>
        <v>0.049186646635447466</v>
      </c>
      <c r="Q1438" s="75">
        <f>IF(P1438&gt;0,1/P1438,NA())</f>
        <v>20.33072120999864</v>
      </c>
      <c r="R1438" s="75">
        <f>F1438-F1437</f>
        <v>0.0035868055555567935</v>
      </c>
      <c r="S1438" s="75">
        <f>0.5*(Q1437+Q1438)*R1438</f>
        <v>0.07285939184613113</v>
      </c>
      <c r="T1438" s="75">
        <f>0.5*(F1437*Q1437+F1438*Q1438)*R1438</f>
        <v>1.7822487351303204</v>
      </c>
      <c r="U1438" s="76">
        <f>U1437+S1438</f>
        <v>104.0638732237412</v>
      </c>
      <c r="V1438" s="76">
        <f>V1437+T1438</f>
        <v>1866.2479043248713</v>
      </c>
    </row>
    <row r="1439" spans="1:22" ht="19" customHeight="1">
      <c r="A1439" s="68" t="s">
        <v>362</v>
      </c>
      <c r="B1439" s="74">
        <v>5</v>
      </c>
      <c r="C1439" s="68" t="s">
        <v>363</v>
      </c>
      <c r="D1439" s="68" t="s">
        <v>365</v>
      </c>
      <c r="E1439" s="75">
        <f>60*F1439*'THAM_SO_MOI'!$C$53/(2*PI()*'THAM_SO_MOI'!$C$26)</f>
        <v>2410.629684210526</v>
      </c>
      <c r="F1439" s="75">
        <f>'THAM_SO_MOI'!$C$14+('THAM_SO_MOI'!$C$37-'THAM_SO_MOI'!$C$14)*632/'THAM_SO_MOI'!$C$42</f>
        <v>24.46686111111111</v>
      </c>
      <c r="G1439" s="75">
        <f>3.6*F1439</f>
        <v>88.08070000000001</v>
      </c>
      <c r="H1439" s="75">
        <f>'THAM_SO_MOI'!$D$53</f>
        <v>1.1</v>
      </c>
      <c r="I1439" s="75">
        <f>IF(F1439&gt;='THAM_SO_MOI'!$C$14,'THAM_SO_MOI'!$C$13*(1+F1439^2/1500),'THAM_SO_MOI'!$C$13)</f>
        <v>0.020986272926304013</v>
      </c>
      <c r="J1439" s="75">
        <f>'THAM_SO_MOI'!$C$40*('THAM_SO_MOI'!$C$23*(E1439/'THAM_SO_MOI'!$C$22)+'THAM_SO_MOI'!$C$24*(E1439/'THAM_SO_MOI'!$C$22)^2-'THAM_SO_MOI'!$C$25*(E1439/'THAM_SO_MOI'!$C$22)^3)</f>
        <v>107.83295513422618</v>
      </c>
      <c r="K1439" s="75">
        <f>'THAM_SO_MOI'!$C$31*J1439/E1439</f>
        <v>427.2423796327999</v>
      </c>
      <c r="L1439" s="75">
        <f>K1439*'THAM_SO_MOI'!$C$53*'THAM_SO_MOI'!$C$17/'THAM_SO_MOI'!$C$26</f>
        <v>3746.917341165653</v>
      </c>
      <c r="M1439" s="75">
        <f>'THAM_SO_MOI'!$C$15*'THAM_SO_MOI'!$C$16*F1439^2</f>
        <v>1750.984830943924</v>
      </c>
      <c r="N1439" s="75">
        <f>'THAM_SO_MOI'!$C$12*I1439</f>
        <v>1581.1225912860855</v>
      </c>
      <c r="O1439" s="75">
        <f>M1439+N1439</f>
        <v>3332.1074222300094</v>
      </c>
      <c r="P1439" s="75">
        <f>(MIN(L1439,'THAM_SO_MOI'!$C$41)-O1439)/('THAM_SO_MOI'!$C$11*H1439)</f>
        <v>0.04910155290431386</v>
      </c>
      <c r="Q1439" s="75">
        <f>IF(P1439&gt;0,1/P1439,NA())</f>
        <v>20.365954656235406</v>
      </c>
      <c r="R1439" s="75">
        <f>F1439-F1438</f>
        <v>0.0035868055555567935</v>
      </c>
      <c r="S1439" s="75">
        <f>0.5*(Q1438+Q1439)*R1439</f>
        <v>0.07298553154485117</v>
      </c>
      <c r="T1439" s="75">
        <f>0.5*(F1438*Q1438+F1439*Q1439)*R1439</f>
        <v>1.7855960842945873</v>
      </c>
      <c r="U1439" s="76">
        <f>U1438+S1439</f>
        <v>104.13685875528604</v>
      </c>
      <c r="V1439" s="76">
        <f>V1438+T1439</f>
        <v>1868.033500409166</v>
      </c>
    </row>
    <row r="1440" spans="1:22" ht="19" customHeight="1">
      <c r="A1440" s="68" t="s">
        <v>362</v>
      </c>
      <c r="B1440" s="74">
        <v>5</v>
      </c>
      <c r="C1440" s="68" t="s">
        <v>363</v>
      </c>
      <c r="D1440" s="68" t="s">
        <v>365</v>
      </c>
      <c r="E1440" s="75">
        <f>60*F1440*'THAM_SO_MOI'!$C$53/(2*PI()*'THAM_SO_MOI'!$C$26)</f>
        <v>2410.9830789473676</v>
      </c>
      <c r="F1440" s="75">
        <f>'THAM_SO_MOI'!$C$14+('THAM_SO_MOI'!$C$37-'THAM_SO_MOI'!$C$14)*633/'THAM_SO_MOI'!$C$42</f>
        <v>24.470447916666664</v>
      </c>
      <c r="G1440" s="75">
        <f>3.6*F1440</f>
        <v>88.09361249999999</v>
      </c>
      <c r="H1440" s="75">
        <f>'THAM_SO_MOI'!$D$53</f>
        <v>1.1</v>
      </c>
      <c r="I1440" s="75">
        <f>IF(F1440&gt;='THAM_SO_MOI'!$C$14,'THAM_SO_MOI'!$C$13*(1+F1440^2/1500),'THAM_SO_MOI'!$C$13)</f>
        <v>0.020988028212422957</v>
      </c>
      <c r="J1440" s="75">
        <f>'THAM_SO_MOI'!$C$40*('THAM_SO_MOI'!$C$23*(E1440/'THAM_SO_MOI'!$C$22)+'THAM_SO_MOI'!$C$24*(E1440/'THAM_SO_MOI'!$C$22)^2-'THAM_SO_MOI'!$C$25*(E1440/'THAM_SO_MOI'!$C$22)^3)</f>
        <v>107.84665039057552</v>
      </c>
      <c r="K1440" s="75">
        <f>'THAM_SO_MOI'!$C$31*J1440/E1440</f>
        <v>427.2340094091294</v>
      </c>
      <c r="L1440" s="75">
        <f>K1440*'THAM_SO_MOI'!$C$53*'THAM_SO_MOI'!$C$17/'THAM_SO_MOI'!$C$26</f>
        <v>3746.8439342713104</v>
      </c>
      <c r="M1440" s="75">
        <f>'THAM_SO_MOI'!$C$15*'THAM_SO_MOI'!$C$16*F1440^2</f>
        <v>1751.4982521337156</v>
      </c>
      <c r="N1440" s="75">
        <f>'THAM_SO_MOI'!$C$12*I1440</f>
        <v>1581.2548359465156</v>
      </c>
      <c r="O1440" s="75">
        <f>M1440+N1440</f>
        <v>3332.7530880802315</v>
      </c>
      <c r="P1440" s="75">
        <f>(MIN(L1440,'THAM_SO_MOI'!$C$41)-O1440)/('THAM_SO_MOI'!$C$11*H1440)</f>
        <v>0.04901643539193646</v>
      </c>
      <c r="Q1440" s="75">
        <f>IF(P1440&gt;0,1/P1440,NA())</f>
        <v>20.401320332741022</v>
      </c>
      <c r="R1440" s="75">
        <f>F1440-F1439</f>
        <v>0.0035868055555532408</v>
      </c>
      <c r="S1440" s="75">
        <f>0.5*(Q1439+Q1440)*R1440</f>
        <v>0.07311214420761367</v>
      </c>
      <c r="T1440" s="75">
        <f>0.5*(F1439*Q1439+F1440*Q1440)*R1440</f>
        <v>1.7889559111321178</v>
      </c>
      <c r="U1440" s="76">
        <f>U1439+S1440</f>
        <v>104.20997089949365</v>
      </c>
      <c r="V1440" s="76">
        <f>V1439+T1440</f>
        <v>1869.822456320298</v>
      </c>
    </row>
    <row r="1441" spans="1:22" ht="19" customHeight="1">
      <c r="A1441" s="68" t="s">
        <v>362</v>
      </c>
      <c r="B1441" s="74">
        <v>5</v>
      </c>
      <c r="C1441" s="68" t="s">
        <v>363</v>
      </c>
      <c r="D1441" s="68" t="s">
        <v>365</v>
      </c>
      <c r="E1441" s="75">
        <f>60*F1441*'THAM_SO_MOI'!$C$53/(2*PI()*'THAM_SO_MOI'!$C$26)</f>
        <v>2411.33647368421</v>
      </c>
      <c r="F1441" s="75">
        <f>'THAM_SO_MOI'!$C$14+('THAM_SO_MOI'!$C$37-'THAM_SO_MOI'!$C$14)*634/'THAM_SO_MOI'!$C$42</f>
        <v>24.47403472222222</v>
      </c>
      <c r="G1441" s="75">
        <f>3.6*F1441</f>
        <v>88.106525</v>
      </c>
      <c r="H1441" s="75">
        <f>'THAM_SO_MOI'!$D$53</f>
        <v>1.1</v>
      </c>
      <c r="I1441" s="75">
        <f>IF(F1441&gt;='THAM_SO_MOI'!$C$14,'THAM_SO_MOI'!$C$13*(1+F1441^2/1500),'THAM_SO_MOI'!$C$13)</f>
        <v>0.02098978375584539</v>
      </c>
      <c r="J1441" s="75">
        <f>'THAM_SO_MOI'!$C$40*('THAM_SO_MOI'!$C$23*(E1441/'THAM_SO_MOI'!$C$22)+'THAM_SO_MOI'!$C$24*(E1441/'THAM_SO_MOI'!$C$22)^2-'THAM_SO_MOI'!$C$25*(E1441/'THAM_SO_MOI'!$C$22)^3)</f>
        <v>107.86034196863578</v>
      </c>
      <c r="K1441" s="75">
        <f>'THAM_SO_MOI'!$C$31*J1441/E1441</f>
        <v>427.2256270694745</v>
      </c>
      <c r="L1441" s="75">
        <f>K1441*'THAM_SO_MOI'!$C$53*'THAM_SO_MOI'!$C$17/'THAM_SO_MOI'!$C$26</f>
        <v>3746.7704211197374</v>
      </c>
      <c r="M1441" s="75">
        <f>'THAM_SO_MOI'!$C$15*'THAM_SO_MOI'!$C$16*F1441^2</f>
        <v>1752.0117485847766</v>
      </c>
      <c r="N1441" s="75">
        <f>'THAM_SO_MOI'!$C$12*I1441</f>
        <v>1581.3870999923965</v>
      </c>
      <c r="O1441" s="75">
        <f>M1441+N1441</f>
        <v>3333.3988485771733</v>
      </c>
      <c r="P1441" s="75">
        <f>(MIN(L1441,'THAM_SO_MOI'!$C$41)-O1441)/('THAM_SO_MOI'!$C$11*H1441)</f>
        <v>0.048931294098314905</v>
      </c>
      <c r="Q1441" s="75">
        <f>IF(P1441&gt;0,1/P1441,NA())</f>
        <v>20.436818981136206</v>
      </c>
      <c r="R1441" s="75">
        <f>F1441-F1440</f>
        <v>0.0035868055555567935</v>
      </c>
      <c r="S1441" s="75">
        <f>0.5*(Q1440+Q1441)*R1441</f>
        <v>0.07323923248480857</v>
      </c>
      <c r="T1441" s="75">
        <f>0.5*(F1440*Q1440+F1441*Q1441)*R1441</f>
        <v>1.7923282855932028</v>
      </c>
      <c r="U1441" s="76">
        <f>U1440+S1441</f>
        <v>104.28321013197846</v>
      </c>
      <c r="V1441" s="76">
        <f>V1440+T1441</f>
        <v>1871.6147846058911</v>
      </c>
    </row>
    <row r="1442" spans="1:22" ht="19" customHeight="1">
      <c r="A1442" s="68" t="s">
        <v>362</v>
      </c>
      <c r="B1442" s="74">
        <v>5</v>
      </c>
      <c r="C1442" s="68" t="s">
        <v>363</v>
      </c>
      <c r="D1442" s="68" t="s">
        <v>365</v>
      </c>
      <c r="E1442" s="75">
        <f>60*F1442*'THAM_SO_MOI'!$C$53/(2*PI()*'THAM_SO_MOI'!$C$26)</f>
        <v>2411.689868421052</v>
      </c>
      <c r="F1442" s="75">
        <f>'THAM_SO_MOI'!$C$14+('THAM_SO_MOI'!$C$37-'THAM_SO_MOI'!$C$14)*635/'THAM_SO_MOI'!$C$42</f>
        <v>24.477621527777778</v>
      </c>
      <c r="G1442" s="75">
        <f>3.6*F1442</f>
        <v>88.1194375</v>
      </c>
      <c r="H1442" s="75">
        <f>'THAM_SO_MOI'!$D$53</f>
        <v>1.1</v>
      </c>
      <c r="I1442" s="75">
        <f>IF(F1442&gt;='THAM_SO_MOI'!$C$14,'THAM_SO_MOI'!$C$13*(1+F1442^2/1500),'THAM_SO_MOI'!$C$13)</f>
        <v>0.0209915395565713</v>
      </c>
      <c r="J1442" s="75">
        <f>'THAM_SO_MOI'!$C$40*('THAM_SO_MOI'!$C$23*(E1442/'THAM_SO_MOI'!$C$22)+'THAM_SO_MOI'!$C$24*(E1442/'THAM_SO_MOI'!$C$22)^2-'THAM_SO_MOI'!$C$25*(E1442/'THAM_SO_MOI'!$C$22)^3)</f>
        <v>107.87402986706199</v>
      </c>
      <c r="K1442" s="75">
        <f>'THAM_SO_MOI'!$C$31*J1442/E1442</f>
        <v>427.21723261383505</v>
      </c>
      <c r="L1442" s="75">
        <f>K1442*'THAM_SO_MOI'!$C$53*'THAM_SO_MOI'!$C$17/'THAM_SO_MOI'!$C$26</f>
        <v>3746.6968017109316</v>
      </c>
      <c r="M1442" s="75">
        <f>'THAM_SO_MOI'!$C$15*'THAM_SO_MOI'!$C$16*F1442^2</f>
        <v>1752.5253202971057</v>
      </c>
      <c r="N1442" s="75">
        <f>'THAM_SO_MOI'!$C$12*I1442</f>
        <v>1581.519383423727</v>
      </c>
      <c r="O1442" s="75">
        <f>M1442+N1442</f>
        <v>3334.044703720833</v>
      </c>
      <c r="P1442" s="75">
        <f>(MIN(L1442,'THAM_SO_MOI'!$C$41)-O1442)/('THAM_SO_MOI'!$C$11*H1442)</f>
        <v>0.048846129023449196</v>
      </c>
      <c r="Q1442" s="75">
        <f>IF(P1442&gt;0,1/P1442,NA())</f>
        <v>20.472451348599957</v>
      </c>
      <c r="R1442" s="75">
        <f>F1442-F1441</f>
        <v>0.0035868055555567935</v>
      </c>
      <c r="S1442" s="75">
        <f>0.5*(Q1441+Q1442)*R1442</f>
        <v>0.07336679904623618</v>
      </c>
      <c r="T1442" s="75">
        <f>0.5*(F1441*Q1441+F1442*Q1442)*R1442</f>
        <v>1.7957132781412433</v>
      </c>
      <c r="U1442" s="76">
        <f>U1441+S1442</f>
        <v>104.3565769310247</v>
      </c>
      <c r="V1442" s="76">
        <f>V1441+T1442</f>
        <v>1873.4104978840323</v>
      </c>
    </row>
    <row r="1443" spans="1:22" ht="19" customHeight="1">
      <c r="A1443" s="68" t="s">
        <v>362</v>
      </c>
      <c r="B1443" s="74">
        <v>5</v>
      </c>
      <c r="C1443" s="68" t="s">
        <v>363</v>
      </c>
      <c r="D1443" s="68" t="s">
        <v>365</v>
      </c>
      <c r="E1443" s="75">
        <f>60*F1443*'THAM_SO_MOI'!$C$53/(2*PI()*'THAM_SO_MOI'!$C$26)</f>
        <v>2412.0432631578938</v>
      </c>
      <c r="F1443" s="75">
        <f>'THAM_SO_MOI'!$C$14+('THAM_SO_MOI'!$C$37-'THAM_SO_MOI'!$C$14)*636/'THAM_SO_MOI'!$C$42</f>
        <v>24.48120833333333</v>
      </c>
      <c r="G1443" s="75">
        <f>3.6*F1443</f>
        <v>88.13234999999999</v>
      </c>
      <c r="H1443" s="75">
        <f>'THAM_SO_MOI'!$D$53</f>
        <v>1.1</v>
      </c>
      <c r="I1443" s="75">
        <f>IF(F1443&gt;='THAM_SO_MOI'!$C$14,'THAM_SO_MOI'!$C$13*(1+F1443^2/1500),'THAM_SO_MOI'!$C$13)</f>
        <v>0.020993295614600692</v>
      </c>
      <c r="J1443" s="75">
        <f>'THAM_SO_MOI'!$C$40*('THAM_SO_MOI'!$C$23*(E1443/'THAM_SO_MOI'!$C$22)+'THAM_SO_MOI'!$C$24*(E1443/'THAM_SO_MOI'!$C$22)^2-'THAM_SO_MOI'!$C$25*(E1443/'THAM_SO_MOI'!$C$22)^3)</f>
        <v>107.88771408450934</v>
      </c>
      <c r="K1443" s="75">
        <f>'THAM_SO_MOI'!$C$31*J1443/E1443</f>
        <v>427.2088260422113</v>
      </c>
      <c r="L1443" s="75">
        <f>K1443*'THAM_SO_MOI'!$C$53*'THAM_SO_MOI'!$C$17/'THAM_SO_MOI'!$C$26</f>
        <v>3746.623076044897</v>
      </c>
      <c r="M1443" s="75">
        <f>'THAM_SO_MOI'!$C$15*'THAM_SO_MOI'!$C$16*F1443^2</f>
        <v>1753.0389672707029</v>
      </c>
      <c r="N1443" s="75">
        <f>'THAM_SO_MOI'!$C$12*I1443</f>
        <v>1581.6516862405078</v>
      </c>
      <c r="O1443" s="75">
        <f>M1443+N1443</f>
        <v>3334.6906535112107</v>
      </c>
      <c r="P1443" s="75">
        <f>(MIN(L1443,'THAM_SO_MOI'!$C$41)-O1443)/('THAM_SO_MOI'!$C$11*H1443)</f>
        <v>0.04876094016733977</v>
      </c>
      <c r="Q1443" s="75">
        <f>IF(P1443&gt;0,1/P1443,NA())</f>
        <v>20.508218187921717</v>
      </c>
      <c r="R1443" s="75">
        <f>F1443-F1442</f>
        <v>0.0035868055555532408</v>
      </c>
      <c r="S1443" s="75">
        <f>0.5*(Q1442+Q1443)*R1443</f>
        <v>0.07349484658194369</v>
      </c>
      <c r="T1443" s="75">
        <f>0.5*(F1442*Q1442+F1443*Q1443)*R1443</f>
        <v>1.799110959773576</v>
      </c>
      <c r="U1443" s="76">
        <f>U1442+S1443</f>
        <v>104.43007177760664</v>
      </c>
      <c r="V1443" s="76">
        <f>V1442+T1443</f>
        <v>1875.2096088438059</v>
      </c>
    </row>
    <row r="1444" spans="1:22" ht="19" customHeight="1">
      <c r="A1444" s="68" t="s">
        <v>362</v>
      </c>
      <c r="B1444" s="74">
        <v>5</v>
      </c>
      <c r="C1444" s="68" t="s">
        <v>363</v>
      </c>
      <c r="D1444" s="68" t="s">
        <v>365</v>
      </c>
      <c r="E1444" s="75">
        <f>60*F1444*'THAM_SO_MOI'!$C$53/(2*PI()*'THAM_SO_MOI'!$C$26)</f>
        <v>2412.3966578947366</v>
      </c>
      <c r="F1444" s="75">
        <f>'THAM_SO_MOI'!$C$14+('THAM_SO_MOI'!$C$37-'THAM_SO_MOI'!$C$14)*637/'THAM_SO_MOI'!$C$42</f>
        <v>24.484795138888888</v>
      </c>
      <c r="G1444" s="75">
        <f>3.6*F1444</f>
        <v>88.1452625</v>
      </c>
      <c r="H1444" s="75">
        <f>'THAM_SO_MOI'!$D$53</f>
        <v>1.1</v>
      </c>
      <c r="I1444" s="75">
        <f>IF(F1444&gt;='THAM_SO_MOI'!$C$14,'THAM_SO_MOI'!$C$13*(1+F1444^2/1500),'THAM_SO_MOI'!$C$13)</f>
        <v>0.02099505192993357</v>
      </c>
      <c r="J1444" s="75">
        <f>'THAM_SO_MOI'!$C$40*('THAM_SO_MOI'!$C$23*(E1444/'THAM_SO_MOI'!$C$22)+'THAM_SO_MOI'!$C$24*(E1444/'THAM_SO_MOI'!$C$22)^2-'THAM_SO_MOI'!$C$25*(E1444/'THAM_SO_MOI'!$C$22)^3)</f>
        <v>107.90139461963291</v>
      </c>
      <c r="K1444" s="75">
        <f>'THAM_SO_MOI'!$C$31*J1444/E1444</f>
        <v>427.2004073546029</v>
      </c>
      <c r="L1444" s="75">
        <f>K1444*'THAM_SO_MOI'!$C$53*'THAM_SO_MOI'!$C$17/'THAM_SO_MOI'!$C$26</f>
        <v>3746.549244121629</v>
      </c>
      <c r="M1444" s="75">
        <f>'THAM_SO_MOI'!$C$15*'THAM_SO_MOI'!$C$16*F1444^2</f>
        <v>1753.552689505569</v>
      </c>
      <c r="N1444" s="75">
        <f>'THAM_SO_MOI'!$C$12*I1444</f>
        <v>1581.7840084427392</v>
      </c>
      <c r="O1444" s="75">
        <f>M1444+N1444</f>
        <v>3335.336697948308</v>
      </c>
      <c r="P1444" s="75">
        <f>(MIN(L1444,'THAM_SO_MOI'!$C$41)-O1444)/('THAM_SO_MOI'!$C$11*H1444)</f>
        <v>0.04867572752998586</v>
      </c>
      <c r="Q1444" s="75">
        <f>IF(P1444&gt;0,1/P1444,NA())</f>
        <v>20.54412025755479</v>
      </c>
      <c r="R1444" s="75">
        <f>F1444-F1443</f>
        <v>0.0035868055555567935</v>
      </c>
      <c r="S1444" s="75">
        <f>0.5*(Q1443+Q1444)*R1444</f>
        <v>0.07362337780241644</v>
      </c>
      <c r="T1444" s="75">
        <f>0.5*(F1443*Q1443+F1444*Q1444)*R1444</f>
        <v>1.80252140202652</v>
      </c>
      <c r="U1444" s="76">
        <f>U1443+S1444</f>
        <v>104.50369515540906</v>
      </c>
      <c r="V1444" s="76">
        <f>V1443+T1444</f>
        <v>1877.0121302458324</v>
      </c>
    </row>
    <row r="1445" spans="1:22" ht="19" customHeight="1">
      <c r="A1445" s="68" t="s">
        <v>362</v>
      </c>
      <c r="B1445" s="74">
        <v>5</v>
      </c>
      <c r="C1445" s="68" t="s">
        <v>363</v>
      </c>
      <c r="D1445" s="68" t="s">
        <v>365</v>
      </c>
      <c r="E1445" s="75">
        <f>60*F1445*'THAM_SO_MOI'!$C$53/(2*PI()*'THAM_SO_MOI'!$C$26)</f>
        <v>2412.7500526315785</v>
      </c>
      <c r="F1445" s="75">
        <f>'THAM_SO_MOI'!$C$14+('THAM_SO_MOI'!$C$37-'THAM_SO_MOI'!$C$14)*638/'THAM_SO_MOI'!$C$42</f>
        <v>24.48838194444444</v>
      </c>
      <c r="G1445" s="75">
        <f>3.6*F1445</f>
        <v>88.15817499999999</v>
      </c>
      <c r="H1445" s="75">
        <f>'THAM_SO_MOI'!$D$53</f>
        <v>1.1</v>
      </c>
      <c r="I1445" s="75">
        <f>IF(F1445&gt;='THAM_SO_MOI'!$C$14,'THAM_SO_MOI'!$C$13*(1+F1445^2/1500),'THAM_SO_MOI'!$C$13)</f>
        <v>0.020996808502569925</v>
      </c>
      <c r="J1445" s="75">
        <f>'THAM_SO_MOI'!$C$40*('THAM_SO_MOI'!$C$23*(E1445/'THAM_SO_MOI'!$C$22)+'THAM_SO_MOI'!$C$24*(E1445/'THAM_SO_MOI'!$C$22)^2-'THAM_SO_MOI'!$C$25*(E1445/'THAM_SO_MOI'!$C$22)^3)</f>
        <v>107.91507147108778</v>
      </c>
      <c r="K1445" s="75">
        <f>'THAM_SO_MOI'!$C$31*J1445/E1445</f>
        <v>427.19197655101016</v>
      </c>
      <c r="L1445" s="75">
        <f>K1445*'THAM_SO_MOI'!$C$53*'THAM_SO_MOI'!$C$17/'THAM_SO_MOI'!$C$26</f>
        <v>3746.4753059411314</v>
      </c>
      <c r="M1445" s="75">
        <f>'THAM_SO_MOI'!$C$15*'THAM_SO_MOI'!$C$16*F1445^2</f>
        <v>1754.0664870017033</v>
      </c>
      <c r="N1445" s="75">
        <f>'THAM_SO_MOI'!$C$12*I1445</f>
        <v>1581.9163500304203</v>
      </c>
      <c r="O1445" s="75">
        <f>M1445+N1445</f>
        <v>3335.982837032124</v>
      </c>
      <c r="P1445" s="75">
        <f>(MIN(L1445,'THAM_SO_MOI'!$C$41)-O1445)/('THAM_SO_MOI'!$C$11*H1445)</f>
        <v>0.04859049111138824</v>
      </c>
      <c r="Q1445" s="75">
        <f>IF(P1445&gt;0,1/P1445,NA())</f>
        <v>20.580158321668584</v>
      </c>
      <c r="R1445" s="75">
        <f>F1445-F1444</f>
        <v>0.0035868055555532408</v>
      </c>
      <c r="S1445" s="75">
        <f>0.5*(Q1444+Q1445)*R1445</f>
        <v>0.07375239543803876</v>
      </c>
      <c r="T1445" s="75">
        <f>0.5*(F1444*Q1444+F1445*Q1445)*R1445</f>
        <v>1.8059446769625411</v>
      </c>
      <c r="U1445" s="76">
        <f>U1444+S1445</f>
        <v>104.5774475508471</v>
      </c>
      <c r="V1445" s="76">
        <f>V1444+T1445</f>
        <v>1878.818074922795</v>
      </c>
    </row>
    <row r="1446" spans="1:22" ht="19" customHeight="1">
      <c r="A1446" s="68" t="s">
        <v>362</v>
      </c>
      <c r="B1446" s="74">
        <v>5</v>
      </c>
      <c r="C1446" s="68" t="s">
        <v>363</v>
      </c>
      <c r="D1446" s="68" t="s">
        <v>365</v>
      </c>
      <c r="E1446" s="75">
        <f>60*F1446*'THAM_SO_MOI'!$C$53/(2*PI()*'THAM_SO_MOI'!$C$26)</f>
        <v>2413.1034473684203</v>
      </c>
      <c r="F1446" s="75">
        <f>'THAM_SO_MOI'!$C$14+('THAM_SO_MOI'!$C$37-'THAM_SO_MOI'!$C$14)*639/'THAM_SO_MOI'!$C$42</f>
        <v>24.491968749999998</v>
      </c>
      <c r="G1446" s="75">
        <f>3.6*F1446</f>
        <v>88.1710875</v>
      </c>
      <c r="H1446" s="75">
        <f>'THAM_SO_MOI'!$D$53</f>
        <v>1.1</v>
      </c>
      <c r="I1446" s="75">
        <f>IF(F1446&gt;='THAM_SO_MOI'!$C$14,'THAM_SO_MOI'!$C$13*(1+F1446^2/1500),'THAM_SO_MOI'!$C$13)</f>
        <v>0.020998565332509763</v>
      </c>
      <c r="J1446" s="75">
        <f>'THAM_SO_MOI'!$C$40*('THAM_SO_MOI'!$C$23*(E1446/'THAM_SO_MOI'!$C$22)+'THAM_SO_MOI'!$C$24*(E1446/'THAM_SO_MOI'!$C$22)^2-'THAM_SO_MOI'!$C$25*(E1446/'THAM_SO_MOI'!$C$22)^3)</f>
        <v>107.92874463752909</v>
      </c>
      <c r="K1446" s="75">
        <f>'THAM_SO_MOI'!$C$31*J1446/E1446</f>
        <v>427.18353363143297</v>
      </c>
      <c r="L1446" s="75">
        <f>K1446*'THAM_SO_MOI'!$C$53*'THAM_SO_MOI'!$C$17/'THAM_SO_MOI'!$C$26</f>
        <v>3746.4012615034026</v>
      </c>
      <c r="M1446" s="75">
        <f>'THAM_SO_MOI'!$C$15*'THAM_SO_MOI'!$C$16*F1446^2</f>
        <v>1754.5803597591064</v>
      </c>
      <c r="N1446" s="75">
        <f>'THAM_SO_MOI'!$C$12*I1446</f>
        <v>1582.0487110035517</v>
      </c>
      <c r="O1446" s="75">
        <f>M1446+N1446</f>
        <v>3336.629070762658</v>
      </c>
      <c r="P1446" s="75">
        <f>(MIN(L1446,'THAM_SO_MOI'!$C$41)-O1446)/('THAM_SO_MOI'!$C$11*H1446)</f>
        <v>0.04850523091154646</v>
      </c>
      <c r="Q1446" s="75">
        <f>IF(P1446&gt;0,1/P1446,NA())</f>
        <v>20.61633315020369</v>
      </c>
      <c r="R1446" s="75">
        <f>F1446-F1445</f>
        <v>0.0035868055555567935</v>
      </c>
      <c r="S1446" s="75">
        <f>0.5*(Q1445+Q1446)*R1446</f>
        <v>0.07388190224037977</v>
      </c>
      <c r="T1446" s="75">
        <f>0.5*(F1445*Q1445+F1446*Q1446)*R1446</f>
        <v>1.8093808572020973</v>
      </c>
      <c r="U1446" s="76">
        <f>U1445+S1446</f>
        <v>104.65132945308747</v>
      </c>
      <c r="V1446" s="76">
        <f>V1445+T1446</f>
        <v>1880.627455779997</v>
      </c>
    </row>
    <row r="1447" spans="1:22" ht="19" customHeight="1">
      <c r="A1447" s="68" t="s">
        <v>362</v>
      </c>
      <c r="B1447" s="74">
        <v>5</v>
      </c>
      <c r="C1447" s="68" t="s">
        <v>363</v>
      </c>
      <c r="D1447" s="68" t="s">
        <v>365</v>
      </c>
      <c r="E1447" s="75">
        <f>60*F1447*'THAM_SO_MOI'!$C$53/(2*PI()*'THAM_SO_MOI'!$C$26)</f>
        <v>2413.4568421052627</v>
      </c>
      <c r="F1447" s="75">
        <f>'THAM_SO_MOI'!$C$14+('THAM_SO_MOI'!$C$37-'THAM_SO_MOI'!$C$14)*640/'THAM_SO_MOI'!$C$42</f>
        <v>24.495555555555555</v>
      </c>
      <c r="G1447" s="75">
        <f>3.6*F1447</f>
        <v>88.184</v>
      </c>
      <c r="H1447" s="75">
        <f>'THAM_SO_MOI'!$D$53</f>
        <v>1.1</v>
      </c>
      <c r="I1447" s="75">
        <f>IF(F1447&gt;='THAM_SO_MOI'!$C$14,'THAM_SO_MOI'!$C$13*(1+F1447^2/1500),'THAM_SO_MOI'!$C$13)</f>
        <v>0.021000322419753085</v>
      </c>
      <c r="J1447" s="75">
        <f>'THAM_SO_MOI'!$C$40*('THAM_SO_MOI'!$C$23*(E1447/'THAM_SO_MOI'!$C$22)+'THAM_SO_MOI'!$C$24*(E1447/'THAM_SO_MOI'!$C$22)^2-'THAM_SO_MOI'!$C$25*(E1447/'THAM_SO_MOI'!$C$22)^3)</f>
        <v>107.94241411761195</v>
      </c>
      <c r="K1447" s="75">
        <f>'THAM_SO_MOI'!$C$31*J1447/E1447</f>
        <v>427.17507859587124</v>
      </c>
      <c r="L1447" s="75">
        <f>K1447*'THAM_SO_MOI'!$C$53*'THAM_SO_MOI'!$C$17/'THAM_SO_MOI'!$C$26</f>
        <v>3746.3271108084414</v>
      </c>
      <c r="M1447" s="75">
        <f>'THAM_SO_MOI'!$C$15*'THAM_SO_MOI'!$C$16*F1447^2</f>
        <v>1755.0943077777779</v>
      </c>
      <c r="N1447" s="75">
        <f>'THAM_SO_MOI'!$C$12*I1447</f>
        <v>1582.1810913621332</v>
      </c>
      <c r="O1447" s="75">
        <f>M1447+N1447</f>
        <v>3337.2753991399113</v>
      </c>
      <c r="P1447" s="75">
        <f>(MIN(L1447,'THAM_SO_MOI'!$C$41)-O1447)/('THAM_SO_MOI'!$C$11*H1447)</f>
        <v>0.0484199469304605</v>
      </c>
      <c r="Q1447" s="75">
        <f>IF(P1447&gt;0,1/P1447,NA())</f>
        <v>20.652645518925798</v>
      </c>
      <c r="R1447" s="75">
        <f>F1447-F1446</f>
        <v>0.0035868055555567935</v>
      </c>
      <c r="S1447" s="75">
        <f>0.5*(Q1446+Q1447)*R1447</f>
        <v>0.07401190098129423</v>
      </c>
      <c r="T1447" s="75">
        <f>0.5*(F1446*Q1446+F1447*Q1447)*R1447</f>
        <v>1.8128300159019972</v>
      </c>
      <c r="U1447" s="76">
        <f>U1446+S1447</f>
        <v>104.72534135406876</v>
      </c>
      <c r="V1447" s="76">
        <f>V1446+T1447</f>
        <v>1882.440285795899</v>
      </c>
    </row>
    <row r="1448" spans="1:22" ht="19" customHeight="1">
      <c r="A1448" s="68" t="s">
        <v>362</v>
      </c>
      <c r="B1448" s="74">
        <v>5</v>
      </c>
      <c r="C1448" s="68" t="s">
        <v>363</v>
      </c>
      <c r="D1448" s="68" t="s">
        <v>365</v>
      </c>
      <c r="E1448" s="75">
        <f>60*F1448*'THAM_SO_MOI'!$C$53/(2*PI()*'THAM_SO_MOI'!$C$26)</f>
        <v>2413.8102368421046</v>
      </c>
      <c r="F1448" s="75">
        <f>'THAM_SO_MOI'!$C$14+('THAM_SO_MOI'!$C$37-'THAM_SO_MOI'!$C$14)*641/'THAM_SO_MOI'!$C$42</f>
        <v>24.49914236111111</v>
      </c>
      <c r="G1448" s="75">
        <f>3.6*F1448</f>
        <v>88.19691250000001</v>
      </c>
      <c r="H1448" s="75">
        <f>'THAM_SO_MOI'!$D$53</f>
        <v>1.1</v>
      </c>
      <c r="I1448" s="75">
        <f>IF(F1448&gt;='THAM_SO_MOI'!$C$14,'THAM_SO_MOI'!$C$13*(1+F1448^2/1500),'THAM_SO_MOI'!$C$13)</f>
        <v>0.02100207976429989</v>
      </c>
      <c r="J1448" s="75">
        <f>'THAM_SO_MOI'!$C$40*('THAM_SO_MOI'!$C$23*(E1448/'THAM_SO_MOI'!$C$22)+'THAM_SO_MOI'!$C$24*(E1448/'THAM_SO_MOI'!$C$22)^2-'THAM_SO_MOI'!$C$25*(E1448/'THAM_SO_MOI'!$C$22)^3)</f>
        <v>107.95607990999144</v>
      </c>
      <c r="K1448" s="75">
        <f>'THAM_SO_MOI'!$C$31*J1448/E1448</f>
        <v>427.1666114443251</v>
      </c>
      <c r="L1448" s="75">
        <f>K1448*'THAM_SO_MOI'!$C$53*'THAM_SO_MOI'!$C$17/'THAM_SO_MOI'!$C$26</f>
        <v>3746.25285385625</v>
      </c>
      <c r="M1448" s="75">
        <f>'THAM_SO_MOI'!$C$15*'THAM_SO_MOI'!$C$16*F1448^2</f>
        <v>1755.608331057718</v>
      </c>
      <c r="N1448" s="75">
        <f>'THAM_SO_MOI'!$C$12*I1448</f>
        <v>1582.3134911061652</v>
      </c>
      <c r="O1448" s="75">
        <f>M1448+N1448</f>
        <v>3337.921822163883</v>
      </c>
      <c r="P1448" s="75">
        <f>(MIN(L1448,'THAM_SO_MOI'!$C$41)-O1448)/('THAM_SO_MOI'!$C$11*H1448)</f>
        <v>0.04833463916813055</v>
      </c>
      <c r="Q1448" s="75">
        <f>IF(P1448&gt;0,1/P1448,NA())</f>
        <v>20.689096209480965</v>
      </c>
      <c r="R1448" s="75">
        <f>F1448-F1447</f>
        <v>0.0035868055555567935</v>
      </c>
      <c r="S1448" s="75">
        <f>0.5*(Q1447+Q1448)*R1448</f>
        <v>0.07414239445392173</v>
      </c>
      <c r="T1448" s="75">
        <f>0.5*(F1447*Q1447+F1448*Q1448)*R1448</f>
        <v>1.816292226780239</v>
      </c>
      <c r="U1448" s="76">
        <f>U1447+S1448</f>
        <v>104.79948374852268</v>
      </c>
      <c r="V1448" s="76">
        <f>V1447+T1448</f>
        <v>1884.2565780226792</v>
      </c>
    </row>
    <row r="1449" spans="1:22" ht="19" customHeight="1">
      <c r="A1449" s="68" t="s">
        <v>362</v>
      </c>
      <c r="B1449" s="74">
        <v>5</v>
      </c>
      <c r="C1449" s="68" t="s">
        <v>363</v>
      </c>
      <c r="D1449" s="68" t="s">
        <v>365</v>
      </c>
      <c r="E1449" s="75">
        <f>60*F1449*'THAM_SO_MOI'!$C$53/(2*PI()*'THAM_SO_MOI'!$C$26)</f>
        <v>2414.1636315789465</v>
      </c>
      <c r="F1449" s="75">
        <f>'THAM_SO_MOI'!$C$14+('THAM_SO_MOI'!$C$37-'THAM_SO_MOI'!$C$14)*642/'THAM_SO_MOI'!$C$42</f>
        <v>24.502729166666665</v>
      </c>
      <c r="G1449" s="75">
        <f>3.6*F1449</f>
        <v>88.209825</v>
      </c>
      <c r="H1449" s="75">
        <f>'THAM_SO_MOI'!$D$53</f>
        <v>1.1</v>
      </c>
      <c r="I1449" s="75">
        <f>IF(F1449&gt;='THAM_SO_MOI'!$C$14,'THAM_SO_MOI'!$C$13*(1+F1449^2/1500),'THAM_SO_MOI'!$C$13)</f>
        <v>0.02100383736615017</v>
      </c>
      <c r="J1449" s="75">
        <f>'THAM_SO_MOI'!$C$40*('THAM_SO_MOI'!$C$23*(E1449/'THAM_SO_MOI'!$C$22)+'THAM_SO_MOI'!$C$24*(E1449/'THAM_SO_MOI'!$C$22)^2-'THAM_SO_MOI'!$C$25*(E1449/'THAM_SO_MOI'!$C$22)^3)</f>
        <v>107.96974201332272</v>
      </c>
      <c r="K1449" s="75">
        <f>'THAM_SO_MOI'!$C$31*J1449/E1449</f>
        <v>427.1581321767946</v>
      </c>
      <c r="L1449" s="75">
        <f>K1449*'THAM_SO_MOI'!$C$53*'THAM_SO_MOI'!$C$17/'THAM_SO_MOI'!$C$26</f>
        <v>3746.178490646829</v>
      </c>
      <c r="M1449" s="75">
        <f>'THAM_SO_MOI'!$C$15*'THAM_SO_MOI'!$C$16*F1449^2</f>
        <v>1756.1224295989257</v>
      </c>
      <c r="N1449" s="75">
        <f>'THAM_SO_MOI'!$C$12*I1449</f>
        <v>1582.4459102356468</v>
      </c>
      <c r="O1449" s="75">
        <f>M1449+N1449</f>
        <v>3338.5683398345727</v>
      </c>
      <c r="P1449" s="75">
        <f>(MIN(L1449,'THAM_SO_MOI'!$C$41)-O1449)/('THAM_SO_MOI'!$C$11*H1449)</f>
        <v>0.04824930762455685</v>
      </c>
      <c r="Q1449" s="75">
        <f>IF(P1449&gt;0,1/P1449,NA())</f>
        <v>20.72568600945151</v>
      </c>
      <c r="R1449" s="75">
        <f>F1449-F1448</f>
        <v>0.0035868055555532408</v>
      </c>
      <c r="S1449" s="75">
        <f>0.5*(Q1448+Q1449)*R1449</f>
        <v>0.07427338547244729</v>
      </c>
      <c r="T1449" s="75">
        <f>0.5*(F1448*Q1448+F1449*Q1449)*R1449</f>
        <v>1.8197675641105258</v>
      </c>
      <c r="U1449" s="76">
        <f>U1448+S1449</f>
        <v>104.87375713399513</v>
      </c>
      <c r="V1449" s="76">
        <f>V1448+T1449</f>
        <v>1886.0763455867898</v>
      </c>
    </row>
    <row r="1450" spans="1:22" ht="19" customHeight="1">
      <c r="A1450" s="68" t="s">
        <v>362</v>
      </c>
      <c r="B1450" s="74">
        <v>5</v>
      </c>
      <c r="C1450" s="68" t="s">
        <v>363</v>
      </c>
      <c r="D1450" s="68" t="s">
        <v>365</v>
      </c>
      <c r="E1450" s="75">
        <f>60*F1450*'THAM_SO_MOI'!$C$53/(2*PI()*'THAM_SO_MOI'!$C$26)</f>
        <v>2414.517026315789</v>
      </c>
      <c r="F1450" s="75">
        <f>'THAM_SO_MOI'!$C$14+('THAM_SO_MOI'!$C$37-'THAM_SO_MOI'!$C$14)*643/'THAM_SO_MOI'!$C$42</f>
        <v>24.50631597222222</v>
      </c>
      <c r="G1450" s="75">
        <f>3.6*F1450</f>
        <v>88.2227375</v>
      </c>
      <c r="H1450" s="75">
        <f>'THAM_SO_MOI'!$D$53</f>
        <v>1.1</v>
      </c>
      <c r="I1450" s="75">
        <f>IF(F1450&gt;='THAM_SO_MOI'!$C$14,'THAM_SO_MOI'!$C$13*(1+F1450^2/1500),'THAM_SO_MOI'!$C$13)</f>
        <v>0.02100559522530394</v>
      </c>
      <c r="J1450" s="75">
        <f>'THAM_SO_MOI'!$C$40*('THAM_SO_MOI'!$C$23*(E1450/'THAM_SO_MOI'!$C$22)+'THAM_SO_MOI'!$C$24*(E1450/'THAM_SO_MOI'!$C$22)^2-'THAM_SO_MOI'!$C$25*(E1450/'THAM_SO_MOI'!$C$22)^3)</f>
        <v>107.98340042626086</v>
      </c>
      <c r="K1450" s="75">
        <f>'THAM_SO_MOI'!$C$31*J1450/E1450</f>
        <v>427.1496407932795</v>
      </c>
      <c r="L1450" s="75">
        <f>K1450*'THAM_SO_MOI'!$C$53*'THAM_SO_MOI'!$C$17/'THAM_SO_MOI'!$C$26</f>
        <v>3746.104021180175</v>
      </c>
      <c r="M1450" s="75">
        <f>'THAM_SO_MOI'!$C$15*'THAM_SO_MOI'!$C$16*F1450^2</f>
        <v>1756.6366034014027</v>
      </c>
      <c r="N1450" s="75">
        <f>'THAM_SO_MOI'!$C$12*I1450</f>
        <v>1582.5783487505792</v>
      </c>
      <c r="O1450" s="75">
        <f>M1450+N1450</f>
        <v>3339.214952151982</v>
      </c>
      <c r="P1450" s="75">
        <f>(MIN(L1450,'THAM_SO_MOI'!$C$41)-O1450)/('THAM_SO_MOI'!$C$11*H1450)</f>
        <v>0.048163952299738785</v>
      </c>
      <c r="Q1450" s="75">
        <f>IF(P1450&gt;0,1/P1450,NA())</f>
        <v>20.76241571241286</v>
      </c>
      <c r="R1450" s="75">
        <f>F1450-F1449</f>
        <v>0.0035868055555567935</v>
      </c>
      <c r="S1450" s="75">
        <f>0.5*(Q1449+Q1450)*R1450</f>
        <v>0.07440487687274425</v>
      </c>
      <c r="T1450" s="75">
        <f>0.5*(F1449*Q1449+F1450*Q1450)*R1450</f>
        <v>1.8232561027384022</v>
      </c>
      <c r="U1450" s="76">
        <f>U1449+S1450</f>
        <v>104.94816201086788</v>
      </c>
      <c r="V1450" s="76">
        <f>V1449+T1450</f>
        <v>1887.8996016895283</v>
      </c>
    </row>
    <row r="1451" spans="1:22" ht="19" customHeight="1">
      <c r="A1451" s="68" t="s">
        <v>362</v>
      </c>
      <c r="B1451" s="74">
        <v>5</v>
      </c>
      <c r="C1451" s="68" t="s">
        <v>363</v>
      </c>
      <c r="D1451" s="68" t="s">
        <v>365</v>
      </c>
      <c r="E1451" s="75">
        <f>60*F1451*'THAM_SO_MOI'!$C$53/(2*PI()*'THAM_SO_MOI'!$C$26)</f>
        <v>2414.870421052631</v>
      </c>
      <c r="F1451" s="75">
        <f>'THAM_SO_MOI'!$C$14+('THAM_SO_MOI'!$C$37-'THAM_SO_MOI'!$C$14)*644/'THAM_SO_MOI'!$C$42</f>
        <v>24.509902777777775</v>
      </c>
      <c r="G1451" s="75">
        <f>3.6*F1451</f>
        <v>88.23564999999999</v>
      </c>
      <c r="H1451" s="75">
        <f>'THAM_SO_MOI'!$D$53</f>
        <v>1.1</v>
      </c>
      <c r="I1451" s="75">
        <f>IF(F1451&gt;='THAM_SO_MOI'!$C$14,'THAM_SO_MOI'!$C$13*(1+F1451^2/1500),'THAM_SO_MOI'!$C$13)</f>
        <v>0.021007353341761188</v>
      </c>
      <c r="J1451" s="75">
        <f>'THAM_SO_MOI'!$C$40*('THAM_SO_MOI'!$C$23*(E1451/'THAM_SO_MOI'!$C$22)+'THAM_SO_MOI'!$C$24*(E1451/'THAM_SO_MOI'!$C$22)^2-'THAM_SO_MOI'!$C$25*(E1451/'THAM_SO_MOI'!$C$22)^3)</f>
        <v>107.997055147461</v>
      </c>
      <c r="K1451" s="75">
        <f>'THAM_SO_MOI'!$C$31*J1451/E1451</f>
        <v>427.14113729378</v>
      </c>
      <c r="L1451" s="75">
        <f>K1451*'THAM_SO_MOI'!$C$53*'THAM_SO_MOI'!$C$17/'THAM_SO_MOI'!$C$26</f>
        <v>3746.0294454562904</v>
      </c>
      <c r="M1451" s="75">
        <f>'THAM_SO_MOI'!$C$15*'THAM_SO_MOI'!$C$16*F1451^2</f>
        <v>1757.1508524651472</v>
      </c>
      <c r="N1451" s="75">
        <f>'THAM_SO_MOI'!$C$12*I1451</f>
        <v>1582.7108066509613</v>
      </c>
      <c r="O1451" s="75">
        <f>M1451+N1451</f>
        <v>3339.8616591161085</v>
      </c>
      <c r="P1451" s="75">
        <f>(MIN(L1451,'THAM_SO_MOI'!$C$41)-O1451)/('THAM_SO_MOI'!$C$11*H1451)</f>
        <v>0.04807857319367684</v>
      </c>
      <c r="Q1451" s="75">
        <f>IF(P1451&gt;0,1/P1451,NA())</f>
        <v>20.799286117989816</v>
      </c>
      <c r="R1451" s="75">
        <f>F1451-F1450</f>
        <v>0.0035868055555532408</v>
      </c>
      <c r="S1451" s="75">
        <f>0.5*(Q1450+Q1451)*R1451</f>
        <v>0.07453687151176781</v>
      </c>
      <c r="T1451" s="75">
        <f>0.5*(F1450*Q1450+F1451*Q1451)*R1451</f>
        <v>1.8267579180667737</v>
      </c>
      <c r="U1451" s="76">
        <f>U1450+S1451</f>
        <v>105.02269888237964</v>
      </c>
      <c r="V1451" s="76">
        <f>V1450+T1451</f>
        <v>1889.726359607595</v>
      </c>
    </row>
    <row r="1452" spans="1:22" ht="19" customHeight="1">
      <c r="A1452" s="68" t="s">
        <v>362</v>
      </c>
      <c r="B1452" s="74">
        <v>5</v>
      </c>
      <c r="C1452" s="68" t="s">
        <v>363</v>
      </c>
      <c r="D1452" s="68" t="s">
        <v>365</v>
      </c>
      <c r="E1452" s="75">
        <f>60*F1452*'THAM_SO_MOI'!$C$53/(2*PI()*'THAM_SO_MOI'!$C$26)</f>
        <v>2415.223815789473</v>
      </c>
      <c r="F1452" s="75">
        <f>'THAM_SO_MOI'!$C$14+('THAM_SO_MOI'!$C$37-'THAM_SO_MOI'!$C$14)*645/'THAM_SO_MOI'!$C$42</f>
        <v>24.51348958333333</v>
      </c>
      <c r="G1452" s="75">
        <f>3.6*F1452</f>
        <v>88.24856249999999</v>
      </c>
      <c r="H1452" s="75">
        <f>'THAM_SO_MOI'!$D$53</f>
        <v>1.1</v>
      </c>
      <c r="I1452" s="75">
        <f>IF(F1452&gt;='THAM_SO_MOI'!$C$14,'THAM_SO_MOI'!$C$13*(1+F1452^2/1500),'THAM_SO_MOI'!$C$13)</f>
        <v>0.021009111715521916</v>
      </c>
      <c r="J1452" s="75">
        <f>'THAM_SO_MOI'!$C$40*('THAM_SO_MOI'!$C$23*(E1452/'THAM_SO_MOI'!$C$22)+'THAM_SO_MOI'!$C$24*(E1452/'THAM_SO_MOI'!$C$22)^2-'THAM_SO_MOI'!$C$25*(E1452/'THAM_SO_MOI'!$C$22)^3)</f>
        <v>108.01070617557816</v>
      </c>
      <c r="K1452" s="75">
        <f>'THAM_SO_MOI'!$C$31*J1452/E1452</f>
        <v>427.13262167829583</v>
      </c>
      <c r="L1452" s="75">
        <f>K1452*'THAM_SO_MOI'!$C$53*'THAM_SO_MOI'!$C$17/'THAM_SO_MOI'!$C$26</f>
        <v>3745.954763475173</v>
      </c>
      <c r="M1452" s="75">
        <f>'THAM_SO_MOI'!$C$15*'THAM_SO_MOI'!$C$16*F1452^2</f>
        <v>1757.665176790161</v>
      </c>
      <c r="N1452" s="75">
        <f>'THAM_SO_MOI'!$C$12*I1452</f>
        <v>1582.8432839367936</v>
      </c>
      <c r="O1452" s="75">
        <f>M1452+N1452</f>
        <v>3340.5084607269546</v>
      </c>
      <c r="P1452" s="75">
        <f>(MIN(L1452,'THAM_SO_MOI'!$C$41)-O1452)/('THAM_SO_MOI'!$C$11*H1452)</f>
        <v>0.04799317030637055</v>
      </c>
      <c r="Q1452" s="75">
        <f>IF(P1452&gt;0,1/P1452,NA())</f>
        <v>20.836298031915206</v>
      </c>
      <c r="R1452" s="75">
        <f>F1452-F1451</f>
        <v>0.0035868055555567935</v>
      </c>
      <c r="S1452" s="75">
        <f>0.5*(Q1451+Q1452)*R1452</f>
        <v>0.07466937226886586</v>
      </c>
      <c r="T1452" s="75">
        <f>0.5*(F1451*Q1451+F1452*Q1452)*R1452</f>
        <v>1.8302730860884189</v>
      </c>
      <c r="U1452" s="76">
        <f>U1451+S1452</f>
        <v>105.09736825464852</v>
      </c>
      <c r="V1452" s="76">
        <f>V1451+T1452</f>
        <v>1891.5566326936835</v>
      </c>
    </row>
    <row r="1453" spans="1:22" ht="19" customHeight="1">
      <c r="A1453" s="68" t="s">
        <v>362</v>
      </c>
      <c r="B1453" s="74">
        <v>5</v>
      </c>
      <c r="C1453" s="68" t="s">
        <v>363</v>
      </c>
      <c r="D1453" s="68" t="s">
        <v>365</v>
      </c>
      <c r="E1453" s="75">
        <f>60*F1453*'THAM_SO_MOI'!$C$53/(2*PI()*'THAM_SO_MOI'!$C$26)</f>
        <v>2415.5772105263154</v>
      </c>
      <c r="F1453" s="75">
        <f>'THAM_SO_MOI'!$C$14+('THAM_SO_MOI'!$C$37-'THAM_SO_MOI'!$C$14)*646/'THAM_SO_MOI'!$C$42</f>
        <v>24.51707638888889</v>
      </c>
      <c r="G1453" s="75">
        <f>3.6*F1453</f>
        <v>88.261475</v>
      </c>
      <c r="H1453" s="75">
        <f>'THAM_SO_MOI'!$D$53</f>
        <v>1.1</v>
      </c>
      <c r="I1453" s="75">
        <f>IF(F1453&gt;='THAM_SO_MOI'!$C$14,'THAM_SO_MOI'!$C$13*(1+F1453^2/1500),'THAM_SO_MOI'!$C$13)</f>
        <v>0.02101087034658613</v>
      </c>
      <c r="J1453" s="75">
        <f>'THAM_SO_MOI'!$C$40*('THAM_SO_MOI'!$C$23*(E1453/'THAM_SO_MOI'!$C$22)+'THAM_SO_MOI'!$C$24*(E1453/'THAM_SO_MOI'!$C$22)^2-'THAM_SO_MOI'!$C$25*(E1453/'THAM_SO_MOI'!$C$22)^3)</f>
        <v>108.02435350926763</v>
      </c>
      <c r="K1453" s="75">
        <f>'THAM_SO_MOI'!$C$31*J1453/E1453</f>
        <v>427.12409394682754</v>
      </c>
      <c r="L1453" s="75">
        <f>K1453*'THAM_SO_MOI'!$C$53*'THAM_SO_MOI'!$C$17/'THAM_SO_MOI'!$C$26</f>
        <v>3745.879975236827</v>
      </c>
      <c r="M1453" s="75">
        <f>'THAM_SO_MOI'!$C$15*'THAM_SO_MOI'!$C$16*F1453^2</f>
        <v>1758.179576376443</v>
      </c>
      <c r="N1453" s="75">
        <f>'THAM_SO_MOI'!$C$12*I1453</f>
        <v>1582.9757806080763</v>
      </c>
      <c r="O1453" s="75">
        <f>M1453+N1453</f>
        <v>3341.155356984519</v>
      </c>
      <c r="P1453" s="75">
        <f>(MIN(L1453,'THAM_SO_MOI'!$C$41)-O1453)/('THAM_SO_MOI'!$C$11*H1453)</f>
        <v>0.04790774363782048</v>
      </c>
      <c r="Q1453" s="75">
        <f>IF(P1453&gt;0,1/P1453,NA())</f>
        <v>20.87345226608744</v>
      </c>
      <c r="R1453" s="75">
        <f>F1453-F1452</f>
        <v>0.0035868055555567935</v>
      </c>
      <c r="S1453" s="75">
        <f>0.5*(Q1452+Q1453)*R1453</f>
        <v>0.07480238204488125</v>
      </c>
      <c r="T1453" s="75">
        <f>0.5*(F1452*Q1452+F1453*Q1453)*R1453</f>
        <v>1.8338016833643833</v>
      </c>
      <c r="U1453" s="76">
        <f>U1452+S1453</f>
        <v>105.1721706366934</v>
      </c>
      <c r="V1453" s="76">
        <f>V1452+T1453</f>
        <v>1893.3904343770478</v>
      </c>
    </row>
    <row r="1454" spans="1:22" ht="19" customHeight="1">
      <c r="A1454" s="68" t="s">
        <v>362</v>
      </c>
      <c r="B1454" s="74">
        <v>5</v>
      </c>
      <c r="C1454" s="68" t="s">
        <v>363</v>
      </c>
      <c r="D1454" s="68" t="s">
        <v>365</v>
      </c>
      <c r="E1454" s="75">
        <f>60*F1454*'THAM_SO_MOI'!$C$53/(2*PI()*'THAM_SO_MOI'!$C$26)</f>
        <v>2415.930605263157</v>
      </c>
      <c r="F1454" s="75">
        <f>'THAM_SO_MOI'!$C$14+('THAM_SO_MOI'!$C$37-'THAM_SO_MOI'!$C$14)*647/'THAM_SO_MOI'!$C$42</f>
        <v>24.52066319444444</v>
      </c>
      <c r="G1454" s="75">
        <f>3.6*F1454</f>
        <v>88.27438749999999</v>
      </c>
      <c r="H1454" s="75">
        <f>'THAM_SO_MOI'!$D$53</f>
        <v>1.1</v>
      </c>
      <c r="I1454" s="75">
        <f>IF(F1454&gt;='THAM_SO_MOI'!$C$14,'THAM_SO_MOI'!$C$13*(1+F1454^2/1500),'THAM_SO_MOI'!$C$13)</f>
        <v>0.02101262923495382</v>
      </c>
      <c r="J1454" s="75">
        <f>'THAM_SO_MOI'!$C$40*('THAM_SO_MOI'!$C$23*(E1454/'THAM_SO_MOI'!$C$22)+'THAM_SO_MOI'!$C$24*(E1454/'THAM_SO_MOI'!$C$22)^2-'THAM_SO_MOI'!$C$25*(E1454/'THAM_SO_MOI'!$C$22)^3)</f>
        <v>108.03799714718436</v>
      </c>
      <c r="K1454" s="75">
        <f>'THAM_SO_MOI'!$C$31*J1454/E1454</f>
        <v>427.1155540993747</v>
      </c>
      <c r="L1454" s="75">
        <f>K1454*'THAM_SO_MOI'!$C$53*'THAM_SO_MOI'!$C$17/'THAM_SO_MOI'!$C$26</f>
        <v>3745.8050807412496</v>
      </c>
      <c r="M1454" s="75">
        <f>'THAM_SO_MOI'!$C$15*'THAM_SO_MOI'!$C$16*F1454^2</f>
        <v>1758.6940512239933</v>
      </c>
      <c r="N1454" s="75">
        <f>'THAM_SO_MOI'!$C$12*I1454</f>
        <v>1583.108296664809</v>
      </c>
      <c r="O1454" s="75">
        <f>M1454+N1454</f>
        <v>3341.802347888802</v>
      </c>
      <c r="P1454" s="75">
        <f>(MIN(L1454,'THAM_SO_MOI'!$C$41)-O1454)/('THAM_SO_MOI'!$C$11*H1454)</f>
        <v>0.04782229318802645</v>
      </c>
      <c r="Q1454" s="75">
        <f>IF(P1454&gt;0,1/P1454,NA())</f>
        <v>20.910749638630378</v>
      </c>
      <c r="R1454" s="75">
        <f>F1454-F1453</f>
        <v>0.0035868055555532408</v>
      </c>
      <c r="S1454" s="75">
        <f>0.5*(Q1453+Q1454)*R1454</f>
        <v>0.07493590376310008</v>
      </c>
      <c r="T1454" s="75">
        <f>0.5*(F1453*Q1453+F1454*Q1454)*R1454</f>
        <v>1.8373437870476126</v>
      </c>
      <c r="U1454" s="76">
        <f>U1453+S1454</f>
        <v>105.2471065404565</v>
      </c>
      <c r="V1454" s="76">
        <f>V1453+T1454</f>
        <v>1895.2277781640953</v>
      </c>
    </row>
    <row r="1455" spans="1:22" ht="19" customHeight="1">
      <c r="A1455" s="68" t="s">
        <v>362</v>
      </c>
      <c r="B1455" s="74">
        <v>5</v>
      </c>
      <c r="C1455" s="68" t="s">
        <v>363</v>
      </c>
      <c r="D1455" s="68" t="s">
        <v>365</v>
      </c>
      <c r="E1455" s="75">
        <f>60*F1455*'THAM_SO_MOI'!$C$53/(2*PI()*'THAM_SO_MOI'!$C$26)</f>
        <v>2416.283999999999</v>
      </c>
      <c r="F1455" s="75">
        <f>'THAM_SO_MOI'!$C$14+('THAM_SO_MOI'!$C$37-'THAM_SO_MOI'!$C$14)*648/'THAM_SO_MOI'!$C$42</f>
        <v>24.52425</v>
      </c>
      <c r="G1455" s="75">
        <f>3.6*F1455</f>
        <v>88.2873</v>
      </c>
      <c r="H1455" s="75">
        <f>'THAM_SO_MOI'!$D$53</f>
        <v>1.1</v>
      </c>
      <c r="I1455" s="75">
        <f>IF(F1455&gt;='THAM_SO_MOI'!$C$14,'THAM_SO_MOI'!$C$13*(1+F1455^2/1500),'THAM_SO_MOI'!$C$13)</f>
        <v>0.021014388380624995</v>
      </c>
      <c r="J1455" s="75">
        <f>'THAM_SO_MOI'!$C$40*('THAM_SO_MOI'!$C$23*(E1455/'THAM_SO_MOI'!$C$22)+'THAM_SO_MOI'!$C$24*(E1455/'THAM_SO_MOI'!$C$22)^2-'THAM_SO_MOI'!$C$25*(E1455/'THAM_SO_MOI'!$C$22)^3)</f>
        <v>108.05163708798354</v>
      </c>
      <c r="K1455" s="75">
        <f>'THAM_SO_MOI'!$C$31*J1455/E1455</f>
        <v>427.1070021359374</v>
      </c>
      <c r="L1455" s="75">
        <f>K1455*'THAM_SO_MOI'!$C$53*'THAM_SO_MOI'!$C$17/'THAM_SO_MOI'!$C$26</f>
        <v>3745.730079988441</v>
      </c>
      <c r="M1455" s="75">
        <f>'THAM_SO_MOI'!$C$15*'THAM_SO_MOI'!$C$16*F1455^2</f>
        <v>1759.2086013328123</v>
      </c>
      <c r="N1455" s="75">
        <f>'THAM_SO_MOI'!$C$12*I1455</f>
        <v>1583.2408321069918</v>
      </c>
      <c r="O1455" s="75">
        <f>M1455+N1455</f>
        <v>3342.449433439804</v>
      </c>
      <c r="P1455" s="75">
        <f>(MIN(L1455,'THAM_SO_MOI'!$C$41)-O1455)/('THAM_SO_MOI'!$C$11*H1455)</f>
        <v>0.047736818956988274</v>
      </c>
      <c r="Q1455" s="75">
        <f>IF(P1455&gt;0,1/P1455,NA())</f>
        <v>20.948190973952787</v>
      </c>
      <c r="R1455" s="75">
        <f>F1455-F1454</f>
        <v>0.0035868055555567935</v>
      </c>
      <c r="S1455" s="75">
        <f>0.5*(Q1454+Q1455)*R1455</f>
        <v>0.0750699403694676</v>
      </c>
      <c r="T1455" s="75">
        <f>0.5*(F1454*Q1454+F1455*Q1455)*R1455</f>
        <v>1.8408994748886538</v>
      </c>
      <c r="U1455" s="76">
        <f>U1454+S1455</f>
        <v>105.32217648082597</v>
      </c>
      <c r="V1455" s="76">
        <f>V1454+T1455</f>
        <v>1897.068677638984</v>
      </c>
    </row>
    <row r="1456" spans="1:22" ht="19" customHeight="1">
      <c r="A1456" s="68" t="s">
        <v>362</v>
      </c>
      <c r="B1456" s="74">
        <v>5</v>
      </c>
      <c r="C1456" s="68" t="s">
        <v>363</v>
      </c>
      <c r="D1456" s="68" t="s">
        <v>365</v>
      </c>
      <c r="E1456" s="75">
        <f>60*F1456*'THAM_SO_MOI'!$C$53/(2*PI()*'THAM_SO_MOI'!$C$26)</f>
        <v>2416.637394736841</v>
      </c>
      <c r="F1456" s="75">
        <f>'THAM_SO_MOI'!$C$14+('THAM_SO_MOI'!$C$37-'THAM_SO_MOI'!$C$14)*649/'THAM_SO_MOI'!$C$42</f>
        <v>24.527836805555555</v>
      </c>
      <c r="G1456" s="75">
        <f>3.6*F1456</f>
        <v>88.3002125</v>
      </c>
      <c r="H1456" s="75">
        <f>'THAM_SO_MOI'!$D$53</f>
        <v>1.1</v>
      </c>
      <c r="I1456" s="75">
        <f>IF(F1456&gt;='THAM_SO_MOI'!$C$14,'THAM_SO_MOI'!$C$13*(1+F1456^2/1500),'THAM_SO_MOI'!$C$13)</f>
        <v>0.021016147783599656</v>
      </c>
      <c r="J1456" s="75">
        <f>'THAM_SO_MOI'!$C$40*('THAM_SO_MOI'!$C$23*(E1456/'THAM_SO_MOI'!$C$22)+'THAM_SO_MOI'!$C$24*(E1456/'THAM_SO_MOI'!$C$22)^2-'THAM_SO_MOI'!$C$25*(E1456/'THAM_SO_MOI'!$C$22)^3)</f>
        <v>108.0652733303202</v>
      </c>
      <c r="K1456" s="75">
        <f>'THAM_SO_MOI'!$C$31*J1456/E1456</f>
        <v>427.0984380565155</v>
      </c>
      <c r="L1456" s="75">
        <f>K1456*'THAM_SO_MOI'!$C$53*'THAM_SO_MOI'!$C$17/'THAM_SO_MOI'!$C$26</f>
        <v>3745.6549729783997</v>
      </c>
      <c r="M1456" s="75">
        <f>'THAM_SO_MOI'!$C$15*'THAM_SO_MOI'!$C$16*F1456^2</f>
        <v>1759.7232267029</v>
      </c>
      <c r="N1456" s="75">
        <f>'THAM_SO_MOI'!$C$12*I1456</f>
        <v>1583.3733869346252</v>
      </c>
      <c r="O1456" s="75">
        <f>M1456+N1456</f>
        <v>3343.0966136375255</v>
      </c>
      <c r="P1456" s="75">
        <f>(MIN(L1456,'THAM_SO_MOI'!$C$41)-O1456)/('THAM_SO_MOI'!$C$11*H1456)</f>
        <v>0.047651320944705776</v>
      </c>
      <c r="Q1456" s="75">
        <f>IF(P1456&gt;0,1/P1456,NA())</f>
        <v>20.985777102808804</v>
      </c>
      <c r="R1456" s="75">
        <f>F1456-F1455</f>
        <v>0.0035868055555567935</v>
      </c>
      <c r="S1456" s="75">
        <f>0.5*(Q1455+Q1456)*R1456</f>
        <v>0.07520449483213484</v>
      </c>
      <c r="T1456" s="75">
        <f>0.5*(F1455*Q1455+F1456*Q1456)*R1456</f>
        <v>1.844468825224939</v>
      </c>
      <c r="U1456" s="76">
        <f>U1455+S1456</f>
        <v>105.39738097565811</v>
      </c>
      <c r="V1456" s="76">
        <f>V1455+T1456</f>
        <v>1898.913146464209</v>
      </c>
    </row>
    <row r="1457" spans="1:22" ht="19" customHeight="1">
      <c r="A1457" s="68" t="s">
        <v>362</v>
      </c>
      <c r="B1457" s="74">
        <v>5</v>
      </c>
      <c r="C1457" s="68" t="s">
        <v>363</v>
      </c>
      <c r="D1457" s="68" t="s">
        <v>365</v>
      </c>
      <c r="E1457" s="75">
        <f>60*F1457*'THAM_SO_MOI'!$C$53/(2*PI()*'THAM_SO_MOI'!$C$26)</f>
        <v>2416.9907894736834</v>
      </c>
      <c r="F1457" s="75">
        <f>'THAM_SO_MOI'!$C$14+('THAM_SO_MOI'!$C$37-'THAM_SO_MOI'!$C$14)*650/'THAM_SO_MOI'!$C$42</f>
        <v>24.53142361111111</v>
      </c>
      <c r="G1457" s="75">
        <f>3.6*F1457</f>
        <v>88.313125</v>
      </c>
      <c r="H1457" s="75">
        <f>'THAM_SO_MOI'!$D$53</f>
        <v>1.1</v>
      </c>
      <c r="I1457" s="75">
        <f>IF(F1457&gt;='THAM_SO_MOI'!$C$14,'THAM_SO_MOI'!$C$13*(1+F1457^2/1500),'THAM_SO_MOI'!$C$13)</f>
        <v>0.021017907443877794</v>
      </c>
      <c r="J1457" s="75">
        <f>'THAM_SO_MOI'!$C$40*('THAM_SO_MOI'!$C$23*(E1457/'THAM_SO_MOI'!$C$22)+'THAM_SO_MOI'!$C$24*(E1457/'THAM_SO_MOI'!$C$22)^2-'THAM_SO_MOI'!$C$25*(E1457/'THAM_SO_MOI'!$C$22)^3)</f>
        <v>108.07890587284956</v>
      </c>
      <c r="K1457" s="75">
        <f>'THAM_SO_MOI'!$C$31*J1457/E1457</f>
        <v>427.0898618611093</v>
      </c>
      <c r="L1457" s="75">
        <f>K1457*'THAM_SO_MOI'!$C$53*'THAM_SO_MOI'!$C$17/'THAM_SO_MOI'!$C$26</f>
        <v>3745.5797597111286</v>
      </c>
      <c r="M1457" s="75">
        <f>'THAM_SO_MOI'!$C$15*'THAM_SO_MOI'!$C$16*F1457^2</f>
        <v>1760.2379273342556</v>
      </c>
      <c r="N1457" s="75">
        <f>'THAM_SO_MOI'!$C$12*I1457</f>
        <v>1583.5059611477081</v>
      </c>
      <c r="O1457" s="75">
        <f>M1457+N1457</f>
        <v>3343.743888481964</v>
      </c>
      <c r="P1457" s="75">
        <f>(MIN(L1457,'THAM_SO_MOI'!$C$41)-O1457)/('THAM_SO_MOI'!$C$11*H1457)</f>
        <v>0.04756579915117956</v>
      </c>
      <c r="Q1457" s="75">
        <f>IF(P1457&gt;0,1/P1457,NA())</f>
        <v>21.023508862358753</v>
      </c>
      <c r="R1457" s="75">
        <f>F1457-F1456</f>
        <v>0.0035868055555532408</v>
      </c>
      <c r="S1457" s="75">
        <f>0.5*(Q1456+Q1457)*R1457</f>
        <v>0.0753395701423439</v>
      </c>
      <c r="T1457" s="75">
        <f>0.5*(F1456*Q1456+F1457*Q1457)*R1457</f>
        <v>1.8480519170029004</v>
      </c>
      <c r="U1457" s="76">
        <f>U1456+S1457</f>
        <v>105.47272054580046</v>
      </c>
      <c r="V1457" s="76">
        <f>V1456+T1457</f>
        <v>1900.761198381212</v>
      </c>
    </row>
    <row r="1458" spans="1:22" ht="19" customHeight="1">
      <c r="A1458" s="68" t="s">
        <v>362</v>
      </c>
      <c r="B1458" s="74">
        <v>5</v>
      </c>
      <c r="C1458" s="68" t="s">
        <v>363</v>
      </c>
      <c r="D1458" s="68" t="s">
        <v>365</v>
      </c>
      <c r="E1458" s="75">
        <f>60*F1458*'THAM_SO_MOI'!$C$53/(2*PI()*'THAM_SO_MOI'!$C$26)</f>
        <v>2417.344184210526</v>
      </c>
      <c r="F1458" s="75">
        <f>'THAM_SO_MOI'!$C$14+('THAM_SO_MOI'!$C$37-'THAM_SO_MOI'!$C$14)*651/'THAM_SO_MOI'!$C$42</f>
        <v>24.535010416666665</v>
      </c>
      <c r="G1458" s="75">
        <f>3.6*F1458</f>
        <v>88.3260375</v>
      </c>
      <c r="H1458" s="75">
        <f>'THAM_SO_MOI'!$D$53</f>
        <v>1.1</v>
      </c>
      <c r="I1458" s="75">
        <f>IF(F1458&gt;='THAM_SO_MOI'!$C$14,'THAM_SO_MOI'!$C$13*(1+F1458^2/1500),'THAM_SO_MOI'!$C$13)</f>
        <v>0.021019667361459417</v>
      </c>
      <c r="J1458" s="75">
        <f>'THAM_SO_MOI'!$C$40*('THAM_SO_MOI'!$C$23*(E1458/'THAM_SO_MOI'!$C$22)+'THAM_SO_MOI'!$C$24*(E1458/'THAM_SO_MOI'!$C$22)^2-'THAM_SO_MOI'!$C$25*(E1458/'THAM_SO_MOI'!$C$22)^3)</f>
        <v>108.09253471422664</v>
      </c>
      <c r="K1458" s="75">
        <f>'THAM_SO_MOI'!$C$31*J1458/E1458</f>
        <v>427.0812735497185</v>
      </c>
      <c r="L1458" s="75">
        <f>K1458*'THAM_SO_MOI'!$C$53*'THAM_SO_MOI'!$C$17/'THAM_SO_MOI'!$C$26</f>
        <v>3745.5044401866257</v>
      </c>
      <c r="M1458" s="75">
        <f>'THAM_SO_MOI'!$C$15*'THAM_SO_MOI'!$C$16*F1458^2</f>
        <v>1760.75270322688</v>
      </c>
      <c r="N1458" s="75">
        <f>'THAM_SO_MOI'!$C$12*I1458</f>
        <v>1583.6385547462417</v>
      </c>
      <c r="O1458" s="75">
        <f>M1458+N1458</f>
        <v>3344.3912579731214</v>
      </c>
      <c r="P1458" s="75">
        <f>(MIN(L1458,'THAM_SO_MOI'!$C$41)-O1458)/('THAM_SO_MOI'!$C$11*H1458)</f>
        <v>0.04748025357640911</v>
      </c>
      <c r="Q1458" s="75">
        <f>IF(P1458&gt;0,1/P1458,NA())</f>
        <v>21.061387096231872</v>
      </c>
      <c r="R1458" s="75">
        <f>F1458-F1457</f>
        <v>0.0035868055555567935</v>
      </c>
      <c r="S1458" s="75">
        <f>0.5*(Q1457+Q1458)*R1458</f>
        <v>0.07547516931465124</v>
      </c>
      <c r="T1458" s="75">
        <f>0.5*(F1457*Q1457+F1458*Q1458)*R1458</f>
        <v>1.8516488297838647</v>
      </c>
      <c r="U1458" s="76">
        <f>U1457+S1458</f>
        <v>105.54819571511511</v>
      </c>
      <c r="V1458" s="76">
        <f>V1457+T1458</f>
        <v>1902.6128472109958</v>
      </c>
    </row>
    <row r="1459" spans="1:22" ht="19" customHeight="1">
      <c r="A1459" s="68" t="s">
        <v>362</v>
      </c>
      <c r="B1459" s="74">
        <v>5</v>
      </c>
      <c r="C1459" s="68" t="s">
        <v>363</v>
      </c>
      <c r="D1459" s="68" t="s">
        <v>365</v>
      </c>
      <c r="E1459" s="75">
        <f>60*F1459*'THAM_SO_MOI'!$C$53/(2*PI()*'THAM_SO_MOI'!$C$26)</f>
        <v>2417.697578947368</v>
      </c>
      <c r="F1459" s="75">
        <f>'THAM_SO_MOI'!$C$14+('THAM_SO_MOI'!$C$37-'THAM_SO_MOI'!$C$14)*652/'THAM_SO_MOI'!$C$42</f>
        <v>24.538597222222222</v>
      </c>
      <c r="G1459" s="75">
        <f>3.6*F1459</f>
        <v>88.33895</v>
      </c>
      <c r="H1459" s="75">
        <f>'THAM_SO_MOI'!$D$53</f>
        <v>1.1</v>
      </c>
      <c r="I1459" s="75">
        <f>IF(F1459&gt;='THAM_SO_MOI'!$C$14,'THAM_SO_MOI'!$C$13*(1+F1459^2/1500),'THAM_SO_MOI'!$C$13)</f>
        <v>0.02102142753634452</v>
      </c>
      <c r="J1459" s="75">
        <f>'THAM_SO_MOI'!$C$40*('THAM_SO_MOI'!$C$23*(E1459/'THAM_SO_MOI'!$C$22)+'THAM_SO_MOI'!$C$24*(E1459/'THAM_SO_MOI'!$C$22)^2-'THAM_SO_MOI'!$C$25*(E1459/'THAM_SO_MOI'!$C$22)^3)</f>
        <v>108.10615985310663</v>
      </c>
      <c r="K1459" s="75">
        <f>'THAM_SO_MOI'!$C$31*J1459/E1459</f>
        <v>427.0726731223434</v>
      </c>
      <c r="L1459" s="75">
        <f>K1459*'THAM_SO_MOI'!$C$53*'THAM_SO_MOI'!$C$17/'THAM_SO_MOI'!$C$26</f>
        <v>3745.429014404893</v>
      </c>
      <c r="M1459" s="75">
        <f>'THAM_SO_MOI'!$C$15*'THAM_SO_MOI'!$C$16*F1459^2</f>
        <v>1761.267554380773</v>
      </c>
      <c r="N1459" s="75">
        <f>'THAM_SO_MOI'!$C$12*I1459</f>
        <v>1583.7711677302252</v>
      </c>
      <c r="O1459" s="75">
        <f>M1459+N1459</f>
        <v>3345.038722110998</v>
      </c>
      <c r="P1459" s="75">
        <f>(MIN(L1459,'THAM_SO_MOI'!$C$41)-O1459)/('THAM_SO_MOI'!$C$11*H1459)</f>
        <v>0.04739468422039478</v>
      </c>
      <c r="Q1459" s="75">
        <f>IF(P1459&gt;0,1/P1459,NA())</f>
        <v>21.099412654588004</v>
      </c>
      <c r="R1459" s="75">
        <f>F1459-F1458</f>
        <v>0.0035868055555567935</v>
      </c>
      <c r="S1459" s="75">
        <f>0.5*(Q1458+Q1459)*R1459</f>
        <v>0.07561129538647911</v>
      </c>
      <c r="T1459" s="75">
        <f>0.5*(F1458*Q1458+F1459*Q1459)*R1459</f>
        <v>1.8552596437334594</v>
      </c>
      <c r="U1459" s="76">
        <f>U1458+S1459</f>
        <v>105.6238070105016</v>
      </c>
      <c r="V1459" s="76">
        <f>V1458+T1459</f>
        <v>1904.4681068547293</v>
      </c>
    </row>
    <row r="1460" spans="1:22" ht="19" customHeight="1">
      <c r="A1460" s="68" t="s">
        <v>362</v>
      </c>
      <c r="B1460" s="74">
        <v>5</v>
      </c>
      <c r="C1460" s="68" t="s">
        <v>363</v>
      </c>
      <c r="D1460" s="68" t="s">
        <v>365</v>
      </c>
      <c r="E1460" s="75">
        <f>60*F1460*'THAM_SO_MOI'!$C$53/(2*PI()*'THAM_SO_MOI'!$C$26)</f>
        <v>2418.05097368421</v>
      </c>
      <c r="F1460" s="75">
        <f>'THAM_SO_MOI'!$C$14+('THAM_SO_MOI'!$C$37-'THAM_SO_MOI'!$C$14)*653/'THAM_SO_MOI'!$C$42</f>
        <v>24.542184027777775</v>
      </c>
      <c r="G1460" s="75">
        <f>3.6*F1460</f>
        <v>88.3518625</v>
      </c>
      <c r="H1460" s="75">
        <f>'THAM_SO_MOI'!$D$53</f>
        <v>1.1</v>
      </c>
      <c r="I1460" s="75">
        <f>IF(F1460&gt;='THAM_SO_MOI'!$C$14,'THAM_SO_MOI'!$C$13*(1+F1460^2/1500),'THAM_SO_MOI'!$C$13)</f>
        <v>0.021023187968533103</v>
      </c>
      <c r="J1460" s="75">
        <f>'THAM_SO_MOI'!$C$40*('THAM_SO_MOI'!$C$23*(E1460/'THAM_SO_MOI'!$C$22)+'THAM_SO_MOI'!$C$24*(E1460/'THAM_SO_MOI'!$C$22)^2-'THAM_SO_MOI'!$C$25*(E1460/'THAM_SO_MOI'!$C$22)^3)</f>
        <v>108.11978128814458</v>
      </c>
      <c r="K1460" s="75">
        <f>'THAM_SO_MOI'!$C$31*J1460/E1460</f>
        <v>427.06406057898386</v>
      </c>
      <c r="L1460" s="75">
        <f>K1460*'THAM_SO_MOI'!$C$53*'THAM_SO_MOI'!$C$17/'THAM_SO_MOI'!$C$26</f>
        <v>3745.3534823659297</v>
      </c>
      <c r="M1460" s="75">
        <f>'THAM_SO_MOI'!$C$15*'THAM_SO_MOI'!$C$16*F1460^2</f>
        <v>1761.7824807959335</v>
      </c>
      <c r="N1460" s="75">
        <f>'THAM_SO_MOI'!$C$12*I1460</f>
        <v>1583.9038000996588</v>
      </c>
      <c r="O1460" s="75">
        <f>M1460+N1460</f>
        <v>3345.686280895592</v>
      </c>
      <c r="P1460" s="75">
        <f>(MIN(L1460,'THAM_SO_MOI'!$C$41)-O1460)/('THAM_SO_MOI'!$C$11*H1460)</f>
        <v>0.04730909108313653</v>
      </c>
      <c r="Q1460" s="75">
        <f>IF(P1460&gt;0,1/P1460,NA())</f>
        <v>21.1375863941815</v>
      </c>
      <c r="R1460" s="75">
        <f>F1460-F1459</f>
        <v>0.0035868055555532408</v>
      </c>
      <c r="S1460" s="75">
        <f>0.5*(Q1459+Q1460)*R1460</f>
        <v>0.07574795141901171</v>
      </c>
      <c r="T1460" s="75">
        <f>0.5*(F1459*Q1459+F1460*Q1460)*R1460</f>
        <v>1.8588844396440214</v>
      </c>
      <c r="U1460" s="76">
        <f>U1459+S1460</f>
        <v>105.69955496192061</v>
      </c>
      <c r="V1460" s="76">
        <f>V1459+T1460</f>
        <v>1906.3269912943733</v>
      </c>
    </row>
    <row r="1461" spans="1:22" ht="19" customHeight="1">
      <c r="A1461" s="68" t="s">
        <v>362</v>
      </c>
      <c r="B1461" s="74">
        <v>5</v>
      </c>
      <c r="C1461" s="68" t="s">
        <v>363</v>
      </c>
      <c r="D1461" s="68" t="s">
        <v>365</v>
      </c>
      <c r="E1461" s="75">
        <f>60*F1461*'THAM_SO_MOI'!$C$53/(2*PI()*'THAM_SO_MOI'!$C$26)</f>
        <v>2418.404368421052</v>
      </c>
      <c r="F1461" s="75">
        <f>'THAM_SO_MOI'!$C$14+('THAM_SO_MOI'!$C$37-'THAM_SO_MOI'!$C$14)*654/'THAM_SO_MOI'!$C$42</f>
        <v>24.545770833333332</v>
      </c>
      <c r="G1461" s="75">
        <f>3.6*F1461</f>
        <v>88.364775</v>
      </c>
      <c r="H1461" s="75">
        <f>'THAM_SO_MOI'!$D$53</f>
        <v>1.1</v>
      </c>
      <c r="I1461" s="75">
        <f>IF(F1461&gt;='THAM_SO_MOI'!$C$14,'THAM_SO_MOI'!$C$13*(1+F1461^2/1500),'THAM_SO_MOI'!$C$13)</f>
        <v>0.021024948658025174</v>
      </c>
      <c r="J1461" s="75">
        <f>'THAM_SO_MOI'!$C$40*('THAM_SO_MOI'!$C$23*(E1461/'THAM_SO_MOI'!$C$22)+'THAM_SO_MOI'!$C$24*(E1461/'THAM_SO_MOI'!$C$22)^2-'THAM_SO_MOI'!$C$25*(E1461/'THAM_SO_MOI'!$C$22)^3)</f>
        <v>108.13339901799559</v>
      </c>
      <c r="K1461" s="75">
        <f>'THAM_SO_MOI'!$C$31*J1461/E1461</f>
        <v>427.05543591963976</v>
      </c>
      <c r="L1461" s="75">
        <f>K1461*'THAM_SO_MOI'!$C$53*'THAM_SO_MOI'!$C$17/'THAM_SO_MOI'!$C$26</f>
        <v>3745.2778440697334</v>
      </c>
      <c r="M1461" s="75">
        <f>'THAM_SO_MOI'!$C$15*'THAM_SO_MOI'!$C$16*F1461^2</f>
        <v>1762.2974824723633</v>
      </c>
      <c r="N1461" s="75">
        <f>'THAM_SO_MOI'!$C$12*I1461</f>
        <v>1584.0364518545432</v>
      </c>
      <c r="O1461" s="75">
        <f>M1461+N1461</f>
        <v>3346.3339343269063</v>
      </c>
      <c r="P1461" s="75">
        <f>(MIN(L1461,'THAM_SO_MOI'!$C$41)-O1461)/('THAM_SO_MOI'!$C$11*H1461)</f>
        <v>0.04722347416463387</v>
      </c>
      <c r="Q1461" s="75">
        <f>IF(P1461&gt;0,1/P1461,NA())</f>
        <v>21.175909178425293</v>
      </c>
      <c r="R1461" s="75">
        <f>F1461-F1460</f>
        <v>0.0035868055555567935</v>
      </c>
      <c r="S1461" s="75">
        <f>0.5*(Q1460+Q1461)*R1461</f>
        <v>0.07588514049742692</v>
      </c>
      <c r="T1461" s="75">
        <f>0.5*(F1460*Q1460+F1461*Q1461)*R1461</f>
        <v>1.8625232989407061</v>
      </c>
      <c r="U1461" s="76">
        <f>U1460+S1461</f>
        <v>105.77544010241805</v>
      </c>
      <c r="V1461" s="76">
        <f>V1460+T1461</f>
        <v>1908.189514593314</v>
      </c>
    </row>
    <row r="1462" spans="1:22" ht="19" customHeight="1">
      <c r="A1462" s="68" t="s">
        <v>362</v>
      </c>
      <c r="B1462" s="74">
        <v>5</v>
      </c>
      <c r="C1462" s="68" t="s">
        <v>363</v>
      </c>
      <c r="D1462" s="68" t="s">
        <v>365</v>
      </c>
      <c r="E1462" s="75">
        <f>60*F1462*'THAM_SO_MOI'!$C$53/(2*PI()*'THAM_SO_MOI'!$C$26)</f>
        <v>2418.7577631578943</v>
      </c>
      <c r="F1462" s="75">
        <f>'THAM_SO_MOI'!$C$14+('THAM_SO_MOI'!$C$37-'THAM_SO_MOI'!$C$14)*655/'THAM_SO_MOI'!$C$42</f>
        <v>24.54935763888889</v>
      </c>
      <c r="G1462" s="75">
        <f>3.6*F1462</f>
        <v>88.37768750000001</v>
      </c>
      <c r="H1462" s="75">
        <f>'THAM_SO_MOI'!$D$53</f>
        <v>1.1</v>
      </c>
      <c r="I1462" s="75">
        <f>IF(F1462&gt;='THAM_SO_MOI'!$C$14,'THAM_SO_MOI'!$C$13*(1+F1462^2/1500),'THAM_SO_MOI'!$C$13)</f>
        <v>0.021026709604820722</v>
      </c>
      <c r="J1462" s="75">
        <f>'THAM_SO_MOI'!$C$40*('THAM_SO_MOI'!$C$23*(E1462/'THAM_SO_MOI'!$C$22)+'THAM_SO_MOI'!$C$24*(E1462/'THAM_SO_MOI'!$C$22)^2-'THAM_SO_MOI'!$C$25*(E1462/'THAM_SO_MOI'!$C$22)^3)</f>
        <v>108.14701304131479</v>
      </c>
      <c r="K1462" s="75">
        <f>'THAM_SO_MOI'!$C$31*J1462/E1462</f>
        <v>427.04679914431114</v>
      </c>
      <c r="L1462" s="75">
        <f>K1462*'THAM_SO_MOI'!$C$53*'THAM_SO_MOI'!$C$17/'THAM_SO_MOI'!$C$26</f>
        <v>3745.202099516306</v>
      </c>
      <c r="M1462" s="75">
        <f>'THAM_SO_MOI'!$C$15*'THAM_SO_MOI'!$C$16*F1462^2</f>
        <v>1762.8125594100613</v>
      </c>
      <c r="N1462" s="75">
        <f>'THAM_SO_MOI'!$C$12*I1462</f>
        <v>1584.1691229948772</v>
      </c>
      <c r="O1462" s="75">
        <f>M1462+N1462</f>
        <v>3346.9816824049385</v>
      </c>
      <c r="P1462" s="75">
        <f>(MIN(L1462,'THAM_SO_MOI'!$C$41)-O1462)/('THAM_SO_MOI'!$C$11*H1462)</f>
        <v>0.047137833464887265</v>
      </c>
      <c r="Q1462" s="75">
        <f>IF(P1462&gt;0,1/P1462,NA())</f>
        <v>21.21438187745508</v>
      </c>
      <c r="R1462" s="75">
        <f>F1462-F1461</f>
        <v>0.0035868055555567935</v>
      </c>
      <c r="S1462" s="75">
        <f>0.5*(Q1461+Q1462)*R1462</f>
        <v>0.07602286573045058</v>
      </c>
      <c r="T1462" s="75">
        <f>0.5*(F1461*Q1461+F1462*Q1462)*R1462</f>
        <v>1.8661763036709784</v>
      </c>
      <c r="U1462" s="76">
        <f>U1461+S1462</f>
        <v>105.8514629681485</v>
      </c>
      <c r="V1462" s="76">
        <f>V1461+T1462</f>
        <v>1910.055690896985</v>
      </c>
    </row>
    <row r="1463" spans="1:22" ht="19" customHeight="1">
      <c r="A1463" s="68" t="s">
        <v>362</v>
      </c>
      <c r="B1463" s="74">
        <v>5</v>
      </c>
      <c r="C1463" s="68" t="s">
        <v>363</v>
      </c>
      <c r="D1463" s="68" t="s">
        <v>365</v>
      </c>
      <c r="E1463" s="75">
        <f>60*F1463*'THAM_SO_MOI'!$C$53/(2*PI()*'THAM_SO_MOI'!$C$26)</f>
        <v>2419.111157894736</v>
      </c>
      <c r="F1463" s="75">
        <f>'THAM_SO_MOI'!$C$14+('THAM_SO_MOI'!$C$37-'THAM_SO_MOI'!$C$14)*656/'THAM_SO_MOI'!$C$42</f>
        <v>24.552944444444442</v>
      </c>
      <c r="G1463" s="75">
        <f>3.6*F1463</f>
        <v>88.39059999999999</v>
      </c>
      <c r="H1463" s="75">
        <f>'THAM_SO_MOI'!$D$53</f>
        <v>1.1</v>
      </c>
      <c r="I1463" s="75">
        <f>IF(F1463&gt;='THAM_SO_MOI'!$C$14,'THAM_SO_MOI'!$C$13*(1+F1463^2/1500),'THAM_SO_MOI'!$C$13)</f>
        <v>0.02102847080891975</v>
      </c>
      <c r="J1463" s="75">
        <f>'THAM_SO_MOI'!$C$40*('THAM_SO_MOI'!$C$23*(E1463/'THAM_SO_MOI'!$C$22)+'THAM_SO_MOI'!$C$24*(E1463/'THAM_SO_MOI'!$C$22)^2-'THAM_SO_MOI'!$C$25*(E1463/'THAM_SO_MOI'!$C$22)^3)</f>
        <v>108.16062335675731</v>
      </c>
      <c r="K1463" s="75">
        <f>'THAM_SO_MOI'!$C$31*J1463/E1463</f>
        <v>427.03815025299815</v>
      </c>
      <c r="L1463" s="75">
        <f>K1463*'THAM_SO_MOI'!$C$53*'THAM_SO_MOI'!$C$17/'THAM_SO_MOI'!$C$26</f>
        <v>3745.1262487056483</v>
      </c>
      <c r="M1463" s="75">
        <f>'THAM_SO_MOI'!$C$15*'THAM_SO_MOI'!$C$16*F1463^2</f>
        <v>1763.3277116090276</v>
      </c>
      <c r="N1463" s="75">
        <f>'THAM_SO_MOI'!$C$12*I1463</f>
        <v>1584.3018135206612</v>
      </c>
      <c r="O1463" s="75">
        <f>M1463+N1463</f>
        <v>3347.629525129689</v>
      </c>
      <c r="P1463" s="75">
        <f>(MIN(L1463,'THAM_SO_MOI'!$C$41)-O1463)/('THAM_SO_MOI'!$C$11*H1463)</f>
        <v>0.047052168983896726</v>
      </c>
      <c r="Q1463" s="75">
        <f>IF(P1463&gt;0,1/P1463,NA())</f>
        <v>21.253005368195524</v>
      </c>
      <c r="R1463" s="75">
        <f>F1463-F1462</f>
        <v>0.0035868055555532408</v>
      </c>
      <c r="S1463" s="75">
        <f>0.5*(Q1462+Q1463)*R1463</f>
        <v>0.07616113025126521</v>
      </c>
      <c r="T1463" s="75">
        <f>0.5*(F1462*Q1462+F1463*Q1463)*R1463</f>
        <v>1.8698435365273436</v>
      </c>
      <c r="U1463" s="76">
        <f>U1462+S1463</f>
        <v>105.92762409839976</v>
      </c>
      <c r="V1463" s="76">
        <f>V1462+T1463</f>
        <v>1911.9255344335122</v>
      </c>
    </row>
    <row r="1464" spans="1:22" ht="19" customHeight="1">
      <c r="A1464" s="68" t="s">
        <v>362</v>
      </c>
      <c r="B1464" s="74">
        <v>5</v>
      </c>
      <c r="C1464" s="68" t="s">
        <v>363</v>
      </c>
      <c r="D1464" s="68" t="s">
        <v>365</v>
      </c>
      <c r="E1464" s="75">
        <f>60*F1464*'THAM_SO_MOI'!$C$53/(2*PI()*'THAM_SO_MOI'!$C$26)</f>
        <v>2419.4645526315785</v>
      </c>
      <c r="F1464" s="75">
        <f>'THAM_SO_MOI'!$C$14+('THAM_SO_MOI'!$C$37-'THAM_SO_MOI'!$C$14)*657/'THAM_SO_MOI'!$C$42</f>
        <v>24.55653125</v>
      </c>
      <c r="G1464" s="75">
        <f>3.6*F1464</f>
        <v>88.4035125</v>
      </c>
      <c r="H1464" s="75">
        <f>'THAM_SO_MOI'!$D$53</f>
        <v>1.1</v>
      </c>
      <c r="I1464" s="75">
        <f>IF(F1464&gt;='THAM_SO_MOI'!$C$14,'THAM_SO_MOI'!$C$13*(1+F1464^2/1500),'THAM_SO_MOI'!$C$13)</f>
        <v>0.021030232270322264</v>
      </c>
      <c r="J1464" s="75">
        <f>'THAM_SO_MOI'!$C$40*('THAM_SO_MOI'!$C$23*(E1464/'THAM_SO_MOI'!$C$22)+'THAM_SO_MOI'!$C$24*(E1464/'THAM_SO_MOI'!$C$22)^2-'THAM_SO_MOI'!$C$25*(E1464/'THAM_SO_MOI'!$C$22)^3)</f>
        <v>108.17422996297827</v>
      </c>
      <c r="K1464" s="75">
        <f>'THAM_SO_MOI'!$C$31*J1464/E1464</f>
        <v>427.02948924570074</v>
      </c>
      <c r="L1464" s="75">
        <f>K1464*'THAM_SO_MOI'!$C$53*'THAM_SO_MOI'!$C$17/'THAM_SO_MOI'!$C$26</f>
        <v>3745.05029163776</v>
      </c>
      <c r="M1464" s="75">
        <f>'THAM_SO_MOI'!$C$15*'THAM_SO_MOI'!$C$16*F1464^2</f>
        <v>1763.8429390692627</v>
      </c>
      <c r="N1464" s="75">
        <f>'THAM_SO_MOI'!$C$12*I1464</f>
        <v>1584.4345234318957</v>
      </c>
      <c r="O1464" s="75">
        <f>M1464+N1464</f>
        <v>3348.2774625011584</v>
      </c>
      <c r="P1464" s="75">
        <f>(MIN(L1464,'THAM_SO_MOI'!$C$41)-O1464)/('THAM_SO_MOI'!$C$11*H1464)</f>
        <v>0.04696648072166212</v>
      </c>
      <c r="Q1464" s="75">
        <f>IF(P1464&gt;0,1/P1464,NA())</f>
        <v>21.291780534426437</v>
      </c>
      <c r="R1464" s="75">
        <f>F1464-F1463</f>
        <v>0.0035868055555567935</v>
      </c>
      <c r="S1464" s="75">
        <f>0.5*(Q1463+Q1464)*R1464</f>
        <v>0.0762999372177494</v>
      </c>
      <c r="T1464" s="75">
        <f>0.5*(F1463*Q1463+F1464*Q1464)*R1464</f>
        <v>1.8735250808536663</v>
      </c>
      <c r="U1464" s="76">
        <f>U1463+S1464</f>
        <v>106.00392403561752</v>
      </c>
      <c r="V1464" s="76">
        <f>V1463+T1464</f>
        <v>1913.7990595143658</v>
      </c>
    </row>
    <row r="1465" spans="1:22" ht="19" customHeight="1">
      <c r="A1465" s="68" t="s">
        <v>362</v>
      </c>
      <c r="B1465" s="74">
        <v>5</v>
      </c>
      <c r="C1465" s="68" t="s">
        <v>363</v>
      </c>
      <c r="D1465" s="68" t="s">
        <v>365</v>
      </c>
      <c r="E1465" s="75">
        <f>60*F1465*'THAM_SO_MOI'!$C$53/(2*PI()*'THAM_SO_MOI'!$C$26)</f>
        <v>2419.8179473684204</v>
      </c>
      <c r="F1465" s="75">
        <f>'THAM_SO_MOI'!$C$14+('THAM_SO_MOI'!$C$37-'THAM_SO_MOI'!$C$14)*658/'THAM_SO_MOI'!$C$42</f>
        <v>24.560118055555556</v>
      </c>
      <c r="G1465" s="75">
        <f>3.6*F1465</f>
        <v>88.416425</v>
      </c>
      <c r="H1465" s="75">
        <f>'THAM_SO_MOI'!$D$53</f>
        <v>1.1</v>
      </c>
      <c r="I1465" s="75">
        <f>IF(F1465&gt;='THAM_SO_MOI'!$C$14,'THAM_SO_MOI'!$C$13*(1+F1465^2/1500),'THAM_SO_MOI'!$C$13)</f>
        <v>0.02103199398902826</v>
      </c>
      <c r="J1465" s="75">
        <f>'THAM_SO_MOI'!$C$40*('THAM_SO_MOI'!$C$23*(E1465/'THAM_SO_MOI'!$C$22)+'THAM_SO_MOI'!$C$24*(E1465/'THAM_SO_MOI'!$C$22)^2-'THAM_SO_MOI'!$C$25*(E1465/'THAM_SO_MOI'!$C$22)^3)</f>
        <v>108.18783285863275</v>
      </c>
      <c r="K1465" s="75">
        <f>'THAM_SO_MOI'!$C$31*J1465/E1465</f>
        <v>427.0208161224189</v>
      </c>
      <c r="L1465" s="75">
        <f>K1465*'THAM_SO_MOI'!$C$53*'THAM_SO_MOI'!$C$17/'THAM_SO_MOI'!$C$26</f>
        <v>3744.9742283126407</v>
      </c>
      <c r="M1465" s="75">
        <f>'THAM_SO_MOI'!$C$15*'THAM_SO_MOI'!$C$16*F1465^2</f>
        <v>1764.3582417907664</v>
      </c>
      <c r="N1465" s="75">
        <f>'THAM_SO_MOI'!$C$12*I1465</f>
        <v>1584.5672527285806</v>
      </c>
      <c r="O1465" s="75">
        <f>M1465+N1465</f>
        <v>3348.925494519347</v>
      </c>
      <c r="P1465" s="75">
        <f>(MIN(L1465,'THAM_SO_MOI'!$C$41)-O1465)/('THAM_SO_MOI'!$C$11*H1465)</f>
        <v>0.046880768678183436</v>
      </c>
      <c r="Q1465" s="75">
        <f>IF(P1465&gt;0,1/P1465,NA())</f>
        <v>21.330708266849786</v>
      </c>
      <c r="R1465" s="75">
        <f>F1465-F1464</f>
        <v>0.0035868055555567935</v>
      </c>
      <c r="S1465" s="75">
        <f>0.5*(Q1464+Q1465)*R1465</f>
        <v>0.07643928981203738</v>
      </c>
      <c r="T1465" s="75">
        <f>0.5*(F1464*Q1464+F1465*Q1465)*R1465</f>
        <v>1.8772210206347966</v>
      </c>
      <c r="U1465" s="76">
        <f>U1464+S1465</f>
        <v>106.08036332542956</v>
      </c>
      <c r="V1465" s="76">
        <f>V1464+T1465</f>
        <v>1915.6762805350006</v>
      </c>
    </row>
    <row r="1466" spans="1:22" ht="19" customHeight="1">
      <c r="A1466" s="68" t="s">
        <v>362</v>
      </c>
      <c r="B1466" s="74">
        <v>5</v>
      </c>
      <c r="C1466" s="68" t="s">
        <v>363</v>
      </c>
      <c r="D1466" s="68" t="s">
        <v>365</v>
      </c>
      <c r="E1466" s="75">
        <f>60*F1466*'THAM_SO_MOI'!$C$53/(2*PI()*'THAM_SO_MOI'!$C$26)</f>
        <v>2420.1713421052627</v>
      </c>
      <c r="F1466" s="75">
        <f>'THAM_SO_MOI'!$C$14+('THAM_SO_MOI'!$C$37-'THAM_SO_MOI'!$C$14)*659/'THAM_SO_MOI'!$C$42</f>
        <v>24.56370486111111</v>
      </c>
      <c r="G1466" s="75">
        <f>3.6*F1466</f>
        <v>88.42933749999999</v>
      </c>
      <c r="H1466" s="75">
        <f>'THAM_SO_MOI'!$D$53</f>
        <v>1.1</v>
      </c>
      <c r="I1466" s="75">
        <f>IF(F1466&gt;='THAM_SO_MOI'!$C$14,'THAM_SO_MOI'!$C$13*(1+F1466^2/1500),'THAM_SO_MOI'!$C$13)</f>
        <v>0.021033755965037735</v>
      </c>
      <c r="J1466" s="75">
        <f>'THAM_SO_MOI'!$C$40*('THAM_SO_MOI'!$C$23*(E1466/'THAM_SO_MOI'!$C$22)+'THAM_SO_MOI'!$C$24*(E1466/'THAM_SO_MOI'!$C$22)^2-'THAM_SO_MOI'!$C$25*(E1466/'THAM_SO_MOI'!$C$22)^3)</f>
        <v>108.20143204237581</v>
      </c>
      <c r="K1466" s="75">
        <f>'THAM_SO_MOI'!$C$31*J1466/E1466</f>
        <v>427.0121308831524</v>
      </c>
      <c r="L1466" s="75">
        <f>K1466*'THAM_SO_MOI'!$C$53*'THAM_SO_MOI'!$C$17/'THAM_SO_MOI'!$C$26</f>
        <v>3744.8980587302885</v>
      </c>
      <c r="M1466" s="75">
        <f>'THAM_SO_MOI'!$C$15*'THAM_SO_MOI'!$C$16*F1466^2</f>
        <v>1764.873619773538</v>
      </c>
      <c r="N1466" s="75">
        <f>'THAM_SO_MOI'!$C$12*I1466</f>
        <v>1584.700001410715</v>
      </c>
      <c r="O1466" s="75">
        <f>M1466+N1466</f>
        <v>3349.573621184253</v>
      </c>
      <c r="P1466" s="75">
        <f>(MIN(L1466,'THAM_SO_MOI'!$C$41)-O1466)/('THAM_SO_MOI'!$C$11*H1466)</f>
        <v>0.04679503285346065</v>
      </c>
      <c r="Q1466" s="75">
        <f>IF(P1466&gt;0,1/P1466,NA())</f>
        <v>21.369789463157662</v>
      </c>
      <c r="R1466" s="75">
        <f>F1466-F1465</f>
        <v>0.0035868055555532408</v>
      </c>
      <c r="S1466" s="75">
        <f>0.5*(Q1465+Q1466)*R1466</f>
        <v>0.07657919124143964</v>
      </c>
      <c r="T1466" s="75">
        <f>0.5*(F1465*Q1465+F1466*Q1466)*R1466</f>
        <v>1.8809314405196145</v>
      </c>
      <c r="U1466" s="76">
        <f>U1465+S1466</f>
        <v>106.156942516671</v>
      </c>
      <c r="V1466" s="76">
        <f>V1465+T1466</f>
        <v>1917.5572119755202</v>
      </c>
    </row>
    <row r="1467" spans="1:22" ht="19" customHeight="1">
      <c r="A1467" s="68" t="s">
        <v>362</v>
      </c>
      <c r="B1467" s="74">
        <v>5</v>
      </c>
      <c r="C1467" s="68" t="s">
        <v>363</v>
      </c>
      <c r="D1467" s="68" t="s">
        <v>365</v>
      </c>
      <c r="E1467" s="75">
        <f>60*F1467*'THAM_SO_MOI'!$C$53/(2*PI()*'THAM_SO_MOI'!$C$26)</f>
        <v>2420.5247368421046</v>
      </c>
      <c r="F1467" s="75">
        <f>'THAM_SO_MOI'!$C$14+('THAM_SO_MOI'!$C$37-'THAM_SO_MOI'!$C$14)*660/'THAM_SO_MOI'!$C$42</f>
        <v>24.567291666666666</v>
      </c>
      <c r="G1467" s="75">
        <f>3.6*F1467</f>
        <v>88.44225</v>
      </c>
      <c r="H1467" s="75">
        <f>'THAM_SO_MOI'!$D$53</f>
        <v>1.1</v>
      </c>
      <c r="I1467" s="75">
        <f>IF(F1467&gt;='THAM_SO_MOI'!$C$14,'THAM_SO_MOI'!$C$13*(1+F1467^2/1500),'THAM_SO_MOI'!$C$13)</f>
        <v>0.021035518198350693</v>
      </c>
      <c r="J1467" s="75">
        <f>'THAM_SO_MOI'!$C$40*('THAM_SO_MOI'!$C$23*(E1467/'THAM_SO_MOI'!$C$22)+'THAM_SO_MOI'!$C$24*(E1467/'THAM_SO_MOI'!$C$22)^2-'THAM_SO_MOI'!$C$25*(E1467/'THAM_SO_MOI'!$C$22)^3)</f>
        <v>108.2150275128626</v>
      </c>
      <c r="K1467" s="75">
        <f>'THAM_SO_MOI'!$C$31*J1467/E1467</f>
        <v>427.0034335279014</v>
      </c>
      <c r="L1467" s="75">
        <f>K1467*'THAM_SO_MOI'!$C$53*'THAM_SO_MOI'!$C$17/'THAM_SO_MOI'!$C$26</f>
        <v>3744.8217828907045</v>
      </c>
      <c r="M1467" s="75">
        <f>'THAM_SO_MOI'!$C$15*'THAM_SO_MOI'!$C$16*F1467^2</f>
        <v>1765.389073017578</v>
      </c>
      <c r="N1467" s="75">
        <f>'THAM_SO_MOI'!$C$12*I1467</f>
        <v>1584.8327694783</v>
      </c>
      <c r="O1467" s="75">
        <f>M1467+N1467</f>
        <v>3350.2218424958783</v>
      </c>
      <c r="P1467" s="75">
        <f>(MIN(L1467,'THAM_SO_MOI'!$C$41)-O1467)/('THAM_SO_MOI'!$C$11*H1467)</f>
        <v>0.04670927324749367</v>
      </c>
      <c r="Q1467" s="75">
        <f>IF(P1467&gt;0,1/P1467,NA())</f>
        <v>21.40902502810099</v>
      </c>
      <c r="R1467" s="75">
        <f>F1467-F1466</f>
        <v>0.0035868055555567935</v>
      </c>
      <c r="S1467" s="75">
        <f>0.5*(Q1466+Q1467)*R1467</f>
        <v>0.07671964473869</v>
      </c>
      <c r="T1467" s="75">
        <f>0.5*(F1466*Q1466+F1467*Q1467)*R1467</f>
        <v>1.8846564258275547</v>
      </c>
      <c r="U1467" s="76">
        <f>U1466+S1467</f>
        <v>106.23366216140968</v>
      </c>
      <c r="V1467" s="76">
        <f>V1466+T1467</f>
        <v>1919.4418684013478</v>
      </c>
    </row>
    <row r="1468" spans="1:22" ht="19" customHeight="1">
      <c r="A1468" s="68" t="s">
        <v>362</v>
      </c>
      <c r="B1468" s="74">
        <v>5</v>
      </c>
      <c r="C1468" s="68" t="s">
        <v>363</v>
      </c>
      <c r="D1468" s="68" t="s">
        <v>365</v>
      </c>
      <c r="E1468" s="75">
        <f>60*F1468*'THAM_SO_MOI'!$C$53/(2*PI()*'THAM_SO_MOI'!$C$26)</f>
        <v>2420.8781315789465</v>
      </c>
      <c r="F1468" s="75">
        <f>'THAM_SO_MOI'!$C$14+('THAM_SO_MOI'!$C$37-'THAM_SO_MOI'!$C$14)*661/'THAM_SO_MOI'!$C$42</f>
        <v>24.57087847222222</v>
      </c>
      <c r="G1468" s="75">
        <f>3.6*F1468</f>
        <v>88.45516249999999</v>
      </c>
      <c r="H1468" s="75">
        <f>'THAM_SO_MOI'!$D$53</f>
        <v>1.1</v>
      </c>
      <c r="I1468" s="75">
        <f>IF(F1468&gt;='THAM_SO_MOI'!$C$14,'THAM_SO_MOI'!$C$13*(1+F1468^2/1500),'THAM_SO_MOI'!$C$13)</f>
        <v>0.02103728068896713</v>
      </c>
      <c r="J1468" s="75">
        <f>'THAM_SO_MOI'!$C$40*('THAM_SO_MOI'!$C$23*(E1468/'THAM_SO_MOI'!$C$22)+'THAM_SO_MOI'!$C$24*(E1468/'THAM_SO_MOI'!$C$22)^2-'THAM_SO_MOI'!$C$25*(E1468/'THAM_SO_MOI'!$C$22)^3)</f>
        <v>108.22861926874833</v>
      </c>
      <c r="K1468" s="75">
        <f>'THAM_SO_MOI'!$C$31*J1468/E1468</f>
        <v>426.99472405666626</v>
      </c>
      <c r="L1468" s="75">
        <f>K1468*'THAM_SO_MOI'!$C$53*'THAM_SO_MOI'!$C$17/'THAM_SO_MOI'!$C$26</f>
        <v>3744.7454007938923</v>
      </c>
      <c r="M1468" s="75">
        <f>'THAM_SO_MOI'!$C$15*'THAM_SO_MOI'!$C$16*F1468^2</f>
        <v>1765.9046015228867</v>
      </c>
      <c r="N1468" s="75">
        <f>'THAM_SO_MOI'!$C$12*I1468</f>
        <v>1584.9655569313347</v>
      </c>
      <c r="O1468" s="75">
        <f>M1468+N1468</f>
        <v>3350.8701584542214</v>
      </c>
      <c r="P1468" s="75">
        <f>(MIN(L1468,'THAM_SO_MOI'!$C$41)-O1468)/('THAM_SO_MOI'!$C$11*H1468)</f>
        <v>0.04662348986028301</v>
      </c>
      <c r="Q1468" s="75">
        <f>IF(P1468&gt;0,1/P1468,NA())</f>
        <v>21.448415873558762</v>
      </c>
      <c r="R1468" s="75">
        <f>F1468-F1467</f>
        <v>0.0035868055555532408</v>
      </c>
      <c r="S1468" s="75">
        <f>0.5*(Q1467+Q1468)*R1468</f>
        <v>0.07686065356143396</v>
      </c>
      <c r="T1468" s="75">
        <f>0.5*(F1467*Q1467+F1468*Q1468)*R1468</f>
        <v>1.8883960625364895</v>
      </c>
      <c r="U1468" s="76">
        <f>U1467+S1468</f>
        <v>106.31052281497112</v>
      </c>
      <c r="V1468" s="76">
        <f>V1467+T1468</f>
        <v>1921.3302644638843</v>
      </c>
    </row>
    <row r="1469" spans="1:22" ht="19" customHeight="1">
      <c r="A1469" s="68" t="s">
        <v>362</v>
      </c>
      <c r="B1469" s="74">
        <v>5</v>
      </c>
      <c r="C1469" s="68" t="s">
        <v>363</v>
      </c>
      <c r="D1469" s="68" t="s">
        <v>365</v>
      </c>
      <c r="E1469" s="75">
        <f>60*F1469*'THAM_SO_MOI'!$C$53/(2*PI()*'THAM_SO_MOI'!$C$26)</f>
        <v>2421.2315263157884</v>
      </c>
      <c r="F1469" s="75">
        <f>'THAM_SO_MOI'!$C$14+('THAM_SO_MOI'!$C$37-'THAM_SO_MOI'!$C$14)*662/'THAM_SO_MOI'!$C$42</f>
        <v>24.574465277777776</v>
      </c>
      <c r="G1469" s="75">
        <f>3.6*F1469</f>
        <v>88.468075</v>
      </c>
      <c r="H1469" s="75">
        <f>'THAM_SO_MOI'!$D$53</f>
        <v>1.1</v>
      </c>
      <c r="I1469" s="75">
        <f>IF(F1469&gt;='THAM_SO_MOI'!$C$14,'THAM_SO_MOI'!$C$13*(1+F1469^2/1500),'THAM_SO_MOI'!$C$13)</f>
        <v>0.021039043436887055</v>
      </c>
      <c r="J1469" s="75">
        <f>'THAM_SO_MOI'!$C$40*('THAM_SO_MOI'!$C$23*(E1469/'THAM_SO_MOI'!$C$22)+'THAM_SO_MOI'!$C$24*(E1469/'THAM_SO_MOI'!$C$22)^2-'THAM_SO_MOI'!$C$25*(E1469/'THAM_SO_MOI'!$C$22)^3)</f>
        <v>108.24220730868801</v>
      </c>
      <c r="K1469" s="75">
        <f>'THAM_SO_MOI'!$C$31*J1469/E1469</f>
        <v>426.9860024694466</v>
      </c>
      <c r="L1469" s="75">
        <f>K1469*'THAM_SO_MOI'!$C$53*'THAM_SO_MOI'!$C$17/'THAM_SO_MOI'!$C$26</f>
        <v>3744.6689124398486</v>
      </c>
      <c r="M1469" s="75">
        <f>'THAM_SO_MOI'!$C$15*'THAM_SO_MOI'!$C$16*F1469^2</f>
        <v>1766.4202052894639</v>
      </c>
      <c r="N1469" s="75">
        <f>'THAM_SO_MOI'!$C$12*I1469</f>
        <v>1585.0983637698203</v>
      </c>
      <c r="O1469" s="75">
        <f>M1469+N1469</f>
        <v>3351.5185690592843</v>
      </c>
      <c r="P1469" s="75">
        <f>(MIN(L1469,'THAM_SO_MOI'!$C$41)-O1469)/('THAM_SO_MOI'!$C$11*H1469)</f>
        <v>0.046537682691828175</v>
      </c>
      <c r="Q1469" s="75">
        <f>IF(P1469&gt;0,1/P1469,NA())</f>
        <v>21.487962918609092</v>
      </c>
      <c r="R1469" s="75">
        <f>F1469-F1468</f>
        <v>0.0035868055555567935</v>
      </c>
      <c r="S1469" s="75">
        <f>0.5*(Q1468+Q1469)*R1469</f>
        <v>0.07700222099361928</v>
      </c>
      <c r="T1469" s="75">
        <f>0.5*(F1468*Q1468+F1469*Q1469)*R1469</f>
        <v>1.8921504373173474</v>
      </c>
      <c r="U1469" s="76">
        <f>U1468+S1469</f>
        <v>106.38752503596474</v>
      </c>
      <c r="V1469" s="76">
        <f>V1468+T1469</f>
        <v>1923.2224149012015</v>
      </c>
    </row>
    <row r="1470" spans="1:22" ht="19" customHeight="1">
      <c r="A1470" s="68" t="s">
        <v>362</v>
      </c>
      <c r="B1470" s="74">
        <v>5</v>
      </c>
      <c r="C1470" s="68" t="s">
        <v>363</v>
      </c>
      <c r="D1470" s="68" t="s">
        <v>365</v>
      </c>
      <c r="E1470" s="75">
        <f>60*F1470*'THAM_SO_MOI'!$C$53/(2*PI()*'THAM_SO_MOI'!$C$26)</f>
        <v>2421.584921052631</v>
      </c>
      <c r="F1470" s="75">
        <f>'THAM_SO_MOI'!$C$14+('THAM_SO_MOI'!$C$37-'THAM_SO_MOI'!$C$14)*663/'THAM_SO_MOI'!$C$42</f>
        <v>24.578052083333333</v>
      </c>
      <c r="G1470" s="75">
        <f>3.6*F1470</f>
        <v>88.4809875</v>
      </c>
      <c r="H1470" s="75">
        <f>'THAM_SO_MOI'!$D$53</f>
        <v>1.1</v>
      </c>
      <c r="I1470" s="75">
        <f>IF(F1470&gt;='THAM_SO_MOI'!$C$14,'THAM_SO_MOI'!$C$13*(1+F1470^2/1500),'THAM_SO_MOI'!$C$13)</f>
        <v>0.021040806442110458</v>
      </c>
      <c r="J1470" s="75">
        <f>'THAM_SO_MOI'!$C$40*('THAM_SO_MOI'!$C$23*(E1470/'THAM_SO_MOI'!$C$22)+'THAM_SO_MOI'!$C$24*(E1470/'THAM_SO_MOI'!$C$22)^2-'THAM_SO_MOI'!$C$25*(E1470/'THAM_SO_MOI'!$C$22)^3)</f>
        <v>108.25579163133678</v>
      </c>
      <c r="K1470" s="75">
        <f>'THAM_SO_MOI'!$C$31*J1470/E1470</f>
        <v>426.9772687662424</v>
      </c>
      <c r="L1470" s="75">
        <f>K1470*'THAM_SO_MOI'!$C$53*'THAM_SO_MOI'!$C$17/'THAM_SO_MOI'!$C$26</f>
        <v>3744.5923178285734</v>
      </c>
      <c r="M1470" s="75">
        <f>'THAM_SO_MOI'!$C$15*'THAM_SO_MOI'!$C$16*F1470^2</f>
        <v>1766.9358843173097</v>
      </c>
      <c r="N1470" s="75">
        <f>'THAM_SO_MOI'!$C$12*I1470</f>
        <v>1585.2311899937556</v>
      </c>
      <c r="O1470" s="75">
        <f>M1470+N1470</f>
        <v>3352.1670743110653</v>
      </c>
      <c r="P1470" s="75">
        <f>(MIN(L1470,'THAM_SO_MOI'!$C$41)-O1470)/('THAM_SO_MOI'!$C$11*H1470)</f>
        <v>0.04645185174212927</v>
      </c>
      <c r="Q1470" s="75">
        <f>IF(P1470&gt;0,1/P1470,NA())</f>
        <v>21.52766708959968</v>
      </c>
      <c r="R1470" s="75">
        <f>F1470-F1469</f>
        <v>0.0035868055555567935</v>
      </c>
      <c r="S1470" s="75">
        <f>0.5*(Q1469+Q1470)*R1470</f>
        <v>0.07714435034460937</v>
      </c>
      <c r="T1470" s="75">
        <f>0.5*(F1469*Q1469+F1470*Q1470)*R1470</f>
        <v>1.8959196375127931</v>
      </c>
      <c r="U1470" s="76">
        <f>U1469+S1470</f>
        <v>106.46466938630935</v>
      </c>
      <c r="V1470" s="76">
        <f>V1469+T1470</f>
        <v>1925.1183345387144</v>
      </c>
    </row>
    <row r="1471" spans="1:22" ht="19" customHeight="1">
      <c r="A1471" s="68" t="s">
        <v>362</v>
      </c>
      <c r="B1471" s="74">
        <v>5</v>
      </c>
      <c r="C1471" s="68" t="s">
        <v>363</v>
      </c>
      <c r="D1471" s="68" t="s">
        <v>365</v>
      </c>
      <c r="E1471" s="75">
        <f>60*F1471*'THAM_SO_MOI'!$C$53/(2*PI()*'THAM_SO_MOI'!$C$26)</f>
        <v>2421.9383157894727</v>
      </c>
      <c r="F1471" s="75">
        <f>'THAM_SO_MOI'!$C$14+('THAM_SO_MOI'!$C$37-'THAM_SO_MOI'!$C$14)*664/'THAM_SO_MOI'!$C$42</f>
        <v>24.581638888888886</v>
      </c>
      <c r="G1471" s="75">
        <f>3.6*F1471</f>
        <v>88.4939</v>
      </c>
      <c r="H1471" s="75">
        <f>'THAM_SO_MOI'!$D$53</f>
        <v>1.1</v>
      </c>
      <c r="I1471" s="75">
        <f>IF(F1471&gt;='THAM_SO_MOI'!$C$14,'THAM_SO_MOI'!$C$13*(1+F1471^2/1500),'THAM_SO_MOI'!$C$13)</f>
        <v>0.021042569704637346</v>
      </c>
      <c r="J1471" s="75">
        <f>'THAM_SO_MOI'!$C$40*('THAM_SO_MOI'!$C$23*(E1471/'THAM_SO_MOI'!$C$22)+'THAM_SO_MOI'!$C$24*(E1471/'THAM_SO_MOI'!$C$22)^2-'THAM_SO_MOI'!$C$25*(E1471/'THAM_SO_MOI'!$C$22)^3)</f>
        <v>108.26937223534965</v>
      </c>
      <c r="K1471" s="75">
        <f>'THAM_SO_MOI'!$C$31*J1471/E1471</f>
        <v>426.9685229470536</v>
      </c>
      <c r="L1471" s="75">
        <f>K1471*'THAM_SO_MOI'!$C$53*'THAM_SO_MOI'!$C$17/'THAM_SO_MOI'!$C$26</f>
        <v>3744.5156169600655</v>
      </c>
      <c r="M1471" s="75">
        <f>'THAM_SO_MOI'!$C$15*'THAM_SO_MOI'!$C$16*F1471^2</f>
        <v>1767.4516386064233</v>
      </c>
      <c r="N1471" s="75">
        <f>'THAM_SO_MOI'!$C$12*I1471</f>
        <v>1585.3640356031415</v>
      </c>
      <c r="O1471" s="75">
        <f>M1471+N1471</f>
        <v>3352.815674209565</v>
      </c>
      <c r="P1471" s="75">
        <f>(MIN(L1471,'THAM_SO_MOI'!$C$41)-O1471)/('THAM_SO_MOI'!$C$11*H1471)</f>
        <v>0.046365997011186155</v>
      </c>
      <c r="Q1471" s="75">
        <f>IF(P1471&gt;0,1/P1471,NA())</f>
        <v>21.56752932022021</v>
      </c>
      <c r="R1471" s="75">
        <f>F1471-F1470</f>
        <v>0.0035868055555532408</v>
      </c>
      <c r="S1471" s="75">
        <f>0.5*(Q1470+Q1471)*R1471</f>
        <v>0.07728704495020003</v>
      </c>
      <c r="T1471" s="75">
        <f>0.5*(F1470*Q1470+F1471*Q1471)*R1471</f>
        <v>1.8997037511626749</v>
      </c>
      <c r="U1471" s="76">
        <f>U1470+S1471</f>
        <v>106.54195643125955</v>
      </c>
      <c r="V1471" s="76">
        <f>V1470+T1471</f>
        <v>1927.018038289877</v>
      </c>
    </row>
    <row r="1472" spans="1:22" ht="19" customHeight="1">
      <c r="A1472" s="68" t="s">
        <v>362</v>
      </c>
      <c r="B1472" s="74">
        <v>5</v>
      </c>
      <c r="C1472" s="68" t="s">
        <v>363</v>
      </c>
      <c r="D1472" s="68" t="s">
        <v>365</v>
      </c>
      <c r="E1472" s="75">
        <f>60*F1472*'THAM_SO_MOI'!$C$53/(2*PI()*'THAM_SO_MOI'!$C$26)</f>
        <v>2422.2917105263155</v>
      </c>
      <c r="F1472" s="75">
        <f>'THAM_SO_MOI'!$C$14+('THAM_SO_MOI'!$C$37-'THAM_SO_MOI'!$C$14)*665/'THAM_SO_MOI'!$C$42</f>
        <v>24.585225694444443</v>
      </c>
      <c r="G1472" s="75">
        <f>3.6*F1472</f>
        <v>88.5068125</v>
      </c>
      <c r="H1472" s="75">
        <f>'THAM_SO_MOI'!$D$53</f>
        <v>1.1</v>
      </c>
      <c r="I1472" s="75">
        <f>IF(F1472&gt;='THAM_SO_MOI'!$C$14,'THAM_SO_MOI'!$C$13*(1+F1472^2/1500),'THAM_SO_MOI'!$C$13)</f>
        <v>0.021044333224467714</v>
      </c>
      <c r="J1472" s="75">
        <f>'THAM_SO_MOI'!$C$40*('THAM_SO_MOI'!$C$23*(E1472/'THAM_SO_MOI'!$C$22)+'THAM_SO_MOI'!$C$24*(E1472/'THAM_SO_MOI'!$C$22)^2-'THAM_SO_MOI'!$C$25*(E1472/'THAM_SO_MOI'!$C$22)^3)</f>
        <v>108.28294911938191</v>
      </c>
      <c r="K1472" s="75">
        <f>'THAM_SO_MOI'!$C$31*J1472/E1472</f>
        <v>426.95976501188056</v>
      </c>
      <c r="L1472" s="75">
        <f>K1472*'THAM_SO_MOI'!$C$53*'THAM_SO_MOI'!$C$17/'THAM_SO_MOI'!$C$26</f>
        <v>3744.4388098343284</v>
      </c>
      <c r="M1472" s="75">
        <f>'THAM_SO_MOI'!$C$15*'THAM_SO_MOI'!$C$16*F1472^2</f>
        <v>1767.967468156806</v>
      </c>
      <c r="N1472" s="75">
        <f>'THAM_SO_MOI'!$C$12*I1472</f>
        <v>1585.4969005979772</v>
      </c>
      <c r="O1472" s="75">
        <f>M1472+N1472</f>
        <v>3353.464368754783</v>
      </c>
      <c r="P1472" s="75">
        <f>(MIN(L1472,'THAM_SO_MOI'!$C$41)-O1472)/('THAM_SO_MOI'!$C$11*H1472)</f>
        <v>0.04628011849899919</v>
      </c>
      <c r="Q1472" s="75">
        <f>IF(P1472&gt;0,1/P1472,NA())</f>
        <v>21.607550551574864</v>
      </c>
      <c r="R1472" s="75">
        <f>F1472-F1471</f>
        <v>0.0035868055555567935</v>
      </c>
      <c r="S1472" s="75">
        <f>0.5*(Q1471+Q1472)*R1472</f>
        <v>0.07743030817288143</v>
      </c>
      <c r="T1472" s="75">
        <f>0.5*(F1471*Q1471+F1472*Q1472)*R1472</f>
        <v>1.903502867010942</v>
      </c>
      <c r="U1472" s="76">
        <f>U1471+S1472</f>
        <v>106.61938673943243</v>
      </c>
      <c r="V1472" s="76">
        <f>V1471+T1472</f>
        <v>1928.921541156888</v>
      </c>
    </row>
    <row r="1473" spans="1:22" ht="19" customHeight="1">
      <c r="A1473" s="68" t="s">
        <v>362</v>
      </c>
      <c r="B1473" s="74">
        <v>5</v>
      </c>
      <c r="C1473" s="68" t="s">
        <v>363</v>
      </c>
      <c r="D1473" s="68" t="s">
        <v>365</v>
      </c>
      <c r="E1473" s="75">
        <f>60*F1473*'THAM_SO_MOI'!$C$53/(2*PI()*'THAM_SO_MOI'!$C$26)</f>
        <v>2422.6451052631573</v>
      </c>
      <c r="F1473" s="75">
        <f>'THAM_SO_MOI'!$C$14+('THAM_SO_MOI'!$C$37-'THAM_SO_MOI'!$C$14)*666/'THAM_SO_MOI'!$C$42</f>
        <v>24.5888125</v>
      </c>
      <c r="G1473" s="75">
        <f>3.6*F1473</f>
        <v>88.519725</v>
      </c>
      <c r="H1473" s="75">
        <f>'THAM_SO_MOI'!$D$53</f>
        <v>1.1</v>
      </c>
      <c r="I1473" s="75">
        <f>IF(F1473&gt;='THAM_SO_MOI'!$C$14,'THAM_SO_MOI'!$C$13*(1+F1473^2/1500),'THAM_SO_MOI'!$C$13)</f>
        <v>0.02104609700160156</v>
      </c>
      <c r="J1473" s="75">
        <f>'THAM_SO_MOI'!$C$40*('THAM_SO_MOI'!$C$23*(E1473/'THAM_SO_MOI'!$C$22)+'THAM_SO_MOI'!$C$24*(E1473/'THAM_SO_MOI'!$C$22)^2-'THAM_SO_MOI'!$C$25*(E1473/'THAM_SO_MOI'!$C$22)^3)</f>
        <v>108.29652228208852</v>
      </c>
      <c r="K1473" s="75">
        <f>'THAM_SO_MOI'!$C$31*J1473/E1473</f>
        <v>426.95099496072294</v>
      </c>
      <c r="L1473" s="75">
        <f>K1473*'THAM_SO_MOI'!$C$53*'THAM_SO_MOI'!$C$17/'THAM_SO_MOI'!$C$26</f>
        <v>3744.361896451359</v>
      </c>
      <c r="M1473" s="75">
        <f>'THAM_SO_MOI'!$C$15*'THAM_SO_MOI'!$C$16*F1473^2</f>
        <v>1768.4833729684572</v>
      </c>
      <c r="N1473" s="75">
        <f>'THAM_SO_MOI'!$C$12*I1473</f>
        <v>1585.6297849782627</v>
      </c>
      <c r="O1473" s="75">
        <f>M1473+N1473</f>
        <v>3354.11315794672</v>
      </c>
      <c r="P1473" s="75">
        <f>(MIN(L1473,'THAM_SO_MOI'!$C$41)-O1473)/('THAM_SO_MOI'!$C$11*H1473)</f>
        <v>0.04619421620556807</v>
      </c>
      <c r="Q1473" s="75">
        <f>IF(P1473&gt;0,1/P1473,NA())</f>
        <v>21.64773173225664</v>
      </c>
      <c r="R1473" s="75">
        <f>F1473-F1472</f>
        <v>0.0035868055555567935</v>
      </c>
      <c r="S1473" s="75">
        <f>0.5*(Q1472+Q1473)*R1473</f>
        <v>0.0775741434014121</v>
      </c>
      <c r="T1473" s="75">
        <f>0.5*(F1472*Q1472+F1473*Q1473)*R1473</f>
        <v>1.9073170744956454</v>
      </c>
      <c r="U1473" s="76">
        <f>U1472+S1473</f>
        <v>106.69696088283384</v>
      </c>
      <c r="V1473" s="76">
        <f>V1472+T1473</f>
        <v>1930.8288582313837</v>
      </c>
    </row>
    <row r="1474" spans="1:22" ht="19" customHeight="1">
      <c r="A1474" s="68" t="s">
        <v>362</v>
      </c>
      <c r="B1474" s="74">
        <v>5</v>
      </c>
      <c r="C1474" s="68" t="s">
        <v>363</v>
      </c>
      <c r="D1474" s="68" t="s">
        <v>365</v>
      </c>
      <c r="E1474" s="75">
        <f>60*F1474*'THAM_SO_MOI'!$C$53/(2*PI()*'THAM_SO_MOI'!$C$26)</f>
        <v>2422.9984999999992</v>
      </c>
      <c r="F1474" s="75">
        <f>'THAM_SO_MOI'!$C$14+('THAM_SO_MOI'!$C$37-'THAM_SO_MOI'!$C$14)*667/'THAM_SO_MOI'!$C$42</f>
        <v>24.592399305555553</v>
      </c>
      <c r="G1474" s="75">
        <f>3.6*F1474</f>
        <v>88.53263749999999</v>
      </c>
      <c r="H1474" s="75">
        <f>'THAM_SO_MOI'!$D$53</f>
        <v>1.1</v>
      </c>
      <c r="I1474" s="75">
        <f>IF(F1474&gt;='THAM_SO_MOI'!$C$14,'THAM_SO_MOI'!$C$13*(1+F1474^2/1500),'THAM_SO_MOI'!$C$13)</f>
        <v>0.02104786103603889</v>
      </c>
      <c r="J1474" s="75">
        <f>'THAM_SO_MOI'!$C$40*('THAM_SO_MOI'!$C$23*(E1474/'THAM_SO_MOI'!$C$22)+'THAM_SO_MOI'!$C$24*(E1474/'THAM_SO_MOI'!$C$22)^2-'THAM_SO_MOI'!$C$25*(E1474/'THAM_SO_MOI'!$C$22)^3)</f>
        <v>108.31009172212467</v>
      </c>
      <c r="K1474" s="75">
        <f>'THAM_SO_MOI'!$C$31*J1474/E1474</f>
        <v>426.9422127935809</v>
      </c>
      <c r="L1474" s="75">
        <f>K1474*'THAM_SO_MOI'!$C$53*'THAM_SO_MOI'!$C$17/'THAM_SO_MOI'!$C$26</f>
        <v>3744.284876811159</v>
      </c>
      <c r="M1474" s="75">
        <f>'THAM_SO_MOI'!$C$15*'THAM_SO_MOI'!$C$16*F1474^2</f>
        <v>1768.9993530413763</v>
      </c>
      <c r="N1474" s="75">
        <f>'THAM_SO_MOI'!$C$12*I1474</f>
        <v>1585.762688743999</v>
      </c>
      <c r="O1474" s="75">
        <f>M1474+N1474</f>
        <v>3354.762041785375</v>
      </c>
      <c r="P1474" s="75">
        <f>(MIN(L1474,'THAM_SO_MOI'!$C$41)-O1474)/('THAM_SO_MOI'!$C$11*H1474)</f>
        <v>0.04610829013089296</v>
      </c>
      <c r="Q1474" s="75">
        <f>IF(P1474&gt;0,1/P1474,NA())</f>
        <v>21.688073818421454</v>
      </c>
      <c r="R1474" s="75">
        <f>F1474-F1473</f>
        <v>0.0035868055555532408</v>
      </c>
      <c r="S1474" s="75">
        <f>0.5*(Q1473+Q1474)*R1474</f>
        <v>0.07771855405177358</v>
      </c>
      <c r="T1474" s="75">
        <f>0.5*(F1473*Q1473+F1474*Q1474)*R1474</f>
        <v>1.9111464637728874</v>
      </c>
      <c r="U1474" s="76">
        <f>U1473+S1474</f>
        <v>106.7746794368856</v>
      </c>
      <c r="V1474" s="76">
        <f>V1473+T1474</f>
        <v>1932.7400046951566</v>
      </c>
    </row>
    <row r="1475" spans="1:22" ht="19" customHeight="1">
      <c r="A1475" s="68" t="s">
        <v>362</v>
      </c>
      <c r="B1475" s="74">
        <v>5</v>
      </c>
      <c r="C1475" s="68" t="s">
        <v>363</v>
      </c>
      <c r="D1475" s="68" t="s">
        <v>365</v>
      </c>
      <c r="E1475" s="75">
        <f>60*F1475*'THAM_SO_MOI'!$C$53/(2*PI()*'THAM_SO_MOI'!$C$26)</f>
        <v>2423.351894736841</v>
      </c>
      <c r="F1475" s="75">
        <f>'THAM_SO_MOI'!$C$14+('THAM_SO_MOI'!$C$37-'THAM_SO_MOI'!$C$14)*668/'THAM_SO_MOI'!$C$42</f>
        <v>24.59598611111111</v>
      </c>
      <c r="G1475" s="75">
        <f>3.6*F1475</f>
        <v>88.54554999999999</v>
      </c>
      <c r="H1475" s="75">
        <f>'THAM_SO_MOI'!$D$53</f>
        <v>1.1</v>
      </c>
      <c r="I1475" s="75">
        <f>IF(F1475&gt;='THAM_SO_MOI'!$C$14,'THAM_SO_MOI'!$C$13*(1+F1475^2/1500),'THAM_SO_MOI'!$C$13)</f>
        <v>0.021049625327779705</v>
      </c>
      <c r="J1475" s="75">
        <f>'THAM_SO_MOI'!$C$40*('THAM_SO_MOI'!$C$23*(E1475/'THAM_SO_MOI'!$C$22)+'THAM_SO_MOI'!$C$24*(E1475/'THAM_SO_MOI'!$C$22)^2-'THAM_SO_MOI'!$C$25*(E1475/'THAM_SO_MOI'!$C$22)^3)</f>
        <v>108.32365743814543</v>
      </c>
      <c r="K1475" s="75">
        <f>'THAM_SO_MOI'!$C$31*J1475/E1475</f>
        <v>426.93341851045443</v>
      </c>
      <c r="L1475" s="75">
        <f>K1475*'THAM_SO_MOI'!$C$53*'THAM_SO_MOI'!$C$17/'THAM_SO_MOI'!$C$26</f>
        <v>3744.207750913728</v>
      </c>
      <c r="M1475" s="75">
        <f>'THAM_SO_MOI'!$C$15*'THAM_SO_MOI'!$C$16*F1475^2</f>
        <v>1769.515408375564</v>
      </c>
      <c r="N1475" s="75">
        <f>'THAM_SO_MOI'!$C$12*I1475</f>
        <v>1585.8956118951853</v>
      </c>
      <c r="O1475" s="75">
        <f>M1475+N1475</f>
        <v>3355.4110202707493</v>
      </c>
      <c r="P1475" s="75">
        <f>(MIN(L1475,'THAM_SO_MOI'!$C$41)-O1475)/('THAM_SO_MOI'!$C$11*H1475)</f>
        <v>0.0460223402749738</v>
      </c>
      <c r="Q1475" s="75">
        <f>IF(P1475&gt;0,1/P1475,NA())</f>
        <v>21.72857777386396</v>
      </c>
      <c r="R1475" s="75">
        <f>F1475-F1474</f>
        <v>0.0035868055555567935</v>
      </c>
      <c r="S1475" s="75">
        <f>0.5*(Q1474+Q1475)*R1475</f>
        <v>0.07786354356744152</v>
      </c>
      <c r="T1475" s="75">
        <f>0.5*(F1474*Q1474+F1475*Q1475)*R1475</f>
        <v>1.9149911257239742</v>
      </c>
      <c r="U1475" s="76">
        <f>U1474+S1475</f>
        <v>106.85254298045305</v>
      </c>
      <c r="V1475" s="76">
        <f>V1474+T1475</f>
        <v>1934.6549958208805</v>
      </c>
    </row>
    <row r="1476" spans="1:22" ht="19" customHeight="1">
      <c r="A1476" s="68" t="s">
        <v>362</v>
      </c>
      <c r="B1476" s="74">
        <v>5</v>
      </c>
      <c r="C1476" s="68" t="s">
        <v>363</v>
      </c>
      <c r="D1476" s="68" t="s">
        <v>365</v>
      </c>
      <c r="E1476" s="75">
        <f>60*F1476*'THAM_SO_MOI'!$C$53/(2*PI()*'THAM_SO_MOI'!$C$26)</f>
        <v>2423.705289473684</v>
      </c>
      <c r="F1476" s="75">
        <f>'THAM_SO_MOI'!$C$14+('THAM_SO_MOI'!$C$37-'THAM_SO_MOI'!$C$14)*669/'THAM_SO_MOI'!$C$42</f>
        <v>24.599572916666666</v>
      </c>
      <c r="G1476" s="75">
        <f>3.6*F1476</f>
        <v>88.5584625</v>
      </c>
      <c r="H1476" s="75">
        <f>'THAM_SO_MOI'!$D$53</f>
        <v>1.1</v>
      </c>
      <c r="I1476" s="75">
        <f>IF(F1476&gt;='THAM_SO_MOI'!$C$14,'THAM_SO_MOI'!$C$13*(1+F1476^2/1500),'THAM_SO_MOI'!$C$13)</f>
        <v>0.021051389876824</v>
      </c>
      <c r="J1476" s="75">
        <f>'THAM_SO_MOI'!$C$40*('THAM_SO_MOI'!$C$23*(E1476/'THAM_SO_MOI'!$C$22)+'THAM_SO_MOI'!$C$24*(E1476/'THAM_SO_MOI'!$C$22)^2-'THAM_SO_MOI'!$C$25*(E1476/'THAM_SO_MOI'!$C$22)^3)</f>
        <v>108.33721942880598</v>
      </c>
      <c r="K1476" s="75">
        <f>'THAM_SO_MOI'!$C$31*J1476/E1476</f>
        <v>426.9246121113435</v>
      </c>
      <c r="L1476" s="75">
        <f>K1476*'THAM_SO_MOI'!$C$53*'THAM_SO_MOI'!$C$17/'THAM_SO_MOI'!$C$26</f>
        <v>3744.130518759066</v>
      </c>
      <c r="M1476" s="75">
        <f>'THAM_SO_MOI'!$C$15*'THAM_SO_MOI'!$C$16*F1476^2</f>
        <v>1770.0315389710206</v>
      </c>
      <c r="N1476" s="75">
        <f>'THAM_SO_MOI'!$C$12*I1476</f>
        <v>1586.0285544318217</v>
      </c>
      <c r="O1476" s="75">
        <f>M1476+N1476</f>
        <v>3356.0600934028425</v>
      </c>
      <c r="P1476" s="75">
        <f>(MIN(L1476,'THAM_SO_MOI'!$C$41)-O1476)/('THAM_SO_MOI'!$C$11*H1476)</f>
        <v>0.045936366637810574</v>
      </c>
      <c r="Q1476" s="75">
        <f>IF(P1476&gt;0,1/P1476,NA())</f>
        <v>21.76924457009389</v>
      </c>
      <c r="R1476" s="75">
        <f>F1476-F1475</f>
        <v>0.0035868055555567935</v>
      </c>
      <c r="S1476" s="75">
        <f>0.5*(Q1475+Q1476)*R1476</f>
        <v>0.07800911541896521</v>
      </c>
      <c r="T1476" s="75">
        <f>0.5*(F1475*Q1475+F1476*Q1476)*R1476</f>
        <v>1.91885115194557</v>
      </c>
      <c r="U1476" s="76">
        <f>U1475+S1476</f>
        <v>106.93055209587202</v>
      </c>
      <c r="V1476" s="76">
        <f>V1475+T1476</f>
        <v>1936.573846972826</v>
      </c>
    </row>
    <row r="1477" spans="1:22" ht="19" customHeight="1">
      <c r="A1477" s="68" t="s">
        <v>362</v>
      </c>
      <c r="B1477" s="74">
        <v>5</v>
      </c>
      <c r="C1477" s="68" t="s">
        <v>363</v>
      </c>
      <c r="D1477" s="68" t="s">
        <v>365</v>
      </c>
      <c r="E1477" s="75">
        <f>60*F1477*'THAM_SO_MOI'!$C$53/(2*PI()*'THAM_SO_MOI'!$C$26)</f>
        <v>2424.0586842105254</v>
      </c>
      <c r="F1477" s="75">
        <f>'THAM_SO_MOI'!$C$14+('THAM_SO_MOI'!$C$37-'THAM_SO_MOI'!$C$14)*670/'THAM_SO_MOI'!$C$42</f>
        <v>24.60315972222222</v>
      </c>
      <c r="G1477" s="75">
        <f>3.6*F1477</f>
        <v>88.57137499999999</v>
      </c>
      <c r="H1477" s="75">
        <f>'THAM_SO_MOI'!$D$53</f>
        <v>1.1</v>
      </c>
      <c r="I1477" s="75">
        <f>IF(F1477&gt;='THAM_SO_MOI'!$C$14,'THAM_SO_MOI'!$C$13*(1+F1477^2/1500),'THAM_SO_MOI'!$C$13)</f>
        <v>0.021053154683171777</v>
      </c>
      <c r="J1477" s="75">
        <f>'THAM_SO_MOI'!$C$40*('THAM_SO_MOI'!$C$23*(E1477/'THAM_SO_MOI'!$C$22)+'THAM_SO_MOI'!$C$24*(E1477/'THAM_SO_MOI'!$C$22)^2-'THAM_SO_MOI'!$C$25*(E1477/'THAM_SO_MOI'!$C$22)^3)</f>
        <v>108.35077769276134</v>
      </c>
      <c r="K1477" s="75">
        <f>'THAM_SO_MOI'!$C$31*J1477/E1477</f>
        <v>426.9157935962482</v>
      </c>
      <c r="L1477" s="75">
        <f>K1477*'THAM_SO_MOI'!$C$53*'THAM_SO_MOI'!$C$17/'THAM_SO_MOI'!$C$26</f>
        <v>3744.0531803471736</v>
      </c>
      <c r="M1477" s="75">
        <f>'THAM_SO_MOI'!$C$15*'THAM_SO_MOI'!$C$16*F1477^2</f>
        <v>1770.5477448277452</v>
      </c>
      <c r="N1477" s="75">
        <f>'THAM_SO_MOI'!$C$12*I1477</f>
        <v>1586.1615163539084</v>
      </c>
      <c r="O1477" s="75">
        <f>M1477+N1477</f>
        <v>3356.7092611816533</v>
      </c>
      <c r="P1477" s="75">
        <f>(MIN(L1477,'THAM_SO_MOI'!$C$41)-O1477)/('THAM_SO_MOI'!$C$11*H1477)</f>
        <v>0.04585036921940341</v>
      </c>
      <c r="Q1477" s="75">
        <f>IF(P1477&gt;0,1/P1477,NA())</f>
        <v>21.810075186413336</v>
      </c>
      <c r="R1477" s="75">
        <f>F1477-F1476</f>
        <v>0.0035868055555532408</v>
      </c>
      <c r="S1477" s="75">
        <f>0.5*(Q1476+Q1477)*R1477</f>
        <v>0.07815527310493561</v>
      </c>
      <c r="T1477" s="75">
        <f>0.5*(F1476*Q1476+F1477*Q1477)*R1477</f>
        <v>1.922726634773992</v>
      </c>
      <c r="U1477" s="76">
        <f>U1476+S1477</f>
        <v>107.00870736897696</v>
      </c>
      <c r="V1477" s="76">
        <f>V1476+T1477</f>
        <v>1938.4965736075999</v>
      </c>
    </row>
    <row r="1478" spans="1:22" ht="19" customHeight="1">
      <c r="A1478" s="68" t="s">
        <v>362</v>
      </c>
      <c r="B1478" s="74">
        <v>5</v>
      </c>
      <c r="C1478" s="68" t="s">
        <v>363</v>
      </c>
      <c r="D1478" s="68" t="s">
        <v>365</v>
      </c>
      <c r="E1478" s="75">
        <f>60*F1478*'THAM_SO_MOI'!$C$53/(2*PI()*'THAM_SO_MOI'!$C$26)</f>
        <v>2424.4120789473677</v>
      </c>
      <c r="F1478" s="75">
        <f>'THAM_SO_MOI'!$C$14+('THAM_SO_MOI'!$C$37-'THAM_SO_MOI'!$C$14)*671/'THAM_SO_MOI'!$C$42</f>
        <v>24.606746527777776</v>
      </c>
      <c r="G1478" s="75">
        <f>3.6*F1478</f>
        <v>88.5842875</v>
      </c>
      <c r="H1478" s="75">
        <f>'THAM_SO_MOI'!$D$53</f>
        <v>1.1</v>
      </c>
      <c r="I1478" s="75">
        <f>IF(F1478&gt;='THAM_SO_MOI'!$C$14,'THAM_SO_MOI'!$C$13*(1+F1478^2/1500),'THAM_SO_MOI'!$C$13)</f>
        <v>0.021054919746823036</v>
      </c>
      <c r="J1478" s="75">
        <f>'THAM_SO_MOI'!$C$40*('THAM_SO_MOI'!$C$23*(E1478/'THAM_SO_MOI'!$C$22)+'THAM_SO_MOI'!$C$24*(E1478/'THAM_SO_MOI'!$C$22)^2-'THAM_SO_MOI'!$C$25*(E1478/'THAM_SO_MOI'!$C$22)^3)</f>
        <v>108.36433222866663</v>
      </c>
      <c r="K1478" s="75">
        <f>'THAM_SO_MOI'!$C$31*J1478/E1478</f>
        <v>426.9069629651682</v>
      </c>
      <c r="L1478" s="75">
        <f>K1478*'THAM_SO_MOI'!$C$53*'THAM_SO_MOI'!$C$17/'THAM_SO_MOI'!$C$26</f>
        <v>3743.975735678048</v>
      </c>
      <c r="M1478" s="75">
        <f>'THAM_SO_MOI'!$C$15*'THAM_SO_MOI'!$C$16*F1478^2</f>
        <v>1771.0640259457384</v>
      </c>
      <c r="N1478" s="75">
        <f>'THAM_SO_MOI'!$C$12*I1478</f>
        <v>1586.2944976614451</v>
      </c>
      <c r="O1478" s="75">
        <f>M1478+N1478</f>
        <v>3357.3585236071835</v>
      </c>
      <c r="P1478" s="75">
        <f>(MIN(L1478,'THAM_SO_MOI'!$C$41)-O1478)/('THAM_SO_MOI'!$C$11*H1478)</f>
        <v>0.04576434801975193</v>
      </c>
      <c r="Q1478" s="75">
        <f>IF(P1478&gt;0,1/P1478,NA())</f>
        <v>21.851070609995343</v>
      </c>
      <c r="R1478" s="75">
        <f>F1478-F1477</f>
        <v>0.0035868055555567935</v>
      </c>
      <c r="S1478" s="75">
        <f>0.5*(Q1477+Q1478)*R1478</f>
        <v>0.0783020201522669</v>
      </c>
      <c r="T1478" s="75">
        <f>0.5*(F1477*Q1477+F1478*Q1478)*R1478</f>
        <v>1.9266176672926476</v>
      </c>
      <c r="U1478" s="76">
        <f>U1477+S1478</f>
        <v>107.08700938912922</v>
      </c>
      <c r="V1478" s="76">
        <f>V1477+T1478</f>
        <v>1940.4231912748926</v>
      </c>
    </row>
    <row r="1479" spans="1:22" ht="19" customHeight="1">
      <c r="A1479" s="68" t="s">
        <v>362</v>
      </c>
      <c r="B1479" s="74">
        <v>5</v>
      </c>
      <c r="C1479" s="68" t="s">
        <v>363</v>
      </c>
      <c r="D1479" s="68" t="s">
        <v>365</v>
      </c>
      <c r="E1479" s="75">
        <f>60*F1479*'THAM_SO_MOI'!$C$53/(2*PI()*'THAM_SO_MOI'!$C$26)</f>
        <v>2424.76547368421</v>
      </c>
      <c r="F1479" s="75">
        <f>'THAM_SO_MOI'!$C$14+('THAM_SO_MOI'!$C$37-'THAM_SO_MOI'!$C$14)*672/'THAM_SO_MOI'!$C$42</f>
        <v>24.610333333333333</v>
      </c>
      <c r="G1479" s="75">
        <f>3.6*F1479</f>
        <v>88.5972</v>
      </c>
      <c r="H1479" s="75">
        <f>'THAM_SO_MOI'!$D$53</f>
        <v>1.1</v>
      </c>
      <c r="I1479" s="75">
        <f>IF(F1479&gt;='THAM_SO_MOI'!$C$14,'THAM_SO_MOI'!$C$13*(1+F1479^2/1500),'THAM_SO_MOI'!$C$13)</f>
        <v>0.02105668506777778</v>
      </c>
      <c r="J1479" s="75">
        <f>'THAM_SO_MOI'!$C$40*('THAM_SO_MOI'!$C$23*(E1479/'THAM_SO_MOI'!$C$22)+'THAM_SO_MOI'!$C$24*(E1479/'THAM_SO_MOI'!$C$22)^2-'THAM_SO_MOI'!$C$25*(E1479/'THAM_SO_MOI'!$C$22)^3)</f>
        <v>108.377883035177</v>
      </c>
      <c r="K1479" s="75">
        <f>'THAM_SO_MOI'!$C$31*J1479/E1479</f>
        <v>426.8981202181038</v>
      </c>
      <c r="L1479" s="75">
        <f>K1479*'THAM_SO_MOI'!$C$53*'THAM_SO_MOI'!$C$17/'THAM_SO_MOI'!$C$26</f>
        <v>3743.898184751692</v>
      </c>
      <c r="M1479" s="75">
        <f>'THAM_SO_MOI'!$C$15*'THAM_SO_MOI'!$C$16*F1479^2</f>
        <v>1771.580382325</v>
      </c>
      <c r="N1479" s="75">
        <f>'THAM_SO_MOI'!$C$12*I1479</f>
        <v>1586.4274983544321</v>
      </c>
      <c r="O1479" s="75">
        <f>M1479+N1479</f>
        <v>3358.007880679432</v>
      </c>
      <c r="P1479" s="75">
        <f>(MIN(L1479,'THAM_SO_MOI'!$C$41)-O1479)/('THAM_SO_MOI'!$C$11*H1479)</f>
        <v>0.04567830303885651</v>
      </c>
      <c r="Q1479" s="75">
        <f>IF(P1479&gt;0,1/P1479,NA())</f>
        <v>21.892231835962562</v>
      </c>
      <c r="R1479" s="75">
        <f>F1479-F1478</f>
        <v>0.0035868055555567935</v>
      </c>
      <c r="S1479" s="75">
        <f>0.5*(Q1478+Q1479)*R1479</f>
        <v>0.07844936011578145</v>
      </c>
      <c r="T1479" s="75">
        <f>0.5*(F1478*Q1478+F1479*Q1479)*R1479</f>
        <v>1.9305243433223245</v>
      </c>
      <c r="U1479" s="76">
        <f>U1478+S1479</f>
        <v>107.165458749245</v>
      </c>
      <c r="V1479" s="76">
        <f>V1478+T1479</f>
        <v>1942.353715618215</v>
      </c>
    </row>
    <row r="1480" spans="1:22" ht="19" customHeight="1">
      <c r="A1480" s="68" t="s">
        <v>362</v>
      </c>
      <c r="B1480" s="74">
        <v>5</v>
      </c>
      <c r="C1480" s="68" t="s">
        <v>363</v>
      </c>
      <c r="D1480" s="68" t="s">
        <v>365</v>
      </c>
      <c r="E1480" s="75">
        <f>60*F1480*'THAM_SO_MOI'!$C$53/(2*PI()*'THAM_SO_MOI'!$C$26)</f>
        <v>2425.118868421052</v>
      </c>
      <c r="F1480" s="75">
        <f>'THAM_SO_MOI'!$C$14+('THAM_SO_MOI'!$C$37-'THAM_SO_MOI'!$C$14)*673/'THAM_SO_MOI'!$C$42</f>
        <v>24.613920138888886</v>
      </c>
      <c r="G1480" s="75">
        <f>3.6*F1480</f>
        <v>88.6101125</v>
      </c>
      <c r="H1480" s="75">
        <f>'THAM_SO_MOI'!$D$53</f>
        <v>1.1</v>
      </c>
      <c r="I1480" s="75">
        <f>IF(F1480&gt;='THAM_SO_MOI'!$C$14,'THAM_SO_MOI'!$C$13*(1+F1480^2/1500),'THAM_SO_MOI'!$C$13)</f>
        <v>0.021058450646036</v>
      </c>
      <c r="J1480" s="75">
        <f>'THAM_SO_MOI'!$C$40*('THAM_SO_MOI'!$C$23*(E1480/'THAM_SO_MOI'!$C$22)+'THAM_SO_MOI'!$C$24*(E1480/'THAM_SO_MOI'!$C$22)^2-'THAM_SO_MOI'!$C$25*(E1480/'THAM_SO_MOI'!$C$22)^3)</f>
        <v>108.39143011094757</v>
      </c>
      <c r="K1480" s="75">
        <f>'THAM_SO_MOI'!$C$31*J1480/E1480</f>
        <v>426.8892653550551</v>
      </c>
      <c r="L1480" s="75">
        <f>K1480*'THAM_SO_MOI'!$C$53*'THAM_SO_MOI'!$C$17/'THAM_SO_MOI'!$C$26</f>
        <v>3743.820527568106</v>
      </c>
      <c r="M1480" s="75">
        <f>'THAM_SO_MOI'!$C$15*'THAM_SO_MOI'!$C$16*F1480^2</f>
        <v>1772.09681396553</v>
      </c>
      <c r="N1480" s="75">
        <f>'THAM_SO_MOI'!$C$12*I1480</f>
        <v>1586.560518432869</v>
      </c>
      <c r="O1480" s="75">
        <f>M1480+N1480</f>
        <v>3358.657332398399</v>
      </c>
      <c r="P1480" s="75">
        <f>(MIN(L1480,'THAM_SO_MOI'!$C$41)-O1480)/('THAM_SO_MOI'!$C$11*H1480)</f>
        <v>0.04559223427671724</v>
      </c>
      <c r="Q1480" s="75">
        <f>IF(P1480&gt;0,1/P1480,NA())</f>
        <v>21.933559867467906</v>
      </c>
      <c r="R1480" s="75">
        <f>F1480-F1479</f>
        <v>0.0035868055555532408</v>
      </c>
      <c r="S1480" s="75">
        <f>0.5*(Q1479+Q1480)*R1480</f>
        <v>0.07859729657919176</v>
      </c>
      <c r="T1480" s="75">
        <f>0.5*(F1479*Q1479+F1480*Q1480)*R1480</f>
        <v>1.93444675744586</v>
      </c>
      <c r="U1480" s="76">
        <f>U1479+S1480</f>
        <v>107.2440560458242</v>
      </c>
      <c r="V1480" s="76">
        <f>V1479+T1480</f>
        <v>1944.2881623756607</v>
      </c>
    </row>
    <row r="1481" spans="1:22" ht="19" customHeight="1">
      <c r="A1481" s="68" t="s">
        <v>362</v>
      </c>
      <c r="B1481" s="74">
        <v>5</v>
      </c>
      <c r="C1481" s="68" t="s">
        <v>363</v>
      </c>
      <c r="D1481" s="68" t="s">
        <v>365</v>
      </c>
      <c r="E1481" s="75">
        <f>60*F1481*'THAM_SO_MOI'!$C$53/(2*PI()*'THAM_SO_MOI'!$C$26)</f>
        <v>2425.472263157894</v>
      </c>
      <c r="F1481" s="75">
        <f>'THAM_SO_MOI'!$C$14+('THAM_SO_MOI'!$C$37-'THAM_SO_MOI'!$C$14)*674/'THAM_SO_MOI'!$C$42</f>
        <v>24.617506944444443</v>
      </c>
      <c r="G1481" s="75">
        <f>3.6*F1481</f>
        <v>88.623025</v>
      </c>
      <c r="H1481" s="75">
        <f>'THAM_SO_MOI'!$D$53</f>
        <v>1.1</v>
      </c>
      <c r="I1481" s="75">
        <f>IF(F1481&gt;='THAM_SO_MOI'!$C$14,'THAM_SO_MOI'!$C$13*(1+F1481^2/1500),'THAM_SO_MOI'!$C$13)</f>
        <v>0.021060216481597702</v>
      </c>
      <c r="J1481" s="75">
        <f>'THAM_SO_MOI'!$C$40*('THAM_SO_MOI'!$C$23*(E1481/'THAM_SO_MOI'!$C$22)+'THAM_SO_MOI'!$C$24*(E1481/'THAM_SO_MOI'!$C$22)^2-'THAM_SO_MOI'!$C$25*(E1481/'THAM_SO_MOI'!$C$22)^3)</f>
        <v>108.4049734546334</v>
      </c>
      <c r="K1481" s="75">
        <f>'THAM_SO_MOI'!$C$31*J1481/E1481</f>
        <v>426.88039837602184</v>
      </c>
      <c r="L1481" s="75">
        <f>K1481*'THAM_SO_MOI'!$C$53*'THAM_SO_MOI'!$C$17/'THAM_SO_MOI'!$C$26</f>
        <v>3743.742764127288</v>
      </c>
      <c r="M1481" s="75">
        <f>'THAM_SO_MOI'!$C$15*'THAM_SO_MOI'!$C$16*F1481^2</f>
        <v>1772.6133208673286</v>
      </c>
      <c r="N1481" s="75">
        <f>'THAM_SO_MOI'!$C$12*I1481</f>
        <v>1586.6935578967561</v>
      </c>
      <c r="O1481" s="75">
        <f>M1481+N1481</f>
        <v>3359.306878764085</v>
      </c>
      <c r="P1481" s="75">
        <f>(MIN(L1481,'THAM_SO_MOI'!$C$41)-O1481)/('THAM_SO_MOI'!$C$11*H1481)</f>
        <v>0.045506141733333706</v>
      </c>
      <c r="Q1481" s="75">
        <f>IF(P1481&gt;0,1/P1481,NA())</f>
        <v>21.97505571577583</v>
      </c>
      <c r="R1481" s="75">
        <f>F1481-F1480</f>
        <v>0.0035868055555567935</v>
      </c>
      <c r="S1481" s="75">
        <f>0.5*(Q1480+Q1481)*R1481</f>
        <v>0.07874583315539312</v>
      </c>
      <c r="T1481" s="75">
        <f>0.5*(F1480*Q1480+F1481*Q1481)*R1481</f>
        <v>1.9383850050158624</v>
      </c>
      <c r="U1481" s="76">
        <f>U1480+S1481</f>
        <v>107.32280187897959</v>
      </c>
      <c r="V1481" s="76">
        <f>V1480+T1481</f>
        <v>1946.2265473806765</v>
      </c>
    </row>
    <row r="1482" spans="1:22" ht="19" customHeight="1">
      <c r="A1482" s="68" t="s">
        <v>362</v>
      </c>
      <c r="B1482" s="74">
        <v>5</v>
      </c>
      <c r="C1482" s="68" t="s">
        <v>363</v>
      </c>
      <c r="D1482" s="68" t="s">
        <v>365</v>
      </c>
      <c r="E1482" s="75">
        <f>60*F1482*'THAM_SO_MOI'!$C$53/(2*PI()*'THAM_SO_MOI'!$C$26)</f>
        <v>2425.825657894736</v>
      </c>
      <c r="F1482" s="75">
        <f>'THAM_SO_MOI'!$C$14+('THAM_SO_MOI'!$C$37-'THAM_SO_MOI'!$C$14)*675/'THAM_SO_MOI'!$C$42</f>
        <v>24.62109375</v>
      </c>
      <c r="G1482" s="75">
        <f>3.6*F1482</f>
        <v>88.6359375</v>
      </c>
      <c r="H1482" s="75">
        <f>'THAM_SO_MOI'!$D$53</f>
        <v>1.1</v>
      </c>
      <c r="I1482" s="75">
        <f>IF(F1482&gt;='THAM_SO_MOI'!$C$14,'THAM_SO_MOI'!$C$13*(1+F1482^2/1500),'THAM_SO_MOI'!$C$13)</f>
        <v>0.02106198257446289</v>
      </c>
      <c r="J1482" s="75">
        <f>'THAM_SO_MOI'!$C$40*('THAM_SO_MOI'!$C$23*(E1482/'THAM_SO_MOI'!$C$22)+'THAM_SO_MOI'!$C$24*(E1482/'THAM_SO_MOI'!$C$22)^2-'THAM_SO_MOI'!$C$25*(E1482/'THAM_SO_MOI'!$C$22)^3)</f>
        <v>108.41851306488967</v>
      </c>
      <c r="K1482" s="75">
        <f>'THAM_SO_MOI'!$C$31*J1482/E1482</f>
        <v>426.87151928100417</v>
      </c>
      <c r="L1482" s="75">
        <f>K1482*'THAM_SO_MOI'!$C$53*'THAM_SO_MOI'!$C$17/'THAM_SO_MOI'!$C$26</f>
        <v>3743.664894429239</v>
      </c>
      <c r="M1482" s="75">
        <f>'THAM_SO_MOI'!$C$15*'THAM_SO_MOI'!$C$16*F1482^2</f>
        <v>1773.1299030303956</v>
      </c>
      <c r="N1482" s="75">
        <f>'THAM_SO_MOI'!$C$12*I1482</f>
        <v>1586.8266167460938</v>
      </c>
      <c r="O1482" s="75">
        <f>M1482+N1482</f>
        <v>3359.9565197764896</v>
      </c>
      <c r="P1482" s="75">
        <f>(MIN(L1482,'THAM_SO_MOI'!$C$41)-O1482)/('THAM_SO_MOI'!$C$11*H1482)</f>
        <v>0.04542002540870618</v>
      </c>
      <c r="Q1482" s="75">
        <f>IF(P1482&gt;0,1/P1482,NA())</f>
        <v>22.016720400343907</v>
      </c>
      <c r="R1482" s="75">
        <f>F1482-F1481</f>
        <v>0.0035868055555567935</v>
      </c>
      <c r="S1482" s="75">
        <f>0.5*(Q1481+Q1482)*R1482</f>
        <v>0.07889497348605447</v>
      </c>
      <c r="T1482" s="75">
        <f>0.5*(F1481*Q1481+F1482*Q1482)*R1482</f>
        <v>1.9423391821451639</v>
      </c>
      <c r="U1482" s="76">
        <f>U1481+S1482</f>
        <v>107.40169685246565</v>
      </c>
      <c r="V1482" s="76">
        <f>V1481+T1482</f>
        <v>1948.1688865628216</v>
      </c>
    </row>
    <row r="1483" spans="1:22" ht="19" customHeight="1">
      <c r="A1483" s="68" t="s">
        <v>362</v>
      </c>
      <c r="B1483" s="74">
        <v>5</v>
      </c>
      <c r="C1483" s="68" t="s">
        <v>363</v>
      </c>
      <c r="D1483" s="68" t="s">
        <v>365</v>
      </c>
      <c r="E1483" s="75">
        <f>60*F1483*'THAM_SO_MOI'!$C$53/(2*PI()*'THAM_SO_MOI'!$C$26)</f>
        <v>2426.1790526315785</v>
      </c>
      <c r="F1483" s="75">
        <f>'THAM_SO_MOI'!$C$14+('THAM_SO_MOI'!$C$37-'THAM_SO_MOI'!$C$14)*676/'THAM_SO_MOI'!$C$42</f>
        <v>24.624680555555553</v>
      </c>
      <c r="G1483" s="75">
        <f>3.6*F1483</f>
        <v>88.64885</v>
      </c>
      <c r="H1483" s="75">
        <f>'THAM_SO_MOI'!$D$53</f>
        <v>1.1</v>
      </c>
      <c r="I1483" s="75">
        <f>IF(F1483&gt;='THAM_SO_MOI'!$C$14,'THAM_SO_MOI'!$C$13*(1+F1483^2/1500),'THAM_SO_MOI'!$C$13)</f>
        <v>0.02106374892463156</v>
      </c>
      <c r="J1483" s="75">
        <f>'THAM_SO_MOI'!$C$40*('THAM_SO_MOI'!$C$23*(E1483/'THAM_SO_MOI'!$C$22)+'THAM_SO_MOI'!$C$24*(E1483/'THAM_SO_MOI'!$C$22)^2-'THAM_SO_MOI'!$C$25*(E1483/'THAM_SO_MOI'!$C$22)^3)</f>
        <v>108.43204894037142</v>
      </c>
      <c r="K1483" s="75">
        <f>'THAM_SO_MOI'!$C$31*J1483/E1483</f>
        <v>426.862628070002</v>
      </c>
      <c r="L1483" s="75">
        <f>K1483*'THAM_SO_MOI'!$C$53*'THAM_SO_MOI'!$C$17/'THAM_SO_MOI'!$C$26</f>
        <v>3743.58691847396</v>
      </c>
      <c r="M1483" s="75">
        <f>'THAM_SO_MOI'!$C$15*'THAM_SO_MOI'!$C$16*F1483^2</f>
        <v>1773.646560454731</v>
      </c>
      <c r="N1483" s="75">
        <f>'THAM_SO_MOI'!$C$12*I1483</f>
        <v>1586.9596949808815</v>
      </c>
      <c r="O1483" s="75">
        <f>M1483+N1483</f>
        <v>3360.606255435612</v>
      </c>
      <c r="P1483" s="75">
        <f>(MIN(L1483,'THAM_SO_MOI'!$C$41)-O1483)/('THAM_SO_MOI'!$C$11*H1483)</f>
        <v>0.0453338853028347</v>
      </c>
      <c r="Q1483" s="75">
        <f>IF(P1483&gt;0,1/P1483,NA())</f>
        <v>22.058554948906412</v>
      </c>
      <c r="R1483" s="75">
        <f>F1483-F1482</f>
        <v>0.0035868055555532408</v>
      </c>
      <c r="S1483" s="75">
        <f>0.5*(Q1482+Q1483)*R1483</f>
        <v>0.07904472124261493</v>
      </c>
      <c r="T1483" s="75">
        <f>0.5*(F1482*Q1482+F1483*Q1483)*R1483</f>
        <v>1.9463093857318712</v>
      </c>
      <c r="U1483" s="76">
        <f>U1482+S1483</f>
        <v>107.48074157370826</v>
      </c>
      <c r="V1483" s="76">
        <f>V1482+T1483</f>
        <v>1950.1151959485535</v>
      </c>
    </row>
    <row r="1484" spans="1:22" ht="19" customHeight="1">
      <c r="A1484" s="68" t="s">
        <v>362</v>
      </c>
      <c r="B1484" s="74">
        <v>5</v>
      </c>
      <c r="C1484" s="68" t="s">
        <v>363</v>
      </c>
      <c r="D1484" s="68" t="s">
        <v>365</v>
      </c>
      <c r="E1484" s="75">
        <f>60*F1484*'THAM_SO_MOI'!$C$53/(2*PI()*'THAM_SO_MOI'!$C$26)</f>
        <v>2426.5324473684204</v>
      </c>
      <c r="F1484" s="75">
        <f>'THAM_SO_MOI'!$C$14+('THAM_SO_MOI'!$C$37-'THAM_SO_MOI'!$C$14)*677/'THAM_SO_MOI'!$C$42</f>
        <v>24.62826736111111</v>
      </c>
      <c r="G1484" s="75">
        <f>3.6*F1484</f>
        <v>88.6617625</v>
      </c>
      <c r="H1484" s="75">
        <f>'THAM_SO_MOI'!$D$53</f>
        <v>1.1</v>
      </c>
      <c r="I1484" s="75">
        <f>IF(F1484&gt;='THAM_SO_MOI'!$C$14,'THAM_SO_MOI'!$C$13*(1+F1484^2/1500),'THAM_SO_MOI'!$C$13)</f>
        <v>0.021065515532103708</v>
      </c>
      <c r="J1484" s="75">
        <f>'THAM_SO_MOI'!$C$40*('THAM_SO_MOI'!$C$23*(E1484/'THAM_SO_MOI'!$C$22)+'THAM_SO_MOI'!$C$24*(E1484/'THAM_SO_MOI'!$C$22)^2-'THAM_SO_MOI'!$C$25*(E1484/'THAM_SO_MOI'!$C$22)^3)</f>
        <v>108.44558107973378</v>
      </c>
      <c r="K1484" s="75">
        <f>'THAM_SO_MOI'!$C$31*J1484/E1484</f>
        <v>426.8537247430154</v>
      </c>
      <c r="L1484" s="75">
        <f>K1484*'THAM_SO_MOI'!$C$53*'THAM_SO_MOI'!$C$17/'THAM_SO_MOI'!$C$26</f>
        <v>3743.5088362614483</v>
      </c>
      <c r="M1484" s="75">
        <f>'THAM_SO_MOI'!$C$15*'THAM_SO_MOI'!$C$16*F1484^2</f>
        <v>1774.1632931403346</v>
      </c>
      <c r="N1484" s="75">
        <f>'THAM_SO_MOI'!$C$12*I1484</f>
        <v>1587.092792601119</v>
      </c>
      <c r="O1484" s="75">
        <f>M1484+N1484</f>
        <v>3361.2560857414537</v>
      </c>
      <c r="P1484" s="75">
        <f>(MIN(L1484,'THAM_SO_MOI'!$C$41)-O1484)/('THAM_SO_MOI'!$C$11*H1484)</f>
        <v>0.04524772141571906</v>
      </c>
      <c r="Q1484" s="75">
        <f>IF(P1484&gt;0,1/P1484,NA())</f>
        <v>22.100560397558493</v>
      </c>
      <c r="R1484" s="75">
        <f>F1484-F1483</f>
        <v>0.0035868055555567935</v>
      </c>
      <c r="S1484" s="75">
        <f>0.5*(Q1483+Q1484)*R1484</f>
        <v>0.07919508012658678</v>
      </c>
      <c r="T1484" s="75">
        <f>0.5*(F1483*Q1483+F1484*Q1484)*R1484</f>
        <v>1.9502957134673635</v>
      </c>
      <c r="U1484" s="76">
        <f>U1483+S1484</f>
        <v>107.55993665383484</v>
      </c>
      <c r="V1484" s="76">
        <f>V1483+T1484</f>
        <v>1952.0654916620208</v>
      </c>
    </row>
    <row r="1485" spans="1:22" ht="19" customHeight="1">
      <c r="A1485" s="68" t="s">
        <v>362</v>
      </c>
      <c r="B1485" s="74">
        <v>5</v>
      </c>
      <c r="C1485" s="68" t="s">
        <v>363</v>
      </c>
      <c r="D1485" s="68" t="s">
        <v>365</v>
      </c>
      <c r="E1485" s="75">
        <f>60*F1485*'THAM_SO_MOI'!$C$53/(2*PI()*'THAM_SO_MOI'!$C$26)</f>
        <v>2426.8858421052623</v>
      </c>
      <c r="F1485" s="75">
        <f>'THAM_SO_MOI'!$C$14+('THAM_SO_MOI'!$C$37-'THAM_SO_MOI'!$C$14)*678/'THAM_SO_MOI'!$C$42</f>
        <v>24.631854166666663</v>
      </c>
      <c r="G1485" s="75">
        <f>3.6*F1485</f>
        <v>88.674675</v>
      </c>
      <c r="H1485" s="75">
        <f>'THAM_SO_MOI'!$D$53</f>
        <v>1.1</v>
      </c>
      <c r="I1485" s="75">
        <f>IF(F1485&gt;='THAM_SO_MOI'!$C$14,'THAM_SO_MOI'!$C$13*(1+F1485^2/1500),'THAM_SO_MOI'!$C$13)</f>
        <v>0.021067282396879338</v>
      </c>
      <c r="J1485" s="75">
        <f>'THAM_SO_MOI'!$C$40*('THAM_SO_MOI'!$C$23*(E1485/'THAM_SO_MOI'!$C$22)+'THAM_SO_MOI'!$C$24*(E1485/'THAM_SO_MOI'!$C$22)^2-'THAM_SO_MOI'!$C$25*(E1485/'THAM_SO_MOI'!$C$22)^3)</f>
        <v>108.45910948163191</v>
      </c>
      <c r="K1485" s="75">
        <f>'THAM_SO_MOI'!$C$31*J1485/E1485</f>
        <v>426.84480930004446</v>
      </c>
      <c r="L1485" s="75">
        <f>K1485*'THAM_SO_MOI'!$C$53*'THAM_SO_MOI'!$C$17/'THAM_SO_MOI'!$C$26</f>
        <v>3743.430647791708</v>
      </c>
      <c r="M1485" s="75">
        <f>'THAM_SO_MOI'!$C$15*'THAM_SO_MOI'!$C$16*F1485^2</f>
        <v>1774.6801010872068</v>
      </c>
      <c r="N1485" s="75">
        <f>'THAM_SO_MOI'!$C$12*I1485</f>
        <v>1587.225909606807</v>
      </c>
      <c r="O1485" s="75">
        <f>M1485+N1485</f>
        <v>3361.9060106940137</v>
      </c>
      <c r="P1485" s="75">
        <f>(MIN(L1485,'THAM_SO_MOI'!$C$41)-O1485)/('THAM_SO_MOI'!$C$11*H1485)</f>
        <v>0.04516153374735964</v>
      </c>
      <c r="Q1485" s="75">
        <f>IF(P1485&gt;0,1/P1485,NA())</f>
        <v>22.142737790840965</v>
      </c>
      <c r="R1485" s="75">
        <f>F1485-F1484</f>
        <v>0.0035868055555532408</v>
      </c>
      <c r="S1485" s="75">
        <f>0.5*(Q1484+Q1485)*R1485</f>
        <v>0.07934605386907491</v>
      </c>
      <c r="T1485" s="75">
        <f>0.5*(F1484*Q1484+F1485*Q1485)*R1485</f>
        <v>1.9542982638249924</v>
      </c>
      <c r="U1485" s="76">
        <f>U1484+S1485</f>
        <v>107.63928270770391</v>
      </c>
      <c r="V1485" s="76">
        <f>V1484+T1485</f>
        <v>1954.0197899258458</v>
      </c>
    </row>
    <row r="1486" spans="1:22" ht="19" customHeight="1">
      <c r="A1486" s="68" t="s">
        <v>362</v>
      </c>
      <c r="B1486" s="74">
        <v>5</v>
      </c>
      <c r="C1486" s="68" t="s">
        <v>363</v>
      </c>
      <c r="D1486" s="68" t="s">
        <v>365</v>
      </c>
      <c r="E1486" s="75">
        <f>60*F1486*'THAM_SO_MOI'!$C$53/(2*PI()*'THAM_SO_MOI'!$C$26)</f>
        <v>2427.2392368421047</v>
      </c>
      <c r="F1486" s="75">
        <f>'THAM_SO_MOI'!$C$14+('THAM_SO_MOI'!$C$37-'THAM_SO_MOI'!$C$14)*679/'THAM_SO_MOI'!$C$42</f>
        <v>24.63544097222222</v>
      </c>
      <c r="G1486" s="75">
        <f>3.6*F1486</f>
        <v>88.68758749999999</v>
      </c>
      <c r="H1486" s="75">
        <f>'THAM_SO_MOI'!$D$53</f>
        <v>1.1</v>
      </c>
      <c r="I1486" s="75">
        <f>IF(F1486&gt;='THAM_SO_MOI'!$C$14,'THAM_SO_MOI'!$C$13*(1+F1486^2/1500),'THAM_SO_MOI'!$C$13)</f>
        <v>0.021069049518958452</v>
      </c>
      <c r="J1486" s="75">
        <f>'THAM_SO_MOI'!$C$40*('THAM_SO_MOI'!$C$23*(E1486/'THAM_SO_MOI'!$C$22)+'THAM_SO_MOI'!$C$24*(E1486/'THAM_SO_MOI'!$C$22)^2-'THAM_SO_MOI'!$C$25*(E1486/'THAM_SO_MOI'!$C$22)^3)</f>
        <v>108.47263414472083</v>
      </c>
      <c r="K1486" s="75">
        <f>'THAM_SO_MOI'!$C$31*J1486/E1486</f>
        <v>426.8358817410888</v>
      </c>
      <c r="L1486" s="75">
        <f>K1486*'THAM_SO_MOI'!$C$53*'THAM_SO_MOI'!$C$17/'THAM_SO_MOI'!$C$26</f>
        <v>3743.352353064733</v>
      </c>
      <c r="M1486" s="75">
        <f>'THAM_SO_MOI'!$C$15*'THAM_SO_MOI'!$C$16*F1486^2</f>
        <v>1775.1969842953474</v>
      </c>
      <c r="N1486" s="75">
        <f>'THAM_SO_MOI'!$C$12*I1486</f>
        <v>1587.359045997945</v>
      </c>
      <c r="O1486" s="75">
        <f>M1486+N1486</f>
        <v>3362.5560302932927</v>
      </c>
      <c r="P1486" s="75">
        <f>(MIN(L1486,'THAM_SO_MOI'!$C$41)-O1486)/('THAM_SO_MOI'!$C$11*H1486)</f>
        <v>0.04507532229775575</v>
      </c>
      <c r="Q1486" s="75">
        <f>IF(P1486&gt;0,1/P1486,NA())</f>
        <v>22.18508818182735</v>
      </c>
      <c r="R1486" s="75">
        <f>F1486-F1485</f>
        <v>0.0035868055555567935</v>
      </c>
      <c r="S1486" s="75">
        <f>0.5*(Q1485+Q1486)*R1486</f>
        <v>0.07949764623226072</v>
      </c>
      <c r="T1486" s="75">
        <f>0.5*(F1485*Q1485+F1486*Q1486)*R1486</f>
        <v>1.9583171360971714</v>
      </c>
      <c r="U1486" s="76">
        <f>U1485+S1486</f>
        <v>107.71878035393617</v>
      </c>
      <c r="V1486" s="76">
        <f>V1485+T1486</f>
        <v>1955.9781070619429</v>
      </c>
    </row>
    <row r="1487" spans="1:22" ht="19" customHeight="1">
      <c r="A1487" s="68" t="s">
        <v>362</v>
      </c>
      <c r="B1487" s="74">
        <v>5</v>
      </c>
      <c r="C1487" s="68" t="s">
        <v>363</v>
      </c>
      <c r="D1487" s="68" t="s">
        <v>365</v>
      </c>
      <c r="E1487" s="75">
        <f>60*F1487*'THAM_SO_MOI'!$C$53/(2*PI()*'THAM_SO_MOI'!$C$26)</f>
        <v>2427.592631578947</v>
      </c>
      <c r="F1487" s="75">
        <f>'THAM_SO_MOI'!$C$14+('THAM_SO_MOI'!$C$37-'THAM_SO_MOI'!$C$14)*680/'THAM_SO_MOI'!$C$42</f>
        <v>24.639027777777777</v>
      </c>
      <c r="G1487" s="75">
        <f>3.6*F1487</f>
        <v>88.7005</v>
      </c>
      <c r="H1487" s="75">
        <f>'THAM_SO_MOI'!$D$53</f>
        <v>1.1</v>
      </c>
      <c r="I1487" s="75">
        <f>IF(F1487&gt;='THAM_SO_MOI'!$C$14,'THAM_SO_MOI'!$C$13*(1+F1487^2/1500),'THAM_SO_MOI'!$C$13)</f>
        <v>0.02107081689834105</v>
      </c>
      <c r="J1487" s="75">
        <f>'THAM_SO_MOI'!$C$40*('THAM_SO_MOI'!$C$23*(E1487/'THAM_SO_MOI'!$C$22)+'THAM_SO_MOI'!$C$24*(E1487/'THAM_SO_MOI'!$C$22)^2-'THAM_SO_MOI'!$C$25*(E1487/'THAM_SO_MOI'!$C$22)^3)</f>
        <v>108.48615506765573</v>
      </c>
      <c r="K1487" s="75">
        <f>'THAM_SO_MOI'!$C$31*J1487/E1487</f>
        <v>426.82694206614883</v>
      </c>
      <c r="L1487" s="75">
        <f>K1487*'THAM_SO_MOI'!$C$53*'THAM_SO_MOI'!$C$17/'THAM_SO_MOI'!$C$26</f>
        <v>3743.273952080529</v>
      </c>
      <c r="M1487" s="75">
        <f>'THAM_SO_MOI'!$C$15*'THAM_SO_MOI'!$C$16*F1487^2</f>
        <v>1775.7139427647571</v>
      </c>
      <c r="N1487" s="75">
        <f>'THAM_SO_MOI'!$C$12*I1487</f>
        <v>1587.4922017745334</v>
      </c>
      <c r="O1487" s="75">
        <f>M1487+N1487</f>
        <v>3363.2061445392906</v>
      </c>
      <c r="P1487" s="75">
        <f>(MIN(L1487,'THAM_SO_MOI'!$C$41)-O1487)/('THAM_SO_MOI'!$C$11*H1487)</f>
        <v>0.044989087066907955</v>
      </c>
      <c r="Q1487" s="75">
        <f>IF(P1487&gt;0,1/P1487,NA())</f>
        <v>22.227612632210025</v>
      </c>
      <c r="R1487" s="75">
        <f>F1487-F1486</f>
        <v>0.0035868055555567935</v>
      </c>
      <c r="S1487" s="75">
        <f>0.5*(Q1486+Q1487)*R1487</f>
        <v>0.0796498610085355</v>
      </c>
      <c r="T1487" s="75">
        <f>0.5*(F1486*Q1486+F1487*Q1487)*R1487</f>
        <v>1.962352430374577</v>
      </c>
      <c r="U1487" s="76">
        <f>U1486+S1487</f>
        <v>107.7984302149447</v>
      </c>
      <c r="V1487" s="76">
        <f>V1486+T1487</f>
        <v>1957.9404594923174</v>
      </c>
    </row>
    <row r="1488" spans="1:22" ht="19" customHeight="1">
      <c r="A1488" s="68" t="s">
        <v>362</v>
      </c>
      <c r="B1488" s="74">
        <v>5</v>
      </c>
      <c r="C1488" s="68" t="s">
        <v>363</v>
      </c>
      <c r="D1488" s="68" t="s">
        <v>365</v>
      </c>
      <c r="E1488" s="75">
        <f>60*F1488*'THAM_SO_MOI'!$C$53/(2*PI()*'THAM_SO_MOI'!$C$26)</f>
        <v>2427.946026315789</v>
      </c>
      <c r="F1488" s="75">
        <f>'THAM_SO_MOI'!$C$14+('THAM_SO_MOI'!$C$37-'THAM_SO_MOI'!$C$14)*681/'THAM_SO_MOI'!$C$42</f>
        <v>24.642614583333334</v>
      </c>
      <c r="G1488" s="75">
        <f>3.6*F1488</f>
        <v>88.7134125</v>
      </c>
      <c r="H1488" s="75">
        <f>'THAM_SO_MOI'!$D$53</f>
        <v>1.1</v>
      </c>
      <c r="I1488" s="75">
        <f>IF(F1488&gt;='THAM_SO_MOI'!$C$14,'THAM_SO_MOI'!$C$13*(1+F1488^2/1500),'THAM_SO_MOI'!$C$13)</f>
        <v>0.021072584535027125</v>
      </c>
      <c r="J1488" s="75">
        <f>'THAM_SO_MOI'!$C$40*('THAM_SO_MOI'!$C$23*(E1488/'THAM_SO_MOI'!$C$22)+'THAM_SO_MOI'!$C$24*(E1488/'THAM_SO_MOI'!$C$22)^2-'THAM_SO_MOI'!$C$25*(E1488/'THAM_SO_MOI'!$C$22)^3)</f>
        <v>108.49967224909166</v>
      </c>
      <c r="K1488" s="75">
        <f>'THAM_SO_MOI'!$C$31*J1488/E1488</f>
        <v>426.8179902752244</v>
      </c>
      <c r="L1488" s="75">
        <f>K1488*'THAM_SO_MOI'!$C$53*'THAM_SO_MOI'!$C$17/'THAM_SO_MOI'!$C$26</f>
        <v>3743.195444839094</v>
      </c>
      <c r="M1488" s="75">
        <f>'THAM_SO_MOI'!$C$15*'THAM_SO_MOI'!$C$16*F1488^2</f>
        <v>1776.2309764954346</v>
      </c>
      <c r="N1488" s="75">
        <f>'THAM_SO_MOI'!$C$12*I1488</f>
        <v>1587.6253769365717</v>
      </c>
      <c r="O1488" s="75">
        <f>M1488+N1488</f>
        <v>3363.8563534320065</v>
      </c>
      <c r="P1488" s="75">
        <f>(MIN(L1488,'THAM_SO_MOI'!$C$41)-O1488)/('THAM_SO_MOI'!$C$11*H1488)</f>
        <v>0.04490282805481624</v>
      </c>
      <c r="Q1488" s="75">
        <f>IF(P1488&gt;0,1/P1488,NA())</f>
        <v>22.270312212389502</v>
      </c>
      <c r="R1488" s="75">
        <f>F1488-F1487</f>
        <v>0.0035868055555567935</v>
      </c>
      <c r="S1488" s="75">
        <f>0.5*(Q1487+Q1488)*R1488</f>
        <v>0.07980270202167912</v>
      </c>
      <c r="T1488" s="75">
        <f>0.5*(F1487*Q1487+F1488*Q1488)*R1488</f>
        <v>1.9664042475757382</v>
      </c>
      <c r="U1488" s="76">
        <f>U1487+S1488</f>
        <v>107.87823291696638</v>
      </c>
      <c r="V1488" s="76">
        <f>V1487+T1488</f>
        <v>1959.9068637398932</v>
      </c>
    </row>
    <row r="1489" spans="1:22" ht="19" customHeight="1">
      <c r="A1489" s="68" t="s">
        <v>362</v>
      </c>
      <c r="B1489" s="74">
        <v>5</v>
      </c>
      <c r="C1489" s="68" t="s">
        <v>363</v>
      </c>
      <c r="D1489" s="68" t="s">
        <v>365</v>
      </c>
      <c r="E1489" s="75">
        <f>60*F1489*'THAM_SO_MOI'!$C$53/(2*PI()*'THAM_SO_MOI'!$C$26)</f>
        <v>2428.2994210526313</v>
      </c>
      <c r="F1489" s="75">
        <f>'THAM_SO_MOI'!$C$14+('THAM_SO_MOI'!$C$37-'THAM_SO_MOI'!$C$14)*682/'THAM_SO_MOI'!$C$42</f>
        <v>24.646201388888887</v>
      </c>
      <c r="G1489" s="75">
        <f>3.6*F1489</f>
        <v>88.72632499999999</v>
      </c>
      <c r="H1489" s="75">
        <f>'THAM_SO_MOI'!$D$53</f>
        <v>1.1</v>
      </c>
      <c r="I1489" s="75">
        <f>IF(F1489&gt;='THAM_SO_MOI'!$C$14,'THAM_SO_MOI'!$C$13*(1+F1489^2/1500),'THAM_SO_MOI'!$C$13)</f>
        <v>0.021074352429016684</v>
      </c>
      <c r="J1489" s="75">
        <f>'THAM_SO_MOI'!$C$40*('THAM_SO_MOI'!$C$23*(E1489/'THAM_SO_MOI'!$C$22)+'THAM_SO_MOI'!$C$24*(E1489/'THAM_SO_MOI'!$C$22)^2-'THAM_SO_MOI'!$C$25*(E1489/'THAM_SO_MOI'!$C$22)^3)</f>
        <v>108.5131856876838</v>
      </c>
      <c r="K1489" s="75">
        <f>'THAM_SO_MOI'!$C$31*J1489/E1489</f>
        <v>426.80902636831553</v>
      </c>
      <c r="L1489" s="75">
        <f>K1489*'THAM_SO_MOI'!$C$53*'THAM_SO_MOI'!$C$17/'THAM_SO_MOI'!$C$26</f>
        <v>3743.1168313404273</v>
      </c>
      <c r="M1489" s="75">
        <f>'THAM_SO_MOI'!$C$15*'THAM_SO_MOI'!$C$16*F1489^2</f>
        <v>1776.7480854873804</v>
      </c>
      <c r="N1489" s="75">
        <f>'THAM_SO_MOI'!$C$12*I1489</f>
        <v>1587.7585714840602</v>
      </c>
      <c r="O1489" s="75">
        <f>M1489+N1489</f>
        <v>3364.506656971441</v>
      </c>
      <c r="P1489" s="75">
        <f>(MIN(L1489,'THAM_SO_MOI'!$C$41)-O1489)/('THAM_SO_MOI'!$C$11*H1489)</f>
        <v>0.044816545261480434</v>
      </c>
      <c r="Q1489" s="75">
        <f>IF(P1489&gt;0,1/P1489,NA())</f>
        <v>22.313188001563663</v>
      </c>
      <c r="R1489" s="75">
        <f>F1489-F1488</f>
        <v>0.0035868055555532408</v>
      </c>
      <c r="S1489" s="75">
        <f>0.5*(Q1488+Q1489)*R1489</f>
        <v>0.07995617312670815</v>
      </c>
      <c r="T1489" s="75">
        <f>0.5*(F1488*Q1488+F1489*Q1489)*R1489</f>
        <v>1.9704726894438522</v>
      </c>
      <c r="U1489" s="76">
        <f>U1488+S1489</f>
        <v>107.95818909009309</v>
      </c>
      <c r="V1489" s="76">
        <f>V1488+T1489</f>
        <v>1961.877336429337</v>
      </c>
    </row>
    <row r="1490" spans="1:22" ht="19" customHeight="1">
      <c r="A1490" s="68" t="s">
        <v>362</v>
      </c>
      <c r="B1490" s="74">
        <v>5</v>
      </c>
      <c r="C1490" s="68" t="s">
        <v>363</v>
      </c>
      <c r="D1490" s="68" t="s">
        <v>365</v>
      </c>
      <c r="E1490" s="75">
        <f>60*F1490*'THAM_SO_MOI'!$C$53/(2*PI()*'THAM_SO_MOI'!$C$26)</f>
        <v>2428.652815789473</v>
      </c>
      <c r="F1490" s="75">
        <f>'THAM_SO_MOI'!$C$14+('THAM_SO_MOI'!$C$37-'THAM_SO_MOI'!$C$14)*683/'THAM_SO_MOI'!$C$42</f>
        <v>24.649788194444444</v>
      </c>
      <c r="G1490" s="75">
        <f>3.6*F1490</f>
        <v>88.7392375</v>
      </c>
      <c r="H1490" s="75">
        <f>'THAM_SO_MOI'!$D$53</f>
        <v>1.1</v>
      </c>
      <c r="I1490" s="75">
        <f>IF(F1490&gt;='THAM_SO_MOI'!$C$14,'THAM_SO_MOI'!$C$13*(1+F1490^2/1500),'THAM_SO_MOI'!$C$13)</f>
        <v>0.021076120580309728</v>
      </c>
      <c r="J1490" s="75">
        <f>'THAM_SO_MOI'!$C$40*('THAM_SO_MOI'!$C$23*(E1490/'THAM_SO_MOI'!$C$22)+'THAM_SO_MOI'!$C$24*(E1490/'THAM_SO_MOI'!$C$22)^2-'THAM_SO_MOI'!$C$25*(E1490/'THAM_SO_MOI'!$C$22)^3)</f>
        <v>108.52669538208715</v>
      </c>
      <c r="K1490" s="75">
        <f>'THAM_SO_MOI'!$C$31*J1490/E1490</f>
        <v>426.8000503454221</v>
      </c>
      <c r="L1490" s="75">
        <f>K1490*'THAM_SO_MOI'!$C$53*'THAM_SO_MOI'!$C$17/'THAM_SO_MOI'!$C$26</f>
        <v>3743.0381115845294</v>
      </c>
      <c r="M1490" s="75">
        <f>'THAM_SO_MOI'!$C$15*'THAM_SO_MOI'!$C$16*F1490^2</f>
        <v>1777.2652697405952</v>
      </c>
      <c r="N1490" s="75">
        <f>'THAM_SO_MOI'!$C$12*I1490</f>
        <v>1587.8917854169993</v>
      </c>
      <c r="O1490" s="75">
        <f>M1490+N1490</f>
        <v>3365.157055157594</v>
      </c>
      <c r="P1490" s="75">
        <f>(MIN(L1490,'THAM_SO_MOI'!$C$41)-O1490)/('THAM_SO_MOI'!$C$11*H1490)</f>
        <v>0.044730238686900445</v>
      </c>
      <c r="Q1490" s="75">
        <f>IF(P1490&gt;0,1/P1490,NA())</f>
        <v>22.356241087818223</v>
      </c>
      <c r="R1490" s="75">
        <f>F1490-F1489</f>
        <v>0.0035868055555567935</v>
      </c>
      <c r="S1490" s="75">
        <f>0.5*(Q1489+Q1490)*R1490</f>
        <v>0.0801102782106726</v>
      </c>
      <c r="T1490" s="75">
        <f>0.5*(F1489*Q1489+F1490*Q1490)*R1490</f>
        <v>1.9745578585669878</v>
      </c>
      <c r="U1490" s="76">
        <f>U1489+S1490</f>
        <v>108.03829936830375</v>
      </c>
      <c r="V1490" s="76">
        <f>V1489+T1490</f>
        <v>1963.851894287904</v>
      </c>
    </row>
    <row r="1491" spans="1:22" ht="19" customHeight="1">
      <c r="A1491" s="68" t="s">
        <v>362</v>
      </c>
      <c r="B1491" s="74">
        <v>5</v>
      </c>
      <c r="C1491" s="68" t="s">
        <v>363</v>
      </c>
      <c r="D1491" s="68" t="s">
        <v>365</v>
      </c>
      <c r="E1491" s="75">
        <f>60*F1491*'THAM_SO_MOI'!$C$53/(2*PI()*'THAM_SO_MOI'!$C$26)</f>
        <v>2429.006210526315</v>
      </c>
      <c r="F1491" s="75">
        <f>'THAM_SO_MOI'!$C$14+('THAM_SO_MOI'!$C$37-'THAM_SO_MOI'!$C$14)*684/'THAM_SO_MOI'!$C$42</f>
        <v>24.653374999999997</v>
      </c>
      <c r="G1491" s="75">
        <f>3.6*F1491</f>
        <v>88.75214999999999</v>
      </c>
      <c r="H1491" s="75">
        <f>'THAM_SO_MOI'!$D$53</f>
        <v>1.1</v>
      </c>
      <c r="I1491" s="75">
        <f>IF(F1491&gt;='THAM_SO_MOI'!$C$14,'THAM_SO_MOI'!$C$13*(1+F1491^2/1500),'THAM_SO_MOI'!$C$13)</f>
        <v>0.021077888988906248</v>
      </c>
      <c r="J1491" s="75">
        <f>'THAM_SO_MOI'!$C$40*('THAM_SO_MOI'!$C$23*(E1491/'THAM_SO_MOI'!$C$22)+'THAM_SO_MOI'!$C$24*(E1491/'THAM_SO_MOI'!$C$22)^2-'THAM_SO_MOI'!$C$25*(E1491/'THAM_SO_MOI'!$C$22)^3)</f>
        <v>108.54020133095695</v>
      </c>
      <c r="K1491" s="75">
        <f>'THAM_SO_MOI'!$C$31*J1491/E1491</f>
        <v>426.7910622065443</v>
      </c>
      <c r="L1491" s="75">
        <f>K1491*'THAM_SO_MOI'!$C$53*'THAM_SO_MOI'!$C$17/'THAM_SO_MOI'!$C$26</f>
        <v>3742.9592855714004</v>
      </c>
      <c r="M1491" s="75">
        <f>'THAM_SO_MOI'!$C$15*'THAM_SO_MOI'!$C$16*F1491^2</f>
        <v>1777.7825292550779</v>
      </c>
      <c r="N1491" s="75">
        <f>'THAM_SO_MOI'!$C$12*I1491</f>
        <v>1588.025018735388</v>
      </c>
      <c r="O1491" s="75">
        <f>M1491+N1491</f>
        <v>3365.8075479904655</v>
      </c>
      <c r="P1491" s="75">
        <f>(MIN(L1491,'THAM_SO_MOI'!$C$41)-O1491)/('THAM_SO_MOI'!$C$11*H1491)</f>
        <v>0.044643908331076544</v>
      </c>
      <c r="Q1491" s="75">
        <f>IF(P1491&gt;0,1/P1491,NA())</f>
        <v>22.39947256821827</v>
      </c>
      <c r="R1491" s="75">
        <f>F1491-F1490</f>
        <v>0.0035868055555532408</v>
      </c>
      <c r="S1491" s="75">
        <f>0.5*(Q1490+Q1491)*R1491</f>
        <v>0.08026502119211086</v>
      </c>
      <c r="T1491" s="75">
        <f>0.5*(F1490*Q1490+F1491*Q1491)*R1491</f>
        <v>1.9786598583652222</v>
      </c>
      <c r="U1491" s="76">
        <f>U1490+S1491</f>
        <v>108.11856438949586</v>
      </c>
      <c r="V1491" s="76">
        <f>V1490+T1491</f>
        <v>1965.8305541462694</v>
      </c>
    </row>
    <row r="1492" spans="1:22" ht="19" customHeight="1">
      <c r="A1492" s="68" t="s">
        <v>362</v>
      </c>
      <c r="B1492" s="74">
        <v>5</v>
      </c>
      <c r="C1492" s="68" t="s">
        <v>363</v>
      </c>
      <c r="D1492" s="68" t="s">
        <v>365</v>
      </c>
      <c r="E1492" s="75">
        <f>60*F1492*'THAM_SO_MOI'!$C$53/(2*PI()*'THAM_SO_MOI'!$C$26)</f>
        <v>2429.359605263157</v>
      </c>
      <c r="F1492" s="75">
        <f>'THAM_SO_MOI'!$C$14+('THAM_SO_MOI'!$C$37-'THAM_SO_MOI'!$C$14)*685/'THAM_SO_MOI'!$C$42</f>
        <v>24.656961805555554</v>
      </c>
      <c r="G1492" s="75">
        <f>3.6*F1492</f>
        <v>88.7650625</v>
      </c>
      <c r="H1492" s="75">
        <f>'THAM_SO_MOI'!$D$53</f>
        <v>1.1</v>
      </c>
      <c r="I1492" s="75">
        <f>IF(F1492&gt;='THAM_SO_MOI'!$C$14,'THAM_SO_MOI'!$C$13*(1+F1492^2/1500),'THAM_SO_MOI'!$C$13)</f>
        <v>0.021079657654806253</v>
      </c>
      <c r="J1492" s="75">
        <f>'THAM_SO_MOI'!$C$40*('THAM_SO_MOI'!$C$23*(E1492/'THAM_SO_MOI'!$C$22)+'THAM_SO_MOI'!$C$24*(E1492/'THAM_SO_MOI'!$C$22)^2-'THAM_SO_MOI'!$C$25*(E1492/'THAM_SO_MOI'!$C$22)^3)</f>
        <v>108.55370353294822</v>
      </c>
      <c r="K1492" s="75">
        <f>'THAM_SO_MOI'!$C$31*J1492/E1492</f>
        <v>426.7820619516821</v>
      </c>
      <c r="L1492" s="75">
        <f>K1492*'THAM_SO_MOI'!$C$53*'THAM_SO_MOI'!$C$17/'THAM_SO_MOI'!$C$26</f>
        <v>3742.880353301042</v>
      </c>
      <c r="M1492" s="75">
        <f>'THAM_SO_MOI'!$C$15*'THAM_SO_MOI'!$C$16*F1492^2</f>
        <v>1778.2998640308297</v>
      </c>
      <c r="N1492" s="75">
        <f>'THAM_SO_MOI'!$C$12*I1492</f>
        <v>1588.158271439227</v>
      </c>
      <c r="O1492" s="75">
        <f>M1492+N1492</f>
        <v>3366.4581354700567</v>
      </c>
      <c r="P1492" s="75">
        <f>(MIN(L1492,'THAM_SO_MOI'!$C$41)-O1492)/('THAM_SO_MOI'!$C$11*H1492)</f>
        <v>0.044557554194008656</v>
      </c>
      <c r="Q1492" s="75">
        <f>IF(P1492&gt;0,1/P1492,NA())</f>
        <v>22.442883548901413</v>
      </c>
      <c r="R1492" s="75">
        <f>F1492-F1491</f>
        <v>0.0035868055555567935</v>
      </c>
      <c r="S1492" s="75">
        <f>0.5*(Q1491+Q1492)*R1492</f>
        <v>0.08042040602257051</v>
      </c>
      <c r="T1492" s="75">
        <f>0.5*(F1491*Q1491+F1492*Q1492)*R1492</f>
        <v>1.982778793128696</v>
      </c>
      <c r="U1492" s="76">
        <f>U1491+S1492</f>
        <v>108.19898479551843</v>
      </c>
      <c r="V1492" s="76">
        <f>V1491+T1492</f>
        <v>1967.8133329393982</v>
      </c>
    </row>
    <row r="1493" spans="1:22" ht="19" customHeight="1">
      <c r="A1493" s="68" t="s">
        <v>362</v>
      </c>
      <c r="B1493" s="74">
        <v>5</v>
      </c>
      <c r="C1493" s="68" t="s">
        <v>363</v>
      </c>
      <c r="D1493" s="68" t="s">
        <v>365</v>
      </c>
      <c r="E1493" s="75">
        <f>60*F1493*'THAM_SO_MOI'!$C$53/(2*PI()*'THAM_SO_MOI'!$C$26)</f>
        <v>2429.7129999999993</v>
      </c>
      <c r="F1493" s="75">
        <f>'THAM_SO_MOI'!$C$14+('THAM_SO_MOI'!$C$37-'THAM_SO_MOI'!$C$14)*686/'THAM_SO_MOI'!$C$42</f>
        <v>24.66054861111111</v>
      </c>
      <c r="G1493" s="75">
        <f>3.6*F1493</f>
        <v>88.777975</v>
      </c>
      <c r="H1493" s="75">
        <f>'THAM_SO_MOI'!$D$53</f>
        <v>1.1</v>
      </c>
      <c r="I1493" s="75">
        <f>IF(F1493&gt;='THAM_SO_MOI'!$C$14,'THAM_SO_MOI'!$C$13*(1+F1493^2/1500),'THAM_SO_MOI'!$C$13)</f>
        <v>0.02108142657800974</v>
      </c>
      <c r="J1493" s="75">
        <f>'THAM_SO_MOI'!$C$40*('THAM_SO_MOI'!$C$23*(E1493/'THAM_SO_MOI'!$C$22)+'THAM_SO_MOI'!$C$24*(E1493/'THAM_SO_MOI'!$C$22)^2-'THAM_SO_MOI'!$C$25*(E1493/'THAM_SO_MOI'!$C$22)^3)</f>
        <v>108.56720198671613</v>
      </c>
      <c r="K1493" s="75">
        <f>'THAM_SO_MOI'!$C$31*J1493/E1493</f>
        <v>426.7730495808354</v>
      </c>
      <c r="L1493" s="75">
        <f>K1493*'THAM_SO_MOI'!$C$53*'THAM_SO_MOI'!$C$17/'THAM_SO_MOI'!$C$26</f>
        <v>3742.8013147734505</v>
      </c>
      <c r="M1493" s="75">
        <f>'THAM_SO_MOI'!$C$15*'THAM_SO_MOI'!$C$16*F1493^2</f>
        <v>1778.8172740678494</v>
      </c>
      <c r="N1493" s="75">
        <f>'THAM_SO_MOI'!$C$12*I1493</f>
        <v>1588.2915435285163</v>
      </c>
      <c r="O1493" s="75">
        <f>M1493+N1493</f>
        <v>3367.108817596366</v>
      </c>
      <c r="P1493" s="75">
        <f>(MIN(L1493,'THAM_SO_MOI'!$C$41)-O1493)/('THAM_SO_MOI'!$C$11*H1493)</f>
        <v>0.044471176275696585</v>
      </c>
      <c r="Q1493" s="75">
        <f>IF(P1493&gt;0,1/P1493,NA())</f>
        <v>22.486475145171685</v>
      </c>
      <c r="R1493" s="75">
        <f>F1493-F1492</f>
        <v>0.0035868055555567935</v>
      </c>
      <c r="S1493" s="75">
        <f>0.5*(Q1492+Q1493)*R1493</f>
        <v>0.08057643668575266</v>
      </c>
      <c r="T1493" s="75">
        <f>0.5*(F1492*Q1492+F1493*Q1493)*R1493</f>
        <v>1.986914767997113</v>
      </c>
      <c r="U1493" s="76">
        <f>U1492+S1493</f>
        <v>108.27956123220417</v>
      </c>
      <c r="V1493" s="76">
        <f>V1492+T1493</f>
        <v>1969.8002477073953</v>
      </c>
    </row>
    <row r="1494" spans="1:22" ht="19" customHeight="1">
      <c r="A1494" s="68" t="s">
        <v>362</v>
      </c>
      <c r="B1494" s="74">
        <v>5</v>
      </c>
      <c r="C1494" s="68" t="s">
        <v>363</v>
      </c>
      <c r="D1494" s="68" t="s">
        <v>365</v>
      </c>
      <c r="E1494" s="75">
        <f>60*F1494*'THAM_SO_MOI'!$C$53/(2*PI()*'THAM_SO_MOI'!$C$26)</f>
        <v>2430.066394736841</v>
      </c>
      <c r="F1494" s="75">
        <f>'THAM_SO_MOI'!$C$14+('THAM_SO_MOI'!$C$37-'THAM_SO_MOI'!$C$14)*687/'THAM_SO_MOI'!$C$42</f>
        <v>24.664135416666664</v>
      </c>
      <c r="G1494" s="75">
        <f>3.6*F1494</f>
        <v>88.7908875</v>
      </c>
      <c r="H1494" s="75">
        <f>'THAM_SO_MOI'!$D$53</f>
        <v>1.1</v>
      </c>
      <c r="I1494" s="75">
        <f>IF(F1494&gt;='THAM_SO_MOI'!$C$14,'THAM_SO_MOI'!$C$13*(1+F1494^2/1500),'THAM_SO_MOI'!$C$13)</f>
        <v>0.02108319575851671</v>
      </c>
      <c r="J1494" s="75">
        <f>'THAM_SO_MOI'!$C$40*('THAM_SO_MOI'!$C$23*(E1494/'THAM_SO_MOI'!$C$22)+'THAM_SO_MOI'!$C$24*(E1494/'THAM_SO_MOI'!$C$22)^2-'THAM_SO_MOI'!$C$25*(E1494/'THAM_SO_MOI'!$C$22)^3)</f>
        <v>108.58069669091572</v>
      </c>
      <c r="K1494" s="75">
        <f>'THAM_SO_MOI'!$C$31*J1494/E1494</f>
        <v>426.7640250940041</v>
      </c>
      <c r="L1494" s="75">
        <f>K1494*'THAM_SO_MOI'!$C$53*'THAM_SO_MOI'!$C$17/'THAM_SO_MOI'!$C$26</f>
        <v>3742.722169988628</v>
      </c>
      <c r="M1494" s="75">
        <f>'THAM_SO_MOI'!$C$15*'THAM_SO_MOI'!$C$16*F1494^2</f>
        <v>1779.3347593661374</v>
      </c>
      <c r="N1494" s="75">
        <f>'THAM_SO_MOI'!$C$12*I1494</f>
        <v>1588.4248350032558</v>
      </c>
      <c r="O1494" s="75">
        <f>M1494+N1494</f>
        <v>3367.759594369393</v>
      </c>
      <c r="P1494" s="75">
        <f>(MIN(L1494,'THAM_SO_MOI'!$C$41)-O1494)/('THAM_SO_MOI'!$C$11*H1494)</f>
        <v>0.0443847745761405</v>
      </c>
      <c r="Q1494" s="75">
        <f>IF(P1494&gt;0,1/P1494,NA())</f>
        <v>22.53024848159442</v>
      </c>
      <c r="R1494" s="75">
        <f>F1494-F1493</f>
        <v>0.0035868055555532408</v>
      </c>
      <c r="S1494" s="75">
        <f>0.5*(Q1493+Q1494)*R1494</f>
        <v>0.08073311719864476</v>
      </c>
      <c r="T1494" s="75">
        <f>0.5*(F1493*Q1493+F1494*Q1494)*R1494</f>
        <v>1.99106788898825</v>
      </c>
      <c r="U1494" s="76">
        <f>U1493+S1494</f>
        <v>108.36029434940282</v>
      </c>
      <c r="V1494" s="76">
        <f>V1493+T1494</f>
        <v>1971.7913155963836</v>
      </c>
    </row>
    <row r="1495" spans="1:22" ht="19" customHeight="1">
      <c r="A1495" s="68" t="s">
        <v>362</v>
      </c>
      <c r="B1495" s="74">
        <v>5</v>
      </c>
      <c r="C1495" s="68" t="s">
        <v>363</v>
      </c>
      <c r="D1495" s="68" t="s">
        <v>365</v>
      </c>
      <c r="E1495" s="75">
        <f>60*F1495*'THAM_SO_MOI'!$C$53/(2*PI()*'THAM_SO_MOI'!$C$26)</f>
        <v>2430.4197894736835</v>
      </c>
      <c r="F1495" s="75">
        <f>'THAM_SO_MOI'!$C$14+('THAM_SO_MOI'!$C$37-'THAM_SO_MOI'!$C$14)*688/'THAM_SO_MOI'!$C$42</f>
        <v>24.66772222222222</v>
      </c>
      <c r="G1495" s="75">
        <f>3.6*F1495</f>
        <v>88.8038</v>
      </c>
      <c r="H1495" s="75">
        <f>'THAM_SO_MOI'!$D$53</f>
        <v>1.1</v>
      </c>
      <c r="I1495" s="75">
        <f>IF(F1495&gt;='THAM_SO_MOI'!$C$14,'THAM_SO_MOI'!$C$13*(1+F1495^2/1500),'THAM_SO_MOI'!$C$13)</f>
        <v>0.021084965196327157</v>
      </c>
      <c r="J1495" s="75">
        <f>'THAM_SO_MOI'!$C$40*('THAM_SO_MOI'!$C$23*(E1495/'THAM_SO_MOI'!$C$22)+'THAM_SO_MOI'!$C$24*(E1495/'THAM_SO_MOI'!$C$22)^2-'THAM_SO_MOI'!$C$25*(E1495/'THAM_SO_MOI'!$C$22)^3)</f>
        <v>108.59418764420218</v>
      </c>
      <c r="K1495" s="75">
        <f>'THAM_SO_MOI'!$C$31*J1495/E1495</f>
        <v>426.75498849118856</v>
      </c>
      <c r="L1495" s="75">
        <f>K1495*'THAM_SO_MOI'!$C$53*'THAM_SO_MOI'!$C$17/'THAM_SO_MOI'!$C$26</f>
        <v>3742.6429189465753</v>
      </c>
      <c r="M1495" s="75">
        <f>'THAM_SO_MOI'!$C$15*'THAM_SO_MOI'!$C$16*F1495^2</f>
        <v>1779.8523199256942</v>
      </c>
      <c r="N1495" s="75">
        <f>'THAM_SO_MOI'!$C$12*I1495</f>
        <v>1588.5581458634451</v>
      </c>
      <c r="O1495" s="75">
        <f>M1495+N1495</f>
        <v>3368.4104657891394</v>
      </c>
      <c r="P1495" s="75">
        <f>(MIN(L1495,'THAM_SO_MOI'!$C$41)-O1495)/('THAM_SO_MOI'!$C$11*H1495)</f>
        <v>0.044298349095340424</v>
      </c>
      <c r="Q1495" s="75">
        <f>IF(P1495&gt;0,1/P1495,NA())</f>
        <v>22.57420469209283</v>
      </c>
      <c r="R1495" s="75">
        <f>F1495-F1494</f>
        <v>0.0035868055555567935</v>
      </c>
      <c r="S1495" s="75">
        <f>0.5*(Q1494+Q1495)*R1495</f>
        <v>0.08089045161186634</v>
      </c>
      <c r="T1495" s="75">
        <f>0.5*(F1494*Q1494+F1495*Q1495)*R1495</f>
        <v>1.9952382630070853</v>
      </c>
      <c r="U1495" s="76">
        <f>U1494+S1495</f>
        <v>108.44118480101469</v>
      </c>
      <c r="V1495" s="76">
        <f>V1494+T1495</f>
        <v>1973.7865538593908</v>
      </c>
    </row>
    <row r="1496" spans="1:22" ht="19" customHeight="1">
      <c r="A1496" s="68" t="s">
        <v>362</v>
      </c>
      <c r="B1496" s="74">
        <v>5</v>
      </c>
      <c r="C1496" s="68" t="s">
        <v>363</v>
      </c>
      <c r="D1496" s="68" t="s">
        <v>365</v>
      </c>
      <c r="E1496" s="75">
        <f>60*F1496*'THAM_SO_MOI'!$C$53/(2*PI()*'THAM_SO_MOI'!$C$26)</f>
        <v>2430.773184210526</v>
      </c>
      <c r="F1496" s="75">
        <f>'THAM_SO_MOI'!$C$14+('THAM_SO_MOI'!$C$37-'THAM_SO_MOI'!$C$14)*689/'THAM_SO_MOI'!$C$42</f>
        <v>24.671309027777777</v>
      </c>
      <c r="G1496" s="75">
        <f>3.6*F1496</f>
        <v>88.8167125</v>
      </c>
      <c r="H1496" s="75">
        <f>'THAM_SO_MOI'!$D$53</f>
        <v>1.1</v>
      </c>
      <c r="I1496" s="75">
        <f>IF(F1496&gt;='THAM_SO_MOI'!$C$14,'THAM_SO_MOI'!$C$13*(1+F1496^2/1500),'THAM_SO_MOI'!$C$13)</f>
        <v>0.021086734891441094</v>
      </c>
      <c r="J1496" s="75">
        <f>'THAM_SO_MOI'!$C$40*('THAM_SO_MOI'!$C$23*(E1496/'THAM_SO_MOI'!$C$22)+'THAM_SO_MOI'!$C$24*(E1496/'THAM_SO_MOI'!$C$22)^2-'THAM_SO_MOI'!$C$25*(E1496/'THAM_SO_MOI'!$C$22)^3)</f>
        <v>108.60767484523055</v>
      </c>
      <c r="K1496" s="75">
        <f>'THAM_SO_MOI'!$C$31*J1496/E1496</f>
        <v>426.7459397723884</v>
      </c>
      <c r="L1496" s="75">
        <f>K1496*'THAM_SO_MOI'!$C$53*'THAM_SO_MOI'!$C$17/'THAM_SO_MOI'!$C$26</f>
        <v>3742.5635616472905</v>
      </c>
      <c r="M1496" s="75">
        <f>'THAM_SO_MOI'!$C$15*'THAM_SO_MOI'!$C$16*F1496^2</f>
        <v>1780.3699557465197</v>
      </c>
      <c r="N1496" s="75">
        <f>'THAM_SO_MOI'!$C$12*I1496</f>
        <v>1588.6914761090852</v>
      </c>
      <c r="O1496" s="75">
        <f>M1496+N1496</f>
        <v>3369.061431855605</v>
      </c>
      <c r="P1496" s="75">
        <f>(MIN(L1496,'THAM_SO_MOI'!$C$41)-O1496)/('THAM_SO_MOI'!$C$11*H1496)</f>
        <v>0.04421189983329611</v>
      </c>
      <c r="Q1496" s="75">
        <f>IF(P1496&gt;0,1/P1496,NA())</f>
        <v>22.618344920045644</v>
      </c>
      <c r="R1496" s="75">
        <f>F1496-F1495</f>
        <v>0.0035868055555567935</v>
      </c>
      <c r="S1496" s="75">
        <f>0.5*(Q1495+Q1496)*R1496</f>
        <v>0.08104844400929716</v>
      </c>
      <c r="T1496" s="75">
        <f>0.5*(F1495*Q1495+F1496*Q1496)*R1496</f>
        <v>1.999425997837223</v>
      </c>
      <c r="U1496" s="76">
        <f>U1495+S1496</f>
        <v>108.52223324502398</v>
      </c>
      <c r="V1496" s="76">
        <f>V1495+T1496</f>
        <v>1975.785979857228</v>
      </c>
    </row>
    <row r="1497" spans="1:22" ht="19" customHeight="1">
      <c r="A1497" s="68" t="s">
        <v>362</v>
      </c>
      <c r="B1497" s="74">
        <v>5</v>
      </c>
      <c r="C1497" s="68" t="s">
        <v>363</v>
      </c>
      <c r="D1497" s="68" t="s">
        <v>365</v>
      </c>
      <c r="E1497" s="75">
        <f>60*F1497*'THAM_SO_MOI'!$C$53/(2*PI()*'THAM_SO_MOI'!$C$26)</f>
        <v>2431.1265789473678</v>
      </c>
      <c r="F1497" s="75">
        <f>'THAM_SO_MOI'!$C$14+('THAM_SO_MOI'!$C$37-'THAM_SO_MOI'!$C$14)*690/'THAM_SO_MOI'!$C$42</f>
        <v>24.67489583333333</v>
      </c>
      <c r="G1497" s="75">
        <f>3.6*F1497</f>
        <v>88.829625</v>
      </c>
      <c r="H1497" s="75">
        <f>'THAM_SO_MOI'!$D$53</f>
        <v>1.1</v>
      </c>
      <c r="I1497" s="75">
        <f>IF(F1497&gt;='THAM_SO_MOI'!$C$14,'THAM_SO_MOI'!$C$13*(1+F1497^2/1500),'THAM_SO_MOI'!$C$13)</f>
        <v>0.021088504843858505</v>
      </c>
      <c r="J1497" s="75">
        <f>'THAM_SO_MOI'!$C$40*('THAM_SO_MOI'!$C$23*(E1497/'THAM_SO_MOI'!$C$22)+'THAM_SO_MOI'!$C$24*(E1497/'THAM_SO_MOI'!$C$22)^2-'THAM_SO_MOI'!$C$25*(E1497/'THAM_SO_MOI'!$C$22)^3)</f>
        <v>108.62115829265596</v>
      </c>
      <c r="K1497" s="75">
        <f>'THAM_SO_MOI'!$C$31*J1497/E1497</f>
        <v>426.7368789376038</v>
      </c>
      <c r="L1497" s="75">
        <f>K1497*'THAM_SO_MOI'!$C$53*'THAM_SO_MOI'!$C$17/'THAM_SO_MOI'!$C$26</f>
        <v>3742.4840980907748</v>
      </c>
      <c r="M1497" s="75">
        <f>'THAM_SO_MOI'!$C$15*'THAM_SO_MOI'!$C$16*F1497^2</f>
        <v>1780.887666828613</v>
      </c>
      <c r="N1497" s="75">
        <f>'THAM_SO_MOI'!$C$12*I1497</f>
        <v>1588.824825740175</v>
      </c>
      <c r="O1497" s="75">
        <f>M1497+N1497</f>
        <v>3369.7124925687876</v>
      </c>
      <c r="P1497" s="75">
        <f>(MIN(L1497,'THAM_SO_MOI'!$C$41)-O1497)/('THAM_SO_MOI'!$C$11*H1497)</f>
        <v>0.044125426790007916</v>
      </c>
      <c r="Q1497" s="75">
        <f>IF(P1497&gt;0,1/P1497,NA())</f>
        <v>22.66267031838539</v>
      </c>
      <c r="R1497" s="75">
        <f>F1497-F1496</f>
        <v>0.0035868055555532408</v>
      </c>
      <c r="S1497" s="75">
        <f>0.5*(Q1496+Q1497)*R1497</f>
        <v>0.0812070985091477</v>
      </c>
      <c r="T1497" s="75">
        <f>0.5*(F1496*Q1496+F1497*Q1497)*R1497</f>
        <v>2.0036312021679077</v>
      </c>
      <c r="U1497" s="76">
        <f>U1496+S1497</f>
        <v>108.60344034353314</v>
      </c>
      <c r="V1497" s="76">
        <f>V1496+T1497</f>
        <v>1977.789611059396</v>
      </c>
    </row>
    <row r="1498" spans="1:22" ht="19" customHeight="1">
      <c r="A1498" s="68" t="s">
        <v>362</v>
      </c>
      <c r="B1498" s="74">
        <v>5</v>
      </c>
      <c r="C1498" s="68" t="s">
        <v>363</v>
      </c>
      <c r="D1498" s="68" t="s">
        <v>365</v>
      </c>
      <c r="E1498" s="75">
        <f>60*F1498*'THAM_SO_MOI'!$C$53/(2*PI()*'THAM_SO_MOI'!$C$26)</f>
        <v>2431.4799736842097</v>
      </c>
      <c r="F1498" s="75">
        <f>'THAM_SO_MOI'!$C$14+('THAM_SO_MOI'!$C$37-'THAM_SO_MOI'!$C$14)*691/'THAM_SO_MOI'!$C$42</f>
        <v>24.678482638888887</v>
      </c>
      <c r="G1498" s="75">
        <f>3.6*F1498</f>
        <v>88.84253749999999</v>
      </c>
      <c r="H1498" s="75">
        <f>'THAM_SO_MOI'!$D$53</f>
        <v>1.1</v>
      </c>
      <c r="I1498" s="75">
        <f>IF(F1498&gt;='THAM_SO_MOI'!$C$14,'THAM_SO_MOI'!$C$13*(1+F1498^2/1500),'THAM_SO_MOI'!$C$13)</f>
        <v>0.0210902750535794</v>
      </c>
      <c r="J1498" s="75">
        <f>'THAM_SO_MOI'!$C$40*('THAM_SO_MOI'!$C$23*(E1498/'THAM_SO_MOI'!$C$22)+'THAM_SO_MOI'!$C$24*(E1498/'THAM_SO_MOI'!$C$22)^2-'THAM_SO_MOI'!$C$25*(E1498/'THAM_SO_MOI'!$C$22)^3)</f>
        <v>108.63463798513354</v>
      </c>
      <c r="K1498" s="75">
        <f>'THAM_SO_MOI'!$C$31*J1498/E1498</f>
        <v>426.72780598683477</v>
      </c>
      <c r="L1498" s="75">
        <f>K1498*'THAM_SO_MOI'!$C$53*'THAM_SO_MOI'!$C$17/'THAM_SO_MOI'!$C$26</f>
        <v>3742.4045282770285</v>
      </c>
      <c r="M1498" s="75">
        <f>'THAM_SO_MOI'!$C$15*'THAM_SO_MOI'!$C$16*F1498^2</f>
        <v>1781.4054531719753</v>
      </c>
      <c r="N1498" s="75">
        <f>'THAM_SO_MOI'!$C$12*I1498</f>
        <v>1588.9581947567149</v>
      </c>
      <c r="O1498" s="75">
        <f>M1498+N1498</f>
        <v>3370.36364792869</v>
      </c>
      <c r="P1498" s="75">
        <f>(MIN(L1498,'THAM_SO_MOI'!$C$41)-O1498)/('THAM_SO_MOI'!$C$11*H1498)</f>
        <v>0.04403892996547565</v>
      </c>
      <c r="Q1498" s="75">
        <f>IF(P1498&gt;0,1/P1498,NA())</f>
        <v>22.707182049699</v>
      </c>
      <c r="R1498" s="75">
        <f>F1498-F1497</f>
        <v>0.0035868055555567935</v>
      </c>
      <c r="S1498" s="75">
        <f>0.5*(Q1497+Q1498)*R1498</f>
        <v>0.08136641926431833</v>
      </c>
      <c r="T1498" s="75">
        <f>0.5*(F1497*Q1497+F1498*Q1498)*R1498</f>
        <v>2.0078539856035005</v>
      </c>
      <c r="U1498" s="76">
        <f>U1497+S1498</f>
        <v>108.68480676279745</v>
      </c>
      <c r="V1498" s="76">
        <f>V1497+T1498</f>
        <v>1979.7974650449996</v>
      </c>
    </row>
    <row r="1499" spans="1:22" ht="19" customHeight="1">
      <c r="A1499" s="68" t="s">
        <v>362</v>
      </c>
      <c r="B1499" s="74">
        <v>5</v>
      </c>
      <c r="C1499" s="68" t="s">
        <v>363</v>
      </c>
      <c r="D1499" s="68" t="s">
        <v>365</v>
      </c>
      <c r="E1499" s="75">
        <f>60*F1499*'THAM_SO_MOI'!$C$53/(2*PI()*'THAM_SO_MOI'!$C$26)</f>
        <v>2431.833368421052</v>
      </c>
      <c r="F1499" s="75">
        <f>'THAM_SO_MOI'!$C$14+('THAM_SO_MOI'!$C$37-'THAM_SO_MOI'!$C$14)*692/'THAM_SO_MOI'!$C$42</f>
        <v>24.682069444444444</v>
      </c>
      <c r="G1499" s="75">
        <f>3.6*F1499</f>
        <v>88.85545</v>
      </c>
      <c r="H1499" s="75">
        <f>'THAM_SO_MOI'!$D$53</f>
        <v>1.1</v>
      </c>
      <c r="I1499" s="75">
        <f>IF(F1499&gt;='THAM_SO_MOI'!$C$14,'THAM_SO_MOI'!$C$13*(1+F1499^2/1500),'THAM_SO_MOI'!$C$13)</f>
        <v>0.02109204552060378</v>
      </c>
      <c r="J1499" s="75">
        <f>'THAM_SO_MOI'!$C$40*('THAM_SO_MOI'!$C$23*(E1499/'THAM_SO_MOI'!$C$22)+'THAM_SO_MOI'!$C$24*(E1499/'THAM_SO_MOI'!$C$22)^2-'THAM_SO_MOI'!$C$25*(E1499/'THAM_SO_MOI'!$C$22)^3)</f>
        <v>108.64811392131841</v>
      </c>
      <c r="K1499" s="75">
        <f>'THAM_SO_MOI'!$C$31*J1499/E1499</f>
        <v>426.71872092008135</v>
      </c>
      <c r="L1499" s="75">
        <f>K1499*'THAM_SO_MOI'!$C$53*'THAM_SO_MOI'!$C$17/'THAM_SO_MOI'!$C$26</f>
        <v>3742.324852206051</v>
      </c>
      <c r="M1499" s="75">
        <f>'THAM_SO_MOI'!$C$15*'THAM_SO_MOI'!$C$16*F1499^2</f>
        <v>1781.9233147766058</v>
      </c>
      <c r="N1499" s="75">
        <f>'THAM_SO_MOI'!$C$12*I1499</f>
        <v>1589.0915831587054</v>
      </c>
      <c r="O1499" s="75">
        <f>M1499+N1499</f>
        <v>3371.014897935311</v>
      </c>
      <c r="P1499" s="75">
        <f>(MIN(L1499,'THAM_SO_MOI'!$C$41)-O1499)/('THAM_SO_MOI'!$C$11*H1499)</f>
        <v>0.043952409359699345</v>
      </c>
      <c r="Q1499" s="75">
        <f>IF(P1499&gt;0,1/P1499,NA())</f>
        <v>22.751881286328658</v>
      </c>
      <c r="R1499" s="75">
        <f>F1499-F1498</f>
        <v>0.0035868055555567935</v>
      </c>
      <c r="S1499" s="75">
        <f>0.5*(Q1498+Q1499)*R1499</f>
        <v>0.08152641046203607</v>
      </c>
      <c r="T1499" s="75">
        <f>0.5*(F1498*Q1498+F1499*Q1499)*R1499</f>
        <v>2.012094458655137</v>
      </c>
      <c r="U1499" s="76">
        <f>U1498+S1499</f>
        <v>108.76633317325948</v>
      </c>
      <c r="V1499" s="76">
        <f>V1498+T1499</f>
        <v>1981.8095595036548</v>
      </c>
    </row>
    <row r="1500" spans="1:22" ht="19" customHeight="1">
      <c r="A1500" s="68" t="s">
        <v>362</v>
      </c>
      <c r="B1500" s="74">
        <v>5</v>
      </c>
      <c r="C1500" s="68" t="s">
        <v>363</v>
      </c>
      <c r="D1500" s="68" t="s">
        <v>365</v>
      </c>
      <c r="E1500" s="75">
        <f>60*F1500*'THAM_SO_MOI'!$C$53/(2*PI()*'THAM_SO_MOI'!$C$26)</f>
        <v>2432.186763157894</v>
      </c>
      <c r="F1500" s="75">
        <f>'THAM_SO_MOI'!$C$14+('THAM_SO_MOI'!$C$37-'THAM_SO_MOI'!$C$14)*693/'THAM_SO_MOI'!$C$42</f>
        <v>24.685656249999997</v>
      </c>
      <c r="G1500" s="75">
        <f>3.6*F1500</f>
        <v>88.86836249999999</v>
      </c>
      <c r="H1500" s="75">
        <f>'THAM_SO_MOI'!$D$53</f>
        <v>1.1</v>
      </c>
      <c r="I1500" s="75">
        <f>IF(F1500&gt;='THAM_SO_MOI'!$C$14,'THAM_SO_MOI'!$C$13*(1+F1500^2/1500),'THAM_SO_MOI'!$C$13)</f>
        <v>0.02109381624493164</v>
      </c>
      <c r="J1500" s="75">
        <f>'THAM_SO_MOI'!$C$40*('THAM_SO_MOI'!$C$23*(E1500/'THAM_SO_MOI'!$C$22)+'THAM_SO_MOI'!$C$24*(E1500/'THAM_SO_MOI'!$C$22)^2-'THAM_SO_MOI'!$C$25*(E1500/'THAM_SO_MOI'!$C$22)^3)</f>
        <v>108.66158609986569</v>
      </c>
      <c r="K1500" s="75">
        <f>'THAM_SO_MOI'!$C$31*J1500/E1500</f>
        <v>426.7096237373436</v>
      </c>
      <c r="L1500" s="75">
        <f>K1500*'THAM_SO_MOI'!$C$53*'THAM_SO_MOI'!$C$17/'THAM_SO_MOI'!$C$26</f>
        <v>3742.245069877844</v>
      </c>
      <c r="M1500" s="75">
        <f>'THAM_SO_MOI'!$C$15*'THAM_SO_MOI'!$C$16*F1500^2</f>
        <v>1782.4412516425048</v>
      </c>
      <c r="N1500" s="75">
        <f>'THAM_SO_MOI'!$C$12*I1500</f>
        <v>1589.2249909461457</v>
      </c>
      <c r="O1500" s="75">
        <f>M1500+N1500</f>
        <v>3371.6662425886507</v>
      </c>
      <c r="P1500" s="75">
        <f>(MIN(L1500,'THAM_SO_MOI'!$C$41)-O1500)/('THAM_SO_MOI'!$C$11*H1500)</f>
        <v>0.04386586497267915</v>
      </c>
      <c r="Q1500" s="75">
        <f>IF(P1500&gt;0,1/P1500,NA())</f>
        <v>22.796769210474412</v>
      </c>
      <c r="R1500" s="75">
        <f>F1500-F1499</f>
        <v>0.0035868055555532408</v>
      </c>
      <c r="S1500" s="75">
        <f>0.5*(Q1499+Q1500)*R1500</f>
        <v>0.08168707632494307</v>
      </c>
      <c r="T1500" s="75">
        <f>0.5*(F1499*Q1499+F1500*Q1500)*R1500</f>
        <v>2.016352732768208</v>
      </c>
      <c r="U1500" s="76">
        <f>U1499+S1500</f>
        <v>108.84802024958442</v>
      </c>
      <c r="V1500" s="76">
        <f>V1499+T1500</f>
        <v>1983.825912236423</v>
      </c>
    </row>
    <row r="1501" spans="1:22" ht="19" customHeight="1">
      <c r="A1501" s="68" t="s">
        <v>362</v>
      </c>
      <c r="B1501" s="74">
        <v>5</v>
      </c>
      <c r="C1501" s="68" t="s">
        <v>363</v>
      </c>
      <c r="D1501" s="68" t="s">
        <v>365</v>
      </c>
      <c r="E1501" s="75">
        <f>60*F1501*'THAM_SO_MOI'!$C$53/(2*PI()*'THAM_SO_MOI'!$C$26)</f>
        <v>2432.5401578947362</v>
      </c>
      <c r="F1501" s="75">
        <f>'THAM_SO_MOI'!$C$14+('THAM_SO_MOI'!$C$37-'THAM_SO_MOI'!$C$14)*694/'THAM_SO_MOI'!$C$42</f>
        <v>24.689243055555554</v>
      </c>
      <c r="G1501" s="75">
        <f>3.6*F1501</f>
        <v>88.881275</v>
      </c>
      <c r="H1501" s="75">
        <f>'THAM_SO_MOI'!$D$53</f>
        <v>1.1</v>
      </c>
      <c r="I1501" s="75">
        <f>IF(F1501&gt;='THAM_SO_MOI'!$C$14,'THAM_SO_MOI'!$C$13*(1+F1501^2/1500),'THAM_SO_MOI'!$C$13)</f>
        <v>0.02109558722656298</v>
      </c>
      <c r="J1501" s="75">
        <f>'THAM_SO_MOI'!$C$40*('THAM_SO_MOI'!$C$23*(E1501/'THAM_SO_MOI'!$C$22)+'THAM_SO_MOI'!$C$24*(E1501/'THAM_SO_MOI'!$C$22)^2-'THAM_SO_MOI'!$C$25*(E1501/'THAM_SO_MOI'!$C$22)^3)</f>
        <v>108.6750545194304</v>
      </c>
      <c r="K1501" s="75">
        <f>'THAM_SO_MOI'!$C$31*J1501/E1501</f>
        <v>426.70051443862116</v>
      </c>
      <c r="L1501" s="75">
        <f>K1501*'THAM_SO_MOI'!$C$53*'THAM_SO_MOI'!$C$17/'THAM_SO_MOI'!$C$26</f>
        <v>3742.1651812924038</v>
      </c>
      <c r="M1501" s="75">
        <f>'THAM_SO_MOI'!$C$15*'THAM_SO_MOI'!$C$16*F1501^2</f>
        <v>1782.9592637696721</v>
      </c>
      <c r="N1501" s="75">
        <f>'THAM_SO_MOI'!$C$12*I1501</f>
        <v>1589.358418119036</v>
      </c>
      <c r="O1501" s="75">
        <f>M1501+N1501</f>
        <v>3372.317681888708</v>
      </c>
      <c r="P1501" s="75">
        <f>(MIN(L1501,'THAM_SO_MOI'!$C$41)-O1501)/('THAM_SO_MOI'!$C$11*H1501)</f>
        <v>0.043779296804414725</v>
      </c>
      <c r="Q1501" s="75">
        <f>IF(P1501&gt;0,1/P1501,NA())</f>
        <v>22.84184701429831</v>
      </c>
      <c r="R1501" s="75">
        <f>F1501-F1500</f>
        <v>0.0035868055555567935</v>
      </c>
      <c r="S1501" s="75">
        <f>0.5*(Q1500+Q1501)*R1501</f>
        <v>0.0818484211114696</v>
      </c>
      <c r="T1501" s="75">
        <f>0.5*(F1500*Q1500+F1501*Q1501)*R1501</f>
        <v>2.020628920332208</v>
      </c>
      <c r="U1501" s="76">
        <f>U1500+S1501</f>
        <v>108.9298686706959</v>
      </c>
      <c r="V1501" s="76">
        <f>V1500+T1501</f>
        <v>1985.8465411567552</v>
      </c>
    </row>
    <row r="1502" spans="1:22" ht="19" customHeight="1">
      <c r="A1502" s="68" t="s">
        <v>362</v>
      </c>
      <c r="B1502" s="74">
        <v>5</v>
      </c>
      <c r="C1502" s="68" t="s">
        <v>363</v>
      </c>
      <c r="D1502" s="68" t="s">
        <v>365</v>
      </c>
      <c r="E1502" s="75">
        <f>60*F1502*'THAM_SO_MOI'!$C$53/(2*PI()*'THAM_SO_MOI'!$C$26)</f>
        <v>2432.8935526315786</v>
      </c>
      <c r="F1502" s="75">
        <f>'THAM_SO_MOI'!$C$14+('THAM_SO_MOI'!$C$37-'THAM_SO_MOI'!$C$14)*695/'THAM_SO_MOI'!$C$42</f>
        <v>24.69282986111111</v>
      </c>
      <c r="G1502" s="75">
        <f>3.6*F1502</f>
        <v>88.8941875</v>
      </c>
      <c r="H1502" s="75">
        <f>'THAM_SO_MOI'!$D$53</f>
        <v>1.1</v>
      </c>
      <c r="I1502" s="75">
        <f>IF(F1502&gt;='THAM_SO_MOI'!$C$14,'THAM_SO_MOI'!$C$13*(1+F1502^2/1500),'THAM_SO_MOI'!$C$13)</f>
        <v>0.021097358465497807</v>
      </c>
      <c r="J1502" s="75">
        <f>'THAM_SO_MOI'!$C$40*('THAM_SO_MOI'!$C$23*(E1502/'THAM_SO_MOI'!$C$22)+'THAM_SO_MOI'!$C$24*(E1502/'THAM_SO_MOI'!$C$22)^2-'THAM_SO_MOI'!$C$25*(E1502/'THAM_SO_MOI'!$C$22)^3)</f>
        <v>108.68851917866773</v>
      </c>
      <c r="K1502" s="75">
        <f>'THAM_SO_MOI'!$C$31*J1502/E1502</f>
        <v>426.6913930239142</v>
      </c>
      <c r="L1502" s="75">
        <f>K1502*'THAM_SO_MOI'!$C$53*'THAM_SO_MOI'!$C$17/'THAM_SO_MOI'!$C$26</f>
        <v>3742.085186449732</v>
      </c>
      <c r="M1502" s="75">
        <f>'THAM_SO_MOI'!$C$15*'THAM_SO_MOI'!$C$16*F1502^2</f>
        <v>1783.4773511581084</v>
      </c>
      <c r="N1502" s="75">
        <f>'THAM_SO_MOI'!$C$12*I1502</f>
        <v>1589.4918646773772</v>
      </c>
      <c r="O1502" s="75">
        <f>M1502+N1502</f>
        <v>3372.9692158354856</v>
      </c>
      <c r="P1502" s="75">
        <f>(MIN(L1502,'THAM_SO_MOI'!$C$41)-O1502)/('THAM_SO_MOI'!$C$11*H1502)</f>
        <v>0.04369270485490609</v>
      </c>
      <c r="Q1502" s="75">
        <f>IF(P1502&gt;0,1/P1502,NA())</f>
        <v>22.887115900029105</v>
      </c>
      <c r="R1502" s="75">
        <f>F1502-F1501</f>
        <v>0.0035868055555567935</v>
      </c>
      <c r="S1502" s="75">
        <f>0.5*(Q1501+Q1502)*R1502</f>
        <v>0.08201044911548007</v>
      </c>
      <c r="T1502" s="75">
        <f>0.5*(F1501*Q1501+F1502*Q1502)*R1502</f>
        <v>2.024923134672633</v>
      </c>
      <c r="U1502" s="76">
        <f>U1501+S1502</f>
        <v>109.01187911981138</v>
      </c>
      <c r="V1502" s="76">
        <f>V1501+T1502</f>
        <v>1987.8714642914279</v>
      </c>
    </row>
    <row r="1503" spans="1:22" ht="19" customHeight="1">
      <c r="A1503" s="68" t="s">
        <v>362</v>
      </c>
      <c r="B1503" s="74">
        <v>5</v>
      </c>
      <c r="C1503" s="68" t="s">
        <v>363</v>
      </c>
      <c r="D1503" s="68" t="s">
        <v>365</v>
      </c>
      <c r="E1503" s="75">
        <f>60*F1503*'THAM_SO_MOI'!$C$53/(2*PI()*'THAM_SO_MOI'!$C$26)</f>
        <v>2433.2469473684205</v>
      </c>
      <c r="F1503" s="75">
        <f>'THAM_SO_MOI'!$C$14+('THAM_SO_MOI'!$C$37-'THAM_SO_MOI'!$C$14)*696/'THAM_SO_MOI'!$C$42</f>
        <v>24.696416666666664</v>
      </c>
      <c r="G1503" s="75">
        <f>3.6*F1503</f>
        <v>88.9071</v>
      </c>
      <c r="H1503" s="75">
        <f>'THAM_SO_MOI'!$D$53</f>
        <v>1.1</v>
      </c>
      <c r="I1503" s="75">
        <f>IF(F1503&gt;='THAM_SO_MOI'!$C$14,'THAM_SO_MOI'!$C$13*(1+F1503^2/1500),'THAM_SO_MOI'!$C$13)</f>
        <v>0.02109912996173611</v>
      </c>
      <c r="J1503" s="75">
        <f>'THAM_SO_MOI'!$C$40*('THAM_SO_MOI'!$C$23*(E1503/'THAM_SO_MOI'!$C$22)+'THAM_SO_MOI'!$C$24*(E1503/'THAM_SO_MOI'!$C$22)^2-'THAM_SO_MOI'!$C$25*(E1503/'THAM_SO_MOI'!$C$22)^3)</f>
        <v>108.70198007623276</v>
      </c>
      <c r="K1503" s="75">
        <f>'THAM_SO_MOI'!$C$31*J1503/E1503</f>
        <v>426.68225949322294</v>
      </c>
      <c r="L1503" s="75">
        <f>K1503*'THAM_SO_MOI'!$C$53*'THAM_SO_MOI'!$C$17/'THAM_SO_MOI'!$C$26</f>
        <v>3742.0050853498306</v>
      </c>
      <c r="M1503" s="75">
        <f>'THAM_SO_MOI'!$C$15*'THAM_SO_MOI'!$C$16*F1503^2</f>
        <v>1783.9955138078124</v>
      </c>
      <c r="N1503" s="75">
        <f>'THAM_SO_MOI'!$C$12*I1503</f>
        <v>1589.625330621168</v>
      </c>
      <c r="O1503" s="75">
        <f>M1503+N1503</f>
        <v>3373.6208444289805</v>
      </c>
      <c r="P1503" s="75">
        <f>(MIN(L1503,'THAM_SO_MOI'!$C$41)-O1503)/('THAM_SO_MOI'!$C$11*H1503)</f>
        <v>0.04360608912415368</v>
      </c>
      <c r="Q1503" s="75">
        <f>IF(P1503&gt;0,1/P1503,NA())</f>
        <v>22.932577080068707</v>
      </c>
      <c r="R1503" s="75">
        <f>F1503-F1502</f>
        <v>0.0035868055555532408</v>
      </c>
      <c r="S1503" s="75">
        <f>0.5*(Q1502+Q1503)*R1503</f>
        <v>0.08217316466737933</v>
      </c>
      <c r="T1503" s="75">
        <f>0.5*(F1502*Q1502+F1503*Q1503)*R1503</f>
        <v>2.0292354900789364</v>
      </c>
      <c r="U1503" s="76">
        <f>U1502+S1503</f>
        <v>109.09405228447876</v>
      </c>
      <c r="V1503" s="76">
        <f>V1502+T1503</f>
        <v>1989.9006997815068</v>
      </c>
    </row>
    <row r="1504" spans="1:22" ht="19" customHeight="1">
      <c r="A1504" s="68" t="s">
        <v>362</v>
      </c>
      <c r="B1504" s="74">
        <v>5</v>
      </c>
      <c r="C1504" s="68" t="s">
        <v>363</v>
      </c>
      <c r="D1504" s="68" t="s">
        <v>365</v>
      </c>
      <c r="E1504" s="75">
        <f>60*F1504*'THAM_SO_MOI'!$C$53/(2*PI()*'THAM_SO_MOI'!$C$26)</f>
        <v>2433.600342105263</v>
      </c>
      <c r="F1504" s="75">
        <f>'THAM_SO_MOI'!$C$14+('THAM_SO_MOI'!$C$37-'THAM_SO_MOI'!$C$14)*697/'THAM_SO_MOI'!$C$42</f>
        <v>24.70000347222222</v>
      </c>
      <c r="G1504" s="75">
        <f>3.6*F1504</f>
        <v>88.9200125</v>
      </c>
      <c r="H1504" s="75">
        <f>'THAM_SO_MOI'!$D$53</f>
        <v>1.1</v>
      </c>
      <c r="I1504" s="75">
        <f>IF(F1504&gt;='THAM_SO_MOI'!$C$14,'THAM_SO_MOI'!$C$13*(1+F1504^2/1500),'THAM_SO_MOI'!$C$13)</f>
        <v>0.021100901715277894</v>
      </c>
      <c r="J1504" s="75">
        <f>'THAM_SO_MOI'!$C$40*('THAM_SO_MOI'!$C$23*(E1504/'THAM_SO_MOI'!$C$22)+'THAM_SO_MOI'!$C$24*(E1504/'THAM_SO_MOI'!$C$22)^2-'THAM_SO_MOI'!$C$25*(E1504/'THAM_SO_MOI'!$C$22)^3)</f>
        <v>108.71543721078064</v>
      </c>
      <c r="K1504" s="75">
        <f>'THAM_SO_MOI'!$C$31*J1504/E1504</f>
        <v>426.67311384654715</v>
      </c>
      <c r="L1504" s="75">
        <f>K1504*'THAM_SO_MOI'!$C$53*'THAM_SO_MOI'!$C$17/'THAM_SO_MOI'!$C$26</f>
        <v>3741.924877992698</v>
      </c>
      <c r="M1504" s="75">
        <f>'THAM_SO_MOI'!$C$15*'THAM_SO_MOI'!$C$16*F1504^2</f>
        <v>1784.5137517187852</v>
      </c>
      <c r="N1504" s="75">
        <f>'THAM_SO_MOI'!$C$12*I1504</f>
        <v>1589.758815950409</v>
      </c>
      <c r="O1504" s="75">
        <f>M1504+N1504</f>
        <v>3374.2725676691944</v>
      </c>
      <c r="P1504" s="75">
        <f>(MIN(L1504,'THAM_SO_MOI'!$C$41)-O1504)/('THAM_SO_MOI'!$C$11*H1504)</f>
        <v>0.043519449612157174</v>
      </c>
      <c r="Q1504" s="75">
        <f>IF(P1504&gt;0,1/P1504,NA())</f>
        <v>22.97823177710064</v>
      </c>
      <c r="R1504" s="75">
        <f>F1504-F1503</f>
        <v>0.0035868055555567935</v>
      </c>
      <c r="S1504" s="75">
        <f>0.5*(Q1503+Q1504)*R1504</f>
        <v>0.08233657213450052</v>
      </c>
      <c r="T1504" s="75">
        <f>0.5*(F1503*Q1503+F1504*Q1504)*R1504</f>
        <v>2.033566101814766</v>
      </c>
      <c r="U1504" s="76">
        <f>U1503+S1504</f>
        <v>109.17638885661326</v>
      </c>
      <c r="V1504" s="76">
        <f>V1503+T1504</f>
        <v>1991.9342658833216</v>
      </c>
    </row>
    <row r="1505" spans="1:22" ht="19" customHeight="1">
      <c r="A1505" s="68" t="s">
        <v>362</v>
      </c>
      <c r="B1505" s="74">
        <v>5</v>
      </c>
      <c r="C1505" s="68" t="s">
        <v>363</v>
      </c>
      <c r="D1505" s="68" t="s">
        <v>365</v>
      </c>
      <c r="E1505" s="75">
        <f>60*F1505*'THAM_SO_MOI'!$C$53/(2*PI()*'THAM_SO_MOI'!$C$26)</f>
        <v>2433.9537368421047</v>
      </c>
      <c r="F1505" s="75">
        <f>'THAM_SO_MOI'!$C$14+('THAM_SO_MOI'!$C$37-'THAM_SO_MOI'!$C$14)*698/'THAM_SO_MOI'!$C$42</f>
        <v>24.703590277777778</v>
      </c>
      <c r="G1505" s="75">
        <f>3.6*F1505</f>
        <v>88.932925</v>
      </c>
      <c r="H1505" s="75">
        <f>'THAM_SO_MOI'!$D$53</f>
        <v>1.1</v>
      </c>
      <c r="I1505" s="75">
        <f>IF(F1505&gt;='THAM_SO_MOI'!$C$14,'THAM_SO_MOI'!$C$13*(1+F1505^2/1500),'THAM_SO_MOI'!$C$13)</f>
        <v>0.021102673726123167</v>
      </c>
      <c r="J1505" s="75">
        <f>'THAM_SO_MOI'!$C$40*('THAM_SO_MOI'!$C$23*(E1505/'THAM_SO_MOI'!$C$22)+'THAM_SO_MOI'!$C$24*(E1505/'THAM_SO_MOI'!$C$22)^2-'THAM_SO_MOI'!$C$25*(E1505/'THAM_SO_MOI'!$C$22)^3)</f>
        <v>108.7288905809664</v>
      </c>
      <c r="K1505" s="75">
        <f>'THAM_SO_MOI'!$C$31*J1505/E1505</f>
        <v>426.6639560838869</v>
      </c>
      <c r="L1505" s="75">
        <f>K1505*'THAM_SO_MOI'!$C$53*'THAM_SO_MOI'!$C$17/'THAM_SO_MOI'!$C$26</f>
        <v>3741.8445643783325</v>
      </c>
      <c r="M1505" s="75">
        <f>'THAM_SO_MOI'!$C$15*'THAM_SO_MOI'!$C$16*F1505^2</f>
        <v>1785.0320648910267</v>
      </c>
      <c r="N1505" s="75">
        <f>'THAM_SO_MOI'!$C$12*I1505</f>
        <v>1589.8923206651004</v>
      </c>
      <c r="O1505" s="75">
        <f>M1505+N1505</f>
        <v>3374.924385556127</v>
      </c>
      <c r="P1505" s="75">
        <f>(MIN(L1505,'THAM_SO_MOI'!$C$41)-O1505)/('THAM_SO_MOI'!$C$11*H1505)</f>
        <v>0.04343278631891635</v>
      </c>
      <c r="Q1505" s="75">
        <f>IF(P1505&gt;0,1/P1505,NA())</f>
        <v>23.024081224198788</v>
      </c>
      <c r="R1505" s="75">
        <f>F1505-F1504</f>
        <v>0.0035868055555567935</v>
      </c>
      <c r="S1505" s="75">
        <f>0.5*(Q1504+Q1505)*R1505</f>
        <v>0.08250067592076164</v>
      </c>
      <c r="T1505" s="75">
        <f>0.5*(F1504*Q1504+F1505*Q1505)*R1505</f>
        <v>2.0379150861101376</v>
      </c>
      <c r="U1505" s="76">
        <f>U1504+S1505</f>
        <v>109.25888953253401</v>
      </c>
      <c r="V1505" s="76">
        <f>V1504+T1505</f>
        <v>1993.9721809694317</v>
      </c>
    </row>
    <row r="1506" spans="1:22" ht="19" customHeight="1">
      <c r="A1506" s="68" t="s">
        <v>362</v>
      </c>
      <c r="B1506" s="74">
        <v>5</v>
      </c>
      <c r="C1506" s="68" t="s">
        <v>363</v>
      </c>
      <c r="D1506" s="68" t="s">
        <v>365</v>
      </c>
      <c r="E1506" s="75">
        <f>60*F1506*'THAM_SO_MOI'!$C$53/(2*PI()*'THAM_SO_MOI'!$C$26)</f>
        <v>2434.3071315789466</v>
      </c>
      <c r="F1506" s="75">
        <f>'THAM_SO_MOI'!$C$14+('THAM_SO_MOI'!$C$37-'THAM_SO_MOI'!$C$14)*699/'THAM_SO_MOI'!$C$42</f>
        <v>24.70717708333333</v>
      </c>
      <c r="G1506" s="75">
        <f>3.6*F1506</f>
        <v>88.9458375</v>
      </c>
      <c r="H1506" s="75">
        <f>'THAM_SO_MOI'!$D$53</f>
        <v>1.1</v>
      </c>
      <c r="I1506" s="75">
        <f>IF(F1506&gt;='THAM_SO_MOI'!$C$14,'THAM_SO_MOI'!$C$13*(1+F1506^2/1500),'THAM_SO_MOI'!$C$13)</f>
        <v>0.021104445994271918</v>
      </c>
      <c r="J1506" s="75">
        <f>'THAM_SO_MOI'!$C$40*('THAM_SO_MOI'!$C$23*(E1506/'THAM_SO_MOI'!$C$22)+'THAM_SO_MOI'!$C$24*(E1506/'THAM_SO_MOI'!$C$22)^2-'THAM_SO_MOI'!$C$25*(E1506/'THAM_SO_MOI'!$C$22)^3)</f>
        <v>108.74234018544526</v>
      </c>
      <c r="K1506" s="75">
        <f>'THAM_SO_MOI'!$C$31*J1506/E1506</f>
        <v>426.6547862052423</v>
      </c>
      <c r="L1506" s="75">
        <f>K1506*'THAM_SO_MOI'!$C$53*'THAM_SO_MOI'!$C$17/'THAM_SO_MOI'!$C$26</f>
        <v>3741.7641445067384</v>
      </c>
      <c r="M1506" s="75">
        <f>'THAM_SO_MOI'!$C$15*'THAM_SO_MOI'!$C$16*F1506^2</f>
        <v>1785.550453324536</v>
      </c>
      <c r="N1506" s="75">
        <f>'THAM_SO_MOI'!$C$12*I1506</f>
        <v>1590.0258447652418</v>
      </c>
      <c r="O1506" s="75">
        <f>M1506+N1506</f>
        <v>3375.576298089778</v>
      </c>
      <c r="P1506" s="75">
        <f>(MIN(L1506,'THAM_SO_MOI'!$C$41)-O1506)/('THAM_SO_MOI'!$C$11*H1506)</f>
        <v>0.04334609924443189</v>
      </c>
      <c r="Q1506" s="75">
        <f>IF(P1506&gt;0,1/P1506,NA())</f>
        <v>23.070126664937607</v>
      </c>
      <c r="R1506" s="75">
        <f>F1506-F1505</f>
        <v>0.0035868055555532408</v>
      </c>
      <c r="S1506" s="75">
        <f>0.5*(Q1505+Q1506)*R1506</f>
        <v>0.08266548046779022</v>
      </c>
      <c r="T1506" s="75">
        <f>0.5*(F1505*Q1505+F1506*Q1506)*R1506</f>
        <v>2.0422825601898813</v>
      </c>
      <c r="U1506" s="76">
        <f>U1505+S1506</f>
        <v>109.34155501300181</v>
      </c>
      <c r="V1506" s="76">
        <f>V1505+T1506</f>
        <v>1996.0144635296217</v>
      </c>
    </row>
    <row r="1507" spans="1:22" ht="19" customHeight="1">
      <c r="A1507" s="68" t="s">
        <v>362</v>
      </c>
      <c r="B1507" s="74">
        <v>5</v>
      </c>
      <c r="C1507" s="68" t="s">
        <v>363</v>
      </c>
      <c r="D1507" s="68" t="s">
        <v>365</v>
      </c>
      <c r="E1507" s="75">
        <f>60*F1507*'THAM_SO_MOI'!$C$53/(2*PI()*'THAM_SO_MOI'!$C$26)</f>
        <v>2434.660526315789</v>
      </c>
      <c r="F1507" s="75">
        <f>'THAM_SO_MOI'!$C$14+('THAM_SO_MOI'!$C$37-'THAM_SO_MOI'!$C$14)*700/'THAM_SO_MOI'!$C$42</f>
        <v>24.710763888888888</v>
      </c>
      <c r="G1507" s="75">
        <f>3.6*F1507</f>
        <v>88.95875</v>
      </c>
      <c r="H1507" s="75">
        <f>'THAM_SO_MOI'!$D$53</f>
        <v>1.1</v>
      </c>
      <c r="I1507" s="75">
        <f>IF(F1507&gt;='THAM_SO_MOI'!$C$14,'THAM_SO_MOI'!$C$13*(1+F1507^2/1500),'THAM_SO_MOI'!$C$13)</f>
        <v>0.021106218519724152</v>
      </c>
      <c r="J1507" s="75">
        <f>'THAM_SO_MOI'!$C$40*('THAM_SO_MOI'!$C$23*(E1507/'THAM_SO_MOI'!$C$22)+'THAM_SO_MOI'!$C$24*(E1507/'THAM_SO_MOI'!$C$22)^2-'THAM_SO_MOI'!$C$25*(E1507/'THAM_SO_MOI'!$C$22)^3)</f>
        <v>108.75578602287226</v>
      </c>
      <c r="K1507" s="75">
        <f>'THAM_SO_MOI'!$C$31*J1507/E1507</f>
        <v>426.6456042106132</v>
      </c>
      <c r="L1507" s="75">
        <f>K1507*'THAM_SO_MOI'!$C$53*'THAM_SO_MOI'!$C$17/'THAM_SO_MOI'!$C$26</f>
        <v>3741.683618377912</v>
      </c>
      <c r="M1507" s="75">
        <f>'THAM_SO_MOI'!$C$15*'THAM_SO_MOI'!$C$16*F1507^2</f>
        <v>1786.0689170193143</v>
      </c>
      <c r="N1507" s="75">
        <f>'THAM_SO_MOI'!$C$12*I1507</f>
        <v>1590.1593882508334</v>
      </c>
      <c r="O1507" s="75">
        <f>M1507+N1507</f>
        <v>3376.2283052701478</v>
      </c>
      <c r="P1507" s="75">
        <f>(MIN(L1507,'THAM_SO_MOI'!$C$41)-O1507)/('THAM_SO_MOI'!$C$11*H1507)</f>
        <v>0.04325938838870314</v>
      </c>
      <c r="Q1507" s="75">
        <f>IF(P1507&gt;0,1/P1507,NA())</f>
        <v>23.11636935350529</v>
      </c>
      <c r="R1507" s="75">
        <f>F1507-F1506</f>
        <v>0.0035868055555567935</v>
      </c>
      <c r="S1507" s="75">
        <f>0.5*(Q1506+Q1507)*R1507</f>
        <v>0.08283099025532635</v>
      </c>
      <c r="T1507" s="75">
        <f>0.5*(F1506*Q1506+F1507*Q1507)*R1507</f>
        <v>2.0466686422842755</v>
      </c>
      <c r="U1507" s="76">
        <f>U1506+S1507</f>
        <v>109.42438600325714</v>
      </c>
      <c r="V1507" s="76">
        <f>V1506+T1507</f>
        <v>1998.061132171906</v>
      </c>
    </row>
    <row r="1508" spans="1:22" ht="19" customHeight="1">
      <c r="A1508" s="68" t="s">
        <v>362</v>
      </c>
      <c r="B1508" s="74">
        <v>5</v>
      </c>
      <c r="C1508" s="68" t="s">
        <v>363</v>
      </c>
      <c r="D1508" s="68" t="s">
        <v>365</v>
      </c>
      <c r="E1508" s="75">
        <f>60*F1508*'THAM_SO_MOI'!$C$53/(2*PI()*'THAM_SO_MOI'!$C$26)</f>
        <v>2435.013921052631</v>
      </c>
      <c r="F1508" s="75">
        <f>'THAM_SO_MOI'!$C$14+('THAM_SO_MOI'!$C$37-'THAM_SO_MOI'!$C$14)*701/'THAM_SO_MOI'!$C$42</f>
        <v>24.71435069444444</v>
      </c>
      <c r="G1508" s="75">
        <f>3.6*F1508</f>
        <v>88.9716625</v>
      </c>
      <c r="H1508" s="75">
        <f>'THAM_SO_MOI'!$D$53</f>
        <v>1.1</v>
      </c>
      <c r="I1508" s="75">
        <f>IF(F1508&gt;='THAM_SO_MOI'!$C$14,'THAM_SO_MOI'!$C$13*(1+F1508^2/1500),'THAM_SO_MOI'!$C$13)</f>
        <v>0.02110799130247986</v>
      </c>
      <c r="J1508" s="75">
        <f>'THAM_SO_MOI'!$C$40*('THAM_SO_MOI'!$C$23*(E1508/'THAM_SO_MOI'!$C$22)+'THAM_SO_MOI'!$C$24*(E1508/'THAM_SO_MOI'!$C$22)^2-'THAM_SO_MOI'!$C$25*(E1508/'THAM_SO_MOI'!$C$22)^3)</f>
        <v>108.76922809190246</v>
      </c>
      <c r="K1508" s="75">
        <f>'THAM_SO_MOI'!$C$31*J1508/E1508</f>
        <v>426.6364100999995</v>
      </c>
      <c r="L1508" s="75">
        <f>K1508*'THAM_SO_MOI'!$C$53*'THAM_SO_MOI'!$C$17/'THAM_SO_MOI'!$C$26</f>
        <v>3741.602985991854</v>
      </c>
      <c r="M1508" s="75">
        <f>'THAM_SO_MOI'!$C$15*'THAM_SO_MOI'!$C$16*F1508^2</f>
        <v>1786.5874559753604</v>
      </c>
      <c r="N1508" s="75">
        <f>'THAM_SO_MOI'!$C$12*I1508</f>
        <v>1590.2929511218747</v>
      </c>
      <c r="O1508" s="75">
        <f>M1508+N1508</f>
        <v>3376.880407097235</v>
      </c>
      <c r="P1508" s="75">
        <f>(MIN(L1508,'THAM_SO_MOI'!$C$41)-O1508)/('THAM_SO_MOI'!$C$11*H1508)</f>
        <v>0.043172653751730454</v>
      </c>
      <c r="Q1508" s="75">
        <f>IF(P1508&gt;0,1/P1508,NA())</f>
        <v>23.16281055481603</v>
      </c>
      <c r="R1508" s="75">
        <f>F1508-F1507</f>
        <v>0.0035868055555532408</v>
      </c>
      <c r="S1508" s="75">
        <f>0.5*(Q1507+Q1508)*R1508</f>
        <v>0.08299720980080742</v>
      </c>
      <c r="T1508" s="75">
        <f>0.5*(F1507*Q1507+F1508*Q1508)*R1508</f>
        <v>2.0510734516194664</v>
      </c>
      <c r="U1508" s="76">
        <f>U1507+S1508</f>
        <v>109.50738321305795</v>
      </c>
      <c r="V1508" s="76">
        <f>V1507+T1508</f>
        <v>2000.1122056235254</v>
      </c>
    </row>
    <row r="1509" spans="1:22" ht="19" customHeight="1">
      <c r="A1509" s="68" t="s">
        <v>362</v>
      </c>
      <c r="B1509" s="74">
        <v>5</v>
      </c>
      <c r="C1509" s="68" t="s">
        <v>363</v>
      </c>
      <c r="D1509" s="68" t="s">
        <v>365</v>
      </c>
      <c r="E1509" s="75">
        <f>60*F1509*'THAM_SO_MOI'!$C$53/(2*PI()*'THAM_SO_MOI'!$C$26)</f>
        <v>2435.367315789473</v>
      </c>
      <c r="F1509" s="75">
        <f>'THAM_SO_MOI'!$C$14+('THAM_SO_MOI'!$C$37-'THAM_SO_MOI'!$C$14)*702/'THAM_SO_MOI'!$C$42</f>
        <v>24.717937499999998</v>
      </c>
      <c r="G1509" s="75">
        <f>3.6*F1509</f>
        <v>88.98457499999999</v>
      </c>
      <c r="H1509" s="75">
        <f>'THAM_SO_MOI'!$D$53</f>
        <v>1.1</v>
      </c>
      <c r="I1509" s="75">
        <f>IF(F1509&gt;='THAM_SO_MOI'!$C$14,'THAM_SO_MOI'!$C$13*(1+F1509^2/1500),'THAM_SO_MOI'!$C$13)</f>
        <v>0.02110976434253906</v>
      </c>
      <c r="J1509" s="75">
        <f>'THAM_SO_MOI'!$C$40*('THAM_SO_MOI'!$C$23*(E1509/'THAM_SO_MOI'!$C$22)+'THAM_SO_MOI'!$C$24*(E1509/'THAM_SO_MOI'!$C$22)^2-'THAM_SO_MOI'!$C$25*(E1509/'THAM_SO_MOI'!$C$22)^3)</f>
        <v>108.78266639119106</v>
      </c>
      <c r="K1509" s="75">
        <f>'THAM_SO_MOI'!$C$31*J1509/E1509</f>
        <v>426.62720387340136</v>
      </c>
      <c r="L1509" s="75">
        <f>K1509*'THAM_SO_MOI'!$C$53*'THAM_SO_MOI'!$C$17/'THAM_SO_MOI'!$C$26</f>
        <v>3741.522247348564</v>
      </c>
      <c r="M1509" s="75">
        <f>'THAM_SO_MOI'!$C$15*'THAM_SO_MOI'!$C$16*F1509^2</f>
        <v>1787.1060701926756</v>
      </c>
      <c r="N1509" s="75">
        <f>'THAM_SO_MOI'!$C$12*I1509</f>
        <v>1590.426533378367</v>
      </c>
      <c r="O1509" s="75">
        <f>M1509+N1509</f>
        <v>3377.5326035710423</v>
      </c>
      <c r="P1509" s="75">
        <f>(MIN(L1509,'THAM_SO_MOI'!$C$41)-O1509)/('THAM_SO_MOI'!$C$11*H1509)</f>
        <v>0.04308589533351346</v>
      </c>
      <c r="Q1509" s="75">
        <f>IF(P1509&gt;0,1/P1509,NA())</f>
        <v>23.20945154462581</v>
      </c>
      <c r="R1509" s="75">
        <f>F1509-F1508</f>
        <v>0.0035868055555567935</v>
      </c>
      <c r="S1509" s="75">
        <f>0.5*(Q1508+Q1509)*R1509</f>
        <v>0.08316414366100687</v>
      </c>
      <c r="T1509" s="75">
        <f>0.5*(F1508*Q1508+F1509*Q1509)*R1509</f>
        <v>2.055497108458649</v>
      </c>
      <c r="U1509" s="76">
        <f>U1508+S1509</f>
        <v>109.59054735671896</v>
      </c>
      <c r="V1509" s="76">
        <f>V1508+T1509</f>
        <v>2002.167702731984</v>
      </c>
    </row>
    <row r="1510" spans="1:22" ht="19" customHeight="1">
      <c r="A1510" s="68" t="s">
        <v>362</v>
      </c>
      <c r="B1510" s="74">
        <v>5</v>
      </c>
      <c r="C1510" s="68" t="s">
        <v>363</v>
      </c>
      <c r="D1510" s="68" t="s">
        <v>365</v>
      </c>
      <c r="E1510" s="75">
        <f>60*F1510*'THAM_SO_MOI'!$C$53/(2*PI()*'THAM_SO_MOI'!$C$26)</f>
        <v>2435.7207105263155</v>
      </c>
      <c r="F1510" s="75">
        <f>'THAM_SO_MOI'!$C$14+('THAM_SO_MOI'!$C$37-'THAM_SO_MOI'!$C$14)*703/'THAM_SO_MOI'!$C$42</f>
        <v>24.721524305555555</v>
      </c>
      <c r="G1510" s="75">
        <f>3.6*F1510</f>
        <v>88.9974875</v>
      </c>
      <c r="H1510" s="75">
        <f>'THAM_SO_MOI'!$D$53</f>
        <v>1.1</v>
      </c>
      <c r="I1510" s="75">
        <f>IF(F1510&gt;='THAM_SO_MOI'!$C$14,'THAM_SO_MOI'!$C$13*(1+F1510^2/1500),'THAM_SO_MOI'!$C$13)</f>
        <v>0.021111537639901742</v>
      </c>
      <c r="J1510" s="75">
        <f>'THAM_SO_MOI'!$C$40*('THAM_SO_MOI'!$C$23*(E1510/'THAM_SO_MOI'!$C$22)+'THAM_SO_MOI'!$C$24*(E1510/'THAM_SO_MOI'!$C$22)^2-'THAM_SO_MOI'!$C$25*(E1510/'THAM_SO_MOI'!$C$22)^3)</f>
        <v>108.79610091939321</v>
      </c>
      <c r="K1510" s="75">
        <f>'THAM_SO_MOI'!$C$31*J1510/E1510</f>
        <v>426.61798553081906</v>
      </c>
      <c r="L1510" s="75">
        <f>K1510*'THAM_SO_MOI'!$C$53*'THAM_SO_MOI'!$C$17/'THAM_SO_MOI'!$C$26</f>
        <v>3741.441402448046</v>
      </c>
      <c r="M1510" s="75">
        <f>'THAM_SO_MOI'!$C$15*'THAM_SO_MOI'!$C$16*F1510^2</f>
        <v>1787.6247596712592</v>
      </c>
      <c r="N1510" s="75">
        <f>'THAM_SO_MOI'!$C$12*I1510</f>
        <v>1590.5601350203092</v>
      </c>
      <c r="O1510" s="75">
        <f>M1510+N1510</f>
        <v>3378.1848946915684</v>
      </c>
      <c r="P1510" s="75">
        <f>(MIN(L1510,'THAM_SO_MOI'!$C$41)-O1510)/('THAM_SO_MOI'!$C$11*H1510)</f>
        <v>0.04299911313405276</v>
      </c>
      <c r="Q1510" s="75">
        <f>IF(P1510&gt;0,1/P1510,NA())</f>
        <v>23.25629360964794</v>
      </c>
      <c r="R1510" s="75">
        <f>F1510-F1509</f>
        <v>0.0035868055555567935</v>
      </c>
      <c r="S1510" s="75">
        <f>0.5*(Q1509+Q1510)*R1510</f>
        <v>0.08333179643121762</v>
      </c>
      <c r="T1510" s="75">
        <f>0.5*(F1509*Q1509+F1510*Q1510)*R1510</f>
        <v>2.0599397340825876</v>
      </c>
      <c r="U1510" s="76">
        <f>U1509+S1510</f>
        <v>109.67387915315018</v>
      </c>
      <c r="V1510" s="76">
        <f>V1509+T1510</f>
        <v>2004.2276424660665</v>
      </c>
    </row>
    <row r="1511" spans="1:22" ht="19" customHeight="1">
      <c r="A1511" s="68" t="s">
        <v>362</v>
      </c>
      <c r="B1511" s="74">
        <v>5</v>
      </c>
      <c r="C1511" s="68" t="s">
        <v>363</v>
      </c>
      <c r="D1511" s="68" t="s">
        <v>365</v>
      </c>
      <c r="E1511" s="75">
        <f>60*F1511*'THAM_SO_MOI'!$C$53/(2*PI()*'THAM_SO_MOI'!$C$26)</f>
        <v>2436.0741052631574</v>
      </c>
      <c r="F1511" s="75">
        <f>'THAM_SO_MOI'!$C$14+('THAM_SO_MOI'!$C$37-'THAM_SO_MOI'!$C$14)*704/'THAM_SO_MOI'!$C$42</f>
        <v>24.72511111111111</v>
      </c>
      <c r="G1511" s="75">
        <f>3.6*F1511</f>
        <v>89.0104</v>
      </c>
      <c r="H1511" s="75">
        <f>'THAM_SO_MOI'!$D$53</f>
        <v>1.1</v>
      </c>
      <c r="I1511" s="75">
        <f>IF(F1511&gt;='THAM_SO_MOI'!$C$14,'THAM_SO_MOI'!$C$13*(1+F1511^2/1500),'THAM_SO_MOI'!$C$13)</f>
        <v>0.0211133111945679</v>
      </c>
      <c r="J1511" s="75">
        <f>'THAM_SO_MOI'!$C$40*('THAM_SO_MOI'!$C$23*(E1511/'THAM_SO_MOI'!$C$22)+'THAM_SO_MOI'!$C$24*(E1511/'THAM_SO_MOI'!$C$22)^2-'THAM_SO_MOI'!$C$25*(E1511/'THAM_SO_MOI'!$C$22)^3)</f>
        <v>108.80953167516391</v>
      </c>
      <c r="K1511" s="75">
        <f>'THAM_SO_MOI'!$C$31*J1511/E1511</f>
        <v>426.60875507225217</v>
      </c>
      <c r="L1511" s="75">
        <f>K1511*'THAM_SO_MOI'!$C$53*'THAM_SO_MOI'!$C$17/'THAM_SO_MOI'!$C$26</f>
        <v>3741.360451290296</v>
      </c>
      <c r="M1511" s="75">
        <f>'THAM_SO_MOI'!$C$15*'THAM_SO_MOI'!$C$16*F1511^2</f>
        <v>1788.1435244111115</v>
      </c>
      <c r="N1511" s="75">
        <f>'THAM_SO_MOI'!$C$12*I1511</f>
        <v>1590.6937560477013</v>
      </c>
      <c r="O1511" s="75">
        <f>M1511+N1511</f>
        <v>3378.8372804588125</v>
      </c>
      <c r="P1511" s="75">
        <f>(MIN(L1511,'THAM_SO_MOI'!$C$41)-O1511)/('THAM_SO_MOI'!$C$11*H1511)</f>
        <v>0.04291230715334794</v>
      </c>
      <c r="Q1511" s="75">
        <f>IF(P1511&gt;0,1/P1511,NA())</f>
        <v>23.30333804767199</v>
      </c>
      <c r="R1511" s="75">
        <f>F1511-F1510</f>
        <v>0.0035868055555567935</v>
      </c>
      <c r="S1511" s="75">
        <f>0.5*(Q1510+Q1511)*R1511</f>
        <v>0.08350017274657653</v>
      </c>
      <c r="T1511" s="75">
        <f>0.5*(F1510*Q1510+F1511*Q1511)*R1511</f>
        <v>2.0644014508230493</v>
      </c>
      <c r="U1511" s="76">
        <f>U1510+S1511</f>
        <v>109.75737932589676</v>
      </c>
      <c r="V1511" s="76">
        <f>V1510+T1511</f>
        <v>2006.2920439168895</v>
      </c>
    </row>
    <row r="1512" spans="1:22" ht="19" customHeight="1">
      <c r="A1512" s="68" t="s">
        <v>362</v>
      </c>
      <c r="B1512" s="74">
        <v>5</v>
      </c>
      <c r="C1512" s="68" t="s">
        <v>363</v>
      </c>
      <c r="D1512" s="68" t="s">
        <v>365</v>
      </c>
      <c r="E1512" s="75">
        <f>60*F1512*'THAM_SO_MOI'!$C$53/(2*PI()*'THAM_SO_MOI'!$C$26)</f>
        <v>2436.4274999999993</v>
      </c>
      <c r="F1512" s="75">
        <f>'THAM_SO_MOI'!$C$14+('THAM_SO_MOI'!$C$37-'THAM_SO_MOI'!$C$14)*705/'THAM_SO_MOI'!$C$42</f>
        <v>24.728697916666665</v>
      </c>
      <c r="G1512" s="75">
        <f>3.6*F1512</f>
        <v>89.02331249999999</v>
      </c>
      <c r="H1512" s="75">
        <f>'THAM_SO_MOI'!$D$53</f>
        <v>1.1</v>
      </c>
      <c r="I1512" s="75">
        <f>IF(F1512&gt;='THAM_SO_MOI'!$C$14,'THAM_SO_MOI'!$C$13*(1+F1512^2/1500),'THAM_SO_MOI'!$C$13)</f>
        <v>0.02111508500653754</v>
      </c>
      <c r="J1512" s="75">
        <f>'THAM_SO_MOI'!$C$40*('THAM_SO_MOI'!$C$23*(E1512/'THAM_SO_MOI'!$C$22)+'THAM_SO_MOI'!$C$24*(E1512/'THAM_SO_MOI'!$C$22)^2-'THAM_SO_MOI'!$C$25*(E1512/'THAM_SO_MOI'!$C$22)^3)</f>
        <v>108.82295865715825</v>
      </c>
      <c r="K1512" s="75">
        <f>'THAM_SO_MOI'!$C$31*J1512/E1512</f>
        <v>426.5995124977006</v>
      </c>
      <c r="L1512" s="75">
        <f>K1512*'THAM_SO_MOI'!$C$53*'THAM_SO_MOI'!$C$17/'THAM_SO_MOI'!$C$26</f>
        <v>3741.279393875313</v>
      </c>
      <c r="M1512" s="75">
        <f>'THAM_SO_MOI'!$C$15*'THAM_SO_MOI'!$C$16*F1512^2</f>
        <v>1788.6623644122315</v>
      </c>
      <c r="N1512" s="75">
        <f>'THAM_SO_MOI'!$C$12*I1512</f>
        <v>1590.8273964605435</v>
      </c>
      <c r="O1512" s="75">
        <f>M1512+N1512</f>
        <v>3379.489760872775</v>
      </c>
      <c r="P1512" s="75">
        <f>(MIN(L1512,'THAM_SO_MOI'!$C$41)-O1512)/('THAM_SO_MOI'!$C$11*H1512)</f>
        <v>0.042825477391398914</v>
      </c>
      <c r="Q1512" s="75">
        <f>IF(P1512&gt;0,1/P1512,NA())</f>
        <v>23.350586167682522</v>
      </c>
      <c r="R1512" s="75">
        <f>F1512-F1511</f>
        <v>0.0035868055555532408</v>
      </c>
      <c r="S1512" s="75">
        <f>0.5*(Q1511+Q1512)*R1512</f>
        <v>0.0836692772819967</v>
      </c>
      <c r="T1512" s="75">
        <f>0.5*(F1511*Q1511+F1512*Q1512)*R1512</f>
        <v>2.068882382061848</v>
      </c>
      <c r="U1512" s="76">
        <f>U1511+S1512</f>
        <v>109.84104860317876</v>
      </c>
      <c r="V1512" s="76">
        <f>V1511+T1512</f>
        <v>2008.3609262989514</v>
      </c>
    </row>
    <row r="1513" spans="1:22" ht="19" customHeight="1">
      <c r="A1513" s="68" t="s">
        <v>362</v>
      </c>
      <c r="B1513" s="74">
        <v>5</v>
      </c>
      <c r="C1513" s="68" t="s">
        <v>363</v>
      </c>
      <c r="D1513" s="68" t="s">
        <v>365</v>
      </c>
      <c r="E1513" s="75">
        <f>60*F1513*'THAM_SO_MOI'!$C$53/(2*PI()*'THAM_SO_MOI'!$C$26)</f>
        <v>2436.780894736841</v>
      </c>
      <c r="F1513" s="75">
        <f>'THAM_SO_MOI'!$C$14+('THAM_SO_MOI'!$C$37-'THAM_SO_MOI'!$C$14)*706/'THAM_SO_MOI'!$C$42</f>
        <v>24.73228472222222</v>
      </c>
      <c r="G1513" s="75">
        <f>3.6*F1513</f>
        <v>89.036225</v>
      </c>
      <c r="H1513" s="75">
        <f>'THAM_SO_MOI'!$D$53</f>
        <v>1.1</v>
      </c>
      <c r="I1513" s="75">
        <f>IF(F1513&gt;='THAM_SO_MOI'!$C$14,'THAM_SO_MOI'!$C$13*(1+F1513^2/1500),'THAM_SO_MOI'!$C$13)</f>
        <v>0.02111685907581067</v>
      </c>
      <c r="J1513" s="75">
        <f>'THAM_SO_MOI'!$C$40*('THAM_SO_MOI'!$C$23*(E1513/'THAM_SO_MOI'!$C$22)+'THAM_SO_MOI'!$C$24*(E1513/'THAM_SO_MOI'!$C$22)^2-'THAM_SO_MOI'!$C$25*(E1513/'THAM_SO_MOI'!$C$22)^3)</f>
        <v>108.83638186403145</v>
      </c>
      <c r="K1513" s="75">
        <f>'THAM_SO_MOI'!$C$31*J1513/E1513</f>
        <v>426.59025780716473</v>
      </c>
      <c r="L1513" s="75">
        <f>K1513*'THAM_SO_MOI'!$C$53*'THAM_SO_MOI'!$C$17/'THAM_SO_MOI'!$C$26</f>
        <v>3741.1982302031006</v>
      </c>
      <c r="M1513" s="75">
        <f>'THAM_SO_MOI'!$C$15*'THAM_SO_MOI'!$C$16*F1513^2</f>
        <v>1789.1812796746203</v>
      </c>
      <c r="N1513" s="75">
        <f>'THAM_SO_MOI'!$C$12*I1513</f>
        <v>1590.9610562588364</v>
      </c>
      <c r="O1513" s="75">
        <f>M1513+N1513</f>
        <v>3380.1423359334567</v>
      </c>
      <c r="P1513" s="75">
        <f>(MIN(L1513,'THAM_SO_MOI'!$C$41)-O1513)/('THAM_SO_MOI'!$C$11*H1513)</f>
        <v>0.04273862384820595</v>
      </c>
      <c r="Q1513" s="75">
        <f>IF(P1513&gt;0,1/P1513,NA())</f>
        <v>23.39803928998002</v>
      </c>
      <c r="R1513" s="75">
        <f>F1513-F1512</f>
        <v>0.0035868055555567935</v>
      </c>
      <c r="S1513" s="75">
        <f>0.5*(Q1512+Q1513)*R1513</f>
        <v>0.08383911475309387</v>
      </c>
      <c r="T1513" s="75">
        <f>0.5*(F1512*Q1512+F1513*Q1513)*R1513</f>
        <v>2.0733826522544647</v>
      </c>
      <c r="U1513" s="76">
        <f>U1512+S1513</f>
        <v>109.92488771793185</v>
      </c>
      <c r="V1513" s="76">
        <f>V1512+T1513</f>
        <v>2010.4343089512058</v>
      </c>
    </row>
    <row r="1514" spans="1:22" ht="19" customHeight="1">
      <c r="A1514" s="68" t="s">
        <v>362</v>
      </c>
      <c r="B1514" s="74">
        <v>5</v>
      </c>
      <c r="C1514" s="68" t="s">
        <v>363</v>
      </c>
      <c r="D1514" s="68" t="s">
        <v>365</v>
      </c>
      <c r="E1514" s="75">
        <f>60*F1514*'THAM_SO_MOI'!$C$53/(2*PI()*'THAM_SO_MOI'!$C$26)</f>
        <v>2437.1342894736836</v>
      </c>
      <c r="F1514" s="75">
        <f>'THAM_SO_MOI'!$C$14+('THAM_SO_MOI'!$C$37-'THAM_SO_MOI'!$C$14)*707/'THAM_SO_MOI'!$C$42</f>
        <v>24.735871527777775</v>
      </c>
      <c r="G1514" s="75">
        <f>3.6*F1514</f>
        <v>89.04913749999999</v>
      </c>
      <c r="H1514" s="75">
        <f>'THAM_SO_MOI'!$D$53</f>
        <v>1.1</v>
      </c>
      <c r="I1514" s="75">
        <f>IF(F1514&gt;='THAM_SO_MOI'!$C$14,'THAM_SO_MOI'!$C$13*(1+F1514^2/1500),'THAM_SO_MOI'!$C$13)</f>
        <v>0.02111863340238727</v>
      </c>
      <c r="J1514" s="75">
        <f>'THAM_SO_MOI'!$C$40*('THAM_SO_MOI'!$C$23*(E1514/'THAM_SO_MOI'!$C$22)+'THAM_SO_MOI'!$C$24*(E1514/'THAM_SO_MOI'!$C$22)^2-'THAM_SO_MOI'!$C$25*(E1514/'THAM_SO_MOI'!$C$22)^3)</f>
        <v>108.84980129443858</v>
      </c>
      <c r="K1514" s="75">
        <f>'THAM_SO_MOI'!$C$31*J1514/E1514</f>
        <v>426.58099100064436</v>
      </c>
      <c r="L1514" s="75">
        <f>K1514*'THAM_SO_MOI'!$C$53*'THAM_SO_MOI'!$C$17/'THAM_SO_MOI'!$C$26</f>
        <v>3741.116960273656</v>
      </c>
      <c r="M1514" s="75">
        <f>'THAM_SO_MOI'!$C$15*'THAM_SO_MOI'!$C$16*F1514^2</f>
        <v>1789.7002701982774</v>
      </c>
      <c r="N1514" s="75">
        <f>'THAM_SO_MOI'!$C$12*I1514</f>
        <v>1591.094735442579</v>
      </c>
      <c r="O1514" s="75">
        <f>M1514+N1514</f>
        <v>3380.7950056408563</v>
      </c>
      <c r="P1514" s="75">
        <f>(MIN(L1514,'THAM_SO_MOI'!$C$41)-O1514)/('THAM_SO_MOI'!$C$11*H1514)</f>
        <v>0.042651746523768894</v>
      </c>
      <c r="Q1514" s="75">
        <f>IF(P1514&gt;0,1/P1514,NA())</f>
        <v>23.445698746303897</v>
      </c>
      <c r="R1514" s="75">
        <f>F1514-F1513</f>
        <v>0.0035868055555532408</v>
      </c>
      <c r="S1514" s="75">
        <f>0.5*(Q1513+Q1514)*R1514</f>
        <v>0.08400968991571191</v>
      </c>
      <c r="T1514" s="75">
        <f>0.5*(F1513*Q1513+F1514*Q1514)*R1514</f>
        <v>2.0779023869190434</v>
      </c>
      <c r="U1514" s="76">
        <f>U1513+S1514</f>
        <v>110.00889740784757</v>
      </c>
      <c r="V1514" s="76">
        <f>V1513+T1514</f>
        <v>2012.5122113381249</v>
      </c>
    </row>
    <row r="1515" spans="1:22" ht="19" customHeight="1">
      <c r="A1515" s="68" t="s">
        <v>362</v>
      </c>
      <c r="B1515" s="74">
        <v>5</v>
      </c>
      <c r="C1515" s="68" t="s">
        <v>363</v>
      </c>
      <c r="D1515" s="68" t="s">
        <v>365</v>
      </c>
      <c r="E1515" s="75">
        <f>60*F1515*'THAM_SO_MOI'!$C$53/(2*PI()*'THAM_SO_MOI'!$C$26)</f>
        <v>2437.4876842105255</v>
      </c>
      <c r="F1515" s="75">
        <f>'THAM_SO_MOI'!$C$14+('THAM_SO_MOI'!$C$37-'THAM_SO_MOI'!$C$14)*708/'THAM_SO_MOI'!$C$42</f>
        <v>24.73945833333333</v>
      </c>
      <c r="G1515" s="75">
        <f>3.6*F1515</f>
        <v>89.06205</v>
      </c>
      <c r="H1515" s="75">
        <f>'THAM_SO_MOI'!$D$53</f>
        <v>1.1</v>
      </c>
      <c r="I1515" s="75">
        <f>IF(F1515&gt;='THAM_SO_MOI'!$C$14,'THAM_SO_MOI'!$C$13*(1+F1515^2/1500),'THAM_SO_MOI'!$C$13)</f>
        <v>0.021120407986267357</v>
      </c>
      <c r="J1515" s="75">
        <f>'THAM_SO_MOI'!$C$40*('THAM_SO_MOI'!$C$23*(E1515/'THAM_SO_MOI'!$C$22)+'THAM_SO_MOI'!$C$24*(E1515/'THAM_SO_MOI'!$C$22)^2-'THAM_SO_MOI'!$C$25*(E1515/'THAM_SO_MOI'!$C$22)^3)</f>
        <v>108.86321694703474</v>
      </c>
      <c r="K1515" s="75">
        <f>'THAM_SO_MOI'!$C$31*J1515/E1515</f>
        <v>426.5717120781396</v>
      </c>
      <c r="L1515" s="75">
        <f>K1515*'THAM_SO_MOI'!$C$53*'THAM_SO_MOI'!$C$17/'THAM_SO_MOI'!$C$26</f>
        <v>3741.0355840869815</v>
      </c>
      <c r="M1515" s="75">
        <f>'THAM_SO_MOI'!$C$15*'THAM_SO_MOI'!$C$16*F1515^2</f>
        <v>1790.2193359832029</v>
      </c>
      <c r="N1515" s="75">
        <f>'THAM_SO_MOI'!$C$12*I1515</f>
        <v>1591.2284340117717</v>
      </c>
      <c r="O1515" s="75">
        <f>M1515+N1515</f>
        <v>3381.447769994975</v>
      </c>
      <c r="P1515" s="75">
        <f>(MIN(L1515,'THAM_SO_MOI'!$C$41)-O1515)/('THAM_SO_MOI'!$C$11*H1515)</f>
        <v>0.04256484541808794</v>
      </c>
      <c r="Q1515" s="75">
        <f>IF(P1515&gt;0,1/P1515,NA())</f>
        <v>23.49356587995618</v>
      </c>
      <c r="R1515" s="75">
        <f>F1515-F1514</f>
        <v>0.0035868055555567935</v>
      </c>
      <c r="S1515" s="75">
        <f>0.5*(Q1514+Q1515)*R1515</f>
        <v>0.08418100756761006</v>
      </c>
      <c r="T1515" s="75">
        <f>0.5*(F1514*Q1514+F1515*Q1515)*R1515</f>
        <v>2.082441712678851</v>
      </c>
      <c r="U1515" s="76">
        <f>U1514+S1515</f>
        <v>110.09307841541518</v>
      </c>
      <c r="V1515" s="76">
        <f>V1514+T1515</f>
        <v>2014.5946530508038</v>
      </c>
    </row>
    <row r="1516" spans="1:22" ht="19" customHeight="1">
      <c r="A1516" s="68" t="s">
        <v>362</v>
      </c>
      <c r="B1516" s="74">
        <v>5</v>
      </c>
      <c r="C1516" s="68" t="s">
        <v>363</v>
      </c>
      <c r="D1516" s="68" t="s">
        <v>365</v>
      </c>
      <c r="E1516" s="75">
        <f>60*F1516*'THAM_SO_MOI'!$C$53/(2*PI()*'THAM_SO_MOI'!$C$26)</f>
        <v>2437.8410789473683</v>
      </c>
      <c r="F1516" s="75">
        <f>'THAM_SO_MOI'!$C$14+('THAM_SO_MOI'!$C$37-'THAM_SO_MOI'!$C$14)*709/'THAM_SO_MOI'!$C$42</f>
        <v>24.74304513888889</v>
      </c>
      <c r="G1516" s="75">
        <f>3.6*F1516</f>
        <v>89.0749625</v>
      </c>
      <c r="H1516" s="75">
        <f>'THAM_SO_MOI'!$D$53</f>
        <v>1.1</v>
      </c>
      <c r="I1516" s="75">
        <f>IF(F1516&gt;='THAM_SO_MOI'!$C$14,'THAM_SO_MOI'!$C$13*(1+F1516^2/1500),'THAM_SO_MOI'!$C$13)</f>
        <v>0.02112218282745093</v>
      </c>
      <c r="J1516" s="75">
        <f>'THAM_SO_MOI'!$C$40*('THAM_SO_MOI'!$C$23*(E1516/'THAM_SO_MOI'!$C$22)+'THAM_SO_MOI'!$C$24*(E1516/'THAM_SO_MOI'!$C$22)^2-'THAM_SO_MOI'!$C$25*(E1516/'THAM_SO_MOI'!$C$22)^3)</f>
        <v>108.87662882047508</v>
      </c>
      <c r="K1516" s="75">
        <f>'THAM_SO_MOI'!$C$31*J1516/E1516</f>
        <v>426.56242103965036</v>
      </c>
      <c r="L1516" s="75">
        <f>K1516*'THAM_SO_MOI'!$C$53*'THAM_SO_MOI'!$C$17/'THAM_SO_MOI'!$C$26</f>
        <v>3740.954101643075</v>
      </c>
      <c r="M1516" s="75">
        <f>'THAM_SO_MOI'!$C$15*'THAM_SO_MOI'!$C$16*F1516^2</f>
        <v>1790.7384770293975</v>
      </c>
      <c r="N1516" s="75">
        <f>'THAM_SO_MOI'!$C$12*I1516</f>
        <v>1591.362151966415</v>
      </c>
      <c r="O1516" s="75">
        <f>M1516+N1516</f>
        <v>3382.1006289958123</v>
      </c>
      <c r="P1516" s="75">
        <f>(MIN(L1516,'THAM_SO_MOI'!$C$41)-O1516)/('THAM_SO_MOI'!$C$11*H1516)</f>
        <v>0.042477920531162686</v>
      </c>
      <c r="Q1516" s="75">
        <f>IF(P1516&gt;0,1/P1516,NA())</f>
        <v>23.54164204592782</v>
      </c>
      <c r="R1516" s="75">
        <f>F1516-F1515</f>
        <v>0.0035868055555567935</v>
      </c>
      <c r="S1516" s="75">
        <f>0.5*(Q1515+Q1516)*R1516</f>
        <v>0.08435307254766482</v>
      </c>
      <c r="T1516" s="75">
        <f>0.5*(F1515*Q1515+F1516*Q1516)*R1516</f>
        <v>2.0870007572432803</v>
      </c>
      <c r="U1516" s="76">
        <f>U1515+S1516</f>
        <v>110.17743148796285</v>
      </c>
      <c r="V1516" s="76">
        <f>V1515+T1516</f>
        <v>2016.681653808047</v>
      </c>
    </row>
    <row r="1517" spans="1:22" ht="19" customHeight="1">
      <c r="A1517" s="68" t="s">
        <v>362</v>
      </c>
      <c r="B1517" s="74">
        <v>5</v>
      </c>
      <c r="C1517" s="68" t="s">
        <v>363</v>
      </c>
      <c r="D1517" s="68" t="s">
        <v>365</v>
      </c>
      <c r="E1517" s="75">
        <f>60*F1517*'THAM_SO_MOI'!$C$53/(2*PI()*'THAM_SO_MOI'!$C$26)</f>
        <v>2438.1944736842097</v>
      </c>
      <c r="F1517" s="75">
        <f>'THAM_SO_MOI'!$C$14+('THAM_SO_MOI'!$C$37-'THAM_SO_MOI'!$C$14)*710/'THAM_SO_MOI'!$C$42</f>
        <v>24.74663194444444</v>
      </c>
      <c r="G1517" s="75">
        <f>3.6*F1517</f>
        <v>89.087875</v>
      </c>
      <c r="H1517" s="75">
        <f>'THAM_SO_MOI'!$D$53</f>
        <v>1.1</v>
      </c>
      <c r="I1517" s="75">
        <f>IF(F1517&gt;='THAM_SO_MOI'!$C$14,'THAM_SO_MOI'!$C$13*(1+F1517^2/1500),'THAM_SO_MOI'!$C$13)</f>
        <v>0.02112395792593798</v>
      </c>
      <c r="J1517" s="75">
        <f>'THAM_SO_MOI'!$C$40*('THAM_SO_MOI'!$C$23*(E1517/'THAM_SO_MOI'!$C$22)+'THAM_SO_MOI'!$C$24*(E1517/'THAM_SO_MOI'!$C$22)^2-'THAM_SO_MOI'!$C$25*(E1517/'THAM_SO_MOI'!$C$22)^3)</f>
        <v>108.89003691341458</v>
      </c>
      <c r="K1517" s="75">
        <f>'THAM_SO_MOI'!$C$31*J1517/E1517</f>
        <v>426.55311788517656</v>
      </c>
      <c r="L1517" s="75">
        <f>K1517*'THAM_SO_MOI'!$C$53*'THAM_SO_MOI'!$C$17/'THAM_SO_MOI'!$C$26</f>
        <v>3740.8725129419367</v>
      </c>
      <c r="M1517" s="75">
        <f>'THAM_SO_MOI'!$C$15*'THAM_SO_MOI'!$C$16*F1517^2</f>
        <v>1791.2576933368593</v>
      </c>
      <c r="N1517" s="75">
        <f>'THAM_SO_MOI'!$C$12*I1517</f>
        <v>1591.4958893065084</v>
      </c>
      <c r="O1517" s="75">
        <f>M1517+N1517</f>
        <v>3382.7535826433677</v>
      </c>
      <c r="P1517" s="75">
        <f>(MIN(L1517,'THAM_SO_MOI'!$C$41)-O1517)/('THAM_SO_MOI'!$C$11*H1517)</f>
        <v>0.04239097186299349</v>
      </c>
      <c r="Q1517" s="75">
        <f>IF(P1517&gt;0,1/P1517,NA())</f>
        <v>23.589928611025336</v>
      </c>
      <c r="R1517" s="75">
        <f>F1517-F1516</f>
        <v>0.0035868055555532408</v>
      </c>
      <c r="S1517" s="75">
        <f>0.5*(Q1516+Q1517)*R1517</f>
        <v>0.08452588973715484</v>
      </c>
      <c r="T1517" s="75">
        <f>0.5*(F1516*Q1516+F1517*Q1517)*R1517</f>
        <v>2.0915796494403827</v>
      </c>
      <c r="U1517" s="76">
        <f>U1516+S1517</f>
        <v>110.2619573777</v>
      </c>
      <c r="V1517" s="76">
        <f>V1516+T1517</f>
        <v>2018.7732334574873</v>
      </c>
    </row>
    <row r="1518" spans="1:22" ht="19" customHeight="1">
      <c r="A1518" s="68" t="s">
        <v>362</v>
      </c>
      <c r="B1518" s="74">
        <v>5</v>
      </c>
      <c r="C1518" s="68" t="s">
        <v>363</v>
      </c>
      <c r="D1518" s="68" t="s">
        <v>365</v>
      </c>
      <c r="E1518" s="75">
        <f>60*F1518*'THAM_SO_MOI'!$C$53/(2*PI()*'THAM_SO_MOI'!$C$26)</f>
        <v>2438.547868421052</v>
      </c>
      <c r="F1518" s="75">
        <f>'THAM_SO_MOI'!$C$14+('THAM_SO_MOI'!$C$37-'THAM_SO_MOI'!$C$14)*711/'THAM_SO_MOI'!$C$42</f>
        <v>24.75021875</v>
      </c>
      <c r="G1518" s="75">
        <f>3.6*F1518</f>
        <v>89.1007875</v>
      </c>
      <c r="H1518" s="75">
        <f>'THAM_SO_MOI'!$D$53</f>
        <v>1.1</v>
      </c>
      <c r="I1518" s="75">
        <f>IF(F1518&gt;='THAM_SO_MOI'!$C$14,'THAM_SO_MOI'!$C$13*(1+F1518^2/1500),'THAM_SO_MOI'!$C$13)</f>
        <v>0.021125733281728516</v>
      </c>
      <c r="J1518" s="75">
        <f>'THAM_SO_MOI'!$C$40*('THAM_SO_MOI'!$C$23*(E1518/'THAM_SO_MOI'!$C$22)+'THAM_SO_MOI'!$C$24*(E1518/'THAM_SO_MOI'!$C$22)^2-'THAM_SO_MOI'!$C$25*(E1518/'THAM_SO_MOI'!$C$22)^3)</f>
        <v>108.90344122450853</v>
      </c>
      <c r="K1518" s="75">
        <f>'THAM_SO_MOI'!$C$31*J1518/E1518</f>
        <v>426.5438026147185</v>
      </c>
      <c r="L1518" s="75">
        <f>K1518*'THAM_SO_MOI'!$C$53*'THAM_SO_MOI'!$C$17/'THAM_SO_MOI'!$C$26</f>
        <v>3740.7908179835695</v>
      </c>
      <c r="M1518" s="75">
        <f>'THAM_SO_MOI'!$C$15*'THAM_SO_MOI'!$C$16*F1518^2</f>
        <v>1791.7769849055908</v>
      </c>
      <c r="N1518" s="75">
        <f>'THAM_SO_MOI'!$C$12*I1518</f>
        <v>1591.6296460320518</v>
      </c>
      <c r="O1518" s="75">
        <f>M1518+N1518</f>
        <v>3383.4066309376426</v>
      </c>
      <c r="P1518" s="75">
        <f>(MIN(L1518,'THAM_SO_MOI'!$C$41)-O1518)/('THAM_SO_MOI'!$C$11*H1518)</f>
        <v>0.04230399941358036</v>
      </c>
      <c r="Q1518" s="75">
        <f>IF(P1518&gt;0,1/P1518,NA())</f>
        <v>23.638426954000515</v>
      </c>
      <c r="R1518" s="75">
        <f>F1518-F1517</f>
        <v>0.0035868055555567935</v>
      </c>
      <c r="S1518" s="75">
        <f>0.5*(Q1517+Q1518)*R1518</f>
        <v>0.08469946406022316</v>
      </c>
      <c r="T1518" s="75">
        <f>0.5*(F1517*Q1517+F1518*Q1518)*R1518</f>
        <v>2.096178519229071</v>
      </c>
      <c r="U1518" s="76">
        <f>U1517+S1518</f>
        <v>110.34665684176022</v>
      </c>
      <c r="V1518" s="76">
        <f>V1517+T1518</f>
        <v>2020.8694119767165</v>
      </c>
    </row>
    <row r="1519" spans="1:22" ht="19" customHeight="1">
      <c r="A1519" s="68" t="s">
        <v>362</v>
      </c>
      <c r="B1519" s="74">
        <v>5</v>
      </c>
      <c r="C1519" s="68" t="s">
        <v>363</v>
      </c>
      <c r="D1519" s="68" t="s">
        <v>365</v>
      </c>
      <c r="E1519" s="75">
        <f>60*F1519*'THAM_SO_MOI'!$C$53/(2*PI()*'THAM_SO_MOI'!$C$26)</f>
        <v>2438.901263157894</v>
      </c>
      <c r="F1519" s="75">
        <f>'THAM_SO_MOI'!$C$14+('THAM_SO_MOI'!$C$37-'THAM_SO_MOI'!$C$14)*712/'THAM_SO_MOI'!$C$42</f>
        <v>24.753805555555555</v>
      </c>
      <c r="G1519" s="75">
        <f>3.6*F1519</f>
        <v>89.1137</v>
      </c>
      <c r="H1519" s="75">
        <f>'THAM_SO_MOI'!$D$53</f>
        <v>1.1</v>
      </c>
      <c r="I1519" s="75">
        <f>IF(F1519&gt;='THAM_SO_MOI'!$C$14,'THAM_SO_MOI'!$C$13*(1+F1519^2/1500),'THAM_SO_MOI'!$C$13)</f>
        <v>0.021127508894822532</v>
      </c>
      <c r="J1519" s="75">
        <f>'THAM_SO_MOI'!$C$40*('THAM_SO_MOI'!$C$23*(E1519/'THAM_SO_MOI'!$C$22)+'THAM_SO_MOI'!$C$24*(E1519/'THAM_SO_MOI'!$C$22)^2-'THAM_SO_MOI'!$C$25*(E1519/'THAM_SO_MOI'!$C$22)^3)</f>
        <v>108.91684175241194</v>
      </c>
      <c r="K1519" s="75">
        <f>'THAM_SO_MOI'!$C$31*J1519/E1519</f>
        <v>426.53447522827605</v>
      </c>
      <c r="L1519" s="75">
        <f>K1519*'THAM_SO_MOI'!$C$53*'THAM_SO_MOI'!$C$17/'THAM_SO_MOI'!$C$26</f>
        <v>3740.7090167679708</v>
      </c>
      <c r="M1519" s="75">
        <f>'THAM_SO_MOI'!$C$15*'THAM_SO_MOI'!$C$16*F1519^2</f>
        <v>1792.2963517355904</v>
      </c>
      <c r="N1519" s="75">
        <f>'THAM_SO_MOI'!$C$12*I1519</f>
        <v>1591.7634221430455</v>
      </c>
      <c r="O1519" s="75">
        <f>M1519+N1519</f>
        <v>3384.059773878636</v>
      </c>
      <c r="P1519" s="75">
        <f>(MIN(L1519,'THAM_SO_MOI'!$C$41)-O1519)/('THAM_SO_MOI'!$C$11*H1519)</f>
        <v>0.04221700318292315</v>
      </c>
      <c r="Q1519" s="75">
        <f>IF(P1519&gt;0,1/P1519,NA())</f>
        <v>23.68713846568109</v>
      </c>
      <c r="R1519" s="75">
        <f>F1519-F1518</f>
        <v>0.0035868055555567935</v>
      </c>
      <c r="S1519" s="75">
        <f>0.5*(Q1518+Q1519)*R1519</f>
        <v>0.08487380048359024</v>
      </c>
      <c r="T1519" s="75">
        <f>0.5*(F1518*Q1518+F1519*Q1519)*R1519</f>
        <v>2.1007974976927812</v>
      </c>
      <c r="U1519" s="76">
        <f>U1518+S1519</f>
        <v>110.43153064224381</v>
      </c>
      <c r="V1519" s="76">
        <f>V1518+T1519</f>
        <v>2022.9702094744093</v>
      </c>
    </row>
    <row r="1520" spans="1:22" ht="19" customHeight="1">
      <c r="A1520" s="68" t="s">
        <v>362</v>
      </c>
      <c r="B1520" s="74">
        <v>5</v>
      </c>
      <c r="C1520" s="68" t="s">
        <v>363</v>
      </c>
      <c r="D1520" s="68" t="s">
        <v>365</v>
      </c>
      <c r="E1520" s="75">
        <f>60*F1520*'THAM_SO_MOI'!$C$53/(2*PI()*'THAM_SO_MOI'!$C$26)</f>
        <v>2439.254657894736</v>
      </c>
      <c r="F1520" s="75">
        <f>'THAM_SO_MOI'!$C$14+('THAM_SO_MOI'!$C$37-'THAM_SO_MOI'!$C$14)*713/'THAM_SO_MOI'!$C$42</f>
        <v>24.75739236111111</v>
      </c>
      <c r="G1520" s="75">
        <f>3.6*F1520</f>
        <v>89.1266125</v>
      </c>
      <c r="H1520" s="75">
        <f>'THAM_SO_MOI'!$D$53</f>
        <v>1.1</v>
      </c>
      <c r="I1520" s="75">
        <f>IF(F1520&gt;='THAM_SO_MOI'!$C$14,'THAM_SO_MOI'!$C$13*(1+F1520^2/1500),'THAM_SO_MOI'!$C$13)</f>
        <v>0.021129284765220028</v>
      </c>
      <c r="J1520" s="75">
        <f>'THAM_SO_MOI'!$C$40*('THAM_SO_MOI'!$C$23*(E1520/'THAM_SO_MOI'!$C$22)+'THAM_SO_MOI'!$C$24*(E1520/'THAM_SO_MOI'!$C$22)^2-'THAM_SO_MOI'!$C$25*(E1520/'THAM_SO_MOI'!$C$22)^3)</f>
        <v>108.93023849577986</v>
      </c>
      <c r="K1520" s="75">
        <f>'THAM_SO_MOI'!$C$31*J1520/E1520</f>
        <v>426.5251357258488</v>
      </c>
      <c r="L1520" s="75">
        <f>K1520*'THAM_SO_MOI'!$C$53*'THAM_SO_MOI'!$C$17/'THAM_SO_MOI'!$C$26</f>
        <v>3740.627109295139</v>
      </c>
      <c r="M1520" s="75">
        <f>'THAM_SO_MOI'!$C$15*'THAM_SO_MOI'!$C$16*F1520^2</f>
        <v>1792.815793826858</v>
      </c>
      <c r="N1520" s="75">
        <f>'THAM_SO_MOI'!$C$12*I1520</f>
        <v>1591.897217639489</v>
      </c>
      <c r="O1520" s="75">
        <f>M1520+N1520</f>
        <v>3384.713011466347</v>
      </c>
      <c r="P1520" s="75">
        <f>(MIN(L1520,'THAM_SO_MOI'!$C$41)-O1520)/('THAM_SO_MOI'!$C$11*H1520)</f>
        <v>0.04212998317102174</v>
      </c>
      <c r="Q1520" s="75">
        <f>IF(P1520&gt;0,1/P1520,NA())</f>
        <v>23.736064549103116</v>
      </c>
      <c r="R1520" s="75">
        <f>F1520-F1519</f>
        <v>0.0035868055555532408</v>
      </c>
      <c r="S1520" s="75">
        <f>0.5*(Q1519+Q1520)*R1520</f>
        <v>0.08504890401777859</v>
      </c>
      <c r="T1520" s="75">
        <f>0.5*(F1519*Q1519+F1520*Q1520)*R1520</f>
        <v>2.1054367170705564</v>
      </c>
      <c r="U1520" s="76">
        <f>U1519+S1520</f>
        <v>110.5165795462616</v>
      </c>
      <c r="V1520" s="76">
        <f>V1519+T1520</f>
        <v>2025.0756461914798</v>
      </c>
    </row>
    <row r="1521" spans="1:22" ht="19" customHeight="1">
      <c r="A1521" s="68" t="s">
        <v>362</v>
      </c>
      <c r="B1521" s="74">
        <v>5</v>
      </c>
      <c r="C1521" s="68" t="s">
        <v>363</v>
      </c>
      <c r="D1521" s="68" t="s">
        <v>365</v>
      </c>
      <c r="E1521" s="75">
        <f>60*F1521*'THAM_SO_MOI'!$C$53/(2*PI()*'THAM_SO_MOI'!$C$26)</f>
        <v>2439.608052631578</v>
      </c>
      <c r="F1521" s="75">
        <f>'THAM_SO_MOI'!$C$14+('THAM_SO_MOI'!$C$37-'THAM_SO_MOI'!$C$14)*714/'THAM_SO_MOI'!$C$42</f>
        <v>24.760979166666665</v>
      </c>
      <c r="G1521" s="75">
        <f>3.6*F1521</f>
        <v>89.13952499999999</v>
      </c>
      <c r="H1521" s="75">
        <f>'THAM_SO_MOI'!$D$53</f>
        <v>1.1</v>
      </c>
      <c r="I1521" s="75">
        <f>IF(F1521&gt;='THAM_SO_MOI'!$C$14,'THAM_SO_MOI'!$C$13*(1+F1521^2/1500),'THAM_SO_MOI'!$C$13)</f>
        <v>0.021131060892921005</v>
      </c>
      <c r="J1521" s="75">
        <f>'THAM_SO_MOI'!$C$40*('THAM_SO_MOI'!$C$23*(E1521/'THAM_SO_MOI'!$C$22)+'THAM_SO_MOI'!$C$24*(E1521/'THAM_SO_MOI'!$C$22)^2-'THAM_SO_MOI'!$C$25*(E1521/'THAM_SO_MOI'!$C$22)^3)</f>
        <v>108.94363145326753</v>
      </c>
      <c r="K1521" s="75">
        <f>'THAM_SO_MOI'!$C$31*J1521/E1521</f>
        <v>426.51578410743724</v>
      </c>
      <c r="L1521" s="75">
        <f>K1521*'THAM_SO_MOI'!$C$53*'THAM_SO_MOI'!$C$17/'THAM_SO_MOI'!$C$26</f>
        <v>3740.545095565077</v>
      </c>
      <c r="M1521" s="75">
        <f>'THAM_SO_MOI'!$C$15*'THAM_SO_MOI'!$C$16*F1521^2</f>
        <v>1793.3353111793942</v>
      </c>
      <c r="N1521" s="75">
        <f>'THAM_SO_MOI'!$C$12*I1521</f>
        <v>1592.031032521383</v>
      </c>
      <c r="O1521" s="75">
        <f>M1521+N1521</f>
        <v>3385.366343700777</v>
      </c>
      <c r="P1521" s="75">
        <f>(MIN(L1521,'THAM_SO_MOI'!$C$41)-O1521)/('THAM_SO_MOI'!$C$11*H1521)</f>
        <v>0.04204293937787642</v>
      </c>
      <c r="Q1521" s="75">
        <f>IF(P1521&gt;0,1/P1521,NA())</f>
        <v>23.78520661964501</v>
      </c>
      <c r="R1521" s="75">
        <f>F1521-F1520</f>
        <v>0.0035868055555567935</v>
      </c>
      <c r="S1521" s="75">
        <f>0.5*(Q1520+Q1521)*R1521</f>
        <v>0.08522477971759333</v>
      </c>
      <c r="T1521" s="75">
        <f>0.5*(F1520*Q1520+F1521*Q1521)*R1521</f>
        <v>2.1100963107697264</v>
      </c>
      <c r="U1521" s="76">
        <f>U1520+S1521</f>
        <v>110.60180432597919</v>
      </c>
      <c r="V1521" s="76">
        <f>V1520+T1521</f>
        <v>2027.1857425022495</v>
      </c>
    </row>
    <row r="1522" spans="1:22" ht="19" customHeight="1">
      <c r="A1522" s="68" t="s">
        <v>362</v>
      </c>
      <c r="B1522" s="74">
        <v>5</v>
      </c>
      <c r="C1522" s="68" t="s">
        <v>363</v>
      </c>
      <c r="D1522" s="68" t="s">
        <v>365</v>
      </c>
      <c r="E1522" s="75">
        <f>60*F1522*'THAM_SO_MOI'!$C$53/(2*PI()*'THAM_SO_MOI'!$C$26)</f>
        <v>2439.9614473684205</v>
      </c>
      <c r="F1522" s="75">
        <f>'THAM_SO_MOI'!$C$14+('THAM_SO_MOI'!$C$37-'THAM_SO_MOI'!$C$14)*715/'THAM_SO_MOI'!$C$42</f>
        <v>24.764565972222222</v>
      </c>
      <c r="G1522" s="75">
        <f>3.6*F1522</f>
        <v>89.1524375</v>
      </c>
      <c r="H1522" s="75">
        <f>'THAM_SO_MOI'!$D$53</f>
        <v>1.1</v>
      </c>
      <c r="I1522" s="75">
        <f>IF(F1522&gt;='THAM_SO_MOI'!$C$14,'THAM_SO_MOI'!$C$13*(1+F1522^2/1500),'THAM_SO_MOI'!$C$13)</f>
        <v>0.02113283727792547</v>
      </c>
      <c r="J1522" s="75">
        <f>'THAM_SO_MOI'!$C$40*('THAM_SO_MOI'!$C$23*(E1522/'THAM_SO_MOI'!$C$22)+'THAM_SO_MOI'!$C$24*(E1522/'THAM_SO_MOI'!$C$22)^2-'THAM_SO_MOI'!$C$25*(E1522/'THAM_SO_MOI'!$C$22)^3)</f>
        <v>108.95702062353</v>
      </c>
      <c r="K1522" s="75">
        <f>'THAM_SO_MOI'!$C$31*J1522/E1522</f>
        <v>426.50642037304124</v>
      </c>
      <c r="L1522" s="75">
        <f>K1522*'THAM_SO_MOI'!$C$53*'THAM_SO_MOI'!$C$17/'THAM_SO_MOI'!$C$26</f>
        <v>3740.462975577784</v>
      </c>
      <c r="M1522" s="75">
        <f>'THAM_SO_MOI'!$C$15*'THAM_SO_MOI'!$C$16*F1522^2</f>
        <v>1793.8549037931996</v>
      </c>
      <c r="N1522" s="75">
        <f>'THAM_SO_MOI'!$C$12*I1522</f>
        <v>1592.1648667887273</v>
      </c>
      <c r="O1522" s="75">
        <f>M1522+N1522</f>
        <v>3386.019770581927</v>
      </c>
      <c r="P1522" s="75">
        <f>(MIN(L1522,'THAM_SO_MOI'!$C$41)-O1522)/('THAM_SO_MOI'!$C$11*H1522)</f>
        <v>0.041955871803486894</v>
      </c>
      <c r="Q1522" s="75">
        <f>IF(P1522&gt;0,1/P1522,NA())</f>
        <v>23.834566105164125</v>
      </c>
      <c r="R1522" s="75">
        <f>F1522-F1521</f>
        <v>0.0035868055555567935</v>
      </c>
      <c r="S1522" s="75">
        <f>0.5*(Q1521+Q1522)*R1522</f>
        <v>0.08540143268184865</v>
      </c>
      <c r="T1522" s="75">
        <f>0.5*(F1521*Q1521+F1522*Q1522)*R1522</f>
        <v>2.114776413359931</v>
      </c>
      <c r="U1522" s="76">
        <f>U1521+S1522</f>
        <v>110.68720575866104</v>
      </c>
      <c r="V1522" s="76">
        <f>V1521+T1522</f>
        <v>2029.3005189156095</v>
      </c>
    </row>
    <row r="1523" spans="1:22" ht="19" customHeight="1">
      <c r="A1523" s="68" t="s">
        <v>362</v>
      </c>
      <c r="B1523" s="74">
        <v>5</v>
      </c>
      <c r="C1523" s="68" t="s">
        <v>363</v>
      </c>
      <c r="D1523" s="68" t="s">
        <v>365</v>
      </c>
      <c r="E1523" s="75">
        <f>60*F1523*'THAM_SO_MOI'!$C$53/(2*PI()*'THAM_SO_MOI'!$C$26)</f>
        <v>2440.3148421052624</v>
      </c>
      <c r="F1523" s="75">
        <f>'THAM_SO_MOI'!$C$14+('THAM_SO_MOI'!$C$37-'THAM_SO_MOI'!$C$14)*716/'THAM_SO_MOI'!$C$42</f>
        <v>24.768152777777775</v>
      </c>
      <c r="G1523" s="75">
        <f>3.6*F1523</f>
        <v>89.16534999999999</v>
      </c>
      <c r="H1523" s="75">
        <f>'THAM_SO_MOI'!$D$53</f>
        <v>1.1</v>
      </c>
      <c r="I1523" s="75">
        <f>IF(F1523&gt;='THAM_SO_MOI'!$C$14,'THAM_SO_MOI'!$C$13*(1+F1523^2/1500),'THAM_SO_MOI'!$C$13)</f>
        <v>0.02113461392023341</v>
      </c>
      <c r="J1523" s="75">
        <f>'THAM_SO_MOI'!$C$40*('THAM_SO_MOI'!$C$23*(E1523/'THAM_SO_MOI'!$C$22)+'THAM_SO_MOI'!$C$24*(E1523/'THAM_SO_MOI'!$C$22)^2-'THAM_SO_MOI'!$C$25*(E1523/'THAM_SO_MOI'!$C$22)^3)</f>
        <v>108.97040600522239</v>
      </c>
      <c r="K1523" s="75">
        <f>'THAM_SO_MOI'!$C$31*J1523/E1523</f>
        <v>426.4970445226608</v>
      </c>
      <c r="L1523" s="75">
        <f>K1523*'THAM_SO_MOI'!$C$53*'THAM_SO_MOI'!$C$17/'THAM_SO_MOI'!$C$26</f>
        <v>3740.3807493332606</v>
      </c>
      <c r="M1523" s="75">
        <f>'THAM_SO_MOI'!$C$15*'THAM_SO_MOI'!$C$16*F1523^2</f>
        <v>1794.3745716682724</v>
      </c>
      <c r="N1523" s="75">
        <f>'THAM_SO_MOI'!$C$12*I1523</f>
        <v>1592.2987204415215</v>
      </c>
      <c r="O1523" s="75">
        <f>M1523+N1523</f>
        <v>3386.6732921097937</v>
      </c>
      <c r="P1523" s="75">
        <f>(MIN(L1523,'THAM_SO_MOI'!$C$41)-O1523)/('THAM_SO_MOI'!$C$11*H1523)</f>
        <v>0.04186878044785354</v>
      </c>
      <c r="Q1523" s="75">
        <f>IF(P1523&gt;0,1/P1523,NA())</f>
        <v>23.88414444613388</v>
      </c>
      <c r="R1523" s="75">
        <f>F1523-F1522</f>
        <v>0.0035868055555532408</v>
      </c>
      <c r="S1523" s="75">
        <f>0.5*(Q1522+Q1523)*R1523</f>
        <v>0.08557886805461636</v>
      </c>
      <c r="T1523" s="75">
        <f>0.5*(F1522*Q1522+F1523*Q1523)*R1523</f>
        <v>2.119477160604833</v>
      </c>
      <c r="U1523" s="76">
        <f>U1522+S1523</f>
        <v>110.77278462671565</v>
      </c>
      <c r="V1523" s="76">
        <f>V1522+T1523</f>
        <v>2031.4199960762144</v>
      </c>
    </row>
    <row r="1524" spans="1:22" ht="19" customHeight="1">
      <c r="A1524" s="68" t="s">
        <v>362</v>
      </c>
      <c r="B1524" s="74">
        <v>5</v>
      </c>
      <c r="C1524" s="68" t="s">
        <v>363</v>
      </c>
      <c r="D1524" s="68" t="s">
        <v>365</v>
      </c>
      <c r="E1524" s="75">
        <f>60*F1524*'THAM_SO_MOI'!$C$53/(2*PI()*'THAM_SO_MOI'!$C$26)</f>
        <v>2440.6682368421048</v>
      </c>
      <c r="F1524" s="75">
        <f>'THAM_SO_MOI'!$C$14+('THAM_SO_MOI'!$C$37-'THAM_SO_MOI'!$C$14)*717/'THAM_SO_MOI'!$C$42</f>
        <v>24.771739583333332</v>
      </c>
      <c r="G1524" s="75">
        <f>3.6*F1524</f>
        <v>89.1782625</v>
      </c>
      <c r="H1524" s="75">
        <f>'THAM_SO_MOI'!$D$53</f>
        <v>1.1</v>
      </c>
      <c r="I1524" s="75">
        <f>IF(F1524&gt;='THAM_SO_MOI'!$C$14,'THAM_SO_MOI'!$C$13*(1+F1524^2/1500),'THAM_SO_MOI'!$C$13)</f>
        <v>0.021136390819844832</v>
      </c>
      <c r="J1524" s="75">
        <f>'THAM_SO_MOI'!$C$40*('THAM_SO_MOI'!$C$23*(E1524/'THAM_SO_MOI'!$C$22)+'THAM_SO_MOI'!$C$24*(E1524/'THAM_SO_MOI'!$C$22)^2-'THAM_SO_MOI'!$C$25*(E1524/'THAM_SO_MOI'!$C$22)^3)</f>
        <v>108.98378759699979</v>
      </c>
      <c r="K1524" s="75">
        <f>'THAM_SO_MOI'!$C$31*J1524/E1524</f>
        <v>426.4876565562959</v>
      </c>
      <c r="L1524" s="75">
        <f>K1524*'THAM_SO_MOI'!$C$53*'THAM_SO_MOI'!$C$17/'THAM_SO_MOI'!$C$26</f>
        <v>3740.2984168315056</v>
      </c>
      <c r="M1524" s="75">
        <f>'THAM_SO_MOI'!$C$15*'THAM_SO_MOI'!$C$16*F1524^2</f>
        <v>1794.8943148046142</v>
      </c>
      <c r="N1524" s="75">
        <f>'THAM_SO_MOI'!$C$12*I1524</f>
        <v>1592.4325934797655</v>
      </c>
      <c r="O1524" s="75">
        <f>M1524+N1524</f>
        <v>3387.32690828438</v>
      </c>
      <c r="P1524" s="75">
        <f>(MIN(L1524,'THAM_SO_MOI'!$C$41)-O1524)/('THAM_SO_MOI'!$C$11*H1524)</f>
        <v>0.04178166531097608</v>
      </c>
      <c r="Q1524" s="75">
        <f>IF(P1524&gt;0,1/P1524,NA())</f>
        <v>23.933943095784148</v>
      </c>
      <c r="R1524" s="75">
        <f>F1524-F1523</f>
        <v>0.0035868055555567935</v>
      </c>
      <c r="S1524" s="75">
        <f>0.5*(Q1523+Q1524)*R1524</f>
        <v>0.08575709102572635</v>
      </c>
      <c r="T1524" s="75">
        <f>0.5*(F1523*Q1523+F1524*Q1524)*R1524</f>
        <v>2.1241986894753193</v>
      </c>
      <c r="U1524" s="76">
        <f>U1523+S1524</f>
        <v>110.85854171774137</v>
      </c>
      <c r="V1524" s="76">
        <f>V1523+T1524</f>
        <v>2033.5441947656898</v>
      </c>
    </row>
    <row r="1525" spans="1:22" ht="19" customHeight="1">
      <c r="A1525" s="68" t="s">
        <v>362</v>
      </c>
      <c r="B1525" s="74">
        <v>5</v>
      </c>
      <c r="C1525" s="68" t="s">
        <v>363</v>
      </c>
      <c r="D1525" s="68" t="s">
        <v>365</v>
      </c>
      <c r="E1525" s="75">
        <f>60*F1525*'THAM_SO_MOI'!$C$53/(2*PI()*'THAM_SO_MOI'!$C$26)</f>
        <v>2441.0216315789467</v>
      </c>
      <c r="F1525" s="75">
        <f>'THAM_SO_MOI'!$C$14+('THAM_SO_MOI'!$C$37-'THAM_SO_MOI'!$C$14)*718/'THAM_SO_MOI'!$C$42</f>
        <v>24.77532638888889</v>
      </c>
      <c r="G1525" s="75">
        <f>3.6*F1525</f>
        <v>89.191175</v>
      </c>
      <c r="H1525" s="75">
        <f>'THAM_SO_MOI'!$D$53</f>
        <v>1.1</v>
      </c>
      <c r="I1525" s="75">
        <f>IF(F1525&gt;='THAM_SO_MOI'!$C$14,'THAM_SO_MOI'!$C$13*(1+F1525^2/1500),'THAM_SO_MOI'!$C$13)</f>
        <v>0.021138167976759742</v>
      </c>
      <c r="J1525" s="75">
        <f>'THAM_SO_MOI'!$C$40*('THAM_SO_MOI'!$C$23*(E1525/'THAM_SO_MOI'!$C$22)+'THAM_SO_MOI'!$C$24*(E1525/'THAM_SO_MOI'!$C$22)^2-'THAM_SO_MOI'!$C$25*(E1525/'THAM_SO_MOI'!$C$22)^3)</f>
        <v>108.9971653975173</v>
      </c>
      <c r="K1525" s="75">
        <f>'THAM_SO_MOI'!$C$31*J1525/E1525</f>
        <v>426.47825647394643</v>
      </c>
      <c r="L1525" s="75">
        <f>K1525*'THAM_SO_MOI'!$C$53*'THAM_SO_MOI'!$C$17/'THAM_SO_MOI'!$C$26</f>
        <v>3740.2159780725183</v>
      </c>
      <c r="M1525" s="75">
        <f>'THAM_SO_MOI'!$C$15*'THAM_SO_MOI'!$C$16*F1525^2</f>
        <v>1795.4141332022243</v>
      </c>
      <c r="N1525" s="75">
        <f>'THAM_SO_MOI'!$C$12*I1525</f>
        <v>1592.5664859034605</v>
      </c>
      <c r="O1525" s="75">
        <f>M1525+N1525</f>
        <v>3387.980619105685</v>
      </c>
      <c r="P1525" s="75">
        <f>(MIN(L1525,'THAM_SO_MOI'!$C$41)-O1525)/('THAM_SO_MOI'!$C$11*H1525)</f>
        <v>0.04169452639285434</v>
      </c>
      <c r="Q1525" s="75">
        <f>IF(P1525&gt;0,1/P1525,NA())</f>
        <v>23.98396352024234</v>
      </c>
      <c r="R1525" s="75">
        <f>F1525-F1524</f>
        <v>0.0035868055555567935</v>
      </c>
      <c r="S1525" s="75">
        <f>0.5*(Q1524+Q1525)*R1525</f>
        <v>0.08593610683050772</v>
      </c>
      <c r="T1525" s="75">
        <f>0.5*(F1524*Q1524+F1525*Q1525)*R1525</f>
        <v>2.1289411381439187</v>
      </c>
      <c r="U1525" s="76">
        <f>U1524+S1525</f>
        <v>110.94447782457188</v>
      </c>
      <c r="V1525" s="76">
        <f>V1524+T1525</f>
        <v>2035.6731359038338</v>
      </c>
    </row>
    <row r="1526" spans="1:22" ht="19" customHeight="1">
      <c r="A1526" s="68" t="s">
        <v>362</v>
      </c>
      <c r="B1526" s="74">
        <v>5</v>
      </c>
      <c r="C1526" s="68" t="s">
        <v>363</v>
      </c>
      <c r="D1526" s="68" t="s">
        <v>365</v>
      </c>
      <c r="E1526" s="75">
        <f>60*F1526*'THAM_SO_MOI'!$C$53/(2*PI()*'THAM_SO_MOI'!$C$26)</f>
        <v>2441.3750263157885</v>
      </c>
      <c r="F1526" s="75">
        <f>'THAM_SO_MOI'!$C$14+('THAM_SO_MOI'!$C$37-'THAM_SO_MOI'!$C$14)*719/'THAM_SO_MOI'!$C$42</f>
        <v>24.778913194444442</v>
      </c>
      <c r="G1526" s="75">
        <f>3.6*F1526</f>
        <v>89.2040875</v>
      </c>
      <c r="H1526" s="75">
        <f>'THAM_SO_MOI'!$D$53</f>
        <v>1.1</v>
      </c>
      <c r="I1526" s="75">
        <f>IF(F1526&gt;='THAM_SO_MOI'!$C$14,'THAM_SO_MOI'!$C$13*(1+F1526^2/1500),'THAM_SO_MOI'!$C$13)</f>
        <v>0.02113994539097813</v>
      </c>
      <c r="J1526" s="75">
        <f>'THAM_SO_MOI'!$C$40*('THAM_SO_MOI'!$C$23*(E1526/'THAM_SO_MOI'!$C$22)+'THAM_SO_MOI'!$C$24*(E1526/'THAM_SO_MOI'!$C$22)^2-'THAM_SO_MOI'!$C$25*(E1526/'THAM_SO_MOI'!$C$22)^3)</f>
        <v>109.01053940543011</v>
      </c>
      <c r="K1526" s="75">
        <f>'THAM_SO_MOI'!$C$31*J1526/E1526</f>
        <v>426.46884427561275</v>
      </c>
      <c r="L1526" s="75">
        <f>K1526*'THAM_SO_MOI'!$C$53*'THAM_SO_MOI'!$C$17/'THAM_SO_MOI'!$C$26</f>
        <v>3740.1334330563022</v>
      </c>
      <c r="M1526" s="75">
        <f>'THAM_SO_MOI'!$C$15*'THAM_SO_MOI'!$C$16*F1526^2</f>
        <v>1795.9340268611027</v>
      </c>
      <c r="N1526" s="75">
        <f>'THAM_SO_MOI'!$C$12*I1526</f>
        <v>1592.700397712605</v>
      </c>
      <c r="O1526" s="75">
        <f>M1526+N1526</f>
        <v>3388.6344245737077</v>
      </c>
      <c r="P1526" s="75">
        <f>(MIN(L1526,'THAM_SO_MOI'!$C$41)-O1526)/('THAM_SO_MOI'!$C$11*H1526)</f>
        <v>0.041607363693488934</v>
      </c>
      <c r="Q1526" s="75">
        <f>IF(P1526&gt;0,1/P1526,NA())</f>
        <v>24.034207198676427</v>
      </c>
      <c r="R1526" s="75">
        <f>F1526-F1525</f>
        <v>0.0035868055555532408</v>
      </c>
      <c r="S1526" s="75">
        <f>0.5*(Q1525+Q1526)*R1526</f>
        <v>0.08611592075106089</v>
      </c>
      <c r="T1526" s="75">
        <f>0.5*(F1525*Q1525+F1526*Q1526)*R1526</f>
        <v>2.1337046460171267</v>
      </c>
      <c r="U1526" s="76">
        <f>U1525+S1526</f>
        <v>111.03059374532293</v>
      </c>
      <c r="V1526" s="76">
        <f>V1525+T1526</f>
        <v>2037.806840549851</v>
      </c>
    </row>
    <row r="1527" spans="1:22" ht="19" customHeight="1">
      <c r="A1527" s="68" t="s">
        <v>362</v>
      </c>
      <c r="B1527" s="74">
        <v>5</v>
      </c>
      <c r="C1527" s="68" t="s">
        <v>363</v>
      </c>
      <c r="D1527" s="68" t="s">
        <v>365</v>
      </c>
      <c r="E1527" s="75">
        <f>60*F1527*'THAM_SO_MOI'!$C$53/(2*PI()*'THAM_SO_MOI'!$C$26)</f>
        <v>2441.7284210526304</v>
      </c>
      <c r="F1527" s="75">
        <f>'THAM_SO_MOI'!$C$14+('THAM_SO_MOI'!$C$37-'THAM_SO_MOI'!$C$14)*720/'THAM_SO_MOI'!$C$42</f>
        <v>24.7825</v>
      </c>
      <c r="G1527" s="75">
        <f>3.6*F1527</f>
        <v>89.217</v>
      </c>
      <c r="H1527" s="75">
        <f>'THAM_SO_MOI'!$D$53</f>
        <v>1.1</v>
      </c>
      <c r="I1527" s="75">
        <f>IF(F1527&gt;='THAM_SO_MOI'!$C$14,'THAM_SO_MOI'!$C$13*(1+F1527^2/1500),'THAM_SO_MOI'!$C$13)</f>
        <v>0.021141723062499996</v>
      </c>
      <c r="J1527" s="75">
        <f>'THAM_SO_MOI'!$C$40*('THAM_SO_MOI'!$C$23*(E1527/'THAM_SO_MOI'!$C$22)+'THAM_SO_MOI'!$C$24*(E1527/'THAM_SO_MOI'!$C$22)^2-'THAM_SO_MOI'!$C$25*(E1527/'THAM_SO_MOI'!$C$22)^3)</f>
        <v>109.02390961939321</v>
      </c>
      <c r="K1527" s="75">
        <f>'THAM_SO_MOI'!$C$31*J1527/E1527</f>
        <v>426.4594199612944</v>
      </c>
      <c r="L1527" s="75">
        <f>K1527*'THAM_SO_MOI'!$C$53*'THAM_SO_MOI'!$C$17/'THAM_SO_MOI'!$C$26</f>
        <v>3740.050781782853</v>
      </c>
      <c r="M1527" s="75">
        <f>'THAM_SO_MOI'!$C$15*'THAM_SO_MOI'!$C$16*F1527^2</f>
        <v>1796.4539957812501</v>
      </c>
      <c r="N1527" s="75">
        <f>'THAM_SO_MOI'!$C$12*I1527</f>
        <v>1592.8343289071997</v>
      </c>
      <c r="O1527" s="75">
        <f>M1527+N1527</f>
        <v>3389.28832468845</v>
      </c>
      <c r="P1527" s="75">
        <f>(MIN(L1527,'THAM_SO_MOI'!$C$41)-O1527)/('THAM_SO_MOI'!$C$11*H1527)</f>
        <v>0.04152017721287915</v>
      </c>
      <c r="Q1527" s="75">
        <f>IF(P1527&gt;0,1/P1527,NA())</f>
        <v>24.08467562344146</v>
      </c>
      <c r="R1527" s="75">
        <f>F1527-F1526</f>
        <v>0.0035868055555567935</v>
      </c>
      <c r="S1527" s="75">
        <f>0.5*(Q1526+Q1527)*R1527</f>
        <v>0.08629653811677938</v>
      </c>
      <c r="T1527" s="75">
        <f>0.5*(F1526*Q1526+F1527*Q1527)*R1527</f>
        <v>2.1384893537491823</v>
      </c>
      <c r="U1527" s="76">
        <f>U1526+S1527</f>
        <v>111.11689028343972</v>
      </c>
      <c r="V1527" s="76">
        <f>V1526+T1527</f>
        <v>2039.9453299036002</v>
      </c>
    </row>
    <row r="1528" spans="1:22" ht="19" customHeight="1">
      <c r="A1528" s="68" t="s">
        <v>362</v>
      </c>
      <c r="B1528" s="74">
        <v>5</v>
      </c>
      <c r="C1528" s="68" t="s">
        <v>363</v>
      </c>
      <c r="D1528" s="68" t="s">
        <v>365</v>
      </c>
      <c r="E1528" s="75">
        <f>60*F1528*'THAM_SO_MOI'!$C$53/(2*PI()*'THAM_SO_MOI'!$C$26)</f>
        <v>2442.0818157894732</v>
      </c>
      <c r="F1528" s="75">
        <f>'THAM_SO_MOI'!$C$14+('THAM_SO_MOI'!$C$37-'THAM_SO_MOI'!$C$14)*721/'THAM_SO_MOI'!$C$42</f>
        <v>24.786086805555556</v>
      </c>
      <c r="G1528" s="75">
        <f>3.6*F1528</f>
        <v>89.2299125</v>
      </c>
      <c r="H1528" s="75">
        <f>'THAM_SO_MOI'!$D$53</f>
        <v>1.1</v>
      </c>
      <c r="I1528" s="75">
        <f>IF(F1528&gt;='THAM_SO_MOI'!$C$14,'THAM_SO_MOI'!$C$13*(1+F1528^2/1500),'THAM_SO_MOI'!$C$13)</f>
        <v>0.02114350099132535</v>
      </c>
      <c r="J1528" s="75">
        <f>'THAM_SO_MOI'!$C$40*('THAM_SO_MOI'!$C$23*(E1528/'THAM_SO_MOI'!$C$22)+'THAM_SO_MOI'!$C$24*(E1528/'THAM_SO_MOI'!$C$22)^2-'THAM_SO_MOI'!$C$25*(E1528/'THAM_SO_MOI'!$C$22)^3)</f>
        <v>109.03727603806185</v>
      </c>
      <c r="K1528" s="75">
        <f>'THAM_SO_MOI'!$C$31*J1528/E1528</f>
        <v>426.4499835309917</v>
      </c>
      <c r="L1528" s="75">
        <f>K1528*'THAM_SO_MOI'!$C$53*'THAM_SO_MOI'!$C$17/'THAM_SO_MOI'!$C$26</f>
        <v>3739.968024252174</v>
      </c>
      <c r="M1528" s="75">
        <f>'THAM_SO_MOI'!$C$15*'THAM_SO_MOI'!$C$16*F1528^2</f>
        <v>1796.9740399626655</v>
      </c>
      <c r="N1528" s="75">
        <f>'THAM_SO_MOI'!$C$12*I1528</f>
        <v>1592.9682794872451</v>
      </c>
      <c r="O1528" s="75">
        <f>M1528+N1528</f>
        <v>3389.9423194499104</v>
      </c>
      <c r="P1528" s="75">
        <f>(MIN(L1528,'THAM_SO_MOI'!$C$41)-O1528)/('THAM_SO_MOI'!$C$11*H1528)</f>
        <v>0.041432966951025496</v>
      </c>
      <c r="Q1528" s="75">
        <f>IF(P1528&gt;0,1/P1528,NA())</f>
        <v>24.135370300225368</v>
      </c>
      <c r="R1528" s="75">
        <f>F1528-F1527</f>
        <v>0.0035868055555567935</v>
      </c>
      <c r="S1528" s="75">
        <f>0.5*(Q1527+Q1528)*R1528</f>
        <v>0.08647796430410595</v>
      </c>
      <c r="T1528" s="75">
        <f>0.5*(F1527*Q1527+F1528*Q1528)*R1528</f>
        <v>2.143295403236866</v>
      </c>
      <c r="U1528" s="76">
        <f>U1527+S1528</f>
        <v>111.20336824774382</v>
      </c>
      <c r="V1528" s="76">
        <f>V1527+T1528</f>
        <v>2042.088625306837</v>
      </c>
    </row>
    <row r="1529" spans="1:22" ht="19" customHeight="1">
      <c r="A1529" s="68" t="s">
        <v>362</v>
      </c>
      <c r="B1529" s="74">
        <v>5</v>
      </c>
      <c r="C1529" s="68" t="s">
        <v>363</v>
      </c>
      <c r="D1529" s="68" t="s">
        <v>365</v>
      </c>
      <c r="E1529" s="75">
        <f>60*F1529*'THAM_SO_MOI'!$C$53/(2*PI()*'THAM_SO_MOI'!$C$26)</f>
        <v>2442.4352105263156</v>
      </c>
      <c r="F1529" s="75">
        <f>'THAM_SO_MOI'!$C$14+('THAM_SO_MOI'!$C$37-'THAM_SO_MOI'!$C$14)*722/'THAM_SO_MOI'!$C$42</f>
        <v>24.78967361111111</v>
      </c>
      <c r="G1529" s="75">
        <f>3.6*F1529</f>
        <v>89.242825</v>
      </c>
      <c r="H1529" s="75">
        <f>'THAM_SO_MOI'!$D$53</f>
        <v>1.1</v>
      </c>
      <c r="I1529" s="75">
        <f>IF(F1529&gt;='THAM_SO_MOI'!$C$14,'THAM_SO_MOI'!$C$13*(1+F1529^2/1500),'THAM_SO_MOI'!$C$13)</f>
        <v>0.021145279177454183</v>
      </c>
      <c r="J1529" s="75">
        <f>'THAM_SO_MOI'!$C$40*('THAM_SO_MOI'!$C$23*(E1529/'THAM_SO_MOI'!$C$22)+'THAM_SO_MOI'!$C$24*(E1529/'THAM_SO_MOI'!$C$22)^2-'THAM_SO_MOI'!$C$25*(E1529/'THAM_SO_MOI'!$C$22)^3)</f>
        <v>109.05063866009102</v>
      </c>
      <c r="K1529" s="75">
        <f>'THAM_SO_MOI'!$C$31*J1529/E1529</f>
        <v>426.44053498470447</v>
      </c>
      <c r="L1529" s="75">
        <f>K1529*'THAM_SO_MOI'!$C$53*'THAM_SO_MOI'!$C$17/'THAM_SO_MOI'!$C$26</f>
        <v>3739.885160464263</v>
      </c>
      <c r="M1529" s="75">
        <f>'THAM_SO_MOI'!$C$15*'THAM_SO_MOI'!$C$16*F1529^2</f>
        <v>1797.4941594053494</v>
      </c>
      <c r="N1529" s="75">
        <f>'THAM_SO_MOI'!$C$12*I1529</f>
        <v>1593.1022494527401</v>
      </c>
      <c r="O1529" s="75">
        <f>M1529+N1529</f>
        <v>3390.5964088580895</v>
      </c>
      <c r="P1529" s="75">
        <f>(MIN(L1529,'THAM_SO_MOI'!$C$41)-O1529)/('THAM_SO_MOI'!$C$11*H1529)</f>
        <v>0.04134573290792776</v>
      </c>
      <c r="Q1529" s="75">
        <f>IF(P1529&gt;0,1/P1529,NA())</f>
        <v>24.186292748199342</v>
      </c>
      <c r="R1529" s="75">
        <f>F1529-F1528</f>
        <v>0.0035868055555532408</v>
      </c>
      <c r="S1529" s="75">
        <f>0.5*(Q1528+Q1529)*R1529</f>
        <v>0.08666020473783075</v>
      </c>
      <c r="T1529" s="75">
        <f>0.5*(F1528*Q1528+F1529*Q1529)*R1529</f>
        <v>2.1481229376525293</v>
      </c>
      <c r="U1529" s="76">
        <f>U1528+S1529</f>
        <v>111.29002845248165</v>
      </c>
      <c r="V1529" s="76">
        <f>V1528+T1529</f>
        <v>2044.2367482444895</v>
      </c>
    </row>
    <row r="1530" spans="1:22" ht="19" customHeight="1">
      <c r="A1530" s="68" t="s">
        <v>362</v>
      </c>
      <c r="B1530" s="74">
        <v>5</v>
      </c>
      <c r="C1530" s="68" t="s">
        <v>363</v>
      </c>
      <c r="D1530" s="68" t="s">
        <v>365</v>
      </c>
      <c r="E1530" s="75">
        <f>60*F1530*'THAM_SO_MOI'!$C$53/(2*PI()*'THAM_SO_MOI'!$C$26)</f>
        <v>2442.7886052631575</v>
      </c>
      <c r="F1530" s="75">
        <f>'THAM_SO_MOI'!$C$14+('THAM_SO_MOI'!$C$37-'THAM_SO_MOI'!$C$14)*723/'THAM_SO_MOI'!$C$42</f>
        <v>24.793260416666666</v>
      </c>
      <c r="G1530" s="75">
        <f>3.6*F1530</f>
        <v>89.2557375</v>
      </c>
      <c r="H1530" s="75">
        <f>'THAM_SO_MOI'!$D$53</f>
        <v>1.1</v>
      </c>
      <c r="I1530" s="75">
        <f>IF(F1530&gt;='THAM_SO_MOI'!$C$14,'THAM_SO_MOI'!$C$13*(1+F1530^2/1500),'THAM_SO_MOI'!$C$13)</f>
        <v>0.0211470576208865</v>
      </c>
      <c r="J1530" s="75">
        <f>'THAM_SO_MOI'!$C$40*('THAM_SO_MOI'!$C$23*(E1530/'THAM_SO_MOI'!$C$22)+'THAM_SO_MOI'!$C$24*(E1530/'THAM_SO_MOI'!$C$22)^2-'THAM_SO_MOI'!$C$25*(E1530/'THAM_SO_MOI'!$C$22)^3)</f>
        <v>109.06399748413587</v>
      </c>
      <c r="K1530" s="75">
        <f>'THAM_SO_MOI'!$C$31*J1530/E1530</f>
        <v>426.4310743224328</v>
      </c>
      <c r="L1530" s="75">
        <f>K1530*'THAM_SO_MOI'!$C$53*'THAM_SO_MOI'!$C$17/'THAM_SO_MOI'!$C$26</f>
        <v>3739.802190419121</v>
      </c>
      <c r="M1530" s="75">
        <f>'THAM_SO_MOI'!$C$15*'THAM_SO_MOI'!$C$16*F1530^2</f>
        <v>1798.0143541093016</v>
      </c>
      <c r="N1530" s="75">
        <f>'THAM_SO_MOI'!$C$12*I1530</f>
        <v>1593.2362388036856</v>
      </c>
      <c r="O1530" s="75">
        <f>M1530+N1530</f>
        <v>3391.2505929129875</v>
      </c>
      <c r="P1530" s="75">
        <f>(MIN(L1530,'THAM_SO_MOI'!$C$41)-O1530)/('THAM_SO_MOI'!$C$11*H1530)</f>
        <v>0.041258475083585905</v>
      </c>
      <c r="Q1530" s="75">
        <f>IF(P1530&gt;0,1/P1530,NA())</f>
        <v>24.237444500168543</v>
      </c>
      <c r="R1530" s="75">
        <f>F1530-F1529</f>
        <v>0.0035868055555567935</v>
      </c>
      <c r="S1530" s="75">
        <f>0.5*(Q1529+Q1530)*R1530</f>
        <v>0.08684326489163419</v>
      </c>
      <c r="T1530" s="75">
        <f>0.5*(F1529*Q1529+F1530*Q1530)*R1530</f>
        <v>2.1529721014584124</v>
      </c>
      <c r="U1530" s="76">
        <f>U1529+S1530</f>
        <v>111.37687171737329</v>
      </c>
      <c r="V1530" s="76">
        <f>V1529+T1530</f>
        <v>2046.3897203459478</v>
      </c>
    </row>
    <row r="1531" spans="1:22" ht="19" customHeight="1">
      <c r="A1531" s="68" t="s">
        <v>362</v>
      </c>
      <c r="B1531" s="74">
        <v>5</v>
      </c>
      <c r="C1531" s="68" t="s">
        <v>363</v>
      </c>
      <c r="D1531" s="68" t="s">
        <v>365</v>
      </c>
      <c r="E1531" s="75">
        <f>60*F1531*'THAM_SO_MOI'!$C$53/(2*PI()*'THAM_SO_MOI'!$C$26)</f>
        <v>2443.1419999999994</v>
      </c>
      <c r="F1531" s="75">
        <f>'THAM_SO_MOI'!$C$14+('THAM_SO_MOI'!$C$37-'THAM_SO_MOI'!$C$14)*724/'THAM_SO_MOI'!$C$42</f>
        <v>24.79684722222222</v>
      </c>
      <c r="G1531" s="75">
        <f>3.6*F1531</f>
        <v>89.26865</v>
      </c>
      <c r="H1531" s="75">
        <f>'THAM_SO_MOI'!$D$53</f>
        <v>1.1</v>
      </c>
      <c r="I1531" s="75">
        <f>IF(F1531&gt;='THAM_SO_MOI'!$C$14,'THAM_SO_MOI'!$C$13*(1+F1531^2/1500),'THAM_SO_MOI'!$C$13)</f>
        <v>0.021148836321622295</v>
      </c>
      <c r="J1531" s="75">
        <f>'THAM_SO_MOI'!$C$40*('THAM_SO_MOI'!$C$23*(E1531/'THAM_SO_MOI'!$C$22)+'THAM_SO_MOI'!$C$24*(E1531/'THAM_SO_MOI'!$C$22)^2-'THAM_SO_MOI'!$C$25*(E1531/'THAM_SO_MOI'!$C$22)^3)</f>
        <v>109.07735250885155</v>
      </c>
      <c r="K1531" s="75">
        <f>'THAM_SO_MOI'!$C$31*J1531/E1531</f>
        <v>426.42160154417684</v>
      </c>
      <c r="L1531" s="75">
        <f>K1531*'THAM_SO_MOI'!$C$53*'THAM_SO_MOI'!$C$17/'THAM_SO_MOI'!$C$26</f>
        <v>3739.71911411675</v>
      </c>
      <c r="M1531" s="75">
        <f>'THAM_SO_MOI'!$C$15*'THAM_SO_MOI'!$C$16*F1531^2</f>
        <v>1798.5346240745223</v>
      </c>
      <c r="N1531" s="75">
        <f>'THAM_SO_MOI'!$C$12*I1531</f>
        <v>1593.3702475400812</v>
      </c>
      <c r="O1531" s="75">
        <f>M1531+N1531</f>
        <v>3391.9048716146035</v>
      </c>
      <c r="P1531" s="75">
        <f>(MIN(L1531,'THAM_SO_MOI'!$C$41)-O1531)/('THAM_SO_MOI'!$C$11*H1531)</f>
        <v>0.041171193478000294</v>
      </c>
      <c r="Q1531" s="75">
        <f>IF(P1531&gt;0,1/P1531,NA())</f>
        <v>24.288827102725286</v>
      </c>
      <c r="R1531" s="75">
        <f>F1531-F1530</f>
        <v>0.0035868055555532408</v>
      </c>
      <c r="S1531" s="75">
        <f>0.5*(Q1530+Q1531)*R1531</f>
        <v>0.08702715028777253</v>
      </c>
      <c r="T1531" s="75">
        <f>0.5*(F1530*Q1530+F1531*Q1531)*R1531</f>
        <v>2.1578430403997313</v>
      </c>
      <c r="U1531" s="76">
        <f>U1530+S1531</f>
        <v>111.46389886766106</v>
      </c>
      <c r="V1531" s="76">
        <f>V1530+T1531</f>
        <v>2048.5475633863475</v>
      </c>
    </row>
    <row r="1532" spans="1:22" ht="19" customHeight="1">
      <c r="A1532" s="68" t="s">
        <v>362</v>
      </c>
      <c r="B1532" s="74">
        <v>5</v>
      </c>
      <c r="C1532" s="68" t="s">
        <v>363</v>
      </c>
      <c r="D1532" s="68" t="s">
        <v>365</v>
      </c>
      <c r="E1532" s="75">
        <f>60*F1532*'THAM_SO_MOI'!$C$53/(2*PI()*'THAM_SO_MOI'!$C$26)</f>
        <v>2443.4953947368413</v>
      </c>
      <c r="F1532" s="75">
        <f>'THAM_SO_MOI'!$C$14+('THAM_SO_MOI'!$C$37-'THAM_SO_MOI'!$C$14)*725/'THAM_SO_MOI'!$C$42</f>
        <v>24.800434027777776</v>
      </c>
      <c r="G1532" s="75">
        <f>3.6*F1532</f>
        <v>89.28156249999999</v>
      </c>
      <c r="H1532" s="75">
        <f>'THAM_SO_MOI'!$D$53</f>
        <v>1.1</v>
      </c>
      <c r="I1532" s="75">
        <f>IF(F1532&gt;='THAM_SO_MOI'!$C$14,'THAM_SO_MOI'!$C$13*(1+F1532^2/1500),'THAM_SO_MOI'!$C$13)</f>
        <v>0.021150615279661576</v>
      </c>
      <c r="J1532" s="75">
        <f>'THAM_SO_MOI'!$C$40*('THAM_SO_MOI'!$C$23*(E1532/'THAM_SO_MOI'!$C$22)+'THAM_SO_MOI'!$C$24*(E1532/'THAM_SO_MOI'!$C$22)^2-'THAM_SO_MOI'!$C$25*(E1532/'THAM_SO_MOI'!$C$22)^3)</f>
        <v>109.09070373289308</v>
      </c>
      <c r="K1532" s="75">
        <f>'THAM_SO_MOI'!$C$31*J1532/E1532</f>
        <v>426.41211664993614</v>
      </c>
      <c r="L1532" s="75">
        <f>K1532*'THAM_SO_MOI'!$C$53*'THAM_SO_MOI'!$C$17/'THAM_SO_MOI'!$C$26</f>
        <v>3739.6359315571444</v>
      </c>
      <c r="M1532" s="75">
        <f>'THAM_SO_MOI'!$C$15*'THAM_SO_MOI'!$C$16*F1532^2</f>
        <v>1799.0549693010116</v>
      </c>
      <c r="N1532" s="75">
        <f>'THAM_SO_MOI'!$C$12*I1532</f>
        <v>1593.5042756619268</v>
      </c>
      <c r="O1532" s="75">
        <f>M1532+N1532</f>
        <v>3392.5592449629385</v>
      </c>
      <c r="P1532" s="75">
        <f>(MIN(L1532,'THAM_SO_MOI'!$C$41)-O1532)/('THAM_SO_MOI'!$C$11*H1532)</f>
        <v>0.041083888091170216</v>
      </c>
      <c r="Q1532" s="75">
        <f>IF(P1532&gt;0,1/P1532,NA())</f>
        <v>24.34044211640526</v>
      </c>
      <c r="R1532" s="75">
        <f>F1532-F1531</f>
        <v>0.0035868055555567935</v>
      </c>
      <c r="S1532" s="75">
        <f>0.5*(Q1531+Q1532)*R1532</f>
        <v>0.08721186649892221</v>
      </c>
      <c r="T1532" s="75">
        <f>0.5*(F1531*Q1531+F1532*Q1532)*R1532</f>
        <v>2.1627359015512826</v>
      </c>
      <c r="U1532" s="76">
        <f>U1531+S1532</f>
        <v>111.55111073415998</v>
      </c>
      <c r="V1532" s="76">
        <f>V1531+T1532</f>
        <v>2050.7102992878986</v>
      </c>
    </row>
    <row r="1533" spans="1:22" ht="19" customHeight="1">
      <c r="A1533" s="68" t="s">
        <v>362</v>
      </c>
      <c r="B1533" s="74">
        <v>5</v>
      </c>
      <c r="C1533" s="68" t="s">
        <v>363</v>
      </c>
      <c r="D1533" s="68" t="s">
        <v>365</v>
      </c>
      <c r="E1533" s="75">
        <f>60*F1533*'THAM_SO_MOI'!$C$53/(2*PI()*'THAM_SO_MOI'!$C$26)</f>
        <v>2443.8487894736836</v>
      </c>
      <c r="F1533" s="75">
        <f>'THAM_SO_MOI'!$C$14+('THAM_SO_MOI'!$C$37-'THAM_SO_MOI'!$C$14)*726/'THAM_SO_MOI'!$C$42</f>
        <v>24.804020833333333</v>
      </c>
      <c r="G1533" s="75">
        <f>3.6*F1533</f>
        <v>89.294475</v>
      </c>
      <c r="H1533" s="75">
        <f>'THAM_SO_MOI'!$D$53</f>
        <v>1.1</v>
      </c>
      <c r="I1533" s="75">
        <f>IF(F1533&gt;='THAM_SO_MOI'!$C$14,'THAM_SO_MOI'!$C$13*(1+F1533^2/1500),'THAM_SO_MOI'!$C$13)</f>
        <v>0.021152394495004338</v>
      </c>
      <c r="J1533" s="75">
        <f>'THAM_SO_MOI'!$C$40*('THAM_SO_MOI'!$C$23*(E1533/'THAM_SO_MOI'!$C$22)+'THAM_SO_MOI'!$C$24*(E1533/'THAM_SO_MOI'!$C$22)^2-'THAM_SO_MOI'!$C$25*(E1533/'THAM_SO_MOI'!$C$22)^3)</f>
        <v>109.10405115491567</v>
      </c>
      <c r="K1533" s="75">
        <f>'THAM_SO_MOI'!$C$31*J1533/E1533</f>
        <v>426.40261963971125</v>
      </c>
      <c r="L1533" s="75">
        <f>K1533*'THAM_SO_MOI'!$C$53*'THAM_SO_MOI'!$C$17/'THAM_SO_MOI'!$C$26</f>
        <v>3739.5526427403106</v>
      </c>
      <c r="M1533" s="75">
        <f>'THAM_SO_MOI'!$C$15*'THAM_SO_MOI'!$C$16*F1533^2</f>
        <v>1799.5753897887696</v>
      </c>
      <c r="N1533" s="75">
        <f>'THAM_SO_MOI'!$C$12*I1533</f>
        <v>1593.6383231692228</v>
      </c>
      <c r="O1533" s="75">
        <f>M1533+N1533</f>
        <v>3393.2137129579924</v>
      </c>
      <c r="P1533" s="75">
        <f>(MIN(L1533,'THAM_SO_MOI'!$C$41)-O1533)/('THAM_SO_MOI'!$C$11*H1533)</f>
        <v>0.040996558923096386</v>
      </c>
      <c r="Q1533" s="75">
        <f>IF(P1533&gt;0,1/P1533,NA())</f>
        <v>24.392291115843534</v>
      </c>
      <c r="R1533" s="75">
        <f>F1533-F1532</f>
        <v>0.0035868055555567935</v>
      </c>
      <c r="S1533" s="75">
        <f>0.5*(Q1532+Q1533)*R1533</f>
        <v>0.08739741914744857</v>
      </c>
      <c r="T1533" s="75">
        <f>0.5*(F1532*Q1532+F1533*Q1533)*R1533</f>
        <v>2.1676508333002116</v>
      </c>
      <c r="U1533" s="76">
        <f>U1532+S1533</f>
        <v>111.63850815330743</v>
      </c>
      <c r="V1533" s="76">
        <f>V1532+T1533</f>
        <v>2052.877950121199</v>
      </c>
    </row>
    <row r="1534" spans="1:22" ht="19" customHeight="1">
      <c r="A1534" s="68" t="s">
        <v>362</v>
      </c>
      <c r="B1534" s="74">
        <v>5</v>
      </c>
      <c r="C1534" s="68" t="s">
        <v>363</v>
      </c>
      <c r="D1534" s="68" t="s">
        <v>365</v>
      </c>
      <c r="E1534" s="75">
        <f>60*F1534*'THAM_SO_MOI'!$C$53/(2*PI()*'THAM_SO_MOI'!$C$26)</f>
        <v>2444.2021842105255</v>
      </c>
      <c r="F1534" s="75">
        <f>'THAM_SO_MOI'!$C$14+('THAM_SO_MOI'!$C$37-'THAM_SO_MOI'!$C$14)*727/'THAM_SO_MOI'!$C$42</f>
        <v>24.807607638888886</v>
      </c>
      <c r="G1534" s="75">
        <f>3.6*F1534</f>
        <v>89.30738749999999</v>
      </c>
      <c r="H1534" s="75">
        <f>'THAM_SO_MOI'!$D$53</f>
        <v>1.1</v>
      </c>
      <c r="I1534" s="75">
        <f>IF(F1534&gt;='THAM_SO_MOI'!$C$14,'THAM_SO_MOI'!$C$13*(1+F1534^2/1500),'THAM_SO_MOI'!$C$13)</f>
        <v>0.021154173967650583</v>
      </c>
      <c r="J1534" s="75">
        <f>'THAM_SO_MOI'!$C$40*('THAM_SO_MOI'!$C$23*(E1534/'THAM_SO_MOI'!$C$22)+'THAM_SO_MOI'!$C$24*(E1534/'THAM_SO_MOI'!$C$22)^2-'THAM_SO_MOI'!$C$25*(E1534/'THAM_SO_MOI'!$C$22)^3)</f>
        <v>109.11739477357435</v>
      </c>
      <c r="K1534" s="75">
        <f>'THAM_SO_MOI'!$C$31*J1534/E1534</f>
        <v>426.3931105135017</v>
      </c>
      <c r="L1534" s="75">
        <f>K1534*'THAM_SO_MOI'!$C$53*'THAM_SO_MOI'!$C$17/'THAM_SO_MOI'!$C$26</f>
        <v>3739.4692476662444</v>
      </c>
      <c r="M1534" s="75">
        <f>'THAM_SO_MOI'!$C$15*'THAM_SO_MOI'!$C$16*F1534^2</f>
        <v>1800.0958855377955</v>
      </c>
      <c r="N1534" s="75">
        <f>'THAM_SO_MOI'!$C$12*I1534</f>
        <v>1593.7723900619692</v>
      </c>
      <c r="O1534" s="75">
        <f>M1534+N1534</f>
        <v>3393.8682755997647</v>
      </c>
      <c r="P1534" s="75">
        <f>(MIN(L1534,'THAM_SO_MOI'!$C$41)-O1534)/('THAM_SO_MOI'!$C$11*H1534)</f>
        <v>0.040909205973778374</v>
      </c>
      <c r="Q1534" s="75">
        <f>IF(P1534&gt;0,1/P1534,NA())</f>
        <v>24.44437568993569</v>
      </c>
      <c r="R1534" s="75">
        <f>F1534-F1533</f>
        <v>0.0035868055555532408</v>
      </c>
      <c r="S1534" s="75">
        <f>0.5*(Q1533+Q1534)*R1534</f>
        <v>0.08758381390683573</v>
      </c>
      <c r="T1534" s="75">
        <f>0.5*(F1533*Q1533+F1534*Q1534)*R1534</f>
        <v>2.1725879853823704</v>
      </c>
      <c r="U1534" s="76">
        <f>U1533+S1534</f>
        <v>111.72609196721426</v>
      </c>
      <c r="V1534" s="76">
        <f>V1533+T1534</f>
        <v>2055.0505381065814</v>
      </c>
    </row>
    <row r="1535" spans="1:22" ht="19" customHeight="1">
      <c r="A1535" s="68" t="s">
        <v>362</v>
      </c>
      <c r="B1535" s="74">
        <v>5</v>
      </c>
      <c r="C1535" s="68" t="s">
        <v>363</v>
      </c>
      <c r="D1535" s="68" t="s">
        <v>365</v>
      </c>
      <c r="E1535" s="75">
        <f>60*F1535*'THAM_SO_MOI'!$C$53/(2*PI()*'THAM_SO_MOI'!$C$26)</f>
        <v>2444.555578947368</v>
      </c>
      <c r="F1535" s="75">
        <f>'THAM_SO_MOI'!$C$14+('THAM_SO_MOI'!$C$37-'THAM_SO_MOI'!$C$14)*728/'THAM_SO_MOI'!$C$42</f>
        <v>24.811194444444443</v>
      </c>
      <c r="G1535" s="75">
        <f>3.6*F1535</f>
        <v>89.32029999999999</v>
      </c>
      <c r="H1535" s="75">
        <f>'THAM_SO_MOI'!$D$53</f>
        <v>1.1</v>
      </c>
      <c r="I1535" s="75">
        <f>IF(F1535&gt;='THAM_SO_MOI'!$C$14,'THAM_SO_MOI'!$C$13*(1+F1535^2/1500),'THAM_SO_MOI'!$C$13)</f>
        <v>0.021155953697600306</v>
      </c>
      <c r="J1535" s="75">
        <f>'THAM_SO_MOI'!$C$40*('THAM_SO_MOI'!$C$23*(E1535/'THAM_SO_MOI'!$C$22)+'THAM_SO_MOI'!$C$24*(E1535/'THAM_SO_MOI'!$C$22)^2-'THAM_SO_MOI'!$C$25*(E1535/'THAM_SO_MOI'!$C$22)^3)</f>
        <v>109.13073458752426</v>
      </c>
      <c r="K1535" s="75">
        <f>'THAM_SO_MOI'!$C$31*J1535/E1535</f>
        <v>426.38358927130764</v>
      </c>
      <c r="L1535" s="75">
        <f>K1535*'THAM_SO_MOI'!$C$53*'THAM_SO_MOI'!$C$17/'THAM_SO_MOI'!$C$26</f>
        <v>3739.3857463349464</v>
      </c>
      <c r="M1535" s="75">
        <f>'THAM_SO_MOI'!$C$15*'THAM_SO_MOI'!$C$16*F1535^2</f>
        <v>1800.6164565480901</v>
      </c>
      <c r="N1535" s="75">
        <f>'THAM_SO_MOI'!$C$12*I1535</f>
        <v>1593.9064763401652</v>
      </c>
      <c r="O1535" s="75">
        <f>M1535+N1535</f>
        <v>3394.522932888255</v>
      </c>
      <c r="P1535" s="75">
        <f>(MIN(L1535,'THAM_SO_MOI'!$C$41)-O1535)/('THAM_SO_MOI'!$C$11*H1535)</f>
        <v>0.040821829243216264</v>
      </c>
      <c r="Q1535" s="75">
        <f>IF(P1535&gt;0,1/P1535,NA())</f>
        <v>24.496697441998613</v>
      </c>
      <c r="R1535" s="75">
        <f>F1535-F1534</f>
        <v>0.0035868055555567935</v>
      </c>
      <c r="S1535" s="75">
        <f>0.5*(Q1534+Q1535)*R1535</f>
        <v>0.08777105650226663</v>
      </c>
      <c r="T1535" s="75">
        <f>0.5*(F1534*Q1534+F1535*Q1535)*R1535</f>
        <v>2.17754750889763</v>
      </c>
      <c r="U1535" s="76">
        <f>U1534+S1535</f>
        <v>111.81386302371652</v>
      </c>
      <c r="V1535" s="76">
        <f>V1534+T1535</f>
        <v>2057.228085615479</v>
      </c>
    </row>
    <row r="1536" spans="1:22" ht="19" customHeight="1">
      <c r="A1536" s="68" t="s">
        <v>362</v>
      </c>
      <c r="B1536" s="74">
        <v>5</v>
      </c>
      <c r="C1536" s="68" t="s">
        <v>363</v>
      </c>
      <c r="D1536" s="68" t="s">
        <v>365</v>
      </c>
      <c r="E1536" s="75">
        <f>60*F1536*'THAM_SO_MOI'!$C$53/(2*PI()*'THAM_SO_MOI'!$C$26)</f>
        <v>2444.90897368421</v>
      </c>
      <c r="F1536" s="75">
        <f>'THAM_SO_MOI'!$C$14+('THAM_SO_MOI'!$C$37-'THAM_SO_MOI'!$C$14)*729/'THAM_SO_MOI'!$C$42</f>
        <v>24.81478125</v>
      </c>
      <c r="G1536" s="75">
        <f>3.6*F1536</f>
        <v>89.3332125</v>
      </c>
      <c r="H1536" s="75">
        <f>'THAM_SO_MOI'!$D$53</f>
        <v>1.1</v>
      </c>
      <c r="I1536" s="75">
        <f>IF(F1536&gt;='THAM_SO_MOI'!$C$14,'THAM_SO_MOI'!$C$13*(1+F1536^2/1500),'THAM_SO_MOI'!$C$13)</f>
        <v>0.021157733684853516</v>
      </c>
      <c r="J1536" s="75">
        <f>'THAM_SO_MOI'!$C$40*('THAM_SO_MOI'!$C$23*(E1536/'THAM_SO_MOI'!$C$22)+'THAM_SO_MOI'!$C$24*(E1536/'THAM_SO_MOI'!$C$22)^2-'THAM_SO_MOI'!$C$25*(E1536/'THAM_SO_MOI'!$C$22)^3)</f>
        <v>109.14407059542054</v>
      </c>
      <c r="K1536" s="75">
        <f>'THAM_SO_MOI'!$C$31*J1536/E1536</f>
        <v>426.37405591312927</v>
      </c>
      <c r="L1536" s="75">
        <f>K1536*'THAM_SO_MOI'!$C$53*'THAM_SO_MOI'!$C$17/'THAM_SO_MOI'!$C$26</f>
        <v>3739.302138746418</v>
      </c>
      <c r="M1536" s="75">
        <f>'THAM_SO_MOI'!$C$15*'THAM_SO_MOI'!$C$16*F1536^2</f>
        <v>1801.1371028196531</v>
      </c>
      <c r="N1536" s="75">
        <f>'THAM_SO_MOI'!$C$12*I1536</f>
        <v>1594.0405820038118</v>
      </c>
      <c r="O1536" s="75">
        <f>M1536+N1536</f>
        <v>3395.177684823465</v>
      </c>
      <c r="P1536" s="75">
        <f>(MIN(L1536,'THAM_SO_MOI'!$C$41)-O1536)/('THAM_SO_MOI'!$C$11*H1536)</f>
        <v>0.04073442873141019</v>
      </c>
      <c r="Q1536" s="75">
        <f>IF(P1536&gt;0,1/P1536,NA())</f>
        <v>24.549257989934766</v>
      </c>
      <c r="R1536" s="75">
        <f>F1536-F1535</f>
        <v>0.0035868055555567935</v>
      </c>
      <c r="S1536" s="75">
        <f>0.5*(Q1535+Q1536)*R1536</f>
        <v>0.08795915271042477</v>
      </c>
      <c r="T1536" s="75">
        <f>0.5*(F1535*Q1535+F1536*Q1536)*R1536</f>
        <v>2.1825295563058833</v>
      </c>
      <c r="U1536" s="76">
        <f>U1535+S1536</f>
        <v>111.90182217642695</v>
      </c>
      <c r="V1536" s="76">
        <f>V1535+T1536</f>
        <v>2059.4106151717847</v>
      </c>
    </row>
    <row r="1537" spans="1:22" ht="19" customHeight="1">
      <c r="A1537" s="68" t="s">
        <v>362</v>
      </c>
      <c r="B1537" s="74">
        <v>5</v>
      </c>
      <c r="C1537" s="68" t="s">
        <v>363</v>
      </c>
      <c r="D1537" s="68" t="s">
        <v>365</v>
      </c>
      <c r="E1537" s="75">
        <f>60*F1537*'THAM_SO_MOI'!$C$53/(2*PI()*'THAM_SO_MOI'!$C$26)</f>
        <v>2445.262368421052</v>
      </c>
      <c r="F1537" s="75">
        <f>'THAM_SO_MOI'!$C$14+('THAM_SO_MOI'!$C$37-'THAM_SO_MOI'!$C$14)*730/'THAM_SO_MOI'!$C$42</f>
        <v>24.818368055555553</v>
      </c>
      <c r="G1537" s="75">
        <f>3.6*F1537</f>
        <v>89.34612499999999</v>
      </c>
      <c r="H1537" s="75">
        <f>'THAM_SO_MOI'!$D$53</f>
        <v>1.1</v>
      </c>
      <c r="I1537" s="75">
        <f>IF(F1537&gt;='THAM_SO_MOI'!$C$14,'THAM_SO_MOI'!$C$13*(1+F1537^2/1500),'THAM_SO_MOI'!$C$13)</f>
        <v>0.021159513929410203</v>
      </c>
      <c r="J1537" s="75">
        <f>'THAM_SO_MOI'!$C$40*('THAM_SO_MOI'!$C$23*(E1537/'THAM_SO_MOI'!$C$22)+'THAM_SO_MOI'!$C$24*(E1537/'THAM_SO_MOI'!$C$22)^2-'THAM_SO_MOI'!$C$25*(E1537/'THAM_SO_MOI'!$C$22)^3)</f>
        <v>109.15740279591827</v>
      </c>
      <c r="K1537" s="75">
        <f>'THAM_SO_MOI'!$C$31*J1537/E1537</f>
        <v>426.3645104389664</v>
      </c>
      <c r="L1537" s="75">
        <f>K1537*'THAM_SO_MOI'!$C$53*'THAM_SO_MOI'!$C$17/'THAM_SO_MOI'!$C$26</f>
        <v>3739.218424900659</v>
      </c>
      <c r="M1537" s="75">
        <f>'THAM_SO_MOI'!$C$15*'THAM_SO_MOI'!$C$16*F1537^2</f>
        <v>1801.6578243524846</v>
      </c>
      <c r="N1537" s="75">
        <f>'THAM_SO_MOI'!$C$12*I1537</f>
        <v>1594.1747070529084</v>
      </c>
      <c r="O1537" s="75">
        <f>M1537+N1537</f>
        <v>3395.8325314053927</v>
      </c>
      <c r="P1537" s="75">
        <f>(MIN(L1537,'THAM_SO_MOI'!$C$41)-O1537)/('THAM_SO_MOI'!$C$11*H1537)</f>
        <v>0.040647004438360106</v>
      </c>
      <c r="Q1537" s="75">
        <f>IF(P1537&gt;0,1/P1537,NA())</f>
        <v>24.602058966398577</v>
      </c>
      <c r="R1537" s="75">
        <f>F1537-F1536</f>
        <v>0.0035868055555532408</v>
      </c>
      <c r="S1537" s="75">
        <f>0.5*(Q1536+Q1537)*R1537</f>
        <v>0.08814810836086732</v>
      </c>
      <c r="T1537" s="75">
        <f>0.5*(F1536*Q1536+F1537*Q1537)*R1537</f>
        <v>2.1875342814620473</v>
      </c>
      <c r="U1537" s="76">
        <f>U1536+S1537</f>
        <v>111.98997028478782</v>
      </c>
      <c r="V1537" s="76">
        <f>V1536+T1537</f>
        <v>2061.5981494532466</v>
      </c>
    </row>
    <row r="1538" spans="1:22" ht="19" customHeight="1">
      <c r="A1538" s="68" t="s">
        <v>362</v>
      </c>
      <c r="B1538" s="74">
        <v>5</v>
      </c>
      <c r="C1538" s="68" t="s">
        <v>363</v>
      </c>
      <c r="D1538" s="68" t="s">
        <v>365</v>
      </c>
      <c r="E1538" s="75">
        <f>60*F1538*'THAM_SO_MOI'!$C$53/(2*PI()*'THAM_SO_MOI'!$C$26)</f>
        <v>2445.615763157894</v>
      </c>
      <c r="F1538" s="75">
        <f>'THAM_SO_MOI'!$C$14+('THAM_SO_MOI'!$C$37-'THAM_SO_MOI'!$C$14)*731/'THAM_SO_MOI'!$C$42</f>
        <v>24.82195486111111</v>
      </c>
      <c r="G1538" s="75">
        <f>3.6*F1538</f>
        <v>89.3590375</v>
      </c>
      <c r="H1538" s="75">
        <f>'THAM_SO_MOI'!$D$53</f>
        <v>1.1</v>
      </c>
      <c r="I1538" s="75">
        <f>IF(F1538&gt;='THAM_SO_MOI'!$C$14,'THAM_SO_MOI'!$C$13*(1+F1538^2/1500),'THAM_SO_MOI'!$C$13)</f>
        <v>0.021161294431270374</v>
      </c>
      <c r="J1538" s="75">
        <f>'THAM_SO_MOI'!$C$40*('THAM_SO_MOI'!$C$23*(E1538/'THAM_SO_MOI'!$C$22)+'THAM_SO_MOI'!$C$24*(E1538/'THAM_SO_MOI'!$C$22)^2-'THAM_SO_MOI'!$C$25*(E1538/'THAM_SO_MOI'!$C$22)^3)</f>
        <v>109.1707311876726</v>
      </c>
      <c r="K1538" s="75">
        <f>'THAM_SO_MOI'!$C$31*J1538/E1538</f>
        <v>426.35495284881927</v>
      </c>
      <c r="L1538" s="75">
        <f>K1538*'THAM_SO_MOI'!$C$53*'THAM_SO_MOI'!$C$17/'THAM_SO_MOI'!$C$26</f>
        <v>3739.1346047976695</v>
      </c>
      <c r="M1538" s="75">
        <f>'THAM_SO_MOI'!$C$15*'THAM_SO_MOI'!$C$16*F1538^2</f>
        <v>1802.1786211465849</v>
      </c>
      <c r="N1538" s="75">
        <f>'THAM_SO_MOI'!$C$12*I1538</f>
        <v>1594.308851487455</v>
      </c>
      <c r="O1538" s="75">
        <f>M1538+N1538</f>
        <v>3396.48747263404</v>
      </c>
      <c r="P1538" s="75">
        <f>(MIN(L1538,'THAM_SO_MOI'!$C$41)-O1538)/('THAM_SO_MOI'!$C$11*H1538)</f>
        <v>0.040559556364065996</v>
      </c>
      <c r="Q1538" s="75">
        <f>IF(P1538&gt;0,1/P1538,NA())</f>
        <v>24.655102018964797</v>
      </c>
      <c r="R1538" s="75">
        <f>F1538-F1537</f>
        <v>0.0035868055555567935</v>
      </c>
      <c r="S1538" s="75">
        <f>0.5*(Q1537+Q1538)*R1538</f>
        <v>0.08833792933662833</v>
      </c>
      <c r="T1538" s="75">
        <f>0.5*(F1537*Q1537+F1538*Q1538)*R1538</f>
        <v>2.1925618396319826</v>
      </c>
      <c r="U1538" s="76">
        <f>U1537+S1538</f>
        <v>112.07830821412445</v>
      </c>
      <c r="V1538" s="76">
        <f>V1537+T1538</f>
        <v>2063.7907112928788</v>
      </c>
    </row>
    <row r="1539" spans="1:22" ht="19" customHeight="1">
      <c r="A1539" s="68" t="s">
        <v>362</v>
      </c>
      <c r="B1539" s="74">
        <v>5</v>
      </c>
      <c r="C1539" s="68" t="s">
        <v>363</v>
      </c>
      <c r="D1539" s="68" t="s">
        <v>365</v>
      </c>
      <c r="E1539" s="75">
        <f>60*F1539*'THAM_SO_MOI'!$C$53/(2*PI()*'THAM_SO_MOI'!$C$26)</f>
        <v>2445.9691578947363</v>
      </c>
      <c r="F1539" s="75">
        <f>'THAM_SO_MOI'!$C$14+('THAM_SO_MOI'!$C$37-'THAM_SO_MOI'!$C$14)*732/'THAM_SO_MOI'!$C$42</f>
        <v>24.825541666666666</v>
      </c>
      <c r="G1539" s="75">
        <f>3.6*F1539</f>
        <v>89.37195</v>
      </c>
      <c r="H1539" s="75">
        <f>'THAM_SO_MOI'!$D$53</f>
        <v>1.1</v>
      </c>
      <c r="I1539" s="75">
        <f>IF(F1539&gt;='THAM_SO_MOI'!$C$14,'THAM_SO_MOI'!$C$13*(1+F1539^2/1500),'THAM_SO_MOI'!$C$13)</f>
        <v>0.021163075190434026</v>
      </c>
      <c r="J1539" s="75">
        <f>'THAM_SO_MOI'!$C$40*('THAM_SO_MOI'!$C$23*(E1539/'THAM_SO_MOI'!$C$22)+'THAM_SO_MOI'!$C$24*(E1539/'THAM_SO_MOI'!$C$22)^2-'THAM_SO_MOI'!$C$25*(E1539/'THAM_SO_MOI'!$C$22)^3)</f>
        <v>109.18405576933854</v>
      </c>
      <c r="K1539" s="75">
        <f>'THAM_SO_MOI'!$C$31*J1539/E1539</f>
        <v>426.34538314268735</v>
      </c>
      <c r="L1539" s="75">
        <f>K1539*'THAM_SO_MOI'!$C$53*'THAM_SO_MOI'!$C$17/'THAM_SO_MOI'!$C$26</f>
        <v>3739.0506784374465</v>
      </c>
      <c r="M1539" s="75">
        <f>'THAM_SO_MOI'!$C$15*'THAM_SO_MOI'!$C$16*F1539^2</f>
        <v>1802.6994932019531</v>
      </c>
      <c r="N1539" s="75">
        <f>'THAM_SO_MOI'!$C$12*I1539</f>
        <v>1594.443015307452</v>
      </c>
      <c r="O1539" s="75">
        <f>M1539+N1539</f>
        <v>3397.142508509405</v>
      </c>
      <c r="P1539" s="75">
        <f>(MIN(L1539,'THAM_SO_MOI'!$C$41)-O1539)/('THAM_SO_MOI'!$C$11*H1539)</f>
        <v>0.04047208450852763</v>
      </c>
      <c r="Q1539" s="75">
        <f>IF(P1539&gt;0,1/P1539,NA())</f>
        <v>24.708388810299507</v>
      </c>
      <c r="R1539" s="75">
        <f>F1539-F1538</f>
        <v>0.0035868055555567935</v>
      </c>
      <c r="S1539" s="75">
        <f>0.5*(Q1538+Q1539)*R1539</f>
        <v>0.08852862157404102</v>
      </c>
      <c r="T1539" s="75">
        <f>0.5*(F1538*Q1538+F1539*Q1539)*R1539</f>
        <v>2.197612387489039</v>
      </c>
      <c r="U1539" s="76">
        <f>U1538+S1539</f>
        <v>112.16683683569849</v>
      </c>
      <c r="V1539" s="76">
        <f>V1538+T1539</f>
        <v>2065.988323680368</v>
      </c>
    </row>
    <row r="1540" spans="1:22" ht="19" customHeight="1">
      <c r="A1540" s="68" t="s">
        <v>362</v>
      </c>
      <c r="B1540" s="74">
        <v>5</v>
      </c>
      <c r="C1540" s="68" t="s">
        <v>363</v>
      </c>
      <c r="D1540" s="68" t="s">
        <v>365</v>
      </c>
      <c r="E1540" s="75">
        <f>60*F1540*'THAM_SO_MOI'!$C$53/(2*PI()*'THAM_SO_MOI'!$C$26)</f>
        <v>2446.3225526315778</v>
      </c>
      <c r="F1540" s="75">
        <f>'THAM_SO_MOI'!$C$14+('THAM_SO_MOI'!$C$37-'THAM_SO_MOI'!$C$14)*733/'THAM_SO_MOI'!$C$42</f>
        <v>24.82912847222222</v>
      </c>
      <c r="G1540" s="75">
        <f>3.6*F1540</f>
        <v>89.3848625</v>
      </c>
      <c r="H1540" s="75">
        <f>'THAM_SO_MOI'!$D$53</f>
        <v>1.1</v>
      </c>
      <c r="I1540" s="75">
        <f>IF(F1540&gt;='THAM_SO_MOI'!$C$14,'THAM_SO_MOI'!$C$13*(1+F1540^2/1500),'THAM_SO_MOI'!$C$13)</f>
        <v>0.02116485620690116</v>
      </c>
      <c r="J1540" s="75">
        <f>'THAM_SO_MOI'!$C$40*('THAM_SO_MOI'!$C$23*(E1540/'THAM_SO_MOI'!$C$22)+'THAM_SO_MOI'!$C$24*(E1540/'THAM_SO_MOI'!$C$22)^2-'THAM_SO_MOI'!$C$25*(E1540/'THAM_SO_MOI'!$C$22)^3)</f>
        <v>109.19737653957128</v>
      </c>
      <c r="K1540" s="75">
        <f>'THAM_SO_MOI'!$C$31*J1540/E1540</f>
        <v>426.33580132057114</v>
      </c>
      <c r="L1540" s="75">
        <f>K1540*'THAM_SO_MOI'!$C$53*'THAM_SO_MOI'!$C$17/'THAM_SO_MOI'!$C$26</f>
        <v>3738.9666458199945</v>
      </c>
      <c r="M1540" s="75">
        <f>'THAM_SO_MOI'!$C$15*'THAM_SO_MOI'!$C$16*F1540^2</f>
        <v>1803.2204405185898</v>
      </c>
      <c r="N1540" s="75">
        <f>'THAM_SO_MOI'!$C$12*I1540</f>
        <v>1594.5771985128988</v>
      </c>
      <c r="O1540" s="75">
        <f>M1540+N1540</f>
        <v>3397.797639031489</v>
      </c>
      <c r="P1540" s="75">
        <f>(MIN(L1540,'THAM_SO_MOI'!$C$41)-O1540)/('THAM_SO_MOI'!$C$11*H1540)</f>
        <v>0.04038458887174548</v>
      </c>
      <c r="Q1540" s="75">
        <f>IF(P1540&gt;0,1/P1540,NA())</f>
        <v>24.761921018332718</v>
      </c>
      <c r="R1540" s="75">
        <f>F1540-F1539</f>
        <v>0.0035868055555532408</v>
      </c>
      <c r="S1540" s="75">
        <f>0.5*(Q1539+Q1540)*R1540</f>
        <v>0.08872019106413907</v>
      </c>
      <c r="T1540" s="75">
        <f>0.5*(F1539*Q1539+F1540*Q1540)*R1540</f>
        <v>2.2026860831498056</v>
      </c>
      <c r="U1540" s="76">
        <f>U1539+S1540</f>
        <v>112.25555702676263</v>
      </c>
      <c r="V1540" s="76">
        <f>V1539+T1540</f>
        <v>2068.1910097635177</v>
      </c>
    </row>
    <row r="1541" spans="1:22" ht="19" customHeight="1">
      <c r="A1541" s="68" t="s">
        <v>362</v>
      </c>
      <c r="B1541" s="74">
        <v>5</v>
      </c>
      <c r="C1541" s="68" t="s">
        <v>363</v>
      </c>
      <c r="D1541" s="68" t="s">
        <v>365</v>
      </c>
      <c r="E1541" s="75">
        <f>60*F1541*'THAM_SO_MOI'!$C$53/(2*PI()*'THAM_SO_MOI'!$C$26)</f>
        <v>2446.67594736842</v>
      </c>
      <c r="F1541" s="75">
        <f>'THAM_SO_MOI'!$C$14+('THAM_SO_MOI'!$C$37-'THAM_SO_MOI'!$C$14)*734/'THAM_SO_MOI'!$C$42</f>
        <v>24.832715277777776</v>
      </c>
      <c r="G1541" s="75">
        <f>3.6*F1541</f>
        <v>89.397775</v>
      </c>
      <c r="H1541" s="75">
        <f>'THAM_SO_MOI'!$D$53</f>
        <v>1.1</v>
      </c>
      <c r="I1541" s="75">
        <f>IF(F1541&gt;='THAM_SO_MOI'!$C$14,'THAM_SO_MOI'!$C$13*(1+F1541^2/1500),'THAM_SO_MOI'!$C$13)</f>
        <v>0.021166637480671775</v>
      </c>
      <c r="J1541" s="75">
        <f>'THAM_SO_MOI'!$C$40*('THAM_SO_MOI'!$C$23*(E1541/'THAM_SO_MOI'!$C$22)+'THAM_SO_MOI'!$C$24*(E1541/'THAM_SO_MOI'!$C$22)^2-'THAM_SO_MOI'!$C$25*(E1541/'THAM_SO_MOI'!$C$22)^3)</f>
        <v>109.21069349702594</v>
      </c>
      <c r="K1541" s="75">
        <f>'THAM_SO_MOI'!$C$31*J1541/E1541</f>
        <v>426.32620738247044</v>
      </c>
      <c r="L1541" s="75">
        <f>K1541*'THAM_SO_MOI'!$C$53*'THAM_SO_MOI'!$C$17/'THAM_SO_MOI'!$C$26</f>
        <v>3738.8825069453105</v>
      </c>
      <c r="M1541" s="75">
        <f>'THAM_SO_MOI'!$C$15*'THAM_SO_MOI'!$C$16*F1541^2</f>
        <v>1803.7414630964952</v>
      </c>
      <c r="N1541" s="75">
        <f>'THAM_SO_MOI'!$C$12*I1541</f>
        <v>1594.711401103796</v>
      </c>
      <c r="O1541" s="75">
        <f>M1541+N1541</f>
        <v>3398.4528642002915</v>
      </c>
      <c r="P1541" s="75">
        <f>(MIN(L1541,'THAM_SO_MOI'!$C$41)-O1541)/('THAM_SO_MOI'!$C$11*H1541)</f>
        <v>0.040297069453719137</v>
      </c>
      <c r="Q1541" s="75">
        <f>IF(P1541&gt;0,1/P1541,NA())</f>
        <v>24.815700336434936</v>
      </c>
      <c r="R1541" s="75">
        <f>F1541-F1540</f>
        <v>0.0035868055555567935</v>
      </c>
      <c r="S1541" s="75">
        <f>0.5*(Q1540+Q1541)*R1541</f>
        <v>0.08891264385328587</v>
      </c>
      <c r="T1541" s="75">
        <f>0.5*(F1540*Q1540+F1541*Q1541)*R1541</f>
        <v>2.207783086190713</v>
      </c>
      <c r="U1541" s="76">
        <f>U1540+S1541</f>
        <v>112.34446967061592</v>
      </c>
      <c r="V1541" s="76">
        <f>V1540+T1541</f>
        <v>2070.3987928497086</v>
      </c>
    </row>
    <row r="1542" spans="1:22" ht="19" customHeight="1">
      <c r="A1542" s="68" t="s">
        <v>362</v>
      </c>
      <c r="B1542" s="74">
        <v>5</v>
      </c>
      <c r="C1542" s="68" t="s">
        <v>363</v>
      </c>
      <c r="D1542" s="68" t="s">
        <v>365</v>
      </c>
      <c r="E1542" s="75">
        <f>60*F1542*'THAM_SO_MOI'!$C$53/(2*PI()*'THAM_SO_MOI'!$C$26)</f>
        <v>2447.0293421052625</v>
      </c>
      <c r="F1542" s="75">
        <f>'THAM_SO_MOI'!$C$14+('THAM_SO_MOI'!$C$37-'THAM_SO_MOI'!$C$14)*735/'THAM_SO_MOI'!$C$42</f>
        <v>24.836302083333333</v>
      </c>
      <c r="G1542" s="75">
        <f>3.6*F1542</f>
        <v>89.4106875</v>
      </c>
      <c r="H1542" s="75">
        <f>'THAM_SO_MOI'!$D$53</f>
        <v>1.1</v>
      </c>
      <c r="I1542" s="75">
        <f>IF(F1542&gt;='THAM_SO_MOI'!$C$14,'THAM_SO_MOI'!$C$13*(1+F1542^2/1500),'THAM_SO_MOI'!$C$13)</f>
        <v>0.021168419011745876</v>
      </c>
      <c r="J1542" s="75">
        <f>'THAM_SO_MOI'!$C$40*('THAM_SO_MOI'!$C$23*(E1542/'THAM_SO_MOI'!$C$22)+'THAM_SO_MOI'!$C$24*(E1542/'THAM_SO_MOI'!$C$22)^2-'THAM_SO_MOI'!$C$25*(E1542/'THAM_SO_MOI'!$C$22)^3)</f>
        <v>109.22400664035762</v>
      </c>
      <c r="K1542" s="75">
        <f>'THAM_SO_MOI'!$C$31*J1542/E1542</f>
        <v>426.31660132838533</v>
      </c>
      <c r="L1542" s="75">
        <f>K1542*'THAM_SO_MOI'!$C$53*'THAM_SO_MOI'!$C$17/'THAM_SO_MOI'!$C$26</f>
        <v>3738.798261813396</v>
      </c>
      <c r="M1542" s="75">
        <f>'THAM_SO_MOI'!$C$15*'THAM_SO_MOI'!$C$16*F1542^2</f>
        <v>1804.2625609356692</v>
      </c>
      <c r="N1542" s="75">
        <f>'THAM_SO_MOI'!$C$12*I1542</f>
        <v>1594.8456230801437</v>
      </c>
      <c r="O1542" s="75">
        <f>M1542+N1542</f>
        <v>3399.108184015813</v>
      </c>
      <c r="P1542" s="75">
        <f>(MIN(L1542,'THAM_SO_MOI'!$C$41)-O1542)/('THAM_SO_MOI'!$C$11*H1542)</f>
        <v>0.04020952625444876</v>
      </c>
      <c r="Q1542" s="75">
        <f>IF(P1542&gt;0,1/P1542,NA())</f>
        <v>24.86972847359425</v>
      </c>
      <c r="R1542" s="75">
        <f>F1542-F1541</f>
        <v>0.0035868055555567935</v>
      </c>
      <c r="S1542" s="75">
        <f>0.5*(Q1541+Q1542)*R1542</f>
        <v>0.08910598604301713</v>
      </c>
      <c r="T1542" s="75">
        <f>0.5*(F1541*Q1541+F1542*Q1542)*R1542</f>
        <v>2.2129035576451184</v>
      </c>
      <c r="U1542" s="76">
        <f>U1541+S1542</f>
        <v>112.43357565665895</v>
      </c>
      <c r="V1542" s="76">
        <f>V1541+T1542</f>
        <v>2072.6116964073535</v>
      </c>
    </row>
    <row r="1543" spans="1:22" ht="19" customHeight="1">
      <c r="A1543" s="68" t="s">
        <v>362</v>
      </c>
      <c r="B1543" s="74">
        <v>5</v>
      </c>
      <c r="C1543" s="68" t="s">
        <v>363</v>
      </c>
      <c r="D1543" s="68" t="s">
        <v>365</v>
      </c>
      <c r="E1543" s="75">
        <f>60*F1543*'THAM_SO_MOI'!$C$53/(2*PI()*'THAM_SO_MOI'!$C$26)</f>
        <v>2447.382736842105</v>
      </c>
      <c r="F1543" s="75">
        <f>'THAM_SO_MOI'!$C$14+('THAM_SO_MOI'!$C$37-'THAM_SO_MOI'!$C$14)*736/'THAM_SO_MOI'!$C$42</f>
        <v>24.839888888888886</v>
      </c>
      <c r="G1543" s="75">
        <f>3.6*F1543</f>
        <v>89.4236</v>
      </c>
      <c r="H1543" s="75">
        <f>'THAM_SO_MOI'!$D$53</f>
        <v>1.1</v>
      </c>
      <c r="I1543" s="75">
        <f>IF(F1543&gt;='THAM_SO_MOI'!$C$14,'THAM_SO_MOI'!$C$13*(1+F1543^2/1500),'THAM_SO_MOI'!$C$13)</f>
        <v>0.021170200800123454</v>
      </c>
      <c r="J1543" s="75">
        <f>'THAM_SO_MOI'!$C$40*('THAM_SO_MOI'!$C$23*(E1543/'THAM_SO_MOI'!$C$22)+'THAM_SO_MOI'!$C$24*(E1543/'THAM_SO_MOI'!$C$22)^2-'THAM_SO_MOI'!$C$25*(E1543/'THAM_SO_MOI'!$C$22)^3)</f>
        <v>109.23731596822138</v>
      </c>
      <c r="K1543" s="75">
        <f>'THAM_SO_MOI'!$C$31*J1543/E1543</f>
        <v>426.30698315831563</v>
      </c>
      <c r="L1543" s="75">
        <f>K1543*'THAM_SO_MOI'!$C$53*'THAM_SO_MOI'!$C$17/'THAM_SO_MOI'!$C$26</f>
        <v>3738.713910424249</v>
      </c>
      <c r="M1543" s="75">
        <f>'THAM_SO_MOI'!$C$15*'THAM_SO_MOI'!$C$16*F1543^2</f>
        <v>1804.7837340361107</v>
      </c>
      <c r="N1543" s="75">
        <f>'THAM_SO_MOI'!$C$12*I1543</f>
        <v>1594.9798644419411</v>
      </c>
      <c r="O1543" s="75">
        <f>M1543+N1543</f>
        <v>3399.763598478052</v>
      </c>
      <c r="P1543" s="75">
        <f>(MIN(L1543,'THAM_SO_MOI'!$C$41)-O1543)/('THAM_SO_MOI'!$C$11*H1543)</f>
        <v>0.04012195927393435</v>
      </c>
      <c r="Q1543" s="75">
        <f>IF(P1543&gt;0,1/P1543,NA())</f>
        <v>24.924007154597266</v>
      </c>
      <c r="R1543" s="75">
        <f>F1543-F1542</f>
        <v>0.0035868055555532408</v>
      </c>
      <c r="S1543" s="75">
        <f>0.5*(Q1542+Q1543)*R1543</f>
        <v>0.08930022379147333</v>
      </c>
      <c r="T1543" s="75">
        <f>0.5*(F1542*Q1542+F1543*Q1543)*R1543</f>
        <v>2.2180476600398764</v>
      </c>
      <c r="U1543" s="76">
        <f>U1542+S1543</f>
        <v>112.52287588045041</v>
      </c>
      <c r="V1543" s="76">
        <f>V1542+T1543</f>
        <v>2074.829744067393</v>
      </c>
    </row>
    <row r="1544" spans="1:22" ht="19" customHeight="1">
      <c r="A1544" s="68" t="s">
        <v>362</v>
      </c>
      <c r="B1544" s="74">
        <v>5</v>
      </c>
      <c r="C1544" s="68" t="s">
        <v>363</v>
      </c>
      <c r="D1544" s="68" t="s">
        <v>365</v>
      </c>
      <c r="E1544" s="75">
        <f>60*F1544*'THAM_SO_MOI'!$C$53/(2*PI()*'THAM_SO_MOI'!$C$26)</f>
        <v>2447.7361315789467</v>
      </c>
      <c r="F1544" s="75">
        <f>'THAM_SO_MOI'!$C$14+('THAM_SO_MOI'!$C$37-'THAM_SO_MOI'!$C$14)*737/'THAM_SO_MOI'!$C$42</f>
        <v>24.843475694444443</v>
      </c>
      <c r="G1544" s="75">
        <f>3.6*F1544</f>
        <v>89.43651249999999</v>
      </c>
      <c r="H1544" s="75">
        <f>'THAM_SO_MOI'!$D$53</f>
        <v>1.1</v>
      </c>
      <c r="I1544" s="75">
        <f>IF(F1544&gt;='THAM_SO_MOI'!$C$14,'THAM_SO_MOI'!$C$13*(1+F1544^2/1500),'THAM_SO_MOI'!$C$13)</f>
        <v>0.02117198284580452</v>
      </c>
      <c r="J1544" s="75">
        <f>'THAM_SO_MOI'!$C$40*('THAM_SO_MOI'!$C$23*(E1544/'THAM_SO_MOI'!$C$22)+'THAM_SO_MOI'!$C$24*(E1544/'THAM_SO_MOI'!$C$22)^2-'THAM_SO_MOI'!$C$25*(E1544/'THAM_SO_MOI'!$C$22)^3)</f>
        <v>109.25062147927238</v>
      </c>
      <c r="K1544" s="75">
        <f>'THAM_SO_MOI'!$C$31*J1544/E1544</f>
        <v>426.2973528722616</v>
      </c>
      <c r="L1544" s="75">
        <f>K1544*'THAM_SO_MOI'!$C$53*'THAM_SO_MOI'!$C$17/'THAM_SO_MOI'!$C$26</f>
        <v>3738.6294527778728</v>
      </c>
      <c r="M1544" s="75">
        <f>'THAM_SO_MOI'!$C$15*'THAM_SO_MOI'!$C$16*F1544^2</f>
        <v>1805.3049823978217</v>
      </c>
      <c r="N1544" s="75">
        <f>'THAM_SO_MOI'!$C$12*I1544</f>
        <v>1595.1141251891893</v>
      </c>
      <c r="O1544" s="75">
        <f>M1544+N1544</f>
        <v>3400.4191075870112</v>
      </c>
      <c r="P1544" s="75">
        <f>(MIN(L1544,'THAM_SO_MOI'!$C$41)-O1544)/('THAM_SO_MOI'!$C$11*H1544)</f>
        <v>0.04003436851217587</v>
      </c>
      <c r="Q1544" s="75">
        <f>IF(P1544&gt;0,1/P1544,NA())</f>
        <v>24.978538120212</v>
      </c>
      <c r="R1544" s="75">
        <f>F1544-F1543</f>
        <v>0.0035868055555567935</v>
      </c>
      <c r="S1544" s="75">
        <f>0.5*(Q1543+Q1544)*R1544</f>
        <v>0.08949536331405515</v>
      </c>
      <c r="T1544" s="75">
        <f>0.5*(F1543*Q1543+F1544*Q1544)*R1544</f>
        <v>2.22321555741263</v>
      </c>
      <c r="U1544" s="76">
        <f>U1543+S1544</f>
        <v>112.61237124376447</v>
      </c>
      <c r="V1544" s="76">
        <f>V1543+T1544</f>
        <v>2077.0529596248057</v>
      </c>
    </row>
    <row r="1545" spans="1:22" ht="19" customHeight="1">
      <c r="A1545" s="68" t="s">
        <v>362</v>
      </c>
      <c r="B1545" s="74">
        <v>5</v>
      </c>
      <c r="C1545" s="68" t="s">
        <v>363</v>
      </c>
      <c r="D1545" s="68" t="s">
        <v>365</v>
      </c>
      <c r="E1545" s="75">
        <f>60*F1545*'THAM_SO_MOI'!$C$53/(2*PI()*'THAM_SO_MOI'!$C$26)</f>
        <v>2448.089526315789</v>
      </c>
      <c r="F1545" s="75">
        <f>'THAM_SO_MOI'!$C$14+('THAM_SO_MOI'!$C$37-'THAM_SO_MOI'!$C$14)*738/'THAM_SO_MOI'!$C$42</f>
        <v>24.8470625</v>
      </c>
      <c r="G1545" s="75">
        <f>3.6*F1545</f>
        <v>89.449425</v>
      </c>
      <c r="H1545" s="75">
        <f>'THAM_SO_MOI'!$D$53</f>
        <v>1.1</v>
      </c>
      <c r="I1545" s="75">
        <f>IF(F1545&gt;='THAM_SO_MOI'!$C$14,'THAM_SO_MOI'!$C$13*(1+F1545^2/1500),'THAM_SO_MOI'!$C$13)</f>
        <v>0.02117376514878906</v>
      </c>
      <c r="J1545" s="75">
        <f>'THAM_SO_MOI'!$C$40*('THAM_SO_MOI'!$C$23*(E1545/'THAM_SO_MOI'!$C$22)+'THAM_SO_MOI'!$C$24*(E1545/'THAM_SO_MOI'!$C$22)^2-'THAM_SO_MOI'!$C$25*(E1545/'THAM_SO_MOI'!$C$22)^3)</f>
        <v>109.26392317216576</v>
      </c>
      <c r="K1545" s="75">
        <f>'THAM_SO_MOI'!$C$31*J1545/E1545</f>
        <v>426.28771047022326</v>
      </c>
      <c r="L1545" s="75">
        <f>K1545*'THAM_SO_MOI'!$C$53*'THAM_SO_MOI'!$C$17/'THAM_SO_MOI'!$C$26</f>
        <v>3738.5448888742653</v>
      </c>
      <c r="M1545" s="75">
        <f>'THAM_SO_MOI'!$C$15*'THAM_SO_MOI'!$C$16*F1545^2</f>
        <v>1805.8263060208008</v>
      </c>
      <c r="N1545" s="75">
        <f>'THAM_SO_MOI'!$C$12*I1545</f>
        <v>1595.248405321887</v>
      </c>
      <c r="O1545" s="75">
        <f>M1545+N1545</f>
        <v>3401.074711342688</v>
      </c>
      <c r="P1545" s="75">
        <f>(MIN(L1545,'THAM_SO_MOI'!$C$41)-O1545)/('THAM_SO_MOI'!$C$11*H1545)</f>
        <v>0.03994675396917347</v>
      </c>
      <c r="Q1545" s="75">
        <f>IF(P1545&gt;0,1/P1545,NA())</f>
        <v>25.033323127373265</v>
      </c>
      <c r="R1545" s="75">
        <f>F1545-F1544</f>
        <v>0.0035868055555567935</v>
      </c>
      <c r="S1545" s="75">
        <f>0.5*(Q1544+Q1545)*R1545</f>
        <v>0.08969141088328716</v>
      </c>
      <c r="T1545" s="75">
        <f>0.5*(F1544*Q1544+F1545*Q1545)*R1545</f>
        <v>2.2284074153094595</v>
      </c>
      <c r="U1545" s="76">
        <f>U1544+S1545</f>
        <v>112.70206265464776</v>
      </c>
      <c r="V1545" s="76">
        <f>V1544+T1545</f>
        <v>2079.281367040115</v>
      </c>
    </row>
    <row r="1546" spans="1:22" ht="19" customHeight="1">
      <c r="A1546" s="68" t="s">
        <v>362</v>
      </c>
      <c r="B1546" s="74">
        <v>5</v>
      </c>
      <c r="C1546" s="68" t="s">
        <v>363</v>
      </c>
      <c r="D1546" s="68" t="s">
        <v>365</v>
      </c>
      <c r="E1546" s="75">
        <f>60*F1546*'THAM_SO_MOI'!$C$53/(2*PI()*'THAM_SO_MOI'!$C$26)</f>
        <v>2448.4429210526305</v>
      </c>
      <c r="F1546" s="75">
        <f>'THAM_SO_MOI'!$C$14+('THAM_SO_MOI'!$C$37-'THAM_SO_MOI'!$C$14)*739/'THAM_SO_MOI'!$C$42</f>
        <v>24.850649305555553</v>
      </c>
      <c r="G1546" s="75">
        <f>3.6*F1546</f>
        <v>89.46233749999999</v>
      </c>
      <c r="H1546" s="75">
        <f>'THAM_SO_MOI'!$D$53</f>
        <v>1.1</v>
      </c>
      <c r="I1546" s="75">
        <f>IF(F1546&gt;='THAM_SO_MOI'!$C$14,'THAM_SO_MOI'!$C$13*(1+F1546^2/1500),'THAM_SO_MOI'!$C$13)</f>
        <v>0.021175547709077085</v>
      </c>
      <c r="J1546" s="75">
        <f>'THAM_SO_MOI'!$C$40*('THAM_SO_MOI'!$C$23*(E1546/'THAM_SO_MOI'!$C$22)+'THAM_SO_MOI'!$C$24*(E1546/'THAM_SO_MOI'!$C$22)^2-'THAM_SO_MOI'!$C$25*(E1546/'THAM_SO_MOI'!$C$22)^3)</f>
        <v>109.27722104555652</v>
      </c>
      <c r="K1546" s="75">
        <f>'THAM_SO_MOI'!$C$31*J1546/E1546</f>
        <v>426.2780559522003</v>
      </c>
      <c r="L1546" s="75">
        <f>K1546*'THAM_SO_MOI'!$C$53*'THAM_SO_MOI'!$C$17/'THAM_SO_MOI'!$C$26</f>
        <v>3738.4602187134265</v>
      </c>
      <c r="M1546" s="75">
        <f>'THAM_SO_MOI'!$C$15*'THAM_SO_MOI'!$C$16*F1546^2</f>
        <v>1806.347704905048</v>
      </c>
      <c r="N1546" s="75">
        <f>'THAM_SO_MOI'!$C$12*I1546</f>
        <v>1595.3827048400349</v>
      </c>
      <c r="O1546" s="75">
        <f>M1546+N1546</f>
        <v>3401.730409745083</v>
      </c>
      <c r="P1546" s="75">
        <f>(MIN(L1546,'THAM_SO_MOI'!$C$41)-O1546)/('THAM_SO_MOI'!$C$11*H1546)</f>
        <v>0.039859115644927036</v>
      </c>
      <c r="Q1546" s="75">
        <f>IF(P1546&gt;0,1/P1546,NA())</f>
        <v>25.088363949371075</v>
      </c>
      <c r="R1546" s="75">
        <f>F1546-F1545</f>
        <v>0.0035868055555532408</v>
      </c>
      <c r="S1546" s="75">
        <f>0.5*(Q1545+Q1546)*R1546</f>
        <v>0.08988837283028384</v>
      </c>
      <c r="T1546" s="75">
        <f>0.5*(F1545*Q1545+F1546*Q1546)*R1546</f>
        <v>2.233623400822327</v>
      </c>
      <c r="U1546" s="76">
        <f>U1545+S1546</f>
        <v>112.79195102747805</v>
      </c>
      <c r="V1546" s="76">
        <f>V1545+T1546</f>
        <v>2081.5149904409373</v>
      </c>
    </row>
    <row r="1547" spans="1:22" ht="19" customHeight="1">
      <c r="A1547" s="68" t="s">
        <v>362</v>
      </c>
      <c r="B1547" s="74">
        <v>5</v>
      </c>
      <c r="C1547" s="68" t="s">
        <v>363</v>
      </c>
      <c r="D1547" s="68" t="s">
        <v>365</v>
      </c>
      <c r="E1547" s="75">
        <f>60*F1547*'THAM_SO_MOI'!$C$53/(2*PI()*'THAM_SO_MOI'!$C$26)</f>
        <v>2448.796315789473</v>
      </c>
      <c r="F1547" s="75">
        <f>'THAM_SO_MOI'!$C$14+('THAM_SO_MOI'!$C$37-'THAM_SO_MOI'!$C$14)*740/'THAM_SO_MOI'!$C$42</f>
        <v>24.85423611111111</v>
      </c>
      <c r="G1547" s="75">
        <f>3.6*F1547</f>
        <v>89.47525</v>
      </c>
      <c r="H1547" s="75">
        <f>'THAM_SO_MOI'!$D$53</f>
        <v>1.1</v>
      </c>
      <c r="I1547" s="75">
        <f>IF(F1547&gt;='THAM_SO_MOI'!$C$14,'THAM_SO_MOI'!$C$13*(1+F1547^2/1500),'THAM_SO_MOI'!$C$13)</f>
        <v>0.021177330526668592</v>
      </c>
      <c r="J1547" s="75">
        <f>'THAM_SO_MOI'!$C$40*('THAM_SO_MOI'!$C$23*(E1547/'THAM_SO_MOI'!$C$22)+'THAM_SO_MOI'!$C$24*(E1547/'THAM_SO_MOI'!$C$22)^2-'THAM_SO_MOI'!$C$25*(E1547/'THAM_SO_MOI'!$C$22)^3)</f>
        <v>109.29051509809983</v>
      </c>
      <c r="K1547" s="75">
        <f>'THAM_SO_MOI'!$C$31*J1547/E1547</f>
        <v>426.2683893181927</v>
      </c>
      <c r="L1547" s="75">
        <f>K1547*'THAM_SO_MOI'!$C$53*'THAM_SO_MOI'!$C$17/'THAM_SO_MOI'!$C$26</f>
        <v>3738.375442295354</v>
      </c>
      <c r="M1547" s="75">
        <f>'THAM_SO_MOI'!$C$15*'THAM_SO_MOI'!$C$16*F1547^2</f>
        <v>1806.869179050564</v>
      </c>
      <c r="N1547" s="75">
        <f>'THAM_SO_MOI'!$C$12*I1547</f>
        <v>1595.5170237436332</v>
      </c>
      <c r="O1547" s="75">
        <f>M1547+N1547</f>
        <v>3402.3862027941973</v>
      </c>
      <c r="P1547" s="75">
        <f>(MIN(L1547,'THAM_SO_MOI'!$C$41)-O1547)/('THAM_SO_MOI'!$C$11*H1547)</f>
        <v>0.03977145353943615</v>
      </c>
      <c r="Q1547" s="75">
        <f>IF(P1547&gt;0,1/P1547,NA())</f>
        <v>25.14366237604142</v>
      </c>
      <c r="R1547" s="75">
        <f>F1547-F1546</f>
        <v>0.0035868055555567935</v>
      </c>
      <c r="S1547" s="75">
        <f>0.5*(Q1546+Q1547)*R1547</f>
        <v>0.09008625554543231</v>
      </c>
      <c r="T1547" s="75">
        <f>0.5*(F1546*Q1546+F1547*Q1547)*R1547</f>
        <v>2.238863682607104</v>
      </c>
      <c r="U1547" s="76">
        <f>U1546+S1547</f>
        <v>112.88203728302348</v>
      </c>
      <c r="V1547" s="76">
        <f>V1546+T1547</f>
        <v>2083.7538541235444</v>
      </c>
    </row>
    <row r="1548" spans="1:22" ht="19" customHeight="1">
      <c r="A1548" s="68" t="s">
        <v>362</v>
      </c>
      <c r="B1548" s="74">
        <v>5</v>
      </c>
      <c r="C1548" s="68" t="s">
        <v>363</v>
      </c>
      <c r="D1548" s="68" t="s">
        <v>365</v>
      </c>
      <c r="E1548" s="75">
        <f>60*F1548*'THAM_SO_MOI'!$C$53/(2*PI()*'THAM_SO_MOI'!$C$26)</f>
        <v>2449.149710526315</v>
      </c>
      <c r="F1548" s="75">
        <f>'THAM_SO_MOI'!$C$14+('THAM_SO_MOI'!$C$37-'THAM_SO_MOI'!$C$14)*741/'THAM_SO_MOI'!$C$42</f>
        <v>24.857822916666667</v>
      </c>
      <c r="G1548" s="75">
        <f>3.6*F1548</f>
        <v>89.4881625</v>
      </c>
      <c r="H1548" s="75">
        <f>'THAM_SO_MOI'!$D$53</f>
        <v>1.1</v>
      </c>
      <c r="I1548" s="75">
        <f>IF(F1548&gt;='THAM_SO_MOI'!$C$14,'THAM_SO_MOI'!$C$13*(1+F1548^2/1500),'THAM_SO_MOI'!$C$13)</f>
        <v>0.021179113601563583</v>
      </c>
      <c r="J1548" s="75">
        <f>'THAM_SO_MOI'!$C$40*('THAM_SO_MOI'!$C$23*(E1548/'THAM_SO_MOI'!$C$22)+'THAM_SO_MOI'!$C$24*(E1548/'THAM_SO_MOI'!$C$22)^2-'THAM_SO_MOI'!$C$25*(E1548/'THAM_SO_MOI'!$C$22)^3)</f>
        <v>109.30380532845085</v>
      </c>
      <c r="K1548" s="75">
        <f>'THAM_SO_MOI'!$C$31*J1548/E1548</f>
        <v>426.25871056820085</v>
      </c>
      <c r="L1548" s="75">
        <f>K1548*'THAM_SO_MOI'!$C$53*'THAM_SO_MOI'!$C$17/'THAM_SO_MOI'!$C$26</f>
        <v>3738.290559620053</v>
      </c>
      <c r="M1548" s="75">
        <f>'THAM_SO_MOI'!$C$15*'THAM_SO_MOI'!$C$16*F1548^2</f>
        <v>1807.3907284573488</v>
      </c>
      <c r="N1548" s="75">
        <f>'THAM_SO_MOI'!$C$12*I1548</f>
        <v>1595.6513620326816</v>
      </c>
      <c r="O1548" s="75">
        <f>M1548+N1548</f>
        <v>3403.04209049003</v>
      </c>
      <c r="P1548" s="75">
        <f>(MIN(L1548,'THAM_SO_MOI'!$C$41)-O1548)/('THAM_SO_MOI'!$C$11*H1548)</f>
        <v>0.03968376765270154</v>
      </c>
      <c r="Q1548" s="75">
        <f>IF(P1548&gt;0,1/P1548,NA())</f>
        <v>25.199220213958775</v>
      </c>
      <c r="R1548" s="75">
        <f>F1548-F1547</f>
        <v>0.0035868055555567935</v>
      </c>
      <c r="S1548" s="75">
        <f>0.5*(Q1547+Q1548)*R1548</f>
        <v>0.09028506547827804</v>
      </c>
      <c r="T1548" s="75">
        <f>0.5*(F1547*Q1547+F1548*Q1548)*R1548</f>
        <v>2.244128430881784</v>
      </c>
      <c r="U1548" s="76">
        <f>U1547+S1548</f>
        <v>112.97232234850176</v>
      </c>
      <c r="V1548" s="76">
        <f>V1547+T1548</f>
        <v>2085.997982554426</v>
      </c>
    </row>
    <row r="1549" spans="1:22" ht="19" customHeight="1">
      <c r="A1549" s="68" t="s">
        <v>362</v>
      </c>
      <c r="B1549" s="74">
        <v>5</v>
      </c>
      <c r="C1549" s="68" t="s">
        <v>363</v>
      </c>
      <c r="D1549" s="68" t="s">
        <v>365</v>
      </c>
      <c r="E1549" s="75">
        <f>60*F1549*'THAM_SO_MOI'!$C$53/(2*PI()*'THAM_SO_MOI'!$C$26)</f>
        <v>2449.503105263157</v>
      </c>
      <c r="F1549" s="75">
        <f>'THAM_SO_MOI'!$C$14+('THAM_SO_MOI'!$C$37-'THAM_SO_MOI'!$C$14)*742/'THAM_SO_MOI'!$C$42</f>
        <v>24.86140972222222</v>
      </c>
      <c r="G1549" s="75">
        <f>3.6*F1549</f>
        <v>89.501075</v>
      </c>
      <c r="H1549" s="75">
        <f>'THAM_SO_MOI'!$D$53</f>
        <v>1.1</v>
      </c>
      <c r="I1549" s="75">
        <f>IF(F1549&gt;='THAM_SO_MOI'!$C$14,'THAM_SO_MOI'!$C$13*(1+F1549^2/1500),'THAM_SO_MOI'!$C$13)</f>
        <v>0.021180896933762055</v>
      </c>
      <c r="J1549" s="75">
        <f>'THAM_SO_MOI'!$C$40*('THAM_SO_MOI'!$C$23*(E1549/'THAM_SO_MOI'!$C$22)+'THAM_SO_MOI'!$C$24*(E1549/'THAM_SO_MOI'!$C$22)^2-'THAM_SO_MOI'!$C$25*(E1549/'THAM_SO_MOI'!$C$22)^3)</f>
        <v>109.3170917352646</v>
      </c>
      <c r="K1549" s="75">
        <f>'THAM_SO_MOI'!$C$31*J1549/E1549</f>
        <v>426.2490197022244</v>
      </c>
      <c r="L1549" s="75">
        <f>K1549*'THAM_SO_MOI'!$C$53*'THAM_SO_MOI'!$C$17/'THAM_SO_MOI'!$C$26</f>
        <v>3738.2055706875203</v>
      </c>
      <c r="M1549" s="75">
        <f>'THAM_SO_MOI'!$C$15*'THAM_SO_MOI'!$C$16*F1549^2</f>
        <v>1807.9123531254015</v>
      </c>
      <c r="N1549" s="75">
        <f>'THAM_SO_MOI'!$C$12*I1549</f>
        <v>1595.7857197071803</v>
      </c>
      <c r="O1549" s="75">
        <f>M1549+N1549</f>
        <v>3403.6980728325816</v>
      </c>
      <c r="P1549" s="75">
        <f>(MIN(L1549,'THAM_SO_MOI'!$C$41)-O1549)/('THAM_SO_MOI'!$C$11*H1549)</f>
        <v>0.039596057984722835</v>
      </c>
      <c r="Q1549" s="75">
        <f>IF(P1549&gt;0,1/P1549,NA())</f>
        <v>25.255039286633668</v>
      </c>
      <c r="R1549" s="75">
        <f>F1549-F1548</f>
        <v>0.0035868055555532408</v>
      </c>
      <c r="S1549" s="75">
        <f>0.5*(Q1548+Q1549)*R1549</f>
        <v>0.09048480913902493</v>
      </c>
      <c r="T1549" s="75">
        <f>0.5*(F1548*Q1548+F1549*Q1549)*R1549</f>
        <v>2.2494178174648414</v>
      </c>
      <c r="U1549" s="76">
        <f>U1548+S1549</f>
        <v>113.06280715764079</v>
      </c>
      <c r="V1549" s="76">
        <f>V1548+T1549</f>
        <v>2088.2474003718908</v>
      </c>
    </row>
    <row r="1550" spans="1:22" ht="19" customHeight="1">
      <c r="A1550" s="68" t="s">
        <v>362</v>
      </c>
      <c r="B1550" s="74">
        <v>5</v>
      </c>
      <c r="C1550" s="68" t="s">
        <v>363</v>
      </c>
      <c r="D1550" s="68" t="s">
        <v>365</v>
      </c>
      <c r="E1550" s="75">
        <f>60*F1550*'THAM_SO_MOI'!$C$53/(2*PI()*'THAM_SO_MOI'!$C$26)</f>
        <v>2449.8564999999994</v>
      </c>
      <c r="F1550" s="75">
        <f>'THAM_SO_MOI'!$C$14+('THAM_SO_MOI'!$C$37-'THAM_SO_MOI'!$C$14)*743/'THAM_SO_MOI'!$C$42</f>
        <v>24.864996527777777</v>
      </c>
      <c r="G1550" s="75">
        <f>3.6*F1550</f>
        <v>89.5139875</v>
      </c>
      <c r="H1550" s="75">
        <f>'THAM_SO_MOI'!$D$53</f>
        <v>1.1</v>
      </c>
      <c r="I1550" s="75">
        <f>IF(F1550&gt;='THAM_SO_MOI'!$C$14,'THAM_SO_MOI'!$C$13*(1+F1550^2/1500),'THAM_SO_MOI'!$C$13)</f>
        <v>0.021182680523264007</v>
      </c>
      <c r="J1550" s="75">
        <f>'THAM_SO_MOI'!$C$40*('THAM_SO_MOI'!$C$23*(E1550/'THAM_SO_MOI'!$C$22)+'THAM_SO_MOI'!$C$24*(E1550/'THAM_SO_MOI'!$C$22)^2-'THAM_SO_MOI'!$C$25*(E1550/'THAM_SO_MOI'!$C$22)^3)</f>
        <v>109.33037431719632</v>
      </c>
      <c r="K1550" s="75">
        <f>'THAM_SO_MOI'!$C$31*J1550/E1550</f>
        <v>426.23931672026373</v>
      </c>
      <c r="L1550" s="75">
        <f>K1550*'THAM_SO_MOI'!$C$53*'THAM_SO_MOI'!$C$17/'THAM_SO_MOI'!$C$26</f>
        <v>3738.120475497757</v>
      </c>
      <c r="M1550" s="75">
        <f>'THAM_SO_MOI'!$C$15*'THAM_SO_MOI'!$C$16*F1550^2</f>
        <v>1808.4340530547227</v>
      </c>
      <c r="N1550" s="75">
        <f>'THAM_SO_MOI'!$C$12*I1550</f>
        <v>1595.920096767129</v>
      </c>
      <c r="O1550" s="75">
        <f>M1550+N1550</f>
        <v>3404.354149821852</v>
      </c>
      <c r="P1550" s="75">
        <f>(MIN(L1550,'THAM_SO_MOI'!$C$41)-O1550)/('THAM_SO_MOI'!$C$11*H1550)</f>
        <v>0.03950832453550016</v>
      </c>
      <c r="Q1550" s="75">
        <f>IF(P1550&gt;0,1/P1550,NA())</f>
        <v>25.31112143471058</v>
      </c>
      <c r="R1550" s="75">
        <f>F1550-F1549</f>
        <v>0.0035868055555567935</v>
      </c>
      <c r="S1550" s="75">
        <f>0.5*(Q1549+Q1550)*R1550</f>
        <v>0.09068549309924763</v>
      </c>
      <c r="T1550" s="75">
        <f>0.5*(F1549*Q1549+F1550*Q1550)*R1550</f>
        <v>2.254732015794029</v>
      </c>
      <c r="U1550" s="76">
        <f>U1549+S1550</f>
        <v>113.15349265074003</v>
      </c>
      <c r="V1550" s="76">
        <f>V1549+T1550</f>
        <v>2090.502132387685</v>
      </c>
    </row>
    <row r="1551" spans="1:22" ht="19" customHeight="1">
      <c r="A1551" s="68" t="s">
        <v>362</v>
      </c>
      <c r="B1551" s="74">
        <v>5</v>
      </c>
      <c r="C1551" s="68" t="s">
        <v>363</v>
      </c>
      <c r="D1551" s="68" t="s">
        <v>365</v>
      </c>
      <c r="E1551" s="75">
        <f>60*F1551*'THAM_SO_MOI'!$C$53/(2*PI()*'THAM_SO_MOI'!$C$26)</f>
        <v>2450.2098947368418</v>
      </c>
      <c r="F1551" s="75">
        <f>'THAM_SO_MOI'!$C$14+('THAM_SO_MOI'!$C$37-'THAM_SO_MOI'!$C$14)*744/'THAM_SO_MOI'!$C$42</f>
        <v>24.868583333333333</v>
      </c>
      <c r="G1551" s="75">
        <f>3.6*F1551</f>
        <v>89.5269</v>
      </c>
      <c r="H1551" s="75">
        <f>'THAM_SO_MOI'!$D$53</f>
        <v>1.1</v>
      </c>
      <c r="I1551" s="75">
        <f>IF(F1551&gt;='THAM_SO_MOI'!$C$14,'THAM_SO_MOI'!$C$13*(1+F1551^2/1500),'THAM_SO_MOI'!$C$13)</f>
        <v>0.021184464370069444</v>
      </c>
      <c r="J1551" s="75">
        <f>'THAM_SO_MOI'!$C$40*('THAM_SO_MOI'!$C$23*(E1551/'THAM_SO_MOI'!$C$22)+'THAM_SO_MOI'!$C$24*(E1551/'THAM_SO_MOI'!$C$22)^2-'THAM_SO_MOI'!$C$25*(E1551/'THAM_SO_MOI'!$C$22)^3)</f>
        <v>109.34365307290095</v>
      </c>
      <c r="K1551" s="75">
        <f>'THAM_SO_MOI'!$C$31*J1551/E1551</f>
        <v>426.22960162231834</v>
      </c>
      <c r="L1551" s="75">
        <f>K1551*'THAM_SO_MOI'!$C$53*'THAM_SO_MOI'!$C$17/'THAM_SO_MOI'!$C$26</f>
        <v>3738.035274050761</v>
      </c>
      <c r="M1551" s="75">
        <f>'THAM_SO_MOI'!$C$15*'THAM_SO_MOI'!$C$16*F1551^2</f>
        <v>1808.955828245313</v>
      </c>
      <c r="N1551" s="75">
        <f>'THAM_SO_MOI'!$C$12*I1551</f>
        <v>1596.054493212528</v>
      </c>
      <c r="O1551" s="75">
        <f>M1551+N1551</f>
        <v>3405.010321457841</v>
      </c>
      <c r="P1551" s="75">
        <f>(MIN(L1551,'THAM_SO_MOI'!$C$41)-O1551)/('THAM_SO_MOI'!$C$11*H1551)</f>
        <v>0.03942056730503315</v>
      </c>
      <c r="Q1551" s="75">
        <f>IF(P1551&gt;0,1/P1551,NA())</f>
        <v>25.367468516170284</v>
      </c>
      <c r="R1551" s="75">
        <f>F1551-F1550</f>
        <v>0.0035868055555567935</v>
      </c>
      <c r="S1551" s="75">
        <f>0.5*(Q1550+Q1551)*R1551</f>
        <v>0.09088712399180209</v>
      </c>
      <c r="T1551" s="75">
        <f>0.5*(F1550*Q1550+F1551*Q1551)*R1551</f>
        <v>2.260071200925251</v>
      </c>
      <c r="U1551" s="76">
        <f>U1550+S1551</f>
        <v>113.24437977473184</v>
      </c>
      <c r="V1551" s="76">
        <f>V1550+T1551</f>
        <v>2092.76220358861</v>
      </c>
    </row>
    <row r="1552" spans="1:22" ht="19" customHeight="1">
      <c r="A1552" s="68" t="s">
        <v>362</v>
      </c>
      <c r="B1552" s="74">
        <v>5</v>
      </c>
      <c r="C1552" s="68" t="s">
        <v>363</v>
      </c>
      <c r="D1552" s="68" t="s">
        <v>365</v>
      </c>
      <c r="E1552" s="75">
        <f>60*F1552*'THAM_SO_MOI'!$C$53/(2*PI()*'THAM_SO_MOI'!$C$26)</f>
        <v>2450.5632894736837</v>
      </c>
      <c r="F1552" s="75">
        <f>'THAM_SO_MOI'!$C$14+('THAM_SO_MOI'!$C$37-'THAM_SO_MOI'!$C$14)*745/'THAM_SO_MOI'!$C$42</f>
        <v>24.872170138888887</v>
      </c>
      <c r="G1552" s="75">
        <f>3.6*F1552</f>
        <v>89.5398125</v>
      </c>
      <c r="H1552" s="75">
        <f>'THAM_SO_MOI'!$D$53</f>
        <v>1.1</v>
      </c>
      <c r="I1552" s="75">
        <f>IF(F1552&gt;='THAM_SO_MOI'!$C$14,'THAM_SO_MOI'!$C$13*(1+F1552^2/1500),'THAM_SO_MOI'!$C$13)</f>
        <v>0.02118624847417836</v>
      </c>
      <c r="J1552" s="75">
        <f>'THAM_SO_MOI'!$C$40*('THAM_SO_MOI'!$C$23*(E1552/'THAM_SO_MOI'!$C$22)+'THAM_SO_MOI'!$C$24*(E1552/'THAM_SO_MOI'!$C$22)^2-'THAM_SO_MOI'!$C$25*(E1552/'THAM_SO_MOI'!$C$22)^3)</f>
        <v>109.35692800103374</v>
      </c>
      <c r="K1552" s="75">
        <f>'THAM_SO_MOI'!$C$31*J1552/E1552</f>
        <v>426.21987440838865</v>
      </c>
      <c r="L1552" s="75">
        <f>K1552*'THAM_SO_MOI'!$C$53*'THAM_SO_MOI'!$C$17/'THAM_SO_MOI'!$C$26</f>
        <v>3737.9499663465353</v>
      </c>
      <c r="M1552" s="75">
        <f>'THAM_SO_MOI'!$C$15*'THAM_SO_MOI'!$C$16*F1552^2</f>
        <v>1809.4776786971704</v>
      </c>
      <c r="N1552" s="75">
        <f>'THAM_SO_MOI'!$C$12*I1552</f>
        <v>1596.1889090433772</v>
      </c>
      <c r="O1552" s="75">
        <f>M1552+N1552</f>
        <v>3405.6665877405476</v>
      </c>
      <c r="P1552" s="75">
        <f>(MIN(L1552,'THAM_SO_MOI'!$C$41)-O1552)/('THAM_SO_MOI'!$C$11*H1552)</f>
        <v>0.039332786293322416</v>
      </c>
      <c r="Q1552" s="75">
        <f>IF(P1552&gt;0,1/P1552,NA())</f>
        <v>25.42408240653349</v>
      </c>
      <c r="R1552" s="75">
        <f>F1552-F1551</f>
        <v>0.0035868055555532408</v>
      </c>
      <c r="S1552" s="75">
        <f>0.5*(Q1551+Q1552)*R1552</f>
        <v>0.09108970851235962</v>
      </c>
      <c r="T1552" s="75">
        <f>0.5*(F1551*Q1551+F1552*Q1552)*R1552</f>
        <v>2.2654355495718197</v>
      </c>
      <c r="U1552" s="76">
        <f>U1551+S1552</f>
        <v>113.3354694832442</v>
      </c>
      <c r="V1552" s="76">
        <f>V1551+T1552</f>
        <v>2095.027639138182</v>
      </c>
    </row>
    <row r="1553" spans="1:22" ht="19" customHeight="1">
      <c r="A1553" s="68" t="s">
        <v>362</v>
      </c>
      <c r="B1553" s="74">
        <v>5</v>
      </c>
      <c r="C1553" s="68" t="s">
        <v>363</v>
      </c>
      <c r="D1553" s="68" t="s">
        <v>365</v>
      </c>
      <c r="E1553" s="75">
        <f>60*F1553*'THAM_SO_MOI'!$C$53/(2*PI()*'THAM_SO_MOI'!$C$26)</f>
        <v>2450.9166842105255</v>
      </c>
      <c r="F1553" s="75">
        <f>'THAM_SO_MOI'!$C$14+('THAM_SO_MOI'!$C$37-'THAM_SO_MOI'!$C$14)*746/'THAM_SO_MOI'!$C$42</f>
        <v>24.875756944444444</v>
      </c>
      <c r="G1553" s="75">
        <f>3.6*F1553</f>
        <v>89.552725</v>
      </c>
      <c r="H1553" s="75">
        <f>'THAM_SO_MOI'!$D$53</f>
        <v>1.1</v>
      </c>
      <c r="I1553" s="75">
        <f>IF(F1553&gt;='THAM_SO_MOI'!$C$14,'THAM_SO_MOI'!$C$13*(1+F1553^2/1500),'THAM_SO_MOI'!$C$13)</f>
        <v>0.021188032835590755</v>
      </c>
      <c r="J1553" s="75">
        <f>'THAM_SO_MOI'!$C$40*('THAM_SO_MOI'!$C$23*(E1553/'THAM_SO_MOI'!$C$22)+'THAM_SO_MOI'!$C$24*(E1553/'THAM_SO_MOI'!$C$22)^2-'THAM_SO_MOI'!$C$25*(E1553/'THAM_SO_MOI'!$C$22)^3)</f>
        <v>109.3701991002497</v>
      </c>
      <c r="K1553" s="75">
        <f>'THAM_SO_MOI'!$C$31*J1553/E1553</f>
        <v>426.2101350784744</v>
      </c>
      <c r="L1553" s="75">
        <f>K1553*'THAM_SO_MOI'!$C$53*'THAM_SO_MOI'!$C$17/'THAM_SO_MOI'!$C$26</f>
        <v>3737.8645523850782</v>
      </c>
      <c r="M1553" s="75">
        <f>'THAM_SO_MOI'!$C$15*'THAM_SO_MOI'!$C$16*F1553^2</f>
        <v>1809.9996044102975</v>
      </c>
      <c r="N1553" s="75">
        <f>'THAM_SO_MOI'!$C$12*I1553</f>
        <v>1596.323344259676</v>
      </c>
      <c r="O1553" s="75">
        <f>M1553+N1553</f>
        <v>3406.322948669974</v>
      </c>
      <c r="P1553" s="75">
        <f>(MIN(L1553,'THAM_SO_MOI'!$C$41)-O1553)/('THAM_SO_MOI'!$C$11*H1553)</f>
        <v>0.0392449815003675</v>
      </c>
      <c r="Q1553" s="75">
        <f>IF(P1553&gt;0,1/P1553,NA())</f>
        <v>25.480964999069645</v>
      </c>
      <c r="R1553" s="75">
        <f>F1553-F1552</f>
        <v>0.0035868055555567935</v>
      </c>
      <c r="S1553" s="75">
        <f>0.5*(Q1552+Q1553)*R1553</f>
        <v>0.09129325342014963</v>
      </c>
      <c r="T1553" s="75">
        <f>0.5*(F1552*Q1552+F1553*Q1553)*R1553</f>
        <v>2.270825240124051</v>
      </c>
      <c r="U1553" s="76">
        <f>U1552+S1553</f>
        <v>113.42676273666434</v>
      </c>
      <c r="V1553" s="76">
        <f>V1552+T1553</f>
        <v>2097.298464378306</v>
      </c>
    </row>
    <row r="1554" spans="1:22" ht="19" customHeight="1">
      <c r="A1554" s="68" t="s">
        <v>362</v>
      </c>
      <c r="B1554" s="74">
        <v>5</v>
      </c>
      <c r="C1554" s="68" t="s">
        <v>363</v>
      </c>
      <c r="D1554" s="68" t="s">
        <v>365</v>
      </c>
      <c r="E1554" s="75">
        <f>60*F1554*'THAM_SO_MOI'!$C$53/(2*PI()*'THAM_SO_MOI'!$C$26)</f>
        <v>2451.2700789473674</v>
      </c>
      <c r="F1554" s="75">
        <f>'THAM_SO_MOI'!$C$14+('THAM_SO_MOI'!$C$37-'THAM_SO_MOI'!$C$14)*747/'THAM_SO_MOI'!$C$42</f>
        <v>24.879343749999997</v>
      </c>
      <c r="G1554" s="75">
        <f>3.6*F1554</f>
        <v>89.5656375</v>
      </c>
      <c r="H1554" s="75">
        <f>'THAM_SO_MOI'!$D$53</f>
        <v>1.1</v>
      </c>
      <c r="I1554" s="75">
        <f>IF(F1554&gt;='THAM_SO_MOI'!$C$14,'THAM_SO_MOI'!$C$13*(1+F1554^2/1500),'THAM_SO_MOI'!$C$13)</f>
        <v>0.02118981745430664</v>
      </c>
      <c r="J1554" s="75">
        <f>'THAM_SO_MOI'!$C$40*('THAM_SO_MOI'!$C$23*(E1554/'THAM_SO_MOI'!$C$22)+'THAM_SO_MOI'!$C$24*(E1554/'THAM_SO_MOI'!$C$22)^2-'THAM_SO_MOI'!$C$25*(E1554/'THAM_SO_MOI'!$C$22)^3)</f>
        <v>109.38346636920403</v>
      </c>
      <c r="K1554" s="75">
        <f>'THAM_SO_MOI'!$C$31*J1554/E1554</f>
        <v>426.20038363257584</v>
      </c>
      <c r="L1554" s="75">
        <f>K1554*'THAM_SO_MOI'!$C$53*'THAM_SO_MOI'!$C$17/'THAM_SO_MOI'!$C$26</f>
        <v>3737.7790321663906</v>
      </c>
      <c r="M1554" s="75">
        <f>'THAM_SO_MOI'!$C$15*'THAM_SO_MOI'!$C$16*F1554^2</f>
        <v>1810.5216053846918</v>
      </c>
      <c r="N1554" s="75">
        <f>'THAM_SO_MOI'!$C$12*I1554</f>
        <v>1596.4577988614258</v>
      </c>
      <c r="O1554" s="75">
        <f>M1554+N1554</f>
        <v>3406.9794042461176</v>
      </c>
      <c r="P1554" s="75">
        <f>(MIN(L1554,'THAM_SO_MOI'!$C$41)-O1554)/('THAM_SO_MOI'!$C$11*H1554)</f>
        <v>0.03915715292616868</v>
      </c>
      <c r="Q1554" s="75">
        <f>IF(P1554&gt;0,1/P1554,NA())</f>
        <v>25.5381182050062</v>
      </c>
      <c r="R1554" s="75">
        <f>F1554-F1553</f>
        <v>0.0035868055555532408</v>
      </c>
      <c r="S1554" s="75">
        <f>0.5*(Q1553+Q1554)*R1554</f>
        <v>0.09149776553780613</v>
      </c>
      <c r="T1554" s="75">
        <f>0.5*(F1553*Q1553+F1554*Q1554)*R1554</f>
        <v>2.2762404526465922</v>
      </c>
      <c r="U1554" s="76">
        <f>U1553+S1554</f>
        <v>113.51826050220215</v>
      </c>
      <c r="V1554" s="76">
        <f>V1553+T1554</f>
        <v>2099.5747048309527</v>
      </c>
    </row>
    <row r="1555" spans="1:22" ht="19" customHeight="1">
      <c r="A1555" s="68" t="s">
        <v>362</v>
      </c>
      <c r="B1555" s="74">
        <v>5</v>
      </c>
      <c r="C1555" s="68" t="s">
        <v>363</v>
      </c>
      <c r="D1555" s="68" t="s">
        <v>365</v>
      </c>
      <c r="E1555" s="75">
        <f>60*F1555*'THAM_SO_MOI'!$C$53/(2*PI()*'THAM_SO_MOI'!$C$26)</f>
        <v>2451.62347368421</v>
      </c>
      <c r="F1555" s="75">
        <f>'THAM_SO_MOI'!$C$14+('THAM_SO_MOI'!$C$37-'THAM_SO_MOI'!$C$14)*748/'THAM_SO_MOI'!$C$42</f>
        <v>24.882930555555554</v>
      </c>
      <c r="G1555" s="75">
        <f>3.6*F1555</f>
        <v>89.57854999999999</v>
      </c>
      <c r="H1555" s="75">
        <f>'THAM_SO_MOI'!$D$53</f>
        <v>1.1</v>
      </c>
      <c r="I1555" s="75">
        <f>IF(F1555&gt;='THAM_SO_MOI'!$C$14,'THAM_SO_MOI'!$C$13*(1+F1555^2/1500),'THAM_SO_MOI'!$C$13)</f>
        <v>0.021191602330326</v>
      </c>
      <c r="J1555" s="75">
        <f>'THAM_SO_MOI'!$C$40*('THAM_SO_MOI'!$C$23*(E1555/'THAM_SO_MOI'!$C$22)+'THAM_SO_MOI'!$C$24*(E1555/'THAM_SO_MOI'!$C$22)^2-'THAM_SO_MOI'!$C$25*(E1555/'THAM_SO_MOI'!$C$22)^3)</f>
        <v>109.39672980655179</v>
      </c>
      <c r="K1555" s="75">
        <f>'THAM_SO_MOI'!$C$31*J1555/E1555</f>
        <v>426.1906200706928</v>
      </c>
      <c r="L1555" s="75">
        <f>K1555*'THAM_SO_MOI'!$C$53*'THAM_SO_MOI'!$C$17/'THAM_SO_MOI'!$C$26</f>
        <v>3737.6934056904715</v>
      </c>
      <c r="M1555" s="75">
        <f>'THAM_SO_MOI'!$C$15*'THAM_SO_MOI'!$C$16*F1555^2</f>
        <v>1811.0436816203558</v>
      </c>
      <c r="N1555" s="75">
        <f>'THAM_SO_MOI'!$C$12*I1555</f>
        <v>1596.592272848625</v>
      </c>
      <c r="O1555" s="75">
        <f>M1555+N1555</f>
        <v>3407.635954468981</v>
      </c>
      <c r="P1555" s="75">
        <f>(MIN(L1555,'THAM_SO_MOI'!$C$41)-O1555)/('THAM_SO_MOI'!$C$11*H1555)</f>
        <v>0.039069300570725704</v>
      </c>
      <c r="Q1555" s="75">
        <f>IF(P1555&gt;0,1/P1555,NA())</f>
        <v>25.59554395374284</v>
      </c>
      <c r="R1555" s="75">
        <f>F1555-F1554</f>
        <v>0.0035868055555567935</v>
      </c>
      <c r="S1555" s="75">
        <f>0.5*(Q1554+Q1555)*R1555</f>
        <v>0.09170325175348262</v>
      </c>
      <c r="T1555" s="75">
        <f>0.5*(F1554*Q1554+F1555*Q1555)*R1555</f>
        <v>2.281681368932174</v>
      </c>
      <c r="U1555" s="76">
        <f>U1554+S1555</f>
        <v>113.60996375395564</v>
      </c>
      <c r="V1555" s="76">
        <f>V1554+T1555</f>
        <v>2101.856386199885</v>
      </c>
    </row>
    <row r="1556" spans="1:22" ht="19" customHeight="1">
      <c r="A1556" s="68" t="s">
        <v>362</v>
      </c>
      <c r="B1556" s="74">
        <v>5</v>
      </c>
      <c r="C1556" s="68" t="s">
        <v>363</v>
      </c>
      <c r="D1556" s="68" t="s">
        <v>365</v>
      </c>
      <c r="E1556" s="75">
        <f>60*F1556*'THAM_SO_MOI'!$C$53/(2*PI()*'THAM_SO_MOI'!$C$26)</f>
        <v>2451.976868421052</v>
      </c>
      <c r="F1556" s="75">
        <f>'THAM_SO_MOI'!$C$14+('THAM_SO_MOI'!$C$37-'THAM_SO_MOI'!$C$14)*749/'THAM_SO_MOI'!$C$42</f>
        <v>24.88651736111111</v>
      </c>
      <c r="G1556" s="75">
        <f>3.6*F1556</f>
        <v>89.5914625</v>
      </c>
      <c r="H1556" s="75">
        <f>'THAM_SO_MOI'!$D$53</f>
        <v>1.1</v>
      </c>
      <c r="I1556" s="75">
        <f>IF(F1556&gt;='THAM_SO_MOI'!$C$14,'THAM_SO_MOI'!$C$13*(1+F1556^2/1500),'THAM_SO_MOI'!$C$13)</f>
        <v>0.021193387463648846</v>
      </c>
      <c r="J1556" s="75">
        <f>'THAM_SO_MOI'!$C$40*('THAM_SO_MOI'!$C$23*(E1556/'THAM_SO_MOI'!$C$22)+'THAM_SO_MOI'!$C$24*(E1556/'THAM_SO_MOI'!$C$22)^2-'THAM_SO_MOI'!$C$25*(E1556/'THAM_SO_MOI'!$C$22)^3)</f>
        <v>109.4099894109481</v>
      </c>
      <c r="K1556" s="75">
        <f>'THAM_SO_MOI'!$C$31*J1556/E1556</f>
        <v>426.1808443928252</v>
      </c>
      <c r="L1556" s="75">
        <f>K1556*'THAM_SO_MOI'!$C$53*'THAM_SO_MOI'!$C$17/'THAM_SO_MOI'!$C$26</f>
        <v>3737.6076729573206</v>
      </c>
      <c r="M1556" s="75">
        <f>'THAM_SO_MOI'!$C$15*'THAM_SO_MOI'!$C$16*F1556^2</f>
        <v>1811.5658331172879</v>
      </c>
      <c r="N1556" s="75">
        <f>'THAM_SO_MOI'!$C$12*I1556</f>
        <v>1596.726766221275</v>
      </c>
      <c r="O1556" s="75">
        <f>M1556+N1556</f>
        <v>3408.292599338563</v>
      </c>
      <c r="P1556" s="75">
        <f>(MIN(L1556,'THAM_SO_MOI'!$C$41)-O1556)/('THAM_SO_MOI'!$C$11*H1556)</f>
        <v>0.03898142443403855</v>
      </c>
      <c r="Q1556" s="75">
        <f>IF(P1556&gt;0,1/P1556,NA())</f>
        <v>25.653244193067525</v>
      </c>
      <c r="R1556" s="75">
        <f>F1556-F1555</f>
        <v>0.0035868055555567935</v>
      </c>
      <c r="S1556" s="75">
        <f>0.5*(Q1555+Q1556)*R1556</f>
        <v>0.09190971902026629</v>
      </c>
      <c r="T1556" s="75">
        <f>0.5*(F1555*Q1555+F1556*Q1556)*R1556</f>
        <v>2.287148172488211</v>
      </c>
      <c r="U1556" s="76">
        <f>U1555+S1556</f>
        <v>113.7018734729759</v>
      </c>
      <c r="V1556" s="76">
        <f>V1555+T1556</f>
        <v>2104.1435343723733</v>
      </c>
    </row>
    <row r="1557" spans="1:22" ht="19" customHeight="1">
      <c r="A1557" s="68" t="s">
        <v>362</v>
      </c>
      <c r="B1557" s="74">
        <v>5</v>
      </c>
      <c r="C1557" s="68" t="s">
        <v>363</v>
      </c>
      <c r="D1557" s="68" t="s">
        <v>365</v>
      </c>
      <c r="E1557" s="75">
        <f>60*F1557*'THAM_SO_MOI'!$C$53/(2*PI()*'THAM_SO_MOI'!$C$26)</f>
        <v>2452.330263157894</v>
      </c>
      <c r="F1557" s="75">
        <f>'THAM_SO_MOI'!$C$14+('THAM_SO_MOI'!$C$37-'THAM_SO_MOI'!$C$14)*750/'THAM_SO_MOI'!$C$42</f>
        <v>24.890104166666664</v>
      </c>
      <c r="G1557" s="75">
        <f>3.6*F1557</f>
        <v>89.60437499999999</v>
      </c>
      <c r="H1557" s="75">
        <f>'THAM_SO_MOI'!$D$53</f>
        <v>1.1</v>
      </c>
      <c r="I1557" s="75">
        <f>IF(F1557&gt;='THAM_SO_MOI'!$C$14,'THAM_SO_MOI'!$C$13*(1+F1557^2/1500),'THAM_SO_MOI'!$C$13)</f>
        <v>0.02119517285427517</v>
      </c>
      <c r="J1557" s="75">
        <f>'THAM_SO_MOI'!$C$40*('THAM_SO_MOI'!$C$23*(E1557/'THAM_SO_MOI'!$C$22)+'THAM_SO_MOI'!$C$24*(E1557/'THAM_SO_MOI'!$C$22)^2-'THAM_SO_MOI'!$C$25*(E1557/'THAM_SO_MOI'!$C$22)^3)</f>
        <v>109.42324518104805</v>
      </c>
      <c r="K1557" s="75">
        <f>'THAM_SO_MOI'!$C$31*J1557/E1557</f>
        <v>426.17105659897317</v>
      </c>
      <c r="L1557" s="75">
        <f>K1557*'THAM_SO_MOI'!$C$53*'THAM_SO_MOI'!$C$17/'THAM_SO_MOI'!$C$26</f>
        <v>3737.521833966939</v>
      </c>
      <c r="M1557" s="75">
        <f>'THAM_SO_MOI'!$C$15*'THAM_SO_MOI'!$C$16*F1557^2</f>
        <v>1812.088059875488</v>
      </c>
      <c r="N1557" s="75">
        <f>'THAM_SO_MOI'!$C$12*I1557</f>
        <v>1596.8612789793747</v>
      </c>
      <c r="O1557" s="75">
        <f>M1557+N1557</f>
        <v>3408.9493388548626</v>
      </c>
      <c r="P1557" s="75">
        <f>(MIN(L1557,'THAM_SO_MOI'!$C$41)-O1557)/('THAM_SO_MOI'!$C$11*H1557)</f>
        <v>0.03889352451610754</v>
      </c>
      <c r="Q1557" s="75">
        <f>IF(P1557&gt;0,1/P1557,NA())</f>
        <v>25.711220889375955</v>
      </c>
      <c r="R1557" s="75">
        <f>F1557-F1556</f>
        <v>0.0035868055555532408</v>
      </c>
      <c r="S1557" s="75">
        <f>0.5*(Q1556+Q1557)*R1557</f>
        <v>0.09211717435786436</v>
      </c>
      <c r="T1557" s="75">
        <f>0.5*(F1556*Q1556+F1557*Q1557)*R1557</f>
        <v>2.292641048579938</v>
      </c>
      <c r="U1557" s="76">
        <f>U1556+S1557</f>
        <v>113.79399064733377</v>
      </c>
      <c r="V1557" s="76">
        <f>V1556+T1557</f>
        <v>2106.436175420953</v>
      </c>
    </row>
    <row r="1558" spans="1:22" ht="19" customHeight="1">
      <c r="A1558" s="68" t="s">
        <v>362</v>
      </c>
      <c r="B1558" s="74">
        <v>5</v>
      </c>
      <c r="C1558" s="68" t="s">
        <v>363</v>
      </c>
      <c r="D1558" s="68" t="s">
        <v>365</v>
      </c>
      <c r="E1558" s="75">
        <f>60*F1558*'THAM_SO_MOI'!$C$53/(2*PI()*'THAM_SO_MOI'!$C$26)</f>
        <v>2452.6836578947364</v>
      </c>
      <c r="F1558" s="75">
        <f>'THAM_SO_MOI'!$C$14+('THAM_SO_MOI'!$C$37-'THAM_SO_MOI'!$C$14)*751/'THAM_SO_MOI'!$C$42</f>
        <v>24.89369097222222</v>
      </c>
      <c r="G1558" s="75">
        <f>3.6*F1558</f>
        <v>89.61728749999999</v>
      </c>
      <c r="H1558" s="75">
        <f>'THAM_SO_MOI'!$D$53</f>
        <v>1.1</v>
      </c>
      <c r="I1558" s="75">
        <f>IF(F1558&gt;='THAM_SO_MOI'!$C$14,'THAM_SO_MOI'!$C$13*(1+F1558^2/1500),'THAM_SO_MOI'!$C$13)</f>
        <v>0.02119695850220498</v>
      </c>
      <c r="J1558" s="75">
        <f>'THAM_SO_MOI'!$C$40*('THAM_SO_MOI'!$C$23*(E1558/'THAM_SO_MOI'!$C$22)+'THAM_SO_MOI'!$C$24*(E1558/'THAM_SO_MOI'!$C$22)^2-'THAM_SO_MOI'!$C$25*(E1558/'THAM_SO_MOI'!$C$22)^3)</f>
        <v>109.43649711550681</v>
      </c>
      <c r="K1558" s="75">
        <f>'THAM_SO_MOI'!$C$31*J1558/E1558</f>
        <v>426.1612566891368</v>
      </c>
      <c r="L1558" s="75">
        <f>K1558*'THAM_SO_MOI'!$C$53*'THAM_SO_MOI'!$C$17/'THAM_SO_MOI'!$C$26</f>
        <v>3737.4358887193275</v>
      </c>
      <c r="M1558" s="75">
        <f>'THAM_SO_MOI'!$C$15*'THAM_SO_MOI'!$C$16*F1558^2</f>
        <v>1812.6103618949571</v>
      </c>
      <c r="N1558" s="75">
        <f>'THAM_SO_MOI'!$C$12*I1558</f>
        <v>1596.995811122925</v>
      </c>
      <c r="O1558" s="75">
        <f>M1558+N1558</f>
        <v>3409.606173017882</v>
      </c>
      <c r="P1558" s="75">
        <f>(MIN(L1558,'THAM_SO_MOI'!$C$41)-O1558)/('THAM_SO_MOI'!$C$11*H1558)</f>
        <v>0.038805600816932455</v>
      </c>
      <c r="Q1558" s="75">
        <f>IF(P1558&gt;0,1/P1558,NA())</f>
        <v>25.76947602789491</v>
      </c>
      <c r="R1558" s="75">
        <f>F1558-F1557</f>
        <v>0.0035868055555567935</v>
      </c>
      <c r="S1558" s="75">
        <f>0.5*(Q1557+Q1558)*R1558</f>
        <v>0.0923256248534013</v>
      </c>
      <c r="T1558" s="75">
        <f>0.5*(F1557*Q1557+F1558*Q1558)*R1558</f>
        <v>2.2981601842514445</v>
      </c>
      <c r="U1558" s="76">
        <f>U1557+S1558</f>
        <v>113.88631627218717</v>
      </c>
      <c r="V1558" s="76">
        <f>V1557+T1558</f>
        <v>2108.7343356052047</v>
      </c>
    </row>
    <row r="1559" spans="1:22" ht="19" customHeight="1">
      <c r="A1559" s="68" t="s">
        <v>362</v>
      </c>
      <c r="B1559" s="74">
        <v>5</v>
      </c>
      <c r="C1559" s="68" t="s">
        <v>363</v>
      </c>
      <c r="D1559" s="68" t="s">
        <v>365</v>
      </c>
      <c r="E1559" s="75">
        <f>60*F1559*'THAM_SO_MOI'!$C$53/(2*PI()*'THAM_SO_MOI'!$C$26)</f>
        <v>2453.0370526315783</v>
      </c>
      <c r="F1559" s="75">
        <f>'THAM_SO_MOI'!$C$14+('THAM_SO_MOI'!$C$37-'THAM_SO_MOI'!$C$14)*752/'THAM_SO_MOI'!$C$42</f>
        <v>24.897277777777777</v>
      </c>
      <c r="G1559" s="75">
        <f>3.6*F1559</f>
        <v>89.6302</v>
      </c>
      <c r="H1559" s="75">
        <f>'THAM_SO_MOI'!$D$53</f>
        <v>1.1</v>
      </c>
      <c r="I1559" s="75">
        <f>IF(F1559&gt;='THAM_SO_MOI'!$C$14,'THAM_SO_MOI'!$C$13*(1+F1559^2/1500),'THAM_SO_MOI'!$C$13)</f>
        <v>0.02119874440743827</v>
      </c>
      <c r="J1559" s="75">
        <f>'THAM_SO_MOI'!$C$40*('THAM_SO_MOI'!$C$23*(E1559/'THAM_SO_MOI'!$C$22)+'THAM_SO_MOI'!$C$24*(E1559/'THAM_SO_MOI'!$C$22)^2-'THAM_SO_MOI'!$C$25*(E1559/'THAM_SO_MOI'!$C$22)^3)</f>
        <v>109.44974521297938</v>
      </c>
      <c r="K1559" s="75">
        <f>'THAM_SO_MOI'!$C$31*J1559/E1559</f>
        <v>426.1514446633158</v>
      </c>
      <c r="L1559" s="75">
        <f>K1559*'THAM_SO_MOI'!$C$53*'THAM_SO_MOI'!$C$17/'THAM_SO_MOI'!$C$26</f>
        <v>3737.349837214483</v>
      </c>
      <c r="M1559" s="75">
        <f>'THAM_SO_MOI'!$C$15*'THAM_SO_MOI'!$C$16*F1559^2</f>
        <v>1813.1327391756945</v>
      </c>
      <c r="N1559" s="75">
        <f>'THAM_SO_MOI'!$C$12*I1559</f>
        <v>1597.1303626519252</v>
      </c>
      <c r="O1559" s="75">
        <f>M1559+N1559</f>
        <v>3410.2631018276197</v>
      </c>
      <c r="P1559" s="75">
        <f>(MIN(L1559,'THAM_SO_MOI'!$C$41)-O1559)/('THAM_SO_MOI'!$C$11*H1559)</f>
        <v>0.03871765333651319</v>
      </c>
      <c r="Q1559" s="75">
        <f>IF(P1559&gt;0,1/P1559,NA())</f>
        <v>25.828011612907773</v>
      </c>
      <c r="R1559" s="75">
        <f>F1559-F1558</f>
        <v>0.0035868055555567935</v>
      </c>
      <c r="S1559" s="75">
        <f>0.5*(Q1558+Q1559)*R1559</f>
        <v>0.09253507766140202</v>
      </c>
      <c r="T1559" s="75">
        <f>0.5*(F1558*Q1558+F1559*Q1559)*R1559</f>
        <v>2.3037057683264686</v>
      </c>
      <c r="U1559" s="76">
        <f>U1558+S1559</f>
        <v>113.97885134984857</v>
      </c>
      <c r="V1559" s="76">
        <f>V1558+T1559</f>
        <v>2111.038041373531</v>
      </c>
    </row>
    <row r="1560" spans="1:22" ht="19" customHeight="1">
      <c r="A1560" s="68" t="s">
        <v>362</v>
      </c>
      <c r="B1560" s="74">
        <v>5</v>
      </c>
      <c r="C1560" s="68" t="s">
        <v>363</v>
      </c>
      <c r="D1560" s="68" t="s">
        <v>365</v>
      </c>
      <c r="E1560" s="75">
        <f>60*F1560*'THAM_SO_MOI'!$C$53/(2*PI()*'THAM_SO_MOI'!$C$26)</f>
        <v>2453.39044736842</v>
      </c>
      <c r="F1560" s="75">
        <f>'THAM_SO_MOI'!$C$14+('THAM_SO_MOI'!$C$37-'THAM_SO_MOI'!$C$14)*753/'THAM_SO_MOI'!$C$42</f>
        <v>24.90086458333333</v>
      </c>
      <c r="G1560" s="75">
        <f>3.6*F1560</f>
        <v>89.64311249999999</v>
      </c>
      <c r="H1560" s="75">
        <f>'THAM_SO_MOI'!$D$53</f>
        <v>1.1</v>
      </c>
      <c r="I1560" s="75">
        <f>IF(F1560&gt;='THAM_SO_MOI'!$C$14,'THAM_SO_MOI'!$C$13*(1+F1560^2/1500),'THAM_SO_MOI'!$C$13)</f>
        <v>0.02120053056997504</v>
      </c>
      <c r="J1560" s="75">
        <f>'THAM_SO_MOI'!$C$40*('THAM_SO_MOI'!$C$23*(E1560/'THAM_SO_MOI'!$C$22)+'THAM_SO_MOI'!$C$24*(E1560/'THAM_SO_MOI'!$C$22)^2-'THAM_SO_MOI'!$C$25*(E1560/'THAM_SO_MOI'!$C$22)^3)</f>
        <v>109.462989472121</v>
      </c>
      <c r="K1560" s="75">
        <f>'THAM_SO_MOI'!$C$31*J1560/E1560</f>
        <v>426.1416205215105</v>
      </c>
      <c r="L1560" s="75">
        <f>K1560*'THAM_SO_MOI'!$C$53*'THAM_SO_MOI'!$C$17/'THAM_SO_MOI'!$C$26</f>
        <v>3737.263679452409</v>
      </c>
      <c r="M1560" s="75">
        <f>'THAM_SO_MOI'!$C$15*'THAM_SO_MOI'!$C$16*F1560^2</f>
        <v>1813.6551917177</v>
      </c>
      <c r="N1560" s="75">
        <f>'THAM_SO_MOI'!$C$12*I1560</f>
        <v>1597.2649335663757</v>
      </c>
      <c r="O1560" s="75">
        <f>M1560+N1560</f>
        <v>3410.9201252840758</v>
      </c>
      <c r="P1560" s="75">
        <f>(MIN(L1560,'THAM_SO_MOI'!$C$41)-O1560)/('THAM_SO_MOI'!$C$11*H1560)</f>
        <v>0.03862968207485007</v>
      </c>
      <c r="Q1560" s="75">
        <f>IF(P1560&gt;0,1/P1560,NA())</f>
        <v>25.88682966798352</v>
      </c>
      <c r="R1560" s="75">
        <f>F1560-F1559</f>
        <v>0.0035868055555532408</v>
      </c>
      <c r="S1560" s="75">
        <f>0.5*(Q1559+Q1560)*R1560</f>
        <v>0.09274554000542748</v>
      </c>
      <c r="T1560" s="75">
        <f>0.5*(F1559*Q1559+F1560*Q1560)*R1560</f>
        <v>2.309277991450331</v>
      </c>
      <c r="U1560" s="76">
        <f>U1559+S1560</f>
        <v>114.07159688985399</v>
      </c>
      <c r="V1560" s="76">
        <f>V1559+T1560</f>
        <v>2113.3473193649816</v>
      </c>
    </row>
    <row r="1561" spans="1:22" ht="19" customHeight="1">
      <c r="A1561" s="68" t="s">
        <v>362</v>
      </c>
      <c r="B1561" s="74">
        <v>5</v>
      </c>
      <c r="C1561" s="68" t="s">
        <v>363</v>
      </c>
      <c r="D1561" s="68" t="s">
        <v>365</v>
      </c>
      <c r="E1561" s="75">
        <f>60*F1561*'THAM_SO_MOI'!$C$53/(2*PI()*'THAM_SO_MOI'!$C$26)</f>
        <v>2453.7438421052625</v>
      </c>
      <c r="F1561" s="75">
        <f>'THAM_SO_MOI'!$C$14+('THAM_SO_MOI'!$C$37-'THAM_SO_MOI'!$C$14)*754/'THAM_SO_MOI'!$C$42</f>
        <v>24.904451388888887</v>
      </c>
      <c r="G1561" s="75">
        <f>3.6*F1561</f>
        <v>89.656025</v>
      </c>
      <c r="H1561" s="75">
        <f>'THAM_SO_MOI'!$D$53</f>
        <v>1.1</v>
      </c>
      <c r="I1561" s="75">
        <f>IF(F1561&gt;='THAM_SO_MOI'!$C$14,'THAM_SO_MOI'!$C$13*(1+F1561^2/1500),'THAM_SO_MOI'!$C$13)</f>
        <v>0.021202316989815295</v>
      </c>
      <c r="J1561" s="75">
        <f>'THAM_SO_MOI'!$C$40*('THAM_SO_MOI'!$C$23*(E1561/'THAM_SO_MOI'!$C$22)+'THAM_SO_MOI'!$C$24*(E1561/'THAM_SO_MOI'!$C$22)^2-'THAM_SO_MOI'!$C$25*(E1561/'THAM_SO_MOI'!$C$22)^3)</f>
        <v>109.4762298915867</v>
      </c>
      <c r="K1561" s="75">
        <f>'THAM_SO_MOI'!$C$31*J1561/E1561</f>
        <v>426.13178426372065</v>
      </c>
      <c r="L1561" s="75">
        <f>K1561*'THAM_SO_MOI'!$C$53*'THAM_SO_MOI'!$C$17/'THAM_SO_MOI'!$C$26</f>
        <v>3737.1774154331033</v>
      </c>
      <c r="M1561" s="75">
        <f>'THAM_SO_MOI'!$C$15*'THAM_SO_MOI'!$C$16*F1561^2</f>
        <v>1814.1777195209743</v>
      </c>
      <c r="N1561" s="75">
        <f>'THAM_SO_MOI'!$C$12*I1561</f>
        <v>1597.3995238662762</v>
      </c>
      <c r="O1561" s="75">
        <f>M1561+N1561</f>
        <v>3411.5772433872507</v>
      </c>
      <c r="P1561" s="75">
        <f>(MIN(L1561,'THAM_SO_MOI'!$C$41)-O1561)/('THAM_SO_MOI'!$C$11*H1561)</f>
        <v>0.0385416870319428</v>
      </c>
      <c r="Q1561" s="75">
        <f>IF(P1561&gt;0,1/P1561,NA())</f>
        <v>25.94593223620996</v>
      </c>
      <c r="R1561" s="75">
        <f>F1561-F1560</f>
        <v>0.0035868055555567935</v>
      </c>
      <c r="S1561" s="75">
        <f>0.5*(Q1560+Q1561)*R1561</f>
        <v>0.09295701917890684</v>
      </c>
      <c r="T1561" s="75">
        <f>0.5*(F1560*Q1560+F1561*Q1561)*R1561</f>
        <v>2.3148770461118957</v>
      </c>
      <c r="U1561" s="76">
        <f>U1560+S1561</f>
        <v>114.1645539090329</v>
      </c>
      <c r="V1561" s="76">
        <f>V1560+T1561</f>
        <v>2115.6621964110936</v>
      </c>
    </row>
    <row r="1562" spans="1:22" ht="19" customHeight="1">
      <c r="A1562" s="68" t="s">
        <v>362</v>
      </c>
      <c r="B1562" s="74">
        <v>5</v>
      </c>
      <c r="C1562" s="68" t="s">
        <v>363</v>
      </c>
      <c r="D1562" s="68" t="s">
        <v>365</v>
      </c>
      <c r="E1562" s="75">
        <f>60*F1562*'THAM_SO_MOI'!$C$53/(2*PI()*'THAM_SO_MOI'!$C$26)</f>
        <v>2454.097236842105</v>
      </c>
      <c r="F1562" s="75">
        <f>'THAM_SO_MOI'!$C$14+('THAM_SO_MOI'!$C$37-'THAM_SO_MOI'!$C$14)*755/'THAM_SO_MOI'!$C$42</f>
        <v>24.908038194444444</v>
      </c>
      <c r="G1562" s="75">
        <f>3.6*F1562</f>
        <v>89.6689375</v>
      </c>
      <c r="H1562" s="75">
        <f>'THAM_SO_MOI'!$D$53</f>
        <v>1.1</v>
      </c>
      <c r="I1562" s="75">
        <f>IF(F1562&gt;='THAM_SO_MOI'!$C$14,'THAM_SO_MOI'!$C$13*(1+F1562^2/1500),'THAM_SO_MOI'!$C$13)</f>
        <v>0.02120410366695903</v>
      </c>
      <c r="J1562" s="75">
        <f>'THAM_SO_MOI'!$C$40*('THAM_SO_MOI'!$C$23*(E1562/'THAM_SO_MOI'!$C$22)+'THAM_SO_MOI'!$C$24*(E1562/'THAM_SO_MOI'!$C$22)^2-'THAM_SO_MOI'!$C$25*(E1562/'THAM_SO_MOI'!$C$22)^3)</f>
        <v>109.4894664700316</v>
      </c>
      <c r="K1562" s="75">
        <f>'THAM_SO_MOI'!$C$31*J1562/E1562</f>
        <v>426.1219358899463</v>
      </c>
      <c r="L1562" s="75">
        <f>K1562*'THAM_SO_MOI'!$C$53*'THAM_SO_MOI'!$C$17/'THAM_SO_MOI'!$C$26</f>
        <v>3737.0910451565665</v>
      </c>
      <c r="M1562" s="75">
        <f>'THAM_SO_MOI'!$C$15*'THAM_SO_MOI'!$C$16*F1562^2</f>
        <v>1814.7003225855174</v>
      </c>
      <c r="N1562" s="75">
        <f>'THAM_SO_MOI'!$C$12*I1562</f>
        <v>1597.534133551627</v>
      </c>
      <c r="O1562" s="75">
        <f>M1562+N1562</f>
        <v>3412.2344561371447</v>
      </c>
      <c r="P1562" s="75">
        <f>(MIN(L1562,'THAM_SO_MOI'!$C$41)-O1562)/('THAM_SO_MOI'!$C$11*H1562)</f>
        <v>0.03845366820779143</v>
      </c>
      <c r="Q1562" s="75">
        <f>IF(P1562&gt;0,1/P1562,NA())</f>
        <v>26.005321380428963</v>
      </c>
      <c r="R1562" s="75">
        <f>F1562-F1561</f>
        <v>0.0035868055555567935</v>
      </c>
      <c r="S1562" s="75">
        <f>0.5*(Q1561+Q1562)*R1562</f>
        <v>0.09316952254515022</v>
      </c>
      <c r="T1562" s="75">
        <f>0.5*(F1561*Q1561+F1562*Q1562)*R1562</f>
        <v>2.3205031266451375</v>
      </c>
      <c r="U1562" s="76">
        <f>U1561+S1562</f>
        <v>114.25772343157806</v>
      </c>
      <c r="V1562" s="76">
        <f>V1561+T1562</f>
        <v>2117.982699537739</v>
      </c>
    </row>
    <row r="1563" spans="1:22" ht="19" customHeight="1">
      <c r="A1563" s="68" t="s">
        <v>362</v>
      </c>
      <c r="B1563" s="74">
        <v>5</v>
      </c>
      <c r="C1563" s="68" t="s">
        <v>363</v>
      </c>
      <c r="D1563" s="68" t="s">
        <v>365</v>
      </c>
      <c r="E1563" s="75">
        <f>60*F1563*'THAM_SO_MOI'!$C$53/(2*PI()*'THAM_SO_MOI'!$C$26)</f>
        <v>2454.4506315789467</v>
      </c>
      <c r="F1563" s="75">
        <f>'THAM_SO_MOI'!$C$14+('THAM_SO_MOI'!$C$37-'THAM_SO_MOI'!$C$14)*756/'THAM_SO_MOI'!$C$42</f>
        <v>24.911624999999997</v>
      </c>
      <c r="G1563" s="75">
        <f>3.6*F1563</f>
        <v>89.68185</v>
      </c>
      <c r="H1563" s="75">
        <f>'THAM_SO_MOI'!$D$53</f>
        <v>1.1</v>
      </c>
      <c r="I1563" s="75">
        <f>IF(F1563&gt;='THAM_SO_MOI'!$C$14,'THAM_SO_MOI'!$C$13*(1+F1563^2/1500),'THAM_SO_MOI'!$C$13)</f>
        <v>0.02120589060140625</v>
      </c>
      <c r="J1563" s="75">
        <f>'THAM_SO_MOI'!$C$40*('THAM_SO_MOI'!$C$23*(E1563/'THAM_SO_MOI'!$C$22)+'THAM_SO_MOI'!$C$24*(E1563/'THAM_SO_MOI'!$C$22)^2-'THAM_SO_MOI'!$C$25*(E1563/'THAM_SO_MOI'!$C$22)^3)</f>
        <v>109.50269920611082</v>
      </c>
      <c r="K1563" s="75">
        <f>'THAM_SO_MOI'!$C$31*J1563/E1563</f>
        <v>426.1120754001876</v>
      </c>
      <c r="L1563" s="75">
        <f>K1563*'THAM_SO_MOI'!$C$53*'THAM_SO_MOI'!$C$17/'THAM_SO_MOI'!$C$26</f>
        <v>3737.004568622798</v>
      </c>
      <c r="M1563" s="75">
        <f>'THAM_SO_MOI'!$C$15*'THAM_SO_MOI'!$C$16*F1563^2</f>
        <v>1815.2230009113277</v>
      </c>
      <c r="N1563" s="75">
        <f>'THAM_SO_MOI'!$C$12*I1563</f>
        <v>1597.668762622428</v>
      </c>
      <c r="O1563" s="75">
        <f>M1563+N1563</f>
        <v>3412.8917635337557</v>
      </c>
      <c r="P1563" s="75">
        <f>(MIN(L1563,'THAM_SO_MOI'!$C$41)-O1563)/('THAM_SO_MOI'!$C$11*H1563)</f>
        <v>0.038365625602396126</v>
      </c>
      <c r="Q1563" s="75">
        <f>IF(P1563&gt;0,1/P1563,NA())</f>
        <v>26.064999183475976</v>
      </c>
      <c r="R1563" s="75">
        <f>F1563-F1562</f>
        <v>0.0035868055555532408</v>
      </c>
      <c r="S1563" s="75">
        <f>0.5*(Q1562+Q1563)*R1563</f>
        <v>0.0933830575390262</v>
      </c>
      <c r="T1563" s="75">
        <f>0.5*(F1562*Q1562+F1563*Q1563)*R1563</f>
        <v>2.3261564292721872</v>
      </c>
      <c r="U1563" s="76">
        <f>U1562+S1563</f>
        <v>114.35110648911709</v>
      </c>
      <c r="V1563" s="76">
        <f>V1562+T1563</f>
        <v>2120.308855967011</v>
      </c>
    </row>
    <row r="1564" spans="1:22" ht="19" customHeight="1">
      <c r="A1564" s="68" t="s">
        <v>362</v>
      </c>
      <c r="B1564" s="74">
        <v>5</v>
      </c>
      <c r="C1564" s="68" t="s">
        <v>363</v>
      </c>
      <c r="D1564" s="68" t="s">
        <v>365</v>
      </c>
      <c r="E1564" s="75">
        <f>60*F1564*'THAM_SO_MOI'!$C$53/(2*PI()*'THAM_SO_MOI'!$C$26)</f>
        <v>2454.804026315789</v>
      </c>
      <c r="F1564" s="75">
        <f>'THAM_SO_MOI'!$C$14+('THAM_SO_MOI'!$C$37-'THAM_SO_MOI'!$C$14)*757/'THAM_SO_MOI'!$C$42</f>
        <v>24.915211805555554</v>
      </c>
      <c r="G1564" s="75">
        <f>3.6*F1564</f>
        <v>89.6947625</v>
      </c>
      <c r="H1564" s="75">
        <f>'THAM_SO_MOI'!$D$53</f>
        <v>1.1</v>
      </c>
      <c r="I1564" s="75">
        <f>IF(F1564&gt;='THAM_SO_MOI'!$C$14,'THAM_SO_MOI'!$C$13*(1+F1564^2/1500),'THAM_SO_MOI'!$C$13)</f>
        <v>0.021207677793156948</v>
      </c>
      <c r="J1564" s="75">
        <f>'THAM_SO_MOI'!$C$40*('THAM_SO_MOI'!$C$23*(E1564/'THAM_SO_MOI'!$C$22)+'THAM_SO_MOI'!$C$24*(E1564/'THAM_SO_MOI'!$C$22)^2-'THAM_SO_MOI'!$C$25*(E1564/'THAM_SO_MOI'!$C$22)^3)</f>
        <v>109.51592809847949</v>
      </c>
      <c r="K1564" s="75">
        <f>'THAM_SO_MOI'!$C$31*J1564/E1564</f>
        <v>426.10220279444445</v>
      </c>
      <c r="L1564" s="75">
        <f>K1564*'THAM_SO_MOI'!$C$53*'THAM_SO_MOI'!$C$17/'THAM_SO_MOI'!$C$26</f>
        <v>3736.9179858317993</v>
      </c>
      <c r="M1564" s="75">
        <f>'THAM_SO_MOI'!$C$15*'THAM_SO_MOI'!$C$16*F1564^2</f>
        <v>1815.7457544984077</v>
      </c>
      <c r="N1564" s="75">
        <f>'THAM_SO_MOI'!$C$12*I1564</f>
        <v>1597.8034110786791</v>
      </c>
      <c r="O1564" s="75">
        <f>M1564+N1564</f>
        <v>3413.5491655770866</v>
      </c>
      <c r="P1564" s="75">
        <f>(MIN(L1564,'THAM_SO_MOI'!$C$41)-O1564)/('THAM_SO_MOI'!$C$11*H1564)</f>
        <v>0.03827755921575669</v>
      </c>
      <c r="Q1564" s="75">
        <f>IF(P1564&gt;0,1/P1564,NA())</f>
        <v>26.124967748423124</v>
      </c>
      <c r="R1564" s="75">
        <f>F1564-F1563</f>
        <v>0.0035868055555567935</v>
      </c>
      <c r="S1564" s="75">
        <f>0.5*(Q1563+Q1564)*R1564</f>
        <v>0.09359763166783051</v>
      </c>
      <c r="T1564" s="75">
        <f>0.5*(F1563*Q1563+F1564*Q1564)*R1564</f>
        <v>2.3318371521262518</v>
      </c>
      <c r="U1564" s="76">
        <f>U1563+S1564</f>
        <v>114.44470412078492</v>
      </c>
      <c r="V1564" s="76">
        <f>V1563+T1564</f>
        <v>2122.6406931191373</v>
      </c>
    </row>
    <row r="1565" spans="1:22" ht="19" customHeight="1">
      <c r="A1565" s="68" t="s">
        <v>362</v>
      </c>
      <c r="B1565" s="74">
        <v>5</v>
      </c>
      <c r="C1565" s="68" t="s">
        <v>363</v>
      </c>
      <c r="D1565" s="68" t="s">
        <v>365</v>
      </c>
      <c r="E1565" s="75">
        <f>60*F1565*'THAM_SO_MOI'!$C$53/(2*PI()*'THAM_SO_MOI'!$C$26)</f>
        <v>2455.157421052631</v>
      </c>
      <c r="F1565" s="75">
        <f>'THAM_SO_MOI'!$C$14+('THAM_SO_MOI'!$C$37-'THAM_SO_MOI'!$C$14)*758/'THAM_SO_MOI'!$C$42</f>
        <v>24.91879861111111</v>
      </c>
      <c r="G1565" s="75">
        <f>3.6*F1565</f>
        <v>89.707675</v>
      </c>
      <c r="H1565" s="75">
        <f>'THAM_SO_MOI'!$D$53</f>
        <v>1.1</v>
      </c>
      <c r="I1565" s="75">
        <f>IF(F1565&gt;='THAM_SO_MOI'!$C$14,'THAM_SO_MOI'!$C$13*(1+F1565^2/1500),'THAM_SO_MOI'!$C$13)</f>
        <v>0.02120946524221113</v>
      </c>
      <c r="J1565" s="75">
        <f>'THAM_SO_MOI'!$C$40*('THAM_SO_MOI'!$C$23*(E1565/'THAM_SO_MOI'!$C$22)+'THAM_SO_MOI'!$C$24*(E1565/'THAM_SO_MOI'!$C$22)^2-'THAM_SO_MOI'!$C$25*(E1565/'THAM_SO_MOI'!$C$22)^3)</f>
        <v>109.52915314579265</v>
      </c>
      <c r="K1565" s="75">
        <f>'THAM_SO_MOI'!$C$31*J1565/E1565</f>
        <v>426.0923180727167</v>
      </c>
      <c r="L1565" s="75">
        <f>K1565*'THAM_SO_MOI'!$C$53*'THAM_SO_MOI'!$C$17/'THAM_SO_MOI'!$C$26</f>
        <v>3736.8312967835686</v>
      </c>
      <c r="M1565" s="75">
        <f>'THAM_SO_MOI'!$C$15*'THAM_SO_MOI'!$C$16*F1565^2</f>
        <v>1816.2685833467558</v>
      </c>
      <c r="N1565" s="75">
        <f>'THAM_SO_MOI'!$C$12*I1565</f>
        <v>1597.9380789203803</v>
      </c>
      <c r="O1565" s="75">
        <f>M1565+N1565</f>
        <v>3414.2066622671364</v>
      </c>
      <c r="P1565" s="75">
        <f>(MIN(L1565,'THAM_SO_MOI'!$C$41)-O1565)/('THAM_SO_MOI'!$C$11*H1565)</f>
        <v>0.03818946904787316</v>
      </c>
      <c r="Q1565" s="75">
        <f>IF(P1565&gt;0,1/P1565,NA())</f>
        <v>26.185229198825212</v>
      </c>
      <c r="R1565" s="75">
        <f>F1565-F1564</f>
        <v>0.0035868055555567935</v>
      </c>
      <c r="S1565" s="75">
        <f>0.5*(Q1564+Q1565)*R1565</f>
        <v>0.09381325251133017</v>
      </c>
      <c r="T1565" s="75">
        <f>0.5*(F1564*Q1564+F1565*Q1565)*R1565</f>
        <v>2.337545495254017</v>
      </c>
      <c r="U1565" s="76">
        <f>U1564+S1565</f>
        <v>114.53851737329624</v>
      </c>
      <c r="V1565" s="76">
        <f>V1564+T1565</f>
        <v>2124.978238614391</v>
      </c>
    </row>
    <row r="1566" spans="1:22" ht="19" customHeight="1">
      <c r="A1566" s="68" t="s">
        <v>362</v>
      </c>
      <c r="B1566" s="74">
        <v>5</v>
      </c>
      <c r="C1566" s="68" t="s">
        <v>363</v>
      </c>
      <c r="D1566" s="68" t="s">
        <v>365</v>
      </c>
      <c r="E1566" s="75">
        <f>60*F1566*'THAM_SO_MOI'!$C$53/(2*PI()*'THAM_SO_MOI'!$C$26)</f>
        <v>2455.510815789473</v>
      </c>
      <c r="F1566" s="75">
        <f>'THAM_SO_MOI'!$C$14+('THAM_SO_MOI'!$C$37-'THAM_SO_MOI'!$C$14)*759/'THAM_SO_MOI'!$C$42</f>
        <v>24.922385416666664</v>
      </c>
      <c r="G1566" s="75">
        <f>3.6*F1566</f>
        <v>89.7205875</v>
      </c>
      <c r="H1566" s="75">
        <f>'THAM_SO_MOI'!$D$53</f>
        <v>1.1</v>
      </c>
      <c r="I1566" s="75">
        <f>IF(F1566&gt;='THAM_SO_MOI'!$C$14,'THAM_SO_MOI'!$C$13*(1+F1566^2/1500),'THAM_SO_MOI'!$C$13)</f>
        <v>0.021211252948568793</v>
      </c>
      <c r="J1566" s="75">
        <f>'THAM_SO_MOI'!$C$40*('THAM_SO_MOI'!$C$23*(E1566/'THAM_SO_MOI'!$C$22)+'THAM_SO_MOI'!$C$24*(E1566/'THAM_SO_MOI'!$C$22)^2-'THAM_SO_MOI'!$C$25*(E1566/'THAM_SO_MOI'!$C$22)^3)</f>
        <v>109.54237434670547</v>
      </c>
      <c r="K1566" s="75">
        <f>'THAM_SO_MOI'!$C$31*J1566/E1566</f>
        <v>426.0824212350045</v>
      </c>
      <c r="L1566" s="75">
        <f>K1566*'THAM_SO_MOI'!$C$53*'THAM_SO_MOI'!$C$17/'THAM_SO_MOI'!$C$26</f>
        <v>3736.744501478107</v>
      </c>
      <c r="M1566" s="75">
        <f>'THAM_SO_MOI'!$C$15*'THAM_SO_MOI'!$C$16*F1566^2</f>
        <v>1816.791487456372</v>
      </c>
      <c r="N1566" s="75">
        <f>'THAM_SO_MOI'!$C$12*I1566</f>
        <v>1598.0727661475319</v>
      </c>
      <c r="O1566" s="75">
        <f>M1566+N1566</f>
        <v>3414.8642536039038</v>
      </c>
      <c r="P1566" s="75">
        <f>(MIN(L1566,'THAM_SO_MOI'!$C$41)-O1566)/('THAM_SO_MOI'!$C$11*H1566)</f>
        <v>0.03810135509874564</v>
      </c>
      <c r="Q1566" s="75">
        <f>IF(P1566&gt;0,1/P1566,NA())</f>
        <v>26.245785678969767</v>
      </c>
      <c r="R1566" s="75">
        <f>F1566-F1565</f>
        <v>0.0035868055555532408</v>
      </c>
      <c r="S1566" s="75">
        <f>0.5*(Q1565+Q1566)*R1566</f>
        <v>0.09402992772348483</v>
      </c>
      <c r="T1566" s="75">
        <f>0.5*(F1565*Q1565+F1566*Q1566)*R1566</f>
        <v>2.3432816606598403</v>
      </c>
      <c r="U1566" s="76">
        <f>U1565+S1566</f>
        <v>114.63254730101973</v>
      </c>
      <c r="V1566" s="76">
        <f>V1565+T1566</f>
        <v>2127.3215202750507</v>
      </c>
    </row>
    <row r="1567" spans="1:22" ht="19" customHeight="1">
      <c r="A1567" s="68" t="s">
        <v>362</v>
      </c>
      <c r="B1567" s="74">
        <v>5</v>
      </c>
      <c r="C1567" s="68" t="s">
        <v>363</v>
      </c>
      <c r="D1567" s="68" t="s">
        <v>365</v>
      </c>
      <c r="E1567" s="75">
        <f>60*F1567*'THAM_SO_MOI'!$C$53/(2*PI()*'THAM_SO_MOI'!$C$26)</f>
        <v>2455.8642105263148</v>
      </c>
      <c r="F1567" s="75">
        <f>'THAM_SO_MOI'!$C$14+('THAM_SO_MOI'!$C$37-'THAM_SO_MOI'!$C$14)*760/'THAM_SO_MOI'!$C$42</f>
        <v>24.92597222222222</v>
      </c>
      <c r="G1567" s="75">
        <f>3.6*F1567</f>
        <v>89.73349999999999</v>
      </c>
      <c r="H1567" s="75">
        <f>'THAM_SO_MOI'!$D$53</f>
        <v>1.1</v>
      </c>
      <c r="I1567" s="75">
        <f>IF(F1567&gt;='THAM_SO_MOI'!$C$14,'THAM_SO_MOI'!$C$13*(1+F1567^2/1500),'THAM_SO_MOI'!$C$13)</f>
        <v>0.02121304091222994</v>
      </c>
      <c r="J1567" s="75">
        <f>'THAM_SO_MOI'!$C$40*('THAM_SO_MOI'!$C$23*(E1567/'THAM_SO_MOI'!$C$22)+'THAM_SO_MOI'!$C$24*(E1567/'THAM_SO_MOI'!$C$22)^2-'THAM_SO_MOI'!$C$25*(E1567/'THAM_SO_MOI'!$C$22)^3)</f>
        <v>109.55559169987308</v>
      </c>
      <c r="K1567" s="75">
        <f>'THAM_SO_MOI'!$C$31*J1567/E1567</f>
        <v>426.07251228130804</v>
      </c>
      <c r="L1567" s="75">
        <f>K1567*'THAM_SO_MOI'!$C$53*'THAM_SO_MOI'!$C$17/'THAM_SO_MOI'!$C$26</f>
        <v>3736.657599915415</v>
      </c>
      <c r="M1567" s="75">
        <f>'THAM_SO_MOI'!$C$15*'THAM_SO_MOI'!$C$16*F1567^2</f>
        <v>1817.3144668272569</v>
      </c>
      <c r="N1567" s="75">
        <f>'THAM_SO_MOI'!$C$12*I1567</f>
        <v>1598.2074727601334</v>
      </c>
      <c r="O1567" s="75">
        <f>M1567+N1567</f>
        <v>3415.52193958739</v>
      </c>
      <c r="P1567" s="75">
        <f>(MIN(L1567,'THAM_SO_MOI'!$C$41)-O1567)/('THAM_SO_MOI'!$C$11*H1567)</f>
        <v>0.03801321736837415</v>
      </c>
      <c r="Q1567" s="75">
        <f>IF(P1567&gt;0,1/P1567,NA())</f>
        <v>26.3066393541308</v>
      </c>
      <c r="R1567" s="75">
        <f>F1567-F1566</f>
        <v>0.0035868055555567935</v>
      </c>
      <c r="S1567" s="75">
        <f>0.5*(Q1566+Q1567)*R1567</f>
        <v>0.09424766503335351</v>
      </c>
      <c r="T1567" s="75">
        <f>0.5*(F1566*Q1566+F1567*Q1567)*R1567</f>
        <v>2.3490458523296853</v>
      </c>
      <c r="U1567" s="76">
        <f>U1566+S1567</f>
        <v>114.72679496605308</v>
      </c>
      <c r="V1567" s="76">
        <f>V1566+T1567</f>
        <v>2129.6705661273804</v>
      </c>
    </row>
    <row r="1568" spans="1:22" ht="19" customHeight="1">
      <c r="A1568" s="68" t="s">
        <v>362</v>
      </c>
      <c r="B1568" s="74">
        <v>5</v>
      </c>
      <c r="C1568" s="68" t="s">
        <v>363</v>
      </c>
      <c r="D1568" s="68" t="s">
        <v>365</v>
      </c>
      <c r="E1568" s="75">
        <f>60*F1568*'THAM_SO_MOI'!$C$53/(2*PI()*'THAM_SO_MOI'!$C$26)</f>
        <v>2456.2176052631576</v>
      </c>
      <c r="F1568" s="75">
        <f>'THAM_SO_MOI'!$C$14+('THAM_SO_MOI'!$C$37-'THAM_SO_MOI'!$C$14)*761/'THAM_SO_MOI'!$C$42</f>
        <v>24.929559027777778</v>
      </c>
      <c r="G1568" s="75">
        <f>3.6*F1568</f>
        <v>89.7464125</v>
      </c>
      <c r="H1568" s="75">
        <f>'THAM_SO_MOI'!$D$53</f>
        <v>1.1</v>
      </c>
      <c r="I1568" s="75">
        <f>IF(F1568&gt;='THAM_SO_MOI'!$C$14,'THAM_SO_MOI'!$C$13*(1+F1568^2/1500),'THAM_SO_MOI'!$C$13)</f>
        <v>0.021214829133194564</v>
      </c>
      <c r="J1568" s="75">
        <f>'THAM_SO_MOI'!$C$40*('THAM_SO_MOI'!$C$23*(E1568/'THAM_SO_MOI'!$C$22)+'THAM_SO_MOI'!$C$24*(E1568/'THAM_SO_MOI'!$C$22)^2-'THAM_SO_MOI'!$C$25*(E1568/'THAM_SO_MOI'!$C$22)^3)</f>
        <v>109.56880520395056</v>
      </c>
      <c r="K1568" s="75">
        <f>'THAM_SO_MOI'!$C$31*J1568/E1568</f>
        <v>426.0625912116269</v>
      </c>
      <c r="L1568" s="75">
        <f>K1568*'THAM_SO_MOI'!$C$53*'THAM_SO_MOI'!$C$17/'THAM_SO_MOI'!$C$26</f>
        <v>3736.570592095491</v>
      </c>
      <c r="M1568" s="75">
        <f>'THAM_SO_MOI'!$C$15*'THAM_SO_MOI'!$C$16*F1568^2</f>
        <v>1817.8375214594105</v>
      </c>
      <c r="N1568" s="75">
        <f>'THAM_SO_MOI'!$C$12*I1568</f>
        <v>1598.342198758185</v>
      </c>
      <c r="O1568" s="75">
        <f>M1568+N1568</f>
        <v>3416.179720217596</v>
      </c>
      <c r="P1568" s="75">
        <f>(MIN(L1568,'THAM_SO_MOI'!$C$41)-O1568)/('THAM_SO_MOI'!$C$11*H1568)</f>
        <v>0.03792505585675846</v>
      </c>
      <c r="Q1568" s="75">
        <f>IF(P1568&gt;0,1/P1568,NA())</f>
        <v>26.36779241082632</v>
      </c>
      <c r="R1568" s="75">
        <f>F1568-F1567</f>
        <v>0.0035868055555567935</v>
      </c>
      <c r="S1568" s="75">
        <f>0.5*(Q1567+Q1568)*R1568</f>
        <v>0.09446647224517271</v>
      </c>
      <c r="T1568" s="75">
        <f>0.5*(F1567*Q1567+F1568*Q1568)*R1568</f>
        <v>2.354838276234413</v>
      </c>
      <c r="U1568" s="76">
        <f>U1567+S1568</f>
        <v>114.82126143829825</v>
      </c>
      <c r="V1568" s="76">
        <f>V1567+T1568</f>
        <v>2132.0254044036146</v>
      </c>
    </row>
    <row r="1569" spans="1:22" ht="19" customHeight="1">
      <c r="A1569" s="68" t="s">
        <v>362</v>
      </c>
      <c r="B1569" s="74">
        <v>5</v>
      </c>
      <c r="C1569" s="68" t="s">
        <v>363</v>
      </c>
      <c r="D1569" s="68" t="s">
        <v>365</v>
      </c>
      <c r="E1569" s="75">
        <f>60*F1569*'THAM_SO_MOI'!$C$53/(2*PI()*'THAM_SO_MOI'!$C$26)</f>
        <v>2456.570999999999</v>
      </c>
      <c r="F1569" s="75">
        <f>'THAM_SO_MOI'!$C$14+('THAM_SO_MOI'!$C$37-'THAM_SO_MOI'!$C$14)*762/'THAM_SO_MOI'!$C$42</f>
        <v>24.93314583333333</v>
      </c>
      <c r="G1569" s="75">
        <f>3.6*F1569</f>
        <v>89.75932499999999</v>
      </c>
      <c r="H1569" s="75">
        <f>'THAM_SO_MOI'!$D$53</f>
        <v>1.1</v>
      </c>
      <c r="I1569" s="75">
        <f>IF(F1569&gt;='THAM_SO_MOI'!$C$14,'THAM_SO_MOI'!$C$13*(1+F1569^2/1500),'THAM_SO_MOI'!$C$13)</f>
        <v>0.021216617611462672</v>
      </c>
      <c r="J1569" s="75">
        <f>'THAM_SO_MOI'!$C$40*('THAM_SO_MOI'!$C$23*(E1569/'THAM_SO_MOI'!$C$22)+'THAM_SO_MOI'!$C$24*(E1569/'THAM_SO_MOI'!$C$22)^2-'THAM_SO_MOI'!$C$25*(E1569/'THAM_SO_MOI'!$C$22)^3)</f>
        <v>109.582014857593</v>
      </c>
      <c r="K1569" s="75">
        <f>'THAM_SO_MOI'!$C$31*J1569/E1569</f>
        <v>426.0526580259615</v>
      </c>
      <c r="L1569" s="75">
        <f>K1569*'THAM_SO_MOI'!$C$53*'THAM_SO_MOI'!$C$17/'THAM_SO_MOI'!$C$26</f>
        <v>3736.483478018337</v>
      </c>
      <c r="M1569" s="75">
        <f>'THAM_SO_MOI'!$C$15*'THAM_SO_MOI'!$C$16*F1569^2</f>
        <v>1818.360651352832</v>
      </c>
      <c r="N1569" s="75">
        <f>'THAM_SO_MOI'!$C$12*I1569</f>
        <v>1598.476944141687</v>
      </c>
      <c r="O1569" s="75">
        <f>M1569+N1569</f>
        <v>3416.837595494519</v>
      </c>
      <c r="P1569" s="75">
        <f>(MIN(L1569,'THAM_SO_MOI'!$C$41)-O1569)/('THAM_SO_MOI'!$C$11*H1569)</f>
        <v>0.03783687056389889</v>
      </c>
      <c r="Q1569" s="75">
        <f>IF(P1569&gt;0,1/P1569,NA())</f>
        <v>26.429247057078904</v>
      </c>
      <c r="R1569" s="75">
        <f>F1569-F1568</f>
        <v>0.0035868055555532408</v>
      </c>
      <c r="S1569" s="75">
        <f>0.5*(Q1568+Q1569)*R1569</f>
        <v>0.09468635724012309</v>
      </c>
      <c r="T1569" s="75">
        <f>0.5*(F1568*Q1568+F1569*Q1569)*R1569</f>
        <v>2.3606591403751747</v>
      </c>
      <c r="U1569" s="76">
        <f>U1568+S1569</f>
        <v>114.91594779553837</v>
      </c>
      <c r="V1569" s="76">
        <f>V1568+T1569</f>
        <v>2134.3860635439896</v>
      </c>
    </row>
    <row r="1570" spans="1:22" ht="19" customHeight="1">
      <c r="A1570" s="68" t="s">
        <v>362</v>
      </c>
      <c r="B1570" s="74">
        <v>5</v>
      </c>
      <c r="C1570" s="68" t="s">
        <v>363</v>
      </c>
      <c r="D1570" s="68" t="s">
        <v>365</v>
      </c>
      <c r="E1570" s="75">
        <f>60*F1570*'THAM_SO_MOI'!$C$53/(2*PI()*'THAM_SO_MOI'!$C$26)</f>
        <v>2456.9243947368414</v>
      </c>
      <c r="F1570" s="75">
        <f>'THAM_SO_MOI'!$C$14+('THAM_SO_MOI'!$C$37-'THAM_SO_MOI'!$C$14)*763/'THAM_SO_MOI'!$C$42</f>
        <v>24.936732638888888</v>
      </c>
      <c r="G1570" s="75">
        <f>3.6*F1570</f>
        <v>89.7722375</v>
      </c>
      <c r="H1570" s="75">
        <f>'THAM_SO_MOI'!$D$53</f>
        <v>1.1</v>
      </c>
      <c r="I1570" s="75">
        <f>IF(F1570&gt;='THAM_SO_MOI'!$C$14,'THAM_SO_MOI'!$C$13*(1+F1570^2/1500),'THAM_SO_MOI'!$C$13)</f>
        <v>0.02121840634703426</v>
      </c>
      <c r="J1570" s="75">
        <f>'THAM_SO_MOI'!$C$40*('THAM_SO_MOI'!$C$23*(E1570/'THAM_SO_MOI'!$C$22)+'THAM_SO_MOI'!$C$24*(E1570/'THAM_SO_MOI'!$C$22)^2-'THAM_SO_MOI'!$C$25*(E1570/'THAM_SO_MOI'!$C$22)^3)</f>
        <v>109.59522065945553</v>
      </c>
      <c r="K1570" s="75">
        <f>'THAM_SO_MOI'!$C$31*J1570/E1570</f>
        <v>426.04271272431157</v>
      </c>
      <c r="L1570" s="75">
        <f>K1570*'THAM_SO_MOI'!$C$53*'THAM_SO_MOI'!$C$17/'THAM_SO_MOI'!$C$26</f>
        <v>3736.3962576839513</v>
      </c>
      <c r="M1570" s="75">
        <f>'THAM_SO_MOI'!$C$15*'THAM_SO_MOI'!$C$16*F1570^2</f>
        <v>1818.8838565075223</v>
      </c>
      <c r="N1570" s="75">
        <f>'THAM_SO_MOI'!$C$12*I1570</f>
        <v>1598.611708910639</v>
      </c>
      <c r="O1570" s="75">
        <f>M1570+N1570</f>
        <v>3417.4955654181613</v>
      </c>
      <c r="P1570" s="75">
        <f>(MIN(L1570,'THAM_SO_MOI'!$C$41)-O1570)/('THAM_SO_MOI'!$C$11*H1570)</f>
        <v>0.037748661489795214</v>
      </c>
      <c r="Q1570" s="75">
        <f>IF(P1570&gt;0,1/P1570,NA())</f>
        <v>26.491005522681515</v>
      </c>
      <c r="R1570" s="75">
        <f>F1570-F1569</f>
        <v>0.0035868055555567935</v>
      </c>
      <c r="S1570" s="75">
        <f>0.5*(Q1569+Q1570)*R1570</f>
        <v>0.09490732797727669</v>
      </c>
      <c r="T1570" s="75">
        <f>0.5*(F1569*Q1569+F1570*Q1570)*R1570</f>
        <v>2.366508654808415</v>
      </c>
      <c r="U1570" s="76">
        <f>U1569+S1570</f>
        <v>115.01085512351565</v>
      </c>
      <c r="V1570" s="76">
        <f>V1569+T1570</f>
        <v>2136.752572198798</v>
      </c>
    </row>
    <row r="1571" spans="1:22" ht="19" customHeight="1">
      <c r="A1571" s="68" t="s">
        <v>362</v>
      </c>
      <c r="B1571" s="74">
        <v>5</v>
      </c>
      <c r="C1571" s="68" t="s">
        <v>363</v>
      </c>
      <c r="D1571" s="68" t="s">
        <v>365</v>
      </c>
      <c r="E1571" s="75">
        <f>60*F1571*'THAM_SO_MOI'!$C$53/(2*PI()*'THAM_SO_MOI'!$C$26)</f>
        <v>2457.2777894736837</v>
      </c>
      <c r="F1571" s="75">
        <f>'THAM_SO_MOI'!$C$14+('THAM_SO_MOI'!$C$37-'THAM_SO_MOI'!$C$14)*764/'THAM_SO_MOI'!$C$42</f>
        <v>24.940319444444444</v>
      </c>
      <c r="G1571" s="75">
        <f>3.6*F1571</f>
        <v>89.78515</v>
      </c>
      <c r="H1571" s="75">
        <f>'THAM_SO_MOI'!$D$53</f>
        <v>1.1</v>
      </c>
      <c r="I1571" s="75">
        <f>IF(F1571&gt;='THAM_SO_MOI'!$C$14,'THAM_SO_MOI'!$C$13*(1+F1571^2/1500),'THAM_SO_MOI'!$C$13)</f>
        <v>0.021220195339909334</v>
      </c>
      <c r="J1571" s="75">
        <f>'THAM_SO_MOI'!$C$40*('THAM_SO_MOI'!$C$23*(E1571/'THAM_SO_MOI'!$C$22)+'THAM_SO_MOI'!$C$24*(E1571/'THAM_SO_MOI'!$C$22)^2-'THAM_SO_MOI'!$C$25*(E1571/'THAM_SO_MOI'!$C$22)^3)</f>
        <v>109.60842260819327</v>
      </c>
      <c r="K1571" s="75">
        <f>'THAM_SO_MOI'!$C$31*J1571/E1571</f>
        <v>426.0327553066771</v>
      </c>
      <c r="L1571" s="75">
        <f>K1571*'THAM_SO_MOI'!$C$53*'THAM_SO_MOI'!$C$17/'THAM_SO_MOI'!$C$26</f>
        <v>3736.3089310923338</v>
      </c>
      <c r="M1571" s="75">
        <f>'THAM_SO_MOI'!$C$15*'THAM_SO_MOI'!$C$16*F1571^2</f>
        <v>1819.407136923481</v>
      </c>
      <c r="N1571" s="75">
        <f>'THAM_SO_MOI'!$C$12*I1571</f>
        <v>1598.7464930650412</v>
      </c>
      <c r="O1571" s="75">
        <f>M1571+N1571</f>
        <v>3418.153629988522</v>
      </c>
      <c r="P1571" s="75">
        <f>(MIN(L1571,'THAM_SO_MOI'!$C$41)-O1571)/('THAM_SO_MOI'!$C$11*H1571)</f>
        <v>0.03766042863444739</v>
      </c>
      <c r="Q1571" s="75">
        <f>IF(P1571&gt;0,1/P1571,NA())</f>
        <v>26.55307005946597</v>
      </c>
      <c r="R1571" s="75">
        <f>F1571-F1570</f>
        <v>0.0035868055555567935</v>
      </c>
      <c r="S1571" s="75">
        <f>0.5*(Q1570+Q1571)*R1571</f>
        <v>0.09512939249371052</v>
      </c>
      <c r="T1571" s="75">
        <f>0.5*(F1570*Q1570+F1571*Q1571)*R1571</f>
        <v>2.3723870316500975</v>
      </c>
      <c r="U1571" s="76">
        <f>U1570+S1571</f>
        <v>115.10598451600937</v>
      </c>
      <c r="V1571" s="76">
        <f>V1570+T1571</f>
        <v>2139.1249592304484</v>
      </c>
    </row>
    <row r="1572" spans="1:22" ht="19" customHeight="1">
      <c r="A1572" s="68" t="s">
        <v>362</v>
      </c>
      <c r="B1572" s="74">
        <v>5</v>
      </c>
      <c r="C1572" s="68" t="s">
        <v>363</v>
      </c>
      <c r="D1572" s="68" t="s">
        <v>365</v>
      </c>
      <c r="E1572" s="75">
        <f>60*F1572*'THAM_SO_MOI'!$C$53/(2*PI()*'THAM_SO_MOI'!$C$26)</f>
        <v>2457.6311842105256</v>
      </c>
      <c r="F1572" s="75">
        <f>'THAM_SO_MOI'!$C$14+('THAM_SO_MOI'!$C$37-'THAM_SO_MOI'!$C$14)*765/'THAM_SO_MOI'!$C$42</f>
        <v>24.943906249999998</v>
      </c>
      <c r="G1572" s="75">
        <f>3.6*F1572</f>
        <v>89.7980625</v>
      </c>
      <c r="H1572" s="75">
        <f>'THAM_SO_MOI'!$D$53</f>
        <v>1.1</v>
      </c>
      <c r="I1572" s="75">
        <f>IF(F1572&gt;='THAM_SO_MOI'!$C$14,'THAM_SO_MOI'!$C$13*(1+F1572^2/1500),'THAM_SO_MOI'!$C$13)</f>
        <v>0.021221984590087888</v>
      </c>
      <c r="J1572" s="75">
        <f>'THAM_SO_MOI'!$C$40*('THAM_SO_MOI'!$C$23*(E1572/'THAM_SO_MOI'!$C$22)+'THAM_SO_MOI'!$C$24*(E1572/'THAM_SO_MOI'!$C$22)^2-'THAM_SO_MOI'!$C$25*(E1572/'THAM_SO_MOI'!$C$22)^3)</f>
        <v>109.6216207024613</v>
      </c>
      <c r="K1572" s="75">
        <f>'THAM_SO_MOI'!$C$31*J1572/E1572</f>
        <v>426.02278577305816</v>
      </c>
      <c r="L1572" s="75">
        <f>K1572*'THAM_SO_MOI'!$C$53*'THAM_SO_MOI'!$C$17/'THAM_SO_MOI'!$C$26</f>
        <v>3736.2214982434853</v>
      </c>
      <c r="M1572" s="75">
        <f>'THAM_SO_MOI'!$C$15*'THAM_SO_MOI'!$C$16*F1572^2</f>
        <v>1819.9304926007078</v>
      </c>
      <c r="N1572" s="75">
        <f>'THAM_SO_MOI'!$C$12*I1572</f>
        <v>1598.8812966048936</v>
      </c>
      <c r="O1572" s="75">
        <f>M1572+N1572</f>
        <v>3418.8117892056016</v>
      </c>
      <c r="P1572" s="75">
        <f>(MIN(L1572,'THAM_SO_MOI'!$C$41)-O1572)/('THAM_SO_MOI'!$C$11*H1572)</f>
        <v>0.03757217199785557</v>
      </c>
      <c r="Q1572" s="75">
        <f>IF(P1572&gt;0,1/P1572,NA())</f>
        <v>26.615442941575882</v>
      </c>
      <c r="R1572" s="75">
        <f>F1572-F1571</f>
        <v>0.0035868055555532408</v>
      </c>
      <c r="S1572" s="75">
        <f>0.5*(Q1571+Q1572)*R1572</f>
        <v>0.09535255890632081</v>
      </c>
      <c r="T1572" s="75">
        <f>0.5*(F1571*Q1571+F1572*Q1572)*R1572</f>
        <v>2.378294485122355</v>
      </c>
      <c r="U1572" s="76">
        <f>U1571+S1572</f>
        <v>115.2013370749157</v>
      </c>
      <c r="V1572" s="76">
        <f>V1571+T1572</f>
        <v>2141.5032537155707</v>
      </c>
    </row>
    <row r="1573" spans="1:22" ht="19" customHeight="1">
      <c r="A1573" s="68" t="s">
        <v>362</v>
      </c>
      <c r="B1573" s="74">
        <v>5</v>
      </c>
      <c r="C1573" s="68" t="s">
        <v>363</v>
      </c>
      <c r="D1573" s="68" t="s">
        <v>365</v>
      </c>
      <c r="E1573" s="75">
        <f>60*F1573*'THAM_SO_MOI'!$C$53/(2*PI()*'THAM_SO_MOI'!$C$26)</f>
        <v>2457.9845789473675</v>
      </c>
      <c r="F1573" s="75">
        <f>'THAM_SO_MOI'!$C$14+('THAM_SO_MOI'!$C$37-'THAM_SO_MOI'!$C$14)*766/'THAM_SO_MOI'!$C$42</f>
        <v>24.947493055555555</v>
      </c>
      <c r="G1573" s="75">
        <f>3.6*F1573</f>
        <v>89.810975</v>
      </c>
      <c r="H1573" s="75">
        <f>'THAM_SO_MOI'!$D$53</f>
        <v>1.1</v>
      </c>
      <c r="I1573" s="75">
        <f>IF(F1573&gt;='THAM_SO_MOI'!$C$14,'THAM_SO_MOI'!$C$13*(1+F1573^2/1500),'THAM_SO_MOI'!$C$13)</f>
        <v>0.021223774097569925</v>
      </c>
      <c r="J1573" s="75">
        <f>'THAM_SO_MOI'!$C$40*('THAM_SO_MOI'!$C$23*(E1573/'THAM_SO_MOI'!$C$22)+'THAM_SO_MOI'!$C$24*(E1573/'THAM_SO_MOI'!$C$22)^2-'THAM_SO_MOI'!$C$25*(E1573/'THAM_SO_MOI'!$C$22)^3)</f>
        <v>109.63481494091477</v>
      </c>
      <c r="K1573" s="75">
        <f>'THAM_SO_MOI'!$C$31*J1573/E1573</f>
        <v>426.0128041234549</v>
      </c>
      <c r="L1573" s="75">
        <f>K1573*'THAM_SO_MOI'!$C$53*'THAM_SO_MOI'!$C$17/'THAM_SO_MOI'!$C$26</f>
        <v>3736.133959137407</v>
      </c>
      <c r="M1573" s="75">
        <f>'THAM_SO_MOI'!$C$15*'THAM_SO_MOI'!$C$16*F1573^2</f>
        <v>1820.4539235392037</v>
      </c>
      <c r="N1573" s="75">
        <f>'THAM_SO_MOI'!$C$12*I1573</f>
        <v>1599.0161195301962</v>
      </c>
      <c r="O1573" s="75">
        <f>M1573+N1573</f>
        <v>3419.4700430694</v>
      </c>
      <c r="P1573" s="75">
        <f>(MIN(L1573,'THAM_SO_MOI'!$C$41)-O1573)/('THAM_SO_MOI'!$C$11*H1573)</f>
        <v>0.037483891580019794</v>
      </c>
      <c r="Q1573" s="75">
        <f>IF(P1573&gt;0,1/P1573,NA())</f>
        <v>26.678126465743873</v>
      </c>
      <c r="R1573" s="75">
        <f>F1573-F1572</f>
        <v>0.0035868055555567935</v>
      </c>
      <c r="S1573" s="75">
        <f>0.5*(Q1572+Q1573)*R1573</f>
        <v>0.09557683541281303</v>
      </c>
      <c r="T1573" s="75">
        <f>0.5*(F1572*Q1572+F1573*Q1573)*R1573</f>
        <v>2.3842312315796215</v>
      </c>
      <c r="U1573" s="76">
        <f>U1572+S1573</f>
        <v>115.29691391032851</v>
      </c>
      <c r="V1573" s="76">
        <f>V1572+T1573</f>
        <v>2143.8874849471504</v>
      </c>
    </row>
    <row r="1574" spans="1:22" ht="19" customHeight="1">
      <c r="A1574" s="68" t="s">
        <v>362</v>
      </c>
      <c r="B1574" s="74">
        <v>5</v>
      </c>
      <c r="C1574" s="68" t="s">
        <v>363</v>
      </c>
      <c r="D1574" s="68" t="s">
        <v>365</v>
      </c>
      <c r="E1574" s="75">
        <f>60*F1574*'THAM_SO_MOI'!$C$53/(2*PI()*'THAM_SO_MOI'!$C$26)</f>
        <v>2458.3379736842103</v>
      </c>
      <c r="F1574" s="75">
        <f>'THAM_SO_MOI'!$C$14+('THAM_SO_MOI'!$C$37-'THAM_SO_MOI'!$C$14)*767/'THAM_SO_MOI'!$C$42</f>
        <v>24.95107986111111</v>
      </c>
      <c r="G1574" s="75">
        <f>3.6*F1574</f>
        <v>89.8238875</v>
      </c>
      <c r="H1574" s="75">
        <f>'THAM_SO_MOI'!$D$53</f>
        <v>1.1</v>
      </c>
      <c r="I1574" s="75">
        <f>IF(F1574&gt;='THAM_SO_MOI'!$C$14,'THAM_SO_MOI'!$C$13*(1+F1574^2/1500),'THAM_SO_MOI'!$C$13)</f>
        <v>0.021225563862355443</v>
      </c>
      <c r="J1574" s="75">
        <f>'THAM_SO_MOI'!$C$40*('THAM_SO_MOI'!$C$23*(E1574/'THAM_SO_MOI'!$C$22)+'THAM_SO_MOI'!$C$24*(E1574/'THAM_SO_MOI'!$C$22)^2-'THAM_SO_MOI'!$C$25*(E1574/'THAM_SO_MOI'!$C$22)^3)</f>
        <v>109.64800532220879</v>
      </c>
      <c r="K1574" s="75">
        <f>'THAM_SO_MOI'!$C$31*J1574/E1574</f>
        <v>426.00281035786713</v>
      </c>
      <c r="L1574" s="75">
        <f>K1574*'THAM_SO_MOI'!$C$53*'THAM_SO_MOI'!$C$17/'THAM_SO_MOI'!$C$26</f>
        <v>3736.046313774097</v>
      </c>
      <c r="M1574" s="75">
        <f>'THAM_SO_MOI'!$C$15*'THAM_SO_MOI'!$C$16*F1574^2</f>
        <v>1820.9774297389677</v>
      </c>
      <c r="N1574" s="75">
        <f>'THAM_SO_MOI'!$C$12*I1574</f>
        <v>1599.150961840949</v>
      </c>
      <c r="O1574" s="75">
        <f>M1574+N1574</f>
        <v>3420.1283915799168</v>
      </c>
      <c r="P1574" s="75">
        <f>(MIN(L1574,'THAM_SO_MOI'!$C$41)-O1574)/('THAM_SO_MOI'!$C$11*H1574)</f>
        <v>0.03739558738093991</v>
      </c>
      <c r="Q1574" s="75">
        <f>IF(P1574&gt;0,1/P1574,NA())</f>
        <v>26.74112295157284</v>
      </c>
      <c r="R1574" s="75">
        <f>F1574-F1573</f>
        <v>0.0035868055555567935</v>
      </c>
      <c r="S1574" s="75">
        <f>0.5*(Q1573+Q1574)*R1574</f>
        <v>0.0958022302918528</v>
      </c>
      <c r="T1574" s="75">
        <f>0.5*(F1573*Q1573+F1574*Q1574)*R1574</f>
        <v>2.3901974895138434</v>
      </c>
      <c r="U1574" s="76">
        <f>U1573+S1574</f>
        <v>115.39271614062037</v>
      </c>
      <c r="V1574" s="76">
        <f>V1573+T1574</f>
        <v>2146.2776824366642</v>
      </c>
    </row>
    <row r="1575" spans="1:22" ht="19" customHeight="1">
      <c r="A1575" s="68" t="s">
        <v>362</v>
      </c>
      <c r="B1575" s="74">
        <v>5</v>
      </c>
      <c r="C1575" s="68" t="s">
        <v>363</v>
      </c>
      <c r="D1575" s="68" t="s">
        <v>365</v>
      </c>
      <c r="E1575" s="75">
        <f>60*F1575*'THAM_SO_MOI'!$C$53/(2*PI()*'THAM_SO_MOI'!$C$26)</f>
        <v>2458.691368421052</v>
      </c>
      <c r="F1575" s="75">
        <f>'THAM_SO_MOI'!$C$14+('THAM_SO_MOI'!$C$37-'THAM_SO_MOI'!$C$14)*768/'THAM_SO_MOI'!$C$42</f>
        <v>24.954666666666665</v>
      </c>
      <c r="G1575" s="75">
        <f>3.6*F1575</f>
        <v>89.8368</v>
      </c>
      <c r="H1575" s="75">
        <f>'THAM_SO_MOI'!$D$53</f>
        <v>1.1</v>
      </c>
      <c r="I1575" s="75">
        <f>IF(F1575&gt;='THAM_SO_MOI'!$C$14,'THAM_SO_MOI'!$C$13*(1+F1575^2/1500),'THAM_SO_MOI'!$C$13)</f>
        <v>0.021227353884444442</v>
      </c>
      <c r="J1575" s="75">
        <f>'THAM_SO_MOI'!$C$40*('THAM_SO_MOI'!$C$23*(E1575/'THAM_SO_MOI'!$C$22)+'THAM_SO_MOI'!$C$24*(E1575/'THAM_SO_MOI'!$C$22)^2-'THAM_SO_MOI'!$C$25*(E1575/'THAM_SO_MOI'!$C$22)^3)</f>
        <v>109.66119184499841</v>
      </c>
      <c r="K1575" s="75">
        <f>'THAM_SO_MOI'!$C$31*J1575/E1575</f>
        <v>425.99280447629485</v>
      </c>
      <c r="L1575" s="75">
        <f>K1575*'THAM_SO_MOI'!$C$53*'THAM_SO_MOI'!$C$17/'THAM_SO_MOI'!$C$26</f>
        <v>3735.9585621535552</v>
      </c>
      <c r="M1575" s="75">
        <f>'THAM_SO_MOI'!$C$15*'THAM_SO_MOI'!$C$16*F1575^2</f>
        <v>1821.5010112</v>
      </c>
      <c r="N1575" s="75">
        <f>'THAM_SO_MOI'!$C$12*I1575</f>
        <v>1599.2858235371518</v>
      </c>
      <c r="O1575" s="75">
        <f>M1575+N1575</f>
        <v>3420.786834737152</v>
      </c>
      <c r="P1575" s="75">
        <f>(MIN(L1575,'THAM_SO_MOI'!$C$41)-O1575)/('THAM_SO_MOI'!$C$11*H1575)</f>
        <v>0.03730725940061594</v>
      </c>
      <c r="Q1575" s="75">
        <f>IF(P1575&gt;0,1/P1575,NA())</f>
        <v>26.804434741821055</v>
      </c>
      <c r="R1575" s="75">
        <f>F1575-F1574</f>
        <v>0.0035868055555532408</v>
      </c>
      <c r="S1575" s="75">
        <f>0.5*(Q1574+Q1575)*R1575</f>
        <v>0.0960287519049309</v>
      </c>
      <c r="T1575" s="75">
        <f>0.5*(F1574*Q1574+F1575*Q1575)*R1575</f>
        <v>2.39619347960247</v>
      </c>
      <c r="U1575" s="76">
        <f>U1574+S1575</f>
        <v>115.48874489252529</v>
      </c>
      <c r="V1575" s="76">
        <f>V1574+T1575</f>
        <v>2148.6738759162668</v>
      </c>
    </row>
    <row r="1576" spans="1:22" ht="19" customHeight="1">
      <c r="A1576" s="68" t="s">
        <v>362</v>
      </c>
      <c r="B1576" s="74">
        <v>5</v>
      </c>
      <c r="C1576" s="68" t="s">
        <v>363</v>
      </c>
      <c r="D1576" s="68" t="s">
        <v>365</v>
      </c>
      <c r="E1576" s="75">
        <f>60*F1576*'THAM_SO_MOI'!$C$53/(2*PI()*'THAM_SO_MOI'!$C$26)</f>
        <v>2459.044763157894</v>
      </c>
      <c r="F1576" s="75">
        <f>'THAM_SO_MOI'!$C$14+('THAM_SO_MOI'!$C$37-'THAM_SO_MOI'!$C$14)*769/'THAM_SO_MOI'!$C$42</f>
        <v>24.95825347222222</v>
      </c>
      <c r="G1576" s="75">
        <f>3.6*F1576</f>
        <v>89.8497125</v>
      </c>
      <c r="H1576" s="75">
        <f>'THAM_SO_MOI'!$D$53</f>
        <v>1.1</v>
      </c>
      <c r="I1576" s="75">
        <f>IF(F1576&gt;='THAM_SO_MOI'!$C$14,'THAM_SO_MOI'!$C$13*(1+F1576^2/1500),'THAM_SO_MOI'!$C$13)</f>
        <v>0.021229144163836925</v>
      </c>
      <c r="J1576" s="75">
        <f>'THAM_SO_MOI'!$C$40*('THAM_SO_MOI'!$C$23*(E1576/'THAM_SO_MOI'!$C$22)+'THAM_SO_MOI'!$C$24*(E1576/'THAM_SO_MOI'!$C$22)^2-'THAM_SO_MOI'!$C$25*(E1576/'THAM_SO_MOI'!$C$22)^3)</f>
        <v>109.67437450793878</v>
      </c>
      <c r="K1576" s="75">
        <f>'THAM_SO_MOI'!$C$31*J1576/E1576</f>
        <v>425.98278647873815</v>
      </c>
      <c r="L1576" s="75">
        <f>K1576*'THAM_SO_MOI'!$C$53*'THAM_SO_MOI'!$C$17/'THAM_SO_MOI'!$C$26</f>
        <v>3735.870704275783</v>
      </c>
      <c r="M1576" s="75">
        <f>'THAM_SO_MOI'!$C$15*'THAM_SO_MOI'!$C$16*F1576^2</f>
        <v>1822.0246679223008</v>
      </c>
      <c r="N1576" s="75">
        <f>'THAM_SO_MOI'!$C$12*I1576</f>
        <v>1599.420704618805</v>
      </c>
      <c r="O1576" s="75">
        <f>M1576+N1576</f>
        <v>3421.445372541106</v>
      </c>
      <c r="P1576" s="75">
        <f>(MIN(L1576,'THAM_SO_MOI'!$C$41)-O1576)/('THAM_SO_MOI'!$C$11*H1576)</f>
        <v>0.03721890763904794</v>
      </c>
      <c r="Q1576" s="75">
        <f>IF(P1576&gt;0,1/P1576,NA())</f>
        <v>26.868064202691897</v>
      </c>
      <c r="R1576" s="75">
        <f>F1576-F1575</f>
        <v>0.0035868055555567935</v>
      </c>
      <c r="S1576" s="75">
        <f>0.5*(Q1575+Q1576)*R1576</f>
        <v>0.0962564086973976</v>
      </c>
      <c r="T1576" s="75">
        <f>0.5*(F1575*Q1575+F1576*Q1576)*R1576</f>
        <v>2.4022194247357507</v>
      </c>
      <c r="U1576" s="76">
        <f>U1575+S1576</f>
        <v>115.58500130122269</v>
      </c>
      <c r="V1576" s="76">
        <f>V1575+T1576</f>
        <v>2151.0760953410027</v>
      </c>
    </row>
    <row r="1577" spans="1:22" ht="19" customHeight="1">
      <c r="A1577" s="68" t="s">
        <v>362</v>
      </c>
      <c r="B1577" s="74">
        <v>5</v>
      </c>
      <c r="C1577" s="68" t="s">
        <v>363</v>
      </c>
      <c r="D1577" s="68" t="s">
        <v>365</v>
      </c>
      <c r="E1577" s="75">
        <f>60*F1577*'THAM_SO_MOI'!$C$53/(2*PI()*'THAM_SO_MOI'!$C$26)</f>
        <v>2459.398157894736</v>
      </c>
      <c r="F1577" s="75">
        <f>'THAM_SO_MOI'!$C$14+('THAM_SO_MOI'!$C$37-'THAM_SO_MOI'!$C$14)*770/'THAM_SO_MOI'!$C$42</f>
        <v>24.961840277777775</v>
      </c>
      <c r="G1577" s="75">
        <f>3.6*F1577</f>
        <v>89.862625</v>
      </c>
      <c r="H1577" s="75">
        <f>'THAM_SO_MOI'!$D$53</f>
        <v>1.1</v>
      </c>
      <c r="I1577" s="75">
        <f>IF(F1577&gt;='THAM_SO_MOI'!$C$14,'THAM_SO_MOI'!$C$13*(1+F1577^2/1500),'THAM_SO_MOI'!$C$13)</f>
        <v>0.021230934700532885</v>
      </c>
      <c r="J1577" s="75">
        <f>'THAM_SO_MOI'!$C$40*('THAM_SO_MOI'!$C$23*(E1577/'THAM_SO_MOI'!$C$22)+'THAM_SO_MOI'!$C$24*(E1577/'THAM_SO_MOI'!$C$22)^2-'THAM_SO_MOI'!$C$25*(E1577/'THAM_SO_MOI'!$C$22)^3)</f>
        <v>109.68755330968503</v>
      </c>
      <c r="K1577" s="75">
        <f>'THAM_SO_MOI'!$C$31*J1577/E1577</f>
        <v>425.97275636519703</v>
      </c>
      <c r="L1577" s="75">
        <f>K1577*'THAM_SO_MOI'!$C$53*'THAM_SO_MOI'!$C$17/'THAM_SO_MOI'!$C$26</f>
        <v>3735.7827401407803</v>
      </c>
      <c r="M1577" s="75">
        <f>'THAM_SO_MOI'!$C$15*'THAM_SO_MOI'!$C$16*F1577^2</f>
        <v>1822.54839990587</v>
      </c>
      <c r="N1577" s="75">
        <f>'THAM_SO_MOI'!$C$12*I1577</f>
        <v>1599.5556050859082</v>
      </c>
      <c r="O1577" s="75">
        <f>M1577+N1577</f>
        <v>3422.1040049917783</v>
      </c>
      <c r="P1577" s="75">
        <f>(MIN(L1577,'THAM_SO_MOI'!$C$41)-O1577)/('THAM_SO_MOI'!$C$11*H1577)</f>
        <v>0.03713053209623606</v>
      </c>
      <c r="Q1577" s="75">
        <f>IF(P1577&gt;0,1/P1577,NA())</f>
        <v>26.93201372412787</v>
      </c>
      <c r="R1577" s="75">
        <f>F1577-F1576</f>
        <v>0.0035868055555532408</v>
      </c>
      <c r="S1577" s="75">
        <f>0.5*(Q1576+Q1577)*R1577</f>
        <v>0.09648520919855721</v>
      </c>
      <c r="T1577" s="75">
        <f>0.5*(F1576*Q1576+F1577*Q1577)*R1577</f>
        <v>2.408275550020601</v>
      </c>
      <c r="U1577" s="76">
        <f>U1576+S1577</f>
        <v>115.68148651042125</v>
      </c>
      <c r="V1577" s="76">
        <f>V1576+T1577</f>
        <v>2153.4843708910234</v>
      </c>
    </row>
    <row r="1578" spans="1:22" ht="19" customHeight="1">
      <c r="A1578" s="68" t="s">
        <v>362</v>
      </c>
      <c r="B1578" s="74">
        <v>5</v>
      </c>
      <c r="C1578" s="68" t="s">
        <v>363</v>
      </c>
      <c r="D1578" s="68" t="s">
        <v>365</v>
      </c>
      <c r="E1578" s="75">
        <f>60*F1578*'THAM_SO_MOI'!$C$53/(2*PI()*'THAM_SO_MOI'!$C$26)</f>
        <v>2459.7515526315783</v>
      </c>
      <c r="F1578" s="75">
        <f>'THAM_SO_MOI'!$C$14+('THAM_SO_MOI'!$C$37-'THAM_SO_MOI'!$C$14)*771/'THAM_SO_MOI'!$C$42</f>
        <v>24.96542708333333</v>
      </c>
      <c r="G1578" s="75">
        <f>3.6*F1578</f>
        <v>89.8755375</v>
      </c>
      <c r="H1578" s="75">
        <f>'THAM_SO_MOI'!$D$53</f>
        <v>1.1</v>
      </c>
      <c r="I1578" s="75">
        <f>IF(F1578&gt;='THAM_SO_MOI'!$C$14,'THAM_SO_MOI'!$C$13*(1+F1578^2/1500),'THAM_SO_MOI'!$C$13)</f>
        <v>0.021232725494532333</v>
      </c>
      <c r="J1578" s="75">
        <f>'THAM_SO_MOI'!$C$40*('THAM_SO_MOI'!$C$23*(E1578/'THAM_SO_MOI'!$C$22)+'THAM_SO_MOI'!$C$24*(E1578/'THAM_SO_MOI'!$C$22)^2-'THAM_SO_MOI'!$C$25*(E1578/'THAM_SO_MOI'!$C$22)^3)</f>
        <v>109.70072824889223</v>
      </c>
      <c r="K1578" s="75">
        <f>'THAM_SO_MOI'!$C$31*J1578/E1578</f>
        <v>425.9627141356713</v>
      </c>
      <c r="L1578" s="75">
        <f>K1578*'THAM_SO_MOI'!$C$53*'THAM_SO_MOI'!$C$17/'THAM_SO_MOI'!$C$26</f>
        <v>3735.6946697485446</v>
      </c>
      <c r="M1578" s="75">
        <f>'THAM_SO_MOI'!$C$15*'THAM_SO_MOI'!$C$16*F1578^2</f>
        <v>1823.0722071507078</v>
      </c>
      <c r="N1578" s="75">
        <f>'THAM_SO_MOI'!$C$12*I1578</f>
        <v>1599.6905249384615</v>
      </c>
      <c r="O1578" s="75">
        <f>M1578+N1578</f>
        <v>3422.7627320891693</v>
      </c>
      <c r="P1578" s="75">
        <f>(MIN(L1578,'THAM_SO_MOI'!$C$41)-O1578)/('THAM_SO_MOI'!$C$11*H1578)</f>
        <v>0.03704213277217984</v>
      </c>
      <c r="Q1578" s="75">
        <f>IF(P1578&gt;0,1/P1578,NA())</f>
        <v>26.996285720109533</v>
      </c>
      <c r="R1578" s="75">
        <f>F1578-F1577</f>
        <v>0.0035868055555567935</v>
      </c>
      <c r="S1578" s="75">
        <f>0.5*(Q1577+Q1578)*R1578</f>
        <v>0.09671516202416053</v>
      </c>
      <c r="T1578" s="75">
        <f>0.5*(F1577*Q1577+F1578*Q1578)*R1578</f>
        <v>2.4143620828443257</v>
      </c>
      <c r="U1578" s="76">
        <f>U1577+S1578</f>
        <v>115.7782016724454</v>
      </c>
      <c r="V1578" s="76">
        <f>V1577+T1578</f>
        <v>2155.898732973868</v>
      </c>
    </row>
    <row r="1579" spans="1:22" ht="19" customHeight="1">
      <c r="A1579" s="68" t="s">
        <v>362</v>
      </c>
      <c r="B1579" s="74">
        <v>5</v>
      </c>
      <c r="C1579" s="68" t="s">
        <v>363</v>
      </c>
      <c r="D1579" s="68" t="s">
        <v>365</v>
      </c>
      <c r="E1579" s="75">
        <f>60*F1579*'THAM_SO_MOI'!$C$53/(2*PI()*'THAM_SO_MOI'!$C$26)</f>
        <v>2460.1049473684207</v>
      </c>
      <c r="F1579" s="75">
        <f>'THAM_SO_MOI'!$C$14+('THAM_SO_MOI'!$C$37-'THAM_SO_MOI'!$C$14)*772/'THAM_SO_MOI'!$C$42</f>
        <v>24.969013888888888</v>
      </c>
      <c r="G1579" s="75">
        <f>3.6*F1579</f>
        <v>89.88845</v>
      </c>
      <c r="H1579" s="75">
        <f>'THAM_SO_MOI'!$D$53</f>
        <v>1.1</v>
      </c>
      <c r="I1579" s="75">
        <f>IF(F1579&gt;='THAM_SO_MOI'!$C$14,'THAM_SO_MOI'!$C$13*(1+F1579^2/1500),'THAM_SO_MOI'!$C$13)</f>
        <v>0.02123451654583526</v>
      </c>
      <c r="J1579" s="75">
        <f>'THAM_SO_MOI'!$C$40*('THAM_SO_MOI'!$C$23*(E1579/'THAM_SO_MOI'!$C$22)+'THAM_SO_MOI'!$C$24*(E1579/'THAM_SO_MOI'!$C$22)^2-'THAM_SO_MOI'!$C$25*(E1579/'THAM_SO_MOI'!$C$22)^3)</f>
        <v>109.71389932421553</v>
      </c>
      <c r="K1579" s="75">
        <f>'THAM_SO_MOI'!$C$31*J1579/E1579</f>
        <v>425.9526597901612</v>
      </c>
      <c r="L1579" s="75">
        <f>K1579*'THAM_SO_MOI'!$C$53*'THAM_SO_MOI'!$C$17/'THAM_SO_MOI'!$C$26</f>
        <v>3735.6064930990783</v>
      </c>
      <c r="M1579" s="75">
        <f>'THAM_SO_MOI'!$C$15*'THAM_SO_MOI'!$C$16*F1579^2</f>
        <v>1823.5960896568145</v>
      </c>
      <c r="N1579" s="75">
        <f>'THAM_SO_MOI'!$C$12*I1579</f>
        <v>1599.8254641764652</v>
      </c>
      <c r="O1579" s="75">
        <f>M1579+N1579</f>
        <v>3423.4215538332796</v>
      </c>
      <c r="P1579" s="75">
        <f>(MIN(L1579,'THAM_SO_MOI'!$C$41)-O1579)/('THAM_SO_MOI'!$C$11*H1579)</f>
        <v>0.03695370966687958</v>
      </c>
      <c r="Q1579" s="75">
        <f>IF(P1579&gt;0,1/P1579,NA())</f>
        <v>27.060882628957486</v>
      </c>
      <c r="R1579" s="75">
        <f>F1579-F1578</f>
        <v>0.0035868055555567935</v>
      </c>
      <c r="S1579" s="75">
        <f>0.5*(Q1578+Q1579)*R1579</f>
        <v>0.09694627587605122</v>
      </c>
      <c r="T1579" s="75">
        <f>0.5*(F1578*Q1578+F1579*Q1579)*R1579</f>
        <v>2.4204792528673447</v>
      </c>
      <c r="U1579" s="76">
        <f>U1578+S1579</f>
        <v>115.87514794832146</v>
      </c>
      <c r="V1579" s="76">
        <f>V1578+T1579</f>
        <v>2158.319212226735</v>
      </c>
    </row>
    <row r="1580" spans="1:22" ht="19" customHeight="1">
      <c r="A1580" s="68" t="s">
        <v>362</v>
      </c>
      <c r="B1580" s="74">
        <v>5</v>
      </c>
      <c r="C1580" s="68" t="s">
        <v>363</v>
      </c>
      <c r="D1580" s="68" t="s">
        <v>365</v>
      </c>
      <c r="E1580" s="75">
        <f>60*F1580*'THAM_SO_MOI'!$C$53/(2*PI()*'THAM_SO_MOI'!$C$26)</f>
        <v>2460.458342105262</v>
      </c>
      <c r="F1580" s="75">
        <f>'THAM_SO_MOI'!$C$14+('THAM_SO_MOI'!$C$37-'THAM_SO_MOI'!$C$14)*773/'THAM_SO_MOI'!$C$42</f>
        <v>24.97260069444444</v>
      </c>
      <c r="G1580" s="75">
        <f>3.6*F1580</f>
        <v>89.90136249999999</v>
      </c>
      <c r="H1580" s="75">
        <f>'THAM_SO_MOI'!$D$53</f>
        <v>1.1</v>
      </c>
      <c r="I1580" s="75">
        <f>IF(F1580&gt;='THAM_SO_MOI'!$C$14,'THAM_SO_MOI'!$C$13*(1+F1580^2/1500),'THAM_SO_MOI'!$C$13)</f>
        <v>0.02123630785444167</v>
      </c>
      <c r="J1580" s="75">
        <f>'THAM_SO_MOI'!$C$40*('THAM_SO_MOI'!$C$23*(E1580/'THAM_SO_MOI'!$C$22)+'THAM_SO_MOI'!$C$24*(E1580/'THAM_SO_MOI'!$C$22)^2-'THAM_SO_MOI'!$C$25*(E1580/'THAM_SO_MOI'!$C$22)^3)</f>
        <v>109.72706653431003</v>
      </c>
      <c r="K1580" s="75">
        <f>'THAM_SO_MOI'!$C$31*J1580/E1580</f>
        <v>425.9425933286668</v>
      </c>
      <c r="L1580" s="75">
        <f>K1580*'THAM_SO_MOI'!$C$53*'THAM_SO_MOI'!$C$17/'THAM_SO_MOI'!$C$26</f>
        <v>3735.518210192383</v>
      </c>
      <c r="M1580" s="75">
        <f>'THAM_SO_MOI'!$C$15*'THAM_SO_MOI'!$C$16*F1580^2</f>
        <v>1824.120047424189</v>
      </c>
      <c r="N1580" s="75">
        <f>'THAM_SO_MOI'!$C$12*I1580</f>
        <v>1599.9604227999191</v>
      </c>
      <c r="O1580" s="75">
        <f>M1580+N1580</f>
        <v>3424.080470224108</v>
      </c>
      <c r="P1580" s="75">
        <f>(MIN(L1580,'THAM_SO_MOI'!$C$41)-O1580)/('THAM_SO_MOI'!$C$11*H1580)</f>
        <v>0.03686526278033556</v>
      </c>
      <c r="Q1580" s="75">
        <f>IF(P1580&gt;0,1/P1580,NA())</f>
        <v>27.125806913640496</v>
      </c>
      <c r="R1580" s="75">
        <f>F1580-F1579</f>
        <v>0.0035868055555532408</v>
      </c>
      <c r="S1580" s="75">
        <f>0.5*(Q1579+Q1580)*R1580</f>
        <v>0.09717855954421457</v>
      </c>
      <c r="T1580" s="75">
        <f>0.5*(F1579*Q1579+F1580*Q1580)*R1580</f>
        <v>2.4266272920758927</v>
      </c>
      <c r="U1580" s="76">
        <f>U1579+S1580</f>
        <v>115.97232650786567</v>
      </c>
      <c r="V1580" s="76">
        <f>V1579+T1580</f>
        <v>2160.745839518811</v>
      </c>
    </row>
    <row r="1581" spans="1:22" ht="19" customHeight="1">
      <c r="A1581" s="68" t="s">
        <v>362</v>
      </c>
      <c r="B1581" s="74">
        <v>5</v>
      </c>
      <c r="C1581" s="68" t="s">
        <v>363</v>
      </c>
      <c r="D1581" s="68" t="s">
        <v>365</v>
      </c>
      <c r="E1581" s="75">
        <f>60*F1581*'THAM_SO_MOI'!$C$53/(2*PI()*'THAM_SO_MOI'!$C$26)</f>
        <v>2460.811736842105</v>
      </c>
      <c r="F1581" s="75">
        <f>'THAM_SO_MOI'!$C$14+('THAM_SO_MOI'!$C$37-'THAM_SO_MOI'!$C$14)*774/'THAM_SO_MOI'!$C$42</f>
        <v>24.976187499999998</v>
      </c>
      <c r="G1581" s="75">
        <f>3.6*F1581</f>
        <v>89.91427499999999</v>
      </c>
      <c r="H1581" s="75">
        <f>'THAM_SO_MOI'!$D$53</f>
        <v>1.1</v>
      </c>
      <c r="I1581" s="75">
        <f>IF(F1581&gt;='THAM_SO_MOI'!$C$14,'THAM_SO_MOI'!$C$13*(1+F1581^2/1500),'THAM_SO_MOI'!$C$13)</f>
        <v>0.02123809942035156</v>
      </c>
      <c r="J1581" s="75">
        <f>'THAM_SO_MOI'!$C$40*('THAM_SO_MOI'!$C$23*(E1581/'THAM_SO_MOI'!$C$22)+'THAM_SO_MOI'!$C$24*(E1581/'THAM_SO_MOI'!$C$22)^2-'THAM_SO_MOI'!$C$25*(E1581/'THAM_SO_MOI'!$C$22)^3)</f>
        <v>109.74022987783081</v>
      </c>
      <c r="K1581" s="75">
        <f>'THAM_SO_MOI'!$C$31*J1581/E1581</f>
        <v>425.9325147511877</v>
      </c>
      <c r="L1581" s="75">
        <f>K1581*'THAM_SO_MOI'!$C$53*'THAM_SO_MOI'!$C$17/'THAM_SO_MOI'!$C$26</f>
        <v>3735.4298210284537</v>
      </c>
      <c r="M1581" s="75">
        <f>'THAM_SO_MOI'!$C$15*'THAM_SO_MOI'!$C$16*F1581^2</f>
        <v>1824.644080452832</v>
      </c>
      <c r="N1581" s="75">
        <f>'THAM_SO_MOI'!$C$12*I1581</f>
        <v>1600.095400808823</v>
      </c>
      <c r="O1581" s="75">
        <f>M1581+N1581</f>
        <v>3424.739481261655</v>
      </c>
      <c r="P1581" s="75">
        <f>(MIN(L1581,'THAM_SO_MOI'!$C$41)-O1581)/('THAM_SO_MOI'!$C$11*H1581)</f>
        <v>0.03677679211254721</v>
      </c>
      <c r="Q1581" s="75">
        <f>IF(P1581&gt;0,1/P1581,NA())</f>
        <v>27.191061062088338</v>
      </c>
      <c r="R1581" s="75">
        <f>F1581-F1580</f>
        <v>0.0035868055555567935</v>
      </c>
      <c r="S1581" s="75">
        <f>0.5*(Q1580+Q1581)*R1581</f>
        <v>0.09741202190789452</v>
      </c>
      <c r="T1581" s="75">
        <f>0.5*(F1580*Q1580+F1581*Q1581)*R1581</f>
        <v>2.4328064348114977</v>
      </c>
      <c r="U1581" s="76">
        <f>U1580+S1581</f>
        <v>116.06973852977357</v>
      </c>
      <c r="V1581" s="76">
        <f>V1580+T1581</f>
        <v>2163.1786459536224</v>
      </c>
    </row>
    <row r="1582" spans="1:22" ht="19" customHeight="1">
      <c r="A1582" s="68" t="s">
        <v>362</v>
      </c>
      <c r="B1582" s="74">
        <v>5</v>
      </c>
      <c r="C1582" s="68" t="s">
        <v>363</v>
      </c>
      <c r="D1582" s="68" t="s">
        <v>365</v>
      </c>
      <c r="E1582" s="75">
        <f>60*F1582*'THAM_SO_MOI'!$C$53/(2*PI()*'THAM_SO_MOI'!$C$26)</f>
        <v>2461.165131578947</v>
      </c>
      <c r="F1582" s="75">
        <f>'THAM_SO_MOI'!$C$14+('THAM_SO_MOI'!$C$37-'THAM_SO_MOI'!$C$14)*775/'THAM_SO_MOI'!$C$42</f>
        <v>24.979774305555555</v>
      </c>
      <c r="G1582" s="75">
        <f>3.6*F1582</f>
        <v>89.9271875</v>
      </c>
      <c r="H1582" s="75">
        <f>'THAM_SO_MOI'!$D$53</f>
        <v>1.1</v>
      </c>
      <c r="I1582" s="75">
        <f>IF(F1582&gt;='THAM_SO_MOI'!$C$14,'THAM_SO_MOI'!$C$13*(1+F1582^2/1500),'THAM_SO_MOI'!$C$13)</f>
        <v>0.021239891243564932</v>
      </c>
      <c r="J1582" s="75">
        <f>'THAM_SO_MOI'!$C$40*('THAM_SO_MOI'!$C$23*(E1582/'THAM_SO_MOI'!$C$22)+'THAM_SO_MOI'!$C$24*(E1582/'THAM_SO_MOI'!$C$22)^2-'THAM_SO_MOI'!$C$25*(E1582/'THAM_SO_MOI'!$C$22)^3)</f>
        <v>109.75338935343304</v>
      </c>
      <c r="K1582" s="75">
        <f>'THAM_SO_MOI'!$C$31*J1582/E1582</f>
        <v>425.9224240577244</v>
      </c>
      <c r="L1582" s="75">
        <f>K1582*'THAM_SO_MOI'!$C$53*'THAM_SO_MOI'!$C$17/'THAM_SO_MOI'!$C$26</f>
        <v>3735.3413256072963</v>
      </c>
      <c r="M1582" s="75">
        <f>'THAM_SO_MOI'!$C$15*'THAM_SO_MOI'!$C$16*F1582^2</f>
        <v>1825.1681887427435</v>
      </c>
      <c r="N1582" s="75">
        <f>'THAM_SO_MOI'!$C$12*I1582</f>
        <v>1600.230398203177</v>
      </c>
      <c r="O1582" s="75">
        <f>M1582+N1582</f>
        <v>3425.39858694592</v>
      </c>
      <c r="P1582" s="75">
        <f>(MIN(L1582,'THAM_SO_MOI'!$C$41)-O1582)/('THAM_SO_MOI'!$C$11*H1582)</f>
        <v>0.03668829766351513</v>
      </c>
      <c r="Q1582" s="75">
        <f>IF(P1582&gt;0,1/P1582,NA())</f>
        <v>27.256647587507313</v>
      </c>
      <c r="R1582" s="75">
        <f>F1582-F1581</f>
        <v>0.0035868055555567935</v>
      </c>
      <c r="S1582" s="75">
        <f>0.5*(Q1581+Q1582)*R1582</f>
        <v>0.09764667193585369</v>
      </c>
      <c r="T1582" s="75">
        <f>0.5*(F1581*Q1581+F1582*Q1582)*R1582</f>
        <v>2.439016917779077</v>
      </c>
      <c r="U1582" s="76">
        <f>U1581+S1582</f>
        <v>116.16738520170942</v>
      </c>
      <c r="V1582" s="76">
        <f>V1581+T1582</f>
        <v>2165.6176628714015</v>
      </c>
    </row>
    <row r="1583" spans="1:22" ht="19" customHeight="1">
      <c r="A1583" s="68" t="s">
        <v>362</v>
      </c>
      <c r="B1583" s="74">
        <v>5</v>
      </c>
      <c r="C1583" s="68" t="s">
        <v>363</v>
      </c>
      <c r="D1583" s="68" t="s">
        <v>365</v>
      </c>
      <c r="E1583" s="75">
        <f>60*F1583*'THAM_SO_MOI'!$C$53/(2*PI()*'THAM_SO_MOI'!$C$26)</f>
        <v>2461.5185263157887</v>
      </c>
      <c r="F1583" s="75">
        <f>'THAM_SO_MOI'!$C$14+('THAM_SO_MOI'!$C$37-'THAM_SO_MOI'!$C$14)*776/'THAM_SO_MOI'!$C$42</f>
        <v>24.98336111111111</v>
      </c>
      <c r="G1583" s="75">
        <f>3.6*F1583</f>
        <v>89.94009999999999</v>
      </c>
      <c r="H1583" s="75">
        <f>'THAM_SO_MOI'!$D$53</f>
        <v>1.1</v>
      </c>
      <c r="I1583" s="75">
        <f>IF(F1583&gt;='THAM_SO_MOI'!$C$14,'THAM_SO_MOI'!$C$13*(1+F1583^2/1500),'THAM_SO_MOI'!$C$13)</f>
        <v>0.02124168332408179</v>
      </c>
      <c r="J1583" s="75">
        <f>'THAM_SO_MOI'!$C$40*('THAM_SO_MOI'!$C$23*(E1583/'THAM_SO_MOI'!$C$22)+'THAM_SO_MOI'!$C$24*(E1583/'THAM_SO_MOI'!$C$22)^2-'THAM_SO_MOI'!$C$25*(E1583/'THAM_SO_MOI'!$C$22)^3)</f>
        <v>109.76654495977172</v>
      </c>
      <c r="K1583" s="75">
        <f>'THAM_SO_MOI'!$C$31*J1583/E1583</f>
        <v>425.9123212482763</v>
      </c>
      <c r="L1583" s="75">
        <f>K1583*'THAM_SO_MOI'!$C$53*'THAM_SO_MOI'!$C$17/'THAM_SO_MOI'!$C$26</f>
        <v>3735.2527239289047</v>
      </c>
      <c r="M1583" s="75">
        <f>'THAM_SO_MOI'!$C$15*'THAM_SO_MOI'!$C$16*F1583^2</f>
        <v>1825.6923722939232</v>
      </c>
      <c r="N1583" s="75">
        <f>'THAM_SO_MOI'!$C$12*I1583</f>
        <v>1600.3654149829813</v>
      </c>
      <c r="O1583" s="75">
        <f>M1583+N1583</f>
        <v>3426.0577872769045</v>
      </c>
      <c r="P1583" s="75">
        <f>(MIN(L1583,'THAM_SO_MOI'!$C$41)-O1583)/('THAM_SO_MOI'!$C$11*H1583)</f>
        <v>0.036599779433238666</v>
      </c>
      <c r="Q1583" s="75">
        <f>IF(P1583&gt;0,1/P1583,NA())</f>
        <v>27.322569028703878</v>
      </c>
      <c r="R1583" s="75">
        <f>F1583-F1582</f>
        <v>0.0035868055555532408</v>
      </c>
      <c r="S1583" s="75">
        <f>0.5*(Q1582+Q1583)*R1583</f>
        <v>0.09788251868838503</v>
      </c>
      <c r="T1583" s="75">
        <f>0.5*(F1582*Q1582+F1583*Q1583)*R1583</f>
        <v>2.4452589800987976</v>
      </c>
      <c r="U1583" s="76">
        <f>U1582+S1583</f>
        <v>116.2652677203978</v>
      </c>
      <c r="V1583" s="76">
        <f>V1582+T1583</f>
        <v>2168.0629218515005</v>
      </c>
    </row>
    <row r="1584" spans="1:22" ht="19" customHeight="1">
      <c r="A1584" s="68" t="s">
        <v>362</v>
      </c>
      <c r="B1584" s="74">
        <v>5</v>
      </c>
      <c r="C1584" s="68" t="s">
        <v>363</v>
      </c>
      <c r="D1584" s="68" t="s">
        <v>365</v>
      </c>
      <c r="E1584" s="75">
        <f>60*F1584*'THAM_SO_MOI'!$C$53/(2*PI()*'THAM_SO_MOI'!$C$26)</f>
        <v>2461.8719210526306</v>
      </c>
      <c r="F1584" s="75">
        <f>'THAM_SO_MOI'!$C$14+('THAM_SO_MOI'!$C$37-'THAM_SO_MOI'!$C$14)*777/'THAM_SO_MOI'!$C$42</f>
        <v>24.986947916666665</v>
      </c>
      <c r="G1584" s="75">
        <f>3.6*F1584</f>
        <v>89.9530125</v>
      </c>
      <c r="H1584" s="75">
        <f>'THAM_SO_MOI'!$D$53</f>
        <v>1.1</v>
      </c>
      <c r="I1584" s="75">
        <f>IF(F1584&gt;='THAM_SO_MOI'!$C$14,'THAM_SO_MOI'!$C$13*(1+F1584^2/1500),'THAM_SO_MOI'!$C$13)</f>
        <v>0.021243475661902125</v>
      </c>
      <c r="J1584" s="75">
        <f>'THAM_SO_MOI'!$C$40*('THAM_SO_MOI'!$C$23*(E1584/'THAM_SO_MOI'!$C$22)+'THAM_SO_MOI'!$C$24*(E1584/'THAM_SO_MOI'!$C$22)^2-'THAM_SO_MOI'!$C$25*(E1584/'THAM_SO_MOI'!$C$22)^3)</f>
        <v>109.77969669550207</v>
      </c>
      <c r="K1584" s="75">
        <f>'THAM_SO_MOI'!$C$31*J1584/E1584</f>
        <v>425.90220632284405</v>
      </c>
      <c r="L1584" s="75">
        <f>K1584*'THAM_SO_MOI'!$C$53*'THAM_SO_MOI'!$C$17/'THAM_SO_MOI'!$C$26</f>
        <v>3735.164015993284</v>
      </c>
      <c r="M1584" s="75">
        <f>'THAM_SO_MOI'!$C$15*'THAM_SO_MOI'!$C$16*F1584^2</f>
        <v>1826.2166311063722</v>
      </c>
      <c r="N1584" s="75">
        <f>'THAM_SO_MOI'!$C$12*I1584</f>
        <v>1600.5004511482357</v>
      </c>
      <c r="O1584" s="75">
        <f>M1584+N1584</f>
        <v>3426.7170822546077</v>
      </c>
      <c r="P1584" s="75">
        <f>(MIN(L1584,'THAM_SO_MOI'!$C$41)-O1584)/('THAM_SO_MOI'!$C$11*H1584)</f>
        <v>0.03651123742171829</v>
      </c>
      <c r="Q1584" s="75">
        <f>IF(P1584&gt;0,1/P1584,NA())</f>
        <v>27.388827950409635</v>
      </c>
      <c r="R1584" s="75">
        <f>F1584-F1583</f>
        <v>0.0035868055555567935</v>
      </c>
      <c r="S1584" s="75">
        <f>0.5*(Q1583+Q1584)*R1584</f>
        <v>0.09811957131847876</v>
      </c>
      <c r="T1584" s="75">
        <f>0.5*(F1583*Q1583+F1584*Q1584)*R1584</f>
        <v>2.4515328633368725</v>
      </c>
      <c r="U1584" s="76">
        <f>U1583+S1584</f>
        <v>116.36338729171628</v>
      </c>
      <c r="V1584" s="76">
        <f>V1583+T1584</f>
        <v>2170.5144547148375</v>
      </c>
    </row>
    <row r="1585" spans="1:22" ht="19" customHeight="1">
      <c r="A1585" s="68" t="s">
        <v>362</v>
      </c>
      <c r="B1585" s="74">
        <v>5</v>
      </c>
      <c r="C1585" s="68" t="s">
        <v>363</v>
      </c>
      <c r="D1585" s="68" t="s">
        <v>365</v>
      </c>
      <c r="E1585" s="75">
        <f>60*F1585*'THAM_SO_MOI'!$C$53/(2*PI()*'THAM_SO_MOI'!$C$26)</f>
        <v>2462.225315789473</v>
      </c>
      <c r="F1585" s="75">
        <f>'THAM_SO_MOI'!$C$14+('THAM_SO_MOI'!$C$37-'THAM_SO_MOI'!$C$14)*778/'THAM_SO_MOI'!$C$42</f>
        <v>24.990534722222222</v>
      </c>
      <c r="G1585" s="75">
        <f>3.6*F1585</f>
        <v>89.965925</v>
      </c>
      <c r="H1585" s="75">
        <f>'THAM_SO_MOI'!$D$53</f>
        <v>1.1</v>
      </c>
      <c r="I1585" s="75">
        <f>IF(F1585&gt;='THAM_SO_MOI'!$C$14,'THAM_SO_MOI'!$C$13*(1+F1585^2/1500),'THAM_SO_MOI'!$C$13)</f>
        <v>0.021245268257025943</v>
      </c>
      <c r="J1585" s="75">
        <f>'THAM_SO_MOI'!$C$40*('THAM_SO_MOI'!$C$23*(E1585/'THAM_SO_MOI'!$C$22)+'THAM_SO_MOI'!$C$24*(E1585/'THAM_SO_MOI'!$C$22)^2-'THAM_SO_MOI'!$C$25*(E1585/'THAM_SO_MOI'!$C$22)^3)</f>
        <v>109.79284455927917</v>
      </c>
      <c r="K1585" s="75">
        <f>'THAM_SO_MOI'!$C$31*J1585/E1585</f>
        <v>425.8920792814272</v>
      </c>
      <c r="L1585" s="75">
        <f>K1585*'THAM_SO_MOI'!$C$53*'THAM_SO_MOI'!$C$17/'THAM_SO_MOI'!$C$26</f>
        <v>3735.075201800432</v>
      </c>
      <c r="M1585" s="75">
        <f>'THAM_SO_MOI'!$C$15*'THAM_SO_MOI'!$C$16*F1585^2</f>
        <v>1826.740965180089</v>
      </c>
      <c r="N1585" s="75">
        <f>'THAM_SO_MOI'!$C$12*I1585</f>
        <v>1600.6355066989402</v>
      </c>
      <c r="O1585" s="75">
        <f>M1585+N1585</f>
        <v>3427.376471879029</v>
      </c>
      <c r="P1585" s="75">
        <f>(MIN(L1585,'THAM_SO_MOI'!$C$41)-O1585)/('THAM_SO_MOI'!$C$11*H1585)</f>
        <v>0.036422671628953913</v>
      </c>
      <c r="Q1585" s="75">
        <f>IF(P1585&gt;0,1/P1585,NA())</f>
        <v>27.45542694361437</v>
      </c>
      <c r="R1585" s="75">
        <f>F1585-F1584</f>
        <v>0.0035868055555567935</v>
      </c>
      <c r="S1585" s="75">
        <f>0.5*(Q1584+Q1585)*R1585</f>
        <v>0.09835783907212908</v>
      </c>
      <c r="T1585" s="75">
        <f>0.5*(F1584*Q1584+F1585*Q1585)*R1585</f>
        <v>2.4578388115148897</v>
      </c>
      <c r="U1585" s="76">
        <f>U1584+S1585</f>
        <v>116.4617451307884</v>
      </c>
      <c r="V1585" s="76">
        <f>V1584+T1585</f>
        <v>2172.9722935263526</v>
      </c>
    </row>
    <row r="1586" spans="1:22" ht="19" customHeight="1">
      <c r="A1586" s="68" t="s">
        <v>362</v>
      </c>
      <c r="B1586" s="74">
        <v>5</v>
      </c>
      <c r="C1586" s="68" t="s">
        <v>363</v>
      </c>
      <c r="D1586" s="68" t="s">
        <v>365</v>
      </c>
      <c r="E1586" s="75">
        <f>60*F1586*'THAM_SO_MOI'!$C$53/(2*PI()*'THAM_SO_MOI'!$C$26)</f>
        <v>2462.578710526315</v>
      </c>
      <c r="F1586" s="75">
        <f>'THAM_SO_MOI'!$C$14+('THAM_SO_MOI'!$C$37-'THAM_SO_MOI'!$C$14)*779/'THAM_SO_MOI'!$C$42</f>
        <v>24.994121527777775</v>
      </c>
      <c r="G1586" s="75">
        <f>3.6*F1586</f>
        <v>89.9788375</v>
      </c>
      <c r="H1586" s="75">
        <f>'THAM_SO_MOI'!$D$53</f>
        <v>1.1</v>
      </c>
      <c r="I1586" s="75">
        <f>IF(F1586&gt;='THAM_SO_MOI'!$C$14,'THAM_SO_MOI'!$C$13*(1+F1586^2/1500),'THAM_SO_MOI'!$C$13)</f>
        <v>0.021247061109453243</v>
      </c>
      <c r="J1586" s="75">
        <f>'THAM_SO_MOI'!$C$40*('THAM_SO_MOI'!$C$23*(E1586/'THAM_SO_MOI'!$C$22)+'THAM_SO_MOI'!$C$24*(E1586/'THAM_SO_MOI'!$C$22)^2-'THAM_SO_MOI'!$C$25*(E1586/'THAM_SO_MOI'!$C$22)^3)</f>
        <v>109.80598854975813</v>
      </c>
      <c r="K1586" s="75">
        <f>'THAM_SO_MOI'!$C$31*J1586/E1586</f>
        <v>425.88194012402596</v>
      </c>
      <c r="L1586" s="75">
        <f>K1586*'THAM_SO_MOI'!$C$53*'THAM_SO_MOI'!$C$17/'THAM_SO_MOI'!$C$26</f>
        <v>3734.9862813503482</v>
      </c>
      <c r="M1586" s="75">
        <f>'THAM_SO_MOI'!$C$15*'THAM_SO_MOI'!$C$16*F1586^2</f>
        <v>1827.2653745150742</v>
      </c>
      <c r="N1586" s="75">
        <f>'THAM_SO_MOI'!$C$12*I1586</f>
        <v>1600.770581635095</v>
      </c>
      <c r="O1586" s="75">
        <f>M1586+N1586</f>
        <v>3428.035956150169</v>
      </c>
      <c r="P1586" s="75">
        <f>(MIN(L1586,'THAM_SO_MOI'!$C$41)-O1586)/('THAM_SO_MOI'!$C$11*H1586)</f>
        <v>0.03633408205494545</v>
      </c>
      <c r="Q1586" s="75">
        <f>IF(P1586&gt;0,1/P1586,NA())</f>
        <v>27.522368625902565</v>
      </c>
      <c r="R1586" s="75">
        <f>F1586-F1585</f>
        <v>0.0035868055555532408</v>
      </c>
      <c r="S1586" s="75">
        <f>0.5*(Q1585+Q1586)*R1586</f>
        <v>0.09859733129040685</v>
      </c>
      <c r="T1586" s="75">
        <f>0.5*(F1585*Q1585+F1586*Q1586)*R1586</f>
        <v>2.464177071163277</v>
      </c>
      <c r="U1586" s="76">
        <f>U1585+S1586</f>
        <v>116.56034246207881</v>
      </c>
      <c r="V1586" s="76">
        <f>V1585+T1586</f>
        <v>2175.436470597516</v>
      </c>
    </row>
    <row r="1587" spans="1:22" ht="19" customHeight="1">
      <c r="A1587" s="68" t="s">
        <v>362</v>
      </c>
      <c r="B1587" s="74">
        <v>5</v>
      </c>
      <c r="C1587" s="68" t="s">
        <v>363</v>
      </c>
      <c r="D1587" s="68" t="s">
        <v>365</v>
      </c>
      <c r="E1587" s="75">
        <f>60*F1587*'THAM_SO_MOI'!$C$53/(2*PI()*'THAM_SO_MOI'!$C$26)</f>
        <v>2462.9321052631576</v>
      </c>
      <c r="F1587" s="75">
        <f>'THAM_SO_MOI'!$C$14+('THAM_SO_MOI'!$C$37-'THAM_SO_MOI'!$C$14)*780/'THAM_SO_MOI'!$C$42</f>
        <v>24.997708333333332</v>
      </c>
      <c r="G1587" s="75">
        <f>3.6*F1587</f>
        <v>89.99175</v>
      </c>
      <c r="H1587" s="75">
        <f>'THAM_SO_MOI'!$D$53</f>
        <v>1.1</v>
      </c>
      <c r="I1587" s="75">
        <f>IF(F1587&gt;='THAM_SO_MOI'!$C$14,'THAM_SO_MOI'!$C$13*(1+F1587^2/1500),'THAM_SO_MOI'!$C$13)</f>
        <v>0.021248854219184026</v>
      </c>
      <c r="J1587" s="75">
        <f>'THAM_SO_MOI'!$C$40*('THAM_SO_MOI'!$C$23*(E1587/'THAM_SO_MOI'!$C$22)+'THAM_SO_MOI'!$C$24*(E1587/'THAM_SO_MOI'!$C$22)^2-'THAM_SO_MOI'!$C$25*(E1587/'THAM_SO_MOI'!$C$22)^3)</f>
        <v>109.81912866559405</v>
      </c>
      <c r="K1587" s="75">
        <f>'THAM_SO_MOI'!$C$31*J1587/E1587</f>
        <v>425.8717888506402</v>
      </c>
      <c r="L1587" s="75">
        <f>K1587*'THAM_SO_MOI'!$C$53*'THAM_SO_MOI'!$C$17/'THAM_SO_MOI'!$C$26</f>
        <v>3734.8972546430336</v>
      </c>
      <c r="M1587" s="75">
        <f>'THAM_SO_MOI'!$C$15*'THAM_SO_MOI'!$C$16*F1587^2</f>
        <v>1827.789859111328</v>
      </c>
      <c r="N1587" s="75">
        <f>'THAM_SO_MOI'!$C$12*I1587</f>
        <v>1600.9056759567</v>
      </c>
      <c r="O1587" s="75">
        <f>M1587+N1587</f>
        <v>3428.695535068028</v>
      </c>
      <c r="P1587" s="75">
        <f>(MIN(L1587,'THAM_SO_MOI'!$C$41)-O1587)/('THAM_SO_MOI'!$C$11*H1587)</f>
        <v>0.036245468699692904</v>
      </c>
      <c r="Q1587" s="75">
        <f>IF(P1587&gt;0,1/P1587,NA())</f>
        <v>27.589655641795375</v>
      </c>
      <c r="R1587" s="75">
        <f>F1587-F1586</f>
        <v>0.0035868055555567935</v>
      </c>
      <c r="S1587" s="75">
        <f>0.5*(Q1586+Q1587)*R1587</f>
        <v>0.0988380574106799</v>
      </c>
      <c r="T1587" s="75">
        <f>0.5*(F1586*Q1586+F1587*Q1587)*R1587</f>
        <v>2.470547891353514</v>
      </c>
      <c r="U1587" s="76">
        <f>U1586+S1587</f>
        <v>116.65918051948948</v>
      </c>
      <c r="V1587" s="76">
        <f>V1586+T1587</f>
        <v>2177.907018488869</v>
      </c>
    </row>
    <row r="1588" spans="1:22" ht="19" customHeight="1">
      <c r="A1588" s="68" t="s">
        <v>362</v>
      </c>
      <c r="B1588" s="74">
        <v>5</v>
      </c>
      <c r="C1588" s="68" t="s">
        <v>363</v>
      </c>
      <c r="D1588" s="68" t="s">
        <v>365</v>
      </c>
      <c r="E1588" s="75">
        <f>60*F1588*'THAM_SO_MOI'!$C$53/(2*PI()*'THAM_SO_MOI'!$C$26)</f>
        <v>2463.2854999999995</v>
      </c>
      <c r="F1588" s="75">
        <f>'THAM_SO_MOI'!$C$14+('THAM_SO_MOI'!$C$37-'THAM_SO_MOI'!$C$14)*781/'THAM_SO_MOI'!$C$42</f>
        <v>25.00129513888889</v>
      </c>
      <c r="G1588" s="75">
        <f>3.6*F1588</f>
        <v>90.0046625</v>
      </c>
      <c r="H1588" s="75">
        <f>'THAM_SO_MOI'!$D$53</f>
        <v>1.1</v>
      </c>
      <c r="I1588" s="75">
        <f>IF(F1588&gt;='THAM_SO_MOI'!$C$14,'THAM_SO_MOI'!$C$13*(1+F1588^2/1500),'THAM_SO_MOI'!$C$13)</f>
        <v>0.02125064758621829</v>
      </c>
      <c r="J1588" s="75">
        <f>'THAM_SO_MOI'!$C$40*('THAM_SO_MOI'!$C$23*(E1588/'THAM_SO_MOI'!$C$22)+'THAM_SO_MOI'!$C$24*(E1588/'THAM_SO_MOI'!$C$22)^2-'THAM_SO_MOI'!$C$25*(E1588/'THAM_SO_MOI'!$C$22)^3)</f>
        <v>109.83226490544202</v>
      </c>
      <c r="K1588" s="75">
        <f>'THAM_SO_MOI'!$C$31*J1588/E1588</f>
        <v>425.86162546127</v>
      </c>
      <c r="L1588" s="75">
        <f>K1588*'THAM_SO_MOI'!$C$53*'THAM_SO_MOI'!$C$17/'THAM_SO_MOI'!$C$26</f>
        <v>3734.808121678488</v>
      </c>
      <c r="M1588" s="75">
        <f>'THAM_SO_MOI'!$C$15*'THAM_SO_MOI'!$C$16*F1588^2</f>
        <v>1828.3144189688505</v>
      </c>
      <c r="N1588" s="75">
        <f>'THAM_SO_MOI'!$C$12*I1588</f>
        <v>1601.040789663755</v>
      </c>
      <c r="O1588" s="75">
        <f>M1588+N1588</f>
        <v>3429.3552086326054</v>
      </c>
      <c r="P1588" s="75">
        <f>(MIN(L1588,'THAM_SO_MOI'!$C$41)-O1588)/('THAM_SO_MOI'!$C$11*H1588)</f>
        <v>0.036156831563196316</v>
      </c>
      <c r="Q1588" s="75">
        <f>IF(P1588&gt;0,1/P1588,NA())</f>
        <v>27.657290663098095</v>
      </c>
      <c r="R1588" s="75">
        <f>F1588-F1587</f>
        <v>0.0035868055555567935</v>
      </c>
      <c r="S1588" s="75">
        <f>0.5*(Q1587+Q1588)*R1588</f>
        <v>0.09908002696696988</v>
      </c>
      <c r="T1588" s="75">
        <f>0.5*(F1587*Q1587+F1588*Q1588)*R1588</f>
        <v>2.47695152370878</v>
      </c>
      <c r="U1588" s="76">
        <f>U1587+S1588</f>
        <v>116.75826054645646</v>
      </c>
      <c r="V1588" s="76">
        <f>V1587+T1588</f>
        <v>2180.383970012578</v>
      </c>
    </row>
    <row r="1589" spans="1:22" ht="19" customHeight="1">
      <c r="A1589" s="68" t="s">
        <v>362</v>
      </c>
      <c r="B1589" s="74">
        <v>5</v>
      </c>
      <c r="C1589" s="68" t="s">
        <v>363</v>
      </c>
      <c r="D1589" s="68" t="s">
        <v>365</v>
      </c>
      <c r="E1589" s="75">
        <f>60*F1589*'THAM_SO_MOI'!$C$53/(2*PI()*'THAM_SO_MOI'!$C$26)</f>
        <v>2463.6388947368414</v>
      </c>
      <c r="F1589" s="75">
        <f>'THAM_SO_MOI'!$C$14+('THAM_SO_MOI'!$C$37-'THAM_SO_MOI'!$C$14)*782/'THAM_SO_MOI'!$C$42</f>
        <v>25.004881944444442</v>
      </c>
      <c r="G1589" s="75">
        <f>3.6*F1589</f>
        <v>90.017575</v>
      </c>
      <c r="H1589" s="75">
        <f>'THAM_SO_MOI'!$D$53</f>
        <v>1.1</v>
      </c>
      <c r="I1589" s="75">
        <f>IF(F1589&gt;='THAM_SO_MOI'!$C$14,'THAM_SO_MOI'!$C$13*(1+F1589^2/1500),'THAM_SO_MOI'!$C$13)</f>
        <v>0.021252441210556035</v>
      </c>
      <c r="J1589" s="75">
        <f>'THAM_SO_MOI'!$C$40*('THAM_SO_MOI'!$C$23*(E1589/'THAM_SO_MOI'!$C$22)+'THAM_SO_MOI'!$C$24*(E1589/'THAM_SO_MOI'!$C$22)^2-'THAM_SO_MOI'!$C$25*(E1589/'THAM_SO_MOI'!$C$22)^3)</f>
        <v>109.84539726795718</v>
      </c>
      <c r="K1589" s="75">
        <f>'THAM_SO_MOI'!$C$31*J1589/E1589</f>
        <v>425.85144995591537</v>
      </c>
      <c r="L1589" s="75">
        <f>K1589*'THAM_SO_MOI'!$C$53*'THAM_SO_MOI'!$C$17/'THAM_SO_MOI'!$C$26</f>
        <v>3734.7188824567115</v>
      </c>
      <c r="M1589" s="75">
        <f>'THAM_SO_MOI'!$C$15*'THAM_SO_MOI'!$C$16*F1589^2</f>
        <v>1828.8390540876408</v>
      </c>
      <c r="N1589" s="75">
        <f>'THAM_SO_MOI'!$C$12*I1589</f>
        <v>1601.1759227562602</v>
      </c>
      <c r="O1589" s="75">
        <f>M1589+N1589</f>
        <v>3430.014976843901</v>
      </c>
      <c r="P1589" s="75">
        <f>(MIN(L1589,'THAM_SO_MOI'!$C$41)-O1589)/('THAM_SO_MOI'!$C$11*H1589)</f>
        <v>0.0360681706454558</v>
      </c>
      <c r="Q1589" s="75">
        <f>IF(P1589&gt;0,1/P1589,NA())</f>
        <v>27.725276389252898</v>
      </c>
      <c r="R1589" s="75">
        <f>F1589-F1588</f>
        <v>0.0035868055555532408</v>
      </c>
      <c r="S1589" s="75">
        <f>0.5*(Q1588+Q1589)*R1589</f>
        <v>0.0993232495920862</v>
      </c>
      <c r="T1589" s="75">
        <f>0.5*(F1588*Q1588+F1589*Q1589)*R1589</f>
        <v>2.48338822245904</v>
      </c>
      <c r="U1589" s="76">
        <f>U1588+S1589</f>
        <v>116.85758379604854</v>
      </c>
      <c r="V1589" s="76">
        <f>V1588+T1589</f>
        <v>2182.867358235037</v>
      </c>
    </row>
    <row r="1590" spans="1:22" ht="19" customHeight="1">
      <c r="A1590" s="68" t="s">
        <v>362</v>
      </c>
      <c r="B1590" s="74">
        <v>5</v>
      </c>
      <c r="C1590" s="68" t="s">
        <v>363</v>
      </c>
      <c r="D1590" s="68" t="s">
        <v>365</v>
      </c>
      <c r="E1590" s="75">
        <f>60*F1590*'THAM_SO_MOI'!$C$53/(2*PI()*'THAM_SO_MOI'!$C$26)</f>
        <v>2463.9922894736833</v>
      </c>
      <c r="F1590" s="75">
        <f>'THAM_SO_MOI'!$C$14+('THAM_SO_MOI'!$C$37-'THAM_SO_MOI'!$C$14)*783/'THAM_SO_MOI'!$C$42</f>
        <v>25.00846875</v>
      </c>
      <c r="G1590" s="75">
        <f>3.6*F1590</f>
        <v>90.03048749999999</v>
      </c>
      <c r="H1590" s="75">
        <f>'THAM_SO_MOI'!$D$53</f>
        <v>1.1</v>
      </c>
      <c r="I1590" s="75">
        <f>IF(F1590&gt;='THAM_SO_MOI'!$C$14,'THAM_SO_MOI'!$C$13*(1+F1590^2/1500),'THAM_SO_MOI'!$C$13)</f>
        <v>0.021254235092197267</v>
      </c>
      <c r="J1590" s="75">
        <f>'THAM_SO_MOI'!$C$40*('THAM_SO_MOI'!$C$23*(E1590/'THAM_SO_MOI'!$C$22)+'THAM_SO_MOI'!$C$24*(E1590/'THAM_SO_MOI'!$C$22)^2-'THAM_SO_MOI'!$C$25*(E1590/'THAM_SO_MOI'!$C$22)^3)</f>
        <v>109.85852575179463</v>
      </c>
      <c r="K1590" s="75">
        <f>'THAM_SO_MOI'!$C$31*J1590/E1590</f>
        <v>425.8412623345763</v>
      </c>
      <c r="L1590" s="75">
        <f>K1590*'THAM_SO_MOI'!$C$53*'THAM_SO_MOI'!$C$17/'THAM_SO_MOI'!$C$26</f>
        <v>3734.629536977704</v>
      </c>
      <c r="M1590" s="75">
        <f>'THAM_SO_MOI'!$C$15*'THAM_SO_MOI'!$C$16*F1590^2</f>
        <v>1829.3637644677003</v>
      </c>
      <c r="N1590" s="75">
        <f>'THAM_SO_MOI'!$C$12*I1590</f>
        <v>1601.3110752342159</v>
      </c>
      <c r="O1590" s="75">
        <f>M1590+N1590</f>
        <v>3430.6748397019164</v>
      </c>
      <c r="P1590" s="75">
        <f>(MIN(L1590,'THAM_SO_MOI'!$C$41)-O1590)/('THAM_SO_MOI'!$C$11*H1590)</f>
        <v>0.035979485946471094</v>
      </c>
      <c r="Q1590" s="75">
        <f>IF(P1590&gt;0,1/P1590,NA())</f>
        <v>27.793615547697424</v>
      </c>
      <c r="R1590" s="75">
        <f>F1590-F1589</f>
        <v>0.0035868055555567935</v>
      </c>
      <c r="S1590" s="75">
        <f>0.5*(Q1589+Q1590)*R1590</f>
        <v>0.09956773501890534</v>
      </c>
      <c r="T1590" s="75">
        <f>0.5*(F1589*Q1589+F1590*Q1590)*R1590</f>
        <v>2.4898582444748074</v>
      </c>
      <c r="U1590" s="76">
        <f>U1589+S1590</f>
        <v>116.95715153106745</v>
      </c>
      <c r="V1590" s="76">
        <f>V1589+T1590</f>
        <v>2185.357216479512</v>
      </c>
    </row>
    <row r="1591" spans="1:22" ht="19" customHeight="1">
      <c r="A1591" s="68" t="s">
        <v>362</v>
      </c>
      <c r="B1591" s="74">
        <v>5</v>
      </c>
      <c r="C1591" s="68" t="s">
        <v>363</v>
      </c>
      <c r="D1591" s="68" t="s">
        <v>365</v>
      </c>
      <c r="E1591" s="75">
        <f>60*F1591*'THAM_SO_MOI'!$C$53/(2*PI()*'THAM_SO_MOI'!$C$26)</f>
        <v>2464.3456842105256</v>
      </c>
      <c r="F1591" s="75">
        <f>'THAM_SO_MOI'!$C$14+('THAM_SO_MOI'!$C$37-'THAM_SO_MOI'!$C$14)*784/'THAM_SO_MOI'!$C$42</f>
        <v>25.012055555555555</v>
      </c>
      <c r="G1591" s="75">
        <f>3.6*F1591</f>
        <v>90.0434</v>
      </c>
      <c r="H1591" s="75">
        <f>'THAM_SO_MOI'!$D$53</f>
        <v>1.1</v>
      </c>
      <c r="I1591" s="75">
        <f>IF(F1591&gt;='THAM_SO_MOI'!$C$14,'THAM_SO_MOI'!$C$13*(1+F1591^2/1500),'THAM_SO_MOI'!$C$13)</f>
        <v>0.021256029231141976</v>
      </c>
      <c r="J1591" s="75">
        <f>'THAM_SO_MOI'!$C$40*('THAM_SO_MOI'!$C$23*(E1591/'THAM_SO_MOI'!$C$22)+'THAM_SO_MOI'!$C$24*(E1591/'THAM_SO_MOI'!$C$22)^2-'THAM_SO_MOI'!$C$25*(E1591/'THAM_SO_MOI'!$C$22)^3)</f>
        <v>109.87165035560948</v>
      </c>
      <c r="K1591" s="75">
        <f>'THAM_SO_MOI'!$C$31*J1591/E1591</f>
        <v>425.83106259725264</v>
      </c>
      <c r="L1591" s="75">
        <f>K1591*'THAM_SO_MOI'!$C$53*'THAM_SO_MOI'!$C$17/'THAM_SO_MOI'!$C$26</f>
        <v>3734.540085241464</v>
      </c>
      <c r="M1591" s="75">
        <f>'THAM_SO_MOI'!$C$15*'THAM_SO_MOI'!$C$16*F1591^2</f>
        <v>1829.8885501090278</v>
      </c>
      <c r="N1591" s="75">
        <f>'THAM_SO_MOI'!$C$12*I1591</f>
        <v>1601.4462470976214</v>
      </c>
      <c r="O1591" s="75">
        <f>M1591+N1591</f>
        <v>3431.3347972066495</v>
      </c>
      <c r="P1591" s="75">
        <f>(MIN(L1591,'THAM_SO_MOI'!$C$41)-O1591)/('THAM_SO_MOI'!$C$11*H1591)</f>
        <v>0.035890777466242293</v>
      </c>
      <c r="Q1591" s="75">
        <f>IF(P1591&gt;0,1/P1591,NA())</f>
        <v>27.862310894228127</v>
      </c>
      <c r="R1591" s="75">
        <f>F1591-F1590</f>
        <v>0.0035868055555567935</v>
      </c>
      <c r="S1591" s="75">
        <f>0.5*(Q1590+Q1591)*R1591</f>
        <v>0.0998134930807794</v>
      </c>
      <c r="T1591" s="75">
        <f>0.5*(F1590*Q1590+F1591*Q1591)*R1591</f>
        <v>2.496361849279162</v>
      </c>
      <c r="U1591" s="76">
        <f>U1590+S1591</f>
        <v>117.05696502414823</v>
      </c>
      <c r="V1591" s="76">
        <f>V1590+T1591</f>
        <v>2187.853578328791</v>
      </c>
    </row>
    <row r="1592" spans="1:22" ht="19" customHeight="1">
      <c r="A1592" s="68" t="s">
        <v>362</v>
      </c>
      <c r="B1592" s="74">
        <v>5</v>
      </c>
      <c r="C1592" s="68" t="s">
        <v>363</v>
      </c>
      <c r="D1592" s="68" t="s">
        <v>365</v>
      </c>
      <c r="E1592" s="75">
        <f>60*F1592*'THAM_SO_MOI'!$C$53/(2*PI()*'THAM_SO_MOI'!$C$26)</f>
        <v>2464.6990789473675</v>
      </c>
      <c r="F1592" s="75">
        <f>'THAM_SO_MOI'!$C$14+('THAM_SO_MOI'!$C$37-'THAM_SO_MOI'!$C$14)*785/'THAM_SO_MOI'!$C$42</f>
        <v>25.01564236111111</v>
      </c>
      <c r="G1592" s="75">
        <f>3.6*F1592</f>
        <v>90.05631249999999</v>
      </c>
      <c r="H1592" s="75">
        <f>'THAM_SO_MOI'!$D$53</f>
        <v>1.1</v>
      </c>
      <c r="I1592" s="75">
        <f>IF(F1592&gt;='THAM_SO_MOI'!$C$14,'THAM_SO_MOI'!$C$13*(1+F1592^2/1500),'THAM_SO_MOI'!$C$13)</f>
        <v>0.021257823627390166</v>
      </c>
      <c r="J1592" s="75">
        <f>'THAM_SO_MOI'!$C$40*('THAM_SO_MOI'!$C$23*(E1592/'THAM_SO_MOI'!$C$22)+'THAM_SO_MOI'!$C$24*(E1592/'THAM_SO_MOI'!$C$22)^2-'THAM_SO_MOI'!$C$25*(E1592/'THAM_SO_MOI'!$C$22)^3)</f>
        <v>109.88477107805687</v>
      </c>
      <c r="K1592" s="75">
        <f>'THAM_SO_MOI'!$C$31*J1592/E1592</f>
        <v>425.8208507439448</v>
      </c>
      <c r="L1592" s="75">
        <f>K1592*'THAM_SO_MOI'!$C$53*'THAM_SO_MOI'!$C$17/'THAM_SO_MOI'!$C$26</f>
        <v>3734.4505272479955</v>
      </c>
      <c r="M1592" s="75">
        <f>'THAM_SO_MOI'!$C$15*'THAM_SO_MOI'!$C$16*F1592^2</f>
        <v>1830.4134110116236</v>
      </c>
      <c r="N1592" s="75">
        <f>'THAM_SO_MOI'!$C$12*I1592</f>
        <v>1601.5814383464772</v>
      </c>
      <c r="O1592" s="75">
        <f>M1592+N1592</f>
        <v>3431.9948493581005</v>
      </c>
      <c r="P1592" s="75">
        <f>(MIN(L1592,'THAM_SO_MOI'!$C$41)-O1592)/('THAM_SO_MOI'!$C$11*H1592)</f>
        <v>0.03580204520476974</v>
      </c>
      <c r="Q1592" s="75">
        <f>IF(P1592&gt;0,1/P1592,NA())</f>
        <v>27.93136521336984</v>
      </c>
      <c r="R1592" s="75">
        <f>F1592-F1591</f>
        <v>0.0035868055555532408</v>
      </c>
      <c r="S1592" s="75">
        <f>0.5*(Q1591+Q1592)*R1592</f>
        <v>0.10006053371373526</v>
      </c>
      <c r="T1592" s="75">
        <f>0.5*(F1591*Q1591+F1592*Q1592)*R1592</f>
        <v>2.5028992991045533</v>
      </c>
      <c r="U1592" s="76">
        <f>U1591+S1592</f>
        <v>117.15702555786196</v>
      </c>
      <c r="V1592" s="76">
        <f>V1591+T1592</f>
        <v>2190.356477627896</v>
      </c>
    </row>
    <row r="1593" spans="1:22" ht="19" customHeight="1">
      <c r="A1593" s="68" t="s">
        <v>362</v>
      </c>
      <c r="B1593" s="74">
        <v>5</v>
      </c>
      <c r="C1593" s="68" t="s">
        <v>363</v>
      </c>
      <c r="D1593" s="68" t="s">
        <v>365</v>
      </c>
      <c r="E1593" s="75">
        <f>60*F1593*'THAM_SO_MOI'!$C$53/(2*PI()*'THAM_SO_MOI'!$C$26)</f>
        <v>2465.05247368421</v>
      </c>
      <c r="F1593" s="75">
        <f>'THAM_SO_MOI'!$C$14+('THAM_SO_MOI'!$C$37-'THAM_SO_MOI'!$C$14)*786/'THAM_SO_MOI'!$C$42</f>
        <v>25.019229166666666</v>
      </c>
      <c r="G1593" s="75">
        <f>3.6*F1593</f>
        <v>90.069225</v>
      </c>
      <c r="H1593" s="75">
        <f>'THAM_SO_MOI'!$D$53</f>
        <v>1.1</v>
      </c>
      <c r="I1593" s="75">
        <f>IF(F1593&gt;='THAM_SO_MOI'!$C$14,'THAM_SO_MOI'!$C$13*(1+F1593^2/1500),'THAM_SO_MOI'!$C$13)</f>
        <v>0.02125961828094184</v>
      </c>
      <c r="J1593" s="75">
        <f>'THAM_SO_MOI'!$C$40*('THAM_SO_MOI'!$C$23*(E1593/'THAM_SO_MOI'!$C$22)+'THAM_SO_MOI'!$C$24*(E1593/'THAM_SO_MOI'!$C$22)^2-'THAM_SO_MOI'!$C$25*(E1593/'THAM_SO_MOI'!$C$22)^3)</f>
        <v>109.89788791779185</v>
      </c>
      <c r="K1593" s="75">
        <f>'THAM_SO_MOI'!$C$31*J1593/E1593</f>
        <v>425.8106267746522</v>
      </c>
      <c r="L1593" s="75">
        <f>K1593*'THAM_SO_MOI'!$C$53*'THAM_SO_MOI'!$C$17/'THAM_SO_MOI'!$C$26</f>
        <v>3734.3608629972937</v>
      </c>
      <c r="M1593" s="75">
        <f>'THAM_SO_MOI'!$C$15*'THAM_SO_MOI'!$C$16*F1593^2</f>
        <v>1830.9383471754884</v>
      </c>
      <c r="N1593" s="75">
        <f>'THAM_SO_MOI'!$C$12*I1593</f>
        <v>1601.716648980783</v>
      </c>
      <c r="O1593" s="75">
        <f>M1593+N1593</f>
        <v>3432.6549961562714</v>
      </c>
      <c r="P1593" s="75">
        <f>(MIN(L1593,'THAM_SO_MOI'!$C$41)-O1593)/('THAM_SO_MOI'!$C$11*H1593)</f>
        <v>0.035713289162052825</v>
      </c>
      <c r="Q1593" s="75">
        <f>IF(P1593&gt;0,1/P1593,NA())</f>
        <v>28.000781318752082</v>
      </c>
      <c r="R1593" s="75">
        <f>F1593-F1592</f>
        <v>0.0035868055555567935</v>
      </c>
      <c r="S1593" s="75">
        <f>0.5*(Q1592+Q1593)*R1593</f>
        <v>0.10030886695781577</v>
      </c>
      <c r="T1593" s="75">
        <f>0.5*(F1592*Q1592+F1593*Q1593)*R1593</f>
        <v>2.509470858928203</v>
      </c>
      <c r="U1593" s="76">
        <f>U1592+S1593</f>
        <v>117.25733442481977</v>
      </c>
      <c r="V1593" s="76">
        <f>V1592+T1593</f>
        <v>2192.865948486824</v>
      </c>
    </row>
    <row r="1594" spans="1:22" ht="19" customHeight="1">
      <c r="A1594" s="68" t="s">
        <v>362</v>
      </c>
      <c r="B1594" s="74">
        <v>5</v>
      </c>
      <c r="C1594" s="68" t="s">
        <v>363</v>
      </c>
      <c r="D1594" s="68" t="s">
        <v>365</v>
      </c>
      <c r="E1594" s="75">
        <f>60*F1594*'THAM_SO_MOI'!$C$53/(2*PI()*'THAM_SO_MOI'!$C$26)</f>
        <v>2465.405868421052</v>
      </c>
      <c r="F1594" s="75">
        <f>'THAM_SO_MOI'!$C$14+('THAM_SO_MOI'!$C$37-'THAM_SO_MOI'!$C$14)*787/'THAM_SO_MOI'!$C$42</f>
        <v>25.022815972222222</v>
      </c>
      <c r="G1594" s="75">
        <f>3.6*F1594</f>
        <v>90.0821375</v>
      </c>
      <c r="H1594" s="75">
        <f>'THAM_SO_MOI'!$D$53</f>
        <v>1.1</v>
      </c>
      <c r="I1594" s="75">
        <f>IF(F1594&gt;='THAM_SO_MOI'!$C$14,'THAM_SO_MOI'!$C$13*(1+F1594^2/1500),'THAM_SO_MOI'!$C$13)</f>
        <v>0.021261413191796995</v>
      </c>
      <c r="J1594" s="75">
        <f>'THAM_SO_MOI'!$C$40*('THAM_SO_MOI'!$C$23*(E1594/'THAM_SO_MOI'!$C$22)+'THAM_SO_MOI'!$C$24*(E1594/'THAM_SO_MOI'!$C$22)^2-'THAM_SO_MOI'!$C$25*(E1594/'THAM_SO_MOI'!$C$22)^3)</f>
        <v>109.91100087346959</v>
      </c>
      <c r="K1594" s="75">
        <f>'THAM_SO_MOI'!$C$31*J1594/E1594</f>
        <v>425.80039068937526</v>
      </c>
      <c r="L1594" s="75">
        <f>K1594*'THAM_SO_MOI'!$C$53*'THAM_SO_MOI'!$C$17/'THAM_SO_MOI'!$C$26</f>
        <v>3734.2710924893613</v>
      </c>
      <c r="M1594" s="75">
        <f>'THAM_SO_MOI'!$C$15*'THAM_SO_MOI'!$C$16*F1594^2</f>
        <v>1831.4633586006214</v>
      </c>
      <c r="N1594" s="75">
        <f>'THAM_SO_MOI'!$C$12*I1594</f>
        <v>1601.8518790005392</v>
      </c>
      <c r="O1594" s="75">
        <f>M1594+N1594</f>
        <v>3433.3152376011603</v>
      </c>
      <c r="P1594" s="75">
        <f>(MIN(L1594,'THAM_SO_MOI'!$C$41)-O1594)/('THAM_SO_MOI'!$C$11*H1594)</f>
        <v>0.03562450933809194</v>
      </c>
      <c r="Q1594" s="75">
        <f>IF(P1594&gt;0,1/P1594,NA())</f>
        <v>28.07056205348877</v>
      </c>
      <c r="R1594" s="75">
        <f>F1594-F1593</f>
        <v>0.0035868055555567935</v>
      </c>
      <c r="S1594" s="75">
        <f>0.5*(Q1593+Q1594)*R1594</f>
        <v>0.10055850295754304</v>
      </c>
      <c r="T1594" s="75">
        <f>0.5*(F1593*Q1593+F1594*Q1594)*R1594</f>
        <v>2.5160767964855553</v>
      </c>
      <c r="U1594" s="76">
        <f>U1593+S1594</f>
        <v>117.35789292777731</v>
      </c>
      <c r="V1594" s="76">
        <f>V1593+T1594</f>
        <v>2195.3820252833098</v>
      </c>
    </row>
    <row r="1595" spans="1:22" ht="19" customHeight="1">
      <c r="A1595" s="68" t="s">
        <v>362</v>
      </c>
      <c r="B1595" s="74">
        <v>5</v>
      </c>
      <c r="C1595" s="68" t="s">
        <v>363</v>
      </c>
      <c r="D1595" s="68" t="s">
        <v>365</v>
      </c>
      <c r="E1595" s="75">
        <f>60*F1595*'THAM_SO_MOI'!$C$53/(2*PI()*'THAM_SO_MOI'!$C$26)</f>
        <v>2465.759263157894</v>
      </c>
      <c r="F1595" s="75">
        <f>'THAM_SO_MOI'!$C$14+('THAM_SO_MOI'!$C$37-'THAM_SO_MOI'!$C$14)*788/'THAM_SO_MOI'!$C$42</f>
        <v>25.026402777777776</v>
      </c>
      <c r="G1595" s="75">
        <f>3.6*F1595</f>
        <v>90.09505</v>
      </c>
      <c r="H1595" s="75">
        <f>'THAM_SO_MOI'!$D$53</f>
        <v>1.1</v>
      </c>
      <c r="I1595" s="75">
        <f>IF(F1595&gt;='THAM_SO_MOI'!$C$14,'THAM_SO_MOI'!$C$13*(1+F1595^2/1500),'THAM_SO_MOI'!$C$13)</f>
        <v>0.02126320835995563</v>
      </c>
      <c r="J1595" s="75">
        <f>'THAM_SO_MOI'!$C$40*('THAM_SO_MOI'!$C$23*(E1595/'THAM_SO_MOI'!$C$22)+'THAM_SO_MOI'!$C$24*(E1595/'THAM_SO_MOI'!$C$22)^2-'THAM_SO_MOI'!$C$25*(E1595/'THAM_SO_MOI'!$C$22)^3)</f>
        <v>109.92410994374518</v>
      </c>
      <c r="K1595" s="75">
        <f>'THAM_SO_MOI'!$C$31*J1595/E1595</f>
        <v>425.790142488114</v>
      </c>
      <c r="L1595" s="75">
        <f>K1595*'THAM_SO_MOI'!$C$53*'THAM_SO_MOI'!$C$17/'THAM_SO_MOI'!$C$26</f>
        <v>3734.181215724199</v>
      </c>
      <c r="M1595" s="75">
        <f>'THAM_SO_MOI'!$C$15*'THAM_SO_MOI'!$C$16*F1595^2</f>
        <v>1831.9884452870226</v>
      </c>
      <c r="N1595" s="75">
        <f>'THAM_SO_MOI'!$C$12*I1595</f>
        <v>1601.9871284057451</v>
      </c>
      <c r="O1595" s="75">
        <f>M1595+N1595</f>
        <v>3433.9755736927677</v>
      </c>
      <c r="P1595" s="75">
        <f>(MIN(L1595,'THAM_SO_MOI'!$C$41)-O1595)/('THAM_SO_MOI'!$C$11*H1595)</f>
        <v>0.03553570573288721</v>
      </c>
      <c r="Q1595" s="75">
        <f>IF(P1595&gt;0,1/P1595,NA())</f>
        <v>28.140710290566442</v>
      </c>
      <c r="R1595" s="75">
        <f>F1595-F1594</f>
        <v>0.0035868055555532408</v>
      </c>
      <c r="S1595" s="75">
        <f>0.5*(Q1594+Q1595)*R1595</f>
        <v>0.10080945196418675</v>
      </c>
      <c r="T1595" s="75">
        <f>0.5*(F1594*Q1594+F1595*Q1595)*R1595</f>
        <v>2.5227173823289197</v>
      </c>
      <c r="U1595" s="76">
        <f>U1594+S1595</f>
        <v>117.4587023797415</v>
      </c>
      <c r="V1595" s="76">
        <f>V1594+T1595</f>
        <v>2197.904742665639</v>
      </c>
    </row>
    <row r="1596" spans="1:22" ht="19" customHeight="1">
      <c r="A1596" s="68" t="s">
        <v>362</v>
      </c>
      <c r="B1596" s="74">
        <v>5</v>
      </c>
      <c r="C1596" s="68" t="s">
        <v>363</v>
      </c>
      <c r="D1596" s="68" t="s">
        <v>365</v>
      </c>
      <c r="E1596" s="75">
        <f>60*F1596*'THAM_SO_MOI'!$C$53/(2*PI()*'THAM_SO_MOI'!$C$26)</f>
        <v>2466.1126578947365</v>
      </c>
      <c r="F1596" s="75">
        <f>'THAM_SO_MOI'!$C$14+('THAM_SO_MOI'!$C$37-'THAM_SO_MOI'!$C$14)*789/'THAM_SO_MOI'!$C$42</f>
        <v>25.029989583333332</v>
      </c>
      <c r="G1596" s="75">
        <f>3.6*F1596</f>
        <v>90.1079625</v>
      </c>
      <c r="H1596" s="75">
        <f>'THAM_SO_MOI'!$D$53</f>
        <v>1.1</v>
      </c>
      <c r="I1596" s="75">
        <f>IF(F1596&gt;='THAM_SO_MOI'!$C$14,'THAM_SO_MOI'!$C$13*(1+F1596^2/1500),'THAM_SO_MOI'!$C$13)</f>
        <v>0.021265003785417753</v>
      </c>
      <c r="J1596" s="75">
        <f>'THAM_SO_MOI'!$C$40*('THAM_SO_MOI'!$C$23*(E1596/'THAM_SO_MOI'!$C$22)+'THAM_SO_MOI'!$C$24*(E1596/'THAM_SO_MOI'!$C$22)^2-'THAM_SO_MOI'!$C$25*(E1596/'THAM_SO_MOI'!$C$22)^3)</f>
        <v>109.93721512727369</v>
      </c>
      <c r="K1596" s="75">
        <f>'THAM_SO_MOI'!$C$31*J1596/E1596</f>
        <v>425.77988217086806</v>
      </c>
      <c r="L1596" s="75">
        <f>K1596*'THAM_SO_MOI'!$C$53*'THAM_SO_MOI'!$C$17/'THAM_SO_MOI'!$C$26</f>
        <v>3734.091232701804</v>
      </c>
      <c r="M1596" s="75">
        <f>'THAM_SO_MOI'!$C$15*'THAM_SO_MOI'!$C$16*F1596^2</f>
        <v>1832.5136072346925</v>
      </c>
      <c r="N1596" s="75">
        <f>'THAM_SO_MOI'!$C$12*I1596</f>
        <v>1602.1223971964018</v>
      </c>
      <c r="O1596" s="75">
        <f>M1596+N1596</f>
        <v>3434.636004431094</v>
      </c>
      <c r="P1596" s="75">
        <f>(MIN(L1596,'THAM_SO_MOI'!$C$41)-O1596)/('THAM_SO_MOI'!$C$11*H1596)</f>
        <v>0.035446878346438185</v>
      </c>
      <c r="Q1596" s="75">
        <f>IF(P1596&gt;0,1/P1596,NA())</f>
        <v>28.211228933237873</v>
      </c>
      <c r="R1596" s="75">
        <f>F1596-F1595</f>
        <v>0.0035868055555567935</v>
      </c>
      <c r="S1596" s="75">
        <f>0.5*(Q1595+Q1596)*R1596</f>
        <v>0.10106172433717005</v>
      </c>
      <c r="T1596" s="75">
        <f>0.5*(F1595*Q1595+F1596*Q1596)*R1596</f>
        <v>2.5293928898645714</v>
      </c>
      <c r="U1596" s="76">
        <f>U1595+S1596</f>
        <v>117.55976410407867</v>
      </c>
      <c r="V1596" s="76">
        <f>V1595+T1596</f>
        <v>2200.4341355555034</v>
      </c>
    </row>
    <row r="1597" spans="1:22" ht="19" customHeight="1">
      <c r="A1597" s="68" t="s">
        <v>362</v>
      </c>
      <c r="B1597" s="74">
        <v>5</v>
      </c>
      <c r="C1597" s="68" t="s">
        <v>363</v>
      </c>
      <c r="D1597" s="68" t="s">
        <v>365</v>
      </c>
      <c r="E1597" s="75">
        <f>60*F1597*'THAM_SO_MOI'!$C$53/(2*PI()*'THAM_SO_MOI'!$C$26)</f>
        <v>2466.4660526315783</v>
      </c>
      <c r="F1597" s="75">
        <f>'THAM_SO_MOI'!$C$14+('THAM_SO_MOI'!$C$37-'THAM_SO_MOI'!$C$14)*790/'THAM_SO_MOI'!$C$42</f>
        <v>25.03357638888889</v>
      </c>
      <c r="G1597" s="75">
        <f>3.6*F1597</f>
        <v>90.120875</v>
      </c>
      <c r="H1597" s="75">
        <f>'THAM_SO_MOI'!$D$53</f>
        <v>1.1</v>
      </c>
      <c r="I1597" s="75">
        <f>IF(F1597&gt;='THAM_SO_MOI'!$C$14,'THAM_SO_MOI'!$C$13*(1+F1597^2/1500),'THAM_SO_MOI'!$C$13)</f>
        <v>0.02126679946818335</v>
      </c>
      <c r="J1597" s="75">
        <f>'THAM_SO_MOI'!$C$40*('THAM_SO_MOI'!$C$23*(E1597/'THAM_SO_MOI'!$C$22)+'THAM_SO_MOI'!$C$24*(E1597/'THAM_SO_MOI'!$C$22)^2-'THAM_SO_MOI'!$C$25*(E1597/'THAM_SO_MOI'!$C$22)^3)</f>
        <v>109.95031642271027</v>
      </c>
      <c r="K1597" s="75">
        <f>'THAM_SO_MOI'!$C$31*J1597/E1597</f>
        <v>425.76960973763784</v>
      </c>
      <c r="L1597" s="75">
        <f>K1597*'THAM_SO_MOI'!$C$53*'THAM_SO_MOI'!$C$17/'THAM_SO_MOI'!$C$26</f>
        <v>3734.0011434221797</v>
      </c>
      <c r="M1597" s="75">
        <f>'THAM_SO_MOI'!$C$15*'THAM_SO_MOI'!$C$16*F1597^2</f>
        <v>1833.038844443631</v>
      </c>
      <c r="N1597" s="75">
        <f>'THAM_SO_MOI'!$C$12*I1597</f>
        <v>1602.2576853725081</v>
      </c>
      <c r="O1597" s="75">
        <f>M1597+N1597</f>
        <v>3435.296529816139</v>
      </c>
      <c r="P1597" s="75">
        <f>(MIN(L1597,'THAM_SO_MOI'!$C$41)-O1597)/('THAM_SO_MOI'!$C$11*H1597)</f>
        <v>0.03535802717874533</v>
      </c>
      <c r="Q1597" s="75">
        <f>IF(P1597&gt;0,1/P1597,NA())</f>
        <v>28.282120915420506</v>
      </c>
      <c r="R1597" s="75">
        <f>F1597-F1596</f>
        <v>0.0035868055555567935</v>
      </c>
      <c r="S1597" s="75">
        <f>0.5*(Q1596+Q1597)*R1597</f>
        <v>0.10131533054459071</v>
      </c>
      <c r="T1597" s="75">
        <f>0.5*(F1596*Q1596+F1597*Q1597)*R1597</f>
        <v>2.536103595367732</v>
      </c>
      <c r="U1597" s="76">
        <f>U1596+S1597</f>
        <v>117.66107943462326</v>
      </c>
      <c r="V1597" s="76">
        <f>V1596+T1597</f>
        <v>2202.9702391508713</v>
      </c>
    </row>
    <row r="1598" spans="1:22" ht="19" customHeight="1">
      <c r="A1598" s="68" t="s">
        <v>362</v>
      </c>
      <c r="B1598" s="74">
        <v>5</v>
      </c>
      <c r="C1598" s="68" t="s">
        <v>363</v>
      </c>
      <c r="D1598" s="68" t="s">
        <v>365</v>
      </c>
      <c r="E1598" s="75">
        <f>60*F1598*'THAM_SO_MOI'!$C$53/(2*PI()*'THAM_SO_MOI'!$C$26)</f>
        <v>2466.8194473684202</v>
      </c>
      <c r="F1598" s="75">
        <f>'THAM_SO_MOI'!$C$14+('THAM_SO_MOI'!$C$37-'THAM_SO_MOI'!$C$14)*791/'THAM_SO_MOI'!$C$42</f>
        <v>25.037163194444442</v>
      </c>
      <c r="G1598" s="75">
        <f>3.6*F1598</f>
        <v>90.1337875</v>
      </c>
      <c r="H1598" s="75">
        <f>'THAM_SO_MOI'!$D$53</f>
        <v>1.1</v>
      </c>
      <c r="I1598" s="75">
        <f>IF(F1598&gt;='THAM_SO_MOI'!$C$14,'THAM_SO_MOI'!$C$13*(1+F1598^2/1500),'THAM_SO_MOI'!$C$13)</f>
        <v>0.021268595408252433</v>
      </c>
      <c r="J1598" s="75">
        <f>'THAM_SO_MOI'!$C$40*('THAM_SO_MOI'!$C$23*(E1598/'THAM_SO_MOI'!$C$22)+'THAM_SO_MOI'!$C$24*(E1598/'THAM_SO_MOI'!$C$22)^2-'THAM_SO_MOI'!$C$25*(E1598/'THAM_SO_MOI'!$C$22)^3)</f>
        <v>109.96341382870999</v>
      </c>
      <c r="K1598" s="75">
        <f>'THAM_SO_MOI'!$C$31*J1598/E1598</f>
        <v>425.7593251884229</v>
      </c>
      <c r="L1598" s="75">
        <f>K1598*'THAM_SO_MOI'!$C$53*'THAM_SO_MOI'!$C$17/'THAM_SO_MOI'!$C$26</f>
        <v>3733.9109478853215</v>
      </c>
      <c r="M1598" s="75">
        <f>'THAM_SO_MOI'!$C$15*'THAM_SO_MOI'!$C$16*F1598^2</f>
        <v>1833.5641569138372</v>
      </c>
      <c r="N1598" s="75">
        <f>'THAM_SO_MOI'!$C$12*I1598</f>
        <v>1602.392992934065</v>
      </c>
      <c r="O1598" s="75">
        <f>M1598+N1598</f>
        <v>3435.957149847902</v>
      </c>
      <c r="P1598" s="75">
        <f>(MIN(L1598,'THAM_SO_MOI'!$C$41)-O1598)/('THAM_SO_MOI'!$C$11*H1598)</f>
        <v>0.035269152229808164</v>
      </c>
      <c r="Q1598" s="75">
        <f>IF(P1598&gt;0,1/P1598,NA())</f>
        <v>28.35338920210386</v>
      </c>
      <c r="R1598" s="75">
        <f>F1598-F1597</f>
        <v>0.0035868055555532408</v>
      </c>
      <c r="S1598" s="75">
        <f>0.5*(Q1597+Q1598)*R1598</f>
        <v>0.10157028116556407</v>
      </c>
      <c r="T1598" s="75">
        <f>0.5*(F1597*Q1597+F1598*Q1598)*R1598</f>
        <v>2.5428497780431814</v>
      </c>
      <c r="U1598" s="76">
        <f>U1597+S1598</f>
        <v>117.76264971578883</v>
      </c>
      <c r="V1598" s="76">
        <f>V1597+T1598</f>
        <v>2205.5130889289144</v>
      </c>
    </row>
    <row r="1599" spans="1:22" ht="19" customHeight="1">
      <c r="A1599" s="68" t="s">
        <v>362</v>
      </c>
      <c r="B1599" s="74">
        <v>5</v>
      </c>
      <c r="C1599" s="68" t="s">
        <v>363</v>
      </c>
      <c r="D1599" s="68" t="s">
        <v>365</v>
      </c>
      <c r="E1599" s="75">
        <f>60*F1599*'THAM_SO_MOI'!$C$53/(2*PI()*'THAM_SO_MOI'!$C$26)</f>
        <v>2467.1728421052626</v>
      </c>
      <c r="F1599" s="75">
        <f>'THAM_SO_MOI'!$C$14+('THAM_SO_MOI'!$C$37-'THAM_SO_MOI'!$C$14)*792/'THAM_SO_MOI'!$C$42</f>
        <v>25.04075</v>
      </c>
      <c r="G1599" s="75">
        <f>3.6*F1599</f>
        <v>90.1467</v>
      </c>
      <c r="H1599" s="75">
        <f>'THAM_SO_MOI'!$D$53</f>
        <v>1.1</v>
      </c>
      <c r="I1599" s="75">
        <f>IF(F1599&gt;='THAM_SO_MOI'!$C$14,'THAM_SO_MOI'!$C$13*(1+F1599^2/1500),'THAM_SO_MOI'!$C$13)</f>
        <v>0.021270391605624998</v>
      </c>
      <c r="J1599" s="75">
        <f>'THAM_SO_MOI'!$C$40*('THAM_SO_MOI'!$C$23*(E1599/'THAM_SO_MOI'!$C$22)+'THAM_SO_MOI'!$C$24*(E1599/'THAM_SO_MOI'!$C$22)^2-'THAM_SO_MOI'!$C$25*(E1599/'THAM_SO_MOI'!$C$22)^3)</f>
        <v>109.97650734392806</v>
      </c>
      <c r="K1599" s="75">
        <f>'THAM_SO_MOI'!$C$31*J1599/E1599</f>
        <v>425.74902852322384</v>
      </c>
      <c r="L1599" s="75">
        <f>K1599*'THAM_SO_MOI'!$C$53*'THAM_SO_MOI'!$C$17/'THAM_SO_MOI'!$C$26</f>
        <v>3733.820646091235</v>
      </c>
      <c r="M1599" s="75">
        <f>'THAM_SO_MOI'!$C$15*'THAM_SO_MOI'!$C$16*F1599^2</f>
        <v>1834.0895446453126</v>
      </c>
      <c r="N1599" s="75">
        <f>'THAM_SO_MOI'!$C$12*I1599</f>
        <v>1602.5283198810719</v>
      </c>
      <c r="O1599" s="75">
        <f>M1599+N1599</f>
        <v>3436.6178645263844</v>
      </c>
      <c r="P1599" s="75">
        <f>(MIN(L1599,'THAM_SO_MOI'!$C$41)-O1599)/('THAM_SO_MOI'!$C$11*H1599)</f>
        <v>0.035180253499627216</v>
      </c>
      <c r="Q1599" s="75">
        <f>IF(P1599&gt;0,1/P1599,NA())</f>
        <v>28.42503678976038</v>
      </c>
      <c r="R1599" s="75">
        <f>F1599-F1598</f>
        <v>0.0035868055555567935</v>
      </c>
      <c r="S1599" s="75">
        <f>0.5*(Q1598+Q1599)*R1599</f>
        <v>0.10182658689169445</v>
      </c>
      <c r="T1599" s="75">
        <f>0.5*(F1598*Q1598+F1599*Q1599)*R1599</f>
        <v>2.549631720064087</v>
      </c>
      <c r="U1599" s="76">
        <f>U1598+S1599</f>
        <v>117.86447630268052</v>
      </c>
      <c r="V1599" s="76">
        <f>V1598+T1599</f>
        <v>2208.0627206489785</v>
      </c>
    </row>
    <row r="1600" spans="1:22" ht="19" customHeight="1">
      <c r="A1600" s="68" t="s">
        <v>362</v>
      </c>
      <c r="B1600" s="74">
        <v>5</v>
      </c>
      <c r="C1600" s="68" t="s">
        <v>363</v>
      </c>
      <c r="D1600" s="68" t="s">
        <v>365</v>
      </c>
      <c r="E1600" s="75">
        <f>60*F1600*'THAM_SO_MOI'!$C$53/(2*PI()*'THAM_SO_MOI'!$C$26)</f>
        <v>2467.526236842105</v>
      </c>
      <c r="F1600" s="75">
        <f>'THAM_SO_MOI'!$C$14+('THAM_SO_MOI'!$C$37-'THAM_SO_MOI'!$C$14)*793/'THAM_SO_MOI'!$C$42</f>
        <v>25.044336805555552</v>
      </c>
      <c r="G1600" s="75">
        <f>3.6*F1600</f>
        <v>90.1596125</v>
      </c>
      <c r="H1600" s="75">
        <f>'THAM_SO_MOI'!$D$53</f>
        <v>1.1</v>
      </c>
      <c r="I1600" s="75">
        <f>IF(F1600&gt;='THAM_SO_MOI'!$C$14,'THAM_SO_MOI'!$C$13*(1+F1600^2/1500),'THAM_SO_MOI'!$C$13)</f>
        <v>0.021272188060301043</v>
      </c>
      <c r="J1600" s="75">
        <f>'THAM_SO_MOI'!$C$40*('THAM_SO_MOI'!$C$23*(E1600/'THAM_SO_MOI'!$C$22)+'THAM_SO_MOI'!$C$24*(E1600/'THAM_SO_MOI'!$C$22)^2-'THAM_SO_MOI'!$C$25*(E1600/'THAM_SO_MOI'!$C$22)^3)</f>
        <v>109.98959696701951</v>
      </c>
      <c r="K1600" s="75">
        <f>'THAM_SO_MOI'!$C$31*J1600/E1600</f>
        <v>425.73871974204013</v>
      </c>
      <c r="L1600" s="75">
        <f>K1600*'THAM_SO_MOI'!$C$53*'THAM_SO_MOI'!$C$17/'THAM_SO_MOI'!$C$26</f>
        <v>3733.7302380399155</v>
      </c>
      <c r="M1600" s="75">
        <f>'THAM_SO_MOI'!$C$15*'THAM_SO_MOI'!$C$16*F1600^2</f>
        <v>1834.6150076380557</v>
      </c>
      <c r="N1600" s="75">
        <f>'THAM_SO_MOI'!$C$12*I1600</f>
        <v>1602.6636662135288</v>
      </c>
      <c r="O1600" s="75">
        <f>M1600+N1600</f>
        <v>3437.2786738515842</v>
      </c>
      <c r="P1600" s="75">
        <f>(MIN(L1600,'THAM_SO_MOI'!$C$41)-O1600)/('THAM_SO_MOI'!$C$11*H1600)</f>
        <v>0.035091330988202066</v>
      </c>
      <c r="Q1600" s="75">
        <f>IF(P1600&gt;0,1/P1600,NA())</f>
        <v>28.497066706766024</v>
      </c>
      <c r="R1600" s="75">
        <f>F1600-F1599</f>
        <v>0.0035868055555532408</v>
      </c>
      <c r="S1600" s="75">
        <f>0.5*(Q1599+Q1600)*R1600</f>
        <v>0.10208425852755873</v>
      </c>
      <c r="T1600" s="75">
        <f>0.5*(F1599*Q1599+F1600*Q1600)*R1600</f>
        <v>2.5564497065861325</v>
      </c>
      <c r="U1600" s="76">
        <f>U1599+S1600</f>
        <v>117.96656056120807</v>
      </c>
      <c r="V1600" s="76">
        <f>V1599+T1600</f>
        <v>2210.6191703555646</v>
      </c>
    </row>
    <row r="1601" spans="1:22" ht="19" customHeight="1">
      <c r="A1601" s="68" t="s">
        <v>362</v>
      </c>
      <c r="B1601" s="74">
        <v>5</v>
      </c>
      <c r="C1601" s="68" t="s">
        <v>363</v>
      </c>
      <c r="D1601" s="68" t="s">
        <v>365</v>
      </c>
      <c r="E1601" s="75">
        <f>60*F1601*'THAM_SO_MOI'!$C$53/(2*PI()*'THAM_SO_MOI'!$C$26)</f>
        <v>2467.879631578947</v>
      </c>
      <c r="F1601" s="75">
        <f>'THAM_SO_MOI'!$C$14+('THAM_SO_MOI'!$C$37-'THAM_SO_MOI'!$C$14)*794/'THAM_SO_MOI'!$C$42</f>
        <v>25.04792361111111</v>
      </c>
      <c r="G1601" s="75">
        <f>3.6*F1601</f>
        <v>90.172525</v>
      </c>
      <c r="H1601" s="75">
        <f>'THAM_SO_MOI'!$D$53</f>
        <v>1.1</v>
      </c>
      <c r="I1601" s="75">
        <f>IF(F1601&gt;='THAM_SO_MOI'!$C$14,'THAM_SO_MOI'!$C$13*(1+F1601^2/1500),'THAM_SO_MOI'!$C$13)</f>
        <v>0.021273984772280572</v>
      </c>
      <c r="J1601" s="75">
        <f>'THAM_SO_MOI'!$C$40*('THAM_SO_MOI'!$C$23*(E1601/'THAM_SO_MOI'!$C$22)+'THAM_SO_MOI'!$C$24*(E1601/'THAM_SO_MOI'!$C$22)^2-'THAM_SO_MOI'!$C$25*(E1601/'THAM_SO_MOI'!$C$22)^3)</f>
        <v>110.0026826966394</v>
      </c>
      <c r="K1601" s="75">
        <f>'THAM_SO_MOI'!$C$31*J1601/E1601</f>
        <v>425.7283988448718</v>
      </c>
      <c r="L1601" s="75">
        <f>K1601*'THAM_SO_MOI'!$C$53*'THAM_SO_MOI'!$C$17/'THAM_SO_MOI'!$C$26</f>
        <v>3733.639723731364</v>
      </c>
      <c r="M1601" s="75">
        <f>'THAM_SO_MOI'!$C$15*'THAM_SO_MOI'!$C$16*F1601^2</f>
        <v>1835.140545892068</v>
      </c>
      <c r="N1601" s="75">
        <f>'THAM_SO_MOI'!$C$12*I1601</f>
        <v>1602.7990319314363</v>
      </c>
      <c r="O1601" s="75">
        <f>M1601+N1601</f>
        <v>3437.9395778235044</v>
      </c>
      <c r="P1601" s="75">
        <f>(MIN(L1601,'THAM_SO_MOI'!$C$41)-O1601)/('THAM_SO_MOI'!$C$11*H1601)</f>
        <v>0.03500238469553263</v>
      </c>
      <c r="Q1601" s="75">
        <f>IF(P1601&gt;0,1/P1601,NA())</f>
        <v>28.569482013824917</v>
      </c>
      <c r="R1601" s="75">
        <f>F1601-F1600</f>
        <v>0.0035868055555567935</v>
      </c>
      <c r="S1601" s="75">
        <f>0.5*(Q1600+Q1601)*R1601</f>
        <v>0.102343306993734</v>
      </c>
      <c r="T1601" s="75">
        <f>0.5*(F1600*Q1600+F1601*Q1601)*R1601</f>
        <v>2.5633040258253765</v>
      </c>
      <c r="U1601" s="76">
        <f>U1600+S1601</f>
        <v>118.0689038682018</v>
      </c>
      <c r="V1601" s="76">
        <f>V1600+T1601</f>
        <v>2213.18247438139</v>
      </c>
    </row>
    <row r="1602" spans="1:22" ht="19" customHeight="1">
      <c r="A1602" s="68" t="s">
        <v>362</v>
      </c>
      <c r="B1602" s="74">
        <v>5</v>
      </c>
      <c r="C1602" s="68" t="s">
        <v>363</v>
      </c>
      <c r="D1602" s="68" t="s">
        <v>365</v>
      </c>
      <c r="E1602" s="75">
        <f>60*F1602*'THAM_SO_MOI'!$C$53/(2*PI()*'THAM_SO_MOI'!$C$26)</f>
        <v>2468.233026315789</v>
      </c>
      <c r="F1602" s="75">
        <f>'THAM_SO_MOI'!$C$14+('THAM_SO_MOI'!$C$37-'THAM_SO_MOI'!$C$14)*795/'THAM_SO_MOI'!$C$42</f>
        <v>25.051510416666666</v>
      </c>
      <c r="G1602" s="75">
        <f>3.6*F1602</f>
        <v>90.1854375</v>
      </c>
      <c r="H1602" s="75">
        <f>'THAM_SO_MOI'!$D$53</f>
        <v>1.1</v>
      </c>
      <c r="I1602" s="75">
        <f>IF(F1602&gt;='THAM_SO_MOI'!$C$14,'THAM_SO_MOI'!$C$13*(1+F1602^2/1500),'THAM_SO_MOI'!$C$13)</f>
        <v>0.021275781741563582</v>
      </c>
      <c r="J1602" s="75">
        <f>'THAM_SO_MOI'!$C$40*('THAM_SO_MOI'!$C$23*(E1602/'THAM_SO_MOI'!$C$22)+'THAM_SO_MOI'!$C$24*(E1602/'THAM_SO_MOI'!$C$22)^2-'THAM_SO_MOI'!$C$25*(E1602/'THAM_SO_MOI'!$C$22)^3)</f>
        <v>110.01576453144298</v>
      </c>
      <c r="K1602" s="75">
        <f>'THAM_SO_MOI'!$C$31*J1602/E1602</f>
        <v>425.71806583171934</v>
      </c>
      <c r="L1602" s="75">
        <f>K1602*'THAM_SO_MOI'!$C$53*'THAM_SO_MOI'!$C$17/'THAM_SO_MOI'!$C$26</f>
        <v>3733.5491031655847</v>
      </c>
      <c r="M1602" s="75">
        <f>'THAM_SO_MOI'!$C$15*'THAM_SO_MOI'!$C$16*F1602^2</f>
        <v>1835.6661594073487</v>
      </c>
      <c r="N1602" s="75">
        <f>'THAM_SO_MOI'!$C$12*I1602</f>
        <v>1602.9344170347936</v>
      </c>
      <c r="O1602" s="75">
        <f>M1602+N1602</f>
        <v>3438.6005764421425</v>
      </c>
      <c r="P1602" s="75">
        <f>(MIN(L1602,'THAM_SO_MOI'!$C$41)-O1602)/('THAM_SO_MOI'!$C$11*H1602)</f>
        <v>0.03491341462161961</v>
      </c>
      <c r="Q1602" s="75">
        <f>IF(P1602&gt;0,1/P1602,NA())</f>
        <v>28.642285804401528</v>
      </c>
      <c r="R1602" s="75">
        <f>F1602-F1601</f>
        <v>0.0035868055555567935</v>
      </c>
      <c r="S1602" s="75">
        <f>0.5*(Q1601+Q1602)*R1602</f>
        <v>0.10260374332682</v>
      </c>
      <c r="T1602" s="75">
        <f>0.5*(F1601*Q1601+F1602*Q1602)*R1602</f>
        <v>2.5701949690608914</v>
      </c>
      <c r="U1602" s="76">
        <f>U1601+S1602</f>
        <v>118.17150761152863</v>
      </c>
      <c r="V1602" s="76">
        <f>V1601+T1602</f>
        <v>2215.752669350451</v>
      </c>
    </row>
    <row r="1603" spans="1:22" ht="19" customHeight="1">
      <c r="A1603" s="68" t="s">
        <v>362</v>
      </c>
      <c r="B1603" s="74">
        <v>5</v>
      </c>
      <c r="C1603" s="68" t="s">
        <v>363</v>
      </c>
      <c r="D1603" s="68" t="s">
        <v>365</v>
      </c>
      <c r="E1603" s="75">
        <f>60*F1603*'THAM_SO_MOI'!$C$53/(2*PI()*'THAM_SO_MOI'!$C$26)</f>
        <v>2468.5864210526306</v>
      </c>
      <c r="F1603" s="75">
        <f>'THAM_SO_MOI'!$C$14+('THAM_SO_MOI'!$C$37-'THAM_SO_MOI'!$C$14)*796/'THAM_SO_MOI'!$C$42</f>
        <v>25.05509722222222</v>
      </c>
      <c r="G1603" s="75">
        <f>3.6*F1603</f>
        <v>90.19834999999999</v>
      </c>
      <c r="H1603" s="75">
        <f>'THAM_SO_MOI'!$D$53</f>
        <v>1.1</v>
      </c>
      <c r="I1603" s="75">
        <f>IF(F1603&gt;='THAM_SO_MOI'!$C$14,'THAM_SO_MOI'!$C$13*(1+F1603^2/1500),'THAM_SO_MOI'!$C$13)</f>
        <v>0.021277578968150076</v>
      </c>
      <c r="J1603" s="75">
        <f>'THAM_SO_MOI'!$C$40*('THAM_SO_MOI'!$C$23*(E1603/'THAM_SO_MOI'!$C$22)+'THAM_SO_MOI'!$C$24*(E1603/'THAM_SO_MOI'!$C$22)^2-'THAM_SO_MOI'!$C$25*(E1603/'THAM_SO_MOI'!$C$22)^3)</f>
        <v>110.02884247008525</v>
      </c>
      <c r="K1603" s="75">
        <f>'THAM_SO_MOI'!$C$31*J1603/E1603</f>
        <v>425.7077207025824</v>
      </c>
      <c r="L1603" s="75">
        <f>K1603*'THAM_SO_MOI'!$C$53*'THAM_SO_MOI'!$C$17/'THAM_SO_MOI'!$C$26</f>
        <v>3733.458376342573</v>
      </c>
      <c r="M1603" s="75">
        <f>'THAM_SO_MOI'!$C$15*'THAM_SO_MOI'!$C$16*F1603^2</f>
        <v>1836.1918481838973</v>
      </c>
      <c r="N1603" s="75">
        <f>'THAM_SO_MOI'!$C$12*I1603</f>
        <v>1603.0698215236014</v>
      </c>
      <c r="O1603" s="75">
        <f>M1603+N1603</f>
        <v>3439.2616697074986</v>
      </c>
      <c r="P1603" s="75">
        <f>(MIN(L1603,'THAM_SO_MOI'!$C$41)-O1603)/('THAM_SO_MOI'!$C$11*H1603)</f>
        <v>0.03482442076646241</v>
      </c>
      <c r="Q1603" s="75">
        <f>IF(P1603&gt;0,1/P1603,NA())</f>
        <v>28.71548120516187</v>
      </c>
      <c r="R1603" s="75">
        <f>F1603-F1602</f>
        <v>0.0035868055555532408</v>
      </c>
      <c r="S1603" s="75">
        <f>0.5*(Q1602+Q1603)*R1603</f>
        <v>0.1028655786820152</v>
      </c>
      <c r="T1603" s="75">
        <f>0.5*(F1602*Q1602+F1603*Q1603)*R1603</f>
        <v>2.577122830701388</v>
      </c>
      <c r="U1603" s="76">
        <f>U1602+S1603</f>
        <v>118.27437319021064</v>
      </c>
      <c r="V1603" s="76">
        <f>V1602+T1603</f>
        <v>2218.3297921811522</v>
      </c>
    </row>
    <row r="1604" spans="1:22" ht="19" customHeight="1">
      <c r="A1604" s="68" t="s">
        <v>362</v>
      </c>
      <c r="B1604" s="74">
        <v>5</v>
      </c>
      <c r="C1604" s="68" t="s">
        <v>363</v>
      </c>
      <c r="D1604" s="68" t="s">
        <v>365</v>
      </c>
      <c r="E1604" s="75">
        <f>60*F1604*'THAM_SO_MOI'!$C$53/(2*PI()*'THAM_SO_MOI'!$C$26)</f>
        <v>2468.939815789473</v>
      </c>
      <c r="F1604" s="75">
        <f>'THAM_SO_MOI'!$C$14+('THAM_SO_MOI'!$C$37-'THAM_SO_MOI'!$C$14)*797/'THAM_SO_MOI'!$C$42</f>
        <v>25.058684027777776</v>
      </c>
      <c r="G1604" s="75">
        <f>3.6*F1604</f>
        <v>90.21126249999999</v>
      </c>
      <c r="H1604" s="75">
        <f>'THAM_SO_MOI'!$D$53</f>
        <v>1.1</v>
      </c>
      <c r="I1604" s="75">
        <f>IF(F1604&gt;='THAM_SO_MOI'!$C$14,'THAM_SO_MOI'!$C$13*(1+F1604^2/1500),'THAM_SO_MOI'!$C$13)</f>
        <v>0.021279376452040047</v>
      </c>
      <c r="J1604" s="75">
        <f>'THAM_SO_MOI'!$C$40*('THAM_SO_MOI'!$C$23*(E1604/'THAM_SO_MOI'!$C$22)+'THAM_SO_MOI'!$C$24*(E1604/'THAM_SO_MOI'!$C$22)^2-'THAM_SO_MOI'!$C$25*(E1604/'THAM_SO_MOI'!$C$22)^3)</f>
        <v>110.04191651122136</v>
      </c>
      <c r="K1604" s="75">
        <f>'THAM_SO_MOI'!$C$31*J1604/E1604</f>
        <v>425.69736345746077</v>
      </c>
      <c r="L1604" s="75">
        <f>K1604*'THAM_SO_MOI'!$C$53*'THAM_SO_MOI'!$C$17/'THAM_SO_MOI'!$C$26</f>
        <v>3733.3675432623286</v>
      </c>
      <c r="M1604" s="75">
        <f>'THAM_SO_MOI'!$C$15*'THAM_SO_MOI'!$C$16*F1604^2</f>
        <v>1836.717612221715</v>
      </c>
      <c r="N1604" s="75">
        <f>'THAM_SO_MOI'!$C$12*I1604</f>
        <v>1603.2052453978588</v>
      </c>
      <c r="O1604" s="75">
        <f>M1604+N1604</f>
        <v>3439.9228576195737</v>
      </c>
      <c r="P1604" s="75">
        <f>(MIN(L1604,'THAM_SO_MOI'!$C$41)-O1604)/('THAM_SO_MOI'!$C$11*H1604)</f>
        <v>0.034735403130060946</v>
      </c>
      <c r="Q1604" s="75">
        <f>IF(P1604&gt;0,1/P1604,NA())</f>
        <v>28.78907137641864</v>
      </c>
      <c r="R1604" s="75">
        <f>F1604-F1603</f>
        <v>0.0035868055555567935</v>
      </c>
      <c r="S1604" s="75">
        <f>0.5*(Q1603+Q1604)*R1604</f>
        <v>0.10312882433471036</v>
      </c>
      <c r="T1604" s="75">
        <f>0.5*(F1603*Q1603+F1604*Q1604)*R1604</f>
        <v>2.584087908327267</v>
      </c>
      <c r="U1604" s="76">
        <f>U1603+S1604</f>
        <v>118.37750201454534</v>
      </c>
      <c r="V1604" s="76">
        <f>V1603+T1604</f>
        <v>2220.9138800894793</v>
      </c>
    </row>
    <row r="1605" spans="1:22" ht="19" customHeight="1">
      <c r="A1605" s="68" t="s">
        <v>362</v>
      </c>
      <c r="B1605" s="74">
        <v>5</v>
      </c>
      <c r="C1605" s="68" t="s">
        <v>363</v>
      </c>
      <c r="D1605" s="68" t="s">
        <v>365</v>
      </c>
      <c r="E1605" s="75">
        <f>60*F1605*'THAM_SO_MOI'!$C$53/(2*PI()*'THAM_SO_MOI'!$C$26)</f>
        <v>2469.293210526315</v>
      </c>
      <c r="F1605" s="75">
        <f>'THAM_SO_MOI'!$C$14+('THAM_SO_MOI'!$C$37-'THAM_SO_MOI'!$C$14)*798/'THAM_SO_MOI'!$C$42</f>
        <v>25.062270833333333</v>
      </c>
      <c r="G1605" s="75">
        <f>3.6*F1605</f>
        <v>90.224175</v>
      </c>
      <c r="H1605" s="75">
        <f>'THAM_SO_MOI'!$D$53</f>
        <v>1.1</v>
      </c>
      <c r="I1605" s="75">
        <f>IF(F1605&gt;='THAM_SO_MOI'!$C$14,'THAM_SO_MOI'!$C$13*(1+F1605^2/1500),'THAM_SO_MOI'!$C$13)</f>
        <v>0.021281174193233506</v>
      </c>
      <c r="J1605" s="75">
        <f>'THAM_SO_MOI'!$C$40*('THAM_SO_MOI'!$C$23*(E1605/'THAM_SO_MOI'!$C$22)+'THAM_SO_MOI'!$C$24*(E1605/'THAM_SO_MOI'!$C$22)^2-'THAM_SO_MOI'!$C$25*(E1605/'THAM_SO_MOI'!$C$22)^3)</f>
        <v>110.05498665350639</v>
      </c>
      <c r="K1605" s="75">
        <f>'THAM_SO_MOI'!$C$31*J1605/E1605</f>
        <v>425.68699409635474</v>
      </c>
      <c r="L1605" s="75">
        <f>K1605*'THAM_SO_MOI'!$C$53*'THAM_SO_MOI'!$C$17/'THAM_SO_MOI'!$C$26</f>
        <v>3733.276603924854</v>
      </c>
      <c r="M1605" s="75">
        <f>'THAM_SO_MOI'!$C$15*'THAM_SO_MOI'!$C$16*F1605^2</f>
        <v>1837.2434515208008</v>
      </c>
      <c r="N1605" s="75">
        <f>'THAM_SO_MOI'!$C$12*I1605</f>
        <v>1603.340688657567</v>
      </c>
      <c r="O1605" s="75">
        <f>M1605+N1605</f>
        <v>3440.5841401783678</v>
      </c>
      <c r="P1605" s="75">
        <f>(MIN(L1605,'THAM_SO_MOI'!$C$41)-O1605)/('THAM_SO_MOI'!$C$11*H1605)</f>
        <v>0.034646361712415516</v>
      </c>
      <c r="Q1605" s="75">
        <f>IF(P1605&gt;0,1/P1605,NA())</f>
        <v>28.86305951258513</v>
      </c>
      <c r="R1605" s="75">
        <f>F1605-F1604</f>
        <v>0.0035868055555567935</v>
      </c>
      <c r="S1605" s="75">
        <f>0.5*(Q1604+Q1605)*R1605</f>
        <v>0.10339349168118307</v>
      </c>
      <c r="T1605" s="75">
        <f>0.5*(F1604*Q1604+F1605*Q1605)*R1605</f>
        <v>2.591090502710185</v>
      </c>
      <c r="U1605" s="76">
        <f>U1604+S1605</f>
        <v>118.48089550622653</v>
      </c>
      <c r="V1605" s="76">
        <f>V1604+T1605</f>
        <v>2223.5049705921897</v>
      </c>
    </row>
    <row r="1606" spans="1:22" ht="19" customHeight="1">
      <c r="A1606" s="68" t="s">
        <v>362</v>
      </c>
      <c r="B1606" s="74">
        <v>5</v>
      </c>
      <c r="C1606" s="68" t="s">
        <v>363</v>
      </c>
      <c r="D1606" s="68" t="s">
        <v>365</v>
      </c>
      <c r="E1606" s="75">
        <f>60*F1606*'THAM_SO_MOI'!$C$53/(2*PI()*'THAM_SO_MOI'!$C$26)</f>
        <v>2469.646605263157</v>
      </c>
      <c r="F1606" s="75">
        <f>'THAM_SO_MOI'!$C$14+('THAM_SO_MOI'!$C$37-'THAM_SO_MOI'!$C$14)*799/'THAM_SO_MOI'!$C$42</f>
        <v>25.065857638888886</v>
      </c>
      <c r="G1606" s="75">
        <f>3.6*F1606</f>
        <v>90.23708749999999</v>
      </c>
      <c r="H1606" s="75">
        <f>'THAM_SO_MOI'!$D$53</f>
        <v>1.1</v>
      </c>
      <c r="I1606" s="75">
        <f>IF(F1606&gt;='THAM_SO_MOI'!$C$14,'THAM_SO_MOI'!$C$13*(1+F1606^2/1500),'THAM_SO_MOI'!$C$13)</f>
        <v>0.02128297219173044</v>
      </c>
      <c r="J1606" s="75">
        <f>'THAM_SO_MOI'!$C$40*('THAM_SO_MOI'!$C$23*(E1606/'THAM_SO_MOI'!$C$22)+'THAM_SO_MOI'!$C$24*(E1606/'THAM_SO_MOI'!$C$22)^2-'THAM_SO_MOI'!$C$25*(E1606/'THAM_SO_MOI'!$C$22)^3)</f>
        <v>110.06805289559551</v>
      </c>
      <c r="K1606" s="75">
        <f>'THAM_SO_MOI'!$C$31*J1606/E1606</f>
        <v>425.67661261926435</v>
      </c>
      <c r="L1606" s="75">
        <f>K1606*'THAM_SO_MOI'!$C$53*'THAM_SO_MOI'!$C$17/'THAM_SO_MOI'!$C$26</f>
        <v>3733.185558330149</v>
      </c>
      <c r="M1606" s="75">
        <f>'THAM_SO_MOI'!$C$15*'THAM_SO_MOI'!$C$16*F1606^2</f>
        <v>1837.7693660811549</v>
      </c>
      <c r="N1606" s="75">
        <f>'THAM_SO_MOI'!$C$12*I1606</f>
        <v>1603.476151302725</v>
      </c>
      <c r="O1606" s="75">
        <f>M1606+N1606</f>
        <v>3441.24551738388</v>
      </c>
      <c r="P1606" s="75">
        <f>(MIN(L1606,'THAM_SO_MOI'!$C$41)-O1606)/('THAM_SO_MOI'!$C$11*H1606)</f>
        <v>0.03455729651352618</v>
      </c>
      <c r="Q1606" s="75">
        <f>IF(P1606&gt;0,1/P1606,NA())</f>
        <v>28.937448842636947</v>
      </c>
      <c r="R1606" s="75">
        <f>F1606-F1605</f>
        <v>0.0035868055555532408</v>
      </c>
      <c r="S1606" s="75">
        <f>0.5*(Q1605+Q1606)*R1606</f>
        <v>0.10365959224115603</v>
      </c>
      <c r="T1606" s="75">
        <f>0.5*(F1605*Q1605+F1606*Q1606)*R1606</f>
        <v>2.59813091787934</v>
      </c>
      <c r="U1606" s="76">
        <f>U1605+S1606</f>
        <v>118.58455509846769</v>
      </c>
      <c r="V1606" s="76">
        <f>V1605+T1606</f>
        <v>2226.103101510069</v>
      </c>
    </row>
    <row r="1607" spans="1:22" ht="19" customHeight="1">
      <c r="A1607" s="68" t="s">
        <v>362</v>
      </c>
      <c r="B1607" s="74">
        <v>5</v>
      </c>
      <c r="C1607" s="68" t="s">
        <v>363</v>
      </c>
      <c r="D1607" s="68" t="s">
        <v>365</v>
      </c>
      <c r="E1607" s="75">
        <f>60*F1607*'THAM_SO_MOI'!$C$53/(2*PI()*'THAM_SO_MOI'!$C$26)</f>
        <v>2469.9999999999995</v>
      </c>
      <c r="F1607" s="75">
        <f>'THAM_SO_MOI'!$C$14+('THAM_SO_MOI'!$C$37-'THAM_SO_MOI'!$C$14)*800/'THAM_SO_MOI'!$C$42</f>
        <v>25.069444444444443</v>
      </c>
      <c r="G1607" s="75">
        <f>3.6*F1607</f>
        <v>90.25</v>
      </c>
      <c r="H1607" s="75">
        <f>'THAM_SO_MOI'!$D$53</f>
        <v>1.1</v>
      </c>
      <c r="I1607" s="75">
        <f>IF(F1607&gt;='THAM_SO_MOI'!$C$14,'THAM_SO_MOI'!$C$13*(1+F1607^2/1500),'THAM_SO_MOI'!$C$13)</f>
        <v>0.021284770447530865</v>
      </c>
      <c r="J1607" s="75">
        <f>'THAM_SO_MOI'!$C$40*('THAM_SO_MOI'!$C$23*(E1607/'THAM_SO_MOI'!$C$22)+'THAM_SO_MOI'!$C$24*(E1607/'THAM_SO_MOI'!$C$22)^2-'THAM_SO_MOI'!$C$25*(E1607/'THAM_SO_MOI'!$C$22)^3)</f>
        <v>110.0811152361438</v>
      </c>
      <c r="K1607" s="75">
        <f>'THAM_SO_MOI'!$C$31*J1607/E1607</f>
        <v>425.6662190261894</v>
      </c>
      <c r="L1607" s="75">
        <f>K1607*'THAM_SO_MOI'!$C$53*'THAM_SO_MOI'!$C$17/'THAM_SO_MOI'!$C$26</f>
        <v>3733.094406478212</v>
      </c>
      <c r="M1607" s="75">
        <f>'THAM_SO_MOI'!$C$15*'THAM_SO_MOI'!$C$16*F1607^2</f>
        <v>1838.2953559027776</v>
      </c>
      <c r="N1607" s="75">
        <f>'THAM_SO_MOI'!$C$12*I1607</f>
        <v>1603.6116333333334</v>
      </c>
      <c r="O1607" s="75">
        <f>M1607+N1607</f>
        <v>3441.9069892361113</v>
      </c>
      <c r="P1607" s="75">
        <f>(MIN(L1607,'THAM_SO_MOI'!$C$41)-O1607)/('THAM_SO_MOI'!$C$11*H1607)</f>
        <v>0.034468207533392636</v>
      </c>
      <c r="Q1607" s="75">
        <f>IF(P1607&gt;0,1/P1607,NA())</f>
        <v>29.012242630580797</v>
      </c>
      <c r="R1607" s="75">
        <f>F1607-F1606</f>
        <v>0.0035868055555567935</v>
      </c>
      <c r="S1607" s="75">
        <f>0.5*(Q1606+Q1607)*R1607</f>
        <v>0.10392713765946977</v>
      </c>
      <c r="T1607" s="75">
        <f>0.5*(F1606*Q1606+F1607*Q1607)*R1607</f>
        <v>2.605209461165618</v>
      </c>
      <c r="U1607" s="76">
        <f>U1606+S1607</f>
        <v>118.68848223612716</v>
      </c>
      <c r="V1607" s="76">
        <f>V1606+T1607</f>
        <v>2228.7083109712344</v>
      </c>
    </row>
  </sheetData>
  <autoFilter ref="A5:V1607"/>
  <mergeCells count="2">
    <mergeCell ref="A1:V1"/>
    <mergeCell ref="A2:V3"/>
  </mergeCells>
  <pageMargins left="0.3" right="0.3" top="0.45" bottom="0.45" header="0.3" footer="0.3"/>
  <pageSetup fitToHeight="0" orientation="landscape"/>
  <headerFooter>
    <oddHeader>&amp;LNhóm 2 — Excel tham khảo&amp;RTICH_PHAN_SO_V</oddHeader>
    <oddFooter>&amp;LĐọc HD_THAM_KHAO trước khi thay đầu vào&amp;P / &amp;N</oddFooter>
  </headerFooter>
</worksheet>
</file>

<file path=xl/ref/worksheets/sheet4.xml><?xml version="1.0" encoding="utf-8"?>
<worksheet xmlns="http://schemas.openxmlformats.org/spreadsheetml/2006/main" xmlns:r="http://schemas.openxmlformats.org/officeDocument/2006/relationships">
  <sheetPr>
    <pageSetUpPr fitToPage="1"/>
  </sheetPr>
  <dimension ref="A1:AC4891"/>
  <sheetViews>
    <sheetView showGridLines="0" zoomScale="90" zoomScaleNormal="90" workbookViewId="0">
      <pane xSplit="6" ySplit="5" topLeftCell="G6" activePane="bottomRight" state="frozen"/>
      <selection pane="topRight" activeCell="G1" sqref="G1"/>
      <selection pane="bottomLeft" activeCell="A6" sqref="A6"/>
      <selection pane="bottomRight"/>
    </sheetView>
  </sheetViews>
  <sheetFormatPr defaultRowHeight="19" customHeight="1"/>
  <cols>
    <col min="1" max="1" width="16.7109375" customWidth="1"/>
    <col min="2" max="4" width="9.7109375" customWidth="1"/>
    <col min="5" max="22" width="15.7109375" customWidth="1"/>
    <col min="23" max="29" width="13.7109375" hidden="1" customWidth="1"/>
  </cols>
  <sheetData>
    <row r="1" spans="1:29" ht="31" customHeight="1">
      <c r="A1" s="66" t="s">
        <v>366</v>
      </c>
      <c r="B1" s="66"/>
      <c r="C1" s="66"/>
      <c r="D1" s="66"/>
      <c r="E1" s="66"/>
      <c r="F1" s="66"/>
      <c r="G1" s="66"/>
      <c r="H1" s="66"/>
      <c r="I1" s="66"/>
      <c r="J1" s="66"/>
      <c r="K1" s="66"/>
      <c r="L1" s="66"/>
      <c r="M1" s="66"/>
      <c r="N1" s="66"/>
      <c r="O1" s="66"/>
      <c r="P1" s="66"/>
      <c r="Q1" s="66"/>
      <c r="R1" s="66"/>
      <c r="S1" s="66"/>
      <c r="T1" s="66"/>
      <c r="U1" s="66"/>
      <c r="V1" s="66"/>
    </row>
    <row r="2" spans="1:29" ht="26" customHeight="1">
      <c r="A2" s="70" t="s">
        <v>367</v>
      </c>
      <c r="B2" s="70"/>
      <c r="C2" s="70"/>
      <c r="D2" s="70"/>
      <c r="E2" s="70"/>
      <c r="F2" s="70"/>
      <c r="G2" s="70"/>
      <c r="H2" s="70"/>
      <c r="I2" s="70"/>
      <c r="J2" s="70"/>
      <c r="K2" s="70"/>
      <c r="L2" s="70"/>
      <c r="M2" s="70"/>
      <c r="N2" s="70"/>
      <c r="O2" s="70"/>
      <c r="P2" s="70"/>
      <c r="Q2" s="70"/>
      <c r="R2" s="70"/>
      <c r="S2" s="70"/>
      <c r="T2" s="70"/>
      <c r="U2" s="70"/>
      <c r="V2" s="70"/>
    </row>
    <row r="3" spans="1:29" ht="26" customHeight="1">
      <c r="A3" s="70"/>
      <c r="B3" s="70"/>
      <c r="C3" s="70"/>
      <c r="D3" s="70"/>
      <c r="E3" s="70"/>
      <c r="F3" s="70"/>
      <c r="G3" s="70"/>
      <c r="H3" s="70"/>
      <c r="I3" s="70"/>
      <c r="J3" s="70"/>
      <c r="K3" s="70"/>
      <c r="L3" s="70"/>
      <c r="M3" s="70"/>
      <c r="N3" s="70"/>
      <c r="O3" s="70"/>
      <c r="P3" s="70"/>
      <c r="Q3" s="70"/>
      <c r="R3" s="70"/>
      <c r="S3" s="70"/>
      <c r="T3" s="70"/>
      <c r="U3" s="70"/>
      <c r="V3" s="70"/>
    </row>
    <row r="5" spans="1:29" ht="34" customHeight="1">
      <c r="A5" s="71" t="s">
        <v>334</v>
      </c>
      <c r="B5" s="71" t="s">
        <v>335</v>
      </c>
      <c r="C5" s="71" t="s">
        <v>336</v>
      </c>
      <c r="D5" s="71" t="s">
        <v>337</v>
      </c>
      <c r="E5" s="71" t="s">
        <v>338</v>
      </c>
      <c r="F5" s="71" t="s">
        <v>339</v>
      </c>
      <c r="G5" s="71" t="s">
        <v>340</v>
      </c>
      <c r="H5" s="71" t="s">
        <v>327</v>
      </c>
      <c r="I5" s="71" t="s">
        <v>341</v>
      </c>
      <c r="J5" s="71" t="s">
        <v>342</v>
      </c>
      <c r="K5" s="71" t="s">
        <v>343</v>
      </c>
      <c r="L5" s="71" t="s">
        <v>344</v>
      </c>
      <c r="M5" s="71" t="s">
        <v>345</v>
      </c>
      <c r="N5" s="71" t="s">
        <v>346</v>
      </c>
      <c r="O5" s="71" t="s">
        <v>347</v>
      </c>
      <c r="P5" s="71" t="s">
        <v>348</v>
      </c>
      <c r="Q5" s="71" t="s">
        <v>349</v>
      </c>
      <c r="R5" s="71" t="s">
        <v>350</v>
      </c>
      <c r="S5" s="71" t="s">
        <v>351</v>
      </c>
      <c r="T5" s="71" t="s">
        <v>352</v>
      </c>
      <c r="U5" s="71" t="s">
        <v>353</v>
      </c>
      <c r="V5" s="71" t="s">
        <v>354</v>
      </c>
      <c r="W5" s="71" t="s">
        <v>355</v>
      </c>
      <c r="X5" s="71" t="s">
        <v>356</v>
      </c>
      <c r="Y5" s="71" t="s">
        <v>357</v>
      </c>
      <c r="Z5" s="71" t="s">
        <v>358</v>
      </c>
      <c r="AA5" s="71" t="s">
        <v>359</v>
      </c>
      <c r="AB5" s="71" t="s">
        <v>360</v>
      </c>
      <c r="AC5" s="71" t="s">
        <v>361</v>
      </c>
    </row>
    <row r="6" spans="1:29" ht="19" customHeight="1">
      <c r="A6" s="68" t="s">
        <v>368</v>
      </c>
      <c r="B6" s="74">
        <v>1</v>
      </c>
      <c r="C6" s="68" t="s">
        <v>363</v>
      </c>
      <c r="D6" s="68" t="s">
        <v>364</v>
      </c>
      <c r="E6" s="75">
        <f>60*F6*'THAM_SO_MOI'!$C$49/(2*PI()*'THAM_SO_MOI'!$C$26)</f>
        <v>799.9999999999999</v>
      </c>
      <c r="F6" s="75">
        <f>'THAM_SO_MOI'!$E$49+('THAM_SO_MOI'!$F$49-'THAM_SO_MOI'!$E$49)*0/'THAM_SO_MOI'!$C$42</f>
        <v>1.2491781722550954</v>
      </c>
      <c r="G6" s="75">
        <f>3.6*F6</f>
        <v>4.497041420118344</v>
      </c>
      <c r="H6" s="75">
        <f>'THAM_SO_MOI'!$D$49</f>
        <v>3.1625000000000005</v>
      </c>
      <c r="I6" s="75">
        <f>IF(F6&gt;'THAM_SO_MOI'!$C$14,'THAM_SO_MOI'!$C$13*(1+F6^2/1500),'THAM_SO_MOI'!$C$13)</f>
        <v>0.015</v>
      </c>
      <c r="J6" s="75">
        <f>'THAM_SO_MOI'!$C$40*('THAM_SO_MOI'!$C$23*(E6/'THAM_SO_MOI'!$C$22)+'THAM_SO_MOI'!$C$24*(E6/'THAM_SO_MOI'!$C$22)^2-'THAM_SO_MOI'!$C$25*(E6/'THAM_SO_MOI'!$C$22)^3)</f>
        <v>28.438889056517024</v>
      </c>
      <c r="K6" s="75">
        <f>'THAM_SO_MOI'!$C$31*J6/E6</f>
        <v>339.5282838648165</v>
      </c>
      <c r="L6" s="75">
        <f>K6*'THAM_SO_MOI'!$C$49*'THAM_SO_MOI'!$C$17/'THAM_SO_MOI'!$C$26</f>
        <v>19354.81845737661</v>
      </c>
      <c r="M6" s="75">
        <f>'THAM_SO_MOI'!$C$15*'THAM_SO_MOI'!$C$16*F6^2</f>
        <v>4.564304860162849</v>
      </c>
      <c r="N6" s="75">
        <f>'THAM_SO_MOI'!$C$12*I6</f>
        <v>1130.112</v>
      </c>
      <c r="O6" s="75">
        <f>M6+N6</f>
        <v>1134.6763048601629</v>
      </c>
      <c r="P6" s="75">
        <f>(MIN(L6,'THAM_SO_MOI'!$C$41)-O6)/('THAM_SO_MOI'!$C$11*H6)</f>
        <v>0.7501705431701433</v>
      </c>
      <c r="Q6" s="75">
        <f>IF(P6&gt;0,1/P6,NA())</f>
        <v>1.3330302144017854</v>
      </c>
      <c r="R6" s="75">
        <f>0</f>
        <v>0.0</v>
      </c>
      <c r="S6" s="75">
        <f>0</f>
        <v>0.0</v>
      </c>
      <c r="T6" s="75">
        <f>0</f>
        <v>0.0</v>
      </c>
      <c r="U6" s="76">
        <f>S6</f>
        <v>0.0</v>
      </c>
      <c r="V6" s="76">
        <f>T6</f>
        <v>0.0</v>
      </c>
    </row>
    <row r="7" spans="1:29" ht="19" customHeight="1">
      <c r="A7" s="68" t="s">
        <v>368</v>
      </c>
      <c r="B7" s="74">
        <v>1</v>
      </c>
      <c r="C7" s="68" t="s">
        <v>363</v>
      </c>
      <c r="D7" s="68" t="s">
        <v>364</v>
      </c>
      <c r="E7" s="75">
        <f>60*F7*'THAM_SO_MOI'!$C$49/(2*PI()*'THAM_SO_MOI'!$C$26)</f>
        <v>802.2499999999999</v>
      </c>
      <c r="F7" s="75">
        <f>'THAM_SO_MOI'!$E$49+('THAM_SO_MOI'!$F$49-'THAM_SO_MOI'!$E$49)*1/'THAM_SO_MOI'!$C$42</f>
        <v>1.2526914858645628</v>
      </c>
      <c r="G7" s="75">
        <f>3.6*F7</f>
        <v>4.509689349112426</v>
      </c>
      <c r="H7" s="75">
        <f>'THAM_SO_MOI'!$D$49</f>
        <v>3.1625000000000005</v>
      </c>
      <c r="I7" s="75">
        <f>IF(F7&gt;'THAM_SO_MOI'!$C$14,'THAM_SO_MOI'!$C$13*(1+F7^2/1500),'THAM_SO_MOI'!$C$13)</f>
        <v>0.015</v>
      </c>
      <c r="J7" s="75">
        <f>'THAM_SO_MOI'!$C$40*('THAM_SO_MOI'!$C$23*(E7/'THAM_SO_MOI'!$C$22)+'THAM_SO_MOI'!$C$24*(E7/'THAM_SO_MOI'!$C$22)^2-'THAM_SO_MOI'!$C$25*(E7/'THAM_SO_MOI'!$C$22)^3)</f>
        <v>28.54391044038344</v>
      </c>
      <c r="K7" s="75">
        <f>'THAM_SO_MOI'!$C$31*J7/E7</f>
        <v>339.82635919074835</v>
      </c>
      <c r="L7" s="75">
        <f>K7*'THAM_SO_MOI'!$C$49*'THAM_SO_MOI'!$C$17/'THAM_SO_MOI'!$C$26</f>
        <v>19371.810248912694</v>
      </c>
      <c r="M7" s="75">
        <f>'THAM_SO_MOI'!$C$15*'THAM_SO_MOI'!$C$16*F7^2</f>
        <v>4.590015179365881</v>
      </c>
      <c r="N7" s="75">
        <f>'THAM_SO_MOI'!$C$12*I7</f>
        <v>1130.112</v>
      </c>
      <c r="O7" s="75">
        <f>M7+N7</f>
        <v>1134.702015179366</v>
      </c>
      <c r="P7" s="75">
        <f>(MIN(L7,'THAM_SO_MOI'!$C$41)-O7)/('THAM_SO_MOI'!$C$11*H7)</f>
        <v>0.7508690807696528</v>
      </c>
      <c r="Q7" s="75">
        <f>IF(P7&gt;0,1/P7,NA())</f>
        <v>1.3317900891257688</v>
      </c>
      <c r="R7" s="75">
        <f>F7-F6</f>
        <v>0.0035133136094673834</v>
      </c>
      <c r="S7" s="75">
        <f>0.5*(Q6+Q7)*R7</f>
        <v>0.004681174719584179</v>
      </c>
      <c r="T7" s="75">
        <f>0.5*(F6*Q6+F7*Q7)*R7</f>
        <v>0.005855840670810166</v>
      </c>
      <c r="U7" s="76">
        <f>U6+S7</f>
        <v>0.004681174719584179</v>
      </c>
      <c r="V7" s="76">
        <f>V6+T7</f>
        <v>0.005855840670810166</v>
      </c>
    </row>
    <row r="8" spans="1:29" ht="19" customHeight="1">
      <c r="A8" s="68" t="s">
        <v>368</v>
      </c>
      <c r="B8" s="74">
        <v>1</v>
      </c>
      <c r="C8" s="68" t="s">
        <v>363</v>
      </c>
      <c r="D8" s="68" t="s">
        <v>364</v>
      </c>
      <c r="E8" s="75">
        <f>60*F8*'THAM_SO_MOI'!$C$49/(2*PI()*'THAM_SO_MOI'!$C$26)</f>
        <v>804.5</v>
      </c>
      <c r="F8" s="75">
        <f>'THAM_SO_MOI'!$E$49+('THAM_SO_MOI'!$F$49-'THAM_SO_MOI'!$E$49)*2/'THAM_SO_MOI'!$C$42</f>
        <v>1.2562047994740304</v>
      </c>
      <c r="G8" s="75">
        <f>3.6*F8</f>
        <v>4.52233727810651</v>
      </c>
      <c r="H8" s="75">
        <f>'THAM_SO_MOI'!$D$49</f>
        <v>3.1625000000000005</v>
      </c>
      <c r="I8" s="75">
        <f>IF(F8&gt;'THAM_SO_MOI'!$C$14,'THAM_SO_MOI'!$C$13*(1+F8^2/1500),'THAM_SO_MOI'!$C$13)</f>
        <v>0.015</v>
      </c>
      <c r="J8" s="75">
        <f>'THAM_SO_MOI'!$C$40*('THAM_SO_MOI'!$C$23*(E8/'THAM_SO_MOI'!$C$22)+'THAM_SO_MOI'!$C$24*(E8/'THAM_SO_MOI'!$C$22)^2-'THAM_SO_MOI'!$C$25*(E8/'THAM_SO_MOI'!$C$22)^3)</f>
        <v>28.64903089331618</v>
      </c>
      <c r="K8" s="75">
        <f>'THAM_SO_MOI'!$C$31*J8/E8</f>
        <v>340.1239433786216</v>
      </c>
      <c r="L8" s="75">
        <f>K8*'THAM_SO_MOI'!$C$49*'THAM_SO_MOI'!$C$17/'THAM_SO_MOI'!$C$26</f>
        <v>19388.77404311125</v>
      </c>
      <c r="M8" s="75">
        <f>'THAM_SO_MOI'!$C$15*'THAM_SO_MOI'!$C$16*F8^2</f>
        <v>4.615797707298149</v>
      </c>
      <c r="N8" s="75">
        <f>'THAM_SO_MOI'!$C$12*I8</f>
        <v>1130.112</v>
      </c>
      <c r="O8" s="75">
        <f>M8+N8</f>
        <v>1134.7277977072981</v>
      </c>
      <c r="P8" s="75">
        <f>(MIN(L8,'THAM_SO_MOI'!$C$41)-O8)/('THAM_SO_MOI'!$C$11*H8)</f>
        <v>0.7515664626730875</v>
      </c>
      <c r="Q8" s="75">
        <f>IF(P8&gt;0,1/P8,NA())</f>
        <v>1.330554315107824</v>
      </c>
      <c r="R8" s="75">
        <f>F8-F7</f>
        <v>0.0035133136094676054</v>
      </c>
      <c r="S8" s="75">
        <f>0.5*(Q7+Q8)*R8</f>
        <v>0.004676825414241903</v>
      </c>
      <c r="T8" s="75">
        <f>0.5*(F7*Q7+F8*Q8)*R8</f>
        <v>0.0058668311410795555</v>
      </c>
      <c r="U8" s="76">
        <f>U7+S8</f>
        <v>0.009358000133826082</v>
      </c>
      <c r="V8" s="76">
        <f>V7+T8</f>
        <v>0.011722671811889723</v>
      </c>
    </row>
    <row r="9" spans="1:29" ht="19" customHeight="1">
      <c r="A9" s="68" t="s">
        <v>368</v>
      </c>
      <c r="B9" s="74">
        <v>1</v>
      </c>
      <c r="C9" s="68" t="s">
        <v>363</v>
      </c>
      <c r="D9" s="68" t="s">
        <v>364</v>
      </c>
      <c r="E9" s="75">
        <f>60*F9*'THAM_SO_MOI'!$C$49/(2*PI()*'THAM_SO_MOI'!$C$26)</f>
        <v>806.75</v>
      </c>
      <c r="F9" s="75">
        <f>'THAM_SO_MOI'!$E$49+('THAM_SO_MOI'!$F$49-'THAM_SO_MOI'!$E$49)*3/'THAM_SO_MOI'!$C$42</f>
        <v>1.2597181130834978</v>
      </c>
      <c r="G9" s="75">
        <f>3.6*F9</f>
        <v>4.5349852071005925</v>
      </c>
      <c r="H9" s="75">
        <f>'THAM_SO_MOI'!$D$49</f>
        <v>3.1625000000000005</v>
      </c>
      <c r="I9" s="75">
        <f>IF(F9&gt;'THAM_SO_MOI'!$C$14,'THAM_SO_MOI'!$C$13*(1+F9^2/1500),'THAM_SO_MOI'!$C$13)</f>
        <v>0.015</v>
      </c>
      <c r="J9" s="75">
        <f>'THAM_SO_MOI'!$C$40*('THAM_SO_MOI'!$C$23*(E9/'THAM_SO_MOI'!$C$22)+'THAM_SO_MOI'!$C$24*(E9/'THAM_SO_MOI'!$C$22)^2-'THAM_SO_MOI'!$C$25*(E9/'THAM_SO_MOI'!$C$22)^3)</f>
        <v>28.75425006821568</v>
      </c>
      <c r="K9" s="75">
        <f>'THAM_SO_MOI'!$C$31*J9/E9</f>
        <v>340.42103642843597</v>
      </c>
      <c r="L9" s="75">
        <f>K9*'THAM_SO_MOI'!$C$49*'THAM_SO_MOI'!$C$17/'THAM_SO_MOI'!$C$26</f>
        <v>19405.70983997227</v>
      </c>
      <c r="M9" s="75">
        <f>'THAM_SO_MOI'!$C$15*'THAM_SO_MOI'!$C$16*F9^2</f>
        <v>4.6416524439596465</v>
      </c>
      <c r="N9" s="75">
        <f>'THAM_SO_MOI'!$C$12*I9</f>
        <v>1130.112</v>
      </c>
      <c r="O9" s="75">
        <f>M9+N9</f>
        <v>1134.7536524439597</v>
      </c>
      <c r="P9" s="75">
        <f>(MIN(L9,'THAM_SO_MOI'!$C$41)-O9)/('THAM_SO_MOI'!$C$11*H9)</f>
        <v>0.7522626888804474</v>
      </c>
      <c r="Q9" s="75">
        <f>IF(P9&gt;0,1/P9,NA())</f>
        <v>1.3293228745509722</v>
      </c>
      <c r="R9" s="75">
        <f>F9-F8</f>
        <v>0.0035133136094673834</v>
      </c>
      <c r="S9" s="75">
        <f>0.5*(Q8+Q9)*R9</f>
        <v>0.004672491364970052</v>
      </c>
      <c r="T9" s="75">
        <f>0.5*(F8*Q8+F9*Q9)*R9</f>
        <v>0.005877810241895296</v>
      </c>
      <c r="U9" s="76">
        <f>U8+S9</f>
        <v>0.014030491498796135</v>
      </c>
      <c r="V9" s="76">
        <f>V8+T9</f>
        <v>0.01760048205378502</v>
      </c>
    </row>
    <row r="10" spans="1:29" ht="19" customHeight="1">
      <c r="A10" s="68" t="s">
        <v>368</v>
      </c>
      <c r="B10" s="74">
        <v>1</v>
      </c>
      <c r="C10" s="68" t="s">
        <v>363</v>
      </c>
      <c r="D10" s="68" t="s">
        <v>364</v>
      </c>
      <c r="E10" s="75">
        <f>60*F10*'THAM_SO_MOI'!$C$49/(2*PI()*'THAM_SO_MOI'!$C$26)</f>
        <v>808.9999999999999</v>
      </c>
      <c r="F10" s="75">
        <f>'THAM_SO_MOI'!$E$49+('THAM_SO_MOI'!$F$49-'THAM_SO_MOI'!$E$49)*4/'THAM_SO_MOI'!$C$42</f>
        <v>1.2632314266929652</v>
      </c>
      <c r="G10" s="75">
        <f>3.6*F10</f>
        <v>4.5476331360946745</v>
      </c>
      <c r="H10" s="75">
        <f>'THAM_SO_MOI'!$D$49</f>
        <v>3.1625000000000005</v>
      </c>
      <c r="I10" s="75">
        <f>IF(F10&gt;'THAM_SO_MOI'!$C$14,'THAM_SO_MOI'!$C$13*(1+F10^2/1500),'THAM_SO_MOI'!$C$13)</f>
        <v>0.015</v>
      </c>
      <c r="J10" s="75">
        <f>'THAM_SO_MOI'!$C$40*('THAM_SO_MOI'!$C$23*(E10/'THAM_SO_MOI'!$C$22)+'THAM_SO_MOI'!$C$24*(E10/'THAM_SO_MOI'!$C$22)^2-'THAM_SO_MOI'!$C$25*(E10/'THAM_SO_MOI'!$C$22)^3)</f>
        <v>28.8595676179824</v>
      </c>
      <c r="K10" s="75">
        <f>'THAM_SO_MOI'!$C$31*J10/E10</f>
        <v>340.71763834019157</v>
      </c>
      <c r="L10" s="75">
        <f>K10*'THAM_SO_MOI'!$C$49*'THAM_SO_MOI'!$C$17/'THAM_SO_MOI'!$C$26</f>
        <v>19422.61763949576</v>
      </c>
      <c r="M10" s="75">
        <f>'THAM_SO_MOI'!$C$15*'THAM_SO_MOI'!$C$16*F10^2</f>
        <v>4.667579389350378</v>
      </c>
      <c r="N10" s="75">
        <f>'THAM_SO_MOI'!$C$12*I10</f>
        <v>1130.112</v>
      </c>
      <c r="O10" s="75">
        <f>M10+N10</f>
        <v>1134.7795793893504</v>
      </c>
      <c r="P10" s="75">
        <f>(MIN(L10,'THAM_SO_MOI'!$C$41)-O10)/('THAM_SO_MOI'!$C$11*H10)</f>
        <v>0.7529577593917327</v>
      </c>
      <c r="Q10" s="75">
        <f>IF(P10&gt;0,1/P10,NA())</f>
        <v>1.3280957497640202</v>
      </c>
      <c r="R10" s="75">
        <f>F10-F9</f>
        <v>0.0035133136094673834</v>
      </c>
      <c r="S10" s="75">
        <f>0.5*(Q9+Q10)*R10</f>
        <v>0.004668172509428977</v>
      </c>
      <c r="T10" s="75">
        <f>0.5*(F9*Q9+F10*Q10)*R10</f>
        <v>0.005888778055415894</v>
      </c>
      <c r="U10" s="76">
        <f>U9+S10</f>
        <v>0.018698664008225112</v>
      </c>
      <c r="V10" s="76">
        <f>V9+T10</f>
        <v>0.023489260109200914</v>
      </c>
    </row>
    <row r="11" spans="1:29" ht="19" customHeight="1">
      <c r="A11" s="68" t="s">
        <v>368</v>
      </c>
      <c r="B11" s="74">
        <v>1</v>
      </c>
      <c r="C11" s="68" t="s">
        <v>363</v>
      </c>
      <c r="D11" s="68" t="s">
        <v>364</v>
      </c>
      <c r="E11" s="75">
        <f>60*F11*'THAM_SO_MOI'!$C$49/(2*PI()*'THAM_SO_MOI'!$C$26)</f>
        <v>811.25</v>
      </c>
      <c r="F11" s="75">
        <f>'THAM_SO_MOI'!$E$49+('THAM_SO_MOI'!$F$49-'THAM_SO_MOI'!$E$49)*5/'THAM_SO_MOI'!$C$42</f>
        <v>1.2667447403024328</v>
      </c>
      <c r="G11" s="75">
        <f>3.6*F11</f>
        <v>4.560281065088758</v>
      </c>
      <c r="H11" s="75">
        <f>'THAM_SO_MOI'!$D$49</f>
        <v>3.1625000000000005</v>
      </c>
      <c r="I11" s="75">
        <f>IF(F11&gt;'THAM_SO_MOI'!$C$14,'THAM_SO_MOI'!$C$13*(1+F11^2/1500),'THAM_SO_MOI'!$C$13)</f>
        <v>0.015</v>
      </c>
      <c r="J11" s="75">
        <f>'THAM_SO_MOI'!$C$40*('THAM_SO_MOI'!$C$23*(E11/'THAM_SO_MOI'!$C$22)+'THAM_SO_MOI'!$C$24*(E11/'THAM_SO_MOI'!$C$22)^2-'THAM_SO_MOI'!$C$25*(E11/'THAM_SO_MOI'!$C$22)^3)</f>
        <v>28.9649831955168</v>
      </c>
      <c r="K11" s="75">
        <f>'THAM_SO_MOI'!$C$31*J11/E11</f>
        <v>341.0137491138883</v>
      </c>
      <c r="L11" s="75">
        <f>K11*'THAM_SO_MOI'!$C$49*'THAM_SO_MOI'!$C$17/'THAM_SO_MOI'!$C$26</f>
        <v>19439.497441681713</v>
      </c>
      <c r="M11" s="75">
        <f>'THAM_SO_MOI'!$C$15*'THAM_SO_MOI'!$C$16*F11^2</f>
        <v>4.693578543470343</v>
      </c>
      <c r="N11" s="75">
        <f>'THAM_SO_MOI'!$C$12*I11</f>
        <v>1130.112</v>
      </c>
      <c r="O11" s="75">
        <f>M11+N11</f>
        <v>1134.8055785434703</v>
      </c>
      <c r="P11" s="75">
        <f>(MIN(L11,'THAM_SO_MOI'!$C$41)-O11)/('THAM_SO_MOI'!$C$11*H11)</f>
        <v>0.7536516742069433</v>
      </c>
      <c r="Q11" s="75">
        <f>IF(P11&gt;0,1/P11,NA())</f>
        <v>1.326872923160803</v>
      </c>
      <c r="R11" s="75">
        <f>F11-F10</f>
        <v>0.0035133136094676054</v>
      </c>
      <c r="S11" s="75">
        <f>0.5*(Q10+Q11)*R11</f>
        <v>0.0046638687856484645</v>
      </c>
      <c r="T11" s="75">
        <f>0.5*(F10*Q10+F11*Q11)*R11</f>
        <v>0.005899734663391119</v>
      </c>
      <c r="U11" s="76">
        <f>U10+S11</f>
        <v>0.023362532793873576</v>
      </c>
      <c r="V11" s="76">
        <f>V10+T11</f>
        <v>0.029388994772592034</v>
      </c>
    </row>
    <row r="12" spans="1:29" ht="19" customHeight="1">
      <c r="A12" s="68" t="s">
        <v>368</v>
      </c>
      <c r="B12" s="74">
        <v>1</v>
      </c>
      <c r="C12" s="68" t="s">
        <v>363</v>
      </c>
      <c r="D12" s="68" t="s">
        <v>364</v>
      </c>
      <c r="E12" s="75">
        <f>60*F12*'THAM_SO_MOI'!$C$49/(2*PI()*'THAM_SO_MOI'!$C$26)</f>
        <v>813.5</v>
      </c>
      <c r="F12" s="75">
        <f>'THAM_SO_MOI'!$E$49+('THAM_SO_MOI'!$F$49-'THAM_SO_MOI'!$E$49)*6/'THAM_SO_MOI'!$C$42</f>
        <v>1.2702580539119002</v>
      </c>
      <c r="G12" s="75">
        <f>3.6*F12</f>
        <v>4.572928994082841</v>
      </c>
      <c r="H12" s="75">
        <f>'THAM_SO_MOI'!$D$49</f>
        <v>3.1625000000000005</v>
      </c>
      <c r="I12" s="75">
        <f>IF(F12&gt;'THAM_SO_MOI'!$C$14,'THAM_SO_MOI'!$C$13*(1+F12^2/1500),'THAM_SO_MOI'!$C$13)</f>
        <v>0.015</v>
      </c>
      <c r="J12" s="75">
        <f>'THAM_SO_MOI'!$C$40*('THAM_SO_MOI'!$C$23*(E12/'THAM_SO_MOI'!$C$22)+'THAM_SO_MOI'!$C$24*(E12/'THAM_SO_MOI'!$C$22)^2-'THAM_SO_MOI'!$C$25*(E12/'THAM_SO_MOI'!$C$22)^3)</f>
        <v>29.070496453719347</v>
      </c>
      <c r="K12" s="75">
        <f>'THAM_SO_MOI'!$C$31*J12/E12</f>
        <v>341.3093687495264</v>
      </c>
      <c r="L12" s="75">
        <f>K12*'THAM_SO_MOI'!$C$49*'THAM_SO_MOI'!$C$17/'THAM_SO_MOI'!$C$26</f>
        <v>19456.34924653014</v>
      </c>
      <c r="M12" s="75">
        <f>'THAM_SO_MOI'!$C$15*'THAM_SO_MOI'!$C$16*F12^2</f>
        <v>4.719649906319541</v>
      </c>
      <c r="N12" s="75">
        <f>'THAM_SO_MOI'!$C$12*I12</f>
        <v>1130.112</v>
      </c>
      <c r="O12" s="75">
        <f>M12+N12</f>
        <v>1134.8316499063196</v>
      </c>
      <c r="P12" s="75">
        <f>(MIN(L12,'THAM_SO_MOI'!$C$41)-O12)/('THAM_SO_MOI'!$C$11*H12)</f>
        <v>0.7543444333260793</v>
      </c>
      <c r="Q12" s="75">
        <f>IF(P12&gt;0,1/P12,NA())</f>
        <v>1.3256543772594285</v>
      </c>
      <c r="R12" s="75">
        <f>F12-F11</f>
        <v>0.0035133136094673834</v>
      </c>
      <c r="S12" s="75">
        <f>0.5*(Q11+Q12)*R12</f>
        <v>0.004659580132025089</v>
      </c>
      <c r="T12" s="75">
        <f>0.5*(F11*Q11+F12*Q12)*R12</f>
        <v>0.005910680147165123</v>
      </c>
      <c r="U12" s="76">
        <f>U11+S12</f>
        <v>0.028022112925898665</v>
      </c>
      <c r="V12" s="76">
        <f>V11+T12</f>
        <v>0.035299674919757155</v>
      </c>
    </row>
    <row r="13" spans="1:29" ht="19" customHeight="1">
      <c r="A13" s="68" t="s">
        <v>368</v>
      </c>
      <c r="B13" s="74">
        <v>1</v>
      </c>
      <c r="C13" s="68" t="s">
        <v>363</v>
      </c>
      <c r="D13" s="68" t="s">
        <v>364</v>
      </c>
      <c r="E13" s="75">
        <f>60*F13*'THAM_SO_MOI'!$C$49/(2*PI()*'THAM_SO_MOI'!$C$26)</f>
        <v>815.75</v>
      </c>
      <c r="F13" s="75">
        <f>'THAM_SO_MOI'!$E$49+('THAM_SO_MOI'!$F$49-'THAM_SO_MOI'!$E$49)*7/'THAM_SO_MOI'!$C$42</f>
        <v>1.2737713675213675</v>
      </c>
      <c r="G13" s="75">
        <f>3.6*F13</f>
        <v>4.585576923076923</v>
      </c>
      <c r="H13" s="75">
        <f>'THAM_SO_MOI'!$D$49</f>
        <v>3.1625000000000005</v>
      </c>
      <c r="I13" s="75">
        <f>IF(F13&gt;'THAM_SO_MOI'!$C$14,'THAM_SO_MOI'!$C$13*(1+F13^2/1500),'THAM_SO_MOI'!$C$13)</f>
        <v>0.015</v>
      </c>
      <c r="J13" s="75">
        <f>'THAM_SO_MOI'!$C$40*('THAM_SO_MOI'!$C$23*(E13/'THAM_SO_MOI'!$C$22)+'THAM_SO_MOI'!$C$24*(E13/'THAM_SO_MOI'!$C$22)^2-'THAM_SO_MOI'!$C$25*(E13/'THAM_SO_MOI'!$C$22)^3)</f>
        <v>29.176107045490472</v>
      </c>
      <c r="K13" s="75">
        <f>'THAM_SO_MOI'!$C$31*J13/E13</f>
        <v>341.6044972471056</v>
      </c>
      <c r="L13" s="75">
        <f>K13*'THAM_SO_MOI'!$C$49*'THAM_SO_MOI'!$C$17/'THAM_SO_MOI'!$C$26</f>
        <v>19473.173054041028</v>
      </c>
      <c r="M13" s="75">
        <f>'THAM_SO_MOI'!$C$15*'THAM_SO_MOI'!$C$16*F13^2</f>
        <v>4.745793477897971</v>
      </c>
      <c r="N13" s="75">
        <f>'THAM_SO_MOI'!$C$12*I13</f>
        <v>1130.112</v>
      </c>
      <c r="O13" s="75">
        <f>M13+N13</f>
        <v>1134.857793477898</v>
      </c>
      <c r="P13" s="75">
        <f>(MIN(L13,'THAM_SO_MOI'!$C$41)-O13)/('THAM_SO_MOI'!$C$11*H13)</f>
        <v>0.7550360367491405</v>
      </c>
      <c r="Q13" s="75">
        <f>IF(P13&gt;0,1/P13,NA())</f>
        <v>1.3244400946815316</v>
      </c>
      <c r="R13" s="75">
        <f>F13-F12</f>
        <v>0.0035133136094673834</v>
      </c>
      <c r="S13" s="75">
        <f>0.5*(Q12+Q13)*R13</f>
        <v>0.004655306487322227</v>
      </c>
      <c r="T13" s="75">
        <f>0.5*(F12*Q12+F13*Q13)*R13</f>
        <v>0.005921614587682901</v>
      </c>
      <c r="U13" s="76">
        <f>U12+S13</f>
        <v>0.032677419413220894</v>
      </c>
      <c r="V13" s="76">
        <f>V12+T13</f>
        <v>0.041221289507440056</v>
      </c>
    </row>
    <row r="14" spans="1:29" ht="19" customHeight="1">
      <c r="A14" s="68" t="s">
        <v>368</v>
      </c>
      <c r="B14" s="74">
        <v>1</v>
      </c>
      <c r="C14" s="68" t="s">
        <v>363</v>
      </c>
      <c r="D14" s="68" t="s">
        <v>364</v>
      </c>
      <c r="E14" s="75">
        <f>60*F14*'THAM_SO_MOI'!$C$49/(2*PI()*'THAM_SO_MOI'!$C$26)</f>
        <v>817.9999999999999</v>
      </c>
      <c r="F14" s="75">
        <f>'THAM_SO_MOI'!$E$49+('THAM_SO_MOI'!$F$49-'THAM_SO_MOI'!$E$49)*8/'THAM_SO_MOI'!$C$42</f>
        <v>1.2772846811308352</v>
      </c>
      <c r="G14" s="75">
        <f>3.6*F14</f>
        <v>4.598224852071007</v>
      </c>
      <c r="H14" s="75">
        <f>'THAM_SO_MOI'!$D$49</f>
        <v>3.1625000000000005</v>
      </c>
      <c r="I14" s="75">
        <f>IF(F14&gt;'THAM_SO_MOI'!$C$14,'THAM_SO_MOI'!$C$13*(1+F14^2/1500),'THAM_SO_MOI'!$C$13)</f>
        <v>0.015</v>
      </c>
      <c r="J14" s="75">
        <f>'THAM_SO_MOI'!$C$40*('THAM_SO_MOI'!$C$23*(E14/'THAM_SO_MOI'!$C$22)+'THAM_SO_MOI'!$C$24*(E14/'THAM_SO_MOI'!$C$22)^2-'THAM_SO_MOI'!$C$25*(E14/'THAM_SO_MOI'!$C$22)^3)</f>
        <v>29.28181462373064</v>
      </c>
      <c r="K14" s="75">
        <f>'THAM_SO_MOI'!$C$31*J14/E14</f>
        <v>341.89913460662603</v>
      </c>
      <c r="L14" s="75">
        <f>K14*'THAM_SO_MOI'!$C$49*'THAM_SO_MOI'!$C$17/'THAM_SO_MOI'!$C$26</f>
        <v>19489.96886421438</v>
      </c>
      <c r="M14" s="75">
        <f>'THAM_SO_MOI'!$C$15*'THAM_SO_MOI'!$C$16*F14^2</f>
        <v>4.772009258205635</v>
      </c>
      <c r="N14" s="75">
        <f>'THAM_SO_MOI'!$C$12*I14</f>
        <v>1130.112</v>
      </c>
      <c r="O14" s="75">
        <f>M14+N14</f>
        <v>1134.8840092582057</v>
      </c>
      <c r="P14" s="75">
        <f>(MIN(L14,'THAM_SO_MOI'!$C$41)-O14)/('THAM_SO_MOI'!$C$11*H14)</f>
        <v>0.755726484476127</v>
      </c>
      <c r="Q14" s="75">
        <f>IF(P14&gt;0,1/P14,NA())</f>
        <v>1.3232300581515342</v>
      </c>
      <c r="R14" s="75">
        <f>F14-F13</f>
        <v>0.0035133136094676054</v>
      </c>
      <c r="S14" s="75">
        <f>0.5*(Q13+Q14)*R14</f>
        <v>0.0046510477906647925</v>
      </c>
      <c r="T14" s="75">
        <f>0.5*(F13*Q13+F14*Q14)*R14</f>
        <v>0.0059325380654900286</v>
      </c>
      <c r="U14" s="76">
        <f>U13+S14</f>
        <v>0.03732846720388569</v>
      </c>
      <c r="V14" s="76">
        <f>V13+T14</f>
        <v>0.04715382757293009</v>
      </c>
    </row>
    <row r="15" spans="1:29" ht="19" customHeight="1">
      <c r="A15" s="68" t="s">
        <v>368</v>
      </c>
      <c r="B15" s="74">
        <v>1</v>
      </c>
      <c r="C15" s="68" t="s">
        <v>363</v>
      </c>
      <c r="D15" s="68" t="s">
        <v>364</v>
      </c>
      <c r="E15" s="75">
        <f>60*F15*'THAM_SO_MOI'!$C$49/(2*PI()*'THAM_SO_MOI'!$C$26)</f>
        <v>820.2499999999999</v>
      </c>
      <c r="F15" s="75">
        <f>'THAM_SO_MOI'!$E$49+('THAM_SO_MOI'!$F$49-'THAM_SO_MOI'!$E$49)*9/'THAM_SO_MOI'!$C$42</f>
        <v>1.2807979947403025</v>
      </c>
      <c r="G15" s="75">
        <f>3.6*F15</f>
        <v>4.61087278106509</v>
      </c>
      <c r="H15" s="75">
        <f>'THAM_SO_MOI'!$D$49</f>
        <v>3.1625000000000005</v>
      </c>
      <c r="I15" s="75">
        <f>IF(F15&gt;'THAM_SO_MOI'!$C$14,'THAM_SO_MOI'!$C$13*(1+F15^2/1500),'THAM_SO_MOI'!$C$13)</f>
        <v>0.015</v>
      </c>
      <c r="J15" s="75">
        <f>'THAM_SO_MOI'!$C$40*('THAM_SO_MOI'!$C$23*(E15/'THAM_SO_MOI'!$C$22)+'THAM_SO_MOI'!$C$24*(E15/'THAM_SO_MOI'!$C$22)^2-'THAM_SO_MOI'!$C$25*(E15/'THAM_SO_MOI'!$C$22)^3)</f>
        <v>29.387618841340313</v>
      </c>
      <c r="K15" s="75">
        <f>'THAM_SO_MOI'!$C$31*J15/E15</f>
        <v>342.1932808280877</v>
      </c>
      <c r="L15" s="75">
        <f>K15*'THAM_SO_MOI'!$C$49*'THAM_SO_MOI'!$C$17/'THAM_SO_MOI'!$C$26</f>
        <v>19506.736677050205</v>
      </c>
      <c r="M15" s="75">
        <f>'THAM_SO_MOI'!$C$15*'THAM_SO_MOI'!$C$16*F15^2</f>
        <v>4.798297247242532</v>
      </c>
      <c r="N15" s="75">
        <f>'THAM_SO_MOI'!$C$12*I15</f>
        <v>1130.112</v>
      </c>
      <c r="O15" s="75">
        <f>M15+N15</f>
        <v>1134.9102972472426</v>
      </c>
      <c r="P15" s="75">
        <f>(MIN(L15,'THAM_SO_MOI'!$C$41)-O15)/('THAM_SO_MOI'!$C$11*H15)</f>
        <v>0.7564157765070388</v>
      </c>
      <c r="Q15" s="75">
        <f>IF(P15&gt;0,1/P15,NA())</f>
        <v>1.3220242504959103</v>
      </c>
      <c r="R15" s="75">
        <f>F15-F14</f>
        <v>0.0035133136094673834</v>
      </c>
      <c r="S15" s="75">
        <f>0.5*(Q14+Q15)*R15</f>
        <v>0.00464680398153665</v>
      </c>
      <c r="T15" s="75">
        <f>0.5*(F14*Q14+F15*Q15)*R15</f>
        <v>0.005943450660735696</v>
      </c>
      <c r="U15" s="76">
        <f>U14+S15</f>
        <v>0.04197527118542234</v>
      </c>
      <c r="V15" s="76">
        <f>V14+T15</f>
        <v>0.053097278233665786</v>
      </c>
    </row>
    <row r="16" spans="1:29" ht="19" customHeight="1">
      <c r="A16" s="68" t="s">
        <v>368</v>
      </c>
      <c r="B16" s="74">
        <v>1</v>
      </c>
      <c r="C16" s="68" t="s">
        <v>363</v>
      </c>
      <c r="D16" s="68" t="s">
        <v>364</v>
      </c>
      <c r="E16" s="75">
        <f>60*F16*'THAM_SO_MOI'!$C$49/(2*PI()*'THAM_SO_MOI'!$C$26)</f>
        <v>822.4999999999999</v>
      </c>
      <c r="F16" s="75">
        <f>'THAM_SO_MOI'!$E$49+('THAM_SO_MOI'!$F$49-'THAM_SO_MOI'!$E$49)*10/'THAM_SO_MOI'!$C$42</f>
        <v>1.28431130834977</v>
      </c>
      <c r="G16" s="75">
        <f>3.6*F16</f>
        <v>4.6235207100591715</v>
      </c>
      <c r="H16" s="75">
        <f>'THAM_SO_MOI'!$D$49</f>
        <v>3.1625000000000005</v>
      </c>
      <c r="I16" s="75">
        <f>IF(F16&gt;'THAM_SO_MOI'!$C$14,'THAM_SO_MOI'!$C$13*(1+F16^2/1500),'THAM_SO_MOI'!$C$13)</f>
        <v>0.015</v>
      </c>
      <c r="J16" s="75">
        <f>'THAM_SO_MOI'!$C$40*('THAM_SO_MOI'!$C$23*(E16/'THAM_SO_MOI'!$C$22)+'THAM_SO_MOI'!$C$24*(E16/'THAM_SO_MOI'!$C$22)^2-'THAM_SO_MOI'!$C$25*(E16/'THAM_SO_MOI'!$C$22)^3)</f>
        <v>29.49351935121995</v>
      </c>
      <c r="K16" s="75">
        <f>'THAM_SO_MOI'!$C$31*J16/E16</f>
        <v>342.4869359114907</v>
      </c>
      <c r="L16" s="75">
        <f>K16*'THAM_SO_MOI'!$C$49*'THAM_SO_MOI'!$C$17/'THAM_SO_MOI'!$C$26</f>
        <v>19523.476492548507</v>
      </c>
      <c r="M16" s="75">
        <f>'THAM_SO_MOI'!$C$15*'THAM_SO_MOI'!$C$16*F16^2</f>
        <v>4.824657445008662</v>
      </c>
      <c r="N16" s="75">
        <f>'THAM_SO_MOI'!$C$12*I16</f>
        <v>1130.112</v>
      </c>
      <c r="O16" s="75">
        <f>M16+N16</f>
        <v>1134.9366574450087</v>
      </c>
      <c r="P16" s="75">
        <f>(MIN(L16,'THAM_SO_MOI'!$C$41)-O16)/('THAM_SO_MOI'!$C$11*H16)</f>
        <v>0.7571039128418764</v>
      </c>
      <c r="Q16" s="75">
        <f>IF(P16&gt;0,1/P16,NA())</f>
        <v>1.3208226546424588</v>
      </c>
      <c r="R16" s="75">
        <f>F16-F15</f>
        <v>0.0035133136094673834</v>
      </c>
      <c r="S16" s="75">
        <f>0.5*(Q15+Q16)*R16</f>
        <v>0.004642574999780693</v>
      </c>
      <c r="T16" s="75">
        <f>0.5*(F15*Q15+F16*Q16)*R16</f>
        <v>0.005954352453179115</v>
      </c>
      <c r="U16" s="76">
        <f>U15+S16</f>
        <v>0.04661784618520303</v>
      </c>
      <c r="V16" s="76">
        <f>V15+T16</f>
        <v>0.0590516306868449</v>
      </c>
    </row>
    <row r="17" spans="1:22" ht="19" customHeight="1">
      <c r="A17" s="68" t="s">
        <v>368</v>
      </c>
      <c r="B17" s="74">
        <v>1</v>
      </c>
      <c r="C17" s="68" t="s">
        <v>363</v>
      </c>
      <c r="D17" s="68" t="s">
        <v>364</v>
      </c>
      <c r="E17" s="75">
        <f>60*F17*'THAM_SO_MOI'!$C$49/(2*PI()*'THAM_SO_MOI'!$C$26)</f>
        <v>824.75</v>
      </c>
      <c r="F17" s="75">
        <f>'THAM_SO_MOI'!$E$49+('THAM_SO_MOI'!$F$49-'THAM_SO_MOI'!$E$49)*11/'THAM_SO_MOI'!$C$42</f>
        <v>1.2878246219592375</v>
      </c>
      <c r="G17" s="75">
        <f>3.6*F17</f>
        <v>4.636168639053255</v>
      </c>
      <c r="H17" s="75">
        <f>'THAM_SO_MOI'!$D$49</f>
        <v>3.1625000000000005</v>
      </c>
      <c r="I17" s="75">
        <f>IF(F17&gt;'THAM_SO_MOI'!$C$14,'THAM_SO_MOI'!$C$13*(1+F17^2/1500),'THAM_SO_MOI'!$C$13)</f>
        <v>0.015</v>
      </c>
      <c r="J17" s="75">
        <f>'THAM_SO_MOI'!$C$40*('THAM_SO_MOI'!$C$23*(E17/'THAM_SO_MOI'!$C$22)+'THAM_SO_MOI'!$C$24*(E17/'THAM_SO_MOI'!$C$22)^2-'THAM_SO_MOI'!$C$25*(E17/'THAM_SO_MOI'!$C$22)^3)</f>
        <v>29.599515806269988</v>
      </c>
      <c r="K17" s="75">
        <f>'THAM_SO_MOI'!$C$31*J17/E17</f>
        <v>342.7800998568348</v>
      </c>
      <c r="L17" s="75">
        <f>K17*'THAM_SO_MOI'!$C$49*'THAM_SO_MOI'!$C$17/'THAM_SO_MOI'!$C$26</f>
        <v>19540.18831070926</v>
      </c>
      <c r="M17" s="75">
        <f>'THAM_SO_MOI'!$C$15*'THAM_SO_MOI'!$C$16*F17^2</f>
        <v>4.8510898515040255</v>
      </c>
      <c r="N17" s="75">
        <f>'THAM_SO_MOI'!$C$12*I17</f>
        <v>1130.112</v>
      </c>
      <c r="O17" s="75">
        <f>M17+N17</f>
        <v>1134.963089851504</v>
      </c>
      <c r="P17" s="75">
        <f>(MIN(L17,'THAM_SO_MOI'!$C$41)-O17)/('THAM_SO_MOI'!$C$11*H17)</f>
        <v>0.7577908934806387</v>
      </c>
      <c r="Q17" s="75">
        <f>IF(P17&gt;0,1/P17,NA())</f>
        <v>1.3196252536195854</v>
      </c>
      <c r="R17" s="75">
        <f>F17-F16</f>
        <v>0.0035133136094676054</v>
      </c>
      <c r="S17" s="75">
        <f>0.5*(Q16+Q17)*R17</f>
        <v>0.0046383607855936555</v>
      </c>
      <c r="T17" s="75">
        <f>0.5*(F16*Q16+F17*Q17)*R17</f>
        <v>0.005965243522189158</v>
      </c>
      <c r="U17" s="76">
        <f>U16+S17</f>
        <v>0.051256206970796685</v>
      </c>
      <c r="V17" s="76">
        <f>V16+T17</f>
        <v>0.06501687420903406</v>
      </c>
    </row>
    <row r="18" spans="1:22" ht="19" customHeight="1">
      <c r="A18" s="68" t="s">
        <v>368</v>
      </c>
      <c r="B18" s="74">
        <v>1</v>
      </c>
      <c r="C18" s="68" t="s">
        <v>363</v>
      </c>
      <c r="D18" s="68" t="s">
        <v>364</v>
      </c>
      <c r="E18" s="75">
        <f>60*F18*'THAM_SO_MOI'!$C$49/(2*PI()*'THAM_SO_MOI'!$C$26)</f>
        <v>826.9999999999999</v>
      </c>
      <c r="F18" s="75">
        <f>'THAM_SO_MOI'!$E$49+('THAM_SO_MOI'!$F$49-'THAM_SO_MOI'!$E$49)*12/'THAM_SO_MOI'!$C$42</f>
        <v>1.291337935568705</v>
      </c>
      <c r="G18" s="75">
        <f>3.6*F18</f>
        <v>4.648816568047338</v>
      </c>
      <c r="H18" s="75">
        <f>'THAM_SO_MOI'!$D$49</f>
        <v>3.1625000000000005</v>
      </c>
      <c r="I18" s="75">
        <f>IF(F18&gt;'THAM_SO_MOI'!$C$14,'THAM_SO_MOI'!$C$13*(1+F18^2/1500),'THAM_SO_MOI'!$C$13)</f>
        <v>0.015</v>
      </c>
      <c r="J18" s="75">
        <f>'THAM_SO_MOI'!$C$40*('THAM_SO_MOI'!$C$23*(E18/'THAM_SO_MOI'!$C$22)+'THAM_SO_MOI'!$C$24*(E18/'THAM_SO_MOI'!$C$22)^2-'THAM_SO_MOI'!$C$25*(E18/'THAM_SO_MOI'!$C$22)^3)</f>
        <v>29.705607859390902</v>
      </c>
      <c r="K18" s="75">
        <f>'THAM_SO_MOI'!$C$31*J18/E18</f>
        <v>343.07277266412024</v>
      </c>
      <c r="L18" s="75">
        <f>K18*'THAM_SO_MOI'!$C$49*'THAM_SO_MOI'!$C$17/'THAM_SO_MOI'!$C$26</f>
        <v>19556.8721315325</v>
      </c>
      <c r="M18" s="75">
        <f>'THAM_SO_MOI'!$C$15*'THAM_SO_MOI'!$C$16*F18^2</f>
        <v>4.877594466728621</v>
      </c>
      <c r="N18" s="75">
        <f>'THAM_SO_MOI'!$C$12*I18</f>
        <v>1130.112</v>
      </c>
      <c r="O18" s="75">
        <f>M18+N18</f>
        <v>1134.9895944667287</v>
      </c>
      <c r="P18" s="75">
        <f>(MIN(L18,'THAM_SO_MOI'!$C$41)-O18)/('THAM_SO_MOI'!$C$11*H18)</f>
        <v>0.758476718423327</v>
      </c>
      <c r="Q18" s="75">
        <f>IF(P18&gt;0,1/P18,NA())</f>
        <v>1.3184320305555801</v>
      </c>
      <c r="R18" s="75">
        <f>F18-F17</f>
        <v>0.0035133136094673834</v>
      </c>
      <c r="S18" s="75">
        <f>0.5*(Q17+Q18)*R18</f>
        <v>0.004634161279523587</v>
      </c>
      <c r="T18" s="75">
        <f>0.5*(F17*Q17+F18*Q18)*R18</f>
        <v>0.005976123946747314</v>
      </c>
      <c r="U18" s="76">
        <f>U17+S18</f>
        <v>0.055890368250320274</v>
      </c>
      <c r="V18" s="76">
        <f>V17+T18</f>
        <v>0.07099299815578138</v>
      </c>
    </row>
    <row r="19" spans="1:22" ht="19" customHeight="1">
      <c r="A19" s="68" t="s">
        <v>368</v>
      </c>
      <c r="B19" s="74">
        <v>1</v>
      </c>
      <c r="C19" s="68" t="s">
        <v>363</v>
      </c>
      <c r="D19" s="68" t="s">
        <v>364</v>
      </c>
      <c r="E19" s="75">
        <f>60*F19*'THAM_SO_MOI'!$C$49/(2*PI()*'THAM_SO_MOI'!$C$26)</f>
        <v>829.2499999999999</v>
      </c>
      <c r="F19" s="75">
        <f>'THAM_SO_MOI'!$E$49+('THAM_SO_MOI'!$F$49-'THAM_SO_MOI'!$E$49)*13/'THAM_SO_MOI'!$C$42</f>
        <v>1.2948512491781723</v>
      </c>
      <c r="G19" s="75">
        <f>3.6*F19</f>
        <v>4.66146449704142</v>
      </c>
      <c r="H19" s="75">
        <f>'THAM_SO_MOI'!$D$49</f>
        <v>3.1625000000000005</v>
      </c>
      <c r="I19" s="75">
        <f>IF(F19&gt;'THAM_SO_MOI'!$C$14,'THAM_SO_MOI'!$C$13*(1+F19^2/1500),'THAM_SO_MOI'!$C$13)</f>
        <v>0.015</v>
      </c>
      <c r="J19" s="75">
        <f>'THAM_SO_MOI'!$C$40*('THAM_SO_MOI'!$C$23*(E19/'THAM_SO_MOI'!$C$22)+'THAM_SO_MOI'!$C$24*(E19/'THAM_SO_MOI'!$C$22)^2-'THAM_SO_MOI'!$C$25*(E19/'THAM_SO_MOI'!$C$22)^3)</f>
        <v>29.811795163483126</v>
      </c>
      <c r="K19" s="75">
        <f>'THAM_SO_MOI'!$C$31*J19/E19</f>
        <v>343.36495433334665</v>
      </c>
      <c r="L19" s="75">
        <f>K19*'THAM_SO_MOI'!$C$49*'THAM_SO_MOI'!$C$17/'THAM_SO_MOI'!$C$26</f>
        <v>19573.527955018184</v>
      </c>
      <c r="M19" s="75">
        <f>'THAM_SO_MOI'!$C$15*'THAM_SO_MOI'!$C$16*F19^2</f>
        <v>4.9041712906824495</v>
      </c>
      <c r="N19" s="75">
        <f>'THAM_SO_MOI'!$C$12*I19</f>
        <v>1130.112</v>
      </c>
      <c r="O19" s="75">
        <f>M19+N19</f>
        <v>1135.0161712906825</v>
      </c>
      <c r="P19" s="75">
        <f>(MIN(L19,'THAM_SO_MOI'!$C$41)-O19)/('THAM_SO_MOI'!$C$11*H19)</f>
        <v>0.7591613876699398</v>
      </c>
      <c r="Q19" s="75">
        <f>IF(P19&gt;0,1/P19,NA())</f>
        <v>1.317242968677919</v>
      </c>
      <c r="R19" s="75">
        <f>F19-F18</f>
        <v>0.0035133136094673834</v>
      </c>
      <c r="S19" s="75">
        <f>0.5*(Q18+Q19)*R19</f>
        <v>0.004629976422469994</v>
      </c>
      <c r="T19" s="75">
        <f>0.5*(F18*Q18+F19*Q19)*R19</f>
        <v>0.0059869938054540415</v>
      </c>
      <c r="U19" s="76">
        <f>U18+S19</f>
        <v>0.06052034467279027</v>
      </c>
      <c r="V19" s="76">
        <f>V18+T19</f>
        <v>0.07697999196123542</v>
      </c>
    </row>
    <row r="20" spans="1:22" ht="19" customHeight="1">
      <c r="A20" s="68" t="s">
        <v>368</v>
      </c>
      <c r="B20" s="74">
        <v>1</v>
      </c>
      <c r="C20" s="68" t="s">
        <v>363</v>
      </c>
      <c r="D20" s="68" t="s">
        <v>364</v>
      </c>
      <c r="E20" s="75">
        <f>60*F20*'THAM_SO_MOI'!$C$49/(2*PI()*'THAM_SO_MOI'!$C$26)</f>
        <v>831.5000000000001</v>
      </c>
      <c r="F20" s="75">
        <f>'THAM_SO_MOI'!$E$49+('THAM_SO_MOI'!$F$49-'THAM_SO_MOI'!$E$49)*14/'THAM_SO_MOI'!$C$42</f>
        <v>1.29836456278764</v>
      </c>
      <c r="G20" s="75">
        <f>3.6*F20</f>
        <v>4.674112426035504</v>
      </c>
      <c r="H20" s="75">
        <f>'THAM_SO_MOI'!$D$49</f>
        <v>3.1625000000000005</v>
      </c>
      <c r="I20" s="75">
        <f>IF(F20&gt;'THAM_SO_MOI'!$C$14,'THAM_SO_MOI'!$C$13*(1+F20^2/1500),'THAM_SO_MOI'!$C$13)</f>
        <v>0.015</v>
      </c>
      <c r="J20" s="75">
        <f>'THAM_SO_MOI'!$C$40*('THAM_SO_MOI'!$C$23*(E20/'THAM_SO_MOI'!$C$22)+'THAM_SO_MOI'!$C$24*(E20/'THAM_SO_MOI'!$C$22)^2-'THAM_SO_MOI'!$C$25*(E20/'THAM_SO_MOI'!$C$22)^3)</f>
        <v>29.918077371447154</v>
      </c>
      <c r="K20" s="75">
        <f>'THAM_SO_MOI'!$C$31*J20/E20</f>
        <v>343.6566448645146</v>
      </c>
      <c r="L20" s="75">
        <f>K20*'THAM_SO_MOI'!$C$49*'THAM_SO_MOI'!$C$17/'THAM_SO_MOI'!$C$26</f>
        <v>19590.155781166355</v>
      </c>
      <c r="M20" s="75">
        <f>'THAM_SO_MOI'!$C$15*'THAM_SO_MOI'!$C$16*F20^2</f>
        <v>4.930820323365513</v>
      </c>
      <c r="N20" s="75">
        <f>'THAM_SO_MOI'!$C$12*I20</f>
        <v>1130.112</v>
      </c>
      <c r="O20" s="75">
        <f>M20+N20</f>
        <v>1135.0428203233655</v>
      </c>
      <c r="P20" s="75">
        <f>(MIN(L20,'THAM_SO_MOI'!$C$41)-O20)/('THAM_SO_MOI'!$C$11*H20)</f>
        <v>0.7598449012204787</v>
      </c>
      <c r="Q20" s="75">
        <f>IF(P20&gt;0,1/P20,NA())</f>
        <v>1.3160580513125497</v>
      </c>
      <c r="R20" s="75">
        <f>F20-F19</f>
        <v>0.0035133136094676054</v>
      </c>
      <c r="S20" s="75">
        <f>0.5*(Q19+Q20)*R20</f>
        <v>0.0046258061556787205</v>
      </c>
      <c r="T20" s="75">
        <f>0.5*(F19*Q19+F20*Q20)*R20</f>
        <v>0.005997853176528311</v>
      </c>
      <c r="U20" s="76">
        <f>U19+S20</f>
        <v>0.06514615082846899</v>
      </c>
      <c r="V20" s="76">
        <f>V19+T20</f>
        <v>0.08297784513776374</v>
      </c>
    </row>
    <row r="21" spans="1:22" ht="19" customHeight="1">
      <c r="A21" s="68" t="s">
        <v>368</v>
      </c>
      <c r="B21" s="74">
        <v>1</v>
      </c>
      <c r="C21" s="68" t="s">
        <v>363</v>
      </c>
      <c r="D21" s="68" t="s">
        <v>364</v>
      </c>
      <c r="E21" s="75">
        <f>60*F21*'THAM_SO_MOI'!$C$49/(2*PI()*'THAM_SO_MOI'!$C$26)</f>
        <v>833.75</v>
      </c>
      <c r="F21" s="75">
        <f>'THAM_SO_MOI'!$E$49+('THAM_SO_MOI'!$F$49-'THAM_SO_MOI'!$E$49)*15/'THAM_SO_MOI'!$C$42</f>
        <v>1.3018778763971073</v>
      </c>
      <c r="G21" s="75">
        <f>3.6*F21</f>
        <v>4.686760355029587</v>
      </c>
      <c r="H21" s="75">
        <f>'THAM_SO_MOI'!$D$49</f>
        <v>3.1625000000000005</v>
      </c>
      <c r="I21" s="75">
        <f>IF(F21&gt;'THAM_SO_MOI'!$C$14,'THAM_SO_MOI'!$C$13*(1+F21^2/1500),'THAM_SO_MOI'!$C$13)</f>
        <v>0.015</v>
      </c>
      <c r="J21" s="75">
        <f>'THAM_SO_MOI'!$C$40*('THAM_SO_MOI'!$C$23*(E21/'THAM_SO_MOI'!$C$22)+'THAM_SO_MOI'!$C$24*(E21/'THAM_SO_MOI'!$C$22)^2-'THAM_SO_MOI'!$C$25*(E21/'THAM_SO_MOI'!$C$22)^3)</f>
        <v>30.024454136183387</v>
      </c>
      <c r="K21" s="75">
        <f>'THAM_SO_MOI'!$C$31*J21/E21</f>
        <v>343.9478442576235</v>
      </c>
      <c r="L21" s="75">
        <f>K21*'THAM_SO_MOI'!$C$49*'THAM_SO_MOI'!$C$17/'THAM_SO_MOI'!$C$26</f>
        <v>19606.75560997698</v>
      </c>
      <c r="M21" s="75">
        <f>'THAM_SO_MOI'!$C$15*'THAM_SO_MOI'!$C$16*F21^2</f>
        <v>4.957541564777808</v>
      </c>
      <c r="N21" s="75">
        <f>'THAM_SO_MOI'!$C$12*I21</f>
        <v>1130.112</v>
      </c>
      <c r="O21" s="75">
        <f>M21+N21</f>
        <v>1135.0695415647779</v>
      </c>
      <c r="P21" s="75">
        <f>(MIN(L21,'THAM_SO_MOI'!$C$41)-O21)/('THAM_SO_MOI'!$C$11*H21)</f>
        <v>0.7605272590749422</v>
      </c>
      <c r="Q21" s="75">
        <f>IF(P21&gt;0,1/P21,NA())</f>
        <v>1.3148772618832065</v>
      </c>
      <c r="R21" s="75">
        <f>F21-F20</f>
        <v>0.0035133136094673834</v>
      </c>
      <c r="S21" s="75">
        <f>0.5*(Q20+Q21)*R21</f>
        <v>0.004621650420739492</v>
      </c>
      <c r="T21" s="75">
        <f>0.5*(F20*Q20+F21*Q21)*R21</f>
        <v>0.0060087021378104856</v>
      </c>
      <c r="U21" s="76">
        <f>U20+S21</f>
        <v>0.06976780124920848</v>
      </c>
      <c r="V21" s="76">
        <f>V20+T21</f>
        <v>0.08898654727557423</v>
      </c>
    </row>
    <row r="22" spans="1:22" ht="19" customHeight="1">
      <c r="A22" s="68" t="s">
        <v>368</v>
      </c>
      <c r="B22" s="74">
        <v>1</v>
      </c>
      <c r="C22" s="68" t="s">
        <v>363</v>
      </c>
      <c r="D22" s="68" t="s">
        <v>364</v>
      </c>
      <c r="E22" s="75">
        <f>60*F22*'THAM_SO_MOI'!$C$49/(2*PI()*'THAM_SO_MOI'!$C$26)</f>
        <v>836.0</v>
      </c>
      <c r="F22" s="75">
        <f>'THAM_SO_MOI'!$E$49+('THAM_SO_MOI'!$F$49-'THAM_SO_MOI'!$E$49)*16/'THAM_SO_MOI'!$C$42</f>
        <v>1.3053911900065747</v>
      </c>
      <c r="G22" s="75">
        <f>3.6*F22</f>
        <v>4.699408284023669</v>
      </c>
      <c r="H22" s="75">
        <f>'THAM_SO_MOI'!$D$49</f>
        <v>3.1625000000000005</v>
      </c>
      <c r="I22" s="75">
        <f>IF(F22&gt;'THAM_SO_MOI'!$C$14,'THAM_SO_MOI'!$C$13*(1+F22^2/1500),'THAM_SO_MOI'!$C$13)</f>
        <v>0.015</v>
      </c>
      <c r="J22" s="75">
        <f>'THAM_SO_MOI'!$C$40*('THAM_SO_MOI'!$C$23*(E22/'THAM_SO_MOI'!$C$22)+'THAM_SO_MOI'!$C$24*(E22/'THAM_SO_MOI'!$C$22)^2-'THAM_SO_MOI'!$C$25*(E22/'THAM_SO_MOI'!$C$22)^3)</f>
        <v>30.130925110592326</v>
      </c>
      <c r="K22" s="75">
        <f>'THAM_SO_MOI'!$C$31*J22/E22</f>
        <v>344.23855251267383</v>
      </c>
      <c r="L22" s="75">
        <f>K22*'THAM_SO_MOI'!$C$49*'THAM_SO_MOI'!$C$17/'THAM_SO_MOI'!$C$26</f>
        <v>19623.327441450085</v>
      </c>
      <c r="M22" s="75">
        <f>'THAM_SO_MOI'!$C$15*'THAM_SO_MOI'!$C$16*F22^2</f>
        <v>4.984335014919335</v>
      </c>
      <c r="N22" s="75">
        <f>'THAM_SO_MOI'!$C$12*I22</f>
        <v>1130.112</v>
      </c>
      <c r="O22" s="75">
        <f>M22+N22</f>
        <v>1135.0963350149193</v>
      </c>
      <c r="P22" s="75">
        <f>(MIN(L22,'THAM_SO_MOI'!$C$41)-O22)/('THAM_SO_MOI'!$C$11*H22)</f>
        <v>0.7612084612333317</v>
      </c>
      <c r="Q22" s="75">
        <f>IF(P22&gt;0,1/P22,NA())</f>
        <v>1.3137005839107088</v>
      </c>
      <c r="R22" s="75">
        <f>F22-F21</f>
        <v>0.0035133136094673834</v>
      </c>
      <c r="S22" s="75">
        <f>0.5*(Q21+Q22)*R22</f>
        <v>0.00461750915958611</v>
      </c>
      <c r="T22" s="75">
        <f>0.5*(F21*Q21+F22*Q22)*R22</f>
        <v>0.006019540766768626</v>
      </c>
      <c r="U22" s="76">
        <f>U21+S22</f>
        <v>0.07438531040879459</v>
      </c>
      <c r="V22" s="76">
        <f>V21+T22</f>
        <v>0.09500608804234285</v>
      </c>
    </row>
    <row r="23" spans="1:22" ht="19" customHeight="1">
      <c r="A23" s="68" t="s">
        <v>368</v>
      </c>
      <c r="B23" s="74">
        <v>1</v>
      </c>
      <c r="C23" s="68" t="s">
        <v>363</v>
      </c>
      <c r="D23" s="68" t="s">
        <v>364</v>
      </c>
      <c r="E23" s="75">
        <f>60*F23*'THAM_SO_MOI'!$C$49/(2*PI()*'THAM_SO_MOI'!$C$26)</f>
        <v>838.25</v>
      </c>
      <c r="F23" s="75">
        <f>'THAM_SO_MOI'!$E$49+('THAM_SO_MOI'!$F$49-'THAM_SO_MOI'!$E$49)*17/'THAM_SO_MOI'!$C$42</f>
        <v>1.3089045036160423</v>
      </c>
      <c r="G23" s="75">
        <f>3.6*F23</f>
        <v>4.712056213017752</v>
      </c>
      <c r="H23" s="75">
        <f>'THAM_SO_MOI'!$D$49</f>
        <v>3.1625000000000005</v>
      </c>
      <c r="I23" s="75">
        <f>IF(F23&gt;'THAM_SO_MOI'!$C$14,'THAM_SO_MOI'!$C$13*(1+F23^2/1500),'THAM_SO_MOI'!$C$13)</f>
        <v>0.015</v>
      </c>
      <c r="J23" s="75">
        <f>'THAM_SO_MOI'!$C$40*('THAM_SO_MOI'!$C$23*(E23/'THAM_SO_MOI'!$C$22)+'THAM_SO_MOI'!$C$24*(E23/'THAM_SO_MOI'!$C$22)^2-'THAM_SO_MOI'!$C$25*(E23/'THAM_SO_MOI'!$C$22)^3)</f>
        <v>30.2374899475744</v>
      </c>
      <c r="K23" s="75">
        <f>'THAM_SO_MOI'!$C$31*J23/E23</f>
        <v>344.52876962966525</v>
      </c>
      <c r="L23" s="75">
        <f>K23*'THAM_SO_MOI'!$C$49*'THAM_SO_MOI'!$C$17/'THAM_SO_MOI'!$C$26</f>
        <v>19639.871275585647</v>
      </c>
      <c r="M23" s="75">
        <f>'THAM_SO_MOI'!$C$15*'THAM_SO_MOI'!$C$16*F23^2</f>
        <v>5.011200673790098</v>
      </c>
      <c r="N23" s="75">
        <f>'THAM_SO_MOI'!$C$12*I23</f>
        <v>1130.112</v>
      </c>
      <c r="O23" s="75">
        <f>M23+N23</f>
        <v>1135.1232006737903</v>
      </c>
      <c r="P23" s="75">
        <f>(MIN(L23,'THAM_SO_MOI'!$C$41)-O23)/('THAM_SO_MOI'!$C$11*H23)</f>
        <v>0.7618885076956461</v>
      </c>
      <c r="Q23" s="75">
        <f>IF(P23&gt;0,1/P23,NA())</f>
        <v>1.312528001012286</v>
      </c>
      <c r="R23" s="75">
        <f>F23-F22</f>
        <v>0.0035133136094676054</v>
      </c>
      <c r="S23" s="75">
        <f>0.5*(Q22+Q23)*R23</f>
        <v>0.004613382314491404</v>
      </c>
      <c r="T23" s="75">
        <f>0.5*(F22*Q22+F23*Q23)*R23</f>
        <v>0.006030369140497928</v>
      </c>
      <c r="U23" s="76">
        <f>U22+S23</f>
        <v>0.078998692723286</v>
      </c>
      <c r="V23" s="76">
        <f>V22+T23</f>
        <v>0.10103645718284078</v>
      </c>
    </row>
    <row r="24" spans="1:22" ht="19" customHeight="1">
      <c r="A24" s="68" t="s">
        <v>368</v>
      </c>
      <c r="B24" s="74">
        <v>1</v>
      </c>
      <c r="C24" s="68" t="s">
        <v>363</v>
      </c>
      <c r="D24" s="68" t="s">
        <v>364</v>
      </c>
      <c r="E24" s="75">
        <f>60*F24*'THAM_SO_MOI'!$C$49/(2*PI()*'THAM_SO_MOI'!$C$26)</f>
        <v>840.5000000000001</v>
      </c>
      <c r="F24" s="75">
        <f>'THAM_SO_MOI'!$E$49+('THAM_SO_MOI'!$F$49-'THAM_SO_MOI'!$E$49)*18/'THAM_SO_MOI'!$C$42</f>
        <v>1.3124178172255097</v>
      </c>
      <c r="G24" s="75">
        <f>3.6*F24</f>
        <v>4.724704142011835</v>
      </c>
      <c r="H24" s="75">
        <f>'THAM_SO_MOI'!$D$49</f>
        <v>3.1625000000000005</v>
      </c>
      <c r="I24" s="75">
        <f>IF(F24&gt;'THAM_SO_MOI'!$C$14,'THAM_SO_MOI'!$C$13*(1+F24^2/1500),'THAM_SO_MOI'!$C$13)</f>
        <v>0.015</v>
      </c>
      <c r="J24" s="75">
        <f>'THAM_SO_MOI'!$C$40*('THAM_SO_MOI'!$C$23*(E24/'THAM_SO_MOI'!$C$22)+'THAM_SO_MOI'!$C$24*(E24/'THAM_SO_MOI'!$C$22)^2-'THAM_SO_MOI'!$C$25*(E24/'THAM_SO_MOI'!$C$22)^3)</f>
        <v>30.344148300030092</v>
      </c>
      <c r="K24" s="75">
        <f>'THAM_SO_MOI'!$C$31*J24/E24</f>
        <v>344.818495608598</v>
      </c>
      <c r="L24" s="75">
        <f>K24*'THAM_SO_MOI'!$C$49*'THAM_SO_MOI'!$C$17/'THAM_SO_MOI'!$C$26</f>
        <v>19656.387112383687</v>
      </c>
      <c r="M24" s="75">
        <f>'THAM_SO_MOI'!$C$15*'THAM_SO_MOI'!$C$16*F24^2</f>
        <v>5.038138541390091</v>
      </c>
      <c r="N24" s="75">
        <f>'THAM_SO_MOI'!$C$12*I24</f>
        <v>1130.112</v>
      </c>
      <c r="O24" s="75">
        <f>M24+N24</f>
        <v>1135.15013854139</v>
      </c>
      <c r="P24" s="75">
        <f>(MIN(L24,'THAM_SO_MOI'!$C$41)-O24)/('THAM_SO_MOI'!$C$11*H24)</f>
        <v>0.7625673984618863</v>
      </c>
      <c r="Q24" s="75">
        <f>IF(P24&gt;0,1/P24,NA())</f>
        <v>1.3113594969008904</v>
      </c>
      <c r="R24" s="75">
        <f>F24-F23</f>
        <v>0.0035133136094673834</v>
      </c>
      <c r="S24" s="75">
        <f>0.5*(Q23+Q24)*R24</f>
        <v>0.0046092698280648416</v>
      </c>
      <c r="T24" s="75">
        <f>0.5*(F23*Q23+F24*Q24)*R24</f>
        <v>0.006041187335723551</v>
      </c>
      <c r="U24" s="76">
        <f>U23+S24</f>
        <v>0.08360796255135083</v>
      </c>
      <c r="V24" s="76">
        <f>V23+T24</f>
        <v>0.10707764451856433</v>
      </c>
    </row>
    <row r="25" spans="1:22" ht="19" customHeight="1">
      <c r="A25" s="68" t="s">
        <v>368</v>
      </c>
      <c r="B25" s="74">
        <v>1</v>
      </c>
      <c r="C25" s="68" t="s">
        <v>363</v>
      </c>
      <c r="D25" s="68" t="s">
        <v>364</v>
      </c>
      <c r="E25" s="75">
        <f>60*F25*'THAM_SO_MOI'!$C$49/(2*PI()*'THAM_SO_MOI'!$C$26)</f>
        <v>842.75</v>
      </c>
      <c r="F25" s="75">
        <f>'THAM_SO_MOI'!$E$49+('THAM_SO_MOI'!$F$49-'THAM_SO_MOI'!$E$49)*19/'THAM_SO_MOI'!$C$42</f>
        <v>1.315931130834977</v>
      </c>
      <c r="G25" s="75">
        <f>3.6*F25</f>
        <v>4.737352071005917</v>
      </c>
      <c r="H25" s="75">
        <f>'THAM_SO_MOI'!$D$49</f>
        <v>3.1625000000000005</v>
      </c>
      <c r="I25" s="75">
        <f>IF(F25&gt;'THAM_SO_MOI'!$C$14,'THAM_SO_MOI'!$C$13*(1+F25^2/1500),'THAM_SO_MOI'!$C$13)</f>
        <v>0.015</v>
      </c>
      <c r="J25" s="75">
        <f>'THAM_SO_MOI'!$C$40*('THAM_SO_MOI'!$C$23*(E25/'THAM_SO_MOI'!$C$22)+'THAM_SO_MOI'!$C$24*(E25/'THAM_SO_MOI'!$C$22)^2-'THAM_SO_MOI'!$C$25*(E25/'THAM_SO_MOI'!$C$22)^3)</f>
        <v>30.450899820859814</v>
      </c>
      <c r="K25" s="75">
        <f>'THAM_SO_MOI'!$C$31*J25/E25</f>
        <v>345.1077304494719</v>
      </c>
      <c r="L25" s="75">
        <f>K25*'THAM_SO_MOI'!$C$49*'THAM_SO_MOI'!$C$17/'THAM_SO_MOI'!$C$26</f>
        <v>19672.874951844184</v>
      </c>
      <c r="M25" s="75">
        <f>'THAM_SO_MOI'!$C$15*'THAM_SO_MOI'!$C$16*F25^2</f>
        <v>5.065148617719318</v>
      </c>
      <c r="N25" s="75">
        <f>'THAM_SO_MOI'!$C$12*I25</f>
        <v>1130.112</v>
      </c>
      <c r="O25" s="75">
        <f>M25+N25</f>
        <v>1135.1771486177195</v>
      </c>
      <c r="P25" s="75">
        <f>(MIN(L25,'THAM_SO_MOI'!$C$41)-O25)/('THAM_SO_MOI'!$C$11*H25)</f>
        <v>0.7632451335320513</v>
      </c>
      <c r="Q25" s="75">
        <f>IF(P25&gt;0,1/P25,NA())</f>
        <v>1.3101950553845314</v>
      </c>
      <c r="R25" s="75">
        <f>F25-F24</f>
        <v>0.0035133136094673834</v>
      </c>
      <c r="S25" s="75">
        <f>0.5*(Q24+Q25)*R25</f>
        <v>0.004605171643252772</v>
      </c>
      <c r="T25" s="75">
        <f>0.5*(F24*Q24+F25*Q25)*R25</f>
        <v>0.006051995428806851</v>
      </c>
      <c r="U25" s="76">
        <f>U24+S25</f>
        <v>0.08821313419460361</v>
      </c>
      <c r="V25" s="76">
        <f>V24+T25</f>
        <v>0.11312963994737119</v>
      </c>
    </row>
    <row r="26" spans="1:22" ht="19" customHeight="1">
      <c r="A26" s="68" t="s">
        <v>368</v>
      </c>
      <c r="B26" s="74">
        <v>1</v>
      </c>
      <c r="C26" s="68" t="s">
        <v>363</v>
      </c>
      <c r="D26" s="68" t="s">
        <v>364</v>
      </c>
      <c r="E26" s="75">
        <f>60*F26*'THAM_SO_MOI'!$C$49/(2*PI()*'THAM_SO_MOI'!$C$26)</f>
        <v>845.0000000000002</v>
      </c>
      <c r="F26" s="75">
        <f>'THAM_SO_MOI'!$E$49+('THAM_SO_MOI'!$F$49-'THAM_SO_MOI'!$E$49)*20/'THAM_SO_MOI'!$C$42</f>
        <v>1.3194444444444446</v>
      </c>
      <c r="G26" s="75">
        <f>3.6*F26</f>
        <v>4.750000000000001</v>
      </c>
      <c r="H26" s="75">
        <f>'THAM_SO_MOI'!$D$49</f>
        <v>3.1625000000000005</v>
      </c>
      <c r="I26" s="75">
        <f>IF(F26&gt;'THAM_SO_MOI'!$C$14,'THAM_SO_MOI'!$C$13*(1+F26^2/1500),'THAM_SO_MOI'!$C$13)</f>
        <v>0.015</v>
      </c>
      <c r="J26" s="75">
        <f>'THAM_SO_MOI'!$C$40*('THAM_SO_MOI'!$C$23*(E26/'THAM_SO_MOI'!$C$22)+'THAM_SO_MOI'!$C$24*(E26/'THAM_SO_MOI'!$C$22)^2-'THAM_SO_MOI'!$C$25*(E26/'THAM_SO_MOI'!$C$22)^3)</f>
        <v>30.55774416296406</v>
      </c>
      <c r="K26" s="75">
        <f>'THAM_SO_MOI'!$C$31*J26/E26</f>
        <v>345.39647415228694</v>
      </c>
      <c r="L26" s="75">
        <f>K26*'THAM_SO_MOI'!$C$49*'THAM_SO_MOI'!$C$17/'THAM_SO_MOI'!$C$26</f>
        <v>19689.334793967148</v>
      </c>
      <c r="M26" s="75">
        <f>'THAM_SO_MOI'!$C$15*'THAM_SO_MOI'!$C$16*F26^2</f>
        <v>5.0922309027777795</v>
      </c>
      <c r="N26" s="75">
        <f>'THAM_SO_MOI'!$C$12*I26</f>
        <v>1130.112</v>
      </c>
      <c r="O26" s="75">
        <f>M26+N26</f>
        <v>1135.204230902778</v>
      </c>
      <c r="P26" s="75">
        <f>(MIN(L26,'THAM_SO_MOI'!$C$41)-O26)/('THAM_SO_MOI'!$C$11*H26)</f>
        <v>0.7639217129061415</v>
      </c>
      <c r="Q26" s="75">
        <f>IF(P26&gt;0,1/P26,NA())</f>
        <v>1.3090346603656022</v>
      </c>
      <c r="R26" s="75">
        <f>F26-F25</f>
        <v>0.0035133136094676054</v>
      </c>
      <c r="S26" s="75">
        <f>0.5*(Q25+Q26)*R26</f>
        <v>0.004601087703333456</v>
      </c>
      <c r="T26" s="75">
        <f>0.5*(F25*Q25+F26*Q26)*R26</f>
        <v>0.0060627934957447425</v>
      </c>
      <c r="U26" s="76">
        <f>U25+S26</f>
        <v>0.09281422189793706</v>
      </c>
      <c r="V26" s="76">
        <f>V25+T26</f>
        <v>0.11919243344311593</v>
      </c>
    </row>
    <row r="27" spans="1:22" ht="19" customHeight="1">
      <c r="A27" s="68" t="s">
        <v>368</v>
      </c>
      <c r="B27" s="74">
        <v>1</v>
      </c>
      <c r="C27" s="68" t="s">
        <v>363</v>
      </c>
      <c r="D27" s="68" t="s">
        <v>364</v>
      </c>
      <c r="E27" s="75">
        <f>60*F27*'THAM_SO_MOI'!$C$49/(2*PI()*'THAM_SO_MOI'!$C$26)</f>
        <v>847.2499999999999</v>
      </c>
      <c r="F27" s="75">
        <f>'THAM_SO_MOI'!$E$49+('THAM_SO_MOI'!$F$49-'THAM_SO_MOI'!$E$49)*21/'THAM_SO_MOI'!$C$42</f>
        <v>1.322957758053912</v>
      </c>
      <c r="G27" s="75">
        <f>3.6*F27</f>
        <v>4.762647928994084</v>
      </c>
      <c r="H27" s="75">
        <f>'THAM_SO_MOI'!$D$49</f>
        <v>3.1625000000000005</v>
      </c>
      <c r="I27" s="75">
        <f>IF(F27&gt;'THAM_SO_MOI'!$C$14,'THAM_SO_MOI'!$C$13*(1+F27^2/1500),'THAM_SO_MOI'!$C$13)</f>
        <v>0.015</v>
      </c>
      <c r="J27" s="75">
        <f>'THAM_SO_MOI'!$C$40*('THAM_SO_MOI'!$C$23*(E27/'THAM_SO_MOI'!$C$22)+'THAM_SO_MOI'!$C$24*(E27/'THAM_SO_MOI'!$C$22)^2-'THAM_SO_MOI'!$C$25*(E27/'THAM_SO_MOI'!$C$22)^3)</f>
        <v>30.664680979243258</v>
      </c>
      <c r="K27" s="75">
        <f>'THAM_SO_MOI'!$C$31*J27/E27</f>
        <v>345.6847267170433</v>
      </c>
      <c r="L27" s="75">
        <f>K27*'THAM_SO_MOI'!$C$49*'THAM_SO_MOI'!$C$17/'THAM_SO_MOI'!$C$26</f>
        <v>19705.766638752586</v>
      </c>
      <c r="M27" s="75">
        <f>'THAM_SO_MOI'!$C$15*'THAM_SO_MOI'!$C$16*F27^2</f>
        <v>5.119385396565472</v>
      </c>
      <c r="N27" s="75">
        <f>'THAM_SO_MOI'!$C$12*I27</f>
        <v>1130.112</v>
      </c>
      <c r="O27" s="75">
        <f>M27+N27</f>
        <v>1135.2313853965657</v>
      </c>
      <c r="P27" s="75">
        <f>(MIN(L27,'THAM_SO_MOI'!$C$41)-O27)/('THAM_SO_MOI'!$C$11*H27)</f>
        <v>0.7645971365841574</v>
      </c>
      <c r="Q27" s="75">
        <f>IF(P27&gt;0,1/P27,NA())</f>
        <v>1.3078782958402204</v>
      </c>
      <c r="R27" s="75">
        <f>F27-F26</f>
        <v>0.0035133136094673834</v>
      </c>
      <c r="S27" s="75">
        <f>0.5*(Q26+Q27)*R27</f>
        <v>0.00459701795191472</v>
      </c>
      <c r="T27" s="75">
        <f>0.5*(F26*Q26+F27*Q27)*R27</f>
        <v>0.0060735816121724445</v>
      </c>
      <c r="U27" s="76">
        <f>U26+S27</f>
        <v>0.09741123984985178</v>
      </c>
      <c r="V27" s="76">
        <f>V26+T27</f>
        <v>0.12526601505528837</v>
      </c>
    </row>
    <row r="28" spans="1:22" ht="19" customHeight="1">
      <c r="A28" s="68" t="s">
        <v>368</v>
      </c>
      <c r="B28" s="74">
        <v>1</v>
      </c>
      <c r="C28" s="68" t="s">
        <v>363</v>
      </c>
      <c r="D28" s="68" t="s">
        <v>364</v>
      </c>
      <c r="E28" s="75">
        <f>60*F28*'THAM_SO_MOI'!$C$49/(2*PI()*'THAM_SO_MOI'!$C$26)</f>
        <v>849.4999999999999</v>
      </c>
      <c r="F28" s="75">
        <f>'THAM_SO_MOI'!$E$49+('THAM_SO_MOI'!$F$49-'THAM_SO_MOI'!$E$49)*22/'THAM_SO_MOI'!$C$42</f>
        <v>1.3264710716633794</v>
      </c>
      <c r="G28" s="75">
        <f>3.6*F28</f>
        <v>4.775295857988166</v>
      </c>
      <c r="H28" s="75">
        <f>'THAM_SO_MOI'!$D$49</f>
        <v>3.1625000000000005</v>
      </c>
      <c r="I28" s="75">
        <f>IF(F28&gt;'THAM_SO_MOI'!$C$14,'THAM_SO_MOI'!$C$13*(1+F28^2/1500),'THAM_SO_MOI'!$C$13)</f>
        <v>0.015</v>
      </c>
      <c r="J28" s="75">
        <f>'THAM_SO_MOI'!$C$40*('THAM_SO_MOI'!$C$23*(E28/'THAM_SO_MOI'!$C$22)+'THAM_SO_MOI'!$C$24*(E28/'THAM_SO_MOI'!$C$22)^2-'THAM_SO_MOI'!$C$25*(E28/'THAM_SO_MOI'!$C$22)^3)</f>
        <v>30.77170992259789</v>
      </c>
      <c r="K28" s="75">
        <f>'THAM_SO_MOI'!$C$31*J28/E28</f>
        <v>345.9724881437409</v>
      </c>
      <c r="L28" s="75">
        <f>K28*'THAM_SO_MOI'!$C$49*'THAM_SO_MOI'!$C$17/'THAM_SO_MOI'!$C$26</f>
        <v>19722.17048620049</v>
      </c>
      <c r="M28" s="75">
        <f>'THAM_SO_MOI'!$C$15*'THAM_SO_MOI'!$C$16*F28^2</f>
        <v>5.1466120990823985</v>
      </c>
      <c r="N28" s="75">
        <f>'THAM_SO_MOI'!$C$12*I28</f>
        <v>1130.112</v>
      </c>
      <c r="O28" s="75">
        <f>M28+N28</f>
        <v>1135.2586120990825</v>
      </c>
      <c r="P28" s="75">
        <f>(MIN(L28,'THAM_SO_MOI'!$C$41)-O28)/('THAM_SO_MOI'!$C$11*H28)</f>
        <v>0.7652714045660988</v>
      </c>
      <c r="Q28" s="75">
        <f>IF(P28&gt;0,1/P28,NA())</f>
        <v>1.3067259458975735</v>
      </c>
      <c r="R28" s="75">
        <f>F28-F27</f>
        <v>0.0035133136094673834</v>
      </c>
      <c r="S28" s="75">
        <f>0.5*(Q27+Q28)*R28</f>
        <v>0.00459296233293427</v>
      </c>
      <c r="T28" s="75">
        <f>0.5*(F27*Q27+F28*Q28)*R28</f>
        <v>0.0060843598533696685</v>
      </c>
      <c r="U28" s="76">
        <f>U27+S28</f>
        <v>0.10200420218278605</v>
      </c>
      <c r="V28" s="76">
        <f>V27+T28</f>
        <v>0.13135037490865803</v>
      </c>
    </row>
    <row r="29" spans="1:22" ht="19" customHeight="1">
      <c r="A29" s="68" t="s">
        <v>368</v>
      </c>
      <c r="B29" s="74">
        <v>1</v>
      </c>
      <c r="C29" s="68" t="s">
        <v>363</v>
      </c>
      <c r="D29" s="68" t="s">
        <v>364</v>
      </c>
      <c r="E29" s="75">
        <f>60*F29*'THAM_SO_MOI'!$C$49/(2*PI()*'THAM_SO_MOI'!$C$26)</f>
        <v>851.75</v>
      </c>
      <c r="F29" s="75">
        <f>'THAM_SO_MOI'!$E$49+('THAM_SO_MOI'!$F$49-'THAM_SO_MOI'!$E$49)*23/'THAM_SO_MOI'!$C$42</f>
        <v>1.329984385272847</v>
      </c>
      <c r="G29" s="75">
        <f>3.6*F29</f>
        <v>4.787943786982249</v>
      </c>
      <c r="H29" s="75">
        <f>'THAM_SO_MOI'!$D$49</f>
        <v>3.1625000000000005</v>
      </c>
      <c r="I29" s="75">
        <f>IF(F29&gt;'THAM_SO_MOI'!$C$14,'THAM_SO_MOI'!$C$13*(1+F29^2/1500),'THAM_SO_MOI'!$C$13)</f>
        <v>0.015</v>
      </c>
      <c r="J29" s="75">
        <f>'THAM_SO_MOI'!$C$40*('THAM_SO_MOI'!$C$23*(E29/'THAM_SO_MOI'!$C$22)+'THAM_SO_MOI'!$C$24*(E29/'THAM_SO_MOI'!$C$22)^2-'THAM_SO_MOI'!$C$25*(E29/'THAM_SO_MOI'!$C$22)^3)</f>
        <v>30.878830645928396</v>
      </c>
      <c r="K29" s="75">
        <f>'THAM_SO_MOI'!$C$31*J29/E29</f>
        <v>346.2597584323796</v>
      </c>
      <c r="L29" s="75">
        <f>K29*'THAM_SO_MOI'!$C$49*'THAM_SO_MOI'!$C$17/'THAM_SO_MOI'!$C$26</f>
        <v>19738.546336310857</v>
      </c>
      <c r="M29" s="75">
        <f>'THAM_SO_MOI'!$C$15*'THAM_SO_MOI'!$C$16*F29^2</f>
        <v>5.173911010328559</v>
      </c>
      <c r="N29" s="75">
        <f>'THAM_SO_MOI'!$C$12*I29</f>
        <v>1130.112</v>
      </c>
      <c r="O29" s="75">
        <f>M29+N29</f>
        <v>1135.2859110103286</v>
      </c>
      <c r="P29" s="75">
        <f>(MIN(L29,'THAM_SO_MOI'!$C$41)-O29)/('THAM_SO_MOI'!$C$11*H29)</f>
        <v>0.765944516851965</v>
      </c>
      <c r="Q29" s="75">
        <f>IF(P29&gt;0,1/P29,NA())</f>
        <v>1.3055775947192676</v>
      </c>
      <c r="R29" s="75">
        <f>F29-F28</f>
        <v>0.0035133136094676054</v>
      </c>
      <c r="S29" s="75">
        <f>0.5*(Q28+Q29)*R29</f>
        <v>0.004588920790654779</v>
      </c>
      <c r="T29" s="75">
        <f>0.5*(F28*Q28+F29*Q29)*R29</f>
        <v>0.006095128294259902</v>
      </c>
      <c r="U29" s="76">
        <f>U28+S29</f>
        <v>0.10659312297344083</v>
      </c>
      <c r="V29" s="76">
        <f>V28+T29</f>
        <v>0.13744550320291793</v>
      </c>
    </row>
    <row r="30" spans="1:22" ht="19" customHeight="1">
      <c r="A30" s="68" t="s">
        <v>368</v>
      </c>
      <c r="B30" s="74">
        <v>1</v>
      </c>
      <c r="C30" s="68" t="s">
        <v>363</v>
      </c>
      <c r="D30" s="68" t="s">
        <v>364</v>
      </c>
      <c r="E30" s="75">
        <f>60*F30*'THAM_SO_MOI'!$C$49/(2*PI()*'THAM_SO_MOI'!$C$26)</f>
        <v>854.0</v>
      </c>
      <c r="F30" s="75">
        <f>'THAM_SO_MOI'!$E$49+('THAM_SO_MOI'!$F$49-'THAM_SO_MOI'!$E$49)*24/'THAM_SO_MOI'!$C$42</f>
        <v>1.3334976988823144</v>
      </c>
      <c r="G30" s="75">
        <f>3.6*F30</f>
        <v>4.800591715976332</v>
      </c>
      <c r="H30" s="75">
        <f>'THAM_SO_MOI'!$D$49</f>
        <v>3.1625000000000005</v>
      </c>
      <c r="I30" s="75">
        <f>IF(F30&gt;'THAM_SO_MOI'!$C$14,'THAM_SO_MOI'!$C$13*(1+F30^2/1500),'THAM_SO_MOI'!$C$13)</f>
        <v>0.015</v>
      </c>
      <c r="J30" s="75">
        <f>'THAM_SO_MOI'!$C$40*('THAM_SO_MOI'!$C$23*(E30/'THAM_SO_MOI'!$C$22)+'THAM_SO_MOI'!$C$24*(E30/'THAM_SO_MOI'!$C$22)^2-'THAM_SO_MOI'!$C$25*(E30/'THAM_SO_MOI'!$C$22)^3)</f>
        <v>30.986042802135245</v>
      </c>
      <c r="K30" s="75">
        <f>'THAM_SO_MOI'!$C$31*J30/E30</f>
        <v>346.5465375829598</v>
      </c>
      <c r="L30" s="75">
        <f>K30*'THAM_SO_MOI'!$C$49*'THAM_SO_MOI'!$C$17/'THAM_SO_MOI'!$C$26</f>
        <v>19754.89418908371</v>
      </c>
      <c r="M30" s="75">
        <f>'THAM_SO_MOI'!$C$15*'THAM_SO_MOI'!$C$16*F30^2</f>
        <v>5.201282130303952</v>
      </c>
      <c r="N30" s="75">
        <f>'THAM_SO_MOI'!$C$12*I30</f>
        <v>1130.112</v>
      </c>
      <c r="O30" s="75">
        <f>M30+N30</f>
        <v>1135.313282130304</v>
      </c>
      <c r="P30" s="75">
        <f>(MIN(L30,'THAM_SO_MOI'!$C$41)-O30)/('THAM_SO_MOI'!$C$11*H30)</f>
        <v>0.7666164734417573</v>
      </c>
      <c r="Q30" s="75">
        <f>IF(P30&gt;0,1/P30,NA())</f>
        <v>1.3044332265786793</v>
      </c>
      <c r="R30" s="75">
        <f>F30-F29</f>
        <v>0.0035133136094673834</v>
      </c>
      <c r="S30" s="75">
        <f>0.5*(Q29+Q30)*R30</f>
        <v>0.0045848932696616095</v>
      </c>
      <c r="T30" s="75">
        <f>0.5*(F29*Q29+F30*Q30)*R30</f>
        <v>0.006105887009413074</v>
      </c>
      <c r="U30" s="76">
        <f>U29+S30</f>
        <v>0.11117801624310243</v>
      </c>
      <c r="V30" s="76">
        <f>V29+T30</f>
        <v>0.14355139021233101</v>
      </c>
    </row>
    <row r="31" spans="1:22" ht="19" customHeight="1">
      <c r="A31" s="68" t="s">
        <v>368</v>
      </c>
      <c r="B31" s="74">
        <v>1</v>
      </c>
      <c r="C31" s="68" t="s">
        <v>363</v>
      </c>
      <c r="D31" s="68" t="s">
        <v>364</v>
      </c>
      <c r="E31" s="75">
        <f>60*F31*'THAM_SO_MOI'!$C$49/(2*PI()*'THAM_SO_MOI'!$C$26)</f>
        <v>856.2499999999999</v>
      </c>
      <c r="F31" s="75">
        <f>'THAM_SO_MOI'!$E$49+('THAM_SO_MOI'!$F$49-'THAM_SO_MOI'!$E$49)*25/'THAM_SO_MOI'!$C$42</f>
        <v>1.3370110124917818</v>
      </c>
      <c r="G31" s="75">
        <f>3.6*F31</f>
        <v>4.813239644970414</v>
      </c>
      <c r="H31" s="75">
        <f>'THAM_SO_MOI'!$D$49</f>
        <v>3.1625000000000005</v>
      </c>
      <c r="I31" s="75">
        <f>IF(F31&gt;'THAM_SO_MOI'!$C$14,'THAM_SO_MOI'!$C$13*(1+F31^2/1500),'THAM_SO_MOI'!$C$13)</f>
        <v>0.015</v>
      </c>
      <c r="J31" s="75">
        <f>'THAM_SO_MOI'!$C$40*('THAM_SO_MOI'!$C$23*(E31/'THAM_SO_MOI'!$C$22)+'THAM_SO_MOI'!$C$24*(E31/'THAM_SO_MOI'!$C$22)^2-'THAM_SO_MOI'!$C$25*(E31/'THAM_SO_MOI'!$C$22)^3)</f>
        <v>31.09334604411887</v>
      </c>
      <c r="K31" s="75">
        <f>'THAM_SO_MOI'!$C$31*J31/E31</f>
        <v>346.83282559548104</v>
      </c>
      <c r="L31" s="75">
        <f>K31*'THAM_SO_MOI'!$C$49*'THAM_SO_MOI'!$C$17/'THAM_SO_MOI'!$C$26</f>
        <v>19771.214044519013</v>
      </c>
      <c r="M31" s="75">
        <f>'THAM_SO_MOI'!$C$15*'THAM_SO_MOI'!$C$16*F31^2</f>
        <v>5.228725459008577</v>
      </c>
      <c r="N31" s="75">
        <f>'THAM_SO_MOI'!$C$12*I31</f>
        <v>1130.112</v>
      </c>
      <c r="O31" s="75">
        <f>M31+N31</f>
        <v>1135.3407254590086</v>
      </c>
      <c r="P31" s="75">
        <f>(MIN(L31,'THAM_SO_MOI'!$C$41)-O31)/('THAM_SO_MOI'!$C$11*H31)</f>
        <v>0.7672872743354743</v>
      </c>
      <c r="Q31" s="75">
        <f>IF(P31&gt;0,1/P31,NA())</f>
        <v>1.3032928258403238</v>
      </c>
      <c r="R31" s="75">
        <f>F31-F30</f>
        <v>0.0035133136094673834</v>
      </c>
      <c r="S31" s="75">
        <f>0.5*(Q30+Q31)*R31</f>
        <v>0.004580879714863169</v>
      </c>
      <c r="T31" s="75">
        <f>0.5*(F30*Q30+F31*Q31)*R31</f>
        <v>0.006116636073051706</v>
      </c>
      <c r="U31" s="76">
        <f>U30+S31</f>
        <v>0.1157588959579656</v>
      </c>
      <c r="V31" s="76">
        <f>V30+T31</f>
        <v>0.14966802628538273</v>
      </c>
    </row>
    <row r="32" spans="1:22" ht="19" customHeight="1">
      <c r="A32" s="68" t="s">
        <v>368</v>
      </c>
      <c r="B32" s="74">
        <v>1</v>
      </c>
      <c r="C32" s="68" t="s">
        <v>363</v>
      </c>
      <c r="D32" s="68" t="s">
        <v>364</v>
      </c>
      <c r="E32" s="75">
        <f>60*F32*'THAM_SO_MOI'!$C$49/(2*PI()*'THAM_SO_MOI'!$C$26)</f>
        <v>858.5000000000001</v>
      </c>
      <c r="F32" s="75">
        <f>'THAM_SO_MOI'!$E$49+('THAM_SO_MOI'!$F$49-'THAM_SO_MOI'!$E$49)*26/'THAM_SO_MOI'!$C$42</f>
        <v>1.3405243261012494</v>
      </c>
      <c r="G32" s="75">
        <f>3.6*F32</f>
        <v>4.825887573964498</v>
      </c>
      <c r="H32" s="75">
        <f>'THAM_SO_MOI'!$D$49</f>
        <v>3.1625000000000005</v>
      </c>
      <c r="I32" s="75">
        <f>IF(F32&gt;'THAM_SO_MOI'!$C$14,'THAM_SO_MOI'!$C$13*(1+F32^2/1500),'THAM_SO_MOI'!$C$13)</f>
        <v>0.015</v>
      </c>
      <c r="J32" s="75">
        <f>'THAM_SO_MOI'!$C$40*('THAM_SO_MOI'!$C$23*(E32/'THAM_SO_MOI'!$C$22)+'THAM_SO_MOI'!$C$24*(E32/'THAM_SO_MOI'!$C$22)^2-'THAM_SO_MOI'!$C$25*(E32/'THAM_SO_MOI'!$C$22)^3)</f>
        <v>31.200740024779744</v>
      </c>
      <c r="K32" s="75">
        <f>'THAM_SO_MOI'!$C$31*J32/E32</f>
        <v>347.1186224699435</v>
      </c>
      <c r="L32" s="75">
        <f>K32*'THAM_SO_MOI'!$C$49*'THAM_SO_MOI'!$C$17/'THAM_SO_MOI'!$C$26</f>
        <v>19787.50590261679</v>
      </c>
      <c r="M32" s="75">
        <f>'THAM_SO_MOI'!$C$15*'THAM_SO_MOI'!$C$16*F32^2</f>
        <v>5.256240996442436</v>
      </c>
      <c r="N32" s="75">
        <f>'THAM_SO_MOI'!$C$12*I32</f>
        <v>1130.112</v>
      </c>
      <c r="O32" s="75">
        <f>M32+N32</f>
        <v>1135.3682409964424</v>
      </c>
      <c r="P32" s="75">
        <f>(MIN(L32,'THAM_SO_MOI'!$C$41)-O32)/('THAM_SO_MOI'!$C$11*H32)</f>
        <v>0.7679569195331171</v>
      </c>
      <c r="Q32" s="75">
        <f>IF(P32&gt;0,1/P32,NA())</f>
        <v>1.3021563769592108</v>
      </c>
      <c r="R32" s="75">
        <f>F32-F31</f>
        <v>0.0035133136094676054</v>
      </c>
      <c r="S32" s="75">
        <f>0.5*(Q31+Q32)*R32</f>
        <v>0.004576880071486064</v>
      </c>
      <c r="T32" s="75">
        <f>0.5*(F31*Q31+F32*Q32)*R32</f>
        <v>0.006127375559050095</v>
      </c>
      <c r="U32" s="76">
        <f>U31+S32</f>
        <v>0.12033577602945165</v>
      </c>
      <c r="V32" s="76">
        <f>V31+T32</f>
        <v>0.15579540184443283</v>
      </c>
    </row>
    <row r="33" spans="1:22" ht="19" customHeight="1">
      <c r="A33" s="68" t="s">
        <v>368</v>
      </c>
      <c r="B33" s="74">
        <v>1</v>
      </c>
      <c r="C33" s="68" t="s">
        <v>363</v>
      </c>
      <c r="D33" s="68" t="s">
        <v>364</v>
      </c>
      <c r="E33" s="75">
        <f>60*F33*'THAM_SO_MOI'!$C$49/(2*PI()*'THAM_SO_MOI'!$C$26)</f>
        <v>860.7499999999999</v>
      </c>
      <c r="F33" s="75">
        <f>'THAM_SO_MOI'!$E$49+('THAM_SO_MOI'!$F$49-'THAM_SO_MOI'!$E$49)*27/'THAM_SO_MOI'!$C$42</f>
        <v>1.3440376397107168</v>
      </c>
      <c r="G33" s="75">
        <f>3.6*F33</f>
        <v>4.838535502958581</v>
      </c>
      <c r="H33" s="75">
        <f>'THAM_SO_MOI'!$D$49</f>
        <v>3.1625000000000005</v>
      </c>
      <c r="I33" s="75">
        <f>IF(F33&gt;'THAM_SO_MOI'!$C$14,'THAM_SO_MOI'!$C$13*(1+F33^2/1500),'THAM_SO_MOI'!$C$13)</f>
        <v>0.015</v>
      </c>
      <c r="J33" s="75">
        <f>'THAM_SO_MOI'!$C$40*('THAM_SO_MOI'!$C$23*(E33/'THAM_SO_MOI'!$C$22)+'THAM_SO_MOI'!$C$24*(E33/'THAM_SO_MOI'!$C$22)^2-'THAM_SO_MOI'!$C$25*(E33/'THAM_SO_MOI'!$C$22)^3)</f>
        <v>31.3082243970183</v>
      </c>
      <c r="K33" s="75">
        <f>'THAM_SO_MOI'!$C$31*J33/E33</f>
        <v>347.40392820634713</v>
      </c>
      <c r="L33" s="75">
        <f>K33*'THAM_SO_MOI'!$C$49*'THAM_SO_MOI'!$C$17/'THAM_SO_MOI'!$C$26</f>
        <v>19803.76976337703</v>
      </c>
      <c r="M33" s="75">
        <f>'THAM_SO_MOI'!$C$15*'THAM_SO_MOI'!$C$16*F33^2</f>
        <v>5.283828742605527</v>
      </c>
      <c r="N33" s="75">
        <f>'THAM_SO_MOI'!$C$12*I33</f>
        <v>1130.112</v>
      </c>
      <c r="O33" s="75">
        <f>M33+N33</f>
        <v>1135.3958287426055</v>
      </c>
      <c r="P33" s="75">
        <f>(MIN(L33,'THAM_SO_MOI'!$C$41)-O33)/('THAM_SO_MOI'!$C$11*H33)</f>
        <v>0.7686254090346846</v>
      </c>
      <c r="Q33" s="75">
        <f>IF(P33&gt;0,1/P33,NA())</f>
        <v>1.3010238644802263</v>
      </c>
      <c r="R33" s="75">
        <f>F33-F32</f>
        <v>0.0035133136094673834</v>
      </c>
      <c r="S33" s="75">
        <f>0.5*(Q32+Q33)*R33</f>
        <v>0.004572894285072882</v>
      </c>
      <c r="T33" s="75">
        <f>0.5*(F32*Q32+F33*Q33)*R33</f>
        <v>0.006138105540936928</v>
      </c>
      <c r="U33" s="76">
        <f>U32+S33</f>
        <v>0.12490867031452453</v>
      </c>
      <c r="V33" s="76">
        <f>V32+T33</f>
        <v>0.16193350738536977</v>
      </c>
    </row>
    <row r="34" spans="1:22" ht="19" customHeight="1">
      <c r="A34" s="68" t="s">
        <v>368</v>
      </c>
      <c r="B34" s="74">
        <v>1</v>
      </c>
      <c r="C34" s="68" t="s">
        <v>363</v>
      </c>
      <c r="D34" s="68" t="s">
        <v>364</v>
      </c>
      <c r="E34" s="75">
        <f>60*F34*'THAM_SO_MOI'!$C$49/(2*PI()*'THAM_SO_MOI'!$C$26)</f>
        <v>863.0</v>
      </c>
      <c r="F34" s="75">
        <f>'THAM_SO_MOI'!$E$49+('THAM_SO_MOI'!$F$49-'THAM_SO_MOI'!$E$49)*28/'THAM_SO_MOI'!$C$42</f>
        <v>1.3475509533201842</v>
      </c>
      <c r="G34" s="75">
        <f>3.6*F34</f>
        <v>4.851183431952663</v>
      </c>
      <c r="H34" s="75">
        <f>'THAM_SO_MOI'!$D$49</f>
        <v>3.1625000000000005</v>
      </c>
      <c r="I34" s="75">
        <f>IF(F34&gt;'THAM_SO_MOI'!$C$14,'THAM_SO_MOI'!$C$13*(1+F34^2/1500),'THAM_SO_MOI'!$C$13)</f>
        <v>0.015</v>
      </c>
      <c r="J34" s="75">
        <f>'THAM_SO_MOI'!$C$40*('THAM_SO_MOI'!$C$23*(E34/'THAM_SO_MOI'!$C$22)+'THAM_SO_MOI'!$C$24*(E34/'THAM_SO_MOI'!$C$22)^2-'THAM_SO_MOI'!$C$25*(E34/'THAM_SO_MOI'!$C$22)^3)</f>
        <v>31.415798813735027</v>
      </c>
      <c r="K34" s="75">
        <f>'THAM_SO_MOI'!$C$31*J34/E34</f>
        <v>347.688742804692</v>
      </c>
      <c r="L34" s="75">
        <f>K34*'THAM_SO_MOI'!$C$49*'THAM_SO_MOI'!$C$17/'THAM_SO_MOI'!$C$26</f>
        <v>19820.00562679974</v>
      </c>
      <c r="M34" s="75">
        <f>'THAM_SO_MOI'!$C$15*'THAM_SO_MOI'!$C$16*F34^2</f>
        <v>5.311488697497851</v>
      </c>
      <c r="N34" s="75">
        <f>'THAM_SO_MOI'!$C$12*I34</f>
        <v>1130.112</v>
      </c>
      <c r="O34" s="75">
        <f>M34+N34</f>
        <v>1135.423488697498</v>
      </c>
      <c r="P34" s="75">
        <f>(MIN(L34,'THAM_SO_MOI'!$C$41)-O34)/('THAM_SO_MOI'!$C$11*H34)</f>
        <v>0.7692927428401778</v>
      </c>
      <c r="Q34" s="75">
        <f>IF(P34&gt;0,1/P34,NA())</f>
        <v>1.2998952730374997</v>
      </c>
      <c r="R34" s="75">
        <f>F34-F33</f>
        <v>0.0035133136094673834</v>
      </c>
      <c r="S34" s="75">
        <f>0.5*(Q33+Q34)*R34</f>
        <v>0.004568922301482598</v>
      </c>
      <c r="T34" s="75">
        <f>0.5*(F33*Q33+F34*Q34)*R34</f>
        <v>0.006148826091901376</v>
      </c>
      <c r="U34" s="76">
        <f>U33+S34</f>
        <v>0.12947759261600714</v>
      </c>
      <c r="V34" s="76">
        <f>V33+T34</f>
        <v>0.16808233347727114</v>
      </c>
    </row>
    <row r="35" spans="1:22" ht="19" customHeight="1">
      <c r="A35" s="68" t="s">
        <v>368</v>
      </c>
      <c r="B35" s="74">
        <v>1</v>
      </c>
      <c r="C35" s="68" t="s">
        <v>363</v>
      </c>
      <c r="D35" s="68" t="s">
        <v>364</v>
      </c>
      <c r="E35" s="75">
        <f>60*F35*'THAM_SO_MOI'!$C$49/(2*PI()*'THAM_SO_MOI'!$C$26)</f>
        <v>865.2499999999999</v>
      </c>
      <c r="F35" s="75">
        <f>'THAM_SO_MOI'!$E$49+('THAM_SO_MOI'!$F$49-'THAM_SO_MOI'!$E$49)*29/'THAM_SO_MOI'!$C$42</f>
        <v>1.3510642669296515</v>
      </c>
      <c r="G35" s="75">
        <f>3.6*F35</f>
        <v>4.863831360946746</v>
      </c>
      <c r="H35" s="75">
        <f>'THAM_SO_MOI'!$D$49</f>
        <v>3.1625000000000005</v>
      </c>
      <c r="I35" s="75">
        <f>IF(F35&gt;'THAM_SO_MOI'!$C$14,'THAM_SO_MOI'!$C$13*(1+F35^2/1500),'THAM_SO_MOI'!$C$13)</f>
        <v>0.015</v>
      </c>
      <c r="J35" s="75">
        <f>'THAM_SO_MOI'!$C$40*('THAM_SO_MOI'!$C$23*(E35/'THAM_SO_MOI'!$C$22)+'THAM_SO_MOI'!$C$24*(E35/'THAM_SO_MOI'!$C$22)^2-'THAM_SO_MOI'!$C$25*(E35/'THAM_SO_MOI'!$C$22)^3)</f>
        <v>31.523462927830355</v>
      </c>
      <c r="K35" s="75">
        <f>'THAM_SO_MOI'!$C$31*J35/E35</f>
        <v>347.9730662649781</v>
      </c>
      <c r="L35" s="75">
        <f>K35*'THAM_SO_MOI'!$C$49*'THAM_SO_MOI'!$C$17/'THAM_SO_MOI'!$C$26</f>
        <v>19836.213492884915</v>
      </c>
      <c r="M35" s="75">
        <f>'THAM_SO_MOI'!$C$15*'THAM_SO_MOI'!$C$16*F35^2</f>
        <v>5.339220861119409</v>
      </c>
      <c r="N35" s="75">
        <f>'THAM_SO_MOI'!$C$12*I35</f>
        <v>1130.112</v>
      </c>
      <c r="O35" s="75">
        <f>M35+N35</f>
        <v>1135.4512208611195</v>
      </c>
      <c r="P35" s="75">
        <f>(MIN(L35,'THAM_SO_MOI'!$C$41)-O35)/('THAM_SO_MOI'!$C$11*H35)</f>
        <v>0.7699589209495963</v>
      </c>
      <c r="Q35" s="75">
        <f>IF(P35&gt;0,1/P35,NA())</f>
        <v>1.2987705873537931</v>
      </c>
      <c r="R35" s="75">
        <f>F35-F34</f>
        <v>0.0035133136094673834</v>
      </c>
      <c r="S35" s="75">
        <f>0.5*(Q34+Q35)*R35</f>
        <v>0.004564964066885498</v>
      </c>
      <c r="T35" s="75">
        <f>0.5*(F34*Q34+F35*Q35)*R35</f>
        <v>0.006159537284791807</v>
      </c>
      <c r="U35" s="76">
        <f>U34+S35</f>
        <v>0.13404255668289264</v>
      </c>
      <c r="V35" s="76">
        <f>V34+T35</f>
        <v>0.17424187076206293</v>
      </c>
    </row>
    <row r="36" spans="1:22" ht="19" customHeight="1">
      <c r="A36" s="68" t="s">
        <v>368</v>
      </c>
      <c r="B36" s="74">
        <v>1</v>
      </c>
      <c r="C36" s="68" t="s">
        <v>363</v>
      </c>
      <c r="D36" s="68" t="s">
        <v>364</v>
      </c>
      <c r="E36" s="75">
        <f>60*F36*'THAM_SO_MOI'!$C$49/(2*PI()*'THAM_SO_MOI'!$C$26)</f>
        <v>867.5000000000001</v>
      </c>
      <c r="F36" s="75">
        <f>'THAM_SO_MOI'!$E$49+('THAM_SO_MOI'!$F$49-'THAM_SO_MOI'!$E$49)*30/'THAM_SO_MOI'!$C$42</f>
        <v>1.3545775805391191</v>
      </c>
      <c r="G36" s="75">
        <f>3.6*F36</f>
        <v>4.876479289940829</v>
      </c>
      <c r="H36" s="75">
        <f>'THAM_SO_MOI'!$D$49</f>
        <v>3.1625000000000005</v>
      </c>
      <c r="I36" s="75">
        <f>IF(F36&gt;'THAM_SO_MOI'!$C$14,'THAM_SO_MOI'!$C$13*(1+F36^2/1500),'THAM_SO_MOI'!$C$13)</f>
        <v>0.015</v>
      </c>
      <c r="J36" s="75">
        <f>'THAM_SO_MOI'!$C$40*('THAM_SO_MOI'!$C$23*(E36/'THAM_SO_MOI'!$C$22)+'THAM_SO_MOI'!$C$24*(E36/'THAM_SO_MOI'!$C$22)^2-'THAM_SO_MOI'!$C$25*(E36/'THAM_SO_MOI'!$C$22)^3)</f>
        <v>31.63121639220477</v>
      </c>
      <c r="K36" s="75">
        <f>'THAM_SO_MOI'!$C$31*J36/E36</f>
        <v>348.2568985872056</v>
      </c>
      <c r="L36" s="75">
        <f>K36*'THAM_SO_MOI'!$C$49*'THAM_SO_MOI'!$C$17/'THAM_SO_MOI'!$C$26</f>
        <v>19852.39336163257</v>
      </c>
      <c r="M36" s="75">
        <f>'THAM_SO_MOI'!$C$15*'THAM_SO_MOI'!$C$16*F36^2</f>
        <v>5.3670252334702</v>
      </c>
      <c r="N36" s="75">
        <f>'THAM_SO_MOI'!$C$12*I36</f>
        <v>1130.112</v>
      </c>
      <c r="O36" s="75">
        <f>M36+N36</f>
        <v>1135.4790252334703</v>
      </c>
      <c r="P36" s="75">
        <f>(MIN(L36,'THAM_SO_MOI'!$C$41)-O36)/('THAM_SO_MOI'!$C$11*H36)</f>
        <v>0.7706239433629404</v>
      </c>
      <c r="Q36" s="75">
        <f>IF(P36&gt;0,1/P36,NA())</f>
        <v>1.2976497922398844</v>
      </c>
      <c r="R36" s="75">
        <f>F36-F35</f>
        <v>0.0035133136094676054</v>
      </c>
      <c r="S36" s="75">
        <f>0.5*(Q35+Q36)*R36</f>
        <v>0.004561019527762757</v>
      </c>
      <c r="T36" s="75">
        <f>0.5*(F35*Q35+F36*Q36)*R36</f>
        <v>0.006170239192120681</v>
      </c>
      <c r="U36" s="76">
        <f>U35+S36</f>
        <v>0.1386035762106554</v>
      </c>
      <c r="V36" s="76">
        <f>V35+T36</f>
        <v>0.1804121099541836</v>
      </c>
    </row>
    <row r="37" spans="1:22" ht="19" customHeight="1">
      <c r="A37" s="68" t="s">
        <v>368</v>
      </c>
      <c r="B37" s="74">
        <v>1</v>
      </c>
      <c r="C37" s="68" t="s">
        <v>363</v>
      </c>
      <c r="D37" s="68" t="s">
        <v>364</v>
      </c>
      <c r="E37" s="75">
        <f>60*F37*'THAM_SO_MOI'!$C$49/(2*PI()*'THAM_SO_MOI'!$C$26)</f>
        <v>869.7499999999999</v>
      </c>
      <c r="F37" s="75">
        <f>'THAM_SO_MOI'!$E$49+('THAM_SO_MOI'!$F$49-'THAM_SO_MOI'!$E$49)*31/'THAM_SO_MOI'!$C$42</f>
        <v>1.3580908941485865</v>
      </c>
      <c r="G37" s="75">
        <f>3.6*F37</f>
        <v>4.889127218934911</v>
      </c>
      <c r="H37" s="75">
        <f>'THAM_SO_MOI'!$D$49</f>
        <v>3.1625000000000005</v>
      </c>
      <c r="I37" s="75">
        <f>IF(F37&gt;'THAM_SO_MOI'!$C$14,'THAM_SO_MOI'!$C$13*(1+F37^2/1500),'THAM_SO_MOI'!$C$13)</f>
        <v>0.015</v>
      </c>
      <c r="J37" s="75">
        <f>'THAM_SO_MOI'!$C$40*('THAM_SO_MOI'!$C$23*(E37/'THAM_SO_MOI'!$C$22)+'THAM_SO_MOI'!$C$24*(E37/'THAM_SO_MOI'!$C$22)^2-'THAM_SO_MOI'!$C$25*(E37/'THAM_SO_MOI'!$C$22)^3)</f>
        <v>31.739058859758675</v>
      </c>
      <c r="K37" s="75">
        <f>'THAM_SO_MOI'!$C$31*J37/E37</f>
        <v>348.54023977137416</v>
      </c>
      <c r="L37" s="75">
        <f>K37*'THAM_SO_MOI'!$C$49*'THAM_SO_MOI'!$C$17/'THAM_SO_MOI'!$C$26</f>
        <v>19868.54523304268</v>
      </c>
      <c r="M37" s="75">
        <f>'THAM_SO_MOI'!$C$15*'THAM_SO_MOI'!$C$16*F37^2</f>
        <v>5.394901814550224</v>
      </c>
      <c r="N37" s="75">
        <f>'THAM_SO_MOI'!$C$12*I37</f>
        <v>1130.112</v>
      </c>
      <c r="O37" s="75">
        <f>M37+N37</f>
        <v>1135.5069018145502</v>
      </c>
      <c r="P37" s="75">
        <f>(MIN(L37,'THAM_SO_MOI'!$C$41)-O37)/('THAM_SO_MOI'!$C$11*H37)</f>
        <v>0.7712878100802094</v>
      </c>
      <c r="Q37" s="75">
        <f>IF(P37&gt;0,1/P37,NA())</f>
        <v>1.2965328725939618</v>
      </c>
      <c r="R37" s="75">
        <f>F37-F36</f>
        <v>0.0035133136094673834</v>
      </c>
      <c r="S37" s="75">
        <f>0.5*(Q36+Q37)*R37</f>
        <v>0.0045570886309025576</v>
      </c>
      <c r="T37" s="75">
        <f>0.5*(F36*Q36+F37*Q37)*R37</f>
        <v>0.0061809318860647465</v>
      </c>
      <c r="U37" s="76">
        <f>U36+S37</f>
        <v>0.14316066484155796</v>
      </c>
      <c r="V37" s="76">
        <f>V36+T37</f>
        <v>0.18659304184024836</v>
      </c>
    </row>
    <row r="38" spans="1:22" ht="19" customHeight="1">
      <c r="A38" s="68" t="s">
        <v>368</v>
      </c>
      <c r="B38" s="74">
        <v>1</v>
      </c>
      <c r="C38" s="68" t="s">
        <v>363</v>
      </c>
      <c r="D38" s="68" t="s">
        <v>364</v>
      </c>
      <c r="E38" s="75">
        <f>60*F38*'THAM_SO_MOI'!$C$49/(2*PI()*'THAM_SO_MOI'!$C$26)</f>
        <v>872.0</v>
      </c>
      <c r="F38" s="75">
        <f>'THAM_SO_MOI'!$E$49+('THAM_SO_MOI'!$F$49-'THAM_SO_MOI'!$E$49)*32/'THAM_SO_MOI'!$C$42</f>
        <v>1.361604207758054</v>
      </c>
      <c r="G38" s="75">
        <f>3.6*F38</f>
        <v>4.901775147928994</v>
      </c>
      <c r="H38" s="75">
        <f>'THAM_SO_MOI'!$D$49</f>
        <v>3.1625000000000005</v>
      </c>
      <c r="I38" s="75">
        <f>IF(F38&gt;'THAM_SO_MOI'!$C$14,'THAM_SO_MOI'!$C$13*(1+F38^2/1500),'THAM_SO_MOI'!$C$13)</f>
        <v>0.015</v>
      </c>
      <c r="J38" s="75">
        <f>'THAM_SO_MOI'!$C$40*('THAM_SO_MOI'!$C$23*(E38/'THAM_SO_MOI'!$C$22)+'THAM_SO_MOI'!$C$24*(E38/'THAM_SO_MOI'!$C$22)^2-'THAM_SO_MOI'!$C$25*(E38/'THAM_SO_MOI'!$C$22)^3)</f>
        <v>31.846989983392575</v>
      </c>
      <c r="K38" s="75">
        <f>'THAM_SO_MOI'!$C$31*J38/E38</f>
        <v>348.823089817484</v>
      </c>
      <c r="L38" s="75">
        <f>K38*'THAM_SO_MOI'!$C$49*'THAM_SO_MOI'!$C$17/'THAM_SO_MOI'!$C$26</f>
        <v>19884.669107115264</v>
      </c>
      <c r="M38" s="75">
        <f>'THAM_SO_MOI'!$C$15*'THAM_SO_MOI'!$C$16*F38^2</f>
        <v>5.422850604359481</v>
      </c>
      <c r="N38" s="75">
        <f>'THAM_SO_MOI'!$C$12*I38</f>
        <v>1130.112</v>
      </c>
      <c r="O38" s="75">
        <f>M38+N38</f>
        <v>1135.5348506043595</v>
      </c>
      <c r="P38" s="75">
        <f>(MIN(L38,'THAM_SO_MOI'!$C$41)-O38)/('THAM_SO_MOI'!$C$11*H38)</f>
        <v>0.771950521101404</v>
      </c>
      <c r="Q38" s="75">
        <f>IF(P38&gt;0,1/P38,NA())</f>
        <v>1.2954198134010186</v>
      </c>
      <c r="R38" s="75">
        <f>F38-F37</f>
        <v>0.0035133136094673834</v>
      </c>
      <c r="S38" s="75">
        <f>0.5*(Q37+Q38)*R38</f>
        <v>0.004553171323400852</v>
      </c>
      <c r="T38" s="75">
        <f>0.5*(F37*Q37+F38*Q38)*R38</f>
        <v>0.006191615438471474</v>
      </c>
      <c r="U38" s="76">
        <f>U37+S38</f>
        <v>0.1477138361649588</v>
      </c>
      <c r="V38" s="76">
        <f>V37+T38</f>
        <v>0.19278465727871982</v>
      </c>
    </row>
    <row r="39" spans="1:22" ht="19" customHeight="1">
      <c r="A39" s="68" t="s">
        <v>368</v>
      </c>
      <c r="B39" s="74">
        <v>1</v>
      </c>
      <c r="C39" s="68" t="s">
        <v>363</v>
      </c>
      <c r="D39" s="68" t="s">
        <v>364</v>
      </c>
      <c r="E39" s="75">
        <f>60*F39*'THAM_SO_MOI'!$C$49/(2*PI()*'THAM_SO_MOI'!$C$26)</f>
        <v>874.2499999999999</v>
      </c>
      <c r="F39" s="75">
        <f>'THAM_SO_MOI'!$E$49+('THAM_SO_MOI'!$F$49-'THAM_SO_MOI'!$E$49)*33/'THAM_SO_MOI'!$C$42</f>
        <v>1.3651175213675215</v>
      </c>
      <c r="G39" s="75">
        <f>3.6*F39</f>
        <v>4.914423076923078</v>
      </c>
      <c r="H39" s="75">
        <f>'THAM_SO_MOI'!$D$49</f>
        <v>3.1625000000000005</v>
      </c>
      <c r="I39" s="75">
        <f>IF(F39&gt;'THAM_SO_MOI'!$C$14,'THAM_SO_MOI'!$C$13*(1+F39^2/1500),'THAM_SO_MOI'!$C$13)</f>
        <v>0.015</v>
      </c>
      <c r="J39" s="75">
        <f>'THAM_SO_MOI'!$C$40*('THAM_SO_MOI'!$C$23*(E39/'THAM_SO_MOI'!$C$22)+'THAM_SO_MOI'!$C$24*(E39/'THAM_SO_MOI'!$C$22)^2-'THAM_SO_MOI'!$C$25*(E39/'THAM_SO_MOI'!$C$22)^3)</f>
        <v>31.955009416006895</v>
      </c>
      <c r="K39" s="75">
        <f>'THAM_SO_MOI'!$C$31*J39/E39</f>
        <v>349.10544872553504</v>
      </c>
      <c r="L39" s="75">
        <f>K39*'THAM_SO_MOI'!$C$49*'THAM_SO_MOI'!$C$17/'THAM_SO_MOI'!$C$26</f>
        <v>19900.764983850313</v>
      </c>
      <c r="M39" s="75">
        <f>'THAM_SO_MOI'!$C$15*'THAM_SO_MOI'!$C$16*F39^2</f>
        <v>5.450871602897972</v>
      </c>
      <c r="N39" s="75">
        <f>'THAM_SO_MOI'!$C$12*I39</f>
        <v>1130.112</v>
      </c>
      <c r="O39" s="75">
        <f>M39+N39</f>
        <v>1135.562871602898</v>
      </c>
      <c r="P39" s="75">
        <f>(MIN(L39,'THAM_SO_MOI'!$C$41)-O39)/('THAM_SO_MOI'!$C$11*H39)</f>
        <v>0.7726120764265239</v>
      </c>
      <c r="Q39" s="75">
        <f>IF(P39&gt;0,1/P39,NA())</f>
        <v>1.294310599732259</v>
      </c>
      <c r="R39" s="75">
        <f>F39-F38</f>
        <v>0.0035133136094676054</v>
      </c>
      <c r="S39" s="75">
        <f>0.5*(Q38+Q39)*R39</f>
        <v>0.004549267552656654</v>
      </c>
      <c r="T39" s="75">
        <f>0.5*(F38*Q38+F39*Q39)*R39</f>
        <v>0.0062022899208580345</v>
      </c>
      <c r="U39" s="76">
        <f>U38+S39</f>
        <v>0.15226310371761548</v>
      </c>
      <c r="V39" s="76">
        <f>V38+T39</f>
        <v>0.19898694719957785</v>
      </c>
    </row>
    <row r="40" spans="1:22" ht="19" customHeight="1">
      <c r="A40" s="68" t="s">
        <v>368</v>
      </c>
      <c r="B40" s="74">
        <v>1</v>
      </c>
      <c r="C40" s="68" t="s">
        <v>363</v>
      </c>
      <c r="D40" s="68" t="s">
        <v>364</v>
      </c>
      <c r="E40" s="75">
        <f>60*F40*'THAM_SO_MOI'!$C$49/(2*PI()*'THAM_SO_MOI'!$C$26)</f>
        <v>876.4999999999999</v>
      </c>
      <c r="F40" s="75">
        <f>'THAM_SO_MOI'!$E$49+('THAM_SO_MOI'!$F$49-'THAM_SO_MOI'!$E$49)*34/'THAM_SO_MOI'!$C$42</f>
        <v>1.368630834976989</v>
      </c>
      <c r="G40" s="75">
        <f>3.6*F40</f>
        <v>4.92707100591716</v>
      </c>
      <c r="H40" s="75">
        <f>'THAM_SO_MOI'!$D$49</f>
        <v>3.1625000000000005</v>
      </c>
      <c r="I40" s="75">
        <f>IF(F40&gt;'THAM_SO_MOI'!$C$14,'THAM_SO_MOI'!$C$13*(1+F40^2/1500),'THAM_SO_MOI'!$C$13)</f>
        <v>0.015</v>
      </c>
      <c r="J40" s="75">
        <f>'THAM_SO_MOI'!$C$40*('THAM_SO_MOI'!$C$23*(E40/'THAM_SO_MOI'!$C$22)+'THAM_SO_MOI'!$C$24*(E40/'THAM_SO_MOI'!$C$22)^2-'THAM_SO_MOI'!$C$25*(E40/'THAM_SO_MOI'!$C$22)^3)</f>
        <v>32.0631168105021</v>
      </c>
      <c r="K40" s="75">
        <f>'THAM_SO_MOI'!$C$31*J40/E40</f>
        <v>349.3873164955272</v>
      </c>
      <c r="L40" s="75">
        <f>K40*'THAM_SO_MOI'!$C$49*'THAM_SO_MOI'!$C$17/'THAM_SO_MOI'!$C$26</f>
        <v>19916.832863247822</v>
      </c>
      <c r="M40" s="75">
        <f>'THAM_SO_MOI'!$C$15*'THAM_SO_MOI'!$C$16*F40^2</f>
        <v>5.478964810165694</v>
      </c>
      <c r="N40" s="75">
        <f>'THAM_SO_MOI'!$C$12*I40</f>
        <v>1130.112</v>
      </c>
      <c r="O40" s="75">
        <f>M40+N40</f>
        <v>1135.5909648101658</v>
      </c>
      <c r="P40" s="75">
        <f>(MIN(L40,'THAM_SO_MOI'!$C$41)-O40)/('THAM_SO_MOI'!$C$11*H40)</f>
        <v>0.7732724760555687</v>
      </c>
      <c r="Q40" s="75">
        <f>IF(P40&gt;0,1/P40,NA())</f>
        <v>1.2932052167445027</v>
      </c>
      <c r="R40" s="75">
        <f>F40-F39</f>
        <v>0.0035133136094673834</v>
      </c>
      <c r="S40" s="75">
        <f>0.5*(Q39+Q40)*R40</f>
        <v>0.004545377266369957</v>
      </c>
      <c r="T40" s="75">
        <f>0.5*(F39*Q39+F40*Q40)*R40</f>
        <v>0.00621295540441379</v>
      </c>
      <c r="U40" s="76">
        <f>U39+S40</f>
        <v>0.15680848098398542</v>
      </c>
      <c r="V40" s="76">
        <f>V39+T40</f>
        <v>0.20519990260399165</v>
      </c>
    </row>
    <row r="41" spans="1:22" ht="19" customHeight="1">
      <c r="A41" s="68" t="s">
        <v>368</v>
      </c>
      <c r="B41" s="74">
        <v>1</v>
      </c>
      <c r="C41" s="68" t="s">
        <v>363</v>
      </c>
      <c r="D41" s="68" t="s">
        <v>364</v>
      </c>
      <c r="E41" s="75">
        <f>60*F41*'THAM_SO_MOI'!$C$49/(2*PI()*'THAM_SO_MOI'!$C$26)</f>
        <v>878.7499999999999</v>
      </c>
      <c r="F41" s="75">
        <f>'THAM_SO_MOI'!$E$49+('THAM_SO_MOI'!$F$49-'THAM_SO_MOI'!$E$49)*35/'THAM_SO_MOI'!$C$42</f>
        <v>1.3721441485864563</v>
      </c>
      <c r="G41" s="75">
        <f>3.6*F41</f>
        <v>4.939718934911243</v>
      </c>
      <c r="H41" s="75">
        <f>'THAM_SO_MOI'!$D$49</f>
        <v>3.1625000000000005</v>
      </c>
      <c r="I41" s="75">
        <f>IF(F41&gt;'THAM_SO_MOI'!$C$14,'THAM_SO_MOI'!$C$13*(1+F41^2/1500),'THAM_SO_MOI'!$C$13)</f>
        <v>0.015</v>
      </c>
      <c r="J41" s="75">
        <f>'THAM_SO_MOI'!$C$40*('THAM_SO_MOI'!$C$23*(E41/'THAM_SO_MOI'!$C$22)+'THAM_SO_MOI'!$C$24*(E41/'THAM_SO_MOI'!$C$22)^2-'THAM_SO_MOI'!$C$25*(E41/'THAM_SO_MOI'!$C$22)^3)</f>
        <v>32.17131181977866</v>
      </c>
      <c r="K41" s="75">
        <f>'THAM_SO_MOI'!$C$31*J41/E41</f>
        <v>349.6686931274607</v>
      </c>
      <c r="L41" s="75">
        <f>K41*'THAM_SO_MOI'!$C$49*'THAM_SO_MOI'!$C$17/'THAM_SO_MOI'!$C$26</f>
        <v>19932.872745307814</v>
      </c>
      <c r="M41" s="75">
        <f>'THAM_SO_MOI'!$C$15*'THAM_SO_MOI'!$C$16*F41^2</f>
        <v>5.50713022616265</v>
      </c>
      <c r="N41" s="75">
        <f>'THAM_SO_MOI'!$C$12*I41</f>
        <v>1130.112</v>
      </c>
      <c r="O41" s="75">
        <f>M41+N41</f>
        <v>1135.6191302261627</v>
      </c>
      <c r="P41" s="75">
        <f>(MIN(L41,'THAM_SO_MOI'!$C$41)-O41)/('THAM_SO_MOI'!$C$11*H41)</f>
        <v>0.7739317199885394</v>
      </c>
      <c r="Q41" s="75">
        <f>IF(P41&gt;0,1/P41,NA())</f>
        <v>1.2921036496795975</v>
      </c>
      <c r="R41" s="75">
        <f>F41-F40</f>
        <v>0.0035133136094673834</v>
      </c>
      <c r="S41" s="75">
        <f>0.5*(Q40+Q41)*R41</f>
        <v>0.004541500412542242</v>
      </c>
      <c r="T41" s="75">
        <f>0.5*(F40*Q40+F41*Q41)*R41</f>
        <v>0.006223611960006262</v>
      </c>
      <c r="U41" s="76">
        <f>U40+S41</f>
        <v>0.16134998139652768</v>
      </c>
      <c r="V41" s="76">
        <f>V40+T41</f>
        <v>0.2114235145639979</v>
      </c>
    </row>
    <row r="42" spans="1:22" ht="19" customHeight="1">
      <c r="A42" s="68" t="s">
        <v>368</v>
      </c>
      <c r="B42" s="74">
        <v>1</v>
      </c>
      <c r="C42" s="68" t="s">
        <v>363</v>
      </c>
      <c r="D42" s="68" t="s">
        <v>364</v>
      </c>
      <c r="E42" s="75">
        <f>60*F42*'THAM_SO_MOI'!$C$49/(2*PI()*'THAM_SO_MOI'!$C$26)</f>
        <v>881.0</v>
      </c>
      <c r="F42" s="75">
        <f>'THAM_SO_MOI'!$E$49+('THAM_SO_MOI'!$F$49-'THAM_SO_MOI'!$E$49)*36/'THAM_SO_MOI'!$C$42</f>
        <v>1.3756574621959239</v>
      </c>
      <c r="G42" s="75">
        <f>3.6*F42</f>
        <v>4.952366863905326</v>
      </c>
      <c r="H42" s="75">
        <f>'THAM_SO_MOI'!$D$49</f>
        <v>3.1625000000000005</v>
      </c>
      <c r="I42" s="75">
        <f>IF(F42&gt;'THAM_SO_MOI'!$C$14,'THAM_SO_MOI'!$C$13*(1+F42^2/1500),'THAM_SO_MOI'!$C$13)</f>
        <v>0.015</v>
      </c>
      <c r="J42" s="75">
        <f>'THAM_SO_MOI'!$C$40*('THAM_SO_MOI'!$C$23*(E42/'THAM_SO_MOI'!$C$22)+'THAM_SO_MOI'!$C$24*(E42/'THAM_SO_MOI'!$C$22)^2-'THAM_SO_MOI'!$C$25*(E42/'THAM_SO_MOI'!$C$22)^3)</f>
        <v>32.27959409673701</v>
      </c>
      <c r="K42" s="75">
        <f>'THAM_SO_MOI'!$C$31*J42/E42</f>
        <v>349.94957862133543</v>
      </c>
      <c r="L42" s="75">
        <f>K42*'THAM_SO_MOI'!$C$49*'THAM_SO_MOI'!$C$17/'THAM_SO_MOI'!$C$26</f>
        <v>19948.884630030265</v>
      </c>
      <c r="M42" s="75">
        <f>'THAM_SO_MOI'!$C$15*'THAM_SO_MOI'!$C$16*F42^2</f>
        <v>5.53536785088884</v>
      </c>
      <c r="N42" s="75">
        <f>'THAM_SO_MOI'!$C$12*I42</f>
        <v>1130.112</v>
      </c>
      <c r="O42" s="75">
        <f>M42+N42</f>
        <v>1135.647367850889</v>
      </c>
      <c r="P42" s="75">
        <f>(MIN(L42,'THAM_SO_MOI'!$C$41)-O42)/('THAM_SO_MOI'!$C$11*H42)</f>
        <v>0.7745898082254353</v>
      </c>
      <c r="Q42" s="75">
        <f>IF(P42&gt;0,1/P42,NA())</f>
        <v>1.2910058838638394</v>
      </c>
      <c r="R42" s="75">
        <f>F42-F41</f>
        <v>0.0035133136094676054</v>
      </c>
      <c r="S42" s="75">
        <f>0.5*(Q41+Q42)*R42</f>
        <v>0.004537636939471837</v>
      </c>
      <c r="T42" s="75">
        <f>0.5*(F41*Q41+F42*Q42)*R42</f>
        <v>0.006234259658180071</v>
      </c>
      <c r="U42" s="76">
        <f>U41+S42</f>
        <v>0.16588761833599952</v>
      </c>
      <c r="V42" s="76">
        <f>V41+T42</f>
        <v>0.21765777422217797</v>
      </c>
    </row>
    <row r="43" spans="1:22" ht="19" customHeight="1">
      <c r="A43" s="68" t="s">
        <v>368</v>
      </c>
      <c r="B43" s="74">
        <v>1</v>
      </c>
      <c r="C43" s="68" t="s">
        <v>363</v>
      </c>
      <c r="D43" s="68" t="s">
        <v>364</v>
      </c>
      <c r="E43" s="75">
        <f>60*F43*'THAM_SO_MOI'!$C$49/(2*PI()*'THAM_SO_MOI'!$C$26)</f>
        <v>883.2499999999999</v>
      </c>
      <c r="F43" s="75">
        <f>'THAM_SO_MOI'!$E$49+('THAM_SO_MOI'!$F$49-'THAM_SO_MOI'!$E$49)*37/'THAM_SO_MOI'!$C$42</f>
        <v>1.3791707758053913</v>
      </c>
      <c r="G43" s="75">
        <f>3.6*F43</f>
        <v>4.965014792899408</v>
      </c>
      <c r="H43" s="75">
        <f>'THAM_SO_MOI'!$D$49</f>
        <v>3.1625000000000005</v>
      </c>
      <c r="I43" s="75">
        <f>IF(F43&gt;'THAM_SO_MOI'!$C$14,'THAM_SO_MOI'!$C$13*(1+F43^2/1500),'THAM_SO_MOI'!$C$13)</f>
        <v>0.015</v>
      </c>
      <c r="J43" s="75">
        <f>'THAM_SO_MOI'!$C$40*('THAM_SO_MOI'!$C$23*(E43/'THAM_SO_MOI'!$C$22)+'THAM_SO_MOI'!$C$24*(E43/'THAM_SO_MOI'!$C$22)^2-'THAM_SO_MOI'!$C$25*(E43/'THAM_SO_MOI'!$C$22)^3)</f>
        <v>32.387963294277604</v>
      </c>
      <c r="K43" s="75">
        <f>'THAM_SO_MOI'!$C$31*J43/E43</f>
        <v>350.2299729771513</v>
      </c>
      <c r="L43" s="75">
        <f>K43*'THAM_SO_MOI'!$C$49*'THAM_SO_MOI'!$C$17/'THAM_SO_MOI'!$C$26</f>
        <v>19964.86851741518</v>
      </c>
      <c r="M43" s="75">
        <f>'THAM_SO_MOI'!$C$15*'THAM_SO_MOI'!$C$16*F43^2</f>
        <v>5.5636776843442615</v>
      </c>
      <c r="N43" s="75">
        <f>'THAM_SO_MOI'!$C$12*I43</f>
        <v>1130.112</v>
      </c>
      <c r="O43" s="75">
        <f>M43+N43</f>
        <v>1135.6756776843442</v>
      </c>
      <c r="P43" s="75">
        <f>(MIN(L43,'THAM_SO_MOI'!$C$41)-O43)/('THAM_SO_MOI'!$C$11*H43)</f>
        <v>0.7752467407662562</v>
      </c>
      <c r="Q43" s="75">
        <f>IF(P43&gt;0,1/P43,NA())</f>
        <v>1.2899119047073928</v>
      </c>
      <c r="R43" s="75">
        <f>F43-F42</f>
        <v>0.0035133136094673834</v>
      </c>
      <c r="S43" s="75">
        <f>0.5*(Q42+Q43)*R43</f>
        <v>0.004533786795751887</v>
      </c>
      <c r="T43" s="75">
        <f>0.5*(F42*Q42+F43*Q43)*R43</f>
        <v>0.006244898569159335</v>
      </c>
      <c r="U43" s="76">
        <f>U42+S43</f>
        <v>0.1704214051317514</v>
      </c>
      <c r="V43" s="76">
        <f>V42+T43</f>
        <v>0.2239026727913373</v>
      </c>
    </row>
    <row r="44" spans="1:22" ht="19" customHeight="1">
      <c r="A44" s="68" t="s">
        <v>368</v>
      </c>
      <c r="B44" s="74">
        <v>1</v>
      </c>
      <c r="C44" s="68" t="s">
        <v>363</v>
      </c>
      <c r="D44" s="68" t="s">
        <v>364</v>
      </c>
      <c r="E44" s="75">
        <f>60*F44*'THAM_SO_MOI'!$C$49/(2*PI()*'THAM_SO_MOI'!$C$26)</f>
        <v>885.4999999999999</v>
      </c>
      <c r="F44" s="75">
        <f>'THAM_SO_MOI'!$E$49+('THAM_SO_MOI'!$F$49-'THAM_SO_MOI'!$E$49)*38/'THAM_SO_MOI'!$C$42</f>
        <v>1.3826840894148587</v>
      </c>
      <c r="G44" s="75">
        <f>3.6*F44</f>
        <v>4.977662721893491</v>
      </c>
      <c r="H44" s="75">
        <f>'THAM_SO_MOI'!$D$49</f>
        <v>3.1625000000000005</v>
      </c>
      <c r="I44" s="75">
        <f>IF(F44&gt;'THAM_SO_MOI'!$C$14,'THAM_SO_MOI'!$C$13*(1+F44^2/1500),'THAM_SO_MOI'!$C$13)</f>
        <v>0.015</v>
      </c>
      <c r="J44" s="75">
        <f>'THAM_SO_MOI'!$C$40*('THAM_SO_MOI'!$C$23*(E44/'THAM_SO_MOI'!$C$22)+'THAM_SO_MOI'!$C$24*(E44/'THAM_SO_MOI'!$C$22)^2-'THAM_SO_MOI'!$C$25*(E44/'THAM_SO_MOI'!$C$22)^3)</f>
        <v>32.496419065300906</v>
      </c>
      <c r="K44" s="75">
        <f>'THAM_SO_MOI'!$C$31*J44/E44</f>
        <v>350.5098761949083</v>
      </c>
      <c r="L44" s="75">
        <f>K44*'THAM_SO_MOI'!$C$49*'THAM_SO_MOI'!$C$17/'THAM_SO_MOI'!$C$26</f>
        <v>19980.824407462558</v>
      </c>
      <c r="M44" s="75">
        <f>'THAM_SO_MOI'!$C$15*'THAM_SO_MOI'!$C$16*F44^2</f>
        <v>5.592059726528916</v>
      </c>
      <c r="N44" s="75">
        <f>'THAM_SO_MOI'!$C$12*I44</f>
        <v>1130.112</v>
      </c>
      <c r="O44" s="75">
        <f>M44+N44</f>
        <v>1135.704059726529</v>
      </c>
      <c r="P44" s="75">
        <f>(MIN(L44,'THAM_SO_MOI'!$C$41)-O44)/('THAM_SO_MOI'!$C$11*H44)</f>
        <v>0.7759025176110024</v>
      </c>
      <c r="Q44" s="75">
        <f>IF(P44&gt;0,1/P44,NA())</f>
        <v>1.2888216977037166</v>
      </c>
      <c r="R44" s="75">
        <f>F44-F43</f>
        <v>0.0035133136094673834</v>
      </c>
      <c r="S44" s="75">
        <f>0.5*(Q43+Q44)*R44</f>
        <v>0.004529949930270901</v>
      </c>
      <c r="T44" s="75">
        <f>0.5*(F43*Q43+F44*Q44)*R44</f>
        <v>0.006255528762853619</v>
      </c>
      <c r="U44" s="76">
        <f>U43+S44</f>
        <v>0.1749513550620223</v>
      </c>
      <c r="V44" s="76">
        <f>V43+T44</f>
        <v>0.23015820155419092</v>
      </c>
    </row>
    <row r="45" spans="1:22" ht="19" customHeight="1">
      <c r="A45" s="68" t="s">
        <v>368</v>
      </c>
      <c r="B45" s="74">
        <v>1</v>
      </c>
      <c r="C45" s="68" t="s">
        <v>363</v>
      </c>
      <c r="D45" s="68" t="s">
        <v>364</v>
      </c>
      <c r="E45" s="75">
        <f>60*F45*'THAM_SO_MOI'!$C$49/(2*PI()*'THAM_SO_MOI'!$C$26)</f>
        <v>887.7499999999999</v>
      </c>
      <c r="F45" s="75">
        <f>'THAM_SO_MOI'!$E$49+('THAM_SO_MOI'!$F$49-'THAM_SO_MOI'!$E$49)*39/'THAM_SO_MOI'!$C$42</f>
        <v>1.3861974030243263</v>
      </c>
      <c r="G45" s="75">
        <f>3.6*F45</f>
        <v>4.990310650887575</v>
      </c>
      <c r="H45" s="75">
        <f>'THAM_SO_MOI'!$D$49</f>
        <v>3.1625000000000005</v>
      </c>
      <c r="I45" s="75">
        <f>IF(F45&gt;'THAM_SO_MOI'!$C$14,'THAM_SO_MOI'!$C$13*(1+F45^2/1500),'THAM_SO_MOI'!$C$13)</f>
        <v>0.015</v>
      </c>
      <c r="J45" s="75">
        <f>'THAM_SO_MOI'!$C$40*('THAM_SO_MOI'!$C$23*(E45/'THAM_SO_MOI'!$C$22)+'THAM_SO_MOI'!$C$24*(E45/'THAM_SO_MOI'!$C$22)^2-'THAM_SO_MOI'!$C$25*(E45/'THAM_SO_MOI'!$C$22)^3)</f>
        <v>32.60496106270739</v>
      </c>
      <c r="K45" s="75">
        <f>'THAM_SO_MOI'!$C$31*J45/E45</f>
        <v>350.7892882746068</v>
      </c>
      <c r="L45" s="75">
        <f>K45*'THAM_SO_MOI'!$C$49*'THAM_SO_MOI'!$C$17/'THAM_SO_MOI'!$C$26</f>
        <v>19996.752300172422</v>
      </c>
      <c r="M45" s="75">
        <f>'THAM_SO_MOI'!$C$15*'THAM_SO_MOI'!$C$16*F45^2</f>
        <v>5.620513977442806</v>
      </c>
      <c r="N45" s="75">
        <f>'THAM_SO_MOI'!$C$12*I45</f>
        <v>1130.112</v>
      </c>
      <c r="O45" s="75">
        <f>M45+N45</f>
        <v>1135.732513977443</v>
      </c>
      <c r="P45" s="75">
        <f>(MIN(L45,'THAM_SO_MOI'!$C$41)-O45)/('THAM_SO_MOI'!$C$11*H45)</f>
        <v>0.7765571387596746</v>
      </c>
      <c r="Q45" s="75">
        <f>IF(P45&gt;0,1/P45,NA())</f>
        <v>1.2877352484289961</v>
      </c>
      <c r="R45" s="75">
        <f>F45-F44</f>
        <v>0.0035133136094676054</v>
      </c>
      <c r="S45" s="75">
        <f>0.5*(Q44+Q45)*R45</f>
        <v>0.004526126292208175</v>
      </c>
      <c r="T45" s="75">
        <f>0.5*(F44*Q44+F45*Q45)*R45</f>
        <v>0.006266150308856773</v>
      </c>
      <c r="U45" s="76">
        <f>U44+S45</f>
        <v>0.17947748135423047</v>
      </c>
      <c r="V45" s="76">
        <f>V44+T45</f>
        <v>0.2364243518630477</v>
      </c>
    </row>
    <row r="46" spans="1:22" ht="19" customHeight="1">
      <c r="A46" s="68" t="s">
        <v>368</v>
      </c>
      <c r="B46" s="74">
        <v>1</v>
      </c>
      <c r="C46" s="68" t="s">
        <v>363</v>
      </c>
      <c r="D46" s="68" t="s">
        <v>364</v>
      </c>
      <c r="E46" s="75">
        <f>60*F46*'THAM_SO_MOI'!$C$49/(2*PI()*'THAM_SO_MOI'!$C$26)</f>
        <v>890.0</v>
      </c>
      <c r="F46" s="75">
        <f>'THAM_SO_MOI'!$E$49+('THAM_SO_MOI'!$F$49-'THAM_SO_MOI'!$E$49)*40/'THAM_SO_MOI'!$C$42</f>
        <v>1.3897107166337936</v>
      </c>
      <c r="G46" s="75">
        <f>3.6*F46</f>
        <v>5.002958579881657</v>
      </c>
      <c r="H46" s="75">
        <f>'THAM_SO_MOI'!$D$49</f>
        <v>3.1625000000000005</v>
      </c>
      <c r="I46" s="75">
        <f>IF(F46&gt;'THAM_SO_MOI'!$C$14,'THAM_SO_MOI'!$C$13*(1+F46^2/1500),'THAM_SO_MOI'!$C$13)</f>
        <v>0.015</v>
      </c>
      <c r="J46" s="75">
        <f>'THAM_SO_MOI'!$C$40*('THAM_SO_MOI'!$C$23*(E46/'THAM_SO_MOI'!$C$22)+'THAM_SO_MOI'!$C$24*(E46/'THAM_SO_MOI'!$C$22)^2-'THAM_SO_MOI'!$C$25*(E46/'THAM_SO_MOI'!$C$22)^3)</f>
        <v>32.713588939397475</v>
      </c>
      <c r="K46" s="75">
        <f>'THAM_SO_MOI'!$C$31*J46/E46</f>
        <v>351.0682092162463</v>
      </c>
      <c r="L46" s="75">
        <f>K46*'THAM_SO_MOI'!$C$49*'THAM_SO_MOI'!$C$17/'THAM_SO_MOI'!$C$26</f>
        <v>20012.65219554474</v>
      </c>
      <c r="M46" s="75">
        <f>'THAM_SO_MOI'!$C$15*'THAM_SO_MOI'!$C$16*F46^2</f>
        <v>5.649040437085926</v>
      </c>
      <c r="N46" s="75">
        <f>'THAM_SO_MOI'!$C$12*I46</f>
        <v>1130.112</v>
      </c>
      <c r="O46" s="75">
        <f>M46+N46</f>
        <v>1135.761040437086</v>
      </c>
      <c r="P46" s="75">
        <f>(MIN(L46,'THAM_SO_MOI'!$C$41)-O46)/('THAM_SO_MOI'!$C$11*H46)</f>
        <v>0.7772106042122715</v>
      </c>
      <c r="Q46" s="75">
        <f>IF(P46&gt;0,1/P46,NA())</f>
        <v>1.2866525425415842</v>
      </c>
      <c r="R46" s="75">
        <f>F46-F45</f>
        <v>0.0035133136094673834</v>
      </c>
      <c r="S46" s="75">
        <f>0.5*(Q45+Q46)*R46</f>
        <v>0.004522315831031807</v>
      </c>
      <c r="T46" s="75">
        <f>0.5*(F45*Q45+F46*Q46)*R46</f>
        <v>0.006276763276449301</v>
      </c>
      <c r="U46" s="76">
        <f>U45+S46</f>
        <v>0.18399979718526227</v>
      </c>
      <c r="V46" s="76">
        <f>V45+T46</f>
        <v>0.242701115139497</v>
      </c>
    </row>
    <row r="47" spans="1:22" ht="19" customHeight="1">
      <c r="A47" s="68" t="s">
        <v>368</v>
      </c>
      <c r="B47" s="74">
        <v>1</v>
      </c>
      <c r="C47" s="68" t="s">
        <v>363</v>
      </c>
      <c r="D47" s="68" t="s">
        <v>364</v>
      </c>
      <c r="E47" s="75">
        <f>60*F47*'THAM_SO_MOI'!$C$49/(2*PI()*'THAM_SO_MOI'!$C$26)</f>
        <v>892.2499999999999</v>
      </c>
      <c r="F47" s="75">
        <f>'THAM_SO_MOI'!$E$49+('THAM_SO_MOI'!$F$49-'THAM_SO_MOI'!$E$49)*41/'THAM_SO_MOI'!$C$42</f>
        <v>1.393224030243261</v>
      </c>
      <c r="G47" s="75">
        <f>3.6*F47</f>
        <v>5.01560650887574</v>
      </c>
      <c r="H47" s="75">
        <f>'THAM_SO_MOI'!$D$49</f>
        <v>3.1625000000000005</v>
      </c>
      <c r="I47" s="75">
        <f>IF(F47&gt;'THAM_SO_MOI'!$C$14,'THAM_SO_MOI'!$C$13*(1+F47^2/1500),'THAM_SO_MOI'!$C$13)</f>
        <v>0.015</v>
      </c>
      <c r="J47" s="75">
        <f>'THAM_SO_MOI'!$C$40*('THAM_SO_MOI'!$C$23*(E47/'THAM_SO_MOI'!$C$22)+'THAM_SO_MOI'!$C$24*(E47/'THAM_SO_MOI'!$C$22)^2-'THAM_SO_MOI'!$C$25*(E47/'THAM_SO_MOI'!$C$22)^3)</f>
        <v>32.82230234827164</v>
      </c>
      <c r="K47" s="75">
        <f>'THAM_SO_MOI'!$C$31*J47/E47</f>
        <v>351.3466390198272</v>
      </c>
      <c r="L47" s="75">
        <f>K47*'THAM_SO_MOI'!$C$49*'THAM_SO_MOI'!$C$17/'THAM_SO_MOI'!$C$26</f>
        <v>20028.524093579534</v>
      </c>
      <c r="M47" s="75">
        <f>'THAM_SO_MOI'!$C$15*'THAM_SO_MOI'!$C$16*F47^2</f>
        <v>5.6776391054582795</v>
      </c>
      <c r="N47" s="75">
        <f>'THAM_SO_MOI'!$C$12*I47</f>
        <v>1130.112</v>
      </c>
      <c r="O47" s="75">
        <f>M47+N47</f>
        <v>1135.7896391054583</v>
      </c>
      <c r="P47" s="75">
        <f>(MIN(L47,'THAM_SO_MOI'!$C$41)-O47)/('THAM_SO_MOI'!$C$11*H47)</f>
        <v>0.777862913968794</v>
      </c>
      <c r="Q47" s="75">
        <f>IF(P47&gt;0,1/P47,NA())</f>
        <v>1.285573565781435</v>
      </c>
      <c r="R47" s="75">
        <f>F47-F46</f>
        <v>0.0035133136094673834</v>
      </c>
      <c r="S47" s="75">
        <f>0.5*(Q46+Q47)*R47</f>
        <v>0.004518518496499293</v>
      </c>
      <c r="T47" s="75">
        <f>0.5*(F46*Q46+F47*Q47)*R47</f>
        <v>0.006287367734604254</v>
      </c>
      <c r="U47" s="76">
        <f>U46+S47</f>
        <v>0.18851831568176156</v>
      </c>
      <c r="V47" s="76">
        <f>V46+T47</f>
        <v>0.24898848287410125</v>
      </c>
    </row>
    <row r="48" spans="1:22" ht="19" customHeight="1">
      <c r="A48" s="68" t="s">
        <v>368</v>
      </c>
      <c r="B48" s="74">
        <v>1</v>
      </c>
      <c r="C48" s="68" t="s">
        <v>363</v>
      </c>
      <c r="D48" s="68" t="s">
        <v>364</v>
      </c>
      <c r="E48" s="75">
        <f>60*F48*'THAM_SO_MOI'!$C$49/(2*PI()*'THAM_SO_MOI'!$C$26)</f>
        <v>894.5000000000001</v>
      </c>
      <c r="F48" s="75">
        <f>'THAM_SO_MOI'!$E$49+('THAM_SO_MOI'!$F$49-'THAM_SO_MOI'!$E$49)*42/'THAM_SO_MOI'!$C$42</f>
        <v>1.3967373438527286</v>
      </c>
      <c r="G48" s="75">
        <f>3.6*F48</f>
        <v>5.0282544378698235</v>
      </c>
      <c r="H48" s="75">
        <f>'THAM_SO_MOI'!$D$49</f>
        <v>3.1625000000000005</v>
      </c>
      <c r="I48" s="75">
        <f>IF(F48&gt;'THAM_SO_MOI'!$C$14,'THAM_SO_MOI'!$C$13*(1+F48^2/1500),'THAM_SO_MOI'!$C$13)</f>
        <v>0.015</v>
      </c>
      <c r="J48" s="75">
        <f>'THAM_SO_MOI'!$C$40*('THAM_SO_MOI'!$C$23*(E48/'THAM_SO_MOI'!$C$22)+'THAM_SO_MOI'!$C$24*(E48/'THAM_SO_MOI'!$C$22)^2-'THAM_SO_MOI'!$C$25*(E48/'THAM_SO_MOI'!$C$22)^3)</f>
        <v>32.93110094223035</v>
      </c>
      <c r="K48" s="75">
        <f>'THAM_SO_MOI'!$C$31*J48/E48</f>
        <v>351.6245776853492</v>
      </c>
      <c r="L48" s="75">
        <f>K48*'THAM_SO_MOI'!$C$49*'THAM_SO_MOI'!$C$17/'THAM_SO_MOI'!$C$26</f>
        <v>20044.367994276792</v>
      </c>
      <c r="M48" s="75">
        <f>'THAM_SO_MOI'!$C$15*'THAM_SO_MOI'!$C$16*F48^2</f>
        <v>5.706309982559869</v>
      </c>
      <c r="N48" s="75">
        <f>'THAM_SO_MOI'!$C$12*I48</f>
        <v>1130.112</v>
      </c>
      <c r="O48" s="75">
        <f>M48+N48</f>
        <v>1135.8183099825599</v>
      </c>
      <c r="P48" s="75">
        <f>(MIN(L48,'THAM_SO_MOI'!$C$41)-O48)/('THAM_SO_MOI'!$C$11*H48)</f>
        <v>0.778514068029242</v>
      </c>
      <c r="Q48" s="75">
        <f>IF(P48&gt;0,1/P48,NA())</f>
        <v>1.284498303969555</v>
      </c>
      <c r="R48" s="75">
        <f>F48-F47</f>
        <v>0.0035133136094676054</v>
      </c>
      <c r="S48" s="75">
        <f>0.5*(Q47+Q48)*R48</f>
        <v>0.004514734238653004</v>
      </c>
      <c r="T48" s="75">
        <f>0.5*(F47*Q47+F48*Q48)*R48</f>
        <v>0.006297963751985999</v>
      </c>
      <c r="U48" s="76">
        <f>U47+S48</f>
        <v>0.19303304992041456</v>
      </c>
      <c r="V48" s="76">
        <f>V47+T48</f>
        <v>0.25528644662608724</v>
      </c>
    </row>
    <row r="49" spans="1:22" ht="19" customHeight="1">
      <c r="A49" s="68" t="s">
        <v>368</v>
      </c>
      <c r="B49" s="74">
        <v>1</v>
      </c>
      <c r="C49" s="68" t="s">
        <v>363</v>
      </c>
      <c r="D49" s="68" t="s">
        <v>364</v>
      </c>
      <c r="E49" s="75">
        <f>60*F49*'THAM_SO_MOI'!$C$49/(2*PI()*'THAM_SO_MOI'!$C$26)</f>
        <v>896.7499999999999</v>
      </c>
      <c r="F49" s="75">
        <f>'THAM_SO_MOI'!$E$49+('THAM_SO_MOI'!$F$49-'THAM_SO_MOI'!$E$49)*43/'THAM_SO_MOI'!$C$42</f>
        <v>1.400250657462196</v>
      </c>
      <c r="G49" s="75">
        <f>3.6*F49</f>
        <v>5.0409023668639055</v>
      </c>
      <c r="H49" s="75">
        <f>'THAM_SO_MOI'!$D$49</f>
        <v>3.1625000000000005</v>
      </c>
      <c r="I49" s="75">
        <f>IF(F49&gt;'THAM_SO_MOI'!$C$14,'THAM_SO_MOI'!$C$13*(1+F49^2/1500),'THAM_SO_MOI'!$C$13)</f>
        <v>0.015</v>
      </c>
      <c r="J49" s="75">
        <f>'THAM_SO_MOI'!$C$40*('THAM_SO_MOI'!$C$23*(E49/'THAM_SO_MOI'!$C$22)+'THAM_SO_MOI'!$C$24*(E49/'THAM_SO_MOI'!$C$22)^2-'THAM_SO_MOI'!$C$25*(E49/'THAM_SO_MOI'!$C$22)^3)</f>
        <v>33.03998437417401</v>
      </c>
      <c r="K49" s="75">
        <f>'THAM_SO_MOI'!$C$31*J49/E49</f>
        <v>351.90202521281236</v>
      </c>
      <c r="L49" s="75">
        <f>K49*'THAM_SO_MOI'!$C$49*'THAM_SO_MOI'!$C$17/'THAM_SO_MOI'!$C$26</f>
        <v>20060.18389763651</v>
      </c>
      <c r="M49" s="75">
        <f>'THAM_SO_MOI'!$C$15*'THAM_SO_MOI'!$C$16*F49^2</f>
        <v>5.735053068390688</v>
      </c>
      <c r="N49" s="75">
        <f>'THAM_SO_MOI'!$C$12*I49</f>
        <v>1130.112</v>
      </c>
      <c r="O49" s="75">
        <f>M49+N49</f>
        <v>1135.8470530683908</v>
      </c>
      <c r="P49" s="75">
        <f>(MIN(L49,'THAM_SO_MOI'!$C$41)-O49)/('THAM_SO_MOI'!$C$11*H49)</f>
        <v>0.7791640663936148</v>
      </c>
      <c r="Q49" s="75">
        <f>IF(P49&gt;0,1/P49,NA())</f>
        <v>1.283426743007453</v>
      </c>
      <c r="R49" s="75">
        <f>F49-F48</f>
        <v>0.0035133136094673834</v>
      </c>
      <c r="S49" s="75">
        <f>0.5*(Q48+Q49)*R49</f>
        <v>0.004510963007818246</v>
      </c>
      <c r="T49" s="75">
        <f>0.5*(F48*Q48+F49*Q49)*R49</f>
        <v>0.0063085513969525255</v>
      </c>
      <c r="U49" s="76">
        <f>U48+S49</f>
        <v>0.19754401292823281</v>
      </c>
      <c r="V49" s="76">
        <f>V48+T49</f>
        <v>0.26159499802303976</v>
      </c>
    </row>
    <row r="50" spans="1:22" ht="19" customHeight="1">
      <c r="A50" s="68" t="s">
        <v>368</v>
      </c>
      <c r="B50" s="74">
        <v>1</v>
      </c>
      <c r="C50" s="68" t="s">
        <v>363</v>
      </c>
      <c r="D50" s="68" t="s">
        <v>364</v>
      </c>
      <c r="E50" s="75">
        <f>60*F50*'THAM_SO_MOI'!$C$49/(2*PI()*'THAM_SO_MOI'!$C$26)</f>
        <v>899.0</v>
      </c>
      <c r="F50" s="75">
        <f>'THAM_SO_MOI'!$E$49+('THAM_SO_MOI'!$F$49-'THAM_SO_MOI'!$E$49)*44/'THAM_SO_MOI'!$C$42</f>
        <v>1.4037639710716634</v>
      </c>
      <c r="G50" s="75">
        <f>3.6*F50</f>
        <v>5.053550295857988</v>
      </c>
      <c r="H50" s="75">
        <f>'THAM_SO_MOI'!$D$49</f>
        <v>3.1625000000000005</v>
      </c>
      <c r="I50" s="75">
        <f>IF(F50&gt;'THAM_SO_MOI'!$C$14,'THAM_SO_MOI'!$C$13*(1+F50^2/1500),'THAM_SO_MOI'!$C$13)</f>
        <v>0.015</v>
      </c>
      <c r="J50" s="75">
        <f>'THAM_SO_MOI'!$C$40*('THAM_SO_MOI'!$C$23*(E50/'THAM_SO_MOI'!$C$22)+'THAM_SO_MOI'!$C$24*(E50/'THAM_SO_MOI'!$C$22)^2-'THAM_SO_MOI'!$C$25*(E50/'THAM_SO_MOI'!$C$22)^3)</f>
        <v>33.14895229700314</v>
      </c>
      <c r="K50" s="75">
        <f>'THAM_SO_MOI'!$C$31*J50/E50</f>
        <v>352.17898160221694</v>
      </c>
      <c r="L50" s="75">
        <f>K50*'THAM_SO_MOI'!$C$49*'THAM_SO_MOI'!$C$17/'THAM_SO_MOI'!$C$26</f>
        <v>20075.971803658707</v>
      </c>
      <c r="M50" s="75">
        <f>'THAM_SO_MOI'!$C$15*'THAM_SO_MOI'!$C$16*F50^2</f>
        <v>5.763868362950741</v>
      </c>
      <c r="N50" s="75">
        <f>'THAM_SO_MOI'!$C$12*I50</f>
        <v>1130.112</v>
      </c>
      <c r="O50" s="75">
        <f>M50+N50</f>
        <v>1135.8758683629508</v>
      </c>
      <c r="P50" s="75">
        <f>(MIN(L50,'THAM_SO_MOI'!$C$41)-O50)/('THAM_SO_MOI'!$C$11*H50)</f>
        <v>0.7798129090619134</v>
      </c>
      <c r="Q50" s="75">
        <f>IF(P50&gt;0,1/P50,NA())</f>
        <v>1.2823588688765921</v>
      </c>
      <c r="R50" s="75">
        <f>F50-F49</f>
        <v>0.0035133136094673834</v>
      </c>
      <c r="S50" s="75">
        <f>0.5*(Q49+Q50)*R50</f>
        <v>0.004507204754603907</v>
      </c>
      <c r="T50" s="75">
        <f>0.5*(F49*Q49+F50*Q50)*R50</f>
        <v>0.006319130737561309</v>
      </c>
      <c r="U50" s="76">
        <f>U49+S50</f>
        <v>0.2020512176828367</v>
      </c>
      <c r="V50" s="76">
        <f>V49+T50</f>
        <v>0.26791412876060106</v>
      </c>
    </row>
    <row r="51" spans="1:22" ht="19" customHeight="1">
      <c r="A51" s="68" t="s">
        <v>368</v>
      </c>
      <c r="B51" s="74">
        <v>1</v>
      </c>
      <c r="C51" s="68" t="s">
        <v>363</v>
      </c>
      <c r="D51" s="68" t="s">
        <v>364</v>
      </c>
      <c r="E51" s="75">
        <f>60*F51*'THAM_SO_MOI'!$C$49/(2*PI()*'THAM_SO_MOI'!$C$26)</f>
        <v>901.25</v>
      </c>
      <c r="F51" s="75">
        <f>'THAM_SO_MOI'!$E$49+('THAM_SO_MOI'!$F$49-'THAM_SO_MOI'!$E$49)*45/'THAM_SO_MOI'!$C$42</f>
        <v>1.407277284681131</v>
      </c>
      <c r="G51" s="75">
        <f>3.6*F51</f>
        <v>5.066198224852072</v>
      </c>
      <c r="H51" s="75">
        <f>'THAM_SO_MOI'!$D$49</f>
        <v>3.1625000000000005</v>
      </c>
      <c r="I51" s="75">
        <f>IF(F51&gt;'THAM_SO_MOI'!$C$14,'THAM_SO_MOI'!$C$13*(1+F51^2/1500),'THAM_SO_MOI'!$C$13)</f>
        <v>0.015</v>
      </c>
      <c r="J51" s="75">
        <f>'THAM_SO_MOI'!$C$40*('THAM_SO_MOI'!$C$23*(E51/'THAM_SO_MOI'!$C$22)+'THAM_SO_MOI'!$C$24*(E51/'THAM_SO_MOI'!$C$22)^2-'THAM_SO_MOI'!$C$25*(E51/'THAM_SO_MOI'!$C$22)^3)</f>
        <v>33.25800436361816</v>
      </c>
      <c r="K51" s="75">
        <f>'THAM_SO_MOI'!$C$31*J51/E51</f>
        <v>352.45544685356265</v>
      </c>
      <c r="L51" s="75">
        <f>K51*'THAM_SO_MOI'!$C$49*'THAM_SO_MOI'!$C$17/'THAM_SO_MOI'!$C$26</f>
        <v>20091.731712343368</v>
      </c>
      <c r="M51" s="75">
        <f>'THAM_SO_MOI'!$C$15*'THAM_SO_MOI'!$C$16*F51^2</f>
        <v>5.792755866240029</v>
      </c>
      <c r="N51" s="75">
        <f>'THAM_SO_MOI'!$C$12*I51</f>
        <v>1130.112</v>
      </c>
      <c r="O51" s="75">
        <f>M51+N51</f>
        <v>1135.90475586624</v>
      </c>
      <c r="P51" s="75">
        <f>(MIN(L51,'THAM_SO_MOI'!$C$41)-O51)/('THAM_SO_MOI'!$C$11*H51)</f>
        <v>0.7804605960341371</v>
      </c>
      <c r="Q51" s="75">
        <f>IF(P51&gt;0,1/P51,NA())</f>
        <v>1.2812946676378525</v>
      </c>
      <c r="R51" s="75">
        <f>F51-F50</f>
        <v>0.0035133136094676054</v>
      </c>
      <c r="S51" s="75">
        <f>0.5*(Q50+Q51)*R51</f>
        <v>0.004503459429897978</v>
      </c>
      <c r="T51" s="75">
        <f>0.5*(F50*Q50+F51*Q51)*R51</f>
        <v>0.006329701841568006</v>
      </c>
      <c r="U51" s="76">
        <f>U50+S51</f>
        <v>0.20655467711273467</v>
      </c>
      <c r="V51" s="76">
        <f>V50+T51</f>
        <v>0.27424383060216906</v>
      </c>
    </row>
    <row r="52" spans="1:22" ht="19" customHeight="1">
      <c r="A52" s="68" t="s">
        <v>368</v>
      </c>
      <c r="B52" s="74">
        <v>1</v>
      </c>
      <c r="C52" s="68" t="s">
        <v>363</v>
      </c>
      <c r="D52" s="68" t="s">
        <v>364</v>
      </c>
      <c r="E52" s="75">
        <f>60*F52*'THAM_SO_MOI'!$C$49/(2*PI()*'THAM_SO_MOI'!$C$26)</f>
        <v>903.4999999999999</v>
      </c>
      <c r="F52" s="75">
        <f>'THAM_SO_MOI'!$E$49+('THAM_SO_MOI'!$F$49-'THAM_SO_MOI'!$E$49)*46/'THAM_SO_MOI'!$C$42</f>
        <v>1.4107905982905984</v>
      </c>
      <c r="G52" s="75">
        <f>3.6*F52</f>
        <v>5.078846153846154</v>
      </c>
      <c r="H52" s="75">
        <f>'THAM_SO_MOI'!$D$49</f>
        <v>3.1625000000000005</v>
      </c>
      <c r="I52" s="75">
        <f>IF(F52&gt;'THAM_SO_MOI'!$C$14,'THAM_SO_MOI'!$C$13*(1+F52^2/1500),'THAM_SO_MOI'!$C$13)</f>
        <v>0.015</v>
      </c>
      <c r="J52" s="75">
        <f>'THAM_SO_MOI'!$C$40*('THAM_SO_MOI'!$C$23*(E52/'THAM_SO_MOI'!$C$22)+'THAM_SO_MOI'!$C$24*(E52/'THAM_SO_MOI'!$C$22)^2-'THAM_SO_MOI'!$C$25*(E52/'THAM_SO_MOI'!$C$22)^3)</f>
        <v>33.36714022691951</v>
      </c>
      <c r="K52" s="75">
        <f>'THAM_SO_MOI'!$C$31*J52/E52</f>
        <v>352.7314209668494</v>
      </c>
      <c r="L52" s="75">
        <f>K52*'THAM_SO_MOI'!$C$49*'THAM_SO_MOI'!$C$17/'THAM_SO_MOI'!$C$26</f>
        <v>20107.463623690484</v>
      </c>
      <c r="M52" s="75">
        <f>'THAM_SO_MOI'!$C$15*'THAM_SO_MOI'!$C$16*F52^2</f>
        <v>5.821715578258548</v>
      </c>
      <c r="N52" s="75">
        <f>'THAM_SO_MOI'!$C$12*I52</f>
        <v>1130.112</v>
      </c>
      <c r="O52" s="75">
        <f>M52+N52</f>
        <v>1135.9337155782587</v>
      </c>
      <c r="P52" s="75">
        <f>(MIN(L52,'THAM_SO_MOI'!$C$41)-O52)/('THAM_SO_MOI'!$C$11*H52)</f>
        <v>0.7811071273102859</v>
      </c>
      <c r="Q52" s="75">
        <f>IF(P52&gt;0,1/P52,NA())</f>
        <v>1.2802341254309941</v>
      </c>
      <c r="R52" s="75">
        <f>F52-F51</f>
        <v>0.0035133136094673834</v>
      </c>
      <c r="S52" s="75">
        <f>0.5*(Q51+Q52)*R52</f>
        <v>0.00449972698486567</v>
      </c>
      <c r="T52" s="75">
        <f>0.5*(F51*Q51+F52*Q52)*R52</f>
        <v>0.006340264776428698</v>
      </c>
      <c r="U52" s="76">
        <f>U51+S52</f>
        <v>0.21105440409760035</v>
      </c>
      <c r="V52" s="76">
        <f>V51+T52</f>
        <v>0.28058409537859774</v>
      </c>
    </row>
    <row r="53" spans="1:22" ht="19" customHeight="1">
      <c r="A53" s="68" t="s">
        <v>368</v>
      </c>
      <c r="B53" s="74">
        <v>1</v>
      </c>
      <c r="C53" s="68" t="s">
        <v>363</v>
      </c>
      <c r="D53" s="68" t="s">
        <v>364</v>
      </c>
      <c r="E53" s="75">
        <f>60*F53*'THAM_SO_MOI'!$C$49/(2*PI()*'THAM_SO_MOI'!$C$26)</f>
        <v>905.7499999999999</v>
      </c>
      <c r="F53" s="75">
        <f>'THAM_SO_MOI'!$E$49+('THAM_SO_MOI'!$F$49-'THAM_SO_MOI'!$E$49)*47/'THAM_SO_MOI'!$C$42</f>
        <v>1.4143039119000658</v>
      </c>
      <c r="G53" s="75">
        <f>3.6*F53</f>
        <v>5.091494082840237</v>
      </c>
      <c r="H53" s="75">
        <f>'THAM_SO_MOI'!$D$49</f>
        <v>3.1625000000000005</v>
      </c>
      <c r="I53" s="75">
        <f>IF(F53&gt;'THAM_SO_MOI'!$C$14,'THAM_SO_MOI'!$C$13*(1+F53^2/1500),'THAM_SO_MOI'!$C$13)</f>
        <v>0.015</v>
      </c>
      <c r="J53" s="75">
        <f>'THAM_SO_MOI'!$C$40*('THAM_SO_MOI'!$C$23*(E53/'THAM_SO_MOI'!$C$22)+'THAM_SO_MOI'!$C$24*(E53/'THAM_SO_MOI'!$C$22)^2-'THAM_SO_MOI'!$C$25*(E53/'THAM_SO_MOI'!$C$22)^3)</f>
        <v>33.476359539807696</v>
      </c>
      <c r="K53" s="75">
        <f>'THAM_SO_MOI'!$C$31*J53/E53</f>
        <v>353.0069039420776</v>
      </c>
      <c r="L53" s="75">
        <f>K53*'THAM_SO_MOI'!$C$49*'THAM_SO_MOI'!$C$17/'THAM_SO_MOI'!$C$26</f>
        <v>20123.167537700087</v>
      </c>
      <c r="M53" s="75">
        <f>'THAM_SO_MOI'!$C$15*'THAM_SO_MOI'!$C$16*F53^2</f>
        <v>5.8507474990062995</v>
      </c>
      <c r="N53" s="75">
        <f>'THAM_SO_MOI'!$C$12*I53</f>
        <v>1130.112</v>
      </c>
      <c r="O53" s="75">
        <f>M53+N53</f>
        <v>1135.9627474990064</v>
      </c>
      <c r="P53" s="75">
        <f>(MIN(L53,'THAM_SO_MOI'!$C$41)-O53)/('THAM_SO_MOI'!$C$11*H53)</f>
        <v>0.7817525028903605</v>
      </c>
      <c r="Q53" s="75">
        <f>IF(P53&gt;0,1/P53,NA())</f>
        <v>1.2791772284741227</v>
      </c>
      <c r="R53" s="75">
        <f>F53-F52</f>
        <v>0.0035133136094673834</v>
      </c>
      <c r="S53" s="75">
        <f>0.5*(Q52+Q53)*R53</f>
        <v>0.004496007370950094</v>
      </c>
      <c r="T53" s="75">
        <f>0.5*(F52*Q52+F53*Q53)*R53</f>
        <v>0.006350819609305723</v>
      </c>
      <c r="U53" s="76">
        <f>U52+S53</f>
        <v>0.21555041146855045</v>
      </c>
      <c r="V53" s="76">
        <f>V52+T53</f>
        <v>0.28693491498790347</v>
      </c>
    </row>
    <row r="54" spans="1:22" ht="19" customHeight="1">
      <c r="A54" s="68" t="s">
        <v>368</v>
      </c>
      <c r="B54" s="74">
        <v>1</v>
      </c>
      <c r="C54" s="68" t="s">
        <v>363</v>
      </c>
      <c r="D54" s="68" t="s">
        <v>364</v>
      </c>
      <c r="E54" s="75">
        <f>60*F54*'THAM_SO_MOI'!$C$49/(2*PI()*'THAM_SO_MOI'!$C$26)</f>
        <v>908.0</v>
      </c>
      <c r="F54" s="75">
        <f>'THAM_SO_MOI'!$E$49+('THAM_SO_MOI'!$F$49-'THAM_SO_MOI'!$E$49)*48/'THAM_SO_MOI'!$C$42</f>
        <v>1.4178172255095334</v>
      </c>
      <c r="G54" s="75">
        <f>3.6*F54</f>
        <v>5.104142011834321</v>
      </c>
      <c r="H54" s="75">
        <f>'THAM_SO_MOI'!$D$49</f>
        <v>3.1625000000000005</v>
      </c>
      <c r="I54" s="75">
        <f>IF(F54&gt;'THAM_SO_MOI'!$C$14,'THAM_SO_MOI'!$C$13*(1+F54^2/1500),'THAM_SO_MOI'!$C$13)</f>
        <v>0.015</v>
      </c>
      <c r="J54" s="75">
        <f>'THAM_SO_MOI'!$C$40*('THAM_SO_MOI'!$C$23*(E54/'THAM_SO_MOI'!$C$22)+'THAM_SO_MOI'!$C$24*(E54/'THAM_SO_MOI'!$C$22)^2-'THAM_SO_MOI'!$C$25*(E54/'THAM_SO_MOI'!$C$22)^3)</f>
        <v>33.585661955183134</v>
      </c>
      <c r="K54" s="75">
        <f>'THAM_SO_MOI'!$C$31*J54/E54</f>
        <v>353.28189577924695</v>
      </c>
      <c r="L54" s="75">
        <f>K54*'THAM_SO_MOI'!$C$49*'THAM_SO_MOI'!$C$17/'THAM_SO_MOI'!$C$26</f>
        <v>20138.84345437215</v>
      </c>
      <c r="M54" s="75">
        <f>'THAM_SO_MOI'!$C$15*'THAM_SO_MOI'!$C$16*F54^2</f>
        <v>5.879851628483287</v>
      </c>
      <c r="N54" s="75">
        <f>'THAM_SO_MOI'!$C$12*I54</f>
        <v>1130.112</v>
      </c>
      <c r="O54" s="75">
        <f>M54+N54</f>
        <v>1135.9918516284833</v>
      </c>
      <c r="P54" s="75">
        <f>(MIN(L54,'THAM_SO_MOI'!$C$41)-O54)/('THAM_SO_MOI'!$C$11*H54)</f>
        <v>0.7823967227743602</v>
      </c>
      <c r="Q54" s="75">
        <f>IF(P54&gt;0,1/P54,NA())</f>
        <v>1.2781239630631678</v>
      </c>
      <c r="R54" s="75">
        <f>F54-F53</f>
        <v>0.0035133136094676054</v>
      </c>
      <c r="S54" s="75">
        <f>0.5*(Q53+Q54)*R54</f>
        <v>0.004492300539867843</v>
      </c>
      <c r="T54" s="75">
        <f>0.5*(F53*Q53+F54*Q54)*R54</f>
        <v>0.006361366407066304</v>
      </c>
      <c r="U54" s="76">
        <f>U53+S54</f>
        <v>0.2200427120084183</v>
      </c>
      <c r="V54" s="76">
        <f>V53+T54</f>
        <v>0.29329628139496977</v>
      </c>
    </row>
    <row r="55" spans="1:22" ht="19" customHeight="1">
      <c r="A55" s="68" t="s">
        <v>368</v>
      </c>
      <c r="B55" s="74">
        <v>1</v>
      </c>
      <c r="C55" s="68" t="s">
        <v>363</v>
      </c>
      <c r="D55" s="68" t="s">
        <v>364</v>
      </c>
      <c r="E55" s="75">
        <f>60*F55*'THAM_SO_MOI'!$C$49/(2*PI()*'THAM_SO_MOI'!$C$26)</f>
        <v>910.25</v>
      </c>
      <c r="F55" s="75">
        <f>'THAM_SO_MOI'!$E$49+('THAM_SO_MOI'!$F$49-'THAM_SO_MOI'!$E$49)*49/'THAM_SO_MOI'!$C$42</f>
        <v>1.4213305391190008</v>
      </c>
      <c r="G55" s="75">
        <f>3.6*F55</f>
        <v>5.1167899408284025</v>
      </c>
      <c r="H55" s="75">
        <f>'THAM_SO_MOI'!$D$49</f>
        <v>3.1625000000000005</v>
      </c>
      <c r="I55" s="75">
        <f>IF(F55&gt;'THAM_SO_MOI'!$C$14,'THAM_SO_MOI'!$C$13*(1+F55^2/1500),'THAM_SO_MOI'!$C$13)</f>
        <v>0.015</v>
      </c>
      <c r="J55" s="75">
        <f>'THAM_SO_MOI'!$C$40*('THAM_SO_MOI'!$C$23*(E55/'THAM_SO_MOI'!$C$22)+'THAM_SO_MOI'!$C$24*(E55/'THAM_SO_MOI'!$C$22)^2-'THAM_SO_MOI'!$C$25*(E55/'THAM_SO_MOI'!$C$22)^3)</f>
        <v>33.69504712594629</v>
      </c>
      <c r="K55" s="75">
        <f>'THAM_SO_MOI'!$C$31*J55/E55</f>
        <v>353.55639647835756</v>
      </c>
      <c r="L55" s="75">
        <f>K55*'THAM_SO_MOI'!$C$49*'THAM_SO_MOI'!$C$17/'THAM_SO_MOI'!$C$26</f>
        <v>20154.49137370668</v>
      </c>
      <c r="M55" s="75">
        <f>'THAM_SO_MOI'!$C$15*'THAM_SO_MOI'!$C$16*F55^2</f>
        <v>5.9090279666895045</v>
      </c>
      <c r="N55" s="75">
        <f>'THAM_SO_MOI'!$C$12*I55</f>
        <v>1130.112</v>
      </c>
      <c r="O55" s="75">
        <f>M55+N55</f>
        <v>1136.0210279666896</v>
      </c>
      <c r="P55" s="75">
        <f>(MIN(L55,'THAM_SO_MOI'!$C$41)-O55)/('THAM_SO_MOI'!$C$11*H55)</f>
        <v>0.7830397869622855</v>
      </c>
      <c r="Q55" s="75">
        <f>IF(P55&gt;0,1/P55,NA())</f>
        <v>1.2770743155713544</v>
      </c>
      <c r="R55" s="75">
        <f>F55-F54</f>
        <v>0.0035133136094673834</v>
      </c>
      <c r="S55" s="75">
        <f>0.5*(Q54+Q55)*R55</f>
        <v>0.004488606443607149</v>
      </c>
      <c r="T55" s="75">
        <f>0.5*(F54*Q54+F55*Q55)*R55</f>
        <v>0.006371905236284735</v>
      </c>
      <c r="U55" s="76">
        <f>U54+S55</f>
        <v>0.22453131845202545</v>
      </c>
      <c r="V55" s="76">
        <f>V54+T55</f>
        <v>0.2996681866312545</v>
      </c>
    </row>
    <row r="56" spans="1:22" ht="19" customHeight="1">
      <c r="A56" s="68" t="s">
        <v>368</v>
      </c>
      <c r="B56" s="74">
        <v>1</v>
      </c>
      <c r="C56" s="68" t="s">
        <v>363</v>
      </c>
      <c r="D56" s="68" t="s">
        <v>364</v>
      </c>
      <c r="E56" s="75">
        <f>60*F56*'THAM_SO_MOI'!$C$49/(2*PI()*'THAM_SO_MOI'!$C$26)</f>
        <v>912.4999999999999</v>
      </c>
      <c r="F56" s="75">
        <f>'THAM_SO_MOI'!$E$49+('THAM_SO_MOI'!$F$49-'THAM_SO_MOI'!$E$49)*50/'THAM_SO_MOI'!$C$42</f>
        <v>1.4248438527284681</v>
      </c>
      <c r="G56" s="75">
        <f>3.6*F56</f>
        <v>5.129437869822485</v>
      </c>
      <c r="H56" s="75">
        <f>'THAM_SO_MOI'!$D$49</f>
        <v>3.1625000000000005</v>
      </c>
      <c r="I56" s="75">
        <f>IF(F56&gt;'THAM_SO_MOI'!$C$14,'THAM_SO_MOI'!$C$13*(1+F56^2/1500),'THAM_SO_MOI'!$C$13)</f>
        <v>0.015</v>
      </c>
      <c r="J56" s="75">
        <f>'THAM_SO_MOI'!$C$40*('THAM_SO_MOI'!$C$23*(E56/'THAM_SO_MOI'!$C$22)+'THAM_SO_MOI'!$C$24*(E56/'THAM_SO_MOI'!$C$22)^2-'THAM_SO_MOI'!$C$25*(E56/'THAM_SO_MOI'!$C$22)^3)</f>
        <v>33.804514704997615</v>
      </c>
      <c r="K56" s="75">
        <f>'THAM_SO_MOI'!$C$31*J56/E56</f>
        <v>353.8304060394094</v>
      </c>
      <c r="L56" s="75">
        <f>K56*'THAM_SO_MOI'!$C$49*'THAM_SO_MOI'!$C$17/'THAM_SO_MOI'!$C$26</f>
        <v>20170.111295703682</v>
      </c>
      <c r="M56" s="75">
        <f>'THAM_SO_MOI'!$C$15*'THAM_SO_MOI'!$C$16*F56^2</f>
        <v>5.938276513624957</v>
      </c>
      <c r="N56" s="75">
        <f>'THAM_SO_MOI'!$C$12*I56</f>
        <v>1130.112</v>
      </c>
      <c r="O56" s="75">
        <f>M56+N56</f>
        <v>1136.050276513625</v>
      </c>
      <c r="P56" s="75">
        <f>(MIN(L56,'THAM_SO_MOI'!$C$41)-O56)/('THAM_SO_MOI'!$C$11*H56)</f>
        <v>0.7836816954541359</v>
      </c>
      <c r="Q56" s="75">
        <f>IF(P56&gt;0,1/P56,NA())</f>
        <v>1.2760282724486882</v>
      </c>
      <c r="R56" s="75">
        <f>F56-F55</f>
        <v>0.0035133136094673834</v>
      </c>
      <c r="S56" s="75">
        <f>0.5*(Q55+Q56)*R56</f>
        <v>0.0044849250344286065</v>
      </c>
      <c r="T56" s="75">
        <f>0.5*(F55*Q55+F56*Q56)*R56</f>
        <v>0.006382436163248181</v>
      </c>
      <c r="U56" s="76">
        <f>U55+S56</f>
        <v>0.22901624348645405</v>
      </c>
      <c r="V56" s="76">
        <f>V55+T56</f>
        <v>0.3060506227945027</v>
      </c>
    </row>
    <row r="57" spans="1:22" ht="19" customHeight="1">
      <c r="A57" s="68" t="s">
        <v>368</v>
      </c>
      <c r="B57" s="74">
        <v>1</v>
      </c>
      <c r="C57" s="68" t="s">
        <v>363</v>
      </c>
      <c r="D57" s="68" t="s">
        <v>364</v>
      </c>
      <c r="E57" s="75">
        <f>60*F57*'THAM_SO_MOI'!$C$49/(2*PI()*'THAM_SO_MOI'!$C$26)</f>
        <v>914.7499999999999</v>
      </c>
      <c r="F57" s="75">
        <f>'THAM_SO_MOI'!$E$49+('THAM_SO_MOI'!$F$49-'THAM_SO_MOI'!$E$49)*51/'THAM_SO_MOI'!$C$42</f>
        <v>1.4283571663379355</v>
      </c>
      <c r="G57" s="75">
        <f>3.6*F57</f>
        <v>5.142085798816568</v>
      </c>
      <c r="H57" s="75">
        <f>'THAM_SO_MOI'!$D$49</f>
        <v>3.1625000000000005</v>
      </c>
      <c r="I57" s="75">
        <f>IF(F57&gt;'THAM_SO_MOI'!$C$14,'THAM_SO_MOI'!$C$13*(1+F57^2/1500),'THAM_SO_MOI'!$C$13)</f>
        <v>0.015</v>
      </c>
      <c r="J57" s="75">
        <f>'THAM_SO_MOI'!$C$40*('THAM_SO_MOI'!$C$23*(E57/'THAM_SO_MOI'!$C$22)+'THAM_SO_MOI'!$C$24*(E57/'THAM_SO_MOI'!$C$22)^2-'THAM_SO_MOI'!$C$25*(E57/'THAM_SO_MOI'!$C$22)^3)</f>
        <v>33.91406434523756</v>
      </c>
      <c r="K57" s="75">
        <f>'THAM_SO_MOI'!$C$31*J57/E57</f>
        <v>354.10392446240235</v>
      </c>
      <c r="L57" s="75">
        <f>K57*'THAM_SO_MOI'!$C$49*'THAM_SO_MOI'!$C$17/'THAM_SO_MOI'!$C$26</f>
        <v>20185.703220363146</v>
      </c>
      <c r="M57" s="75">
        <f>'THAM_SO_MOI'!$C$15*'THAM_SO_MOI'!$C$16*F57^2</f>
        <v>5.967597269289641</v>
      </c>
      <c r="N57" s="75">
        <f>'THAM_SO_MOI'!$C$12*I57</f>
        <v>1130.112</v>
      </c>
      <c r="O57" s="75">
        <f>M57+N57</f>
        <v>1136.0795972692897</v>
      </c>
      <c r="P57" s="75">
        <f>(MIN(L57,'THAM_SO_MOI'!$C$41)-O57)/('THAM_SO_MOI'!$C$11*H57)</f>
        <v>0.7843224482499116</v>
      </c>
      <c r="Q57" s="75">
        <f>IF(P57&gt;0,1/P57,NA())</f>
        <v>1.2749858202214381</v>
      </c>
      <c r="R57" s="75">
        <f>F57-F56</f>
        <v>0.0035133136094673834</v>
      </c>
      <c r="S57" s="75">
        <f>0.5*(Q56+Q57)*R57</f>
        <v>0.004481256264860522</v>
      </c>
      <c r="T57" s="75">
        <f>0.5*(F56*Q56+F57*Q57)*R57</f>
        <v>0.0063929592539548295</v>
      </c>
      <c r="U57" s="76">
        <f>U56+S57</f>
        <v>0.23349749975131456</v>
      </c>
      <c r="V57" s="76">
        <f>V56+T57</f>
        <v>0.3124435820484575</v>
      </c>
    </row>
    <row r="58" spans="1:22" ht="19" customHeight="1">
      <c r="A58" s="68" t="s">
        <v>368</v>
      </c>
      <c r="B58" s="74">
        <v>1</v>
      </c>
      <c r="C58" s="68" t="s">
        <v>363</v>
      </c>
      <c r="D58" s="68" t="s">
        <v>364</v>
      </c>
      <c r="E58" s="75">
        <f>60*F58*'THAM_SO_MOI'!$C$49/(2*PI()*'THAM_SO_MOI'!$C$26)</f>
        <v>917.0</v>
      </c>
      <c r="F58" s="75">
        <f>'THAM_SO_MOI'!$E$49+('THAM_SO_MOI'!$F$49-'THAM_SO_MOI'!$E$49)*52/'THAM_SO_MOI'!$C$42</f>
        <v>1.4318704799474031</v>
      </c>
      <c r="G58" s="75">
        <f>3.6*F58</f>
        <v>5.154733727810651</v>
      </c>
      <c r="H58" s="75">
        <f>'THAM_SO_MOI'!$D$49</f>
        <v>3.1625000000000005</v>
      </c>
      <c r="I58" s="75">
        <f>IF(F58&gt;'THAM_SO_MOI'!$C$14,'THAM_SO_MOI'!$C$13*(1+F58^2/1500),'THAM_SO_MOI'!$C$13)</f>
        <v>0.015</v>
      </c>
      <c r="J58" s="75">
        <f>'THAM_SO_MOI'!$C$40*('THAM_SO_MOI'!$C$23*(E58/'THAM_SO_MOI'!$C$22)+'THAM_SO_MOI'!$C$24*(E58/'THAM_SO_MOI'!$C$22)^2-'THAM_SO_MOI'!$C$25*(E58/'THAM_SO_MOI'!$C$22)^3)</f>
        <v>34.02369569956661</v>
      </c>
      <c r="K58" s="75">
        <f>'THAM_SO_MOI'!$C$31*J58/E58</f>
        <v>354.37695174733665</v>
      </c>
      <c r="L58" s="75">
        <f>K58*'THAM_SO_MOI'!$C$49*'THAM_SO_MOI'!$C$17/'THAM_SO_MOI'!$C$26</f>
        <v>20201.267147685077</v>
      </c>
      <c r="M58" s="75">
        <f>'THAM_SO_MOI'!$C$15*'THAM_SO_MOI'!$C$16*F58^2</f>
        <v>5.996990233683561</v>
      </c>
      <c r="N58" s="75">
        <f>'THAM_SO_MOI'!$C$12*I58</f>
        <v>1130.112</v>
      </c>
      <c r="O58" s="75">
        <f>M58+N58</f>
        <v>1136.1089902336837</v>
      </c>
      <c r="P58" s="75">
        <f>(MIN(L58,'THAM_SO_MOI'!$C$41)-O58)/('THAM_SO_MOI'!$C$11*H58)</f>
        <v>0.7849620453496124</v>
      </c>
      <c r="Q58" s="75">
        <f>IF(P58&gt;0,1/P58,NA())</f>
        <v>1.2739469454916286</v>
      </c>
      <c r="R58" s="75">
        <f>F58-F57</f>
        <v>0.0035133136094676054</v>
      </c>
      <c r="S58" s="75">
        <f>0.5*(Q57+Q58)*R58</f>
        <v>0.004477600087698811</v>
      </c>
      <c r="T58" s="75">
        <f>0.5*(F57*Q57+F58*Q58)*R58</f>
        <v>0.00640347457411845</v>
      </c>
      <c r="U58" s="76">
        <f>U57+S58</f>
        <v>0.23797509983901338</v>
      </c>
      <c r="V58" s="76">
        <f>V57+T58</f>
        <v>0.31884705662257595</v>
      </c>
    </row>
    <row r="59" spans="1:22" ht="19" customHeight="1">
      <c r="A59" s="68" t="s">
        <v>368</v>
      </c>
      <c r="B59" s="74">
        <v>1</v>
      </c>
      <c r="C59" s="68" t="s">
        <v>363</v>
      </c>
      <c r="D59" s="68" t="s">
        <v>364</v>
      </c>
      <c r="E59" s="75">
        <f>60*F59*'THAM_SO_MOI'!$C$49/(2*PI()*'THAM_SO_MOI'!$C$26)</f>
        <v>919.25</v>
      </c>
      <c r="F59" s="75">
        <f>'THAM_SO_MOI'!$E$49+('THAM_SO_MOI'!$F$49-'THAM_SO_MOI'!$E$49)*53/'THAM_SO_MOI'!$C$42</f>
        <v>1.4353837935568705</v>
      </c>
      <c r="G59" s="75">
        <f>3.6*F59</f>
        <v>5.167381656804734</v>
      </c>
      <c r="H59" s="75">
        <f>'THAM_SO_MOI'!$D$49</f>
        <v>3.1625000000000005</v>
      </c>
      <c r="I59" s="75">
        <f>IF(F59&gt;'THAM_SO_MOI'!$C$14,'THAM_SO_MOI'!$C$13*(1+F59^2/1500),'THAM_SO_MOI'!$C$13)</f>
        <v>0.015</v>
      </c>
      <c r="J59" s="75">
        <f>'THAM_SO_MOI'!$C$40*('THAM_SO_MOI'!$C$23*(E59/'THAM_SO_MOI'!$C$22)+'THAM_SO_MOI'!$C$24*(E59/'THAM_SO_MOI'!$C$22)^2-'THAM_SO_MOI'!$C$25*(E59/'THAM_SO_MOI'!$C$22)^3)</f>
        <v>34.13340842088518</v>
      </c>
      <c r="K59" s="75">
        <f>'THAM_SO_MOI'!$C$31*J59/E59</f>
        <v>354.64948789421203</v>
      </c>
      <c r="L59" s="75">
        <f>K59*'THAM_SO_MOI'!$C$49*'THAM_SO_MOI'!$C$17/'THAM_SO_MOI'!$C$26</f>
        <v>20216.803077669476</v>
      </c>
      <c r="M59" s="75">
        <f>'THAM_SO_MOI'!$C$15*'THAM_SO_MOI'!$C$16*F59^2</f>
        <v>6.02645540680671</v>
      </c>
      <c r="N59" s="75">
        <f>'THAM_SO_MOI'!$C$12*I59</f>
        <v>1130.112</v>
      </c>
      <c r="O59" s="75">
        <f>M59+N59</f>
        <v>1136.1384554068068</v>
      </c>
      <c r="P59" s="75">
        <f>(MIN(L59,'THAM_SO_MOI'!$C$41)-O59)/('THAM_SO_MOI'!$C$11*H59)</f>
        <v>0.7856004867532389</v>
      </c>
      <c r="Q59" s="75">
        <f>IF(P59&gt;0,1/P59,NA())</f>
        <v>1.272911634936531</v>
      </c>
      <c r="R59" s="75">
        <f>F59-F58</f>
        <v>0.0035133136094673834</v>
      </c>
      <c r="S59" s="75">
        <f>0.5*(Q58+Q59)*R59</f>
        <v>0.0044739564560035165</v>
      </c>
      <c r="T59" s="75">
        <f>0.5*(F58*Q58+F59*Q59)*R59</f>
        <v>0.006413982189168096</v>
      </c>
      <c r="U59" s="76">
        <f>U58+S59</f>
        <v>0.2424490562950169</v>
      </c>
      <c r="V59" s="76">
        <f>V58+T59</f>
        <v>0.32526103881174406</v>
      </c>
    </row>
    <row r="60" spans="1:22" ht="19" customHeight="1">
      <c r="A60" s="68" t="s">
        <v>368</v>
      </c>
      <c r="B60" s="74">
        <v>1</v>
      </c>
      <c r="C60" s="68" t="s">
        <v>363</v>
      </c>
      <c r="D60" s="68" t="s">
        <v>364</v>
      </c>
      <c r="E60" s="75">
        <f>60*F60*'THAM_SO_MOI'!$C$49/(2*PI()*'THAM_SO_MOI'!$C$26)</f>
        <v>921.4999999999999</v>
      </c>
      <c r="F60" s="75">
        <f>'THAM_SO_MOI'!$E$49+('THAM_SO_MOI'!$F$49-'THAM_SO_MOI'!$E$49)*54/'THAM_SO_MOI'!$C$42</f>
        <v>1.438897107166338</v>
      </c>
      <c r="G60" s="75">
        <f>3.6*F60</f>
        <v>5.180029585798817</v>
      </c>
      <c r="H60" s="75">
        <f>'THAM_SO_MOI'!$D$49</f>
        <v>3.1625000000000005</v>
      </c>
      <c r="I60" s="75">
        <f>IF(F60&gt;'THAM_SO_MOI'!$C$14,'THAM_SO_MOI'!$C$13*(1+F60^2/1500),'THAM_SO_MOI'!$C$13)</f>
        <v>0.015</v>
      </c>
      <c r="J60" s="75">
        <f>'THAM_SO_MOI'!$C$40*('THAM_SO_MOI'!$C$23*(E60/'THAM_SO_MOI'!$C$22)+'THAM_SO_MOI'!$C$24*(E60/'THAM_SO_MOI'!$C$22)^2-'THAM_SO_MOI'!$C$25*(E60/'THAM_SO_MOI'!$C$22)^3)</f>
        <v>34.24320216209375</v>
      </c>
      <c r="K60" s="75">
        <f>'THAM_SO_MOI'!$C$31*J60/E60</f>
        <v>354.9215329030287</v>
      </c>
      <c r="L60" s="75">
        <f>K60*'THAM_SO_MOI'!$C$49*'THAM_SO_MOI'!$C$17/'THAM_SO_MOI'!$C$26</f>
        <v>20232.311010316345</v>
      </c>
      <c r="M60" s="75">
        <f>'THAM_SO_MOI'!$C$15*'THAM_SO_MOI'!$C$16*F60^2</f>
        <v>6.055992788659093</v>
      </c>
      <c r="N60" s="75">
        <f>'THAM_SO_MOI'!$C$12*I60</f>
        <v>1130.112</v>
      </c>
      <c r="O60" s="75">
        <f>M60+N60</f>
        <v>1136.1679927886591</v>
      </c>
      <c r="P60" s="75">
        <f>(MIN(L60,'THAM_SO_MOI'!$C$41)-O60)/('THAM_SO_MOI'!$C$11*H60)</f>
        <v>0.7862377724607905</v>
      </c>
      <c r="Q60" s="75">
        <f>IF(P60&gt;0,1/P60,NA())</f>
        <v>1.2718798753081655</v>
      </c>
      <c r="R60" s="75">
        <f>F60-F59</f>
        <v>0.0035133136094673834</v>
      </c>
      <c r="S60" s="75">
        <f>0.5*(Q59+Q60)*R60</f>
        <v>0.004470325323099874</v>
      </c>
      <c r="T60" s="75">
        <f>0.5*(F59*Q59+F60*Q60)*R60</f>
        <v>0.0064244821642542764</v>
      </c>
      <c r="U60" s="76">
        <f>U59+S60</f>
        <v>0.24691938161811677</v>
      </c>
      <c r="V60" s="76">
        <f>V59+T60</f>
        <v>0.33168552097599835</v>
      </c>
    </row>
    <row r="61" spans="1:22" ht="19" customHeight="1">
      <c r="A61" s="68" t="s">
        <v>368</v>
      </c>
      <c r="B61" s="74">
        <v>1</v>
      </c>
      <c r="C61" s="68" t="s">
        <v>363</v>
      </c>
      <c r="D61" s="68" t="s">
        <v>364</v>
      </c>
      <c r="E61" s="75">
        <f>60*F61*'THAM_SO_MOI'!$C$49/(2*PI()*'THAM_SO_MOI'!$C$26)</f>
        <v>923.7500000000001</v>
      </c>
      <c r="F61" s="75">
        <f>'THAM_SO_MOI'!$E$49+('THAM_SO_MOI'!$F$49-'THAM_SO_MOI'!$E$49)*55/'THAM_SO_MOI'!$C$42</f>
        <v>1.4424104207758055</v>
      </c>
      <c r="G61" s="75">
        <f>3.6*F61</f>
        <v>5.1926775147929</v>
      </c>
      <c r="H61" s="75">
        <f>'THAM_SO_MOI'!$D$49</f>
        <v>3.1625000000000005</v>
      </c>
      <c r="I61" s="75">
        <f>IF(F61&gt;'THAM_SO_MOI'!$C$14,'THAM_SO_MOI'!$C$13*(1+F61^2/1500),'THAM_SO_MOI'!$C$13)</f>
        <v>0.015</v>
      </c>
      <c r="J61" s="75">
        <f>'THAM_SO_MOI'!$C$40*('THAM_SO_MOI'!$C$23*(E61/'THAM_SO_MOI'!$C$22)+'THAM_SO_MOI'!$C$24*(E61/'THAM_SO_MOI'!$C$22)^2-'THAM_SO_MOI'!$C$25*(E61/'THAM_SO_MOI'!$C$22)^3)</f>
        <v>34.35307657609278</v>
      </c>
      <c r="K61" s="75">
        <f>'THAM_SO_MOI'!$C$31*J61/E61</f>
        <v>355.19308677378666</v>
      </c>
      <c r="L61" s="75">
        <f>K61*'THAM_SO_MOI'!$C$49*'THAM_SO_MOI'!$C$17/'THAM_SO_MOI'!$C$26</f>
        <v>20247.790945625682</v>
      </c>
      <c r="M61" s="75">
        <f>'THAM_SO_MOI'!$C$15*'THAM_SO_MOI'!$C$16*F61^2</f>
        <v>6.085602379240712</v>
      </c>
      <c r="N61" s="75">
        <f>'THAM_SO_MOI'!$C$12*I61</f>
        <v>1130.112</v>
      </c>
      <c r="O61" s="75">
        <f>M61+N61</f>
        <v>1136.1976023792408</v>
      </c>
      <c r="P61" s="75">
        <f>(MIN(L61,'THAM_SO_MOI'!$C$41)-O61)/('THAM_SO_MOI'!$C$11*H61)</f>
        <v>0.7868739024722677</v>
      </c>
      <c r="Q61" s="75">
        <f>IF(P61&gt;0,1/P61,NA())</f>
        <v>1.2708516534327985</v>
      </c>
      <c r="R61" s="75">
        <f>F61-F60</f>
        <v>0.0035133136094676054</v>
      </c>
      <c r="S61" s="75">
        <f>0.5*(Q60+Q61)*R61</f>
        <v>0.004466706642573999</v>
      </c>
      <c r="T61" s="75">
        <f>0.5*(F60*Q60+F61*Q61)*R61</f>
        <v>0.006434974564247411</v>
      </c>
      <c r="U61" s="76">
        <f>U60+S61</f>
        <v>0.25138608826069075</v>
      </c>
      <c r="V61" s="76">
        <f>V60+T61</f>
        <v>0.33812049554024576</v>
      </c>
    </row>
    <row r="62" spans="1:22" ht="19" customHeight="1">
      <c r="A62" s="68" t="s">
        <v>368</v>
      </c>
      <c r="B62" s="74">
        <v>1</v>
      </c>
      <c r="C62" s="68" t="s">
        <v>363</v>
      </c>
      <c r="D62" s="68" t="s">
        <v>364</v>
      </c>
      <c r="E62" s="75">
        <f>60*F62*'THAM_SO_MOI'!$C$49/(2*PI()*'THAM_SO_MOI'!$C$26)</f>
        <v>926.0</v>
      </c>
      <c r="F62" s="75">
        <f>'THAM_SO_MOI'!$E$49+('THAM_SO_MOI'!$F$49-'THAM_SO_MOI'!$E$49)*56/'THAM_SO_MOI'!$C$42</f>
        <v>1.4459237343852729</v>
      </c>
      <c r="G62" s="75">
        <f>3.6*F62</f>
        <v>5.2053254437869825</v>
      </c>
      <c r="H62" s="75">
        <f>'THAM_SO_MOI'!$D$49</f>
        <v>3.1625000000000005</v>
      </c>
      <c r="I62" s="75">
        <f>IF(F62&gt;'THAM_SO_MOI'!$C$14,'THAM_SO_MOI'!$C$13*(1+F62^2/1500),'THAM_SO_MOI'!$C$13)</f>
        <v>0.015</v>
      </c>
      <c r="J62" s="75">
        <f>'THAM_SO_MOI'!$C$40*('THAM_SO_MOI'!$C$23*(E62/'THAM_SO_MOI'!$C$22)+'THAM_SO_MOI'!$C$24*(E62/'THAM_SO_MOI'!$C$22)^2-'THAM_SO_MOI'!$C$25*(E62/'THAM_SO_MOI'!$C$22)^3)</f>
        <v>34.46303131578271</v>
      </c>
      <c r="K62" s="75">
        <f>'THAM_SO_MOI'!$C$31*J62/E62</f>
        <v>355.4641495064858</v>
      </c>
      <c r="L62" s="75">
        <f>K62*'THAM_SO_MOI'!$C$49*'THAM_SO_MOI'!$C$17/'THAM_SO_MOI'!$C$26</f>
        <v>20263.24288359749</v>
      </c>
      <c r="M62" s="75">
        <f>'THAM_SO_MOI'!$C$15*'THAM_SO_MOI'!$C$16*F62^2</f>
        <v>6.115284178551561</v>
      </c>
      <c r="N62" s="75">
        <f>'THAM_SO_MOI'!$C$12*I62</f>
        <v>1130.112</v>
      </c>
      <c r="O62" s="75">
        <f>M62+N62</f>
        <v>1136.2272841785516</v>
      </c>
      <c r="P62" s="75">
        <f>(MIN(L62,'THAM_SO_MOI'!$C$41)-O62)/('THAM_SO_MOI'!$C$11*H62)</f>
        <v>0.7875088767876702</v>
      </c>
      <c r="Q62" s="75">
        <f>IF(P62&gt;0,1/P62,NA())</f>
        <v>1.2698269562104532</v>
      </c>
      <c r="R62" s="75">
        <f>F62-F61</f>
        <v>0.0035133136094673834</v>
      </c>
      <c r="S62" s="75">
        <f>0.5*(Q61+Q62)*R62</f>
        <v>0.0044631003682711525</v>
      </c>
      <c r="T62" s="75">
        <f>0.5*(F61*Q61+F62*Q62)*R62</f>
        <v>0.006445459453739895</v>
      </c>
      <c r="U62" s="76">
        <f>U61+S62</f>
        <v>0.2558491886289619</v>
      </c>
      <c r="V62" s="76">
        <f>V61+T62</f>
        <v>0.3445659549939857</v>
      </c>
    </row>
    <row r="63" spans="1:22" ht="19" customHeight="1">
      <c r="A63" s="68" t="s">
        <v>368</v>
      </c>
      <c r="B63" s="74">
        <v>1</v>
      </c>
      <c r="C63" s="68" t="s">
        <v>363</v>
      </c>
      <c r="D63" s="68" t="s">
        <v>364</v>
      </c>
      <c r="E63" s="75">
        <f>60*F63*'THAM_SO_MOI'!$C$49/(2*PI()*'THAM_SO_MOI'!$C$26)</f>
        <v>928.2499999999998</v>
      </c>
      <c r="F63" s="75">
        <f>'THAM_SO_MOI'!$E$49+('THAM_SO_MOI'!$F$49-'THAM_SO_MOI'!$E$49)*57/'THAM_SO_MOI'!$C$42</f>
        <v>1.4494370479947403</v>
      </c>
      <c r="G63" s="75">
        <f>3.6*F63</f>
        <v>5.217973372781065</v>
      </c>
      <c r="H63" s="75">
        <f>'THAM_SO_MOI'!$D$49</f>
        <v>3.1625000000000005</v>
      </c>
      <c r="I63" s="75">
        <f>IF(F63&gt;'THAM_SO_MOI'!$C$14,'THAM_SO_MOI'!$C$13*(1+F63^2/1500),'THAM_SO_MOI'!$C$13)</f>
        <v>0.015</v>
      </c>
      <c r="J63" s="75">
        <f>'THAM_SO_MOI'!$C$40*('THAM_SO_MOI'!$C$23*(E63/'THAM_SO_MOI'!$C$22)+'THAM_SO_MOI'!$C$24*(E63/'THAM_SO_MOI'!$C$22)^2-'THAM_SO_MOI'!$C$25*(E63/'THAM_SO_MOI'!$C$22)^3)</f>
        <v>34.573066034063984</v>
      </c>
      <c r="K63" s="75">
        <f>'THAM_SO_MOI'!$C$31*J63/E63</f>
        <v>355.7347211011261</v>
      </c>
      <c r="L63" s="75">
        <f>K63*'THAM_SO_MOI'!$C$49*'THAM_SO_MOI'!$C$17/'THAM_SO_MOI'!$C$26</f>
        <v>20278.666824231757</v>
      </c>
      <c r="M63" s="75">
        <f>'THAM_SO_MOI'!$C$15*'THAM_SO_MOI'!$C$16*F63^2</f>
        <v>6.145038186591644</v>
      </c>
      <c r="N63" s="75">
        <f>'THAM_SO_MOI'!$C$12*I63</f>
        <v>1130.112</v>
      </c>
      <c r="O63" s="75">
        <f>M63+N63</f>
        <v>1136.2570381865917</v>
      </c>
      <c r="P63" s="75">
        <f>(MIN(L63,'THAM_SO_MOI'!$C$41)-O63)/('THAM_SO_MOI'!$C$11*H63)</f>
        <v>0.7881426954069978</v>
      </c>
      <c r="Q63" s="75">
        <f>IF(P63&gt;0,1/P63,NA())</f>
        <v>1.2688057706144176</v>
      </c>
      <c r="R63" s="75">
        <f>F63-F62</f>
        <v>0.0035133136094673834</v>
      </c>
      <c r="S63" s="75">
        <f>0.5*(Q62+Q63)*R63</f>
        <v>0.004459506454296556</v>
      </c>
      <c r="T63" s="75">
        <f>0.5*(F62*Q62+F63*Q63)*R63</f>
        <v>0.006455936897051842</v>
      </c>
      <c r="U63" s="76">
        <f>U62+S63</f>
        <v>0.26030869508325843</v>
      </c>
      <c r="V63" s="76">
        <f>V62+T63</f>
        <v>0.3510218918910375</v>
      </c>
    </row>
    <row r="64" spans="1:22" ht="19" customHeight="1">
      <c r="A64" s="68" t="s">
        <v>368</v>
      </c>
      <c r="B64" s="74">
        <v>1</v>
      </c>
      <c r="C64" s="68" t="s">
        <v>363</v>
      </c>
      <c r="D64" s="68" t="s">
        <v>364</v>
      </c>
      <c r="E64" s="75">
        <f>60*F64*'THAM_SO_MOI'!$C$49/(2*PI()*'THAM_SO_MOI'!$C$26)</f>
        <v>930.4999999999999</v>
      </c>
      <c r="F64" s="75">
        <f>'THAM_SO_MOI'!$E$49+('THAM_SO_MOI'!$F$49-'THAM_SO_MOI'!$E$49)*58/'THAM_SO_MOI'!$C$42</f>
        <v>1.4529503616042079</v>
      </c>
      <c r="G64" s="75">
        <f>3.6*F64</f>
        <v>5.230621301775148</v>
      </c>
      <c r="H64" s="75">
        <f>'THAM_SO_MOI'!$D$49</f>
        <v>3.1625000000000005</v>
      </c>
      <c r="I64" s="75">
        <f>IF(F64&gt;'THAM_SO_MOI'!$C$14,'THAM_SO_MOI'!$C$13*(1+F64^2/1500),'THAM_SO_MOI'!$C$13)</f>
        <v>0.015</v>
      </c>
      <c r="J64" s="75">
        <f>'THAM_SO_MOI'!$C$40*('THAM_SO_MOI'!$C$23*(E64/'THAM_SO_MOI'!$C$22)+'THAM_SO_MOI'!$C$24*(E64/'THAM_SO_MOI'!$C$22)^2-'THAM_SO_MOI'!$C$25*(E64/'THAM_SO_MOI'!$C$22)^3)</f>
        <v>34.68318038383709</v>
      </c>
      <c r="K64" s="75">
        <f>'THAM_SO_MOI'!$C$31*J64/E64</f>
        <v>356.00480155770765</v>
      </c>
      <c r="L64" s="75">
        <f>K64*'THAM_SO_MOI'!$C$49*'THAM_SO_MOI'!$C$17/'THAM_SO_MOI'!$C$26</f>
        <v>20294.062767528492</v>
      </c>
      <c r="M64" s="75">
        <f>'THAM_SO_MOI'!$C$15*'THAM_SO_MOI'!$C$16*F64^2</f>
        <v>6.174864403360961</v>
      </c>
      <c r="N64" s="75">
        <f>'THAM_SO_MOI'!$C$12*I64</f>
        <v>1130.112</v>
      </c>
      <c r="O64" s="75">
        <f>M64+N64</f>
        <v>1136.286864403361</v>
      </c>
      <c r="P64" s="75">
        <f>(MIN(L64,'THAM_SO_MOI'!$C$41)-O64)/('THAM_SO_MOI'!$C$11*H64)</f>
        <v>0.7887753583302506</v>
      </c>
      <c r="Q64" s="75">
        <f>IF(P64&gt;0,1/P64,NA())</f>
        <v>1.267788083690759</v>
      </c>
      <c r="R64" s="75">
        <f>F64-F63</f>
        <v>0.0035133136094676054</v>
      </c>
      <c r="S64" s="75">
        <f>0.5*(Q63+Q64)*R64</f>
        <v>0.004455924855011133</v>
      </c>
      <c r="T64" s="75">
        <f>0.5*(F63*Q63+F64*Q64)*R64</f>
        <v>0.006466406958229464</v>
      </c>
      <c r="U64" s="76">
        <f>U63+S64</f>
        <v>0.26476461993826955</v>
      </c>
      <c r="V64" s="76">
        <f>V63+T64</f>
        <v>0.35748829884926697</v>
      </c>
    </row>
    <row r="65" spans="1:22" ht="19" customHeight="1">
      <c r="A65" s="68" t="s">
        <v>368</v>
      </c>
      <c r="B65" s="74">
        <v>1</v>
      </c>
      <c r="C65" s="68" t="s">
        <v>363</v>
      </c>
      <c r="D65" s="68" t="s">
        <v>364</v>
      </c>
      <c r="E65" s="75">
        <f>60*F65*'THAM_SO_MOI'!$C$49/(2*PI()*'THAM_SO_MOI'!$C$26)</f>
        <v>932.7499999999999</v>
      </c>
      <c r="F65" s="75">
        <f>'THAM_SO_MOI'!$E$49+('THAM_SO_MOI'!$F$49-'THAM_SO_MOI'!$E$49)*59/'THAM_SO_MOI'!$C$42</f>
        <v>1.4564636752136753</v>
      </c>
      <c r="G65" s="75">
        <f>3.6*F65</f>
        <v>5.243269230769231</v>
      </c>
      <c r="H65" s="75">
        <f>'THAM_SO_MOI'!$D$49</f>
        <v>3.1625000000000005</v>
      </c>
      <c r="I65" s="75">
        <f>IF(F65&gt;'THAM_SO_MOI'!$C$14,'THAM_SO_MOI'!$C$13*(1+F65^2/1500),'THAM_SO_MOI'!$C$13)</f>
        <v>0.015</v>
      </c>
      <c r="J65" s="75">
        <f>'THAM_SO_MOI'!$C$40*('THAM_SO_MOI'!$C$23*(E65/'THAM_SO_MOI'!$C$22)+'THAM_SO_MOI'!$C$24*(E65/'THAM_SO_MOI'!$C$22)^2-'THAM_SO_MOI'!$C$25*(E65/'THAM_SO_MOI'!$C$22)^3)</f>
        <v>34.793374018002474</v>
      </c>
      <c r="K65" s="75">
        <f>'THAM_SO_MOI'!$C$31*J65/E65</f>
        <v>356.2743908762306</v>
      </c>
      <c r="L65" s="75">
        <f>K65*'THAM_SO_MOI'!$C$49*'THAM_SO_MOI'!$C$17/'THAM_SO_MOI'!$C$26</f>
        <v>20309.430713487705</v>
      </c>
      <c r="M65" s="75">
        <f>'THAM_SO_MOI'!$C$15*'THAM_SO_MOI'!$C$16*F65^2</f>
        <v>6.20476282885951</v>
      </c>
      <c r="N65" s="75">
        <f>'THAM_SO_MOI'!$C$12*I65</f>
        <v>1130.112</v>
      </c>
      <c r="O65" s="75">
        <f>M65+N65</f>
        <v>1136.3167628288595</v>
      </c>
      <c r="P65" s="75">
        <f>(MIN(L65,'THAM_SO_MOI'!$C$41)-O65)/('THAM_SO_MOI'!$C$11*H65)</f>
        <v>0.7894068655574292</v>
      </c>
      <c r="Q65" s="75">
        <f>IF(P65&gt;0,1/P65,NA())</f>
        <v>1.2667738825578407</v>
      </c>
      <c r="R65" s="75">
        <f>F65-F64</f>
        <v>0.0035133136094673834</v>
      </c>
      <c r="S65" s="75">
        <f>0.5*(Q64+Q65)*R65</f>
        <v>0.004452355525029808</v>
      </c>
      <c r="T65" s="75">
        <f>0.5*(F64*Q64+F65*Q65)*R65</f>
        <v>0.006476869701047092</v>
      </c>
      <c r="U65" s="76">
        <f>U64+S65</f>
        <v>0.26921697546329937</v>
      </c>
      <c r="V65" s="76">
        <f>V64+T65</f>
        <v>0.3639651685503141</v>
      </c>
    </row>
    <row r="66" spans="1:22" ht="19" customHeight="1">
      <c r="A66" s="68" t="s">
        <v>368</v>
      </c>
      <c r="B66" s="74">
        <v>1</v>
      </c>
      <c r="C66" s="68" t="s">
        <v>363</v>
      </c>
      <c r="D66" s="68" t="s">
        <v>364</v>
      </c>
      <c r="E66" s="75">
        <f>60*F66*'THAM_SO_MOI'!$C$49/(2*PI()*'THAM_SO_MOI'!$C$26)</f>
        <v>934.9999999999998</v>
      </c>
      <c r="F66" s="75">
        <f>'THAM_SO_MOI'!$E$49+('THAM_SO_MOI'!$F$49-'THAM_SO_MOI'!$E$49)*60/'THAM_SO_MOI'!$C$42</f>
        <v>1.4599769888231426</v>
      </c>
      <c r="G66" s="75">
        <f>3.6*F66</f>
        <v>5.255917159763314</v>
      </c>
      <c r="H66" s="75">
        <f>'THAM_SO_MOI'!$D$49</f>
        <v>3.1625000000000005</v>
      </c>
      <c r="I66" s="75">
        <f>IF(F66&gt;'THAM_SO_MOI'!$C$14,'THAM_SO_MOI'!$C$13*(1+F66^2/1500),'THAM_SO_MOI'!$C$13)</f>
        <v>0.015</v>
      </c>
      <c r="J66" s="75">
        <f>'THAM_SO_MOI'!$C$40*('THAM_SO_MOI'!$C$23*(E66/'THAM_SO_MOI'!$C$22)+'THAM_SO_MOI'!$C$24*(E66/'THAM_SO_MOI'!$C$22)^2-'THAM_SO_MOI'!$C$25*(E66/'THAM_SO_MOI'!$C$22)^3)</f>
        <v>34.90364658946057</v>
      </c>
      <c r="K66" s="75">
        <f>'THAM_SO_MOI'!$C$31*J66/E66</f>
        <v>356.54348905669457</v>
      </c>
      <c r="L66" s="75">
        <f>K66*'THAM_SO_MOI'!$C$49*'THAM_SO_MOI'!$C$17/'THAM_SO_MOI'!$C$26</f>
        <v>20324.77066210938</v>
      </c>
      <c r="M66" s="75">
        <f>'THAM_SO_MOI'!$C$15*'THAM_SO_MOI'!$C$16*F66^2</f>
        <v>6.234733463087291</v>
      </c>
      <c r="N66" s="75">
        <f>'THAM_SO_MOI'!$C$12*I66</f>
        <v>1130.112</v>
      </c>
      <c r="O66" s="75">
        <f>M66+N66</f>
        <v>1136.3467334630873</v>
      </c>
      <c r="P66" s="75">
        <f>(MIN(L66,'THAM_SO_MOI'!$C$41)-O66)/('THAM_SO_MOI'!$C$11*H66)</f>
        <v>0.7900372170885329</v>
      </c>
      <c r="Q66" s="75">
        <f>IF(P66&gt;0,1/P66,NA())</f>
        <v>1.2657631544058492</v>
      </c>
      <c r="R66" s="75">
        <f>F66-F65</f>
        <v>0.0035133136094673834</v>
      </c>
      <c r="S66" s="75">
        <f>0.5*(Q65+Q66)*R66</f>
        <v>0.004448798419222366</v>
      </c>
      <c r="T66" s="75">
        <f>0.5*(F65*Q65+F66*Q66)*R66</f>
        <v>0.006487325189012889</v>
      </c>
      <c r="U66" s="76">
        <f>U65+S66</f>
        <v>0.2736657738825217</v>
      </c>
      <c r="V66" s="76">
        <f>V65+T66</f>
        <v>0.370452493739327</v>
      </c>
    </row>
    <row r="67" spans="1:22" ht="19" customHeight="1">
      <c r="A67" s="68" t="s">
        <v>368</v>
      </c>
      <c r="B67" s="74">
        <v>1</v>
      </c>
      <c r="C67" s="68" t="s">
        <v>363</v>
      </c>
      <c r="D67" s="68" t="s">
        <v>364</v>
      </c>
      <c r="E67" s="75">
        <f>60*F67*'THAM_SO_MOI'!$C$49/(2*PI()*'THAM_SO_MOI'!$C$26)</f>
        <v>937.25</v>
      </c>
      <c r="F67" s="75">
        <f>'THAM_SO_MOI'!$E$49+('THAM_SO_MOI'!$F$49-'THAM_SO_MOI'!$E$49)*61/'THAM_SO_MOI'!$C$42</f>
        <v>1.4634903024326102</v>
      </c>
      <c r="G67" s="75">
        <f>3.6*F67</f>
        <v>5.268565088757397</v>
      </c>
      <c r="H67" s="75">
        <f>'THAM_SO_MOI'!$D$49</f>
        <v>3.1625000000000005</v>
      </c>
      <c r="I67" s="75">
        <f>IF(F67&gt;'THAM_SO_MOI'!$C$14,'THAM_SO_MOI'!$C$13*(1+F67^2/1500),'THAM_SO_MOI'!$C$13)</f>
        <v>0.015</v>
      </c>
      <c r="J67" s="75">
        <f>'THAM_SO_MOI'!$C$40*('THAM_SO_MOI'!$C$23*(E67/'THAM_SO_MOI'!$C$22)+'THAM_SO_MOI'!$C$24*(E67/'THAM_SO_MOI'!$C$22)^2-'THAM_SO_MOI'!$C$25*(E67/'THAM_SO_MOI'!$C$22)^3)</f>
        <v>35.013997751111866</v>
      </c>
      <c r="K67" s="75">
        <f>'THAM_SO_MOI'!$C$31*J67/E67</f>
        <v>356.8120960990998</v>
      </c>
      <c r="L67" s="75">
        <f>K67*'THAM_SO_MOI'!$C$49*'THAM_SO_MOI'!$C$17/'THAM_SO_MOI'!$C$26</f>
        <v>20340.082613393515</v>
      </c>
      <c r="M67" s="75">
        <f>'THAM_SO_MOI'!$C$15*'THAM_SO_MOI'!$C$16*F67^2</f>
        <v>6.264776306044308</v>
      </c>
      <c r="N67" s="75">
        <f>'THAM_SO_MOI'!$C$12*I67</f>
        <v>1130.112</v>
      </c>
      <c r="O67" s="75">
        <f>M67+N67</f>
        <v>1136.3767763060443</v>
      </c>
      <c r="P67" s="75">
        <f>(MIN(L67,'THAM_SO_MOI'!$C$41)-O67)/('THAM_SO_MOI'!$C$11*H67)</f>
        <v>0.7906664129235617</v>
      </c>
      <c r="Q67" s="75">
        <f>IF(P67&gt;0,1/P67,NA())</f>
        <v>1.2647558864963142</v>
      </c>
      <c r="R67" s="75">
        <f>F67-F66</f>
        <v>0.0035133136094676054</v>
      </c>
      <c r="S67" s="75">
        <f>0.5*(Q66+Q67)*R67</f>
        <v>0.004445253492709241</v>
      </c>
      <c r="T67" s="75">
        <f>0.5*(F66*Q66+F67*Q67)*R67</f>
        <v>0.006497773485367173</v>
      </c>
      <c r="U67" s="76">
        <f>U66+S67</f>
        <v>0.27811102737523097</v>
      </c>
      <c r="V67" s="76">
        <f>V66+T67</f>
        <v>0.37695026722469416</v>
      </c>
    </row>
    <row r="68" spans="1:22" ht="19" customHeight="1">
      <c r="A68" s="68" t="s">
        <v>368</v>
      </c>
      <c r="B68" s="74">
        <v>1</v>
      </c>
      <c r="C68" s="68" t="s">
        <v>363</v>
      </c>
      <c r="D68" s="68" t="s">
        <v>364</v>
      </c>
      <c r="E68" s="75">
        <f>60*F68*'THAM_SO_MOI'!$C$49/(2*PI()*'THAM_SO_MOI'!$C$26)</f>
        <v>939.4999999999999</v>
      </c>
      <c r="F68" s="75">
        <f>'THAM_SO_MOI'!$E$49+('THAM_SO_MOI'!$F$49-'THAM_SO_MOI'!$E$49)*62/'THAM_SO_MOI'!$C$42</f>
        <v>1.4670036160420776</v>
      </c>
      <c r="G68" s="75">
        <f>3.6*F68</f>
        <v>5.2812130177514796</v>
      </c>
      <c r="H68" s="75">
        <f>'THAM_SO_MOI'!$D$49</f>
        <v>3.1625000000000005</v>
      </c>
      <c r="I68" s="75">
        <f>IF(F68&gt;'THAM_SO_MOI'!$C$14,'THAM_SO_MOI'!$C$13*(1+F68^2/1500),'THAM_SO_MOI'!$C$13)</f>
        <v>0.015</v>
      </c>
      <c r="J68" s="75">
        <f>'THAM_SO_MOI'!$C$40*('THAM_SO_MOI'!$C$23*(E68/'THAM_SO_MOI'!$C$22)+'THAM_SO_MOI'!$C$24*(E68/'THAM_SO_MOI'!$C$22)^2-'THAM_SO_MOI'!$C$25*(E68/'THAM_SO_MOI'!$C$22)^3)</f>
        <v>35.12442715585679</v>
      </c>
      <c r="K68" s="75">
        <f>'THAM_SO_MOI'!$C$31*J68/E68</f>
        <v>357.0802120034463</v>
      </c>
      <c r="L68" s="75">
        <f>K68*'THAM_SO_MOI'!$C$49*'THAM_SO_MOI'!$C$17/'THAM_SO_MOI'!$C$26</f>
        <v>20355.366567340134</v>
      </c>
      <c r="M68" s="75">
        <f>'THAM_SO_MOI'!$C$15*'THAM_SO_MOI'!$C$16*F68^2</f>
        <v>6.294891357730555</v>
      </c>
      <c r="N68" s="75">
        <f>'THAM_SO_MOI'!$C$12*I68</f>
        <v>1130.112</v>
      </c>
      <c r="O68" s="75">
        <f>M68+N68</f>
        <v>1136.4068913577307</v>
      </c>
      <c r="P68" s="75">
        <f>(MIN(L68,'THAM_SO_MOI'!$C$41)-O68)/('THAM_SO_MOI'!$C$11*H68)</f>
        <v>0.7912944530625164</v>
      </c>
      <c r="Q68" s="75">
        <f>IF(P68&gt;0,1/P68,NA())</f>
        <v>1.26375206616164</v>
      </c>
      <c r="R68" s="75">
        <f>F68-F67</f>
        <v>0.0035133136094673834</v>
      </c>
      <c r="S68" s="75">
        <f>0.5*(Q67+Q68)*R68</f>
        <v>0.00444172070085985</v>
      </c>
      <c r="T68" s="75">
        <f>0.5*(F67*Q67+F68*Q68)*R68</f>
        <v>0.0065082146530843765</v>
      </c>
      <c r="U68" s="76">
        <f>U67+S68</f>
        <v>0.2825527480760908</v>
      </c>
      <c r="V68" s="76">
        <f>V67+T68</f>
        <v>0.38345848187777853</v>
      </c>
    </row>
    <row r="69" spans="1:22" ht="19" customHeight="1">
      <c r="A69" s="68" t="s">
        <v>368</v>
      </c>
      <c r="B69" s="74">
        <v>1</v>
      </c>
      <c r="C69" s="68" t="s">
        <v>363</v>
      </c>
      <c r="D69" s="68" t="s">
        <v>364</v>
      </c>
      <c r="E69" s="75">
        <f>60*F69*'THAM_SO_MOI'!$C$49/(2*PI()*'THAM_SO_MOI'!$C$26)</f>
        <v>941.7499999999999</v>
      </c>
      <c r="F69" s="75">
        <f>'THAM_SO_MOI'!$E$49+('THAM_SO_MOI'!$F$49-'THAM_SO_MOI'!$E$49)*63/'THAM_SO_MOI'!$C$42</f>
        <v>1.470516929651545</v>
      </c>
      <c r="G69" s="75">
        <f>3.6*F69</f>
        <v>5.293860946745562</v>
      </c>
      <c r="H69" s="75">
        <f>'THAM_SO_MOI'!$D$49</f>
        <v>3.1625000000000005</v>
      </c>
      <c r="I69" s="75">
        <f>IF(F69&gt;'THAM_SO_MOI'!$C$14,'THAM_SO_MOI'!$C$13*(1+F69^2/1500),'THAM_SO_MOI'!$C$13)</f>
        <v>0.015</v>
      </c>
      <c r="J69" s="75">
        <f>'THAM_SO_MOI'!$C$40*('THAM_SO_MOI'!$C$23*(E69/'THAM_SO_MOI'!$C$22)+'THAM_SO_MOI'!$C$24*(E69/'THAM_SO_MOI'!$C$22)^2-'THAM_SO_MOI'!$C$25*(E69/'THAM_SO_MOI'!$C$22)^3)</f>
        <v>35.23493445659581</v>
      </c>
      <c r="K69" s="75">
        <f>'THAM_SO_MOI'!$C$31*J69/E69</f>
        <v>357.347836769734</v>
      </c>
      <c r="L69" s="75">
        <f>K69*'THAM_SO_MOI'!$C$49*'THAM_SO_MOI'!$C$17/'THAM_SO_MOI'!$C$26</f>
        <v>20370.62252394921</v>
      </c>
      <c r="M69" s="75">
        <f>'THAM_SO_MOI'!$C$15*'THAM_SO_MOI'!$C$16*F69^2</f>
        <v>6.325078618146036</v>
      </c>
      <c r="N69" s="75">
        <f>'THAM_SO_MOI'!$C$12*I69</f>
        <v>1130.112</v>
      </c>
      <c r="O69" s="75">
        <f>M69+N69</f>
        <v>1136.4370786181462</v>
      </c>
      <c r="P69" s="75">
        <f>(MIN(L69,'THAM_SO_MOI'!$C$41)-O69)/('THAM_SO_MOI'!$C$11*H69)</f>
        <v>0.7919213375053961</v>
      </c>
      <c r="Q69" s="75">
        <f>IF(P69&gt;0,1/P69,NA())</f>
        <v>1.2627516808046433</v>
      </c>
      <c r="R69" s="75">
        <f>F69-F68</f>
        <v>0.0035133136094673834</v>
      </c>
      <c r="S69" s="75">
        <f>0.5*(Q68+Q69)*R69</f>
        <v>0.004438199999293491</v>
      </c>
      <c r="T69" s="75">
        <f>0.5*(F68*Q68+F69*Q69)*R69</f>
        <v>0.006518648754878744</v>
      </c>
      <c r="U69" s="76">
        <f>U68+S69</f>
        <v>0.28699094807538433</v>
      </c>
      <c r="V69" s="76">
        <f>V68+T69</f>
        <v>0.38997713063265727</v>
      </c>
    </row>
    <row r="70" spans="1:22" ht="19" customHeight="1">
      <c r="A70" s="68" t="s">
        <v>368</v>
      </c>
      <c r="B70" s="74">
        <v>1</v>
      </c>
      <c r="C70" s="68" t="s">
        <v>363</v>
      </c>
      <c r="D70" s="68" t="s">
        <v>364</v>
      </c>
      <c r="E70" s="75">
        <f>60*F70*'THAM_SO_MOI'!$C$49/(2*PI()*'THAM_SO_MOI'!$C$26)</f>
        <v>944.0</v>
      </c>
      <c r="F70" s="75">
        <f>'THAM_SO_MOI'!$E$49+('THAM_SO_MOI'!$F$49-'THAM_SO_MOI'!$E$49)*64/'THAM_SO_MOI'!$C$42</f>
        <v>1.4740302432610126</v>
      </c>
      <c r="G70" s="75">
        <f>3.6*F70</f>
        <v>5.306508875739645</v>
      </c>
      <c r="H70" s="75">
        <f>'THAM_SO_MOI'!$D$49</f>
        <v>3.1625000000000005</v>
      </c>
      <c r="I70" s="75">
        <f>IF(F70&gt;'THAM_SO_MOI'!$C$14,'THAM_SO_MOI'!$C$13*(1+F70^2/1500),'THAM_SO_MOI'!$C$13)</f>
        <v>0.015</v>
      </c>
      <c r="J70" s="75">
        <f>'THAM_SO_MOI'!$C$40*('THAM_SO_MOI'!$C$23*(E70/'THAM_SO_MOI'!$C$22)+'THAM_SO_MOI'!$C$24*(E70/'THAM_SO_MOI'!$C$22)^2-'THAM_SO_MOI'!$C$25*(E70/'THAM_SO_MOI'!$C$22)^3)</f>
        <v>35.34551930622938</v>
      </c>
      <c r="K70" s="75">
        <f>'THAM_SO_MOI'!$C$31*J70/E70</f>
        <v>357.6149703979629</v>
      </c>
      <c r="L70" s="75">
        <f>K70*'THAM_SO_MOI'!$C$49*'THAM_SO_MOI'!$C$17/'THAM_SO_MOI'!$C$26</f>
        <v>20385.850483220755</v>
      </c>
      <c r="M70" s="75">
        <f>'THAM_SO_MOI'!$C$15*'THAM_SO_MOI'!$C$16*F70^2</f>
        <v>6.355338087290751</v>
      </c>
      <c r="N70" s="75">
        <f>'THAM_SO_MOI'!$C$12*I70</f>
        <v>1130.112</v>
      </c>
      <c r="O70" s="75">
        <f>M70+N70</f>
        <v>1136.4673380872907</v>
      </c>
      <c r="P70" s="75">
        <f>(MIN(L70,'THAM_SO_MOI'!$C$41)-O70)/('THAM_SO_MOI'!$C$11*H70)</f>
        <v>0.7925470662522011</v>
      </c>
      <c r="Q70" s="75">
        <f>IF(P70&gt;0,1/P70,NA())</f>
        <v>1.261754717898084</v>
      </c>
      <c r="R70" s="75">
        <f>F70-F69</f>
        <v>0.0035133136094676054</v>
      </c>
      <c r="S70" s="75">
        <f>0.5*(Q69+Q70)*R70</f>
        <v>0.004434691343875172</v>
      </c>
      <c r="T70" s="75">
        <f>0.5*(F69*Q69+F70*Q70)*R70</f>
        <v>0.0065290758532025785</v>
      </c>
      <c r="U70" s="76">
        <f>U69+S70</f>
        <v>0.29142563941925953</v>
      </c>
      <c r="V70" s="76">
        <f>V69+T70</f>
        <v>0.3965062064858598</v>
      </c>
    </row>
    <row r="71" spans="1:22" ht="19" customHeight="1">
      <c r="A71" s="68" t="s">
        <v>368</v>
      </c>
      <c r="B71" s="74">
        <v>1</v>
      </c>
      <c r="C71" s="68" t="s">
        <v>363</v>
      </c>
      <c r="D71" s="68" t="s">
        <v>364</v>
      </c>
      <c r="E71" s="75">
        <f>60*F71*'THAM_SO_MOI'!$C$49/(2*PI()*'THAM_SO_MOI'!$C$26)</f>
        <v>946.25</v>
      </c>
      <c r="F71" s="75">
        <f>'THAM_SO_MOI'!$E$49+('THAM_SO_MOI'!$F$49-'THAM_SO_MOI'!$E$49)*65/'THAM_SO_MOI'!$C$42</f>
        <v>1.47754355687048</v>
      </c>
      <c r="G71" s="75">
        <f>3.6*F71</f>
        <v>5.319156804733728</v>
      </c>
      <c r="H71" s="75">
        <f>'THAM_SO_MOI'!$D$49</f>
        <v>3.1625000000000005</v>
      </c>
      <c r="I71" s="75">
        <f>IF(F71&gt;'THAM_SO_MOI'!$C$14,'THAM_SO_MOI'!$C$13*(1+F71^2/1500),'THAM_SO_MOI'!$C$13)</f>
        <v>0.015</v>
      </c>
      <c r="J71" s="75">
        <f>'THAM_SO_MOI'!$C$40*('THAM_SO_MOI'!$C$23*(E71/'THAM_SO_MOI'!$C$22)+'THAM_SO_MOI'!$C$24*(E71/'THAM_SO_MOI'!$C$22)^2-'THAM_SO_MOI'!$C$25*(E71/'THAM_SO_MOI'!$C$22)^3)</f>
        <v>35.45618135765795</v>
      </c>
      <c r="K71" s="75">
        <f>'THAM_SO_MOI'!$C$31*J71/E71</f>
        <v>357.8816128881331</v>
      </c>
      <c r="L71" s="75">
        <f>K71*'THAM_SO_MOI'!$C$49*'THAM_SO_MOI'!$C$17/'THAM_SO_MOI'!$C$26</f>
        <v>20401.050445154768</v>
      </c>
      <c r="M71" s="75">
        <f>'THAM_SO_MOI'!$C$15*'THAM_SO_MOI'!$C$16*F71^2</f>
        <v>6.385669765164698</v>
      </c>
      <c r="N71" s="75">
        <f>'THAM_SO_MOI'!$C$12*I71</f>
        <v>1130.112</v>
      </c>
      <c r="O71" s="75">
        <f>M71+N71</f>
        <v>1136.4976697651648</v>
      </c>
      <c r="P71" s="75">
        <f>(MIN(L71,'THAM_SO_MOI'!$C$41)-O71)/('THAM_SO_MOI'!$C$11*H71)</f>
        <v>0.7931716393029314</v>
      </c>
      <c r="Q71" s="75">
        <f>IF(P71&gt;0,1/P71,NA())</f>
        <v>1.2607611649842108</v>
      </c>
      <c r="R71" s="75">
        <f>F71-F70</f>
        <v>0.0035133136094673834</v>
      </c>
      <c r="S71" s="75">
        <f>0.5*(Q70+Q71)*R71</f>
        <v>0.004431194690713999</v>
      </c>
      <c r="T71" s="75">
        <f>0.5*(F70*Q70+F71*Q71)*R71</f>
        <v>0.006539496010248173</v>
      </c>
      <c r="U71" s="76">
        <f>U70+S71</f>
        <v>0.29585683410997354</v>
      </c>
      <c r="V71" s="76">
        <f>V70+T71</f>
        <v>0.403045702496108</v>
      </c>
    </row>
    <row r="72" spans="1:22" ht="19" customHeight="1">
      <c r="A72" s="68" t="s">
        <v>368</v>
      </c>
      <c r="B72" s="74">
        <v>1</v>
      </c>
      <c r="C72" s="68" t="s">
        <v>363</v>
      </c>
      <c r="D72" s="68" t="s">
        <v>364</v>
      </c>
      <c r="E72" s="75">
        <f>60*F72*'THAM_SO_MOI'!$C$49/(2*PI()*'THAM_SO_MOI'!$C$26)</f>
        <v>948.4999999999999</v>
      </c>
      <c r="F72" s="75">
        <f>'THAM_SO_MOI'!$E$49+('THAM_SO_MOI'!$F$49-'THAM_SO_MOI'!$E$49)*66/'THAM_SO_MOI'!$C$42</f>
        <v>1.4810568704799474</v>
      </c>
      <c r="G72" s="75">
        <f>3.6*F72</f>
        <v>5.331804733727811</v>
      </c>
      <c r="H72" s="75">
        <f>'THAM_SO_MOI'!$D$49</f>
        <v>3.1625000000000005</v>
      </c>
      <c r="I72" s="75">
        <f>IF(F72&gt;'THAM_SO_MOI'!$C$14,'THAM_SO_MOI'!$C$13*(1+F72^2/1500),'THAM_SO_MOI'!$C$13)</f>
        <v>0.015</v>
      </c>
      <c r="J72" s="75">
        <f>'THAM_SO_MOI'!$C$40*('THAM_SO_MOI'!$C$23*(E72/'THAM_SO_MOI'!$C$22)+'THAM_SO_MOI'!$C$24*(E72/'THAM_SO_MOI'!$C$22)^2-'THAM_SO_MOI'!$C$25*(E72/'THAM_SO_MOI'!$C$22)^3)</f>
        <v>35.56692026378197</v>
      </c>
      <c r="K72" s="75">
        <f>'THAM_SO_MOI'!$C$31*J72/E72</f>
        <v>358.1477642402444</v>
      </c>
      <c r="L72" s="75">
        <f>K72*'THAM_SO_MOI'!$C$49*'THAM_SO_MOI'!$C$17/'THAM_SO_MOI'!$C$26</f>
        <v>20416.222409751244</v>
      </c>
      <c r="M72" s="75">
        <f>'THAM_SO_MOI'!$C$15*'THAM_SO_MOI'!$C$16*F72^2</f>
        <v>6.416073651767878</v>
      </c>
      <c r="N72" s="75">
        <f>'THAM_SO_MOI'!$C$12*I72</f>
        <v>1130.112</v>
      </c>
      <c r="O72" s="75">
        <f>M72+N72</f>
        <v>1136.528073651768</v>
      </c>
      <c r="P72" s="75">
        <f>(MIN(L72,'THAM_SO_MOI'!$C$41)-O72)/('THAM_SO_MOI'!$C$11*H72)</f>
        <v>0.7937950566575869</v>
      </c>
      <c r="Q72" s="75">
        <f>IF(P72&gt;0,1/P72,NA())</f>
        <v>1.2597710096743044</v>
      </c>
      <c r="R72" s="75">
        <f>F72-F71</f>
        <v>0.0035133136094673834</v>
      </c>
      <c r="S72" s="75">
        <f>0.5*(Q71+Q72)*R72</f>
        <v>0.004427709996164091</v>
      </c>
      <c r="T72" s="75">
        <f>0.5*(F71*Q71+F72*Q72)*R72</f>
        <v>0.006549909287953458</v>
      </c>
      <c r="U72" s="76">
        <f>U71+S72</f>
        <v>0.30028454410613764</v>
      </c>
      <c r="V72" s="76">
        <f>V71+T72</f>
        <v>0.40959561178406145</v>
      </c>
    </row>
    <row r="73" spans="1:22" ht="19" customHeight="1">
      <c r="A73" s="68" t="s">
        <v>368</v>
      </c>
      <c r="B73" s="74">
        <v>1</v>
      </c>
      <c r="C73" s="68" t="s">
        <v>363</v>
      </c>
      <c r="D73" s="68" t="s">
        <v>364</v>
      </c>
      <c r="E73" s="75">
        <f>60*F73*'THAM_SO_MOI'!$C$49/(2*PI()*'THAM_SO_MOI'!$C$26)</f>
        <v>950.7500000000001</v>
      </c>
      <c r="F73" s="75">
        <f>'THAM_SO_MOI'!$E$49+('THAM_SO_MOI'!$F$49-'THAM_SO_MOI'!$E$49)*67/'THAM_SO_MOI'!$C$42</f>
        <v>1.484570184089415</v>
      </c>
      <c r="G73" s="75">
        <f>3.6*F73</f>
        <v>5.344452662721894</v>
      </c>
      <c r="H73" s="75">
        <f>'THAM_SO_MOI'!$D$49</f>
        <v>3.1625000000000005</v>
      </c>
      <c r="I73" s="75">
        <f>IF(F73&gt;'THAM_SO_MOI'!$C$14,'THAM_SO_MOI'!$C$13*(1+F73^2/1500),'THAM_SO_MOI'!$C$13)</f>
        <v>0.015</v>
      </c>
      <c r="J73" s="75">
        <f>'THAM_SO_MOI'!$C$40*('THAM_SO_MOI'!$C$23*(E73/'THAM_SO_MOI'!$C$22)+'THAM_SO_MOI'!$C$24*(E73/'THAM_SO_MOI'!$C$22)^2-'THAM_SO_MOI'!$C$25*(E73/'THAM_SO_MOI'!$C$22)^3)</f>
        <v>35.67773567750192</v>
      </c>
      <c r="K73" s="75">
        <f>'THAM_SO_MOI'!$C$31*J73/E73</f>
        <v>358.41342445429694</v>
      </c>
      <c r="L73" s="75">
        <f>K73*'THAM_SO_MOI'!$C$49*'THAM_SO_MOI'!$C$17/'THAM_SO_MOI'!$C$26</f>
        <v>20431.366377010192</v>
      </c>
      <c r="M73" s="75">
        <f>'THAM_SO_MOI'!$C$15*'THAM_SO_MOI'!$C$16*F73^2</f>
        <v>6.446549747100293</v>
      </c>
      <c r="N73" s="75">
        <f>'THAM_SO_MOI'!$C$12*I73</f>
        <v>1130.112</v>
      </c>
      <c r="O73" s="75">
        <f>M73+N73</f>
        <v>1136.5585497471004</v>
      </c>
      <c r="P73" s="75">
        <f>(MIN(L73,'THAM_SO_MOI'!$C$41)-O73)/('THAM_SO_MOI'!$C$11*H73)</f>
        <v>0.794417318316168</v>
      </c>
      <c r="Q73" s="75">
        <f>IF(P73&gt;0,1/P73,NA())</f>
        <v>1.2587842396482256</v>
      </c>
      <c r="R73" s="75">
        <f>F73-F72</f>
        <v>0.0035133136094676054</v>
      </c>
      <c r="S73" s="75">
        <f>0.5*(Q72+Q73)*R73</f>
        <v>0.004424237216820461</v>
      </c>
      <c r="T73" s="75">
        <f>0.5*(F72*Q72+F73*Q73)*R73</f>
        <v>0.006560315748000204</v>
      </c>
      <c r="U73" s="76">
        <f>U72+S73</f>
        <v>0.3047087813229581</v>
      </c>
      <c r="V73" s="76">
        <f>V72+T73</f>
        <v>0.41615592753206165</v>
      </c>
    </row>
    <row r="74" spans="1:22" ht="19" customHeight="1">
      <c r="A74" s="68" t="s">
        <v>368</v>
      </c>
      <c r="B74" s="74">
        <v>1</v>
      </c>
      <c r="C74" s="68" t="s">
        <v>363</v>
      </c>
      <c r="D74" s="68" t="s">
        <v>364</v>
      </c>
      <c r="E74" s="75">
        <f>60*F74*'THAM_SO_MOI'!$C$49/(2*PI()*'THAM_SO_MOI'!$C$26)</f>
        <v>953.0</v>
      </c>
      <c r="F74" s="75">
        <f>'THAM_SO_MOI'!$E$49+('THAM_SO_MOI'!$F$49-'THAM_SO_MOI'!$E$49)*68/'THAM_SO_MOI'!$C$42</f>
        <v>1.4880834976988824</v>
      </c>
      <c r="G74" s="75">
        <f>3.6*F74</f>
        <v>5.357100591715977</v>
      </c>
      <c r="H74" s="75">
        <f>'THAM_SO_MOI'!$D$49</f>
        <v>3.1625000000000005</v>
      </c>
      <c r="I74" s="75">
        <f>IF(F74&gt;'THAM_SO_MOI'!$C$14,'THAM_SO_MOI'!$C$13*(1+F74^2/1500),'THAM_SO_MOI'!$C$13)</f>
        <v>0.015</v>
      </c>
      <c r="J74" s="75">
        <f>'THAM_SO_MOI'!$C$40*('THAM_SO_MOI'!$C$23*(E74/'THAM_SO_MOI'!$C$22)+'THAM_SO_MOI'!$C$24*(E74/'THAM_SO_MOI'!$C$22)^2-'THAM_SO_MOI'!$C$25*(E74/'THAM_SO_MOI'!$C$22)^3)</f>
        <v>35.78862725171823</v>
      </c>
      <c r="K74" s="75">
        <f>'THAM_SO_MOI'!$C$31*J74/E74</f>
        <v>358.6785935302908</v>
      </c>
      <c r="L74" s="75">
        <f>K74*'THAM_SO_MOI'!$C$49*'THAM_SO_MOI'!$C$17/'THAM_SO_MOI'!$C$26</f>
        <v>20446.48234693161</v>
      </c>
      <c r="M74" s="75">
        <f>'THAM_SO_MOI'!$C$15*'THAM_SO_MOI'!$C$16*F74^2</f>
        <v>6.4770980511619385</v>
      </c>
      <c r="N74" s="75">
        <f>'THAM_SO_MOI'!$C$12*I74</f>
        <v>1130.112</v>
      </c>
      <c r="O74" s="75">
        <f>M74+N74</f>
        <v>1136.589098051162</v>
      </c>
      <c r="P74" s="75">
        <f>(MIN(L74,'THAM_SO_MOI'!$C$41)-O74)/('THAM_SO_MOI'!$C$11*H74)</f>
        <v>0.7950384242786745</v>
      </c>
      <c r="Q74" s="75">
        <f>IF(P74&gt;0,1/P74,NA())</f>
        <v>1.2578008426539682</v>
      </c>
      <c r="R74" s="75">
        <f>F74-F73</f>
        <v>0.0035133136094673834</v>
      </c>
      <c r="S74" s="75">
        <f>0.5*(Q73+Q74)*R74</f>
        <v>0.004420776309517446</v>
      </c>
      <c r="T74" s="75">
        <f>0.5*(F73*Q73+F74*Q74)*R74</f>
        <v>0.0065707154518159</v>
      </c>
      <c r="U74" s="76">
        <f>U73+S74</f>
        <v>0.3091295576324755</v>
      </c>
      <c r="V74" s="76">
        <f>V73+T74</f>
        <v>0.4227266429838776</v>
      </c>
    </row>
    <row r="75" spans="1:22" ht="19" customHeight="1">
      <c r="A75" s="68" t="s">
        <v>368</v>
      </c>
      <c r="B75" s="74">
        <v>1</v>
      </c>
      <c r="C75" s="68" t="s">
        <v>363</v>
      </c>
      <c r="D75" s="68" t="s">
        <v>364</v>
      </c>
      <c r="E75" s="75">
        <f>60*F75*'THAM_SO_MOI'!$C$49/(2*PI()*'THAM_SO_MOI'!$C$26)</f>
        <v>955.25</v>
      </c>
      <c r="F75" s="75">
        <f>'THAM_SO_MOI'!$E$49+('THAM_SO_MOI'!$F$49-'THAM_SO_MOI'!$E$49)*69/'THAM_SO_MOI'!$C$42</f>
        <v>1.4915968113083498</v>
      </c>
      <c r="G75" s="75">
        <f>3.6*F75</f>
        <v>5.3697485207100595</v>
      </c>
      <c r="H75" s="75">
        <f>'THAM_SO_MOI'!$D$49</f>
        <v>3.1625000000000005</v>
      </c>
      <c r="I75" s="75">
        <f>IF(F75&gt;'THAM_SO_MOI'!$C$14,'THAM_SO_MOI'!$C$13*(1+F75^2/1500),'THAM_SO_MOI'!$C$13)</f>
        <v>0.015</v>
      </c>
      <c r="J75" s="75">
        <f>'THAM_SO_MOI'!$C$40*('THAM_SO_MOI'!$C$23*(E75/'THAM_SO_MOI'!$C$22)+'THAM_SO_MOI'!$C$24*(E75/'THAM_SO_MOI'!$C$22)^2-'THAM_SO_MOI'!$C$25*(E75/'THAM_SO_MOI'!$C$22)^3)</f>
        <v>35.89959463933137</v>
      </c>
      <c r="K75" s="75">
        <f>'THAM_SO_MOI'!$C$31*J75/E75</f>
        <v>358.94327146822576</v>
      </c>
      <c r="L75" s="75">
        <f>K75*'THAM_SO_MOI'!$C$49*'THAM_SO_MOI'!$C$17/'THAM_SO_MOI'!$C$26</f>
        <v>20461.57031951549</v>
      </c>
      <c r="M75" s="75">
        <f>'THAM_SO_MOI'!$C$15*'THAM_SO_MOI'!$C$16*F75^2</f>
        <v>6.5077185639528174</v>
      </c>
      <c r="N75" s="75">
        <f>'THAM_SO_MOI'!$C$12*I75</f>
        <v>1130.112</v>
      </c>
      <c r="O75" s="75">
        <f>M75+N75</f>
        <v>1136.6197185639528</v>
      </c>
      <c r="P75" s="75">
        <f>(MIN(L75,'THAM_SO_MOI'!$C$41)-O75)/('THAM_SO_MOI'!$C$11*H75)</f>
        <v>0.7956583745451059</v>
      </c>
      <c r="Q75" s="75">
        <f>IF(P75&gt;0,1/P75,NA())</f>
        <v>1.2568208065072153</v>
      </c>
      <c r="R75" s="75">
        <f>F75-F74</f>
        <v>0.0035133136094673834</v>
      </c>
      <c r="S75" s="75">
        <f>0.5*(Q74+Q75)*R75</f>
        <v>0.004417327231329651</v>
      </c>
      <c r="T75" s="75">
        <f>0.5*(F74*Q74+F75*Q75)*R75</f>
        <v>0.006581108460579387</v>
      </c>
      <c r="U75" s="76">
        <f>U74+S75</f>
        <v>0.31354688486380516</v>
      </c>
      <c r="V75" s="76">
        <f>V74+T75</f>
        <v>0.429307751444457</v>
      </c>
    </row>
    <row r="76" spans="1:22" ht="19" customHeight="1">
      <c r="A76" s="68" t="s">
        <v>368</v>
      </c>
      <c r="B76" s="74">
        <v>1</v>
      </c>
      <c r="C76" s="68" t="s">
        <v>363</v>
      </c>
      <c r="D76" s="68" t="s">
        <v>364</v>
      </c>
      <c r="E76" s="75">
        <f>60*F76*'THAM_SO_MOI'!$C$49/(2*PI()*'THAM_SO_MOI'!$C$26)</f>
        <v>957.4999999999999</v>
      </c>
      <c r="F76" s="75">
        <f>'THAM_SO_MOI'!$E$49+('THAM_SO_MOI'!$F$49-'THAM_SO_MOI'!$E$49)*70/'THAM_SO_MOI'!$C$42</f>
        <v>1.4951101249178174</v>
      </c>
      <c r="G76" s="75">
        <f>3.6*F76</f>
        <v>5.382396449704142</v>
      </c>
      <c r="H76" s="75">
        <f>'THAM_SO_MOI'!$D$49</f>
        <v>3.1625000000000005</v>
      </c>
      <c r="I76" s="75">
        <f>IF(F76&gt;'THAM_SO_MOI'!$C$14,'THAM_SO_MOI'!$C$13*(1+F76^2/1500),'THAM_SO_MOI'!$C$13)</f>
        <v>0.015</v>
      </c>
      <c r="J76" s="75">
        <f>'THAM_SO_MOI'!$C$40*('THAM_SO_MOI'!$C$23*(E76/'THAM_SO_MOI'!$C$22)+'THAM_SO_MOI'!$C$24*(E76/'THAM_SO_MOI'!$C$22)^2-'THAM_SO_MOI'!$C$25*(E76/'THAM_SO_MOI'!$C$22)^3)</f>
        <v>36.010637493241795</v>
      </c>
      <c r="K76" s="75">
        <f>'THAM_SO_MOI'!$C$31*J76/E76</f>
        <v>359.20745826810213</v>
      </c>
      <c r="L76" s="75">
        <f>K76*'THAM_SO_MOI'!$C$49*'THAM_SO_MOI'!$C$17/'THAM_SO_MOI'!$C$26</f>
        <v>20476.630294761846</v>
      </c>
      <c r="M76" s="75">
        <f>'THAM_SO_MOI'!$C$15*'THAM_SO_MOI'!$C$16*F76^2</f>
        <v>6.5384112854729315</v>
      </c>
      <c r="N76" s="75">
        <f>'THAM_SO_MOI'!$C$12*I76</f>
        <v>1130.112</v>
      </c>
      <c r="O76" s="75">
        <f>M76+N76</f>
        <v>1136.650411285473</v>
      </c>
      <c r="P76" s="75">
        <f>(MIN(L76,'THAM_SO_MOI'!$C$41)-O76)/('THAM_SO_MOI'!$C$11*H76)</f>
        <v>0.7962771691154631</v>
      </c>
      <c r="Q76" s="75">
        <f>IF(P76&gt;0,1/P76,NA())</f>
        <v>1.2558441190908944</v>
      </c>
      <c r="R76" s="75">
        <f>F76-F75</f>
        <v>0.0035133136094676054</v>
      </c>
      <c r="S76" s="75">
        <f>0.5*(Q75+Q76)*R76</f>
        <v>0.004413889939567874</v>
      </c>
      <c r="T76" s="75">
        <f>0.5*(F75*Q75+F76*Q76)*R76</f>
        <v>0.006591494835218979</v>
      </c>
      <c r="U76" s="76">
        <f>U75+S76</f>
        <v>0.31796077480337304</v>
      </c>
      <c r="V76" s="76">
        <f>V75+T76</f>
        <v>0.43589924627967597</v>
      </c>
    </row>
    <row r="77" spans="1:22" ht="19" customHeight="1">
      <c r="A77" s="68" t="s">
        <v>368</v>
      </c>
      <c r="B77" s="74">
        <v>1</v>
      </c>
      <c r="C77" s="68" t="s">
        <v>363</v>
      </c>
      <c r="D77" s="68" t="s">
        <v>364</v>
      </c>
      <c r="E77" s="75">
        <f>60*F77*'THAM_SO_MOI'!$C$49/(2*PI()*'THAM_SO_MOI'!$C$26)</f>
        <v>959.7499999999999</v>
      </c>
      <c r="F77" s="75">
        <f>'THAM_SO_MOI'!$E$49+('THAM_SO_MOI'!$F$49-'THAM_SO_MOI'!$E$49)*71/'THAM_SO_MOI'!$C$42</f>
        <v>1.4986234385272847</v>
      </c>
      <c r="G77" s="75">
        <f>3.6*F77</f>
        <v>5.395044378698225</v>
      </c>
      <c r="H77" s="75">
        <f>'THAM_SO_MOI'!$D$49</f>
        <v>3.1625000000000005</v>
      </c>
      <c r="I77" s="75">
        <f>IF(F77&gt;'THAM_SO_MOI'!$C$14,'THAM_SO_MOI'!$C$13*(1+F77^2/1500),'THAM_SO_MOI'!$C$13)</f>
        <v>0.015</v>
      </c>
      <c r="J77" s="75">
        <f>'THAM_SO_MOI'!$C$40*('THAM_SO_MOI'!$C$23*(E77/'THAM_SO_MOI'!$C$22)+'THAM_SO_MOI'!$C$24*(E77/'THAM_SO_MOI'!$C$22)^2-'THAM_SO_MOI'!$C$25*(E77/'THAM_SO_MOI'!$C$22)^3)</f>
        <v>36.12175546634994</v>
      </c>
      <c r="K77" s="75">
        <f>'THAM_SO_MOI'!$C$31*J77/E77</f>
        <v>359.47115392991947</v>
      </c>
      <c r="L77" s="75">
        <f>K77*'THAM_SO_MOI'!$C$49*'THAM_SO_MOI'!$C$17/'THAM_SO_MOI'!$C$26</f>
        <v>20491.662272670656</v>
      </c>
      <c r="M77" s="75">
        <f>'THAM_SO_MOI'!$C$15*'THAM_SO_MOI'!$C$16*F77^2</f>
        <v>6.569176215722276</v>
      </c>
      <c r="N77" s="75">
        <f>'THAM_SO_MOI'!$C$12*I77</f>
        <v>1130.112</v>
      </c>
      <c r="O77" s="75">
        <f>M77+N77</f>
        <v>1136.6811762157224</v>
      </c>
      <c r="P77" s="75">
        <f>(MIN(L77,'THAM_SO_MOI'!$C$41)-O77)/('THAM_SO_MOI'!$C$11*H77)</f>
        <v>0.7968948079897451</v>
      </c>
      <c r="Q77" s="75">
        <f>IF(P77&gt;0,1/P77,NA())</f>
        <v>1.254870768354747</v>
      </c>
      <c r="R77" s="75">
        <f>F77-F76</f>
        <v>0.0035133136094673834</v>
      </c>
      <c r="S77" s="75">
        <f>0.5*(Q76+Q77)*R77</f>
        <v>0.004410464391777571</v>
      </c>
      <c r="T77" s="75">
        <f>0.5*(F76*Q76+F77*Q77)*R77</f>
        <v>0.0066018746364143194</v>
      </c>
      <c r="U77" s="76">
        <f>U76+S77</f>
        <v>0.3223712391951506</v>
      </c>
      <c r="V77" s="76">
        <f>V76+T77</f>
        <v>0.4425011209160903</v>
      </c>
    </row>
    <row r="78" spans="1:22" ht="19" customHeight="1">
      <c r="A78" s="68" t="s">
        <v>368</v>
      </c>
      <c r="B78" s="74">
        <v>1</v>
      </c>
      <c r="C78" s="68" t="s">
        <v>363</v>
      </c>
      <c r="D78" s="68" t="s">
        <v>364</v>
      </c>
      <c r="E78" s="75">
        <f>60*F78*'THAM_SO_MOI'!$C$49/(2*PI()*'THAM_SO_MOI'!$C$26)</f>
        <v>961.9999999999998</v>
      </c>
      <c r="F78" s="75">
        <f>'THAM_SO_MOI'!$E$49+('THAM_SO_MOI'!$F$49-'THAM_SO_MOI'!$E$49)*72/'THAM_SO_MOI'!$C$42</f>
        <v>1.5021367521367521</v>
      </c>
      <c r="G78" s="75">
        <f>3.6*F78</f>
        <v>5.407692307692308</v>
      </c>
      <c r="H78" s="75">
        <f>'THAM_SO_MOI'!$D$49</f>
        <v>3.1625000000000005</v>
      </c>
      <c r="I78" s="75">
        <f>IF(F78&gt;'THAM_SO_MOI'!$C$14,'THAM_SO_MOI'!$C$13*(1+F78^2/1500),'THAM_SO_MOI'!$C$13)</f>
        <v>0.015</v>
      </c>
      <c r="J78" s="75">
        <f>'THAM_SO_MOI'!$C$40*('THAM_SO_MOI'!$C$23*(E78/'THAM_SO_MOI'!$C$22)+'THAM_SO_MOI'!$C$24*(E78/'THAM_SO_MOI'!$C$22)^2-'THAM_SO_MOI'!$C$25*(E78/'THAM_SO_MOI'!$C$22)^3)</f>
        <v>36.23294821155629</v>
      </c>
      <c r="K78" s="75">
        <f>'THAM_SO_MOI'!$C$31*J78/E78</f>
        <v>359.73435845367817</v>
      </c>
      <c r="L78" s="75">
        <f>K78*'THAM_SO_MOI'!$C$49*'THAM_SO_MOI'!$C$17/'THAM_SO_MOI'!$C$26</f>
        <v>20506.666253241947</v>
      </c>
      <c r="M78" s="75">
        <f>'THAM_SO_MOI'!$C$15*'THAM_SO_MOI'!$C$16*F78^2</f>
        <v>6.600013354700856</v>
      </c>
      <c r="N78" s="75">
        <f>'THAM_SO_MOI'!$C$12*I78</f>
        <v>1130.112</v>
      </c>
      <c r="O78" s="75">
        <f>M78+N78</f>
        <v>1136.712013354701</v>
      </c>
      <c r="P78" s="75">
        <f>(MIN(L78,'THAM_SO_MOI'!$C$41)-O78)/('THAM_SO_MOI'!$C$11*H78)</f>
        <v>0.7975112911679529</v>
      </c>
      <c r="Q78" s="75">
        <f>IF(P78&gt;0,1/P78,NA())</f>
        <v>1.2539007423148867</v>
      </c>
      <c r="R78" s="75">
        <f>F78-F77</f>
        <v>0.0035133136094673834</v>
      </c>
      <c r="S78" s="75">
        <f>0.5*(Q77+Q78)*R78</f>
        <v>0.004407050545739836</v>
      </c>
      <c r="T78" s="75">
        <f>0.5*(F77*Q77+F78*Q78)*R78</f>
        <v>0.006612247924601967</v>
      </c>
      <c r="U78" s="76">
        <f>U77+S78</f>
        <v>0.3267782897408904</v>
      </c>
      <c r="V78" s="76">
        <f>V77+T78</f>
        <v>0.44911336884069225</v>
      </c>
    </row>
    <row r="79" spans="1:22" ht="19" customHeight="1">
      <c r="A79" s="68" t="s">
        <v>368</v>
      </c>
      <c r="B79" s="74">
        <v>1</v>
      </c>
      <c r="C79" s="68" t="s">
        <v>363</v>
      </c>
      <c r="D79" s="68" t="s">
        <v>364</v>
      </c>
      <c r="E79" s="75">
        <f>60*F79*'THAM_SO_MOI'!$C$49/(2*PI()*'THAM_SO_MOI'!$C$26)</f>
        <v>964.25</v>
      </c>
      <c r="F79" s="75">
        <f>'THAM_SO_MOI'!$E$49+('THAM_SO_MOI'!$F$49-'THAM_SO_MOI'!$E$49)*73/'THAM_SO_MOI'!$C$42</f>
        <v>1.5056500657462197</v>
      </c>
      <c r="G79" s="75">
        <f>3.6*F79</f>
        <v>5.420340236686391</v>
      </c>
      <c r="H79" s="75">
        <f>'THAM_SO_MOI'!$D$49</f>
        <v>3.1625000000000005</v>
      </c>
      <c r="I79" s="75">
        <f>IF(F79&gt;'THAM_SO_MOI'!$C$14,'THAM_SO_MOI'!$C$13*(1+F79^2/1500),'THAM_SO_MOI'!$C$13)</f>
        <v>0.015</v>
      </c>
      <c r="J79" s="75">
        <f>'THAM_SO_MOI'!$C$40*('THAM_SO_MOI'!$C$23*(E79/'THAM_SO_MOI'!$C$22)+'THAM_SO_MOI'!$C$24*(E79/'THAM_SO_MOI'!$C$22)^2-'THAM_SO_MOI'!$C$25*(E79/'THAM_SO_MOI'!$C$22)^3)</f>
        <v>36.3442153817613</v>
      </c>
      <c r="K79" s="75">
        <f>'THAM_SO_MOI'!$C$31*J79/E79</f>
        <v>359.9970718393782</v>
      </c>
      <c r="L79" s="75">
        <f>K79*'THAM_SO_MOI'!$C$49*'THAM_SO_MOI'!$C$17/'THAM_SO_MOI'!$C$26</f>
        <v>20521.6422364757</v>
      </c>
      <c r="M79" s="75">
        <f>'THAM_SO_MOI'!$C$15*'THAM_SO_MOI'!$C$16*F79^2</f>
        <v>6.630922702408668</v>
      </c>
      <c r="N79" s="75">
        <f>'THAM_SO_MOI'!$C$12*I79</f>
        <v>1130.112</v>
      </c>
      <c r="O79" s="75">
        <f>M79+N79</f>
        <v>1136.7429227024088</v>
      </c>
      <c r="P79" s="75">
        <f>(MIN(L79,'THAM_SO_MOI'!$C$41)-O79)/('THAM_SO_MOI'!$C$11*H79)</f>
        <v>0.7981266186500859</v>
      </c>
      <c r="Q79" s="75">
        <f>IF(P79&gt;0,1/P79,NA())</f>
        <v>1.2529340290533766</v>
      </c>
      <c r="R79" s="75">
        <f>F79-F78</f>
        <v>0.0035133136094676054</v>
      </c>
      <c r="S79" s="75">
        <f>0.5*(Q78+Q79)*R79</f>
        <v>0.004403648359467366</v>
      </c>
      <c r="T79" s="75">
        <f>0.5*(F78*Q78+F79*Q79)*R79</f>
        <v>0.006622614759973483</v>
      </c>
      <c r="U79" s="76">
        <f>U78+S79</f>
        <v>0.3311819381003578</v>
      </c>
      <c r="V79" s="76">
        <f>V78+T79</f>
        <v>0.45573598360066575</v>
      </c>
    </row>
    <row r="80" spans="1:22" ht="19" customHeight="1">
      <c r="A80" s="68" t="s">
        <v>368</v>
      </c>
      <c r="B80" s="74">
        <v>1</v>
      </c>
      <c r="C80" s="68" t="s">
        <v>363</v>
      </c>
      <c r="D80" s="68" t="s">
        <v>364</v>
      </c>
      <c r="E80" s="75">
        <f>60*F80*'THAM_SO_MOI'!$C$49/(2*PI()*'THAM_SO_MOI'!$C$26)</f>
        <v>966.4999999999999</v>
      </c>
      <c r="F80" s="75">
        <f>'THAM_SO_MOI'!$E$49+('THAM_SO_MOI'!$F$49-'THAM_SO_MOI'!$E$49)*74/'THAM_SO_MOI'!$C$42</f>
        <v>1.5091633793556871</v>
      </c>
      <c r="G80" s="75">
        <f>3.6*F80</f>
        <v>5.432988165680474</v>
      </c>
      <c r="H80" s="75">
        <f>'THAM_SO_MOI'!$D$49</f>
        <v>3.1625000000000005</v>
      </c>
      <c r="I80" s="75">
        <f>IF(F80&gt;'THAM_SO_MOI'!$C$14,'THAM_SO_MOI'!$C$13*(1+F80^2/1500),'THAM_SO_MOI'!$C$13)</f>
        <v>0.015</v>
      </c>
      <c r="J80" s="75">
        <f>'THAM_SO_MOI'!$C$40*('THAM_SO_MOI'!$C$23*(E80/'THAM_SO_MOI'!$C$22)+'THAM_SO_MOI'!$C$24*(E80/'THAM_SO_MOI'!$C$22)^2-'THAM_SO_MOI'!$C$25*(E80/'THAM_SO_MOI'!$C$22)^3)</f>
        <v>36.455556629865384</v>
      </c>
      <c r="K80" s="75">
        <f>'THAM_SO_MOI'!$C$31*J80/E80</f>
        <v>360.25929408701916</v>
      </c>
      <c r="L80" s="75">
        <f>K80*'THAM_SO_MOI'!$C$49*'THAM_SO_MOI'!$C$17/'THAM_SO_MOI'!$C$26</f>
        <v>20536.590222371917</v>
      </c>
      <c r="M80" s="75">
        <f>'THAM_SO_MOI'!$C$15*'THAM_SO_MOI'!$C$16*F80^2</f>
        <v>6.661904258845713</v>
      </c>
      <c r="N80" s="75">
        <f>'THAM_SO_MOI'!$C$12*I80</f>
        <v>1130.112</v>
      </c>
      <c r="O80" s="75">
        <f>M80+N80</f>
        <v>1136.7739042588457</v>
      </c>
      <c r="P80" s="75">
        <f>(MIN(L80,'THAM_SO_MOI'!$C$41)-O80)/('THAM_SO_MOI'!$C$11*H80)</f>
        <v>0.798740790436144</v>
      </c>
      <c r="Q80" s="75">
        <f>IF(P80&gt;0,1/P80,NA())</f>
        <v>1.2519706167177973</v>
      </c>
      <c r="R80" s="75">
        <f>F80-F79</f>
        <v>0.0035133136094673834</v>
      </c>
      <c r="S80" s="75">
        <f>0.5*(Q79+Q80)*R80</f>
        <v>0.004400257791202971</v>
      </c>
      <c r="T80" s="75">
        <f>0.5*(F79*Q79+F80*Q80)*R80</f>
        <v>0.0066329752024772305</v>
      </c>
      <c r="U80" s="76">
        <f>U79+S80</f>
        <v>0.33558219589156074</v>
      </c>
      <c r="V80" s="76">
        <f>V79+T80</f>
        <v>0.462368958803143</v>
      </c>
    </row>
    <row r="81" spans="1:22" ht="19" customHeight="1">
      <c r="A81" s="68" t="s">
        <v>368</v>
      </c>
      <c r="B81" s="74">
        <v>1</v>
      </c>
      <c r="C81" s="68" t="s">
        <v>363</v>
      </c>
      <c r="D81" s="68" t="s">
        <v>364</v>
      </c>
      <c r="E81" s="75">
        <f>60*F81*'THAM_SO_MOI'!$C$49/(2*PI()*'THAM_SO_MOI'!$C$26)</f>
        <v>968.7499999999999</v>
      </c>
      <c r="F81" s="75">
        <f>'THAM_SO_MOI'!$E$49+('THAM_SO_MOI'!$F$49-'THAM_SO_MOI'!$E$49)*75/'THAM_SO_MOI'!$C$42</f>
        <v>1.5126766929651545</v>
      </c>
      <c r="G81" s="75">
        <f>3.6*F81</f>
        <v>5.445636094674557</v>
      </c>
      <c r="H81" s="75">
        <f>'THAM_SO_MOI'!$D$49</f>
        <v>3.1625000000000005</v>
      </c>
      <c r="I81" s="75">
        <f>IF(F81&gt;'THAM_SO_MOI'!$C$14,'THAM_SO_MOI'!$C$13*(1+F81^2/1500),'THAM_SO_MOI'!$C$13)</f>
        <v>0.015</v>
      </c>
      <c r="J81" s="75">
        <f>'THAM_SO_MOI'!$C$40*('THAM_SO_MOI'!$C$23*(E81/'THAM_SO_MOI'!$C$22)+'THAM_SO_MOI'!$C$24*(E81/'THAM_SO_MOI'!$C$22)^2-'THAM_SO_MOI'!$C$25*(E81/'THAM_SO_MOI'!$C$22)^3)</f>
        <v>36.566971608769045</v>
      </c>
      <c r="K81" s="75">
        <f>'THAM_SO_MOI'!$C$31*J81/E81</f>
        <v>360.5210251966016</v>
      </c>
      <c r="L81" s="75">
        <f>K81*'THAM_SO_MOI'!$C$49*'THAM_SO_MOI'!$C$17/'THAM_SO_MOI'!$C$26</f>
        <v>20551.51021093061</v>
      </c>
      <c r="M81" s="75">
        <f>'THAM_SO_MOI'!$C$15*'THAM_SO_MOI'!$C$16*F81^2</f>
        <v>6.69295802401199</v>
      </c>
      <c r="N81" s="75">
        <f>'THAM_SO_MOI'!$C$12*I81</f>
        <v>1130.112</v>
      </c>
      <c r="O81" s="75">
        <f>M81+N81</f>
        <v>1136.804958024012</v>
      </c>
      <c r="P81" s="75">
        <f>(MIN(L81,'THAM_SO_MOI'!$C$41)-O81)/('THAM_SO_MOI'!$C$11*H81)</f>
        <v>0.799353806526128</v>
      </c>
      <c r="Q81" s="75">
        <f>IF(P81&gt;0,1/P81,NA())</f>
        <v>1.2510104935208233</v>
      </c>
      <c r="R81" s="75">
        <f>F81-F80</f>
        <v>0.0035133136094673834</v>
      </c>
      <c r="S81" s="75">
        <f>0.5*(Q80+Q81)*R81</f>
        <v>0.0043968787994205635</v>
      </c>
      <c r="T81" s="75">
        <f>0.5*(F80*Q80+F81*Q81)*R81</f>
        <v>0.006643329311823935</v>
      </c>
      <c r="U81" s="76">
        <f>U80+S81</f>
        <v>0.3399790746909813</v>
      </c>
      <c r="V81" s="76">
        <f>V80+T81</f>
        <v>0.4690122881149669</v>
      </c>
    </row>
    <row r="82" spans="1:22" ht="19" customHeight="1">
      <c r="A82" s="68" t="s">
        <v>368</v>
      </c>
      <c r="B82" s="74">
        <v>1</v>
      </c>
      <c r="C82" s="68" t="s">
        <v>363</v>
      </c>
      <c r="D82" s="68" t="s">
        <v>364</v>
      </c>
      <c r="E82" s="75">
        <f>60*F82*'THAM_SO_MOI'!$C$49/(2*PI()*'THAM_SO_MOI'!$C$26)</f>
        <v>971.0</v>
      </c>
      <c r="F82" s="75">
        <f>'THAM_SO_MOI'!$E$49+('THAM_SO_MOI'!$F$49-'THAM_SO_MOI'!$E$49)*76/'THAM_SO_MOI'!$C$42</f>
        <v>1.516190006574622</v>
      </c>
      <c r="G82" s="75">
        <f>3.6*F82</f>
        <v>5.458284023668639</v>
      </c>
      <c r="H82" s="75">
        <f>'THAM_SO_MOI'!$D$49</f>
        <v>3.1625000000000005</v>
      </c>
      <c r="I82" s="75">
        <f>IF(F82&gt;'THAM_SO_MOI'!$C$14,'THAM_SO_MOI'!$C$13*(1+F82^2/1500),'THAM_SO_MOI'!$C$13)</f>
        <v>0.015</v>
      </c>
      <c r="J82" s="75">
        <f>'THAM_SO_MOI'!$C$40*('THAM_SO_MOI'!$C$23*(E82/'THAM_SO_MOI'!$C$22)+'THAM_SO_MOI'!$C$24*(E82/'THAM_SO_MOI'!$C$22)^2-'THAM_SO_MOI'!$C$25*(E82/'THAM_SO_MOI'!$C$22)^3)</f>
        <v>36.678459971372725</v>
      </c>
      <c r="K82" s="75">
        <f>'THAM_SO_MOI'!$C$31*J82/E82</f>
        <v>360.78226516812515</v>
      </c>
      <c r="L82" s="75">
        <f>K82*'THAM_SO_MOI'!$C$49*'THAM_SO_MOI'!$C$17/'THAM_SO_MOI'!$C$26</f>
        <v>20566.402202151767</v>
      </c>
      <c r="M82" s="75">
        <f>'THAM_SO_MOI'!$C$15*'THAM_SO_MOI'!$C$16*F82^2</f>
        <v>6.724083997907503</v>
      </c>
      <c r="N82" s="75">
        <f>'THAM_SO_MOI'!$C$12*I82</f>
        <v>1130.112</v>
      </c>
      <c r="O82" s="75">
        <f>M82+N82</f>
        <v>1136.8360839979075</v>
      </c>
      <c r="P82" s="75">
        <f>(MIN(L82,'THAM_SO_MOI'!$C$41)-O82)/('THAM_SO_MOI'!$C$11*H82)</f>
        <v>0.7999656669200369</v>
      </c>
      <c r="Q82" s="75">
        <f>IF(P82&gt;0,1/P82,NA())</f>
        <v>1.2500536477398074</v>
      </c>
      <c r="R82" s="75">
        <f>F82-F81</f>
        <v>0.0035133136094676054</v>
      </c>
      <c r="S82" s="75">
        <f>0.5*(Q81+Q82)*R82</f>
        <v>0.004393511342821192</v>
      </c>
      <c r="T82" s="75">
        <f>0.5*(F81*Q81+F82*Q82)*R82</f>
        <v>0.006653677147484718</v>
      </c>
      <c r="U82" s="76">
        <f>U81+S82</f>
        <v>0.3443725860338025</v>
      </c>
      <c r="V82" s="76">
        <f>V81+T82</f>
        <v>0.47566596526245164</v>
      </c>
    </row>
    <row r="83" spans="1:22" ht="19" customHeight="1">
      <c r="A83" s="68" t="s">
        <v>368</v>
      </c>
      <c r="B83" s="74">
        <v>1</v>
      </c>
      <c r="C83" s="68" t="s">
        <v>363</v>
      </c>
      <c r="D83" s="68" t="s">
        <v>364</v>
      </c>
      <c r="E83" s="75">
        <f>60*F83*'THAM_SO_MOI'!$C$49/(2*PI()*'THAM_SO_MOI'!$C$26)</f>
        <v>973.25</v>
      </c>
      <c r="F83" s="75">
        <f>'THAM_SO_MOI'!$E$49+('THAM_SO_MOI'!$F$49-'THAM_SO_MOI'!$E$49)*77/'THAM_SO_MOI'!$C$42</f>
        <v>1.5197033201840895</v>
      </c>
      <c r="G83" s="75">
        <f>3.6*F83</f>
        <v>5.470931952662722</v>
      </c>
      <c r="H83" s="75">
        <f>'THAM_SO_MOI'!$D$49</f>
        <v>3.1625000000000005</v>
      </c>
      <c r="I83" s="75">
        <f>IF(F83&gt;'THAM_SO_MOI'!$C$14,'THAM_SO_MOI'!$C$13*(1+F83^2/1500),'THAM_SO_MOI'!$C$13)</f>
        <v>0.015</v>
      </c>
      <c r="J83" s="75">
        <f>'THAM_SO_MOI'!$C$40*('THAM_SO_MOI'!$C$23*(E83/'THAM_SO_MOI'!$C$22)+'THAM_SO_MOI'!$C$24*(E83/'THAM_SO_MOI'!$C$22)^2-'THAM_SO_MOI'!$C$25*(E83/'THAM_SO_MOI'!$C$22)^3)</f>
        <v>36.79002137057686</v>
      </c>
      <c r="K83" s="75">
        <f>'THAM_SO_MOI'!$C$31*J83/E83</f>
        <v>361.04301400158994</v>
      </c>
      <c r="L83" s="75">
        <f>K83*'THAM_SO_MOI'!$C$49*'THAM_SO_MOI'!$C$17/'THAM_SO_MOI'!$C$26</f>
        <v>20581.266196035387</v>
      </c>
      <c r="M83" s="75">
        <f>'THAM_SO_MOI'!$C$15*'THAM_SO_MOI'!$C$16*F83^2</f>
        <v>6.755282180532245</v>
      </c>
      <c r="N83" s="75">
        <f>'THAM_SO_MOI'!$C$12*I83</f>
        <v>1130.112</v>
      </c>
      <c r="O83" s="75">
        <f>M83+N83</f>
        <v>1136.8672821805324</v>
      </c>
      <c r="P83" s="75">
        <f>(MIN(L83,'THAM_SO_MOI'!$C$41)-O83)/('THAM_SO_MOI'!$C$11*H83)</f>
        <v>0.800576371617871</v>
      </c>
      <c r="Q83" s="75">
        <f>IF(P83&gt;0,1/P83,NA())</f>
        <v>1.2491000677163595</v>
      </c>
      <c r="R83" s="75">
        <f>F83-F82</f>
        <v>0.0035133136094673834</v>
      </c>
      <c r="S83" s="75">
        <f>0.5*(Q82+Q83)*R83</f>
        <v>0.004390155380331564</v>
      </c>
      <c r="T83" s="75">
        <f>0.5*(F82*Q82+F83*Q83)*R83</f>
        <v>0.00666401876869286</v>
      </c>
      <c r="U83" s="76">
        <f>U82+S83</f>
        <v>0.34876274141413405</v>
      </c>
      <c r="V83" s="76">
        <f>V82+T83</f>
        <v>0.4823299840311445</v>
      </c>
    </row>
    <row r="84" spans="1:22" ht="19" customHeight="1">
      <c r="A84" s="68" t="s">
        <v>368</v>
      </c>
      <c r="B84" s="74">
        <v>1</v>
      </c>
      <c r="C84" s="68" t="s">
        <v>363</v>
      </c>
      <c r="D84" s="68" t="s">
        <v>364</v>
      </c>
      <c r="E84" s="75">
        <f>60*F84*'THAM_SO_MOI'!$C$49/(2*PI()*'THAM_SO_MOI'!$C$26)</f>
        <v>975.4999999999999</v>
      </c>
      <c r="F84" s="75">
        <f>'THAM_SO_MOI'!$E$49+('THAM_SO_MOI'!$F$49-'THAM_SO_MOI'!$E$49)*78/'THAM_SO_MOI'!$C$42</f>
        <v>1.5232166337935569</v>
      </c>
      <c r="G84" s="75">
        <f>3.6*F84</f>
        <v>5.483579881656805</v>
      </c>
      <c r="H84" s="75">
        <f>'THAM_SO_MOI'!$D$49</f>
        <v>3.1625000000000005</v>
      </c>
      <c r="I84" s="75">
        <f>IF(F84&gt;'THAM_SO_MOI'!$C$14,'THAM_SO_MOI'!$C$13*(1+F84^2/1500),'THAM_SO_MOI'!$C$13)</f>
        <v>0.015</v>
      </c>
      <c r="J84" s="75">
        <f>'THAM_SO_MOI'!$C$40*('THAM_SO_MOI'!$C$23*(E84/'THAM_SO_MOI'!$C$22)+'THAM_SO_MOI'!$C$24*(E84/'THAM_SO_MOI'!$C$22)^2-'THAM_SO_MOI'!$C$25*(E84/'THAM_SO_MOI'!$C$22)^3)</f>
        <v>36.90165545928192</v>
      </c>
      <c r="K84" s="75">
        <f>'THAM_SO_MOI'!$C$31*J84/E84</f>
        <v>361.3032716969959</v>
      </c>
      <c r="L84" s="75">
        <f>K84*'THAM_SO_MOI'!$C$49*'THAM_SO_MOI'!$C$17/'THAM_SO_MOI'!$C$26</f>
        <v>20596.10219258148</v>
      </c>
      <c r="M84" s="75">
        <f>'THAM_SO_MOI'!$C$15*'THAM_SO_MOI'!$C$16*F84^2</f>
        <v>6.786552571886222</v>
      </c>
      <c r="N84" s="75">
        <f>'THAM_SO_MOI'!$C$12*I84</f>
        <v>1130.112</v>
      </c>
      <c r="O84" s="75">
        <f>M84+N84</f>
        <v>1136.8985525718863</v>
      </c>
      <c r="P84" s="75">
        <f>(MIN(L84,'THAM_SO_MOI'!$C$41)-O84)/('THAM_SO_MOI'!$C$11*H84)</f>
        <v>0.8011859206196306</v>
      </c>
      <c r="Q84" s="75">
        <f>IF(P84&gt;0,1/P84,NA())</f>
        <v>1.248149741855933</v>
      </c>
      <c r="R84" s="75">
        <f>F84-F83</f>
        <v>0.0035133136094673834</v>
      </c>
      <c r="S84" s="75">
        <f>0.5*(Q83+Q84)*R84</f>
        <v>0.004386810871105084</v>
      </c>
      <c r="T84" s="75">
        <f>0.5*(F83*Q83+F84*Q84)*R84</f>
        <v>0.006674354234449333</v>
      </c>
      <c r="U84" s="76">
        <f>U83+S84</f>
        <v>0.35314955228523914</v>
      </c>
      <c r="V84" s="76">
        <f>V83+T84</f>
        <v>0.48900433826559386</v>
      </c>
    </row>
    <row r="85" spans="1:22" ht="19" customHeight="1">
      <c r="A85" s="68" t="s">
        <v>368</v>
      </c>
      <c r="B85" s="74">
        <v>1</v>
      </c>
      <c r="C85" s="68" t="s">
        <v>363</v>
      </c>
      <c r="D85" s="68" t="s">
        <v>364</v>
      </c>
      <c r="E85" s="75">
        <f>60*F85*'THAM_SO_MOI'!$C$49/(2*PI()*'THAM_SO_MOI'!$C$26)</f>
        <v>977.7500000000001</v>
      </c>
      <c r="F85" s="75">
        <f>'THAM_SO_MOI'!$E$49+('THAM_SO_MOI'!$F$49-'THAM_SO_MOI'!$E$49)*79/'THAM_SO_MOI'!$C$42</f>
        <v>1.5267299474030245</v>
      </c>
      <c r="G85" s="75">
        <f>3.6*F85</f>
        <v>5.496227810650888</v>
      </c>
      <c r="H85" s="75">
        <f>'THAM_SO_MOI'!$D$49</f>
        <v>3.1625000000000005</v>
      </c>
      <c r="I85" s="75">
        <f>IF(F85&gt;'THAM_SO_MOI'!$C$14,'THAM_SO_MOI'!$C$13*(1+F85^2/1500),'THAM_SO_MOI'!$C$13)</f>
        <v>0.015</v>
      </c>
      <c r="J85" s="75">
        <f>'THAM_SO_MOI'!$C$40*('THAM_SO_MOI'!$C$23*(E85/'THAM_SO_MOI'!$C$22)+'THAM_SO_MOI'!$C$24*(E85/'THAM_SO_MOI'!$C$22)^2-'THAM_SO_MOI'!$C$25*(E85/'THAM_SO_MOI'!$C$22)^3)</f>
        <v>37.013361890388374</v>
      </c>
      <c r="K85" s="75">
        <f>'THAM_SO_MOI'!$C$31*J85/E85</f>
        <v>361.56303825434327</v>
      </c>
      <c r="L85" s="75">
        <f>K85*'THAM_SO_MOI'!$C$49*'THAM_SO_MOI'!$C$17/'THAM_SO_MOI'!$C$26</f>
        <v>20610.91019179004</v>
      </c>
      <c r="M85" s="75">
        <f>'THAM_SO_MOI'!$C$15*'THAM_SO_MOI'!$C$16*F85^2</f>
        <v>6.817895171969433</v>
      </c>
      <c r="N85" s="75">
        <f>'THAM_SO_MOI'!$C$12*I85</f>
        <v>1130.112</v>
      </c>
      <c r="O85" s="75">
        <f>M85+N85</f>
        <v>1136.9298951719695</v>
      </c>
      <c r="P85" s="75">
        <f>(MIN(L85,'THAM_SO_MOI'!$C$41)-O85)/('THAM_SO_MOI'!$C$11*H85)</f>
        <v>0.8017943139253156</v>
      </c>
      <c r="Q85" s="75">
        <f>IF(P85&gt;0,1/P85,NA())</f>
        <v>1.2472026586274176</v>
      </c>
      <c r="R85" s="75">
        <f>F85-F84</f>
        <v>0.0035133136094676054</v>
      </c>
      <c r="S85" s="75">
        <f>0.5*(Q84+Q85)*R85</f>
        <v>0.0043834777745179075</v>
      </c>
      <c r="T85" s="75">
        <f>0.5*(F84*Q84+F85*Q85)*R85</f>
        <v>0.006684683603520772</v>
      </c>
      <c r="U85" s="76">
        <f>U84+S85</f>
        <v>0.35753303005975706</v>
      </c>
      <c r="V85" s="76">
        <f>V84+T85</f>
        <v>0.4956890218691146</v>
      </c>
    </row>
    <row r="86" spans="1:22" ht="19" customHeight="1">
      <c r="A86" s="68" t="s">
        <v>368</v>
      </c>
      <c r="B86" s="74">
        <v>1</v>
      </c>
      <c r="C86" s="68" t="s">
        <v>363</v>
      </c>
      <c r="D86" s="68" t="s">
        <v>364</v>
      </c>
      <c r="E86" s="75">
        <f>60*F86*'THAM_SO_MOI'!$C$49/(2*PI()*'THAM_SO_MOI'!$C$26)</f>
        <v>980.0</v>
      </c>
      <c r="F86" s="75">
        <f>'THAM_SO_MOI'!$E$49+('THAM_SO_MOI'!$F$49-'THAM_SO_MOI'!$E$49)*80/'THAM_SO_MOI'!$C$42</f>
        <v>1.5302432610124919</v>
      </c>
      <c r="G86" s="75">
        <f>3.6*F86</f>
        <v>5.508875739644971</v>
      </c>
      <c r="H86" s="75">
        <f>'THAM_SO_MOI'!$D$49</f>
        <v>3.1625000000000005</v>
      </c>
      <c r="I86" s="75">
        <f>IF(F86&gt;'THAM_SO_MOI'!$C$14,'THAM_SO_MOI'!$C$13*(1+F86^2/1500),'THAM_SO_MOI'!$C$13)</f>
        <v>0.015</v>
      </c>
      <c r="J86" s="75">
        <f>'THAM_SO_MOI'!$C$40*('THAM_SO_MOI'!$C$23*(E86/'THAM_SO_MOI'!$C$22)+'THAM_SO_MOI'!$C$24*(E86/'THAM_SO_MOI'!$C$22)^2-'THAM_SO_MOI'!$C$25*(E86/'THAM_SO_MOI'!$C$22)^3)</f>
        <v>37.12514031679665</v>
      </c>
      <c r="K86" s="75">
        <f>'THAM_SO_MOI'!$C$31*J86/E86</f>
        <v>361.8223136736317</v>
      </c>
      <c r="L86" s="75">
        <f>K86*'THAM_SO_MOI'!$C$49*'THAM_SO_MOI'!$C$17/'THAM_SO_MOI'!$C$26</f>
        <v>20625.690193661067</v>
      </c>
      <c r="M86" s="75">
        <f>'THAM_SO_MOI'!$C$15*'THAM_SO_MOI'!$C$16*F86^2</f>
        <v>6.849309980781876</v>
      </c>
      <c r="N86" s="75">
        <f>'THAM_SO_MOI'!$C$12*I86</f>
        <v>1130.112</v>
      </c>
      <c r="O86" s="75">
        <f>M86+N86</f>
        <v>1136.961309980782</v>
      </c>
      <c r="P86" s="75">
        <f>(MIN(L86,'THAM_SO_MOI'!$C$41)-O86)/('THAM_SO_MOI'!$C$11*H86)</f>
        <v>0.8024015515349259</v>
      </c>
      <c r="Q86" s="75">
        <f>IF(P86&gt;0,1/P86,NA())</f>
        <v>1.2462588065627305</v>
      </c>
      <c r="R86" s="75">
        <f>F86-F85</f>
        <v>0.0035133136094673834</v>
      </c>
      <c r="S86" s="75">
        <f>0.5*(Q85+Q86)*R86</f>
        <v>0.004380156050167515</v>
      </c>
      <c r="T86" s="75">
        <f>0.5*(F85*Q85+F86*Q86)*R86</f>
        <v>0.006695006934441202</v>
      </c>
      <c r="U86" s="76">
        <f>U85+S86</f>
        <v>0.36191318610992457</v>
      </c>
      <c r="V86" s="76">
        <f>V85+T86</f>
        <v>0.5023840288035558</v>
      </c>
    </row>
    <row r="87" spans="1:22" ht="19" customHeight="1">
      <c r="A87" s="68" t="s">
        <v>368</v>
      </c>
      <c r="B87" s="74">
        <v>1</v>
      </c>
      <c r="C87" s="68" t="s">
        <v>363</v>
      </c>
      <c r="D87" s="68" t="s">
        <v>364</v>
      </c>
      <c r="E87" s="75">
        <f>60*F87*'THAM_SO_MOI'!$C$49/(2*PI()*'THAM_SO_MOI'!$C$26)</f>
        <v>982.2499999999998</v>
      </c>
      <c r="F87" s="75">
        <f>'THAM_SO_MOI'!$E$49+('THAM_SO_MOI'!$F$49-'THAM_SO_MOI'!$E$49)*81/'THAM_SO_MOI'!$C$42</f>
        <v>1.5337565746219592</v>
      </c>
      <c r="G87" s="75">
        <f>3.6*F87</f>
        <v>5.521523668639054</v>
      </c>
      <c r="H87" s="75">
        <f>'THAM_SO_MOI'!$D$49</f>
        <v>3.1625000000000005</v>
      </c>
      <c r="I87" s="75">
        <f>IF(F87&gt;'THAM_SO_MOI'!$C$14,'THAM_SO_MOI'!$C$13*(1+F87^2/1500),'THAM_SO_MOI'!$C$13)</f>
        <v>0.015</v>
      </c>
      <c r="J87" s="75">
        <f>'THAM_SO_MOI'!$C$40*('THAM_SO_MOI'!$C$23*(E87/'THAM_SO_MOI'!$C$22)+'THAM_SO_MOI'!$C$24*(E87/'THAM_SO_MOI'!$C$22)^2-'THAM_SO_MOI'!$C$25*(E87/'THAM_SO_MOI'!$C$22)^3)</f>
        <v>37.23699039140721</v>
      </c>
      <c r="K87" s="75">
        <f>'THAM_SO_MOI'!$C$31*J87/E87</f>
        <v>362.0810979548614</v>
      </c>
      <c r="L87" s="75">
        <f>K87*'THAM_SO_MOI'!$C$49*'THAM_SO_MOI'!$C$17/'THAM_SO_MOI'!$C$26</f>
        <v>20640.44219819456</v>
      </c>
      <c r="M87" s="75">
        <f>'THAM_SO_MOI'!$C$15*'THAM_SO_MOI'!$C$16*F87^2</f>
        <v>6.880796998323551</v>
      </c>
      <c r="N87" s="75">
        <f>'THAM_SO_MOI'!$C$12*I87</f>
        <v>1130.112</v>
      </c>
      <c r="O87" s="75">
        <f>M87+N87</f>
        <v>1136.9927969983237</v>
      </c>
      <c r="P87" s="75">
        <f>(MIN(L87,'THAM_SO_MOI'!$C$41)-O87)/('THAM_SO_MOI'!$C$11*H87)</f>
        <v>0.8030076334484615</v>
      </c>
      <c r="Q87" s="75">
        <f>IF(P87&gt;0,1/P87,NA())</f>
        <v>1.2453181742564117</v>
      </c>
      <c r="R87" s="75">
        <f>F87-F86</f>
        <v>0.0035133136094673834</v>
      </c>
      <c r="S87" s="75">
        <f>0.5*(Q86+Q87)*R87</f>
        <v>0.004376845657873773</v>
      </c>
      <c r="T87" s="75">
        <f>0.5*(F86*Q86+F87*Q87)*R87</f>
        <v>0.0067053242855175605</v>
      </c>
      <c r="U87" s="76">
        <f>U86+S87</f>
        <v>0.36629003176779834</v>
      </c>
      <c r="V87" s="76">
        <f>V86+T87</f>
        <v>0.5090893530890733</v>
      </c>
    </row>
    <row r="88" spans="1:22" ht="19" customHeight="1">
      <c r="A88" s="68" t="s">
        <v>368</v>
      </c>
      <c r="B88" s="74">
        <v>1</v>
      </c>
      <c r="C88" s="68" t="s">
        <v>363</v>
      </c>
      <c r="D88" s="68" t="s">
        <v>364</v>
      </c>
      <c r="E88" s="75">
        <f>60*F88*'THAM_SO_MOI'!$C$49/(2*PI()*'THAM_SO_MOI'!$C$26)</f>
        <v>984.4999999999999</v>
      </c>
      <c r="F88" s="75">
        <f>'THAM_SO_MOI'!$E$49+('THAM_SO_MOI'!$F$49-'THAM_SO_MOI'!$E$49)*82/'THAM_SO_MOI'!$C$42</f>
        <v>1.5372698882314269</v>
      </c>
      <c r="G88" s="75">
        <f>3.6*F88</f>
        <v>5.5341715976331365</v>
      </c>
      <c r="H88" s="75">
        <f>'THAM_SO_MOI'!$D$49</f>
        <v>3.1625000000000005</v>
      </c>
      <c r="I88" s="75">
        <f>IF(F88&gt;'THAM_SO_MOI'!$C$14,'THAM_SO_MOI'!$C$13*(1+F88^2/1500),'THAM_SO_MOI'!$C$13)</f>
        <v>0.015</v>
      </c>
      <c r="J88" s="75">
        <f>'THAM_SO_MOI'!$C$40*('THAM_SO_MOI'!$C$23*(E88/'THAM_SO_MOI'!$C$22)+'THAM_SO_MOI'!$C$24*(E88/'THAM_SO_MOI'!$C$22)^2-'THAM_SO_MOI'!$C$25*(E88/'THAM_SO_MOI'!$C$22)^3)</f>
        <v>37.34891176712054</v>
      </c>
      <c r="K88" s="75">
        <f>'THAM_SO_MOI'!$C$31*J88/E88</f>
        <v>362.3393910980324</v>
      </c>
      <c r="L88" s="75">
        <f>K88*'THAM_SO_MOI'!$C$49*'THAM_SO_MOI'!$C$17/'THAM_SO_MOI'!$C$26</f>
        <v>20655.166205390527</v>
      </c>
      <c r="M88" s="75">
        <f>'THAM_SO_MOI'!$C$15*'THAM_SO_MOI'!$C$16*F88^2</f>
        <v>6.912356224594462</v>
      </c>
      <c r="N88" s="75">
        <f>'THAM_SO_MOI'!$C$12*I88</f>
        <v>1130.112</v>
      </c>
      <c r="O88" s="75">
        <f>M88+N88</f>
        <v>1137.0243562245946</v>
      </c>
      <c r="P88" s="75">
        <f>(MIN(L88,'THAM_SO_MOI'!$C$41)-O88)/('THAM_SO_MOI'!$C$11*H88)</f>
        <v>0.8036125596659226</v>
      </c>
      <c r="Q88" s="75">
        <f>IF(P88&gt;0,1/P88,NA())</f>
        <v>1.244380750365225</v>
      </c>
      <c r="R88" s="75">
        <f>F88-F87</f>
        <v>0.0035133136094676054</v>
      </c>
      <c r="S88" s="75">
        <f>0.5*(Q87+Q88)*R88</f>
        <v>0.004373546557675029</v>
      </c>
      <c r="T88" s="75">
        <f>0.5*(F87*Q87+F88*Q88)*R88</f>
        <v>0.0067156357148276</v>
      </c>
      <c r="U88" s="76">
        <f>U87+S88</f>
        <v>0.37066357832547336</v>
      </c>
      <c r="V88" s="76">
        <f>V87+T88</f>
        <v>0.5158049888039009</v>
      </c>
    </row>
    <row r="89" spans="1:22" ht="19" customHeight="1">
      <c r="A89" s="68" t="s">
        <v>368</v>
      </c>
      <c r="B89" s="74">
        <v>1</v>
      </c>
      <c r="C89" s="68" t="s">
        <v>363</v>
      </c>
      <c r="D89" s="68" t="s">
        <v>364</v>
      </c>
      <c r="E89" s="75">
        <f>60*F89*'THAM_SO_MOI'!$C$49/(2*PI()*'THAM_SO_MOI'!$C$26)</f>
        <v>986.7499999999999</v>
      </c>
      <c r="F89" s="75">
        <f>'THAM_SO_MOI'!$E$49+('THAM_SO_MOI'!$F$49-'THAM_SO_MOI'!$E$49)*83/'THAM_SO_MOI'!$C$42</f>
        <v>1.5407832018408942</v>
      </c>
      <c r="G89" s="75">
        <f>3.6*F89</f>
        <v>5.546819526627219</v>
      </c>
      <c r="H89" s="75">
        <f>'THAM_SO_MOI'!$D$49</f>
        <v>3.1625000000000005</v>
      </c>
      <c r="I89" s="75">
        <f>IF(F89&gt;'THAM_SO_MOI'!$C$14,'THAM_SO_MOI'!$C$13*(1+F89^2/1500),'THAM_SO_MOI'!$C$13)</f>
        <v>0.015</v>
      </c>
      <c r="J89" s="75">
        <f>'THAM_SO_MOI'!$C$40*('THAM_SO_MOI'!$C$23*(E89/'THAM_SO_MOI'!$C$22)+'THAM_SO_MOI'!$C$24*(E89/'THAM_SO_MOI'!$C$22)^2-'THAM_SO_MOI'!$C$25*(E89/'THAM_SO_MOI'!$C$22)^3)</f>
        <v>37.460904096837055</v>
      </c>
      <c r="K89" s="75">
        <f>'THAM_SO_MOI'!$C$31*J89/E89</f>
        <v>362.5971931031445</v>
      </c>
      <c r="L89" s="75">
        <f>K89*'THAM_SO_MOI'!$C$49*'THAM_SO_MOI'!$C$17/'THAM_SO_MOI'!$C$26</f>
        <v>20669.862215248955</v>
      </c>
      <c r="M89" s="75">
        <f>'THAM_SO_MOI'!$C$15*'THAM_SO_MOI'!$C$16*F89^2</f>
        <v>6.943987659594603</v>
      </c>
      <c r="N89" s="75">
        <f>'THAM_SO_MOI'!$C$12*I89</f>
        <v>1130.112</v>
      </c>
      <c r="O89" s="75">
        <f>M89+N89</f>
        <v>1137.0559876595946</v>
      </c>
      <c r="P89" s="75">
        <f>(MIN(L89,'THAM_SO_MOI'!$C$41)-O89)/('THAM_SO_MOI'!$C$11*H89)</f>
        <v>0.8042163301873089</v>
      </c>
      <c r="Q89" s="75">
        <f>IF(P89&gt;0,1/P89,NA())</f>
        <v>1.2434465236077603</v>
      </c>
      <c r="R89" s="75">
        <f>F89-F88</f>
        <v>0.0035133136094673834</v>
      </c>
      <c r="S89" s="75">
        <f>0.5*(Q88+Q89)*R89</f>
        <v>0.004370258709826715</v>
      </c>
      <c r="T89" s="75">
        <f>0.5*(F88*Q88+F89*Q89)*R89</f>
        <v>0.006725941280221576</v>
      </c>
      <c r="U89" s="76">
        <f>U88+S89</f>
        <v>0.3750338370353001</v>
      </c>
      <c r="V89" s="76">
        <f>V88+T89</f>
        <v>0.5225309300841224</v>
      </c>
    </row>
    <row r="90" spans="1:22" ht="19" customHeight="1">
      <c r="A90" s="68" t="s">
        <v>368</v>
      </c>
      <c r="B90" s="74">
        <v>1</v>
      </c>
      <c r="C90" s="68" t="s">
        <v>363</v>
      </c>
      <c r="D90" s="68" t="s">
        <v>364</v>
      </c>
      <c r="E90" s="75">
        <f>60*F90*'THAM_SO_MOI'!$C$49/(2*PI()*'THAM_SO_MOI'!$C$26)</f>
        <v>988.9999999999998</v>
      </c>
      <c r="F90" s="75">
        <f>'THAM_SO_MOI'!$E$49+('THAM_SO_MOI'!$F$49-'THAM_SO_MOI'!$E$49)*84/'THAM_SO_MOI'!$C$42</f>
        <v>1.5442965154503616</v>
      </c>
      <c r="G90" s="75">
        <f>3.6*F90</f>
        <v>5.559467455621302</v>
      </c>
      <c r="H90" s="75">
        <f>'THAM_SO_MOI'!$D$49</f>
        <v>3.1625000000000005</v>
      </c>
      <c r="I90" s="75">
        <f>IF(F90&gt;'THAM_SO_MOI'!$C$14,'THAM_SO_MOI'!$C$13*(1+F90^2/1500),'THAM_SO_MOI'!$C$13)</f>
        <v>0.015</v>
      </c>
      <c r="J90" s="75">
        <f>'THAM_SO_MOI'!$C$40*('THAM_SO_MOI'!$C$23*(E90/'THAM_SO_MOI'!$C$22)+'THAM_SO_MOI'!$C$24*(E90/'THAM_SO_MOI'!$C$22)^2-'THAM_SO_MOI'!$C$25*(E90/'THAM_SO_MOI'!$C$22)^3)</f>
        <v>37.57296703345722</v>
      </c>
      <c r="K90" s="75">
        <f>'THAM_SO_MOI'!$C$31*J90/E90</f>
        <v>362.8545039701978</v>
      </c>
      <c r="L90" s="75">
        <f>K90*'THAM_SO_MOI'!$C$49*'THAM_SO_MOI'!$C$17/'THAM_SO_MOI'!$C$26</f>
        <v>20684.53022776985</v>
      </c>
      <c r="M90" s="75">
        <f>'THAM_SO_MOI'!$C$15*'THAM_SO_MOI'!$C$16*F90^2</f>
        <v>6.975691303323978</v>
      </c>
      <c r="N90" s="75">
        <f>'THAM_SO_MOI'!$C$12*I90</f>
        <v>1130.112</v>
      </c>
      <c r="O90" s="75">
        <f>M90+N90</f>
        <v>1137.0876913033242</v>
      </c>
      <c r="P90" s="75">
        <f>(MIN(L90,'THAM_SO_MOI'!$C$41)-O90)/('THAM_SO_MOI'!$C$11*H90)</f>
        <v>0.8048189450126203</v>
      </c>
      <c r="Q90" s="75">
        <f>IF(P90&gt;0,1/P90,NA())</f>
        <v>1.2425154827640383</v>
      </c>
      <c r="R90" s="75">
        <f>F90-F89</f>
        <v>0.0035133136094673834</v>
      </c>
      <c r="S90" s="75">
        <f>0.5*(Q89+Q90)*R90</f>
        <v>0.004366982074802441</v>
      </c>
      <c r="T90" s="75">
        <f>0.5*(F89*Q89+F90*Q90)*R90</f>
        <v>0.006736241039327757</v>
      </c>
      <c r="U90" s="76">
        <f>U89+S90</f>
        <v>0.37940081911010254</v>
      </c>
      <c r="V90" s="76">
        <f>V89+T90</f>
        <v>0.5292671711234502</v>
      </c>
    </row>
    <row r="91" spans="1:22" ht="19" customHeight="1">
      <c r="A91" s="68" t="s">
        <v>368</v>
      </c>
      <c r="B91" s="74">
        <v>1</v>
      </c>
      <c r="C91" s="68" t="s">
        <v>363</v>
      </c>
      <c r="D91" s="68" t="s">
        <v>364</v>
      </c>
      <c r="E91" s="75">
        <f>60*F91*'THAM_SO_MOI'!$C$49/(2*PI()*'THAM_SO_MOI'!$C$26)</f>
        <v>991.25</v>
      </c>
      <c r="F91" s="75">
        <f>'THAM_SO_MOI'!$E$49+('THAM_SO_MOI'!$F$49-'THAM_SO_MOI'!$E$49)*85/'THAM_SO_MOI'!$C$42</f>
        <v>1.5478098290598292</v>
      </c>
      <c r="G91" s="75">
        <f>3.6*F91</f>
        <v>5.572115384615385</v>
      </c>
      <c r="H91" s="75">
        <f>'THAM_SO_MOI'!$D$49</f>
        <v>3.1625000000000005</v>
      </c>
      <c r="I91" s="75">
        <f>IF(F91&gt;'THAM_SO_MOI'!$C$14,'THAM_SO_MOI'!$C$13*(1+F91^2/1500),'THAM_SO_MOI'!$C$13)</f>
        <v>0.015</v>
      </c>
      <c r="J91" s="75">
        <f>'THAM_SO_MOI'!$C$40*('THAM_SO_MOI'!$C$23*(E91/'THAM_SO_MOI'!$C$22)+'THAM_SO_MOI'!$C$24*(E91/'THAM_SO_MOI'!$C$22)^2-'THAM_SO_MOI'!$C$25*(E91/'THAM_SO_MOI'!$C$22)^3)</f>
        <v>37.68510022988151</v>
      </c>
      <c r="K91" s="75">
        <f>'THAM_SO_MOI'!$C$31*J91/E91</f>
        <v>363.1113236991923</v>
      </c>
      <c r="L91" s="75">
        <f>K91*'THAM_SO_MOI'!$C$49*'THAM_SO_MOI'!$C$17/'THAM_SO_MOI'!$C$26</f>
        <v>20699.170242953212</v>
      </c>
      <c r="M91" s="75">
        <f>'THAM_SO_MOI'!$C$15*'THAM_SO_MOI'!$C$16*F91^2</f>
        <v>7.007467155782588</v>
      </c>
      <c r="N91" s="75">
        <f>'THAM_SO_MOI'!$C$12*I91</f>
        <v>1130.112</v>
      </c>
      <c r="O91" s="75">
        <f>M91+N91</f>
        <v>1137.1194671557826</v>
      </c>
      <c r="P91" s="75">
        <f>(MIN(L91,'THAM_SO_MOI'!$C$41)-O91)/('THAM_SO_MOI'!$C$11*H91)</f>
        <v>0.8054204041418572</v>
      </c>
      <c r="Q91" s="75">
        <f>IF(P91&gt;0,1/P91,NA())</f>
        <v>1.2415876166751194</v>
      </c>
      <c r="R91" s="75">
        <f>F91-F90</f>
        <v>0.0035133136094676054</v>
      </c>
      <c r="S91" s="75">
        <f>0.5*(Q90+Q91)*R91</f>
        <v>0.004363716613290126</v>
      </c>
      <c r="T91" s="75">
        <f>0.5*(F90*Q90+F91*Q91)*R91</f>
        <v>0.006746535049550266</v>
      </c>
      <c r="U91" s="76">
        <f>U90+S91</f>
        <v>0.38376453572339264</v>
      </c>
      <c r="V91" s="76">
        <f>V90+T91</f>
        <v>0.5360137061730005</v>
      </c>
    </row>
    <row r="92" spans="1:22" ht="19" customHeight="1">
      <c r="A92" s="68" t="s">
        <v>368</v>
      </c>
      <c r="B92" s="74">
        <v>1</v>
      </c>
      <c r="C92" s="68" t="s">
        <v>363</v>
      </c>
      <c r="D92" s="68" t="s">
        <v>364</v>
      </c>
      <c r="E92" s="75">
        <f>60*F92*'THAM_SO_MOI'!$C$49/(2*PI()*'THAM_SO_MOI'!$C$26)</f>
        <v>993.4999999999999</v>
      </c>
      <c r="F92" s="75">
        <f>'THAM_SO_MOI'!$E$49+('THAM_SO_MOI'!$F$49-'THAM_SO_MOI'!$E$49)*86/'THAM_SO_MOI'!$C$42</f>
        <v>1.5513231426692966</v>
      </c>
      <c r="G92" s="75">
        <f>3.6*F92</f>
        <v>5.584763313609468</v>
      </c>
      <c r="H92" s="75">
        <f>'THAM_SO_MOI'!$D$49</f>
        <v>3.1625000000000005</v>
      </c>
      <c r="I92" s="75">
        <f>IF(F92&gt;'THAM_SO_MOI'!$C$14,'THAM_SO_MOI'!$C$13*(1+F92^2/1500),'THAM_SO_MOI'!$C$13)</f>
        <v>0.015</v>
      </c>
      <c r="J92" s="75">
        <f>'THAM_SO_MOI'!$C$40*('THAM_SO_MOI'!$C$23*(E92/'THAM_SO_MOI'!$C$22)+'THAM_SO_MOI'!$C$24*(E92/'THAM_SO_MOI'!$C$22)^2-'THAM_SO_MOI'!$C$25*(E92/'THAM_SO_MOI'!$C$22)^3)</f>
        <v>37.79730333901036</v>
      </c>
      <c r="K92" s="75">
        <f>'THAM_SO_MOI'!$C$31*J92/E92</f>
        <v>363.3676522901282</v>
      </c>
      <c r="L92" s="75">
        <f>K92*'THAM_SO_MOI'!$C$49*'THAM_SO_MOI'!$C$17/'THAM_SO_MOI'!$C$26</f>
        <v>20713.78226079905</v>
      </c>
      <c r="M92" s="75">
        <f>'THAM_SO_MOI'!$C$15*'THAM_SO_MOI'!$C$16*F92^2</f>
        <v>7.0393152169704285</v>
      </c>
      <c r="N92" s="75">
        <f>'THAM_SO_MOI'!$C$12*I92</f>
        <v>1130.112</v>
      </c>
      <c r="O92" s="75">
        <f>M92+N92</f>
        <v>1137.1513152169705</v>
      </c>
      <c r="P92" s="75">
        <f>(MIN(L92,'THAM_SO_MOI'!$C$41)-O92)/('THAM_SO_MOI'!$C$11*H92)</f>
        <v>0.8060207075750195</v>
      </c>
      <c r="Q92" s="75">
        <f>IF(P92&gt;0,1/P92,NA())</f>
        <v>1.2406629142427164</v>
      </c>
      <c r="R92" s="75">
        <f>F92-F91</f>
        <v>0.0035133136094673834</v>
      </c>
      <c r="S92" s="75">
        <f>0.5*(Q91+Q92)*R92</f>
        <v>0.004360462286190634</v>
      </c>
      <c r="T92" s="75">
        <f>0.5*(F91*Q91+F92*Q92)*R92</f>
        <v>0.006756823368070732</v>
      </c>
      <c r="U92" s="76">
        <f>U91+S92</f>
        <v>0.3881249980095833</v>
      </c>
      <c r="V92" s="76">
        <f>V91+T92</f>
        <v>0.5427705295410712</v>
      </c>
    </row>
    <row r="93" spans="1:22" ht="19" customHeight="1">
      <c r="A93" s="68" t="s">
        <v>368</v>
      </c>
      <c r="B93" s="74">
        <v>1</v>
      </c>
      <c r="C93" s="68" t="s">
        <v>363</v>
      </c>
      <c r="D93" s="68" t="s">
        <v>364</v>
      </c>
      <c r="E93" s="75">
        <f>60*F93*'THAM_SO_MOI'!$C$49/(2*PI()*'THAM_SO_MOI'!$C$26)</f>
        <v>995.7499999999999</v>
      </c>
      <c r="F93" s="75">
        <f>'THAM_SO_MOI'!$E$49+('THAM_SO_MOI'!$F$49-'THAM_SO_MOI'!$E$49)*87/'THAM_SO_MOI'!$C$42</f>
        <v>1.554836456278764</v>
      </c>
      <c r="G93" s="75">
        <f>3.6*F93</f>
        <v>5.597411242603551</v>
      </c>
      <c r="H93" s="75">
        <f>'THAM_SO_MOI'!$D$49</f>
        <v>3.1625000000000005</v>
      </c>
      <c r="I93" s="75">
        <f>IF(F93&gt;'THAM_SO_MOI'!$C$14,'THAM_SO_MOI'!$C$13*(1+F93^2/1500),'THAM_SO_MOI'!$C$13)</f>
        <v>0.015</v>
      </c>
      <c r="J93" s="75">
        <f>'THAM_SO_MOI'!$C$40*('THAM_SO_MOI'!$C$23*(E93/'THAM_SO_MOI'!$C$22)+'THAM_SO_MOI'!$C$24*(E93/'THAM_SO_MOI'!$C$22)^2-'THAM_SO_MOI'!$C$25*(E93/'THAM_SO_MOI'!$C$22)^3)</f>
        <v>37.90957601374424</v>
      </c>
      <c r="K93" s="75">
        <f>'THAM_SO_MOI'!$C$31*J93/E93</f>
        <v>363.62348974300517</v>
      </c>
      <c r="L93" s="75">
        <f>K93*'THAM_SO_MOI'!$C$49*'THAM_SO_MOI'!$C$17/'THAM_SO_MOI'!$C$26</f>
        <v>20728.366281307346</v>
      </c>
      <c r="M93" s="75">
        <f>'THAM_SO_MOI'!$C$15*'THAM_SO_MOI'!$C$16*F93^2</f>
        <v>7.071235486887502</v>
      </c>
      <c r="N93" s="75">
        <f>'THAM_SO_MOI'!$C$12*I93</f>
        <v>1130.112</v>
      </c>
      <c r="O93" s="75">
        <f>M93+N93</f>
        <v>1137.1832354868875</v>
      </c>
      <c r="P93" s="75">
        <f>(MIN(L93,'THAM_SO_MOI'!$C$41)-O93)/('THAM_SO_MOI'!$C$11*H93)</f>
        <v>0.806619855312107</v>
      </c>
      <c r="Q93" s="75">
        <f>IF(P93&gt;0,1/P93,NA())</f>
        <v>1.239741364428809</v>
      </c>
      <c r="R93" s="75">
        <f>F93-F92</f>
        <v>0.0035133136094673834</v>
      </c>
      <c r="S93" s="75">
        <f>0.5*(Q92+Q93)*R93</f>
        <v>0.004357219054618899</v>
      </c>
      <c r="T93" s="75">
        <f>0.5*(F92*Q92+F93*Q93)*R93</f>
        <v>0.006767106051853782</v>
      </c>
      <c r="U93" s="76">
        <f>U92+S93</f>
        <v>0.39248221706420217</v>
      </c>
      <c r="V93" s="76">
        <f>V92+T93</f>
        <v>0.549537635592925</v>
      </c>
    </row>
    <row r="94" spans="1:22" ht="19" customHeight="1">
      <c r="A94" s="68" t="s">
        <v>368</v>
      </c>
      <c r="B94" s="74">
        <v>1</v>
      </c>
      <c r="C94" s="68" t="s">
        <v>363</v>
      </c>
      <c r="D94" s="68" t="s">
        <v>364</v>
      </c>
      <c r="E94" s="75">
        <f>60*F94*'THAM_SO_MOI'!$C$49/(2*PI()*'THAM_SO_MOI'!$C$26)</f>
        <v>998.0</v>
      </c>
      <c r="F94" s="75">
        <f>'THAM_SO_MOI'!$E$49+('THAM_SO_MOI'!$F$49-'THAM_SO_MOI'!$E$49)*88/'THAM_SO_MOI'!$C$42</f>
        <v>1.5583497698882316</v>
      </c>
      <c r="G94" s="75">
        <f>3.6*F94</f>
        <v>5.610059171597634</v>
      </c>
      <c r="H94" s="75">
        <f>'THAM_SO_MOI'!$D$49</f>
        <v>3.1625000000000005</v>
      </c>
      <c r="I94" s="75">
        <f>IF(F94&gt;'THAM_SO_MOI'!$C$14,'THAM_SO_MOI'!$C$13*(1+F94^2/1500),'THAM_SO_MOI'!$C$13)</f>
        <v>0.015</v>
      </c>
      <c r="J94" s="75">
        <f>'THAM_SO_MOI'!$C$40*('THAM_SO_MOI'!$C$23*(E94/'THAM_SO_MOI'!$C$22)+'THAM_SO_MOI'!$C$24*(E94/'THAM_SO_MOI'!$C$22)^2-'THAM_SO_MOI'!$C$25*(E94/'THAM_SO_MOI'!$C$22)^3)</f>
        <v>38.021917906983596</v>
      </c>
      <c r="K94" s="75">
        <f>'THAM_SO_MOI'!$C$31*J94/E94</f>
        <v>363.8788360578234</v>
      </c>
      <c r="L94" s="75">
        <f>K94*'THAM_SO_MOI'!$C$49*'THAM_SO_MOI'!$C$17/'THAM_SO_MOI'!$C$26</f>
        <v>20742.92230447811</v>
      </c>
      <c r="M94" s="75">
        <f>'THAM_SO_MOI'!$C$15*'THAM_SO_MOI'!$C$16*F94^2</f>
        <v>7.103227965533811</v>
      </c>
      <c r="N94" s="75">
        <f>'THAM_SO_MOI'!$C$12*I94</f>
        <v>1130.112</v>
      </c>
      <c r="O94" s="75">
        <f>M94+N94</f>
        <v>1137.2152279655338</v>
      </c>
      <c r="P94" s="75">
        <f>(MIN(L94,'THAM_SO_MOI'!$C$41)-O94)/('THAM_SO_MOI'!$C$11*H94)</f>
        <v>0.8072178473531197</v>
      </c>
      <c r="Q94" s="75">
        <f>IF(P94&gt;0,1/P94,NA())</f>
        <v>1.2388229562552613</v>
      </c>
      <c r="R94" s="75">
        <f>F94-F93</f>
        <v>0.0035133136094676054</v>
      </c>
      <c r="S94" s="75">
        <f>0.5*(Q93+Q94)*R94</f>
        <v>0.004353986879900087</v>
      </c>
      <c r="T94" s="75">
        <f>0.5*(F93*Q93+F94*Q94)*R94</f>
        <v>0.006777383157644829</v>
      </c>
      <c r="U94" s="76">
        <f>U93+S94</f>
        <v>0.39683620394410224</v>
      </c>
      <c r="V94" s="76">
        <f>V93+T94</f>
        <v>0.5563150187505699</v>
      </c>
    </row>
    <row r="95" spans="1:22" ht="19" customHeight="1">
      <c r="A95" s="68" t="s">
        <v>368</v>
      </c>
      <c r="B95" s="74">
        <v>1</v>
      </c>
      <c r="C95" s="68" t="s">
        <v>363</v>
      </c>
      <c r="D95" s="68" t="s">
        <v>364</v>
      </c>
      <c r="E95" s="75">
        <f>60*F95*'THAM_SO_MOI'!$C$49/(2*PI()*'THAM_SO_MOI'!$C$26)</f>
        <v>1000.25</v>
      </c>
      <c r="F95" s="75">
        <f>'THAM_SO_MOI'!$E$49+('THAM_SO_MOI'!$F$49-'THAM_SO_MOI'!$E$49)*89/'THAM_SO_MOI'!$C$42</f>
        <v>1.561863083497699</v>
      </c>
      <c r="G95" s="75">
        <f>3.6*F95</f>
        <v>5.622707100591716</v>
      </c>
      <c r="H95" s="75">
        <f>'THAM_SO_MOI'!$D$49</f>
        <v>3.1625000000000005</v>
      </c>
      <c r="I95" s="75">
        <f>IF(F95&gt;'THAM_SO_MOI'!$C$14,'THAM_SO_MOI'!$C$13*(1+F95^2/1500),'THAM_SO_MOI'!$C$13)</f>
        <v>0.015</v>
      </c>
      <c r="J95" s="75">
        <f>'THAM_SO_MOI'!$C$40*('THAM_SO_MOI'!$C$23*(E95/'THAM_SO_MOI'!$C$22)+'THAM_SO_MOI'!$C$24*(E95/'THAM_SO_MOI'!$C$22)^2-'THAM_SO_MOI'!$C$25*(E95/'THAM_SO_MOI'!$C$22)^3)</f>
        <v>38.134328671628886</v>
      </c>
      <c r="K95" s="75">
        <f>'THAM_SO_MOI'!$C$31*J95/E95</f>
        <v>364.13369123458284</v>
      </c>
      <c r="L95" s="75">
        <f>K95*'THAM_SO_MOI'!$C$49*'THAM_SO_MOI'!$C$17/'THAM_SO_MOI'!$C$26</f>
        <v>20757.450330311345</v>
      </c>
      <c r="M95" s="75">
        <f>'THAM_SO_MOI'!$C$15*'THAM_SO_MOI'!$C$16*F95^2</f>
        <v>7.13529265290935</v>
      </c>
      <c r="N95" s="75">
        <f>'THAM_SO_MOI'!$C$12*I95</f>
        <v>1130.112</v>
      </c>
      <c r="O95" s="75">
        <f>M95+N95</f>
        <v>1137.2472926529094</v>
      </c>
      <c r="P95" s="75">
        <f>(MIN(L95,'THAM_SO_MOI'!$C$41)-O95)/('THAM_SO_MOI'!$C$11*H95)</f>
        <v>0.8078146836980579</v>
      </c>
      <c r="Q95" s="75">
        <f>IF(P95&gt;0,1/P95,NA())</f>
        <v>1.2379076788034427</v>
      </c>
      <c r="R95" s="75">
        <f>F95-F94</f>
        <v>0.0035133136094673834</v>
      </c>
      <c r="S95" s="75">
        <f>0.5*(Q94+Q95)*R95</f>
        <v>0.00435076572356827</v>
      </c>
      <c r="T95" s="75">
        <f>0.5*(F94*Q94+F95*Q95)*R95</f>
        <v>0.006787654741971691</v>
      </c>
      <c r="U95" s="76">
        <f>U94+S95</f>
        <v>0.40118696966767053</v>
      </c>
      <c r="V95" s="76">
        <f>V94+T95</f>
        <v>0.5631026734925416</v>
      </c>
    </row>
    <row r="96" spans="1:22" ht="19" customHeight="1">
      <c r="A96" s="68" t="s">
        <v>368</v>
      </c>
      <c r="B96" s="74">
        <v>1</v>
      </c>
      <c r="C96" s="68" t="s">
        <v>363</v>
      </c>
      <c r="D96" s="68" t="s">
        <v>364</v>
      </c>
      <c r="E96" s="75">
        <f>60*F96*'THAM_SO_MOI'!$C$49/(2*PI()*'THAM_SO_MOI'!$C$26)</f>
        <v>1002.4999999999999</v>
      </c>
      <c r="F96" s="75">
        <f>'THAM_SO_MOI'!$E$49+('THAM_SO_MOI'!$F$49-'THAM_SO_MOI'!$E$49)*90/'THAM_SO_MOI'!$C$42</f>
        <v>1.5653763971071664</v>
      </c>
      <c r="G96" s="75">
        <f>3.6*F96</f>
        <v>5.635355029585799</v>
      </c>
      <c r="H96" s="75">
        <f>'THAM_SO_MOI'!$D$49</f>
        <v>3.1625000000000005</v>
      </c>
      <c r="I96" s="75">
        <f>IF(F96&gt;'THAM_SO_MOI'!$C$14,'THAM_SO_MOI'!$C$13*(1+F96^2/1500),'THAM_SO_MOI'!$C$13)</f>
        <v>0.015</v>
      </c>
      <c r="J96" s="75">
        <f>'THAM_SO_MOI'!$C$40*('THAM_SO_MOI'!$C$23*(E96/'THAM_SO_MOI'!$C$22)+'THAM_SO_MOI'!$C$24*(E96/'THAM_SO_MOI'!$C$22)^2-'THAM_SO_MOI'!$C$25*(E96/'THAM_SO_MOI'!$C$22)^3)</f>
        <v>38.24680796058056</v>
      </c>
      <c r="K96" s="75">
        <f>'THAM_SO_MOI'!$C$31*J96/E96</f>
        <v>364.38805527328356</v>
      </c>
      <c r="L96" s="75">
        <f>K96*'THAM_SO_MOI'!$C$49*'THAM_SO_MOI'!$C$17/'THAM_SO_MOI'!$C$26</f>
        <v>20771.950358807047</v>
      </c>
      <c r="M96" s="75">
        <f>'THAM_SO_MOI'!$C$15*'THAM_SO_MOI'!$C$16*F96^2</f>
        <v>7.167429549014123</v>
      </c>
      <c r="N96" s="75">
        <f>'THAM_SO_MOI'!$C$12*I96</f>
        <v>1130.112</v>
      </c>
      <c r="O96" s="75">
        <f>M96+N96</f>
        <v>1137.2794295490141</v>
      </c>
      <c r="P96" s="75">
        <f>(MIN(L96,'THAM_SO_MOI'!$C$41)-O96)/('THAM_SO_MOI'!$C$11*H96)</f>
        <v>0.8084103643469215</v>
      </c>
      <c r="Q96" s="75">
        <f>IF(P96&gt;0,1/P96,NA())</f>
        <v>1.236995521213852</v>
      </c>
      <c r="R96" s="75">
        <f>F96-F95</f>
        <v>0.0035133136094673834</v>
      </c>
      <c r="S96" s="75">
        <f>0.5*(Q95+Q96)*R96</f>
        <v>0.004347555547367569</v>
      </c>
      <c r="T96" s="75">
        <f>0.5*(F95*Q95+F96*Q96)*R96</f>
        <v>0.006797920861150049</v>
      </c>
      <c r="U96" s="76">
        <f>U95+S96</f>
        <v>0.4055345252150381</v>
      </c>
      <c r="V96" s="76">
        <f>V95+T96</f>
        <v>0.5699005943536917</v>
      </c>
    </row>
    <row r="97" spans="1:22" ht="19" customHeight="1">
      <c r="A97" s="68" t="s">
        <v>368</v>
      </c>
      <c r="B97" s="74">
        <v>1</v>
      </c>
      <c r="C97" s="68" t="s">
        <v>363</v>
      </c>
      <c r="D97" s="68" t="s">
        <v>364</v>
      </c>
      <c r="E97" s="75">
        <f>60*F97*'THAM_SO_MOI'!$C$49/(2*PI()*'THAM_SO_MOI'!$C$26)</f>
        <v>1004.7500000000001</v>
      </c>
      <c r="F97" s="75">
        <f>'THAM_SO_MOI'!$E$49+('THAM_SO_MOI'!$F$49-'THAM_SO_MOI'!$E$49)*91/'THAM_SO_MOI'!$C$42</f>
        <v>1.568889710716634</v>
      </c>
      <c r="G97" s="75">
        <f>3.6*F97</f>
        <v>5.648002958579882</v>
      </c>
      <c r="H97" s="75">
        <f>'THAM_SO_MOI'!$D$49</f>
        <v>3.1625000000000005</v>
      </c>
      <c r="I97" s="75">
        <f>IF(F97&gt;'THAM_SO_MOI'!$C$14,'THAM_SO_MOI'!$C$13*(1+F97^2/1500),'THAM_SO_MOI'!$C$13)</f>
        <v>0.015</v>
      </c>
      <c r="J97" s="75">
        <f>'THAM_SO_MOI'!$C$40*('THAM_SO_MOI'!$C$23*(E97/'THAM_SO_MOI'!$C$22)+'THAM_SO_MOI'!$C$24*(E97/'THAM_SO_MOI'!$C$22)^2-'THAM_SO_MOI'!$C$25*(E97/'THAM_SO_MOI'!$C$22)^3)</f>
        <v>38.3593554267391</v>
      </c>
      <c r="K97" s="75">
        <f>'THAM_SO_MOI'!$C$31*J97/E97</f>
        <v>364.6419281739255</v>
      </c>
      <c r="L97" s="75">
        <f>K97*'THAM_SO_MOI'!$C$49*'THAM_SO_MOI'!$C$17/'THAM_SO_MOI'!$C$26</f>
        <v>20786.42238996522</v>
      </c>
      <c r="M97" s="75">
        <f>'THAM_SO_MOI'!$C$15*'THAM_SO_MOI'!$C$16*F97^2</f>
        <v>7.199638653848131</v>
      </c>
      <c r="N97" s="75">
        <f>'THAM_SO_MOI'!$C$12*I97</f>
        <v>1130.112</v>
      </c>
      <c r="O97" s="75">
        <f>M97+N97</f>
        <v>1137.3116386538481</v>
      </c>
      <c r="P97" s="75">
        <f>(MIN(L97,'THAM_SO_MOI'!$C$41)-O97)/('THAM_SO_MOI'!$C$11*H97)</f>
        <v>0.8090048892997105</v>
      </c>
      <c r="Q97" s="75">
        <f>IF(P97&gt;0,1/P97,NA())</f>
        <v>1.2360864726857441</v>
      </c>
      <c r="R97" s="75">
        <f>F97-F96</f>
        <v>0.0035133136094676054</v>
      </c>
      <c r="S97" s="75">
        <f>0.5*(Q96+Q97)*R97</f>
        <v>0.004344356313248366</v>
      </c>
      <c r="T97" s="75">
        <f>0.5*(F96*Q96+F97*Q97)*R97</f>
        <v>0.006808181571281201</v>
      </c>
      <c r="U97" s="76">
        <f>U96+S97</f>
        <v>0.40987888152828644</v>
      </c>
      <c r="V97" s="76">
        <f>V96+T97</f>
        <v>0.5767087759249728</v>
      </c>
    </row>
    <row r="98" spans="1:22" ht="19" customHeight="1">
      <c r="A98" s="68" t="s">
        <v>368</v>
      </c>
      <c r="B98" s="74">
        <v>1</v>
      </c>
      <c r="C98" s="68" t="s">
        <v>363</v>
      </c>
      <c r="D98" s="68" t="s">
        <v>364</v>
      </c>
      <c r="E98" s="75">
        <f>60*F98*'THAM_SO_MOI'!$C$49/(2*PI()*'THAM_SO_MOI'!$C$26)</f>
        <v>1007.0</v>
      </c>
      <c r="F98" s="75">
        <f>'THAM_SO_MOI'!$E$49+('THAM_SO_MOI'!$F$49-'THAM_SO_MOI'!$E$49)*92/'THAM_SO_MOI'!$C$42</f>
        <v>1.5724030243261014</v>
      </c>
      <c r="G98" s="75">
        <f>3.6*F98</f>
        <v>5.660650887573965</v>
      </c>
      <c r="H98" s="75">
        <f>'THAM_SO_MOI'!$D$49</f>
        <v>3.1625000000000005</v>
      </c>
      <c r="I98" s="75">
        <f>IF(F98&gt;'THAM_SO_MOI'!$C$14,'THAM_SO_MOI'!$C$13*(1+F98^2/1500),'THAM_SO_MOI'!$C$13)</f>
        <v>0.015</v>
      </c>
      <c r="J98" s="75">
        <f>'THAM_SO_MOI'!$C$40*('THAM_SO_MOI'!$C$23*(E98/'THAM_SO_MOI'!$C$22)+'THAM_SO_MOI'!$C$24*(E98/'THAM_SO_MOI'!$C$22)^2-'THAM_SO_MOI'!$C$25*(E98/'THAM_SO_MOI'!$C$22)^3)</f>
        <v>38.47197072300493</v>
      </c>
      <c r="K98" s="75">
        <f>'THAM_SO_MOI'!$C$31*J98/E98</f>
        <v>364.89530993650874</v>
      </c>
      <c r="L98" s="75">
        <f>K98*'THAM_SO_MOI'!$C$49*'THAM_SO_MOI'!$C$17/'THAM_SO_MOI'!$C$26</f>
        <v>20800.86642378587</v>
      </c>
      <c r="M98" s="75">
        <f>'THAM_SO_MOI'!$C$15*'THAM_SO_MOI'!$C$16*F98^2</f>
        <v>7.23191996741137</v>
      </c>
      <c r="N98" s="75">
        <f>'THAM_SO_MOI'!$C$12*I98</f>
        <v>1130.112</v>
      </c>
      <c r="O98" s="75">
        <f>M98+N98</f>
        <v>1137.3439199674115</v>
      </c>
      <c r="P98" s="75">
        <f>(MIN(L98,'THAM_SO_MOI'!$C$41)-O98)/('THAM_SO_MOI'!$C$11*H98)</f>
        <v>0.8095982585564251</v>
      </c>
      <c r="Q98" s="75">
        <f>IF(P98&gt;0,1/P98,NA())</f>
        <v>1.2351805224767598</v>
      </c>
      <c r="R98" s="75">
        <f>F98-F97</f>
        <v>0.0035133136094673834</v>
      </c>
      <c r="S98" s="75">
        <f>0.5*(Q97+Q98)*R98</f>
        <v>0.004341167983365995</v>
      </c>
      <c r="T98" s="75">
        <f>0.5*(F97*Q97+F98*Q98)*R98</f>
        <v>0.0068184369282536334</v>
      </c>
      <c r="U98" s="76">
        <f>U97+S98</f>
        <v>0.4142200495116524</v>
      </c>
      <c r="V98" s="76">
        <f>V97+T98</f>
        <v>0.5835272128532265</v>
      </c>
    </row>
    <row r="99" spans="1:22" ht="19" customHeight="1">
      <c r="A99" s="68" t="s">
        <v>368</v>
      </c>
      <c r="B99" s="74">
        <v>1</v>
      </c>
      <c r="C99" s="68" t="s">
        <v>363</v>
      </c>
      <c r="D99" s="68" t="s">
        <v>364</v>
      </c>
      <c r="E99" s="75">
        <f>60*F99*'THAM_SO_MOI'!$C$49/(2*PI()*'THAM_SO_MOI'!$C$26)</f>
        <v>1009.25</v>
      </c>
      <c r="F99" s="75">
        <f>'THAM_SO_MOI'!$E$49+('THAM_SO_MOI'!$F$49-'THAM_SO_MOI'!$E$49)*93/'THAM_SO_MOI'!$C$42</f>
        <v>1.5759163379355687</v>
      </c>
      <c r="G99" s="75">
        <f>3.6*F99</f>
        <v>5.673298816568048</v>
      </c>
      <c r="H99" s="75">
        <f>'THAM_SO_MOI'!$D$49</f>
        <v>3.1625000000000005</v>
      </c>
      <c r="I99" s="75">
        <f>IF(F99&gt;'THAM_SO_MOI'!$C$14,'THAM_SO_MOI'!$C$13*(1+F99^2/1500),'THAM_SO_MOI'!$C$13)</f>
        <v>0.015</v>
      </c>
      <c r="J99" s="75">
        <f>'THAM_SO_MOI'!$C$40*('THAM_SO_MOI'!$C$23*(E99/'THAM_SO_MOI'!$C$22)+'THAM_SO_MOI'!$C$24*(E99/'THAM_SO_MOI'!$C$22)^2-'THAM_SO_MOI'!$C$25*(E99/'THAM_SO_MOI'!$C$22)^3)</f>
        <v>38.584653502278506</v>
      </c>
      <c r="K99" s="75">
        <f>'THAM_SO_MOI'!$C$31*J99/E99</f>
        <v>365.1482005610331</v>
      </c>
      <c r="L99" s="75">
        <f>K99*'THAM_SO_MOI'!$C$49*'THAM_SO_MOI'!$C$17/'THAM_SO_MOI'!$C$26</f>
        <v>20815.282460268972</v>
      </c>
      <c r="M99" s="75">
        <f>'THAM_SO_MOI'!$C$15*'THAM_SO_MOI'!$C$16*F99^2</f>
        <v>7.264273489703843</v>
      </c>
      <c r="N99" s="75">
        <f>'THAM_SO_MOI'!$C$12*I99</f>
        <v>1130.112</v>
      </c>
      <c r="O99" s="75">
        <f>M99+N99</f>
        <v>1137.3762734897039</v>
      </c>
      <c r="P99" s="75">
        <f>(MIN(L99,'THAM_SO_MOI'!$C$41)-O99)/('THAM_SO_MOI'!$C$11*H99)</f>
        <v>0.8101904721170645</v>
      </c>
      <c r="Q99" s="75">
        <f>IF(P99&gt;0,1/P99,NA())</f>
        <v>1.234277659902559</v>
      </c>
      <c r="R99" s="75">
        <f>F99-F98</f>
        <v>0.0035133136094673834</v>
      </c>
      <c r="S99" s="75">
        <f>0.5*(Q98+Q99)*R99</f>
        <v>0.0043379905200819245</v>
      </c>
      <c r="T99" s="75">
        <f>0.5*(F98*Q98+F99*Q99)*R99</f>
        <v>0.0068286869877484755</v>
      </c>
      <c r="U99" s="76">
        <f>U98+S99</f>
        <v>0.41855804003173436</v>
      </c>
      <c r="V99" s="76">
        <f>V98+T99</f>
        <v>0.590355899840975</v>
      </c>
    </row>
    <row r="100" spans="1:22" ht="19" customHeight="1">
      <c r="A100" s="68" t="s">
        <v>368</v>
      </c>
      <c r="B100" s="74">
        <v>1</v>
      </c>
      <c r="C100" s="68" t="s">
        <v>363</v>
      </c>
      <c r="D100" s="68" t="s">
        <v>364</v>
      </c>
      <c r="E100" s="75">
        <f>60*F100*'THAM_SO_MOI'!$C$49/(2*PI()*'THAM_SO_MOI'!$C$26)</f>
        <v>1011.4999999999999</v>
      </c>
      <c r="F100" s="75">
        <f>'THAM_SO_MOI'!$E$49+('THAM_SO_MOI'!$F$49-'THAM_SO_MOI'!$E$49)*94/'THAM_SO_MOI'!$C$42</f>
        <v>1.5794296515450363</v>
      </c>
      <c r="G100" s="75">
        <f>3.6*F100</f>
        <v>5.685946745562131</v>
      </c>
      <c r="H100" s="75">
        <f>'THAM_SO_MOI'!$D$49</f>
        <v>3.1625000000000005</v>
      </c>
      <c r="I100" s="75">
        <f>IF(F100&gt;'THAM_SO_MOI'!$C$14,'THAM_SO_MOI'!$C$13*(1+F100^2/1500),'THAM_SO_MOI'!$C$13)</f>
        <v>0.015</v>
      </c>
      <c r="J100" s="75">
        <f>'THAM_SO_MOI'!$C$40*('THAM_SO_MOI'!$C$23*(E100/'THAM_SO_MOI'!$C$22)+'THAM_SO_MOI'!$C$24*(E100/'THAM_SO_MOI'!$C$22)^2-'THAM_SO_MOI'!$C$25*(E100/'THAM_SO_MOI'!$C$22)^3)</f>
        <v>38.697403417460286</v>
      </c>
      <c r="K100" s="75">
        <f>'THAM_SO_MOI'!$C$31*J100/E100</f>
        <v>365.40060004749864</v>
      </c>
      <c r="L100" s="75">
        <f>K100*'THAM_SO_MOI'!$C$49*'THAM_SO_MOI'!$C$17/'THAM_SO_MOI'!$C$26</f>
        <v>20829.670499414544</v>
      </c>
      <c r="M100" s="75">
        <f>'THAM_SO_MOI'!$C$15*'THAM_SO_MOI'!$C$16*F100^2</f>
        <v>7.296699220725549</v>
      </c>
      <c r="N100" s="75">
        <f>'THAM_SO_MOI'!$C$12*I100</f>
        <v>1130.112</v>
      </c>
      <c r="O100" s="75">
        <f>M100+N100</f>
        <v>1137.4086992207256</v>
      </c>
      <c r="P100" s="75">
        <f>(MIN(L100,'THAM_SO_MOI'!$C$41)-O100)/('THAM_SO_MOI'!$C$11*H100)</f>
        <v>0.8107815299816293</v>
      </c>
      <c r="Q100" s="75">
        <f>IF(P100&gt;0,1/P100,NA())</f>
        <v>1.233377874336454</v>
      </c>
      <c r="R100" s="75">
        <f>F100-F99</f>
        <v>0.0035133136094676054</v>
      </c>
      <c r="S100" s="75">
        <f>0.5*(Q99+Q100)*R100</f>
        <v>0.00433482388595999</v>
      </c>
      <c r="T100" s="75">
        <f>0.5*(F99*Q99+F100*Q100)*R100</f>
        <v>0.0068389318052371854</v>
      </c>
      <c r="U100" s="76">
        <f>U99+S100</f>
        <v>0.4228928639176944</v>
      </c>
      <c r="V100" s="76">
        <f>V99+T100</f>
        <v>0.5971948316462122</v>
      </c>
    </row>
    <row r="101" spans="1:22" ht="19" customHeight="1">
      <c r="A101" s="68" t="s">
        <v>368</v>
      </c>
      <c r="B101" s="74">
        <v>1</v>
      </c>
      <c r="C101" s="68" t="s">
        <v>363</v>
      </c>
      <c r="D101" s="68" t="s">
        <v>364</v>
      </c>
      <c r="E101" s="75">
        <f>60*F101*'THAM_SO_MOI'!$C$49/(2*PI()*'THAM_SO_MOI'!$C$26)</f>
        <v>1013.7499999999999</v>
      </c>
      <c r="F101" s="75">
        <f>'THAM_SO_MOI'!$E$49+('THAM_SO_MOI'!$F$49-'THAM_SO_MOI'!$E$49)*95/'THAM_SO_MOI'!$C$42</f>
        <v>1.5829429651545037</v>
      </c>
      <c r="G101" s="75">
        <f>3.6*F101</f>
        <v>5.6985946745562135</v>
      </c>
      <c r="H101" s="75">
        <f>'THAM_SO_MOI'!$D$49</f>
        <v>3.1625000000000005</v>
      </c>
      <c r="I101" s="75">
        <f>IF(F101&gt;'THAM_SO_MOI'!$C$14,'THAM_SO_MOI'!$C$13*(1+F101^2/1500),'THAM_SO_MOI'!$C$13)</f>
        <v>0.015</v>
      </c>
      <c r="J101" s="75">
        <f>'THAM_SO_MOI'!$C$40*('THAM_SO_MOI'!$C$23*(E101/'THAM_SO_MOI'!$C$22)+'THAM_SO_MOI'!$C$24*(E101/'THAM_SO_MOI'!$C$22)^2-'THAM_SO_MOI'!$C$25*(E101/'THAM_SO_MOI'!$C$22)^3)</f>
        <v>38.81022012145074</v>
      </c>
      <c r="K101" s="75">
        <f>'THAM_SO_MOI'!$C$31*J101/E101</f>
        <v>365.6525083959054</v>
      </c>
      <c r="L101" s="75">
        <f>K101*'THAM_SO_MOI'!$C$49*'THAM_SO_MOI'!$C$17/'THAM_SO_MOI'!$C$26</f>
        <v>20844.030541222583</v>
      </c>
      <c r="M101" s="75">
        <f>'THAM_SO_MOI'!$C$15*'THAM_SO_MOI'!$C$16*F101^2</f>
        <v>7.329197160476489</v>
      </c>
      <c r="N101" s="75">
        <f>'THAM_SO_MOI'!$C$12*I101</f>
        <v>1130.112</v>
      </c>
      <c r="O101" s="75">
        <f>M101+N101</f>
        <v>1137.4411971604766</v>
      </c>
      <c r="P101" s="75">
        <f>(MIN(L101,'THAM_SO_MOI'!$C$41)-O101)/('THAM_SO_MOI'!$C$11*H101)</f>
        <v>0.8113714321501194</v>
      </c>
      <c r="Q101" s="75">
        <f>IF(P101&gt;0,1/P101,NA())</f>
        <v>1.2324811552090493</v>
      </c>
      <c r="R101" s="75">
        <f>F101-F100</f>
        <v>0.0035133136094673834</v>
      </c>
      <c r="S101" s="75">
        <f>0.5*(Q100+Q101)*R101</f>
        <v>0.0043316680437651255</v>
      </c>
      <c r="T101" s="75">
        <f>0.5*(F100*Q100+F101*Q101)*R101</f>
        <v>0.00684917143598309</v>
      </c>
      <c r="U101" s="76">
        <f>U100+S101</f>
        <v>0.4272245319614595</v>
      </c>
      <c r="V101" s="76">
        <f>V100+T101</f>
        <v>0.6040440030821953</v>
      </c>
    </row>
    <row r="102" spans="1:22" ht="19" customHeight="1">
      <c r="A102" s="68" t="s">
        <v>368</v>
      </c>
      <c r="B102" s="74">
        <v>1</v>
      </c>
      <c r="C102" s="68" t="s">
        <v>363</v>
      </c>
      <c r="D102" s="68" t="s">
        <v>364</v>
      </c>
      <c r="E102" s="75">
        <f>60*F102*'THAM_SO_MOI'!$C$49/(2*PI()*'THAM_SO_MOI'!$C$26)</f>
        <v>1015.9999999999999</v>
      </c>
      <c r="F102" s="75">
        <f>'THAM_SO_MOI'!$E$49+('THAM_SO_MOI'!$F$49-'THAM_SO_MOI'!$E$49)*96/'THAM_SO_MOI'!$C$42</f>
        <v>1.586456278763971</v>
      </c>
      <c r="G102" s="75">
        <f>3.6*F102</f>
        <v>5.711242603550296</v>
      </c>
      <c r="H102" s="75">
        <f>'THAM_SO_MOI'!$D$49</f>
        <v>3.1625000000000005</v>
      </c>
      <c r="I102" s="75">
        <f>IF(F102&gt;'THAM_SO_MOI'!$C$14,'THAM_SO_MOI'!$C$13*(1+F102^2/1500),'THAM_SO_MOI'!$C$13)</f>
        <v>0.015</v>
      </c>
      <c r="J102" s="75">
        <f>'THAM_SO_MOI'!$C$40*('THAM_SO_MOI'!$C$23*(E102/'THAM_SO_MOI'!$C$22)+'THAM_SO_MOI'!$C$24*(E102/'THAM_SO_MOI'!$C$22)^2-'THAM_SO_MOI'!$C$25*(E102/'THAM_SO_MOI'!$C$22)^3)</f>
        <v>38.923103267150324</v>
      </c>
      <c r="K102" s="75">
        <f>'THAM_SO_MOI'!$C$31*J102/E102</f>
        <v>365.9039256062535</v>
      </c>
      <c r="L102" s="75">
        <f>K102*'THAM_SO_MOI'!$C$49*'THAM_SO_MOI'!$C$17/'THAM_SO_MOI'!$C$26</f>
        <v>20858.362585693096</v>
      </c>
      <c r="M102" s="75">
        <f>'THAM_SO_MOI'!$C$15*'THAM_SO_MOI'!$C$16*F102^2</f>
        <v>7.36176730895666</v>
      </c>
      <c r="N102" s="75">
        <f>'THAM_SO_MOI'!$C$12*I102</f>
        <v>1130.112</v>
      </c>
      <c r="O102" s="75">
        <f>M102+N102</f>
        <v>1137.4737673089567</v>
      </c>
      <c r="P102" s="75">
        <f>(MIN(L102,'THAM_SO_MOI'!$C$41)-O102)/('THAM_SO_MOI'!$C$11*H102)</f>
        <v>0.8119601786225352</v>
      </c>
      <c r="Q102" s="75">
        <f>IF(P102&gt;0,1/P102,NA())</f>
        <v>1.231587492007882</v>
      </c>
      <c r="R102" s="75">
        <f>F102-F101</f>
        <v>0.0035133136094673834</v>
      </c>
      <c r="S102" s="75">
        <f>0.5*(Q101+Q102)*R102</f>
        <v>0.004328522956464565</v>
      </c>
      <c r="T102" s="75">
        <f>0.5*(F101*Q101+F102*Q102)*R102</f>
        <v>0.006859405935046827</v>
      </c>
      <c r="U102" s="76">
        <f>U101+S102</f>
        <v>0.43155305491792406</v>
      </c>
      <c r="V102" s="76">
        <f>V101+T102</f>
        <v>0.6109034090172422</v>
      </c>
    </row>
    <row r="103" spans="1:22" ht="19" customHeight="1">
      <c r="A103" s="68" t="s">
        <v>368</v>
      </c>
      <c r="B103" s="74">
        <v>1</v>
      </c>
      <c r="C103" s="68" t="s">
        <v>363</v>
      </c>
      <c r="D103" s="68" t="s">
        <v>364</v>
      </c>
      <c r="E103" s="75">
        <f>60*F103*'THAM_SO_MOI'!$C$49/(2*PI()*'THAM_SO_MOI'!$C$26)</f>
        <v>1018.25</v>
      </c>
      <c r="F103" s="75">
        <f>'THAM_SO_MOI'!$E$49+('THAM_SO_MOI'!$F$49-'THAM_SO_MOI'!$E$49)*97/'THAM_SO_MOI'!$C$42</f>
        <v>1.5899695923734387</v>
      </c>
      <c r="G103" s="75">
        <f>3.6*F103</f>
        <v>5.723890532544379</v>
      </c>
      <c r="H103" s="75">
        <f>'THAM_SO_MOI'!$D$49</f>
        <v>3.1625000000000005</v>
      </c>
      <c r="I103" s="75">
        <f>IF(F103&gt;'THAM_SO_MOI'!$C$14,'THAM_SO_MOI'!$C$13*(1+F103^2/1500),'THAM_SO_MOI'!$C$13)</f>
        <v>0.015</v>
      </c>
      <c r="J103" s="75">
        <f>'THAM_SO_MOI'!$C$40*('THAM_SO_MOI'!$C$23*(E103/'THAM_SO_MOI'!$C$22)+'THAM_SO_MOI'!$C$24*(E103/'THAM_SO_MOI'!$C$22)^2-'THAM_SO_MOI'!$C$25*(E103/'THAM_SO_MOI'!$C$22)^3)</f>
        <v>39.03605250745948</v>
      </c>
      <c r="K103" s="75">
        <f>'THAM_SO_MOI'!$C$31*J103/E103</f>
        <v>366.1548516785427</v>
      </c>
      <c r="L103" s="75">
        <f>K103*'THAM_SO_MOI'!$C$49*'THAM_SO_MOI'!$C$17/'THAM_SO_MOI'!$C$26</f>
        <v>20872.66663282607</v>
      </c>
      <c r="M103" s="75">
        <f>'THAM_SO_MOI'!$C$15*'THAM_SO_MOI'!$C$16*F103^2</f>
        <v>7.394409666166066</v>
      </c>
      <c r="N103" s="75">
        <f>'THAM_SO_MOI'!$C$12*I103</f>
        <v>1130.112</v>
      </c>
      <c r="O103" s="75">
        <f>M103+N103</f>
        <v>1137.506409666166</v>
      </c>
      <c r="P103" s="75">
        <f>(MIN(L103,'THAM_SO_MOI'!$C$41)-O103)/('THAM_SO_MOI'!$C$11*H103)</f>
        <v>0.812547769398876</v>
      </c>
      <c r="Q103" s="75">
        <f>IF(P103&gt;0,1/P103,NA())</f>
        <v>1.2306968742770674</v>
      </c>
      <c r="R103" s="75">
        <f>F103-F102</f>
        <v>0.0035133136094676054</v>
      </c>
      <c r="S103" s="75">
        <f>0.5*(Q102+Q103)*R103</f>
        <v>0.004325388587224115</v>
      </c>
      <c r="T103" s="75">
        <f>0.5*(F102*Q102+F103*Q103)*R103</f>
        <v>0.00686963535728398</v>
      </c>
      <c r="U103" s="76">
        <f>U102+S103</f>
        <v>0.43587844350514815</v>
      </c>
      <c r="V103" s="76">
        <f>V102+T103</f>
        <v>0.6177730443745262</v>
      </c>
    </row>
    <row r="104" spans="1:22" ht="19" customHeight="1">
      <c r="A104" s="68" t="s">
        <v>368</v>
      </c>
      <c r="B104" s="74">
        <v>1</v>
      </c>
      <c r="C104" s="68" t="s">
        <v>363</v>
      </c>
      <c r="D104" s="68" t="s">
        <v>364</v>
      </c>
      <c r="E104" s="75">
        <f>60*F104*'THAM_SO_MOI'!$C$49/(2*PI()*'THAM_SO_MOI'!$C$26)</f>
        <v>1020.4999999999999</v>
      </c>
      <c r="F104" s="75">
        <f>'THAM_SO_MOI'!$E$49+('THAM_SO_MOI'!$F$49-'THAM_SO_MOI'!$E$49)*98/'THAM_SO_MOI'!$C$42</f>
        <v>1.593482905982906</v>
      </c>
      <c r="G104" s="75">
        <f>3.6*F104</f>
        <v>5.736538461538462</v>
      </c>
      <c r="H104" s="75">
        <f>'THAM_SO_MOI'!$D$49</f>
        <v>3.1625000000000005</v>
      </c>
      <c r="I104" s="75">
        <f>IF(F104&gt;'THAM_SO_MOI'!$C$14,'THAM_SO_MOI'!$C$13*(1+F104^2/1500),'THAM_SO_MOI'!$C$13)</f>
        <v>0.015</v>
      </c>
      <c r="J104" s="75">
        <f>'THAM_SO_MOI'!$C$40*('THAM_SO_MOI'!$C$23*(E104/'THAM_SO_MOI'!$C$22)+'THAM_SO_MOI'!$C$24*(E104/'THAM_SO_MOI'!$C$22)^2-'THAM_SO_MOI'!$C$25*(E104/'THAM_SO_MOI'!$C$22)^3)</f>
        <v>39.149067495278665</v>
      </c>
      <c r="K104" s="75">
        <f>'THAM_SO_MOI'!$C$31*J104/E104</f>
        <v>366.4052866127731</v>
      </c>
      <c r="L104" s="75">
        <f>K104*'THAM_SO_MOI'!$C$49*'THAM_SO_MOI'!$C$17/'THAM_SO_MOI'!$C$26</f>
        <v>20886.94268262151</v>
      </c>
      <c r="M104" s="75">
        <f>'THAM_SO_MOI'!$C$15*'THAM_SO_MOI'!$C$16*F104^2</f>
        <v>7.4271242321047035</v>
      </c>
      <c r="N104" s="75">
        <f>'THAM_SO_MOI'!$C$12*I104</f>
        <v>1130.112</v>
      </c>
      <c r="O104" s="75">
        <f>M104+N104</f>
        <v>1137.5391242321048</v>
      </c>
      <c r="P104" s="75">
        <f>(MIN(L104,'THAM_SO_MOI'!$C$41)-O104)/('THAM_SO_MOI'!$C$11*H104)</f>
        <v>0.813134204479142</v>
      </c>
      <c r="Q104" s="75">
        <f>IF(P104&gt;0,1/P104,NA())</f>
        <v>1.229809291616943</v>
      </c>
      <c r="R104" s="75">
        <f>F104-F103</f>
        <v>0.0035133136094673834</v>
      </c>
      <c r="S104" s="75">
        <f>0.5*(Q103+Q104)*R104</f>
        <v>0.004322264899406919</v>
      </c>
      <c r="T104" s="75">
        <f>0.5*(F103*Q103+F104*Q104)*R104</f>
        <v>0.006879859757346592</v>
      </c>
      <c r="U104" s="76">
        <f>U103+S104</f>
        <v>0.44020070840455505</v>
      </c>
      <c r="V104" s="76">
        <f>V103+T104</f>
        <v>0.6246529041318728</v>
      </c>
    </row>
    <row r="105" spans="1:22" ht="19" customHeight="1">
      <c r="A105" s="68" t="s">
        <v>368</v>
      </c>
      <c r="B105" s="74">
        <v>1</v>
      </c>
      <c r="C105" s="68" t="s">
        <v>363</v>
      </c>
      <c r="D105" s="68" t="s">
        <v>364</v>
      </c>
      <c r="E105" s="75">
        <f>60*F105*'THAM_SO_MOI'!$C$49/(2*PI()*'THAM_SO_MOI'!$C$26)</f>
        <v>1022.7499999999999</v>
      </c>
      <c r="F105" s="75">
        <f>'THAM_SO_MOI'!$E$49+('THAM_SO_MOI'!$F$49-'THAM_SO_MOI'!$E$49)*99/'THAM_SO_MOI'!$C$42</f>
        <v>1.5969962195923735</v>
      </c>
      <c r="G105" s="75">
        <f>3.6*F105</f>
        <v>5.749186390532545</v>
      </c>
      <c r="H105" s="75">
        <f>'THAM_SO_MOI'!$D$49</f>
        <v>3.1625000000000005</v>
      </c>
      <c r="I105" s="75">
        <f>IF(F105&gt;'THAM_SO_MOI'!$C$14,'THAM_SO_MOI'!$C$13*(1+F105^2/1500),'THAM_SO_MOI'!$C$13)</f>
        <v>0.015</v>
      </c>
      <c r="J105" s="75">
        <f>'THAM_SO_MOI'!$C$40*('THAM_SO_MOI'!$C$23*(E105/'THAM_SO_MOI'!$C$22)+'THAM_SO_MOI'!$C$24*(E105/'THAM_SO_MOI'!$C$22)^2-'THAM_SO_MOI'!$C$25*(E105/'THAM_SO_MOI'!$C$22)^3)</f>
        <v>39.26214788350834</v>
      </c>
      <c r="K105" s="75">
        <f>'THAM_SO_MOI'!$C$31*J105/E105</f>
        <v>366.6552304089449</v>
      </c>
      <c r="L105" s="75">
        <f>K105*'THAM_SO_MOI'!$C$49*'THAM_SO_MOI'!$C$17/'THAM_SO_MOI'!$C$26</f>
        <v>20901.190735079428</v>
      </c>
      <c r="M105" s="75">
        <f>'THAM_SO_MOI'!$C$15*'THAM_SO_MOI'!$C$16*F105^2</f>
        <v>7.459911006772574</v>
      </c>
      <c r="N105" s="75">
        <f>'THAM_SO_MOI'!$C$12*I105</f>
        <v>1130.112</v>
      </c>
      <c r="O105" s="75">
        <f>M105+N105</f>
        <v>1137.5719110067726</v>
      </c>
      <c r="P105" s="75">
        <f>(MIN(L105,'THAM_SO_MOI'!$C$41)-O105)/('THAM_SO_MOI'!$C$11*H105)</f>
        <v>0.8137194838633338</v>
      </c>
      <c r="Q105" s="75">
        <f>IF(P105&gt;0,1/P105,NA())</f>
        <v>1.2289247336837181</v>
      </c>
      <c r="R105" s="75">
        <f>F105-F104</f>
        <v>0.0035133136094673834</v>
      </c>
      <c r="S105" s="75">
        <f>0.5*(Q104+Q105)*R105</f>
        <v>0.0043191518565746665</v>
      </c>
      <c r="T105" s="75">
        <f>0.5*(F104*Q104+F105*Q105)*R105</f>
        <v>0.006890079189688573</v>
      </c>
      <c r="U105" s="76">
        <f>U104+S105</f>
        <v>0.4445198602611297</v>
      </c>
      <c r="V105" s="76">
        <f>V104+T105</f>
        <v>0.6315429833215613</v>
      </c>
    </row>
    <row r="106" spans="1:22" ht="19" customHeight="1">
      <c r="A106" s="68" t="s">
        <v>368</v>
      </c>
      <c r="B106" s="74">
        <v>1</v>
      </c>
      <c r="C106" s="68" t="s">
        <v>363</v>
      </c>
      <c r="D106" s="68" t="s">
        <v>364</v>
      </c>
      <c r="E106" s="75">
        <f>60*F106*'THAM_SO_MOI'!$C$49/(2*PI()*'THAM_SO_MOI'!$C$26)</f>
        <v>1025.0</v>
      </c>
      <c r="F106" s="75">
        <f>'THAM_SO_MOI'!$E$49+('THAM_SO_MOI'!$F$49-'THAM_SO_MOI'!$E$49)*100/'THAM_SO_MOI'!$C$42</f>
        <v>1.600509533201841</v>
      </c>
      <c r="G106" s="75">
        <f>3.6*F106</f>
        <v>5.761834319526628</v>
      </c>
      <c r="H106" s="75">
        <f>'THAM_SO_MOI'!$D$49</f>
        <v>3.1625000000000005</v>
      </c>
      <c r="I106" s="75">
        <f>IF(F106&gt;'THAM_SO_MOI'!$C$14,'THAM_SO_MOI'!$C$13*(1+F106^2/1500),'THAM_SO_MOI'!$C$13)</f>
        <v>0.015</v>
      </c>
      <c r="J106" s="75">
        <f>'THAM_SO_MOI'!$C$40*('THAM_SO_MOI'!$C$23*(E106/'THAM_SO_MOI'!$C$22)+'THAM_SO_MOI'!$C$24*(E106/'THAM_SO_MOI'!$C$22)^2-'THAM_SO_MOI'!$C$25*(E106/'THAM_SO_MOI'!$C$22)^3)</f>
        <v>39.375293325048965</v>
      </c>
      <c r="K106" s="75">
        <f>'THAM_SO_MOI'!$C$31*J106/E106</f>
        <v>366.90468306705776</v>
      </c>
      <c r="L106" s="75">
        <f>K106*'THAM_SO_MOI'!$C$49*'THAM_SO_MOI'!$C$17/'THAM_SO_MOI'!$C$26</f>
        <v>20915.4107901998</v>
      </c>
      <c r="M106" s="75">
        <f>'THAM_SO_MOI'!$C$15*'THAM_SO_MOI'!$C$16*F106^2</f>
        <v>7.492769990169679</v>
      </c>
      <c r="N106" s="75">
        <f>'THAM_SO_MOI'!$C$12*I106</f>
        <v>1130.112</v>
      </c>
      <c r="O106" s="75">
        <f>M106+N106</f>
        <v>1137.6047699901699</v>
      </c>
      <c r="P106" s="75">
        <f>(MIN(L106,'THAM_SO_MOI'!$C$41)-O106)/('THAM_SO_MOI'!$C$11*H106)</f>
        <v>0.8143036075514503</v>
      </c>
      <c r="Q106" s="75">
        <f>IF(P106&gt;0,1/P106,NA())</f>
        <v>1.2280431901891296</v>
      </c>
      <c r="R106" s="75">
        <f>F106-F105</f>
        <v>0.0035133136094676054</v>
      </c>
      <c r="S106" s="75">
        <f>0.5*(Q105+Q106)*R106</f>
        <v>0.004316049422483922</v>
      </c>
      <c r="T106" s="75">
        <f>0.5*(F105*Q105+F106*Q106)*R106</f>
        <v>0.006900293708563308</v>
      </c>
      <c r="U106" s="76">
        <f>U105+S106</f>
        <v>0.44883590968361364</v>
      </c>
      <c r="V106" s="76">
        <f>V105+T106</f>
        <v>0.6384432770301246</v>
      </c>
    </row>
    <row r="107" spans="1:22" ht="19" customHeight="1">
      <c r="A107" s="68" t="s">
        <v>368</v>
      </c>
      <c r="B107" s="74">
        <v>1</v>
      </c>
      <c r="C107" s="68" t="s">
        <v>363</v>
      </c>
      <c r="D107" s="68" t="s">
        <v>364</v>
      </c>
      <c r="E107" s="75">
        <f>60*F107*'THAM_SO_MOI'!$C$49/(2*PI()*'THAM_SO_MOI'!$C$26)</f>
        <v>1027.25</v>
      </c>
      <c r="F107" s="75">
        <f>'THAM_SO_MOI'!$E$49+('THAM_SO_MOI'!$F$49-'THAM_SO_MOI'!$E$49)*101/'THAM_SO_MOI'!$C$42</f>
        <v>1.6040228468113085</v>
      </c>
      <c r="G107" s="75">
        <f>3.6*F107</f>
        <v>5.774482248520711</v>
      </c>
      <c r="H107" s="75">
        <f>'THAM_SO_MOI'!$D$49</f>
        <v>3.1625000000000005</v>
      </c>
      <c r="I107" s="75">
        <f>IF(F107&gt;'THAM_SO_MOI'!$C$14,'THAM_SO_MOI'!$C$13*(1+F107^2/1500),'THAM_SO_MOI'!$C$13)</f>
        <v>0.015</v>
      </c>
      <c r="J107" s="75">
        <f>'THAM_SO_MOI'!$C$40*('THAM_SO_MOI'!$C$23*(E107/'THAM_SO_MOI'!$C$22)+'THAM_SO_MOI'!$C$24*(E107/'THAM_SO_MOI'!$C$22)^2-'THAM_SO_MOI'!$C$25*(E107/'THAM_SO_MOI'!$C$22)^3)</f>
        <v>39.488503472800986</v>
      </c>
      <c r="K107" s="75">
        <f>'THAM_SO_MOI'!$C$31*J107/E107</f>
        <v>367.1536445871119</v>
      </c>
      <c r="L107" s="75">
        <f>K107*'THAM_SO_MOI'!$C$49*'THAM_SO_MOI'!$C$17/'THAM_SO_MOI'!$C$26</f>
        <v>20929.60284798265</v>
      </c>
      <c r="M107" s="75">
        <f>'THAM_SO_MOI'!$C$15*'THAM_SO_MOI'!$C$16*F107^2</f>
        <v>7.525701182296015</v>
      </c>
      <c r="N107" s="75">
        <f>'THAM_SO_MOI'!$C$12*I107</f>
        <v>1130.112</v>
      </c>
      <c r="O107" s="75">
        <f>M107+N107</f>
        <v>1137.637701182296</v>
      </c>
      <c r="P107" s="75">
        <f>(MIN(L107,'THAM_SO_MOI'!$C$41)-O107)/('THAM_SO_MOI'!$C$11*H107)</f>
        <v>0.8148865755434925</v>
      </c>
      <c r="Q107" s="75">
        <f>IF(P107&gt;0,1/P107,NA())</f>
        <v>1.2271646509000902</v>
      </c>
      <c r="R107" s="75">
        <f>F107-F106</f>
        <v>0.0035133136094673834</v>
      </c>
      <c r="S107" s="75">
        <f>0.5*(Q106+Q107)*R107</f>
        <v>0.004312957561084894</v>
      </c>
      <c r="T107" s="75">
        <f>0.5*(F106*Q106+F107*Q107)*R107</f>
        <v>0.006910503368025114</v>
      </c>
      <c r="U107" s="76">
        <f>U106+S107</f>
        <v>0.45314886724469855</v>
      </c>
      <c r="V107" s="76">
        <f>V106+T107</f>
        <v>0.6453537803981497</v>
      </c>
    </row>
    <row r="108" spans="1:22" ht="19" customHeight="1">
      <c r="A108" s="68" t="s">
        <v>368</v>
      </c>
      <c r="B108" s="74">
        <v>1</v>
      </c>
      <c r="C108" s="68" t="s">
        <v>363</v>
      </c>
      <c r="D108" s="68" t="s">
        <v>364</v>
      </c>
      <c r="E108" s="75">
        <f>60*F108*'THAM_SO_MOI'!$C$49/(2*PI()*'THAM_SO_MOI'!$C$26)</f>
        <v>1029.5</v>
      </c>
      <c r="F108" s="75">
        <f>'THAM_SO_MOI'!$E$49+('THAM_SO_MOI'!$F$49-'THAM_SO_MOI'!$E$49)*102/'THAM_SO_MOI'!$C$42</f>
        <v>1.6075361604207759</v>
      </c>
      <c r="G108" s="75">
        <f>3.6*F108</f>
        <v>5.787130177514793</v>
      </c>
      <c r="H108" s="75">
        <f>'THAM_SO_MOI'!$D$49</f>
        <v>3.1625000000000005</v>
      </c>
      <c r="I108" s="75">
        <f>IF(F108&gt;'THAM_SO_MOI'!$C$14,'THAM_SO_MOI'!$C$13*(1+F108^2/1500),'THAM_SO_MOI'!$C$13)</f>
        <v>0.015</v>
      </c>
      <c r="J108" s="75">
        <f>'THAM_SO_MOI'!$C$40*('THAM_SO_MOI'!$C$23*(E108/'THAM_SO_MOI'!$C$22)+'THAM_SO_MOI'!$C$24*(E108/'THAM_SO_MOI'!$C$22)^2-'THAM_SO_MOI'!$C$25*(E108/'THAM_SO_MOI'!$C$22)^3)</f>
        <v>39.60177797966486</v>
      </c>
      <c r="K108" s="75">
        <f>'THAM_SO_MOI'!$C$31*J108/E108</f>
        <v>367.4021149691073</v>
      </c>
      <c r="L108" s="75">
        <f>K108*'THAM_SO_MOI'!$C$49*'THAM_SO_MOI'!$C$17/'THAM_SO_MOI'!$C$26</f>
        <v>20943.766908427966</v>
      </c>
      <c r="M108" s="75">
        <f>'THAM_SO_MOI'!$C$15*'THAM_SO_MOI'!$C$16*F108^2</f>
        <v>7.558704583151584</v>
      </c>
      <c r="N108" s="75">
        <f>'THAM_SO_MOI'!$C$12*I108</f>
        <v>1130.112</v>
      </c>
      <c r="O108" s="75">
        <f>M108+N108</f>
        <v>1137.6707045831517</v>
      </c>
      <c r="P108" s="75">
        <f>(MIN(L108,'THAM_SO_MOI'!$C$41)-O108)/('THAM_SO_MOI'!$C$11*H108)</f>
        <v>0.8154683878394602</v>
      </c>
      <c r="Q108" s="75">
        <f>IF(P108&gt;0,1/P108,NA())</f>
        <v>1.2262891056383516</v>
      </c>
      <c r="R108" s="75">
        <f>F108-F107</f>
        <v>0.0035133136094673834</v>
      </c>
      <c r="S108" s="75">
        <f>0.5*(Q107+Q108)*R108</f>
        <v>0.004309876236522692</v>
      </c>
      <c r="T108" s="75">
        <f>0.5*(F107*Q107+F108*Q108)*R108</f>
        <v>0.006920708221934653</v>
      </c>
      <c r="U108" s="76">
        <f>U107+S108</f>
        <v>0.45745874348122123</v>
      </c>
      <c r="V108" s="76">
        <f>V107+T108</f>
        <v>0.6522744886200844</v>
      </c>
    </row>
    <row r="109" spans="1:22" ht="19" customHeight="1">
      <c r="A109" s="68" t="s">
        <v>368</v>
      </c>
      <c r="B109" s="74">
        <v>1</v>
      </c>
      <c r="C109" s="68" t="s">
        <v>363</v>
      </c>
      <c r="D109" s="68" t="s">
        <v>364</v>
      </c>
      <c r="E109" s="75">
        <f>60*F109*'THAM_SO_MOI'!$C$49/(2*PI()*'THAM_SO_MOI'!$C$26)</f>
        <v>1031.75</v>
      </c>
      <c r="F109" s="75">
        <f>'THAM_SO_MOI'!$E$49+('THAM_SO_MOI'!$F$49-'THAM_SO_MOI'!$E$49)*103/'THAM_SO_MOI'!$C$42</f>
        <v>1.6110494740302432</v>
      </c>
      <c r="G109" s="75">
        <f>3.6*F109</f>
        <v>5.799778106508875</v>
      </c>
      <c r="H109" s="75">
        <f>'THAM_SO_MOI'!$D$49</f>
        <v>3.1625000000000005</v>
      </c>
      <c r="I109" s="75">
        <f>IF(F109&gt;'THAM_SO_MOI'!$C$14,'THAM_SO_MOI'!$C$13*(1+F109^2/1500),'THAM_SO_MOI'!$C$13)</f>
        <v>0.015</v>
      </c>
      <c r="J109" s="75">
        <f>'THAM_SO_MOI'!$C$40*('THAM_SO_MOI'!$C$23*(E109/'THAM_SO_MOI'!$C$22)+'THAM_SO_MOI'!$C$24*(E109/'THAM_SO_MOI'!$C$22)^2-'THAM_SO_MOI'!$C$25*(E109/'THAM_SO_MOI'!$C$22)^3)</f>
        <v>39.71511649854104</v>
      </c>
      <c r="K109" s="75">
        <f>'THAM_SO_MOI'!$C$31*J109/E109</f>
        <v>367.6500942130438</v>
      </c>
      <c r="L109" s="75">
        <f>K109*'THAM_SO_MOI'!$C$49*'THAM_SO_MOI'!$C$17/'THAM_SO_MOI'!$C$26</f>
        <v>20957.902971535746</v>
      </c>
      <c r="M109" s="75">
        <f>'THAM_SO_MOI'!$C$15*'THAM_SO_MOI'!$C$16*F109^2</f>
        <v>7.591780192736387</v>
      </c>
      <c r="N109" s="75">
        <f>'THAM_SO_MOI'!$C$12*I109</f>
        <v>1130.112</v>
      </c>
      <c r="O109" s="75">
        <f>M109+N109</f>
        <v>1137.7037801927365</v>
      </c>
      <c r="P109" s="75">
        <f>(MIN(L109,'THAM_SO_MOI'!$C$41)-O109)/('THAM_SO_MOI'!$C$11*H109)</f>
        <v>0.8160490444393531</v>
      </c>
      <c r="Q109" s="75">
        <f>IF(P109&gt;0,1/P109,NA())</f>
        <v>1.2254165442801614</v>
      </c>
      <c r="R109" s="75">
        <f>F109-F108</f>
        <v>0.0035133136094673834</v>
      </c>
      <c r="S109" s="75">
        <f>0.5*(Q108+Q109)*R109</f>
        <v>0.004306805413133394</v>
      </c>
      <c r="T109" s="75">
        <f>0.5*(F108*Q108+F109*Q109)*R109</f>
        <v>0.006930908323956042</v>
      </c>
      <c r="U109" s="76">
        <f>U108+S109</f>
        <v>0.4617655488943546</v>
      </c>
      <c r="V109" s="76">
        <f>V108+T109</f>
        <v>0.6592053969440405</v>
      </c>
    </row>
    <row r="110" spans="1:22" ht="19" customHeight="1">
      <c r="A110" s="68" t="s">
        <v>368</v>
      </c>
      <c r="B110" s="74">
        <v>1</v>
      </c>
      <c r="C110" s="68" t="s">
        <v>363</v>
      </c>
      <c r="D110" s="68" t="s">
        <v>364</v>
      </c>
      <c r="E110" s="75">
        <f>60*F110*'THAM_SO_MOI'!$C$49/(2*PI()*'THAM_SO_MOI'!$C$26)</f>
        <v>1034.0</v>
      </c>
      <c r="F110" s="75">
        <f>'THAM_SO_MOI'!$E$49+('THAM_SO_MOI'!$F$49-'THAM_SO_MOI'!$E$49)*104/'THAM_SO_MOI'!$C$42</f>
        <v>1.6145627876397108</v>
      </c>
      <c r="G110" s="75">
        <f>3.6*F110</f>
        <v>5.812426035502959</v>
      </c>
      <c r="H110" s="75">
        <f>'THAM_SO_MOI'!$D$49</f>
        <v>3.1625000000000005</v>
      </c>
      <c r="I110" s="75">
        <f>IF(F110&gt;'THAM_SO_MOI'!$C$14,'THAM_SO_MOI'!$C$13*(1+F110^2/1500),'THAM_SO_MOI'!$C$13)</f>
        <v>0.015</v>
      </c>
      <c r="J110" s="75">
        <f>'THAM_SO_MOI'!$C$40*('THAM_SO_MOI'!$C$23*(E110/'THAM_SO_MOI'!$C$22)+'THAM_SO_MOI'!$C$24*(E110/'THAM_SO_MOI'!$C$22)^2-'THAM_SO_MOI'!$C$25*(E110/'THAM_SO_MOI'!$C$22)^3)</f>
        <v>39.82851868232999</v>
      </c>
      <c r="K110" s="75">
        <f>'THAM_SO_MOI'!$C$31*J110/E110</f>
        <v>367.8975823189217</v>
      </c>
      <c r="L110" s="75">
        <f>K110*'THAM_SO_MOI'!$C$49*'THAM_SO_MOI'!$C$17/'THAM_SO_MOI'!$C$26</f>
        <v>20972.011037306</v>
      </c>
      <c r="M110" s="75">
        <f>'THAM_SO_MOI'!$C$15*'THAM_SO_MOI'!$C$16*F110^2</f>
        <v>7.624928011050424</v>
      </c>
      <c r="N110" s="75">
        <f>'THAM_SO_MOI'!$C$12*I110</f>
        <v>1130.112</v>
      </c>
      <c r="O110" s="75">
        <f>M110+N110</f>
        <v>1137.7369280110504</v>
      </c>
      <c r="P110" s="75">
        <f>(MIN(L110,'THAM_SO_MOI'!$C$41)-O110)/('THAM_SO_MOI'!$C$11*H110)</f>
        <v>0.8166285453431714</v>
      </c>
      <c r="Q110" s="75">
        <f>IF(P110&gt;0,1/P110,NA())</f>
        <v>1.2245469567559268</v>
      </c>
      <c r="R110" s="75">
        <f>F110-F109</f>
        <v>0.0035133136094676054</v>
      </c>
      <c r="S110" s="75">
        <f>0.5*(Q109+Q110)*R110</f>
        <v>0.004303745055444496</v>
      </c>
      <c r="T110" s="75">
        <f>0.5*(F109*Q109+F110*Q110)*R110</f>
        <v>0.006941103727560913</v>
      </c>
      <c r="U110" s="76">
        <f>U109+S110</f>
        <v>0.4660692939497991</v>
      </c>
      <c r="V110" s="76">
        <f>V109+T110</f>
        <v>0.6661465006716014</v>
      </c>
    </row>
    <row r="111" spans="1:22" ht="19" customHeight="1">
      <c r="A111" s="68" t="s">
        <v>368</v>
      </c>
      <c r="B111" s="74">
        <v>1</v>
      </c>
      <c r="C111" s="68" t="s">
        <v>363</v>
      </c>
      <c r="D111" s="68" t="s">
        <v>364</v>
      </c>
      <c r="E111" s="75">
        <f>60*F111*'THAM_SO_MOI'!$C$49/(2*PI()*'THAM_SO_MOI'!$C$26)</f>
        <v>1036.2499999999998</v>
      </c>
      <c r="F111" s="75">
        <f>'THAM_SO_MOI'!$E$49+('THAM_SO_MOI'!$F$49-'THAM_SO_MOI'!$E$49)*105/'THAM_SO_MOI'!$C$42</f>
        <v>1.6180761012491782</v>
      </c>
      <c r="G111" s="75">
        <f>3.6*F111</f>
        <v>5.825073964497042</v>
      </c>
      <c r="H111" s="75">
        <f>'THAM_SO_MOI'!$D$49</f>
        <v>3.1625000000000005</v>
      </c>
      <c r="I111" s="75">
        <f>IF(F111&gt;'THAM_SO_MOI'!$C$14,'THAM_SO_MOI'!$C$13*(1+F111^2/1500),'THAM_SO_MOI'!$C$13)</f>
        <v>0.015</v>
      </c>
      <c r="J111" s="75">
        <f>'THAM_SO_MOI'!$C$40*('THAM_SO_MOI'!$C$23*(E111/'THAM_SO_MOI'!$C$22)+'THAM_SO_MOI'!$C$24*(E111/'THAM_SO_MOI'!$C$22)^2-'THAM_SO_MOI'!$C$25*(E111/'THAM_SO_MOI'!$C$22)^3)</f>
        <v>39.941984183932135</v>
      </c>
      <c r="K111" s="75">
        <f>'THAM_SO_MOI'!$C$31*J111/E111</f>
        <v>368.14457928674057</v>
      </c>
      <c r="L111" s="75">
        <f>K111*'THAM_SO_MOI'!$C$49*'THAM_SO_MOI'!$C$17/'THAM_SO_MOI'!$C$26</f>
        <v>20986.09110573871</v>
      </c>
      <c r="M111" s="75">
        <f>'THAM_SO_MOI'!$C$15*'THAM_SO_MOI'!$C$16*F111^2</f>
        <v>7.658148038093692</v>
      </c>
      <c r="N111" s="75">
        <f>'THAM_SO_MOI'!$C$12*I111</f>
        <v>1130.112</v>
      </c>
      <c r="O111" s="75">
        <f>M111+N111</f>
        <v>1137.7701480380938</v>
      </c>
      <c r="P111" s="75">
        <f>(MIN(L111,'THAM_SO_MOI'!$C$41)-O111)/('THAM_SO_MOI'!$C$11*H111)</f>
        <v>0.8172068905509146</v>
      </c>
      <c r="Q111" s="75">
        <f>IF(P111&gt;0,1/P111,NA())</f>
        <v>1.22368033304988</v>
      </c>
      <c r="R111" s="75">
        <f>F111-F110</f>
        <v>0.0035133136094673834</v>
      </c>
      <c r="S111" s="75">
        <f>0.5*(Q110+Q111)*R111</f>
        <v>0.004300695128172095</v>
      </c>
      <c r="T111" s="75">
        <f>0.5*(F110*Q110+F111*Q111)*R111</f>
        <v>0.00695129448602724</v>
      </c>
      <c r="U111" s="76">
        <f>U110+S111</f>
        <v>0.47036998907797123</v>
      </c>
      <c r="V111" s="76">
        <f>V110+T111</f>
        <v>0.6730977951576287</v>
      </c>
    </row>
    <row r="112" spans="1:22" ht="19" customHeight="1">
      <c r="A112" s="68" t="s">
        <v>368</v>
      </c>
      <c r="B112" s="74">
        <v>1</v>
      </c>
      <c r="C112" s="68" t="s">
        <v>363</v>
      </c>
      <c r="D112" s="68" t="s">
        <v>364</v>
      </c>
      <c r="E112" s="75">
        <f>60*F112*'THAM_SO_MOI'!$C$49/(2*PI()*'THAM_SO_MOI'!$C$26)</f>
        <v>1038.5</v>
      </c>
      <c r="F112" s="75">
        <f>'THAM_SO_MOI'!$E$49+('THAM_SO_MOI'!$F$49-'THAM_SO_MOI'!$E$49)*106/'THAM_SO_MOI'!$C$42</f>
        <v>1.6215894148586458</v>
      </c>
      <c r="G112" s="75">
        <f>3.6*F112</f>
        <v>5.837721893491125</v>
      </c>
      <c r="H112" s="75">
        <f>'THAM_SO_MOI'!$D$49</f>
        <v>3.1625000000000005</v>
      </c>
      <c r="I112" s="75">
        <f>IF(F112&gt;'THAM_SO_MOI'!$C$14,'THAM_SO_MOI'!$C$13*(1+F112^2/1500),'THAM_SO_MOI'!$C$13)</f>
        <v>0.015</v>
      </c>
      <c r="J112" s="75">
        <f>'THAM_SO_MOI'!$C$40*('THAM_SO_MOI'!$C$23*(E112/'THAM_SO_MOI'!$C$22)+'THAM_SO_MOI'!$C$24*(E112/'THAM_SO_MOI'!$C$22)^2-'THAM_SO_MOI'!$C$25*(E112/'THAM_SO_MOI'!$C$22)^3)</f>
        <v>40.055512656248005</v>
      </c>
      <c r="K112" s="75">
        <f>'THAM_SO_MOI'!$C$31*J112/E112</f>
        <v>368.39108511650096</v>
      </c>
      <c r="L112" s="75">
        <f>K112*'THAM_SO_MOI'!$C$49*'THAM_SO_MOI'!$C$17/'THAM_SO_MOI'!$C$26</f>
        <v>21000.1431768339</v>
      </c>
      <c r="M112" s="75">
        <f>'THAM_SO_MOI'!$C$15*'THAM_SO_MOI'!$C$16*F112^2</f>
        <v>7.691440273866196</v>
      </c>
      <c r="N112" s="75">
        <f>'THAM_SO_MOI'!$C$12*I112</f>
        <v>1130.112</v>
      </c>
      <c r="O112" s="75">
        <f>M112+N112</f>
        <v>1137.8034402738663</v>
      </c>
      <c r="P112" s="75">
        <f>(MIN(L112,'THAM_SO_MOI'!$C$41)-O112)/('THAM_SO_MOI'!$C$11*H112)</f>
        <v>0.8177840800625835</v>
      </c>
      <c r="Q112" s="75">
        <f>IF(P112&gt;0,1/P112,NA())</f>
        <v>1.2228166631997432</v>
      </c>
      <c r="R112" s="75">
        <f>F112-F111</f>
        <v>0.0035133136094676054</v>
      </c>
      <c r="S112" s="75">
        <f>0.5*(Q111+Q112)*R112</f>
        <v>0.004297655596222709</v>
      </c>
      <c r="T112" s="75">
        <f>0.5*(F111*Q111+F112*Q112)*R112</f>
        <v>0.006961480652445587</v>
      </c>
      <c r="U112" s="76">
        <f>U111+S112</f>
        <v>0.4746676446741939</v>
      </c>
      <c r="V112" s="76">
        <f>V111+T112</f>
        <v>0.6800592758100743</v>
      </c>
    </row>
    <row r="113" spans="1:22" ht="19" customHeight="1">
      <c r="A113" s="68" t="s">
        <v>368</v>
      </c>
      <c r="B113" s="74">
        <v>1</v>
      </c>
      <c r="C113" s="68" t="s">
        <v>363</v>
      </c>
      <c r="D113" s="68" t="s">
        <v>364</v>
      </c>
      <c r="E113" s="75">
        <f>60*F113*'THAM_SO_MOI'!$C$49/(2*PI()*'THAM_SO_MOI'!$C$26)</f>
        <v>1040.75</v>
      </c>
      <c r="F113" s="75">
        <f>'THAM_SO_MOI'!$E$49+('THAM_SO_MOI'!$F$49-'THAM_SO_MOI'!$E$49)*107/'THAM_SO_MOI'!$C$42</f>
        <v>1.6251027284681132</v>
      </c>
      <c r="G113" s="75">
        <f>3.6*F113</f>
        <v>5.850369822485208</v>
      </c>
      <c r="H113" s="75">
        <f>'THAM_SO_MOI'!$D$49</f>
        <v>3.1625000000000005</v>
      </c>
      <c r="I113" s="75">
        <f>IF(F113&gt;'THAM_SO_MOI'!$C$14,'THAM_SO_MOI'!$C$13*(1+F113^2/1500),'THAM_SO_MOI'!$C$13)</f>
        <v>0.015</v>
      </c>
      <c r="J113" s="75">
        <f>'THAM_SO_MOI'!$C$40*('THAM_SO_MOI'!$C$23*(E113/'THAM_SO_MOI'!$C$22)+'THAM_SO_MOI'!$C$24*(E113/'THAM_SO_MOI'!$C$22)^2-'THAM_SO_MOI'!$C$25*(E113/'THAM_SO_MOI'!$C$22)^3)</f>
        <v>40.169103752177975</v>
      </c>
      <c r="K113" s="75">
        <f>'THAM_SO_MOI'!$C$31*J113/E113</f>
        <v>368.6370998082024</v>
      </c>
      <c r="L113" s="75">
        <f>K113*'THAM_SO_MOI'!$C$49*'THAM_SO_MOI'!$C$17/'THAM_SO_MOI'!$C$26</f>
        <v>21014.167250591552</v>
      </c>
      <c r="M113" s="75">
        <f>'THAM_SO_MOI'!$C$15*'THAM_SO_MOI'!$C$16*F113^2</f>
        <v>7.724804718367931</v>
      </c>
      <c r="N113" s="75">
        <f>'THAM_SO_MOI'!$C$12*I113</f>
        <v>1130.112</v>
      </c>
      <c r="O113" s="75">
        <f>M113+N113</f>
        <v>1137.836804718368</v>
      </c>
      <c r="P113" s="75">
        <f>(MIN(L113,'THAM_SO_MOI'!$C$41)-O113)/('THAM_SO_MOI'!$C$11*H113)</f>
        <v>0.8183601138781778</v>
      </c>
      <c r="Q113" s="75">
        <f>IF(P113&gt;0,1/P113,NA())</f>
        <v>1.2219559372964033</v>
      </c>
      <c r="R113" s="75">
        <f>F113-F112</f>
        <v>0.0035133136094673834</v>
      </c>
      <c r="S113" s="75">
        <f>0.5*(Q112+Q113)*R113</f>
        <v>0.004294626424688039</v>
      </c>
      <c r="T113" s="75">
        <f>0.5*(F112*Q112+F113*Q113)*R113</f>
        <v>0.006971662279713958</v>
      </c>
      <c r="U113" s="76">
        <f>U112+S113</f>
        <v>0.47896227109888195</v>
      </c>
      <c r="V113" s="76">
        <f>V112+T113</f>
        <v>0.6870309380897882</v>
      </c>
    </row>
    <row r="114" spans="1:22" ht="19" customHeight="1">
      <c r="A114" s="68" t="s">
        <v>368</v>
      </c>
      <c r="B114" s="74">
        <v>1</v>
      </c>
      <c r="C114" s="68" t="s">
        <v>363</v>
      </c>
      <c r="D114" s="68" t="s">
        <v>364</v>
      </c>
      <c r="E114" s="75">
        <f>60*F114*'THAM_SO_MOI'!$C$49/(2*PI()*'THAM_SO_MOI'!$C$26)</f>
        <v>1043.0</v>
      </c>
      <c r="F114" s="75">
        <f>'THAM_SO_MOI'!$E$49+('THAM_SO_MOI'!$F$49-'THAM_SO_MOI'!$E$49)*108/'THAM_SO_MOI'!$C$42</f>
        <v>1.6286160420775806</v>
      </c>
      <c r="G114" s="75">
        <f>3.6*F114</f>
        <v>5.8630177514792905</v>
      </c>
      <c r="H114" s="75">
        <f>'THAM_SO_MOI'!$D$49</f>
        <v>3.1625000000000005</v>
      </c>
      <c r="I114" s="75">
        <f>IF(F114&gt;'THAM_SO_MOI'!$C$14,'THAM_SO_MOI'!$C$13*(1+F114^2/1500),'THAM_SO_MOI'!$C$13)</f>
        <v>0.015</v>
      </c>
      <c r="J114" s="75">
        <f>'THAM_SO_MOI'!$C$40*('THAM_SO_MOI'!$C$23*(E114/'THAM_SO_MOI'!$C$22)+'THAM_SO_MOI'!$C$24*(E114/'THAM_SO_MOI'!$C$22)^2-'THAM_SO_MOI'!$C$25*(E114/'THAM_SO_MOI'!$C$22)^3)</f>
        <v>40.282757124622535</v>
      </c>
      <c r="K114" s="75">
        <f>'THAM_SO_MOI'!$C$31*J114/E114</f>
        <v>368.88262336184505</v>
      </c>
      <c r="L114" s="75">
        <f>K114*'THAM_SO_MOI'!$C$49*'THAM_SO_MOI'!$C$17/'THAM_SO_MOI'!$C$26</f>
        <v>21028.16332701167</v>
      </c>
      <c r="M114" s="75">
        <f>'THAM_SO_MOI'!$C$15*'THAM_SO_MOI'!$C$16*F114^2</f>
        <v>7.758241371598898</v>
      </c>
      <c r="N114" s="75">
        <f>'THAM_SO_MOI'!$C$12*I114</f>
        <v>1130.112</v>
      </c>
      <c r="O114" s="75">
        <f>M114+N114</f>
        <v>1137.870241371599</v>
      </c>
      <c r="P114" s="75">
        <f>(MIN(L114,'THAM_SO_MOI'!$C$41)-O114)/('THAM_SO_MOI'!$C$11*H114)</f>
        <v>0.8189349919976971</v>
      </c>
      <c r="Q114" s="75">
        <f>IF(P114&gt;0,1/P114,NA())</f>
        <v>1.2210981454835819</v>
      </c>
      <c r="R114" s="75">
        <f>F114-F113</f>
        <v>0.0035133136094673834</v>
      </c>
      <c r="S114" s="75">
        <f>0.5*(Q113+Q114)*R114</f>
        <v>0.004291607578847888</v>
      </c>
      <c r="T114" s="75">
        <f>0.5*(F113*Q113+F114*Q114)*R114</f>
        <v>0.0069818394205457945</v>
      </c>
      <c r="U114" s="76">
        <f>U113+S114</f>
        <v>0.48325387867772984</v>
      </c>
      <c r="V114" s="76">
        <f>V113+T114</f>
        <v>0.694012777510334</v>
      </c>
    </row>
    <row r="115" spans="1:22" ht="19" customHeight="1">
      <c r="A115" s="68" t="s">
        <v>368</v>
      </c>
      <c r="B115" s="74">
        <v>1</v>
      </c>
      <c r="C115" s="68" t="s">
        <v>363</v>
      </c>
      <c r="D115" s="68" t="s">
        <v>364</v>
      </c>
      <c r="E115" s="75">
        <f>60*F115*'THAM_SO_MOI'!$C$49/(2*PI()*'THAM_SO_MOI'!$C$26)</f>
        <v>1045.2499999999998</v>
      </c>
      <c r="F115" s="75">
        <f>'THAM_SO_MOI'!$E$49+('THAM_SO_MOI'!$F$49-'THAM_SO_MOI'!$E$49)*109/'THAM_SO_MOI'!$C$42</f>
        <v>1.632129355687048</v>
      </c>
      <c r="G115" s="75">
        <f>3.6*F115</f>
        <v>5.8756656804733725</v>
      </c>
      <c r="H115" s="75">
        <f>'THAM_SO_MOI'!$D$49</f>
        <v>3.1625000000000005</v>
      </c>
      <c r="I115" s="75">
        <f>IF(F115&gt;'THAM_SO_MOI'!$C$14,'THAM_SO_MOI'!$C$13*(1+F115^2/1500),'THAM_SO_MOI'!$C$13)</f>
        <v>0.015</v>
      </c>
      <c r="J115" s="75">
        <f>'THAM_SO_MOI'!$C$40*('THAM_SO_MOI'!$C$23*(E115/'THAM_SO_MOI'!$C$22)+'THAM_SO_MOI'!$C$24*(E115/'THAM_SO_MOI'!$C$22)^2-'THAM_SO_MOI'!$C$25*(E115/'THAM_SO_MOI'!$C$22)^3)</f>
        <v>40.39647242648212</v>
      </c>
      <c r="K115" s="75">
        <f>'THAM_SO_MOI'!$C$31*J115/E115</f>
        <v>369.12765577742886</v>
      </c>
      <c r="L115" s="75">
        <f>K115*'THAM_SO_MOI'!$C$49*'THAM_SO_MOI'!$C$17/'THAM_SO_MOI'!$C$26</f>
        <v>21042.131406094253</v>
      </c>
      <c r="M115" s="75">
        <f>'THAM_SO_MOI'!$C$15*'THAM_SO_MOI'!$C$16*F115^2</f>
        <v>7.791750233559099</v>
      </c>
      <c r="N115" s="75">
        <f>'THAM_SO_MOI'!$C$12*I115</f>
        <v>1130.112</v>
      </c>
      <c r="O115" s="75">
        <f>M115+N115</f>
        <v>1137.903750233559</v>
      </c>
      <c r="P115" s="75">
        <f>(MIN(L115,'THAM_SO_MOI'!$C$41)-O115)/('THAM_SO_MOI'!$C$11*H115)</f>
        <v>0.8195087144211417</v>
      </c>
      <c r="Q115" s="75">
        <f>IF(P115&gt;0,1/P115,NA())</f>
        <v>1.2202432779575114</v>
      </c>
      <c r="R115" s="75">
        <f>F115-F114</f>
        <v>0.0035133136094673834</v>
      </c>
      <c r="S115" s="75">
        <f>0.5*(Q114+Q115)*R115</f>
        <v>0.0042885990241660335</v>
      </c>
      <c r="T115" s="75">
        <f>0.5*(F114*Q114+F115*Q115)*R115</f>
        <v>0.0069920121274665535</v>
      </c>
      <c r="U115" s="76">
        <f>U114+S115</f>
        <v>0.48754247770189585</v>
      </c>
      <c r="V115" s="76">
        <f>V114+T115</f>
        <v>0.7010047896378006</v>
      </c>
    </row>
    <row r="116" spans="1:22" ht="19" customHeight="1">
      <c r="A116" s="68" t="s">
        <v>368</v>
      </c>
      <c r="B116" s="74">
        <v>1</v>
      </c>
      <c r="C116" s="68" t="s">
        <v>363</v>
      </c>
      <c r="D116" s="68" t="s">
        <v>364</v>
      </c>
      <c r="E116" s="75">
        <f>60*F116*'THAM_SO_MOI'!$C$49/(2*PI()*'THAM_SO_MOI'!$C$26)</f>
        <v>1047.4999999999998</v>
      </c>
      <c r="F116" s="75">
        <f>'THAM_SO_MOI'!$E$49+('THAM_SO_MOI'!$F$49-'THAM_SO_MOI'!$E$49)*110/'THAM_SO_MOI'!$C$42</f>
        <v>1.6356426692965154</v>
      </c>
      <c r="G116" s="75">
        <f>3.6*F116</f>
        <v>5.888313609467455</v>
      </c>
      <c r="H116" s="75">
        <f>'THAM_SO_MOI'!$D$49</f>
        <v>3.1625000000000005</v>
      </c>
      <c r="I116" s="75">
        <f>IF(F116&gt;'THAM_SO_MOI'!$C$14,'THAM_SO_MOI'!$C$13*(1+F116^2/1500),'THAM_SO_MOI'!$C$13)</f>
        <v>0.015</v>
      </c>
      <c r="J116" s="75">
        <f>'THAM_SO_MOI'!$C$40*('THAM_SO_MOI'!$C$23*(E116/'THAM_SO_MOI'!$C$22)+'THAM_SO_MOI'!$C$24*(E116/'THAM_SO_MOI'!$C$22)^2-'THAM_SO_MOI'!$C$25*(E116/'THAM_SO_MOI'!$C$22)^3)</f>
        <v>40.51024931065723</v>
      </c>
      <c r="K116" s="75">
        <f>'THAM_SO_MOI'!$C$31*J116/E116</f>
        <v>369.3721970549541</v>
      </c>
      <c r="L116" s="75">
        <f>K116*'THAM_SO_MOI'!$C$49*'THAM_SO_MOI'!$C$17/'THAM_SO_MOI'!$C$26</f>
        <v>21056.071487839316</v>
      </c>
      <c r="M116" s="75">
        <f>'THAM_SO_MOI'!$C$15*'THAM_SO_MOI'!$C$16*F116^2</f>
        <v>7.825331304248532</v>
      </c>
      <c r="N116" s="75">
        <f>'THAM_SO_MOI'!$C$12*I116</f>
        <v>1130.112</v>
      </c>
      <c r="O116" s="75">
        <f>M116+N116</f>
        <v>1137.9373313042486</v>
      </c>
      <c r="P116" s="75">
        <f>(MIN(L116,'THAM_SO_MOI'!$C$41)-O116)/('THAM_SO_MOI'!$C$11*H116)</f>
        <v>0.8200812811485122</v>
      </c>
      <c r="Q116" s="75">
        <f>IF(P116&gt;0,1/P116,NA())</f>
        <v>1.2193913249666108</v>
      </c>
      <c r="R116" s="75">
        <f>F116-F115</f>
        <v>0.0035133136094673834</v>
      </c>
      <c r="S116" s="75">
        <f>0.5*(Q115+Q116)*R116</f>
        <v>0.004285600726290437</v>
      </c>
      <c r="T116" s="75">
        <f>0.5*(F115*Q115+F116*Q116)*R116</f>
        <v>0.007002180452817282</v>
      </c>
      <c r="U116" s="76">
        <f>U115+S116</f>
        <v>0.49182807842818627</v>
      </c>
      <c r="V116" s="76">
        <f>V115+T116</f>
        <v>0.7080069700906179</v>
      </c>
    </row>
    <row r="117" spans="1:22" ht="19" customHeight="1">
      <c r="A117" s="68" t="s">
        <v>368</v>
      </c>
      <c r="B117" s="74">
        <v>1</v>
      </c>
      <c r="C117" s="68" t="s">
        <v>363</v>
      </c>
      <c r="D117" s="68" t="s">
        <v>364</v>
      </c>
      <c r="E117" s="75">
        <f>60*F117*'THAM_SO_MOI'!$C$49/(2*PI()*'THAM_SO_MOI'!$C$26)</f>
        <v>1049.7499999999998</v>
      </c>
      <c r="F117" s="75">
        <f>'THAM_SO_MOI'!$E$49+('THAM_SO_MOI'!$F$49-'THAM_SO_MOI'!$E$49)*111/'THAM_SO_MOI'!$C$42</f>
        <v>1.639155982905983</v>
      </c>
      <c r="G117" s="75">
        <f>3.6*F117</f>
        <v>5.900961538461539</v>
      </c>
      <c r="H117" s="75">
        <f>'THAM_SO_MOI'!$D$49</f>
        <v>3.1625000000000005</v>
      </c>
      <c r="I117" s="75">
        <f>IF(F117&gt;'THAM_SO_MOI'!$C$14,'THAM_SO_MOI'!$C$13*(1+F117^2/1500),'THAM_SO_MOI'!$C$13)</f>
        <v>0.015</v>
      </c>
      <c r="J117" s="75">
        <f>'THAM_SO_MOI'!$C$40*('THAM_SO_MOI'!$C$23*(E117/'THAM_SO_MOI'!$C$22)+'THAM_SO_MOI'!$C$24*(E117/'THAM_SO_MOI'!$C$22)^2-'THAM_SO_MOI'!$C$25*(E117/'THAM_SO_MOI'!$C$22)^3)</f>
        <v>40.624087430048284</v>
      </c>
      <c r="K117" s="75">
        <f>'THAM_SO_MOI'!$C$31*J117/E117</f>
        <v>369.61624719442045</v>
      </c>
      <c r="L117" s="75">
        <f>K117*'THAM_SO_MOI'!$C$49*'THAM_SO_MOI'!$C$17/'THAM_SO_MOI'!$C$26</f>
        <v>21069.983572246838</v>
      </c>
      <c r="M117" s="75">
        <f>'THAM_SO_MOI'!$C$15*'THAM_SO_MOI'!$C$16*F117^2</f>
        <v>7.858984583667202</v>
      </c>
      <c r="N117" s="75">
        <f>'THAM_SO_MOI'!$C$12*I117</f>
        <v>1130.112</v>
      </c>
      <c r="O117" s="75">
        <f>M117+N117</f>
        <v>1137.9709845836674</v>
      </c>
      <c r="P117" s="75">
        <f>(MIN(L117,'THAM_SO_MOI'!$C$41)-O117)/('THAM_SO_MOI'!$C$11*H117)</f>
        <v>0.8206526921798075</v>
      </c>
      <c r="Q117" s="75">
        <f>IF(P117&gt;0,1/P117,NA())</f>
        <v>1.2185422768111713</v>
      </c>
      <c r="R117" s="75">
        <f>F117-F116</f>
        <v>0.0035133136094676054</v>
      </c>
      <c r="S117" s="75">
        <f>0.5*(Q116+Q117)*R117</f>
        <v>0.0042826126510521305</v>
      </c>
      <c r="T117" s="75">
        <f>0.5*(F116*Q116+F117*Q117)*R117</f>
        <v>0.007012344448756024</v>
      </c>
      <c r="U117" s="76">
        <f>U116+S117</f>
        <v>0.4961106910792384</v>
      </c>
      <c r="V117" s="76">
        <f>V116+T117</f>
        <v>0.7150193145393738</v>
      </c>
    </row>
    <row r="118" spans="1:22" ht="19" customHeight="1">
      <c r="A118" s="68" t="s">
        <v>368</v>
      </c>
      <c r="B118" s="74">
        <v>1</v>
      </c>
      <c r="C118" s="68" t="s">
        <v>363</v>
      </c>
      <c r="D118" s="68" t="s">
        <v>364</v>
      </c>
      <c r="E118" s="75">
        <f>60*F118*'THAM_SO_MOI'!$C$49/(2*PI()*'THAM_SO_MOI'!$C$26)</f>
        <v>1052.0000000000002</v>
      </c>
      <c r="F118" s="75">
        <f>'THAM_SO_MOI'!$E$49+('THAM_SO_MOI'!$F$49-'THAM_SO_MOI'!$E$49)*112/'THAM_SO_MOI'!$C$42</f>
        <v>1.6426692965154506</v>
      </c>
      <c r="G118" s="75">
        <f>3.6*F118</f>
        <v>5.913609467455622</v>
      </c>
      <c r="H118" s="75">
        <f>'THAM_SO_MOI'!$D$49</f>
        <v>3.1625000000000005</v>
      </c>
      <c r="I118" s="75">
        <f>IF(F118&gt;'THAM_SO_MOI'!$C$14,'THAM_SO_MOI'!$C$13*(1+F118^2/1500),'THAM_SO_MOI'!$C$13)</f>
        <v>0.015</v>
      </c>
      <c r="J118" s="75">
        <f>'THAM_SO_MOI'!$C$40*('THAM_SO_MOI'!$C$23*(E118/'THAM_SO_MOI'!$C$22)+'THAM_SO_MOI'!$C$24*(E118/'THAM_SO_MOI'!$C$22)^2-'THAM_SO_MOI'!$C$25*(E118/'THAM_SO_MOI'!$C$22)^3)</f>
        <v>40.73798643755577</v>
      </c>
      <c r="K118" s="75">
        <f>'THAM_SO_MOI'!$C$31*J118/E118</f>
        <v>369.85980619582807</v>
      </c>
      <c r="L118" s="75">
        <f>K118*'THAM_SO_MOI'!$C$49*'THAM_SO_MOI'!$C$17/'THAM_SO_MOI'!$C$26</f>
        <v>21083.86765931683</v>
      </c>
      <c r="M118" s="75">
        <f>'THAM_SO_MOI'!$C$15*'THAM_SO_MOI'!$C$16*F118^2</f>
        <v>7.892710071815104</v>
      </c>
      <c r="N118" s="75">
        <f>'THAM_SO_MOI'!$C$12*I118</f>
        <v>1130.112</v>
      </c>
      <c r="O118" s="75">
        <f>M118+N118</f>
        <v>1138.0047100718152</v>
      </c>
      <c r="P118" s="75">
        <f>(MIN(L118,'THAM_SO_MOI'!$C$41)-O118)/('THAM_SO_MOI'!$C$11*H118)</f>
        <v>0.8212229475150286</v>
      </c>
      <c r="Q118" s="75">
        <f>IF(P118&gt;0,1/P118,NA())</f>
        <v>1.217696123843032</v>
      </c>
      <c r="R118" s="75">
        <f>F118-F117</f>
        <v>0.0035133136094676054</v>
      </c>
      <c r="S118" s="75">
        <f>0.5*(Q117+Q118)*R118</f>
        <v>0.004279634764463003</v>
      </c>
      <c r="T118" s="75">
        <f>0.5*(F117*Q117+F118*Q118)*R118</f>
        <v>0.007022504167257414</v>
      </c>
      <c r="U118" s="76">
        <f>U117+S118</f>
        <v>0.5003903258437014</v>
      </c>
      <c r="V118" s="76">
        <f>V117+T118</f>
        <v>0.7220418187066312</v>
      </c>
    </row>
    <row r="119" spans="1:22" ht="19" customHeight="1">
      <c r="A119" s="68" t="s">
        <v>368</v>
      </c>
      <c r="B119" s="74">
        <v>1</v>
      </c>
      <c r="C119" s="68" t="s">
        <v>363</v>
      </c>
      <c r="D119" s="68" t="s">
        <v>364</v>
      </c>
      <c r="E119" s="75">
        <f>60*F119*'THAM_SO_MOI'!$C$49/(2*PI()*'THAM_SO_MOI'!$C$26)</f>
        <v>1054.25</v>
      </c>
      <c r="F119" s="75">
        <f>'THAM_SO_MOI'!$E$49+('THAM_SO_MOI'!$F$49-'THAM_SO_MOI'!$E$49)*113/'THAM_SO_MOI'!$C$42</f>
        <v>1.646182610124918</v>
      </c>
      <c r="G119" s="75">
        <f>3.6*F119</f>
        <v>5.926257396449705</v>
      </c>
      <c r="H119" s="75">
        <f>'THAM_SO_MOI'!$D$49</f>
        <v>3.1625000000000005</v>
      </c>
      <c r="I119" s="75">
        <f>IF(F119&gt;'THAM_SO_MOI'!$C$14,'THAM_SO_MOI'!$C$13*(1+F119^2/1500),'THAM_SO_MOI'!$C$13)</f>
        <v>0.015</v>
      </c>
      <c r="J119" s="75">
        <f>'THAM_SO_MOI'!$C$40*('THAM_SO_MOI'!$C$23*(E119/'THAM_SO_MOI'!$C$22)+'THAM_SO_MOI'!$C$24*(E119/'THAM_SO_MOI'!$C$22)^2-'THAM_SO_MOI'!$C$25*(E119/'THAM_SO_MOI'!$C$22)^3)</f>
        <v>40.85194598608008</v>
      </c>
      <c r="K119" s="75">
        <f>'THAM_SO_MOI'!$C$31*J119/E119</f>
        <v>370.1028740591768</v>
      </c>
      <c r="L119" s="75">
        <f>K119*'THAM_SO_MOI'!$C$49*'THAM_SO_MOI'!$C$17/'THAM_SO_MOI'!$C$26</f>
        <v>21097.723749049284</v>
      </c>
      <c r="M119" s="75">
        <f>'THAM_SO_MOI'!$C$15*'THAM_SO_MOI'!$C$16*F119^2</f>
        <v>7.926507768692237</v>
      </c>
      <c r="N119" s="75">
        <f>'THAM_SO_MOI'!$C$12*I119</f>
        <v>1130.112</v>
      </c>
      <c r="O119" s="75">
        <f>M119+N119</f>
        <v>1138.0385077686924</v>
      </c>
      <c r="P119" s="75">
        <f>(MIN(L119,'THAM_SO_MOI'!$C$41)-O119)/('THAM_SO_MOI'!$C$11*H119)</f>
        <v>0.8217920471541745</v>
      </c>
      <c r="Q119" s="75">
        <f>IF(P119&gt;0,1/P119,NA())</f>
        <v>1.216852856465271</v>
      </c>
      <c r="R119" s="75">
        <f>F119-F118</f>
        <v>0.0035133136094673834</v>
      </c>
      <c r="S119" s="75">
        <f>0.5*(Q118+Q119)*R119</f>
        <v>0.004276667032716051</v>
      </c>
      <c r="T119" s="75">
        <f>0.5*(F118*Q118+F119*Q119)*R119</f>
        <v>0.007032659660116252</v>
      </c>
      <c r="U119" s="76">
        <f>U118+S119</f>
        <v>0.5046669928764174</v>
      </c>
      <c r="V119" s="76">
        <f>V118+T119</f>
        <v>0.7290744783667474</v>
      </c>
    </row>
    <row r="120" spans="1:22" ht="19" customHeight="1">
      <c r="A120" s="68" t="s">
        <v>368</v>
      </c>
      <c r="B120" s="74">
        <v>1</v>
      </c>
      <c r="C120" s="68" t="s">
        <v>363</v>
      </c>
      <c r="D120" s="68" t="s">
        <v>364</v>
      </c>
      <c r="E120" s="75">
        <f>60*F120*'THAM_SO_MOI'!$C$49/(2*PI()*'THAM_SO_MOI'!$C$26)</f>
        <v>1056.5</v>
      </c>
      <c r="F120" s="75">
        <f>'THAM_SO_MOI'!$E$49+('THAM_SO_MOI'!$F$49-'THAM_SO_MOI'!$E$49)*114/'THAM_SO_MOI'!$C$42</f>
        <v>1.6496959237343853</v>
      </c>
      <c r="G120" s="75">
        <f>3.6*F120</f>
        <v>5.938905325443788</v>
      </c>
      <c r="H120" s="75">
        <f>'THAM_SO_MOI'!$D$49</f>
        <v>3.1625000000000005</v>
      </c>
      <c r="I120" s="75">
        <f>IF(F120&gt;'THAM_SO_MOI'!$C$14,'THAM_SO_MOI'!$C$13*(1+F120^2/1500),'THAM_SO_MOI'!$C$13)</f>
        <v>0.015</v>
      </c>
      <c r="J120" s="75">
        <f>'THAM_SO_MOI'!$C$40*('THAM_SO_MOI'!$C$23*(E120/'THAM_SO_MOI'!$C$22)+'THAM_SO_MOI'!$C$24*(E120/'THAM_SO_MOI'!$C$22)^2-'THAM_SO_MOI'!$C$25*(E120/'THAM_SO_MOI'!$C$22)^3)</f>
        <v>40.965965728521724</v>
      </c>
      <c r="K120" s="75">
        <f>'THAM_SO_MOI'!$C$31*J120/E120</f>
        <v>370.34545078446683</v>
      </c>
      <c r="L120" s="75">
        <f>K120*'THAM_SO_MOI'!$C$49*'THAM_SO_MOI'!$C$17/'THAM_SO_MOI'!$C$26</f>
        <v>21111.551841444212</v>
      </c>
      <c r="M120" s="75">
        <f>'THAM_SO_MOI'!$C$15*'THAM_SO_MOI'!$C$16*F120^2</f>
        <v>7.960377674298602</v>
      </c>
      <c r="N120" s="75">
        <f>'THAM_SO_MOI'!$C$12*I120</f>
        <v>1130.112</v>
      </c>
      <c r="O120" s="75">
        <f>M120+N120</f>
        <v>1138.0723776742987</v>
      </c>
      <c r="P120" s="75">
        <f>(MIN(L120,'THAM_SO_MOI'!$C$41)-O120)/('THAM_SO_MOI'!$C$11*H120)</f>
        <v>0.8223599910972459</v>
      </c>
      <c r="Q120" s="75">
        <f>IF(P120&gt;0,1/P120,NA())</f>
        <v>1.2160124651318887</v>
      </c>
      <c r="R120" s="75">
        <f>F120-F119</f>
        <v>0.0035133136094673834</v>
      </c>
      <c r="S120" s="75">
        <f>0.5*(Q119+Q120)*R120</f>
        <v>0.004273709422184272</v>
      </c>
      <c r="T120" s="75">
        <f>0.5*(F119*Q119+F120*Q120)*R120</f>
        <v>0.007042810978948872</v>
      </c>
      <c r="U120" s="76">
        <f>U119+S120</f>
        <v>0.5089407022986017</v>
      </c>
      <c r="V120" s="76">
        <f>V119+T120</f>
        <v>0.7361172893456963</v>
      </c>
    </row>
    <row r="121" spans="1:22" ht="19" customHeight="1">
      <c r="A121" s="68" t="s">
        <v>368</v>
      </c>
      <c r="B121" s="74">
        <v>1</v>
      </c>
      <c r="C121" s="68" t="s">
        <v>363</v>
      </c>
      <c r="D121" s="68" t="s">
        <v>364</v>
      </c>
      <c r="E121" s="75">
        <f>60*F121*'THAM_SO_MOI'!$C$49/(2*PI()*'THAM_SO_MOI'!$C$26)</f>
        <v>1058.7499999999998</v>
      </c>
      <c r="F121" s="75">
        <f>'THAM_SO_MOI'!$E$49+('THAM_SO_MOI'!$F$49-'THAM_SO_MOI'!$E$49)*115/'THAM_SO_MOI'!$C$42</f>
        <v>1.6532092373438527</v>
      </c>
      <c r="G121" s="75">
        <f>3.6*F121</f>
        <v>5.9515532544378695</v>
      </c>
      <c r="H121" s="75">
        <f>'THAM_SO_MOI'!$D$49</f>
        <v>3.1625000000000005</v>
      </c>
      <c r="I121" s="75">
        <f>IF(F121&gt;'THAM_SO_MOI'!$C$14,'THAM_SO_MOI'!$C$13*(1+F121^2/1500),'THAM_SO_MOI'!$C$13)</f>
        <v>0.015</v>
      </c>
      <c r="J121" s="75">
        <f>'THAM_SO_MOI'!$C$40*('THAM_SO_MOI'!$C$23*(E121/'THAM_SO_MOI'!$C$22)+'THAM_SO_MOI'!$C$24*(E121/'THAM_SO_MOI'!$C$22)^2-'THAM_SO_MOI'!$C$25*(E121/'THAM_SO_MOI'!$C$22)^3)</f>
        <v>41.08004531778114</v>
      </c>
      <c r="K121" s="75">
        <f>'THAM_SO_MOI'!$C$31*J121/E121</f>
        <v>370.58753637169815</v>
      </c>
      <c r="L121" s="75">
        <f>K121*'THAM_SO_MOI'!$C$49*'THAM_SO_MOI'!$C$17/'THAM_SO_MOI'!$C$26</f>
        <v>21125.351936501607</v>
      </c>
      <c r="M121" s="75">
        <f>'THAM_SO_MOI'!$C$15*'THAM_SO_MOI'!$C$16*F121^2</f>
        <v>7.994319788634202</v>
      </c>
      <c r="N121" s="75">
        <f>'THAM_SO_MOI'!$C$12*I121</f>
        <v>1130.112</v>
      </c>
      <c r="O121" s="75">
        <f>M121+N121</f>
        <v>1138.1063197886342</v>
      </c>
      <c r="P121" s="75">
        <f>(MIN(L121,'THAM_SO_MOI'!$C$41)-O121)/('THAM_SO_MOI'!$C$11*H121)</f>
        <v>0.8229267793442427</v>
      </c>
      <c r="Q121" s="75">
        <f>IF(P121&gt;0,1/P121,NA())</f>
        <v>1.2151749403474994</v>
      </c>
      <c r="R121" s="75">
        <f>F121-F120</f>
        <v>0.0035133136094673834</v>
      </c>
      <c r="S121" s="75">
        <f>0.5*(Q120+Q121)*R121</f>
        <v>0.004270761899418217</v>
      </c>
      <c r="T121" s="75">
        <f>0.5*(F120*Q120+F121*Q121)*R121</f>
        <v>0.00705295817519226</v>
      </c>
      <c r="U121" s="76">
        <f>U120+S121</f>
        <v>0.5132114641980199</v>
      </c>
      <c r="V121" s="76">
        <f>V120+T121</f>
        <v>0.7431702475208886</v>
      </c>
    </row>
    <row r="122" spans="1:22" ht="19" customHeight="1">
      <c r="A122" s="68" t="s">
        <v>368</v>
      </c>
      <c r="B122" s="74">
        <v>1</v>
      </c>
      <c r="C122" s="68" t="s">
        <v>363</v>
      </c>
      <c r="D122" s="68" t="s">
        <v>364</v>
      </c>
      <c r="E122" s="75">
        <f>60*F122*'THAM_SO_MOI'!$C$49/(2*PI()*'THAM_SO_MOI'!$C$26)</f>
        <v>1061.0</v>
      </c>
      <c r="F122" s="75">
        <f>'THAM_SO_MOI'!$E$49+('THAM_SO_MOI'!$F$49-'THAM_SO_MOI'!$E$49)*116/'THAM_SO_MOI'!$C$42</f>
        <v>1.65672255095332</v>
      </c>
      <c r="G122" s="75">
        <f>3.6*F122</f>
        <v>5.964201183431952</v>
      </c>
      <c r="H122" s="75">
        <f>'THAM_SO_MOI'!$D$49</f>
        <v>3.1625000000000005</v>
      </c>
      <c r="I122" s="75">
        <f>IF(F122&gt;'THAM_SO_MOI'!$C$14,'THAM_SO_MOI'!$C$13*(1+F122^2/1500),'THAM_SO_MOI'!$C$13)</f>
        <v>0.015</v>
      </c>
      <c r="J122" s="75">
        <f>'THAM_SO_MOI'!$C$40*('THAM_SO_MOI'!$C$23*(E122/'THAM_SO_MOI'!$C$22)+'THAM_SO_MOI'!$C$24*(E122/'THAM_SO_MOI'!$C$22)^2-'THAM_SO_MOI'!$C$25*(E122/'THAM_SO_MOI'!$C$22)^3)</f>
        <v>41.19418440675881</v>
      </c>
      <c r="K122" s="75">
        <f>'THAM_SO_MOI'!$C$31*J122/E122</f>
        <v>370.82913082087066</v>
      </c>
      <c r="L122" s="75">
        <f>K122*'THAM_SO_MOI'!$C$49*'THAM_SO_MOI'!$C$17/'THAM_SO_MOI'!$C$26</f>
        <v>21139.124034221473</v>
      </c>
      <c r="M122" s="75">
        <f>'THAM_SO_MOI'!$C$15*'THAM_SO_MOI'!$C$16*F122^2</f>
        <v>8.028334111699035</v>
      </c>
      <c r="N122" s="75">
        <f>'THAM_SO_MOI'!$C$12*I122</f>
        <v>1130.112</v>
      </c>
      <c r="O122" s="75">
        <f>M122+N122</f>
        <v>1138.140334111699</v>
      </c>
      <c r="P122" s="75">
        <f>(MIN(L122,'THAM_SO_MOI'!$C$41)-O122)/('THAM_SO_MOI'!$C$11*H122)</f>
        <v>0.8234924118951651</v>
      </c>
      <c r="Q122" s="75">
        <f>IF(P122&gt;0,1/P122,NA())</f>
        <v>1.214340272667024</v>
      </c>
      <c r="R122" s="75">
        <f>F122-F121</f>
        <v>0.0035133136094673834</v>
      </c>
      <c r="S122" s="75">
        <f>0.5*(Q121+Q122)*R122</f>
        <v>0.004267824431145988</v>
      </c>
      <c r="T122" s="75">
        <f>0.5*(F121*Q121+F122*Q122)*R122</f>
        <v>0.007063101300107173</v>
      </c>
      <c r="U122" s="76">
        <f>U121+S122</f>
        <v>0.5174792886291659</v>
      </c>
      <c r="V122" s="76">
        <f>V121+T122</f>
        <v>0.7502333488209957</v>
      </c>
    </row>
    <row r="123" spans="1:22" ht="19" customHeight="1">
      <c r="A123" s="68" t="s">
        <v>368</v>
      </c>
      <c r="B123" s="74">
        <v>1</v>
      </c>
      <c r="C123" s="68" t="s">
        <v>363</v>
      </c>
      <c r="D123" s="68" t="s">
        <v>364</v>
      </c>
      <c r="E123" s="75">
        <f>60*F123*'THAM_SO_MOI'!$C$49/(2*PI()*'THAM_SO_MOI'!$C$26)</f>
        <v>1063.25</v>
      </c>
      <c r="F123" s="75">
        <f>'THAM_SO_MOI'!$E$49+('THAM_SO_MOI'!$F$49-'THAM_SO_MOI'!$E$49)*117/'THAM_SO_MOI'!$C$42</f>
        <v>1.6602358645627877</v>
      </c>
      <c r="G123" s="75">
        <f>3.6*F123</f>
        <v>5.976849112426036</v>
      </c>
      <c r="H123" s="75">
        <f>'THAM_SO_MOI'!$D$49</f>
        <v>3.1625000000000005</v>
      </c>
      <c r="I123" s="75">
        <f>IF(F123&gt;'THAM_SO_MOI'!$C$14,'THAM_SO_MOI'!$C$13*(1+F123^2/1500),'THAM_SO_MOI'!$C$13)</f>
        <v>0.015</v>
      </c>
      <c r="J123" s="75">
        <f>'THAM_SO_MOI'!$C$40*('THAM_SO_MOI'!$C$23*(E123/'THAM_SO_MOI'!$C$22)+'THAM_SO_MOI'!$C$24*(E123/'THAM_SO_MOI'!$C$22)^2-'THAM_SO_MOI'!$C$25*(E123/'THAM_SO_MOI'!$C$22)^3)</f>
        <v>41.308382648355135</v>
      </c>
      <c r="K123" s="75">
        <f>'THAM_SO_MOI'!$C$31*J123/E123</f>
        <v>371.07023413198425</v>
      </c>
      <c r="L123" s="75">
        <f>K123*'THAM_SO_MOI'!$C$49*'THAM_SO_MOI'!$C$17/'THAM_SO_MOI'!$C$26</f>
        <v>21152.868134603792</v>
      </c>
      <c r="M123" s="75">
        <f>'THAM_SO_MOI'!$C$15*'THAM_SO_MOI'!$C$16*F123^2</f>
        <v>8.062420643493102</v>
      </c>
      <c r="N123" s="75">
        <f>'THAM_SO_MOI'!$C$12*I123</f>
        <v>1130.112</v>
      </c>
      <c r="O123" s="75">
        <f>M123+N123</f>
        <v>1138.1744206434932</v>
      </c>
      <c r="P123" s="75">
        <f>(MIN(L123,'THAM_SO_MOI'!$C$41)-O123)/('THAM_SO_MOI'!$C$11*H123)</f>
        <v>0.8240568887500123</v>
      </c>
      <c r="Q123" s="75">
        <f>IF(P123&gt;0,1/P123,NA())</f>
        <v>1.2135084526953845</v>
      </c>
      <c r="R123" s="75">
        <f>F123-F122</f>
        <v>0.0035133136094676054</v>
      </c>
      <c r="S123" s="75">
        <f>0.5*(Q122+Q123)*R123</f>
        <v>0.0042648969842721636</v>
      </c>
      <c r="T123" s="75">
        <f>0.5*(F122*Q122+F123*Q123)*R123</f>
        <v>0.0070732404047794675</v>
      </c>
      <c r="U123" s="76">
        <f>U122+S123</f>
        <v>0.521744185613438</v>
      </c>
      <c r="V123" s="76">
        <f>V122+T123</f>
        <v>0.7573065892257751</v>
      </c>
    </row>
    <row r="124" spans="1:22" ht="19" customHeight="1">
      <c r="A124" s="68" t="s">
        <v>368</v>
      </c>
      <c r="B124" s="74">
        <v>1</v>
      </c>
      <c r="C124" s="68" t="s">
        <v>363</v>
      </c>
      <c r="D124" s="68" t="s">
        <v>364</v>
      </c>
      <c r="E124" s="75">
        <f>60*F124*'THAM_SO_MOI'!$C$49/(2*PI()*'THAM_SO_MOI'!$C$26)</f>
        <v>1065.5</v>
      </c>
      <c r="F124" s="75">
        <f>'THAM_SO_MOI'!$E$49+('THAM_SO_MOI'!$F$49-'THAM_SO_MOI'!$E$49)*118/'THAM_SO_MOI'!$C$42</f>
        <v>1.6637491781722553</v>
      </c>
      <c r="G124" s="75">
        <f>3.6*F124</f>
        <v>5.989497041420119</v>
      </c>
      <c r="H124" s="75">
        <f>'THAM_SO_MOI'!$D$49</f>
        <v>3.1625000000000005</v>
      </c>
      <c r="I124" s="75">
        <f>IF(F124&gt;'THAM_SO_MOI'!$C$14,'THAM_SO_MOI'!$C$13*(1+F124^2/1500),'THAM_SO_MOI'!$C$13)</f>
        <v>0.015</v>
      </c>
      <c r="J124" s="75">
        <f>'THAM_SO_MOI'!$C$40*('THAM_SO_MOI'!$C$23*(E124/'THAM_SO_MOI'!$C$22)+'THAM_SO_MOI'!$C$24*(E124/'THAM_SO_MOI'!$C$22)^2-'THAM_SO_MOI'!$C$25*(E124/'THAM_SO_MOI'!$C$22)^3)</f>
        <v>41.422639695470615</v>
      </c>
      <c r="K124" s="75">
        <f>'THAM_SO_MOI'!$C$31*J124/E124</f>
        <v>371.3108463050392</v>
      </c>
      <c r="L124" s="75">
        <f>K124*'THAM_SO_MOI'!$C$49*'THAM_SO_MOI'!$C$17/'THAM_SO_MOI'!$C$26</f>
        <v>21166.584237648593</v>
      </c>
      <c r="M124" s="75">
        <f>'THAM_SO_MOI'!$C$15*'THAM_SO_MOI'!$C$16*F124^2</f>
        <v>8.096579384016401</v>
      </c>
      <c r="N124" s="75">
        <f>'THAM_SO_MOI'!$C$12*I124</f>
        <v>1130.112</v>
      </c>
      <c r="O124" s="75">
        <f>M124+N124</f>
        <v>1138.2085793840165</v>
      </c>
      <c r="P124" s="75">
        <f>(MIN(L124,'THAM_SO_MOI'!$C$41)-O124)/('THAM_SO_MOI'!$C$11*H124)</f>
        <v>0.8246202099087852</v>
      </c>
      <c r="Q124" s="75">
        <f>IF(P124&gt;0,1/P124,NA())</f>
        <v>1.2126794710871982</v>
      </c>
      <c r="R124" s="75">
        <f>F124-F123</f>
        <v>0.0035133136094676054</v>
      </c>
      <c r="S124" s="75">
        <f>0.5*(Q123+Q124)*R124</f>
        <v>0.00426197952587565</v>
      </c>
      <c r="T124" s="75">
        <f>0.5*(F123*Q123+F124*Q124)*R124</f>
        <v>0.007083375540119627</v>
      </c>
      <c r="U124" s="76">
        <f>U123+S124</f>
        <v>0.5260061651393138</v>
      </c>
      <c r="V124" s="76">
        <f>V123+T124</f>
        <v>0.7643899647658947</v>
      </c>
    </row>
    <row r="125" spans="1:22" ht="19" customHeight="1">
      <c r="A125" s="68" t="s">
        <v>368</v>
      </c>
      <c r="B125" s="74">
        <v>1</v>
      </c>
      <c r="C125" s="68" t="s">
        <v>363</v>
      </c>
      <c r="D125" s="68" t="s">
        <v>364</v>
      </c>
      <c r="E125" s="75">
        <f>60*F125*'THAM_SO_MOI'!$C$49/(2*PI()*'THAM_SO_MOI'!$C$26)</f>
        <v>1067.7499999999998</v>
      </c>
      <c r="F125" s="75">
        <f>'THAM_SO_MOI'!$E$49+('THAM_SO_MOI'!$F$49-'THAM_SO_MOI'!$E$49)*119/'THAM_SO_MOI'!$C$42</f>
        <v>1.6672624917817227</v>
      </c>
      <c r="G125" s="75">
        <f>3.6*F125</f>
        <v>6.002144970414202</v>
      </c>
      <c r="H125" s="75">
        <f>'THAM_SO_MOI'!$D$49</f>
        <v>3.1625000000000005</v>
      </c>
      <c r="I125" s="75">
        <f>IF(F125&gt;'THAM_SO_MOI'!$C$14,'THAM_SO_MOI'!$C$13*(1+F125^2/1500),'THAM_SO_MOI'!$C$13)</f>
        <v>0.015</v>
      </c>
      <c r="J125" s="75">
        <f>'THAM_SO_MOI'!$C$40*('THAM_SO_MOI'!$C$23*(E125/'THAM_SO_MOI'!$C$22)+'THAM_SO_MOI'!$C$24*(E125/'THAM_SO_MOI'!$C$22)^2-'THAM_SO_MOI'!$C$25*(E125/'THAM_SO_MOI'!$C$22)^3)</f>
        <v>41.53695520100567</v>
      </c>
      <c r="K125" s="75">
        <f>'THAM_SO_MOI'!$C$31*J125/E125</f>
        <v>371.5509673400353</v>
      </c>
      <c r="L125" s="75">
        <f>K125*'THAM_SO_MOI'!$C$49*'THAM_SO_MOI'!$C$17/'THAM_SO_MOI'!$C$26</f>
        <v>21180.272343355853</v>
      </c>
      <c r="M125" s="75">
        <f>'THAM_SO_MOI'!$C$15*'THAM_SO_MOI'!$C$16*F125^2</f>
        <v>8.130810333268933</v>
      </c>
      <c r="N125" s="75">
        <f>'THAM_SO_MOI'!$C$12*I125</f>
        <v>1130.112</v>
      </c>
      <c r="O125" s="75">
        <f>M125+N125</f>
        <v>1138.242810333269</v>
      </c>
      <c r="P125" s="75">
        <f>(MIN(L125,'THAM_SO_MOI'!$C$41)-O125)/('THAM_SO_MOI'!$C$11*H125)</f>
        <v>0.825182375371483</v>
      </c>
      <c r="Q125" s="75">
        <f>IF(P125&gt;0,1/P125,NA())</f>
        <v>1.2118533185464815</v>
      </c>
      <c r="R125" s="75">
        <f>F125-F124</f>
        <v>0.0035133136094673834</v>
      </c>
      <c r="S125" s="75">
        <f>0.5*(Q124+Q125)*R125</f>
        <v>0.0042590720232099635</v>
      </c>
      <c r="T125" s="75">
        <f>0.5*(F124*Q124+F125*Q125)*R125</f>
        <v>0.0070935067568663026</v>
      </c>
      <c r="U125" s="76">
        <f>U124+S125</f>
        <v>0.5302652371625237</v>
      </c>
      <c r="V125" s="76">
        <f>V124+T125</f>
        <v>0.771483471522761</v>
      </c>
    </row>
    <row r="126" spans="1:22" ht="19" customHeight="1">
      <c r="A126" s="68" t="s">
        <v>368</v>
      </c>
      <c r="B126" s="74">
        <v>1</v>
      </c>
      <c r="C126" s="68" t="s">
        <v>363</v>
      </c>
      <c r="D126" s="68" t="s">
        <v>364</v>
      </c>
      <c r="E126" s="75">
        <f>60*F126*'THAM_SO_MOI'!$C$49/(2*PI()*'THAM_SO_MOI'!$C$26)</f>
        <v>1070.0</v>
      </c>
      <c r="F126" s="75">
        <f>'THAM_SO_MOI'!$E$49+('THAM_SO_MOI'!$F$49-'THAM_SO_MOI'!$E$49)*120/'THAM_SO_MOI'!$C$42</f>
        <v>1.67077580539119</v>
      </c>
      <c r="G126" s="75">
        <f>3.6*F126</f>
        <v>6.014792899408285</v>
      </c>
      <c r="H126" s="75">
        <f>'THAM_SO_MOI'!$D$49</f>
        <v>3.1625000000000005</v>
      </c>
      <c r="I126" s="75">
        <f>IF(F126&gt;'THAM_SO_MOI'!$C$14,'THAM_SO_MOI'!$C$13*(1+F126^2/1500),'THAM_SO_MOI'!$C$13)</f>
        <v>0.015</v>
      </c>
      <c r="J126" s="75">
        <f>'THAM_SO_MOI'!$C$40*('THAM_SO_MOI'!$C$23*(E126/'THAM_SO_MOI'!$C$22)+'THAM_SO_MOI'!$C$24*(E126/'THAM_SO_MOI'!$C$22)^2-'THAM_SO_MOI'!$C$25*(E126/'THAM_SO_MOI'!$C$22)^3)</f>
        <v>41.651328817860815</v>
      </c>
      <c r="K126" s="75">
        <f>'THAM_SO_MOI'!$C$31*J126/E126</f>
        <v>371.79059723697276</v>
      </c>
      <c r="L126" s="75">
        <f>K126*'THAM_SO_MOI'!$C$49*'THAM_SO_MOI'!$C$17/'THAM_SO_MOI'!$C$26</f>
        <v>21193.93245172559</v>
      </c>
      <c r="M126" s="75">
        <f>'THAM_SO_MOI'!$C$15*'THAM_SO_MOI'!$C$16*F126^2</f>
        <v>8.165113491250697</v>
      </c>
      <c r="N126" s="75">
        <f>'THAM_SO_MOI'!$C$12*I126</f>
        <v>1130.112</v>
      </c>
      <c r="O126" s="75">
        <f>M126+N126</f>
        <v>1138.2771134912507</v>
      </c>
      <c r="P126" s="75">
        <f>(MIN(L126,'THAM_SO_MOI'!$C$41)-O126)/('THAM_SO_MOI'!$C$11*H126)</f>
        <v>0.8257433851381067</v>
      </c>
      <c r="Q126" s="75">
        <f>IF(P126&gt;0,1/P126,NA())</f>
        <v>1.2110299858263456</v>
      </c>
      <c r="R126" s="75">
        <f>F126-F125</f>
        <v>0.0035133136094673834</v>
      </c>
      <c r="S126" s="75">
        <f>0.5*(Q125+Q126)*R126</f>
        <v>0.004256174443702179</v>
      </c>
      <c r="T126" s="75">
        <f>0.5*(F125*Q125+F126*Q126)*R126</f>
        <v>0.007103634105587627</v>
      </c>
      <c r="U126" s="76">
        <f>U125+S126</f>
        <v>0.5345214116062259</v>
      </c>
      <c r="V126" s="76">
        <f>V125+T126</f>
        <v>0.7785871056283487</v>
      </c>
    </row>
    <row r="127" spans="1:22" ht="19" customHeight="1">
      <c r="A127" s="68" t="s">
        <v>368</v>
      </c>
      <c r="B127" s="74">
        <v>1</v>
      </c>
      <c r="C127" s="68" t="s">
        <v>363</v>
      </c>
      <c r="D127" s="68" t="s">
        <v>364</v>
      </c>
      <c r="E127" s="75">
        <f>60*F127*'THAM_SO_MOI'!$C$49/(2*PI()*'THAM_SO_MOI'!$C$26)</f>
        <v>1072.2499999999998</v>
      </c>
      <c r="F127" s="75">
        <f>'THAM_SO_MOI'!$E$49+('THAM_SO_MOI'!$F$49-'THAM_SO_MOI'!$E$49)*121/'THAM_SO_MOI'!$C$42</f>
        <v>1.6742891190006575</v>
      </c>
      <c r="G127" s="75">
        <f>3.6*F127</f>
        <v>6.027440828402367</v>
      </c>
      <c r="H127" s="75">
        <f>'THAM_SO_MOI'!$D$49</f>
        <v>3.1625000000000005</v>
      </c>
      <c r="I127" s="75">
        <f>IF(F127&gt;'THAM_SO_MOI'!$C$14,'THAM_SO_MOI'!$C$13*(1+F127^2/1500),'THAM_SO_MOI'!$C$13)</f>
        <v>0.015</v>
      </c>
      <c r="J127" s="75">
        <f>'THAM_SO_MOI'!$C$40*('THAM_SO_MOI'!$C$23*(E127/'THAM_SO_MOI'!$C$22)+'THAM_SO_MOI'!$C$24*(E127/'THAM_SO_MOI'!$C$22)^2-'THAM_SO_MOI'!$C$25*(E127/'THAM_SO_MOI'!$C$22)^3)</f>
        <v>41.76576019893643</v>
      </c>
      <c r="K127" s="75">
        <f>'THAM_SO_MOI'!$C$31*J127/E127</f>
        <v>372.02973599585124</v>
      </c>
      <c r="L127" s="75">
        <f>K127*'THAM_SO_MOI'!$C$49*'THAM_SO_MOI'!$C$17/'THAM_SO_MOI'!$C$26</f>
        <v>21207.56456275779</v>
      </c>
      <c r="M127" s="75">
        <f>'THAM_SO_MOI'!$C$15*'THAM_SO_MOI'!$C$16*F127^2</f>
        <v>8.199488857961695</v>
      </c>
      <c r="N127" s="75">
        <f>'THAM_SO_MOI'!$C$12*I127</f>
        <v>1130.112</v>
      </c>
      <c r="O127" s="75">
        <f>M127+N127</f>
        <v>1138.3114888579619</v>
      </c>
      <c r="P127" s="75">
        <f>(MIN(L127,'THAM_SO_MOI'!$C$41)-O127)/('THAM_SO_MOI'!$C$11*H127)</f>
        <v>0.8263032392086556</v>
      </c>
      <c r="Q127" s="75">
        <f>IF(P127&gt;0,1/P127,NA())</f>
        <v>1.2102094637287064</v>
      </c>
      <c r="R127" s="75">
        <f>F127-F126</f>
        <v>0.0035133136094673834</v>
      </c>
      <c r="S127" s="75">
        <f>0.5*(Q126+Q127)*R127</f>
        <v>0.00425328675495054</v>
      </c>
      <c r="T127" s="75">
        <f>0.5*(F126*Q126+F127*Q127)*R127</f>
        <v>0.007113757636680261</v>
      </c>
      <c r="U127" s="76">
        <f>U126+S127</f>
        <v>0.5387746983611764</v>
      </c>
      <c r="V127" s="76">
        <f>V126+T127</f>
        <v>0.7857008632650289</v>
      </c>
    </row>
    <row r="128" spans="1:22" ht="19" customHeight="1">
      <c r="A128" s="68" t="s">
        <v>368</v>
      </c>
      <c r="B128" s="74">
        <v>1</v>
      </c>
      <c r="C128" s="68" t="s">
        <v>363</v>
      </c>
      <c r="D128" s="68" t="s">
        <v>364</v>
      </c>
      <c r="E128" s="75">
        <f>60*F128*'THAM_SO_MOI'!$C$49/(2*PI()*'THAM_SO_MOI'!$C$26)</f>
        <v>1074.4999999999998</v>
      </c>
      <c r="F128" s="75">
        <f>'THAM_SO_MOI'!$E$49+('THAM_SO_MOI'!$F$49-'THAM_SO_MOI'!$E$49)*122/'THAM_SO_MOI'!$C$42</f>
        <v>1.6778024326101248</v>
      </c>
      <c r="G128" s="75">
        <f>3.6*F128</f>
        <v>6.0400887573964495</v>
      </c>
      <c r="H128" s="75">
        <f>'THAM_SO_MOI'!$D$49</f>
        <v>3.1625000000000005</v>
      </c>
      <c r="I128" s="75">
        <f>IF(F128&gt;'THAM_SO_MOI'!$C$14,'THAM_SO_MOI'!$C$13*(1+F128^2/1500),'THAM_SO_MOI'!$C$13)</f>
        <v>0.015</v>
      </c>
      <c r="J128" s="75">
        <f>'THAM_SO_MOI'!$C$40*('THAM_SO_MOI'!$C$23*(E128/'THAM_SO_MOI'!$C$22)+'THAM_SO_MOI'!$C$24*(E128/'THAM_SO_MOI'!$C$22)^2-'THAM_SO_MOI'!$C$25*(E128/'THAM_SO_MOI'!$C$22)^3)</f>
        <v>41.88024899713302</v>
      </c>
      <c r="K128" s="75">
        <f>'THAM_SO_MOI'!$C$31*J128/E128</f>
        <v>372.2683836166711</v>
      </c>
      <c r="L128" s="75">
        <f>K128*'THAM_SO_MOI'!$C$49*'THAM_SO_MOI'!$C$17/'THAM_SO_MOI'!$C$26</f>
        <v>21221.168676452457</v>
      </c>
      <c r="M128" s="75">
        <f>'THAM_SO_MOI'!$C$15*'THAM_SO_MOI'!$C$16*F128^2</f>
        <v>8.233936433401924</v>
      </c>
      <c r="N128" s="75">
        <f>'THAM_SO_MOI'!$C$12*I128</f>
        <v>1130.112</v>
      </c>
      <c r="O128" s="75">
        <f>M128+N128</f>
        <v>1138.345936433402</v>
      </c>
      <c r="P128" s="75">
        <f>(MIN(L128,'THAM_SO_MOI'!$C$41)-O128)/('THAM_SO_MOI'!$C$11*H128)</f>
        <v>0.8268619375831296</v>
      </c>
      <c r="Q128" s="75">
        <f>IF(P128&gt;0,1/P128,NA())</f>
        <v>1.2093917431039856</v>
      </c>
      <c r="R128" s="75">
        <f>F128-F127</f>
        <v>0.0035133136094673834</v>
      </c>
      <c r="S128" s="75">
        <f>0.5*(Q127+Q128)*R128</f>
        <v>0.004250408924724501</v>
      </c>
      <c r="T128" s="75">
        <f>0.5*(F127*Q127+F128*Q128)*R128</f>
        <v>0.007123877400372462</v>
      </c>
      <c r="U128" s="76">
        <f>U127+S128</f>
        <v>0.5430251072859009</v>
      </c>
      <c r="V128" s="76">
        <f>V127+T128</f>
        <v>0.7928247406654013</v>
      </c>
    </row>
    <row r="129" spans="1:22" ht="19" customHeight="1">
      <c r="A129" s="68" t="s">
        <v>368</v>
      </c>
      <c r="B129" s="74">
        <v>1</v>
      </c>
      <c r="C129" s="68" t="s">
        <v>363</v>
      </c>
      <c r="D129" s="68" t="s">
        <v>364</v>
      </c>
      <c r="E129" s="75">
        <f>60*F129*'THAM_SO_MOI'!$C$49/(2*PI()*'THAM_SO_MOI'!$C$26)</f>
        <v>1076.7499999999998</v>
      </c>
      <c r="F129" s="75">
        <f>'THAM_SO_MOI'!$E$49+('THAM_SO_MOI'!$F$49-'THAM_SO_MOI'!$E$49)*123/'THAM_SO_MOI'!$C$42</f>
        <v>1.6813157462195925</v>
      </c>
      <c r="G129" s="75">
        <f>3.6*F129</f>
        <v>6.052736686390533</v>
      </c>
      <c r="H129" s="75">
        <f>'THAM_SO_MOI'!$D$49</f>
        <v>3.1625000000000005</v>
      </c>
      <c r="I129" s="75">
        <f>IF(F129&gt;'THAM_SO_MOI'!$C$14,'THAM_SO_MOI'!$C$13*(1+F129^2/1500),'THAM_SO_MOI'!$C$13)</f>
        <v>0.015</v>
      </c>
      <c r="J129" s="75">
        <f>'THAM_SO_MOI'!$C$40*('THAM_SO_MOI'!$C$23*(E129/'THAM_SO_MOI'!$C$22)+'THAM_SO_MOI'!$C$24*(E129/'THAM_SO_MOI'!$C$22)^2-'THAM_SO_MOI'!$C$25*(E129/'THAM_SO_MOI'!$C$22)^3)</f>
        <v>41.99479486535103</v>
      </c>
      <c r="K129" s="75">
        <f>'THAM_SO_MOI'!$C$31*J129/E129</f>
        <v>372.5065400994321</v>
      </c>
      <c r="L129" s="75">
        <f>K129*'THAM_SO_MOI'!$C$49*'THAM_SO_MOI'!$C$17/'THAM_SO_MOI'!$C$26</f>
        <v>21234.74479280959</v>
      </c>
      <c r="M129" s="75">
        <f>'THAM_SO_MOI'!$C$15*'THAM_SO_MOI'!$C$16*F129^2</f>
        <v>8.26845621757139</v>
      </c>
      <c r="N129" s="75">
        <f>'THAM_SO_MOI'!$C$12*I129</f>
        <v>1130.112</v>
      </c>
      <c r="O129" s="75">
        <f>M129+N129</f>
        <v>1138.3804562175715</v>
      </c>
      <c r="P129" s="75">
        <f>(MIN(L129,'THAM_SO_MOI'!$C$41)-O129)/('THAM_SO_MOI'!$C$11*H129)</f>
        <v>0.8274194802615289</v>
      </c>
      <c r="Q129" s="75">
        <f>IF(P129&gt;0,1/P129,NA())</f>
        <v>1.2085768148508205</v>
      </c>
      <c r="R129" s="75">
        <f>F129-F128</f>
        <v>0.0035133136094676054</v>
      </c>
      <c r="S129" s="75">
        <f>0.5*(Q128+Q129)*R129</f>
        <v>0.00424754092096369</v>
      </c>
      <c r="T129" s="75">
        <f>0.5*(F128*Q128+F129*Q129)*R129</f>
        <v>0.0071339934467253745</v>
      </c>
      <c r="U129" s="76">
        <f>U128+S129</f>
        <v>0.5472726482068646</v>
      </c>
      <c r="V129" s="76">
        <f>V128+T129</f>
        <v>0.7999587341121267</v>
      </c>
    </row>
    <row r="130" spans="1:22" ht="19" customHeight="1">
      <c r="A130" s="68" t="s">
        <v>368</v>
      </c>
      <c r="B130" s="74">
        <v>1</v>
      </c>
      <c r="C130" s="68" t="s">
        <v>363</v>
      </c>
      <c r="D130" s="68" t="s">
        <v>364</v>
      </c>
      <c r="E130" s="75">
        <f>60*F130*'THAM_SO_MOI'!$C$49/(2*PI()*'THAM_SO_MOI'!$C$26)</f>
        <v>1079.0</v>
      </c>
      <c r="F130" s="75">
        <f>'THAM_SO_MOI'!$E$49+('THAM_SO_MOI'!$F$49-'THAM_SO_MOI'!$E$49)*124/'THAM_SO_MOI'!$C$42</f>
        <v>1.6848290598290598</v>
      </c>
      <c r="G130" s="75">
        <f>3.6*F130</f>
        <v>6.065384615384615</v>
      </c>
      <c r="H130" s="75">
        <f>'THAM_SO_MOI'!$D$49</f>
        <v>3.1625000000000005</v>
      </c>
      <c r="I130" s="75">
        <f>IF(F130&gt;'THAM_SO_MOI'!$C$14,'THAM_SO_MOI'!$C$13*(1+F130^2/1500),'THAM_SO_MOI'!$C$13)</f>
        <v>0.015</v>
      </c>
      <c r="J130" s="75">
        <f>'THAM_SO_MOI'!$C$40*('THAM_SO_MOI'!$C$23*(E130/'THAM_SO_MOI'!$C$22)+'THAM_SO_MOI'!$C$24*(E130/'THAM_SO_MOI'!$C$22)^2-'THAM_SO_MOI'!$C$25*(E130/'THAM_SO_MOI'!$C$22)^3)</f>
        <v>42.10939745649094</v>
      </c>
      <c r="K130" s="75">
        <f>'THAM_SO_MOI'!$C$31*J130/E130</f>
        <v>372.7442054441344</v>
      </c>
      <c r="L130" s="75">
        <f>K130*'THAM_SO_MOI'!$C$49*'THAM_SO_MOI'!$C$17/'THAM_SO_MOI'!$C$26</f>
        <v>21248.292911829198</v>
      </c>
      <c r="M130" s="75">
        <f>'THAM_SO_MOI'!$C$15*'THAM_SO_MOI'!$C$16*F130^2</f>
        <v>8.303048210470086</v>
      </c>
      <c r="N130" s="75">
        <f>'THAM_SO_MOI'!$C$12*I130</f>
        <v>1130.112</v>
      </c>
      <c r="O130" s="75">
        <f>M130+N130</f>
        <v>1138.41504821047</v>
      </c>
      <c r="P130" s="75">
        <f>(MIN(L130,'THAM_SO_MOI'!$C$41)-O130)/('THAM_SO_MOI'!$C$11*H130)</f>
        <v>0.827975867243854</v>
      </c>
      <c r="Q130" s="75">
        <f>IF(P130&gt;0,1/P130,NA())</f>
        <v>1.207764669915774</v>
      </c>
      <c r="R130" s="75">
        <f>F130-F129</f>
        <v>0.0035133136094673834</v>
      </c>
      <c r="S130" s="75">
        <f>0.5*(Q129+Q130)*R130</f>
        <v>0.0042446827117755504</v>
      </c>
      <c r="T130" s="75">
        <f>0.5*(F129*Q129+F130*Q130)*R130</f>
        <v>0.007144105825632021</v>
      </c>
      <c r="U130" s="76">
        <f>U129+S130</f>
        <v>0.5515173309186402</v>
      </c>
      <c r="V130" s="76">
        <f>V129+T130</f>
        <v>0.8071028399377588</v>
      </c>
    </row>
    <row r="131" spans="1:22" ht="19" customHeight="1">
      <c r="A131" s="68" t="s">
        <v>368</v>
      </c>
      <c r="B131" s="74">
        <v>1</v>
      </c>
      <c r="C131" s="68" t="s">
        <v>363</v>
      </c>
      <c r="D131" s="68" t="s">
        <v>364</v>
      </c>
      <c r="E131" s="75">
        <f>60*F131*'THAM_SO_MOI'!$C$49/(2*PI()*'THAM_SO_MOI'!$C$26)</f>
        <v>1081.25</v>
      </c>
      <c r="F131" s="75">
        <f>'THAM_SO_MOI'!$E$49+('THAM_SO_MOI'!$F$49-'THAM_SO_MOI'!$E$49)*125/'THAM_SO_MOI'!$C$42</f>
        <v>1.6883423734385274</v>
      </c>
      <c r="G131" s="75">
        <f>3.6*F131</f>
        <v>6.078032544378699</v>
      </c>
      <c r="H131" s="75">
        <f>'THAM_SO_MOI'!$D$49</f>
        <v>3.1625000000000005</v>
      </c>
      <c r="I131" s="75">
        <f>IF(F131&gt;'THAM_SO_MOI'!$C$14,'THAM_SO_MOI'!$C$13*(1+F131^2/1500),'THAM_SO_MOI'!$C$13)</f>
        <v>0.015</v>
      </c>
      <c r="J131" s="75">
        <f>'THAM_SO_MOI'!$C$40*('THAM_SO_MOI'!$C$23*(E131/'THAM_SO_MOI'!$C$22)+'THAM_SO_MOI'!$C$24*(E131/'THAM_SO_MOI'!$C$22)^2-'THAM_SO_MOI'!$C$25*(E131/'THAM_SO_MOI'!$C$22)^3)</f>
        <v>42.22405642345314</v>
      </c>
      <c r="K131" s="75">
        <f>'THAM_SO_MOI'!$C$31*J131/E131</f>
        <v>372.9813796507778</v>
      </c>
      <c r="L131" s="75">
        <f>K131*'THAM_SO_MOI'!$C$49*'THAM_SO_MOI'!$C$17/'THAM_SO_MOI'!$C$26</f>
        <v>21261.813033511266</v>
      </c>
      <c r="M131" s="75">
        <f>'THAM_SO_MOI'!$C$15*'THAM_SO_MOI'!$C$16*F131^2</f>
        <v>8.337712412098018</v>
      </c>
      <c r="N131" s="75">
        <f>'THAM_SO_MOI'!$C$12*I131</f>
        <v>1130.112</v>
      </c>
      <c r="O131" s="75">
        <f>M131+N131</f>
        <v>1138.449712412098</v>
      </c>
      <c r="P131" s="75">
        <f>(MIN(L131,'THAM_SO_MOI'!$C$41)-O131)/('THAM_SO_MOI'!$C$11*H131)</f>
        <v>0.8285310985301039</v>
      </c>
      <c r="Q131" s="75">
        <f>IF(P131&gt;0,1/P131,NA())</f>
        <v>1.2069552992930488</v>
      </c>
      <c r="R131" s="75">
        <f>F131-F130</f>
        <v>0.0035133136094676054</v>
      </c>
      <c r="S131" s="75">
        <f>0.5*(Q130+Q131)*R131</f>
        <v>0.004241834265437277</v>
      </c>
      <c r="T131" s="75">
        <f>0.5*(F130*Q130+F131*Q131)*R131</f>
        <v>0.0071542145868235376</v>
      </c>
      <c r="U131" s="76">
        <f>U130+S131</f>
        <v>0.5557591651840774</v>
      </c>
      <c r="V131" s="76">
        <f>V130+T131</f>
        <v>0.8142570545245823</v>
      </c>
    </row>
    <row r="132" spans="1:22" ht="19" customHeight="1">
      <c r="A132" s="68" t="s">
        <v>368</v>
      </c>
      <c r="B132" s="74">
        <v>1</v>
      </c>
      <c r="C132" s="68" t="s">
        <v>363</v>
      </c>
      <c r="D132" s="68" t="s">
        <v>364</v>
      </c>
      <c r="E132" s="75">
        <f>60*F132*'THAM_SO_MOI'!$C$49/(2*PI()*'THAM_SO_MOI'!$C$26)</f>
        <v>1083.5</v>
      </c>
      <c r="F132" s="75">
        <f>'THAM_SO_MOI'!$E$49+('THAM_SO_MOI'!$F$49-'THAM_SO_MOI'!$E$49)*126/'THAM_SO_MOI'!$C$42</f>
        <v>1.6918556870479948</v>
      </c>
      <c r="G132" s="75">
        <f>3.6*F132</f>
        <v>6.090680473372782</v>
      </c>
      <c r="H132" s="75">
        <f>'THAM_SO_MOI'!$D$49</f>
        <v>3.1625000000000005</v>
      </c>
      <c r="I132" s="75">
        <f>IF(F132&gt;'THAM_SO_MOI'!$C$14,'THAM_SO_MOI'!$C$13*(1+F132^2/1500),'THAM_SO_MOI'!$C$13)</f>
        <v>0.015</v>
      </c>
      <c r="J132" s="75">
        <f>'THAM_SO_MOI'!$C$40*('THAM_SO_MOI'!$C$23*(E132/'THAM_SO_MOI'!$C$22)+'THAM_SO_MOI'!$C$24*(E132/'THAM_SO_MOI'!$C$22)^2-'THAM_SO_MOI'!$C$25*(E132/'THAM_SO_MOI'!$C$22)^3)</f>
        <v>42.33877141913813</v>
      </c>
      <c r="K132" s="75">
        <f>'THAM_SO_MOI'!$C$31*J132/E132</f>
        <v>373.2180627193624</v>
      </c>
      <c r="L132" s="75">
        <f>K132*'THAM_SO_MOI'!$C$49*'THAM_SO_MOI'!$C$17/'THAM_SO_MOI'!$C$26</f>
        <v>21275.305157855797</v>
      </c>
      <c r="M132" s="75">
        <f>'THAM_SO_MOI'!$C$15*'THAM_SO_MOI'!$C$16*F132^2</f>
        <v>8.37244882245518</v>
      </c>
      <c r="N132" s="75">
        <f>'THAM_SO_MOI'!$C$12*I132</f>
        <v>1130.112</v>
      </c>
      <c r="O132" s="75">
        <f>M132+N132</f>
        <v>1138.4844488224553</v>
      </c>
      <c r="P132" s="75">
        <f>(MIN(L132,'THAM_SO_MOI'!$C$41)-O132)/('THAM_SO_MOI'!$C$11*H132)</f>
        <v>0.829085174120279</v>
      </c>
      <c r="Q132" s="75">
        <f>IF(P132&gt;0,1/P132,NA())</f>
        <v>1.2061486940241988</v>
      </c>
      <c r="R132" s="75">
        <f>F132-F131</f>
        <v>0.0035133136094673834</v>
      </c>
      <c r="S132" s="75">
        <f>0.5*(Q131+Q132)*R132</f>
        <v>0.004238995550390787</v>
      </c>
      <c r="T132" s="75">
        <f>0.5*(F131*Q131+F132*Q132)*R132</f>
        <v>0.007164319779863642</v>
      </c>
      <c r="U132" s="76">
        <f>U131+S132</f>
        <v>0.5599981607344682</v>
      </c>
      <c r="V132" s="76">
        <f>V131+T132</f>
        <v>0.821421374304446</v>
      </c>
    </row>
    <row r="133" spans="1:22" ht="19" customHeight="1">
      <c r="A133" s="68" t="s">
        <v>368</v>
      </c>
      <c r="B133" s="74">
        <v>1</v>
      </c>
      <c r="C133" s="68" t="s">
        <v>363</v>
      </c>
      <c r="D133" s="68" t="s">
        <v>364</v>
      </c>
      <c r="E133" s="75">
        <f>60*F133*'THAM_SO_MOI'!$C$49/(2*PI()*'THAM_SO_MOI'!$C$26)</f>
        <v>1085.7499999999998</v>
      </c>
      <c r="F133" s="75">
        <f>'THAM_SO_MOI'!$E$49+('THAM_SO_MOI'!$F$49-'THAM_SO_MOI'!$E$49)*127/'THAM_SO_MOI'!$C$42</f>
        <v>1.6953690006574622</v>
      </c>
      <c r="G133" s="75">
        <f>3.6*F133</f>
        <v>6.103328402366864</v>
      </c>
      <c r="H133" s="75">
        <f>'THAM_SO_MOI'!$D$49</f>
        <v>3.1625000000000005</v>
      </c>
      <c r="I133" s="75">
        <f>IF(F133&gt;'THAM_SO_MOI'!$C$14,'THAM_SO_MOI'!$C$13*(1+F133^2/1500),'THAM_SO_MOI'!$C$13)</f>
        <v>0.015</v>
      </c>
      <c r="J133" s="75">
        <f>'THAM_SO_MOI'!$C$40*('THAM_SO_MOI'!$C$23*(E133/'THAM_SO_MOI'!$C$22)+'THAM_SO_MOI'!$C$24*(E133/'THAM_SO_MOI'!$C$22)^2-'THAM_SO_MOI'!$C$25*(E133/'THAM_SO_MOI'!$C$22)^3)</f>
        <v>42.45354209644637</v>
      </c>
      <c r="K133" s="75">
        <f>'THAM_SO_MOI'!$C$31*J133/E133</f>
        <v>373.45425464988847</v>
      </c>
      <c r="L133" s="75">
        <f>K133*'THAM_SO_MOI'!$C$49*'THAM_SO_MOI'!$C$17/'THAM_SO_MOI'!$C$26</f>
        <v>21288.76928486281</v>
      </c>
      <c r="M133" s="75">
        <f>'THAM_SO_MOI'!$C$15*'THAM_SO_MOI'!$C$16*F133^2</f>
        <v>8.407257441541576</v>
      </c>
      <c r="N133" s="75">
        <f>'THAM_SO_MOI'!$C$12*I133</f>
        <v>1130.112</v>
      </c>
      <c r="O133" s="75">
        <f>M133+N133</f>
        <v>1138.5192574415416</v>
      </c>
      <c r="P133" s="75">
        <f>(MIN(L133,'THAM_SO_MOI'!$C$41)-O133)/('THAM_SO_MOI'!$C$11*H133)</f>
        <v>0.8296380940143802</v>
      </c>
      <c r="Q133" s="75">
        <f>IF(P133&gt;0,1/P133,NA())</f>
        <v>1.2053448451978472</v>
      </c>
      <c r="R133" s="75">
        <f>F133-F132</f>
        <v>0.0035133136094673834</v>
      </c>
      <c r="S133" s="75">
        <f>0.5*(Q132+Q133)*R133</f>
        <v>0.0042361665352457405</v>
      </c>
      <c r="T133" s="75">
        <f>0.5*(F132*Q132+F133*Q133)*R133</f>
        <v>0.007174421454156653</v>
      </c>
      <c r="U133" s="76">
        <f>U132+S133</f>
        <v>0.5642343272697139</v>
      </c>
      <c r="V133" s="76">
        <f>V132+T133</f>
        <v>0.8285957957586026</v>
      </c>
    </row>
    <row r="134" spans="1:22" ht="19" customHeight="1">
      <c r="A134" s="68" t="s">
        <v>368</v>
      </c>
      <c r="B134" s="74">
        <v>1</v>
      </c>
      <c r="C134" s="68" t="s">
        <v>363</v>
      </c>
      <c r="D134" s="68" t="s">
        <v>364</v>
      </c>
      <c r="E134" s="75">
        <f>60*F134*'THAM_SO_MOI'!$C$49/(2*PI()*'THAM_SO_MOI'!$C$26)</f>
        <v>1088.0</v>
      </c>
      <c r="F134" s="75">
        <f>'THAM_SO_MOI'!$E$49+('THAM_SO_MOI'!$F$49-'THAM_SO_MOI'!$E$49)*128/'THAM_SO_MOI'!$C$42</f>
        <v>1.6988823142669296</v>
      </c>
      <c r="G134" s="75">
        <f>3.6*F134</f>
        <v>6.1159763313609465</v>
      </c>
      <c r="H134" s="75">
        <f>'THAM_SO_MOI'!$D$49</f>
        <v>3.1625000000000005</v>
      </c>
      <c r="I134" s="75">
        <f>IF(F134&gt;'THAM_SO_MOI'!$C$14,'THAM_SO_MOI'!$C$13*(1+F134^2/1500),'THAM_SO_MOI'!$C$13)</f>
        <v>0.015</v>
      </c>
      <c r="J134" s="75">
        <f>'THAM_SO_MOI'!$C$40*('THAM_SO_MOI'!$C$23*(E134/'THAM_SO_MOI'!$C$22)+'THAM_SO_MOI'!$C$24*(E134/'THAM_SO_MOI'!$C$22)^2-'THAM_SO_MOI'!$C$25*(E134/'THAM_SO_MOI'!$C$22)^3)</f>
        <v>42.568368108278314</v>
      </c>
      <c r="K134" s="75">
        <f>'THAM_SO_MOI'!$C$31*J134/E134</f>
        <v>373.6899554423556</v>
      </c>
      <c r="L134" s="75">
        <f>K134*'THAM_SO_MOI'!$C$49*'THAM_SO_MOI'!$C$17/'THAM_SO_MOI'!$C$26</f>
        <v>21302.205414532284</v>
      </c>
      <c r="M134" s="75">
        <f>'THAM_SO_MOI'!$C$15*'THAM_SO_MOI'!$C$16*F134^2</f>
        <v>8.442138269357205</v>
      </c>
      <c r="N134" s="75">
        <f>'THAM_SO_MOI'!$C$12*I134</f>
        <v>1130.112</v>
      </c>
      <c r="O134" s="75">
        <f>M134+N134</f>
        <v>1138.5541382693573</v>
      </c>
      <c r="P134" s="75">
        <f>(MIN(L134,'THAM_SO_MOI'!$C$41)-O134)/('THAM_SO_MOI'!$C$11*H134)</f>
        <v>0.8301898582124062</v>
      </c>
      <c r="Q134" s="75">
        <f>IF(P134&gt;0,1/P134,NA())</f>
        <v>1.204543743949408</v>
      </c>
      <c r="R134" s="75">
        <f>F134-F133</f>
        <v>0.0035133136094673834</v>
      </c>
      <c r="S134" s="75">
        <f>0.5*(Q133+Q134)*R134</f>
        <v>0.004233347188775601</v>
      </c>
      <c r="T134" s="75">
        <f>0.5*(F133*Q133+F134*Q134)*R134</f>
        <v>0.007184519658943748</v>
      </c>
      <c r="U134" s="76">
        <f>U133+S134</f>
        <v>0.5684676744584894</v>
      </c>
      <c r="V134" s="76">
        <f>V133+T134</f>
        <v>0.8357803154175464</v>
      </c>
    </row>
    <row r="135" spans="1:22" ht="19" customHeight="1">
      <c r="A135" s="68" t="s">
        <v>368</v>
      </c>
      <c r="B135" s="74">
        <v>1</v>
      </c>
      <c r="C135" s="68" t="s">
        <v>363</v>
      </c>
      <c r="D135" s="68" t="s">
        <v>364</v>
      </c>
      <c r="E135" s="75">
        <f>60*F135*'THAM_SO_MOI'!$C$49/(2*PI()*'THAM_SO_MOI'!$C$26)</f>
        <v>1090.2499999999998</v>
      </c>
      <c r="F135" s="75">
        <f>'THAM_SO_MOI'!$E$49+('THAM_SO_MOI'!$F$49-'THAM_SO_MOI'!$E$49)*129/'THAM_SO_MOI'!$C$42</f>
        <v>1.7023956278763972</v>
      </c>
      <c r="G135" s="75">
        <f>3.6*F135</f>
        <v>6.12862426035503</v>
      </c>
      <c r="H135" s="75">
        <f>'THAM_SO_MOI'!$D$49</f>
        <v>3.1625000000000005</v>
      </c>
      <c r="I135" s="75">
        <f>IF(F135&gt;'THAM_SO_MOI'!$C$14,'THAM_SO_MOI'!$C$13*(1+F135^2/1500),'THAM_SO_MOI'!$C$13)</f>
        <v>0.015</v>
      </c>
      <c r="J135" s="75">
        <f>'THAM_SO_MOI'!$C$40*('THAM_SO_MOI'!$C$23*(E135/'THAM_SO_MOI'!$C$22)+'THAM_SO_MOI'!$C$24*(E135/'THAM_SO_MOI'!$C$22)^2-'THAM_SO_MOI'!$C$25*(E135/'THAM_SO_MOI'!$C$22)^3)</f>
        <v>42.68324910753439</v>
      </c>
      <c r="K135" s="75">
        <f>'THAM_SO_MOI'!$C$31*J135/E135</f>
        <v>373.925165096764</v>
      </c>
      <c r="L135" s="75">
        <f>K135*'THAM_SO_MOI'!$C$49*'THAM_SO_MOI'!$C$17/'THAM_SO_MOI'!$C$26</f>
        <v>21315.613546864224</v>
      </c>
      <c r="M135" s="75">
        <f>'THAM_SO_MOI'!$C$15*'THAM_SO_MOI'!$C$16*F135^2</f>
        <v>8.477091305902068</v>
      </c>
      <c r="N135" s="75">
        <f>'THAM_SO_MOI'!$C$12*I135</f>
        <v>1130.112</v>
      </c>
      <c r="O135" s="75">
        <f>M135+N135</f>
        <v>1138.5890913059022</v>
      </c>
      <c r="P135" s="75">
        <f>(MIN(L135,'THAM_SO_MOI'!$C$41)-O135)/('THAM_SO_MOI'!$C$11*H135)</f>
        <v>0.8307404667143575</v>
      </c>
      <c r="Q135" s="75">
        <f>IF(P135&gt;0,1/P135,NA())</f>
        <v>1.2037453814608032</v>
      </c>
      <c r="R135" s="75">
        <f>F135-F134</f>
        <v>0.0035133136094676054</v>
      </c>
      <c r="S135" s="75">
        <f>0.5*(Q134+Q135)*R135</f>
        <v>0.004230537479918265</v>
      </c>
      <c r="T135" s="75">
        <f>0.5*(F134*Q134+F135*Q135)*R135</f>
        <v>0.007194614443306907</v>
      </c>
      <c r="U135" s="76">
        <f>U134+S135</f>
        <v>0.5726982119384078</v>
      </c>
      <c r="V135" s="76">
        <f>V134+T135</f>
        <v>0.8429749298608533</v>
      </c>
    </row>
    <row r="136" spans="1:22" ht="19" customHeight="1">
      <c r="A136" s="68" t="s">
        <v>368</v>
      </c>
      <c r="B136" s="74">
        <v>1</v>
      </c>
      <c r="C136" s="68" t="s">
        <v>363</v>
      </c>
      <c r="D136" s="68" t="s">
        <v>364</v>
      </c>
      <c r="E136" s="75">
        <f>60*F136*'THAM_SO_MOI'!$C$49/(2*PI()*'THAM_SO_MOI'!$C$26)</f>
        <v>1092.4999999999998</v>
      </c>
      <c r="F136" s="75">
        <f>'THAM_SO_MOI'!$E$49+('THAM_SO_MOI'!$F$49-'THAM_SO_MOI'!$E$49)*130/'THAM_SO_MOI'!$C$42</f>
        <v>1.7059089414858646</v>
      </c>
      <c r="G136" s="75">
        <f>3.6*F136</f>
        <v>6.141272189349112</v>
      </c>
      <c r="H136" s="75">
        <f>'THAM_SO_MOI'!$D$49</f>
        <v>3.1625000000000005</v>
      </c>
      <c r="I136" s="75">
        <f>IF(F136&gt;'THAM_SO_MOI'!$C$14,'THAM_SO_MOI'!$C$13*(1+F136^2/1500),'THAM_SO_MOI'!$C$13)</f>
        <v>0.015</v>
      </c>
      <c r="J136" s="75">
        <f>'THAM_SO_MOI'!$C$40*('THAM_SO_MOI'!$C$23*(E136/'THAM_SO_MOI'!$C$22)+'THAM_SO_MOI'!$C$24*(E136/'THAM_SO_MOI'!$C$22)^2-'THAM_SO_MOI'!$C$25*(E136/'THAM_SO_MOI'!$C$22)^3)</f>
        <v>42.79818474711507</v>
      </c>
      <c r="K136" s="75">
        <f>'THAM_SO_MOI'!$C$31*J136/E136</f>
        <v>374.15988361311355</v>
      </c>
      <c r="L136" s="75">
        <f>K136*'THAM_SO_MOI'!$C$49*'THAM_SO_MOI'!$C$17/'THAM_SO_MOI'!$C$26</f>
        <v>21328.993681858632</v>
      </c>
      <c r="M136" s="75">
        <f>'THAM_SO_MOI'!$C$15*'THAM_SO_MOI'!$C$16*F136^2</f>
        <v>8.512116551176163</v>
      </c>
      <c r="N136" s="75">
        <f>'THAM_SO_MOI'!$C$12*I136</f>
        <v>1130.112</v>
      </c>
      <c r="O136" s="75">
        <f>M136+N136</f>
        <v>1138.6241165511763</v>
      </c>
      <c r="P136" s="75">
        <f>(MIN(L136,'THAM_SO_MOI'!$C$41)-O136)/('THAM_SO_MOI'!$C$11*H136)</f>
        <v>0.8312899195202343</v>
      </c>
      <c r="Q136" s="75">
        <f>IF(P136&gt;0,1/P136,NA())</f>
        <v>1.202949748960187</v>
      </c>
      <c r="R136" s="75">
        <f>F136-F135</f>
        <v>0.0035133136094673834</v>
      </c>
      <c r="S136" s="75">
        <f>0.5*(Q135+Q136)*R136</f>
        <v>0.004227737377773473</v>
      </c>
      <c r="T136" s="75">
        <f>0.5*(F135*Q135+F136*Q136)*R136</f>
        <v>0.00720470585616739</v>
      </c>
      <c r="U136" s="76">
        <f>U135+S136</f>
        <v>0.5769259493161812</v>
      </c>
      <c r="V136" s="76">
        <f>V135+T136</f>
        <v>0.8501796357170207</v>
      </c>
    </row>
    <row r="137" spans="1:22" ht="19" customHeight="1">
      <c r="A137" s="68" t="s">
        <v>368</v>
      </c>
      <c r="B137" s="74">
        <v>1</v>
      </c>
      <c r="C137" s="68" t="s">
        <v>363</v>
      </c>
      <c r="D137" s="68" t="s">
        <v>364</v>
      </c>
      <c r="E137" s="75">
        <f>60*F137*'THAM_SO_MOI'!$C$49/(2*PI()*'THAM_SO_MOI'!$C$26)</f>
        <v>1094.7499999999998</v>
      </c>
      <c r="F137" s="75">
        <f>'THAM_SO_MOI'!$E$49+('THAM_SO_MOI'!$F$49-'THAM_SO_MOI'!$E$49)*131/'THAM_SO_MOI'!$C$42</f>
        <v>1.709422255095332</v>
      </c>
      <c r="G137" s="75">
        <f>3.6*F137</f>
        <v>6.153920118343195</v>
      </c>
      <c r="H137" s="75">
        <f>'THAM_SO_MOI'!$D$49</f>
        <v>3.1625000000000005</v>
      </c>
      <c r="I137" s="75">
        <f>IF(F137&gt;'THAM_SO_MOI'!$C$14,'THAM_SO_MOI'!$C$13*(1+F137^2/1500),'THAM_SO_MOI'!$C$13)</f>
        <v>0.015</v>
      </c>
      <c r="J137" s="75">
        <f>'THAM_SO_MOI'!$C$40*('THAM_SO_MOI'!$C$23*(E137/'THAM_SO_MOI'!$C$22)+'THAM_SO_MOI'!$C$24*(E137/'THAM_SO_MOI'!$C$22)^2-'THAM_SO_MOI'!$C$25*(E137/'THAM_SO_MOI'!$C$22)^3)</f>
        <v>42.91317467992082</v>
      </c>
      <c r="K137" s="75">
        <f>'THAM_SO_MOI'!$C$31*J137/E137</f>
        <v>374.3941109914043</v>
      </c>
      <c r="L137" s="75">
        <f>K137*'THAM_SO_MOI'!$C$49*'THAM_SO_MOI'!$C$17/'THAM_SO_MOI'!$C$26</f>
        <v>21342.345819515504</v>
      </c>
      <c r="M137" s="75">
        <f>'THAM_SO_MOI'!$C$15*'THAM_SO_MOI'!$C$16*F137^2</f>
        <v>8.547214005179491</v>
      </c>
      <c r="N137" s="75">
        <f>'THAM_SO_MOI'!$C$12*I137</f>
        <v>1130.112</v>
      </c>
      <c r="O137" s="75">
        <f>M137+N137</f>
        <v>1138.6592140051796</v>
      </c>
      <c r="P137" s="75">
        <f>(MIN(L137,'THAM_SO_MOI'!$C$41)-O137)/('THAM_SO_MOI'!$C$11*H137)</f>
        <v>0.8318382166300362</v>
      </c>
      <c r="Q137" s="75">
        <f>IF(P137&gt;0,1/P137,NA())</f>
        <v>1.2021568377216727</v>
      </c>
      <c r="R137" s="75">
        <f>F137-F136</f>
        <v>0.0035133136094673834</v>
      </c>
      <c r="S137" s="75">
        <f>0.5*(Q136+Q137)*R137</f>
        <v>0.004224946851604511</v>
      </c>
      <c r="T137" s="75">
        <f>0.5*(F136*Q136+F137*Q137)*R137</f>
        <v>0.007214793946291499</v>
      </c>
      <c r="U137" s="76">
        <f>U136+S137</f>
        <v>0.5811508961677857</v>
      </c>
      <c r="V137" s="76">
        <f>V136+T137</f>
        <v>0.8573944296633123</v>
      </c>
    </row>
    <row r="138" spans="1:22" ht="19" customHeight="1">
      <c r="A138" s="68" t="s">
        <v>368</v>
      </c>
      <c r="B138" s="74">
        <v>1</v>
      </c>
      <c r="C138" s="68" t="s">
        <v>363</v>
      </c>
      <c r="D138" s="68" t="s">
        <v>364</v>
      </c>
      <c r="E138" s="75">
        <f>60*F138*'THAM_SO_MOI'!$C$49/(2*PI()*'THAM_SO_MOI'!$C$26)</f>
        <v>1097.0</v>
      </c>
      <c r="F138" s="75">
        <f>'THAM_SO_MOI'!$E$49+('THAM_SO_MOI'!$F$49-'THAM_SO_MOI'!$E$49)*132/'THAM_SO_MOI'!$C$42</f>
        <v>1.7129355687047996</v>
      </c>
      <c r="G138" s="75">
        <f>3.6*F138</f>
        <v>6.166568047337279</v>
      </c>
      <c r="H138" s="75">
        <f>'THAM_SO_MOI'!$D$49</f>
        <v>3.1625000000000005</v>
      </c>
      <c r="I138" s="75">
        <f>IF(F138&gt;'THAM_SO_MOI'!$C$14,'THAM_SO_MOI'!$C$13*(1+F138^2/1500),'THAM_SO_MOI'!$C$13)</f>
        <v>0.015</v>
      </c>
      <c r="J138" s="75">
        <f>'THAM_SO_MOI'!$C$40*('THAM_SO_MOI'!$C$23*(E138/'THAM_SO_MOI'!$C$22)+'THAM_SO_MOI'!$C$24*(E138/'THAM_SO_MOI'!$C$22)^2-'THAM_SO_MOI'!$C$25*(E138/'THAM_SO_MOI'!$C$22)^3)</f>
        <v>43.028218558852096</v>
      </c>
      <c r="K138" s="75">
        <f>'THAM_SO_MOI'!$C$31*J138/E138</f>
        <v>374.62784723163634</v>
      </c>
      <c r="L138" s="75">
        <f>K138*'THAM_SO_MOI'!$C$49*'THAM_SO_MOI'!$C$17/'THAM_SO_MOI'!$C$26</f>
        <v>21355.669959834846</v>
      </c>
      <c r="M138" s="75">
        <f>'THAM_SO_MOI'!$C$15*'THAM_SO_MOI'!$C$16*F138^2</f>
        <v>8.582383667912053</v>
      </c>
      <c r="N138" s="75">
        <f>'THAM_SO_MOI'!$C$12*I138</f>
        <v>1130.112</v>
      </c>
      <c r="O138" s="75">
        <f>M138+N138</f>
        <v>1138.6943836679122</v>
      </c>
      <c r="P138" s="75">
        <f>(MIN(L138,'THAM_SO_MOI'!$C$41)-O138)/('THAM_SO_MOI'!$C$11*H138)</f>
        <v>0.8323853580437636</v>
      </c>
      <c r="Q138" s="75">
        <f>IF(P138&gt;0,1/P138,NA())</f>
        <v>1.2013666390650566</v>
      </c>
      <c r="R138" s="75">
        <f>F138-F137</f>
        <v>0.0035133136094676054</v>
      </c>
      <c r="S138" s="75">
        <f>0.5*(Q137+Q138)*R138</f>
        <v>0.0042221658708348556</v>
      </c>
      <c r="T138" s="75">
        <f>0.5*(F137*Q137+F138*Q138)*R138</f>
        <v>0.007224878762287687</v>
      </c>
      <c r="U138" s="76">
        <f>U137+S138</f>
        <v>0.5853730620386206</v>
      </c>
      <c r="V138" s="76">
        <f>V137+T138</f>
        <v>0.8646193084256</v>
      </c>
    </row>
    <row r="139" spans="1:22" ht="19" customHeight="1">
      <c r="A139" s="68" t="s">
        <v>368</v>
      </c>
      <c r="B139" s="74">
        <v>1</v>
      </c>
      <c r="C139" s="68" t="s">
        <v>363</v>
      </c>
      <c r="D139" s="68" t="s">
        <v>364</v>
      </c>
      <c r="E139" s="75">
        <f>60*F139*'THAM_SO_MOI'!$C$49/(2*PI()*'THAM_SO_MOI'!$C$26)</f>
        <v>1099.2499999999998</v>
      </c>
      <c r="F139" s="75">
        <f>'THAM_SO_MOI'!$E$49+('THAM_SO_MOI'!$F$49-'THAM_SO_MOI'!$E$49)*133/'THAM_SO_MOI'!$C$42</f>
        <v>1.716448882314267</v>
      </c>
      <c r="G139" s="75">
        <f>3.6*F139</f>
        <v>6.179215976331361</v>
      </c>
      <c r="H139" s="75">
        <f>'THAM_SO_MOI'!$D$49</f>
        <v>3.1625000000000005</v>
      </c>
      <c r="I139" s="75">
        <f>IF(F139&gt;'THAM_SO_MOI'!$C$14,'THAM_SO_MOI'!$C$13*(1+F139^2/1500),'THAM_SO_MOI'!$C$13)</f>
        <v>0.015</v>
      </c>
      <c r="J139" s="75">
        <f>'THAM_SO_MOI'!$C$40*('THAM_SO_MOI'!$C$23*(E139/'THAM_SO_MOI'!$C$22)+'THAM_SO_MOI'!$C$24*(E139/'THAM_SO_MOI'!$C$22)^2-'THAM_SO_MOI'!$C$25*(E139/'THAM_SO_MOI'!$C$22)^3)</f>
        <v>43.143316036809324</v>
      </c>
      <c r="K139" s="75">
        <f>'THAM_SO_MOI'!$C$31*J139/E139</f>
        <v>374.86109233380955</v>
      </c>
      <c r="L139" s="75">
        <f>K139*'THAM_SO_MOI'!$C$49*'THAM_SO_MOI'!$C$17/'THAM_SO_MOI'!$C$26</f>
        <v>21368.966102816656</v>
      </c>
      <c r="M139" s="75">
        <f>'THAM_SO_MOI'!$C$15*'THAM_SO_MOI'!$C$16*F139^2</f>
        <v>8.617625539373847</v>
      </c>
      <c r="N139" s="75">
        <f>'THAM_SO_MOI'!$C$12*I139</f>
        <v>1130.112</v>
      </c>
      <c r="O139" s="75">
        <f>M139+N139</f>
        <v>1138.729625539374</v>
      </c>
      <c r="P139" s="75">
        <f>(MIN(L139,'THAM_SO_MOI'!$C$41)-O139)/('THAM_SO_MOI'!$C$11*H139)</f>
        <v>0.8329313437614163</v>
      </c>
      <c r="Q139" s="75">
        <f>IF(P139&gt;0,1/P139,NA())</f>
        <v>1.2005791443555505</v>
      </c>
      <c r="R139" s="75">
        <f>F139-F138</f>
        <v>0.0035133136094673834</v>
      </c>
      <c r="S139" s="75">
        <f>0.5*(Q138+Q139)*R139</f>
        <v>0.004219394405047207</v>
      </c>
      <c r="T139" s="75">
        <f>0.5*(F138*Q138+F139*Q139)*R139</f>
        <v>0.00723496035260773</v>
      </c>
      <c r="U139" s="76">
        <f>U138+S139</f>
        <v>0.5895924564436679</v>
      </c>
      <c r="V139" s="76">
        <f>V138+T139</f>
        <v>0.8718542687782077</v>
      </c>
    </row>
    <row r="140" spans="1:22" ht="19" customHeight="1">
      <c r="A140" s="68" t="s">
        <v>368</v>
      </c>
      <c r="B140" s="74">
        <v>1</v>
      </c>
      <c r="C140" s="68" t="s">
        <v>363</v>
      </c>
      <c r="D140" s="68" t="s">
        <v>364</v>
      </c>
      <c r="E140" s="75">
        <f>60*F140*'THAM_SO_MOI'!$C$49/(2*PI()*'THAM_SO_MOI'!$C$26)</f>
        <v>1101.4999999999998</v>
      </c>
      <c r="F140" s="75">
        <f>'THAM_SO_MOI'!$E$49+('THAM_SO_MOI'!$F$49-'THAM_SO_MOI'!$E$49)*134/'THAM_SO_MOI'!$C$42</f>
        <v>1.7199621959237343</v>
      </c>
      <c r="G140" s="75">
        <f>3.6*F140</f>
        <v>6.191863905325444</v>
      </c>
      <c r="H140" s="75">
        <f>'THAM_SO_MOI'!$D$49</f>
        <v>3.1625000000000005</v>
      </c>
      <c r="I140" s="75">
        <f>IF(F140&gt;'THAM_SO_MOI'!$C$14,'THAM_SO_MOI'!$C$13*(1+F140^2/1500),'THAM_SO_MOI'!$C$13)</f>
        <v>0.015</v>
      </c>
      <c r="J140" s="75">
        <f>'THAM_SO_MOI'!$C$40*('THAM_SO_MOI'!$C$23*(E140/'THAM_SO_MOI'!$C$22)+'THAM_SO_MOI'!$C$24*(E140/'THAM_SO_MOI'!$C$22)^2-'THAM_SO_MOI'!$C$25*(E140/'THAM_SO_MOI'!$C$22)^3)</f>
        <v>43.258466766692976</v>
      </c>
      <c r="K140" s="75">
        <f>'THAM_SO_MOI'!$C$31*J140/E140</f>
        <v>375.09384629792396</v>
      </c>
      <c r="L140" s="75">
        <f>K140*'THAM_SO_MOI'!$C$49*'THAM_SO_MOI'!$C$17/'THAM_SO_MOI'!$C$26</f>
        <v>21382.23424846093</v>
      </c>
      <c r="M140" s="75">
        <f>'THAM_SO_MOI'!$C$15*'THAM_SO_MOI'!$C$16*F140^2</f>
        <v>8.652939619564874</v>
      </c>
      <c r="N140" s="75">
        <f>'THAM_SO_MOI'!$C$12*I140</f>
        <v>1130.112</v>
      </c>
      <c r="O140" s="75">
        <f>M140+N140</f>
        <v>1138.764939619565</v>
      </c>
      <c r="P140" s="75">
        <f>(MIN(L140,'THAM_SO_MOI'!$C$41)-O140)/('THAM_SO_MOI'!$C$11*H140)</f>
        <v>0.833476173782994</v>
      </c>
      <c r="Q140" s="75">
        <f>IF(P140&gt;0,1/P140,NA())</f>
        <v>1.1997943450035113</v>
      </c>
      <c r="R140" s="75">
        <f>F140-F139</f>
        <v>0.0035133136094673834</v>
      </c>
      <c r="S140" s="75">
        <f>0.5*(Q139+Q140)*R140</f>
        <v>0.004216632423984952</v>
      </c>
      <c r="T140" s="75">
        <f>0.5*(F139*Q139+F140*Q140)*R140</f>
        <v>0.007245038765552034</v>
      </c>
      <c r="U140" s="76">
        <f>U139+S140</f>
        <v>0.5938090888676528</v>
      </c>
      <c r="V140" s="76">
        <f>V139+T140</f>
        <v>0.8790993075437598</v>
      </c>
    </row>
    <row r="141" spans="1:22" ht="19" customHeight="1">
      <c r="A141" s="68" t="s">
        <v>368</v>
      </c>
      <c r="B141" s="74">
        <v>1</v>
      </c>
      <c r="C141" s="68" t="s">
        <v>363</v>
      </c>
      <c r="D141" s="68" t="s">
        <v>364</v>
      </c>
      <c r="E141" s="75">
        <f>60*F141*'THAM_SO_MOI'!$C$49/(2*PI()*'THAM_SO_MOI'!$C$26)</f>
        <v>1103.7499999999998</v>
      </c>
      <c r="F141" s="75">
        <f>'THAM_SO_MOI'!$E$49+('THAM_SO_MOI'!$F$49-'THAM_SO_MOI'!$E$49)*135/'THAM_SO_MOI'!$C$42</f>
        <v>1.723475509533202</v>
      </c>
      <c r="G141" s="75">
        <f>3.6*F141</f>
        <v>6.204511834319527</v>
      </c>
      <c r="H141" s="75">
        <f>'THAM_SO_MOI'!$D$49</f>
        <v>3.1625000000000005</v>
      </c>
      <c r="I141" s="75">
        <f>IF(F141&gt;'THAM_SO_MOI'!$C$14,'THAM_SO_MOI'!$C$13*(1+F141^2/1500),'THAM_SO_MOI'!$C$13)</f>
        <v>0.015</v>
      </c>
      <c r="J141" s="75">
        <f>'THAM_SO_MOI'!$C$40*('THAM_SO_MOI'!$C$23*(E141/'THAM_SO_MOI'!$C$22)+'THAM_SO_MOI'!$C$24*(E141/'THAM_SO_MOI'!$C$22)^2-'THAM_SO_MOI'!$C$25*(E141/'THAM_SO_MOI'!$C$22)^3)</f>
        <v>43.37367040140354</v>
      </c>
      <c r="K141" s="75">
        <f>'THAM_SO_MOI'!$C$31*J141/E141</f>
        <v>375.32610912397973</v>
      </c>
      <c r="L141" s="75">
        <f>K141*'THAM_SO_MOI'!$C$49*'THAM_SO_MOI'!$C$17/'THAM_SO_MOI'!$C$26</f>
        <v>21395.47439676768</v>
      </c>
      <c r="M141" s="75">
        <f>'THAM_SO_MOI'!$C$15*'THAM_SO_MOI'!$C$16*F141^2</f>
        <v>8.688325908485135</v>
      </c>
      <c r="N141" s="75">
        <f>'THAM_SO_MOI'!$C$12*I141</f>
        <v>1130.112</v>
      </c>
      <c r="O141" s="75">
        <f>M141+N141</f>
        <v>1138.8003259084853</v>
      </c>
      <c r="P141" s="75">
        <f>(MIN(L141,'THAM_SO_MOI'!$C$41)-O141)/('THAM_SO_MOI'!$C$11*H141)</f>
        <v>0.8340198481084976</v>
      </c>
      <c r="Q141" s="75">
        <f>IF(P141&gt;0,1/P141,NA())</f>
        <v>1.1990122324641728</v>
      </c>
      <c r="R141" s="75">
        <f>F141-F140</f>
        <v>0.0035133136094676054</v>
      </c>
      <c r="S141" s="75">
        <f>0.5*(Q140+Q141)*R141</f>
        <v>0.004213879897548811</v>
      </c>
      <c r="T141" s="75">
        <f>0.5*(F140*Q140+F141*Q141)*R141</f>
        <v>0.007255114049266688</v>
      </c>
      <c r="U141" s="76">
        <f>U140+S141</f>
        <v>0.5980229687652017</v>
      </c>
      <c r="V141" s="76">
        <f>V140+T141</f>
        <v>0.8863544215930265</v>
      </c>
    </row>
    <row r="142" spans="1:22" ht="19" customHeight="1">
      <c r="A142" s="68" t="s">
        <v>368</v>
      </c>
      <c r="B142" s="74">
        <v>1</v>
      </c>
      <c r="C142" s="68" t="s">
        <v>363</v>
      </c>
      <c r="D142" s="68" t="s">
        <v>364</v>
      </c>
      <c r="E142" s="75">
        <f>60*F142*'THAM_SO_MOI'!$C$49/(2*PI()*'THAM_SO_MOI'!$C$26)</f>
        <v>1106.0</v>
      </c>
      <c r="F142" s="75">
        <f>'THAM_SO_MOI'!$E$49+('THAM_SO_MOI'!$F$49-'THAM_SO_MOI'!$E$49)*136/'THAM_SO_MOI'!$C$42</f>
        <v>1.7269888231426693</v>
      </c>
      <c r="G142" s="75">
        <f>3.6*F142</f>
        <v>6.217159763313609</v>
      </c>
      <c r="H142" s="75">
        <f>'THAM_SO_MOI'!$D$49</f>
        <v>3.1625000000000005</v>
      </c>
      <c r="I142" s="75">
        <f>IF(F142&gt;'THAM_SO_MOI'!$C$14,'THAM_SO_MOI'!$C$13*(1+F142^2/1500),'THAM_SO_MOI'!$C$13)</f>
        <v>0.015</v>
      </c>
      <c r="J142" s="75">
        <f>'THAM_SO_MOI'!$C$40*('THAM_SO_MOI'!$C$23*(E142/'THAM_SO_MOI'!$C$22)+'THAM_SO_MOI'!$C$24*(E142/'THAM_SO_MOI'!$C$22)^2-'THAM_SO_MOI'!$C$25*(E142/'THAM_SO_MOI'!$C$22)^3)</f>
        <v>43.488926593841434</v>
      </c>
      <c r="K142" s="75">
        <f>'THAM_SO_MOI'!$C$31*J142/E142</f>
        <v>375.5578808119767</v>
      </c>
      <c r="L142" s="75">
        <f>K142*'THAM_SO_MOI'!$C$49*'THAM_SO_MOI'!$C$17/'THAM_SO_MOI'!$C$26</f>
        <v>21408.686547736896</v>
      </c>
      <c r="M142" s="75">
        <f>'THAM_SO_MOI'!$C$15*'THAM_SO_MOI'!$C$16*F142^2</f>
        <v>8.723784406134628</v>
      </c>
      <c r="N142" s="75">
        <f>'THAM_SO_MOI'!$C$12*I142</f>
        <v>1130.112</v>
      </c>
      <c r="O142" s="75">
        <f>M142+N142</f>
        <v>1138.8357844061347</v>
      </c>
      <c r="P142" s="75">
        <f>(MIN(L142,'THAM_SO_MOI'!$C$41)-O142)/('THAM_SO_MOI'!$C$11*H142)</f>
        <v>0.8345623667379264</v>
      </c>
      <c r="Q142" s="75">
        <f>IF(P142&gt;0,1/P142,NA())</f>
        <v>1.1982327982373846</v>
      </c>
      <c r="R142" s="75">
        <f>F142-F141</f>
        <v>0.0035133136094673834</v>
      </c>
      <c r="S142" s="75">
        <f>0.5*(Q141+Q142)*R142</f>
        <v>0.004211136795795919</v>
      </c>
      <c r="T142" s="75">
        <f>0.5*(F141*Q141+F142*Q142)*R142</f>
        <v>0.007265186251744632</v>
      </c>
      <c r="U142" s="76">
        <f>U141+S142</f>
        <v>0.6022341055609975</v>
      </c>
      <c r="V142" s="76">
        <f>V141+T142</f>
        <v>0.8936196078447711</v>
      </c>
    </row>
    <row r="143" spans="1:22" ht="19" customHeight="1">
      <c r="A143" s="68" t="s">
        <v>368</v>
      </c>
      <c r="B143" s="74">
        <v>1</v>
      </c>
      <c r="C143" s="68" t="s">
        <v>363</v>
      </c>
      <c r="D143" s="68" t="s">
        <v>364</v>
      </c>
      <c r="E143" s="75">
        <f>60*F143*'THAM_SO_MOI'!$C$49/(2*PI()*'THAM_SO_MOI'!$C$26)</f>
        <v>1108.2499999999998</v>
      </c>
      <c r="F143" s="75">
        <f>'THAM_SO_MOI'!$E$49+('THAM_SO_MOI'!$F$49-'THAM_SO_MOI'!$E$49)*137/'THAM_SO_MOI'!$C$42</f>
        <v>1.7305021367521367</v>
      </c>
      <c r="G143" s="75">
        <f>3.6*F143</f>
        <v>6.229807692307692</v>
      </c>
      <c r="H143" s="75">
        <f>'THAM_SO_MOI'!$D$49</f>
        <v>3.1625000000000005</v>
      </c>
      <c r="I143" s="75">
        <f>IF(F143&gt;'THAM_SO_MOI'!$C$14,'THAM_SO_MOI'!$C$13*(1+F143^2/1500),'THAM_SO_MOI'!$C$13)</f>
        <v>0.015</v>
      </c>
      <c r="J143" s="75">
        <f>'THAM_SO_MOI'!$C$40*('THAM_SO_MOI'!$C$23*(E143/'THAM_SO_MOI'!$C$22)+'THAM_SO_MOI'!$C$24*(E143/'THAM_SO_MOI'!$C$22)^2-'THAM_SO_MOI'!$C$25*(E143/'THAM_SO_MOI'!$C$22)^3)</f>
        <v>43.6042349969071</v>
      </c>
      <c r="K143" s="75">
        <f>'THAM_SO_MOI'!$C$31*J143/E143</f>
        <v>375.7891613619148</v>
      </c>
      <c r="L143" s="75">
        <f>K143*'THAM_SO_MOI'!$C$49*'THAM_SO_MOI'!$C$17/'THAM_SO_MOI'!$C$26</f>
        <v>21421.870701368578</v>
      </c>
      <c r="M143" s="75">
        <f>'THAM_SO_MOI'!$C$15*'THAM_SO_MOI'!$C$16*F143^2</f>
        <v>8.759315112513356</v>
      </c>
      <c r="N143" s="75">
        <f>'THAM_SO_MOI'!$C$12*I143</f>
        <v>1130.112</v>
      </c>
      <c r="O143" s="75">
        <f>M143+N143</f>
        <v>1138.8713151125135</v>
      </c>
      <c r="P143" s="75">
        <f>(MIN(L143,'THAM_SO_MOI'!$C$41)-O143)/('THAM_SO_MOI'!$C$11*H143)</f>
        <v>0.8351037296712804</v>
      </c>
      <c r="Q143" s="75">
        <f>IF(P143&gt;0,1/P143,NA())</f>
        <v>1.1974560338673463</v>
      </c>
      <c r="R143" s="75">
        <f>F143-F142</f>
        <v>0.0035133136094673834</v>
      </c>
      <c r="S143" s="75">
        <f>0.5*(Q142+Q143)*R143</f>
        <v>0.004208403088941286</v>
      </c>
      <c r="T143" s="75">
        <f>0.5*(F142*Q142+F143*Q143)*R143</f>
        <v>0.007275255420830944</v>
      </c>
      <c r="U143" s="76">
        <f>U142+S143</f>
        <v>0.6064425086499389</v>
      </c>
      <c r="V143" s="76">
        <f>V142+T143</f>
        <v>0.9008948632656021</v>
      </c>
    </row>
    <row r="144" spans="1:22" ht="19" customHeight="1">
      <c r="A144" s="68" t="s">
        <v>368</v>
      </c>
      <c r="B144" s="74">
        <v>1</v>
      </c>
      <c r="C144" s="68" t="s">
        <v>363</v>
      </c>
      <c r="D144" s="68" t="s">
        <v>364</v>
      </c>
      <c r="E144" s="75">
        <f>60*F144*'THAM_SO_MOI'!$C$49/(2*PI()*'THAM_SO_MOI'!$C$26)</f>
        <v>1110.5</v>
      </c>
      <c r="F144" s="75">
        <f>'THAM_SO_MOI'!$E$49+('THAM_SO_MOI'!$F$49-'THAM_SO_MOI'!$E$49)*138/'THAM_SO_MOI'!$C$42</f>
        <v>1.7340154503616043</v>
      </c>
      <c r="G144" s="75">
        <f>3.6*F144</f>
        <v>6.242455621301776</v>
      </c>
      <c r="H144" s="75">
        <f>'THAM_SO_MOI'!$D$49</f>
        <v>3.1625000000000005</v>
      </c>
      <c r="I144" s="75">
        <f>IF(F144&gt;'THAM_SO_MOI'!$C$14,'THAM_SO_MOI'!$C$13*(1+F144^2/1500),'THAM_SO_MOI'!$C$13)</f>
        <v>0.015</v>
      </c>
      <c r="J144" s="75">
        <f>'THAM_SO_MOI'!$C$40*('THAM_SO_MOI'!$C$23*(E144/'THAM_SO_MOI'!$C$22)+'THAM_SO_MOI'!$C$24*(E144/'THAM_SO_MOI'!$C$22)^2-'THAM_SO_MOI'!$C$25*(E144/'THAM_SO_MOI'!$C$22)^3)</f>
        <v>43.719595263501034</v>
      </c>
      <c r="K144" s="75">
        <f>'THAM_SO_MOI'!$C$31*J144/E144</f>
        <v>376.0199507737941</v>
      </c>
      <c r="L144" s="75">
        <f>K144*'THAM_SO_MOI'!$C$49*'THAM_SO_MOI'!$C$17/'THAM_SO_MOI'!$C$26</f>
        <v>21435.026857662724</v>
      </c>
      <c r="M144" s="75">
        <f>'THAM_SO_MOI'!$C$15*'THAM_SO_MOI'!$C$16*F144^2</f>
        <v>8.794918027621316</v>
      </c>
      <c r="N144" s="75">
        <f>'THAM_SO_MOI'!$C$12*I144</f>
        <v>1130.112</v>
      </c>
      <c r="O144" s="75">
        <f>M144+N144</f>
        <v>1138.9069180276215</v>
      </c>
      <c r="P144" s="75">
        <f>(MIN(L144,'THAM_SO_MOI'!$C$41)-O144)/('THAM_SO_MOI'!$C$11*H144)</f>
        <v>0.8356439369085596</v>
      </c>
      <c r="Q144" s="75">
        <f>IF(P144&gt;0,1/P144,NA())</f>
        <v>1.196681930942347</v>
      </c>
      <c r="R144" s="75">
        <f>F144-F143</f>
        <v>0.0035133136094676054</v>
      </c>
      <c r="S144" s="75">
        <f>0.5*(Q143+Q144)*R144</f>
        <v>0.004205678747354485</v>
      </c>
      <c r="T144" s="75">
        <f>0.5*(F143*Q143+F144*Q144)*R144</f>
        <v>0.00728532160421986</v>
      </c>
      <c r="U144" s="76">
        <f>U143+S144</f>
        <v>0.6106481873972933</v>
      </c>
      <c r="V144" s="76">
        <f>V143+T144</f>
        <v>0.908180184869822</v>
      </c>
    </row>
    <row r="145" spans="1:22" ht="19" customHeight="1">
      <c r="A145" s="68" t="s">
        <v>368</v>
      </c>
      <c r="B145" s="74">
        <v>1</v>
      </c>
      <c r="C145" s="68" t="s">
        <v>363</v>
      </c>
      <c r="D145" s="68" t="s">
        <v>364</v>
      </c>
      <c r="E145" s="75">
        <f>60*F145*'THAM_SO_MOI'!$C$49/(2*PI()*'THAM_SO_MOI'!$C$26)</f>
        <v>1112.7499999999998</v>
      </c>
      <c r="F145" s="75">
        <f>'THAM_SO_MOI'!$E$49+('THAM_SO_MOI'!$F$49-'THAM_SO_MOI'!$E$49)*139/'THAM_SO_MOI'!$C$42</f>
        <v>1.7375287639710717</v>
      </c>
      <c r="G145" s="75">
        <f>3.6*F145</f>
        <v>6.255103550295858</v>
      </c>
      <c r="H145" s="75">
        <f>'THAM_SO_MOI'!$D$49</f>
        <v>3.1625000000000005</v>
      </c>
      <c r="I145" s="75">
        <f>IF(F145&gt;'THAM_SO_MOI'!$C$14,'THAM_SO_MOI'!$C$13*(1+F145^2/1500),'THAM_SO_MOI'!$C$13)</f>
        <v>0.015</v>
      </c>
      <c r="J145" s="75">
        <f>'THAM_SO_MOI'!$C$40*('THAM_SO_MOI'!$C$23*(E145/'THAM_SO_MOI'!$C$22)+'THAM_SO_MOI'!$C$24*(E145/'THAM_SO_MOI'!$C$22)^2-'THAM_SO_MOI'!$C$25*(E145/'THAM_SO_MOI'!$C$22)^3)</f>
        <v>43.835007046523664</v>
      </c>
      <c r="K145" s="75">
        <f>'THAM_SO_MOI'!$C$31*J145/E145</f>
        <v>376.2502490476148</v>
      </c>
      <c r="L145" s="75">
        <f>K145*'THAM_SO_MOI'!$C$49*'THAM_SO_MOI'!$C$17/'THAM_SO_MOI'!$C$26</f>
        <v>21448.15501661934</v>
      </c>
      <c r="M145" s="75">
        <f>'THAM_SO_MOI'!$C$15*'THAM_SO_MOI'!$C$16*F145^2</f>
        <v>8.830593151458508</v>
      </c>
      <c r="N145" s="75">
        <f>'THAM_SO_MOI'!$C$12*I145</f>
        <v>1130.112</v>
      </c>
      <c r="O145" s="75">
        <f>M145+N145</f>
        <v>1138.9425931514586</v>
      </c>
      <c r="P145" s="75">
        <f>(MIN(L145,'THAM_SO_MOI'!$C$41)-O145)/('THAM_SO_MOI'!$C$11*H145)</f>
        <v>0.8361829884497645</v>
      </c>
      <c r="Q145" s="75">
        <f>IF(P145&gt;0,1/P145,NA())</f>
        <v>1.1959104810945065</v>
      </c>
      <c r="R145" s="75">
        <f>F145-F144</f>
        <v>0.0035133136094673834</v>
      </c>
      <c r="S145" s="75">
        <f>0.5*(Q144+Q145)*R145</f>
        <v>0.004202963741558735</v>
      </c>
      <c r="T145" s="75">
        <f>0.5*(F144*Q144+F145*Q145)*R145</f>
        <v>0.0072953848494559095</v>
      </c>
      <c r="U145" s="76">
        <f>U144+S145</f>
        <v>0.614851151138852</v>
      </c>
      <c r="V145" s="76">
        <f>V144+T145</f>
        <v>0.9154755697192779</v>
      </c>
    </row>
    <row r="146" spans="1:22" ht="19" customHeight="1">
      <c r="A146" s="68" t="s">
        <v>368</v>
      </c>
      <c r="B146" s="74">
        <v>1</v>
      </c>
      <c r="C146" s="68" t="s">
        <v>363</v>
      </c>
      <c r="D146" s="68" t="s">
        <v>364</v>
      </c>
      <c r="E146" s="75">
        <f>60*F146*'THAM_SO_MOI'!$C$49/(2*PI()*'THAM_SO_MOI'!$C$26)</f>
        <v>1115.0</v>
      </c>
      <c r="F146" s="75">
        <f>'THAM_SO_MOI'!$E$49+('THAM_SO_MOI'!$F$49-'THAM_SO_MOI'!$E$49)*140/'THAM_SO_MOI'!$C$42</f>
        <v>1.741042077580539</v>
      </c>
      <c r="G146" s="75">
        <f>3.6*F146</f>
        <v>6.267751479289941</v>
      </c>
      <c r="H146" s="75">
        <f>'THAM_SO_MOI'!$D$49</f>
        <v>3.1625000000000005</v>
      </c>
      <c r="I146" s="75">
        <f>IF(F146&gt;'THAM_SO_MOI'!$C$14,'THAM_SO_MOI'!$C$13*(1+F146^2/1500),'THAM_SO_MOI'!$C$13)</f>
        <v>0.015</v>
      </c>
      <c r="J146" s="75">
        <f>'THAM_SO_MOI'!$C$40*('THAM_SO_MOI'!$C$23*(E146/'THAM_SO_MOI'!$C$22)+'THAM_SO_MOI'!$C$24*(E146/'THAM_SO_MOI'!$C$22)^2-'THAM_SO_MOI'!$C$25*(E146/'THAM_SO_MOI'!$C$22)^3)</f>
        <v>43.95046999887546</v>
      </c>
      <c r="K146" s="75">
        <f>'THAM_SO_MOI'!$C$31*J146/E146</f>
        <v>376.4800561833765</v>
      </c>
      <c r="L146" s="75">
        <f>K146*'THAM_SO_MOI'!$C$49*'THAM_SO_MOI'!$C$17/'THAM_SO_MOI'!$C$26</f>
        <v>21461.255178238425</v>
      </c>
      <c r="M146" s="75">
        <f>'THAM_SO_MOI'!$C$15*'THAM_SO_MOI'!$C$16*F146^2</f>
        <v>8.866340484024933</v>
      </c>
      <c r="N146" s="75">
        <f>'THAM_SO_MOI'!$C$12*I146</f>
        <v>1130.112</v>
      </c>
      <c r="O146" s="75">
        <f>M146+N146</f>
        <v>1138.978340484025</v>
      </c>
      <c r="P146" s="75">
        <f>(MIN(L146,'THAM_SO_MOI'!$C$41)-O146)/('THAM_SO_MOI'!$C$11*H146)</f>
        <v>0.8367208842948944</v>
      </c>
      <c r="Q146" s="75">
        <f>IF(P146&gt;0,1/P146,NA())</f>
        <v>1.1951416759995193</v>
      </c>
      <c r="R146" s="75">
        <f>F146-F145</f>
        <v>0.0035133136094673834</v>
      </c>
      <c r="S146" s="75">
        <f>0.5*(Q145+Q146)*R146</f>
        <v>0.004200258042232393</v>
      </c>
      <c r="T146" s="75">
        <f>0.5*(F145*Q145+F146*Q146)*R146</f>
        <v>0.0073054452039392065</v>
      </c>
      <c r="U146" s="76">
        <f>U145+S146</f>
        <v>0.6190514091810844</v>
      </c>
      <c r="V146" s="76">
        <f>V145+T146</f>
        <v>0.9227810149232171</v>
      </c>
    </row>
    <row r="147" spans="1:22" ht="19" customHeight="1">
      <c r="A147" s="68" t="s">
        <v>368</v>
      </c>
      <c r="B147" s="74">
        <v>1</v>
      </c>
      <c r="C147" s="68" t="s">
        <v>363</v>
      </c>
      <c r="D147" s="68" t="s">
        <v>364</v>
      </c>
      <c r="E147" s="75">
        <f>60*F147*'THAM_SO_MOI'!$C$49/(2*PI()*'THAM_SO_MOI'!$C$26)</f>
        <v>1117.25</v>
      </c>
      <c r="F147" s="75">
        <f>'THAM_SO_MOI'!$E$49+('THAM_SO_MOI'!$F$49-'THAM_SO_MOI'!$E$49)*141/'THAM_SO_MOI'!$C$42</f>
        <v>1.7445553911900067</v>
      </c>
      <c r="G147" s="75">
        <f>3.6*F147</f>
        <v>6.280399408284024</v>
      </c>
      <c r="H147" s="75">
        <f>'THAM_SO_MOI'!$D$49</f>
        <v>3.1625000000000005</v>
      </c>
      <c r="I147" s="75">
        <f>IF(F147&gt;'THAM_SO_MOI'!$C$14,'THAM_SO_MOI'!$C$13*(1+F147^2/1500),'THAM_SO_MOI'!$C$13)</f>
        <v>0.015</v>
      </c>
      <c r="J147" s="75">
        <f>'THAM_SO_MOI'!$C$40*('THAM_SO_MOI'!$C$23*(E147/'THAM_SO_MOI'!$C$22)+'THAM_SO_MOI'!$C$24*(E147/'THAM_SO_MOI'!$C$22)^2-'THAM_SO_MOI'!$C$25*(E147/'THAM_SO_MOI'!$C$22)^3)</f>
        <v>44.06598377345688</v>
      </c>
      <c r="K147" s="75">
        <f>'THAM_SO_MOI'!$C$31*J147/E147</f>
        <v>376.70937218107963</v>
      </c>
      <c r="L147" s="75">
        <f>K147*'THAM_SO_MOI'!$C$49*'THAM_SO_MOI'!$C$17/'THAM_SO_MOI'!$C$26</f>
        <v>21474.32734251998</v>
      </c>
      <c r="M147" s="75">
        <f>'THAM_SO_MOI'!$C$15*'THAM_SO_MOI'!$C$16*F147^2</f>
        <v>8.902160025320594</v>
      </c>
      <c r="N147" s="75">
        <f>'THAM_SO_MOI'!$C$12*I147</f>
        <v>1130.112</v>
      </c>
      <c r="O147" s="75">
        <f>M147+N147</f>
        <v>1139.0141600253207</v>
      </c>
      <c r="P147" s="75">
        <f>(MIN(L147,'THAM_SO_MOI'!$C$41)-O147)/('THAM_SO_MOI'!$C$11*H147)</f>
        <v>0.8372576244439499</v>
      </c>
      <c r="Q147" s="75">
        <f>IF(P147&gt;0,1/P147,NA())</f>
        <v>1.1943755073763975</v>
      </c>
      <c r="R147" s="75">
        <f>F147-F146</f>
        <v>0.0035133136094676054</v>
      </c>
      <c r="S147" s="75">
        <f>0.5*(Q146+Q147)*R147</f>
        <v>0.004197561620205654</v>
      </c>
      <c r="T147" s="75">
        <f>0.5*(F146*Q146+F147*Q147)*R147</f>
        <v>0.0073155027149224275</v>
      </c>
      <c r="U147" s="76">
        <f>U146+S147</f>
        <v>0.62324897080129</v>
      </c>
      <c r="V147" s="76">
        <f>V146+T147</f>
        <v>0.9300965176381395</v>
      </c>
    </row>
    <row r="148" spans="1:22" ht="19" customHeight="1">
      <c r="A148" s="68" t="s">
        <v>368</v>
      </c>
      <c r="B148" s="74">
        <v>1</v>
      </c>
      <c r="C148" s="68" t="s">
        <v>363</v>
      </c>
      <c r="D148" s="68" t="s">
        <v>364</v>
      </c>
      <c r="E148" s="75">
        <f>60*F148*'THAM_SO_MOI'!$C$49/(2*PI()*'THAM_SO_MOI'!$C$26)</f>
        <v>1119.4999999999998</v>
      </c>
      <c r="F148" s="75">
        <f>'THAM_SO_MOI'!$E$49+('THAM_SO_MOI'!$F$49-'THAM_SO_MOI'!$E$49)*142/'THAM_SO_MOI'!$C$42</f>
        <v>1.748068704799474</v>
      </c>
      <c r="G148" s="75">
        <f>3.6*F148</f>
        <v>6.293047337278106</v>
      </c>
      <c r="H148" s="75">
        <f>'THAM_SO_MOI'!$D$49</f>
        <v>3.1625000000000005</v>
      </c>
      <c r="I148" s="75">
        <f>IF(F148&gt;'THAM_SO_MOI'!$C$14,'THAM_SO_MOI'!$C$13*(1+F148^2/1500),'THAM_SO_MOI'!$C$13)</f>
        <v>0.015</v>
      </c>
      <c r="J148" s="75">
        <f>'THAM_SO_MOI'!$C$40*('THAM_SO_MOI'!$C$23*(E148/'THAM_SO_MOI'!$C$22)+'THAM_SO_MOI'!$C$24*(E148/'THAM_SO_MOI'!$C$22)^2-'THAM_SO_MOI'!$C$25*(E148/'THAM_SO_MOI'!$C$22)^3)</f>
        <v>44.18154802316834</v>
      </c>
      <c r="K148" s="75">
        <f>'THAM_SO_MOI'!$C$31*J148/E148</f>
        <v>376.93819704072376</v>
      </c>
      <c r="L148" s="75">
        <f>K148*'THAM_SO_MOI'!$C$49*'THAM_SO_MOI'!$C$17/'THAM_SO_MOI'!$C$26</f>
        <v>21487.371509463996</v>
      </c>
      <c r="M148" s="75">
        <f>'THAM_SO_MOI'!$C$15*'THAM_SO_MOI'!$C$16*F148^2</f>
        <v>8.938051775345485</v>
      </c>
      <c r="N148" s="75">
        <f>'THAM_SO_MOI'!$C$12*I148</f>
        <v>1130.112</v>
      </c>
      <c r="O148" s="75">
        <f>M148+N148</f>
        <v>1139.0500517753455</v>
      </c>
      <c r="P148" s="75">
        <f>(MIN(L148,'THAM_SO_MOI'!$C$41)-O148)/('THAM_SO_MOI'!$C$11*H148)</f>
        <v>0.8377932088969304</v>
      </c>
      <c r="Q148" s="75">
        <f>IF(P148&gt;0,1/P148,NA())</f>
        <v>1.19361196698722</v>
      </c>
      <c r="R148" s="75">
        <f>F148-F147</f>
        <v>0.0035133136094673834</v>
      </c>
      <c r="S148" s="75">
        <f>0.5*(Q147+Q148)*R148</f>
        <v>0.004194874446459671</v>
      </c>
      <c r="T148" s="75">
        <f>0.5*(F147*Q147+F148*Q148)*R148</f>
        <v>0.007325557429511927</v>
      </c>
      <c r="U148" s="76">
        <f>U147+S148</f>
        <v>0.6274438452477498</v>
      </c>
      <c r="V148" s="76">
        <f>V147+T148</f>
        <v>0.9374220750676514</v>
      </c>
    </row>
    <row r="149" spans="1:22" ht="19" customHeight="1">
      <c r="A149" s="68" t="s">
        <v>368</v>
      </c>
      <c r="B149" s="74">
        <v>1</v>
      </c>
      <c r="C149" s="68" t="s">
        <v>363</v>
      </c>
      <c r="D149" s="68" t="s">
        <v>364</v>
      </c>
      <c r="E149" s="75">
        <f>60*F149*'THAM_SO_MOI'!$C$49/(2*PI()*'THAM_SO_MOI'!$C$26)</f>
        <v>1121.7499999999998</v>
      </c>
      <c r="F149" s="75">
        <f>'THAM_SO_MOI'!$E$49+('THAM_SO_MOI'!$F$49-'THAM_SO_MOI'!$E$49)*143/'THAM_SO_MOI'!$C$42</f>
        <v>1.7515820184089415</v>
      </c>
      <c r="G149" s="75">
        <f>3.6*F149</f>
        <v>6.305695266272189</v>
      </c>
      <c r="H149" s="75">
        <f>'THAM_SO_MOI'!$D$49</f>
        <v>3.1625000000000005</v>
      </c>
      <c r="I149" s="75">
        <f>IF(F149&gt;'THAM_SO_MOI'!$C$14,'THAM_SO_MOI'!$C$13*(1+F149^2/1500),'THAM_SO_MOI'!$C$13)</f>
        <v>0.015</v>
      </c>
      <c r="J149" s="75">
        <f>'THAM_SO_MOI'!$C$40*('THAM_SO_MOI'!$C$23*(E149/'THAM_SO_MOI'!$C$22)+'THAM_SO_MOI'!$C$24*(E149/'THAM_SO_MOI'!$C$22)^2-'THAM_SO_MOI'!$C$25*(E149/'THAM_SO_MOI'!$C$22)^3)</f>
        <v>44.297162400910345</v>
      </c>
      <c r="K149" s="75">
        <f>'THAM_SO_MOI'!$C$31*J149/E149</f>
        <v>377.16653076230926</v>
      </c>
      <c r="L149" s="75">
        <f>K149*'THAM_SO_MOI'!$C$49*'THAM_SO_MOI'!$C$17/'THAM_SO_MOI'!$C$26</f>
        <v>21500.387679070485</v>
      </c>
      <c r="M149" s="75">
        <f>'THAM_SO_MOI'!$C$15*'THAM_SO_MOI'!$C$16*F149^2</f>
        <v>8.97401573409961</v>
      </c>
      <c r="N149" s="75">
        <f>'THAM_SO_MOI'!$C$12*I149</f>
        <v>1130.112</v>
      </c>
      <c r="O149" s="75">
        <f>M149+N149</f>
        <v>1139.0860157340996</v>
      </c>
      <c r="P149" s="75">
        <f>(MIN(L149,'THAM_SO_MOI'!$C$41)-O149)/('THAM_SO_MOI'!$C$11*H149)</f>
        <v>0.8383276376538366</v>
      </c>
      <c r="Q149" s="75">
        <f>IF(P149&gt;0,1/P149,NA())</f>
        <v>1.1928510466368776</v>
      </c>
      <c r="R149" s="75">
        <f>F149-F148</f>
        <v>0.0035133136094673834</v>
      </c>
      <c r="S149" s="75">
        <f>0.5*(Q148+Q149)*R149</f>
        <v>0.004192196492128044</v>
      </c>
      <c r="T149" s="75">
        <f>0.5*(F148*Q148+F149*Q149)*R149</f>
        <v>0.007335609394673012</v>
      </c>
      <c r="U149" s="76">
        <f>U148+S149</f>
        <v>0.6316360417398779</v>
      </c>
      <c r="V149" s="76">
        <f>V148+T149</f>
        <v>0.9447576844623244</v>
      </c>
    </row>
    <row r="150" spans="1:22" ht="19" customHeight="1">
      <c r="A150" s="68" t="s">
        <v>368</v>
      </c>
      <c r="B150" s="74">
        <v>1</v>
      </c>
      <c r="C150" s="68" t="s">
        <v>363</v>
      </c>
      <c r="D150" s="68" t="s">
        <v>364</v>
      </c>
      <c r="E150" s="75">
        <f>60*F150*'THAM_SO_MOI'!$C$49/(2*PI()*'THAM_SO_MOI'!$C$26)</f>
        <v>1124.0</v>
      </c>
      <c r="F150" s="75">
        <f>'THAM_SO_MOI'!$E$49+('THAM_SO_MOI'!$F$49-'THAM_SO_MOI'!$E$49)*144/'THAM_SO_MOI'!$C$42</f>
        <v>1.755095332018409</v>
      </c>
      <c r="G150" s="75">
        <f>3.6*F150</f>
        <v>6.318343195266273</v>
      </c>
      <c r="H150" s="75">
        <f>'THAM_SO_MOI'!$D$49</f>
        <v>3.1625000000000005</v>
      </c>
      <c r="I150" s="75">
        <f>IF(F150&gt;'THAM_SO_MOI'!$C$14,'THAM_SO_MOI'!$C$13*(1+F150^2/1500),'THAM_SO_MOI'!$C$13)</f>
        <v>0.015</v>
      </c>
      <c r="J150" s="75">
        <f>'THAM_SO_MOI'!$C$40*('THAM_SO_MOI'!$C$23*(E150/'THAM_SO_MOI'!$C$22)+'THAM_SO_MOI'!$C$24*(E150/'THAM_SO_MOI'!$C$22)^2-'THAM_SO_MOI'!$C$25*(E150/'THAM_SO_MOI'!$C$22)^3)</f>
        <v>44.41282655958334</v>
      </c>
      <c r="K150" s="75">
        <f>'THAM_SO_MOI'!$C$31*J150/E150</f>
        <v>377.39437334583596</v>
      </c>
      <c r="L150" s="75">
        <f>K150*'THAM_SO_MOI'!$C$49*'THAM_SO_MOI'!$C$17/'THAM_SO_MOI'!$C$26</f>
        <v>21513.375851339435</v>
      </c>
      <c r="M150" s="75">
        <f>'THAM_SO_MOI'!$C$15*'THAM_SO_MOI'!$C$16*F150^2</f>
        <v>9.010051901582969</v>
      </c>
      <c r="N150" s="75">
        <f>'THAM_SO_MOI'!$C$12*I150</f>
        <v>1130.112</v>
      </c>
      <c r="O150" s="75">
        <f>M150+N150</f>
        <v>1139.122051901583</v>
      </c>
      <c r="P150" s="75">
        <f>(MIN(L150,'THAM_SO_MOI'!$C$41)-O150)/('THAM_SO_MOI'!$C$11*H150)</f>
        <v>0.8388609107146676</v>
      </c>
      <c r="Q150" s="75">
        <f>IF(P150&gt;0,1/P150,NA())</f>
        <v>1.1920927381728277</v>
      </c>
      <c r="R150" s="75">
        <f>F150-F149</f>
        <v>0.0035133136094676054</v>
      </c>
      <c r="S150" s="75">
        <f>0.5*(Q149+Q150)*R150</f>
        <v>0.004189527728493558</v>
      </c>
      <c r="T150" s="75">
        <f>0.5*(F149*Q149+F150*Q150)*R150</f>
        <v>0.007345658657226891</v>
      </c>
      <c r="U150" s="76">
        <f>U149+S150</f>
        <v>0.6358255694683714</v>
      </c>
      <c r="V150" s="76">
        <f>V149+T150</f>
        <v>0.9521033431195514</v>
      </c>
    </row>
    <row r="151" spans="1:22" ht="19" customHeight="1">
      <c r="A151" s="68" t="s">
        <v>368</v>
      </c>
      <c r="B151" s="74">
        <v>1</v>
      </c>
      <c r="C151" s="68" t="s">
        <v>363</v>
      </c>
      <c r="D151" s="68" t="s">
        <v>364</v>
      </c>
      <c r="E151" s="75">
        <f>60*F151*'THAM_SO_MOI'!$C$49/(2*PI()*'THAM_SO_MOI'!$C$26)</f>
        <v>1126.25</v>
      </c>
      <c r="F151" s="75">
        <f>'THAM_SO_MOI'!$E$49+('THAM_SO_MOI'!$F$49-'THAM_SO_MOI'!$E$49)*145/'THAM_SO_MOI'!$C$42</f>
        <v>1.7586086456278764</v>
      </c>
      <c r="G151" s="75">
        <f>3.6*F151</f>
        <v>6.330991124260355</v>
      </c>
      <c r="H151" s="75">
        <f>'THAM_SO_MOI'!$D$49</f>
        <v>3.1625000000000005</v>
      </c>
      <c r="I151" s="75">
        <f>IF(F151&gt;'THAM_SO_MOI'!$C$14,'THAM_SO_MOI'!$C$13*(1+F151^2/1500),'THAM_SO_MOI'!$C$13)</f>
        <v>0.015</v>
      </c>
      <c r="J151" s="75">
        <f>'THAM_SO_MOI'!$C$40*('THAM_SO_MOI'!$C$23*(E151/'THAM_SO_MOI'!$C$22)+'THAM_SO_MOI'!$C$24*(E151/'THAM_SO_MOI'!$C$22)^2-'THAM_SO_MOI'!$C$25*(E151/'THAM_SO_MOI'!$C$22)^3)</f>
        <v>44.528540152087764</v>
      </c>
      <c r="K151" s="75">
        <f>'THAM_SO_MOI'!$C$31*J151/E151</f>
        <v>377.6217247913039</v>
      </c>
      <c r="L151" s="75">
        <f>K151*'THAM_SO_MOI'!$C$49*'THAM_SO_MOI'!$C$17/'THAM_SO_MOI'!$C$26</f>
        <v>21526.336026270863</v>
      </c>
      <c r="M151" s="75">
        <f>'THAM_SO_MOI'!$C$15*'THAM_SO_MOI'!$C$16*F151^2</f>
        <v>9.04616027779556</v>
      </c>
      <c r="N151" s="75">
        <f>'THAM_SO_MOI'!$C$12*I151</f>
        <v>1130.112</v>
      </c>
      <c r="O151" s="75">
        <f>M151+N151</f>
        <v>1139.1581602777956</v>
      </c>
      <c r="P151" s="75">
        <f>(MIN(L151,'THAM_SO_MOI'!$C$41)-O151)/('THAM_SO_MOI'!$C$11*H151)</f>
        <v>0.8393930280794246</v>
      </c>
      <c r="Q151" s="75">
        <f>IF(P151&gt;0,1/P151,NA())</f>
        <v>1.1913370334848414</v>
      </c>
      <c r="R151" s="75">
        <f>F151-F150</f>
        <v>0.0035133136094673834</v>
      </c>
      <c r="S151" s="75">
        <f>0.5*(Q150+Q151)*R151</f>
        <v>0.004186868126987313</v>
      </c>
      <c r="T151" s="75">
        <f>0.5*(F150*Q150+F151*Q151)*R151</f>
        <v>0.007355705263851769</v>
      </c>
      <c r="U151" s="76">
        <f>U150+S151</f>
        <v>0.6400124375953588</v>
      </c>
      <c r="V151" s="76">
        <f>V150+T151</f>
        <v>0.9594590483834031</v>
      </c>
    </row>
    <row r="152" spans="1:22" ht="19" customHeight="1">
      <c r="A152" s="68" t="s">
        <v>368</v>
      </c>
      <c r="B152" s="74">
        <v>1</v>
      </c>
      <c r="C152" s="68" t="s">
        <v>363</v>
      </c>
      <c r="D152" s="68" t="s">
        <v>364</v>
      </c>
      <c r="E152" s="75">
        <f>60*F152*'THAM_SO_MOI'!$C$49/(2*PI()*'THAM_SO_MOI'!$C$26)</f>
        <v>1128.4999999999998</v>
      </c>
      <c r="F152" s="75">
        <f>'THAM_SO_MOI'!$E$49+('THAM_SO_MOI'!$F$49-'THAM_SO_MOI'!$E$49)*146/'THAM_SO_MOI'!$C$42</f>
        <v>1.7621219592373438</v>
      </c>
      <c r="G152" s="75">
        <f>3.6*F152</f>
        <v>6.343639053254438</v>
      </c>
      <c r="H152" s="75">
        <f>'THAM_SO_MOI'!$D$49</f>
        <v>3.1625000000000005</v>
      </c>
      <c r="I152" s="75">
        <f>IF(F152&gt;'THAM_SO_MOI'!$C$14,'THAM_SO_MOI'!$C$13*(1+F152^2/1500),'THAM_SO_MOI'!$C$13)</f>
        <v>0.015</v>
      </c>
      <c r="J152" s="75">
        <f>'THAM_SO_MOI'!$C$40*('THAM_SO_MOI'!$C$23*(E152/'THAM_SO_MOI'!$C$22)+'THAM_SO_MOI'!$C$24*(E152/'THAM_SO_MOI'!$C$22)^2-'THAM_SO_MOI'!$C$25*(E152/'THAM_SO_MOI'!$C$22)^3)</f>
        <v>44.64430283132407</v>
      </c>
      <c r="K152" s="75">
        <f>'THAM_SO_MOI'!$C$31*J152/E152</f>
        <v>377.848585098713</v>
      </c>
      <c r="L152" s="75">
        <f>K152*'THAM_SO_MOI'!$C$49*'THAM_SO_MOI'!$C$17/'THAM_SO_MOI'!$C$26</f>
        <v>21539.268203864747</v>
      </c>
      <c r="M152" s="75">
        <f>'THAM_SO_MOI'!$C$15*'THAM_SO_MOI'!$C$16*F152^2</f>
        <v>9.082340862737382</v>
      </c>
      <c r="N152" s="75">
        <f>'THAM_SO_MOI'!$C$12*I152</f>
        <v>1130.112</v>
      </c>
      <c r="O152" s="75">
        <f>M152+N152</f>
        <v>1139.1943408627374</v>
      </c>
      <c r="P152" s="75">
        <f>(MIN(L152,'THAM_SO_MOI'!$C$41)-O152)/('THAM_SO_MOI'!$C$11*H152)</f>
        <v>0.8399239897481063</v>
      </c>
      <c r="Q152" s="75">
        <f>IF(P152&gt;0,1/P152,NA())</f>
        <v>1.1905839245047645</v>
      </c>
      <c r="R152" s="75">
        <f>F152-F151</f>
        <v>0.0035133136094673834</v>
      </c>
      <c r="S152" s="75">
        <f>0.5*(Q151+Q152)*R152</f>
        <v>0.004184217659190235</v>
      </c>
      <c r="T152" s="75">
        <f>0.5*(F151*Q151+F152*Q152)*R152</f>
        <v>0.007365749261088114</v>
      </c>
      <c r="U152" s="76">
        <f>U151+S152</f>
        <v>0.6441966552545489</v>
      </c>
      <c r="V152" s="76">
        <f>V151+T152</f>
        <v>0.9668247976444913</v>
      </c>
    </row>
    <row r="153" spans="1:22" ht="19" customHeight="1">
      <c r="A153" s="68" t="s">
        <v>368</v>
      </c>
      <c r="B153" s="74">
        <v>1</v>
      </c>
      <c r="C153" s="68" t="s">
        <v>363</v>
      </c>
      <c r="D153" s="68" t="s">
        <v>364</v>
      </c>
      <c r="E153" s="75">
        <f>60*F153*'THAM_SO_MOI'!$C$49/(2*PI()*'THAM_SO_MOI'!$C$26)</f>
        <v>1130.7499999999998</v>
      </c>
      <c r="F153" s="75">
        <f>'THAM_SO_MOI'!$E$49+('THAM_SO_MOI'!$F$49-'THAM_SO_MOI'!$E$49)*147/'THAM_SO_MOI'!$C$42</f>
        <v>1.7656352728468114</v>
      </c>
      <c r="G153" s="75">
        <f>3.6*F153</f>
        <v>6.3562869822485215</v>
      </c>
      <c r="H153" s="75">
        <f>'THAM_SO_MOI'!$D$49</f>
        <v>3.1625000000000005</v>
      </c>
      <c r="I153" s="75">
        <f>IF(F153&gt;'THAM_SO_MOI'!$C$14,'THAM_SO_MOI'!$C$13*(1+F153^2/1500),'THAM_SO_MOI'!$C$13)</f>
        <v>0.015</v>
      </c>
      <c r="J153" s="75">
        <f>'THAM_SO_MOI'!$C$40*('THAM_SO_MOI'!$C$23*(E153/'THAM_SO_MOI'!$C$22)+'THAM_SO_MOI'!$C$24*(E153/'THAM_SO_MOI'!$C$22)^2-'THAM_SO_MOI'!$C$25*(E153/'THAM_SO_MOI'!$C$22)^3)</f>
        <v>44.76011425019273</v>
      </c>
      <c r="K153" s="75">
        <f>'THAM_SO_MOI'!$C$31*J153/E153</f>
        <v>378.0749542680634</v>
      </c>
      <c r="L153" s="75">
        <f>K153*'THAM_SO_MOI'!$C$49*'THAM_SO_MOI'!$C$17/'THAM_SO_MOI'!$C$26</f>
        <v>21552.172384121106</v>
      </c>
      <c r="M153" s="75">
        <f>'THAM_SO_MOI'!$C$15*'THAM_SO_MOI'!$C$16*F153^2</f>
        <v>9.118593656408441</v>
      </c>
      <c r="N153" s="75">
        <f>'THAM_SO_MOI'!$C$12*I153</f>
        <v>1130.112</v>
      </c>
      <c r="O153" s="75">
        <f>M153+N153</f>
        <v>1139.2305936564085</v>
      </c>
      <c r="P153" s="75">
        <f>(MIN(L153,'THAM_SO_MOI'!$C$41)-O153)/('THAM_SO_MOI'!$C$11*H153)</f>
        <v>0.8404537957207138</v>
      </c>
      <c r="Q153" s="75">
        <f>IF(P153&gt;0,1/P153,NA())</f>
        <v>1.1898334032062652</v>
      </c>
      <c r="R153" s="75">
        <f>F153-F152</f>
        <v>0.0035133136094676054</v>
      </c>
      <c r="S153" s="75">
        <f>0.5*(Q152+Q153)*R153</f>
        <v>0.004181576296829834</v>
      </c>
      <c r="T153" s="75">
        <f>0.5*(F152*Q152+F153*Q153)*R153</f>
        <v>0.0073757906953355705</v>
      </c>
      <c r="U153" s="76">
        <f>U152+S153</f>
        <v>0.6483782315513787</v>
      </c>
      <c r="V153" s="76">
        <f>V152+T153</f>
        <v>0.9742005883398268</v>
      </c>
    </row>
    <row r="154" spans="1:22" ht="19" customHeight="1">
      <c r="A154" s="68" t="s">
        <v>368</v>
      </c>
      <c r="B154" s="74">
        <v>1</v>
      </c>
      <c r="C154" s="68" t="s">
        <v>363</v>
      </c>
      <c r="D154" s="68" t="s">
        <v>364</v>
      </c>
      <c r="E154" s="75">
        <f>60*F154*'THAM_SO_MOI'!$C$49/(2*PI()*'THAM_SO_MOI'!$C$26)</f>
        <v>1133.0</v>
      </c>
      <c r="F154" s="75">
        <f>'THAM_SO_MOI'!$E$49+('THAM_SO_MOI'!$F$49-'THAM_SO_MOI'!$E$49)*148/'THAM_SO_MOI'!$C$42</f>
        <v>1.7691485864562788</v>
      </c>
      <c r="G154" s="75">
        <f>3.6*F154</f>
        <v>6.3689349112426035</v>
      </c>
      <c r="H154" s="75">
        <f>'THAM_SO_MOI'!$D$49</f>
        <v>3.1625000000000005</v>
      </c>
      <c r="I154" s="75">
        <f>IF(F154&gt;'THAM_SO_MOI'!$C$14,'THAM_SO_MOI'!$C$13*(1+F154^2/1500),'THAM_SO_MOI'!$C$13)</f>
        <v>0.015</v>
      </c>
      <c r="J154" s="75">
        <f>'THAM_SO_MOI'!$C$40*('THAM_SO_MOI'!$C$23*(E154/'THAM_SO_MOI'!$C$22)+'THAM_SO_MOI'!$C$24*(E154/'THAM_SO_MOI'!$C$22)^2-'THAM_SO_MOI'!$C$25*(E154/'THAM_SO_MOI'!$C$22)^3)</f>
        <v>44.87597406159421</v>
      </c>
      <c r="K154" s="75">
        <f>'THAM_SO_MOI'!$C$31*J154/E154</f>
        <v>378.300832299355</v>
      </c>
      <c r="L154" s="75">
        <f>K154*'THAM_SO_MOI'!$C$49*'THAM_SO_MOI'!$C$17/'THAM_SO_MOI'!$C$26</f>
        <v>21565.048567039936</v>
      </c>
      <c r="M154" s="75">
        <f>'THAM_SO_MOI'!$C$15*'THAM_SO_MOI'!$C$16*F154^2</f>
        <v>9.15491865880873</v>
      </c>
      <c r="N154" s="75">
        <f>'THAM_SO_MOI'!$C$12*I154</f>
        <v>1130.112</v>
      </c>
      <c r="O154" s="75">
        <f>M154+N154</f>
        <v>1139.266918658809</v>
      </c>
      <c r="P154" s="75">
        <f>(MIN(L154,'THAM_SO_MOI'!$C$41)-O154)/('THAM_SO_MOI'!$C$11*H154)</f>
        <v>0.8409824459972465</v>
      </c>
      <c r="Q154" s="75">
        <f>IF(P154&gt;0,1/P154,NA())</f>
        <v>1.1890854616045983</v>
      </c>
      <c r="R154" s="75">
        <f>F154-F153</f>
        <v>0.0035133136094673834</v>
      </c>
      <c r="S154" s="75">
        <f>0.5*(Q153+Q154)*R154</f>
        <v>0.004178944011779352</v>
      </c>
      <c r="T154" s="75">
        <f>0.5*(F153*Q153+F154*Q154)*R154</f>
        <v>0.007385829612854025</v>
      </c>
      <c r="U154" s="76">
        <f>U153+S154</f>
        <v>0.6525571755631581</v>
      </c>
      <c r="V154" s="76">
        <f>V153+T154</f>
        <v>0.9815864179526809</v>
      </c>
    </row>
    <row r="155" spans="1:22" ht="19" customHeight="1">
      <c r="A155" s="68" t="s">
        <v>368</v>
      </c>
      <c r="B155" s="74">
        <v>1</v>
      </c>
      <c r="C155" s="68" t="s">
        <v>363</v>
      </c>
      <c r="D155" s="68" t="s">
        <v>364</v>
      </c>
      <c r="E155" s="75">
        <f>60*F155*'THAM_SO_MOI'!$C$49/(2*PI()*'THAM_SO_MOI'!$C$26)</f>
        <v>1135.25</v>
      </c>
      <c r="F155" s="75">
        <f>'THAM_SO_MOI'!$E$49+('THAM_SO_MOI'!$F$49-'THAM_SO_MOI'!$E$49)*149/'THAM_SO_MOI'!$C$42</f>
        <v>1.7726619000657462</v>
      </c>
      <c r="G155" s="75">
        <f>3.6*F155</f>
        <v>6.381582840236686</v>
      </c>
      <c r="H155" s="75">
        <f>'THAM_SO_MOI'!$D$49</f>
        <v>3.1625000000000005</v>
      </c>
      <c r="I155" s="75">
        <f>IF(F155&gt;'THAM_SO_MOI'!$C$14,'THAM_SO_MOI'!$C$13*(1+F155^2/1500),'THAM_SO_MOI'!$C$13)</f>
        <v>0.015</v>
      </c>
      <c r="J155" s="75">
        <f>'THAM_SO_MOI'!$C$40*('THAM_SO_MOI'!$C$23*(E155/'THAM_SO_MOI'!$C$22)+'THAM_SO_MOI'!$C$24*(E155/'THAM_SO_MOI'!$C$22)^2-'THAM_SO_MOI'!$C$25*(E155/'THAM_SO_MOI'!$C$22)^3)</f>
        <v>44.991881918428945</v>
      </c>
      <c r="K155" s="75">
        <f>'THAM_SO_MOI'!$C$31*J155/E155</f>
        <v>378.52621919258786</v>
      </c>
      <c r="L155" s="75">
        <f>K155*'THAM_SO_MOI'!$C$49*'THAM_SO_MOI'!$C$17/'THAM_SO_MOI'!$C$26</f>
        <v>21577.896752621233</v>
      </c>
      <c r="M155" s="75">
        <f>'THAM_SO_MOI'!$C$15*'THAM_SO_MOI'!$C$16*F155^2</f>
        <v>9.191315869938252</v>
      </c>
      <c r="N155" s="75">
        <f>'THAM_SO_MOI'!$C$12*I155</f>
        <v>1130.112</v>
      </c>
      <c r="O155" s="75">
        <f>M155+N155</f>
        <v>1139.3033158699384</v>
      </c>
      <c r="P155" s="75">
        <f>(MIN(L155,'THAM_SO_MOI'!$C$41)-O155)/('THAM_SO_MOI'!$C$11*H155)</f>
        <v>0.8415099405777046</v>
      </c>
      <c r="Q155" s="75">
        <f>IF(P155&gt;0,1/P155,NA())</f>
        <v>1.1883400917563618</v>
      </c>
      <c r="R155" s="75">
        <f>F155-F154</f>
        <v>0.0035133136094673834</v>
      </c>
      <c r="S155" s="75">
        <f>0.5*(Q154+Q155)*R155</f>
        <v>0.004176320776059293</v>
      </c>
      <c r="T155" s="75">
        <f>0.5*(F154*Q154+F155*Q155)*R155</f>
        <v>0.007395866059768877</v>
      </c>
      <c r="U155" s="76">
        <f>U154+S155</f>
        <v>0.6567334963392174</v>
      </c>
      <c r="V155" s="76">
        <f>V154+T155</f>
        <v>0.9889822840124497</v>
      </c>
    </row>
    <row r="156" spans="1:22" ht="19" customHeight="1">
      <c r="A156" s="68" t="s">
        <v>368</v>
      </c>
      <c r="B156" s="74">
        <v>1</v>
      </c>
      <c r="C156" s="68" t="s">
        <v>363</v>
      </c>
      <c r="D156" s="68" t="s">
        <v>364</v>
      </c>
      <c r="E156" s="75">
        <f>60*F156*'THAM_SO_MOI'!$C$49/(2*PI()*'THAM_SO_MOI'!$C$26)</f>
        <v>1137.5</v>
      </c>
      <c r="F156" s="75">
        <f>'THAM_SO_MOI'!$E$49+('THAM_SO_MOI'!$F$49-'THAM_SO_MOI'!$E$49)*150/'THAM_SO_MOI'!$C$42</f>
        <v>1.7761752136752138</v>
      </c>
      <c r="G156" s="75">
        <f>3.6*F156</f>
        <v>6.39423076923077</v>
      </c>
      <c r="H156" s="75">
        <f>'THAM_SO_MOI'!$D$49</f>
        <v>3.1625000000000005</v>
      </c>
      <c r="I156" s="75">
        <f>IF(F156&gt;'THAM_SO_MOI'!$C$14,'THAM_SO_MOI'!$C$13*(1+F156^2/1500),'THAM_SO_MOI'!$C$13)</f>
        <v>0.015</v>
      </c>
      <c r="J156" s="75">
        <f>'THAM_SO_MOI'!$C$40*('THAM_SO_MOI'!$C$23*(E156/'THAM_SO_MOI'!$C$22)+'THAM_SO_MOI'!$C$24*(E156/'THAM_SO_MOI'!$C$22)^2-'THAM_SO_MOI'!$C$25*(E156/'THAM_SO_MOI'!$C$22)^3)</f>
        <v>45.10783747359737</v>
      </c>
      <c r="K156" s="75">
        <f>'THAM_SO_MOI'!$C$31*J156/E156</f>
        <v>378.7511149477618</v>
      </c>
      <c r="L156" s="75">
        <f>K156*'THAM_SO_MOI'!$C$49*'THAM_SO_MOI'!$C$17/'THAM_SO_MOI'!$C$26</f>
        <v>21590.716940864986</v>
      </c>
      <c r="M156" s="75">
        <f>'THAM_SO_MOI'!$C$15*'THAM_SO_MOI'!$C$16*F156^2</f>
        <v>9.22778528979701</v>
      </c>
      <c r="N156" s="75">
        <f>'THAM_SO_MOI'!$C$12*I156</f>
        <v>1130.112</v>
      </c>
      <c r="O156" s="75">
        <f>M156+N156</f>
        <v>1139.3397852897972</v>
      </c>
      <c r="P156" s="75">
        <f>(MIN(L156,'THAM_SO_MOI'!$C$41)-O156)/('THAM_SO_MOI'!$C$11*H156)</f>
        <v>0.8420362794620877</v>
      </c>
      <c r="Q156" s="75">
        <f>IF(P156&gt;0,1/P156,NA())</f>
        <v>1.1875972857592587</v>
      </c>
      <c r="R156" s="75">
        <f>F156-F155</f>
        <v>0.0035133136094676054</v>
      </c>
      <c r="S156" s="75">
        <f>0.5*(Q155+Q156)*R156</f>
        <v>0.004173706561834201</v>
      </c>
      <c r="T156" s="75">
        <f>0.5*(F155*Q155+F156*Q156)*R156</f>
        <v>0.007405900082067912</v>
      </c>
      <c r="U156" s="76">
        <f>U155+S156</f>
        <v>0.6609072029010516</v>
      </c>
      <c r="V156" s="76">
        <f>V155+T156</f>
        <v>0.9963881840945176</v>
      </c>
    </row>
    <row r="157" spans="1:22" ht="19" customHeight="1">
      <c r="A157" s="68" t="s">
        <v>368</v>
      </c>
      <c r="B157" s="74">
        <v>1</v>
      </c>
      <c r="C157" s="68" t="s">
        <v>363</v>
      </c>
      <c r="D157" s="68" t="s">
        <v>364</v>
      </c>
      <c r="E157" s="75">
        <f>60*F157*'THAM_SO_MOI'!$C$49/(2*PI()*'THAM_SO_MOI'!$C$26)</f>
        <v>1139.7499999999998</v>
      </c>
      <c r="F157" s="75">
        <f>'THAM_SO_MOI'!$E$49+('THAM_SO_MOI'!$F$49-'THAM_SO_MOI'!$E$49)*151/'THAM_SO_MOI'!$C$42</f>
        <v>1.7796885272846812</v>
      </c>
      <c r="G157" s="75">
        <f>3.6*F157</f>
        <v>6.406878698224852</v>
      </c>
      <c r="H157" s="75">
        <f>'THAM_SO_MOI'!$D$49</f>
        <v>3.1625000000000005</v>
      </c>
      <c r="I157" s="75">
        <f>IF(F157&gt;'THAM_SO_MOI'!$C$14,'THAM_SO_MOI'!$C$13*(1+F157^2/1500),'THAM_SO_MOI'!$C$13)</f>
        <v>0.015</v>
      </c>
      <c r="J157" s="75">
        <f>'THAM_SO_MOI'!$C$40*('THAM_SO_MOI'!$C$23*(E157/'THAM_SO_MOI'!$C$22)+'THAM_SO_MOI'!$C$24*(E157/'THAM_SO_MOI'!$C$22)^2-'THAM_SO_MOI'!$C$25*(E157/'THAM_SO_MOI'!$C$22)^3)</f>
        <v>45.223840379999956</v>
      </c>
      <c r="K157" s="75">
        <f>'THAM_SO_MOI'!$C$31*J157/E157</f>
        <v>378.97551956487695</v>
      </c>
      <c r="L157" s="75">
        <f>K157*'THAM_SO_MOI'!$C$49*'THAM_SO_MOI'!$C$17/'THAM_SO_MOI'!$C$26</f>
        <v>21603.50913177121</v>
      </c>
      <c r="M157" s="75">
        <f>'THAM_SO_MOI'!$C$15*'THAM_SO_MOI'!$C$16*F157^2</f>
        <v>9.264326918384999</v>
      </c>
      <c r="N157" s="75">
        <f>'THAM_SO_MOI'!$C$12*I157</f>
        <v>1130.112</v>
      </c>
      <c r="O157" s="75">
        <f>M157+N157</f>
        <v>1139.376326918385</v>
      </c>
      <c r="P157" s="75">
        <f>(MIN(L157,'THAM_SO_MOI'!$C$41)-O157)/('THAM_SO_MOI'!$C$11*H157)</f>
        <v>0.8425614626503961</v>
      </c>
      <c r="Q157" s="75">
        <f>IF(P157&gt;0,1/P157,NA())</f>
        <v>1.1868570357518593</v>
      </c>
      <c r="R157" s="75">
        <f>F157-F156</f>
        <v>0.0035133136094673834</v>
      </c>
      <c r="S157" s="75">
        <f>0.5*(Q156+Q157)*R157</f>
        <v>0.004171101341411827</v>
      </c>
      <c r="T157" s="75">
        <f>0.5*(F156*Q156+F157*Q157)*R157</f>
        <v>0.007415931725602346</v>
      </c>
      <c r="U157" s="76">
        <f>U156+S157</f>
        <v>0.6650783042424635</v>
      </c>
      <c r="V157" s="76">
        <f>V156+T157</f>
        <v>1.0038041158201199</v>
      </c>
    </row>
    <row r="158" spans="1:22" ht="19" customHeight="1">
      <c r="A158" s="68" t="s">
        <v>368</v>
      </c>
      <c r="B158" s="74">
        <v>1</v>
      </c>
      <c r="C158" s="68" t="s">
        <v>363</v>
      </c>
      <c r="D158" s="68" t="s">
        <v>364</v>
      </c>
      <c r="E158" s="75">
        <f>60*F158*'THAM_SO_MOI'!$C$49/(2*PI()*'THAM_SO_MOI'!$C$26)</f>
        <v>1142.0</v>
      </c>
      <c r="F158" s="75">
        <f>'THAM_SO_MOI'!$E$49+('THAM_SO_MOI'!$F$49-'THAM_SO_MOI'!$E$49)*152/'THAM_SO_MOI'!$C$42</f>
        <v>1.7832018408941486</v>
      </c>
      <c r="G158" s="75">
        <f>3.6*F158</f>
        <v>6.419526627218935</v>
      </c>
      <c r="H158" s="75">
        <f>'THAM_SO_MOI'!$D$49</f>
        <v>3.1625000000000005</v>
      </c>
      <c r="I158" s="75">
        <f>IF(F158&gt;'THAM_SO_MOI'!$C$14,'THAM_SO_MOI'!$C$13*(1+F158^2/1500),'THAM_SO_MOI'!$C$13)</f>
        <v>0.015</v>
      </c>
      <c r="J158" s="75">
        <f>'THAM_SO_MOI'!$C$40*('THAM_SO_MOI'!$C$23*(E158/'THAM_SO_MOI'!$C$22)+'THAM_SO_MOI'!$C$24*(E158/'THAM_SO_MOI'!$C$22)^2-'THAM_SO_MOI'!$C$25*(E158/'THAM_SO_MOI'!$C$22)^3)</f>
        <v>45.33989029053721</v>
      </c>
      <c r="K158" s="75">
        <f>'THAM_SO_MOI'!$C$31*J158/E158</f>
        <v>379.19943304393354</v>
      </c>
      <c r="L158" s="75">
        <f>K158*'THAM_SO_MOI'!$C$49*'THAM_SO_MOI'!$C$17/'THAM_SO_MOI'!$C$26</f>
        <v>21616.273325339913</v>
      </c>
      <c r="M158" s="75">
        <f>'THAM_SO_MOI'!$C$15*'THAM_SO_MOI'!$C$16*F158^2</f>
        <v>9.30094075570222</v>
      </c>
      <c r="N158" s="75">
        <f>'THAM_SO_MOI'!$C$12*I158</f>
        <v>1130.112</v>
      </c>
      <c r="O158" s="75">
        <f>M158+N158</f>
        <v>1139.4129407557023</v>
      </c>
      <c r="P158" s="75">
        <f>(MIN(L158,'THAM_SO_MOI'!$C$41)-O158)/('THAM_SO_MOI'!$C$11*H158)</f>
        <v>0.8430854901426303</v>
      </c>
      <c r="Q158" s="75">
        <f>IF(P158&gt;0,1/P158,NA())</f>
        <v>1.1861193339133655</v>
      </c>
      <c r="R158" s="75">
        <f>F158-F157</f>
        <v>0.0035133136094673834</v>
      </c>
      <c r="S158" s="75">
        <f>0.5*(Q157+Q158)*R158</f>
        <v>0.00416850508724467</v>
      </c>
      <c r="T158" s="75">
        <f>0.5*(F157*Q157+F158*Q158)*R158</f>
        <v>0.007425961036092092</v>
      </c>
      <c r="U158" s="76">
        <f>U157+S158</f>
        <v>0.6692468093297081</v>
      </c>
      <c r="V158" s="76">
        <f>V157+T158</f>
        <v>1.011230076856212</v>
      </c>
    </row>
    <row r="159" spans="1:22" ht="19" customHeight="1">
      <c r="A159" s="68" t="s">
        <v>368</v>
      </c>
      <c r="B159" s="74">
        <v>1</v>
      </c>
      <c r="C159" s="68" t="s">
        <v>363</v>
      </c>
      <c r="D159" s="68" t="s">
        <v>364</v>
      </c>
      <c r="E159" s="75">
        <f>60*F159*'THAM_SO_MOI'!$C$49/(2*PI()*'THAM_SO_MOI'!$C$26)</f>
        <v>1144.25</v>
      </c>
      <c r="F159" s="75">
        <f>'THAM_SO_MOI'!$E$49+('THAM_SO_MOI'!$F$49-'THAM_SO_MOI'!$E$49)*153/'THAM_SO_MOI'!$C$42</f>
        <v>1.7867151545036162</v>
      </c>
      <c r="G159" s="75">
        <f>3.6*F159</f>
        <v>6.432174556213019</v>
      </c>
      <c r="H159" s="75">
        <f>'THAM_SO_MOI'!$D$49</f>
        <v>3.1625000000000005</v>
      </c>
      <c r="I159" s="75">
        <f>IF(F159&gt;'THAM_SO_MOI'!$C$14,'THAM_SO_MOI'!$C$13*(1+F159^2/1500),'THAM_SO_MOI'!$C$13)</f>
        <v>0.015</v>
      </c>
      <c r="J159" s="75">
        <f>'THAM_SO_MOI'!$C$40*('THAM_SO_MOI'!$C$23*(E159/'THAM_SO_MOI'!$C$22)+'THAM_SO_MOI'!$C$24*(E159/'THAM_SO_MOI'!$C$22)^2-'THAM_SO_MOI'!$C$25*(E159/'THAM_SO_MOI'!$C$22)^3)</f>
        <v>45.455986858109526</v>
      </c>
      <c r="K159" s="75">
        <f>'THAM_SO_MOI'!$C$31*J159/E159</f>
        <v>379.42285538493127</v>
      </c>
      <c r="L159" s="75">
        <f>K159*'THAM_SO_MOI'!$C$49*'THAM_SO_MOI'!$C$17/'THAM_SO_MOI'!$C$26</f>
        <v>21629.00952157108</v>
      </c>
      <c r="M159" s="75">
        <f>'THAM_SO_MOI'!$C$15*'THAM_SO_MOI'!$C$16*F159^2</f>
        <v>9.337626801748678</v>
      </c>
      <c r="N159" s="75">
        <f>'THAM_SO_MOI'!$C$12*I159</f>
        <v>1130.112</v>
      </c>
      <c r="O159" s="75">
        <f>M159+N159</f>
        <v>1139.4496268017488</v>
      </c>
      <c r="P159" s="75">
        <f>(MIN(L159,'THAM_SO_MOI'!$C$41)-O159)/('THAM_SO_MOI'!$C$11*H159)</f>
        <v>0.8436083619387897</v>
      </c>
      <c r="Q159" s="75">
        <f>IF(P159&gt;0,1/P159,NA())</f>
        <v>1.1853841724633802</v>
      </c>
      <c r="R159" s="75">
        <f>F159-F158</f>
        <v>0.0035133136094676054</v>
      </c>
      <c r="S159" s="75">
        <f>0.5*(Q158+Q159)*R159</f>
        <v>0.004165917771926783</v>
      </c>
      <c r="T159" s="75">
        <f>0.5*(F158*Q158+F159*Q159)*R159</f>
        <v>0.0074359880591225985</v>
      </c>
      <c r="U159" s="76">
        <f>U158+S159</f>
        <v>0.6734127271016349</v>
      </c>
      <c r="V159" s="76">
        <f>V158+T159</f>
        <v>1.0186660649153345</v>
      </c>
    </row>
    <row r="160" spans="1:22" ht="19" customHeight="1">
      <c r="A160" s="68" t="s">
        <v>368</v>
      </c>
      <c r="B160" s="74">
        <v>1</v>
      </c>
      <c r="C160" s="68" t="s">
        <v>363</v>
      </c>
      <c r="D160" s="68" t="s">
        <v>364</v>
      </c>
      <c r="E160" s="75">
        <f>60*F160*'THAM_SO_MOI'!$C$49/(2*PI()*'THAM_SO_MOI'!$C$26)</f>
        <v>1146.4999999999998</v>
      </c>
      <c r="F160" s="75">
        <f>'THAM_SO_MOI'!$E$49+('THAM_SO_MOI'!$F$49-'THAM_SO_MOI'!$E$49)*154/'THAM_SO_MOI'!$C$42</f>
        <v>1.7902284681130836</v>
      </c>
      <c r="G160" s="75">
        <f>3.6*F160</f>
        <v>6.4448224852071005</v>
      </c>
      <c r="H160" s="75">
        <f>'THAM_SO_MOI'!$D$49</f>
        <v>3.1625000000000005</v>
      </c>
      <c r="I160" s="75">
        <f>IF(F160&gt;'THAM_SO_MOI'!$C$14,'THAM_SO_MOI'!$C$13*(1+F160^2/1500),'THAM_SO_MOI'!$C$13)</f>
        <v>0.015</v>
      </c>
      <c r="J160" s="75">
        <f>'THAM_SO_MOI'!$C$40*('THAM_SO_MOI'!$C$23*(E160/'THAM_SO_MOI'!$C$22)+'THAM_SO_MOI'!$C$24*(E160/'THAM_SO_MOI'!$C$22)^2-'THAM_SO_MOI'!$C$25*(E160/'THAM_SO_MOI'!$C$22)^3)</f>
        <v>45.57212973561737</v>
      </c>
      <c r="K160" s="75">
        <f>'THAM_SO_MOI'!$C$31*J160/E160</f>
        <v>379.6457865878702</v>
      </c>
      <c r="L160" s="75">
        <f>K160*'THAM_SO_MOI'!$C$49*'THAM_SO_MOI'!$C$17/'THAM_SO_MOI'!$C$26</f>
        <v>21641.717720464712</v>
      </c>
      <c r="M160" s="75">
        <f>'THAM_SO_MOI'!$C$15*'THAM_SO_MOI'!$C$16*F160^2</f>
        <v>9.374385056524366</v>
      </c>
      <c r="N160" s="75">
        <f>'THAM_SO_MOI'!$C$12*I160</f>
        <v>1130.112</v>
      </c>
      <c r="O160" s="75">
        <f>M160+N160</f>
        <v>1139.4863850565243</v>
      </c>
      <c r="P160" s="75">
        <f>(MIN(L160,'THAM_SO_MOI'!$C$41)-O160)/('THAM_SO_MOI'!$C$11*H160)</f>
        <v>0.8441300780388744</v>
      </c>
      <c r="Q160" s="75">
        <f>IF(P160&gt;0,1/P160,NA())</f>
        <v>1.1846515436616718</v>
      </c>
      <c r="R160" s="75">
        <f>F160-F159</f>
        <v>0.0035133136094673834</v>
      </c>
      <c r="S160" s="75">
        <f>0.5*(Q159+Q160)*R160</f>
        <v>0.004163339368192961</v>
      </c>
      <c r="T160" s="75">
        <f>0.5*(F159*Q159+F160*Q160)*R160</f>
        <v>0.0074460128401458705</v>
      </c>
      <c r="U160" s="76">
        <f>U159+S160</f>
        <v>0.6775760664698278</v>
      </c>
      <c r="V160" s="76">
        <f>V159+T160</f>
        <v>1.0261120777554804</v>
      </c>
    </row>
    <row r="161" spans="1:22" ht="19" customHeight="1">
      <c r="A161" s="68" t="s">
        <v>368</v>
      </c>
      <c r="B161" s="74">
        <v>1</v>
      </c>
      <c r="C161" s="68" t="s">
        <v>363</v>
      </c>
      <c r="D161" s="68" t="s">
        <v>364</v>
      </c>
      <c r="E161" s="75">
        <f>60*F161*'THAM_SO_MOI'!$C$49/(2*PI()*'THAM_SO_MOI'!$C$26)</f>
        <v>1148.7499999999998</v>
      </c>
      <c r="F161" s="75">
        <f>'THAM_SO_MOI'!$E$49+('THAM_SO_MOI'!$F$49-'THAM_SO_MOI'!$E$49)*155/'THAM_SO_MOI'!$C$42</f>
        <v>1.793741781722551</v>
      </c>
      <c r="G161" s="75">
        <f>3.6*F161</f>
        <v>6.457470414201183</v>
      </c>
      <c r="H161" s="75">
        <f>'THAM_SO_MOI'!$D$49</f>
        <v>3.1625000000000005</v>
      </c>
      <c r="I161" s="75">
        <f>IF(F161&gt;'THAM_SO_MOI'!$C$14,'THAM_SO_MOI'!$C$13*(1+F161^2/1500),'THAM_SO_MOI'!$C$13)</f>
        <v>0.015</v>
      </c>
      <c r="J161" s="75">
        <f>'THAM_SO_MOI'!$C$40*('THAM_SO_MOI'!$C$23*(E161/'THAM_SO_MOI'!$C$22)+'THAM_SO_MOI'!$C$24*(E161/'THAM_SO_MOI'!$C$22)^2-'THAM_SO_MOI'!$C$25*(E161/'THAM_SO_MOI'!$C$22)^3)</f>
        <v>45.6883185759612</v>
      </c>
      <c r="K161" s="75">
        <f>'THAM_SO_MOI'!$C$31*J161/E161</f>
        <v>379.86822665275025</v>
      </c>
      <c r="L161" s="75">
        <f>K161*'THAM_SO_MOI'!$C$49*'THAM_SO_MOI'!$C$17/'THAM_SO_MOI'!$C$26</f>
        <v>21654.397922020806</v>
      </c>
      <c r="M161" s="75">
        <f>'THAM_SO_MOI'!$C$15*'THAM_SO_MOI'!$C$16*F161^2</f>
        <v>9.411215520029286</v>
      </c>
      <c r="N161" s="75">
        <f>'THAM_SO_MOI'!$C$12*I161</f>
        <v>1130.112</v>
      </c>
      <c r="O161" s="75">
        <f>M161+N161</f>
        <v>1139.5232155200295</v>
      </c>
      <c r="P161" s="75">
        <f>(MIN(L161,'THAM_SO_MOI'!$C$41)-O161)/('THAM_SO_MOI'!$C$11*H161)</f>
        <v>0.8446506384428841</v>
      </c>
      <c r="Q161" s="75">
        <f>IF(P161&gt;0,1/P161,NA())</f>
        <v>1.1839214398079458</v>
      </c>
      <c r="R161" s="75">
        <f>F161-F160</f>
        <v>0.0035133136094673834</v>
      </c>
      <c r="S161" s="75">
        <f>0.5*(Q160+Q161)*R161</f>
        <v>0.0041607698489202856</v>
      </c>
      <c r="T161" s="75">
        <f>0.5*(F160*Q160+F161*Q161)*R161</f>
        <v>0.007456035424485746</v>
      </c>
      <c r="U161" s="76">
        <f>U160+S161</f>
        <v>0.6817368363187482</v>
      </c>
      <c r="V161" s="76">
        <f>V160+T161</f>
        <v>1.033568113179966</v>
      </c>
    </row>
    <row r="162" spans="1:22" ht="19" customHeight="1">
      <c r="A162" s="68" t="s">
        <v>368</v>
      </c>
      <c r="B162" s="74">
        <v>1</v>
      </c>
      <c r="C162" s="68" t="s">
        <v>363</v>
      </c>
      <c r="D162" s="68" t="s">
        <v>364</v>
      </c>
      <c r="E162" s="75">
        <f>60*F162*'THAM_SO_MOI'!$C$49/(2*PI()*'THAM_SO_MOI'!$C$26)</f>
        <v>1151.0</v>
      </c>
      <c r="F162" s="75">
        <f>'THAM_SO_MOI'!$E$49+('THAM_SO_MOI'!$F$49-'THAM_SO_MOI'!$E$49)*156/'THAM_SO_MOI'!$C$42</f>
        <v>1.7972550953320185</v>
      </c>
      <c r="G162" s="75">
        <f>3.6*F162</f>
        <v>6.470118343195267</v>
      </c>
      <c r="H162" s="75">
        <f>'THAM_SO_MOI'!$D$49</f>
        <v>3.1625000000000005</v>
      </c>
      <c r="I162" s="75">
        <f>IF(F162&gt;'THAM_SO_MOI'!$C$14,'THAM_SO_MOI'!$C$13*(1+F162^2/1500),'THAM_SO_MOI'!$C$13)</f>
        <v>0.015</v>
      </c>
      <c r="J162" s="75">
        <f>'THAM_SO_MOI'!$C$40*('THAM_SO_MOI'!$C$23*(E162/'THAM_SO_MOI'!$C$22)+'THAM_SO_MOI'!$C$24*(E162/'THAM_SO_MOI'!$C$22)^2-'THAM_SO_MOI'!$C$25*(E162/'THAM_SO_MOI'!$C$22)^3)</f>
        <v>45.8045530320415</v>
      </c>
      <c r="K162" s="75">
        <f>'THAM_SO_MOI'!$C$31*J162/E162</f>
        <v>380.0901755795716</v>
      </c>
      <c r="L162" s="75">
        <f>K162*'THAM_SO_MOI'!$C$49*'THAM_SO_MOI'!$C$17/'THAM_SO_MOI'!$C$26</f>
        <v>21667.050126239374</v>
      </c>
      <c r="M162" s="75">
        <f>'THAM_SO_MOI'!$C$15*'THAM_SO_MOI'!$C$16*F162^2</f>
        <v>9.448118192263442</v>
      </c>
      <c r="N162" s="75">
        <f>'THAM_SO_MOI'!$C$12*I162</f>
        <v>1130.112</v>
      </c>
      <c r="O162" s="75">
        <f>M162+N162</f>
        <v>1139.5601181922634</v>
      </c>
      <c r="P162" s="75">
        <f>(MIN(L162,'THAM_SO_MOI'!$C$41)-O162)/('THAM_SO_MOI'!$C$11*H162)</f>
        <v>0.8451700431508196</v>
      </c>
      <c r="Q162" s="75">
        <f>IF(P162&gt;0,1/P162,NA())</f>
        <v>1.1831938532416146</v>
      </c>
      <c r="R162" s="75">
        <f>F162-F161</f>
        <v>0.0035133136094676054</v>
      </c>
      <c r="S162" s="75">
        <f>0.5*(Q161+Q162)*R162</f>
        <v>0.00415820918712496</v>
      </c>
      <c r="T162" s="75">
        <f>0.5*(F161*Q161+F162*Q162)*R162</f>
        <v>0.007466055857334669</v>
      </c>
      <c r="U162" s="76">
        <f>U161+S162</f>
        <v>0.6858950455058731</v>
      </c>
      <c r="V162" s="76">
        <f>V161+T162</f>
        <v>1.0410341690373008</v>
      </c>
    </row>
    <row r="163" spans="1:22" ht="19" customHeight="1">
      <c r="A163" s="68" t="s">
        <v>368</v>
      </c>
      <c r="B163" s="74">
        <v>1</v>
      </c>
      <c r="C163" s="68" t="s">
        <v>363</v>
      </c>
      <c r="D163" s="68" t="s">
        <v>364</v>
      </c>
      <c r="E163" s="75">
        <f>60*F163*'THAM_SO_MOI'!$C$49/(2*PI()*'THAM_SO_MOI'!$C$26)</f>
        <v>1153.25</v>
      </c>
      <c r="F163" s="75">
        <f>'THAM_SO_MOI'!$E$49+('THAM_SO_MOI'!$F$49-'THAM_SO_MOI'!$E$49)*157/'THAM_SO_MOI'!$C$42</f>
        <v>1.800768408941486</v>
      </c>
      <c r="G163" s="75">
        <f>3.6*F163</f>
        <v>6.482766272189349</v>
      </c>
      <c r="H163" s="75">
        <f>'THAM_SO_MOI'!$D$49</f>
        <v>3.1625000000000005</v>
      </c>
      <c r="I163" s="75">
        <f>IF(F163&gt;'THAM_SO_MOI'!$C$14,'THAM_SO_MOI'!$C$13*(1+F163^2/1500),'THAM_SO_MOI'!$C$13)</f>
        <v>0.015</v>
      </c>
      <c r="J163" s="75">
        <f>'THAM_SO_MOI'!$C$40*('THAM_SO_MOI'!$C$23*(E163/'THAM_SO_MOI'!$C$22)+'THAM_SO_MOI'!$C$24*(E163/'THAM_SO_MOI'!$C$22)^2-'THAM_SO_MOI'!$C$25*(E163/'THAM_SO_MOI'!$C$22)^3)</f>
        <v>45.920832756758685</v>
      </c>
      <c r="K163" s="75">
        <f>'THAM_SO_MOI'!$C$31*J163/E163</f>
        <v>380.3116333683342</v>
      </c>
      <c r="L163" s="75">
        <f>K163*'THAM_SO_MOI'!$C$49*'THAM_SO_MOI'!$C$17/'THAM_SO_MOI'!$C$26</f>
        <v>21679.6743331204</v>
      </c>
      <c r="M163" s="75">
        <f>'THAM_SO_MOI'!$C$15*'THAM_SO_MOI'!$C$16*F163^2</f>
        <v>9.485093073226828</v>
      </c>
      <c r="N163" s="75">
        <f>'THAM_SO_MOI'!$C$12*I163</f>
        <v>1130.112</v>
      </c>
      <c r="O163" s="75">
        <f>M163+N163</f>
        <v>1139.597093073227</v>
      </c>
      <c r="P163" s="75">
        <f>(MIN(L163,'THAM_SO_MOI'!$C$41)-O163)/('THAM_SO_MOI'!$C$11*H163)</f>
        <v>0.8456882921626799</v>
      </c>
      <c r="Q163" s="75">
        <f>IF(P163&gt;0,1/P163,NA())</f>
        <v>1.1824687763415744</v>
      </c>
      <c r="R163" s="75">
        <f>F163-F162</f>
        <v>0.0035133136094673834</v>
      </c>
      <c r="S163" s="75">
        <f>0.5*(Q162+Q163)*R163</f>
        <v>0.004155657355961508</v>
      </c>
      <c r="T163" s="75">
        <f>0.5*(F162*Q162+F163*Q163)*R163</f>
        <v>0.007476074183754726</v>
      </c>
      <c r="U163" s="76">
        <f>U162+S163</f>
        <v>0.6900507028618346</v>
      </c>
      <c r="V163" s="76">
        <f>V162+T163</f>
        <v>1.0485102432210556</v>
      </c>
    </row>
    <row r="164" spans="1:22" ht="19" customHeight="1">
      <c r="A164" s="68" t="s">
        <v>368</v>
      </c>
      <c r="B164" s="74">
        <v>1</v>
      </c>
      <c r="C164" s="68" t="s">
        <v>363</v>
      </c>
      <c r="D164" s="68" t="s">
        <v>364</v>
      </c>
      <c r="E164" s="75">
        <f>60*F164*'THAM_SO_MOI'!$C$49/(2*PI()*'THAM_SO_MOI'!$C$26)</f>
        <v>1155.4999999999998</v>
      </c>
      <c r="F164" s="75">
        <f>'THAM_SO_MOI'!$E$49+('THAM_SO_MOI'!$F$49-'THAM_SO_MOI'!$E$49)*158/'THAM_SO_MOI'!$C$42</f>
        <v>1.8042817225509533</v>
      </c>
      <c r="G164" s="75">
        <f>3.6*F164</f>
        <v>6.495414201183432</v>
      </c>
      <c r="H164" s="75">
        <f>'THAM_SO_MOI'!$D$49</f>
        <v>3.1625000000000005</v>
      </c>
      <c r="I164" s="75">
        <f>IF(F164&gt;'THAM_SO_MOI'!$C$14,'THAM_SO_MOI'!$C$13*(1+F164^2/1500),'THAM_SO_MOI'!$C$13)</f>
        <v>0.015</v>
      </c>
      <c r="J164" s="75">
        <f>'THAM_SO_MOI'!$C$40*('THAM_SO_MOI'!$C$23*(E164/'THAM_SO_MOI'!$C$22)+'THAM_SO_MOI'!$C$24*(E164/'THAM_SO_MOI'!$C$22)^2-'THAM_SO_MOI'!$C$25*(E164/'THAM_SO_MOI'!$C$22)^3)</f>
        <v>46.037157403013225</v>
      </c>
      <c r="K164" s="75">
        <f>'THAM_SO_MOI'!$C$31*J164/E164</f>
        <v>380.53260001903806</v>
      </c>
      <c r="L164" s="75">
        <f>K164*'THAM_SO_MOI'!$C$49*'THAM_SO_MOI'!$C$17/'THAM_SO_MOI'!$C$26</f>
        <v>21692.27054266391</v>
      </c>
      <c r="M164" s="75">
        <f>'THAM_SO_MOI'!$C$15*'THAM_SO_MOI'!$C$16*F164^2</f>
        <v>9.522140162919449</v>
      </c>
      <c r="N164" s="75">
        <f>'THAM_SO_MOI'!$C$12*I164</f>
        <v>1130.112</v>
      </c>
      <c r="O164" s="75">
        <f>M164+N164</f>
        <v>1139.6341401629195</v>
      </c>
      <c r="P164" s="75">
        <f>(MIN(L164,'THAM_SO_MOI'!$C$41)-O164)/('THAM_SO_MOI'!$C$11*H164)</f>
        <v>0.8462053854784661</v>
      </c>
      <c r="Q164" s="75">
        <f>IF(P164&gt;0,1/P164,NA())</f>
        <v>1.181746201525974</v>
      </c>
      <c r="R164" s="75">
        <f>F164-F163</f>
        <v>0.0035133136094673834</v>
      </c>
      <c r="S164" s="75">
        <f>0.5*(Q163+Q164)*R164</f>
        <v>0.004153114328724343</v>
      </c>
      <c r="T164" s="75">
        <f>0.5*(F163*Q163+F164*Q164)*R164</f>
        <v>0.007486090448682884</v>
      </c>
      <c r="U164" s="76">
        <f>U163+S164</f>
        <v>0.6942038171905589</v>
      </c>
      <c r="V164" s="76">
        <f>V163+T164</f>
        <v>1.0559963336697384</v>
      </c>
    </row>
    <row r="165" spans="1:22" ht="19" customHeight="1">
      <c r="A165" s="68" t="s">
        <v>368</v>
      </c>
      <c r="B165" s="74">
        <v>1</v>
      </c>
      <c r="C165" s="68" t="s">
        <v>363</v>
      </c>
      <c r="D165" s="68" t="s">
        <v>364</v>
      </c>
      <c r="E165" s="75">
        <f>60*F165*'THAM_SO_MOI'!$C$49/(2*PI()*'THAM_SO_MOI'!$C$26)</f>
        <v>1157.75</v>
      </c>
      <c r="F165" s="75">
        <f>'THAM_SO_MOI'!$E$49+('THAM_SO_MOI'!$F$49-'THAM_SO_MOI'!$E$49)*159/'THAM_SO_MOI'!$C$42</f>
        <v>1.807795036160421</v>
      </c>
      <c r="G165" s="75">
        <f>3.6*F165</f>
        <v>6.508062130177516</v>
      </c>
      <c r="H165" s="75">
        <f>'THAM_SO_MOI'!$D$49</f>
        <v>3.1625000000000005</v>
      </c>
      <c r="I165" s="75">
        <f>IF(F165&gt;'THAM_SO_MOI'!$C$14,'THAM_SO_MOI'!$C$13*(1+F165^2/1500),'THAM_SO_MOI'!$C$13)</f>
        <v>0.015</v>
      </c>
      <c r="J165" s="75">
        <f>'THAM_SO_MOI'!$C$40*('THAM_SO_MOI'!$C$23*(E165/'THAM_SO_MOI'!$C$22)+'THAM_SO_MOI'!$C$24*(E165/'THAM_SO_MOI'!$C$22)^2-'THAM_SO_MOI'!$C$25*(E165/'THAM_SO_MOI'!$C$22)^3)</f>
        <v>46.15352662370559</v>
      </c>
      <c r="K165" s="75">
        <f>'THAM_SO_MOI'!$C$31*J165/E165</f>
        <v>380.75307553168307</v>
      </c>
      <c r="L165" s="75">
        <f>K165*'THAM_SO_MOI'!$C$49*'THAM_SO_MOI'!$C$17/'THAM_SO_MOI'!$C$26</f>
        <v>21704.83875486988</v>
      </c>
      <c r="M165" s="75">
        <f>'THAM_SO_MOI'!$C$15*'THAM_SO_MOI'!$C$16*F165^2</f>
        <v>9.559259461341304</v>
      </c>
      <c r="N165" s="75">
        <f>'THAM_SO_MOI'!$C$12*I165</f>
        <v>1130.112</v>
      </c>
      <c r="O165" s="75">
        <f>M165+N165</f>
        <v>1139.6712594613414</v>
      </c>
      <c r="P165" s="75">
        <f>(MIN(L165,'THAM_SO_MOI'!$C$41)-O165)/('THAM_SO_MOI'!$C$11*H165)</f>
        <v>0.8467213230981775</v>
      </c>
      <c r="Q165" s="75">
        <f>IF(P165&gt;0,1/P165,NA())</f>
        <v>1.1810261212519977</v>
      </c>
      <c r="R165" s="75">
        <f>F165-F164</f>
        <v>0.0035133136094676054</v>
      </c>
      <c r="S165" s="75">
        <f>0.5*(Q164+Q165)*R165</f>
        <v>0.0041505800788446175</v>
      </c>
      <c r="T165" s="75">
        <f>0.5*(F164*Q164+F165*Q165)*R165</f>
        <v>0.0074961046969277655</v>
      </c>
      <c r="U165" s="76">
        <f>U164+S165</f>
        <v>0.6983543972694035</v>
      </c>
      <c r="V165" s="76">
        <f>V164+T165</f>
        <v>1.0634924383666662</v>
      </c>
    </row>
    <row r="166" spans="1:22" ht="19" customHeight="1">
      <c r="A166" s="68" t="s">
        <v>368</v>
      </c>
      <c r="B166" s="74">
        <v>1</v>
      </c>
      <c r="C166" s="68" t="s">
        <v>363</v>
      </c>
      <c r="D166" s="68" t="s">
        <v>364</v>
      </c>
      <c r="E166" s="75">
        <f>60*F166*'THAM_SO_MOI'!$C$49/(2*PI()*'THAM_SO_MOI'!$C$26)</f>
        <v>1160.0</v>
      </c>
      <c r="F166" s="75">
        <f>'THAM_SO_MOI'!$E$49+('THAM_SO_MOI'!$F$49-'THAM_SO_MOI'!$E$49)*160/'THAM_SO_MOI'!$C$42</f>
        <v>1.8113083497698883</v>
      </c>
      <c r="G166" s="75">
        <f>3.6*F166</f>
        <v>6.520710059171598</v>
      </c>
      <c r="H166" s="75">
        <f>'THAM_SO_MOI'!$D$49</f>
        <v>3.1625000000000005</v>
      </c>
      <c r="I166" s="75">
        <f>IF(F166&gt;'THAM_SO_MOI'!$C$14,'THAM_SO_MOI'!$C$13*(1+F166^2/1500),'THAM_SO_MOI'!$C$13)</f>
        <v>0.015</v>
      </c>
      <c r="J166" s="75">
        <f>'THAM_SO_MOI'!$C$40*('THAM_SO_MOI'!$C$23*(E166/'THAM_SO_MOI'!$C$22)+'THAM_SO_MOI'!$C$24*(E166/'THAM_SO_MOI'!$C$22)^2-'THAM_SO_MOI'!$C$25*(E166/'THAM_SO_MOI'!$C$22)^3)</f>
        <v>46.2699400717362</v>
      </c>
      <c r="K166" s="75">
        <f>'THAM_SO_MOI'!$C$31*J166/E166</f>
        <v>380.9730599062692</v>
      </c>
      <c r="L166" s="75">
        <f>K166*'THAM_SO_MOI'!$C$49*'THAM_SO_MOI'!$C$17/'THAM_SO_MOI'!$C$26</f>
        <v>21717.378969738307</v>
      </c>
      <c r="M166" s="75">
        <f>'THAM_SO_MOI'!$C$15*'THAM_SO_MOI'!$C$16*F166^2</f>
        <v>9.59645096849239</v>
      </c>
      <c r="N166" s="75">
        <f>'THAM_SO_MOI'!$C$12*I166</f>
        <v>1130.112</v>
      </c>
      <c r="O166" s="75">
        <f>M166+N166</f>
        <v>1139.7084509684926</v>
      </c>
      <c r="P166" s="75">
        <f>(MIN(L166,'THAM_SO_MOI'!$C$41)-O166)/('THAM_SO_MOI'!$C$11*H166)</f>
        <v>0.8472361050218137</v>
      </c>
      <c r="Q166" s="75">
        <f>IF(P166&gt;0,1/P166,NA())</f>
        <v>1.1803085280156387</v>
      </c>
      <c r="R166" s="75">
        <f>F166-F165</f>
        <v>0.0035133136094673834</v>
      </c>
      <c r="S166" s="75">
        <f>0.5*(Q165+Q166)*R166</f>
        <v>0.0041480545798894385</v>
      </c>
      <c r="T166" s="75">
        <f>0.5*(F165*Q165+F166*Q166)*R166</f>
        <v>0.007506116973170638</v>
      </c>
      <c r="U166" s="76">
        <f>U165+S166</f>
        <v>0.7025024518492929</v>
      </c>
      <c r="V166" s="76">
        <f>V165+T166</f>
        <v>1.070998555339837</v>
      </c>
    </row>
    <row r="167" spans="1:22" ht="19" customHeight="1">
      <c r="A167" s="68" t="s">
        <v>368</v>
      </c>
      <c r="B167" s="74">
        <v>1</v>
      </c>
      <c r="C167" s="68" t="s">
        <v>363</v>
      </c>
      <c r="D167" s="68" t="s">
        <v>364</v>
      </c>
      <c r="E167" s="75">
        <f>60*F167*'THAM_SO_MOI'!$C$49/(2*PI()*'THAM_SO_MOI'!$C$26)</f>
        <v>1162.25</v>
      </c>
      <c r="F167" s="75">
        <f>'THAM_SO_MOI'!$E$49+('THAM_SO_MOI'!$F$49-'THAM_SO_MOI'!$E$49)*161/'THAM_SO_MOI'!$C$42</f>
        <v>1.8148216633793557</v>
      </c>
      <c r="G167" s="75">
        <f>3.6*F167</f>
        <v>6.5333579881656805</v>
      </c>
      <c r="H167" s="75">
        <f>'THAM_SO_MOI'!$D$49</f>
        <v>3.1625000000000005</v>
      </c>
      <c r="I167" s="75">
        <f>IF(F167&gt;'THAM_SO_MOI'!$C$14,'THAM_SO_MOI'!$C$13*(1+F167^2/1500),'THAM_SO_MOI'!$C$13)</f>
        <v>0.015</v>
      </c>
      <c r="J167" s="75">
        <f>'THAM_SO_MOI'!$C$40*('THAM_SO_MOI'!$C$23*(E167/'THAM_SO_MOI'!$C$22)+'THAM_SO_MOI'!$C$24*(E167/'THAM_SO_MOI'!$C$22)^2-'THAM_SO_MOI'!$C$25*(E167/'THAM_SO_MOI'!$C$22)^3)</f>
        <v>46.38639740000557</v>
      </c>
      <c r="K167" s="75">
        <f>'THAM_SO_MOI'!$C$31*J167/E167</f>
        <v>381.19255314279684</v>
      </c>
      <c r="L167" s="75">
        <f>K167*'THAM_SO_MOI'!$C$49*'THAM_SO_MOI'!$C$17/'THAM_SO_MOI'!$C$26</f>
        <v>21729.891187269222</v>
      </c>
      <c r="M167" s="75">
        <f>'THAM_SO_MOI'!$C$15*'THAM_SO_MOI'!$C$16*F167^2</f>
        <v>9.633714684372709</v>
      </c>
      <c r="N167" s="75">
        <f>'THAM_SO_MOI'!$C$12*I167</f>
        <v>1130.112</v>
      </c>
      <c r="O167" s="75">
        <f>M167+N167</f>
        <v>1139.7457146843728</v>
      </c>
      <c r="P167" s="75">
        <f>(MIN(L167,'THAM_SO_MOI'!$C$41)-O167)/('THAM_SO_MOI'!$C$11*H167)</f>
        <v>0.847749731249376</v>
      </c>
      <c r="Q167" s="75">
        <f>IF(P167&gt;0,1/P167,NA())</f>
        <v>1.1795934143514788</v>
      </c>
      <c r="R167" s="75">
        <f>F167-F166</f>
        <v>0.0035133136094673834</v>
      </c>
      <c r="S167" s="75">
        <f>0.5*(Q166+Q167)*R167</f>
        <v>0.004145537805563453</v>
      </c>
      <c r="T167" s="75">
        <f>0.5*(F166*Q166+F167*Q167)*R167</f>
        <v>0.0075161273219706585</v>
      </c>
      <c r="U167" s="76">
        <f>U166+S167</f>
        <v>0.7066479896548564</v>
      </c>
      <c r="V167" s="76">
        <f>V166+T167</f>
        <v>1.0785146826618075</v>
      </c>
    </row>
    <row r="168" spans="1:22" ht="19" customHeight="1">
      <c r="A168" s="68" t="s">
        <v>368</v>
      </c>
      <c r="B168" s="74">
        <v>1</v>
      </c>
      <c r="C168" s="68" t="s">
        <v>363</v>
      </c>
      <c r="D168" s="68" t="s">
        <v>364</v>
      </c>
      <c r="E168" s="75">
        <f>60*F168*'THAM_SO_MOI'!$C$49/(2*PI()*'THAM_SO_MOI'!$C$26)</f>
        <v>1164.5</v>
      </c>
      <c r="F168" s="75">
        <f>'THAM_SO_MOI'!$E$49+('THAM_SO_MOI'!$F$49-'THAM_SO_MOI'!$E$49)*162/'THAM_SO_MOI'!$C$42</f>
        <v>1.8183349769888233</v>
      </c>
      <c r="G168" s="75">
        <f>3.6*F168</f>
        <v>6.546005917159764</v>
      </c>
      <c r="H168" s="75">
        <f>'THAM_SO_MOI'!$D$49</f>
        <v>3.1625000000000005</v>
      </c>
      <c r="I168" s="75">
        <f>IF(F168&gt;'THAM_SO_MOI'!$C$14,'THAM_SO_MOI'!$C$13*(1+F168^2/1500),'THAM_SO_MOI'!$C$13)</f>
        <v>0.015</v>
      </c>
      <c r="J168" s="75">
        <f>'THAM_SO_MOI'!$C$40*('THAM_SO_MOI'!$C$23*(E168/'THAM_SO_MOI'!$C$22)+'THAM_SO_MOI'!$C$24*(E168/'THAM_SO_MOI'!$C$22)^2-'THAM_SO_MOI'!$C$25*(E168/'THAM_SO_MOI'!$C$22)^3)</f>
        <v>46.50289826141409</v>
      </c>
      <c r="K168" s="75">
        <f>'THAM_SO_MOI'!$C$31*J168/E168</f>
        <v>381.41155524126543</v>
      </c>
      <c r="L168" s="75">
        <f>K168*'THAM_SO_MOI'!$C$49*'THAM_SO_MOI'!$C$17/'THAM_SO_MOI'!$C$26</f>
        <v>21742.37540746259</v>
      </c>
      <c r="M168" s="75">
        <f>'THAM_SO_MOI'!$C$15*'THAM_SO_MOI'!$C$16*F168^2</f>
        <v>9.671050608982263</v>
      </c>
      <c r="N168" s="75">
        <f>'THAM_SO_MOI'!$C$12*I168</f>
        <v>1130.112</v>
      </c>
      <c r="O168" s="75">
        <f>M168+N168</f>
        <v>1139.7830506089824</v>
      </c>
      <c r="P168" s="75">
        <f>(MIN(L168,'THAM_SO_MOI'!$C$41)-O168)/('THAM_SO_MOI'!$C$11*H168)</f>
        <v>0.8482622017808631</v>
      </c>
      <c r="Q168" s="75">
        <f>IF(P168&gt;0,1/P168,NA())</f>
        <v>1.1788807728324742</v>
      </c>
      <c r="R168" s="75">
        <f>F168-F167</f>
        <v>0.0035133136094676054</v>
      </c>
      <c r="S168" s="75">
        <f>0.5*(Q167+Q168)*R168</f>
        <v>0.0041430297297057155</v>
      </c>
      <c r="T168" s="75">
        <f>0.5*(F167*Q167+F168*Q168)*R168</f>
        <v>0.007526135787761615</v>
      </c>
      <c r="U168" s="76">
        <f>U167+S168</f>
        <v>0.7107910193845621</v>
      </c>
      <c r="V168" s="76">
        <f>V167+T168</f>
        <v>1.0860408184495691</v>
      </c>
    </row>
    <row r="169" spans="1:22" ht="19" customHeight="1">
      <c r="A169" s="68" t="s">
        <v>368</v>
      </c>
      <c r="B169" s="74">
        <v>1</v>
      </c>
      <c r="C169" s="68" t="s">
        <v>363</v>
      </c>
      <c r="D169" s="68" t="s">
        <v>364</v>
      </c>
      <c r="E169" s="75">
        <f>60*F169*'THAM_SO_MOI'!$C$49/(2*PI()*'THAM_SO_MOI'!$C$26)</f>
        <v>1166.75</v>
      </c>
      <c r="F169" s="75">
        <f>'THAM_SO_MOI'!$E$49+('THAM_SO_MOI'!$F$49-'THAM_SO_MOI'!$E$49)*163/'THAM_SO_MOI'!$C$42</f>
        <v>1.8218482905982907</v>
      </c>
      <c r="G169" s="75">
        <f>3.6*F169</f>
        <v>6.558653846153846</v>
      </c>
      <c r="H169" s="75">
        <f>'THAM_SO_MOI'!$D$49</f>
        <v>3.1625000000000005</v>
      </c>
      <c r="I169" s="75">
        <f>IF(F169&gt;'THAM_SO_MOI'!$C$14,'THAM_SO_MOI'!$C$13*(1+F169^2/1500),'THAM_SO_MOI'!$C$13)</f>
        <v>0.015</v>
      </c>
      <c r="J169" s="75">
        <f>'THAM_SO_MOI'!$C$40*('THAM_SO_MOI'!$C$23*(E169/'THAM_SO_MOI'!$C$22)+'THAM_SO_MOI'!$C$24*(E169/'THAM_SO_MOI'!$C$22)^2-'THAM_SO_MOI'!$C$25*(E169/'THAM_SO_MOI'!$C$22)^3)</f>
        <v>46.619442308862254</v>
      </c>
      <c r="K169" s="75">
        <f>'THAM_SO_MOI'!$C$31*J169/E169</f>
        <v>381.6300662016754</v>
      </c>
      <c r="L169" s="75">
        <f>K169*'THAM_SO_MOI'!$C$49*'THAM_SO_MOI'!$C$17/'THAM_SO_MOI'!$C$26</f>
        <v>21754.83163031843</v>
      </c>
      <c r="M169" s="75">
        <f>'THAM_SO_MOI'!$C$15*'THAM_SO_MOI'!$C$16*F169^2</f>
        <v>9.70845874232105</v>
      </c>
      <c r="N169" s="75">
        <f>'THAM_SO_MOI'!$C$12*I169</f>
        <v>1130.112</v>
      </c>
      <c r="O169" s="75">
        <f>M169+N169</f>
        <v>1139.820458742321</v>
      </c>
      <c r="P169" s="75">
        <f>(MIN(L169,'THAM_SO_MOI'!$C$41)-O169)/('THAM_SO_MOI'!$C$11*H169)</f>
        <v>0.8487735166162758</v>
      </c>
      <c r="Q169" s="75">
        <f>IF(P169&gt;0,1/P169,NA())</f>
        <v>1.1781705960697317</v>
      </c>
      <c r="R169" s="75">
        <f>F169-F168</f>
        <v>0.0035133136094673834</v>
      </c>
      <c r="S169" s="75">
        <f>0.5*(Q168+Q169)*R169</f>
        <v>0.004140530326288923</v>
      </c>
      <c r="T169" s="75">
        <f>0.5*(F168*Q168+F169*Q169)*R169</f>
        <v>0.007536142414852892</v>
      </c>
      <c r="U169" s="76">
        <f>U168+S169</f>
        <v>0.714931549710851</v>
      </c>
      <c r="V169" s="76">
        <f>V168+T169</f>
        <v>1.093576960864422</v>
      </c>
    </row>
    <row r="170" spans="1:22" ht="19" customHeight="1">
      <c r="A170" s="68" t="s">
        <v>368</v>
      </c>
      <c r="B170" s="74">
        <v>1</v>
      </c>
      <c r="C170" s="68" t="s">
        <v>363</v>
      </c>
      <c r="D170" s="68" t="s">
        <v>364</v>
      </c>
      <c r="E170" s="75">
        <f>60*F170*'THAM_SO_MOI'!$C$49/(2*PI()*'THAM_SO_MOI'!$C$26)</f>
        <v>1169.0</v>
      </c>
      <c r="F170" s="75">
        <f>'THAM_SO_MOI'!$E$49+('THAM_SO_MOI'!$F$49-'THAM_SO_MOI'!$E$49)*164/'THAM_SO_MOI'!$C$42</f>
        <v>1.825361604207758</v>
      </c>
      <c r="G170" s="75">
        <f>3.6*F170</f>
        <v>6.571301775147929</v>
      </c>
      <c r="H170" s="75">
        <f>'THAM_SO_MOI'!$D$49</f>
        <v>3.1625000000000005</v>
      </c>
      <c r="I170" s="75">
        <f>IF(F170&gt;'THAM_SO_MOI'!$C$14,'THAM_SO_MOI'!$C$13*(1+F170^2/1500),'THAM_SO_MOI'!$C$13)</f>
        <v>0.015</v>
      </c>
      <c r="J170" s="75">
        <f>'THAM_SO_MOI'!$C$40*('THAM_SO_MOI'!$C$23*(E170/'THAM_SO_MOI'!$C$22)+'THAM_SO_MOI'!$C$24*(E170/'THAM_SO_MOI'!$C$22)^2-'THAM_SO_MOI'!$C$25*(E170/'THAM_SO_MOI'!$C$22)^3)</f>
        <v>46.7360291952505</v>
      </c>
      <c r="K170" s="75">
        <f>'THAM_SO_MOI'!$C$31*J170/E170</f>
        <v>381.84808602402654</v>
      </c>
      <c r="L170" s="75">
        <f>K170*'THAM_SO_MOI'!$C$49*'THAM_SO_MOI'!$C$17/'THAM_SO_MOI'!$C$26</f>
        <v>21767.25985583674</v>
      </c>
      <c r="M170" s="75">
        <f>'THAM_SO_MOI'!$C$15*'THAM_SO_MOI'!$C$16*F170^2</f>
        <v>9.745939084389068</v>
      </c>
      <c r="N170" s="75">
        <f>'THAM_SO_MOI'!$C$12*I170</f>
        <v>1130.112</v>
      </c>
      <c r="O170" s="75">
        <f>M170+N170</f>
        <v>1139.857939084389</v>
      </c>
      <c r="P170" s="75">
        <f>(MIN(L170,'THAM_SO_MOI'!$C$41)-O170)/('THAM_SO_MOI'!$C$11*H170)</f>
        <v>0.8492836757556137</v>
      </c>
      <c r="Q170" s="75">
        <f>IF(P170&gt;0,1/P170,NA())</f>
        <v>1.1774628767122988</v>
      </c>
      <c r="R170" s="75">
        <f>F170-F169</f>
        <v>0.0035133136094673834</v>
      </c>
      <c r="S170" s="75">
        <f>0.5*(Q169+Q170)*R170</f>
        <v>0.004138039569421012</v>
      </c>
      <c r="T170" s="75">
        <f>0.5*(F169*Q169+F170*Q170)*R170</f>
        <v>0.00754614724743472</v>
      </c>
      <c r="U170" s="76">
        <f>U169+S170</f>
        <v>0.7190695892802721</v>
      </c>
      <c r="V170" s="76">
        <f>V169+T170</f>
        <v>1.1011231081118567</v>
      </c>
    </row>
    <row r="171" spans="1:22" ht="19" customHeight="1">
      <c r="A171" s="68" t="s">
        <v>368</v>
      </c>
      <c r="B171" s="74">
        <v>1</v>
      </c>
      <c r="C171" s="68" t="s">
        <v>363</v>
      </c>
      <c r="D171" s="68" t="s">
        <v>364</v>
      </c>
      <c r="E171" s="75">
        <f>60*F171*'THAM_SO_MOI'!$C$49/(2*PI()*'THAM_SO_MOI'!$C$26)</f>
        <v>1171.2500000000002</v>
      </c>
      <c r="F171" s="75">
        <f>'THAM_SO_MOI'!$E$49+('THAM_SO_MOI'!$F$49-'THAM_SO_MOI'!$E$49)*165/'THAM_SO_MOI'!$C$42</f>
        <v>1.8288749178172257</v>
      </c>
      <c r="G171" s="75">
        <f>3.6*F171</f>
        <v>6.583949704142013</v>
      </c>
      <c r="H171" s="75">
        <f>'THAM_SO_MOI'!$D$49</f>
        <v>3.1625000000000005</v>
      </c>
      <c r="I171" s="75">
        <f>IF(F171&gt;'THAM_SO_MOI'!$C$14,'THAM_SO_MOI'!$C$13*(1+F171^2/1500),'THAM_SO_MOI'!$C$13)</f>
        <v>0.015</v>
      </c>
      <c r="J171" s="75">
        <f>'THAM_SO_MOI'!$C$40*('THAM_SO_MOI'!$C$23*(E171/'THAM_SO_MOI'!$C$22)+'THAM_SO_MOI'!$C$24*(E171/'THAM_SO_MOI'!$C$22)^2-'THAM_SO_MOI'!$C$25*(E171/'THAM_SO_MOI'!$C$22)^3)</f>
        <v>46.85265857347932</v>
      </c>
      <c r="K171" s="75">
        <f>'THAM_SO_MOI'!$C$31*J171/E171</f>
        <v>382.06561470831895</v>
      </c>
      <c r="L171" s="75">
        <f>K171*'THAM_SO_MOI'!$C$49*'THAM_SO_MOI'!$C$17/'THAM_SO_MOI'!$C$26</f>
        <v>21779.660084017516</v>
      </c>
      <c r="M171" s="75">
        <f>'THAM_SO_MOI'!$C$15*'THAM_SO_MOI'!$C$16*F171^2</f>
        <v>9.783491635186321</v>
      </c>
      <c r="N171" s="75">
        <f>'THAM_SO_MOI'!$C$12*I171</f>
        <v>1130.112</v>
      </c>
      <c r="O171" s="75">
        <f>M171+N171</f>
        <v>1139.8954916351863</v>
      </c>
      <c r="P171" s="75">
        <f>(MIN(L171,'THAM_SO_MOI'!$C$41)-O171)/('THAM_SO_MOI'!$C$11*H171)</f>
        <v>0.849792679198877</v>
      </c>
      <c r="Q171" s="75">
        <f>IF(P171&gt;0,1/P171,NA())</f>
        <v>1.1767576074469452</v>
      </c>
      <c r="R171" s="75">
        <f>F171-F170</f>
        <v>0.0035133136094676054</v>
      </c>
      <c r="S171" s="75">
        <f>0.5*(Q170+Q171)*R171</f>
        <v>0.0041355574333420434</v>
      </c>
      <c r="T171" s="75">
        <f>0.5*(F170*Q170+F171*Q171)*R171</f>
        <v>0.007556150329574882</v>
      </c>
      <c r="U171" s="76">
        <f>U170+S171</f>
        <v>0.7232051467136141</v>
      </c>
      <c r="V171" s="76">
        <f>V170+T171</f>
        <v>1.1086792584414316</v>
      </c>
    </row>
    <row r="172" spans="1:22" ht="19" customHeight="1">
      <c r="A172" s="68" t="s">
        <v>368</v>
      </c>
      <c r="B172" s="74">
        <v>1</v>
      </c>
      <c r="C172" s="68" t="s">
        <v>363</v>
      </c>
      <c r="D172" s="68" t="s">
        <v>364</v>
      </c>
      <c r="E172" s="75">
        <f>60*F172*'THAM_SO_MOI'!$C$49/(2*PI()*'THAM_SO_MOI'!$C$26)</f>
        <v>1173.4999999999998</v>
      </c>
      <c r="F172" s="75">
        <f>'THAM_SO_MOI'!$E$49+('THAM_SO_MOI'!$F$49-'THAM_SO_MOI'!$E$49)*166/'THAM_SO_MOI'!$C$42</f>
        <v>1.832388231426693</v>
      </c>
      <c r="G172" s="75">
        <f>3.6*F172</f>
        <v>6.596597633136095</v>
      </c>
      <c r="H172" s="75">
        <f>'THAM_SO_MOI'!$D$49</f>
        <v>3.1625000000000005</v>
      </c>
      <c r="I172" s="75">
        <f>IF(F172&gt;'THAM_SO_MOI'!$C$14,'THAM_SO_MOI'!$C$13*(1+F172^2/1500),'THAM_SO_MOI'!$C$13)</f>
        <v>0.015</v>
      </c>
      <c r="J172" s="75">
        <f>'THAM_SO_MOI'!$C$40*('THAM_SO_MOI'!$C$23*(E172/'THAM_SO_MOI'!$C$22)+'THAM_SO_MOI'!$C$24*(E172/'THAM_SO_MOI'!$C$22)^2-'THAM_SO_MOI'!$C$25*(E172/'THAM_SO_MOI'!$C$22)^3)</f>
        <v>46.96933009644908</v>
      </c>
      <c r="K172" s="75">
        <f>'THAM_SO_MOI'!$C$31*J172/E172</f>
        <v>382.2826522545524</v>
      </c>
      <c r="L172" s="75">
        <f>K172*'THAM_SO_MOI'!$C$49*'THAM_SO_MOI'!$C$17/'THAM_SO_MOI'!$C$26</f>
        <v>21792.03231486075</v>
      </c>
      <c r="M172" s="75">
        <f>'THAM_SO_MOI'!$C$15*'THAM_SO_MOI'!$C$16*F172^2</f>
        <v>9.821116394712805</v>
      </c>
      <c r="N172" s="75">
        <f>'THAM_SO_MOI'!$C$12*I172</f>
        <v>1130.112</v>
      </c>
      <c r="O172" s="75">
        <f>M172+N172</f>
        <v>1139.933116394713</v>
      </c>
      <c r="P172" s="75">
        <f>(MIN(L172,'THAM_SO_MOI'!$C$41)-O172)/('THAM_SO_MOI'!$C$11*H172)</f>
        <v>0.8503005269460653</v>
      </c>
      <c r="Q172" s="75">
        <f>IF(P172&gt;0,1/P172,NA())</f>
        <v>1.1760547809979545</v>
      </c>
      <c r="R172" s="75">
        <f>F172-F171</f>
        <v>0.0035133136094673834</v>
      </c>
      <c r="S172" s="75">
        <f>0.5*(Q171+Q172)*R172</f>
        <v>0.0041330838924234625</v>
      </c>
      <c r="T172" s="75">
        <f>0.5*(F171*Q171+F172*Q172)*R172</f>
        <v>0.007566151705219651</v>
      </c>
      <c r="U172" s="76">
        <f>U171+S172</f>
        <v>0.7273382306060376</v>
      </c>
      <c r="V172" s="76">
        <f>V171+T172</f>
        <v>1.1162454101466512</v>
      </c>
    </row>
    <row r="173" spans="1:22" ht="19" customHeight="1">
      <c r="A173" s="68" t="s">
        <v>368</v>
      </c>
      <c r="B173" s="74">
        <v>1</v>
      </c>
      <c r="C173" s="68" t="s">
        <v>363</v>
      </c>
      <c r="D173" s="68" t="s">
        <v>364</v>
      </c>
      <c r="E173" s="75">
        <f>60*F173*'THAM_SO_MOI'!$C$49/(2*PI()*'THAM_SO_MOI'!$C$26)</f>
        <v>1175.7499999999998</v>
      </c>
      <c r="F173" s="75">
        <f>'THAM_SO_MOI'!$E$49+('THAM_SO_MOI'!$F$49-'THAM_SO_MOI'!$E$49)*167/'THAM_SO_MOI'!$C$42</f>
        <v>1.8359015450361604</v>
      </c>
      <c r="G173" s="75">
        <f>3.6*F173</f>
        <v>6.6092455621301776</v>
      </c>
      <c r="H173" s="75">
        <f>'THAM_SO_MOI'!$D$49</f>
        <v>3.1625000000000005</v>
      </c>
      <c r="I173" s="75">
        <f>IF(F173&gt;'THAM_SO_MOI'!$C$14,'THAM_SO_MOI'!$C$13*(1+F173^2/1500),'THAM_SO_MOI'!$C$13)</f>
        <v>0.015</v>
      </c>
      <c r="J173" s="75">
        <f>'THAM_SO_MOI'!$C$40*('THAM_SO_MOI'!$C$23*(E173/'THAM_SO_MOI'!$C$22)+'THAM_SO_MOI'!$C$24*(E173/'THAM_SO_MOI'!$C$22)^2-'THAM_SO_MOI'!$C$25*(E173/'THAM_SO_MOI'!$C$22)^3)</f>
        <v>47.08604341706033</v>
      </c>
      <c r="K173" s="75">
        <f>'THAM_SO_MOI'!$C$31*J173/E173</f>
        <v>382.49919866272717</v>
      </c>
      <c r="L173" s="75">
        <f>K173*'THAM_SO_MOI'!$C$49*'THAM_SO_MOI'!$C$17/'THAM_SO_MOI'!$C$26</f>
        <v>21804.376548366457</v>
      </c>
      <c r="M173" s="75">
        <f>'THAM_SO_MOI'!$C$15*'THAM_SO_MOI'!$C$16*F173^2</f>
        <v>9.858813362968522</v>
      </c>
      <c r="N173" s="75">
        <f>'THAM_SO_MOI'!$C$12*I173</f>
        <v>1130.112</v>
      </c>
      <c r="O173" s="75">
        <f>M173+N173</f>
        <v>1139.9708133629686</v>
      </c>
      <c r="P173" s="75">
        <f>(MIN(L173,'THAM_SO_MOI'!$C$41)-O173)/('THAM_SO_MOI'!$C$11*H173)</f>
        <v>0.8508072189971791</v>
      </c>
      <c r="Q173" s="75">
        <f>IF(P173&gt;0,1/P173,NA())</f>
        <v>1.175354390126908</v>
      </c>
      <c r="R173" s="75">
        <f>F173-F172</f>
        <v>0.0035133136094673834</v>
      </c>
      <c r="S173" s="75">
        <f>0.5*(Q172+Q173)*R173</f>
        <v>0.004130618921169699</v>
      </c>
      <c r="T173" s="75">
        <f>0.5*(F172*Q172+F173*Q173)*R173</f>
        <v>0.007576151418199057</v>
      </c>
      <c r="U173" s="76">
        <f>U172+S173</f>
        <v>0.7314688495272074</v>
      </c>
      <c r="V173" s="76">
        <f>V172+T173</f>
        <v>1.1238215615648504</v>
      </c>
    </row>
    <row r="174" spans="1:22" ht="19" customHeight="1">
      <c r="A174" s="68" t="s">
        <v>368</v>
      </c>
      <c r="B174" s="74">
        <v>1</v>
      </c>
      <c r="C174" s="68" t="s">
        <v>363</v>
      </c>
      <c r="D174" s="68" t="s">
        <v>364</v>
      </c>
      <c r="E174" s="75">
        <f>60*F174*'THAM_SO_MOI'!$C$49/(2*PI()*'THAM_SO_MOI'!$C$26)</f>
        <v>1178.0</v>
      </c>
      <c r="F174" s="75">
        <f>'THAM_SO_MOI'!$E$49+('THAM_SO_MOI'!$F$49-'THAM_SO_MOI'!$E$49)*168/'THAM_SO_MOI'!$C$42</f>
        <v>1.839414858645628</v>
      </c>
      <c r="G174" s="75">
        <f>3.6*F174</f>
        <v>6.621893491124261</v>
      </c>
      <c r="H174" s="75">
        <f>'THAM_SO_MOI'!$D$49</f>
        <v>3.1625000000000005</v>
      </c>
      <c r="I174" s="75">
        <f>IF(F174&gt;'THAM_SO_MOI'!$C$14,'THAM_SO_MOI'!$C$13*(1+F174^2/1500),'THAM_SO_MOI'!$C$13)</f>
        <v>0.015</v>
      </c>
      <c r="J174" s="75">
        <f>'THAM_SO_MOI'!$C$40*('THAM_SO_MOI'!$C$23*(E174/'THAM_SO_MOI'!$C$22)+'THAM_SO_MOI'!$C$24*(E174/'THAM_SO_MOI'!$C$22)^2-'THAM_SO_MOI'!$C$25*(E174/'THAM_SO_MOI'!$C$22)^3)</f>
        <v>47.20279818821351</v>
      </c>
      <c r="K174" s="75">
        <f>'THAM_SO_MOI'!$C$31*J174/E174</f>
        <v>382.7152539328432</v>
      </c>
      <c r="L174" s="75">
        <f>K174*'THAM_SO_MOI'!$C$49*'THAM_SO_MOI'!$C$17/'THAM_SO_MOI'!$C$26</f>
        <v>21816.692784534636</v>
      </c>
      <c r="M174" s="75">
        <f>'THAM_SO_MOI'!$C$15*'THAM_SO_MOI'!$C$16*F174^2</f>
        <v>9.896582539953474</v>
      </c>
      <c r="N174" s="75">
        <f>'THAM_SO_MOI'!$C$12*I174</f>
        <v>1130.112</v>
      </c>
      <c r="O174" s="75">
        <f>M174+N174</f>
        <v>1140.0085825399535</v>
      </c>
      <c r="P174" s="75">
        <f>(MIN(L174,'THAM_SO_MOI'!$C$41)-O174)/('THAM_SO_MOI'!$C$11*H174)</f>
        <v>0.8513127553522183</v>
      </c>
      <c r="Q174" s="75">
        <f>IF(P174&gt;0,1/P174,NA())</f>
        <v>1.1746564276324798</v>
      </c>
      <c r="R174" s="75">
        <f>F174-F173</f>
        <v>0.0035133136094676054</v>
      </c>
      <c r="S174" s="75">
        <f>0.5*(Q173+Q174)*R174</f>
        <v>0.004128162494215076</v>
      </c>
      <c r="T174" s="75">
        <f>0.5*(F173*Q173+F174*Q174)*R174</f>
        <v>0.0075861495122235304</v>
      </c>
      <c r="U174" s="76">
        <f>U173+S174</f>
        <v>0.7355970120214225</v>
      </c>
      <c r="V174" s="76">
        <f>V173+T174</f>
        <v>1.131407711077074</v>
      </c>
    </row>
    <row r="175" spans="1:22" ht="19" customHeight="1">
      <c r="A175" s="68" t="s">
        <v>368</v>
      </c>
      <c r="B175" s="74">
        <v>1</v>
      </c>
      <c r="C175" s="68" t="s">
        <v>363</v>
      </c>
      <c r="D175" s="68" t="s">
        <v>364</v>
      </c>
      <c r="E175" s="75">
        <f>60*F175*'THAM_SO_MOI'!$C$49/(2*PI()*'THAM_SO_MOI'!$C$26)</f>
        <v>1180.25</v>
      </c>
      <c r="F175" s="75">
        <f>'THAM_SO_MOI'!$E$49+('THAM_SO_MOI'!$F$49-'THAM_SO_MOI'!$E$49)*169/'THAM_SO_MOI'!$C$42</f>
        <v>1.8429281722550954</v>
      </c>
      <c r="G175" s="75">
        <f>3.6*F175</f>
        <v>6.634541420118343</v>
      </c>
      <c r="H175" s="75">
        <f>'THAM_SO_MOI'!$D$49</f>
        <v>3.1625000000000005</v>
      </c>
      <c r="I175" s="75">
        <f>IF(F175&gt;'THAM_SO_MOI'!$C$14,'THAM_SO_MOI'!$C$13*(1+F175^2/1500),'THAM_SO_MOI'!$C$13)</f>
        <v>0.015</v>
      </c>
      <c r="J175" s="75">
        <f>'THAM_SO_MOI'!$C$40*('THAM_SO_MOI'!$C$23*(E175/'THAM_SO_MOI'!$C$22)+'THAM_SO_MOI'!$C$24*(E175/'THAM_SO_MOI'!$C$22)^2-'THAM_SO_MOI'!$C$25*(E175/'THAM_SO_MOI'!$C$22)^3)</f>
        <v>47.31959406280904</v>
      </c>
      <c r="K175" s="75">
        <f>'THAM_SO_MOI'!$C$31*J175/E175</f>
        <v>382.9308180649005</v>
      </c>
      <c r="L175" s="75">
        <f>K175*'THAM_SO_MOI'!$C$49*'THAM_SO_MOI'!$C$17/'THAM_SO_MOI'!$C$26</f>
        <v>21828.981023365282</v>
      </c>
      <c r="M175" s="75">
        <f>'THAM_SO_MOI'!$C$15*'THAM_SO_MOI'!$C$16*F175^2</f>
        <v>9.934423925667659</v>
      </c>
      <c r="N175" s="75">
        <f>'THAM_SO_MOI'!$C$12*I175</f>
        <v>1130.112</v>
      </c>
      <c r="O175" s="75">
        <f>M175+N175</f>
        <v>1140.0464239256678</v>
      </c>
      <c r="P175" s="75">
        <f>(MIN(L175,'THAM_SO_MOI'!$C$41)-O175)/('THAM_SO_MOI'!$C$11*H175)</f>
        <v>0.8518171360111829</v>
      </c>
      <c r="Q175" s="75">
        <f>IF(P175&gt;0,1/P175,NA())</f>
        <v>1.1739608863502269</v>
      </c>
      <c r="R175" s="75">
        <f>F175-F174</f>
        <v>0.0035133136094673834</v>
      </c>
      <c r="S175" s="75">
        <f>0.5*(Q174+Q175)*R175</f>
        <v>0.004125714586323086</v>
      </c>
      <c r="T175" s="75">
        <f>0.5*(F174*Q174+F175*Q175)*R175</f>
        <v>0.0075961460308848535</v>
      </c>
      <c r="U175" s="76">
        <f>U174+S175</f>
        <v>0.7397227266077455</v>
      </c>
      <c r="V175" s="76">
        <f>V174+T175</f>
        <v>1.1390038571079588</v>
      </c>
    </row>
    <row r="176" spans="1:22" ht="19" customHeight="1">
      <c r="A176" s="68" t="s">
        <v>368</v>
      </c>
      <c r="B176" s="74">
        <v>1</v>
      </c>
      <c r="C176" s="68" t="s">
        <v>363</v>
      </c>
      <c r="D176" s="68" t="s">
        <v>364</v>
      </c>
      <c r="E176" s="75">
        <f>60*F176*'THAM_SO_MOI'!$C$49/(2*PI()*'THAM_SO_MOI'!$C$26)</f>
        <v>1182.4999999999998</v>
      </c>
      <c r="F176" s="75">
        <f>'THAM_SO_MOI'!$E$49+('THAM_SO_MOI'!$F$49-'THAM_SO_MOI'!$E$49)*170/'THAM_SO_MOI'!$C$42</f>
        <v>1.8464414858645628</v>
      </c>
      <c r="G176" s="75">
        <f>3.6*F176</f>
        <v>6.647189349112426</v>
      </c>
      <c r="H176" s="75">
        <f>'THAM_SO_MOI'!$D$49</f>
        <v>3.1625000000000005</v>
      </c>
      <c r="I176" s="75">
        <f>IF(F176&gt;'THAM_SO_MOI'!$C$14,'THAM_SO_MOI'!$C$13*(1+F176^2/1500),'THAM_SO_MOI'!$C$13)</f>
        <v>0.015</v>
      </c>
      <c r="J176" s="75">
        <f>'THAM_SO_MOI'!$C$40*('THAM_SO_MOI'!$C$23*(E176/'THAM_SO_MOI'!$C$22)+'THAM_SO_MOI'!$C$24*(E176/'THAM_SO_MOI'!$C$22)^2-'THAM_SO_MOI'!$C$25*(E176/'THAM_SO_MOI'!$C$22)^3)</f>
        <v>47.43643069374738</v>
      </c>
      <c r="K176" s="75">
        <f>'THAM_SO_MOI'!$C$31*J176/E176</f>
        <v>383.14589105889894</v>
      </c>
      <c r="L176" s="75">
        <f>K176*'THAM_SO_MOI'!$C$49*'THAM_SO_MOI'!$C$17/'THAM_SO_MOI'!$C$26</f>
        <v>21841.241264858396</v>
      </c>
      <c r="M176" s="75">
        <f>'THAM_SO_MOI'!$C$15*'THAM_SO_MOI'!$C$16*F176^2</f>
        <v>9.972337520111074</v>
      </c>
      <c r="N176" s="75">
        <f>'THAM_SO_MOI'!$C$12*I176</f>
        <v>1130.112</v>
      </c>
      <c r="O176" s="75">
        <f>M176+N176</f>
        <v>1140.0843375201111</v>
      </c>
      <c r="P176" s="75">
        <f>(MIN(L176,'THAM_SO_MOI'!$C$41)-O176)/('THAM_SO_MOI'!$C$11*H176)</f>
        <v>0.8523203609740728</v>
      </c>
      <c r="Q176" s="75">
        <f>IF(P176&gt;0,1/P176,NA())</f>
        <v>1.1732677591523824</v>
      </c>
      <c r="R176" s="75">
        <f>F176-F175</f>
        <v>0.0035133136094673834</v>
      </c>
      <c r="S176" s="75">
        <f>0.5*(Q175+Q176)*R176</f>
        <v>0.004123275172388004</v>
      </c>
      <c r="T176" s="75">
        <f>0.5*(F175*Q175+F176*Q176)*R176</f>
        <v>0.007606141017661401</v>
      </c>
      <c r="U176" s="76">
        <f>U175+S176</f>
        <v>0.7438460017801335</v>
      </c>
      <c r="V176" s="76">
        <f>V175+T176</f>
        <v>1.1466099981256201</v>
      </c>
    </row>
    <row r="177" spans="1:22" ht="19" customHeight="1">
      <c r="A177" s="68" t="s">
        <v>368</v>
      </c>
      <c r="B177" s="74">
        <v>1</v>
      </c>
      <c r="C177" s="68" t="s">
        <v>363</v>
      </c>
      <c r="D177" s="68" t="s">
        <v>364</v>
      </c>
      <c r="E177" s="75">
        <f>60*F177*'THAM_SO_MOI'!$C$49/(2*PI()*'THAM_SO_MOI'!$C$26)</f>
        <v>1184.75</v>
      </c>
      <c r="F177" s="75">
        <f>'THAM_SO_MOI'!$E$49+('THAM_SO_MOI'!$F$49-'THAM_SO_MOI'!$E$49)*171/'THAM_SO_MOI'!$C$42</f>
        <v>1.8499547994740304</v>
      </c>
      <c r="G177" s="75">
        <f>3.6*F177</f>
        <v>6.65983727810651</v>
      </c>
      <c r="H177" s="75">
        <f>'THAM_SO_MOI'!$D$49</f>
        <v>3.1625000000000005</v>
      </c>
      <c r="I177" s="75">
        <f>IF(F177&gt;'THAM_SO_MOI'!$C$14,'THAM_SO_MOI'!$C$13*(1+F177^2/1500),'THAM_SO_MOI'!$C$13)</f>
        <v>0.015</v>
      </c>
      <c r="J177" s="75">
        <f>'THAM_SO_MOI'!$C$40*('THAM_SO_MOI'!$C$23*(E177/'THAM_SO_MOI'!$C$22)+'THAM_SO_MOI'!$C$24*(E177/'THAM_SO_MOI'!$C$22)^2-'THAM_SO_MOI'!$C$25*(E177/'THAM_SO_MOI'!$C$22)^3)</f>
        <v>47.553307733929024</v>
      </c>
      <c r="K177" s="75">
        <f>'THAM_SO_MOI'!$C$31*J177/E177</f>
        <v>383.3604729148387</v>
      </c>
      <c r="L177" s="75">
        <f>K177*'THAM_SO_MOI'!$C$49*'THAM_SO_MOI'!$C$17/'THAM_SO_MOI'!$C$26</f>
        <v>21853.473509013977</v>
      </c>
      <c r="M177" s="75">
        <f>'THAM_SO_MOI'!$C$15*'THAM_SO_MOI'!$C$16*F177^2</f>
        <v>10.010323323283727</v>
      </c>
      <c r="N177" s="75">
        <f>'THAM_SO_MOI'!$C$12*I177</f>
        <v>1130.112</v>
      </c>
      <c r="O177" s="75">
        <f>M177+N177</f>
        <v>1140.1223233232838</v>
      </c>
      <c r="P177" s="75">
        <f>(MIN(L177,'THAM_SO_MOI'!$C$41)-O177)/('THAM_SO_MOI'!$C$11*H177)</f>
        <v>0.852822430240888</v>
      </c>
      <c r="Q177" s="75">
        <f>IF(P177&gt;0,1/P177,NA())</f>
        <v>1.1725770389476509</v>
      </c>
      <c r="R177" s="75">
        <f>F177-F176</f>
        <v>0.0035133136094676054</v>
      </c>
      <c r="S177" s="75">
        <f>0.5*(Q176+Q177)*R177</f>
        <v>0.004120844227431817</v>
      </c>
      <c r="T177" s="75">
        <f>0.5*(F176*Q176+F177*Q177)*R177</f>
        <v>0.007616134515914779</v>
      </c>
      <c r="U177" s="76">
        <f>U176+S177</f>
        <v>0.7479668460075654</v>
      </c>
      <c r="V177" s="76">
        <f>V176+T177</f>
        <v>1.1542261326415348</v>
      </c>
    </row>
    <row r="178" spans="1:22" ht="19" customHeight="1">
      <c r="A178" s="68" t="s">
        <v>368</v>
      </c>
      <c r="B178" s="74">
        <v>1</v>
      </c>
      <c r="C178" s="68" t="s">
        <v>363</v>
      </c>
      <c r="D178" s="68" t="s">
        <v>364</v>
      </c>
      <c r="E178" s="75">
        <f>60*F178*'THAM_SO_MOI'!$C$49/(2*PI()*'THAM_SO_MOI'!$C$26)</f>
        <v>1187.0</v>
      </c>
      <c r="F178" s="75">
        <f>'THAM_SO_MOI'!$E$49+('THAM_SO_MOI'!$F$49-'THAM_SO_MOI'!$E$49)*172/'THAM_SO_MOI'!$C$42</f>
        <v>1.8534681130834978</v>
      </c>
      <c r="G178" s="75">
        <f>3.6*F178</f>
        <v>6.672485207100592</v>
      </c>
      <c r="H178" s="75">
        <f>'THAM_SO_MOI'!$D$49</f>
        <v>3.1625000000000005</v>
      </c>
      <c r="I178" s="75">
        <f>IF(F178&gt;'THAM_SO_MOI'!$C$14,'THAM_SO_MOI'!$C$13*(1+F178^2/1500),'THAM_SO_MOI'!$C$13)</f>
        <v>0.015</v>
      </c>
      <c r="J178" s="75">
        <f>'THAM_SO_MOI'!$C$40*('THAM_SO_MOI'!$C$23*(E178/'THAM_SO_MOI'!$C$22)+'THAM_SO_MOI'!$C$24*(E178/'THAM_SO_MOI'!$C$22)^2-'THAM_SO_MOI'!$C$25*(E178/'THAM_SO_MOI'!$C$22)^3)</f>
        <v>47.670224836254384</v>
      </c>
      <c r="K178" s="75">
        <f>'THAM_SO_MOI'!$C$31*J178/E178</f>
        <v>383.57456363271956</v>
      </c>
      <c r="L178" s="75">
        <f>K178*'THAM_SO_MOI'!$C$49*'THAM_SO_MOI'!$C$17/'THAM_SO_MOI'!$C$26</f>
        <v>21865.677755832025</v>
      </c>
      <c r="M178" s="75">
        <f>'THAM_SO_MOI'!$C$15*'THAM_SO_MOI'!$C$16*F178^2</f>
        <v>10.048381335185608</v>
      </c>
      <c r="N178" s="75">
        <f>'THAM_SO_MOI'!$C$12*I178</f>
        <v>1130.112</v>
      </c>
      <c r="O178" s="75">
        <f>M178+N178</f>
        <v>1140.1603813351858</v>
      </c>
      <c r="P178" s="75">
        <f>(MIN(L178,'THAM_SO_MOI'!$C$41)-O178)/('THAM_SO_MOI'!$C$11*H178)</f>
        <v>0.8533233438116286</v>
      </c>
      <c r="Q178" s="75">
        <f>IF(P178&gt;0,1/P178,NA())</f>
        <v>1.171888718681005</v>
      </c>
      <c r="R178" s="75">
        <f>F178-F177</f>
        <v>0.0035133136094673834</v>
      </c>
      <c r="S178" s="75">
        <f>0.5*(Q177+Q178)*R178</f>
        <v>0.004118421726603508</v>
      </c>
      <c r="T178" s="75">
        <f>0.5*(F177*Q177+F178*Q178)*R178</f>
        <v>0.007626126568890718</v>
      </c>
      <c r="U178" s="76">
        <f>U177+S178</f>
        <v>0.7520852677341688</v>
      </c>
      <c r="V178" s="76">
        <f>V177+T178</f>
        <v>1.1618522592104255</v>
      </c>
    </row>
    <row r="179" spans="1:22" ht="19" customHeight="1">
      <c r="A179" s="68" t="s">
        <v>368</v>
      </c>
      <c r="B179" s="74">
        <v>1</v>
      </c>
      <c r="C179" s="68" t="s">
        <v>363</v>
      </c>
      <c r="D179" s="68" t="s">
        <v>364</v>
      </c>
      <c r="E179" s="75">
        <f>60*F179*'THAM_SO_MOI'!$C$49/(2*PI()*'THAM_SO_MOI'!$C$26)</f>
        <v>1189.25</v>
      </c>
      <c r="F179" s="75">
        <f>'THAM_SO_MOI'!$E$49+('THAM_SO_MOI'!$F$49-'THAM_SO_MOI'!$E$49)*173/'THAM_SO_MOI'!$C$42</f>
        <v>1.8569814266929652</v>
      </c>
      <c r="G179" s="75">
        <f>3.6*F179</f>
        <v>6.685133136094675</v>
      </c>
      <c r="H179" s="75">
        <f>'THAM_SO_MOI'!$D$49</f>
        <v>3.1625000000000005</v>
      </c>
      <c r="I179" s="75">
        <f>IF(F179&gt;'THAM_SO_MOI'!$C$14,'THAM_SO_MOI'!$C$13*(1+F179^2/1500),'THAM_SO_MOI'!$C$13)</f>
        <v>0.015</v>
      </c>
      <c r="J179" s="75">
        <f>'THAM_SO_MOI'!$C$40*('THAM_SO_MOI'!$C$23*(E179/'THAM_SO_MOI'!$C$22)+'THAM_SO_MOI'!$C$24*(E179/'THAM_SO_MOI'!$C$22)^2-'THAM_SO_MOI'!$C$25*(E179/'THAM_SO_MOI'!$C$22)^3)</f>
        <v>47.787181653623946</v>
      </c>
      <c r="K179" s="75">
        <f>'THAM_SO_MOI'!$C$31*J179/E179</f>
        <v>383.78816321254175</v>
      </c>
      <c r="L179" s="75">
        <f>K179*'THAM_SO_MOI'!$C$49*'THAM_SO_MOI'!$C$17/'THAM_SO_MOI'!$C$26</f>
        <v>21877.854005312543</v>
      </c>
      <c r="M179" s="75">
        <f>'THAM_SO_MOI'!$C$15*'THAM_SO_MOI'!$C$16*F179^2</f>
        <v>10.086511555816724</v>
      </c>
      <c r="N179" s="75">
        <f>'THAM_SO_MOI'!$C$12*I179</f>
        <v>1130.112</v>
      </c>
      <c r="O179" s="75">
        <f>M179+N179</f>
        <v>1140.1985115558168</v>
      </c>
      <c r="P179" s="75">
        <f>(MIN(L179,'THAM_SO_MOI'!$C$41)-O179)/('THAM_SO_MOI'!$C$11*H179)</f>
        <v>0.8538231016862946</v>
      </c>
      <c r="Q179" s="75">
        <f>IF(P179&gt;0,1/P179,NA())</f>
        <v>1.1712027913334824</v>
      </c>
      <c r="R179" s="75">
        <f>F179-F178</f>
        <v>0.0035133136094673834</v>
      </c>
      <c r="S179" s="75">
        <f>0.5*(Q178+Q179)*R179</f>
        <v>0.00411600764518069</v>
      </c>
      <c r="T179" s="75">
        <f>0.5*(F178*Q178+F179*Q179)*R179</f>
        <v>0.007636117219724355</v>
      </c>
      <c r="U179" s="76">
        <f>U178+S179</f>
        <v>0.7562012753793496</v>
      </c>
      <c r="V179" s="76">
        <f>V178+T179</f>
        <v>1.1694883764301498</v>
      </c>
    </row>
    <row r="180" spans="1:22" ht="19" customHeight="1">
      <c r="A180" s="68" t="s">
        <v>368</v>
      </c>
      <c r="B180" s="74">
        <v>1</v>
      </c>
      <c r="C180" s="68" t="s">
        <v>363</v>
      </c>
      <c r="D180" s="68" t="s">
        <v>364</v>
      </c>
      <c r="E180" s="75">
        <f>60*F180*'THAM_SO_MOI'!$C$49/(2*PI()*'THAM_SO_MOI'!$C$26)</f>
        <v>1191.5</v>
      </c>
      <c r="F180" s="75">
        <f>'THAM_SO_MOI'!$E$49+('THAM_SO_MOI'!$F$49-'THAM_SO_MOI'!$E$49)*174/'THAM_SO_MOI'!$C$42</f>
        <v>1.8604947403024328</v>
      </c>
      <c r="G180" s="75">
        <f>3.6*F180</f>
        <v>6.697781065088758</v>
      </c>
      <c r="H180" s="75">
        <f>'THAM_SO_MOI'!$D$49</f>
        <v>3.1625000000000005</v>
      </c>
      <c r="I180" s="75">
        <f>IF(F180&gt;'THAM_SO_MOI'!$C$14,'THAM_SO_MOI'!$C$13*(1+F180^2/1500),'THAM_SO_MOI'!$C$13)</f>
        <v>0.015</v>
      </c>
      <c r="J180" s="75">
        <f>'THAM_SO_MOI'!$C$40*('THAM_SO_MOI'!$C$23*(E180/'THAM_SO_MOI'!$C$22)+'THAM_SO_MOI'!$C$24*(E180/'THAM_SO_MOI'!$C$22)^2-'THAM_SO_MOI'!$C$25*(E180/'THAM_SO_MOI'!$C$22)^3)</f>
        <v>47.90417783893814</v>
      </c>
      <c r="K180" s="75">
        <f>'THAM_SO_MOI'!$C$31*J180/E180</f>
        <v>384.0012716543051</v>
      </c>
      <c r="L180" s="75">
        <f>K180*'THAM_SO_MOI'!$C$49*'THAM_SO_MOI'!$C$17/'THAM_SO_MOI'!$C$26</f>
        <v>21890.002257455533</v>
      </c>
      <c r="M180" s="75">
        <f>'THAM_SO_MOI'!$C$15*'THAM_SO_MOI'!$C$16*F180^2</f>
        <v>10.124713985177076</v>
      </c>
      <c r="N180" s="75">
        <f>'THAM_SO_MOI'!$C$12*I180</f>
        <v>1130.112</v>
      </c>
      <c r="O180" s="75">
        <f>M180+N180</f>
        <v>1140.2367139851772</v>
      </c>
      <c r="P180" s="75">
        <f>(MIN(L180,'THAM_SO_MOI'!$C$41)-O180)/('THAM_SO_MOI'!$C$11*H180)</f>
        <v>0.854321703864886</v>
      </c>
      <c r="Q180" s="75">
        <f>IF(P180&gt;0,1/P180,NA())</f>
        <v>1.1705192499219867</v>
      </c>
      <c r="R180" s="75">
        <f>F180-F179</f>
        <v>0.0035133136094676054</v>
      </c>
      <c r="S180" s="75">
        <f>0.5*(Q179+Q180)*R180</f>
        <v>0.0041136019585665505</v>
      </c>
      <c r="T180" s="75">
        <f>0.5*(F179*Q179+F180*Q180)*R180</f>
        <v>0.007646106511436803</v>
      </c>
      <c r="U180" s="76">
        <f>U179+S180</f>
        <v>0.7603148773379161</v>
      </c>
      <c r="V180" s="76">
        <f>V179+T180</f>
        <v>1.1771344829415866</v>
      </c>
    </row>
    <row r="181" spans="1:22" ht="19" customHeight="1">
      <c r="A181" s="68" t="s">
        <v>368</v>
      </c>
      <c r="B181" s="74">
        <v>1</v>
      </c>
      <c r="C181" s="68" t="s">
        <v>363</v>
      </c>
      <c r="D181" s="68" t="s">
        <v>364</v>
      </c>
      <c r="E181" s="75">
        <f>60*F181*'THAM_SO_MOI'!$C$49/(2*PI()*'THAM_SO_MOI'!$C$26)</f>
        <v>1193.75</v>
      </c>
      <c r="F181" s="75">
        <f>'THAM_SO_MOI'!$E$49+('THAM_SO_MOI'!$F$49-'THAM_SO_MOI'!$E$49)*175/'THAM_SO_MOI'!$C$42</f>
        <v>1.8640080539119002</v>
      </c>
      <c r="G181" s="75">
        <f>3.6*F181</f>
        <v>6.71042899408284</v>
      </c>
      <c r="H181" s="75">
        <f>'THAM_SO_MOI'!$D$49</f>
        <v>3.1625000000000005</v>
      </c>
      <c r="I181" s="75">
        <f>IF(F181&gt;'THAM_SO_MOI'!$C$14,'THAM_SO_MOI'!$C$13*(1+F181^2/1500),'THAM_SO_MOI'!$C$13)</f>
        <v>0.015</v>
      </c>
      <c r="J181" s="75">
        <f>'THAM_SO_MOI'!$C$40*('THAM_SO_MOI'!$C$23*(E181/'THAM_SO_MOI'!$C$22)+'THAM_SO_MOI'!$C$24*(E181/'THAM_SO_MOI'!$C$22)^2-'THAM_SO_MOI'!$C$25*(E181/'THAM_SO_MOI'!$C$22)^3)</f>
        <v>48.02121304509743</v>
      </c>
      <c r="K181" s="75">
        <f>'THAM_SO_MOI'!$C$31*J181/E181</f>
        <v>384.21388895800965</v>
      </c>
      <c r="L181" s="75">
        <f>K181*'THAM_SO_MOI'!$C$49*'THAM_SO_MOI'!$C$17/'THAM_SO_MOI'!$C$26</f>
        <v>21902.122512260976</v>
      </c>
      <c r="M181" s="75">
        <f>'THAM_SO_MOI'!$C$15*'THAM_SO_MOI'!$C$16*F181^2</f>
        <v>10.162988623266656</v>
      </c>
      <c r="N181" s="75">
        <f>'THAM_SO_MOI'!$C$12*I181</f>
        <v>1130.112</v>
      </c>
      <c r="O181" s="75">
        <f>M181+N181</f>
        <v>1140.2749886232668</v>
      </c>
      <c r="P181" s="75">
        <f>(MIN(L181,'THAM_SO_MOI'!$C$41)-O181)/('THAM_SO_MOI'!$C$11*H181)</f>
        <v>0.8548191503474023</v>
      </c>
      <c r="Q181" s="75">
        <f>IF(P181&gt;0,1/P181,NA())</f>
        <v>1.1698380874990875</v>
      </c>
      <c r="R181" s="75">
        <f>F181-F180</f>
        <v>0.0035133136094673834</v>
      </c>
      <c r="S181" s="75">
        <f>0.5*(Q180+Q181)*R181</f>
        <v>0.004111204642289154</v>
      </c>
      <c r="T181" s="75">
        <f>0.5*(F180*Q180+F181*Q181)*R181</f>
        <v>0.007656094486936064</v>
      </c>
      <c r="U181" s="76">
        <f>U180+S181</f>
        <v>0.7644260819802053</v>
      </c>
      <c r="V181" s="76">
        <f>V180+T181</f>
        <v>1.1847905774285228</v>
      </c>
    </row>
    <row r="182" spans="1:22" ht="19" customHeight="1">
      <c r="A182" s="68" t="s">
        <v>368</v>
      </c>
      <c r="B182" s="74">
        <v>1</v>
      </c>
      <c r="C182" s="68" t="s">
        <v>363</v>
      </c>
      <c r="D182" s="68" t="s">
        <v>364</v>
      </c>
      <c r="E182" s="75">
        <f>60*F182*'THAM_SO_MOI'!$C$49/(2*PI()*'THAM_SO_MOI'!$C$26)</f>
        <v>1196.0</v>
      </c>
      <c r="F182" s="75">
        <f>'THAM_SO_MOI'!$E$49+('THAM_SO_MOI'!$F$49-'THAM_SO_MOI'!$E$49)*176/'THAM_SO_MOI'!$C$42</f>
        <v>1.8675213675213675</v>
      </c>
      <c r="G182" s="75">
        <f>3.6*F182</f>
        <v>6.723076923076923</v>
      </c>
      <c r="H182" s="75">
        <f>'THAM_SO_MOI'!$D$49</f>
        <v>3.1625000000000005</v>
      </c>
      <c r="I182" s="75">
        <f>IF(F182&gt;'THAM_SO_MOI'!$C$14,'THAM_SO_MOI'!$C$13*(1+F182^2/1500),'THAM_SO_MOI'!$C$13)</f>
        <v>0.015</v>
      </c>
      <c r="J182" s="75">
        <f>'THAM_SO_MOI'!$C$40*('THAM_SO_MOI'!$C$23*(E182/'THAM_SO_MOI'!$C$22)+'THAM_SO_MOI'!$C$24*(E182/'THAM_SO_MOI'!$C$22)^2-'THAM_SO_MOI'!$C$25*(E182/'THAM_SO_MOI'!$C$22)^3)</f>
        <v>48.138286925002284</v>
      </c>
      <c r="K182" s="75">
        <f>'THAM_SO_MOI'!$C$31*J182/E182</f>
        <v>384.4260151236555</v>
      </c>
      <c r="L182" s="75">
        <f>K182*'THAM_SO_MOI'!$C$49*'THAM_SO_MOI'!$C$17/'THAM_SO_MOI'!$C$26</f>
        <v>21914.214769728896</v>
      </c>
      <c r="M182" s="75">
        <f>'THAM_SO_MOI'!$C$15*'THAM_SO_MOI'!$C$16*F182^2</f>
        <v>10.201335470085471</v>
      </c>
      <c r="N182" s="75">
        <f>'THAM_SO_MOI'!$C$12*I182</f>
        <v>1130.112</v>
      </c>
      <c r="O182" s="75">
        <f>M182+N182</f>
        <v>1140.3133354700856</v>
      </c>
      <c r="P182" s="75">
        <f>(MIN(L182,'THAM_SO_MOI'!$C$41)-O182)/('THAM_SO_MOI'!$C$11*H182)</f>
        <v>0.8553154411338441</v>
      </c>
      <c r="Q182" s="75">
        <f>IF(P182&gt;0,1/P182,NA())</f>
        <v>1.1691592971528209</v>
      </c>
      <c r="R182" s="75">
        <f>F182-F181</f>
        <v>0.0035133136094673834</v>
      </c>
      <c r="S182" s="75">
        <f>0.5*(Q181+Q182)*R182</f>
        <v>0.004108815672003083</v>
      </c>
      <c r="T182" s="75">
        <f>0.5*(F181*Q181+F182*Q182)*R182</f>
        <v>0.007666081189022277</v>
      </c>
      <c r="U182" s="76">
        <f>U181+S182</f>
        <v>0.7685348976522084</v>
      </c>
      <c r="V182" s="76">
        <f>V181+T182</f>
        <v>1.1924566586175451</v>
      </c>
    </row>
    <row r="183" spans="1:22" ht="19" customHeight="1">
      <c r="A183" s="68" t="s">
        <v>368</v>
      </c>
      <c r="B183" s="74">
        <v>1</v>
      </c>
      <c r="C183" s="68" t="s">
        <v>363</v>
      </c>
      <c r="D183" s="68" t="s">
        <v>364</v>
      </c>
      <c r="E183" s="75">
        <f>60*F183*'THAM_SO_MOI'!$C$49/(2*PI()*'THAM_SO_MOI'!$C$26)</f>
        <v>1198.25</v>
      </c>
      <c r="F183" s="75">
        <f>'THAM_SO_MOI'!$E$49+('THAM_SO_MOI'!$F$49-'THAM_SO_MOI'!$E$49)*177/'THAM_SO_MOI'!$C$42</f>
        <v>1.8710346811308352</v>
      </c>
      <c r="G183" s="75">
        <f>3.6*F183</f>
        <v>6.735724852071007</v>
      </c>
      <c r="H183" s="75">
        <f>'THAM_SO_MOI'!$D$49</f>
        <v>3.1625000000000005</v>
      </c>
      <c r="I183" s="75">
        <f>IF(F183&gt;'THAM_SO_MOI'!$C$14,'THAM_SO_MOI'!$C$13*(1+F183^2/1500),'THAM_SO_MOI'!$C$13)</f>
        <v>0.015</v>
      </c>
      <c r="J183" s="75">
        <f>'THAM_SO_MOI'!$C$40*('THAM_SO_MOI'!$C$23*(E183/'THAM_SO_MOI'!$C$22)+'THAM_SO_MOI'!$C$24*(E183/'THAM_SO_MOI'!$C$22)^2-'THAM_SO_MOI'!$C$25*(E183/'THAM_SO_MOI'!$C$22)^3)</f>
        <v>48.25539913155315</v>
      </c>
      <c r="K183" s="75">
        <f>'THAM_SO_MOI'!$C$31*J183/E183</f>
        <v>384.63765015124255</v>
      </c>
      <c r="L183" s="75">
        <f>K183*'THAM_SO_MOI'!$C$49*'THAM_SO_MOI'!$C$17/'THAM_SO_MOI'!$C$26</f>
        <v>21926.279029859284</v>
      </c>
      <c r="M183" s="75">
        <f>'THAM_SO_MOI'!$C$15*'THAM_SO_MOI'!$C$16*F183^2</f>
        <v>10.239754525633522</v>
      </c>
      <c r="N183" s="75">
        <f>'THAM_SO_MOI'!$C$12*I183</f>
        <v>1130.112</v>
      </c>
      <c r="O183" s="75">
        <f>M183+N183</f>
        <v>1140.3517545256336</v>
      </c>
      <c r="P183" s="75">
        <f>(MIN(L183,'THAM_SO_MOI'!$C$41)-O183)/('THAM_SO_MOI'!$C$11*H183)</f>
        <v>0.8558105762242115</v>
      </c>
      <c r="Q183" s="75">
        <f>IF(P183&gt;0,1/P183,NA())</f>
        <v>1.1684828720064948</v>
      </c>
      <c r="R183" s="75">
        <f>F183-F182</f>
        <v>0.0035133136094676054</v>
      </c>
      <c r="S183" s="75">
        <f>0.5*(Q182+Q183)*R183</f>
        <v>0.004106435023486399</v>
      </c>
      <c r="T183" s="75">
        <f>0.5*(F182*Q182+F183*Q183)*R183</f>
        <v>0.007676066660384272</v>
      </c>
      <c r="U183" s="76">
        <f>U182+S183</f>
        <v>0.7726413326756948</v>
      </c>
      <c r="V183" s="76">
        <f>V182+T183</f>
        <v>1.2001327252779295</v>
      </c>
    </row>
    <row r="184" spans="1:22" ht="19" customHeight="1">
      <c r="A184" s="68" t="s">
        <v>368</v>
      </c>
      <c r="B184" s="74">
        <v>1</v>
      </c>
      <c r="C184" s="68" t="s">
        <v>363</v>
      </c>
      <c r="D184" s="68" t="s">
        <v>364</v>
      </c>
      <c r="E184" s="75">
        <f>60*F184*'THAM_SO_MOI'!$C$49/(2*PI()*'THAM_SO_MOI'!$C$26)</f>
        <v>1200.4999999999998</v>
      </c>
      <c r="F184" s="75">
        <f>'THAM_SO_MOI'!$E$49+('THAM_SO_MOI'!$F$49-'THAM_SO_MOI'!$E$49)*178/'THAM_SO_MOI'!$C$42</f>
        <v>1.8745479947403025</v>
      </c>
      <c r="G184" s="75">
        <f>3.6*F184</f>
        <v>6.748372781065089</v>
      </c>
      <c r="H184" s="75">
        <f>'THAM_SO_MOI'!$D$49</f>
        <v>3.1625000000000005</v>
      </c>
      <c r="I184" s="75">
        <f>IF(F184&gt;'THAM_SO_MOI'!$C$14,'THAM_SO_MOI'!$C$13*(1+F184^2/1500),'THAM_SO_MOI'!$C$13)</f>
        <v>0.015</v>
      </c>
      <c r="J184" s="75">
        <f>'THAM_SO_MOI'!$C$40*('THAM_SO_MOI'!$C$23*(E184/'THAM_SO_MOI'!$C$22)+'THAM_SO_MOI'!$C$24*(E184/'THAM_SO_MOI'!$C$22)^2-'THAM_SO_MOI'!$C$25*(E184/'THAM_SO_MOI'!$C$22)^3)</f>
        <v>48.37254931765045</v>
      </c>
      <c r="K184" s="75">
        <f>'THAM_SO_MOI'!$C$31*J184/E184</f>
        <v>384.84879404077077</v>
      </c>
      <c r="L184" s="75">
        <f>K184*'THAM_SO_MOI'!$C$49*'THAM_SO_MOI'!$C$17/'THAM_SO_MOI'!$C$26</f>
        <v>21938.315292652136</v>
      </c>
      <c r="M184" s="75">
        <f>'THAM_SO_MOI'!$C$15*'THAM_SO_MOI'!$C$16*F184^2</f>
        <v>10.278245789910802</v>
      </c>
      <c r="N184" s="75">
        <f>'THAM_SO_MOI'!$C$12*I184</f>
        <v>1130.112</v>
      </c>
      <c r="O184" s="75">
        <f>M184+N184</f>
        <v>1140.390245789911</v>
      </c>
      <c r="P184" s="75">
        <f>(MIN(L184,'THAM_SO_MOI'!$C$41)-O184)/('THAM_SO_MOI'!$C$11*H184)</f>
        <v>0.8563045556185038</v>
      </c>
      <c r="Q184" s="75">
        <f>IF(P184&gt;0,1/P184,NA())</f>
        <v>1.1678088052184958</v>
      </c>
      <c r="R184" s="75">
        <f>F184-F183</f>
        <v>0.0035133136094673834</v>
      </c>
      <c r="S184" s="75">
        <f>0.5*(Q183+Q184)*R184</f>
        <v>0.00410406267263997</v>
      </c>
      <c r="T184" s="75">
        <f>0.5*(F183*Q183+F184*Q184)*R184</f>
        <v>0.007686050943600468</v>
      </c>
      <c r="U184" s="76">
        <f>U183+S184</f>
        <v>0.7767453953483348</v>
      </c>
      <c r="V184" s="76">
        <f>V183+T184</f>
        <v>1.20781877622153</v>
      </c>
    </row>
    <row r="185" spans="1:22" ht="19" customHeight="1">
      <c r="A185" s="68" t="s">
        <v>368</v>
      </c>
      <c r="B185" s="74">
        <v>1</v>
      </c>
      <c r="C185" s="68" t="s">
        <v>363</v>
      </c>
      <c r="D185" s="68" t="s">
        <v>364</v>
      </c>
      <c r="E185" s="75">
        <f>60*F185*'THAM_SO_MOI'!$C$49/(2*PI()*'THAM_SO_MOI'!$C$26)</f>
        <v>1202.7499999999998</v>
      </c>
      <c r="F185" s="75">
        <f>'THAM_SO_MOI'!$E$49+('THAM_SO_MOI'!$F$49-'THAM_SO_MOI'!$E$49)*179/'THAM_SO_MOI'!$C$42</f>
        <v>1.87806130834977</v>
      </c>
      <c r="G185" s="75">
        <f>3.6*F185</f>
        <v>6.761020710059172</v>
      </c>
      <c r="H185" s="75">
        <f>'THAM_SO_MOI'!$D$49</f>
        <v>3.1625000000000005</v>
      </c>
      <c r="I185" s="75">
        <f>IF(F185&gt;'THAM_SO_MOI'!$C$14,'THAM_SO_MOI'!$C$13*(1+F185^2/1500),'THAM_SO_MOI'!$C$13)</f>
        <v>0.015</v>
      </c>
      <c r="J185" s="75">
        <f>'THAM_SO_MOI'!$C$40*('THAM_SO_MOI'!$C$23*(E185/'THAM_SO_MOI'!$C$22)+'THAM_SO_MOI'!$C$24*(E185/'THAM_SO_MOI'!$C$22)^2-'THAM_SO_MOI'!$C$25*(E185/'THAM_SO_MOI'!$C$22)^3)</f>
        <v>48.489737136194705</v>
      </c>
      <c r="K185" s="75">
        <f>'THAM_SO_MOI'!$C$31*J185/E185</f>
        <v>385.05944679224024</v>
      </c>
      <c r="L185" s="75">
        <f>K185*'THAM_SO_MOI'!$C$49*'THAM_SO_MOI'!$C$17/'THAM_SO_MOI'!$C$26</f>
        <v>21950.32355810746</v>
      </c>
      <c r="M185" s="75">
        <f>'THAM_SO_MOI'!$C$15*'THAM_SO_MOI'!$C$16*F185^2</f>
        <v>10.316809262917316</v>
      </c>
      <c r="N185" s="75">
        <f>'THAM_SO_MOI'!$C$12*I185</f>
        <v>1130.112</v>
      </c>
      <c r="O185" s="75">
        <f>M185+N185</f>
        <v>1140.4288092629174</v>
      </c>
      <c r="P185" s="75">
        <f>(MIN(L185,'THAM_SO_MOI'!$C$41)-O185)/('THAM_SO_MOI'!$C$11*H185)</f>
        <v>0.8567973793167217</v>
      </c>
      <c r="Q185" s="75">
        <f>IF(P185&gt;0,1/P185,NA())</f>
        <v>1.1671370899820905</v>
      </c>
      <c r="R185" s="75">
        <f>F185-F184</f>
        <v>0.0035133136094673834</v>
      </c>
      <c r="S185" s="75">
        <f>0.5*(Q184+Q185)*R185</f>
        <v>0.004101698595489111</v>
      </c>
      <c r="T185" s="75">
        <f>0.5*(F184*Q184+F185*Q185)*R185</f>
        <v>0.007696034081144115</v>
      </c>
      <c r="U185" s="76">
        <f>U184+S185</f>
        <v>0.7808470939438239</v>
      </c>
      <c r="V185" s="76">
        <f>V184+T185</f>
        <v>1.215514810302674</v>
      </c>
    </row>
    <row r="186" spans="1:22" ht="19" customHeight="1">
      <c r="A186" s="68" t="s">
        <v>368</v>
      </c>
      <c r="B186" s="74">
        <v>1</v>
      </c>
      <c r="C186" s="68" t="s">
        <v>363</v>
      </c>
      <c r="D186" s="68" t="s">
        <v>364</v>
      </c>
      <c r="E186" s="75">
        <f>60*F186*'THAM_SO_MOI'!$C$49/(2*PI()*'THAM_SO_MOI'!$C$26)</f>
        <v>1204.9999999999998</v>
      </c>
      <c r="F186" s="75">
        <f>'THAM_SO_MOI'!$E$49+('THAM_SO_MOI'!$F$49-'THAM_SO_MOI'!$E$49)*180/'THAM_SO_MOI'!$C$42</f>
        <v>1.8815746219592375</v>
      </c>
      <c r="G186" s="75">
        <f>3.6*F186</f>
        <v>6.7736686390532554</v>
      </c>
      <c r="H186" s="75">
        <f>'THAM_SO_MOI'!$D$49</f>
        <v>3.1625000000000005</v>
      </c>
      <c r="I186" s="75">
        <f>IF(F186&gt;'THAM_SO_MOI'!$C$14,'THAM_SO_MOI'!$C$13*(1+F186^2/1500),'THAM_SO_MOI'!$C$13)</f>
        <v>0.015</v>
      </c>
      <c r="J186" s="75">
        <f>'THAM_SO_MOI'!$C$40*('THAM_SO_MOI'!$C$23*(E186/'THAM_SO_MOI'!$C$22)+'THAM_SO_MOI'!$C$24*(E186/'THAM_SO_MOI'!$C$22)^2-'THAM_SO_MOI'!$C$25*(E186/'THAM_SO_MOI'!$C$22)^3)</f>
        <v>48.606962240086325</v>
      </c>
      <c r="K186" s="75">
        <f>'THAM_SO_MOI'!$C$31*J186/E186</f>
        <v>385.2696084056509</v>
      </c>
      <c r="L186" s="75">
        <f>K186*'THAM_SO_MOI'!$C$49*'THAM_SO_MOI'!$C$17/'THAM_SO_MOI'!$C$26</f>
        <v>21962.303826225245</v>
      </c>
      <c r="M186" s="75">
        <f>'THAM_SO_MOI'!$C$15*'THAM_SO_MOI'!$C$16*F186^2</f>
        <v>10.355444944653065</v>
      </c>
      <c r="N186" s="75">
        <f>'THAM_SO_MOI'!$C$12*I186</f>
        <v>1130.112</v>
      </c>
      <c r="O186" s="75">
        <f>M186+N186</f>
        <v>1140.4674449446532</v>
      </c>
      <c r="P186" s="75">
        <f>(MIN(L186,'THAM_SO_MOI'!$C$41)-O186)/('THAM_SO_MOI'!$C$11*H186)</f>
        <v>0.8572890473188648</v>
      </c>
      <c r="Q186" s="75">
        <f>IF(P186&gt;0,1/P186,NA())</f>
        <v>1.166467719525238</v>
      </c>
      <c r="R186" s="75">
        <f>F186-F185</f>
        <v>0.0035133136094676054</v>
      </c>
      <c r="S186" s="75">
        <f>0.5*(Q185+Q186)*R186</f>
        <v>0.004099342768180578</v>
      </c>
      <c r="T186" s="75">
        <f>0.5*(F185*Q185+F186*Q186)*R186</f>
        <v>0.00770601611537982</v>
      </c>
      <c r="U186" s="76">
        <f>U185+S186</f>
        <v>0.7849464367120045</v>
      </c>
      <c r="V186" s="76">
        <f>V185+T186</f>
        <v>1.223220826418054</v>
      </c>
    </row>
    <row r="187" spans="1:22" ht="19" customHeight="1">
      <c r="A187" s="68" t="s">
        <v>368</v>
      </c>
      <c r="B187" s="74">
        <v>1</v>
      </c>
      <c r="C187" s="68" t="s">
        <v>363</v>
      </c>
      <c r="D187" s="68" t="s">
        <v>364</v>
      </c>
      <c r="E187" s="75">
        <f>60*F187*'THAM_SO_MOI'!$C$49/(2*PI()*'THAM_SO_MOI'!$C$26)</f>
        <v>1207.2499999999998</v>
      </c>
      <c r="F187" s="75">
        <f>'THAM_SO_MOI'!$E$49+('THAM_SO_MOI'!$F$49-'THAM_SO_MOI'!$E$49)*181/'THAM_SO_MOI'!$C$42</f>
        <v>1.8850879355687047</v>
      </c>
      <c r="G187" s="75">
        <f>3.6*F187</f>
        <v>6.786316568047337</v>
      </c>
      <c r="H187" s="75">
        <f>'THAM_SO_MOI'!$D$49</f>
        <v>3.1625000000000005</v>
      </c>
      <c r="I187" s="75">
        <f>IF(F187&gt;'THAM_SO_MOI'!$C$14,'THAM_SO_MOI'!$C$13*(1+F187^2/1500),'THAM_SO_MOI'!$C$13)</f>
        <v>0.015</v>
      </c>
      <c r="J187" s="75">
        <f>'THAM_SO_MOI'!$C$40*('THAM_SO_MOI'!$C$23*(E187/'THAM_SO_MOI'!$C$22)+'THAM_SO_MOI'!$C$24*(E187/'THAM_SO_MOI'!$C$22)^2-'THAM_SO_MOI'!$C$25*(E187/'THAM_SO_MOI'!$C$22)^3)</f>
        <v>48.72422428222577</v>
      </c>
      <c r="K187" s="75">
        <f>'THAM_SO_MOI'!$C$31*J187/E187</f>
        <v>385.47927888100276</v>
      </c>
      <c r="L187" s="75">
        <f>K187*'THAM_SO_MOI'!$C$49*'THAM_SO_MOI'!$C$17/'THAM_SO_MOI'!$C$26</f>
        <v>21974.2560970055</v>
      </c>
      <c r="M187" s="75">
        <f>'THAM_SO_MOI'!$C$15*'THAM_SO_MOI'!$C$16*F187^2</f>
        <v>10.394152835118042</v>
      </c>
      <c r="N187" s="75">
        <f>'THAM_SO_MOI'!$C$12*I187</f>
        <v>1130.112</v>
      </c>
      <c r="O187" s="75">
        <f>M187+N187</f>
        <v>1140.5061528351182</v>
      </c>
      <c r="P187" s="75">
        <f>(MIN(L187,'THAM_SO_MOI'!$C$41)-O187)/('THAM_SO_MOI'!$C$11*H187)</f>
        <v>0.8577795596249332</v>
      </c>
      <c r="Q187" s="75">
        <f>IF(P187&gt;0,1/P187,NA())</f>
        <v>1.1658006871103959</v>
      </c>
      <c r="R187" s="75">
        <f>F187-F186</f>
        <v>0.0035133136094671613</v>
      </c>
      <c r="S187" s="75">
        <f>0.5*(Q186+Q187)*R187</f>
        <v>0.004096995166981632</v>
      </c>
      <c r="T187" s="75">
        <f>0.5*(F186*Q186+F187*Q187)*R187</f>
        <v>0.007715997088563932</v>
      </c>
      <c r="U187" s="76">
        <f>U186+S187</f>
        <v>0.7890434318789861</v>
      </c>
      <c r="V187" s="76">
        <f>V186+T187</f>
        <v>1.2309368235066178</v>
      </c>
    </row>
    <row r="188" spans="1:22" ht="19" customHeight="1">
      <c r="A188" s="68" t="s">
        <v>368</v>
      </c>
      <c r="B188" s="74">
        <v>1</v>
      </c>
      <c r="C188" s="68" t="s">
        <v>363</v>
      </c>
      <c r="D188" s="68" t="s">
        <v>364</v>
      </c>
      <c r="E188" s="75">
        <f>60*F188*'THAM_SO_MOI'!$C$49/(2*PI()*'THAM_SO_MOI'!$C$26)</f>
        <v>1209.4999999999998</v>
      </c>
      <c r="F188" s="75">
        <f>'THAM_SO_MOI'!$E$49+('THAM_SO_MOI'!$F$49-'THAM_SO_MOI'!$E$49)*182/'THAM_SO_MOI'!$C$42</f>
        <v>1.8886012491781723</v>
      </c>
      <c r="G188" s="75">
        <f>3.6*F188</f>
        <v>6.79896449704142</v>
      </c>
      <c r="H188" s="75">
        <f>'THAM_SO_MOI'!$D$49</f>
        <v>3.1625000000000005</v>
      </c>
      <c r="I188" s="75">
        <f>IF(F188&gt;'THAM_SO_MOI'!$C$14,'THAM_SO_MOI'!$C$13*(1+F188^2/1500),'THAM_SO_MOI'!$C$13)</f>
        <v>0.015</v>
      </c>
      <c r="J188" s="75">
        <f>'THAM_SO_MOI'!$C$40*('THAM_SO_MOI'!$C$23*(E188/'THAM_SO_MOI'!$C$22)+'THAM_SO_MOI'!$C$24*(E188/'THAM_SO_MOI'!$C$22)^2-'THAM_SO_MOI'!$C$25*(E188/'THAM_SO_MOI'!$C$22)^3)</f>
        <v>48.841522915513515</v>
      </c>
      <c r="K188" s="75">
        <f>'THAM_SO_MOI'!$C$31*J188/E188</f>
        <v>385.688458218296</v>
      </c>
      <c r="L188" s="75">
        <f>K188*'THAM_SO_MOI'!$C$49*'THAM_SO_MOI'!$C$17/'THAM_SO_MOI'!$C$26</f>
        <v>21986.180370448226</v>
      </c>
      <c r="M188" s="75">
        <f>'THAM_SO_MOI'!$C$15*'THAM_SO_MOI'!$C$16*F188^2</f>
        <v>10.432932934312259</v>
      </c>
      <c r="N188" s="75">
        <f>'THAM_SO_MOI'!$C$12*I188</f>
        <v>1130.112</v>
      </c>
      <c r="O188" s="75">
        <f>M188+N188</f>
        <v>1140.5449329343123</v>
      </c>
      <c r="P188" s="75">
        <f>(MIN(L188,'THAM_SO_MOI'!$C$41)-O188)/('THAM_SO_MOI'!$C$11*H188)</f>
        <v>0.8582689162349271</v>
      </c>
      <c r="Q188" s="75">
        <f>IF(P188&gt;0,1/P188,NA())</f>
        <v>1.1651359860343329</v>
      </c>
      <c r="R188" s="75">
        <f>F188-F187</f>
        <v>0.0035133136094676054</v>
      </c>
      <c r="S188" s="75">
        <f>0.5*(Q187+Q188)*R188</f>
        <v>0.004094655768283259</v>
      </c>
      <c r="T188" s="75">
        <f>0.5*(F187*Q187+F188*Q188)*R188</f>
        <v>0.007725977042852726</v>
      </c>
      <c r="U188" s="76">
        <f>U187+S188</f>
        <v>0.7931380876472693</v>
      </c>
      <c r="V188" s="76">
        <f>V187+T188</f>
        <v>1.2386628005494706</v>
      </c>
    </row>
    <row r="189" spans="1:22" ht="19" customHeight="1">
      <c r="A189" s="68" t="s">
        <v>368</v>
      </c>
      <c r="B189" s="74">
        <v>1</v>
      </c>
      <c r="C189" s="68" t="s">
        <v>363</v>
      </c>
      <c r="D189" s="68" t="s">
        <v>364</v>
      </c>
      <c r="E189" s="75">
        <f>60*F189*'THAM_SO_MOI'!$C$49/(2*PI()*'THAM_SO_MOI'!$C$26)</f>
        <v>1211.75</v>
      </c>
      <c r="F189" s="75">
        <f>'THAM_SO_MOI'!$E$49+('THAM_SO_MOI'!$F$49-'THAM_SO_MOI'!$E$49)*183/'THAM_SO_MOI'!$C$42</f>
        <v>1.89211456278764</v>
      </c>
      <c r="G189" s="75">
        <f>3.6*F189</f>
        <v>6.811612426035504</v>
      </c>
      <c r="H189" s="75">
        <f>'THAM_SO_MOI'!$D$49</f>
        <v>3.1625000000000005</v>
      </c>
      <c r="I189" s="75">
        <f>IF(F189&gt;'THAM_SO_MOI'!$C$14,'THAM_SO_MOI'!$C$13*(1+F189^2/1500),'THAM_SO_MOI'!$C$13)</f>
        <v>0.015</v>
      </c>
      <c r="J189" s="75">
        <f>'THAM_SO_MOI'!$C$40*('THAM_SO_MOI'!$C$23*(E189/'THAM_SO_MOI'!$C$22)+'THAM_SO_MOI'!$C$24*(E189/'THAM_SO_MOI'!$C$22)^2-'THAM_SO_MOI'!$C$25*(E189/'THAM_SO_MOI'!$C$22)^3)</f>
        <v>48.958857792850004</v>
      </c>
      <c r="K189" s="75">
        <f>'THAM_SO_MOI'!$C$31*J189/E189</f>
        <v>385.8971464175303</v>
      </c>
      <c r="L189" s="75">
        <f>K189*'THAM_SO_MOI'!$C$49*'THAM_SO_MOI'!$C$17/'THAM_SO_MOI'!$C$26</f>
        <v>21998.076646553418</v>
      </c>
      <c r="M189" s="75">
        <f>'THAM_SO_MOI'!$C$15*'THAM_SO_MOI'!$C$16*F189^2</f>
        <v>10.471785242235706</v>
      </c>
      <c r="N189" s="75">
        <f>'THAM_SO_MOI'!$C$12*I189</f>
        <v>1130.112</v>
      </c>
      <c r="O189" s="75">
        <f>M189+N189</f>
        <v>1140.5837852422358</v>
      </c>
      <c r="P189" s="75">
        <f>(MIN(L189,'THAM_SO_MOI'!$C$41)-O189)/('THAM_SO_MOI'!$C$11*H189)</f>
        <v>0.8587571171488463</v>
      </c>
      <c r="Q189" s="75">
        <f>IF(P189&gt;0,1/P189,NA())</f>
        <v>1.164473609627939</v>
      </c>
      <c r="R189" s="75">
        <f>F189-F188</f>
        <v>0.0035133136094676054</v>
      </c>
      <c r="S189" s="75">
        <f>0.5*(Q188+Q189)*R189</f>
        <v>0.004092324548593293</v>
      </c>
      <c r="T189" s="75">
        <f>0.5*(F188*Q188+F189*Q189)*R189</f>
        <v>0.007735956020291576</v>
      </c>
      <c r="U189" s="76">
        <f>U188+S189</f>
        <v>0.7972304121958627</v>
      </c>
      <c r="V189" s="76">
        <f>V188+T189</f>
        <v>1.2463987565697623</v>
      </c>
    </row>
    <row r="190" spans="1:22" ht="19" customHeight="1">
      <c r="A190" s="68" t="s">
        <v>368</v>
      </c>
      <c r="B190" s="74">
        <v>1</v>
      </c>
      <c r="C190" s="68" t="s">
        <v>363</v>
      </c>
      <c r="D190" s="68" t="s">
        <v>364</v>
      </c>
      <c r="E190" s="75">
        <f>60*F190*'THAM_SO_MOI'!$C$49/(2*PI()*'THAM_SO_MOI'!$C$26)</f>
        <v>1213.9999999999998</v>
      </c>
      <c r="F190" s="75">
        <f>'THAM_SO_MOI'!$E$49+('THAM_SO_MOI'!$F$49-'THAM_SO_MOI'!$E$49)*184/'THAM_SO_MOI'!$C$42</f>
        <v>1.8956278763971073</v>
      </c>
      <c r="G190" s="75">
        <f>3.6*F190</f>
        <v>6.824260355029586</v>
      </c>
      <c r="H190" s="75">
        <f>'THAM_SO_MOI'!$D$49</f>
        <v>3.1625000000000005</v>
      </c>
      <c r="I190" s="75">
        <f>IF(F190&gt;'THAM_SO_MOI'!$C$14,'THAM_SO_MOI'!$C$13*(1+F190^2/1500),'THAM_SO_MOI'!$C$13)</f>
        <v>0.015</v>
      </c>
      <c r="J190" s="75">
        <f>'THAM_SO_MOI'!$C$40*('THAM_SO_MOI'!$C$23*(E190/'THAM_SO_MOI'!$C$22)+'THAM_SO_MOI'!$C$24*(E190/'THAM_SO_MOI'!$C$22)^2-'THAM_SO_MOI'!$C$25*(E190/'THAM_SO_MOI'!$C$22)^3)</f>
        <v>49.076228567135686</v>
      </c>
      <c r="K190" s="75">
        <f>'THAM_SO_MOI'!$C$31*J190/E190</f>
        <v>386.10534347870595</v>
      </c>
      <c r="L190" s="75">
        <f>K190*'THAM_SO_MOI'!$C$49*'THAM_SO_MOI'!$C$17/'THAM_SO_MOI'!$C$26</f>
        <v>22009.94492532108</v>
      </c>
      <c r="M190" s="75">
        <f>'THAM_SO_MOI'!$C$15*'THAM_SO_MOI'!$C$16*F190^2</f>
        <v>10.510709758888385</v>
      </c>
      <c r="N190" s="75">
        <f>'THAM_SO_MOI'!$C$12*I190</f>
        <v>1130.112</v>
      </c>
      <c r="O190" s="75">
        <f>M190+N190</f>
        <v>1140.6227097588885</v>
      </c>
      <c r="P190" s="75">
        <f>(MIN(L190,'THAM_SO_MOI'!$C$41)-O190)/('THAM_SO_MOI'!$C$11*H190)</f>
        <v>0.8592441623666909</v>
      </c>
      <c r="Q190" s="75">
        <f>IF(P190&gt;0,1/P190,NA())</f>
        <v>1.1638135512560401</v>
      </c>
      <c r="R190" s="75">
        <f>F190-F189</f>
        <v>0.0035133136094673834</v>
      </c>
      <c r="S190" s="75">
        <f>0.5*(Q189+Q190)*R190</f>
        <v>0.00409000148454093</v>
      </c>
      <c r="T190" s="75">
        <f>0.5*(F189*Q189+F190*Q190)*R190</f>
        <v>0.007745934062825557</v>
      </c>
      <c r="U190" s="76">
        <f>U189+S190</f>
        <v>0.8013204136804036</v>
      </c>
      <c r="V190" s="76">
        <f>V189+T190</f>
        <v>1.254144690632588</v>
      </c>
    </row>
    <row r="191" spans="1:22" ht="19" customHeight="1">
      <c r="A191" s="68" t="s">
        <v>368</v>
      </c>
      <c r="B191" s="74">
        <v>1</v>
      </c>
      <c r="C191" s="68" t="s">
        <v>363</v>
      </c>
      <c r="D191" s="68" t="s">
        <v>364</v>
      </c>
      <c r="E191" s="75">
        <f>60*F191*'THAM_SO_MOI'!$C$49/(2*PI()*'THAM_SO_MOI'!$C$26)</f>
        <v>1216.25</v>
      </c>
      <c r="F191" s="75">
        <f>'THAM_SO_MOI'!$E$49+('THAM_SO_MOI'!$F$49-'THAM_SO_MOI'!$E$49)*185/'THAM_SO_MOI'!$C$42</f>
        <v>1.8991411900065747</v>
      </c>
      <c r="G191" s="75">
        <f>3.6*F191</f>
        <v>6.836908284023669</v>
      </c>
      <c r="H191" s="75">
        <f>'THAM_SO_MOI'!$D$49</f>
        <v>3.1625000000000005</v>
      </c>
      <c r="I191" s="75">
        <f>IF(F191&gt;'THAM_SO_MOI'!$C$14,'THAM_SO_MOI'!$C$13*(1+F191^2/1500),'THAM_SO_MOI'!$C$13)</f>
        <v>0.015</v>
      </c>
      <c r="J191" s="75">
        <f>'THAM_SO_MOI'!$C$40*('THAM_SO_MOI'!$C$23*(E191/'THAM_SO_MOI'!$C$22)+'THAM_SO_MOI'!$C$24*(E191/'THAM_SO_MOI'!$C$22)^2-'THAM_SO_MOI'!$C$25*(E191/'THAM_SO_MOI'!$C$22)^3)</f>
        <v>49.193634891271024</v>
      </c>
      <c r="K191" s="75">
        <f>'THAM_SO_MOI'!$C$31*J191/E191</f>
        <v>386.3130494018227</v>
      </c>
      <c r="L191" s="75">
        <f>K191*'THAM_SO_MOI'!$C$49*'THAM_SO_MOI'!$C$17/'THAM_SO_MOI'!$C$26</f>
        <v>22021.78520675121</v>
      </c>
      <c r="M191" s="75">
        <f>'THAM_SO_MOI'!$C$15*'THAM_SO_MOI'!$C$16*F191^2</f>
        <v>10.549706484270297</v>
      </c>
      <c r="N191" s="75">
        <f>'THAM_SO_MOI'!$C$12*I191</f>
        <v>1130.112</v>
      </c>
      <c r="O191" s="75">
        <f>M191+N191</f>
        <v>1140.6617064842703</v>
      </c>
      <c r="P191" s="75">
        <f>(MIN(L191,'THAM_SO_MOI'!$C$41)-O191)/('THAM_SO_MOI'!$C$11*H191)</f>
        <v>0.8597300518884607</v>
      </c>
      <c r="Q191" s="75">
        <f>IF(P191&gt;0,1/P191,NA())</f>
        <v>1.1631558043172108</v>
      </c>
      <c r="R191" s="75">
        <f>F191-F190</f>
        <v>0.0035133136094673834</v>
      </c>
      <c r="S191" s="75">
        <f>0.5*(Q190+Q191)*R191</f>
        <v>0.004087686552874525</v>
      </c>
      <c r="T191" s="75">
        <f>0.5*(F190*Q190+F191*Q191)*R191</f>
        <v>0.007755911212297401</v>
      </c>
      <c r="U191" s="76">
        <f>U190+S191</f>
        <v>0.8054081002332781</v>
      </c>
      <c r="V191" s="76">
        <f>V190+T191</f>
        <v>1.2619006018448853</v>
      </c>
    </row>
    <row r="192" spans="1:22" ht="19" customHeight="1">
      <c r="A192" s="68" t="s">
        <v>368</v>
      </c>
      <c r="B192" s="74">
        <v>1</v>
      </c>
      <c r="C192" s="68" t="s">
        <v>363</v>
      </c>
      <c r="D192" s="68" t="s">
        <v>364</v>
      </c>
      <c r="E192" s="75">
        <f>60*F192*'THAM_SO_MOI'!$C$49/(2*PI()*'THAM_SO_MOI'!$C$26)</f>
        <v>1218.5</v>
      </c>
      <c r="F192" s="75">
        <f>'THAM_SO_MOI'!$E$49+('THAM_SO_MOI'!$F$49-'THAM_SO_MOI'!$E$49)*186/'THAM_SO_MOI'!$C$42</f>
        <v>1.9026545036160423</v>
      </c>
      <c r="G192" s="75">
        <f>3.6*F192</f>
        <v>6.8495562130177525</v>
      </c>
      <c r="H192" s="75">
        <f>'THAM_SO_MOI'!$D$49</f>
        <v>3.1625000000000005</v>
      </c>
      <c r="I192" s="75">
        <f>IF(F192&gt;'THAM_SO_MOI'!$C$14,'THAM_SO_MOI'!$C$13*(1+F192^2/1500),'THAM_SO_MOI'!$C$13)</f>
        <v>0.015</v>
      </c>
      <c r="J192" s="75">
        <f>'THAM_SO_MOI'!$C$40*('THAM_SO_MOI'!$C$23*(E192/'THAM_SO_MOI'!$C$22)+'THAM_SO_MOI'!$C$24*(E192/'THAM_SO_MOI'!$C$22)^2-'THAM_SO_MOI'!$C$25*(E192/'THAM_SO_MOI'!$C$22)^3)</f>
        <v>49.311076418156475</v>
      </c>
      <c r="K192" s="75">
        <f>'THAM_SO_MOI'!$C$31*J192/E192</f>
        <v>386.52026418688075</v>
      </c>
      <c r="L192" s="75">
        <f>K192*'THAM_SO_MOI'!$C$49*'THAM_SO_MOI'!$C$17/'THAM_SO_MOI'!$C$26</f>
        <v>22033.5974908438</v>
      </c>
      <c r="M192" s="75">
        <f>'THAM_SO_MOI'!$C$15*'THAM_SO_MOI'!$C$16*F192^2</f>
        <v>10.588775418381443</v>
      </c>
      <c r="N192" s="75">
        <f>'THAM_SO_MOI'!$C$12*I192</f>
        <v>1130.112</v>
      </c>
      <c r="O192" s="75">
        <f>M192+N192</f>
        <v>1140.7007754183815</v>
      </c>
      <c r="P192" s="75">
        <f>(MIN(L192,'THAM_SO_MOI'!$C$41)-O192)/('THAM_SO_MOI'!$C$11*H192)</f>
        <v>0.8602147857141557</v>
      </c>
      <c r="Q192" s="75">
        <f>IF(P192&gt;0,1/P192,NA())</f>
        <v>1.162500362243592</v>
      </c>
      <c r="R192" s="75">
        <f>F192-F191</f>
        <v>0.0035133136094676054</v>
      </c>
      <c r="S192" s="75">
        <f>0.5*(Q191+Q192)*R192</f>
        <v>0.004085379730460165</v>
      </c>
      <c r="T192" s="75">
        <f>0.5*(F191*Q191+F192*Q192)*R192</f>
        <v>0.007765887510446871</v>
      </c>
      <c r="U192" s="76">
        <f>U191+S192</f>
        <v>0.8094934799637383</v>
      </c>
      <c r="V192" s="76">
        <f>V191+T192</f>
        <v>1.2696664893553322</v>
      </c>
    </row>
    <row r="193" spans="1:22" ht="19" customHeight="1">
      <c r="A193" s="68" t="s">
        <v>368</v>
      </c>
      <c r="B193" s="74">
        <v>1</v>
      </c>
      <c r="C193" s="68" t="s">
        <v>363</v>
      </c>
      <c r="D193" s="68" t="s">
        <v>364</v>
      </c>
      <c r="E193" s="75">
        <f>60*F193*'THAM_SO_MOI'!$C$49/(2*PI()*'THAM_SO_MOI'!$C$26)</f>
        <v>1220.7499999999998</v>
      </c>
      <c r="F193" s="75">
        <f>'THAM_SO_MOI'!$E$49+('THAM_SO_MOI'!$F$49-'THAM_SO_MOI'!$E$49)*187/'THAM_SO_MOI'!$C$42</f>
        <v>1.9061678172255094</v>
      </c>
      <c r="G193" s="75">
        <f>3.6*F193</f>
        <v>6.8622041420118345</v>
      </c>
      <c r="H193" s="75">
        <f>'THAM_SO_MOI'!$D$49</f>
        <v>3.1625000000000005</v>
      </c>
      <c r="I193" s="75">
        <f>IF(F193&gt;'THAM_SO_MOI'!$C$14,'THAM_SO_MOI'!$C$13*(1+F193^2/1500),'THAM_SO_MOI'!$C$13)</f>
        <v>0.015</v>
      </c>
      <c r="J193" s="75">
        <f>'THAM_SO_MOI'!$C$40*('THAM_SO_MOI'!$C$23*(E193/'THAM_SO_MOI'!$C$22)+'THAM_SO_MOI'!$C$24*(E193/'THAM_SO_MOI'!$C$22)^2-'THAM_SO_MOI'!$C$25*(E193/'THAM_SO_MOI'!$C$22)^3)</f>
        <v>49.42855280069247</v>
      </c>
      <c r="K193" s="75">
        <f>'THAM_SO_MOI'!$C$31*J193/E193</f>
        <v>386.72698783388</v>
      </c>
      <c r="L193" s="75">
        <f>K193*'THAM_SO_MOI'!$C$49*'THAM_SO_MOI'!$C$17/'THAM_SO_MOI'!$C$26</f>
        <v>22045.381777598865</v>
      </c>
      <c r="M193" s="75">
        <f>'THAM_SO_MOI'!$C$15*'THAM_SO_MOI'!$C$16*F193^2</f>
        <v>10.62791656122182</v>
      </c>
      <c r="N193" s="75">
        <f>'THAM_SO_MOI'!$C$12*I193</f>
        <v>1130.112</v>
      </c>
      <c r="O193" s="75">
        <f>M193+N193</f>
        <v>1140.739916561222</v>
      </c>
      <c r="P193" s="75">
        <f>(MIN(L193,'THAM_SO_MOI'!$C$41)-O193)/('THAM_SO_MOI'!$C$11*H193)</f>
        <v>0.8606983638437763</v>
      </c>
      <c r="Q193" s="75">
        <f>IF(P193&gt;0,1/P193,NA())</f>
        <v>1.1618472185007058</v>
      </c>
      <c r="R193" s="75">
        <f>F193-F192</f>
        <v>0.0035133136094671613</v>
      </c>
      <c r="S193" s="75">
        <f>0.5*(Q192+Q193)*R193</f>
        <v>0.004083080994280507</v>
      </c>
      <c r="T193" s="75">
        <f>0.5*(F192*Q192+F193*Q193)*R193</f>
        <v>0.007775862998910623</v>
      </c>
      <c r="U193" s="76">
        <f>U192+S193</f>
        <v>0.8135765609580188</v>
      </c>
      <c r="V193" s="76">
        <f>V192+T193</f>
        <v>1.2774423523542429</v>
      </c>
    </row>
    <row r="194" spans="1:22" ht="19" customHeight="1">
      <c r="A194" s="68" t="s">
        <v>368</v>
      </c>
      <c r="B194" s="74">
        <v>1</v>
      </c>
      <c r="C194" s="68" t="s">
        <v>363</v>
      </c>
      <c r="D194" s="68" t="s">
        <v>364</v>
      </c>
      <c r="E194" s="75">
        <f>60*F194*'THAM_SO_MOI'!$C$49/(2*PI()*'THAM_SO_MOI'!$C$26)</f>
        <v>1222.9999999999998</v>
      </c>
      <c r="F194" s="75">
        <f>'THAM_SO_MOI'!$E$49+('THAM_SO_MOI'!$F$49-'THAM_SO_MOI'!$E$49)*188/'THAM_SO_MOI'!$C$42</f>
        <v>1.909681130834977</v>
      </c>
      <c r="G194" s="75">
        <f>3.6*F194</f>
        <v>6.874852071005917</v>
      </c>
      <c r="H194" s="75">
        <f>'THAM_SO_MOI'!$D$49</f>
        <v>3.1625000000000005</v>
      </c>
      <c r="I194" s="75">
        <f>IF(F194&gt;'THAM_SO_MOI'!$C$14,'THAM_SO_MOI'!$C$13*(1+F194^2/1500),'THAM_SO_MOI'!$C$13)</f>
        <v>0.015</v>
      </c>
      <c r="J194" s="75">
        <f>'THAM_SO_MOI'!$C$40*('THAM_SO_MOI'!$C$23*(E194/'THAM_SO_MOI'!$C$22)+'THAM_SO_MOI'!$C$24*(E194/'THAM_SO_MOI'!$C$22)^2-'THAM_SO_MOI'!$C$25*(E194/'THAM_SO_MOI'!$C$22)^3)</f>
        <v>49.546063691779494</v>
      </c>
      <c r="K194" s="75">
        <f>'THAM_SO_MOI'!$C$31*J194/E194</f>
        <v>386.93322034282045</v>
      </c>
      <c r="L194" s="75">
        <f>K194*'THAM_SO_MOI'!$C$49*'THAM_SO_MOI'!$C$17/'THAM_SO_MOI'!$C$26</f>
        <v>22057.138067016393</v>
      </c>
      <c r="M194" s="75">
        <f>'THAM_SO_MOI'!$C$15*'THAM_SO_MOI'!$C$16*F194^2</f>
        <v>10.667129912791435</v>
      </c>
      <c r="N194" s="75">
        <f>'THAM_SO_MOI'!$C$12*I194</f>
        <v>1130.112</v>
      </c>
      <c r="O194" s="75">
        <f>M194+N194</f>
        <v>1140.7791299127914</v>
      </c>
      <c r="P194" s="75">
        <f>(MIN(L194,'THAM_SO_MOI'!$C$41)-O194)/('THAM_SO_MOI'!$C$11*H194)</f>
        <v>0.861180786277322</v>
      </c>
      <c r="Q194" s="75">
        <f>IF(P194&gt;0,1/P194,NA())</f>
        <v>1.1611963665872762</v>
      </c>
      <c r="R194" s="75">
        <f>F194-F193</f>
        <v>0.0035133136094676054</v>
      </c>
      <c r="S194" s="75">
        <f>0.5*(Q193+Q194)*R194</f>
        <v>0.0040807903214380116</v>
      </c>
      <c r="T194" s="75">
        <f>0.5*(F193*Q193+F194*Q194)*R194</f>
        <v>0.007785837719230421</v>
      </c>
      <c r="U194" s="76">
        <f>U193+S194</f>
        <v>0.8176573512794568</v>
      </c>
      <c r="V194" s="76">
        <f>V193+T194</f>
        <v>1.2852281900734732</v>
      </c>
    </row>
    <row r="195" spans="1:22" ht="19" customHeight="1">
      <c r="A195" s="68" t="s">
        <v>368</v>
      </c>
      <c r="B195" s="74">
        <v>1</v>
      </c>
      <c r="C195" s="68" t="s">
        <v>363</v>
      </c>
      <c r="D195" s="68" t="s">
        <v>364</v>
      </c>
      <c r="E195" s="75">
        <f>60*F195*'THAM_SO_MOI'!$C$49/(2*PI()*'THAM_SO_MOI'!$C$26)</f>
        <v>1225.25</v>
      </c>
      <c r="F195" s="75">
        <f>'THAM_SO_MOI'!$E$49+('THAM_SO_MOI'!$F$49-'THAM_SO_MOI'!$E$49)*189/'THAM_SO_MOI'!$C$42</f>
        <v>1.9131944444444444</v>
      </c>
      <c r="G195" s="75">
        <f>3.6*F195</f>
        <v>6.8875</v>
      </c>
      <c r="H195" s="75">
        <f>'THAM_SO_MOI'!$D$49</f>
        <v>3.1625000000000005</v>
      </c>
      <c r="I195" s="75">
        <f>IF(F195&gt;'THAM_SO_MOI'!$C$14,'THAM_SO_MOI'!$C$13*(1+F195^2/1500),'THAM_SO_MOI'!$C$13)</f>
        <v>0.015</v>
      </c>
      <c r="J195" s="75">
        <f>'THAM_SO_MOI'!$C$40*('THAM_SO_MOI'!$C$23*(E195/'THAM_SO_MOI'!$C$22)+'THAM_SO_MOI'!$C$24*(E195/'THAM_SO_MOI'!$C$22)^2-'THAM_SO_MOI'!$C$25*(E195/'THAM_SO_MOI'!$C$22)^3)</f>
        <v>49.663608744318</v>
      </c>
      <c r="K195" s="75">
        <f>'THAM_SO_MOI'!$C$31*J195/E195</f>
        <v>387.1389617137021</v>
      </c>
      <c r="L195" s="75">
        <f>K195*'THAM_SO_MOI'!$C$49*'THAM_SO_MOI'!$C$17/'THAM_SO_MOI'!$C$26</f>
        <v>22068.866359096388</v>
      </c>
      <c r="M195" s="75">
        <f>'THAM_SO_MOI'!$C$15*'THAM_SO_MOI'!$C$16*F195^2</f>
        <v>10.706415473090278</v>
      </c>
      <c r="N195" s="75">
        <f>'THAM_SO_MOI'!$C$12*I195</f>
        <v>1130.112</v>
      </c>
      <c r="O195" s="75">
        <f>M195+N195</f>
        <v>1140.8184154730905</v>
      </c>
      <c r="P195" s="75">
        <f>(MIN(L195,'THAM_SO_MOI'!$C$41)-O195)/('THAM_SO_MOI'!$C$11*H195)</f>
        <v>0.861662053014793</v>
      </c>
      <c r="Q195" s="75">
        <f>IF(P195&gt;0,1/P195,NA())</f>
        <v>1.1605478000350469</v>
      </c>
      <c r="R195" s="75">
        <f>F195-F194</f>
        <v>0.0035133136094673834</v>
      </c>
      <c r="S195" s="75">
        <f>0.5*(Q194+Q195)*R195</f>
        <v>0.004078507689147857</v>
      </c>
      <c r="T195" s="75">
        <f>0.5*(F194*Q194+F195*Q195)*R195</f>
        <v>0.007795811712841691</v>
      </c>
      <c r="U195" s="76">
        <f>U194+S195</f>
        <v>0.8217358589686047</v>
      </c>
      <c r="V195" s="76">
        <f>V194+T195</f>
        <v>1.2930240017863148</v>
      </c>
    </row>
    <row r="196" spans="1:22" ht="19" customHeight="1">
      <c r="A196" s="68" t="s">
        <v>368</v>
      </c>
      <c r="B196" s="74">
        <v>1</v>
      </c>
      <c r="C196" s="68" t="s">
        <v>363</v>
      </c>
      <c r="D196" s="68" t="s">
        <v>364</v>
      </c>
      <c r="E196" s="75">
        <f>60*F196*'THAM_SO_MOI'!$C$49/(2*PI()*'THAM_SO_MOI'!$C$26)</f>
        <v>1227.4999999999998</v>
      </c>
      <c r="F196" s="75">
        <f>'THAM_SO_MOI'!$E$49+('THAM_SO_MOI'!$F$49-'THAM_SO_MOI'!$E$49)*190/'THAM_SO_MOI'!$C$42</f>
        <v>1.9167077580539118</v>
      </c>
      <c r="G196" s="75">
        <f>3.6*F196</f>
        <v>6.900147928994083</v>
      </c>
      <c r="H196" s="75">
        <f>'THAM_SO_MOI'!$D$49</f>
        <v>3.1625000000000005</v>
      </c>
      <c r="I196" s="75">
        <f>IF(F196&gt;'THAM_SO_MOI'!$C$14,'THAM_SO_MOI'!$C$13*(1+F196^2/1500),'THAM_SO_MOI'!$C$13)</f>
        <v>0.015</v>
      </c>
      <c r="J196" s="75">
        <f>'THAM_SO_MOI'!$C$40*('THAM_SO_MOI'!$C$23*(E196/'THAM_SO_MOI'!$C$22)+'THAM_SO_MOI'!$C$24*(E196/'THAM_SO_MOI'!$C$22)^2-'THAM_SO_MOI'!$C$25*(E196/'THAM_SO_MOI'!$C$22)^3)</f>
        <v>49.78118761120843</v>
      </c>
      <c r="K196" s="75">
        <f>'THAM_SO_MOI'!$C$31*J196/E196</f>
        <v>387.3442119465251</v>
      </c>
      <c r="L196" s="75">
        <f>K196*'THAM_SO_MOI'!$C$49*'THAM_SO_MOI'!$C$17/'THAM_SO_MOI'!$C$26</f>
        <v>22080.56665383886</v>
      </c>
      <c r="M196" s="75">
        <f>'THAM_SO_MOI'!$C$15*'THAM_SO_MOI'!$C$16*F196^2</f>
        <v>10.745773242118355</v>
      </c>
      <c r="N196" s="75">
        <f>'THAM_SO_MOI'!$C$12*I196</f>
        <v>1130.112</v>
      </c>
      <c r="O196" s="75">
        <f>M196+N196</f>
        <v>1140.8577732421184</v>
      </c>
      <c r="P196" s="75">
        <f>(MIN(L196,'THAM_SO_MOI'!$C$41)-O196)/('THAM_SO_MOI'!$C$11*H196)</f>
        <v>0.8621421640561899</v>
      </c>
      <c r="Q196" s="75">
        <f>IF(P196&gt;0,1/P196,NA())</f>
        <v>1.1599015124086023</v>
      </c>
      <c r="R196" s="75">
        <f>F196-F195</f>
        <v>0.0035133136094673834</v>
      </c>
      <c r="S196" s="75">
        <f>0.5*(Q195+Q196)*R196</f>
        <v>0.004076233074743752</v>
      </c>
      <c r="T196" s="75">
        <f>0.5*(F195*Q195+F196*Q196)*R196</f>
        <v>0.00780578502108664</v>
      </c>
      <c r="U196" s="76">
        <f>U195+S196</f>
        <v>0.8258120920433485</v>
      </c>
      <c r="V196" s="76">
        <f>V195+T196</f>
        <v>1.3008297868074015</v>
      </c>
    </row>
    <row r="197" spans="1:22" ht="19" customHeight="1">
      <c r="A197" s="68" t="s">
        <v>368</v>
      </c>
      <c r="B197" s="74">
        <v>1</v>
      </c>
      <c r="C197" s="68" t="s">
        <v>363</v>
      </c>
      <c r="D197" s="68" t="s">
        <v>364</v>
      </c>
      <c r="E197" s="75">
        <f>60*F197*'THAM_SO_MOI'!$C$49/(2*PI()*'THAM_SO_MOI'!$C$26)</f>
        <v>1229.7499999999998</v>
      </c>
      <c r="F197" s="75">
        <f>'THAM_SO_MOI'!$E$49+('THAM_SO_MOI'!$F$49-'THAM_SO_MOI'!$E$49)*191/'THAM_SO_MOI'!$C$42</f>
        <v>1.9202210716633794</v>
      </c>
      <c r="G197" s="75">
        <f>3.6*F197</f>
        <v>6.912795857988166</v>
      </c>
      <c r="H197" s="75">
        <f>'THAM_SO_MOI'!$D$49</f>
        <v>3.1625000000000005</v>
      </c>
      <c r="I197" s="75">
        <f>IF(F197&gt;'THAM_SO_MOI'!$C$14,'THAM_SO_MOI'!$C$13*(1+F197^2/1500),'THAM_SO_MOI'!$C$13)</f>
        <v>0.015</v>
      </c>
      <c r="J197" s="75">
        <f>'THAM_SO_MOI'!$C$40*('THAM_SO_MOI'!$C$23*(E197/'THAM_SO_MOI'!$C$22)+'THAM_SO_MOI'!$C$24*(E197/'THAM_SO_MOI'!$C$22)^2-'THAM_SO_MOI'!$C$25*(E197/'THAM_SO_MOI'!$C$22)^3)</f>
        <v>49.898799945351236</v>
      </c>
      <c r="K197" s="75">
        <f>'THAM_SO_MOI'!$C$31*J197/E197</f>
        <v>387.5489710412891</v>
      </c>
      <c r="L197" s="75">
        <f>K197*'THAM_SO_MOI'!$C$49*'THAM_SO_MOI'!$C$17/'THAM_SO_MOI'!$C$26</f>
        <v>22092.238951243788</v>
      </c>
      <c r="M197" s="75">
        <f>'THAM_SO_MOI'!$C$15*'THAM_SO_MOI'!$C$16*F197^2</f>
        <v>10.785203219875669</v>
      </c>
      <c r="N197" s="75">
        <f>'THAM_SO_MOI'!$C$12*I197</f>
        <v>1130.112</v>
      </c>
      <c r="O197" s="75">
        <f>M197+N197</f>
        <v>1140.8972032198758</v>
      </c>
      <c r="P197" s="75">
        <f>(MIN(L197,'THAM_SO_MOI'!$C$41)-O197)/('THAM_SO_MOI'!$C$11*H197)</f>
        <v>0.8626211194015114</v>
      </c>
      <c r="Q197" s="75">
        <f>IF(P197&gt;0,1/P197,NA())</f>
        <v>1.1592574973051928</v>
      </c>
      <c r="R197" s="75">
        <f>F197-F196</f>
        <v>0.0035133136094676054</v>
      </c>
      <c r="S197" s="75">
        <f>0.5*(Q196+Q197)*R197</f>
        <v>0.004073966455673445</v>
      </c>
      <c r="T197" s="75">
        <f>0.5*(F196*Q196+F197*Q197)*R197</f>
        <v>0.007815757685207725</v>
      </c>
      <c r="U197" s="76">
        <f>U196+S197</f>
        <v>0.829886058499022</v>
      </c>
      <c r="V197" s="76">
        <f>V196+T197</f>
        <v>1.3086455444926093</v>
      </c>
    </row>
    <row r="198" spans="1:22" ht="19" customHeight="1">
      <c r="A198" s="68" t="s">
        <v>368</v>
      </c>
      <c r="B198" s="74">
        <v>1</v>
      </c>
      <c r="C198" s="68" t="s">
        <v>363</v>
      </c>
      <c r="D198" s="68" t="s">
        <v>364</v>
      </c>
      <c r="E198" s="75">
        <f>60*F198*'THAM_SO_MOI'!$C$49/(2*PI()*'THAM_SO_MOI'!$C$26)</f>
        <v>1231.9999999999998</v>
      </c>
      <c r="F198" s="75">
        <f>'THAM_SO_MOI'!$E$49+('THAM_SO_MOI'!$F$49-'THAM_SO_MOI'!$E$49)*192/'THAM_SO_MOI'!$C$42</f>
        <v>1.923734385272847</v>
      </c>
      <c r="G198" s="75">
        <f>3.6*F198</f>
        <v>6.92544378698225</v>
      </c>
      <c r="H198" s="75">
        <f>'THAM_SO_MOI'!$D$49</f>
        <v>3.1625000000000005</v>
      </c>
      <c r="I198" s="75">
        <f>IF(F198&gt;'THAM_SO_MOI'!$C$14,'THAM_SO_MOI'!$C$13*(1+F198^2/1500),'THAM_SO_MOI'!$C$13)</f>
        <v>0.015</v>
      </c>
      <c r="J198" s="75">
        <f>'THAM_SO_MOI'!$C$40*('THAM_SO_MOI'!$C$23*(E198/'THAM_SO_MOI'!$C$22)+'THAM_SO_MOI'!$C$24*(E198/'THAM_SO_MOI'!$C$22)^2-'THAM_SO_MOI'!$C$25*(E198/'THAM_SO_MOI'!$C$22)^3)</f>
        <v>50.016445399646905</v>
      </c>
      <c r="K198" s="75">
        <f>'THAM_SO_MOI'!$C$31*J198/E198</f>
        <v>387.7532389979946</v>
      </c>
      <c r="L198" s="75">
        <f>K198*'THAM_SO_MOI'!$C$49*'THAM_SO_MOI'!$C$17/'THAM_SO_MOI'!$C$26</f>
        <v>22103.883251311192</v>
      </c>
      <c r="M198" s="75">
        <f>'THAM_SO_MOI'!$C$15*'THAM_SO_MOI'!$C$16*F198^2</f>
        <v>10.824705406362215</v>
      </c>
      <c r="N198" s="75">
        <f>'THAM_SO_MOI'!$C$12*I198</f>
        <v>1130.112</v>
      </c>
      <c r="O198" s="75">
        <f>M198+N198</f>
        <v>1140.9367054063623</v>
      </c>
      <c r="P198" s="75">
        <f>(MIN(L198,'THAM_SO_MOI'!$C$41)-O198)/('THAM_SO_MOI'!$C$11*H198)</f>
        <v>0.8630989190507586</v>
      </c>
      <c r="Q198" s="75">
        <f>IF(P198&gt;0,1/P198,NA())</f>
        <v>1.1586157483545525</v>
      </c>
      <c r="R198" s="75">
        <f>F198-F197</f>
        <v>0.0035133136094676054</v>
      </c>
      <c r="S198" s="75">
        <f>0.5*(Q197+Q198)*R198</f>
        <v>0.004071707809498617</v>
      </c>
      <c r="T198" s="75">
        <f>0.5*(F197*Q197+F198*Q198)*R198</f>
        <v>0.007825729746349439</v>
      </c>
      <c r="U198" s="76">
        <f>U197+S198</f>
        <v>0.8339577663085206</v>
      </c>
      <c r="V198" s="76">
        <f>V197+T198</f>
        <v>1.3164712742389588</v>
      </c>
    </row>
    <row r="199" spans="1:22" ht="19" customHeight="1">
      <c r="A199" s="68" t="s">
        <v>368</v>
      </c>
      <c r="B199" s="74">
        <v>1</v>
      </c>
      <c r="C199" s="68" t="s">
        <v>363</v>
      </c>
      <c r="D199" s="68" t="s">
        <v>364</v>
      </c>
      <c r="E199" s="75">
        <f>60*F199*'THAM_SO_MOI'!$C$49/(2*PI()*'THAM_SO_MOI'!$C$26)</f>
        <v>1234.25</v>
      </c>
      <c r="F199" s="75">
        <f>'THAM_SO_MOI'!$E$49+('THAM_SO_MOI'!$F$49-'THAM_SO_MOI'!$E$49)*193/'THAM_SO_MOI'!$C$42</f>
        <v>1.9272476988823144</v>
      </c>
      <c r="G199" s="75">
        <f>3.6*F199</f>
        <v>6.938091715976332</v>
      </c>
      <c r="H199" s="75">
        <f>'THAM_SO_MOI'!$D$49</f>
        <v>3.1625000000000005</v>
      </c>
      <c r="I199" s="75">
        <f>IF(F199&gt;'THAM_SO_MOI'!$C$14,'THAM_SO_MOI'!$C$13*(1+F199^2/1500),'THAM_SO_MOI'!$C$13)</f>
        <v>0.015</v>
      </c>
      <c r="J199" s="75">
        <f>'THAM_SO_MOI'!$C$40*('THAM_SO_MOI'!$C$23*(E199/'THAM_SO_MOI'!$C$22)+'THAM_SO_MOI'!$C$24*(E199/'THAM_SO_MOI'!$C$22)^2-'THAM_SO_MOI'!$C$25*(E199/'THAM_SO_MOI'!$C$22)^3)</f>
        <v>50.13412362699586</v>
      </c>
      <c r="K199" s="75">
        <f>'THAM_SO_MOI'!$C$31*J199/E199</f>
        <v>387.95701581664105</v>
      </c>
      <c r="L199" s="75">
        <f>K199*'THAM_SO_MOI'!$C$49*'THAM_SO_MOI'!$C$17/'THAM_SO_MOI'!$C$26</f>
        <v>22115.499554041056</v>
      </c>
      <c r="M199" s="75">
        <f>'THAM_SO_MOI'!$C$15*'THAM_SO_MOI'!$C$16*F199^2</f>
        <v>10.864279801577991</v>
      </c>
      <c r="N199" s="75">
        <f>'THAM_SO_MOI'!$C$12*I199</f>
        <v>1130.112</v>
      </c>
      <c r="O199" s="75">
        <f>M199+N199</f>
        <v>1140.9762798015781</v>
      </c>
      <c r="P199" s="75">
        <f>(MIN(L199,'THAM_SO_MOI'!$C$41)-O199)/('THAM_SO_MOI'!$C$11*H199)</f>
        <v>0.8635755630039309</v>
      </c>
      <c r="Q199" s="75">
        <f>IF(P199&gt;0,1/P199,NA())</f>
        <v>1.1579762592187293</v>
      </c>
      <c r="R199" s="75">
        <f>F199-F198</f>
        <v>0.0035133136094673834</v>
      </c>
      <c r="S199" s="75">
        <f>0.5*(Q198+Q199)*R199</f>
        <v>0.0040694571138952884</v>
      </c>
      <c r="T199" s="75">
        <f>0.5*(F198*Q198+F199*Q199)*R199</f>
        <v>0.007835701245561107</v>
      </c>
      <c r="U199" s="76">
        <f>U198+S199</f>
        <v>0.8380272234224159</v>
      </c>
      <c r="V199" s="76">
        <f>V198+T199</f>
        <v>1.32430697548452</v>
      </c>
    </row>
    <row r="200" spans="1:22" ht="19" customHeight="1">
      <c r="A200" s="68" t="s">
        <v>368</v>
      </c>
      <c r="B200" s="74">
        <v>1</v>
      </c>
      <c r="C200" s="68" t="s">
        <v>363</v>
      </c>
      <c r="D200" s="68" t="s">
        <v>364</v>
      </c>
      <c r="E200" s="75">
        <f>60*F200*'THAM_SO_MOI'!$C$49/(2*PI()*'THAM_SO_MOI'!$C$26)</f>
        <v>1236.4999999999998</v>
      </c>
      <c r="F200" s="75">
        <f>'THAM_SO_MOI'!$E$49+('THAM_SO_MOI'!$F$49-'THAM_SO_MOI'!$E$49)*194/'THAM_SO_MOI'!$C$42</f>
        <v>1.9307610124917818</v>
      </c>
      <c r="G200" s="75">
        <f>3.6*F200</f>
        <v>6.950739644970414</v>
      </c>
      <c r="H200" s="75">
        <f>'THAM_SO_MOI'!$D$49</f>
        <v>3.1625000000000005</v>
      </c>
      <c r="I200" s="75">
        <f>IF(F200&gt;'THAM_SO_MOI'!$C$14,'THAM_SO_MOI'!$C$13*(1+F200^2/1500),'THAM_SO_MOI'!$C$13)</f>
        <v>0.015</v>
      </c>
      <c r="J200" s="75">
        <f>'THAM_SO_MOI'!$C$40*('THAM_SO_MOI'!$C$23*(E200/'THAM_SO_MOI'!$C$22)+'THAM_SO_MOI'!$C$24*(E200/'THAM_SO_MOI'!$C$22)^2-'THAM_SO_MOI'!$C$25*(E200/'THAM_SO_MOI'!$C$22)^3)</f>
        <v>50.25183428029856</v>
      </c>
      <c r="K200" s="75">
        <f>'THAM_SO_MOI'!$C$31*J200/E200</f>
        <v>388.1603014972289</v>
      </c>
      <c r="L200" s="75">
        <f>K200*'THAM_SO_MOI'!$C$49*'THAM_SO_MOI'!$C$17/'THAM_SO_MOI'!$C$26</f>
        <v>22127.08785943339</v>
      </c>
      <c r="M200" s="75">
        <f>'THAM_SO_MOI'!$C$15*'THAM_SO_MOI'!$C$16*F200^2</f>
        <v>10.903926405523</v>
      </c>
      <c r="N200" s="75">
        <f>'THAM_SO_MOI'!$C$12*I200</f>
        <v>1130.112</v>
      </c>
      <c r="O200" s="75">
        <f>M200+N200</f>
        <v>1141.015926405523</v>
      </c>
      <c r="P200" s="75">
        <f>(MIN(L200,'THAM_SO_MOI'!$C$41)-O200)/('THAM_SO_MOI'!$C$11*H200)</f>
        <v>0.8640510512610287</v>
      </c>
      <c r="Q200" s="75">
        <f>IF(P200&gt;0,1/P200,NA())</f>
        <v>1.1573390235919074</v>
      </c>
      <c r="R200" s="75">
        <f>F200-F199</f>
        <v>0.0035133136094673834</v>
      </c>
      <c r="S200" s="75">
        <f>0.5*(Q199+Q200)*R200</f>
        <v>0.004067214346653217</v>
      </c>
      <c r="T200" s="75">
        <f>0.5*(F199*Q199+F200*Q200)*R200</f>
        <v>0.007845672223797725</v>
      </c>
      <c r="U200" s="76">
        <f>U199+S200</f>
        <v>0.8420944377690691</v>
      </c>
      <c r="V200" s="76">
        <f>V199+T200</f>
        <v>1.3321526477083176</v>
      </c>
    </row>
    <row r="201" spans="1:22" ht="19" customHeight="1">
      <c r="A201" s="68" t="s">
        <v>368</v>
      </c>
      <c r="B201" s="74">
        <v>1</v>
      </c>
      <c r="C201" s="68" t="s">
        <v>363</v>
      </c>
      <c r="D201" s="68" t="s">
        <v>364</v>
      </c>
      <c r="E201" s="75">
        <f>60*F201*'THAM_SO_MOI'!$C$49/(2*PI()*'THAM_SO_MOI'!$C$26)</f>
        <v>1238.75</v>
      </c>
      <c r="F201" s="75">
        <f>'THAM_SO_MOI'!$E$49+('THAM_SO_MOI'!$F$49-'THAM_SO_MOI'!$E$49)*195/'THAM_SO_MOI'!$C$42</f>
        <v>1.9342743261012494</v>
      </c>
      <c r="G201" s="75">
        <f>3.6*F201</f>
        <v>6.963387573964498</v>
      </c>
      <c r="H201" s="75">
        <f>'THAM_SO_MOI'!$D$49</f>
        <v>3.1625000000000005</v>
      </c>
      <c r="I201" s="75">
        <f>IF(F201&gt;'THAM_SO_MOI'!$C$14,'THAM_SO_MOI'!$C$13*(1+F201^2/1500),'THAM_SO_MOI'!$C$13)</f>
        <v>0.015</v>
      </c>
      <c r="J201" s="75">
        <f>'THAM_SO_MOI'!$C$40*('THAM_SO_MOI'!$C$23*(E201/'THAM_SO_MOI'!$C$22)+'THAM_SO_MOI'!$C$24*(E201/'THAM_SO_MOI'!$C$22)^2-'THAM_SO_MOI'!$C$25*(E201/'THAM_SO_MOI'!$C$22)^3)</f>
        <v>50.369577012455494</v>
      </c>
      <c r="K201" s="75">
        <f>'THAM_SO_MOI'!$C$31*J201/E201</f>
        <v>388.36309603975803</v>
      </c>
      <c r="L201" s="75">
        <f>K201*'THAM_SO_MOI'!$C$49*'THAM_SO_MOI'!$C$17/'THAM_SO_MOI'!$C$26</f>
        <v>22138.648167488198</v>
      </c>
      <c r="M201" s="75">
        <f>'THAM_SO_MOI'!$C$15*'THAM_SO_MOI'!$C$16*F201^2</f>
        <v>10.943645218197245</v>
      </c>
      <c r="N201" s="75">
        <f>'THAM_SO_MOI'!$C$12*I201</f>
        <v>1130.112</v>
      </c>
      <c r="O201" s="75">
        <f>M201+N201</f>
        <v>1141.0556452181972</v>
      </c>
      <c r="P201" s="75">
        <f>(MIN(L201,'THAM_SO_MOI'!$C$41)-O201)/('THAM_SO_MOI'!$C$11*H201)</f>
        <v>0.8645253838220519</v>
      </c>
      <c r="Q201" s="75">
        <f>IF(P201&gt;0,1/P201,NA())</f>
        <v>1.1567040352002358</v>
      </c>
      <c r="R201" s="75">
        <f>F201-F200</f>
        <v>0.0035133136094676054</v>
      </c>
      <c r="S201" s="75">
        <f>0.5*(Q200+Q201)*R201</f>
        <v>0.004064979485674242</v>
      </c>
      <c r="T201" s="75">
        <f>0.5*(F200*Q200+F201*Q201)*R201</f>
        <v>0.007855642721918767</v>
      </c>
      <c r="U201" s="76">
        <f>U200+S201</f>
        <v>0.8461594172547433</v>
      </c>
      <c r="V201" s="76">
        <f>V200+T201</f>
        <v>1.3400082904302364</v>
      </c>
    </row>
    <row r="202" spans="1:22" ht="19" customHeight="1">
      <c r="A202" s="68" t="s">
        <v>368</v>
      </c>
      <c r="B202" s="74">
        <v>1</v>
      </c>
      <c r="C202" s="68" t="s">
        <v>363</v>
      </c>
      <c r="D202" s="68" t="s">
        <v>364</v>
      </c>
      <c r="E202" s="75">
        <f>60*F202*'THAM_SO_MOI'!$C$49/(2*PI()*'THAM_SO_MOI'!$C$26)</f>
        <v>1240.9999999999998</v>
      </c>
      <c r="F202" s="75">
        <f>'THAM_SO_MOI'!$E$49+('THAM_SO_MOI'!$F$49-'THAM_SO_MOI'!$E$49)*196/'THAM_SO_MOI'!$C$42</f>
        <v>1.9377876397107168</v>
      </c>
      <c r="G202" s="75">
        <f>3.6*F202</f>
        <v>6.97603550295858</v>
      </c>
      <c r="H202" s="75">
        <f>'THAM_SO_MOI'!$D$49</f>
        <v>3.1625000000000005</v>
      </c>
      <c r="I202" s="75">
        <f>IF(F202&gt;'THAM_SO_MOI'!$C$14,'THAM_SO_MOI'!$C$13*(1+F202^2/1500),'THAM_SO_MOI'!$C$13)</f>
        <v>0.015</v>
      </c>
      <c r="J202" s="75">
        <f>'THAM_SO_MOI'!$C$40*('THAM_SO_MOI'!$C$23*(E202/'THAM_SO_MOI'!$C$22)+'THAM_SO_MOI'!$C$24*(E202/'THAM_SO_MOI'!$C$22)^2-'THAM_SO_MOI'!$C$25*(E202/'THAM_SO_MOI'!$C$22)^3)</f>
        <v>50.48735147636705</v>
      </c>
      <c r="K202" s="75">
        <f>'THAM_SO_MOI'!$C$31*J202/E202</f>
        <v>388.5653994442282</v>
      </c>
      <c r="L202" s="75">
        <f>K202*'THAM_SO_MOI'!$C$49*'THAM_SO_MOI'!$C$17/'THAM_SO_MOI'!$C$26</f>
        <v>22150.180478205468</v>
      </c>
      <c r="M202" s="75">
        <f>'THAM_SO_MOI'!$C$15*'THAM_SO_MOI'!$C$16*F202^2</f>
        <v>10.98343623960072</v>
      </c>
      <c r="N202" s="75">
        <f>'THAM_SO_MOI'!$C$12*I202</f>
        <v>1130.112</v>
      </c>
      <c r="O202" s="75">
        <f>M202+N202</f>
        <v>1141.0954362396008</v>
      </c>
      <c r="P202" s="75">
        <f>(MIN(L202,'THAM_SO_MOI'!$C$41)-O202)/('THAM_SO_MOI'!$C$11*H202)</f>
        <v>0.8649985606870003</v>
      </c>
      <c r="Q202" s="75">
        <f>IF(P202&gt;0,1/P202,NA())</f>
        <v>1.1560712878016568</v>
      </c>
      <c r="R202" s="75">
        <f>F202-F201</f>
        <v>0.0035133136094673834</v>
      </c>
      <c r="S202" s="75">
        <f>0.5*(Q201+Q202)*R202</f>
        <v>0.004062752508971436</v>
      </c>
      <c r="T202" s="75">
        <f>0.5*(F201*Q201+F202*Q202)*R202</f>
        <v>0.007865612780688504</v>
      </c>
      <c r="U202" s="76">
        <f>U201+S202</f>
        <v>0.8502221697637148</v>
      </c>
      <c r="V202" s="76">
        <f>V201+T202</f>
        <v>1.3478739032109248</v>
      </c>
    </row>
    <row r="203" spans="1:22" ht="19" customHeight="1">
      <c r="A203" s="68" t="s">
        <v>368</v>
      </c>
      <c r="B203" s="74">
        <v>1</v>
      </c>
      <c r="C203" s="68" t="s">
        <v>363</v>
      </c>
      <c r="D203" s="68" t="s">
        <v>364</v>
      </c>
      <c r="E203" s="75">
        <f>60*F203*'THAM_SO_MOI'!$C$49/(2*PI()*'THAM_SO_MOI'!$C$26)</f>
        <v>1243.25</v>
      </c>
      <c r="F203" s="75">
        <f>'THAM_SO_MOI'!$E$49+('THAM_SO_MOI'!$F$49-'THAM_SO_MOI'!$E$49)*197/'THAM_SO_MOI'!$C$42</f>
        <v>1.9413009533201842</v>
      </c>
      <c r="G203" s="75">
        <f>3.6*F203</f>
        <v>6.988683431952663</v>
      </c>
      <c r="H203" s="75">
        <f>'THAM_SO_MOI'!$D$49</f>
        <v>3.1625000000000005</v>
      </c>
      <c r="I203" s="75">
        <f>IF(F203&gt;'THAM_SO_MOI'!$C$14,'THAM_SO_MOI'!$C$13*(1+F203^2/1500),'THAM_SO_MOI'!$C$13)</f>
        <v>0.015</v>
      </c>
      <c r="J203" s="75">
        <f>'THAM_SO_MOI'!$C$40*('THAM_SO_MOI'!$C$23*(E203/'THAM_SO_MOI'!$C$22)+'THAM_SO_MOI'!$C$24*(E203/'THAM_SO_MOI'!$C$22)^2-'THAM_SO_MOI'!$C$25*(E203/'THAM_SO_MOI'!$C$22)^3)</f>
        <v>50.60515732493376</v>
      </c>
      <c r="K203" s="75">
        <f>'THAM_SO_MOI'!$C$31*J203/E203</f>
        <v>388.76721171063963</v>
      </c>
      <c r="L203" s="75">
        <f>K203*'THAM_SO_MOI'!$C$49*'THAM_SO_MOI'!$C$17/'THAM_SO_MOI'!$C$26</f>
        <v>22161.68479158521</v>
      </c>
      <c r="M203" s="75">
        <f>'THAM_SO_MOI'!$C$15*'THAM_SO_MOI'!$C$16*F203^2</f>
        <v>11.023299469733429</v>
      </c>
      <c r="N203" s="75">
        <f>'THAM_SO_MOI'!$C$12*I203</f>
        <v>1130.112</v>
      </c>
      <c r="O203" s="75">
        <f>M203+N203</f>
        <v>1141.1352994697336</v>
      </c>
      <c r="P203" s="75">
        <f>(MIN(L203,'THAM_SO_MOI'!$C$41)-O203)/('THAM_SO_MOI'!$C$11*H203)</f>
        <v>0.8654705818558742</v>
      </c>
      <c r="Q203" s="75">
        <f>IF(P203&gt;0,1/P203,NA())</f>
        <v>1.1554407751857345</v>
      </c>
      <c r="R203" s="75">
        <f>F203-F202</f>
        <v>0.0035133136094673834</v>
      </c>
      <c r="S203" s="75">
        <f>0.5*(Q202+Q203)*R203</f>
        <v>0.004060533394670815</v>
      </c>
      <c r="T203" s="75">
        <f>0.5*(F202*Q202+F203*Q203)*R203</f>
        <v>0.007875582440781275</v>
      </c>
      <c r="U203" s="76">
        <f>U202+S203</f>
        <v>0.8542827031583856</v>
      </c>
      <c r="V203" s="76">
        <f>V202+T203</f>
        <v>1.355749485651706</v>
      </c>
    </row>
    <row r="204" spans="1:22" ht="19" customHeight="1">
      <c r="A204" s="68" t="s">
        <v>368</v>
      </c>
      <c r="B204" s="74">
        <v>1</v>
      </c>
      <c r="C204" s="68" t="s">
        <v>363</v>
      </c>
      <c r="D204" s="68" t="s">
        <v>364</v>
      </c>
      <c r="E204" s="75">
        <f>60*F204*'THAM_SO_MOI'!$C$49/(2*PI()*'THAM_SO_MOI'!$C$26)</f>
        <v>1245.5</v>
      </c>
      <c r="F204" s="75">
        <f>'THAM_SO_MOI'!$E$49+('THAM_SO_MOI'!$F$49-'THAM_SO_MOI'!$E$49)*198/'THAM_SO_MOI'!$C$42</f>
        <v>1.9448142669296518</v>
      </c>
      <c r="G204" s="75">
        <f>3.6*F204</f>
        <v>7.001331360946747</v>
      </c>
      <c r="H204" s="75">
        <f>'THAM_SO_MOI'!$D$49</f>
        <v>3.1625000000000005</v>
      </c>
      <c r="I204" s="75">
        <f>IF(F204&gt;'THAM_SO_MOI'!$C$14,'THAM_SO_MOI'!$C$13*(1+F204^2/1500),'THAM_SO_MOI'!$C$13)</f>
        <v>0.015</v>
      </c>
      <c r="J204" s="75">
        <f>'THAM_SO_MOI'!$C$40*('THAM_SO_MOI'!$C$23*(E204/'THAM_SO_MOI'!$C$22)+'THAM_SO_MOI'!$C$24*(E204/'THAM_SO_MOI'!$C$22)^2-'THAM_SO_MOI'!$C$25*(E204/'THAM_SO_MOI'!$C$22)^3)</f>
        <v>50.72299421105604</v>
      </c>
      <c r="K204" s="75">
        <f>'THAM_SO_MOI'!$C$31*J204/E204</f>
        <v>388.9685328389925</v>
      </c>
      <c r="L204" s="75">
        <f>K204*'THAM_SO_MOI'!$C$49*'THAM_SO_MOI'!$C$17/'THAM_SO_MOI'!$C$26</f>
        <v>22173.16110762742</v>
      </c>
      <c r="M204" s="75">
        <f>'THAM_SO_MOI'!$C$15*'THAM_SO_MOI'!$C$16*F204^2</f>
        <v>11.063234908595373</v>
      </c>
      <c r="N204" s="75">
        <f>'THAM_SO_MOI'!$C$12*I204</f>
        <v>1130.112</v>
      </c>
      <c r="O204" s="75">
        <f>M204+N204</f>
        <v>1141.1752349085955</v>
      </c>
      <c r="P204" s="75">
        <f>(MIN(L204,'THAM_SO_MOI'!$C$41)-O204)/('THAM_SO_MOI'!$C$11*H204)</f>
        <v>0.8659414473286735</v>
      </c>
      <c r="Q204" s="75">
        <f>IF(P204&gt;0,1/P204,NA())</f>
        <v>1.1548124911734867</v>
      </c>
      <c r="R204" s="75">
        <f>F204-F203</f>
        <v>0.0035133136094676054</v>
      </c>
      <c r="S204" s="75">
        <f>0.5*(Q203+Q204)*R204</f>
        <v>0.004058322121008421</v>
      </c>
      <c r="T204" s="75">
        <f>0.5*(F203*Q203+F204*Q204)*R204</f>
        <v>0.007885551742777807</v>
      </c>
      <c r="U204" s="76">
        <f>U203+S204</f>
        <v>0.858341025279394</v>
      </c>
      <c r="V204" s="76">
        <f>V203+T204</f>
        <v>1.3636350373944839</v>
      </c>
    </row>
    <row r="205" spans="1:22" ht="19" customHeight="1">
      <c r="A205" s="68" t="s">
        <v>368</v>
      </c>
      <c r="B205" s="74">
        <v>1</v>
      </c>
      <c r="C205" s="68" t="s">
        <v>363</v>
      </c>
      <c r="D205" s="68" t="s">
        <v>364</v>
      </c>
      <c r="E205" s="75">
        <f>60*F205*'THAM_SO_MOI'!$C$49/(2*PI()*'THAM_SO_MOI'!$C$26)</f>
        <v>1247.7499999999998</v>
      </c>
      <c r="F205" s="75">
        <f>'THAM_SO_MOI'!$E$49+('THAM_SO_MOI'!$F$49-'THAM_SO_MOI'!$E$49)*199/'THAM_SO_MOI'!$C$42</f>
        <v>1.948327580539119</v>
      </c>
      <c r="G205" s="75">
        <f>3.6*F205</f>
        <v>7.013979289940829</v>
      </c>
      <c r="H205" s="75">
        <f>'THAM_SO_MOI'!$D$49</f>
        <v>3.1625000000000005</v>
      </c>
      <c r="I205" s="75">
        <f>IF(F205&gt;'THAM_SO_MOI'!$C$14,'THAM_SO_MOI'!$C$13*(1+F205^2/1500),'THAM_SO_MOI'!$C$13)</f>
        <v>0.015</v>
      </c>
      <c r="J205" s="75">
        <f>'THAM_SO_MOI'!$C$40*('THAM_SO_MOI'!$C$23*(E205/'THAM_SO_MOI'!$C$22)+'THAM_SO_MOI'!$C$24*(E205/'THAM_SO_MOI'!$C$22)^2-'THAM_SO_MOI'!$C$25*(E205/'THAM_SO_MOI'!$C$22)^3)</f>
        <v>50.84086178763433</v>
      </c>
      <c r="K205" s="75">
        <f>'THAM_SO_MOI'!$C$31*J205/E205</f>
        <v>389.1693628292864</v>
      </c>
      <c r="L205" s="75">
        <f>K205*'THAM_SO_MOI'!$C$49*'THAM_SO_MOI'!$C$17/'THAM_SO_MOI'!$C$26</f>
        <v>22184.609426332096</v>
      </c>
      <c r="M205" s="75">
        <f>'THAM_SO_MOI'!$C$15*'THAM_SO_MOI'!$C$16*F205^2</f>
        <v>11.103242556186546</v>
      </c>
      <c r="N205" s="75">
        <f>'THAM_SO_MOI'!$C$12*I205</f>
        <v>1130.112</v>
      </c>
      <c r="O205" s="75">
        <f>M205+N205</f>
        <v>1141.2152425561867</v>
      </c>
      <c r="P205" s="75">
        <f>(MIN(L205,'THAM_SO_MOI'!$C$41)-O205)/('THAM_SO_MOI'!$C$11*H205)</f>
        <v>0.866411157105398</v>
      </c>
      <c r="Q205" s="75">
        <f>IF(P205&gt;0,1/P205,NA())</f>
        <v>1.154186429617216</v>
      </c>
      <c r="R205" s="75">
        <f>F205-F204</f>
        <v>0.0035133136094671613</v>
      </c>
      <c r="S205" s="75">
        <f>0.5*(Q204+Q205)*R205</f>
        <v>0.004056118666329482</v>
      </c>
      <c r="T205" s="75">
        <f>0.5*(F204*Q204+F205*Q205)*R205</f>
        <v>0.007895520727165511</v>
      </c>
      <c r="U205" s="76">
        <f>U204+S205</f>
        <v>0.8623971439457235</v>
      </c>
      <c r="V205" s="76">
        <f>V204+T205</f>
        <v>1.3715305581216495</v>
      </c>
    </row>
    <row r="206" spans="1:22" ht="19" customHeight="1">
      <c r="A206" s="68" t="s">
        <v>368</v>
      </c>
      <c r="B206" s="74">
        <v>1</v>
      </c>
      <c r="C206" s="68" t="s">
        <v>363</v>
      </c>
      <c r="D206" s="68" t="s">
        <v>364</v>
      </c>
      <c r="E206" s="75">
        <f>60*F206*'THAM_SO_MOI'!$C$49/(2*PI()*'THAM_SO_MOI'!$C$26)</f>
        <v>1249.9999999999998</v>
      </c>
      <c r="F206" s="75">
        <f>'THAM_SO_MOI'!$E$49+('THAM_SO_MOI'!$F$49-'THAM_SO_MOI'!$E$49)*200/'THAM_SO_MOI'!$C$42</f>
        <v>1.9518408941485865</v>
      </c>
      <c r="G206" s="75">
        <f>3.6*F206</f>
        <v>7.0266272189349115</v>
      </c>
      <c r="H206" s="75">
        <f>'THAM_SO_MOI'!$D$49</f>
        <v>3.1625000000000005</v>
      </c>
      <c r="I206" s="75">
        <f>IF(F206&gt;'THAM_SO_MOI'!$C$14,'THAM_SO_MOI'!$C$13*(1+F206^2/1500),'THAM_SO_MOI'!$C$13)</f>
        <v>0.015</v>
      </c>
      <c r="J206" s="75">
        <f>'THAM_SO_MOI'!$C$40*('THAM_SO_MOI'!$C$23*(E206/'THAM_SO_MOI'!$C$22)+'THAM_SO_MOI'!$C$24*(E206/'THAM_SO_MOI'!$C$22)^2-'THAM_SO_MOI'!$C$25*(E206/'THAM_SO_MOI'!$C$22)^3)</f>
        <v>50.958759707569094</v>
      </c>
      <c r="K206" s="75">
        <f>'THAM_SO_MOI'!$C$31*J206/E206</f>
        <v>389.36970168152135</v>
      </c>
      <c r="L206" s="75">
        <f>K206*'THAM_SO_MOI'!$C$49*'THAM_SO_MOI'!$C$17/'THAM_SO_MOI'!$C$26</f>
        <v>22196.029747699224</v>
      </c>
      <c r="M206" s="75">
        <f>'THAM_SO_MOI'!$C$15*'THAM_SO_MOI'!$C$16*F206^2</f>
        <v>11.143322412506956</v>
      </c>
      <c r="N206" s="75">
        <f>'THAM_SO_MOI'!$C$12*I206</f>
        <v>1130.112</v>
      </c>
      <c r="O206" s="75">
        <f>M206+N206</f>
        <v>1141.255322412507</v>
      </c>
      <c r="P206" s="75">
        <f>(MIN(L206,'THAM_SO_MOI'!$C$41)-O206)/('THAM_SO_MOI'!$C$11*H206)</f>
        <v>0.8668797111860471</v>
      </c>
      <c r="Q206" s="75">
        <f>IF(P206&gt;0,1/P206,NA())</f>
        <v>1.1535625844003436</v>
      </c>
      <c r="R206" s="75">
        <f>F206-F205</f>
        <v>0.0035133136094676054</v>
      </c>
      <c r="S206" s="75">
        <f>0.5*(Q205+Q206)*R206</f>
        <v>0.00405392300909167</v>
      </c>
      <c r="T206" s="75">
        <f>0.5*(F205*Q205+F206*Q206)*R206</f>
        <v>0.00790548943434675</v>
      </c>
      <c r="U206" s="76">
        <f>U205+S206</f>
        <v>0.8664510669548152</v>
      </c>
      <c r="V206" s="76">
        <f>V205+T206</f>
        <v>1.3794360475559961</v>
      </c>
    </row>
    <row r="207" spans="1:22" ht="19" customHeight="1">
      <c r="A207" s="68" t="s">
        <v>368</v>
      </c>
      <c r="B207" s="74">
        <v>1</v>
      </c>
      <c r="C207" s="68" t="s">
        <v>363</v>
      </c>
      <c r="D207" s="68" t="s">
        <v>364</v>
      </c>
      <c r="E207" s="75">
        <f>60*F207*'THAM_SO_MOI'!$C$49/(2*PI()*'THAM_SO_MOI'!$C$26)</f>
        <v>1252.25</v>
      </c>
      <c r="F207" s="75">
        <f>'THAM_SO_MOI'!$E$49+('THAM_SO_MOI'!$F$49-'THAM_SO_MOI'!$E$49)*201/'THAM_SO_MOI'!$C$42</f>
        <v>1.955354207758054</v>
      </c>
      <c r="G207" s="75">
        <f>3.6*F207</f>
        <v>7.039275147928994</v>
      </c>
      <c r="H207" s="75">
        <f>'THAM_SO_MOI'!$D$49</f>
        <v>3.1625000000000005</v>
      </c>
      <c r="I207" s="75">
        <f>IF(F207&gt;'THAM_SO_MOI'!$C$14,'THAM_SO_MOI'!$C$13*(1+F207^2/1500),'THAM_SO_MOI'!$C$13)</f>
        <v>0.015</v>
      </c>
      <c r="J207" s="75">
        <f>'THAM_SO_MOI'!$C$40*('THAM_SO_MOI'!$C$23*(E207/'THAM_SO_MOI'!$C$22)+'THAM_SO_MOI'!$C$24*(E207/'THAM_SO_MOI'!$C$22)^2-'THAM_SO_MOI'!$C$25*(E207/'THAM_SO_MOI'!$C$22)^3)</f>
        <v>51.07668762376083</v>
      </c>
      <c r="K207" s="75">
        <f>'THAM_SO_MOI'!$C$31*J207/E207</f>
        <v>389.56954939569783</v>
      </c>
      <c r="L207" s="75">
        <f>K207*'THAM_SO_MOI'!$C$49*'THAM_SO_MOI'!$C$17/'THAM_SO_MOI'!$C$26</f>
        <v>22207.422071728837</v>
      </c>
      <c r="M207" s="75">
        <f>'THAM_SO_MOI'!$C$15*'THAM_SO_MOI'!$C$16*F207^2</f>
        <v>11.183474477556596</v>
      </c>
      <c r="N207" s="75">
        <f>'THAM_SO_MOI'!$C$12*I207</f>
        <v>1130.112</v>
      </c>
      <c r="O207" s="75">
        <f>M207+N207</f>
        <v>1141.2954744775566</v>
      </c>
      <c r="P207" s="75">
        <f>(MIN(L207,'THAM_SO_MOI'!$C$41)-O207)/('THAM_SO_MOI'!$C$11*H207)</f>
        <v>0.8673471095706224</v>
      </c>
      <c r="Q207" s="75">
        <f>IF(P207&gt;0,1/P207,NA())</f>
        <v>1.152940949437241</v>
      </c>
      <c r="R207" s="75">
        <f>F207-F206</f>
        <v>0.0035133136094673834</v>
      </c>
      <c r="S207" s="75">
        <f>0.5*(Q206+Q207)*R207</f>
        <v>0.0040517351278581</v>
      </c>
      <c r="T207" s="75">
        <f>0.5*(F206*Q206+F207*Q207)*R207</f>
        <v>0.007915457904627141</v>
      </c>
      <c r="U207" s="76">
        <f>U206+S207</f>
        <v>0.8705028020826733</v>
      </c>
      <c r="V207" s="76">
        <f>V206+T207</f>
        <v>1.3873515054606234</v>
      </c>
    </row>
    <row r="208" spans="1:22" ht="19" customHeight="1">
      <c r="A208" s="68" t="s">
        <v>368</v>
      </c>
      <c r="B208" s="74">
        <v>1</v>
      </c>
      <c r="C208" s="68" t="s">
        <v>363</v>
      </c>
      <c r="D208" s="68" t="s">
        <v>364</v>
      </c>
      <c r="E208" s="75">
        <f>60*F208*'THAM_SO_MOI'!$C$49/(2*PI()*'THAM_SO_MOI'!$C$26)</f>
        <v>1254.4999999999998</v>
      </c>
      <c r="F208" s="75">
        <f>'THAM_SO_MOI'!$E$49+('THAM_SO_MOI'!$F$49-'THAM_SO_MOI'!$E$49)*202/'THAM_SO_MOI'!$C$42</f>
        <v>1.9588675213675213</v>
      </c>
      <c r="G208" s="75">
        <f>3.6*F208</f>
        <v>7.051923076923077</v>
      </c>
      <c r="H208" s="75">
        <f>'THAM_SO_MOI'!$D$49</f>
        <v>3.1625000000000005</v>
      </c>
      <c r="I208" s="75">
        <f>IF(F208&gt;'THAM_SO_MOI'!$C$14,'THAM_SO_MOI'!$C$13*(1+F208^2/1500),'THAM_SO_MOI'!$C$13)</f>
        <v>0.015</v>
      </c>
      <c r="J208" s="75">
        <f>'THAM_SO_MOI'!$C$40*('THAM_SO_MOI'!$C$23*(E208/'THAM_SO_MOI'!$C$22)+'THAM_SO_MOI'!$C$24*(E208/'THAM_SO_MOI'!$C$22)^2-'THAM_SO_MOI'!$C$25*(E208/'THAM_SO_MOI'!$C$22)^3)</f>
        <v>51.19464518910994</v>
      </c>
      <c r="K208" s="75">
        <f>'THAM_SO_MOI'!$C$31*J208/E208</f>
        <v>389.7689059718154</v>
      </c>
      <c r="L208" s="75">
        <f>K208*'THAM_SO_MOI'!$C$49*'THAM_SO_MOI'!$C$17/'THAM_SO_MOI'!$C$26</f>
        <v>22218.78639842092</v>
      </c>
      <c r="M208" s="75">
        <f>'THAM_SO_MOI'!$C$15*'THAM_SO_MOI'!$C$16*F208^2</f>
        <v>11.223698751335471</v>
      </c>
      <c r="N208" s="75">
        <f>'THAM_SO_MOI'!$C$12*I208</f>
        <v>1130.112</v>
      </c>
      <c r="O208" s="75">
        <f>M208+N208</f>
        <v>1141.3356987513355</v>
      </c>
      <c r="P208" s="75">
        <f>(MIN(L208,'THAM_SO_MOI'!$C$41)-O208)/('THAM_SO_MOI'!$C$11*H208)</f>
        <v>0.8678133522591231</v>
      </c>
      <c r="Q208" s="75">
        <f>IF(P208&gt;0,1/P208,NA())</f>
        <v>1.1523215186730693</v>
      </c>
      <c r="R208" s="75">
        <f>F208-F207</f>
        <v>0.0035133136094673834</v>
      </c>
      <c r="S208" s="75">
        <f>0.5*(Q207+Q208)*R208</f>
        <v>0.004049555001303161</v>
      </c>
      <c r="T208" s="75">
        <f>0.5*(F207*Q207+F208*Q208)*R208</f>
        <v>0.007925426178228823</v>
      </c>
      <c r="U208" s="76">
        <f>U207+S208</f>
        <v>0.8745523570839764</v>
      </c>
      <c r="V208" s="76">
        <f>V207+T208</f>
        <v>1.3952769316388522</v>
      </c>
    </row>
    <row r="209" spans="1:22" ht="19" customHeight="1">
      <c r="A209" s="68" t="s">
        <v>368</v>
      </c>
      <c r="B209" s="74">
        <v>1</v>
      </c>
      <c r="C209" s="68" t="s">
        <v>363</v>
      </c>
      <c r="D209" s="68" t="s">
        <v>364</v>
      </c>
      <c r="E209" s="75">
        <f>60*F209*'THAM_SO_MOI'!$C$49/(2*PI()*'THAM_SO_MOI'!$C$26)</f>
        <v>1256.7499999999998</v>
      </c>
      <c r="F209" s="75">
        <f>'THAM_SO_MOI'!$E$49+('THAM_SO_MOI'!$F$49-'THAM_SO_MOI'!$E$49)*203/'THAM_SO_MOI'!$C$42</f>
        <v>1.962380834976989</v>
      </c>
      <c r="G209" s="75">
        <f>3.6*F209</f>
        <v>7.06457100591716</v>
      </c>
      <c r="H209" s="75">
        <f>'THAM_SO_MOI'!$D$49</f>
        <v>3.1625000000000005</v>
      </c>
      <c r="I209" s="75">
        <f>IF(F209&gt;'THAM_SO_MOI'!$C$14,'THAM_SO_MOI'!$C$13*(1+F209^2/1500),'THAM_SO_MOI'!$C$13)</f>
        <v>0.015</v>
      </c>
      <c r="J209" s="75">
        <f>'THAM_SO_MOI'!$C$40*('THAM_SO_MOI'!$C$23*(E209/'THAM_SO_MOI'!$C$22)+'THAM_SO_MOI'!$C$24*(E209/'THAM_SO_MOI'!$C$22)^2-'THAM_SO_MOI'!$C$25*(E209/'THAM_SO_MOI'!$C$22)^3)</f>
        <v>51.31263205651692</v>
      </c>
      <c r="K209" s="75">
        <f>'THAM_SO_MOI'!$C$31*J209/E209</f>
        <v>389.9677714098742</v>
      </c>
      <c r="L209" s="75">
        <f>K209*'THAM_SO_MOI'!$C$49*'THAM_SO_MOI'!$C$17/'THAM_SO_MOI'!$C$26</f>
        <v>22230.122727775462</v>
      </c>
      <c r="M209" s="75">
        <f>'THAM_SO_MOI'!$C$15*'THAM_SO_MOI'!$C$16*F209^2</f>
        <v>11.263995233843579</v>
      </c>
      <c r="N209" s="75">
        <f>'THAM_SO_MOI'!$C$12*I209</f>
        <v>1130.112</v>
      </c>
      <c r="O209" s="75">
        <f>M209+N209</f>
        <v>1141.3759952338437</v>
      </c>
      <c r="P209" s="75">
        <f>(MIN(L209,'THAM_SO_MOI'!$C$41)-O209)/('THAM_SO_MOI'!$C$11*H209)</f>
        <v>0.8682784392515487</v>
      </c>
      <c r="Q209" s="75">
        <f>IF(P209&gt;0,1/P209,NA())</f>
        <v>1.1517042860836146</v>
      </c>
      <c r="R209" s="75">
        <f>F209-F208</f>
        <v>0.0035133136094676054</v>
      </c>
      <c r="S209" s="75">
        <f>0.5*(Q208+Q209)*R209</f>
        <v>0.004047382608208104</v>
      </c>
      <c r="T209" s="75">
        <f>0.5*(F208*Q208+F209*Q209)*R209</f>
        <v>0.007935394295283747</v>
      </c>
      <c r="U209" s="76">
        <f>U208+S209</f>
        <v>0.8785997396921845</v>
      </c>
      <c r="V209" s="76">
        <f>V208+T209</f>
        <v>1.403212325934136</v>
      </c>
    </row>
    <row r="210" spans="1:22" ht="19" customHeight="1">
      <c r="A210" s="68" t="s">
        <v>368</v>
      </c>
      <c r="B210" s="74">
        <v>1</v>
      </c>
      <c r="C210" s="68" t="s">
        <v>363</v>
      </c>
      <c r="D210" s="68" t="s">
        <v>364</v>
      </c>
      <c r="E210" s="75">
        <f>60*F210*'THAM_SO_MOI'!$C$49/(2*PI()*'THAM_SO_MOI'!$C$26)</f>
        <v>1258.9999999999998</v>
      </c>
      <c r="F210" s="75">
        <f>'THAM_SO_MOI'!$E$49+('THAM_SO_MOI'!$F$49-'THAM_SO_MOI'!$E$49)*204/'THAM_SO_MOI'!$C$42</f>
        <v>1.9658941485864563</v>
      </c>
      <c r="G210" s="75">
        <f>3.6*F210</f>
        <v>7.077218934911243</v>
      </c>
      <c r="H210" s="75">
        <f>'THAM_SO_MOI'!$D$49</f>
        <v>3.1625000000000005</v>
      </c>
      <c r="I210" s="75">
        <f>IF(F210&gt;'THAM_SO_MOI'!$C$14,'THAM_SO_MOI'!$C$13*(1+F210^2/1500),'THAM_SO_MOI'!$C$13)</f>
        <v>0.015</v>
      </c>
      <c r="J210" s="75">
        <f>'THAM_SO_MOI'!$C$40*('THAM_SO_MOI'!$C$23*(E210/'THAM_SO_MOI'!$C$22)+'THAM_SO_MOI'!$C$24*(E210/'THAM_SO_MOI'!$C$22)^2-'THAM_SO_MOI'!$C$25*(E210/'THAM_SO_MOI'!$C$22)^3)</f>
        <v>51.43064787888219</v>
      </c>
      <c r="K210" s="75">
        <f>'THAM_SO_MOI'!$C$31*J210/E210</f>
        <v>390.16614570987423</v>
      </c>
      <c r="L210" s="75">
        <f>K210*'THAM_SO_MOI'!$C$49*'THAM_SO_MOI'!$C$17/'THAM_SO_MOI'!$C$26</f>
        <v>22241.431059792474</v>
      </c>
      <c r="M210" s="75">
        <f>'THAM_SO_MOI'!$C$15*'THAM_SO_MOI'!$C$16*F210^2</f>
        <v>11.30436392508092</v>
      </c>
      <c r="N210" s="75">
        <f>'THAM_SO_MOI'!$C$12*I210</f>
        <v>1130.112</v>
      </c>
      <c r="O210" s="75">
        <f>M210+N210</f>
        <v>1141.416363925081</v>
      </c>
      <c r="P210" s="75">
        <f>(MIN(L210,'THAM_SO_MOI'!$C$41)-O210)/('THAM_SO_MOI'!$C$11*H210)</f>
        <v>0.8687423705478997</v>
      </c>
      <c r="Q210" s="75">
        <f>IF(P210&gt;0,1/P210,NA())</f>
        <v>1.151089245675123</v>
      </c>
      <c r="R210" s="75">
        <f>F210-F209</f>
        <v>0.0035133136094673834</v>
      </c>
      <c r="S210" s="75">
        <f>0.5*(Q209+Q210)*R210</f>
        <v>0.004045217927460717</v>
      </c>
      <c r="T210" s="75">
        <f>0.5*(F209*Q209+F210*Q210)*R210</f>
        <v>0.007945362295834932</v>
      </c>
      <c r="U210" s="76">
        <f>U209+S210</f>
        <v>0.8826449576196452</v>
      </c>
      <c r="V210" s="76">
        <f>V209+T210</f>
        <v>1.411157688229971</v>
      </c>
    </row>
    <row r="211" spans="1:22" ht="19" customHeight="1">
      <c r="A211" s="68" t="s">
        <v>368</v>
      </c>
      <c r="B211" s="74">
        <v>1</v>
      </c>
      <c r="C211" s="68" t="s">
        <v>363</v>
      </c>
      <c r="D211" s="68" t="s">
        <v>364</v>
      </c>
      <c r="E211" s="75">
        <f>60*F211*'THAM_SO_MOI'!$C$49/(2*PI()*'THAM_SO_MOI'!$C$26)</f>
        <v>1261.2499999999998</v>
      </c>
      <c r="F211" s="75">
        <f>'THAM_SO_MOI'!$E$49+('THAM_SO_MOI'!$F$49-'THAM_SO_MOI'!$E$49)*205/'THAM_SO_MOI'!$C$42</f>
        <v>1.9694074621959237</v>
      </c>
      <c r="G211" s="75">
        <f>3.6*F211</f>
        <v>7.089866863905326</v>
      </c>
      <c r="H211" s="75">
        <f>'THAM_SO_MOI'!$D$49</f>
        <v>3.1625000000000005</v>
      </c>
      <c r="I211" s="75">
        <f>IF(F211&gt;'THAM_SO_MOI'!$C$14,'THAM_SO_MOI'!$C$13*(1+F211^2/1500),'THAM_SO_MOI'!$C$13)</f>
        <v>0.015</v>
      </c>
      <c r="J211" s="75">
        <f>'THAM_SO_MOI'!$C$40*('THAM_SO_MOI'!$C$23*(E211/'THAM_SO_MOI'!$C$22)+'THAM_SO_MOI'!$C$24*(E211/'THAM_SO_MOI'!$C$22)^2-'THAM_SO_MOI'!$C$25*(E211/'THAM_SO_MOI'!$C$22)^3)</f>
        <v>51.548692309106215</v>
      </c>
      <c r="K211" s="75">
        <f>'THAM_SO_MOI'!$C$31*J211/E211</f>
        <v>390.3640288718154</v>
      </c>
      <c r="L211" s="75">
        <f>K211*'THAM_SO_MOI'!$C$49*'THAM_SO_MOI'!$C$17/'THAM_SO_MOI'!$C$26</f>
        <v>22252.71139447195</v>
      </c>
      <c r="M211" s="75">
        <f>'THAM_SO_MOI'!$C$15*'THAM_SO_MOI'!$C$16*F211^2</f>
        <v>11.344804825047493</v>
      </c>
      <c r="N211" s="75">
        <f>'THAM_SO_MOI'!$C$12*I211</f>
        <v>1130.112</v>
      </c>
      <c r="O211" s="75">
        <f>M211+N211</f>
        <v>1141.4568048250476</v>
      </c>
      <c r="P211" s="75">
        <f>(MIN(L211,'THAM_SO_MOI'!$C$41)-O211)/('THAM_SO_MOI'!$C$11*H211)</f>
        <v>0.869205146148176</v>
      </c>
      <c r="Q211" s="75">
        <f>IF(P211&gt;0,1/P211,NA())</f>
        <v>1.1504763914841423</v>
      </c>
      <c r="R211" s="75">
        <f>F211-F210</f>
        <v>0.0035133136094673834</v>
      </c>
      <c r="S211" s="75">
        <f>0.5*(Q210+Q211)*R211</f>
        <v>0.004043060938057058</v>
      </c>
      <c r="T211" s="75">
        <f>0.5*(F210*Q210+F211*Q211)*R211</f>
        <v>0.007955330219841735</v>
      </c>
      <c r="U211" s="76">
        <f>U210+S211</f>
        <v>0.8866880185577023</v>
      </c>
      <c r="V211" s="76">
        <f>V210+T211</f>
        <v>1.4191130184498126</v>
      </c>
    </row>
    <row r="212" spans="1:22" ht="19" customHeight="1">
      <c r="A212" s="68" t="s">
        <v>368</v>
      </c>
      <c r="B212" s="74">
        <v>1</v>
      </c>
      <c r="C212" s="68" t="s">
        <v>363</v>
      </c>
      <c r="D212" s="68" t="s">
        <v>364</v>
      </c>
      <c r="E212" s="75">
        <f>60*F212*'THAM_SO_MOI'!$C$49/(2*PI()*'THAM_SO_MOI'!$C$26)</f>
        <v>1263.5</v>
      </c>
      <c r="F212" s="75">
        <f>'THAM_SO_MOI'!$E$49+('THAM_SO_MOI'!$F$49-'THAM_SO_MOI'!$E$49)*206/'THAM_SO_MOI'!$C$42</f>
        <v>1.9729207758053913</v>
      </c>
      <c r="G212" s="75">
        <f>3.6*F212</f>
        <v>7.102514792899409</v>
      </c>
      <c r="H212" s="75">
        <f>'THAM_SO_MOI'!$D$49</f>
        <v>3.1625000000000005</v>
      </c>
      <c r="I212" s="75">
        <f>IF(F212&gt;'THAM_SO_MOI'!$C$14,'THAM_SO_MOI'!$C$13*(1+F212^2/1500),'THAM_SO_MOI'!$C$13)</f>
        <v>0.015</v>
      </c>
      <c r="J212" s="75">
        <f>'THAM_SO_MOI'!$C$40*('THAM_SO_MOI'!$C$23*(E212/'THAM_SO_MOI'!$C$22)+'THAM_SO_MOI'!$C$24*(E212/'THAM_SO_MOI'!$C$22)^2-'THAM_SO_MOI'!$C$25*(E212/'THAM_SO_MOI'!$C$22)^3)</f>
        <v>51.6667650000895</v>
      </c>
      <c r="K212" s="75">
        <f>'THAM_SO_MOI'!$C$31*J212/E212</f>
        <v>390.561420895698</v>
      </c>
      <c r="L212" s="75">
        <f>K212*'THAM_SO_MOI'!$C$49*'THAM_SO_MOI'!$C$17/'THAM_SO_MOI'!$C$26</f>
        <v>22263.963731813907</v>
      </c>
      <c r="M212" s="75">
        <f>'THAM_SO_MOI'!$C$15*'THAM_SO_MOI'!$C$16*F212^2</f>
        <v>11.385317933743302</v>
      </c>
      <c r="N212" s="75">
        <f>'THAM_SO_MOI'!$C$12*I212</f>
        <v>1130.112</v>
      </c>
      <c r="O212" s="75">
        <f>M212+N212</f>
        <v>1141.4973179337435</v>
      </c>
      <c r="P212" s="75">
        <f>(MIN(L212,'THAM_SO_MOI'!$C$41)-O212)/('THAM_SO_MOI'!$C$11*H212)</f>
        <v>0.8696667660523781</v>
      </c>
      <c r="Q212" s="75">
        <f>IF(P212&gt;0,1/P212,NA())</f>
        <v>1.1498657175773601</v>
      </c>
      <c r="R212" s="75">
        <f>F212-F211</f>
        <v>0.0035133136094676054</v>
      </c>
      <c r="S212" s="75">
        <f>0.5*(Q211+Q212)*R212</f>
        <v>0.004040911619098596</v>
      </c>
      <c r="T212" s="75">
        <f>0.5*(F211*Q211+F212*Q212)*R212</f>
        <v>0.007965298107176123</v>
      </c>
      <c r="U212" s="76">
        <f>U211+S212</f>
        <v>0.8907289301768009</v>
      </c>
      <c r="V212" s="76">
        <f>V211+T212</f>
        <v>1.4270783165569887</v>
      </c>
    </row>
    <row r="213" spans="1:22" ht="19" customHeight="1">
      <c r="A213" s="68" t="s">
        <v>368</v>
      </c>
      <c r="B213" s="74">
        <v>1</v>
      </c>
      <c r="C213" s="68" t="s">
        <v>363</v>
      </c>
      <c r="D213" s="68" t="s">
        <v>364</v>
      </c>
      <c r="E213" s="75">
        <f>60*F213*'THAM_SO_MOI'!$C$49/(2*PI()*'THAM_SO_MOI'!$C$26)</f>
        <v>1265.75</v>
      </c>
      <c r="F213" s="75">
        <f>'THAM_SO_MOI'!$E$49+('THAM_SO_MOI'!$F$49-'THAM_SO_MOI'!$E$49)*207/'THAM_SO_MOI'!$C$42</f>
        <v>1.9764340894148589</v>
      </c>
      <c r="G213" s="75">
        <f>3.6*F213</f>
        <v>7.115162721893492</v>
      </c>
      <c r="H213" s="75">
        <f>'THAM_SO_MOI'!$D$49</f>
        <v>3.1625000000000005</v>
      </c>
      <c r="I213" s="75">
        <f>IF(F213&gt;'THAM_SO_MOI'!$C$14,'THAM_SO_MOI'!$C$13*(1+F213^2/1500),'THAM_SO_MOI'!$C$13)</f>
        <v>0.015</v>
      </c>
      <c r="J213" s="75">
        <f>'THAM_SO_MOI'!$C$40*('THAM_SO_MOI'!$C$23*(E213/'THAM_SO_MOI'!$C$22)+'THAM_SO_MOI'!$C$24*(E213/'THAM_SO_MOI'!$C$22)^2-'THAM_SO_MOI'!$C$25*(E213/'THAM_SO_MOI'!$C$22)^3)</f>
        <v>51.784865604732424</v>
      </c>
      <c r="K213" s="75">
        <f>'THAM_SO_MOI'!$C$31*J213/E213</f>
        <v>390.7583217815218</v>
      </c>
      <c r="L213" s="75">
        <f>K213*'THAM_SO_MOI'!$C$49*'THAM_SO_MOI'!$C$17/'THAM_SO_MOI'!$C$26</f>
        <v>22275.188071818324</v>
      </c>
      <c r="M213" s="75">
        <f>'THAM_SO_MOI'!$C$15*'THAM_SO_MOI'!$C$16*F213^2</f>
        <v>11.425903251168341</v>
      </c>
      <c r="N213" s="75">
        <f>'THAM_SO_MOI'!$C$12*I213</f>
        <v>1130.112</v>
      </c>
      <c r="O213" s="75">
        <f>M213+N213</f>
        <v>1141.5379032511685</v>
      </c>
      <c r="P213" s="75">
        <f>(MIN(L213,'THAM_SO_MOI'!$C$41)-O213)/('THAM_SO_MOI'!$C$11*H213)</f>
        <v>0.8701272302605052</v>
      </c>
      <c r="Q213" s="75">
        <f>IF(P213&gt;0,1/P213,NA())</f>
        <v>1.149257218051448</v>
      </c>
      <c r="R213" s="75">
        <f>F213-F212</f>
        <v>0.0035133136094676054</v>
      </c>
      <c r="S213" s="75">
        <f>0.5*(Q212+Q213)*R213</f>
        <v>0.004038769949791902</v>
      </c>
      <c r="T213" s="75">
        <f>0.5*(F212*Q212+F213*Q213)*R213</f>
        <v>0.007975265997623916</v>
      </c>
      <c r="U213" s="76">
        <f>U212+S213</f>
        <v>0.8947677001265928</v>
      </c>
      <c r="V213" s="76">
        <f>V212+T213</f>
        <v>1.4350535825546127</v>
      </c>
    </row>
    <row r="214" spans="1:22" ht="19" customHeight="1">
      <c r="A214" s="68" t="s">
        <v>368</v>
      </c>
      <c r="B214" s="74">
        <v>1</v>
      </c>
      <c r="C214" s="68" t="s">
        <v>363</v>
      </c>
      <c r="D214" s="68" t="s">
        <v>364</v>
      </c>
      <c r="E214" s="75">
        <f>60*F214*'THAM_SO_MOI'!$C$49/(2*PI()*'THAM_SO_MOI'!$C$26)</f>
        <v>1267.9999999999998</v>
      </c>
      <c r="F214" s="75">
        <f>'THAM_SO_MOI'!$E$49+('THAM_SO_MOI'!$F$49-'THAM_SO_MOI'!$E$49)*208/'THAM_SO_MOI'!$C$42</f>
        <v>1.9799474030243263</v>
      </c>
      <c r="G214" s="75">
        <f>3.6*F214</f>
        <v>7.127810650887574</v>
      </c>
      <c r="H214" s="75">
        <f>'THAM_SO_MOI'!$D$49</f>
        <v>3.1625000000000005</v>
      </c>
      <c r="I214" s="75">
        <f>IF(F214&gt;'THAM_SO_MOI'!$C$14,'THAM_SO_MOI'!$C$13*(1+F214^2/1500),'THAM_SO_MOI'!$C$13)</f>
        <v>0.015</v>
      </c>
      <c r="J214" s="75">
        <f>'THAM_SO_MOI'!$C$40*('THAM_SO_MOI'!$C$23*(E214/'THAM_SO_MOI'!$C$22)+'THAM_SO_MOI'!$C$24*(E214/'THAM_SO_MOI'!$C$22)^2-'THAM_SO_MOI'!$C$25*(E214/'THAM_SO_MOI'!$C$22)^3)</f>
        <v>51.90299377593546</v>
      </c>
      <c r="K214" s="75">
        <f>'THAM_SO_MOI'!$C$31*J214/E214</f>
        <v>390.95473152928656</v>
      </c>
      <c r="L214" s="75">
        <f>K214*'THAM_SO_MOI'!$C$49*'THAM_SO_MOI'!$C$17/'THAM_SO_MOI'!$C$26</f>
        <v>22286.384414485194</v>
      </c>
      <c r="M214" s="75">
        <f>'THAM_SO_MOI'!$C$15*'THAM_SO_MOI'!$C$16*F214^2</f>
        <v>11.466560777322615</v>
      </c>
      <c r="N214" s="75">
        <f>'THAM_SO_MOI'!$C$12*I214</f>
        <v>1130.112</v>
      </c>
      <c r="O214" s="75">
        <f>M214+N214</f>
        <v>1141.5785607773228</v>
      </c>
      <c r="P214" s="75">
        <f>(MIN(L214,'THAM_SO_MOI'!$C$41)-O214)/('THAM_SO_MOI'!$C$11*H214)</f>
        <v>0.8705865387725571</v>
      </c>
      <c r="Q214" s="75">
        <f>IF(P214&gt;0,1/P214,NA())</f>
        <v>1.1486508870329002</v>
      </c>
      <c r="R214" s="75">
        <f>F214-F213</f>
        <v>0.0035133136094673834</v>
      </c>
      <c r="S214" s="75">
        <f>0.5*(Q213+Q214)*R214</f>
        <v>0.004036635909449123</v>
      </c>
      <c r="T214" s="75">
        <f>0.5*(F213*Q213+F214*Q214)*R214</f>
        <v>0.007985233930887558</v>
      </c>
      <c r="U214" s="76">
        <f>U213+S214</f>
        <v>0.8988043360360419</v>
      </c>
      <c r="V214" s="76">
        <f>V213+T214</f>
        <v>1.4430388164855001</v>
      </c>
    </row>
    <row r="215" spans="1:22" ht="19" customHeight="1">
      <c r="A215" s="68" t="s">
        <v>368</v>
      </c>
      <c r="B215" s="74">
        <v>1</v>
      </c>
      <c r="C215" s="68" t="s">
        <v>363</v>
      </c>
      <c r="D215" s="68" t="s">
        <v>364</v>
      </c>
      <c r="E215" s="75">
        <f>60*F215*'THAM_SO_MOI'!$C$49/(2*PI()*'THAM_SO_MOI'!$C$26)</f>
        <v>1270.25</v>
      </c>
      <c r="F215" s="75">
        <f>'THAM_SO_MOI'!$E$49+('THAM_SO_MOI'!$F$49-'THAM_SO_MOI'!$E$49)*209/'THAM_SO_MOI'!$C$42</f>
        <v>1.9834607166337936</v>
      </c>
      <c r="G215" s="75">
        <f>3.6*F215</f>
        <v>7.140458579881657</v>
      </c>
      <c r="H215" s="75">
        <f>'THAM_SO_MOI'!$D$49</f>
        <v>3.1625000000000005</v>
      </c>
      <c r="I215" s="75">
        <f>IF(F215&gt;'THAM_SO_MOI'!$C$14,'THAM_SO_MOI'!$C$13*(1+F215^2/1500),'THAM_SO_MOI'!$C$13)</f>
        <v>0.015</v>
      </c>
      <c r="J215" s="75">
        <f>'THAM_SO_MOI'!$C$40*('THAM_SO_MOI'!$C$23*(E215/'THAM_SO_MOI'!$C$22)+'THAM_SO_MOI'!$C$24*(E215/'THAM_SO_MOI'!$C$22)^2-'THAM_SO_MOI'!$C$25*(E215/'THAM_SO_MOI'!$C$22)^3)</f>
        <v>52.02114916659911</v>
      </c>
      <c r="K215" s="75">
        <f>'THAM_SO_MOI'!$C$31*J215/E215</f>
        <v>391.1506501389928</v>
      </c>
      <c r="L215" s="75">
        <f>K215*'THAM_SO_MOI'!$C$49*'THAM_SO_MOI'!$C$17/'THAM_SO_MOI'!$C$26</f>
        <v>22297.552759814553</v>
      </c>
      <c r="M215" s="75">
        <f>'THAM_SO_MOI'!$C$15*'THAM_SO_MOI'!$C$16*F215^2</f>
        <v>11.50729051220612</v>
      </c>
      <c r="N215" s="75">
        <f>'THAM_SO_MOI'!$C$12*I215</f>
        <v>1130.112</v>
      </c>
      <c r="O215" s="75">
        <f>M215+N215</f>
        <v>1141.6192905122061</v>
      </c>
      <c r="P215" s="75">
        <f>(MIN(L215,'THAM_SO_MOI'!$C$41)-O215)/('THAM_SO_MOI'!$C$11*H215)</f>
        <v>0.8710446915885351</v>
      </c>
      <c r="Q215" s="75">
        <f>IF(P215&gt;0,1/P215,NA())</f>
        <v>1.1480467186778758</v>
      </c>
      <c r="R215" s="75">
        <f>F215-F214</f>
        <v>0.0035133136094673834</v>
      </c>
      <c r="S215" s="75">
        <f>0.5*(Q214+Q215)*R215</f>
        <v>0.004034509477487411</v>
      </c>
      <c r="T215" s="75">
        <f>0.5*(F214*Q214+F215*Q215)*R215</f>
        <v>0.007995201946586856</v>
      </c>
      <c r="U215" s="76">
        <f>U214+S215</f>
        <v>0.9028388455135293</v>
      </c>
      <c r="V215" s="76">
        <f>V214+T215</f>
        <v>1.451034018432087</v>
      </c>
    </row>
    <row r="216" spans="1:22" ht="19" customHeight="1">
      <c r="A216" s="68" t="s">
        <v>368</v>
      </c>
      <c r="B216" s="74">
        <v>1</v>
      </c>
      <c r="C216" s="68" t="s">
        <v>363</v>
      </c>
      <c r="D216" s="68" t="s">
        <v>364</v>
      </c>
      <c r="E216" s="75">
        <f>60*F216*'THAM_SO_MOI'!$C$49/(2*PI()*'THAM_SO_MOI'!$C$26)</f>
        <v>1272.5</v>
      </c>
      <c r="F216" s="75">
        <f>'THAM_SO_MOI'!$E$49+('THAM_SO_MOI'!$F$49-'THAM_SO_MOI'!$E$49)*210/'THAM_SO_MOI'!$C$42</f>
        <v>1.9869740302432612</v>
      </c>
      <c r="G216" s="75">
        <f>3.6*F216</f>
        <v>7.153106508875741</v>
      </c>
      <c r="H216" s="75">
        <f>'THAM_SO_MOI'!$D$49</f>
        <v>3.1625000000000005</v>
      </c>
      <c r="I216" s="75">
        <f>IF(F216&gt;'THAM_SO_MOI'!$C$14,'THAM_SO_MOI'!$C$13*(1+F216^2/1500),'THAM_SO_MOI'!$C$13)</f>
        <v>0.015</v>
      </c>
      <c r="J216" s="75">
        <f>'THAM_SO_MOI'!$C$40*('THAM_SO_MOI'!$C$23*(E216/'THAM_SO_MOI'!$C$22)+'THAM_SO_MOI'!$C$24*(E216/'THAM_SO_MOI'!$C$22)^2-'THAM_SO_MOI'!$C$25*(E216/'THAM_SO_MOI'!$C$22)^3)</f>
        <v>52.13933142962378</v>
      </c>
      <c r="K216" s="75">
        <f>'THAM_SO_MOI'!$C$31*J216/E216</f>
        <v>391.34607761064007</v>
      </c>
      <c r="L216" s="75">
        <f>K216*'THAM_SO_MOI'!$C$49*'THAM_SO_MOI'!$C$17/'THAM_SO_MOI'!$C$26</f>
        <v>22308.693107806368</v>
      </c>
      <c r="M216" s="75">
        <f>'THAM_SO_MOI'!$C$15*'THAM_SO_MOI'!$C$16*F216^2</f>
        <v>11.54809245581886</v>
      </c>
      <c r="N216" s="75">
        <f>'THAM_SO_MOI'!$C$12*I216</f>
        <v>1130.112</v>
      </c>
      <c r="O216" s="75">
        <f>M216+N216</f>
        <v>1141.660092455819</v>
      </c>
      <c r="P216" s="75">
        <f>(MIN(L216,'THAM_SO_MOI'!$C$41)-O216)/('THAM_SO_MOI'!$C$11*H216)</f>
        <v>0.8715016887084381</v>
      </c>
      <c r="Q216" s="75">
        <f>IF(P216&gt;0,1/P216,NA())</f>
        <v>1.147444707172049</v>
      </c>
      <c r="R216" s="75">
        <f>F216-F215</f>
        <v>0.0035133136094676054</v>
      </c>
      <c r="S216" s="75">
        <f>0.5*(Q215+Q216)*R216</f>
        <v>0.00403239063342737</v>
      </c>
      <c r="T216" s="75">
        <f>0.5*(F215*Q215+F216*Q216)*R216</f>
        <v>0.008005170084257733</v>
      </c>
      <c r="U216" s="76">
        <f>U215+S216</f>
        <v>0.9068712361469567</v>
      </c>
      <c r="V216" s="76">
        <f>V215+T216</f>
        <v>1.4590391885163447</v>
      </c>
    </row>
    <row r="217" spans="1:22" ht="19" customHeight="1">
      <c r="A217" s="68" t="s">
        <v>368</v>
      </c>
      <c r="B217" s="74">
        <v>1</v>
      </c>
      <c r="C217" s="68" t="s">
        <v>363</v>
      </c>
      <c r="D217" s="68" t="s">
        <v>364</v>
      </c>
      <c r="E217" s="75">
        <f>60*F217*'THAM_SO_MOI'!$C$49/(2*PI()*'THAM_SO_MOI'!$C$26)</f>
        <v>1274.7499999999998</v>
      </c>
      <c r="F217" s="75">
        <f>'THAM_SO_MOI'!$E$49+('THAM_SO_MOI'!$F$49-'THAM_SO_MOI'!$E$49)*211/'THAM_SO_MOI'!$C$42</f>
        <v>1.9904873438527284</v>
      </c>
      <c r="G217" s="75">
        <f>3.6*F217</f>
        <v>7.165754437869823</v>
      </c>
      <c r="H217" s="75">
        <f>'THAM_SO_MOI'!$D$49</f>
        <v>3.1625000000000005</v>
      </c>
      <c r="I217" s="75">
        <f>IF(F217&gt;'THAM_SO_MOI'!$C$14,'THAM_SO_MOI'!$C$13*(1+F217^2/1500),'THAM_SO_MOI'!$C$13)</f>
        <v>0.015</v>
      </c>
      <c r="J217" s="75">
        <f>'THAM_SO_MOI'!$C$40*('THAM_SO_MOI'!$C$23*(E217/'THAM_SO_MOI'!$C$22)+'THAM_SO_MOI'!$C$24*(E217/'THAM_SO_MOI'!$C$22)^2-'THAM_SO_MOI'!$C$25*(E217/'THAM_SO_MOI'!$C$22)^3)</f>
        <v>52.257540217909934</v>
      </c>
      <c r="K217" s="75">
        <f>'THAM_SO_MOI'!$C$31*J217/E217</f>
        <v>391.5410139442286</v>
      </c>
      <c r="L217" s="75">
        <f>K217*'THAM_SO_MOI'!$C$49*'THAM_SO_MOI'!$C$17/'THAM_SO_MOI'!$C$26</f>
        <v>22319.80545846065</v>
      </c>
      <c r="M217" s="75">
        <f>'THAM_SO_MOI'!$C$15*'THAM_SO_MOI'!$C$16*F217^2</f>
        <v>11.58896660816083</v>
      </c>
      <c r="N217" s="75">
        <f>'THAM_SO_MOI'!$C$12*I217</f>
        <v>1130.112</v>
      </c>
      <c r="O217" s="75">
        <f>M217+N217</f>
        <v>1141.7009666081608</v>
      </c>
      <c r="P217" s="75">
        <f>(MIN(L217,'THAM_SO_MOI'!$C$41)-O217)/('THAM_SO_MOI'!$C$11*H217)</f>
        <v>0.8719575301322664</v>
      </c>
      <c r="Q217" s="75">
        <f>IF(P217&gt;0,1/P217,NA())</f>
        <v>1.146844846730449</v>
      </c>
      <c r="R217" s="75">
        <f>F217-F216</f>
        <v>0.0035133136094671613</v>
      </c>
      <c r="S217" s="75">
        <f>0.5*(Q216+Q217)*R217</f>
        <v>0.004030279356891995</v>
      </c>
      <c r="T217" s="75">
        <f>0.5*(F216*Q216+F217*Q217)*R217</f>
        <v>0.008015138383351945</v>
      </c>
      <c r="U217" s="76">
        <f>U216+S217</f>
        <v>0.9109015155038488</v>
      </c>
      <c r="V217" s="76">
        <f>V216+T217</f>
        <v>1.4670543268996967</v>
      </c>
    </row>
    <row r="218" spans="1:22" ht="19" customHeight="1">
      <c r="A218" s="68" t="s">
        <v>368</v>
      </c>
      <c r="B218" s="74">
        <v>1</v>
      </c>
      <c r="C218" s="68" t="s">
        <v>363</v>
      </c>
      <c r="D218" s="68" t="s">
        <v>364</v>
      </c>
      <c r="E218" s="75">
        <f>60*F218*'THAM_SO_MOI'!$C$49/(2*PI()*'THAM_SO_MOI'!$C$26)</f>
        <v>1277.0</v>
      </c>
      <c r="F218" s="75">
        <f>'THAM_SO_MOI'!$E$49+('THAM_SO_MOI'!$F$49-'THAM_SO_MOI'!$E$49)*212/'THAM_SO_MOI'!$C$42</f>
        <v>1.994000657462196</v>
      </c>
      <c r="G218" s="75">
        <f>3.6*F218</f>
        <v>7.178402366863906</v>
      </c>
      <c r="H218" s="75">
        <f>'THAM_SO_MOI'!$D$49</f>
        <v>3.1625000000000005</v>
      </c>
      <c r="I218" s="75">
        <f>IF(F218&gt;'THAM_SO_MOI'!$C$14,'THAM_SO_MOI'!$C$13*(1+F218^2/1500),'THAM_SO_MOI'!$C$13)</f>
        <v>0.015</v>
      </c>
      <c r="J218" s="75">
        <f>'THAM_SO_MOI'!$C$40*('THAM_SO_MOI'!$C$23*(E218/'THAM_SO_MOI'!$C$22)+'THAM_SO_MOI'!$C$24*(E218/'THAM_SO_MOI'!$C$22)^2-'THAM_SO_MOI'!$C$25*(E218/'THAM_SO_MOI'!$C$22)^3)</f>
        <v>52.37577518435806</v>
      </c>
      <c r="K218" s="75">
        <f>'THAM_SO_MOI'!$C$31*J218/E218</f>
        <v>391.73545913975846</v>
      </c>
      <c r="L218" s="75">
        <f>K218*'THAM_SO_MOI'!$C$49*'THAM_SO_MOI'!$C$17/'THAM_SO_MOI'!$C$26</f>
        <v>22330.889811777408</v>
      </c>
      <c r="M218" s="75">
        <f>'THAM_SO_MOI'!$C$15*'THAM_SO_MOI'!$C$16*F218^2</f>
        <v>11.629912969232036</v>
      </c>
      <c r="N218" s="75">
        <f>'THAM_SO_MOI'!$C$12*I218</f>
        <v>1130.112</v>
      </c>
      <c r="O218" s="75">
        <f>M218+N218</f>
        <v>1141.741912969232</v>
      </c>
      <c r="P218" s="75">
        <f>(MIN(L218,'THAM_SO_MOI'!$C$41)-O218)/('THAM_SO_MOI'!$C$11*H218)</f>
        <v>0.8724122158600203</v>
      </c>
      <c r="Q218" s="75">
        <f>IF(P218&gt;0,1/P218,NA())</f>
        <v>1.1462471315973084</v>
      </c>
      <c r="R218" s="75">
        <f>F218-F217</f>
        <v>0.0035133136094676054</v>
      </c>
      <c r="S218" s="75">
        <f>0.5*(Q217+Q218)*R218</f>
        <v>0.004028175627609953</v>
      </c>
      <c r="T218" s="75">
        <f>0.5*(F217*Q217+F218*Q218)*R218</f>
        <v>0.0080251068832454</v>
      </c>
      <c r="U218" s="76">
        <f>U217+S218</f>
        <v>0.9149296911314587</v>
      </c>
      <c r="V218" s="76">
        <f>V217+T218</f>
        <v>1.475079433782942</v>
      </c>
    </row>
    <row r="219" spans="1:22" ht="19" customHeight="1">
      <c r="A219" s="68" t="s">
        <v>368</v>
      </c>
      <c r="B219" s="74">
        <v>1</v>
      </c>
      <c r="C219" s="68" t="s">
        <v>363</v>
      </c>
      <c r="D219" s="68" t="s">
        <v>364</v>
      </c>
      <c r="E219" s="75">
        <f>60*F219*'THAM_SO_MOI'!$C$49/(2*PI()*'THAM_SO_MOI'!$C$26)</f>
        <v>1279.25</v>
      </c>
      <c r="F219" s="75">
        <f>'THAM_SO_MOI'!$E$49+('THAM_SO_MOI'!$F$49-'THAM_SO_MOI'!$E$49)*213/'THAM_SO_MOI'!$C$42</f>
        <v>1.9975139710716634</v>
      </c>
      <c r="G219" s="75">
        <f>3.6*F219</f>
        <v>7.1910502958579885</v>
      </c>
      <c r="H219" s="75">
        <f>'THAM_SO_MOI'!$D$49</f>
        <v>3.1625000000000005</v>
      </c>
      <c r="I219" s="75">
        <f>IF(F219&gt;'THAM_SO_MOI'!$C$14,'THAM_SO_MOI'!$C$13*(1+F219^2/1500),'THAM_SO_MOI'!$C$13)</f>
        <v>0.015</v>
      </c>
      <c r="J219" s="75">
        <f>'THAM_SO_MOI'!$C$40*('THAM_SO_MOI'!$C$23*(E219/'THAM_SO_MOI'!$C$22)+'THAM_SO_MOI'!$C$24*(E219/'THAM_SO_MOI'!$C$22)^2-'THAM_SO_MOI'!$C$25*(E219/'THAM_SO_MOI'!$C$22)^3)</f>
        <v>52.49403598186859</v>
      </c>
      <c r="K219" s="75">
        <f>'THAM_SO_MOI'!$C$31*J219/E219</f>
        <v>391.9294131972295</v>
      </c>
      <c r="L219" s="75">
        <f>K219*'THAM_SO_MOI'!$C$49*'THAM_SO_MOI'!$C$17/'THAM_SO_MOI'!$C$26</f>
        <v>22341.946167756632</v>
      </c>
      <c r="M219" s="75">
        <f>'THAM_SO_MOI'!$C$15*'THAM_SO_MOI'!$C$16*F219^2</f>
        <v>11.670931539032473</v>
      </c>
      <c r="N219" s="75">
        <f>'THAM_SO_MOI'!$C$12*I219</f>
        <v>1130.112</v>
      </c>
      <c r="O219" s="75">
        <f>M219+N219</f>
        <v>1141.7829315390325</v>
      </c>
      <c r="P219" s="75">
        <f>(MIN(L219,'THAM_SO_MOI'!$C$41)-O219)/('THAM_SO_MOI'!$C$11*H219)</f>
        <v>0.8728657458916994</v>
      </c>
      <c r="Q219" s="75">
        <f>IF(P219&gt;0,1/P219,NA())</f>
        <v>1.1456515560459108</v>
      </c>
      <c r="R219" s="75">
        <f>F219-F218</f>
        <v>0.0035133136094673834</v>
      </c>
      <c r="S219" s="75">
        <f>0.5*(Q218+Q219)*R219</f>
        <v>0.004026079425408679</v>
      </c>
      <c r="T219" s="75">
        <f>0.5*(F218*Q218+F219*Q219)*R219</f>
        <v>0.008035075623226244</v>
      </c>
      <c r="U219" s="76">
        <f>U218+S219</f>
        <v>0.9189557705568674</v>
      </c>
      <c r="V219" s="76">
        <f>V218+T219</f>
        <v>1.4831145094061682</v>
      </c>
    </row>
    <row r="220" spans="1:22" ht="19" customHeight="1">
      <c r="A220" s="68" t="s">
        <v>368</v>
      </c>
      <c r="B220" s="74">
        <v>1</v>
      </c>
      <c r="C220" s="68" t="s">
        <v>363</v>
      </c>
      <c r="D220" s="68" t="s">
        <v>364</v>
      </c>
      <c r="E220" s="75">
        <f>60*F220*'THAM_SO_MOI'!$C$49/(2*PI()*'THAM_SO_MOI'!$C$26)</f>
        <v>1281.5</v>
      </c>
      <c r="F220" s="75">
        <f>'THAM_SO_MOI'!$E$49+('THAM_SO_MOI'!$F$49-'THAM_SO_MOI'!$E$49)*214/'THAM_SO_MOI'!$C$42</f>
        <v>2.001027284681131</v>
      </c>
      <c r="G220" s="75">
        <f>3.6*F220</f>
        <v>7.203698224852071</v>
      </c>
      <c r="H220" s="75">
        <f>'THAM_SO_MOI'!$D$49</f>
        <v>3.1625000000000005</v>
      </c>
      <c r="I220" s="75">
        <f>IF(F220&gt;'THAM_SO_MOI'!$C$14,'THAM_SO_MOI'!$C$13*(1+F220^2/1500),'THAM_SO_MOI'!$C$13)</f>
        <v>0.015</v>
      </c>
      <c r="J220" s="75">
        <f>'THAM_SO_MOI'!$C$40*('THAM_SO_MOI'!$C$23*(E220/'THAM_SO_MOI'!$C$22)+'THAM_SO_MOI'!$C$24*(E220/'THAM_SO_MOI'!$C$22)^2-'THAM_SO_MOI'!$C$25*(E220/'THAM_SO_MOI'!$C$22)^3)</f>
        <v>52.61232226334197</v>
      </c>
      <c r="K220" s="75">
        <f>'THAM_SO_MOI'!$C$31*J220/E220</f>
        <v>392.12287611664175</v>
      </c>
      <c r="L220" s="75">
        <f>K220*'THAM_SO_MOI'!$C$49*'THAM_SO_MOI'!$C$17/'THAM_SO_MOI'!$C$26</f>
        <v>22352.974526398317</v>
      </c>
      <c r="M220" s="75">
        <f>'THAM_SO_MOI'!$C$15*'THAM_SO_MOI'!$C$16*F220^2</f>
        <v>11.712022317562143</v>
      </c>
      <c r="N220" s="75">
        <f>'THAM_SO_MOI'!$C$12*I220</f>
        <v>1130.112</v>
      </c>
      <c r="O220" s="75">
        <f>M220+N220</f>
        <v>1141.8240223175621</v>
      </c>
      <c r="P220" s="75">
        <f>(MIN(L220,'THAM_SO_MOI'!$C$41)-O220)/('THAM_SO_MOI'!$C$11*H220)</f>
        <v>0.8733181202273036</v>
      </c>
      <c r="Q220" s="75">
        <f>IF(P220&gt;0,1/P220,NA())</f>
        <v>1.14505811437844</v>
      </c>
      <c r="R220" s="75">
        <f>F220-F219</f>
        <v>0.0035133136094673834</v>
      </c>
      <c r="S220" s="75">
        <f>0.5*(Q219+Q220)*R220</f>
        <v>0.004023990730220208</v>
      </c>
      <c r="T220" s="75">
        <f>0.5*(F219*Q219+F220*Q220)*R220</f>
        <v>0.008045044642508263</v>
      </c>
      <c r="U220" s="76">
        <f>U219+S220</f>
        <v>0.9229797612870876</v>
      </c>
      <c r="V220" s="76">
        <f>V219+T220</f>
        <v>1.4911595540486764</v>
      </c>
    </row>
    <row r="221" spans="1:22" ht="19" customHeight="1">
      <c r="A221" s="68" t="s">
        <v>368</v>
      </c>
      <c r="B221" s="74">
        <v>1</v>
      </c>
      <c r="C221" s="68" t="s">
        <v>363</v>
      </c>
      <c r="D221" s="68" t="s">
        <v>364</v>
      </c>
      <c r="E221" s="75">
        <f>60*F221*'THAM_SO_MOI'!$C$49/(2*PI()*'THAM_SO_MOI'!$C$26)</f>
        <v>1283.7499999999998</v>
      </c>
      <c r="F221" s="75">
        <f>'THAM_SO_MOI'!$E$49+('THAM_SO_MOI'!$F$49-'THAM_SO_MOI'!$E$49)*215/'THAM_SO_MOI'!$C$42</f>
        <v>2.0045405982905984</v>
      </c>
      <c r="G221" s="75">
        <f>3.6*F221</f>
        <v>7.216346153846154</v>
      </c>
      <c r="H221" s="75">
        <f>'THAM_SO_MOI'!$D$49</f>
        <v>3.1625000000000005</v>
      </c>
      <c r="I221" s="75">
        <f>IF(F221&gt;'THAM_SO_MOI'!$C$14,'THAM_SO_MOI'!$C$13*(1+F221^2/1500),'THAM_SO_MOI'!$C$13)</f>
        <v>0.015</v>
      </c>
      <c r="J221" s="75">
        <f>'THAM_SO_MOI'!$C$40*('THAM_SO_MOI'!$C$23*(E221/'THAM_SO_MOI'!$C$22)+'THAM_SO_MOI'!$C$24*(E221/'THAM_SO_MOI'!$C$22)^2-'THAM_SO_MOI'!$C$25*(E221/'THAM_SO_MOI'!$C$22)^3)</f>
        <v>52.73063368167866</v>
      </c>
      <c r="K221" s="75">
        <f>'THAM_SO_MOI'!$C$31*J221/E221</f>
        <v>392.3158478979952</v>
      </c>
      <c r="L221" s="75">
        <f>K221*'THAM_SO_MOI'!$C$49*'THAM_SO_MOI'!$C$17/'THAM_SO_MOI'!$C$26</f>
        <v>22363.974887702472</v>
      </c>
      <c r="M221" s="75">
        <f>'THAM_SO_MOI'!$C$15*'THAM_SO_MOI'!$C$16*F221^2</f>
        <v>11.753185304821049</v>
      </c>
      <c r="N221" s="75">
        <f>'THAM_SO_MOI'!$C$12*I221</f>
        <v>1130.112</v>
      </c>
      <c r="O221" s="75">
        <f>M221+N221</f>
        <v>1141.8651853048211</v>
      </c>
      <c r="P221" s="75">
        <f>(MIN(L221,'THAM_SO_MOI'!$C$41)-O221)/('THAM_SO_MOI'!$C$11*H221)</f>
        <v>0.8737693388668333</v>
      </c>
      <c r="Q221" s="75">
        <f>IF(P221&gt;0,1/P221,NA())</f>
        <v>1.1444668009258274</v>
      </c>
      <c r="R221" s="75">
        <f>F221-F220</f>
        <v>0.0035133136094676054</v>
      </c>
      <c r="S221" s="75">
        <f>0.5*(Q220+Q221)*R221</f>
        <v>0.004021909522076824</v>
      </c>
      <c r="T221" s="75">
        <f>0.5*(F220*Q220+F221*Q221)*R221</f>
        <v>0.008055013980223997</v>
      </c>
      <c r="U221" s="76">
        <f>U220+S221</f>
        <v>0.9270016708091644</v>
      </c>
      <c r="V221" s="76">
        <f>V220+T221</f>
        <v>1.4992145680289004</v>
      </c>
    </row>
    <row r="222" spans="1:22" ht="19" customHeight="1">
      <c r="A222" s="68" t="s">
        <v>368</v>
      </c>
      <c r="B222" s="74">
        <v>1</v>
      </c>
      <c r="C222" s="68" t="s">
        <v>363</v>
      </c>
      <c r="D222" s="68" t="s">
        <v>364</v>
      </c>
      <c r="E222" s="75">
        <f>60*F222*'THAM_SO_MOI'!$C$49/(2*PI()*'THAM_SO_MOI'!$C$26)</f>
        <v>1286.0</v>
      </c>
      <c r="F222" s="75">
        <f>'THAM_SO_MOI'!$E$49+('THAM_SO_MOI'!$F$49-'THAM_SO_MOI'!$E$49)*216/'THAM_SO_MOI'!$C$42</f>
        <v>2.008053911900066</v>
      </c>
      <c r="G222" s="75">
        <f>3.6*F222</f>
        <v>7.228994082840238</v>
      </c>
      <c r="H222" s="75">
        <f>'THAM_SO_MOI'!$D$49</f>
        <v>3.1625000000000005</v>
      </c>
      <c r="I222" s="75">
        <f>IF(F222&gt;'THAM_SO_MOI'!$C$14,'THAM_SO_MOI'!$C$13*(1+F222^2/1500),'THAM_SO_MOI'!$C$13)</f>
        <v>0.015</v>
      </c>
      <c r="J222" s="75">
        <f>'THAM_SO_MOI'!$C$40*('THAM_SO_MOI'!$C$23*(E222/'THAM_SO_MOI'!$C$22)+'THAM_SO_MOI'!$C$24*(E222/'THAM_SO_MOI'!$C$22)^2-'THAM_SO_MOI'!$C$25*(E222/'THAM_SO_MOI'!$C$22)^3)</f>
        <v>52.84896988977914</v>
      </c>
      <c r="K222" s="75">
        <f>'THAM_SO_MOI'!$C$31*J222/E222</f>
        <v>392.5083285412899</v>
      </c>
      <c r="L222" s="75">
        <f>K222*'THAM_SO_MOI'!$C$49*'THAM_SO_MOI'!$C$17/'THAM_SO_MOI'!$C$26</f>
        <v>22374.9472516691</v>
      </c>
      <c r="M222" s="75">
        <f>'THAM_SO_MOI'!$C$15*'THAM_SO_MOI'!$C$16*F222^2</f>
        <v>11.794420500809188</v>
      </c>
      <c r="N222" s="75">
        <f>'THAM_SO_MOI'!$C$12*I222</f>
        <v>1130.112</v>
      </c>
      <c r="O222" s="75">
        <f>M222+N222</f>
        <v>1141.9064205008092</v>
      </c>
      <c r="P222" s="75">
        <f>(MIN(L222,'THAM_SO_MOI'!$C$41)-O222)/('THAM_SO_MOI'!$C$11*H222)</f>
        <v>0.8742194018102883</v>
      </c>
      <c r="Q222" s="75">
        <f>IF(P222&gt;0,1/P222,NA())</f>
        <v>1.1438776100476056</v>
      </c>
      <c r="R222" s="75">
        <f>F222-F221</f>
        <v>0.0035133136094676054</v>
      </c>
      <c r="S222" s="75">
        <f>0.5*(Q221+Q222)*R222</f>
        <v>0.004019835781111047</v>
      </c>
      <c r="T222" s="75">
        <f>0.5*(F221*Q221+F222*Q222)*R222</f>
        <v>0.00806498367542647</v>
      </c>
      <c r="U222" s="76">
        <f>U221+S222</f>
        <v>0.9310215065902755</v>
      </c>
      <c r="V222" s="76">
        <f>V221+T222</f>
        <v>1.507279551704327</v>
      </c>
    </row>
    <row r="223" spans="1:22" ht="19" customHeight="1">
      <c r="A223" s="68" t="s">
        <v>368</v>
      </c>
      <c r="B223" s="74">
        <v>1</v>
      </c>
      <c r="C223" s="68" t="s">
        <v>363</v>
      </c>
      <c r="D223" s="68" t="s">
        <v>364</v>
      </c>
      <c r="E223" s="75">
        <f>60*F223*'THAM_SO_MOI'!$C$49/(2*PI()*'THAM_SO_MOI'!$C$26)</f>
        <v>1288.2499999999998</v>
      </c>
      <c r="F223" s="75">
        <f>'THAM_SO_MOI'!$E$49+('THAM_SO_MOI'!$F$49-'THAM_SO_MOI'!$E$49)*217/'THAM_SO_MOI'!$C$42</f>
        <v>2.011567225509533</v>
      </c>
      <c r="G223" s="75">
        <f>3.6*F223</f>
        <v>7.24164201183432</v>
      </c>
      <c r="H223" s="75">
        <f>'THAM_SO_MOI'!$D$49</f>
        <v>3.1625000000000005</v>
      </c>
      <c r="I223" s="75">
        <f>IF(F223&gt;'THAM_SO_MOI'!$C$14,'THAM_SO_MOI'!$C$13*(1+F223^2/1500),'THAM_SO_MOI'!$C$13)</f>
        <v>0.015</v>
      </c>
      <c r="J223" s="75">
        <f>'THAM_SO_MOI'!$C$40*('THAM_SO_MOI'!$C$23*(E223/'THAM_SO_MOI'!$C$22)+'THAM_SO_MOI'!$C$24*(E223/'THAM_SO_MOI'!$C$22)^2-'THAM_SO_MOI'!$C$25*(E223/'THAM_SO_MOI'!$C$22)^3)</f>
        <v>52.96733054054383</v>
      </c>
      <c r="K223" s="75">
        <f>'THAM_SO_MOI'!$C$31*J223/E223</f>
        <v>392.70031804652587</v>
      </c>
      <c r="L223" s="75">
        <f>K223*'THAM_SO_MOI'!$C$49*'THAM_SO_MOI'!$C$17/'THAM_SO_MOI'!$C$26</f>
        <v>22385.89161829819</v>
      </c>
      <c r="M223" s="75">
        <f>'THAM_SO_MOI'!$C$15*'THAM_SO_MOI'!$C$16*F223^2</f>
        <v>11.835727905526555</v>
      </c>
      <c r="N223" s="75">
        <f>'THAM_SO_MOI'!$C$12*I223</f>
        <v>1130.112</v>
      </c>
      <c r="O223" s="75">
        <f>M223+N223</f>
        <v>1141.9477279055266</v>
      </c>
      <c r="P223" s="75">
        <f>(MIN(L223,'THAM_SO_MOI'!$C$41)-O223)/('THAM_SO_MOI'!$C$11*H223)</f>
        <v>0.8746683090576687</v>
      </c>
      <c r="Q223" s="75">
        <f>IF(P223&gt;0,1/P223,NA())</f>
        <v>1.1432905361317578</v>
      </c>
      <c r="R223" s="75">
        <f>F223-F222</f>
        <v>0.0035133136094671613</v>
      </c>
      <c r="S223" s="75">
        <f>0.5*(Q222+Q223)*R223</f>
        <v>0.004017769487555867</v>
      </c>
      <c r="T223" s="75">
        <f>0.5*(F222*Q222+F223*Q223)*R223</f>
        <v>0.008074953767091438</v>
      </c>
      <c r="U223" s="76">
        <f>U222+S223</f>
        <v>0.9350392760778313</v>
      </c>
      <c r="V223" s="76">
        <f>V222+T223</f>
        <v>1.5153545054714184</v>
      </c>
    </row>
    <row r="224" spans="1:22" ht="19" customHeight="1">
      <c r="A224" s="68" t="s">
        <v>368</v>
      </c>
      <c r="B224" s="74">
        <v>1</v>
      </c>
      <c r="C224" s="68" t="s">
        <v>363</v>
      </c>
      <c r="D224" s="68" t="s">
        <v>364</v>
      </c>
      <c r="E224" s="75">
        <f>60*F224*'THAM_SO_MOI'!$C$49/(2*PI()*'THAM_SO_MOI'!$C$26)</f>
        <v>1290.5</v>
      </c>
      <c r="F224" s="75">
        <f>'THAM_SO_MOI'!$E$49+('THAM_SO_MOI'!$F$49-'THAM_SO_MOI'!$E$49)*218/'THAM_SO_MOI'!$C$42</f>
        <v>2.0150805391190008</v>
      </c>
      <c r="G224" s="75">
        <f>3.6*F224</f>
        <v>7.254289940828403</v>
      </c>
      <c r="H224" s="75">
        <f>'THAM_SO_MOI'!$D$49</f>
        <v>3.1625000000000005</v>
      </c>
      <c r="I224" s="75">
        <f>IF(F224&gt;'THAM_SO_MOI'!$C$14,'THAM_SO_MOI'!$C$13*(1+F224^2/1500),'THAM_SO_MOI'!$C$13)</f>
        <v>0.015</v>
      </c>
      <c r="J224" s="75">
        <f>'THAM_SO_MOI'!$C$40*('THAM_SO_MOI'!$C$23*(E224/'THAM_SO_MOI'!$C$22)+'THAM_SO_MOI'!$C$24*(E224/'THAM_SO_MOI'!$C$22)^2-'THAM_SO_MOI'!$C$25*(E224/'THAM_SO_MOI'!$C$22)^3)</f>
        <v>53.08571528687322</v>
      </c>
      <c r="K224" s="75">
        <f>'THAM_SO_MOI'!$C$31*J224/E224</f>
        <v>392.891816413703</v>
      </c>
      <c r="L224" s="75">
        <f>K224*'THAM_SO_MOI'!$C$49*'THAM_SO_MOI'!$C$17/'THAM_SO_MOI'!$C$26</f>
        <v>22396.807987589746</v>
      </c>
      <c r="M224" s="75">
        <f>'THAM_SO_MOI'!$C$15*'THAM_SO_MOI'!$C$16*F224^2</f>
        <v>11.87710751897316</v>
      </c>
      <c r="N224" s="75">
        <f>'THAM_SO_MOI'!$C$12*I224</f>
        <v>1130.112</v>
      </c>
      <c r="O224" s="75">
        <f>M224+N224</f>
        <v>1141.9891075189732</v>
      </c>
      <c r="P224" s="75">
        <f>(MIN(L224,'THAM_SO_MOI'!$C$41)-O224)/('THAM_SO_MOI'!$C$11*H224)</f>
        <v>0.8751160606089744</v>
      </c>
      <c r="Q224" s="75">
        <f>IF(P224&gt;0,1/P224,NA())</f>
        <v>1.1427055735945717</v>
      </c>
      <c r="R224" s="75">
        <f>F224-F223</f>
        <v>0.0035133136094676054</v>
      </c>
      <c r="S224" s="75">
        <f>0.5*(Q223+Q224)*R224</f>
        <v>0.004015710621745757</v>
      </c>
      <c r="T224" s="75">
        <f>0.5*(F223*Q223+F224*Q224)*R224</f>
        <v>0.00808492429412118</v>
      </c>
      <c r="U224" s="76">
        <f>U223+S224</f>
        <v>0.9390549866995771</v>
      </c>
      <c r="V224" s="76">
        <f>V223+T224</f>
        <v>1.5234394297655396</v>
      </c>
    </row>
    <row r="225" spans="1:22" ht="19" customHeight="1">
      <c r="A225" s="68" t="s">
        <v>368</v>
      </c>
      <c r="B225" s="74">
        <v>1</v>
      </c>
      <c r="C225" s="68" t="s">
        <v>363</v>
      </c>
      <c r="D225" s="68" t="s">
        <v>364</v>
      </c>
      <c r="E225" s="75">
        <f>60*F225*'THAM_SO_MOI'!$C$49/(2*PI()*'THAM_SO_MOI'!$C$26)</f>
        <v>1292.75</v>
      </c>
      <c r="F225" s="75">
        <f>'THAM_SO_MOI'!$E$49+('THAM_SO_MOI'!$F$49-'THAM_SO_MOI'!$E$49)*219/'THAM_SO_MOI'!$C$42</f>
        <v>2.0185938527284684</v>
      </c>
      <c r="G225" s="75">
        <f>3.6*F225</f>
        <v>7.2669378698224865</v>
      </c>
      <c r="H225" s="75">
        <f>'THAM_SO_MOI'!$D$49</f>
        <v>3.1625000000000005</v>
      </c>
      <c r="I225" s="75">
        <f>IF(F225&gt;'THAM_SO_MOI'!$C$14,'THAM_SO_MOI'!$C$13*(1+F225^2/1500),'THAM_SO_MOI'!$C$13)</f>
        <v>0.015</v>
      </c>
      <c r="J225" s="75">
        <f>'THAM_SO_MOI'!$C$40*('THAM_SO_MOI'!$C$23*(E225/'THAM_SO_MOI'!$C$22)+'THAM_SO_MOI'!$C$24*(E225/'THAM_SO_MOI'!$C$22)^2-'THAM_SO_MOI'!$C$25*(E225/'THAM_SO_MOI'!$C$22)^3)</f>
        <v>53.20412378166773</v>
      </c>
      <c r="K225" s="75">
        <f>'THAM_SO_MOI'!$C$31*J225/E225</f>
        <v>393.0828236428214</v>
      </c>
      <c r="L225" s="75">
        <f>K225*'THAM_SO_MOI'!$C$49*'THAM_SO_MOI'!$C$17/'THAM_SO_MOI'!$C$26</f>
        <v>22407.696359543777</v>
      </c>
      <c r="M225" s="75">
        <f>'THAM_SO_MOI'!$C$15*'THAM_SO_MOI'!$C$16*F225^2</f>
        <v>11.918559341148999</v>
      </c>
      <c r="N225" s="75">
        <f>'THAM_SO_MOI'!$C$12*I225</f>
        <v>1130.112</v>
      </c>
      <c r="O225" s="75">
        <f>M225+N225</f>
        <v>1142.030559341149</v>
      </c>
      <c r="P225" s="75">
        <f>(MIN(L225,'THAM_SO_MOI'!$C$41)-O225)/('THAM_SO_MOI'!$C$11*H225)</f>
        <v>0.8755626564642055</v>
      </c>
      <c r="Q225" s="75">
        <f>IF(P225&gt;0,1/P225,NA())</f>
        <v>1.1421227168804928</v>
      </c>
      <c r="R225" s="75">
        <f>F225-F224</f>
        <v>0.0035133136094676054</v>
      </c>
      <c r="S225" s="75">
        <f>0.5*(Q224+Q225)*R225</f>
        <v>0.004013659164111324</v>
      </c>
      <c r="T225" s="75">
        <f>0.5*(F224*Q224+F225*Q225)*R225</f>
        <v>0.008094895295335495</v>
      </c>
      <c r="U225" s="76">
        <f>U224+S225</f>
        <v>0.9430686458636884</v>
      </c>
      <c r="V225" s="76">
        <f>V224+T225</f>
        <v>1.531534325060875</v>
      </c>
    </row>
    <row r="226" spans="1:22" ht="19" customHeight="1">
      <c r="A226" s="68" t="s">
        <v>368</v>
      </c>
      <c r="B226" s="74">
        <v>1</v>
      </c>
      <c r="C226" s="68" t="s">
        <v>363</v>
      </c>
      <c r="D226" s="68" t="s">
        <v>364</v>
      </c>
      <c r="E226" s="75">
        <f>60*F226*'THAM_SO_MOI'!$C$49/(2*PI()*'THAM_SO_MOI'!$C$26)</f>
        <v>1294.9999999999998</v>
      </c>
      <c r="F226" s="75">
        <f>'THAM_SO_MOI'!$E$49+('THAM_SO_MOI'!$F$49-'THAM_SO_MOI'!$E$49)*220/'THAM_SO_MOI'!$C$42</f>
        <v>2.0221071663379355</v>
      </c>
      <c r="G226" s="75">
        <f>3.6*F226</f>
        <v>7.279585798816568</v>
      </c>
      <c r="H226" s="75">
        <f>'THAM_SO_MOI'!$D$49</f>
        <v>3.1625000000000005</v>
      </c>
      <c r="I226" s="75">
        <f>IF(F226&gt;'THAM_SO_MOI'!$C$14,'THAM_SO_MOI'!$C$13*(1+F226^2/1500),'THAM_SO_MOI'!$C$13)</f>
        <v>0.015</v>
      </c>
      <c r="J226" s="75">
        <f>'THAM_SO_MOI'!$C$40*('THAM_SO_MOI'!$C$23*(E226/'THAM_SO_MOI'!$C$22)+'THAM_SO_MOI'!$C$24*(E226/'THAM_SO_MOI'!$C$22)^2-'THAM_SO_MOI'!$C$25*(E226/'THAM_SO_MOI'!$C$22)^3)</f>
        <v>53.32255567782783</v>
      </c>
      <c r="K226" s="75">
        <f>'THAM_SO_MOI'!$C$31*J226/E226</f>
        <v>393.2733397338809</v>
      </c>
      <c r="L226" s="75">
        <f>K226*'THAM_SO_MOI'!$C$49*'THAM_SO_MOI'!$C$17/'THAM_SO_MOI'!$C$26</f>
        <v>22418.556734160265</v>
      </c>
      <c r="M226" s="75">
        <f>'THAM_SO_MOI'!$C$15*'THAM_SO_MOI'!$C$16*F226^2</f>
        <v>11.960083372054063</v>
      </c>
      <c r="N226" s="75">
        <f>'THAM_SO_MOI'!$C$12*I226</f>
        <v>1130.112</v>
      </c>
      <c r="O226" s="75">
        <f>M226+N226</f>
        <v>1142.072083372054</v>
      </c>
      <c r="P226" s="75">
        <f>(MIN(L226,'THAM_SO_MOI'!$C$41)-O226)/('THAM_SO_MOI'!$C$11*H226)</f>
        <v>0.8760080966233617</v>
      </c>
      <c r="Q226" s="75">
        <f>IF(P226&gt;0,1/P226,NA())</f>
        <v>1.14154196046198</v>
      </c>
      <c r="R226" s="75">
        <f>F226-F225</f>
        <v>0.0035133136094671613</v>
      </c>
      <c r="S226" s="75">
        <f>0.5*(Q225+Q226)*R226</f>
        <v>0.004011615095183371</v>
      </c>
      <c r="T226" s="75">
        <f>0.5*(F225*Q225+F226*Q226)*R226</f>
        <v>0.008104866809481604</v>
      </c>
      <c r="U226" s="76">
        <f>U225+S226</f>
        <v>0.9470802609588718</v>
      </c>
      <c r="V226" s="76">
        <f>V225+T226</f>
        <v>1.5396391918703567</v>
      </c>
    </row>
    <row r="227" spans="1:22" ht="19" customHeight="1">
      <c r="A227" s="68" t="s">
        <v>368</v>
      </c>
      <c r="B227" s="74">
        <v>1</v>
      </c>
      <c r="C227" s="68" t="s">
        <v>363</v>
      </c>
      <c r="D227" s="68" t="s">
        <v>364</v>
      </c>
      <c r="E227" s="75">
        <f>60*F227*'THAM_SO_MOI'!$C$49/(2*PI()*'THAM_SO_MOI'!$C$26)</f>
        <v>1297.25</v>
      </c>
      <c r="F227" s="75">
        <f>'THAM_SO_MOI'!$E$49+('THAM_SO_MOI'!$F$49-'THAM_SO_MOI'!$E$49)*221/'THAM_SO_MOI'!$C$42</f>
        <v>2.025620479947403</v>
      </c>
      <c r="G227" s="75">
        <f>3.6*F227</f>
        <v>7.292233727810651</v>
      </c>
      <c r="H227" s="75">
        <f>'THAM_SO_MOI'!$D$49</f>
        <v>3.1625000000000005</v>
      </c>
      <c r="I227" s="75">
        <f>IF(F227&gt;'THAM_SO_MOI'!$C$14,'THAM_SO_MOI'!$C$13*(1+F227^2/1500),'THAM_SO_MOI'!$C$13)</f>
        <v>0.015</v>
      </c>
      <c r="J227" s="75">
        <f>'THAM_SO_MOI'!$C$40*('THAM_SO_MOI'!$C$23*(E227/'THAM_SO_MOI'!$C$22)+'THAM_SO_MOI'!$C$24*(E227/'THAM_SO_MOI'!$C$22)^2-'THAM_SO_MOI'!$C$25*(E227/'THAM_SO_MOI'!$C$22)^3)</f>
        <v>53.441010628254</v>
      </c>
      <c r="K227" s="75">
        <f>'THAM_SO_MOI'!$C$31*J227/E227</f>
        <v>393.4633646868818</v>
      </c>
      <c r="L227" s="75">
        <f>K227*'THAM_SO_MOI'!$C$49*'THAM_SO_MOI'!$C$17/'THAM_SO_MOI'!$C$26</f>
        <v>22429.38911143923</v>
      </c>
      <c r="M227" s="75">
        <f>'THAM_SO_MOI'!$C$15*'THAM_SO_MOI'!$C$16*F227^2</f>
        <v>12.001679611688369</v>
      </c>
      <c r="N227" s="75">
        <f>'THAM_SO_MOI'!$C$12*I227</f>
        <v>1130.112</v>
      </c>
      <c r="O227" s="75">
        <f>M227+N227</f>
        <v>1142.1136796116884</v>
      </c>
      <c r="P227" s="75">
        <f>(MIN(L227,'THAM_SO_MOI'!$C$41)-O227)/('THAM_SO_MOI'!$C$11*H227)</f>
        <v>0.8764523810864435</v>
      </c>
      <c r="Q227" s="75">
        <f>IF(P227&gt;0,1/P227,NA())</f>
        <v>1.1409632988393594</v>
      </c>
      <c r="R227" s="75">
        <f>F227-F226</f>
        <v>0.0035133136094676054</v>
      </c>
      <c r="S227" s="75">
        <f>0.5*(Q226+Q227)*R227</f>
        <v>0.004009578395592391</v>
      </c>
      <c r="T227" s="75">
        <f>0.5*(F226*Q226+F227*Q227)*R227</f>
        <v>0.008114838875234873</v>
      </c>
      <c r="U227" s="76">
        <f>U226+S227</f>
        <v>0.9510898393544641</v>
      </c>
      <c r="V227" s="76">
        <f>V226+T227</f>
        <v>1.5477540307455915</v>
      </c>
    </row>
    <row r="228" spans="1:22" ht="19" customHeight="1">
      <c r="A228" s="68" t="s">
        <v>368</v>
      </c>
      <c r="B228" s="74">
        <v>1</v>
      </c>
      <c r="C228" s="68" t="s">
        <v>363</v>
      </c>
      <c r="D228" s="68" t="s">
        <v>364</v>
      </c>
      <c r="E228" s="75">
        <f>60*F228*'THAM_SO_MOI'!$C$49/(2*PI()*'THAM_SO_MOI'!$C$26)</f>
        <v>1299.5000000000002</v>
      </c>
      <c r="F228" s="75">
        <f>'THAM_SO_MOI'!$E$49+('THAM_SO_MOI'!$F$49-'THAM_SO_MOI'!$E$49)*222/'THAM_SO_MOI'!$C$42</f>
        <v>2.0291337935568707</v>
      </c>
      <c r="G228" s="75">
        <f>3.6*F228</f>
        <v>7.304881656804735</v>
      </c>
      <c r="H228" s="75">
        <f>'THAM_SO_MOI'!$D$49</f>
        <v>3.1625000000000005</v>
      </c>
      <c r="I228" s="75">
        <f>IF(F228&gt;'THAM_SO_MOI'!$C$14,'THAM_SO_MOI'!$C$13*(1+F228^2/1500),'THAM_SO_MOI'!$C$13)</f>
        <v>0.015</v>
      </c>
      <c r="J228" s="75">
        <f>'THAM_SO_MOI'!$C$40*('THAM_SO_MOI'!$C$23*(E228/'THAM_SO_MOI'!$C$22)+'THAM_SO_MOI'!$C$24*(E228/'THAM_SO_MOI'!$C$22)^2-'THAM_SO_MOI'!$C$25*(E228/'THAM_SO_MOI'!$C$22)^3)</f>
        <v>53.55948828584666</v>
      </c>
      <c r="K228" s="75">
        <f>'THAM_SO_MOI'!$C$31*J228/E228</f>
        <v>393.65289850182376</v>
      </c>
      <c r="L228" s="75">
        <f>K228*'THAM_SO_MOI'!$C$49*'THAM_SO_MOI'!$C$17/'THAM_SO_MOI'!$C$26</f>
        <v>22440.193491380658</v>
      </c>
      <c r="M228" s="75">
        <f>'THAM_SO_MOI'!$C$15*'THAM_SO_MOI'!$C$16*F228^2</f>
        <v>12.043348060051907</v>
      </c>
      <c r="N228" s="75">
        <f>'THAM_SO_MOI'!$C$12*I228</f>
        <v>1130.112</v>
      </c>
      <c r="O228" s="75">
        <f>M228+N228</f>
        <v>1142.155348060052</v>
      </c>
      <c r="P228" s="75">
        <f>(MIN(L228,'THAM_SO_MOI'!$C$41)-O228)/('THAM_SO_MOI'!$C$11*H228)</f>
        <v>0.8768955098534503</v>
      </c>
      <c r="Q228" s="75">
        <f>IF(P228&gt;0,1/P228,NA())</f>
        <v>1.1403867265406835</v>
      </c>
      <c r="R228" s="75">
        <f>F228-F227</f>
        <v>0.0035133136094676054</v>
      </c>
      <c r="S228" s="75">
        <f>0.5*(Q227+Q228)*R228</f>
        <v>0.0040075490460634855</v>
      </c>
      <c r="T228" s="75">
        <f>0.5*(F227*Q227+F228*Q228)*R228</f>
        <v>0.00812481153119028</v>
      </c>
      <c r="U228" s="76">
        <f>U227+S228</f>
        <v>0.9550973884005276</v>
      </c>
      <c r="V228" s="76">
        <f>V227+T228</f>
        <v>1.5558788422767817</v>
      </c>
    </row>
    <row r="229" spans="1:22" ht="19" customHeight="1">
      <c r="A229" s="68" t="s">
        <v>368</v>
      </c>
      <c r="B229" s="74">
        <v>1</v>
      </c>
      <c r="C229" s="68" t="s">
        <v>363</v>
      </c>
      <c r="D229" s="68" t="s">
        <v>364</v>
      </c>
      <c r="E229" s="75">
        <f>60*F229*'THAM_SO_MOI'!$C$49/(2*PI()*'THAM_SO_MOI'!$C$26)</f>
        <v>1301.7499999999998</v>
      </c>
      <c r="F229" s="75">
        <f>'THAM_SO_MOI'!$E$49+('THAM_SO_MOI'!$F$49-'THAM_SO_MOI'!$E$49)*223/'THAM_SO_MOI'!$C$42</f>
        <v>2.032647107166338</v>
      </c>
      <c r="G229" s="75">
        <f>3.6*F229</f>
        <v>7.317529585798817</v>
      </c>
      <c r="H229" s="75">
        <f>'THAM_SO_MOI'!$D$49</f>
        <v>3.1625000000000005</v>
      </c>
      <c r="I229" s="75">
        <f>IF(F229&gt;'THAM_SO_MOI'!$C$14,'THAM_SO_MOI'!$C$13*(1+F229^2/1500),'THAM_SO_MOI'!$C$13)</f>
        <v>0.015</v>
      </c>
      <c r="J229" s="75">
        <f>'THAM_SO_MOI'!$C$40*('THAM_SO_MOI'!$C$23*(E229/'THAM_SO_MOI'!$C$22)+'THAM_SO_MOI'!$C$24*(E229/'THAM_SO_MOI'!$C$22)^2-'THAM_SO_MOI'!$C$25*(E229/'THAM_SO_MOI'!$C$22)^3)</f>
        <v>53.67798830350627</v>
      </c>
      <c r="K229" s="75">
        <f>'THAM_SO_MOI'!$C$31*J229/E229</f>
        <v>393.84194117870703</v>
      </c>
      <c r="L229" s="75">
        <f>K229*'THAM_SO_MOI'!$C$49*'THAM_SO_MOI'!$C$17/'THAM_SO_MOI'!$C$26</f>
        <v>22450.96987398456</v>
      </c>
      <c r="M229" s="75">
        <f>'THAM_SO_MOI'!$C$15*'THAM_SO_MOI'!$C$16*F229^2</f>
        <v>12.08508871714467</v>
      </c>
      <c r="N229" s="75">
        <f>'THAM_SO_MOI'!$C$12*I229</f>
        <v>1130.112</v>
      </c>
      <c r="O229" s="75">
        <f>M229+N229</f>
        <v>1142.1970887171447</v>
      </c>
      <c r="P229" s="75">
        <f>(MIN(L229,'THAM_SO_MOI'!$C$41)-O229)/('THAM_SO_MOI'!$C$11*H229)</f>
        <v>0.8773374829243828</v>
      </c>
      <c r="Q229" s="75">
        <f>IF(P229&gt;0,1/P229,NA())</f>
        <v>1.1398122381215865</v>
      </c>
      <c r="R229" s="75">
        <f>F229-F228</f>
        <v>0.0035133136094671613</v>
      </c>
      <c r="S229" s="75">
        <f>0.5*(Q228+Q229)*R229</f>
        <v>0.004005527027420442</v>
      </c>
      <c r="T229" s="75">
        <f>0.5*(F228*Q228+F229*Q229)*R229</f>
        <v>0.008134784815872338</v>
      </c>
      <c r="U229" s="76">
        <f>U228+S229</f>
        <v>0.959102915427948</v>
      </c>
      <c r="V229" s="76">
        <f>V228+T229</f>
        <v>1.5640136270926541</v>
      </c>
    </row>
    <row r="230" spans="1:22" ht="19" customHeight="1">
      <c r="A230" s="68" t="s">
        <v>368</v>
      </c>
      <c r="B230" s="74">
        <v>1</v>
      </c>
      <c r="C230" s="68" t="s">
        <v>363</v>
      </c>
      <c r="D230" s="68" t="s">
        <v>364</v>
      </c>
      <c r="E230" s="75">
        <f>60*F230*'THAM_SO_MOI'!$C$49/(2*PI()*'THAM_SO_MOI'!$C$26)</f>
        <v>1304.0</v>
      </c>
      <c r="F230" s="75">
        <f>'THAM_SO_MOI'!$E$49+('THAM_SO_MOI'!$F$49-'THAM_SO_MOI'!$E$49)*224/'THAM_SO_MOI'!$C$42</f>
        <v>2.0361604207758055</v>
      </c>
      <c r="G230" s="75">
        <f>3.6*F230</f>
        <v>7.3301775147929</v>
      </c>
      <c r="H230" s="75">
        <f>'THAM_SO_MOI'!$D$49</f>
        <v>3.1625000000000005</v>
      </c>
      <c r="I230" s="75">
        <f>IF(F230&gt;'THAM_SO_MOI'!$C$14,'THAM_SO_MOI'!$C$13*(1+F230^2/1500),'THAM_SO_MOI'!$C$13)</f>
        <v>0.015</v>
      </c>
      <c r="J230" s="75">
        <f>'THAM_SO_MOI'!$C$40*('THAM_SO_MOI'!$C$23*(E230/'THAM_SO_MOI'!$C$22)+'THAM_SO_MOI'!$C$24*(E230/'THAM_SO_MOI'!$C$22)^2-'THAM_SO_MOI'!$C$25*(E230/'THAM_SO_MOI'!$C$22)^3)</f>
        <v>53.7965103341333</v>
      </c>
      <c r="K230" s="75">
        <f>'THAM_SO_MOI'!$C$31*J230/E230</f>
        <v>394.03049271753144</v>
      </c>
      <c r="L230" s="75">
        <f>K230*'THAM_SO_MOI'!$C$49*'THAM_SO_MOI'!$C$17/'THAM_SO_MOI'!$C$26</f>
        <v>22461.718259250916</v>
      </c>
      <c r="M230" s="75">
        <f>'THAM_SO_MOI'!$C$15*'THAM_SO_MOI'!$C$16*F230^2</f>
        <v>12.126901582966674</v>
      </c>
      <c r="N230" s="75">
        <f>'THAM_SO_MOI'!$C$12*I230</f>
        <v>1130.112</v>
      </c>
      <c r="O230" s="75">
        <f>M230+N230</f>
        <v>1142.2389015829667</v>
      </c>
      <c r="P230" s="75">
        <f>(MIN(L230,'THAM_SO_MOI'!$C$41)-O230)/('THAM_SO_MOI'!$C$11*H230)</f>
        <v>0.8777783002992401</v>
      </c>
      <c r="Q230" s="75">
        <f>IF(P230&gt;0,1/P230,NA())</f>
        <v>1.1392398281651457</v>
      </c>
      <c r="R230" s="75">
        <f>F230-F229</f>
        <v>0.0035133136094676054</v>
      </c>
      <c r="S230" s="75">
        <f>0.5*(Q229+Q230)*R230</f>
        <v>0.004003512320585221</v>
      </c>
      <c r="T230" s="75">
        <f>0.5*(F229*Q229+F230*Q230)*R230</f>
        <v>0.008144758767735804</v>
      </c>
      <c r="U230" s="76">
        <f>U229+S230</f>
        <v>0.9631064277485333</v>
      </c>
      <c r="V230" s="76">
        <f>V229+T230</f>
        <v>1.57215838586039</v>
      </c>
    </row>
    <row r="231" spans="1:22" ht="19" customHeight="1">
      <c r="A231" s="68" t="s">
        <v>368</v>
      </c>
      <c r="B231" s="74">
        <v>1</v>
      </c>
      <c r="C231" s="68" t="s">
        <v>363</v>
      </c>
      <c r="D231" s="68" t="s">
        <v>364</v>
      </c>
      <c r="E231" s="75">
        <f>60*F231*'THAM_SO_MOI'!$C$49/(2*PI()*'THAM_SO_MOI'!$C$26)</f>
        <v>1306.25</v>
      </c>
      <c r="F231" s="75">
        <f>'THAM_SO_MOI'!$E$49+('THAM_SO_MOI'!$F$49-'THAM_SO_MOI'!$E$49)*225/'THAM_SO_MOI'!$C$42</f>
        <v>2.039673734385273</v>
      </c>
      <c r="G231" s="75">
        <f>3.6*F231</f>
        <v>7.3428254437869835</v>
      </c>
      <c r="H231" s="75">
        <f>'THAM_SO_MOI'!$D$49</f>
        <v>3.1625000000000005</v>
      </c>
      <c r="I231" s="75">
        <f>IF(F231&gt;'THAM_SO_MOI'!$C$14,'THAM_SO_MOI'!$C$13*(1+F231^2/1500),'THAM_SO_MOI'!$C$13)</f>
        <v>0.015</v>
      </c>
      <c r="J231" s="75">
        <f>'THAM_SO_MOI'!$C$40*('THAM_SO_MOI'!$C$23*(E231/'THAM_SO_MOI'!$C$22)+'THAM_SO_MOI'!$C$24*(E231/'THAM_SO_MOI'!$C$22)^2-'THAM_SO_MOI'!$C$25*(E231/'THAM_SO_MOI'!$C$22)^3)</f>
        <v>53.91505403062821</v>
      </c>
      <c r="K231" s="75">
        <f>'THAM_SO_MOI'!$C$31*J231/E231</f>
        <v>394.2185531182972</v>
      </c>
      <c r="L231" s="75">
        <f>K231*'THAM_SO_MOI'!$C$49*'THAM_SO_MOI'!$C$17/'THAM_SO_MOI'!$C$26</f>
        <v>22472.438647179755</v>
      </c>
      <c r="M231" s="75">
        <f>'THAM_SO_MOI'!$C$15*'THAM_SO_MOI'!$C$16*F231^2</f>
        <v>12.168786657517911</v>
      </c>
      <c r="N231" s="75">
        <f>'THAM_SO_MOI'!$C$12*I231</f>
        <v>1130.112</v>
      </c>
      <c r="O231" s="75">
        <f>M231+N231</f>
        <v>1142.280786657518</v>
      </c>
      <c r="P231" s="75">
        <f>(MIN(L231,'THAM_SO_MOI'!$C$41)-O231)/('THAM_SO_MOI'!$C$11*H231)</f>
        <v>0.8782179619780234</v>
      </c>
      <c r="Q231" s="75">
        <f>IF(P231&gt;0,1/P231,NA())</f>
        <v>1.1386694912817372</v>
      </c>
      <c r="R231" s="75">
        <f>F231-F230</f>
        <v>0.0035133136094676054</v>
      </c>
      <c r="S231" s="75">
        <f>0.5*(Q230+Q231)*R231</f>
        <v>0.004001504906572913</v>
      </c>
      <c r="T231" s="75">
        <f>0.5*(F230*Q230+F231*Q231)*R231</f>
        <v>0.008154733425157105</v>
      </c>
      <c r="U231" s="76">
        <f>U230+S231</f>
        <v>0.9671079326551062</v>
      </c>
      <c r="V231" s="76">
        <f>V230+T231</f>
        <v>1.580313119285547</v>
      </c>
    </row>
    <row r="232" spans="1:22" ht="19" customHeight="1">
      <c r="A232" s="68" t="s">
        <v>368</v>
      </c>
      <c r="B232" s="74">
        <v>1</v>
      </c>
      <c r="C232" s="68" t="s">
        <v>363</v>
      </c>
      <c r="D232" s="68" t="s">
        <v>364</v>
      </c>
      <c r="E232" s="75">
        <f>60*F232*'THAM_SO_MOI'!$C$49/(2*PI()*'THAM_SO_MOI'!$C$26)</f>
        <v>1308.4999999999998</v>
      </c>
      <c r="F232" s="75">
        <f>'THAM_SO_MOI'!$E$49+('THAM_SO_MOI'!$F$49-'THAM_SO_MOI'!$E$49)*226/'THAM_SO_MOI'!$C$42</f>
        <v>2.0431870479947403</v>
      </c>
      <c r="G232" s="75">
        <f>3.6*F232</f>
        <v>7.3554733727810655</v>
      </c>
      <c r="H232" s="75">
        <f>'THAM_SO_MOI'!$D$49</f>
        <v>3.1625000000000005</v>
      </c>
      <c r="I232" s="75">
        <f>IF(F232&gt;'THAM_SO_MOI'!$C$14,'THAM_SO_MOI'!$C$13*(1+F232^2/1500),'THAM_SO_MOI'!$C$13)</f>
        <v>0.015</v>
      </c>
      <c r="J232" s="75">
        <f>'THAM_SO_MOI'!$C$40*('THAM_SO_MOI'!$C$23*(E232/'THAM_SO_MOI'!$C$22)+'THAM_SO_MOI'!$C$24*(E232/'THAM_SO_MOI'!$C$22)^2-'THAM_SO_MOI'!$C$25*(E232/'THAM_SO_MOI'!$C$22)^3)</f>
        <v>54.03361904589141</v>
      </c>
      <c r="K232" s="75">
        <f>'THAM_SO_MOI'!$C$31*J232/E232</f>
        <v>394.406122381004</v>
      </c>
      <c r="L232" s="75">
        <f>K232*'THAM_SO_MOI'!$C$49*'THAM_SO_MOI'!$C$17/'THAM_SO_MOI'!$C$26</f>
        <v>22483.13103777105</v>
      </c>
      <c r="M232" s="75">
        <f>'THAM_SO_MOI'!$C$15*'THAM_SO_MOI'!$C$16*F232^2</f>
        <v>12.210743940798375</v>
      </c>
      <c r="N232" s="75">
        <f>'THAM_SO_MOI'!$C$12*I232</f>
        <v>1130.112</v>
      </c>
      <c r="O232" s="75">
        <f>M232+N232</f>
        <v>1142.3227439407985</v>
      </c>
      <c r="P232" s="75">
        <f>(MIN(L232,'THAM_SO_MOI'!$C$41)-O232)/('THAM_SO_MOI'!$C$11*H232)</f>
        <v>0.8786564679607315</v>
      </c>
      <c r="Q232" s="75">
        <f>IF(P232&gt;0,1/P232,NA())</f>
        <v>1.1381012221089022</v>
      </c>
      <c r="R232" s="75">
        <f>F232-F231</f>
        <v>0.0035133136094671613</v>
      </c>
      <c r="S232" s="75">
        <f>0.5*(Q231+Q232)*R232</f>
        <v>0.003999504766495796</v>
      </c>
      <c r="T232" s="75">
        <f>0.5*(F231*Q231+F232*Q232)*R232</f>
        <v>0.008164708826444284</v>
      </c>
      <c r="U232" s="76">
        <f>U231+S232</f>
        <v>0.971107437421602</v>
      </c>
      <c r="V232" s="76">
        <f>V231+T232</f>
        <v>1.5884778281119913</v>
      </c>
    </row>
    <row r="233" spans="1:22" ht="19" customHeight="1">
      <c r="A233" s="68" t="s">
        <v>368</v>
      </c>
      <c r="B233" s="74">
        <v>1</v>
      </c>
      <c r="C233" s="68" t="s">
        <v>363</v>
      </c>
      <c r="D233" s="68" t="s">
        <v>364</v>
      </c>
      <c r="E233" s="75">
        <f>60*F233*'THAM_SO_MOI'!$C$49/(2*PI()*'THAM_SO_MOI'!$C$26)</f>
        <v>1310.7499999999998</v>
      </c>
      <c r="F233" s="75">
        <f>'THAM_SO_MOI'!$E$49+('THAM_SO_MOI'!$F$49-'THAM_SO_MOI'!$E$49)*227/'THAM_SO_MOI'!$C$42</f>
        <v>2.046700361604208</v>
      </c>
      <c r="G233" s="75">
        <f>3.6*F233</f>
        <v>7.368121301775148</v>
      </c>
      <c r="H233" s="75">
        <f>'THAM_SO_MOI'!$D$49</f>
        <v>3.1625000000000005</v>
      </c>
      <c r="I233" s="75">
        <f>IF(F233&gt;'THAM_SO_MOI'!$C$14,'THAM_SO_MOI'!$C$13*(1+F233^2/1500),'THAM_SO_MOI'!$C$13)</f>
        <v>0.015</v>
      </c>
      <c r="J233" s="75">
        <f>'THAM_SO_MOI'!$C$40*('THAM_SO_MOI'!$C$23*(E233/'THAM_SO_MOI'!$C$22)+'THAM_SO_MOI'!$C$24*(E233/'THAM_SO_MOI'!$C$22)^2-'THAM_SO_MOI'!$C$25*(E233/'THAM_SO_MOI'!$C$22)^3)</f>
        <v>54.15220503282343</v>
      </c>
      <c r="K233" s="75">
        <f>'THAM_SO_MOI'!$C$31*J233/E233</f>
        <v>394.59320050565225</v>
      </c>
      <c r="L233" s="75">
        <f>K233*'THAM_SO_MOI'!$C$49*'THAM_SO_MOI'!$C$17/'THAM_SO_MOI'!$C$26</f>
        <v>22493.79543102482</v>
      </c>
      <c r="M233" s="75">
        <f>'THAM_SO_MOI'!$C$15*'THAM_SO_MOI'!$C$16*F233^2</f>
        <v>12.252773432808077</v>
      </c>
      <c r="N233" s="75">
        <f>'THAM_SO_MOI'!$C$12*I233</f>
        <v>1130.112</v>
      </c>
      <c r="O233" s="75">
        <f>M233+N233</f>
        <v>1142.364773432808</v>
      </c>
      <c r="P233" s="75">
        <f>(MIN(L233,'THAM_SO_MOI'!$C$41)-O233)/('THAM_SO_MOI'!$C$11*H233)</f>
        <v>0.8790938182473653</v>
      </c>
      <c r="Q233" s="75">
        <f>IF(P233&gt;0,1/P233,NA())</f>
        <v>1.1375350153112023</v>
      </c>
      <c r="R233" s="75">
        <f>F233-F232</f>
        <v>0.0035133136094676054</v>
      </c>
      <c r="S233" s="75">
        <f>0.5*(Q232+Q233)*R233</f>
        <v>0.0039975118815628536</v>
      </c>
      <c r="T233" s="75">
        <f>0.5*(F232*Q232+F233*Q233)*R233</f>
        <v>0.008174685009837703</v>
      </c>
      <c r="U233" s="76">
        <f>U232+S233</f>
        <v>0.9751049493031648</v>
      </c>
      <c r="V233" s="76">
        <f>V232+T233</f>
        <v>1.596652513121829</v>
      </c>
    </row>
    <row r="234" spans="1:22" ht="19" customHeight="1">
      <c r="A234" s="68" t="s">
        <v>368</v>
      </c>
      <c r="B234" s="74">
        <v>1</v>
      </c>
      <c r="C234" s="68" t="s">
        <v>363</v>
      </c>
      <c r="D234" s="68" t="s">
        <v>364</v>
      </c>
      <c r="E234" s="75">
        <f>60*F234*'THAM_SO_MOI'!$C$49/(2*PI()*'THAM_SO_MOI'!$C$26)</f>
        <v>1313.0</v>
      </c>
      <c r="F234" s="75">
        <f>'THAM_SO_MOI'!$E$49+('THAM_SO_MOI'!$F$49-'THAM_SO_MOI'!$E$49)*228/'THAM_SO_MOI'!$C$42</f>
        <v>2.0502136752136755</v>
      </c>
      <c r="G234" s="75">
        <f>3.6*F234</f>
        <v>7.380769230769232</v>
      </c>
      <c r="H234" s="75">
        <f>'THAM_SO_MOI'!$D$49</f>
        <v>3.1625000000000005</v>
      </c>
      <c r="I234" s="75">
        <f>IF(F234&gt;'THAM_SO_MOI'!$C$14,'THAM_SO_MOI'!$C$13*(1+F234^2/1500),'THAM_SO_MOI'!$C$13)</f>
        <v>0.015</v>
      </c>
      <c r="J234" s="75">
        <f>'THAM_SO_MOI'!$C$40*('THAM_SO_MOI'!$C$23*(E234/'THAM_SO_MOI'!$C$22)+'THAM_SO_MOI'!$C$24*(E234/'THAM_SO_MOI'!$C$22)^2-'THAM_SO_MOI'!$C$25*(E234/'THAM_SO_MOI'!$C$22)^3)</f>
        <v>54.27081164432469</v>
      </c>
      <c r="K234" s="75">
        <f>'THAM_SO_MOI'!$C$31*J234/E234</f>
        <v>394.7797874922416</v>
      </c>
      <c r="L234" s="75">
        <f>K234*'THAM_SO_MOI'!$C$49*'THAM_SO_MOI'!$C$17/'THAM_SO_MOI'!$C$26</f>
        <v>22504.431826941058</v>
      </c>
      <c r="M234" s="75">
        <f>'THAM_SO_MOI'!$C$15*'THAM_SO_MOI'!$C$16*F234^2</f>
        <v>12.294875133547013</v>
      </c>
      <c r="N234" s="75">
        <f>'THAM_SO_MOI'!$C$12*I234</f>
        <v>1130.112</v>
      </c>
      <c r="O234" s="75">
        <f>M234+N234</f>
        <v>1142.4068751335471</v>
      </c>
      <c r="P234" s="75">
        <f>(MIN(L234,'THAM_SO_MOI'!$C$41)-O234)/('THAM_SO_MOI'!$C$11*H234)</f>
        <v>0.8795300128379244</v>
      </c>
      <c r="Q234" s="75">
        <f>IF(P234&gt;0,1/P234,NA())</f>
        <v>1.136970865580087</v>
      </c>
      <c r="R234" s="75">
        <f>F234-F233</f>
        <v>0.0035133136094676054</v>
      </c>
      <c r="S234" s="75">
        <f>0.5*(Q233+Q234)*R234</f>
        <v>0.003995526233074735</v>
      </c>
      <c r="T234" s="75">
        <f>0.5*(F233*Q233+F234*Q234)*R234</f>
        <v>0.008184662013501412</v>
      </c>
      <c r="U234" s="76">
        <f>U233+S234</f>
        <v>0.9791004755362396</v>
      </c>
      <c r="V234" s="76">
        <f>V233+T234</f>
        <v>1.6048371751353303</v>
      </c>
    </row>
    <row r="235" spans="1:22" ht="19" customHeight="1">
      <c r="A235" s="68" t="s">
        <v>368</v>
      </c>
      <c r="B235" s="74">
        <v>1</v>
      </c>
      <c r="C235" s="68" t="s">
        <v>363</v>
      </c>
      <c r="D235" s="68" t="s">
        <v>364</v>
      </c>
      <c r="E235" s="75">
        <f>60*F235*'THAM_SO_MOI'!$C$49/(2*PI()*'THAM_SO_MOI'!$C$26)</f>
        <v>1315.2499999999998</v>
      </c>
      <c r="F235" s="75">
        <f>'THAM_SO_MOI'!$E$49+('THAM_SO_MOI'!$F$49-'THAM_SO_MOI'!$E$49)*229/'THAM_SO_MOI'!$C$42</f>
        <v>2.0537269888231426</v>
      </c>
      <c r="G235" s="75">
        <f>3.6*F235</f>
        <v>7.393417159763314</v>
      </c>
      <c r="H235" s="75">
        <f>'THAM_SO_MOI'!$D$49</f>
        <v>3.1625000000000005</v>
      </c>
      <c r="I235" s="75">
        <f>IF(F235&gt;'THAM_SO_MOI'!$C$14,'THAM_SO_MOI'!$C$13*(1+F235^2/1500),'THAM_SO_MOI'!$C$13)</f>
        <v>0.015</v>
      </c>
      <c r="J235" s="75">
        <f>'THAM_SO_MOI'!$C$40*('THAM_SO_MOI'!$C$23*(E235/'THAM_SO_MOI'!$C$22)+'THAM_SO_MOI'!$C$24*(E235/'THAM_SO_MOI'!$C$22)^2-'THAM_SO_MOI'!$C$25*(E235/'THAM_SO_MOI'!$C$22)^3)</f>
        <v>54.3894385332956</v>
      </c>
      <c r="K235" s="75">
        <f>'THAM_SO_MOI'!$C$31*J235/E235</f>
        <v>394.9658833407721</v>
      </c>
      <c r="L235" s="75">
        <f>K235*'THAM_SO_MOI'!$C$49*'THAM_SO_MOI'!$C$17/'THAM_SO_MOI'!$C$26</f>
        <v>22515.04022551975</v>
      </c>
      <c r="M235" s="75">
        <f>'THAM_SO_MOI'!$C$15*'THAM_SO_MOI'!$C$16*F235^2</f>
        <v>12.337049043015178</v>
      </c>
      <c r="N235" s="75">
        <f>'THAM_SO_MOI'!$C$12*I235</f>
        <v>1130.112</v>
      </c>
      <c r="O235" s="75">
        <f>M235+N235</f>
        <v>1142.4490490430153</v>
      </c>
      <c r="P235" s="75">
        <f>(MIN(L235,'THAM_SO_MOI'!$C$41)-O235)/('THAM_SO_MOI'!$C$11*H235)</f>
        <v>0.8799650517324084</v>
      </c>
      <c r="Q235" s="75">
        <f>IF(P235&gt;0,1/P235,NA())</f>
        <v>1.1364087676337553</v>
      </c>
      <c r="R235" s="75">
        <f>F235-F234</f>
        <v>0.0035133136094671613</v>
      </c>
      <c r="S235" s="75">
        <f>0.5*(Q234+Q235)*R235</f>
        <v>0.003993547802427828</v>
      </c>
      <c r="T235" s="75">
        <f>0.5*(F234*Q234+F235*Q235)*R235</f>
        <v>0.008194639875533132</v>
      </c>
      <c r="U235" s="76">
        <f>U234+S235</f>
        <v>0.9830940233386674</v>
      </c>
      <c r="V235" s="76">
        <f>V234+T235</f>
        <v>1.6130318150108633</v>
      </c>
    </row>
    <row r="236" spans="1:22" ht="19" customHeight="1">
      <c r="A236" s="68" t="s">
        <v>368</v>
      </c>
      <c r="B236" s="74">
        <v>1</v>
      </c>
      <c r="C236" s="68" t="s">
        <v>363</v>
      </c>
      <c r="D236" s="68" t="s">
        <v>364</v>
      </c>
      <c r="E236" s="75">
        <f>60*F236*'THAM_SO_MOI'!$C$49/(2*PI()*'THAM_SO_MOI'!$C$26)</f>
        <v>1317.5</v>
      </c>
      <c r="F236" s="75">
        <f>'THAM_SO_MOI'!$E$49+('THAM_SO_MOI'!$F$49-'THAM_SO_MOI'!$E$49)*230/'THAM_SO_MOI'!$C$42</f>
        <v>2.0572403024326102</v>
      </c>
      <c r="G236" s="75">
        <f>3.6*F236</f>
        <v>7.406065088757397</v>
      </c>
      <c r="H236" s="75">
        <f>'THAM_SO_MOI'!$D$49</f>
        <v>3.1625000000000005</v>
      </c>
      <c r="I236" s="75">
        <f>IF(F236&gt;'THAM_SO_MOI'!$C$14,'THAM_SO_MOI'!$C$13*(1+F236^2/1500),'THAM_SO_MOI'!$C$13)</f>
        <v>0.015</v>
      </c>
      <c r="J236" s="75">
        <f>'THAM_SO_MOI'!$C$40*('THAM_SO_MOI'!$C$23*(E236/'THAM_SO_MOI'!$C$22)+'THAM_SO_MOI'!$C$24*(E236/'THAM_SO_MOI'!$C$22)^2-'THAM_SO_MOI'!$C$25*(E236/'THAM_SO_MOI'!$C$22)^3)</f>
        <v>54.50808535263669</v>
      </c>
      <c r="K236" s="75">
        <f>'THAM_SO_MOI'!$C$31*J236/E236</f>
        <v>395.1514880512439</v>
      </c>
      <c r="L236" s="75">
        <f>K236*'THAM_SO_MOI'!$C$49*'THAM_SO_MOI'!$C$17/'THAM_SO_MOI'!$C$26</f>
        <v>22525.620626760927</v>
      </c>
      <c r="M236" s="75">
        <f>'THAM_SO_MOI'!$C$15*'THAM_SO_MOI'!$C$16*F236^2</f>
        <v>12.379295161212578</v>
      </c>
      <c r="N236" s="75">
        <f>'THAM_SO_MOI'!$C$12*I236</f>
        <v>1130.112</v>
      </c>
      <c r="O236" s="75">
        <f>M236+N236</f>
        <v>1142.4912951612127</v>
      </c>
      <c r="P236" s="75">
        <f>(MIN(L236,'THAM_SO_MOI'!$C$41)-O236)/('THAM_SO_MOI'!$C$11*H236)</f>
        <v>0.8803989349308181</v>
      </c>
      <c r="Q236" s="75">
        <f>IF(P236&gt;0,1/P236,NA())</f>
        <v>1.1358487162170183</v>
      </c>
      <c r="R236" s="75">
        <f>F236-F235</f>
        <v>0.0035133136094676054</v>
      </c>
      <c r="S236" s="75">
        <f>0.5*(Q235+Q236)*R236</f>
        <v>0.00399157657111377</v>
      </c>
      <c r="T236" s="75">
        <f>0.5*(F235*Q235+F236*Q236)*R236</f>
        <v>0.008204618633964935</v>
      </c>
      <c r="U236" s="76">
        <f>U235+S236</f>
        <v>0.9870855999097812</v>
      </c>
      <c r="V236" s="76">
        <f>V235+T236</f>
        <v>1.6212364336448284</v>
      </c>
    </row>
    <row r="237" spans="1:22" ht="19" customHeight="1">
      <c r="A237" s="68" t="s">
        <v>368</v>
      </c>
      <c r="B237" s="74">
        <v>1</v>
      </c>
      <c r="C237" s="68" t="s">
        <v>363</v>
      </c>
      <c r="D237" s="68" t="s">
        <v>364</v>
      </c>
      <c r="E237" s="75">
        <f>60*F237*'THAM_SO_MOI'!$C$49/(2*PI()*'THAM_SO_MOI'!$C$26)</f>
        <v>1319.75</v>
      </c>
      <c r="F237" s="75">
        <f>'THAM_SO_MOI'!$E$49+('THAM_SO_MOI'!$F$49-'THAM_SO_MOI'!$E$49)*231/'THAM_SO_MOI'!$C$42</f>
        <v>2.060753616042078</v>
      </c>
      <c r="G237" s="75">
        <f>3.6*F237</f>
        <v>7.418713017751481</v>
      </c>
      <c r="H237" s="75">
        <f>'THAM_SO_MOI'!$D$49</f>
        <v>3.1625000000000005</v>
      </c>
      <c r="I237" s="75">
        <f>IF(F237&gt;'THAM_SO_MOI'!$C$14,'THAM_SO_MOI'!$C$13*(1+F237^2/1500),'THAM_SO_MOI'!$C$13)</f>
        <v>0.015</v>
      </c>
      <c r="J237" s="75">
        <f>'THAM_SO_MOI'!$C$40*('THAM_SO_MOI'!$C$23*(E237/'THAM_SO_MOI'!$C$22)+'THAM_SO_MOI'!$C$24*(E237/'THAM_SO_MOI'!$C$22)^2-'THAM_SO_MOI'!$C$25*(E237/'THAM_SO_MOI'!$C$22)^3)</f>
        <v>54.626751755248385</v>
      </c>
      <c r="K237" s="75">
        <f>'THAM_SO_MOI'!$C$31*J237/E237</f>
        <v>395.336601623657</v>
      </c>
      <c r="L237" s="75">
        <f>K237*'THAM_SO_MOI'!$C$49*'THAM_SO_MOI'!$C$17/'THAM_SO_MOI'!$C$26</f>
        <v>22536.173030664566</v>
      </c>
      <c r="M237" s="75">
        <f>'THAM_SO_MOI'!$C$15*'THAM_SO_MOI'!$C$16*F237^2</f>
        <v>12.421613488139212</v>
      </c>
      <c r="N237" s="75">
        <f>'THAM_SO_MOI'!$C$12*I237</f>
        <v>1130.112</v>
      </c>
      <c r="O237" s="75">
        <f>M237+N237</f>
        <v>1142.5336134881393</v>
      </c>
      <c r="P237" s="75">
        <f>(MIN(L237,'THAM_SO_MOI'!$C$41)-O237)/('THAM_SO_MOI'!$C$11*H237)</f>
        <v>0.8808316624331531</v>
      </c>
      <c r="Q237" s="75">
        <f>IF(P237&gt;0,1/P237,NA())</f>
        <v>1.135290706101168</v>
      </c>
      <c r="R237" s="75">
        <f>F237-F236</f>
        <v>0.0035133136094676054</v>
      </c>
      <c r="S237" s="75">
        <f>0.5*(Q236+Q237)*R237</f>
        <v>0.00398961252071444</v>
      </c>
      <c r="T237" s="75">
        <f>0.5*(F236*Q236+F237*Q237)*R237</f>
        <v>0.008214598326754583</v>
      </c>
      <c r="U237" s="76">
        <f>U236+S237</f>
        <v>0.9910752124304956</v>
      </c>
      <c r="V237" s="76">
        <f>V236+T237</f>
        <v>1.629451031971583</v>
      </c>
    </row>
    <row r="238" spans="1:22" ht="19" customHeight="1">
      <c r="A238" s="68" t="s">
        <v>368</v>
      </c>
      <c r="B238" s="74">
        <v>1</v>
      </c>
      <c r="C238" s="68" t="s">
        <v>363</v>
      </c>
      <c r="D238" s="68" t="s">
        <v>364</v>
      </c>
      <c r="E238" s="75">
        <f>60*F238*'THAM_SO_MOI'!$C$49/(2*PI()*'THAM_SO_MOI'!$C$26)</f>
        <v>1321.9999999999998</v>
      </c>
      <c r="F238" s="75">
        <f>'THAM_SO_MOI'!$E$49+('THAM_SO_MOI'!$F$49-'THAM_SO_MOI'!$E$49)*232/'THAM_SO_MOI'!$C$42</f>
        <v>2.064266929651545</v>
      </c>
      <c r="G238" s="75">
        <f>3.6*F238</f>
        <v>7.431360946745563</v>
      </c>
      <c r="H238" s="75">
        <f>'THAM_SO_MOI'!$D$49</f>
        <v>3.1625000000000005</v>
      </c>
      <c r="I238" s="75">
        <f>IF(F238&gt;'THAM_SO_MOI'!$C$14,'THAM_SO_MOI'!$C$13*(1+F238^2/1500),'THAM_SO_MOI'!$C$13)</f>
        <v>0.015</v>
      </c>
      <c r="J238" s="75">
        <f>'THAM_SO_MOI'!$C$40*('THAM_SO_MOI'!$C$23*(E238/'THAM_SO_MOI'!$C$22)+'THAM_SO_MOI'!$C$24*(E238/'THAM_SO_MOI'!$C$22)^2-'THAM_SO_MOI'!$C$25*(E238/'THAM_SO_MOI'!$C$22)^3)</f>
        <v>54.74543739403112</v>
      </c>
      <c r="K238" s="75">
        <f>'THAM_SO_MOI'!$C$31*J238/E238</f>
        <v>395.5212240580113</v>
      </c>
      <c r="L238" s="75">
        <f>K238*'THAM_SO_MOI'!$C$49*'THAM_SO_MOI'!$C$17/'THAM_SO_MOI'!$C$26</f>
        <v>22546.697437230672</v>
      </c>
      <c r="M238" s="75">
        <f>'THAM_SO_MOI'!$C$15*'THAM_SO_MOI'!$C$16*F238^2</f>
        <v>12.464004023795075</v>
      </c>
      <c r="N238" s="75">
        <f>'THAM_SO_MOI'!$C$12*I238</f>
        <v>1130.112</v>
      </c>
      <c r="O238" s="75">
        <f>M238+N238</f>
        <v>1142.5760040237951</v>
      </c>
      <c r="P238" s="75">
        <f>(MIN(L238,'THAM_SO_MOI'!$C$41)-O238)/('THAM_SO_MOI'!$C$11*H238)</f>
        <v>0.8812632342394134</v>
      </c>
      <c r="Q238" s="75">
        <f>IF(P238&gt;0,1/P238,NA())</f>
        <v>1.134734732083841</v>
      </c>
      <c r="R238" s="75">
        <f>F238-F237</f>
        <v>0.0035133136094671613</v>
      </c>
      <c r="S238" s="75">
        <f>0.5*(Q237+Q238)*R238</f>
        <v>0.003987655632906023</v>
      </c>
      <c r="T238" s="75">
        <f>0.5*(F237*Q237+F238*Q238)*R238</f>
        <v>0.008224578991795526</v>
      </c>
      <c r="U238" s="76">
        <f>U237+S238</f>
        <v>0.9950628680634016</v>
      </c>
      <c r="V238" s="76">
        <f>V237+T238</f>
        <v>1.6376756109633785</v>
      </c>
    </row>
    <row r="239" spans="1:22" ht="19" customHeight="1">
      <c r="A239" s="68" t="s">
        <v>368</v>
      </c>
      <c r="B239" s="74">
        <v>1</v>
      </c>
      <c r="C239" s="68" t="s">
        <v>363</v>
      </c>
      <c r="D239" s="68" t="s">
        <v>364</v>
      </c>
      <c r="E239" s="75">
        <f>60*F239*'THAM_SO_MOI'!$C$49/(2*PI()*'THAM_SO_MOI'!$C$26)</f>
        <v>1324.25</v>
      </c>
      <c r="F239" s="75">
        <f>'THAM_SO_MOI'!$E$49+('THAM_SO_MOI'!$F$49-'THAM_SO_MOI'!$E$49)*233/'THAM_SO_MOI'!$C$42</f>
        <v>2.0677802432610126</v>
      </c>
      <c r="G239" s="75">
        <f>3.6*F239</f>
        <v>7.444008875739645</v>
      </c>
      <c r="H239" s="75">
        <f>'THAM_SO_MOI'!$D$49</f>
        <v>3.1625000000000005</v>
      </c>
      <c r="I239" s="75">
        <f>IF(F239&gt;'THAM_SO_MOI'!$C$14,'THAM_SO_MOI'!$C$13*(1+F239^2/1500),'THAM_SO_MOI'!$C$13)</f>
        <v>0.015</v>
      </c>
      <c r="J239" s="75">
        <f>'THAM_SO_MOI'!$C$40*('THAM_SO_MOI'!$C$23*(E239/'THAM_SO_MOI'!$C$22)+'THAM_SO_MOI'!$C$24*(E239/'THAM_SO_MOI'!$C$22)^2-'THAM_SO_MOI'!$C$25*(E239/'THAM_SO_MOI'!$C$22)^3)</f>
        <v>54.864141921885384</v>
      </c>
      <c r="K239" s="75">
        <f>'THAM_SO_MOI'!$C$31*J239/E239</f>
        <v>395.70535535430673</v>
      </c>
      <c r="L239" s="75">
        <f>K239*'THAM_SO_MOI'!$C$49*'THAM_SO_MOI'!$C$17/'THAM_SO_MOI'!$C$26</f>
        <v>22557.193846459246</v>
      </c>
      <c r="M239" s="75">
        <f>'THAM_SO_MOI'!$C$15*'THAM_SO_MOI'!$C$16*F239^2</f>
        <v>12.506466768180177</v>
      </c>
      <c r="N239" s="75">
        <f>'THAM_SO_MOI'!$C$12*I239</f>
        <v>1130.112</v>
      </c>
      <c r="O239" s="75">
        <f>M239+N239</f>
        <v>1142.6184667681803</v>
      </c>
      <c r="P239" s="75">
        <f>(MIN(L239,'THAM_SO_MOI'!$C$41)-O239)/('THAM_SO_MOI'!$C$11*H239)</f>
        <v>0.881693650349599</v>
      </c>
      <c r="Q239" s="75">
        <f>IF(P239&gt;0,1/P239,NA())</f>
        <v>1.1341807889888869</v>
      </c>
      <c r="R239" s="75">
        <f>F239-F238</f>
        <v>0.0035133136094676054</v>
      </c>
      <c r="S239" s="75">
        <f>0.5*(Q238+Q239)*R239</f>
        <v>0.003985705889458549</v>
      </c>
      <c r="T239" s="75">
        <f>0.5*(F238*Q238+F239*Q239)*R239</f>
        <v>0.008234560666917572</v>
      </c>
      <c r="U239" s="76">
        <f>U238+S239</f>
        <v>0.9990485739528602</v>
      </c>
      <c r="V239" s="76">
        <f>V238+T239</f>
        <v>1.6459101716302962</v>
      </c>
    </row>
    <row r="240" spans="1:22" ht="19" customHeight="1">
      <c r="A240" s="68" t="s">
        <v>368</v>
      </c>
      <c r="B240" s="74">
        <v>1</v>
      </c>
      <c r="C240" s="68" t="s">
        <v>363</v>
      </c>
      <c r="D240" s="68" t="s">
        <v>364</v>
      </c>
      <c r="E240" s="75">
        <f>60*F240*'THAM_SO_MOI'!$C$49/(2*PI()*'THAM_SO_MOI'!$C$26)</f>
        <v>1326.5000000000002</v>
      </c>
      <c r="F240" s="75">
        <f>'THAM_SO_MOI'!$E$49+('THAM_SO_MOI'!$F$49-'THAM_SO_MOI'!$E$49)*234/'THAM_SO_MOI'!$C$42</f>
        <v>2.0712935568704802</v>
      </c>
      <c r="G240" s="75">
        <f>3.6*F240</f>
        <v>7.456656804733729</v>
      </c>
      <c r="H240" s="75">
        <f>'THAM_SO_MOI'!$D$49</f>
        <v>3.1625000000000005</v>
      </c>
      <c r="I240" s="75">
        <f>IF(F240&gt;'THAM_SO_MOI'!$C$14,'THAM_SO_MOI'!$C$13*(1+F240^2/1500),'THAM_SO_MOI'!$C$13)</f>
        <v>0.015</v>
      </c>
      <c r="J240" s="75">
        <f>'THAM_SO_MOI'!$C$40*('THAM_SO_MOI'!$C$23*(E240/'THAM_SO_MOI'!$C$22)+'THAM_SO_MOI'!$C$24*(E240/'THAM_SO_MOI'!$C$22)^2-'THAM_SO_MOI'!$C$25*(E240/'THAM_SO_MOI'!$C$22)^3)</f>
        <v>54.982864991711615</v>
      </c>
      <c r="K240" s="75">
        <f>'THAM_SO_MOI'!$C$31*J240/E240</f>
        <v>395.8889955125434</v>
      </c>
      <c r="L240" s="75">
        <f>K240*'THAM_SO_MOI'!$C$49*'THAM_SO_MOI'!$C$17/'THAM_SO_MOI'!$C$26</f>
        <v>22567.662258350287</v>
      </c>
      <c r="M240" s="75">
        <f>'THAM_SO_MOI'!$C$15*'THAM_SO_MOI'!$C$16*F240^2</f>
        <v>12.54900172129451</v>
      </c>
      <c r="N240" s="75">
        <f>'THAM_SO_MOI'!$C$12*I240</f>
        <v>1130.112</v>
      </c>
      <c r="O240" s="75">
        <f>M240+N240</f>
        <v>1142.6610017212945</v>
      </c>
      <c r="P240" s="75">
        <f>(MIN(L240,'THAM_SO_MOI'!$C$41)-O240)/('THAM_SO_MOI'!$C$11*H240)</f>
        <v>0.88212291076371</v>
      </c>
      <c r="Q240" s="75">
        <f>IF(P240&gt;0,1/P240,NA())</f>
        <v>1.1336288716662357</v>
      </c>
      <c r="R240" s="75">
        <f>F240-F239</f>
        <v>0.0035133136094676054</v>
      </c>
      <c r="S240" s="75">
        <f>0.5*(Q239+Q240)*R240</f>
        <v>0.003983763272230876</v>
      </c>
      <c r="T240" s="75">
        <f>0.5*(F239*Q239+F240*Q240)*R240</f>
        <v>0.008244543389878185</v>
      </c>
      <c r="U240" s="76">
        <f>U239+S240</f>
        <v>1.003032337225091</v>
      </c>
      <c r="V240" s="76">
        <f>V239+T240</f>
        <v>1.6541547150201743</v>
      </c>
    </row>
    <row r="241" spans="1:22" ht="19" customHeight="1">
      <c r="A241" s="68" t="s">
        <v>368</v>
      </c>
      <c r="B241" s="74">
        <v>1</v>
      </c>
      <c r="C241" s="68" t="s">
        <v>363</v>
      </c>
      <c r="D241" s="68" t="s">
        <v>364</v>
      </c>
      <c r="E241" s="75">
        <f>60*F241*'THAM_SO_MOI'!$C$49/(2*PI()*'THAM_SO_MOI'!$C$26)</f>
        <v>1328.7499999999998</v>
      </c>
      <c r="F241" s="75">
        <f>'THAM_SO_MOI'!$E$49+('THAM_SO_MOI'!$F$49-'THAM_SO_MOI'!$E$49)*235/'THAM_SO_MOI'!$C$42</f>
        <v>2.0748068704799474</v>
      </c>
      <c r="G241" s="75">
        <f>3.6*F241</f>
        <v>7.469304733727811</v>
      </c>
      <c r="H241" s="75">
        <f>'THAM_SO_MOI'!$D$49</f>
        <v>3.1625000000000005</v>
      </c>
      <c r="I241" s="75">
        <f>IF(F241&gt;'THAM_SO_MOI'!$C$14,'THAM_SO_MOI'!$C$13*(1+F241^2/1500),'THAM_SO_MOI'!$C$13)</f>
        <v>0.015</v>
      </c>
      <c r="J241" s="75">
        <f>'THAM_SO_MOI'!$C$40*('THAM_SO_MOI'!$C$23*(E241/'THAM_SO_MOI'!$C$22)+'THAM_SO_MOI'!$C$24*(E241/'THAM_SO_MOI'!$C$22)^2-'THAM_SO_MOI'!$C$25*(E241/'THAM_SO_MOI'!$C$22)^3)</f>
        <v>55.101606256410236</v>
      </c>
      <c r="K241" s="75">
        <f>'THAM_SO_MOI'!$C$31*J241/E241</f>
        <v>396.07214453272127</v>
      </c>
      <c r="L241" s="75">
        <f>K241*'THAM_SO_MOI'!$C$49*'THAM_SO_MOI'!$C$17/'THAM_SO_MOI'!$C$26</f>
        <v>22578.10267290379</v>
      </c>
      <c r="M241" s="75">
        <f>'THAM_SO_MOI'!$C$15*'THAM_SO_MOI'!$C$16*F241^2</f>
        <v>12.591608883138072</v>
      </c>
      <c r="N241" s="75">
        <f>'THAM_SO_MOI'!$C$12*I241</f>
        <v>1130.112</v>
      </c>
      <c r="O241" s="75">
        <f>M241+N241</f>
        <v>1142.7036088831383</v>
      </c>
      <c r="P241" s="75">
        <f>(MIN(L241,'THAM_SO_MOI'!$C$41)-O241)/('THAM_SO_MOI'!$C$11*H241)</f>
        <v>0.8825510154817462</v>
      </c>
      <c r="Q241" s="75">
        <f>IF(P241&gt;0,1/P241,NA())</f>
        <v>1.133078974991767</v>
      </c>
      <c r="R241" s="75">
        <f>F241-F240</f>
        <v>0.0035133136094671613</v>
      </c>
      <c r="S241" s="75">
        <f>0.5*(Q240+Q241)*R241</f>
        <v>0.003981827763174782</v>
      </c>
      <c r="T241" s="75">
        <f>0.5*(F240*Q240+F241*Q241)*R241</f>
        <v>0.008254527198372505</v>
      </c>
      <c r="U241" s="76">
        <f>U240+S241</f>
        <v>1.0070141649882658</v>
      </c>
      <c r="V241" s="76">
        <f>V240+T241</f>
        <v>1.6624092422185468</v>
      </c>
    </row>
    <row r="242" spans="1:22" ht="19" customHeight="1">
      <c r="A242" s="68" t="s">
        <v>368</v>
      </c>
      <c r="B242" s="74">
        <v>1</v>
      </c>
      <c r="C242" s="68" t="s">
        <v>363</v>
      </c>
      <c r="D242" s="68" t="s">
        <v>364</v>
      </c>
      <c r="E242" s="75">
        <f>60*F242*'THAM_SO_MOI'!$C$49/(2*PI()*'THAM_SO_MOI'!$C$26)</f>
        <v>1331.0</v>
      </c>
      <c r="F242" s="75">
        <f>'THAM_SO_MOI'!$E$49+('THAM_SO_MOI'!$F$49-'THAM_SO_MOI'!$E$49)*236/'THAM_SO_MOI'!$C$42</f>
        <v>2.078320184089415</v>
      </c>
      <c r="G242" s="75">
        <f>3.6*F242</f>
        <v>7.481952662721894</v>
      </c>
      <c r="H242" s="75">
        <f>'THAM_SO_MOI'!$D$49</f>
        <v>3.1625000000000005</v>
      </c>
      <c r="I242" s="75">
        <f>IF(F242&gt;'THAM_SO_MOI'!$C$14,'THAM_SO_MOI'!$C$13*(1+F242^2/1500),'THAM_SO_MOI'!$C$13)</f>
        <v>0.015</v>
      </c>
      <c r="J242" s="75">
        <f>'THAM_SO_MOI'!$C$40*('THAM_SO_MOI'!$C$23*(E242/'THAM_SO_MOI'!$C$22)+'THAM_SO_MOI'!$C$24*(E242/'THAM_SO_MOI'!$C$22)^2-'THAM_SO_MOI'!$C$25*(E242/'THAM_SO_MOI'!$C$22)^3)</f>
        <v>55.22036536888179</v>
      </c>
      <c r="K242" s="75">
        <f>'THAM_SO_MOI'!$C$31*J242/E242</f>
        <v>396.2548024148405</v>
      </c>
      <c r="L242" s="75">
        <f>K242*'THAM_SO_MOI'!$C$49*'THAM_SO_MOI'!$C$17/'THAM_SO_MOI'!$C$26</f>
        <v>22588.51509011977</v>
      </c>
      <c r="M242" s="75">
        <f>'THAM_SO_MOI'!$C$15*'THAM_SO_MOI'!$C$16*F242^2</f>
        <v>12.63428825371087</v>
      </c>
      <c r="N242" s="75">
        <f>'THAM_SO_MOI'!$C$12*I242</f>
        <v>1130.112</v>
      </c>
      <c r="O242" s="75">
        <f>M242+N242</f>
        <v>1142.7462882537109</v>
      </c>
      <c r="P242" s="75">
        <f>(MIN(L242,'THAM_SO_MOI'!$C$41)-O242)/('THAM_SO_MOI'!$C$11*H242)</f>
        <v>0.8829779645037078</v>
      </c>
      <c r="Q242" s="75">
        <f>IF(P242&gt;0,1/P242,NA())</f>
        <v>1.1325310938671798</v>
      </c>
      <c r="R242" s="75">
        <f>F242-F241</f>
        <v>0.0035133136094676054</v>
      </c>
      <c r="S242" s="75">
        <f>0.5*(Q241+Q242)*R242</f>
        <v>0.003979899344334488</v>
      </c>
      <c r="T242" s="75">
        <f>0.5*(F241*Q241+F242*Q242)*R242</f>
        <v>0.00826451213003401</v>
      </c>
      <c r="U242" s="76">
        <f>U241+S242</f>
        <v>1.0109940643326003</v>
      </c>
      <c r="V242" s="76">
        <f>V241+T242</f>
        <v>1.6706737543485808</v>
      </c>
    </row>
    <row r="243" spans="1:22" ht="19" customHeight="1">
      <c r="A243" s="68" t="s">
        <v>368</v>
      </c>
      <c r="B243" s="74">
        <v>1</v>
      </c>
      <c r="C243" s="68" t="s">
        <v>363</v>
      </c>
      <c r="D243" s="68" t="s">
        <v>364</v>
      </c>
      <c r="E243" s="75">
        <f>60*F243*'THAM_SO_MOI'!$C$49/(2*PI()*'THAM_SO_MOI'!$C$26)</f>
        <v>1333.25</v>
      </c>
      <c r="F243" s="75">
        <f>'THAM_SO_MOI'!$E$49+('THAM_SO_MOI'!$F$49-'THAM_SO_MOI'!$E$49)*237/'THAM_SO_MOI'!$C$42</f>
        <v>2.0818334976988826</v>
      </c>
      <c r="G243" s="75">
        <f>3.6*F243</f>
        <v>7.494600591715978</v>
      </c>
      <c r="H243" s="75">
        <f>'THAM_SO_MOI'!$D$49</f>
        <v>3.1625000000000005</v>
      </c>
      <c r="I243" s="75">
        <f>IF(F243&gt;'THAM_SO_MOI'!$C$14,'THAM_SO_MOI'!$C$13*(1+F243^2/1500),'THAM_SO_MOI'!$C$13)</f>
        <v>0.015</v>
      </c>
      <c r="J243" s="75">
        <f>'THAM_SO_MOI'!$C$40*('THAM_SO_MOI'!$C$23*(E243/'THAM_SO_MOI'!$C$22)+'THAM_SO_MOI'!$C$24*(E243/'THAM_SO_MOI'!$C$22)^2-'THAM_SO_MOI'!$C$25*(E243/'THAM_SO_MOI'!$C$22)^3)</f>
        <v>55.33914198202664</v>
      </c>
      <c r="K243" s="75">
        <f>'THAM_SO_MOI'!$C$31*J243/E243</f>
        <v>396.4369691589008</v>
      </c>
      <c r="L243" s="75">
        <f>K243*'THAM_SO_MOI'!$C$49*'THAM_SO_MOI'!$C$17/'THAM_SO_MOI'!$C$26</f>
        <v>22598.89950999821</v>
      </c>
      <c r="M243" s="75">
        <f>'THAM_SO_MOI'!$C$15*'THAM_SO_MOI'!$C$16*F243^2</f>
        <v>12.677039833012905</v>
      </c>
      <c r="N243" s="75">
        <f>'THAM_SO_MOI'!$C$12*I243</f>
        <v>1130.112</v>
      </c>
      <c r="O243" s="75">
        <f>M243+N243</f>
        <v>1142.789039833013</v>
      </c>
      <c r="P243" s="75">
        <f>(MIN(L243,'THAM_SO_MOI'!$C$41)-O243)/('THAM_SO_MOI'!$C$11*H243)</f>
        <v>0.8834037578295946</v>
      </c>
      <c r="Q243" s="75">
        <f>IF(P243&gt;0,1/P243,NA())</f>
        <v>1.1319852232198637</v>
      </c>
      <c r="R243" s="75">
        <f>F243-F242</f>
        <v>0.0035133136094676054</v>
      </c>
      <c r="S243" s="75">
        <f>0.5*(Q242+Q243)*R243</f>
        <v>0.003977977997841684</v>
      </c>
      <c r="T243" s="75">
        <f>0.5*(F242*Q242+F243*Q243)*R243</f>
        <v>0.008274498222425774</v>
      </c>
      <c r="U243" s="76">
        <f>U242+S243</f>
        <v>1.014972042330442</v>
      </c>
      <c r="V243" s="76">
        <f>V242+T243</f>
        <v>1.6789482525710067</v>
      </c>
    </row>
    <row r="244" spans="1:22" ht="19" customHeight="1">
      <c r="A244" s="68" t="s">
        <v>368</v>
      </c>
      <c r="B244" s="74">
        <v>1</v>
      </c>
      <c r="C244" s="68" t="s">
        <v>363</v>
      </c>
      <c r="D244" s="68" t="s">
        <v>364</v>
      </c>
      <c r="E244" s="75">
        <f>60*F244*'THAM_SO_MOI'!$C$49/(2*PI()*'THAM_SO_MOI'!$C$26)</f>
        <v>1335.5</v>
      </c>
      <c r="F244" s="75">
        <f>'THAM_SO_MOI'!$E$49+('THAM_SO_MOI'!$F$49-'THAM_SO_MOI'!$E$49)*238/'THAM_SO_MOI'!$C$42</f>
        <v>2.0853468113083498</v>
      </c>
      <c r="G244" s="75">
        <f>3.6*F244</f>
        <v>7.50724852071006</v>
      </c>
      <c r="H244" s="75">
        <f>'THAM_SO_MOI'!$D$49</f>
        <v>3.1625000000000005</v>
      </c>
      <c r="I244" s="75">
        <f>IF(F244&gt;'THAM_SO_MOI'!$C$14,'THAM_SO_MOI'!$C$13*(1+F244^2/1500),'THAM_SO_MOI'!$C$13)</f>
        <v>0.015</v>
      </c>
      <c r="J244" s="75">
        <f>'THAM_SO_MOI'!$C$40*('THAM_SO_MOI'!$C$23*(E244/'THAM_SO_MOI'!$C$22)+'THAM_SO_MOI'!$C$24*(E244/'THAM_SO_MOI'!$C$22)^2-'THAM_SO_MOI'!$C$25*(E244/'THAM_SO_MOI'!$C$22)^3)</f>
        <v>55.457935748745285</v>
      </c>
      <c r="K244" s="75">
        <f>'THAM_SO_MOI'!$C$31*J244/E244</f>
        <v>396.6186447649024</v>
      </c>
      <c r="L244" s="75">
        <f>K244*'THAM_SO_MOI'!$C$49*'THAM_SO_MOI'!$C$17/'THAM_SO_MOI'!$C$26</f>
        <v>22609.255932539123</v>
      </c>
      <c r="M244" s="75">
        <f>'THAM_SO_MOI'!$C$15*'THAM_SO_MOI'!$C$16*F244^2</f>
        <v>12.719863621044164</v>
      </c>
      <c r="N244" s="75">
        <f>'THAM_SO_MOI'!$C$12*I244</f>
        <v>1130.112</v>
      </c>
      <c r="O244" s="75">
        <f>M244+N244</f>
        <v>1142.8318636210442</v>
      </c>
      <c r="P244" s="75">
        <f>(MIN(L244,'THAM_SO_MOI'!$C$41)-O244)/('THAM_SO_MOI'!$C$11*H244)</f>
        <v>0.8838283954594068</v>
      </c>
      <c r="Q244" s="75">
        <f>IF(P244&gt;0,1/P244,NA())</f>
        <v>1.1314413580027693</v>
      </c>
      <c r="R244" s="75">
        <f>F244-F243</f>
        <v>0.0035133136094671613</v>
      </c>
      <c r="S244" s="75">
        <f>0.5*(Q243+Q244)*R244</f>
        <v>0.003976063705919603</v>
      </c>
      <c r="T244" s="75">
        <f>0.5*(F243*Q243+F244*Q244)*R244</f>
        <v>0.008284485513050503</v>
      </c>
      <c r="U244" s="76">
        <f>U243+S244</f>
        <v>1.0189481060363617</v>
      </c>
      <c r="V244" s="76">
        <f>V243+T244</f>
        <v>1.6872327380840573</v>
      </c>
    </row>
    <row r="245" spans="1:22" ht="19" customHeight="1">
      <c r="A245" s="68" t="s">
        <v>368</v>
      </c>
      <c r="B245" s="74">
        <v>1</v>
      </c>
      <c r="C245" s="68" t="s">
        <v>363</v>
      </c>
      <c r="D245" s="68" t="s">
        <v>364</v>
      </c>
      <c r="E245" s="75">
        <f>60*F245*'THAM_SO_MOI'!$C$49/(2*PI()*'THAM_SO_MOI'!$C$26)</f>
        <v>1337.7499999999998</v>
      </c>
      <c r="F245" s="75">
        <f>'THAM_SO_MOI'!$E$49+('THAM_SO_MOI'!$F$49-'THAM_SO_MOI'!$E$49)*239/'THAM_SO_MOI'!$C$42</f>
        <v>2.0888601249178174</v>
      </c>
      <c r="G245" s="75">
        <f>3.6*F245</f>
        <v>7.5198964497041425</v>
      </c>
      <c r="H245" s="75">
        <f>'THAM_SO_MOI'!$D$49</f>
        <v>3.1625000000000005</v>
      </c>
      <c r="I245" s="75">
        <f>IF(F245&gt;'THAM_SO_MOI'!$C$14,'THAM_SO_MOI'!$C$13*(1+F245^2/1500),'THAM_SO_MOI'!$C$13)</f>
        <v>0.015</v>
      </c>
      <c r="J245" s="75">
        <f>'THAM_SO_MOI'!$C$40*('THAM_SO_MOI'!$C$23*(E245/'THAM_SO_MOI'!$C$22)+'THAM_SO_MOI'!$C$24*(E245/'THAM_SO_MOI'!$C$22)^2-'THAM_SO_MOI'!$C$25*(E245/'THAM_SO_MOI'!$C$22)^3)</f>
        <v>55.57674632193818</v>
      </c>
      <c r="K245" s="75">
        <f>'THAM_SO_MOI'!$C$31*J245/E245</f>
        <v>396.7998292328453</v>
      </c>
      <c r="L245" s="75">
        <f>K245*'THAM_SO_MOI'!$C$49*'THAM_SO_MOI'!$C$17/'THAM_SO_MOI'!$C$26</f>
        <v>22619.584357742508</v>
      </c>
      <c r="M245" s="75">
        <f>'THAM_SO_MOI'!$C$15*'THAM_SO_MOI'!$C$16*F245^2</f>
        <v>12.762759617804663</v>
      </c>
      <c r="N245" s="75">
        <f>'THAM_SO_MOI'!$C$12*I245</f>
        <v>1130.112</v>
      </c>
      <c r="O245" s="75">
        <f>M245+N245</f>
        <v>1142.8747596178048</v>
      </c>
      <c r="P245" s="75">
        <f>(MIN(L245,'THAM_SO_MOI'!$C$41)-O245)/('THAM_SO_MOI'!$C$11*H245)</f>
        <v>0.8842518773931446</v>
      </c>
      <c r="Q245" s="75">
        <f>IF(P245&gt;0,1/P245,NA())</f>
        <v>1.1308994931942824</v>
      </c>
      <c r="R245" s="75">
        <f>F245-F244</f>
        <v>0.0035133136094676054</v>
      </c>
      <c r="S245" s="75">
        <f>0.5*(Q244+Q245)*R245</f>
        <v>0.003974156450882564</v>
      </c>
      <c r="T245" s="75">
        <f>0.5*(F244*Q244+F245*Q245)*R245</f>
        <v>0.008294474039351187</v>
      </c>
      <c r="U245" s="76">
        <f>U244+S245</f>
        <v>1.0229222624872443</v>
      </c>
      <c r="V245" s="76">
        <f>V244+T245</f>
        <v>1.6955272121234084</v>
      </c>
    </row>
    <row r="246" spans="1:22" ht="19" customHeight="1">
      <c r="A246" s="68" t="s">
        <v>368</v>
      </c>
      <c r="B246" s="74">
        <v>1</v>
      </c>
      <c r="C246" s="68" t="s">
        <v>363</v>
      </c>
      <c r="D246" s="68" t="s">
        <v>364</v>
      </c>
      <c r="E246" s="75">
        <f>60*F246*'THAM_SO_MOI'!$C$49/(2*PI()*'THAM_SO_MOI'!$C$26)</f>
        <v>1340.0</v>
      </c>
      <c r="F246" s="75">
        <f>'THAM_SO_MOI'!$E$49+('THAM_SO_MOI'!$F$49-'THAM_SO_MOI'!$E$49)*240/'THAM_SO_MOI'!$C$42</f>
        <v>2.092373438527285</v>
      </c>
      <c r="G246" s="75">
        <f>3.6*F246</f>
        <v>7.532544378698226</v>
      </c>
      <c r="H246" s="75">
        <f>'THAM_SO_MOI'!$D$49</f>
        <v>3.1625000000000005</v>
      </c>
      <c r="I246" s="75">
        <f>IF(F246&gt;'THAM_SO_MOI'!$C$14,'THAM_SO_MOI'!$C$13*(1+F246^2/1500),'THAM_SO_MOI'!$C$13)</f>
        <v>0.015</v>
      </c>
      <c r="J246" s="75">
        <f>'THAM_SO_MOI'!$C$40*('THAM_SO_MOI'!$C$23*(E246/'THAM_SO_MOI'!$C$22)+'THAM_SO_MOI'!$C$24*(E246/'THAM_SO_MOI'!$C$22)^2-'THAM_SO_MOI'!$C$25*(E246/'THAM_SO_MOI'!$C$22)^3)</f>
        <v>55.69557335450579</v>
      </c>
      <c r="K246" s="75">
        <f>'THAM_SO_MOI'!$C$31*J246/E246</f>
        <v>396.9805225627293</v>
      </c>
      <c r="L246" s="75">
        <f>K246*'THAM_SO_MOI'!$C$49*'THAM_SO_MOI'!$C$17/'THAM_SO_MOI'!$C$26</f>
        <v>22629.884785608352</v>
      </c>
      <c r="M246" s="75">
        <f>'THAM_SO_MOI'!$C$15*'THAM_SO_MOI'!$C$16*F246^2</f>
        <v>12.805727823294397</v>
      </c>
      <c r="N246" s="75">
        <f>'THAM_SO_MOI'!$C$12*I246</f>
        <v>1130.112</v>
      </c>
      <c r="O246" s="75">
        <f>M246+N246</f>
        <v>1142.9177278232944</v>
      </c>
      <c r="P246" s="75">
        <f>(MIN(L246,'THAM_SO_MOI'!$C$41)-O246)/('THAM_SO_MOI'!$C$11*H246)</f>
        <v>0.8846742036308075</v>
      </c>
      <c r="Q246" s="75">
        <f>IF(P246&gt;0,1/P246,NA())</f>
        <v>1.1303596237980962</v>
      </c>
      <c r="R246" s="75">
        <f>F246-F245</f>
        <v>0.0035133136094676054</v>
      </c>
      <c r="S246" s="75">
        <f>0.5*(Q245+Q246)*R246</f>
        <v>0.0039722562151310115</v>
      </c>
      <c r="T246" s="75">
        <f>0.5*(F245*Q245+F246*Q246)*R246</f>
        <v>0.008304463838702331</v>
      </c>
      <c r="U246" s="76">
        <f>U245+S246</f>
        <v>1.0268945187023752</v>
      </c>
      <c r="V246" s="76">
        <f>V245+T246</f>
        <v>1.7038316759621108</v>
      </c>
    </row>
    <row r="247" spans="1:22" ht="19" customHeight="1">
      <c r="A247" s="68" t="s">
        <v>368</v>
      </c>
      <c r="B247" s="74">
        <v>1</v>
      </c>
      <c r="C247" s="68" t="s">
        <v>363</v>
      </c>
      <c r="D247" s="68" t="s">
        <v>364</v>
      </c>
      <c r="E247" s="75">
        <f>60*F247*'THAM_SO_MOI'!$C$49/(2*PI()*'THAM_SO_MOI'!$C$26)</f>
        <v>1342.2499999999998</v>
      </c>
      <c r="F247" s="75">
        <f>'THAM_SO_MOI'!$E$49+('THAM_SO_MOI'!$F$49-'THAM_SO_MOI'!$E$49)*241/'THAM_SO_MOI'!$C$42</f>
        <v>2.095886752136752</v>
      </c>
      <c r="G247" s="75">
        <f>3.6*F247</f>
        <v>7.545192307692308</v>
      </c>
      <c r="H247" s="75">
        <f>'THAM_SO_MOI'!$D$49</f>
        <v>3.1625000000000005</v>
      </c>
      <c r="I247" s="75">
        <f>IF(F247&gt;'THAM_SO_MOI'!$C$14,'THAM_SO_MOI'!$C$13*(1+F247^2/1500),'THAM_SO_MOI'!$C$13)</f>
        <v>0.015</v>
      </c>
      <c r="J247" s="75">
        <f>'THAM_SO_MOI'!$C$40*('THAM_SO_MOI'!$C$23*(E247/'THAM_SO_MOI'!$C$22)+'THAM_SO_MOI'!$C$24*(E247/'THAM_SO_MOI'!$C$22)^2-'THAM_SO_MOI'!$C$25*(E247/'THAM_SO_MOI'!$C$22)^3)</f>
        <v>55.814416499348525</v>
      </c>
      <c r="K247" s="75">
        <f>'THAM_SO_MOI'!$C$31*J247/E247</f>
        <v>397.1607247545545</v>
      </c>
      <c r="L247" s="75">
        <f>K247*'THAM_SO_MOI'!$C$49*'THAM_SO_MOI'!$C$17/'THAM_SO_MOI'!$C$26</f>
        <v>22640.157216136664</v>
      </c>
      <c r="M247" s="75">
        <f>'THAM_SO_MOI'!$C$15*'THAM_SO_MOI'!$C$16*F247^2</f>
        <v>12.848768237513356</v>
      </c>
      <c r="N247" s="75">
        <f>'THAM_SO_MOI'!$C$12*I247</f>
        <v>1130.112</v>
      </c>
      <c r="O247" s="75">
        <f>M247+N247</f>
        <v>1142.9607682375135</v>
      </c>
      <c r="P247" s="75">
        <f>(MIN(L247,'THAM_SO_MOI'!$C$41)-O247)/('THAM_SO_MOI'!$C$11*H247)</f>
        <v>0.8850953741723957</v>
      </c>
      <c r="Q247" s="75">
        <f>IF(P247&gt;0,1/P247,NA())</f>
        <v>1.1298217448430858</v>
      </c>
      <c r="R247" s="75">
        <f>F247-F246</f>
        <v>0.0035133136094671613</v>
      </c>
      <c r="S247" s="75">
        <f>0.5*(Q246+Q247)*R247</f>
        <v>0.00397036298115559</v>
      </c>
      <c r="T247" s="75">
        <f>0.5*(F246*Q246+F247*Q247)*R247</f>
        <v>0.008314454948419996</v>
      </c>
      <c r="U247" s="76">
        <f>U246+S247</f>
        <v>1.0308648816835309</v>
      </c>
      <c r="V247" s="76">
        <f>V246+T247</f>
        <v>1.7121461309105308</v>
      </c>
    </row>
    <row r="248" spans="1:22" ht="19" customHeight="1">
      <c r="A248" s="68" t="s">
        <v>368</v>
      </c>
      <c r="B248" s="74">
        <v>1</v>
      </c>
      <c r="C248" s="68" t="s">
        <v>363</v>
      </c>
      <c r="D248" s="68" t="s">
        <v>364</v>
      </c>
      <c r="E248" s="75">
        <f>60*F248*'THAM_SO_MOI'!$C$49/(2*PI()*'THAM_SO_MOI'!$C$26)</f>
        <v>1344.5</v>
      </c>
      <c r="F248" s="75">
        <f>'THAM_SO_MOI'!$E$49+('THAM_SO_MOI'!$F$49-'THAM_SO_MOI'!$E$49)*242/'THAM_SO_MOI'!$C$42</f>
        <v>2.0994000657462197</v>
      </c>
      <c r="G248" s="75">
        <f>3.6*F248</f>
        <v>7.557840236686391</v>
      </c>
      <c r="H248" s="75">
        <f>'THAM_SO_MOI'!$D$49</f>
        <v>3.1625000000000005</v>
      </c>
      <c r="I248" s="75">
        <f>IF(F248&gt;'THAM_SO_MOI'!$C$14,'THAM_SO_MOI'!$C$13*(1+F248^2/1500),'THAM_SO_MOI'!$C$13)</f>
        <v>0.015</v>
      </c>
      <c r="J248" s="75">
        <f>'THAM_SO_MOI'!$C$40*('THAM_SO_MOI'!$C$23*(E248/'THAM_SO_MOI'!$C$22)+'THAM_SO_MOI'!$C$24*(E248/'THAM_SO_MOI'!$C$22)^2-'THAM_SO_MOI'!$C$25*(E248/'THAM_SO_MOI'!$C$22)^3)</f>
        <v>55.93327540936689</v>
      </c>
      <c r="K248" s="75">
        <f>'THAM_SO_MOI'!$C$31*J248/E248</f>
        <v>397.34043580832093</v>
      </c>
      <c r="L248" s="75">
        <f>K248*'THAM_SO_MOI'!$C$49*'THAM_SO_MOI'!$C$17/'THAM_SO_MOI'!$C$26</f>
        <v>22650.401649327443</v>
      </c>
      <c r="M248" s="75">
        <f>'THAM_SO_MOI'!$C$15*'THAM_SO_MOI'!$C$16*F248^2</f>
        <v>12.891880860461553</v>
      </c>
      <c r="N248" s="75">
        <f>'THAM_SO_MOI'!$C$12*I248</f>
        <v>1130.112</v>
      </c>
      <c r="O248" s="75">
        <f>M248+N248</f>
        <v>1143.0038808604615</v>
      </c>
      <c r="P248" s="75">
        <f>(MIN(L248,'THAM_SO_MOI'!$C$41)-O248)/('THAM_SO_MOI'!$C$11*H248)</f>
        <v>0.8855153890179092</v>
      </c>
      <c r="Q248" s="75">
        <f>IF(P248&gt;0,1/P248,NA())</f>
        <v>1.129285851383183</v>
      </c>
      <c r="R248" s="75">
        <f>F248-F247</f>
        <v>0.0035133136094676054</v>
      </c>
      <c r="S248" s="75">
        <f>0.5*(Q247+Q248)*R248</f>
        <v>0.003968476731536699</v>
      </c>
      <c r="T248" s="75">
        <f>0.5*(F247*Q247+F248*Q248)*R248</f>
        <v>0.008324447405762455</v>
      </c>
      <c r="U248" s="76">
        <f>U247+S248</f>
        <v>1.0348333584150675</v>
      </c>
      <c r="V248" s="76">
        <f>V247+T248</f>
        <v>1.7204705783162932</v>
      </c>
    </row>
    <row r="249" spans="1:22" ht="19" customHeight="1">
      <c r="A249" s="68" t="s">
        <v>368</v>
      </c>
      <c r="B249" s="74">
        <v>1</v>
      </c>
      <c r="C249" s="68" t="s">
        <v>363</v>
      </c>
      <c r="D249" s="68" t="s">
        <v>364</v>
      </c>
      <c r="E249" s="75">
        <f>60*F249*'THAM_SO_MOI'!$C$49/(2*PI()*'THAM_SO_MOI'!$C$26)</f>
        <v>1346.75</v>
      </c>
      <c r="F249" s="75">
        <f>'THAM_SO_MOI'!$E$49+('THAM_SO_MOI'!$F$49-'THAM_SO_MOI'!$E$49)*243/'THAM_SO_MOI'!$C$42</f>
        <v>2.1029133793556873</v>
      </c>
      <c r="G249" s="75">
        <f>3.6*F249</f>
        <v>7.570488165680475</v>
      </c>
      <c r="H249" s="75">
        <f>'THAM_SO_MOI'!$D$49</f>
        <v>3.1625000000000005</v>
      </c>
      <c r="I249" s="75">
        <f>IF(F249&gt;'THAM_SO_MOI'!$C$14,'THAM_SO_MOI'!$C$13*(1+F249^2/1500),'THAM_SO_MOI'!$C$13)</f>
        <v>0.015</v>
      </c>
      <c r="J249" s="75">
        <f>'THAM_SO_MOI'!$C$40*('THAM_SO_MOI'!$C$23*(E249/'THAM_SO_MOI'!$C$22)+'THAM_SO_MOI'!$C$24*(E249/'THAM_SO_MOI'!$C$22)^2-'THAM_SO_MOI'!$C$25*(E249/'THAM_SO_MOI'!$C$22)^3)</f>
        <v>56.05214973746133</v>
      </c>
      <c r="K249" s="75">
        <f>'THAM_SO_MOI'!$C$31*J249/E249</f>
        <v>397.51965572402867</v>
      </c>
      <c r="L249" s="75">
        <f>K249*'THAM_SO_MOI'!$C$49*'THAM_SO_MOI'!$C$17/'THAM_SO_MOI'!$C$26</f>
        <v>22660.618085180697</v>
      </c>
      <c r="M249" s="75">
        <f>'THAM_SO_MOI'!$C$15*'THAM_SO_MOI'!$C$16*F249^2</f>
        <v>12.935065692138986</v>
      </c>
      <c r="N249" s="75">
        <f>'THAM_SO_MOI'!$C$12*I249</f>
        <v>1130.112</v>
      </c>
      <c r="O249" s="75">
        <f>M249+N249</f>
        <v>1143.047065692139</v>
      </c>
      <c r="P249" s="75">
        <f>(MIN(L249,'THAM_SO_MOI'!$C$41)-O249)/('THAM_SO_MOI'!$C$11*H249)</f>
        <v>0.8859342481673482</v>
      </c>
      <c r="Q249" s="75">
        <f>IF(P249&gt;0,1/P249,NA())</f>
        <v>1.1287519384972522</v>
      </c>
      <c r="R249" s="75">
        <f>F249-F248</f>
        <v>0.0035133136094676054</v>
      </c>
      <c r="S249" s="75">
        <f>0.5*(Q248+Q249)*R249</f>
        <v>0.003966597448939543</v>
      </c>
      <c r="T249" s="75">
        <f>0.5*(F248*Q248+F249*Q249)*R249</f>
        <v>0.008334441247921372</v>
      </c>
      <c r="U249" s="76">
        <f>U248+S249</f>
        <v>1.038799955864007</v>
      </c>
      <c r="V249" s="76">
        <f>V248+T249</f>
        <v>1.7288050195642146</v>
      </c>
    </row>
    <row r="250" spans="1:22" ht="19" customHeight="1">
      <c r="A250" s="68" t="s">
        <v>368</v>
      </c>
      <c r="B250" s="74">
        <v>1</v>
      </c>
      <c r="C250" s="68" t="s">
        <v>363</v>
      </c>
      <c r="D250" s="68" t="s">
        <v>364</v>
      </c>
      <c r="E250" s="75">
        <f>60*F250*'THAM_SO_MOI'!$C$49/(2*PI()*'THAM_SO_MOI'!$C$26)</f>
        <v>1348.9999999999998</v>
      </c>
      <c r="F250" s="75">
        <f>'THAM_SO_MOI'!$E$49+('THAM_SO_MOI'!$F$49-'THAM_SO_MOI'!$E$49)*244/'THAM_SO_MOI'!$C$42</f>
        <v>2.1064266929651545</v>
      </c>
      <c r="G250" s="75">
        <f>3.6*F250</f>
        <v>7.583136094674557</v>
      </c>
      <c r="H250" s="75">
        <f>'THAM_SO_MOI'!$D$49</f>
        <v>3.1625000000000005</v>
      </c>
      <c r="I250" s="75">
        <f>IF(F250&gt;'THAM_SO_MOI'!$C$14,'THAM_SO_MOI'!$C$13*(1+F250^2/1500),'THAM_SO_MOI'!$C$13)</f>
        <v>0.015</v>
      </c>
      <c r="J250" s="75">
        <f>'THAM_SO_MOI'!$C$40*('THAM_SO_MOI'!$C$23*(E250/'THAM_SO_MOI'!$C$22)+'THAM_SO_MOI'!$C$24*(E250/'THAM_SO_MOI'!$C$22)^2-'THAM_SO_MOI'!$C$25*(E250/'THAM_SO_MOI'!$C$22)^3)</f>
        <v>56.17103913653227</v>
      </c>
      <c r="K250" s="75">
        <f>'THAM_SO_MOI'!$C$31*J250/E250</f>
        <v>397.69838450167754</v>
      </c>
      <c r="L250" s="75">
        <f>K250*'THAM_SO_MOI'!$C$49*'THAM_SO_MOI'!$C$17/'THAM_SO_MOI'!$C$26</f>
        <v>22670.80652369641</v>
      </c>
      <c r="M250" s="75">
        <f>'THAM_SO_MOI'!$C$15*'THAM_SO_MOI'!$C$16*F250^2</f>
        <v>12.978322732545644</v>
      </c>
      <c r="N250" s="75">
        <f>'THAM_SO_MOI'!$C$12*I250</f>
        <v>1130.112</v>
      </c>
      <c r="O250" s="75">
        <f>M250+N250</f>
        <v>1143.0903227325457</v>
      </c>
      <c r="P250" s="75">
        <f>(MIN(L250,'THAM_SO_MOI'!$C$41)-O250)/('THAM_SO_MOI'!$C$11*H250)</f>
        <v>0.8863519516207122</v>
      </c>
      <c r="Q250" s="75">
        <f>IF(P250&gt;0,1/P250,NA())</f>
        <v>1.128220001288969</v>
      </c>
      <c r="R250" s="75">
        <f>F250-F249</f>
        <v>0.0035133136094671613</v>
      </c>
      <c r="S250" s="75">
        <f>0.5*(Q249+Q250)*R250</f>
        <v>0.003964725116118215</v>
      </c>
      <c r="T250" s="75">
        <f>0.5*(F249*Q249+F250*Q250)*R250</f>
        <v>0.008344436512031874</v>
      </c>
      <c r="U250" s="76">
        <f>U249+S250</f>
        <v>1.0427646809801252</v>
      </c>
      <c r="V250" s="76">
        <f>V249+T250</f>
        <v>1.7371494560762466</v>
      </c>
    </row>
    <row r="251" spans="1:22" ht="19" customHeight="1">
      <c r="A251" s="68" t="s">
        <v>368</v>
      </c>
      <c r="B251" s="74">
        <v>1</v>
      </c>
      <c r="C251" s="68" t="s">
        <v>363</v>
      </c>
      <c r="D251" s="68" t="s">
        <v>364</v>
      </c>
      <c r="E251" s="75">
        <f>60*F251*'THAM_SO_MOI'!$C$49/(2*PI()*'THAM_SO_MOI'!$C$26)</f>
        <v>1351.2499999999998</v>
      </c>
      <c r="F251" s="75">
        <f>'THAM_SO_MOI'!$E$49+('THAM_SO_MOI'!$F$49-'THAM_SO_MOI'!$E$49)*245/'THAM_SO_MOI'!$C$42</f>
        <v>2.109940006574622</v>
      </c>
      <c r="G251" s="75">
        <f>3.6*F251</f>
        <v>7.59578402366864</v>
      </c>
      <c r="H251" s="75">
        <f>'THAM_SO_MOI'!$D$49</f>
        <v>3.1625000000000005</v>
      </c>
      <c r="I251" s="75">
        <f>IF(F251&gt;'THAM_SO_MOI'!$C$14,'THAM_SO_MOI'!$C$13*(1+F251^2/1500),'THAM_SO_MOI'!$C$13)</f>
        <v>0.015</v>
      </c>
      <c r="J251" s="75">
        <f>'THAM_SO_MOI'!$C$40*('THAM_SO_MOI'!$C$23*(E251/'THAM_SO_MOI'!$C$22)+'THAM_SO_MOI'!$C$24*(E251/'THAM_SO_MOI'!$C$22)^2-'THAM_SO_MOI'!$C$25*(E251/'THAM_SO_MOI'!$C$22)^3)</f>
        <v>56.28994325948021</v>
      </c>
      <c r="K251" s="75">
        <f>'THAM_SO_MOI'!$C$31*J251/E251</f>
        <v>397.8766221412677</v>
      </c>
      <c r="L251" s="75">
        <f>K251*'THAM_SO_MOI'!$C$49*'THAM_SO_MOI'!$C$17/'THAM_SO_MOI'!$C$26</f>
        <v>22680.9669648746</v>
      </c>
      <c r="M251" s="75">
        <f>'THAM_SO_MOI'!$C$15*'THAM_SO_MOI'!$C$16*F251^2</f>
        <v>13.021651981681542</v>
      </c>
      <c r="N251" s="75">
        <f>'THAM_SO_MOI'!$C$12*I251</f>
        <v>1130.112</v>
      </c>
      <c r="O251" s="75">
        <f>M251+N251</f>
        <v>1143.1336519816816</v>
      </c>
      <c r="P251" s="75">
        <f>(MIN(L251,'THAM_SO_MOI'!$C$41)-O251)/('THAM_SO_MOI'!$C$11*H251)</f>
        <v>0.886768499378002</v>
      </c>
      <c r="Q251" s="75">
        <f>IF(P251&gt;0,1/P251,NA())</f>
        <v>1.1276900348866936</v>
      </c>
      <c r="R251" s="75">
        <f>F251-F250</f>
        <v>0.0035133136094676054</v>
      </c>
      <c r="S251" s="75">
        <f>0.5*(Q250+Q251)*R251</f>
        <v>0.003962859715915257</v>
      </c>
      <c r="T251" s="75">
        <f>0.5*(F250*Q250+F251*Q251)*R251</f>
        <v>0.008354433235173193</v>
      </c>
      <c r="U251" s="76">
        <f>U250+S251</f>
        <v>1.0467275406960406</v>
      </c>
      <c r="V251" s="76">
        <f>V250+T251</f>
        <v>1.7455038893114199</v>
      </c>
    </row>
    <row r="252" spans="1:22" ht="19" customHeight="1">
      <c r="A252" s="68" t="s">
        <v>368</v>
      </c>
      <c r="B252" s="74">
        <v>1</v>
      </c>
      <c r="C252" s="68" t="s">
        <v>363</v>
      </c>
      <c r="D252" s="68" t="s">
        <v>364</v>
      </c>
      <c r="E252" s="75">
        <f>60*F252*'THAM_SO_MOI'!$C$49/(2*PI()*'THAM_SO_MOI'!$C$26)</f>
        <v>1353.5000000000002</v>
      </c>
      <c r="F252" s="75">
        <f>'THAM_SO_MOI'!$E$49+('THAM_SO_MOI'!$F$49-'THAM_SO_MOI'!$E$49)*246/'THAM_SO_MOI'!$C$42</f>
        <v>2.1134533201840897</v>
      </c>
      <c r="G252" s="75">
        <f>3.6*F252</f>
        <v>7.608431952662723</v>
      </c>
      <c r="H252" s="75">
        <f>'THAM_SO_MOI'!$D$49</f>
        <v>3.1625000000000005</v>
      </c>
      <c r="I252" s="75">
        <f>IF(F252&gt;'THAM_SO_MOI'!$C$14,'THAM_SO_MOI'!$C$13*(1+F252^2/1500),'THAM_SO_MOI'!$C$13)</f>
        <v>0.015</v>
      </c>
      <c r="J252" s="75">
        <f>'THAM_SO_MOI'!$C$40*('THAM_SO_MOI'!$C$23*(E252/'THAM_SO_MOI'!$C$22)+'THAM_SO_MOI'!$C$24*(E252/'THAM_SO_MOI'!$C$22)^2-'THAM_SO_MOI'!$C$25*(E252/'THAM_SO_MOI'!$C$22)^3)</f>
        <v>56.408861759205585</v>
      </c>
      <c r="K252" s="75">
        <f>'THAM_SO_MOI'!$C$31*J252/E252</f>
        <v>398.054368642799</v>
      </c>
      <c r="L252" s="75">
        <f>K252*'THAM_SO_MOI'!$C$49*'THAM_SO_MOI'!$C$17/'THAM_SO_MOI'!$C$26</f>
        <v>22691.099408715247</v>
      </c>
      <c r="M252" s="75">
        <f>'THAM_SO_MOI'!$C$15*'THAM_SO_MOI'!$C$16*F252^2</f>
        <v>13.065053439546672</v>
      </c>
      <c r="N252" s="75">
        <f>'THAM_SO_MOI'!$C$12*I252</f>
        <v>1130.112</v>
      </c>
      <c r="O252" s="75">
        <f>M252+N252</f>
        <v>1143.1770534395469</v>
      </c>
      <c r="P252" s="75">
        <f>(MIN(L252,'THAM_SO_MOI'!$C$41)-O252)/('THAM_SO_MOI'!$C$11*H252)</f>
        <v>0.8871838914392167</v>
      </c>
      <c r="Q252" s="75">
        <f>IF(P252&gt;0,1/P252,NA())</f>
        <v>1.1271620344433548</v>
      </c>
      <c r="R252" s="75">
        <f>F252-F251</f>
        <v>0.0035133136094676054</v>
      </c>
      <c r="S252" s="75">
        <f>0.5*(Q251+Q252)*R252</f>
        <v>0.003961001231256726</v>
      </c>
      <c r="T252" s="75">
        <f>0.5*(F251*Q251+F252*Q252)*R252</f>
        <v>0.008364431454359809</v>
      </c>
      <c r="U252" s="76">
        <f>U251+S252</f>
        <v>1.0506885419272973</v>
      </c>
      <c r="V252" s="76">
        <f>V251+T252</f>
        <v>1.7538683207657797</v>
      </c>
    </row>
    <row r="253" spans="1:22" ht="19" customHeight="1">
      <c r="A253" s="68" t="s">
        <v>368</v>
      </c>
      <c r="B253" s="74">
        <v>1</v>
      </c>
      <c r="C253" s="68" t="s">
        <v>363</v>
      </c>
      <c r="D253" s="68" t="s">
        <v>364</v>
      </c>
      <c r="E253" s="75">
        <f>60*F253*'THAM_SO_MOI'!$C$49/(2*PI()*'THAM_SO_MOI'!$C$26)</f>
        <v>1355.7499999999998</v>
      </c>
      <c r="F253" s="75">
        <f>'THAM_SO_MOI'!$E$49+('THAM_SO_MOI'!$F$49-'THAM_SO_MOI'!$E$49)*247/'THAM_SO_MOI'!$C$42</f>
        <v>2.116966633793557</v>
      </c>
      <c r="G253" s="75">
        <f>3.6*F253</f>
        <v>7.621079881656805</v>
      </c>
      <c r="H253" s="75">
        <f>'THAM_SO_MOI'!$D$49</f>
        <v>3.1625000000000005</v>
      </c>
      <c r="I253" s="75">
        <f>IF(F253&gt;'THAM_SO_MOI'!$C$14,'THAM_SO_MOI'!$C$13*(1+F253^2/1500),'THAM_SO_MOI'!$C$13)</f>
        <v>0.015</v>
      </c>
      <c r="J253" s="75">
        <f>'THAM_SO_MOI'!$C$40*('THAM_SO_MOI'!$C$23*(E253/'THAM_SO_MOI'!$C$22)+'THAM_SO_MOI'!$C$24*(E253/'THAM_SO_MOI'!$C$22)^2-'THAM_SO_MOI'!$C$25*(E253/'THAM_SO_MOI'!$C$22)^3)</f>
        <v>56.52779428860884</v>
      </c>
      <c r="K253" s="75">
        <f>'THAM_SO_MOI'!$C$31*J253/E253</f>
        <v>398.2316240062717</v>
      </c>
      <c r="L253" s="75">
        <f>K253*'THAM_SO_MOI'!$C$49*'THAM_SO_MOI'!$C$17/'THAM_SO_MOI'!$C$26</f>
        <v>22701.203855218373</v>
      </c>
      <c r="M253" s="75">
        <f>'THAM_SO_MOI'!$C$15*'THAM_SO_MOI'!$C$16*F253^2</f>
        <v>13.108527106141029</v>
      </c>
      <c r="N253" s="75">
        <f>'THAM_SO_MOI'!$C$12*I253</f>
        <v>1130.112</v>
      </c>
      <c r="O253" s="75">
        <f>M253+N253</f>
        <v>1143.2205271061412</v>
      </c>
      <c r="P253" s="75">
        <f>(MIN(L253,'THAM_SO_MOI'!$C$41)-O253)/('THAM_SO_MOI'!$C$11*H253)</f>
        <v>0.8875981278043572</v>
      </c>
      <c r="Q253" s="75">
        <f>IF(P253&gt;0,1/P253,NA())</f>
        <v>1.1266359951363238</v>
      </c>
      <c r="R253" s="75">
        <f>F253-F252</f>
        <v>0.0035133136094671613</v>
      </c>
      <c r="S253" s="75">
        <f>0.5*(Q252+Q253)*R253</f>
        <v>0.003959149645156279</v>
      </c>
      <c r="T253" s="75">
        <f>0.5*(F252*Q252+F253*Q253)*R253</f>
        <v>0.008374431206551536</v>
      </c>
      <c r="U253" s="76">
        <f>U252+S253</f>
        <v>1.0546476915724536</v>
      </c>
      <c r="V253" s="76">
        <f>V252+T253</f>
        <v>1.7622427519723312</v>
      </c>
    </row>
    <row r="254" spans="1:22" ht="19" customHeight="1">
      <c r="A254" s="68" t="s">
        <v>368</v>
      </c>
      <c r="B254" s="74">
        <v>1</v>
      </c>
      <c r="C254" s="68" t="s">
        <v>363</v>
      </c>
      <c r="D254" s="68" t="s">
        <v>364</v>
      </c>
      <c r="E254" s="75">
        <f>60*F254*'THAM_SO_MOI'!$C$49/(2*PI()*'THAM_SO_MOI'!$C$26)</f>
        <v>1358.0</v>
      </c>
      <c r="F254" s="75">
        <f>'THAM_SO_MOI'!$E$49+('THAM_SO_MOI'!$F$49-'THAM_SO_MOI'!$E$49)*248/'THAM_SO_MOI'!$C$42</f>
        <v>2.1204799474030245</v>
      </c>
      <c r="G254" s="75">
        <f>3.6*F254</f>
        <v>7.633727810650888</v>
      </c>
      <c r="H254" s="75">
        <f>'THAM_SO_MOI'!$D$49</f>
        <v>3.1625000000000005</v>
      </c>
      <c r="I254" s="75">
        <f>IF(F254&gt;'THAM_SO_MOI'!$C$14,'THAM_SO_MOI'!$C$13*(1+F254^2/1500),'THAM_SO_MOI'!$C$13)</f>
        <v>0.015</v>
      </c>
      <c r="J254" s="75">
        <f>'THAM_SO_MOI'!$C$40*('THAM_SO_MOI'!$C$23*(E254/'THAM_SO_MOI'!$C$22)+'THAM_SO_MOI'!$C$24*(E254/'THAM_SO_MOI'!$C$22)^2-'THAM_SO_MOI'!$C$25*(E254/'THAM_SO_MOI'!$C$22)^3)</f>
        <v>56.64674050059045</v>
      </c>
      <c r="K254" s="75">
        <f>'THAM_SO_MOI'!$C$31*J254/E254</f>
        <v>398.40838823168554</v>
      </c>
      <c r="L254" s="75">
        <f>K254*'THAM_SO_MOI'!$C$49*'THAM_SO_MOI'!$C$17/'THAM_SO_MOI'!$C$26</f>
        <v>22711.28030438396</v>
      </c>
      <c r="M254" s="75">
        <f>'THAM_SO_MOI'!$C$15*'THAM_SO_MOI'!$C$16*F254^2</f>
        <v>13.152072981464626</v>
      </c>
      <c r="N254" s="75">
        <f>'THAM_SO_MOI'!$C$12*I254</f>
        <v>1130.112</v>
      </c>
      <c r="O254" s="75">
        <f>M254+N254</f>
        <v>1143.2640729814648</v>
      </c>
      <c r="P254" s="75">
        <f>(MIN(L254,'THAM_SO_MOI'!$C$41)-O254)/('THAM_SO_MOI'!$C$11*H254)</f>
        <v>0.8880112084734226</v>
      </c>
      <c r="Q254" s="75">
        <f>IF(P254&gt;0,1/P254,NA())</f>
        <v>1.1261119121672991</v>
      </c>
      <c r="R254" s="75">
        <f>F254-F253</f>
        <v>0.0035133136094676054</v>
      </c>
      <c r="S254" s="75">
        <f>0.5*(Q253+Q254)*R254</f>
        <v>0.003957304940714742</v>
      </c>
      <c r="T254" s="75">
        <f>0.5*(F253*Q253+F254*Q254)*R254</f>
        <v>0.008384432528654184</v>
      </c>
      <c r="U254" s="76">
        <f>U253+S254</f>
        <v>1.0586049965131683</v>
      </c>
      <c r="V254" s="76">
        <f>V253+T254</f>
        <v>1.7706271845009853</v>
      </c>
    </row>
    <row r="255" spans="1:22" ht="19" customHeight="1">
      <c r="A255" s="68" t="s">
        <v>368</v>
      </c>
      <c r="B255" s="74">
        <v>1</v>
      </c>
      <c r="C255" s="68" t="s">
        <v>363</v>
      </c>
      <c r="D255" s="68" t="s">
        <v>364</v>
      </c>
      <c r="E255" s="75">
        <f>60*F255*'THAM_SO_MOI'!$C$49/(2*PI()*'THAM_SO_MOI'!$C$26)</f>
        <v>1360.2499999999998</v>
      </c>
      <c r="F255" s="75">
        <f>'THAM_SO_MOI'!$E$49+('THAM_SO_MOI'!$F$49-'THAM_SO_MOI'!$E$49)*249/'THAM_SO_MOI'!$C$42</f>
        <v>2.123993261012492</v>
      </c>
      <c r="G255" s="75">
        <f>3.6*F255</f>
        <v>7.646375739644972</v>
      </c>
      <c r="H255" s="75">
        <f>'THAM_SO_MOI'!$D$49</f>
        <v>3.1625000000000005</v>
      </c>
      <c r="I255" s="75">
        <f>IF(F255&gt;'THAM_SO_MOI'!$C$14,'THAM_SO_MOI'!$C$13*(1+F255^2/1500),'THAM_SO_MOI'!$C$13)</f>
        <v>0.015</v>
      </c>
      <c r="J255" s="75">
        <f>'THAM_SO_MOI'!$C$40*('THAM_SO_MOI'!$C$23*(E255/'THAM_SO_MOI'!$C$22)+'THAM_SO_MOI'!$C$24*(E255/'THAM_SO_MOI'!$C$22)^2-'THAM_SO_MOI'!$C$25*(E255/'THAM_SO_MOI'!$C$22)^3)</f>
        <v>56.765700048050824</v>
      </c>
      <c r="K255" s="75">
        <f>'THAM_SO_MOI'!$C$31*J255/E255</f>
        <v>398.58466131904055</v>
      </c>
      <c r="L255" s="75">
        <f>K255*'THAM_SO_MOI'!$C$49*'THAM_SO_MOI'!$C$17/'THAM_SO_MOI'!$C$26</f>
        <v>22721.328756212013</v>
      </c>
      <c r="M255" s="75">
        <f>'THAM_SO_MOI'!$C$15*'THAM_SO_MOI'!$C$16*F255^2</f>
        <v>13.195691065517456</v>
      </c>
      <c r="N255" s="75">
        <f>'THAM_SO_MOI'!$C$12*I255</f>
        <v>1130.112</v>
      </c>
      <c r="O255" s="75">
        <f>M255+N255</f>
        <v>1143.3076910655175</v>
      </c>
      <c r="P255" s="75">
        <f>(MIN(L255,'THAM_SO_MOI'!$C$41)-O255)/('THAM_SO_MOI'!$C$11*H255)</f>
        <v>0.8884231334464135</v>
      </c>
      <c r="Q255" s="75">
        <f>IF(P255&gt;0,1/P255,NA())</f>
        <v>1.1255897807621826</v>
      </c>
      <c r="R255" s="75">
        <f>F255-F254</f>
        <v>0.0035133136094676054</v>
      </c>
      <c r="S255" s="75">
        <f>0.5*(Q254+Q255)*R255</f>
        <v>0.003955467101115197</v>
      </c>
      <c r="T255" s="75">
        <f>0.5*(F254*Q254+F255*Q255)*R255</f>
        <v>0.008394435457510615</v>
      </c>
      <c r="U255" s="76">
        <f>U254+S255</f>
        <v>1.0625604636142836</v>
      </c>
      <c r="V255" s="76">
        <f>V254+T255</f>
        <v>1.7790216199584958</v>
      </c>
    </row>
    <row r="256" spans="1:22" ht="19" customHeight="1">
      <c r="A256" s="68" t="s">
        <v>368</v>
      </c>
      <c r="B256" s="74">
        <v>1</v>
      </c>
      <c r="C256" s="68" t="s">
        <v>363</v>
      </c>
      <c r="D256" s="68" t="s">
        <v>364</v>
      </c>
      <c r="E256" s="75">
        <f>60*F256*'THAM_SO_MOI'!$C$49/(2*PI()*'THAM_SO_MOI'!$C$26)</f>
        <v>1362.4999999999998</v>
      </c>
      <c r="F256" s="75">
        <f>'THAM_SO_MOI'!$E$49+('THAM_SO_MOI'!$F$49-'THAM_SO_MOI'!$E$49)*250/'THAM_SO_MOI'!$C$42</f>
        <v>2.1275065746219592</v>
      </c>
      <c r="G256" s="75">
        <f>3.6*F256</f>
        <v>7.659023668639054</v>
      </c>
      <c r="H256" s="75">
        <f>'THAM_SO_MOI'!$D$49</f>
        <v>3.1625000000000005</v>
      </c>
      <c r="I256" s="75">
        <f>IF(F256&gt;'THAM_SO_MOI'!$C$14,'THAM_SO_MOI'!$C$13*(1+F256^2/1500),'THAM_SO_MOI'!$C$13)</f>
        <v>0.015</v>
      </c>
      <c r="J256" s="75">
        <f>'THAM_SO_MOI'!$C$40*('THAM_SO_MOI'!$C$23*(E256/'THAM_SO_MOI'!$C$22)+'THAM_SO_MOI'!$C$24*(E256/'THAM_SO_MOI'!$C$22)^2-'THAM_SO_MOI'!$C$25*(E256/'THAM_SO_MOI'!$C$22)^3)</f>
        <v>56.88467258389047</v>
      </c>
      <c r="K256" s="75">
        <f>'THAM_SO_MOI'!$C$31*J256/E256</f>
        <v>398.7604432683367</v>
      </c>
      <c r="L256" s="75">
        <f>K256*'THAM_SO_MOI'!$C$49*'THAM_SO_MOI'!$C$17/'THAM_SO_MOI'!$C$26</f>
        <v>22731.34921070253</v>
      </c>
      <c r="M256" s="75">
        <f>'THAM_SO_MOI'!$C$15*'THAM_SO_MOI'!$C$16*F256^2</f>
        <v>13.239381358299514</v>
      </c>
      <c r="N256" s="75">
        <f>'THAM_SO_MOI'!$C$12*I256</f>
        <v>1130.112</v>
      </c>
      <c r="O256" s="75">
        <f>M256+N256</f>
        <v>1143.3513813582997</v>
      </c>
      <c r="P256" s="75">
        <f>(MIN(L256,'THAM_SO_MOI'!$C$41)-O256)/('THAM_SO_MOI'!$C$11*H256)</f>
        <v>0.8888339027233294</v>
      </c>
      <c r="Q256" s="75">
        <f>IF(P256&gt;0,1/P256,NA())</f>
        <v>1.125069596170966</v>
      </c>
      <c r="R256" s="75">
        <f>F256-F255</f>
        <v>0.0035133136094671613</v>
      </c>
      <c r="S256" s="75">
        <f>0.5*(Q255+Q256)*R256</f>
        <v>0.003953636109627056</v>
      </c>
      <c r="T256" s="75">
        <f>0.5*(F255*Q255+F256*Q256)*R256</f>
        <v>0.008404440029910885</v>
      </c>
      <c r="U256" s="76">
        <f>U255+S256</f>
        <v>1.0665140997239106</v>
      </c>
      <c r="V256" s="76">
        <f>V255+T256</f>
        <v>1.7874260599884066</v>
      </c>
    </row>
    <row r="257" spans="1:22" ht="19" customHeight="1">
      <c r="A257" s="68" t="s">
        <v>368</v>
      </c>
      <c r="B257" s="74">
        <v>1</v>
      </c>
      <c r="C257" s="68" t="s">
        <v>363</v>
      </c>
      <c r="D257" s="68" t="s">
        <v>364</v>
      </c>
      <c r="E257" s="75">
        <f>60*F257*'THAM_SO_MOI'!$C$49/(2*PI()*'THAM_SO_MOI'!$C$26)</f>
        <v>1364.7499999999998</v>
      </c>
      <c r="F257" s="75">
        <f>'THAM_SO_MOI'!$E$49+('THAM_SO_MOI'!$F$49-'THAM_SO_MOI'!$E$49)*251/'THAM_SO_MOI'!$C$42</f>
        <v>2.131019888231427</v>
      </c>
      <c r="G257" s="75">
        <f>3.6*F257</f>
        <v>7.671671597633137</v>
      </c>
      <c r="H257" s="75">
        <f>'THAM_SO_MOI'!$D$49</f>
        <v>3.1625000000000005</v>
      </c>
      <c r="I257" s="75">
        <f>IF(F257&gt;'THAM_SO_MOI'!$C$14,'THAM_SO_MOI'!$C$13*(1+F257^2/1500),'THAM_SO_MOI'!$C$13)</f>
        <v>0.015</v>
      </c>
      <c r="J257" s="75">
        <f>'THAM_SO_MOI'!$C$40*('THAM_SO_MOI'!$C$23*(E257/'THAM_SO_MOI'!$C$22)+'THAM_SO_MOI'!$C$24*(E257/'THAM_SO_MOI'!$C$22)^2-'THAM_SO_MOI'!$C$25*(E257/'THAM_SO_MOI'!$C$22)^3)</f>
        <v>57.00365776100983</v>
      </c>
      <c r="K257" s="75">
        <f>'THAM_SO_MOI'!$C$31*J257/E257</f>
        <v>398.93573407957416</v>
      </c>
      <c r="L257" s="75">
        <f>K257*'THAM_SO_MOI'!$C$49*'THAM_SO_MOI'!$C$17/'THAM_SO_MOI'!$C$26</f>
        <v>22741.341667855522</v>
      </c>
      <c r="M257" s="75">
        <f>'THAM_SO_MOI'!$C$15*'THAM_SO_MOI'!$C$16*F257^2</f>
        <v>13.283143859810808</v>
      </c>
      <c r="N257" s="75">
        <f>'THAM_SO_MOI'!$C$12*I257</f>
        <v>1130.112</v>
      </c>
      <c r="O257" s="75">
        <f>M257+N257</f>
        <v>1143.3951438598108</v>
      </c>
      <c r="P257" s="75">
        <f>(MIN(L257,'THAM_SO_MOI'!$C$41)-O257)/('THAM_SO_MOI'!$C$11*H257)</f>
        <v>0.8892435163041711</v>
      </c>
      <c r="Q257" s="75">
        <f>IF(P257&gt;0,1/P257,NA())</f>
        <v>1.1245513536676088</v>
      </c>
      <c r="R257" s="75">
        <f>F257-F256</f>
        <v>0.0035133136094676054</v>
      </c>
      <c r="S257" s="75">
        <f>0.5*(Q256+Q257)*R257</f>
        <v>0.003951811949605653</v>
      </c>
      <c r="T257" s="75">
        <f>0.5*(F256*Q256+F257*Q257)*R257</f>
        <v>0.008414446282592884</v>
      </c>
      <c r="U257" s="76">
        <f>U256+S257</f>
        <v>1.0704659116735162</v>
      </c>
      <c r="V257" s="76">
        <f>V256+T257</f>
        <v>1.7958405062709994</v>
      </c>
    </row>
    <row r="258" spans="1:22" ht="19" customHeight="1">
      <c r="A258" s="68" t="s">
        <v>368</v>
      </c>
      <c r="B258" s="74">
        <v>1</v>
      </c>
      <c r="C258" s="68" t="s">
        <v>363</v>
      </c>
      <c r="D258" s="68" t="s">
        <v>364</v>
      </c>
      <c r="E258" s="75">
        <f>60*F258*'THAM_SO_MOI'!$C$49/(2*PI()*'THAM_SO_MOI'!$C$26)</f>
        <v>1367.0</v>
      </c>
      <c r="F258" s="75">
        <f>'THAM_SO_MOI'!$E$49+('THAM_SO_MOI'!$F$49-'THAM_SO_MOI'!$E$49)*252/'THAM_SO_MOI'!$C$42</f>
        <v>2.1345332018408945</v>
      </c>
      <c r="G258" s="75">
        <f>3.6*F258</f>
        <v>7.68431952662722</v>
      </c>
      <c r="H258" s="75">
        <f>'THAM_SO_MOI'!$D$49</f>
        <v>3.1625000000000005</v>
      </c>
      <c r="I258" s="75">
        <f>IF(F258&gt;'THAM_SO_MOI'!$C$14,'THAM_SO_MOI'!$C$13*(1+F258^2/1500),'THAM_SO_MOI'!$C$13)</f>
        <v>0.015</v>
      </c>
      <c r="J258" s="75">
        <f>'THAM_SO_MOI'!$C$40*('THAM_SO_MOI'!$C$23*(E258/'THAM_SO_MOI'!$C$22)+'THAM_SO_MOI'!$C$24*(E258/'THAM_SO_MOI'!$C$22)^2-'THAM_SO_MOI'!$C$25*(E258/'THAM_SO_MOI'!$C$22)^3)</f>
        <v>57.12265523230939</v>
      </c>
      <c r="K258" s="75">
        <f>'THAM_SO_MOI'!$C$31*J258/E258</f>
        <v>399.110533752753</v>
      </c>
      <c r="L258" s="75">
        <f>K258*'THAM_SO_MOI'!$C$49*'THAM_SO_MOI'!$C$17/'THAM_SO_MOI'!$C$26</f>
        <v>22751.30612767099</v>
      </c>
      <c r="M258" s="75">
        <f>'THAM_SO_MOI'!$C$15*'THAM_SO_MOI'!$C$16*F258^2</f>
        <v>13.326978570051336</v>
      </c>
      <c r="N258" s="75">
        <f>'THAM_SO_MOI'!$C$12*I258</f>
        <v>1130.112</v>
      </c>
      <c r="O258" s="75">
        <f>M258+N258</f>
        <v>1143.4389785700514</v>
      </c>
      <c r="P258" s="75">
        <f>(MIN(L258,'THAM_SO_MOI'!$C$41)-O258)/('THAM_SO_MOI'!$C$11*H258)</f>
        <v>0.8896519741889384</v>
      </c>
      <c r="Q258" s="75">
        <f>IF(P258&gt;0,1/P258,NA())</f>
        <v>1.124035048549925</v>
      </c>
      <c r="R258" s="75">
        <f>F258-F257</f>
        <v>0.0035133136094676054</v>
      </c>
      <c r="S258" s="75">
        <f>0.5*(Q257+Q258)*R258</f>
        <v>0.00394999460448733</v>
      </c>
      <c r="T258" s="75">
        <f>0.5*(F257*Q257+F258*Q258)*R258</f>
        <v>0.008424454252233364</v>
      </c>
      <c r="U258" s="76">
        <f>U257+S258</f>
        <v>1.0744159062780037</v>
      </c>
      <c r="V258" s="76">
        <f>V257+T258</f>
        <v>1.8042649605232328</v>
      </c>
    </row>
    <row r="259" spans="1:22" ht="19" customHeight="1">
      <c r="A259" s="68" t="s">
        <v>368</v>
      </c>
      <c r="B259" s="74">
        <v>1</v>
      </c>
      <c r="C259" s="68" t="s">
        <v>363</v>
      </c>
      <c r="D259" s="68" t="s">
        <v>364</v>
      </c>
      <c r="E259" s="75">
        <f>60*F259*'THAM_SO_MOI'!$C$49/(2*PI()*'THAM_SO_MOI'!$C$26)</f>
        <v>1369.2499999999998</v>
      </c>
      <c r="F259" s="75">
        <f>'THAM_SO_MOI'!$E$49+('THAM_SO_MOI'!$F$49-'THAM_SO_MOI'!$E$49)*253/'THAM_SO_MOI'!$C$42</f>
        <v>2.1380465154503616</v>
      </c>
      <c r="G259" s="75">
        <f>3.6*F259</f>
        <v>7.696967455621302</v>
      </c>
      <c r="H259" s="75">
        <f>'THAM_SO_MOI'!$D$49</f>
        <v>3.1625000000000005</v>
      </c>
      <c r="I259" s="75">
        <f>IF(F259&gt;'THAM_SO_MOI'!$C$14,'THAM_SO_MOI'!$C$13*(1+F259^2/1500),'THAM_SO_MOI'!$C$13)</f>
        <v>0.015</v>
      </c>
      <c r="J259" s="75">
        <f>'THAM_SO_MOI'!$C$40*('THAM_SO_MOI'!$C$23*(E259/'THAM_SO_MOI'!$C$22)+'THAM_SO_MOI'!$C$24*(E259/'THAM_SO_MOI'!$C$22)^2-'THAM_SO_MOI'!$C$25*(E259/'THAM_SO_MOI'!$C$22)^3)</f>
        <v>57.241664650689515</v>
      </c>
      <c r="K259" s="75">
        <f>'THAM_SO_MOI'!$C$31*J259/E259</f>
        <v>399.2848422878728</v>
      </c>
      <c r="L259" s="75">
        <f>K259*'THAM_SO_MOI'!$C$49*'THAM_SO_MOI'!$C$17/'THAM_SO_MOI'!$C$26</f>
        <v>22761.242590148904</v>
      </c>
      <c r="M259" s="75">
        <f>'THAM_SO_MOI'!$C$15*'THAM_SO_MOI'!$C$16*F259^2</f>
        <v>13.370885489021095</v>
      </c>
      <c r="N259" s="75">
        <f>'THAM_SO_MOI'!$C$12*I259</f>
        <v>1130.112</v>
      </c>
      <c r="O259" s="75">
        <f>M259+N259</f>
        <v>1143.482885489021</v>
      </c>
      <c r="P259" s="75">
        <f>(MIN(L259,'THAM_SO_MOI'!$C$41)-O259)/('THAM_SO_MOI'!$C$11*H259)</f>
        <v>0.89005927637763</v>
      </c>
      <c r="Q259" s="75">
        <f>IF(P259&gt;0,1/P259,NA())</f>
        <v>1.1235206761394674</v>
      </c>
      <c r="R259" s="75">
        <f>F259-F258</f>
        <v>0.0035133136094671613</v>
      </c>
      <c r="S259" s="75">
        <f>0.5*(Q258+Q259)*R259</f>
        <v>0.003948184057793535</v>
      </c>
      <c r="T259" s="75">
        <f>0.5*(F258*Q258+F259*Q259)*R259</f>
        <v>0.008434463975458105</v>
      </c>
      <c r="U259" s="76">
        <f>U258+S259</f>
        <v>1.0783640903357972</v>
      </c>
      <c r="V259" s="76">
        <f>V258+T259</f>
        <v>1.812699424498691</v>
      </c>
    </row>
    <row r="260" spans="1:22" ht="19" customHeight="1">
      <c r="A260" s="68" t="s">
        <v>368</v>
      </c>
      <c r="B260" s="74">
        <v>1</v>
      </c>
      <c r="C260" s="68" t="s">
        <v>363</v>
      </c>
      <c r="D260" s="68" t="s">
        <v>364</v>
      </c>
      <c r="E260" s="75">
        <f>60*F260*'THAM_SO_MOI'!$C$49/(2*PI()*'THAM_SO_MOI'!$C$26)</f>
        <v>1371.5</v>
      </c>
      <c r="F260" s="75">
        <f>'THAM_SO_MOI'!$E$49+('THAM_SO_MOI'!$F$49-'THAM_SO_MOI'!$E$49)*254/'THAM_SO_MOI'!$C$42</f>
        <v>2.1415598290598292</v>
      </c>
      <c r="G260" s="75">
        <f>3.6*F260</f>
        <v>7.709615384615385</v>
      </c>
      <c r="H260" s="75">
        <f>'THAM_SO_MOI'!$D$49</f>
        <v>3.1625000000000005</v>
      </c>
      <c r="I260" s="75">
        <f>IF(F260&gt;'THAM_SO_MOI'!$C$14,'THAM_SO_MOI'!$C$13*(1+F260^2/1500),'THAM_SO_MOI'!$C$13)</f>
        <v>0.015</v>
      </c>
      <c r="J260" s="75">
        <f>'THAM_SO_MOI'!$C$40*('THAM_SO_MOI'!$C$23*(E260/'THAM_SO_MOI'!$C$22)+'THAM_SO_MOI'!$C$24*(E260/'THAM_SO_MOI'!$C$22)^2-'THAM_SO_MOI'!$C$25*(E260/'THAM_SO_MOI'!$C$22)^3)</f>
        <v>57.36068566905076</v>
      </c>
      <c r="K260" s="75">
        <f>'THAM_SO_MOI'!$C$31*J260/E260</f>
        <v>399.458659684934</v>
      </c>
      <c r="L260" s="75">
        <f>K260*'THAM_SO_MOI'!$C$49*'THAM_SO_MOI'!$C$17/'THAM_SO_MOI'!$C$26</f>
        <v>22771.1510552893</v>
      </c>
      <c r="M260" s="75">
        <f>'THAM_SO_MOI'!$C$15*'THAM_SO_MOI'!$C$16*F260^2</f>
        <v>13.41486461672009</v>
      </c>
      <c r="N260" s="75">
        <f>'THAM_SO_MOI'!$C$12*I260</f>
        <v>1130.112</v>
      </c>
      <c r="O260" s="75">
        <f>M260+N260</f>
        <v>1143.52686461672</v>
      </c>
      <c r="P260" s="75">
        <f>(MIN(L260,'THAM_SO_MOI'!$C$41)-O260)/('THAM_SO_MOI'!$C$11*H260)</f>
        <v>0.8904654228702478</v>
      </c>
      <c r="Q260" s="75">
        <f>IF(P260&gt;0,1/P260,NA())</f>
        <v>1.1230082317814072</v>
      </c>
      <c r="R260" s="75">
        <f>F260-F259</f>
        <v>0.0035133136094676054</v>
      </c>
      <c r="S260" s="75">
        <f>0.5*(Q259+Q260)*R260</f>
        <v>0.003946380293130403</v>
      </c>
      <c r="T260" s="75">
        <f>0.5*(F259*Q259+F260*Q260)*R260</f>
        <v>0.008444475488842527</v>
      </c>
      <c r="U260" s="76">
        <f>U259+S260</f>
        <v>1.0823104706289275</v>
      </c>
      <c r="V260" s="76">
        <f>V259+T260</f>
        <v>1.8211438999875333</v>
      </c>
    </row>
    <row r="261" spans="1:22" ht="19" customHeight="1">
      <c r="A261" s="68" t="s">
        <v>368</v>
      </c>
      <c r="B261" s="74">
        <v>1</v>
      </c>
      <c r="C261" s="68" t="s">
        <v>363</v>
      </c>
      <c r="D261" s="68" t="s">
        <v>364</v>
      </c>
      <c r="E261" s="75">
        <f>60*F261*'THAM_SO_MOI'!$C$49/(2*PI()*'THAM_SO_MOI'!$C$26)</f>
        <v>1373.75</v>
      </c>
      <c r="F261" s="75">
        <f>'THAM_SO_MOI'!$E$49+('THAM_SO_MOI'!$F$49-'THAM_SO_MOI'!$E$49)*255/'THAM_SO_MOI'!$C$42</f>
        <v>2.145073142669297</v>
      </c>
      <c r="G261" s="75">
        <f>3.6*F261</f>
        <v>7.722263313609469</v>
      </c>
      <c r="H261" s="75">
        <f>'THAM_SO_MOI'!$D$49</f>
        <v>3.1625000000000005</v>
      </c>
      <c r="I261" s="75">
        <f>IF(F261&gt;'THAM_SO_MOI'!$C$14,'THAM_SO_MOI'!$C$13*(1+F261^2/1500),'THAM_SO_MOI'!$C$13)</f>
        <v>0.015</v>
      </c>
      <c r="J261" s="75">
        <f>'THAM_SO_MOI'!$C$40*('THAM_SO_MOI'!$C$23*(E261/'THAM_SO_MOI'!$C$22)+'THAM_SO_MOI'!$C$24*(E261/'THAM_SO_MOI'!$C$22)^2-'THAM_SO_MOI'!$C$25*(E261/'THAM_SO_MOI'!$C$22)^3)</f>
        <v>57.47971794029351</v>
      </c>
      <c r="K261" s="75">
        <f>'THAM_SO_MOI'!$C$31*J261/E261</f>
        <v>399.6319859439363</v>
      </c>
      <c r="L261" s="75">
        <f>K261*'THAM_SO_MOI'!$C$49*'THAM_SO_MOI'!$C$17/'THAM_SO_MOI'!$C$26</f>
        <v>22781.031523092162</v>
      </c>
      <c r="M261" s="75">
        <f>'THAM_SO_MOI'!$C$15*'THAM_SO_MOI'!$C$16*F261^2</f>
        <v>13.458915953148315</v>
      </c>
      <c r="N261" s="75">
        <f>'THAM_SO_MOI'!$C$12*I261</f>
        <v>1130.112</v>
      </c>
      <c r="O261" s="75">
        <f>M261+N261</f>
        <v>1143.5709159531484</v>
      </c>
      <c r="P261" s="75">
        <f>(MIN(L261,'THAM_SO_MOI'!$C$41)-O261)/('THAM_SO_MOI'!$C$11*H261)</f>
        <v>0.8908704136667905</v>
      </c>
      <c r="Q261" s="75">
        <f>IF(P261&gt;0,1/P261,NA())</f>
        <v>1.122497710844427</v>
      </c>
      <c r="R261" s="75">
        <f>F261-F260</f>
        <v>0.0035133136094676054</v>
      </c>
      <c r="S261" s="75">
        <f>0.5*(Q260+Q261)*R261</f>
        <v>0.003944583294183863</v>
      </c>
      <c r="T261" s="75">
        <f>0.5*(F260*Q260+F261*Q261)*R261</f>
        <v>0.008454488828902694</v>
      </c>
      <c r="U261" s="76">
        <f>U260+S261</f>
        <v>1.0862550539231113</v>
      </c>
      <c r="V261" s="76">
        <f>V260+T261</f>
        <v>1.829598388816436</v>
      </c>
    </row>
    <row r="262" spans="1:22" ht="19" customHeight="1">
      <c r="A262" s="68" t="s">
        <v>368</v>
      </c>
      <c r="B262" s="74">
        <v>1</v>
      </c>
      <c r="C262" s="68" t="s">
        <v>363</v>
      </c>
      <c r="D262" s="68" t="s">
        <v>364</v>
      </c>
      <c r="E262" s="75">
        <f>60*F262*'THAM_SO_MOI'!$C$49/(2*PI()*'THAM_SO_MOI'!$C$26)</f>
        <v>1375.9999999999998</v>
      </c>
      <c r="F262" s="75">
        <f>'THAM_SO_MOI'!$E$49+('THAM_SO_MOI'!$F$49-'THAM_SO_MOI'!$E$49)*256/'THAM_SO_MOI'!$C$42</f>
        <v>2.148586456278764</v>
      </c>
      <c r="G262" s="75">
        <f>3.6*F262</f>
        <v>7.734911242603551</v>
      </c>
      <c r="H262" s="75">
        <f>'THAM_SO_MOI'!$D$49</f>
        <v>3.1625000000000005</v>
      </c>
      <c r="I262" s="75">
        <f>IF(F262&gt;'THAM_SO_MOI'!$C$14,'THAM_SO_MOI'!$C$13*(1+F262^2/1500),'THAM_SO_MOI'!$C$13)</f>
        <v>0.015</v>
      </c>
      <c r="J262" s="75">
        <f>'THAM_SO_MOI'!$C$40*('THAM_SO_MOI'!$C$23*(E262/'THAM_SO_MOI'!$C$22)+'THAM_SO_MOI'!$C$24*(E262/'THAM_SO_MOI'!$C$22)^2-'THAM_SO_MOI'!$C$25*(E262/'THAM_SO_MOI'!$C$22)^3)</f>
        <v>57.598761117318254</v>
      </c>
      <c r="K262" s="75">
        <f>'THAM_SO_MOI'!$C$31*J262/E262</f>
        <v>399.80482106487995</v>
      </c>
      <c r="L262" s="75">
        <f>K262*'THAM_SO_MOI'!$C$49*'THAM_SO_MOI'!$C$17/'THAM_SO_MOI'!$C$26</f>
        <v>22790.883993557494</v>
      </c>
      <c r="M262" s="75">
        <f>'THAM_SO_MOI'!$C$15*'THAM_SO_MOI'!$C$16*F262^2</f>
        <v>13.503039498305773</v>
      </c>
      <c r="N262" s="75">
        <f>'THAM_SO_MOI'!$C$12*I262</f>
        <v>1130.112</v>
      </c>
      <c r="O262" s="75">
        <f>M262+N262</f>
        <v>1143.6150394983058</v>
      </c>
      <c r="P262" s="75">
        <f>(MIN(L262,'THAM_SO_MOI'!$C$41)-O262)/('THAM_SO_MOI'!$C$11*H262)</f>
        <v>0.891274248767259</v>
      </c>
      <c r="Q262" s="75">
        <f>IF(P262&gt;0,1/P262,NA())</f>
        <v>1.1219891087206009</v>
      </c>
      <c r="R262" s="75">
        <f>F262-F261</f>
        <v>0.0035133136094671613</v>
      </c>
      <c r="S262" s="75">
        <f>0.5*(Q261+Q262)*R262</f>
        <v>0.003942793044723739</v>
      </c>
      <c r="T262" s="75">
        <f>0.5*(F261*Q261+F262*Q262)*R262</f>
        <v>0.008464504032105495</v>
      </c>
      <c r="U262" s="76">
        <f>U261+S262</f>
        <v>1.090197846967835</v>
      </c>
      <c r="V262" s="76">
        <f>V261+T262</f>
        <v>1.8380628928485414</v>
      </c>
    </row>
    <row r="263" spans="1:22" ht="19" customHeight="1">
      <c r="A263" s="68" t="s">
        <v>368</v>
      </c>
      <c r="B263" s="74">
        <v>1</v>
      </c>
      <c r="C263" s="68" t="s">
        <v>363</v>
      </c>
      <c r="D263" s="68" t="s">
        <v>364</v>
      </c>
      <c r="E263" s="75">
        <f>60*F263*'THAM_SO_MOI'!$C$49/(2*PI()*'THAM_SO_MOI'!$C$26)</f>
        <v>1378.2499999999998</v>
      </c>
      <c r="F263" s="75">
        <f>'THAM_SO_MOI'!$E$49+('THAM_SO_MOI'!$F$49-'THAM_SO_MOI'!$E$49)*257/'THAM_SO_MOI'!$C$42</f>
        <v>2.1520997698882316</v>
      </c>
      <c r="G263" s="75">
        <f>3.6*F263</f>
        <v>7.747559171597634</v>
      </c>
      <c r="H263" s="75">
        <f>'THAM_SO_MOI'!$D$49</f>
        <v>3.1625000000000005</v>
      </c>
      <c r="I263" s="75">
        <f>IF(F263&gt;'THAM_SO_MOI'!$C$14,'THAM_SO_MOI'!$C$13*(1+F263^2/1500),'THAM_SO_MOI'!$C$13)</f>
        <v>0.015</v>
      </c>
      <c r="J263" s="75">
        <f>'THAM_SO_MOI'!$C$40*('THAM_SO_MOI'!$C$23*(E263/'THAM_SO_MOI'!$C$22)+'THAM_SO_MOI'!$C$24*(E263/'THAM_SO_MOI'!$C$22)^2-'THAM_SO_MOI'!$C$25*(E263/'THAM_SO_MOI'!$C$22)^3)</f>
        <v>57.717814853025445</v>
      </c>
      <c r="K263" s="75">
        <f>'THAM_SO_MOI'!$C$31*J263/E263</f>
        <v>399.97716504776474</v>
      </c>
      <c r="L263" s="75">
        <f>K263*'THAM_SO_MOI'!$C$49*'THAM_SO_MOI'!$C$17/'THAM_SO_MOI'!$C$26</f>
        <v>22800.70846668529</v>
      </c>
      <c r="M263" s="75">
        <f>'THAM_SO_MOI'!$C$15*'THAM_SO_MOI'!$C$16*F263^2</f>
        <v>13.547235252192467</v>
      </c>
      <c r="N263" s="75">
        <f>'THAM_SO_MOI'!$C$12*I263</f>
        <v>1130.112</v>
      </c>
      <c r="O263" s="75">
        <f>M263+N263</f>
        <v>1143.6592352521925</v>
      </c>
      <c r="P263" s="75">
        <f>(MIN(L263,'THAM_SO_MOI'!$C$41)-O263)/('THAM_SO_MOI'!$C$11*H263)</f>
        <v>0.8916769281716523</v>
      </c>
      <c r="Q263" s="75">
        <f>IF(P263&gt;0,1/P263,NA())</f>
        <v>1.1214824208252867</v>
      </c>
      <c r="R263" s="75">
        <f>F263-F262</f>
        <v>0.0035133136094676054</v>
      </c>
      <c r="S263" s="75">
        <f>0.5*(Q262+Q263)*R263</f>
        <v>0.003941009528603336</v>
      </c>
      <c r="T263" s="75">
        <f>0.5*(F262*Q262+F263*Q263)*R263</f>
        <v>0.008474521134869266</v>
      </c>
      <c r="U263" s="76">
        <f>U262+S263</f>
        <v>1.0941388564964385</v>
      </c>
      <c r="V263" s="76">
        <f>V262+T263</f>
        <v>1.8465374139834108</v>
      </c>
    </row>
    <row r="264" spans="1:22" ht="19" customHeight="1">
      <c r="A264" s="68" t="s">
        <v>368</v>
      </c>
      <c r="B264" s="74">
        <v>1</v>
      </c>
      <c r="C264" s="68" t="s">
        <v>363</v>
      </c>
      <c r="D264" s="68" t="s">
        <v>364</v>
      </c>
      <c r="E264" s="75">
        <f>60*F264*'THAM_SO_MOI'!$C$49/(2*PI()*'THAM_SO_MOI'!$C$26)</f>
        <v>1380.5</v>
      </c>
      <c r="F264" s="75">
        <f>'THAM_SO_MOI'!$E$49+('THAM_SO_MOI'!$F$49-'THAM_SO_MOI'!$E$49)*258/'THAM_SO_MOI'!$C$42</f>
        <v>2.155613083497699</v>
      </c>
      <c r="G264" s="75">
        <f>3.6*F264</f>
        <v>7.7602071005917175</v>
      </c>
      <c r="H264" s="75">
        <f>'THAM_SO_MOI'!$D$49</f>
        <v>3.1625000000000005</v>
      </c>
      <c r="I264" s="75">
        <f>IF(F264&gt;'THAM_SO_MOI'!$C$14,'THAM_SO_MOI'!$C$13*(1+F264^2/1500),'THAM_SO_MOI'!$C$13)</f>
        <v>0.015</v>
      </c>
      <c r="J264" s="75">
        <f>'THAM_SO_MOI'!$C$40*('THAM_SO_MOI'!$C$23*(E264/'THAM_SO_MOI'!$C$22)+'THAM_SO_MOI'!$C$24*(E264/'THAM_SO_MOI'!$C$22)^2-'THAM_SO_MOI'!$C$25*(E264/'THAM_SO_MOI'!$C$22)^3)</f>
        <v>57.83687880031553</v>
      </c>
      <c r="K264" s="75">
        <f>'THAM_SO_MOI'!$C$31*J264/E264</f>
        <v>400.14901789259073</v>
      </c>
      <c r="L264" s="75">
        <f>K264*'THAM_SO_MOI'!$C$49*'THAM_SO_MOI'!$C$17/'THAM_SO_MOI'!$C$26</f>
        <v>22810.504942475553</v>
      </c>
      <c r="M264" s="75">
        <f>'THAM_SO_MOI'!$C$15*'THAM_SO_MOI'!$C$16*F264^2</f>
        <v>13.591503214808395</v>
      </c>
      <c r="N264" s="75">
        <f>'THAM_SO_MOI'!$C$12*I264</f>
        <v>1130.112</v>
      </c>
      <c r="O264" s="75">
        <f>M264+N264</f>
        <v>1143.7035032148085</v>
      </c>
      <c r="P264" s="75">
        <f>(MIN(L264,'THAM_SO_MOI'!$C$41)-O264)/('THAM_SO_MOI'!$C$11*H264)</f>
        <v>0.8920784518799713</v>
      </c>
      <c r="Q264" s="75">
        <f>IF(P264&gt;0,1/P264,NA())</f>
        <v>1.1209776425970095</v>
      </c>
      <c r="R264" s="75">
        <f>F264-F263</f>
        <v>0.0035133136094676054</v>
      </c>
      <c r="S264" s="75">
        <f>0.5*(Q263+Q264)*R264</f>
        <v>0.003939232729754571</v>
      </c>
      <c r="T264" s="75">
        <f>0.5*(F263*Q263+F264*Q264)*R264</f>
        <v>0.00848454017355473</v>
      </c>
      <c r="U264" s="76">
        <f>U263+S264</f>
        <v>1.098078089226193</v>
      </c>
      <c r="V264" s="76">
        <f>V263+T264</f>
        <v>1.8550219541569655</v>
      </c>
    </row>
    <row r="265" spans="1:22" ht="19" customHeight="1">
      <c r="A265" s="68" t="s">
        <v>368</v>
      </c>
      <c r="B265" s="74">
        <v>1</v>
      </c>
      <c r="C265" s="68" t="s">
        <v>363</v>
      </c>
      <c r="D265" s="68" t="s">
        <v>364</v>
      </c>
      <c r="E265" s="75">
        <f>60*F265*'THAM_SO_MOI'!$C$49/(2*PI()*'THAM_SO_MOI'!$C$26)</f>
        <v>1382.75</v>
      </c>
      <c r="F265" s="75">
        <f>'THAM_SO_MOI'!$E$49+('THAM_SO_MOI'!$F$49-'THAM_SO_MOI'!$E$49)*259/'THAM_SO_MOI'!$C$42</f>
        <v>2.1591263971071664</v>
      </c>
      <c r="G265" s="75">
        <f>3.6*F265</f>
        <v>7.772855029585799</v>
      </c>
      <c r="H265" s="75">
        <f>'THAM_SO_MOI'!$D$49</f>
        <v>3.1625000000000005</v>
      </c>
      <c r="I265" s="75">
        <f>IF(F265&gt;'THAM_SO_MOI'!$C$14,'THAM_SO_MOI'!$C$13*(1+F265^2/1500),'THAM_SO_MOI'!$C$13)</f>
        <v>0.015</v>
      </c>
      <c r="J265" s="75">
        <f>'THAM_SO_MOI'!$C$40*('THAM_SO_MOI'!$C$23*(E265/'THAM_SO_MOI'!$C$22)+'THAM_SO_MOI'!$C$24*(E265/'THAM_SO_MOI'!$C$22)^2-'THAM_SO_MOI'!$C$25*(E265/'THAM_SO_MOI'!$C$22)^3)</f>
        <v>57.95595261208898</v>
      </c>
      <c r="K265" s="75">
        <f>'THAM_SO_MOI'!$C$31*J265/E265</f>
        <v>400.32037959935803</v>
      </c>
      <c r="L265" s="75">
        <f>K265*'THAM_SO_MOI'!$C$49*'THAM_SO_MOI'!$C$17/'THAM_SO_MOI'!$C$26</f>
        <v>22820.273420928286</v>
      </c>
      <c r="M265" s="75">
        <f>'THAM_SO_MOI'!$C$15*'THAM_SO_MOI'!$C$16*F265^2</f>
        <v>13.635843386153548</v>
      </c>
      <c r="N265" s="75">
        <f>'THAM_SO_MOI'!$C$12*I265</f>
        <v>1130.112</v>
      </c>
      <c r="O265" s="75">
        <f>M265+N265</f>
        <v>1143.7478433861536</v>
      </c>
      <c r="P265" s="75">
        <f>(MIN(L265,'THAM_SO_MOI'!$C$41)-O265)/('THAM_SO_MOI'!$C$11*H265)</f>
        <v>0.8924788198922154</v>
      </c>
      <c r="Q265" s="75">
        <f>IF(P265&gt;0,1/P265,NA())</f>
        <v>1.1204747694973534</v>
      </c>
      <c r="R265" s="75">
        <f>F265-F264</f>
        <v>0.0035133136094671613</v>
      </c>
      <c r="S265" s="75">
        <f>0.5*(Q264+Q265)*R265</f>
        <v>0.003937462632192061</v>
      </c>
      <c r="T265" s="75">
        <f>0.5*(F264*Q264+F265*Q265)*R265</f>
        <v>0.00849456118447522</v>
      </c>
      <c r="U265" s="76">
        <f>U264+S265</f>
        <v>1.102015551858385</v>
      </c>
      <c r="V265" s="76">
        <f>V264+T265</f>
        <v>1.8635165153414406</v>
      </c>
    </row>
    <row r="266" spans="1:22" ht="19" customHeight="1">
      <c r="A266" s="68" t="s">
        <v>368</v>
      </c>
      <c r="B266" s="74">
        <v>1</v>
      </c>
      <c r="C266" s="68" t="s">
        <v>363</v>
      </c>
      <c r="D266" s="68" t="s">
        <v>364</v>
      </c>
      <c r="E266" s="75">
        <f>60*F266*'THAM_SO_MOI'!$C$49/(2*PI()*'THAM_SO_MOI'!$C$26)</f>
        <v>1385.0</v>
      </c>
      <c r="F266" s="75">
        <f>'THAM_SO_MOI'!$E$49+('THAM_SO_MOI'!$F$49-'THAM_SO_MOI'!$E$49)*260/'THAM_SO_MOI'!$C$42</f>
        <v>2.162639710716634</v>
      </c>
      <c r="G266" s="75">
        <f>3.6*F266</f>
        <v>7.785502958579882</v>
      </c>
      <c r="H266" s="75">
        <f>'THAM_SO_MOI'!$D$49</f>
        <v>3.1625000000000005</v>
      </c>
      <c r="I266" s="75">
        <f>IF(F266&gt;'THAM_SO_MOI'!$C$14,'THAM_SO_MOI'!$C$13*(1+F266^2/1500),'THAM_SO_MOI'!$C$13)</f>
        <v>0.015</v>
      </c>
      <c r="J266" s="75">
        <f>'THAM_SO_MOI'!$C$40*('THAM_SO_MOI'!$C$23*(E266/'THAM_SO_MOI'!$C$22)+'THAM_SO_MOI'!$C$24*(E266/'THAM_SO_MOI'!$C$22)^2-'THAM_SO_MOI'!$C$25*(E266/'THAM_SO_MOI'!$C$22)^3)</f>
        <v>58.07503594124623</v>
      </c>
      <c r="K266" s="75">
        <f>'THAM_SO_MOI'!$C$31*J266/E266</f>
        <v>400.4912501680665</v>
      </c>
      <c r="L266" s="75">
        <f>K266*'THAM_SO_MOI'!$C$49*'THAM_SO_MOI'!$C$17/'THAM_SO_MOI'!$C$26</f>
        <v>22830.013902043484</v>
      </c>
      <c r="M266" s="75">
        <f>'THAM_SO_MOI'!$C$15*'THAM_SO_MOI'!$C$16*F266^2</f>
        <v>13.68025576622794</v>
      </c>
      <c r="N266" s="75">
        <f>'THAM_SO_MOI'!$C$12*I266</f>
        <v>1130.112</v>
      </c>
      <c r="O266" s="75">
        <f>M266+N266</f>
        <v>1143.792255766228</v>
      </c>
      <c r="P266" s="75">
        <f>(MIN(L266,'THAM_SO_MOI'!$C$41)-O266)/('THAM_SO_MOI'!$C$11*H266)</f>
        <v>0.8928780322083849</v>
      </c>
      <c r="Q266" s="75">
        <f>IF(P266&gt;0,1/P266,NA())</f>
        <v>1.119973797010849</v>
      </c>
      <c r="R266" s="75">
        <f>F266-F265</f>
        <v>0.0035133136094676054</v>
      </c>
      <c r="S266" s="75">
        <f>0.5*(Q265+Q266)*R266</f>
        <v>0.003935699220012728</v>
      </c>
      <c r="T266" s="75">
        <f>0.5*(F265*Q265+F266*Q266)*R266</f>
        <v>0.00850458420389728</v>
      </c>
      <c r="U266" s="76">
        <f>U265+S266</f>
        <v>1.1059512510783978</v>
      </c>
      <c r="V266" s="76">
        <f>V265+T266</f>
        <v>1.872021099545338</v>
      </c>
    </row>
    <row r="267" spans="1:22" ht="19" customHeight="1">
      <c r="A267" s="68" t="s">
        <v>368</v>
      </c>
      <c r="B267" s="74">
        <v>1</v>
      </c>
      <c r="C267" s="68" t="s">
        <v>363</v>
      </c>
      <c r="D267" s="68" t="s">
        <v>364</v>
      </c>
      <c r="E267" s="75">
        <f>60*F267*'THAM_SO_MOI'!$C$49/(2*PI()*'THAM_SO_MOI'!$C$26)</f>
        <v>1387.2499999999998</v>
      </c>
      <c r="F267" s="75">
        <f>'THAM_SO_MOI'!$E$49+('THAM_SO_MOI'!$F$49-'THAM_SO_MOI'!$E$49)*261/'THAM_SO_MOI'!$C$42</f>
        <v>2.166153024326101</v>
      </c>
      <c r="G267" s="75">
        <f>3.6*F267</f>
        <v>7.798150887573964</v>
      </c>
      <c r="H267" s="75">
        <f>'THAM_SO_MOI'!$D$49</f>
        <v>3.1625000000000005</v>
      </c>
      <c r="I267" s="75">
        <f>IF(F267&gt;'THAM_SO_MOI'!$C$14,'THAM_SO_MOI'!$C$13*(1+F267^2/1500),'THAM_SO_MOI'!$C$13)</f>
        <v>0.015</v>
      </c>
      <c r="J267" s="75">
        <f>'THAM_SO_MOI'!$C$40*('THAM_SO_MOI'!$C$23*(E267/'THAM_SO_MOI'!$C$22)+'THAM_SO_MOI'!$C$24*(E267/'THAM_SO_MOI'!$C$22)^2-'THAM_SO_MOI'!$C$25*(E267/'THAM_SO_MOI'!$C$22)^3)</f>
        <v>58.19412844068775</v>
      </c>
      <c r="K267" s="75">
        <f>'THAM_SO_MOI'!$C$31*J267/E267</f>
        <v>400.6616295987163</v>
      </c>
      <c r="L267" s="75">
        <f>K267*'THAM_SO_MOI'!$C$49*'THAM_SO_MOI'!$C$17/'THAM_SO_MOI'!$C$26</f>
        <v>22839.72638582115</v>
      </c>
      <c r="M267" s="75">
        <f>'THAM_SO_MOI'!$C$15*'THAM_SO_MOI'!$C$16*F267^2</f>
        <v>13.72474035503156</v>
      </c>
      <c r="N267" s="75">
        <f>'THAM_SO_MOI'!$C$12*I267</f>
        <v>1130.112</v>
      </c>
      <c r="O267" s="75">
        <f>M267+N267</f>
        <v>1143.8367403550317</v>
      </c>
      <c r="P267" s="75">
        <f>(MIN(L267,'THAM_SO_MOI'!$C$41)-O267)/('THAM_SO_MOI'!$C$11*H267)</f>
        <v>0.8932760888284798</v>
      </c>
      <c r="Q267" s="75">
        <f>IF(P267&gt;0,1/P267,NA())</f>
        <v>1.119474720644865</v>
      </c>
      <c r="R267" s="75">
        <f>F267-F266</f>
        <v>0.0035133136094671613</v>
      </c>
      <c r="S267" s="75">
        <f>0.5*(Q266+Q267)*R267</f>
        <v>0.003933942477390441</v>
      </c>
      <c r="T267" s="75">
        <f>0.5*(F266*Q266+F267*Q267)*R267</f>
        <v>0.008514609268030502</v>
      </c>
      <c r="U267" s="76">
        <f>U266+S267</f>
        <v>1.1098851935557883</v>
      </c>
      <c r="V267" s="76">
        <f>V266+T267</f>
        <v>1.8805357088133685</v>
      </c>
    </row>
    <row r="268" spans="1:22" ht="19" customHeight="1">
      <c r="A268" s="68" t="s">
        <v>368</v>
      </c>
      <c r="B268" s="74">
        <v>1</v>
      </c>
      <c r="C268" s="68" t="s">
        <v>363</v>
      </c>
      <c r="D268" s="68" t="s">
        <v>364</v>
      </c>
      <c r="E268" s="75">
        <f>60*F268*'THAM_SO_MOI'!$C$49/(2*PI()*'THAM_SO_MOI'!$C$26)</f>
        <v>1389.5</v>
      </c>
      <c r="F268" s="75">
        <f>'THAM_SO_MOI'!$E$49+('THAM_SO_MOI'!$F$49-'THAM_SO_MOI'!$E$49)*262/'THAM_SO_MOI'!$C$42</f>
        <v>2.1696663379355687</v>
      </c>
      <c r="G268" s="75">
        <f>3.6*F268</f>
        <v>7.810798816568048</v>
      </c>
      <c r="H268" s="75">
        <f>'THAM_SO_MOI'!$D$49</f>
        <v>3.1625000000000005</v>
      </c>
      <c r="I268" s="75">
        <f>IF(F268&gt;'THAM_SO_MOI'!$C$14,'THAM_SO_MOI'!$C$13*(1+F268^2/1500),'THAM_SO_MOI'!$C$13)</f>
        <v>0.015</v>
      </c>
      <c r="J268" s="75">
        <f>'THAM_SO_MOI'!$C$40*('THAM_SO_MOI'!$C$23*(E268/'THAM_SO_MOI'!$C$22)+'THAM_SO_MOI'!$C$24*(E268/'THAM_SO_MOI'!$C$22)^2-'THAM_SO_MOI'!$C$25*(E268/'THAM_SO_MOI'!$C$22)^3)</f>
        <v>58.31322976331399</v>
      </c>
      <c r="K268" s="75">
        <f>'THAM_SO_MOI'!$C$31*J268/E268</f>
        <v>400.8315178913072</v>
      </c>
      <c r="L268" s="75">
        <f>K268*'THAM_SO_MOI'!$C$49*'THAM_SO_MOI'!$C$17/'THAM_SO_MOI'!$C$26</f>
        <v>22849.41087226129</v>
      </c>
      <c r="M268" s="75">
        <f>'THAM_SO_MOI'!$C$15*'THAM_SO_MOI'!$C$16*F268^2</f>
        <v>13.76929715256442</v>
      </c>
      <c r="N268" s="75">
        <f>'THAM_SO_MOI'!$C$12*I268</f>
        <v>1130.112</v>
      </c>
      <c r="O268" s="75">
        <f>M268+N268</f>
        <v>1143.8812971525645</v>
      </c>
      <c r="P268" s="75">
        <f>(MIN(L268,'THAM_SO_MOI'!$C$41)-O268)/('THAM_SO_MOI'!$C$11*H268)</f>
        <v>0.8936729897525001</v>
      </c>
      <c r="Q268" s="75">
        <f>IF(P268&gt;0,1/P268,NA())</f>
        <v>1.118977535929498</v>
      </c>
      <c r="R268" s="75">
        <f>F268-F267</f>
        <v>0.0035133136094676054</v>
      </c>
      <c r="S268" s="75">
        <f>0.5*(Q267+Q268)*R268</f>
        <v>0.003932192388583091</v>
      </c>
      <c r="T268" s="75">
        <f>0.5*(F267*Q267+F268*Q268)*R268</f>
        <v>0.008524636413044226</v>
      </c>
      <c r="U268" s="76">
        <f>U267+S268</f>
        <v>1.1138173859443714</v>
      </c>
      <c r="V268" s="76">
        <f>V267+T268</f>
        <v>1.8890603452264128</v>
      </c>
    </row>
    <row r="269" spans="1:22" ht="19" customHeight="1">
      <c r="A269" s="68" t="s">
        <v>368</v>
      </c>
      <c r="B269" s="74">
        <v>1</v>
      </c>
      <c r="C269" s="68" t="s">
        <v>363</v>
      </c>
      <c r="D269" s="68" t="s">
        <v>364</v>
      </c>
      <c r="E269" s="75">
        <f>60*F269*'THAM_SO_MOI'!$C$49/(2*PI()*'THAM_SO_MOI'!$C$26)</f>
        <v>1391.7499999999998</v>
      </c>
      <c r="F269" s="75">
        <f>'THAM_SO_MOI'!$E$49+('THAM_SO_MOI'!$F$49-'THAM_SO_MOI'!$E$49)*263/'THAM_SO_MOI'!$C$42</f>
        <v>2.173179651545036</v>
      </c>
      <c r="G269" s="75">
        <f>3.6*F269</f>
        <v>7.823446745562129</v>
      </c>
      <c r="H269" s="75">
        <f>'THAM_SO_MOI'!$D$49</f>
        <v>3.1625000000000005</v>
      </c>
      <c r="I269" s="75">
        <f>IF(F269&gt;'THAM_SO_MOI'!$C$14,'THAM_SO_MOI'!$C$13*(1+F269^2/1500),'THAM_SO_MOI'!$C$13)</f>
        <v>0.015</v>
      </c>
      <c r="J269" s="75">
        <f>'THAM_SO_MOI'!$C$40*('THAM_SO_MOI'!$C$23*(E269/'THAM_SO_MOI'!$C$22)+'THAM_SO_MOI'!$C$24*(E269/'THAM_SO_MOI'!$C$22)^2-'THAM_SO_MOI'!$C$25*(E269/'THAM_SO_MOI'!$C$22)^3)</f>
        <v>58.432339562025376</v>
      </c>
      <c r="K269" s="75">
        <f>'THAM_SO_MOI'!$C$31*J269/E269</f>
        <v>401.00091504583924</v>
      </c>
      <c r="L269" s="75">
        <f>K269*'THAM_SO_MOI'!$C$49*'THAM_SO_MOI'!$C$17/'THAM_SO_MOI'!$C$26</f>
        <v>22859.067361363886</v>
      </c>
      <c r="M269" s="75">
        <f>'THAM_SO_MOI'!$C$15*'THAM_SO_MOI'!$C$16*F269^2</f>
        <v>13.813926158826508</v>
      </c>
      <c r="N269" s="75">
        <f>'THAM_SO_MOI'!$C$12*I269</f>
        <v>1130.112</v>
      </c>
      <c r="O269" s="75">
        <f>M269+N269</f>
        <v>1143.9259261588265</v>
      </c>
      <c r="P269" s="75">
        <f>(MIN(L269,'THAM_SO_MOI'!$C$41)-O269)/('THAM_SO_MOI'!$C$11*H269)</f>
        <v>0.8940687349804454</v>
      </c>
      <c r="Q269" s="75">
        <f>IF(P269&gt;0,1/P269,NA())</f>
        <v>1.1184822384174653</v>
      </c>
      <c r="R269" s="75">
        <f>F269-F268</f>
        <v>0.0035133136094671613</v>
      </c>
      <c r="S269" s="75">
        <f>0.5*(Q268+Q269)*R269</f>
        <v>0.003930448937924255</v>
      </c>
      <c r="T269" s="75">
        <f>0.5*(F268*Q268+F269*Q269)*R269</f>
        <v>0.008534665675050901</v>
      </c>
      <c r="U269" s="76">
        <f>U268+S269</f>
        <v>1.1177478348822956</v>
      </c>
      <c r="V269" s="76">
        <f>V268+T269</f>
        <v>1.8975950109014637</v>
      </c>
    </row>
    <row r="270" spans="1:22" ht="19" customHeight="1">
      <c r="A270" s="68" t="s">
        <v>368</v>
      </c>
      <c r="B270" s="74">
        <v>1</v>
      </c>
      <c r="C270" s="68" t="s">
        <v>363</v>
      </c>
      <c r="D270" s="68" t="s">
        <v>364</v>
      </c>
      <c r="E270" s="75">
        <f>60*F270*'THAM_SO_MOI'!$C$49/(2*PI()*'THAM_SO_MOI'!$C$26)</f>
        <v>1394.0000000000002</v>
      </c>
      <c r="F270" s="75">
        <f>'THAM_SO_MOI'!$E$49+('THAM_SO_MOI'!$F$49-'THAM_SO_MOI'!$E$49)*264/'THAM_SO_MOI'!$C$42</f>
        <v>2.176692965154504</v>
      </c>
      <c r="G270" s="75">
        <f>3.6*F270</f>
        <v>7.836094674556215</v>
      </c>
      <c r="H270" s="75">
        <f>'THAM_SO_MOI'!$D$49</f>
        <v>3.1625000000000005</v>
      </c>
      <c r="I270" s="75">
        <f>IF(F270&gt;'THAM_SO_MOI'!$C$14,'THAM_SO_MOI'!$C$13*(1+F270^2/1500),'THAM_SO_MOI'!$C$13)</f>
        <v>0.015</v>
      </c>
      <c r="J270" s="75">
        <f>'THAM_SO_MOI'!$C$40*('THAM_SO_MOI'!$C$23*(E270/'THAM_SO_MOI'!$C$22)+'THAM_SO_MOI'!$C$24*(E270/'THAM_SO_MOI'!$C$22)^2-'THAM_SO_MOI'!$C$25*(E270/'THAM_SO_MOI'!$C$22)^3)</f>
        <v>58.551457489722445</v>
      </c>
      <c r="K270" s="75">
        <f>'THAM_SO_MOI'!$C$31*J270/E270</f>
        <v>401.1698210623127</v>
      </c>
      <c r="L270" s="75">
        <f>K270*'THAM_SO_MOI'!$C$49*'THAM_SO_MOI'!$C$17/'THAM_SO_MOI'!$C$26</f>
        <v>22868.69585312896</v>
      </c>
      <c r="M270" s="75">
        <f>'THAM_SO_MOI'!$C$15*'THAM_SO_MOI'!$C$16*F270^2</f>
        <v>13.858627373817837</v>
      </c>
      <c r="N270" s="75">
        <f>'THAM_SO_MOI'!$C$12*I270</f>
        <v>1130.112</v>
      </c>
      <c r="O270" s="75">
        <f>M270+N270</f>
        <v>1143.970627373818</v>
      </c>
      <c r="P270" s="75">
        <f>(MIN(L270,'THAM_SO_MOI'!$C$41)-O270)/('THAM_SO_MOI'!$C$11*H270)</f>
        <v>0.8944633245123162</v>
      </c>
      <c r="Q270" s="75">
        <f>IF(P270&gt;0,1/P270,NA())</f>
        <v>1.117988823683995</v>
      </c>
      <c r="R270" s="75">
        <f>F270-F269</f>
        <v>0.0035133136094680495</v>
      </c>
      <c r="S270" s="75">
        <f>0.5*(Q269+Q270)*R270</f>
        <v>0.003928712109831262</v>
      </c>
      <c r="T270" s="75">
        <f>0.5*(F269*Q269+F270*Q270)*R270</f>
        <v>0.008544697090124976</v>
      </c>
      <c r="U270" s="76">
        <f>U269+S270</f>
        <v>1.1216765469921268</v>
      </c>
      <c r="V270" s="76">
        <f>V269+T270</f>
        <v>1.9061397079915887</v>
      </c>
    </row>
    <row r="271" spans="1:22" ht="19" customHeight="1">
      <c r="A271" s="68" t="s">
        <v>368</v>
      </c>
      <c r="B271" s="74">
        <v>1</v>
      </c>
      <c r="C271" s="68" t="s">
        <v>363</v>
      </c>
      <c r="D271" s="68" t="s">
        <v>364</v>
      </c>
      <c r="E271" s="75">
        <f>60*F271*'THAM_SO_MOI'!$C$49/(2*PI()*'THAM_SO_MOI'!$C$26)</f>
        <v>1396.25</v>
      </c>
      <c r="F271" s="75">
        <f>'THAM_SO_MOI'!$E$49+('THAM_SO_MOI'!$F$49-'THAM_SO_MOI'!$E$49)*265/'THAM_SO_MOI'!$C$42</f>
        <v>2.180206278763971</v>
      </c>
      <c r="G271" s="75">
        <f>3.6*F271</f>
        <v>7.8487426035502965</v>
      </c>
      <c r="H271" s="75">
        <f>'THAM_SO_MOI'!$D$49</f>
        <v>3.1625000000000005</v>
      </c>
      <c r="I271" s="75">
        <f>IF(F271&gt;'THAM_SO_MOI'!$C$14,'THAM_SO_MOI'!$C$13*(1+F271^2/1500),'THAM_SO_MOI'!$C$13)</f>
        <v>0.015</v>
      </c>
      <c r="J271" s="75">
        <f>'THAM_SO_MOI'!$C$40*('THAM_SO_MOI'!$C$23*(E271/'THAM_SO_MOI'!$C$22)+'THAM_SO_MOI'!$C$24*(E271/'THAM_SO_MOI'!$C$22)^2-'THAM_SO_MOI'!$C$25*(E271/'THAM_SO_MOI'!$C$22)^3)</f>
        <v>58.67058319930557</v>
      </c>
      <c r="K271" s="75">
        <f>'THAM_SO_MOI'!$C$31*J271/E271</f>
        <v>401.33823594072726</v>
      </c>
      <c r="L271" s="75">
        <f>K271*'THAM_SO_MOI'!$C$49*'THAM_SO_MOI'!$C$17/'THAM_SO_MOI'!$C$26</f>
        <v>22878.296347556497</v>
      </c>
      <c r="M271" s="75">
        <f>'THAM_SO_MOI'!$C$15*'THAM_SO_MOI'!$C$16*F271^2</f>
        <v>13.90340079753839</v>
      </c>
      <c r="N271" s="75">
        <f>'THAM_SO_MOI'!$C$12*I271</f>
        <v>1130.112</v>
      </c>
      <c r="O271" s="75">
        <f>M271+N271</f>
        <v>1144.0154007975384</v>
      </c>
      <c r="P271" s="75">
        <f>(MIN(L271,'THAM_SO_MOI'!$C$41)-O271)/('THAM_SO_MOI'!$C$11*H271)</f>
        <v>0.8948567583481124</v>
      </c>
      <c r="Q271" s="75">
        <f>IF(P271&gt;0,1/P271,NA())</f>
        <v>1.1174972873267224</v>
      </c>
      <c r="R271" s="75">
        <f>F271-F270</f>
        <v>0.0035133136094671613</v>
      </c>
      <c r="S271" s="75">
        <f>0.5*(Q270+Q271)*R271</f>
        <v>0.003926981888794386</v>
      </c>
      <c r="T271" s="75">
        <f>0.5*(F270*Q270+F271*Q271)*R271</f>
        <v>0.00855473069428081</v>
      </c>
      <c r="U271" s="76">
        <f>U270+S271</f>
        <v>1.1256035288809212</v>
      </c>
      <c r="V271" s="76">
        <f>V270+T271</f>
        <v>1.9146944386858695</v>
      </c>
    </row>
    <row r="272" spans="1:22" ht="19" customHeight="1">
      <c r="A272" s="68" t="s">
        <v>368</v>
      </c>
      <c r="B272" s="74">
        <v>1</v>
      </c>
      <c r="C272" s="68" t="s">
        <v>363</v>
      </c>
      <c r="D272" s="68" t="s">
        <v>364</v>
      </c>
      <c r="E272" s="75">
        <f>60*F272*'THAM_SO_MOI'!$C$49/(2*PI()*'THAM_SO_MOI'!$C$26)</f>
        <v>1398.5</v>
      </c>
      <c r="F272" s="75">
        <f>'THAM_SO_MOI'!$E$49+('THAM_SO_MOI'!$F$49-'THAM_SO_MOI'!$E$49)*266/'THAM_SO_MOI'!$C$42</f>
        <v>2.1837195923734387</v>
      </c>
      <c r="G272" s="75">
        <f>3.6*F272</f>
        <v>7.861390532544379</v>
      </c>
      <c r="H272" s="75">
        <f>'THAM_SO_MOI'!$D$49</f>
        <v>3.1625000000000005</v>
      </c>
      <c r="I272" s="75">
        <f>IF(F272&gt;'THAM_SO_MOI'!$C$14,'THAM_SO_MOI'!$C$13*(1+F272^2/1500),'THAM_SO_MOI'!$C$13)</f>
        <v>0.015</v>
      </c>
      <c r="J272" s="75">
        <f>'THAM_SO_MOI'!$C$40*('THAM_SO_MOI'!$C$23*(E272/'THAM_SO_MOI'!$C$22)+'THAM_SO_MOI'!$C$24*(E272/'THAM_SO_MOI'!$C$22)^2-'THAM_SO_MOI'!$C$25*(E272/'THAM_SO_MOI'!$C$22)^3)</f>
        <v>58.78971634367523</v>
      </c>
      <c r="K272" s="75">
        <f>'THAM_SO_MOI'!$C$31*J272/E272</f>
        <v>401.50615968108303</v>
      </c>
      <c r="L272" s="75">
        <f>K272*'THAM_SO_MOI'!$C$49*'THAM_SO_MOI'!$C$17/'THAM_SO_MOI'!$C$26</f>
        <v>22887.868844646502</v>
      </c>
      <c r="M272" s="75">
        <f>'THAM_SO_MOI'!$C$15*'THAM_SO_MOI'!$C$16*F272^2</f>
        <v>13.948246429988181</v>
      </c>
      <c r="N272" s="75">
        <f>'THAM_SO_MOI'!$C$12*I272</f>
        <v>1130.112</v>
      </c>
      <c r="O272" s="75">
        <f>M272+N272</f>
        <v>1144.0602464299882</v>
      </c>
      <c r="P272" s="75">
        <f>(MIN(L272,'THAM_SO_MOI'!$C$41)-O272)/('THAM_SO_MOI'!$C$11*H272)</f>
        <v>0.8952490364878339</v>
      </c>
      <c r="Q272" s="75">
        <f>IF(P272&gt;0,1/P272,NA())</f>
        <v>1.117007624965581</v>
      </c>
      <c r="R272" s="75">
        <f>F272-F271</f>
        <v>0.0035133136094676054</v>
      </c>
      <c r="S272" s="75">
        <f>0.5*(Q271+Q272)*R272</f>
        <v>0.003925258259389383</v>
      </c>
      <c r="T272" s="75">
        <f>0.5*(F271*Q271+F272*Q272)*R272</f>
        <v>0.00856476652350133</v>
      </c>
      <c r="U272" s="76">
        <f>U271+S272</f>
        <v>1.1295287871403106</v>
      </c>
      <c r="V272" s="76">
        <f>V271+T272</f>
        <v>1.9232592052093709</v>
      </c>
    </row>
    <row r="273" spans="1:22" ht="19" customHeight="1">
      <c r="A273" s="68" t="s">
        <v>368</v>
      </c>
      <c r="B273" s="74">
        <v>1</v>
      </c>
      <c r="C273" s="68" t="s">
        <v>363</v>
      </c>
      <c r="D273" s="68" t="s">
        <v>364</v>
      </c>
      <c r="E273" s="75">
        <f>60*F273*'THAM_SO_MOI'!$C$49/(2*PI()*'THAM_SO_MOI'!$C$26)</f>
        <v>1400.75</v>
      </c>
      <c r="F273" s="75">
        <f>'THAM_SO_MOI'!$E$49+('THAM_SO_MOI'!$F$49-'THAM_SO_MOI'!$E$49)*267/'THAM_SO_MOI'!$C$42</f>
        <v>2.1872329059829063</v>
      </c>
      <c r="G273" s="75">
        <f>3.6*F273</f>
        <v>7.874038461538463</v>
      </c>
      <c r="H273" s="75">
        <f>'THAM_SO_MOI'!$D$49</f>
        <v>3.1625000000000005</v>
      </c>
      <c r="I273" s="75">
        <f>IF(F273&gt;'THAM_SO_MOI'!$C$14,'THAM_SO_MOI'!$C$13*(1+F273^2/1500),'THAM_SO_MOI'!$C$13)</f>
        <v>0.015</v>
      </c>
      <c r="J273" s="75">
        <f>'THAM_SO_MOI'!$C$40*('THAM_SO_MOI'!$C$23*(E273/'THAM_SO_MOI'!$C$22)+'THAM_SO_MOI'!$C$24*(E273/'THAM_SO_MOI'!$C$22)^2-'THAM_SO_MOI'!$C$25*(E273/'THAM_SO_MOI'!$C$22)^3)</f>
        <v>58.9088565757319</v>
      </c>
      <c r="K273" s="75">
        <f>'THAM_SO_MOI'!$C$31*J273/E273</f>
        <v>401.6735922833802</v>
      </c>
      <c r="L273" s="75">
        <f>K273*'THAM_SO_MOI'!$C$49*'THAM_SO_MOI'!$C$17/'THAM_SO_MOI'!$C$26</f>
        <v>22897.413344398978</v>
      </c>
      <c r="M273" s="75">
        <f>'THAM_SO_MOI'!$C$15*'THAM_SO_MOI'!$C$16*F273^2</f>
        <v>13.993164271167206</v>
      </c>
      <c r="N273" s="75">
        <f>'THAM_SO_MOI'!$C$12*I273</f>
        <v>1130.112</v>
      </c>
      <c r="O273" s="75">
        <f>M273+N273</f>
        <v>1144.1051642711673</v>
      </c>
      <c r="P273" s="75">
        <f>(MIN(L273,'THAM_SO_MOI'!$C$41)-O273)/('THAM_SO_MOI'!$C$11*H273)</f>
        <v>0.8956401589314809</v>
      </c>
      <c r="Q273" s="75">
        <f>IF(P273&gt;0,1/P273,NA())</f>
        <v>1.1165198322426977</v>
      </c>
      <c r="R273" s="75">
        <f>F273-F272</f>
        <v>0.0035133136094676054</v>
      </c>
      <c r="S273" s="75">
        <f>0.5*(Q272+Q273)*R273</f>
        <v>0.00392354120626471</v>
      </c>
      <c r="T273" s="75">
        <f>0.5*(F272*Q272+F273*Q273)*R273</f>
        <v>0.008574804613711578</v>
      </c>
      <c r="U273" s="76">
        <f>U272+S273</f>
        <v>1.1334523283465754</v>
      </c>
      <c r="V273" s="76">
        <f>V272+T273</f>
        <v>1.9318340098230824</v>
      </c>
    </row>
    <row r="274" spans="1:22" ht="19" customHeight="1">
      <c r="A274" s="68" t="s">
        <v>368</v>
      </c>
      <c r="B274" s="74">
        <v>1</v>
      </c>
      <c r="C274" s="68" t="s">
        <v>363</v>
      </c>
      <c r="D274" s="68" t="s">
        <v>364</v>
      </c>
      <c r="E274" s="75">
        <f>60*F274*'THAM_SO_MOI'!$C$49/(2*PI()*'THAM_SO_MOI'!$C$26)</f>
        <v>1403.0</v>
      </c>
      <c r="F274" s="75">
        <f>'THAM_SO_MOI'!$E$49+('THAM_SO_MOI'!$F$49-'THAM_SO_MOI'!$E$49)*268/'THAM_SO_MOI'!$C$42</f>
        <v>2.1907462195923735</v>
      </c>
      <c r="G274" s="75">
        <f>3.6*F274</f>
        <v>7.886686390532545</v>
      </c>
      <c r="H274" s="75">
        <f>'THAM_SO_MOI'!$D$49</f>
        <v>3.1625000000000005</v>
      </c>
      <c r="I274" s="75">
        <f>IF(F274&gt;'THAM_SO_MOI'!$C$14,'THAM_SO_MOI'!$C$13*(1+F274^2/1500),'THAM_SO_MOI'!$C$13)</f>
        <v>0.015</v>
      </c>
      <c r="J274" s="75">
        <f>'THAM_SO_MOI'!$C$40*('THAM_SO_MOI'!$C$23*(E274/'THAM_SO_MOI'!$C$22)+'THAM_SO_MOI'!$C$24*(E274/'THAM_SO_MOI'!$C$22)^2-'THAM_SO_MOI'!$C$25*(E274/'THAM_SO_MOI'!$C$22)^3)</f>
        <v>59.02800354837602</v>
      </c>
      <c r="K274" s="75">
        <f>'THAM_SO_MOI'!$C$31*J274/E274</f>
        <v>401.8405337476184</v>
      </c>
      <c r="L274" s="75">
        <f>K274*'THAM_SO_MOI'!$C$49*'THAM_SO_MOI'!$C$17/'THAM_SO_MOI'!$C$26</f>
        <v>22906.929846813913</v>
      </c>
      <c r="M274" s="75">
        <f>'THAM_SO_MOI'!$C$15*'THAM_SO_MOI'!$C$16*F274^2</f>
        <v>14.038154321075458</v>
      </c>
      <c r="N274" s="75">
        <f>'THAM_SO_MOI'!$C$12*I274</f>
        <v>1130.112</v>
      </c>
      <c r="O274" s="75">
        <f>M274+N274</f>
        <v>1144.1501543210754</v>
      </c>
      <c r="P274" s="75">
        <f>(MIN(L274,'THAM_SO_MOI'!$C$41)-O274)/('THAM_SO_MOI'!$C$11*H274)</f>
        <v>0.8960301256790528</v>
      </c>
      <c r="Q274" s="75">
        <f>IF(P274&gt;0,1/P274,NA())</f>
        <v>1.1160339048222894</v>
      </c>
      <c r="R274" s="75">
        <f>F274-F273</f>
        <v>0.0035133136094671613</v>
      </c>
      <c r="S274" s="75">
        <f>0.5*(Q273+Q274)*R274</f>
        <v>0.003921830714148595</v>
      </c>
      <c r="T274" s="75">
        <f>0.5*(F273*Q273+F274*Q274)*R274</f>
        <v>0.008584845000795477</v>
      </c>
      <c r="U274" s="76">
        <f>U273+S274</f>
        <v>1.137374159060724</v>
      </c>
      <c r="V274" s="76">
        <f>V273+T274</f>
        <v>1.9404188548238779</v>
      </c>
    </row>
    <row r="275" spans="1:22" ht="19" customHeight="1">
      <c r="A275" s="68" t="s">
        <v>368</v>
      </c>
      <c r="B275" s="74">
        <v>1</v>
      </c>
      <c r="C275" s="68" t="s">
        <v>363</v>
      </c>
      <c r="D275" s="68" t="s">
        <v>364</v>
      </c>
      <c r="E275" s="75">
        <f>60*F275*'THAM_SO_MOI'!$C$49/(2*PI()*'THAM_SO_MOI'!$C$26)</f>
        <v>1405.2499999999998</v>
      </c>
      <c r="F275" s="75">
        <f>'THAM_SO_MOI'!$E$49+('THAM_SO_MOI'!$F$49-'THAM_SO_MOI'!$E$49)*269/'THAM_SO_MOI'!$C$42</f>
        <v>2.194259533201841</v>
      </c>
      <c r="G275" s="75">
        <f>3.6*F275</f>
        <v>7.899334319526628</v>
      </c>
      <c r="H275" s="75">
        <f>'THAM_SO_MOI'!$D$49</f>
        <v>3.1625000000000005</v>
      </c>
      <c r="I275" s="75">
        <f>IF(F275&gt;'THAM_SO_MOI'!$C$14,'THAM_SO_MOI'!$C$13*(1+F275^2/1500),'THAM_SO_MOI'!$C$13)</f>
        <v>0.015</v>
      </c>
      <c r="J275" s="75">
        <f>'THAM_SO_MOI'!$C$40*('THAM_SO_MOI'!$C$23*(E275/'THAM_SO_MOI'!$C$22)+'THAM_SO_MOI'!$C$24*(E275/'THAM_SO_MOI'!$C$22)^2-'THAM_SO_MOI'!$C$25*(E275/'THAM_SO_MOI'!$C$22)^3)</f>
        <v>59.14715691450802</v>
      </c>
      <c r="K275" s="75">
        <f>'THAM_SO_MOI'!$C$31*J275/E275</f>
        <v>402.0069840737977</v>
      </c>
      <c r="L275" s="75">
        <f>K275*'THAM_SO_MOI'!$C$49*'THAM_SO_MOI'!$C$17/'THAM_SO_MOI'!$C$26</f>
        <v>22916.418351891312</v>
      </c>
      <c r="M275" s="75">
        <f>'THAM_SO_MOI'!$C$15*'THAM_SO_MOI'!$C$16*F275^2</f>
        <v>14.083216579712948</v>
      </c>
      <c r="N275" s="75">
        <f>'THAM_SO_MOI'!$C$12*I275</f>
        <v>1130.112</v>
      </c>
      <c r="O275" s="75">
        <f>M275+N275</f>
        <v>1144.1952165797131</v>
      </c>
      <c r="P275" s="75">
        <f>(MIN(L275,'THAM_SO_MOI'!$C$41)-O275)/('THAM_SO_MOI'!$C$11*H275)</f>
        <v>0.8964189367305498</v>
      </c>
      <c r="Q275" s="75">
        <f>IF(P275&gt;0,1/P275,NA())</f>
        <v>1.115549838390557</v>
      </c>
      <c r="R275" s="75">
        <f>F275-F274</f>
        <v>0.0035133136094676054</v>
      </c>
      <c r="S275" s="75">
        <f>0.5*(Q274+Q275)*R275</f>
        <v>0.003920126767848178</v>
      </c>
      <c r="T275" s="75">
        <f>0.5*(F274*Q274+F275*Q275)*R275</f>
        <v>0.008594887720595351</v>
      </c>
      <c r="U275" s="76">
        <f>U274+S275</f>
        <v>1.1412942858285722</v>
      </c>
      <c r="V275" s="76">
        <f>V274+T275</f>
        <v>1.9490137425444731</v>
      </c>
    </row>
    <row r="276" spans="1:22" ht="19" customHeight="1">
      <c r="A276" s="68" t="s">
        <v>368</v>
      </c>
      <c r="B276" s="74">
        <v>1</v>
      </c>
      <c r="C276" s="68" t="s">
        <v>363</v>
      </c>
      <c r="D276" s="68" t="s">
        <v>364</v>
      </c>
      <c r="E276" s="75">
        <f>60*F276*'THAM_SO_MOI'!$C$49/(2*PI()*'THAM_SO_MOI'!$C$26)</f>
        <v>1407.5</v>
      </c>
      <c r="F276" s="75">
        <f>'THAM_SO_MOI'!$E$49+('THAM_SO_MOI'!$F$49-'THAM_SO_MOI'!$E$49)*270/'THAM_SO_MOI'!$C$42</f>
        <v>2.1977728468113087</v>
      </c>
      <c r="G276" s="75">
        <f>3.6*F276</f>
        <v>7.911982248520712</v>
      </c>
      <c r="H276" s="75">
        <f>'THAM_SO_MOI'!$D$49</f>
        <v>3.1625000000000005</v>
      </c>
      <c r="I276" s="75">
        <f>IF(F276&gt;'THAM_SO_MOI'!$C$14,'THAM_SO_MOI'!$C$13*(1+F276^2/1500),'THAM_SO_MOI'!$C$13)</f>
        <v>0.015</v>
      </c>
      <c r="J276" s="75">
        <f>'THAM_SO_MOI'!$C$40*('THAM_SO_MOI'!$C$23*(E276/'THAM_SO_MOI'!$C$22)+'THAM_SO_MOI'!$C$24*(E276/'THAM_SO_MOI'!$C$22)^2-'THAM_SO_MOI'!$C$25*(E276/'THAM_SO_MOI'!$C$22)^3)</f>
        <v>59.26631632702842</v>
      </c>
      <c r="K276" s="75">
        <f>'THAM_SO_MOI'!$C$31*J276/E276</f>
        <v>402.1729432619184</v>
      </c>
      <c r="L276" s="75">
        <f>K276*'THAM_SO_MOI'!$C$49*'THAM_SO_MOI'!$C$17/'THAM_SO_MOI'!$C$26</f>
        <v>22925.87885963119</v>
      </c>
      <c r="M276" s="75">
        <f>'THAM_SO_MOI'!$C$15*'THAM_SO_MOI'!$C$16*F276^2</f>
        <v>14.128351047079672</v>
      </c>
      <c r="N276" s="75">
        <f>'THAM_SO_MOI'!$C$12*I276</f>
        <v>1130.112</v>
      </c>
      <c r="O276" s="75">
        <f>M276+N276</f>
        <v>1144.2403510470797</v>
      </c>
      <c r="P276" s="75">
        <f>(MIN(L276,'THAM_SO_MOI'!$C$41)-O276)/('THAM_SO_MOI'!$C$11*H276)</f>
        <v>0.8968065920859728</v>
      </c>
      <c r="Q276" s="75">
        <f>IF(P276&gt;0,1/P276,NA())</f>
        <v>1.1150676286555825</v>
      </c>
      <c r="R276" s="75">
        <f>F276-F275</f>
        <v>0.0035133136094676054</v>
      </c>
      <c r="S276" s="75">
        <f>0.5*(Q275+Q276)*R276</f>
        <v>0.00391842935224468</v>
      </c>
      <c r="T276" s="75">
        <f>0.5*(F275*Q275+F276*Q276)*R276</f>
        <v>0.008604932808902696</v>
      </c>
      <c r="U276" s="76">
        <f>U275+S276</f>
        <v>1.145212715180817</v>
      </c>
      <c r="V276" s="76">
        <f>V275+T276</f>
        <v>1.9576186753533757</v>
      </c>
    </row>
    <row r="277" spans="1:22" ht="19" customHeight="1">
      <c r="A277" s="68" t="s">
        <v>368</v>
      </c>
      <c r="B277" s="74">
        <v>1</v>
      </c>
      <c r="C277" s="68" t="s">
        <v>363</v>
      </c>
      <c r="D277" s="68" t="s">
        <v>364</v>
      </c>
      <c r="E277" s="75">
        <f>60*F277*'THAM_SO_MOI'!$C$49/(2*PI()*'THAM_SO_MOI'!$C$26)</f>
        <v>1409.7499999999998</v>
      </c>
      <c r="F277" s="75">
        <f>'THAM_SO_MOI'!$E$49+('THAM_SO_MOI'!$F$49-'THAM_SO_MOI'!$E$49)*271/'THAM_SO_MOI'!$C$42</f>
        <v>2.201286160420776</v>
      </c>
      <c r="G277" s="75">
        <f>3.6*F277</f>
        <v>7.924630177514794</v>
      </c>
      <c r="H277" s="75">
        <f>'THAM_SO_MOI'!$D$49</f>
        <v>3.1625000000000005</v>
      </c>
      <c r="I277" s="75">
        <f>IF(F277&gt;'THAM_SO_MOI'!$C$14,'THAM_SO_MOI'!$C$13*(1+F277^2/1500),'THAM_SO_MOI'!$C$13)</f>
        <v>0.015</v>
      </c>
      <c r="J277" s="75">
        <f>'THAM_SO_MOI'!$C$40*('THAM_SO_MOI'!$C$23*(E277/'THAM_SO_MOI'!$C$22)+'THAM_SO_MOI'!$C$24*(E277/'THAM_SO_MOI'!$C$22)^2-'THAM_SO_MOI'!$C$25*(E277/'THAM_SO_MOI'!$C$22)^3)</f>
        <v>59.385481438837616</v>
      </c>
      <c r="K277" s="75">
        <f>'THAM_SO_MOI'!$C$31*J277/E277</f>
        <v>402.33841131198034</v>
      </c>
      <c r="L277" s="75">
        <f>K277*'THAM_SO_MOI'!$C$49*'THAM_SO_MOI'!$C$17/'THAM_SO_MOI'!$C$26</f>
        <v>22935.31137003353</v>
      </c>
      <c r="M277" s="75">
        <f>'THAM_SO_MOI'!$C$15*'THAM_SO_MOI'!$C$16*F277^2</f>
        <v>14.173557723175623</v>
      </c>
      <c r="N277" s="75">
        <f>'THAM_SO_MOI'!$C$12*I277</f>
        <v>1130.112</v>
      </c>
      <c r="O277" s="75">
        <f>M277+N277</f>
        <v>1144.2855577231758</v>
      </c>
      <c r="P277" s="75">
        <f>(MIN(L277,'THAM_SO_MOI'!$C$41)-O277)/('THAM_SO_MOI'!$C$11*H277)</f>
        <v>0.8971930917453208</v>
      </c>
      <c r="Q277" s="75">
        <f>IF(P277&gt;0,1/P277,NA())</f>
        <v>1.1145872713472276</v>
      </c>
      <c r="R277" s="75">
        <f>F277-F276</f>
        <v>0.0035133136094671613</v>
      </c>
      <c r="S277" s="75">
        <f>0.5*(Q276+Q277)*R277</f>
        <v>0.003916738452297508</v>
      </c>
      <c r="T277" s="75">
        <f>0.5*(F276*Q276+F277*Q277)*R277</f>
        <v>0.008614980301468504</v>
      </c>
      <c r="U277" s="76">
        <f>U276+S277</f>
        <v>1.1491294536331145</v>
      </c>
      <c r="V277" s="76">
        <f>V276+T277</f>
        <v>1.9662336556548443</v>
      </c>
    </row>
    <row r="278" spans="1:22" ht="19" customHeight="1">
      <c r="A278" s="68" t="s">
        <v>368</v>
      </c>
      <c r="B278" s="74">
        <v>1</v>
      </c>
      <c r="C278" s="68" t="s">
        <v>363</v>
      </c>
      <c r="D278" s="68" t="s">
        <v>364</v>
      </c>
      <c r="E278" s="75">
        <f>60*F278*'THAM_SO_MOI'!$C$49/(2*PI()*'THAM_SO_MOI'!$C$26)</f>
        <v>1411.9999999999998</v>
      </c>
      <c r="F278" s="75">
        <f>'THAM_SO_MOI'!$E$49+('THAM_SO_MOI'!$F$49-'THAM_SO_MOI'!$E$49)*272/'THAM_SO_MOI'!$C$42</f>
        <v>2.2047994740302435</v>
      </c>
      <c r="G278" s="75">
        <f>3.6*F278</f>
        <v>7.937278106508876</v>
      </c>
      <c r="H278" s="75">
        <f>'THAM_SO_MOI'!$D$49</f>
        <v>3.1625000000000005</v>
      </c>
      <c r="I278" s="75">
        <f>IF(F278&gt;'THAM_SO_MOI'!$C$14,'THAM_SO_MOI'!$C$13*(1+F278^2/1500),'THAM_SO_MOI'!$C$13)</f>
        <v>0.015</v>
      </c>
      <c r="J278" s="75">
        <f>'THAM_SO_MOI'!$C$40*('THAM_SO_MOI'!$C$23*(E278/'THAM_SO_MOI'!$C$22)+'THAM_SO_MOI'!$C$24*(E278/'THAM_SO_MOI'!$C$22)^2-'THAM_SO_MOI'!$C$25*(E278/'THAM_SO_MOI'!$C$22)^3)</f>
        <v>59.50465190283609</v>
      </c>
      <c r="K278" s="75">
        <f>'THAM_SO_MOI'!$C$31*J278/E278</f>
        <v>402.50338822398345</v>
      </c>
      <c r="L278" s="75">
        <f>K278*'THAM_SO_MOI'!$C$49*'THAM_SO_MOI'!$C$17/'THAM_SO_MOI'!$C$26</f>
        <v>22944.715883098343</v>
      </c>
      <c r="M278" s="75">
        <f>'THAM_SO_MOI'!$C$15*'THAM_SO_MOI'!$C$16*F278^2</f>
        <v>14.218836608000812</v>
      </c>
      <c r="N278" s="75">
        <f>'THAM_SO_MOI'!$C$12*I278</f>
        <v>1130.112</v>
      </c>
      <c r="O278" s="75">
        <f>M278+N278</f>
        <v>1144.330836608001</v>
      </c>
      <c r="P278" s="75">
        <f>(MIN(L278,'THAM_SO_MOI'!$C$41)-O278)/('THAM_SO_MOI'!$C$11*H278)</f>
        <v>0.8975784357085943</v>
      </c>
      <c r="Q278" s="75">
        <f>IF(P278&gt;0,1/P278,NA())</f>
        <v>1.11410876221703</v>
      </c>
      <c r="R278" s="75">
        <f>F278-F277</f>
        <v>0.0035133136094676054</v>
      </c>
      <c r="S278" s="75">
        <f>0.5*(Q277+Q278)*R278</f>
        <v>0.003915054053043888</v>
      </c>
      <c r="T278" s="75">
        <f>0.5*(F277*Q277+F278*Q278)*R278</f>
        <v>0.008625030234003846</v>
      </c>
      <c r="U278" s="76">
        <f>U277+S278</f>
        <v>1.1530445076861584</v>
      </c>
      <c r="V278" s="76">
        <f>V277+T278</f>
        <v>1.9748586858888482</v>
      </c>
    </row>
    <row r="279" spans="1:22" ht="19" customHeight="1">
      <c r="A279" s="68" t="s">
        <v>368</v>
      </c>
      <c r="B279" s="74">
        <v>1</v>
      </c>
      <c r="C279" s="68" t="s">
        <v>363</v>
      </c>
      <c r="D279" s="68" t="s">
        <v>364</v>
      </c>
      <c r="E279" s="75">
        <f>60*F279*'THAM_SO_MOI'!$C$49/(2*PI()*'THAM_SO_MOI'!$C$26)</f>
        <v>1414.2499999999998</v>
      </c>
      <c r="F279" s="75">
        <f>'THAM_SO_MOI'!$E$49+('THAM_SO_MOI'!$F$49-'THAM_SO_MOI'!$E$49)*273/'THAM_SO_MOI'!$C$42</f>
        <v>2.2083127876397106</v>
      </c>
      <c r="G279" s="75">
        <f>3.6*F279</f>
        <v>7.949926035502958</v>
      </c>
      <c r="H279" s="75">
        <f>'THAM_SO_MOI'!$D$49</f>
        <v>3.1625000000000005</v>
      </c>
      <c r="I279" s="75">
        <f>IF(F279&gt;'THAM_SO_MOI'!$C$14,'THAM_SO_MOI'!$C$13*(1+F279^2/1500),'THAM_SO_MOI'!$C$13)</f>
        <v>0.015</v>
      </c>
      <c r="J279" s="75">
        <f>'THAM_SO_MOI'!$C$40*('THAM_SO_MOI'!$C$23*(E279/'THAM_SO_MOI'!$C$22)+'THAM_SO_MOI'!$C$24*(E279/'THAM_SO_MOI'!$C$22)^2-'THAM_SO_MOI'!$C$25*(E279/'THAM_SO_MOI'!$C$22)^3)</f>
        <v>59.62382737192432</v>
      </c>
      <c r="K279" s="75">
        <f>'THAM_SO_MOI'!$C$31*J279/E279</f>
        <v>402.6678739979279</v>
      </c>
      <c r="L279" s="75">
        <f>K279*'THAM_SO_MOI'!$C$49*'THAM_SO_MOI'!$C$17/'THAM_SO_MOI'!$C$26</f>
        <v>22954.09239882563</v>
      </c>
      <c r="M279" s="75">
        <f>'THAM_SO_MOI'!$C$15*'THAM_SO_MOI'!$C$16*F279^2</f>
        <v>14.26418770155523</v>
      </c>
      <c r="N279" s="75">
        <f>'THAM_SO_MOI'!$C$12*I279</f>
        <v>1130.112</v>
      </c>
      <c r="O279" s="75">
        <f>M279+N279</f>
        <v>1144.3761877015554</v>
      </c>
      <c r="P279" s="75">
        <f>(MIN(L279,'THAM_SO_MOI'!$C$41)-O279)/('THAM_SO_MOI'!$C$11*H279)</f>
        <v>0.8979626239757934</v>
      </c>
      <c r="Q279" s="75">
        <f>IF(P279&gt;0,1/P279,NA())</f>
        <v>1.1136320970381026</v>
      </c>
      <c r="R279" s="75">
        <f>F279-F278</f>
        <v>0.0035133136094671613</v>
      </c>
      <c r="S279" s="75">
        <f>0.5*(Q278+Q279)*R279</f>
        <v>0.003913376139593563</v>
      </c>
      <c r="T279" s="75">
        <f>0.5*(F278*Q278+F279*Q279)*R279</f>
        <v>0.008635082642169525</v>
      </c>
      <c r="U279" s="76">
        <f>U278+S279</f>
        <v>1.156957883825752</v>
      </c>
      <c r="V279" s="76">
        <f>V278+T279</f>
        <v>1.9834937685310177</v>
      </c>
    </row>
    <row r="280" spans="1:22" ht="19" customHeight="1">
      <c r="A280" s="68" t="s">
        <v>368</v>
      </c>
      <c r="B280" s="74">
        <v>1</v>
      </c>
      <c r="C280" s="68" t="s">
        <v>363</v>
      </c>
      <c r="D280" s="68" t="s">
        <v>364</v>
      </c>
      <c r="E280" s="75">
        <f>60*F280*'THAM_SO_MOI'!$C$49/(2*PI()*'THAM_SO_MOI'!$C$26)</f>
        <v>1416.4999999999998</v>
      </c>
      <c r="F280" s="75">
        <f>'THAM_SO_MOI'!$E$49+('THAM_SO_MOI'!$F$49-'THAM_SO_MOI'!$E$49)*274/'THAM_SO_MOI'!$C$42</f>
        <v>2.2118261012491782</v>
      </c>
      <c r="G280" s="75">
        <f>3.6*F280</f>
        <v>7.962573964497042</v>
      </c>
      <c r="H280" s="75">
        <f>'THAM_SO_MOI'!$D$49</f>
        <v>3.1625000000000005</v>
      </c>
      <c r="I280" s="75">
        <f>IF(F280&gt;'THAM_SO_MOI'!$C$14,'THAM_SO_MOI'!$C$13*(1+F280^2/1500),'THAM_SO_MOI'!$C$13)</f>
        <v>0.015</v>
      </c>
      <c r="J280" s="75">
        <f>'THAM_SO_MOI'!$C$40*('THAM_SO_MOI'!$C$23*(E280/'THAM_SO_MOI'!$C$22)+'THAM_SO_MOI'!$C$24*(E280/'THAM_SO_MOI'!$C$22)^2-'THAM_SO_MOI'!$C$25*(E280/'THAM_SO_MOI'!$C$22)^3)</f>
        <v>59.74300749900272</v>
      </c>
      <c r="K280" s="75">
        <f>'THAM_SO_MOI'!$C$31*J280/E280</f>
        <v>402.8318686338136</v>
      </c>
      <c r="L280" s="75">
        <f>K280*'THAM_SO_MOI'!$C$49*'THAM_SO_MOI'!$C$17/'THAM_SO_MOI'!$C$26</f>
        <v>22963.44091721538</v>
      </c>
      <c r="M280" s="75">
        <f>'THAM_SO_MOI'!$C$15*'THAM_SO_MOI'!$C$16*F280^2</f>
        <v>14.309611003838887</v>
      </c>
      <c r="N280" s="75">
        <f>'THAM_SO_MOI'!$C$12*I280</f>
        <v>1130.112</v>
      </c>
      <c r="O280" s="75">
        <f>M280+N280</f>
        <v>1144.421611003839</v>
      </c>
      <c r="P280" s="75">
        <f>(MIN(L280,'THAM_SO_MOI'!$C$41)-O280)/('THAM_SO_MOI'!$C$11*H280)</f>
        <v>0.8983456565469177</v>
      </c>
      <c r="Q280" s="75">
        <f>IF(P280&gt;0,1/P280,NA())</f>
        <v>1.1131572716050342</v>
      </c>
      <c r="R280" s="75">
        <f>F280-F279</f>
        <v>0.0035133136094676054</v>
      </c>
      <c r="S280" s="75">
        <f>0.5*(Q279+Q280)*R280</f>
        <v>0.0039117046971358545</v>
      </c>
      <c r="T280" s="75">
        <f>0.5*(F279*Q279+F280*Q280)*R280</f>
        <v>0.008645137561592962</v>
      </c>
      <c r="U280" s="76">
        <f>U279+S280</f>
        <v>1.1608695885228877</v>
      </c>
      <c r="V280" s="76">
        <f>V279+T280</f>
        <v>1.9921389060926107</v>
      </c>
    </row>
    <row r="281" spans="1:22" ht="19" customHeight="1">
      <c r="A281" s="68" t="s">
        <v>368</v>
      </c>
      <c r="B281" s="74">
        <v>1</v>
      </c>
      <c r="C281" s="68" t="s">
        <v>363</v>
      </c>
      <c r="D281" s="68" t="s">
        <v>364</v>
      </c>
      <c r="E281" s="75">
        <f>60*F281*'THAM_SO_MOI'!$C$49/(2*PI()*'THAM_SO_MOI'!$C$26)</f>
        <v>1418.7499999999995</v>
      </c>
      <c r="F281" s="75">
        <f>'THAM_SO_MOI'!$E$49+('THAM_SO_MOI'!$F$49-'THAM_SO_MOI'!$E$49)*275/'THAM_SO_MOI'!$C$42</f>
        <v>2.2153394148586454</v>
      </c>
      <c r="G281" s="75">
        <f>3.6*F281</f>
        <v>7.975221893491123</v>
      </c>
      <c r="H281" s="75">
        <f>'THAM_SO_MOI'!$D$49</f>
        <v>3.1625000000000005</v>
      </c>
      <c r="I281" s="75">
        <f>IF(F281&gt;'THAM_SO_MOI'!$C$14,'THAM_SO_MOI'!$C$13*(1+F281^2/1500),'THAM_SO_MOI'!$C$13)</f>
        <v>0.015</v>
      </c>
      <c r="J281" s="75">
        <f>'THAM_SO_MOI'!$C$40*('THAM_SO_MOI'!$C$23*(E281/'THAM_SO_MOI'!$C$22)+'THAM_SO_MOI'!$C$24*(E281/'THAM_SO_MOI'!$C$22)^2-'THAM_SO_MOI'!$C$25*(E281/'THAM_SO_MOI'!$C$22)^3)</f>
        <v>59.862191936971726</v>
      </c>
      <c r="K281" s="75">
        <f>'THAM_SO_MOI'!$C$31*J281/E281</f>
        <v>402.99537213164024</v>
      </c>
      <c r="L281" s="75">
        <f>K281*'THAM_SO_MOI'!$C$49*'THAM_SO_MOI'!$C$17/'THAM_SO_MOI'!$C$26</f>
        <v>22972.761438267582</v>
      </c>
      <c r="M281" s="75">
        <f>'THAM_SO_MOI'!$C$15*'THAM_SO_MOI'!$C$16*F281^2</f>
        <v>14.35510651485177</v>
      </c>
      <c r="N281" s="75">
        <f>'THAM_SO_MOI'!$C$12*I281</f>
        <v>1130.112</v>
      </c>
      <c r="O281" s="75">
        <f>M281+N281</f>
        <v>1144.4671065148518</v>
      </c>
      <c r="P281" s="75">
        <f>(MIN(L281,'THAM_SO_MOI'!$C$41)-O281)/('THAM_SO_MOI'!$C$11*H281)</f>
        <v>0.8987275334219665</v>
      </c>
      <c r="Q281" s="75">
        <f>IF(P281&gt;0,1/P281,NA())</f>
        <v>1.1126842817337883</v>
      </c>
      <c r="R281" s="75">
        <f>F281-F280</f>
        <v>0.0035133136094671613</v>
      </c>
      <c r="S281" s="75">
        <f>0.5*(Q280+Q281)*R281</f>
        <v>0.003910039710931406</v>
      </c>
      <c r="T281" s="75">
        <f>0.5*(F280*Q280+F281*Q281)*R281</f>
        <v>0.008655195027851316</v>
      </c>
      <c r="U281" s="76">
        <f>U280+S281</f>
        <v>1.1647796282338192</v>
      </c>
      <c r="V281" s="76">
        <f>V280+T281</f>
        <v>2.000794101120462</v>
      </c>
    </row>
    <row r="282" spans="1:22" ht="19" customHeight="1">
      <c r="A282" s="68" t="s">
        <v>368</v>
      </c>
      <c r="B282" s="74">
        <v>1</v>
      </c>
      <c r="C282" s="68" t="s">
        <v>363</v>
      </c>
      <c r="D282" s="68" t="s">
        <v>364</v>
      </c>
      <c r="E282" s="75">
        <f>60*F282*'THAM_SO_MOI'!$C$49/(2*PI()*'THAM_SO_MOI'!$C$26)</f>
        <v>1420.9999999999995</v>
      </c>
      <c r="F282" s="75">
        <f>'THAM_SO_MOI'!$E$49+('THAM_SO_MOI'!$F$49-'THAM_SO_MOI'!$E$49)*276/'THAM_SO_MOI'!$C$42</f>
        <v>2.218852728468113</v>
      </c>
      <c r="G282" s="75">
        <f>3.6*F282</f>
        <v>7.987869822485207</v>
      </c>
      <c r="H282" s="75">
        <f>'THAM_SO_MOI'!$D$49</f>
        <v>3.1625000000000005</v>
      </c>
      <c r="I282" s="75">
        <f>IF(F282&gt;'THAM_SO_MOI'!$C$14,'THAM_SO_MOI'!$C$13*(1+F282^2/1500),'THAM_SO_MOI'!$C$13)</f>
        <v>0.015</v>
      </c>
      <c r="J282" s="75">
        <f>'THAM_SO_MOI'!$C$40*('THAM_SO_MOI'!$C$23*(E282/'THAM_SO_MOI'!$C$22)+'THAM_SO_MOI'!$C$24*(E282/'THAM_SO_MOI'!$C$22)^2-'THAM_SO_MOI'!$C$25*(E282/'THAM_SO_MOI'!$C$22)^3)</f>
        <v>59.98138033873185</v>
      </c>
      <c r="K282" s="75">
        <f>'THAM_SO_MOI'!$C$31*J282/E282</f>
        <v>403.15838449140824</v>
      </c>
      <c r="L282" s="75">
        <f>K282*'THAM_SO_MOI'!$C$49*'THAM_SO_MOI'!$C$17/'THAM_SO_MOI'!$C$26</f>
        <v>22982.053961982263</v>
      </c>
      <c r="M282" s="75">
        <f>'THAM_SO_MOI'!$C$15*'THAM_SO_MOI'!$C$16*F282^2</f>
        <v>14.400674234593891</v>
      </c>
      <c r="N282" s="75">
        <f>'THAM_SO_MOI'!$C$12*I282</f>
        <v>1130.112</v>
      </c>
      <c r="O282" s="75">
        <f>M282+N282</f>
        <v>1144.512674234594</v>
      </c>
      <c r="P282" s="75">
        <f>(MIN(L282,'THAM_SO_MOI'!$C$41)-O282)/('THAM_SO_MOI'!$C$11*H282)</f>
        <v>0.8991082546009413</v>
      </c>
      <c r="Q282" s="75">
        <f>IF(P282&gt;0,1/P282,NA())</f>
        <v>1.1122131232616013</v>
      </c>
      <c r="R282" s="75">
        <f>F282-F281</f>
        <v>0.0035133136094676054</v>
      </c>
      <c r="S282" s="75">
        <f>0.5*(Q281+Q282)*R282</f>
        <v>0.00390838116631973</v>
      </c>
      <c r="T282" s="75">
        <f>0.5*(F281*Q281+F282*Q282)*R282</f>
        <v>0.008665255076489476</v>
      </c>
      <c r="U282" s="76">
        <f>U281+S282</f>
        <v>1.1686880094001388</v>
      </c>
      <c r="V282" s="76">
        <f>V281+T282</f>
        <v>2.0094593561969516</v>
      </c>
    </row>
    <row r="283" spans="1:22" ht="19" customHeight="1">
      <c r="A283" s="68" t="s">
        <v>368</v>
      </c>
      <c r="B283" s="74">
        <v>1</v>
      </c>
      <c r="C283" s="68" t="s">
        <v>363</v>
      </c>
      <c r="D283" s="68" t="s">
        <v>364</v>
      </c>
      <c r="E283" s="75">
        <f>60*F283*'THAM_SO_MOI'!$C$49/(2*PI()*'THAM_SO_MOI'!$C$26)</f>
        <v>1423.2499999999998</v>
      </c>
      <c r="F283" s="75">
        <f>'THAM_SO_MOI'!$E$49+('THAM_SO_MOI'!$F$49-'THAM_SO_MOI'!$E$49)*277/'THAM_SO_MOI'!$C$42</f>
        <v>2.2223660420775806</v>
      </c>
      <c r="G283" s="75">
        <f>3.6*F283</f>
        <v>8.00051775147929</v>
      </c>
      <c r="H283" s="75">
        <f>'THAM_SO_MOI'!$D$49</f>
        <v>3.1625000000000005</v>
      </c>
      <c r="I283" s="75">
        <f>IF(F283&gt;'THAM_SO_MOI'!$C$14,'THAM_SO_MOI'!$C$13*(1+F283^2/1500),'THAM_SO_MOI'!$C$13)</f>
        <v>0.015</v>
      </c>
      <c r="J283" s="75">
        <f>'THAM_SO_MOI'!$C$40*('THAM_SO_MOI'!$C$23*(E283/'THAM_SO_MOI'!$C$22)+'THAM_SO_MOI'!$C$24*(E283/'THAM_SO_MOI'!$C$22)^2-'THAM_SO_MOI'!$C$25*(E283/'THAM_SO_MOI'!$C$22)^3)</f>
        <v>60.100572357183545</v>
      </c>
      <c r="K283" s="75">
        <f>'THAM_SO_MOI'!$C$31*J283/E283</f>
        <v>403.3209057131175</v>
      </c>
      <c r="L283" s="75">
        <f>K283*'THAM_SO_MOI'!$C$49*'THAM_SO_MOI'!$C$17/'THAM_SO_MOI'!$C$26</f>
        <v>22991.318488359415</v>
      </c>
      <c r="M283" s="75">
        <f>'THAM_SO_MOI'!$C$15*'THAM_SO_MOI'!$C$16*F283^2</f>
        <v>14.446314163065246</v>
      </c>
      <c r="N283" s="75">
        <f>'THAM_SO_MOI'!$C$12*I283</f>
        <v>1130.112</v>
      </c>
      <c r="O283" s="75">
        <f>M283+N283</f>
        <v>1144.5583141630652</v>
      </c>
      <c r="P283" s="75">
        <f>(MIN(L283,'THAM_SO_MOI'!$C$41)-O283)/('THAM_SO_MOI'!$C$11*H283)</f>
        <v>0.8994878200838416</v>
      </c>
      <c r="Q283" s="75">
        <f>IF(P283&gt;0,1/P283,NA())</f>
        <v>1.1117437920468891</v>
      </c>
      <c r="R283" s="75">
        <f>F283-F282</f>
        <v>0.0035133136094676054</v>
      </c>
      <c r="S283" s="75">
        <f>0.5*(Q282+Q283)*R283</f>
        <v>0.003906729048711457</v>
      </c>
      <c r="T283" s="75">
        <f>0.5*(F282*Q282+F283*Q283)*R283</f>
        <v>0.008675317743004217</v>
      </c>
      <c r="U283" s="76">
        <f>U282+S283</f>
        <v>1.1725947384488502</v>
      </c>
      <c r="V283" s="76">
        <f>V282+T283</f>
        <v>2.0181346739399557</v>
      </c>
    </row>
    <row r="284" spans="1:22" ht="19" customHeight="1">
      <c r="A284" s="68" t="s">
        <v>368</v>
      </c>
      <c r="B284" s="74">
        <v>1</v>
      </c>
      <c r="C284" s="68" t="s">
        <v>363</v>
      </c>
      <c r="D284" s="68" t="s">
        <v>364</v>
      </c>
      <c r="E284" s="75">
        <f>60*F284*'THAM_SO_MOI'!$C$49/(2*PI()*'THAM_SO_MOI'!$C$26)</f>
        <v>1425.5</v>
      </c>
      <c r="F284" s="75">
        <f>'THAM_SO_MOI'!$E$49+('THAM_SO_MOI'!$F$49-'THAM_SO_MOI'!$E$49)*278/'THAM_SO_MOI'!$C$42</f>
        <v>2.225879355687048</v>
      </c>
      <c r="G284" s="75">
        <f>3.6*F284</f>
        <v>8.013165680473374</v>
      </c>
      <c r="H284" s="75">
        <f>'THAM_SO_MOI'!$D$49</f>
        <v>3.1625000000000005</v>
      </c>
      <c r="I284" s="75">
        <f>IF(F284&gt;'THAM_SO_MOI'!$C$14,'THAM_SO_MOI'!$C$13*(1+F284^2/1500),'THAM_SO_MOI'!$C$13)</f>
        <v>0.015</v>
      </c>
      <c r="J284" s="75">
        <f>'THAM_SO_MOI'!$C$40*('THAM_SO_MOI'!$C$23*(E284/'THAM_SO_MOI'!$C$22)+'THAM_SO_MOI'!$C$24*(E284/'THAM_SO_MOI'!$C$22)^2-'THAM_SO_MOI'!$C$25*(E284/'THAM_SO_MOI'!$C$22)^3)</f>
        <v>60.21976764522726</v>
      </c>
      <c r="K284" s="75">
        <f>'THAM_SO_MOI'!$C$31*J284/E284</f>
        <v>403.48293579676806</v>
      </c>
      <c r="L284" s="75">
        <f>K284*'THAM_SO_MOI'!$C$49*'THAM_SO_MOI'!$C$17/'THAM_SO_MOI'!$C$26</f>
        <v>23000.555017399034</v>
      </c>
      <c r="M284" s="75">
        <f>'THAM_SO_MOI'!$C$15*'THAM_SO_MOI'!$C$16*F284^2</f>
        <v>14.492026300265834</v>
      </c>
      <c r="N284" s="75">
        <f>'THAM_SO_MOI'!$C$12*I284</f>
        <v>1130.112</v>
      </c>
      <c r="O284" s="75">
        <f>M284+N284</f>
        <v>1144.604026300266</v>
      </c>
      <c r="P284" s="75">
        <f>(MIN(L284,'THAM_SO_MOI'!$C$41)-O284)/('THAM_SO_MOI'!$C$11*H284)</f>
        <v>0.8998662298706672</v>
      </c>
      <c r="Q284" s="75">
        <f>IF(P284&gt;0,1/P284,NA())</f>
        <v>1.1112762839691455</v>
      </c>
      <c r="R284" s="75">
        <f>F284-F283</f>
        <v>0.0035133136094676054</v>
      </c>
      <c r="S284" s="75">
        <f>0.5*(Q283+Q284)*R284</f>
        <v>0.003905083343593422</v>
      </c>
      <c r="T284" s="75">
        <f>0.5*(F283*Q283+F284*Q284)*R284</f>
        <v>0.008685383062856785</v>
      </c>
      <c r="U284" s="76">
        <f>U283+S284</f>
        <v>1.1764998217924436</v>
      </c>
      <c r="V284" s="76">
        <f>V283+T284</f>
        <v>2.0268200570028125</v>
      </c>
    </row>
    <row r="285" spans="1:22" ht="19" customHeight="1">
      <c r="A285" s="68" t="s">
        <v>368</v>
      </c>
      <c r="B285" s="74">
        <v>1</v>
      </c>
      <c r="C285" s="68" t="s">
        <v>363</v>
      </c>
      <c r="D285" s="68" t="s">
        <v>364</v>
      </c>
      <c r="E285" s="75">
        <f>60*F285*'THAM_SO_MOI'!$C$49/(2*PI()*'THAM_SO_MOI'!$C$26)</f>
        <v>1427.7500000000002</v>
      </c>
      <c r="F285" s="75">
        <f>'THAM_SO_MOI'!$E$49+('THAM_SO_MOI'!$F$49-'THAM_SO_MOI'!$E$49)*279/'THAM_SO_MOI'!$C$42</f>
        <v>2.229392669296516</v>
      </c>
      <c r="G285" s="75">
        <f>3.6*F285</f>
        <v>8.025813609467457</v>
      </c>
      <c r="H285" s="75">
        <f>'THAM_SO_MOI'!$D$49</f>
        <v>3.1625000000000005</v>
      </c>
      <c r="I285" s="75">
        <f>IF(F285&gt;'THAM_SO_MOI'!$C$14,'THAM_SO_MOI'!$C$13*(1+F285^2/1500),'THAM_SO_MOI'!$C$13)</f>
        <v>0.015</v>
      </c>
      <c r="J285" s="75">
        <f>'THAM_SO_MOI'!$C$40*('THAM_SO_MOI'!$C$23*(E285/'THAM_SO_MOI'!$C$22)+'THAM_SO_MOI'!$C$24*(E285/'THAM_SO_MOI'!$C$22)^2-'THAM_SO_MOI'!$C$25*(E285/'THAM_SO_MOI'!$C$22)^3)</f>
        <v>60.33896585576342</v>
      </c>
      <c r="K285" s="75">
        <f>'THAM_SO_MOI'!$C$31*J285/E285</f>
        <v>403.64447474235976</v>
      </c>
      <c r="L285" s="75">
        <f>K285*'THAM_SO_MOI'!$C$49*'THAM_SO_MOI'!$C$17/'THAM_SO_MOI'!$C$26</f>
        <v>23009.76354910112</v>
      </c>
      <c r="M285" s="75">
        <f>'THAM_SO_MOI'!$C$15*'THAM_SO_MOI'!$C$16*F285^2</f>
        <v>14.537810646195654</v>
      </c>
      <c r="N285" s="75">
        <f>'THAM_SO_MOI'!$C$12*I285</f>
        <v>1130.112</v>
      </c>
      <c r="O285" s="75">
        <f>M285+N285</f>
        <v>1144.6498106461956</v>
      </c>
      <c r="P285" s="75">
        <f>(MIN(L285,'THAM_SO_MOI'!$C$41)-O285)/('THAM_SO_MOI'!$C$11*H285)</f>
        <v>0.9002434839614181</v>
      </c>
      <c r="Q285" s="75">
        <f>IF(P285&gt;0,1/P285,NA())</f>
        <v>1.1108105949288463</v>
      </c>
      <c r="R285" s="75">
        <f>F285-F284</f>
        <v>0.0035133136094676054</v>
      </c>
      <c r="S285" s="75">
        <f>0.5*(Q284+Q285)*R285</f>
        <v>0.0039034440365258547</v>
      </c>
      <c r="T285" s="75">
        <f>0.5*(F284*Q284+F285*Q285)*R285</f>
        <v>0.008695451071467955</v>
      </c>
      <c r="U285" s="76">
        <f>U284+S285</f>
        <v>1.1804032658289694</v>
      </c>
      <c r="V285" s="76">
        <f>V284+T285</f>
        <v>2.0355155080742806</v>
      </c>
    </row>
    <row r="286" spans="1:22" ht="19" customHeight="1">
      <c r="A286" s="68" t="s">
        <v>368</v>
      </c>
      <c r="B286" s="74">
        <v>1</v>
      </c>
      <c r="C286" s="68" t="s">
        <v>363</v>
      </c>
      <c r="D286" s="68" t="s">
        <v>364</v>
      </c>
      <c r="E286" s="75">
        <f>60*F286*'THAM_SO_MOI'!$C$49/(2*PI()*'THAM_SO_MOI'!$C$26)</f>
        <v>1429.9999999999998</v>
      </c>
      <c r="F286" s="75">
        <f>'THAM_SO_MOI'!$E$49+('THAM_SO_MOI'!$F$49-'THAM_SO_MOI'!$E$49)*280/'THAM_SO_MOI'!$C$42</f>
        <v>2.232905982905983</v>
      </c>
      <c r="G286" s="75">
        <f>3.6*F286</f>
        <v>8.038461538461538</v>
      </c>
      <c r="H286" s="75">
        <f>'THAM_SO_MOI'!$D$49</f>
        <v>3.1625000000000005</v>
      </c>
      <c r="I286" s="75">
        <f>IF(F286&gt;'THAM_SO_MOI'!$C$14,'THAM_SO_MOI'!$C$13*(1+F286^2/1500),'THAM_SO_MOI'!$C$13)</f>
        <v>0.015</v>
      </c>
      <c r="J286" s="75">
        <f>'THAM_SO_MOI'!$C$40*('THAM_SO_MOI'!$C$23*(E286/'THAM_SO_MOI'!$C$22)+'THAM_SO_MOI'!$C$24*(E286/'THAM_SO_MOI'!$C$22)^2-'THAM_SO_MOI'!$C$25*(E286/'THAM_SO_MOI'!$C$22)^3)</f>
        <v>60.45816664169246</v>
      </c>
      <c r="K286" s="75">
        <f>'THAM_SO_MOI'!$C$31*J286/E286</f>
        <v>403.8055225498926</v>
      </c>
      <c r="L286" s="75">
        <f>K286*'THAM_SO_MOI'!$C$49*'THAM_SO_MOI'!$C$17/'THAM_SO_MOI'!$C$26</f>
        <v>23018.94408346566</v>
      </c>
      <c r="M286" s="75">
        <f>'THAM_SO_MOI'!$C$15*'THAM_SO_MOI'!$C$16*F286^2</f>
        <v>14.583667200854704</v>
      </c>
      <c r="N286" s="75">
        <f>'THAM_SO_MOI'!$C$12*I286</f>
        <v>1130.112</v>
      </c>
      <c r="O286" s="75">
        <f>M286+N286</f>
        <v>1144.6956672008548</v>
      </c>
      <c r="P286" s="75">
        <f>(MIN(L286,'THAM_SO_MOI'!$C$41)-O286)/('THAM_SO_MOI'!$C$11*H286)</f>
        <v>0.9006195823560935</v>
      </c>
      <c r="Q286" s="75">
        <f>IF(P286&gt;0,1/P286,NA())</f>
        <v>1.1103467208473519</v>
      </c>
      <c r="R286" s="75">
        <f>F286-F285</f>
        <v>0.0035133136094671613</v>
      </c>
      <c r="S286" s="75">
        <f>0.5*(Q285+Q286)*R286</f>
        <v>0.0039018111131420325</v>
      </c>
      <c r="T286" s="75">
        <f>0.5*(F285*Q285+F286*Q286)*R286</f>
        <v>0.008705521804218564</v>
      </c>
      <c r="U286" s="76">
        <f>U285+S286</f>
        <v>1.1843050769421115</v>
      </c>
      <c r="V286" s="76">
        <f>V285+T286</f>
        <v>2.044221029878499</v>
      </c>
    </row>
    <row r="287" spans="1:22" ht="19" customHeight="1">
      <c r="A287" s="68" t="s">
        <v>368</v>
      </c>
      <c r="B287" s="74">
        <v>1</v>
      </c>
      <c r="C287" s="68" t="s">
        <v>363</v>
      </c>
      <c r="D287" s="68" t="s">
        <v>364</v>
      </c>
      <c r="E287" s="75">
        <f>60*F287*'THAM_SO_MOI'!$C$49/(2*PI()*'THAM_SO_MOI'!$C$26)</f>
        <v>1432.25</v>
      </c>
      <c r="F287" s="75">
        <f>'THAM_SO_MOI'!$E$49+('THAM_SO_MOI'!$F$49-'THAM_SO_MOI'!$E$49)*281/'THAM_SO_MOI'!$C$42</f>
        <v>2.2364192965154506</v>
      </c>
      <c r="G287" s="75">
        <f>3.6*F287</f>
        <v>8.051109467455623</v>
      </c>
      <c r="H287" s="75">
        <f>'THAM_SO_MOI'!$D$49</f>
        <v>3.1625000000000005</v>
      </c>
      <c r="I287" s="75">
        <f>IF(F287&gt;'THAM_SO_MOI'!$C$14,'THAM_SO_MOI'!$C$13*(1+F287^2/1500),'THAM_SO_MOI'!$C$13)</f>
        <v>0.015</v>
      </c>
      <c r="J287" s="75">
        <f>'THAM_SO_MOI'!$C$40*('THAM_SO_MOI'!$C$23*(E287/'THAM_SO_MOI'!$C$22)+'THAM_SO_MOI'!$C$24*(E287/'THAM_SO_MOI'!$C$22)^2-'THAM_SO_MOI'!$C$25*(E287/'THAM_SO_MOI'!$C$22)^3)</f>
        <v>60.57736965591491</v>
      </c>
      <c r="K287" s="75">
        <f>'THAM_SO_MOI'!$C$31*J287/E287</f>
        <v>403.96607921936675</v>
      </c>
      <c r="L287" s="75">
        <f>K287*'THAM_SO_MOI'!$C$49*'THAM_SO_MOI'!$C$17/'THAM_SO_MOI'!$C$26</f>
        <v>23028.096620492684</v>
      </c>
      <c r="M287" s="75">
        <f>'THAM_SO_MOI'!$C$15*'THAM_SO_MOI'!$C$16*F287^2</f>
        <v>14.629595964242991</v>
      </c>
      <c r="N287" s="75">
        <f>'THAM_SO_MOI'!$C$12*I287</f>
        <v>1130.112</v>
      </c>
      <c r="O287" s="75">
        <f>M287+N287</f>
        <v>1144.741595964243</v>
      </c>
      <c r="P287" s="75">
        <f>(MIN(L287,'THAM_SO_MOI'!$C$41)-O287)/('THAM_SO_MOI'!$C$11*H287)</f>
        <v>0.9009945250546951</v>
      </c>
      <c r="Q287" s="75">
        <f>IF(P287&gt;0,1/P287,NA())</f>
        <v>1.1098846576668095</v>
      </c>
      <c r="R287" s="75">
        <f>F287-F286</f>
        <v>0.0035133136094676054</v>
      </c>
      <c r="S287" s="75">
        <f>0.5*(Q286+Q287)*R287</f>
        <v>0.0039001845591504127</v>
      </c>
      <c r="T287" s="75">
        <f>0.5*(F286*Q286+F287*Q287)*R287</f>
        <v>0.008715595296455549</v>
      </c>
      <c r="U287" s="76">
        <f>U286+S287</f>
        <v>1.188205261501262</v>
      </c>
      <c r="V287" s="76">
        <f>V286+T287</f>
        <v>2.052936625174955</v>
      </c>
    </row>
    <row r="288" spans="1:22" ht="19" customHeight="1">
      <c r="A288" s="68" t="s">
        <v>368</v>
      </c>
      <c r="B288" s="74">
        <v>1</v>
      </c>
      <c r="C288" s="68" t="s">
        <v>363</v>
      </c>
      <c r="D288" s="68" t="s">
        <v>364</v>
      </c>
      <c r="E288" s="75">
        <f>60*F288*'THAM_SO_MOI'!$C$49/(2*PI()*'THAM_SO_MOI'!$C$26)</f>
        <v>1434.5</v>
      </c>
      <c r="F288" s="75">
        <f>'THAM_SO_MOI'!$E$49+('THAM_SO_MOI'!$F$49-'THAM_SO_MOI'!$E$49)*282/'THAM_SO_MOI'!$C$42</f>
        <v>2.239932610124918</v>
      </c>
      <c r="G288" s="75">
        <f>3.6*F288</f>
        <v>8.063757396449706</v>
      </c>
      <c r="H288" s="75">
        <f>'THAM_SO_MOI'!$D$49</f>
        <v>3.1625000000000005</v>
      </c>
      <c r="I288" s="75">
        <f>IF(F288&gt;'THAM_SO_MOI'!$C$14,'THAM_SO_MOI'!$C$13*(1+F288^2/1500),'THAM_SO_MOI'!$C$13)</f>
        <v>0.015</v>
      </c>
      <c r="J288" s="75">
        <f>'THAM_SO_MOI'!$C$40*('THAM_SO_MOI'!$C$23*(E288/'THAM_SO_MOI'!$C$22)+'THAM_SO_MOI'!$C$24*(E288/'THAM_SO_MOI'!$C$22)^2-'THAM_SO_MOI'!$C$25*(E288/'THAM_SO_MOI'!$C$22)^3)</f>
        <v>60.69657455133118</v>
      </c>
      <c r="K288" s="75">
        <f>'THAM_SO_MOI'!$C$31*J288/E288</f>
        <v>404.12614475078215</v>
      </c>
      <c r="L288" s="75">
        <f>K288*'THAM_SO_MOI'!$C$49*'THAM_SO_MOI'!$C$17/'THAM_SO_MOI'!$C$26</f>
        <v>23037.221160182173</v>
      </c>
      <c r="M288" s="75">
        <f>'THAM_SO_MOI'!$C$15*'THAM_SO_MOI'!$C$16*F288^2</f>
        <v>14.675596936360511</v>
      </c>
      <c r="N288" s="75">
        <f>'THAM_SO_MOI'!$C$12*I288</f>
        <v>1130.112</v>
      </c>
      <c r="O288" s="75">
        <f>M288+N288</f>
        <v>1144.7875969363606</v>
      </c>
      <c r="P288" s="75">
        <f>(MIN(L288,'THAM_SO_MOI'!$C$41)-O288)/('THAM_SO_MOI'!$C$11*H288)</f>
        <v>0.9013683120572219</v>
      </c>
      <c r="Q288" s="75">
        <f>IF(P288&gt;0,1/P288,NA())</f>
        <v>1.1094244013500627</v>
      </c>
      <c r="R288" s="75">
        <f>F288-F287</f>
        <v>0.0035133136094676054</v>
      </c>
      <c r="S288" s="75">
        <f>0.5*(Q287+Q288)*R288</f>
        <v>0.003898564360329361</v>
      </c>
      <c r="T288" s="75">
        <f>0.5*(F287*Q287+F288*Q288)*R288</f>
        <v>0.008725671583481469</v>
      </c>
      <c r="U288" s="76">
        <f>U287+S288</f>
        <v>1.1921038258615912</v>
      </c>
      <c r="V288" s="76">
        <f>V287+T288</f>
        <v>2.061662296758436</v>
      </c>
    </row>
    <row r="289" spans="1:22" ht="19" customHeight="1">
      <c r="A289" s="68" t="s">
        <v>368</v>
      </c>
      <c r="B289" s="74">
        <v>1</v>
      </c>
      <c r="C289" s="68" t="s">
        <v>363</v>
      </c>
      <c r="D289" s="68" t="s">
        <v>364</v>
      </c>
      <c r="E289" s="75">
        <f>60*F289*'THAM_SO_MOI'!$C$49/(2*PI()*'THAM_SO_MOI'!$C$26)</f>
        <v>1436.75</v>
      </c>
      <c r="F289" s="75">
        <f>'THAM_SO_MOI'!$E$49+('THAM_SO_MOI'!$F$49-'THAM_SO_MOI'!$E$49)*283/'THAM_SO_MOI'!$C$42</f>
        <v>2.2434459237343853</v>
      </c>
      <c r="G289" s="75">
        <f>3.6*F289</f>
        <v>8.076405325443787</v>
      </c>
      <c r="H289" s="75">
        <f>'THAM_SO_MOI'!$D$49</f>
        <v>3.1625000000000005</v>
      </c>
      <c r="I289" s="75">
        <f>IF(F289&gt;'THAM_SO_MOI'!$C$14,'THAM_SO_MOI'!$C$13*(1+F289^2/1500),'THAM_SO_MOI'!$C$13)</f>
        <v>0.015</v>
      </c>
      <c r="J289" s="75">
        <f>'THAM_SO_MOI'!$C$40*('THAM_SO_MOI'!$C$23*(E289/'THAM_SO_MOI'!$C$22)+'THAM_SO_MOI'!$C$24*(E289/'THAM_SO_MOI'!$C$22)^2-'THAM_SO_MOI'!$C$25*(E289/'THAM_SO_MOI'!$C$22)^3)</f>
        <v>60.81578098084173</v>
      </c>
      <c r="K289" s="75">
        <f>'THAM_SO_MOI'!$C$31*J289/E289</f>
        <v>404.2857191441387</v>
      </c>
      <c r="L289" s="75">
        <f>K289*'THAM_SO_MOI'!$C$49*'THAM_SO_MOI'!$C$17/'THAM_SO_MOI'!$C$26</f>
        <v>23046.317702534125</v>
      </c>
      <c r="M289" s="75">
        <f>'THAM_SO_MOI'!$C$15*'THAM_SO_MOI'!$C$16*F289^2</f>
        <v>14.721670117207257</v>
      </c>
      <c r="N289" s="75">
        <f>'THAM_SO_MOI'!$C$12*I289</f>
        <v>1130.112</v>
      </c>
      <c r="O289" s="75">
        <f>M289+N289</f>
        <v>1144.8336701172072</v>
      </c>
      <c r="P289" s="75">
        <f>(MIN(L289,'THAM_SO_MOI'!$C$41)-O289)/('THAM_SO_MOI'!$C$11*H289)</f>
        <v>0.9017409433636739</v>
      </c>
      <c r="Q289" s="75">
        <f>IF(P289&gt;0,1/P289,NA())</f>
        <v>1.1089659478805522</v>
      </c>
      <c r="R289" s="75">
        <f>F289-F288</f>
        <v>0.0035133136094671613</v>
      </c>
      <c r="S289" s="75">
        <f>0.5*(Q288+Q289)*R289</f>
        <v>0.003896950502531264</v>
      </c>
      <c r="T289" s="75">
        <f>0.5*(F288*Q288+F289*Q289)*R289</f>
        <v>0.008735750700564959</v>
      </c>
      <c r="U289" s="76">
        <f>U288+S289</f>
        <v>1.1960007763641225</v>
      </c>
      <c r="V289" s="76">
        <f>V288+T289</f>
        <v>2.070398047459001</v>
      </c>
    </row>
    <row r="290" spans="1:22" ht="19" customHeight="1">
      <c r="A290" s="68" t="s">
        <v>368</v>
      </c>
      <c r="B290" s="74">
        <v>1</v>
      </c>
      <c r="C290" s="68" t="s">
        <v>363</v>
      </c>
      <c r="D290" s="68" t="s">
        <v>364</v>
      </c>
      <c r="E290" s="75">
        <f>60*F290*'THAM_SO_MOI'!$C$49/(2*PI()*'THAM_SO_MOI'!$C$26)</f>
        <v>1439.0</v>
      </c>
      <c r="F290" s="75">
        <f>'THAM_SO_MOI'!$E$49+('THAM_SO_MOI'!$F$49-'THAM_SO_MOI'!$E$49)*284/'THAM_SO_MOI'!$C$42</f>
        <v>2.246959237343853</v>
      </c>
      <c r="G290" s="75">
        <f>3.6*F290</f>
        <v>8.089053254437871</v>
      </c>
      <c r="H290" s="75">
        <f>'THAM_SO_MOI'!$D$49</f>
        <v>3.1625000000000005</v>
      </c>
      <c r="I290" s="75">
        <f>IF(F290&gt;'THAM_SO_MOI'!$C$14,'THAM_SO_MOI'!$C$13*(1+F290^2/1500),'THAM_SO_MOI'!$C$13)</f>
        <v>0.015</v>
      </c>
      <c r="J290" s="75">
        <f>'THAM_SO_MOI'!$C$40*('THAM_SO_MOI'!$C$23*(E290/'THAM_SO_MOI'!$C$22)+'THAM_SO_MOI'!$C$24*(E290/'THAM_SO_MOI'!$C$22)^2-'THAM_SO_MOI'!$C$25*(E290/'THAM_SO_MOI'!$C$22)^3)</f>
        <v>60.93498859734701</v>
      </c>
      <c r="K290" s="75">
        <f>'THAM_SO_MOI'!$C$31*J290/E290</f>
        <v>404.44480239943647</v>
      </c>
      <c r="L290" s="75">
        <f>K290*'THAM_SO_MOI'!$C$49*'THAM_SO_MOI'!$C$17/'THAM_SO_MOI'!$C$26</f>
        <v>23055.386247548548</v>
      </c>
      <c r="M290" s="75">
        <f>'THAM_SO_MOI'!$C$15*'THAM_SO_MOI'!$C$16*F290^2</f>
        <v>14.767815506783244</v>
      </c>
      <c r="N290" s="75">
        <f>'THAM_SO_MOI'!$C$12*I290</f>
        <v>1130.112</v>
      </c>
      <c r="O290" s="75">
        <f>M290+N290</f>
        <v>1144.8798155067834</v>
      </c>
      <c r="P290" s="75">
        <f>(MIN(L290,'THAM_SO_MOI'!$C$41)-O290)/('THAM_SO_MOI'!$C$11*H290)</f>
        <v>0.9021124189740514</v>
      </c>
      <c r="Q290" s="75">
        <f>IF(P290&gt;0,1/P290,NA())</f>
        <v>1.108509293262223</v>
      </c>
      <c r="R290" s="75">
        <f>F290-F289</f>
        <v>0.0035133136094676054</v>
      </c>
      <c r="S290" s="75">
        <f>0.5*(Q289+Q290)*R290</f>
        <v>0.0038953429716821865</v>
      </c>
      <c r="T290" s="75">
        <f>0.5*(F289*Q289+F290*Q290)*R290</f>
        <v>0.008745832682941249</v>
      </c>
      <c r="U290" s="76">
        <f>U289+S290</f>
        <v>1.1998961193358046</v>
      </c>
      <c r="V290" s="76">
        <f>V289+T290</f>
        <v>2.079143880141942</v>
      </c>
    </row>
    <row r="291" spans="1:22" ht="19" customHeight="1">
      <c r="A291" s="68" t="s">
        <v>368</v>
      </c>
      <c r="B291" s="74">
        <v>1</v>
      </c>
      <c r="C291" s="68" t="s">
        <v>363</v>
      </c>
      <c r="D291" s="68" t="s">
        <v>364</v>
      </c>
      <c r="E291" s="75">
        <f>60*F291*'THAM_SO_MOI'!$C$49/(2*PI()*'THAM_SO_MOI'!$C$26)</f>
        <v>1441.25</v>
      </c>
      <c r="F291" s="75">
        <f>'THAM_SO_MOI'!$E$49+('THAM_SO_MOI'!$F$49-'THAM_SO_MOI'!$E$49)*285/'THAM_SO_MOI'!$C$42</f>
        <v>2.2504725509533205</v>
      </c>
      <c r="G291" s="75">
        <f>3.6*F291</f>
        <v>8.101701183431954</v>
      </c>
      <c r="H291" s="75">
        <f>'THAM_SO_MOI'!$D$49</f>
        <v>3.1625000000000005</v>
      </c>
      <c r="I291" s="75">
        <f>IF(F291&gt;'THAM_SO_MOI'!$C$14,'THAM_SO_MOI'!$C$13*(1+F291^2/1500),'THAM_SO_MOI'!$C$13)</f>
        <v>0.015</v>
      </c>
      <c r="J291" s="75">
        <f>'THAM_SO_MOI'!$C$40*('THAM_SO_MOI'!$C$23*(E291/'THAM_SO_MOI'!$C$22)+'THAM_SO_MOI'!$C$24*(E291/'THAM_SO_MOI'!$C$22)^2-'THAM_SO_MOI'!$C$25*(E291/'THAM_SO_MOI'!$C$22)^3)</f>
        <v>61.05419705374751</v>
      </c>
      <c r="K291" s="75">
        <f>'THAM_SO_MOI'!$C$31*J291/E291</f>
        <v>404.6033945166756</v>
      </c>
      <c r="L291" s="75">
        <f>K291*'THAM_SO_MOI'!$C$49*'THAM_SO_MOI'!$C$17/'THAM_SO_MOI'!$C$26</f>
        <v>23064.42679522544</v>
      </c>
      <c r="M291" s="75">
        <f>'THAM_SO_MOI'!$C$15*'THAM_SO_MOI'!$C$16*F291^2</f>
        <v>14.814033105088464</v>
      </c>
      <c r="N291" s="75">
        <f>'THAM_SO_MOI'!$C$12*I291</f>
        <v>1130.112</v>
      </c>
      <c r="O291" s="75">
        <f>M291+N291</f>
        <v>1144.9260331050884</v>
      </c>
      <c r="P291" s="75">
        <f>(MIN(L291,'THAM_SO_MOI'!$C$41)-O291)/('THAM_SO_MOI'!$C$11*H291)</f>
        <v>0.9024827388883543</v>
      </c>
      <c r="Q291" s="75">
        <f>IF(P291&gt;0,1/P291,NA())</f>
        <v>1.1080544335194311</v>
      </c>
      <c r="R291" s="75">
        <f>F291-F290</f>
        <v>0.0035133136094676054</v>
      </c>
      <c r="S291" s="75">
        <f>0.5*(Q290+Q291)*R291</f>
        <v>0.00389374175377711</v>
      </c>
      <c r="T291" s="75">
        <f>0.5*(F290*Q290+F291*Q291)*R291</f>
        <v>0.00875591756580277</v>
      </c>
      <c r="U291" s="76">
        <f>U290+S291</f>
        <v>1.2037898610895819</v>
      </c>
      <c r="V291" s="76">
        <f>V290+T291</f>
        <v>2.087899797707745</v>
      </c>
    </row>
    <row r="292" spans="1:22" ht="19" customHeight="1">
      <c r="A292" s="68" t="s">
        <v>368</v>
      </c>
      <c r="B292" s="74">
        <v>1</v>
      </c>
      <c r="C292" s="68" t="s">
        <v>363</v>
      </c>
      <c r="D292" s="68" t="s">
        <v>364</v>
      </c>
      <c r="E292" s="75">
        <f>60*F292*'THAM_SO_MOI'!$C$49/(2*PI()*'THAM_SO_MOI'!$C$26)</f>
        <v>1443.5</v>
      </c>
      <c r="F292" s="75">
        <f>'THAM_SO_MOI'!$E$49+('THAM_SO_MOI'!$F$49-'THAM_SO_MOI'!$E$49)*286/'THAM_SO_MOI'!$C$42</f>
        <v>2.2539858645627877</v>
      </c>
      <c r="G292" s="75">
        <f>3.6*F292</f>
        <v>8.114349112426035</v>
      </c>
      <c r="H292" s="75">
        <f>'THAM_SO_MOI'!$D$49</f>
        <v>3.1625000000000005</v>
      </c>
      <c r="I292" s="75">
        <f>IF(F292&gt;'THAM_SO_MOI'!$C$14,'THAM_SO_MOI'!$C$13*(1+F292^2/1500),'THAM_SO_MOI'!$C$13)</f>
        <v>0.015</v>
      </c>
      <c r="J292" s="75">
        <f>'THAM_SO_MOI'!$C$40*('THAM_SO_MOI'!$C$23*(E292/'THAM_SO_MOI'!$C$22)+'THAM_SO_MOI'!$C$24*(E292/'THAM_SO_MOI'!$C$22)^2-'THAM_SO_MOI'!$C$25*(E292/'THAM_SO_MOI'!$C$22)^3)</f>
        <v>61.173406002943636</v>
      </c>
      <c r="K292" s="75">
        <f>'THAM_SO_MOI'!$C$31*J292/E292</f>
        <v>404.7614954958558</v>
      </c>
      <c r="L292" s="75">
        <f>K292*'THAM_SO_MOI'!$C$49*'THAM_SO_MOI'!$C$17/'THAM_SO_MOI'!$C$26</f>
        <v>23073.4393455648</v>
      </c>
      <c r="M292" s="75">
        <f>'THAM_SO_MOI'!$C$15*'THAM_SO_MOI'!$C$16*F292^2</f>
        <v>14.860322912122909</v>
      </c>
      <c r="N292" s="75">
        <f>'THAM_SO_MOI'!$C$12*I292</f>
        <v>1130.112</v>
      </c>
      <c r="O292" s="75">
        <f>M292+N292</f>
        <v>1144.972322912123</v>
      </c>
      <c r="P292" s="75">
        <f>(MIN(L292,'THAM_SO_MOI'!$C$41)-O292)/('THAM_SO_MOI'!$C$11*H292)</f>
        <v>0.9028519031065824</v>
      </c>
      <c r="Q292" s="75">
        <f>IF(P292&gt;0,1/P292,NA())</f>
        <v>1.1076013646968512</v>
      </c>
      <c r="R292" s="75">
        <f>F292-F291</f>
        <v>0.0035133136094671613</v>
      </c>
      <c r="S292" s="75">
        <f>0.5*(Q291+Q292)*R292</f>
        <v>0.0038921468348840456</v>
      </c>
      <c r="T292" s="75">
        <f>0.5*(F291*Q291+F292*Q292)*R292</f>
        <v>0.008766005384309598</v>
      </c>
      <c r="U292" s="76">
        <f>U291+S292</f>
        <v>1.207682007924466</v>
      </c>
      <c r="V292" s="76">
        <f>V291+T292</f>
        <v>2.0966658030920544</v>
      </c>
    </row>
    <row r="293" spans="1:22" ht="19" customHeight="1">
      <c r="A293" s="68" t="s">
        <v>368</v>
      </c>
      <c r="B293" s="74">
        <v>1</v>
      </c>
      <c r="C293" s="68" t="s">
        <v>363</v>
      </c>
      <c r="D293" s="68" t="s">
        <v>364</v>
      </c>
      <c r="E293" s="75">
        <f>60*F293*'THAM_SO_MOI'!$C$49/(2*PI()*'THAM_SO_MOI'!$C$26)</f>
        <v>1445.7499999999998</v>
      </c>
      <c r="F293" s="75">
        <f>'THAM_SO_MOI'!$E$49+('THAM_SO_MOI'!$F$49-'THAM_SO_MOI'!$E$49)*287/'THAM_SO_MOI'!$C$42</f>
        <v>2.257499178172255</v>
      </c>
      <c r="G293" s="75">
        <f>3.6*F293</f>
        <v>8.126997041420118</v>
      </c>
      <c r="H293" s="75">
        <f>'THAM_SO_MOI'!$D$49</f>
        <v>3.1625000000000005</v>
      </c>
      <c r="I293" s="75">
        <f>IF(F293&gt;'THAM_SO_MOI'!$C$14,'THAM_SO_MOI'!$C$13*(1+F293^2/1500),'THAM_SO_MOI'!$C$13)</f>
        <v>0.015</v>
      </c>
      <c r="J293" s="75">
        <f>'THAM_SO_MOI'!$C$40*('THAM_SO_MOI'!$C$23*(E293/'THAM_SO_MOI'!$C$22)+'THAM_SO_MOI'!$C$24*(E293/'THAM_SO_MOI'!$C$22)^2-'THAM_SO_MOI'!$C$25*(E293/'THAM_SO_MOI'!$C$22)^3)</f>
        <v>61.29261509783587</v>
      </c>
      <c r="K293" s="75">
        <f>'THAM_SO_MOI'!$C$31*J293/E293</f>
        <v>404.9191053369773</v>
      </c>
      <c r="L293" s="75">
        <f>K293*'THAM_SO_MOI'!$C$49*'THAM_SO_MOI'!$C$17/'THAM_SO_MOI'!$C$26</f>
        <v>23082.42389856662</v>
      </c>
      <c r="M293" s="75">
        <f>'THAM_SO_MOI'!$C$15*'THAM_SO_MOI'!$C$16*F293^2</f>
        <v>14.906684927886591</v>
      </c>
      <c r="N293" s="75">
        <f>'THAM_SO_MOI'!$C$12*I293</f>
        <v>1130.112</v>
      </c>
      <c r="O293" s="75">
        <f>M293+N293</f>
        <v>1145.0186849278866</v>
      </c>
      <c r="P293" s="75">
        <f>(MIN(L293,'THAM_SO_MOI'!$C$41)-O293)/('THAM_SO_MOI'!$C$11*H293)</f>
        <v>0.9032199116287356</v>
      </c>
      <c r="Q293" s="75">
        <f>IF(P293&gt;0,1/P293,NA())</f>
        <v>1.1071500828593839</v>
      </c>
      <c r="R293" s="75">
        <f>F293-F292</f>
        <v>0.0035133136094671613</v>
      </c>
      <c r="S293" s="75">
        <f>0.5*(Q292+Q293)*R293</f>
        <v>0.003890558201143209</v>
      </c>
      <c r="T293" s="75">
        <f>0.5*(F292*Q292+F293*Q293)*R293</f>
        <v>0.008776096173588911</v>
      </c>
      <c r="U293" s="76">
        <f>U292+S293</f>
        <v>1.2115725661256092</v>
      </c>
      <c r="V293" s="76">
        <f>V292+T293</f>
        <v>2.105441899265643</v>
      </c>
    </row>
    <row r="294" spans="1:22" ht="19" customHeight="1">
      <c r="A294" s="68" t="s">
        <v>368</v>
      </c>
      <c r="B294" s="74">
        <v>1</v>
      </c>
      <c r="C294" s="68" t="s">
        <v>363</v>
      </c>
      <c r="D294" s="68" t="s">
        <v>364</v>
      </c>
      <c r="E294" s="75">
        <f>60*F294*'THAM_SO_MOI'!$C$49/(2*PI()*'THAM_SO_MOI'!$C$26)</f>
        <v>1447.9999999999998</v>
      </c>
      <c r="F294" s="75">
        <f>'THAM_SO_MOI'!$E$49+('THAM_SO_MOI'!$F$49-'THAM_SO_MOI'!$E$49)*288/'THAM_SO_MOI'!$C$42</f>
        <v>2.2610124917817225</v>
      </c>
      <c r="G294" s="75">
        <f>3.6*F294</f>
        <v>8.139644970414201</v>
      </c>
      <c r="H294" s="75">
        <f>'THAM_SO_MOI'!$D$49</f>
        <v>3.1625000000000005</v>
      </c>
      <c r="I294" s="75">
        <f>IF(F294&gt;'THAM_SO_MOI'!$C$14,'THAM_SO_MOI'!$C$13*(1+F294^2/1500),'THAM_SO_MOI'!$C$13)</f>
        <v>0.015</v>
      </c>
      <c r="J294" s="75">
        <f>'THAM_SO_MOI'!$C$40*('THAM_SO_MOI'!$C$23*(E294/'THAM_SO_MOI'!$C$22)+'THAM_SO_MOI'!$C$24*(E294/'THAM_SO_MOI'!$C$22)^2-'THAM_SO_MOI'!$C$25*(E294/'THAM_SO_MOI'!$C$22)^3)</f>
        <v>61.41182399132466</v>
      </c>
      <c r="K294" s="75">
        <f>'THAM_SO_MOI'!$C$31*J294/E294</f>
        <v>405.0762240400399</v>
      </c>
      <c r="L294" s="75">
        <f>K294*'THAM_SO_MOI'!$C$49*'THAM_SO_MOI'!$C$17/'THAM_SO_MOI'!$C$26</f>
        <v>23091.38045423091</v>
      </c>
      <c r="M294" s="75">
        <f>'THAM_SO_MOI'!$C$15*'THAM_SO_MOI'!$C$16*F294^2</f>
        <v>14.953119152379507</v>
      </c>
      <c r="N294" s="75">
        <f>'THAM_SO_MOI'!$C$12*I294</f>
        <v>1130.112</v>
      </c>
      <c r="O294" s="75">
        <f>M294+N294</f>
        <v>1145.0651191523796</v>
      </c>
      <c r="P294" s="75">
        <f>(MIN(L294,'THAM_SO_MOI'!$C$41)-O294)/('THAM_SO_MOI'!$C$11*H294)</f>
        <v>0.9035867644548142</v>
      </c>
      <c r="Q294" s="75">
        <f>IF(P294&gt;0,1/P294,NA())</f>
        <v>1.1067005840920627</v>
      </c>
      <c r="R294" s="75">
        <f>F294-F293</f>
        <v>0.0035133136094676054</v>
      </c>
      <c r="S294" s="75">
        <f>0.5*(Q293+Q294)*R294</f>
        <v>0.0038889758387647268</v>
      </c>
      <c r="T294" s="75">
        <f>0.5*(F293*Q293+F294*Q294)*R294</f>
        <v>0.008786189968731054</v>
      </c>
      <c r="U294" s="76">
        <f>U293+S294</f>
        <v>1.215461541964374</v>
      </c>
      <c r="V294" s="76">
        <f>V293+T294</f>
        <v>2.1142280892343743</v>
      </c>
    </row>
    <row r="295" spans="1:22" ht="19" customHeight="1">
      <c r="A295" s="68" t="s">
        <v>368</v>
      </c>
      <c r="B295" s="74">
        <v>1</v>
      </c>
      <c r="C295" s="68" t="s">
        <v>363</v>
      </c>
      <c r="D295" s="68" t="s">
        <v>364</v>
      </c>
      <c r="E295" s="75">
        <f>60*F295*'THAM_SO_MOI'!$C$49/(2*PI()*'THAM_SO_MOI'!$C$26)</f>
        <v>1450.25</v>
      </c>
      <c r="F295" s="75">
        <f>'THAM_SO_MOI'!$E$49+('THAM_SO_MOI'!$F$49-'THAM_SO_MOI'!$E$49)*289/'THAM_SO_MOI'!$C$42</f>
        <v>2.26452580539119</v>
      </c>
      <c r="G295" s="75">
        <f>3.6*F295</f>
        <v>8.152292899408284</v>
      </c>
      <c r="H295" s="75">
        <f>'THAM_SO_MOI'!$D$49</f>
        <v>3.1625000000000005</v>
      </c>
      <c r="I295" s="75">
        <f>IF(F295&gt;'THAM_SO_MOI'!$C$14,'THAM_SO_MOI'!$C$13*(1+F295^2/1500),'THAM_SO_MOI'!$C$13)</f>
        <v>0.015</v>
      </c>
      <c r="J295" s="75">
        <f>'THAM_SO_MOI'!$C$40*('THAM_SO_MOI'!$C$23*(E295/'THAM_SO_MOI'!$C$22)+'THAM_SO_MOI'!$C$24*(E295/'THAM_SO_MOI'!$C$22)^2-'THAM_SO_MOI'!$C$25*(E295/'THAM_SO_MOI'!$C$22)^3)</f>
        <v>61.531032336310496</v>
      </c>
      <c r="K295" s="75">
        <f>'THAM_SO_MOI'!$C$31*J295/E295</f>
        <v>405.23285160504395</v>
      </c>
      <c r="L295" s="75">
        <f>K295*'THAM_SO_MOI'!$C$49*'THAM_SO_MOI'!$C$17/'THAM_SO_MOI'!$C$26</f>
        <v>23100.309012557675</v>
      </c>
      <c r="M295" s="75">
        <f>'THAM_SO_MOI'!$C$15*'THAM_SO_MOI'!$C$16*F295^2</f>
        <v>14.99962558560166</v>
      </c>
      <c r="N295" s="75">
        <f>'THAM_SO_MOI'!$C$12*I295</f>
        <v>1130.112</v>
      </c>
      <c r="O295" s="75">
        <f>M295+N295</f>
        <v>1145.1116255856018</v>
      </c>
      <c r="P295" s="75">
        <f>(MIN(L295,'THAM_SO_MOI'!$C$41)-O295)/('THAM_SO_MOI'!$C$11*H295)</f>
        <v>0.9039524615848183</v>
      </c>
      <c r="Q295" s="75">
        <f>IF(P295&gt;0,1/P295,NA())</f>
        <v>1.1062528644999652</v>
      </c>
      <c r="R295" s="75">
        <f>F295-F294</f>
        <v>0.0035133136094676054</v>
      </c>
      <c r="S295" s="75">
        <f>0.5*(Q294+Q295)*R295</f>
        <v>0.0038873997340283218</v>
      </c>
      <c r="T295" s="75">
        <f>0.5*(F294*Q294+F295*Q295)*R295</f>
        <v>0.008796286804790054</v>
      </c>
      <c r="U295" s="76">
        <f>U294+S295</f>
        <v>1.2193489416984022</v>
      </c>
      <c r="V295" s="76">
        <f>V294+T295</f>
        <v>2.1230243760391643</v>
      </c>
    </row>
    <row r="296" spans="1:22" ht="19" customHeight="1">
      <c r="A296" s="68" t="s">
        <v>368</v>
      </c>
      <c r="B296" s="74">
        <v>1</v>
      </c>
      <c r="C296" s="68" t="s">
        <v>363</v>
      </c>
      <c r="D296" s="68" t="s">
        <v>364</v>
      </c>
      <c r="E296" s="75">
        <f>60*F296*'THAM_SO_MOI'!$C$49/(2*PI()*'THAM_SO_MOI'!$C$26)</f>
        <v>1452.4999999999998</v>
      </c>
      <c r="F296" s="75">
        <f>'THAM_SO_MOI'!$E$49+('THAM_SO_MOI'!$F$49-'THAM_SO_MOI'!$E$49)*290/'THAM_SO_MOI'!$C$42</f>
        <v>2.2680391190006572</v>
      </c>
      <c r="G296" s="75">
        <f>3.6*F296</f>
        <v>8.164940828402367</v>
      </c>
      <c r="H296" s="75">
        <f>'THAM_SO_MOI'!$D$49</f>
        <v>3.1625000000000005</v>
      </c>
      <c r="I296" s="75">
        <f>IF(F296&gt;'THAM_SO_MOI'!$C$14,'THAM_SO_MOI'!$C$13*(1+F296^2/1500),'THAM_SO_MOI'!$C$13)</f>
        <v>0.015</v>
      </c>
      <c r="J296" s="75">
        <f>'THAM_SO_MOI'!$C$40*('THAM_SO_MOI'!$C$23*(E296/'THAM_SO_MOI'!$C$22)+'THAM_SO_MOI'!$C$24*(E296/'THAM_SO_MOI'!$C$22)^2-'THAM_SO_MOI'!$C$25*(E296/'THAM_SO_MOI'!$C$22)^3)</f>
        <v>61.650239785693756</v>
      </c>
      <c r="K296" s="75">
        <f>'THAM_SO_MOI'!$C$31*J296/E296</f>
        <v>405.38898803198896</v>
      </c>
      <c r="L296" s="75">
        <f>K296*'THAM_SO_MOI'!$C$49*'THAM_SO_MOI'!$C$17/'THAM_SO_MOI'!$C$26</f>
        <v>23109.209573546897</v>
      </c>
      <c r="M296" s="75">
        <f>'THAM_SO_MOI'!$C$15*'THAM_SO_MOI'!$C$16*F296^2</f>
        <v>15.046204227553039</v>
      </c>
      <c r="N296" s="75">
        <f>'THAM_SO_MOI'!$C$12*I296</f>
        <v>1130.112</v>
      </c>
      <c r="O296" s="75">
        <f>M296+N296</f>
        <v>1145.1582042275531</v>
      </c>
      <c r="P296" s="75">
        <f>(MIN(L296,'THAM_SO_MOI'!$C$41)-O296)/('THAM_SO_MOI'!$C$11*H296)</f>
        <v>0.9043170030187475</v>
      </c>
      <c r="Q296" s="75">
        <f>IF(P296&gt;0,1/P296,NA())</f>
        <v>1.1058069202081218</v>
      </c>
      <c r="R296" s="75">
        <f>F296-F295</f>
        <v>0.0035133136094671613</v>
      </c>
      <c r="S296" s="75">
        <f>0.5*(Q295+Q296)*R296</f>
        <v>0.0038858298732849603</v>
      </c>
      <c r="T296" s="75">
        <f>0.5*(F295*Q295+F296*Q296)*R296</f>
        <v>0.008806386716788584</v>
      </c>
      <c r="U296" s="76">
        <f>U295+S296</f>
        <v>1.2232347715716871</v>
      </c>
      <c r="V296" s="76">
        <f>V295+T296</f>
        <v>2.131830762755953</v>
      </c>
    </row>
    <row r="297" spans="1:22" ht="19" customHeight="1">
      <c r="A297" s="68" t="s">
        <v>368</v>
      </c>
      <c r="B297" s="74">
        <v>1</v>
      </c>
      <c r="C297" s="68" t="s">
        <v>363</v>
      </c>
      <c r="D297" s="68" t="s">
        <v>364</v>
      </c>
      <c r="E297" s="75">
        <f>60*F297*'THAM_SO_MOI'!$C$49/(2*PI()*'THAM_SO_MOI'!$C$26)</f>
        <v>1454.75</v>
      </c>
      <c r="F297" s="75">
        <f>'THAM_SO_MOI'!$E$49+('THAM_SO_MOI'!$F$49-'THAM_SO_MOI'!$E$49)*291/'THAM_SO_MOI'!$C$42</f>
        <v>2.271552432610125</v>
      </c>
      <c r="G297" s="75">
        <f>3.6*F297</f>
        <v>8.17758875739645</v>
      </c>
      <c r="H297" s="75">
        <f>'THAM_SO_MOI'!$D$49</f>
        <v>3.1625000000000005</v>
      </c>
      <c r="I297" s="75">
        <f>IF(F297&gt;'THAM_SO_MOI'!$C$14,'THAM_SO_MOI'!$C$13*(1+F297^2/1500),'THAM_SO_MOI'!$C$13)</f>
        <v>0.015</v>
      </c>
      <c r="J297" s="75">
        <f>'THAM_SO_MOI'!$C$40*('THAM_SO_MOI'!$C$23*(E297/'THAM_SO_MOI'!$C$22)+'THAM_SO_MOI'!$C$24*(E297/'THAM_SO_MOI'!$C$22)^2-'THAM_SO_MOI'!$C$25*(E297/'THAM_SO_MOI'!$C$22)^3)</f>
        <v>61.769445992375005</v>
      </c>
      <c r="K297" s="75">
        <f>'THAM_SO_MOI'!$C$31*J297/E297</f>
        <v>405.5446333208755</v>
      </c>
      <c r="L297" s="75">
        <f>K297*'THAM_SO_MOI'!$C$49*'THAM_SO_MOI'!$C$17/'THAM_SO_MOI'!$C$26</f>
        <v>23118.0821371986</v>
      </c>
      <c r="M297" s="75">
        <f>'THAM_SO_MOI'!$C$15*'THAM_SO_MOI'!$C$16*F297^2</f>
        <v>15.092855078233656</v>
      </c>
      <c r="N297" s="75">
        <f>'THAM_SO_MOI'!$C$12*I297</f>
        <v>1130.112</v>
      </c>
      <c r="O297" s="75">
        <f>M297+N297</f>
        <v>1145.2048550782338</v>
      </c>
      <c r="P297" s="75">
        <f>(MIN(L297,'THAM_SO_MOI'!$C$41)-O297)/('THAM_SO_MOI'!$C$11*H297)</f>
        <v>0.9046803887566025</v>
      </c>
      <c r="Q297" s="75">
        <f>IF(P297&gt;0,1/P297,NA())</f>
        <v>1.105362747361425</v>
      </c>
      <c r="R297" s="75">
        <f>F297-F296</f>
        <v>0.0035133136094676054</v>
      </c>
      <c r="S297" s="75">
        <f>0.5*(Q296+Q297)*R297</f>
        <v>0.0038842662429570247</v>
      </c>
      <c r="T297" s="75">
        <f>0.5*(F296*Q296+F297*Q297)*R297</f>
        <v>0.008816489739719604</v>
      </c>
      <c r="U297" s="76">
        <f>U296+S297</f>
        <v>1.2271190378146442</v>
      </c>
      <c r="V297" s="76">
        <f>V296+T297</f>
        <v>2.140647252495673</v>
      </c>
    </row>
    <row r="298" spans="1:22" ht="19" customHeight="1">
      <c r="A298" s="68" t="s">
        <v>368</v>
      </c>
      <c r="B298" s="74">
        <v>1</v>
      </c>
      <c r="C298" s="68" t="s">
        <v>363</v>
      </c>
      <c r="D298" s="68" t="s">
        <v>364</v>
      </c>
      <c r="E298" s="75">
        <f>60*F298*'THAM_SO_MOI'!$C$49/(2*PI()*'THAM_SO_MOI'!$C$26)</f>
        <v>1456.9999999999998</v>
      </c>
      <c r="F298" s="75">
        <f>'THAM_SO_MOI'!$E$49+('THAM_SO_MOI'!$F$49-'THAM_SO_MOI'!$E$49)*292/'THAM_SO_MOI'!$C$42</f>
        <v>2.2750657462195925</v>
      </c>
      <c r="G298" s="75">
        <f>3.6*F298</f>
        <v>8.190236686390532</v>
      </c>
      <c r="H298" s="75">
        <f>'THAM_SO_MOI'!$D$49</f>
        <v>3.1625000000000005</v>
      </c>
      <c r="I298" s="75">
        <f>IF(F298&gt;'THAM_SO_MOI'!$C$14,'THAM_SO_MOI'!$C$13*(1+F298^2/1500),'THAM_SO_MOI'!$C$13)</f>
        <v>0.015</v>
      </c>
      <c r="J298" s="75">
        <f>'THAM_SO_MOI'!$C$40*('THAM_SO_MOI'!$C$23*(E298/'THAM_SO_MOI'!$C$22)+'THAM_SO_MOI'!$C$24*(E298/'THAM_SO_MOI'!$C$22)^2-'THAM_SO_MOI'!$C$25*(E298/'THAM_SO_MOI'!$C$22)^3)</f>
        <v>61.88865060925457</v>
      </c>
      <c r="K298" s="75">
        <f>'THAM_SO_MOI'!$C$31*J298/E298</f>
        <v>405.6997874717029</v>
      </c>
      <c r="L298" s="75">
        <f>K298*'THAM_SO_MOI'!$C$49*'THAM_SO_MOI'!$C$17/'THAM_SO_MOI'!$C$26</f>
        <v>23126.926703512756</v>
      </c>
      <c r="M298" s="75">
        <f>'THAM_SO_MOI'!$C$15*'THAM_SO_MOI'!$C$16*F298^2</f>
        <v>15.139578137643506</v>
      </c>
      <c r="N298" s="75">
        <f>'THAM_SO_MOI'!$C$12*I298</f>
        <v>1130.112</v>
      </c>
      <c r="O298" s="75">
        <f>M298+N298</f>
        <v>1145.2515781376435</v>
      </c>
      <c r="P298" s="75">
        <f>(MIN(L298,'THAM_SO_MOI'!$C$41)-O298)/('THAM_SO_MOI'!$C$11*H298)</f>
        <v>0.9050426187983822</v>
      </c>
      <c r="Q298" s="75">
        <f>IF(P298&gt;0,1/P298,NA())</f>
        <v>1.1049203421245422</v>
      </c>
      <c r="R298" s="75">
        <f>F298-F297</f>
        <v>0.0035133136094676054</v>
      </c>
      <c r="S298" s="75">
        <f>0.5*(Q297+Q298)*R298</f>
        <v>0.0038827088295335767</v>
      </c>
      <c r="T298" s="75">
        <f>0.5*(F297*Q297+F298*Q298)*R298</f>
        <v>0.008826595908536848</v>
      </c>
      <c r="U298" s="76">
        <f>U297+S298</f>
        <v>1.2310017466441778</v>
      </c>
      <c r="V298" s="76">
        <f>V297+T298</f>
        <v>2.1494738484042095</v>
      </c>
    </row>
    <row r="299" spans="1:22" ht="19" customHeight="1">
      <c r="A299" s="68" t="s">
        <v>368</v>
      </c>
      <c r="B299" s="74">
        <v>1</v>
      </c>
      <c r="C299" s="68" t="s">
        <v>363</v>
      </c>
      <c r="D299" s="68" t="s">
        <v>364</v>
      </c>
      <c r="E299" s="75">
        <f>60*F299*'THAM_SO_MOI'!$C$49/(2*PI()*'THAM_SO_MOI'!$C$26)</f>
        <v>1459.2499999999998</v>
      </c>
      <c r="F299" s="75">
        <f>'THAM_SO_MOI'!$E$49+('THAM_SO_MOI'!$F$49-'THAM_SO_MOI'!$E$49)*293/'THAM_SO_MOI'!$C$42</f>
        <v>2.2785790598290596</v>
      </c>
      <c r="G299" s="75">
        <f>3.6*F299</f>
        <v>8.202884615384615</v>
      </c>
      <c r="H299" s="75">
        <f>'THAM_SO_MOI'!$D$49</f>
        <v>3.1625000000000005</v>
      </c>
      <c r="I299" s="75">
        <f>IF(F299&gt;'THAM_SO_MOI'!$C$14,'THAM_SO_MOI'!$C$13*(1+F299^2/1500),'THAM_SO_MOI'!$C$13)</f>
        <v>0.015</v>
      </c>
      <c r="J299" s="75">
        <f>'THAM_SO_MOI'!$C$40*('THAM_SO_MOI'!$C$23*(E299/'THAM_SO_MOI'!$C$22)+'THAM_SO_MOI'!$C$24*(E299/'THAM_SO_MOI'!$C$22)^2-'THAM_SO_MOI'!$C$25*(E299/'THAM_SO_MOI'!$C$22)^3)</f>
        <v>62.00785328923301</v>
      </c>
      <c r="K299" s="75">
        <f>'THAM_SO_MOI'!$C$31*J299/E299</f>
        <v>405.8544504844718</v>
      </c>
      <c r="L299" s="75">
        <f>K299*'THAM_SO_MOI'!$C$49*'THAM_SO_MOI'!$C$17/'THAM_SO_MOI'!$C$26</f>
        <v>23135.743272489388</v>
      </c>
      <c r="M299" s="75">
        <f>'THAM_SO_MOI'!$C$15*'THAM_SO_MOI'!$C$16*F299^2</f>
        <v>15.186373405782584</v>
      </c>
      <c r="N299" s="75">
        <f>'THAM_SO_MOI'!$C$12*I299</f>
        <v>1130.112</v>
      </c>
      <c r="O299" s="75">
        <f>M299+N299</f>
        <v>1145.2983734057827</v>
      </c>
      <c r="P299" s="75">
        <f>(MIN(L299,'THAM_SO_MOI'!$C$41)-O299)/('THAM_SO_MOI'!$C$11*H299)</f>
        <v>0.9054036931440876</v>
      </c>
      <c r="Q299" s="75">
        <f>IF(P299&gt;0,1/P299,NA())</f>
        <v>1.104479700681824</v>
      </c>
      <c r="R299" s="75">
        <f>F299-F298</f>
        <v>0.0035133136094671613</v>
      </c>
      <c r="S299" s="75">
        <f>0.5*(Q298+Q299)*R299</f>
        <v>0.0038811576195744673</v>
      </c>
      <c r="T299" s="75">
        <f>0.5*(F298*Q298+F299*Q299)*R299</f>
        <v>0.008836705258165345</v>
      </c>
      <c r="U299" s="76">
        <f>U298+S299</f>
        <v>1.2348829042637524</v>
      </c>
      <c r="V299" s="76">
        <f>V298+T299</f>
        <v>2.158310553662375</v>
      </c>
    </row>
    <row r="300" spans="1:22" ht="19" customHeight="1">
      <c r="A300" s="68" t="s">
        <v>368</v>
      </c>
      <c r="B300" s="74">
        <v>1</v>
      </c>
      <c r="C300" s="68" t="s">
        <v>363</v>
      </c>
      <c r="D300" s="68" t="s">
        <v>364</v>
      </c>
      <c r="E300" s="75">
        <f>60*F300*'THAM_SO_MOI'!$C$49/(2*PI()*'THAM_SO_MOI'!$C$26)</f>
        <v>1461.5</v>
      </c>
      <c r="F300" s="75">
        <f>'THAM_SO_MOI'!$E$49+('THAM_SO_MOI'!$F$49-'THAM_SO_MOI'!$E$49)*294/'THAM_SO_MOI'!$C$42</f>
        <v>2.2820923734385277</v>
      </c>
      <c r="G300" s="75">
        <f>3.6*F300</f>
        <v>8.2155325443787</v>
      </c>
      <c r="H300" s="75">
        <f>'THAM_SO_MOI'!$D$49</f>
        <v>3.1625000000000005</v>
      </c>
      <c r="I300" s="75">
        <f>IF(F300&gt;'THAM_SO_MOI'!$C$14,'THAM_SO_MOI'!$C$13*(1+F300^2/1500),'THAM_SO_MOI'!$C$13)</f>
        <v>0.015</v>
      </c>
      <c r="J300" s="75">
        <f>'THAM_SO_MOI'!$C$40*('THAM_SO_MOI'!$C$23*(E300/'THAM_SO_MOI'!$C$22)+'THAM_SO_MOI'!$C$24*(E300/'THAM_SO_MOI'!$C$22)^2-'THAM_SO_MOI'!$C$25*(E300/'THAM_SO_MOI'!$C$22)^3)</f>
        <v>62.12705368521077</v>
      </c>
      <c r="K300" s="75">
        <f>'THAM_SO_MOI'!$C$31*J300/E300</f>
        <v>406.0086223591819</v>
      </c>
      <c r="L300" s="75">
        <f>K300*'THAM_SO_MOI'!$C$49*'THAM_SO_MOI'!$C$17/'THAM_SO_MOI'!$C$26</f>
        <v>23144.531844128494</v>
      </c>
      <c r="M300" s="75">
        <f>'THAM_SO_MOI'!$C$15*'THAM_SO_MOI'!$C$16*F300^2</f>
        <v>15.233240882650906</v>
      </c>
      <c r="N300" s="75">
        <f>'THAM_SO_MOI'!$C$12*I300</f>
        <v>1130.112</v>
      </c>
      <c r="O300" s="75">
        <f>M300+N300</f>
        <v>1145.345240882651</v>
      </c>
      <c r="P300" s="75">
        <f>(MIN(L300,'THAM_SO_MOI'!$C$41)-O300)/('THAM_SO_MOI'!$C$11*H300)</f>
        <v>0.9057636117937187</v>
      </c>
      <c r="Q300" s="75">
        <f>IF(P300&gt;0,1/P300,NA())</f>
        <v>1.1040408192372195</v>
      </c>
      <c r="R300" s="75">
        <f>F300-F299</f>
        <v>0.0035133136094680495</v>
      </c>
      <c r="S300" s="75">
        <f>0.5*(Q299+Q300)*R300</f>
        <v>0.0038796125997105145</v>
      </c>
      <c r="T300" s="75">
        <f>0.5*(F299*Q299+F300*Q300)*R300</f>
        <v>0.008846817823503082</v>
      </c>
      <c r="U300" s="76">
        <f>U299+S300</f>
        <v>1.2387625168634628</v>
      </c>
      <c r="V300" s="76">
        <f>V299+T300</f>
        <v>2.167157371485878</v>
      </c>
    </row>
    <row r="301" spans="1:22" ht="19" customHeight="1">
      <c r="A301" s="68" t="s">
        <v>368</v>
      </c>
      <c r="B301" s="74">
        <v>1</v>
      </c>
      <c r="C301" s="68" t="s">
        <v>363</v>
      </c>
      <c r="D301" s="68" t="s">
        <v>364</v>
      </c>
      <c r="E301" s="75">
        <f>60*F301*'THAM_SO_MOI'!$C$49/(2*PI()*'THAM_SO_MOI'!$C$26)</f>
        <v>1463.7499999999998</v>
      </c>
      <c r="F301" s="75">
        <f>'THAM_SO_MOI'!$E$49+('THAM_SO_MOI'!$F$49-'THAM_SO_MOI'!$E$49)*295/'THAM_SO_MOI'!$C$42</f>
        <v>2.285605687047995</v>
      </c>
      <c r="G301" s="75">
        <f>3.6*F301</f>
        <v>8.228180473372781</v>
      </c>
      <c r="H301" s="75">
        <f>'THAM_SO_MOI'!$D$49</f>
        <v>3.1625000000000005</v>
      </c>
      <c r="I301" s="75">
        <f>IF(F301&gt;'THAM_SO_MOI'!$C$14,'THAM_SO_MOI'!$C$13*(1+F301^2/1500),'THAM_SO_MOI'!$C$13)</f>
        <v>0.015</v>
      </c>
      <c r="J301" s="75">
        <f>'THAM_SO_MOI'!$C$40*('THAM_SO_MOI'!$C$23*(E301/'THAM_SO_MOI'!$C$22)+'THAM_SO_MOI'!$C$24*(E301/'THAM_SO_MOI'!$C$22)^2-'THAM_SO_MOI'!$C$25*(E301/'THAM_SO_MOI'!$C$22)^3)</f>
        <v>62.24625145008823</v>
      </c>
      <c r="K301" s="75">
        <f>'THAM_SO_MOI'!$C$31*J301/E301</f>
        <v>406.1623030958331</v>
      </c>
      <c r="L301" s="75">
        <f>K301*'THAM_SO_MOI'!$C$49*'THAM_SO_MOI'!$C$17/'THAM_SO_MOI'!$C$26</f>
        <v>23153.292418430057</v>
      </c>
      <c r="M301" s="75">
        <f>'THAM_SO_MOI'!$C$15*'THAM_SO_MOI'!$C$16*F301^2</f>
        <v>15.280180568248452</v>
      </c>
      <c r="N301" s="75">
        <f>'THAM_SO_MOI'!$C$12*I301</f>
        <v>1130.112</v>
      </c>
      <c r="O301" s="75">
        <f>M301+N301</f>
        <v>1145.3921805682485</v>
      </c>
      <c r="P301" s="75">
        <f>(MIN(L301,'THAM_SO_MOI'!$C$41)-O301)/('THAM_SO_MOI'!$C$11*H301)</f>
        <v>0.9061223747472745</v>
      </c>
      <c r="Q301" s="75">
        <f>IF(P301&gt;0,1/P301,NA())</f>
        <v>1.1036036940141873</v>
      </c>
      <c r="R301" s="75">
        <f>F301-F300</f>
        <v>0.0035133136094671613</v>
      </c>
      <c r="S301" s="75">
        <f>0.5*(Q300+Q301)*R301</f>
        <v>0.0038780737566358374</v>
      </c>
      <c r="T301" s="75">
        <f>0.5*(F300*Q300+F301*Q301)*R301</f>
        <v>0.008856933639404731</v>
      </c>
      <c r="U301" s="76">
        <f>U300+S301</f>
        <v>1.2426405906200986</v>
      </c>
      <c r="V301" s="76">
        <f>V300+T301</f>
        <v>2.1760143051252827</v>
      </c>
    </row>
    <row r="302" spans="1:22" ht="19" customHeight="1">
      <c r="A302" s="68" t="s">
        <v>368</v>
      </c>
      <c r="B302" s="74">
        <v>1</v>
      </c>
      <c r="C302" s="68" t="s">
        <v>363</v>
      </c>
      <c r="D302" s="68" t="s">
        <v>364</v>
      </c>
      <c r="E302" s="75">
        <f>60*F302*'THAM_SO_MOI'!$C$49/(2*PI()*'THAM_SO_MOI'!$C$26)</f>
        <v>1465.9999999999995</v>
      </c>
      <c r="F302" s="75">
        <f>'THAM_SO_MOI'!$E$49+('THAM_SO_MOI'!$F$49-'THAM_SO_MOI'!$E$49)*296/'THAM_SO_MOI'!$C$42</f>
        <v>2.289119000657462</v>
      </c>
      <c r="G302" s="75">
        <f>3.6*F302</f>
        <v>8.240828402366864</v>
      </c>
      <c r="H302" s="75">
        <f>'THAM_SO_MOI'!$D$49</f>
        <v>3.1625000000000005</v>
      </c>
      <c r="I302" s="75">
        <f>IF(F302&gt;'THAM_SO_MOI'!$C$14,'THAM_SO_MOI'!$C$13*(1+F302^2/1500),'THAM_SO_MOI'!$C$13)</f>
        <v>0.015</v>
      </c>
      <c r="J302" s="75">
        <f>'THAM_SO_MOI'!$C$40*('THAM_SO_MOI'!$C$23*(E302/'THAM_SO_MOI'!$C$22)+'THAM_SO_MOI'!$C$24*(E302/'THAM_SO_MOI'!$C$22)^2-'THAM_SO_MOI'!$C$25*(E302/'THAM_SO_MOI'!$C$22)^3)</f>
        <v>62.365446236765884</v>
      </c>
      <c r="K302" s="75">
        <f>'THAM_SO_MOI'!$C$31*J302/E302</f>
        <v>406.3154926944255</v>
      </c>
      <c r="L302" s="75">
        <f>K302*'THAM_SO_MOI'!$C$49*'THAM_SO_MOI'!$C$17/'THAM_SO_MOI'!$C$26</f>
        <v>23162.024995394084</v>
      </c>
      <c r="M302" s="75">
        <f>'THAM_SO_MOI'!$C$15*'THAM_SO_MOI'!$C$16*F302^2</f>
        <v>15.327192462575228</v>
      </c>
      <c r="N302" s="75">
        <f>'THAM_SO_MOI'!$C$12*I302</f>
        <v>1130.112</v>
      </c>
      <c r="O302" s="75">
        <f>M302+N302</f>
        <v>1145.4391924625754</v>
      </c>
      <c r="P302" s="75">
        <f>(MIN(L302,'THAM_SO_MOI'!$C$41)-O302)/('THAM_SO_MOI'!$C$11*H302)</f>
        <v>0.9064799820047555</v>
      </c>
      <c r="Q302" s="75">
        <f>IF(P302&gt;0,1/P302,NA())</f>
        <v>1.103168321255608</v>
      </c>
      <c r="R302" s="75">
        <f>F302-F301</f>
        <v>0.0035133136094671613</v>
      </c>
      <c r="S302" s="75">
        <f>0.5*(Q301+Q302)*R302</f>
        <v>0.003876541077119323</v>
      </c>
      <c r="T302" s="75">
        <f>0.5*(F301*Q301+F302*Q302)*R302</f>
        <v>0.008867052740709</v>
      </c>
      <c r="U302" s="76">
        <f>U301+S302</f>
        <v>1.246517131697218</v>
      </c>
      <c r="V302" s="76">
        <f>V301+T302</f>
        <v>2.184881357865992</v>
      </c>
    </row>
    <row r="303" spans="1:22" ht="19" customHeight="1">
      <c r="A303" s="68" t="s">
        <v>368</v>
      </c>
      <c r="B303" s="74">
        <v>1</v>
      </c>
      <c r="C303" s="68" t="s">
        <v>363</v>
      </c>
      <c r="D303" s="68" t="s">
        <v>364</v>
      </c>
      <c r="E303" s="75">
        <f>60*F303*'THAM_SO_MOI'!$C$49/(2*PI()*'THAM_SO_MOI'!$C$26)</f>
        <v>1468.25</v>
      </c>
      <c r="F303" s="75">
        <f>'THAM_SO_MOI'!$E$49+('THAM_SO_MOI'!$F$49-'THAM_SO_MOI'!$E$49)*297/'THAM_SO_MOI'!$C$42</f>
        <v>2.29263231426693</v>
      </c>
      <c r="G303" s="75">
        <f>3.6*F303</f>
        <v>8.253476331360948</v>
      </c>
      <c r="H303" s="75">
        <f>'THAM_SO_MOI'!$D$49</f>
        <v>3.1625000000000005</v>
      </c>
      <c r="I303" s="75">
        <f>IF(F303&gt;'THAM_SO_MOI'!$C$14,'THAM_SO_MOI'!$C$13*(1+F303^2/1500),'THAM_SO_MOI'!$C$13)</f>
        <v>0.015</v>
      </c>
      <c r="J303" s="75">
        <f>'THAM_SO_MOI'!$C$40*('THAM_SO_MOI'!$C$23*(E303/'THAM_SO_MOI'!$C$22)+'THAM_SO_MOI'!$C$24*(E303/'THAM_SO_MOI'!$C$22)^2-'THAM_SO_MOI'!$C$25*(E303/'THAM_SO_MOI'!$C$22)^3)</f>
        <v>62.48463769814426</v>
      </c>
      <c r="K303" s="75">
        <f>'THAM_SO_MOI'!$C$31*J303/E303</f>
        <v>406.46819115495936</v>
      </c>
      <c r="L303" s="75">
        <f>K303*'THAM_SO_MOI'!$C$49*'THAM_SO_MOI'!$C$17/'THAM_SO_MOI'!$C$26</f>
        <v>23170.729575020596</v>
      </c>
      <c r="M303" s="75">
        <f>'THAM_SO_MOI'!$C$15*'THAM_SO_MOI'!$C$16*F303^2</f>
        <v>15.374276565631249</v>
      </c>
      <c r="N303" s="75">
        <f>'THAM_SO_MOI'!$C$12*I303</f>
        <v>1130.112</v>
      </c>
      <c r="O303" s="75">
        <f>M303+N303</f>
        <v>1145.4862765656312</v>
      </c>
      <c r="P303" s="75">
        <f>(MIN(L303,'THAM_SO_MOI'!$C$41)-O303)/('THAM_SO_MOI'!$C$11*H303)</f>
        <v>0.9068364335661627</v>
      </c>
      <c r="Q303" s="75">
        <f>IF(P303&gt;0,1/P303,NA())</f>
        <v>1.1027346972236973</v>
      </c>
      <c r="R303" s="75">
        <f>F303-F302</f>
        <v>0.0035133136094680495</v>
      </c>
      <c r="S303" s="75">
        <f>0.5*(Q302+Q303)*R303</f>
        <v>0.003875014547994997</v>
      </c>
      <c r="T303" s="75">
        <f>0.5*(F302*Q302+F303*Q303)*R303</f>
        <v>0.008877175162217874</v>
      </c>
      <c r="U303" s="76">
        <f>U302+S303</f>
        <v>1.250392146245213</v>
      </c>
      <c r="V303" s="76">
        <f>V302+T303</f>
        <v>2.19375853302821</v>
      </c>
    </row>
    <row r="304" spans="1:22" ht="19" customHeight="1">
      <c r="A304" s="68" t="s">
        <v>368</v>
      </c>
      <c r="B304" s="74">
        <v>1</v>
      </c>
      <c r="C304" s="68" t="s">
        <v>363</v>
      </c>
      <c r="D304" s="68" t="s">
        <v>364</v>
      </c>
      <c r="E304" s="75">
        <f>60*F304*'THAM_SO_MOI'!$C$49/(2*PI()*'THAM_SO_MOI'!$C$26)</f>
        <v>1470.5</v>
      </c>
      <c r="F304" s="75">
        <f>'THAM_SO_MOI'!$E$49+('THAM_SO_MOI'!$F$49-'THAM_SO_MOI'!$E$49)*298/'THAM_SO_MOI'!$C$42</f>
        <v>2.296145627876397</v>
      </c>
      <c r="G304" s="75">
        <f>3.6*F304</f>
        <v>8.26612426035503</v>
      </c>
      <c r="H304" s="75">
        <f>'THAM_SO_MOI'!$D$49</f>
        <v>3.1625000000000005</v>
      </c>
      <c r="I304" s="75">
        <f>IF(F304&gt;'THAM_SO_MOI'!$C$14,'THAM_SO_MOI'!$C$13*(1+F304^2/1500),'THAM_SO_MOI'!$C$13)</f>
        <v>0.015</v>
      </c>
      <c r="J304" s="75">
        <f>'THAM_SO_MOI'!$C$40*('THAM_SO_MOI'!$C$23*(E304/'THAM_SO_MOI'!$C$22)+'THAM_SO_MOI'!$C$24*(E304/'THAM_SO_MOI'!$C$22)^2-'THAM_SO_MOI'!$C$25*(E304/'THAM_SO_MOI'!$C$22)^3)</f>
        <v>62.603825487123714</v>
      </c>
      <c r="K304" s="75">
        <f>'THAM_SO_MOI'!$C$31*J304/E304</f>
        <v>406.62039847743426</v>
      </c>
      <c r="L304" s="75">
        <f>K304*'THAM_SO_MOI'!$C$49*'THAM_SO_MOI'!$C$17/'THAM_SO_MOI'!$C$26</f>
        <v>23179.406157309564</v>
      </c>
      <c r="M304" s="75">
        <f>'THAM_SO_MOI'!$C$15*'THAM_SO_MOI'!$C$16*F304^2</f>
        <v>15.421432877416493</v>
      </c>
      <c r="N304" s="75">
        <f>'THAM_SO_MOI'!$C$12*I304</f>
        <v>1130.112</v>
      </c>
      <c r="O304" s="75">
        <f>M304+N304</f>
        <v>1145.5334328774165</v>
      </c>
      <c r="P304" s="75">
        <f>(MIN(L304,'THAM_SO_MOI'!$C$41)-O304)/('THAM_SO_MOI'!$C$11*H304)</f>
        <v>0.9071917294314946</v>
      </c>
      <c r="Q304" s="75">
        <f>IF(P304&gt;0,1/P304,NA())</f>
        <v>1.1023028181999246</v>
      </c>
      <c r="R304" s="75">
        <f>F304-F303</f>
        <v>0.0035133136094671613</v>
      </c>
      <c r="S304" s="75">
        <f>0.5*(Q303+Q304)*R304</f>
        <v>0.003873494156161733</v>
      </c>
      <c r="T304" s="75">
        <f>0.5*(F303*Q303+F304*Q304)*R304</f>
        <v>0.008887300938697102</v>
      </c>
      <c r="U304" s="76">
        <f>U303+S304</f>
        <v>1.2542656404013748</v>
      </c>
      <c r="V304" s="76">
        <f>V303+T304</f>
        <v>2.202645833966907</v>
      </c>
    </row>
    <row r="305" spans="1:22" ht="19" customHeight="1">
      <c r="A305" s="68" t="s">
        <v>368</v>
      </c>
      <c r="B305" s="74">
        <v>1</v>
      </c>
      <c r="C305" s="68" t="s">
        <v>363</v>
      </c>
      <c r="D305" s="68" t="s">
        <v>364</v>
      </c>
      <c r="E305" s="75">
        <f>60*F305*'THAM_SO_MOI'!$C$49/(2*PI()*'THAM_SO_MOI'!$C$26)</f>
        <v>1472.7499999999995</v>
      </c>
      <c r="F305" s="75">
        <f>'THAM_SO_MOI'!$E$49+('THAM_SO_MOI'!$F$49-'THAM_SO_MOI'!$E$49)*299/'THAM_SO_MOI'!$C$42</f>
        <v>2.2996589414858644</v>
      </c>
      <c r="G305" s="75">
        <f>3.6*F305</f>
        <v>8.278772189349112</v>
      </c>
      <c r="H305" s="75">
        <f>'THAM_SO_MOI'!$D$49</f>
        <v>3.1625000000000005</v>
      </c>
      <c r="I305" s="75">
        <f>IF(F305&gt;'THAM_SO_MOI'!$C$14,'THAM_SO_MOI'!$C$13*(1+F305^2/1500),'THAM_SO_MOI'!$C$13)</f>
        <v>0.015</v>
      </c>
      <c r="J305" s="75">
        <f>'THAM_SO_MOI'!$C$40*('THAM_SO_MOI'!$C$23*(E305/'THAM_SO_MOI'!$C$22)+'THAM_SO_MOI'!$C$24*(E305/'THAM_SO_MOI'!$C$22)^2-'THAM_SO_MOI'!$C$25*(E305/'THAM_SO_MOI'!$C$22)^3)</f>
        <v>62.72300925660471</v>
      </c>
      <c r="K305" s="75">
        <f>'THAM_SO_MOI'!$C$31*J305/E305</f>
        <v>406.77211466185037</v>
      </c>
      <c r="L305" s="75">
        <f>K305*'THAM_SO_MOI'!$C$49*'THAM_SO_MOI'!$C$17/'THAM_SO_MOI'!$C$26</f>
        <v>23188.054742260992</v>
      </c>
      <c r="M305" s="75">
        <f>'THAM_SO_MOI'!$C$15*'THAM_SO_MOI'!$C$16*F305^2</f>
        <v>15.468661397930969</v>
      </c>
      <c r="N305" s="75">
        <f>'THAM_SO_MOI'!$C$12*I305</f>
        <v>1130.112</v>
      </c>
      <c r="O305" s="75">
        <f>M305+N305</f>
        <v>1145.580661397931</v>
      </c>
      <c r="P305" s="75">
        <f>(MIN(L305,'THAM_SO_MOI'!$C$41)-O305)/('THAM_SO_MOI'!$C$11*H305)</f>
        <v>0.9075458696007517</v>
      </c>
      <c r="Q305" s="75">
        <f>IF(P305&gt;0,1/P305,NA())</f>
        <v>1.1018726804849224</v>
      </c>
      <c r="R305" s="75">
        <f>F305-F304</f>
        <v>0.0035133136094671613</v>
      </c>
      <c r="S305" s="75">
        <f>0.5*(Q304+Q305)*R305</f>
        <v>0.00387197988859177</v>
      </c>
      <c r="T305" s="75">
        <f>0.5*(F304*Q304+F305*Q305)*R305</f>
        <v>0.008897430104896905</v>
      </c>
      <c r="U305" s="76">
        <f>U304+S305</f>
        <v>1.2581376202899666</v>
      </c>
      <c r="V305" s="76">
        <f>V304+T305</f>
        <v>2.211543264071804</v>
      </c>
    </row>
    <row r="306" spans="1:22" ht="19" customHeight="1">
      <c r="A306" s="68" t="s">
        <v>368</v>
      </c>
      <c r="B306" s="74">
        <v>1</v>
      </c>
      <c r="C306" s="68" t="s">
        <v>363</v>
      </c>
      <c r="D306" s="68" t="s">
        <v>364</v>
      </c>
      <c r="E306" s="75">
        <f>60*F306*'THAM_SO_MOI'!$C$49/(2*PI()*'THAM_SO_MOI'!$C$26)</f>
        <v>1474.9999999999998</v>
      </c>
      <c r="F306" s="75">
        <f>'THAM_SO_MOI'!$E$49+('THAM_SO_MOI'!$F$49-'THAM_SO_MOI'!$E$49)*300/'THAM_SO_MOI'!$C$42</f>
        <v>2.303172255095332</v>
      </c>
      <c r="G306" s="75">
        <f>3.6*F306</f>
        <v>8.291420118343195</v>
      </c>
      <c r="H306" s="75">
        <f>'THAM_SO_MOI'!$D$49</f>
        <v>3.1625000000000005</v>
      </c>
      <c r="I306" s="75">
        <f>IF(F306&gt;'THAM_SO_MOI'!$C$14,'THAM_SO_MOI'!$C$13*(1+F306^2/1500),'THAM_SO_MOI'!$C$13)</f>
        <v>0.015</v>
      </c>
      <c r="J306" s="75">
        <f>'THAM_SO_MOI'!$C$40*('THAM_SO_MOI'!$C$23*(E306/'THAM_SO_MOI'!$C$22)+'THAM_SO_MOI'!$C$24*(E306/'THAM_SO_MOI'!$C$22)^2-'THAM_SO_MOI'!$C$25*(E306/'THAM_SO_MOI'!$C$22)^3)</f>
        <v>62.84218865948777</v>
      </c>
      <c r="K306" s="75">
        <f>'THAM_SO_MOI'!$C$31*J306/E306</f>
        <v>406.92333970820766</v>
      </c>
      <c r="L306" s="75">
        <f>K306*'THAM_SO_MOI'!$C$49*'THAM_SO_MOI'!$C$17/'THAM_SO_MOI'!$C$26</f>
        <v>23196.675329874895</v>
      </c>
      <c r="M306" s="75">
        <f>'THAM_SO_MOI'!$C$15*'THAM_SO_MOI'!$C$16*F306^2</f>
        <v>15.515962127174683</v>
      </c>
      <c r="N306" s="75">
        <f>'THAM_SO_MOI'!$C$12*I306</f>
        <v>1130.112</v>
      </c>
      <c r="O306" s="75">
        <f>M306+N306</f>
        <v>1145.6279621271747</v>
      </c>
      <c r="P306" s="75">
        <f>(MIN(L306,'THAM_SO_MOI'!$C$41)-O306)/('THAM_SO_MOI'!$C$11*H306)</f>
        <v>0.9078988540739343</v>
      </c>
      <c r="Q306" s="75">
        <f>IF(P306&gt;0,1/P306,NA())</f>
        <v>1.1014442803984037</v>
      </c>
      <c r="R306" s="75">
        <f>F306-F305</f>
        <v>0.0035133136094676054</v>
      </c>
      <c r="S306" s="75">
        <f>0.5*(Q305+Q306)*R306</f>
        <v>0.003870471732321096</v>
      </c>
      <c r="T306" s="75">
        <f>0.5*(F305*Q305+F306*Q306)*R306</f>
        <v>0.00890756269553114</v>
      </c>
      <c r="U306" s="76">
        <f>U305+S306</f>
        <v>1.2620080920222876</v>
      </c>
      <c r="V306" s="76">
        <f>V305+T306</f>
        <v>2.220450826767335</v>
      </c>
    </row>
    <row r="307" spans="1:22" ht="19" customHeight="1">
      <c r="A307" s="68" t="s">
        <v>368</v>
      </c>
      <c r="B307" s="74">
        <v>1</v>
      </c>
      <c r="C307" s="68" t="s">
        <v>363</v>
      </c>
      <c r="D307" s="68" t="s">
        <v>364</v>
      </c>
      <c r="E307" s="75">
        <f>60*F307*'THAM_SO_MOI'!$C$49/(2*PI()*'THAM_SO_MOI'!$C$26)</f>
        <v>1477.2499999999998</v>
      </c>
      <c r="F307" s="75">
        <f>'THAM_SO_MOI'!$E$49+('THAM_SO_MOI'!$F$49-'THAM_SO_MOI'!$E$49)*301/'THAM_SO_MOI'!$C$42</f>
        <v>2.3066855687047996</v>
      </c>
      <c r="G307" s="75">
        <f>3.6*F307</f>
        <v>8.304068047337278</v>
      </c>
      <c r="H307" s="75">
        <f>'THAM_SO_MOI'!$D$49</f>
        <v>3.1625000000000005</v>
      </c>
      <c r="I307" s="75">
        <f>IF(F307&gt;'THAM_SO_MOI'!$C$14,'THAM_SO_MOI'!$C$13*(1+F307^2/1500),'THAM_SO_MOI'!$C$13)</f>
        <v>0.015</v>
      </c>
      <c r="J307" s="75">
        <f>'THAM_SO_MOI'!$C$40*('THAM_SO_MOI'!$C$23*(E307/'THAM_SO_MOI'!$C$22)+'THAM_SO_MOI'!$C$24*(E307/'THAM_SO_MOI'!$C$22)^2-'THAM_SO_MOI'!$C$25*(E307/'THAM_SO_MOI'!$C$22)^3)</f>
        <v>62.96136334867329</v>
      </c>
      <c r="K307" s="75">
        <f>'THAM_SO_MOI'!$C$31*J307/E307</f>
        <v>407.0740736165062</v>
      </c>
      <c r="L307" s="75">
        <f>K307*'THAM_SO_MOI'!$C$49*'THAM_SO_MOI'!$C$17/'THAM_SO_MOI'!$C$26</f>
        <v>23205.26792015127</v>
      </c>
      <c r="M307" s="75">
        <f>'THAM_SO_MOI'!$C$15*'THAM_SO_MOI'!$C$16*F307^2</f>
        <v>15.563335065147632</v>
      </c>
      <c r="N307" s="75">
        <f>'THAM_SO_MOI'!$C$12*I307</f>
        <v>1130.112</v>
      </c>
      <c r="O307" s="75">
        <f>M307+N307</f>
        <v>1145.6753350651477</v>
      </c>
      <c r="P307" s="75">
        <f>(MIN(L307,'THAM_SO_MOI'!$C$41)-O307)/('THAM_SO_MOI'!$C$11*H307)</f>
        <v>0.9082506828510424</v>
      </c>
      <c r="Q307" s="75">
        <f>IF(P307&gt;0,1/P307,NA())</f>
        <v>1.10101761427908</v>
      </c>
      <c r="R307" s="75">
        <f>F307-F306</f>
        <v>0.0035133136094676054</v>
      </c>
      <c r="S307" s="75">
        <f>0.5*(Q306+Q307)*R307</f>
        <v>0.0038689696744521056</v>
      </c>
      <c r="T307" s="75">
        <f>0.5*(F306*Q306+F307*Q307)*R307</f>
        <v>0.00891769874528453</v>
      </c>
      <c r="U307" s="76">
        <f>U306+S307</f>
        <v>1.2658770616967396</v>
      </c>
      <c r="V307" s="76">
        <f>V306+T307</f>
        <v>2.2293685255126197</v>
      </c>
    </row>
    <row r="308" spans="1:22" ht="19" customHeight="1">
      <c r="A308" s="68" t="s">
        <v>368</v>
      </c>
      <c r="B308" s="74">
        <v>1</v>
      </c>
      <c r="C308" s="68" t="s">
        <v>363</v>
      </c>
      <c r="D308" s="68" t="s">
        <v>364</v>
      </c>
      <c r="E308" s="75">
        <f>60*F308*'THAM_SO_MOI'!$C$49/(2*PI()*'THAM_SO_MOI'!$C$26)</f>
        <v>1479.4999999999998</v>
      </c>
      <c r="F308" s="75">
        <f>'THAM_SO_MOI'!$E$49+('THAM_SO_MOI'!$F$49-'THAM_SO_MOI'!$E$49)*302/'THAM_SO_MOI'!$C$42</f>
        <v>2.3101988823142667</v>
      </c>
      <c r="G308" s="75">
        <f>3.6*F308</f>
        <v>8.316715976331361</v>
      </c>
      <c r="H308" s="75">
        <f>'THAM_SO_MOI'!$D$49</f>
        <v>3.1625000000000005</v>
      </c>
      <c r="I308" s="75">
        <f>IF(F308&gt;'THAM_SO_MOI'!$C$14,'THAM_SO_MOI'!$C$13*(1+F308^2/1500),'THAM_SO_MOI'!$C$13)</f>
        <v>0.015</v>
      </c>
      <c r="J308" s="75">
        <f>'THAM_SO_MOI'!$C$40*('THAM_SO_MOI'!$C$23*(E308/'THAM_SO_MOI'!$C$22)+'THAM_SO_MOI'!$C$24*(E308/'THAM_SO_MOI'!$C$22)^2-'THAM_SO_MOI'!$C$25*(E308/'THAM_SO_MOI'!$C$22)^3)</f>
        <v>63.08053297706176</v>
      </c>
      <c r="K308" s="75">
        <f>'THAM_SO_MOI'!$C$31*J308/E308</f>
        <v>407.224316386746</v>
      </c>
      <c r="L308" s="75">
        <f>K308*'THAM_SO_MOI'!$C$49*'THAM_SO_MOI'!$C$17/'THAM_SO_MOI'!$C$26</f>
        <v>23213.832513090107</v>
      </c>
      <c r="M308" s="75">
        <f>'THAM_SO_MOI'!$C$15*'THAM_SO_MOI'!$C$16*F308^2</f>
        <v>15.610780211849805</v>
      </c>
      <c r="N308" s="75">
        <f>'THAM_SO_MOI'!$C$12*I308</f>
        <v>1130.112</v>
      </c>
      <c r="O308" s="75">
        <f>M308+N308</f>
        <v>1145.7227802118498</v>
      </c>
      <c r="P308" s="75">
        <f>(MIN(L308,'THAM_SO_MOI'!$C$41)-O308)/('THAM_SO_MOI'!$C$11*H308)</f>
        <v>0.9086013559320756</v>
      </c>
      <c r="Q308" s="75">
        <f>IF(P308&gt;0,1/P308,NA())</f>
        <v>1.1005926784845752</v>
      </c>
      <c r="R308" s="75">
        <f>F308-F307</f>
        <v>0.0035133136094671613</v>
      </c>
      <c r="S308" s="75">
        <f>0.5*(Q307+Q308)*R308</f>
        <v>0.0038674737021547655</v>
      </c>
      <c r="T308" s="75">
        <f>0.5*(F307*Q307+F308*Q308)*R308</f>
        <v>0.008927838288816539</v>
      </c>
      <c r="U308" s="76">
        <f>U307+S308</f>
        <v>1.2697445353988943</v>
      </c>
      <c r="V308" s="76">
        <f>V307+T308</f>
        <v>2.238296363801436</v>
      </c>
    </row>
    <row r="309" spans="1:22" ht="19" customHeight="1">
      <c r="A309" s="68" t="s">
        <v>368</v>
      </c>
      <c r="B309" s="74">
        <v>1</v>
      </c>
      <c r="C309" s="68" t="s">
        <v>363</v>
      </c>
      <c r="D309" s="68" t="s">
        <v>364</v>
      </c>
      <c r="E309" s="75">
        <f>60*F309*'THAM_SO_MOI'!$C$49/(2*PI()*'THAM_SO_MOI'!$C$26)</f>
        <v>1481.7499999999998</v>
      </c>
      <c r="F309" s="75">
        <f>'THAM_SO_MOI'!$E$49+('THAM_SO_MOI'!$F$49-'THAM_SO_MOI'!$E$49)*303/'THAM_SO_MOI'!$C$42</f>
        <v>2.3137121959237343</v>
      </c>
      <c r="G309" s="75">
        <f>3.6*F309</f>
        <v>8.329363905325444</v>
      </c>
      <c r="H309" s="75">
        <f>'THAM_SO_MOI'!$D$49</f>
        <v>3.1625000000000005</v>
      </c>
      <c r="I309" s="75">
        <f>IF(F309&gt;'THAM_SO_MOI'!$C$14,'THAM_SO_MOI'!$C$13*(1+F309^2/1500),'THAM_SO_MOI'!$C$13)</f>
        <v>0.015</v>
      </c>
      <c r="J309" s="75">
        <f>'THAM_SO_MOI'!$C$40*('THAM_SO_MOI'!$C$23*(E309/'THAM_SO_MOI'!$C$22)+'THAM_SO_MOI'!$C$24*(E309/'THAM_SO_MOI'!$C$22)^2-'THAM_SO_MOI'!$C$25*(E309/'THAM_SO_MOI'!$C$22)^3)</f>
        <v>63.199697197553625</v>
      </c>
      <c r="K309" s="75">
        <f>'THAM_SO_MOI'!$C$31*J309/E309</f>
        <v>407.3740680189271</v>
      </c>
      <c r="L309" s="75">
        <f>K309*'THAM_SO_MOI'!$C$49*'THAM_SO_MOI'!$C$17/'THAM_SO_MOI'!$C$26</f>
        <v>23222.36910869142</v>
      </c>
      <c r="M309" s="75">
        <f>'THAM_SO_MOI'!$C$15*'THAM_SO_MOI'!$C$16*F309^2</f>
        <v>15.65829756728122</v>
      </c>
      <c r="N309" s="75">
        <f>'THAM_SO_MOI'!$C$12*I309</f>
        <v>1130.112</v>
      </c>
      <c r="O309" s="75">
        <f>M309+N309</f>
        <v>1145.7702975672812</v>
      </c>
      <c r="P309" s="75">
        <f>(MIN(L309,'THAM_SO_MOI'!$C$41)-O309)/('THAM_SO_MOI'!$C$11*H309)</f>
        <v>0.9089508733170344</v>
      </c>
      <c r="Q309" s="75">
        <f>IF(P309&gt;0,1/P309,NA())</f>
        <v>1.1001694693913435</v>
      </c>
      <c r="R309" s="75">
        <f>F309-F308</f>
        <v>0.0035133136094676054</v>
      </c>
      <c r="S309" s="75">
        <f>0.5*(Q308+Q309)*R309</f>
        <v>0.003865983802666812</v>
      </c>
      <c r="T309" s="75">
        <f>0.5*(F308*Q308+F309*Q309)*R309</f>
        <v>0.008937981360763</v>
      </c>
      <c r="U309" s="76">
        <f>U308+S309</f>
        <v>1.2736105192015612</v>
      </c>
      <c r="V309" s="76">
        <f>V308+T309</f>
        <v>2.247234345162199</v>
      </c>
    </row>
    <row r="310" spans="1:22" ht="19" customHeight="1">
      <c r="A310" s="68" t="s">
        <v>368</v>
      </c>
      <c r="B310" s="74">
        <v>1</v>
      </c>
      <c r="C310" s="68" t="s">
        <v>363</v>
      </c>
      <c r="D310" s="68" t="s">
        <v>364</v>
      </c>
      <c r="E310" s="75">
        <f>60*F310*'THAM_SO_MOI'!$C$49/(2*PI()*'THAM_SO_MOI'!$C$26)</f>
        <v>1483.9999999999998</v>
      </c>
      <c r="F310" s="75">
        <f>'THAM_SO_MOI'!$E$49+('THAM_SO_MOI'!$F$49-'THAM_SO_MOI'!$E$49)*304/'THAM_SO_MOI'!$C$42</f>
        <v>2.317225509533202</v>
      </c>
      <c r="G310" s="75">
        <f>3.6*F310</f>
        <v>8.342011834319527</v>
      </c>
      <c r="H310" s="75">
        <f>'THAM_SO_MOI'!$D$49</f>
        <v>3.1625000000000005</v>
      </c>
      <c r="I310" s="75">
        <f>IF(F310&gt;'THAM_SO_MOI'!$C$14,'THAM_SO_MOI'!$C$13*(1+F310^2/1500),'THAM_SO_MOI'!$C$13)</f>
        <v>0.015</v>
      </c>
      <c r="J310" s="75">
        <f>'THAM_SO_MOI'!$C$40*('THAM_SO_MOI'!$C$23*(E310/'THAM_SO_MOI'!$C$22)+'THAM_SO_MOI'!$C$24*(E310/'THAM_SO_MOI'!$C$22)^2-'THAM_SO_MOI'!$C$25*(E310/'THAM_SO_MOI'!$C$22)^3)</f>
        <v>63.318855663049334</v>
      </c>
      <c r="K310" s="75">
        <f>'THAM_SO_MOI'!$C$31*J310/E310</f>
        <v>407.5233285130494</v>
      </c>
      <c r="L310" s="75">
        <f>K310*'THAM_SO_MOI'!$C$49*'THAM_SO_MOI'!$C$17/'THAM_SO_MOI'!$C$26</f>
        <v>23230.877706955194</v>
      </c>
      <c r="M310" s="75">
        <f>'THAM_SO_MOI'!$C$15*'THAM_SO_MOI'!$C$16*F310^2</f>
        <v>15.705887131441868</v>
      </c>
      <c r="N310" s="75">
        <f>'THAM_SO_MOI'!$C$12*I310</f>
        <v>1130.112</v>
      </c>
      <c r="O310" s="75">
        <f>M310+N310</f>
        <v>1145.817887131442</v>
      </c>
      <c r="P310" s="75">
        <f>(MIN(L310,'THAM_SO_MOI'!$C$41)-O310)/('THAM_SO_MOI'!$C$11*H310)</f>
        <v>0.9092992350059186</v>
      </c>
      <c r="Q310" s="75">
        <f>IF(P310&gt;0,1/P310,NA())</f>
        <v>1.0997479833945873</v>
      </c>
      <c r="R310" s="75">
        <f>F310-F309</f>
        <v>0.0035133136094676054</v>
      </c>
      <c r="S310" s="75">
        <f>0.5*(Q309+Q310)*R310</f>
        <v>0.003864499963289059</v>
      </c>
      <c r="T310" s="75">
        <f>0.5*(F309*Q309+F310*Q310)*R310</f>
        <v>0.008948127995726458</v>
      </c>
      <c r="U310" s="76">
        <f>U309+S310</f>
        <v>1.2774750191648503</v>
      </c>
      <c r="V310" s="76">
        <f>V309+T310</f>
        <v>2.2561824731579256</v>
      </c>
    </row>
    <row r="311" spans="1:22" ht="19" customHeight="1">
      <c r="A311" s="68" t="s">
        <v>368</v>
      </c>
      <c r="B311" s="74">
        <v>1</v>
      </c>
      <c r="C311" s="68" t="s">
        <v>363</v>
      </c>
      <c r="D311" s="68" t="s">
        <v>364</v>
      </c>
      <c r="E311" s="75">
        <f>60*F311*'THAM_SO_MOI'!$C$49/(2*PI()*'THAM_SO_MOI'!$C$26)</f>
        <v>1486.2499999999998</v>
      </c>
      <c r="F311" s="75">
        <f>'THAM_SO_MOI'!$E$49+('THAM_SO_MOI'!$F$49-'THAM_SO_MOI'!$E$49)*305/'THAM_SO_MOI'!$C$42</f>
        <v>2.320738823142669</v>
      </c>
      <c r="G311" s="75">
        <f>3.6*F311</f>
        <v>8.35465976331361</v>
      </c>
      <c r="H311" s="75">
        <f>'THAM_SO_MOI'!$D$49</f>
        <v>3.1625000000000005</v>
      </c>
      <c r="I311" s="75">
        <f>IF(F311&gt;'THAM_SO_MOI'!$C$14,'THAM_SO_MOI'!$C$13*(1+F311^2/1500),'THAM_SO_MOI'!$C$13)</f>
        <v>0.015</v>
      </c>
      <c r="J311" s="75">
        <f>'THAM_SO_MOI'!$C$40*('THAM_SO_MOI'!$C$23*(E311/'THAM_SO_MOI'!$C$22)+'THAM_SO_MOI'!$C$24*(E311/'THAM_SO_MOI'!$C$22)^2-'THAM_SO_MOI'!$C$25*(E311/'THAM_SO_MOI'!$C$22)^3)</f>
        <v>63.43800802644932</v>
      </c>
      <c r="K311" s="75">
        <f>'THAM_SO_MOI'!$C$31*J311/E311</f>
        <v>407.67209786911275</v>
      </c>
      <c r="L311" s="75">
        <f>K311*'THAM_SO_MOI'!$C$49*'THAM_SO_MOI'!$C$17/'THAM_SO_MOI'!$C$26</f>
        <v>23239.35830788143</v>
      </c>
      <c r="M311" s="75">
        <f>'THAM_SO_MOI'!$C$15*'THAM_SO_MOI'!$C$16*F311^2</f>
        <v>15.753548904331742</v>
      </c>
      <c r="N311" s="75">
        <f>'THAM_SO_MOI'!$C$12*I311</f>
        <v>1130.112</v>
      </c>
      <c r="O311" s="75">
        <f>M311+N311</f>
        <v>1145.8655489043317</v>
      </c>
      <c r="P311" s="75">
        <f>(MIN(L311,'THAM_SO_MOI'!$C$41)-O311)/('THAM_SO_MOI'!$C$11*H311)</f>
        <v>0.9096464409987275</v>
      </c>
      <c r="Q311" s="75">
        <f>IF(P311&gt;0,1/P311,NA())</f>
        <v>1.0993282169081766</v>
      </c>
      <c r="R311" s="75">
        <f>F311-F310</f>
        <v>0.0035133136094671613</v>
      </c>
      <c r="S311" s="75">
        <f>0.5*(Q310+Q311)*R311</f>
        <v>0.003863022171389517</v>
      </c>
      <c r="T311" s="75">
        <f>0.5*(F310*Q310+F311*Q311)*R311</f>
        <v>0.00895827822828681</v>
      </c>
      <c r="U311" s="76">
        <f>U310+S311</f>
        <v>1.2813380413362399</v>
      </c>
      <c r="V311" s="76">
        <f>V310+T311</f>
        <v>2.2651407513862125</v>
      </c>
    </row>
    <row r="312" spans="1:22" ht="19" customHeight="1">
      <c r="A312" s="68" t="s">
        <v>368</v>
      </c>
      <c r="B312" s="74">
        <v>1</v>
      </c>
      <c r="C312" s="68" t="s">
        <v>363</v>
      </c>
      <c r="D312" s="68" t="s">
        <v>364</v>
      </c>
      <c r="E312" s="75">
        <f>60*F312*'THAM_SO_MOI'!$C$49/(2*PI()*'THAM_SO_MOI'!$C$26)</f>
        <v>1488.5</v>
      </c>
      <c r="F312" s="75">
        <f>'THAM_SO_MOI'!$E$49+('THAM_SO_MOI'!$F$49-'THAM_SO_MOI'!$E$49)*306/'THAM_SO_MOI'!$C$42</f>
        <v>2.324252136752137</v>
      </c>
      <c r="G312" s="75">
        <f>3.6*F312</f>
        <v>8.367307692307694</v>
      </c>
      <c r="H312" s="75">
        <f>'THAM_SO_MOI'!$D$49</f>
        <v>3.1625000000000005</v>
      </c>
      <c r="I312" s="75">
        <f>IF(F312&gt;'THAM_SO_MOI'!$C$14,'THAM_SO_MOI'!$C$13*(1+F312^2/1500),'THAM_SO_MOI'!$C$13)</f>
        <v>0.015</v>
      </c>
      <c r="J312" s="75">
        <f>'THAM_SO_MOI'!$C$40*('THAM_SO_MOI'!$C$23*(E312/'THAM_SO_MOI'!$C$22)+'THAM_SO_MOI'!$C$24*(E312/'THAM_SO_MOI'!$C$22)^2-'THAM_SO_MOI'!$C$25*(E312/'THAM_SO_MOI'!$C$22)^3)</f>
        <v>63.5571539406541</v>
      </c>
      <c r="K312" s="75">
        <f>'THAM_SO_MOI'!$C$31*J312/E312</f>
        <v>407.8203760871175</v>
      </c>
      <c r="L312" s="75">
        <f>K312*'THAM_SO_MOI'!$C$49*'THAM_SO_MOI'!$C$17/'THAM_SO_MOI'!$C$26</f>
        <v>23247.81091147014</v>
      </c>
      <c r="M312" s="75">
        <f>'THAM_SO_MOI'!$C$15*'THAM_SO_MOI'!$C$16*F312^2</f>
        <v>15.801282885950862</v>
      </c>
      <c r="N312" s="75">
        <f>'THAM_SO_MOI'!$C$12*I312</f>
        <v>1130.112</v>
      </c>
      <c r="O312" s="75">
        <f>M312+N312</f>
        <v>1145.913282885951</v>
      </c>
      <c r="P312" s="75">
        <f>(MIN(L312,'THAM_SO_MOI'!$C$41)-O312)/('THAM_SO_MOI'!$C$11*H312)</f>
        <v>0.9099924912954622</v>
      </c>
      <c r="Q312" s="75">
        <f>IF(P312&gt;0,1/P312,NA())</f>
        <v>1.0989101663645635</v>
      </c>
      <c r="R312" s="75">
        <f>F312-F311</f>
        <v>0.0035133136094680495</v>
      </c>
      <c r="S312" s="75">
        <f>0.5*(Q311+Q312)*R312</f>
        <v>0.00386155041440358</v>
      </c>
      <c r="T312" s="75">
        <f>0.5*(F311*Q311+F312*Q312)*R312</f>
        <v>0.008968432093002939</v>
      </c>
      <c r="U312" s="76">
        <f>U311+S312</f>
        <v>1.2851995917506434</v>
      </c>
      <c r="V312" s="76">
        <f>V311+T312</f>
        <v>2.2741091834792155</v>
      </c>
    </row>
    <row r="313" spans="1:22" ht="19" customHeight="1">
      <c r="A313" s="68" t="s">
        <v>368</v>
      </c>
      <c r="B313" s="74">
        <v>1</v>
      </c>
      <c r="C313" s="68" t="s">
        <v>363</v>
      </c>
      <c r="D313" s="68" t="s">
        <v>364</v>
      </c>
      <c r="E313" s="75">
        <f>60*F313*'THAM_SO_MOI'!$C$49/(2*PI()*'THAM_SO_MOI'!$C$26)</f>
        <v>1490.75</v>
      </c>
      <c r="F313" s="75">
        <f>'THAM_SO_MOI'!$E$49+('THAM_SO_MOI'!$F$49-'THAM_SO_MOI'!$E$49)*307/'THAM_SO_MOI'!$C$42</f>
        <v>2.3277654503616043</v>
      </c>
      <c r="G313" s="75">
        <f>3.6*F313</f>
        <v>8.379955621301775</v>
      </c>
      <c r="H313" s="75">
        <f>'THAM_SO_MOI'!$D$49</f>
        <v>3.1625000000000005</v>
      </c>
      <c r="I313" s="75">
        <f>IF(F313&gt;'THAM_SO_MOI'!$C$14,'THAM_SO_MOI'!$C$13*(1+F313^2/1500),'THAM_SO_MOI'!$C$13)</f>
        <v>0.015</v>
      </c>
      <c r="J313" s="75">
        <f>'THAM_SO_MOI'!$C$40*('THAM_SO_MOI'!$C$23*(E313/'THAM_SO_MOI'!$C$22)+'THAM_SO_MOI'!$C$24*(E313/'THAM_SO_MOI'!$C$22)^2-'THAM_SO_MOI'!$C$25*(E313/'THAM_SO_MOI'!$C$22)^3)</f>
        <v>63.67629305856408</v>
      </c>
      <c r="K313" s="75">
        <f>'THAM_SO_MOI'!$C$31*J313/E313</f>
        <v>407.9681631670634</v>
      </c>
      <c r="L313" s="75">
        <f>K313*'THAM_SO_MOI'!$C$49*'THAM_SO_MOI'!$C$17/'THAM_SO_MOI'!$C$26</f>
        <v>23256.235517721318</v>
      </c>
      <c r="M313" s="75">
        <f>'THAM_SO_MOI'!$C$15*'THAM_SO_MOI'!$C$16*F313^2</f>
        <v>15.849089076299203</v>
      </c>
      <c r="N313" s="75">
        <f>'THAM_SO_MOI'!$C$12*I313</f>
        <v>1130.112</v>
      </c>
      <c r="O313" s="75">
        <f>M313+N313</f>
        <v>1145.9610890762992</v>
      </c>
      <c r="P313" s="75">
        <f>(MIN(L313,'THAM_SO_MOI'!$C$41)-O313)/('THAM_SO_MOI'!$C$11*H313)</f>
        <v>0.9103373858961221</v>
      </c>
      <c r="Q313" s="75">
        <f>IF(P313&gt;0,1/P313,NA())</f>
        <v>1.0984938282147068</v>
      </c>
      <c r="R313" s="75">
        <f>F313-F312</f>
        <v>0.0035133136094671613</v>
      </c>
      <c r="S313" s="75">
        <f>0.5*(Q312+Q313)*R313</f>
        <v>0.003860084679826427</v>
      </c>
      <c r="T313" s="75">
        <f>0.5*(F312*Q312+F313*Q313)*R313</f>
        <v>0.008978589624396209</v>
      </c>
      <c r="U313" s="76">
        <f>U312+S313</f>
        <v>1.2890596764304698</v>
      </c>
      <c r="V313" s="76">
        <f>V312+T313</f>
        <v>2.283087773103612</v>
      </c>
    </row>
    <row r="314" spans="1:22" ht="19" customHeight="1">
      <c r="A314" s="68" t="s">
        <v>368</v>
      </c>
      <c r="B314" s="74">
        <v>1</v>
      </c>
      <c r="C314" s="68" t="s">
        <v>363</v>
      </c>
      <c r="D314" s="68" t="s">
        <v>364</v>
      </c>
      <c r="E314" s="75">
        <f>60*F314*'THAM_SO_MOI'!$C$49/(2*PI()*'THAM_SO_MOI'!$C$26)</f>
        <v>1492.9999999999998</v>
      </c>
      <c r="F314" s="75">
        <f>'THAM_SO_MOI'!$E$49+('THAM_SO_MOI'!$F$49-'THAM_SO_MOI'!$E$49)*308/'THAM_SO_MOI'!$C$42</f>
        <v>2.3312787639710715</v>
      </c>
      <c r="G314" s="75">
        <f>3.6*F314</f>
        <v>8.392603550295858</v>
      </c>
      <c r="H314" s="75">
        <f>'THAM_SO_MOI'!$D$49</f>
        <v>3.1625000000000005</v>
      </c>
      <c r="I314" s="75">
        <f>IF(F314&gt;'THAM_SO_MOI'!$C$14,'THAM_SO_MOI'!$C$13*(1+F314^2/1500),'THAM_SO_MOI'!$C$13)</f>
        <v>0.015</v>
      </c>
      <c r="J314" s="75">
        <f>'THAM_SO_MOI'!$C$40*('THAM_SO_MOI'!$C$23*(E314/'THAM_SO_MOI'!$C$22)+'THAM_SO_MOI'!$C$24*(E314/'THAM_SO_MOI'!$C$22)^2-'THAM_SO_MOI'!$C$25*(E314/'THAM_SO_MOI'!$C$22)^3)</f>
        <v>63.79542503307973</v>
      </c>
      <c r="K314" s="75">
        <f>'THAM_SO_MOI'!$C$31*J314/E314</f>
        <v>408.1154591089507</v>
      </c>
      <c r="L314" s="75">
        <f>K314*'THAM_SO_MOI'!$C$49*'THAM_SO_MOI'!$C$17/'THAM_SO_MOI'!$C$26</f>
        <v>23264.63212663497</v>
      </c>
      <c r="M314" s="75">
        <f>'THAM_SO_MOI'!$C$15*'THAM_SO_MOI'!$C$16*F314^2</f>
        <v>15.896967475376774</v>
      </c>
      <c r="N314" s="75">
        <f>'THAM_SO_MOI'!$C$12*I314</f>
        <v>1130.112</v>
      </c>
      <c r="O314" s="75">
        <f>M314+N314</f>
        <v>1146.008967475377</v>
      </c>
      <c r="P314" s="75">
        <f>(MIN(L314,'THAM_SO_MOI'!$C$41)-O314)/('THAM_SO_MOI'!$C$11*H314)</f>
        <v>0.9106811248007077</v>
      </c>
      <c r="Q314" s="75">
        <f>IF(P314&gt;0,1/P314,NA())</f>
        <v>1.0980791989279877</v>
      </c>
      <c r="R314" s="75">
        <f>F314-F313</f>
        <v>0.0035133136094671613</v>
      </c>
      <c r="S314" s="75">
        <f>0.5*(Q313+Q314)*R314</f>
        <v>0.003858624955224454</v>
      </c>
      <c r="T314" s="75">
        <f>0.5*(F313*Q313+F314*Q314)*R314</f>
        <v>0.00898875085697815</v>
      </c>
      <c r="U314" s="76">
        <f>U313+S314</f>
        <v>1.2929183013856942</v>
      </c>
      <c r="V314" s="76">
        <f>V313+T314</f>
        <v>2.2920765239605903</v>
      </c>
    </row>
    <row r="315" spans="1:22" ht="19" customHeight="1">
      <c r="A315" s="68" t="s">
        <v>368</v>
      </c>
      <c r="B315" s="74">
        <v>1</v>
      </c>
      <c r="C315" s="68" t="s">
        <v>363</v>
      </c>
      <c r="D315" s="68" t="s">
        <v>364</v>
      </c>
      <c r="E315" s="75">
        <f>60*F315*'THAM_SO_MOI'!$C$49/(2*PI()*'THAM_SO_MOI'!$C$26)</f>
        <v>1495.2500000000002</v>
      </c>
      <c r="F315" s="75">
        <f>'THAM_SO_MOI'!$E$49+('THAM_SO_MOI'!$F$49-'THAM_SO_MOI'!$E$49)*309/'THAM_SO_MOI'!$C$42</f>
        <v>2.3347920775805395</v>
      </c>
      <c r="G315" s="75">
        <f>3.6*F315</f>
        <v>8.405251479289943</v>
      </c>
      <c r="H315" s="75">
        <f>'THAM_SO_MOI'!$D$49</f>
        <v>3.1625000000000005</v>
      </c>
      <c r="I315" s="75">
        <f>IF(F315&gt;'THAM_SO_MOI'!$C$14,'THAM_SO_MOI'!$C$13*(1+F315^2/1500),'THAM_SO_MOI'!$C$13)</f>
        <v>0.015</v>
      </c>
      <c r="J315" s="75">
        <f>'THAM_SO_MOI'!$C$40*('THAM_SO_MOI'!$C$23*(E315/'THAM_SO_MOI'!$C$22)+'THAM_SO_MOI'!$C$24*(E315/'THAM_SO_MOI'!$C$22)^2-'THAM_SO_MOI'!$C$25*(E315/'THAM_SO_MOI'!$C$22)^3)</f>
        <v>63.91454951710152</v>
      </c>
      <c r="K315" s="75">
        <f>'THAM_SO_MOI'!$C$31*J315/E315</f>
        <v>408.26226391277896</v>
      </c>
      <c r="L315" s="75">
        <f>K315*'THAM_SO_MOI'!$C$49*'THAM_SO_MOI'!$C$17/'THAM_SO_MOI'!$C$26</f>
        <v>23273.000738211078</v>
      </c>
      <c r="M315" s="75">
        <f>'THAM_SO_MOI'!$C$15*'THAM_SO_MOI'!$C$16*F315^2</f>
        <v>15.944918083183595</v>
      </c>
      <c r="N315" s="75">
        <f>'THAM_SO_MOI'!$C$12*I315</f>
        <v>1130.112</v>
      </c>
      <c r="O315" s="75">
        <f>M315+N315</f>
        <v>1146.0569180831837</v>
      </c>
      <c r="P315" s="75">
        <f>(MIN(L315,'THAM_SO_MOI'!$C$41)-O315)/('THAM_SO_MOI'!$C$11*H315)</f>
        <v>0.9110237080092182</v>
      </c>
      <c r="Q315" s="75">
        <f>IF(P315&gt;0,1/P315,NA())</f>
        <v>1.097666274992134</v>
      </c>
      <c r="R315" s="75">
        <f>F315-F314</f>
        <v>0.0035133136094680495</v>
      </c>
      <c r="S315" s="75">
        <f>0.5*(Q314+Q315)*R315</f>
        <v>0.0038571712282257174</v>
      </c>
      <c r="T315" s="75">
        <f>0.5*(F314*Q314+F315*Q315)*R315</f>
        <v>0.008998915825229426</v>
      </c>
      <c r="U315" s="76">
        <f>U314+S315</f>
        <v>1.29677547261392</v>
      </c>
      <c r="V315" s="76">
        <f>V314+T315</f>
        <v>2.3010754397858197</v>
      </c>
    </row>
    <row r="316" spans="1:22" ht="19" customHeight="1">
      <c r="A316" s="68" t="s">
        <v>368</v>
      </c>
      <c r="B316" s="74">
        <v>1</v>
      </c>
      <c r="C316" s="68" t="s">
        <v>363</v>
      </c>
      <c r="D316" s="68" t="s">
        <v>364</v>
      </c>
      <c r="E316" s="75">
        <f>60*F316*'THAM_SO_MOI'!$C$49/(2*PI()*'THAM_SO_MOI'!$C$26)</f>
        <v>1497.5</v>
      </c>
      <c r="F316" s="75">
        <f>'THAM_SO_MOI'!$E$49+('THAM_SO_MOI'!$F$49-'THAM_SO_MOI'!$E$49)*310/'THAM_SO_MOI'!$C$42</f>
        <v>2.3383053911900067</v>
      </c>
      <c r="G316" s="75">
        <f>3.6*F316</f>
        <v>8.417899408284024</v>
      </c>
      <c r="H316" s="75">
        <f>'THAM_SO_MOI'!$D$49</f>
        <v>3.1625000000000005</v>
      </c>
      <c r="I316" s="75">
        <f>IF(F316&gt;'THAM_SO_MOI'!$C$14,'THAM_SO_MOI'!$C$13*(1+F316^2/1500),'THAM_SO_MOI'!$C$13)</f>
        <v>0.015</v>
      </c>
      <c r="J316" s="75">
        <f>'THAM_SO_MOI'!$C$40*('THAM_SO_MOI'!$C$23*(E316/'THAM_SO_MOI'!$C$22)+'THAM_SO_MOI'!$C$24*(E316/'THAM_SO_MOI'!$C$22)^2-'THAM_SO_MOI'!$C$25*(E316/'THAM_SO_MOI'!$C$22)^3)</f>
        <v>64.03366616352986</v>
      </c>
      <c r="K316" s="75">
        <f>'THAM_SO_MOI'!$C$31*J316/E316</f>
        <v>408.40857757854855</v>
      </c>
      <c r="L316" s="75">
        <f>K316*'THAM_SO_MOI'!$C$49*'THAM_SO_MOI'!$C$17/'THAM_SO_MOI'!$C$26</f>
        <v>23281.34135244966</v>
      </c>
      <c r="M316" s="75">
        <f>'THAM_SO_MOI'!$C$15*'THAM_SO_MOI'!$C$16*F316^2</f>
        <v>15.992940899719633</v>
      </c>
      <c r="N316" s="75">
        <f>'THAM_SO_MOI'!$C$12*I316</f>
        <v>1130.112</v>
      </c>
      <c r="O316" s="75">
        <f>M316+N316</f>
        <v>1146.1049408997196</v>
      </c>
      <c r="P316" s="75">
        <f>(MIN(L316,'THAM_SO_MOI'!$C$41)-O316)/('THAM_SO_MOI'!$C$11*H316)</f>
        <v>0.9113651355216542</v>
      </c>
      <c r="Q316" s="75">
        <f>IF(P316&gt;0,1/P316,NA())</f>
        <v>1.097255052913136</v>
      </c>
      <c r="R316" s="75">
        <f>F316-F315</f>
        <v>0.0035133136094671613</v>
      </c>
      <c r="S316" s="75">
        <f>0.5*(Q315+Q316)*R316</f>
        <v>0.0038557234865196593</v>
      </c>
      <c r="T316" s="75">
        <f>0.5*(F315*Q315+F316*Q316)*R316</f>
        <v>0.009009084563600256</v>
      </c>
      <c r="U316" s="76">
        <f>U315+S316</f>
        <v>1.3006311961004398</v>
      </c>
      <c r="V316" s="76">
        <f>V315+T316</f>
        <v>2.31008452434942</v>
      </c>
    </row>
    <row r="317" spans="1:22" ht="19" customHeight="1">
      <c r="A317" s="68" t="s">
        <v>368</v>
      </c>
      <c r="B317" s="74">
        <v>1</v>
      </c>
      <c r="C317" s="68" t="s">
        <v>363</v>
      </c>
      <c r="D317" s="68" t="s">
        <v>364</v>
      </c>
      <c r="E317" s="75">
        <f>60*F317*'THAM_SO_MOI'!$C$49/(2*PI()*'THAM_SO_MOI'!$C$26)</f>
        <v>1499.7499999999998</v>
      </c>
      <c r="F317" s="75">
        <f>'THAM_SO_MOI'!$E$49+('THAM_SO_MOI'!$F$49-'THAM_SO_MOI'!$E$49)*311/'THAM_SO_MOI'!$C$42</f>
        <v>2.341818704799474</v>
      </c>
      <c r="G317" s="75">
        <f>3.6*F317</f>
        <v>8.430547337278107</v>
      </c>
      <c r="H317" s="75">
        <f>'THAM_SO_MOI'!$D$49</f>
        <v>3.1625000000000005</v>
      </c>
      <c r="I317" s="75">
        <f>IF(F317&gt;'THAM_SO_MOI'!$C$14,'THAM_SO_MOI'!$C$13*(1+F317^2/1500),'THAM_SO_MOI'!$C$13)</f>
        <v>0.015</v>
      </c>
      <c r="J317" s="75">
        <f>'THAM_SO_MOI'!$C$40*('THAM_SO_MOI'!$C$23*(E317/'THAM_SO_MOI'!$C$22)+'THAM_SO_MOI'!$C$24*(E317/'THAM_SO_MOI'!$C$22)^2-'THAM_SO_MOI'!$C$25*(E317/'THAM_SO_MOI'!$C$22)^3)</f>
        <v>64.15277462526525</v>
      </c>
      <c r="K317" s="75">
        <f>'THAM_SO_MOI'!$C$31*J317/E317</f>
        <v>408.5544001062595</v>
      </c>
      <c r="L317" s="75">
        <f>K317*'THAM_SO_MOI'!$C$49*'THAM_SO_MOI'!$C$17/'THAM_SO_MOI'!$C$26</f>
        <v>23289.653969350715</v>
      </c>
      <c r="M317" s="75">
        <f>'THAM_SO_MOI'!$C$15*'THAM_SO_MOI'!$C$16*F317^2</f>
        <v>16.041035924984907</v>
      </c>
      <c r="N317" s="75">
        <f>'THAM_SO_MOI'!$C$12*I317</f>
        <v>1130.112</v>
      </c>
      <c r="O317" s="75">
        <f>M317+N317</f>
        <v>1146.153035924985</v>
      </c>
      <c r="P317" s="75">
        <f>(MIN(L317,'THAM_SO_MOI'!$C$41)-O317)/('THAM_SO_MOI'!$C$11*H317)</f>
        <v>0.9117054073380157</v>
      </c>
      <c r="Q317" s="75">
        <f>IF(P317&gt;0,1/P317,NA())</f>
        <v>1.0968455292151722</v>
      </c>
      <c r="R317" s="75">
        <f>F317-F316</f>
        <v>0.0035133136094671613</v>
      </c>
      <c r="S317" s="75">
        <f>0.5*(Q316+Q317)*R317</f>
        <v>0.0038542817178656027</v>
      </c>
      <c r="T317" s="75">
        <f>0.5*(F316*Q316+F317*Q317)*R317</f>
        <v>0.00901925710653138</v>
      </c>
      <c r="U317" s="76">
        <f>U316+S317</f>
        <v>1.3044854778183053</v>
      </c>
      <c r="V317" s="76">
        <f>V316+T317</f>
        <v>2.3191037814559516</v>
      </c>
    </row>
    <row r="318" spans="1:22" ht="19" customHeight="1">
      <c r="A318" s="68" t="s">
        <v>368</v>
      </c>
      <c r="B318" s="74">
        <v>1</v>
      </c>
      <c r="C318" s="68" t="s">
        <v>363</v>
      </c>
      <c r="D318" s="68" t="s">
        <v>364</v>
      </c>
      <c r="E318" s="75">
        <f>60*F318*'THAM_SO_MOI'!$C$49/(2*PI()*'THAM_SO_MOI'!$C$26)</f>
        <v>1502.0</v>
      </c>
      <c r="F318" s="75">
        <f>'THAM_SO_MOI'!$E$49+('THAM_SO_MOI'!$F$49-'THAM_SO_MOI'!$E$49)*312/'THAM_SO_MOI'!$C$42</f>
        <v>2.3453320184089415</v>
      </c>
      <c r="G318" s="75">
        <f>3.6*F318</f>
        <v>8.44319526627219</v>
      </c>
      <c r="H318" s="75">
        <f>'THAM_SO_MOI'!$D$49</f>
        <v>3.1625000000000005</v>
      </c>
      <c r="I318" s="75">
        <f>IF(F318&gt;'THAM_SO_MOI'!$C$14,'THAM_SO_MOI'!$C$13*(1+F318^2/1500),'THAM_SO_MOI'!$C$13)</f>
        <v>0.015</v>
      </c>
      <c r="J318" s="75">
        <f>'THAM_SO_MOI'!$C$40*('THAM_SO_MOI'!$C$23*(E318/'THAM_SO_MOI'!$C$22)+'THAM_SO_MOI'!$C$24*(E318/'THAM_SO_MOI'!$C$22)^2-'THAM_SO_MOI'!$C$25*(E318/'THAM_SO_MOI'!$C$22)^3)</f>
        <v>64.27187455520811</v>
      </c>
      <c r="K318" s="75">
        <f>'THAM_SO_MOI'!$C$31*J318/E318</f>
        <v>408.69973149591135</v>
      </c>
      <c r="L318" s="75">
        <f>K318*'THAM_SO_MOI'!$C$49*'THAM_SO_MOI'!$C$17/'THAM_SO_MOI'!$C$26</f>
        <v>23297.938588914218</v>
      </c>
      <c r="M318" s="75">
        <f>'THAM_SO_MOI'!$C$15*'THAM_SO_MOI'!$C$16*F318^2</f>
        <v>16.089203158979416</v>
      </c>
      <c r="N318" s="75">
        <f>'THAM_SO_MOI'!$C$12*I318</f>
        <v>1130.112</v>
      </c>
      <c r="O318" s="75">
        <f>M318+N318</f>
        <v>1146.2012031589795</v>
      </c>
      <c r="P318" s="75">
        <f>(MIN(L318,'THAM_SO_MOI'!$C$41)-O318)/('THAM_SO_MOI'!$C$11*H318)</f>
        <v>0.9120445234583018</v>
      </c>
      <c r="Q318" s="75">
        <f>IF(P318&gt;0,1/P318,NA())</f>
        <v>1.0964377004405306</v>
      </c>
      <c r="R318" s="75">
        <f>F318-F317</f>
        <v>0.0035133136094676054</v>
      </c>
      <c r="S318" s="75">
        <f>0.5*(Q317+Q318)*R318</f>
        <v>0.0038528459100832216</v>
      </c>
      <c r="T318" s="75">
        <f>0.5*(F317*Q317+F318*Q318)*R318</f>
        <v>0.009029433488432959</v>
      </c>
      <c r="U318" s="76">
        <f>U317+S318</f>
        <v>1.3083383237283885</v>
      </c>
      <c r="V318" s="76">
        <f>V317+T318</f>
        <v>2.3281332149443847</v>
      </c>
    </row>
    <row r="319" spans="1:22" ht="19" customHeight="1">
      <c r="A319" s="68" t="s">
        <v>368</v>
      </c>
      <c r="B319" s="74">
        <v>1</v>
      </c>
      <c r="C319" s="68" t="s">
        <v>363</v>
      </c>
      <c r="D319" s="68" t="s">
        <v>364</v>
      </c>
      <c r="E319" s="75">
        <f>60*F319*'THAM_SO_MOI'!$C$49/(2*PI()*'THAM_SO_MOI'!$C$26)</f>
        <v>1504.25</v>
      </c>
      <c r="F319" s="75">
        <f>'THAM_SO_MOI'!$E$49+('THAM_SO_MOI'!$F$49-'THAM_SO_MOI'!$E$49)*313/'THAM_SO_MOI'!$C$42</f>
        <v>2.348845332018409</v>
      </c>
      <c r="G319" s="75">
        <f>3.6*F319</f>
        <v>8.455843195266272</v>
      </c>
      <c r="H319" s="75">
        <f>'THAM_SO_MOI'!$D$49</f>
        <v>3.1625000000000005</v>
      </c>
      <c r="I319" s="75">
        <f>IF(F319&gt;'THAM_SO_MOI'!$C$14,'THAM_SO_MOI'!$C$13*(1+F319^2/1500),'THAM_SO_MOI'!$C$13)</f>
        <v>0.015</v>
      </c>
      <c r="J319" s="75">
        <f>'THAM_SO_MOI'!$C$40*('THAM_SO_MOI'!$C$23*(E319/'THAM_SO_MOI'!$C$22)+'THAM_SO_MOI'!$C$24*(E319/'THAM_SO_MOI'!$C$22)^2-'THAM_SO_MOI'!$C$25*(E319/'THAM_SO_MOI'!$C$22)^3)</f>
        <v>64.39096560625893</v>
      </c>
      <c r="K319" s="75">
        <f>'THAM_SO_MOI'!$C$31*J319/E319</f>
        <v>408.8445717475046</v>
      </c>
      <c r="L319" s="75">
        <f>K319*'THAM_SO_MOI'!$C$49*'THAM_SO_MOI'!$C$17/'THAM_SO_MOI'!$C$26</f>
        <v>23306.195211140202</v>
      </c>
      <c r="M319" s="75">
        <f>'THAM_SO_MOI'!$C$15*'THAM_SO_MOI'!$C$16*F319^2</f>
        <v>16.13744260170316</v>
      </c>
      <c r="N319" s="75">
        <f>'THAM_SO_MOI'!$C$12*I319</f>
        <v>1130.112</v>
      </c>
      <c r="O319" s="75">
        <f>M319+N319</f>
        <v>1146.2494426017033</v>
      </c>
      <c r="P319" s="75">
        <f>(MIN(L319,'THAM_SO_MOI'!$C$41)-O319)/('THAM_SO_MOI'!$C$11*H319)</f>
        <v>0.9123824838825139</v>
      </c>
      <c r="Q319" s="75">
        <f>IF(P319&gt;0,1/P319,NA())</f>
        <v>1.0960315631495272</v>
      </c>
      <c r="R319" s="75">
        <f>F319-F318</f>
        <v>0.0035133136094676054</v>
      </c>
      <c r="S319" s="75">
        <f>0.5*(Q318+Q319)*R319</f>
        <v>0.0038514160510551843</v>
      </c>
      <c r="T319" s="75">
        <f>0.5*(F318*Q318+F319*Q319)*R319</f>
        <v>0.009039613743691829</v>
      </c>
      <c r="U319" s="76">
        <f>U318+S319</f>
        <v>1.3121897397794438</v>
      </c>
      <c r="V319" s="76">
        <f>V318+T319</f>
        <v>2.3371728286880766</v>
      </c>
    </row>
    <row r="320" spans="1:22" ht="19" customHeight="1">
      <c r="A320" s="68" t="s">
        <v>368</v>
      </c>
      <c r="B320" s="74">
        <v>1</v>
      </c>
      <c r="C320" s="68" t="s">
        <v>363</v>
      </c>
      <c r="D320" s="68" t="s">
        <v>364</v>
      </c>
      <c r="E320" s="75">
        <f>60*F320*'THAM_SO_MOI'!$C$49/(2*PI()*'THAM_SO_MOI'!$C$26)</f>
        <v>1506.4999999999998</v>
      </c>
      <c r="F320" s="75">
        <f>'THAM_SO_MOI'!$E$49+('THAM_SO_MOI'!$F$49-'THAM_SO_MOI'!$E$49)*314/'THAM_SO_MOI'!$C$42</f>
        <v>2.352358645627876</v>
      </c>
      <c r="G320" s="75">
        <f>3.6*F320</f>
        <v>8.468491124260355</v>
      </c>
      <c r="H320" s="75">
        <f>'THAM_SO_MOI'!$D$49</f>
        <v>3.1625000000000005</v>
      </c>
      <c r="I320" s="75">
        <f>IF(F320&gt;'THAM_SO_MOI'!$C$14,'THAM_SO_MOI'!$C$13*(1+F320^2/1500),'THAM_SO_MOI'!$C$13)</f>
        <v>0.015</v>
      </c>
      <c r="J320" s="75">
        <f>'THAM_SO_MOI'!$C$40*('THAM_SO_MOI'!$C$23*(E320/'THAM_SO_MOI'!$C$22)+'THAM_SO_MOI'!$C$24*(E320/'THAM_SO_MOI'!$C$22)^2-'THAM_SO_MOI'!$C$25*(E320/'THAM_SO_MOI'!$C$22)^3)</f>
        <v>64.51004743131816</v>
      </c>
      <c r="K320" s="75">
        <f>'THAM_SO_MOI'!$C$31*J320/E320</f>
        <v>408.9889208610391</v>
      </c>
      <c r="L320" s="75">
        <f>K320*'THAM_SO_MOI'!$C$49*'THAM_SO_MOI'!$C$17/'THAM_SO_MOI'!$C$26</f>
        <v>23314.423836028654</v>
      </c>
      <c r="M320" s="75">
        <f>'THAM_SO_MOI'!$C$15*'THAM_SO_MOI'!$C$16*F320^2</f>
        <v>16.185754253156134</v>
      </c>
      <c r="N320" s="75">
        <f>'THAM_SO_MOI'!$C$12*I320</f>
        <v>1130.112</v>
      </c>
      <c r="O320" s="75">
        <f>M320+N320</f>
        <v>1146.2977542531562</v>
      </c>
      <c r="P320" s="75">
        <f>(MIN(L320,'THAM_SO_MOI'!$C$41)-O320)/('THAM_SO_MOI'!$C$11*H320)</f>
        <v>0.912719288610651</v>
      </c>
      <c r="Q320" s="75">
        <f>IF(P320&gt;0,1/P320,NA())</f>
        <v>1.095627113920435</v>
      </c>
      <c r="R320" s="75">
        <f>F320-F319</f>
        <v>0.0035133136094671613</v>
      </c>
      <c r="S320" s="75">
        <f>0.5*(Q319+Q320)*R320</f>
        <v>0.003849992128728346</v>
      </c>
      <c r="T320" s="75">
        <f>0.5*(F319*Q319+F320*Q320)*R320</f>
        <v>0.00904979790667542</v>
      </c>
      <c r="U320" s="76">
        <f>U319+S320</f>
        <v>1.316039731908172</v>
      </c>
      <c r="V320" s="76">
        <f>V319+T320</f>
        <v>2.346222626594752</v>
      </c>
    </row>
    <row r="321" spans="1:22" ht="19" customHeight="1">
      <c r="A321" s="68" t="s">
        <v>368</v>
      </c>
      <c r="B321" s="74">
        <v>1</v>
      </c>
      <c r="C321" s="68" t="s">
        <v>363</v>
      </c>
      <c r="D321" s="68" t="s">
        <v>364</v>
      </c>
      <c r="E321" s="75">
        <f>60*F321*'THAM_SO_MOI'!$C$49/(2*PI()*'THAM_SO_MOI'!$C$26)</f>
        <v>1508.75</v>
      </c>
      <c r="F321" s="75">
        <f>'THAM_SO_MOI'!$E$49+('THAM_SO_MOI'!$F$49-'THAM_SO_MOI'!$E$49)*315/'THAM_SO_MOI'!$C$42</f>
        <v>2.355871959237344</v>
      </c>
      <c r="G321" s="75">
        <f>3.6*F321</f>
        <v>8.481139053254438</v>
      </c>
      <c r="H321" s="75">
        <f>'THAM_SO_MOI'!$D$49</f>
        <v>3.1625000000000005</v>
      </c>
      <c r="I321" s="75">
        <f>IF(F321&gt;'THAM_SO_MOI'!$C$14,'THAM_SO_MOI'!$C$13*(1+F321^2/1500),'THAM_SO_MOI'!$C$13)</f>
        <v>0.015</v>
      </c>
      <c r="J321" s="75">
        <f>'THAM_SO_MOI'!$C$40*('THAM_SO_MOI'!$C$23*(E321/'THAM_SO_MOI'!$C$22)+'THAM_SO_MOI'!$C$24*(E321/'THAM_SO_MOI'!$C$22)^2-'THAM_SO_MOI'!$C$25*(E321/'THAM_SO_MOI'!$C$22)^3)</f>
        <v>64.62911968328625</v>
      </c>
      <c r="K321" s="75">
        <f>'THAM_SO_MOI'!$C$31*J321/E321</f>
        <v>409.13277883651483</v>
      </c>
      <c r="L321" s="75">
        <f>K321*'THAM_SO_MOI'!$C$49*'THAM_SO_MOI'!$C$17/'THAM_SO_MOI'!$C$26</f>
        <v>23322.624463579574</v>
      </c>
      <c r="M321" s="75">
        <f>'THAM_SO_MOI'!$C$15*'THAM_SO_MOI'!$C$16*F321^2</f>
        <v>16.234138113338346</v>
      </c>
      <c r="N321" s="75">
        <f>'THAM_SO_MOI'!$C$12*I321</f>
        <v>1130.112</v>
      </c>
      <c r="O321" s="75">
        <f>M321+N321</f>
        <v>1146.3461381133384</v>
      </c>
      <c r="P321" s="75">
        <f>(MIN(L321,'THAM_SO_MOI'!$C$41)-O321)/('THAM_SO_MOI'!$C$11*H321)</f>
        <v>0.9130549376427137</v>
      </c>
      <c r="Q321" s="75">
        <f>IF(P321&gt;0,1/P321,NA())</f>
        <v>1.095224349349402</v>
      </c>
      <c r="R321" s="75">
        <f>F321-F320</f>
        <v>0.0035133136094676054</v>
      </c>
      <c r="S321" s="75">
        <f>0.5*(Q320+Q321)*R321</f>
        <v>0.003848574131113968</v>
      </c>
      <c r="T321" s="75">
        <f>0.5*(F320*Q320+F321*Q321)*R321</f>
        <v>0.009059986011733393</v>
      </c>
      <c r="U321" s="76">
        <f>U320+S321</f>
        <v>1.319888306039286</v>
      </c>
      <c r="V321" s="76">
        <f>V320+T321</f>
        <v>2.3552826126064854</v>
      </c>
    </row>
    <row r="322" spans="1:22" ht="19" customHeight="1">
      <c r="A322" s="68" t="s">
        <v>368</v>
      </c>
      <c r="B322" s="74">
        <v>1</v>
      </c>
      <c r="C322" s="68" t="s">
        <v>363</v>
      </c>
      <c r="D322" s="68" t="s">
        <v>364</v>
      </c>
      <c r="E322" s="75">
        <f>60*F322*'THAM_SO_MOI'!$C$49/(2*PI()*'THAM_SO_MOI'!$C$26)</f>
        <v>1511.0</v>
      </c>
      <c r="F322" s="75">
        <f>'THAM_SO_MOI'!$E$49+('THAM_SO_MOI'!$F$49-'THAM_SO_MOI'!$E$49)*316/'THAM_SO_MOI'!$C$42</f>
        <v>2.3593852728468114</v>
      </c>
      <c r="G322" s="75">
        <f>3.6*F322</f>
        <v>8.49378698224852</v>
      </c>
      <c r="H322" s="75">
        <f>'THAM_SO_MOI'!$D$49</f>
        <v>3.1625000000000005</v>
      </c>
      <c r="I322" s="75">
        <f>IF(F322&gt;'THAM_SO_MOI'!$C$14,'THAM_SO_MOI'!$C$13*(1+F322^2/1500),'THAM_SO_MOI'!$C$13)</f>
        <v>0.015</v>
      </c>
      <c r="J322" s="75">
        <f>'THAM_SO_MOI'!$C$40*('THAM_SO_MOI'!$C$23*(E322/'THAM_SO_MOI'!$C$22)+'THAM_SO_MOI'!$C$24*(E322/'THAM_SO_MOI'!$C$22)^2-'THAM_SO_MOI'!$C$25*(E322/'THAM_SO_MOI'!$C$22)^3)</f>
        <v>64.74818201506363</v>
      </c>
      <c r="K322" s="75">
        <f>'THAM_SO_MOI'!$C$31*J322/E322</f>
        <v>409.2761456739317</v>
      </c>
      <c r="L322" s="75">
        <f>K322*'THAM_SO_MOI'!$C$49*'THAM_SO_MOI'!$C$17/'THAM_SO_MOI'!$C$26</f>
        <v>23330.79709379296</v>
      </c>
      <c r="M322" s="75">
        <f>'THAM_SO_MOI'!$C$15*'THAM_SO_MOI'!$C$16*F322^2</f>
        <v>16.282594182249788</v>
      </c>
      <c r="N322" s="75">
        <f>'THAM_SO_MOI'!$C$12*I322</f>
        <v>1130.112</v>
      </c>
      <c r="O322" s="75">
        <f>M322+N322</f>
        <v>1146.3945941822499</v>
      </c>
      <c r="P322" s="75">
        <f>(MIN(L322,'THAM_SO_MOI'!$C$41)-O322)/('THAM_SO_MOI'!$C$11*H322)</f>
        <v>0.9133894309787017</v>
      </c>
      <c r="Q322" s="75">
        <f>IF(P322&gt;0,1/P322,NA())</f>
        <v>1.0948232660503796</v>
      </c>
      <c r="R322" s="75">
        <f>F322-F321</f>
        <v>0.0035133136094676054</v>
      </c>
      <c r="S322" s="75">
        <f>0.5*(Q321+Q322)*R322</f>
        <v>0.0038471620462830645</v>
      </c>
      <c r="T322" s="75">
        <f>0.5*(F321*Q321+F322*Q322)*R322</f>
        <v>0.009070178093187805</v>
      </c>
      <c r="U322" s="76">
        <f>U321+S322</f>
        <v>1.323735468085569</v>
      </c>
      <c r="V322" s="76">
        <f>V321+T322</f>
        <v>2.364352790699673</v>
      </c>
    </row>
    <row r="323" spans="1:22" ht="19" customHeight="1">
      <c r="A323" s="68" t="s">
        <v>368</v>
      </c>
      <c r="B323" s="74">
        <v>1</v>
      </c>
      <c r="C323" s="68" t="s">
        <v>363</v>
      </c>
      <c r="D323" s="68" t="s">
        <v>364</v>
      </c>
      <c r="E323" s="75">
        <f>60*F323*'THAM_SO_MOI'!$C$49/(2*PI()*'THAM_SO_MOI'!$C$26)</f>
        <v>1513.2499999999995</v>
      </c>
      <c r="F323" s="75">
        <f>'THAM_SO_MOI'!$E$49+('THAM_SO_MOI'!$F$49-'THAM_SO_MOI'!$E$49)*317/'THAM_SO_MOI'!$C$42</f>
        <v>2.3628985864562786</v>
      </c>
      <c r="G323" s="75">
        <f>3.6*F323</f>
        <v>8.506434911242604</v>
      </c>
      <c r="H323" s="75">
        <f>'THAM_SO_MOI'!$D$49</f>
        <v>3.1625000000000005</v>
      </c>
      <c r="I323" s="75">
        <f>IF(F323&gt;'THAM_SO_MOI'!$C$14,'THAM_SO_MOI'!$C$13*(1+F323^2/1500),'THAM_SO_MOI'!$C$13)</f>
        <v>0.015</v>
      </c>
      <c r="J323" s="75">
        <f>'THAM_SO_MOI'!$C$40*('THAM_SO_MOI'!$C$23*(E323/'THAM_SO_MOI'!$C$22)+'THAM_SO_MOI'!$C$24*(E323/'THAM_SO_MOI'!$C$22)^2-'THAM_SO_MOI'!$C$25*(E323/'THAM_SO_MOI'!$C$22)^3)</f>
        <v>64.8672340795508</v>
      </c>
      <c r="K323" s="75">
        <f>'THAM_SO_MOI'!$C$31*J323/E323</f>
        <v>409.41902137329</v>
      </c>
      <c r="L323" s="75">
        <f>K323*'THAM_SO_MOI'!$C$49*'THAM_SO_MOI'!$C$17/'THAM_SO_MOI'!$C$26</f>
        <v>23338.941726668818</v>
      </c>
      <c r="M323" s="75">
        <f>'THAM_SO_MOI'!$C$15*'THAM_SO_MOI'!$C$16*F323^2</f>
        <v>16.33112245989046</v>
      </c>
      <c r="N323" s="75">
        <f>'THAM_SO_MOI'!$C$12*I323</f>
        <v>1130.112</v>
      </c>
      <c r="O323" s="75">
        <f>M323+N323</f>
        <v>1146.4431224598904</v>
      </c>
      <c r="P323" s="75">
        <f>(MIN(L323,'THAM_SO_MOI'!$C$41)-O323)/('THAM_SO_MOI'!$C$11*H323)</f>
        <v>0.913722768618615</v>
      </c>
      <c r="Q323" s="75">
        <f>IF(P323&gt;0,1/P323,NA())</f>
        <v>1.0944238606550438</v>
      </c>
      <c r="R323" s="75">
        <f>F323-F322</f>
        <v>0.0035133136094671613</v>
      </c>
      <c r="S323" s="75">
        <f>0.5*(Q322+Q323)*R323</f>
        <v>0.0038457558623705215</v>
      </c>
      <c r="T323" s="75">
        <f>0.5*(F322*Q322+F323*Q323)*R323</f>
        <v>0.00908037418534388</v>
      </c>
      <c r="U323" s="76">
        <f>U322+S323</f>
        <v>1.3275812239479396</v>
      </c>
      <c r="V323" s="76">
        <f>V322+T323</f>
        <v>2.373433164885017</v>
      </c>
    </row>
    <row r="324" spans="1:22" ht="19" customHeight="1">
      <c r="A324" s="68" t="s">
        <v>368</v>
      </c>
      <c r="B324" s="74">
        <v>1</v>
      </c>
      <c r="C324" s="68" t="s">
        <v>363</v>
      </c>
      <c r="D324" s="68" t="s">
        <v>364</v>
      </c>
      <c r="E324" s="75">
        <f>60*F324*'THAM_SO_MOI'!$C$49/(2*PI()*'THAM_SO_MOI'!$C$26)</f>
        <v>1515.4999999999998</v>
      </c>
      <c r="F324" s="75">
        <f>'THAM_SO_MOI'!$E$49+('THAM_SO_MOI'!$F$49-'THAM_SO_MOI'!$E$49)*318/'THAM_SO_MOI'!$C$42</f>
        <v>2.366411900065746</v>
      </c>
      <c r="G324" s="75">
        <f>3.6*F324</f>
        <v>8.519082840236686</v>
      </c>
      <c r="H324" s="75">
        <f>'THAM_SO_MOI'!$D$49</f>
        <v>3.1625000000000005</v>
      </c>
      <c r="I324" s="75">
        <f>IF(F324&gt;'THAM_SO_MOI'!$C$14,'THAM_SO_MOI'!$C$13*(1+F324^2/1500),'THAM_SO_MOI'!$C$13)</f>
        <v>0.015</v>
      </c>
      <c r="J324" s="75">
        <f>'THAM_SO_MOI'!$C$40*('THAM_SO_MOI'!$C$23*(E324/'THAM_SO_MOI'!$C$22)+'THAM_SO_MOI'!$C$24*(E324/'THAM_SO_MOI'!$C$22)^2-'THAM_SO_MOI'!$C$25*(E324/'THAM_SO_MOI'!$C$22)^3)</f>
        <v>64.98627552964815</v>
      </c>
      <c r="K324" s="75">
        <f>'THAM_SO_MOI'!$C$31*J324/E324</f>
        <v>409.5614059345891</v>
      </c>
      <c r="L324" s="75">
        <f>K324*'THAM_SO_MOI'!$C$49*'THAM_SO_MOI'!$C$17/'THAM_SO_MOI'!$C$26</f>
        <v>23347.058362207128</v>
      </c>
      <c r="M324" s="75">
        <f>'THAM_SO_MOI'!$C$15*'THAM_SO_MOI'!$C$16*F324^2</f>
        <v>16.37972294626037</v>
      </c>
      <c r="N324" s="75">
        <f>'THAM_SO_MOI'!$C$12*I324</f>
        <v>1130.112</v>
      </c>
      <c r="O324" s="75">
        <f>M324+N324</f>
        <v>1146.4917229462606</v>
      </c>
      <c r="P324" s="75">
        <f>(MIN(L324,'THAM_SO_MOI'!$C$41)-O324)/('THAM_SO_MOI'!$C$11*H324)</f>
        <v>0.9140549505624531</v>
      </c>
      <c r="Q324" s="75">
        <f>IF(P324&gt;0,1/P324,NA())</f>
        <v>1.0940261298127225</v>
      </c>
      <c r="R324" s="75">
        <f>F324-F323</f>
        <v>0.0035133136094676054</v>
      </c>
      <c r="S324" s="75">
        <f>0.5*(Q323+Q324)*R324</f>
        <v>0.0038443555675748272</v>
      </c>
      <c r="T324" s="75">
        <f>0.5*(F323*Q323+F324*Q324)*R324</f>
        <v>0.009090574322490495</v>
      </c>
      <c r="U324" s="76">
        <f>U323+S324</f>
        <v>1.3314255795155145</v>
      </c>
      <c r="V324" s="76">
        <f>V323+T324</f>
        <v>2.3825237392075076</v>
      </c>
    </row>
    <row r="325" spans="1:22" ht="19" customHeight="1">
      <c r="A325" s="68" t="s">
        <v>368</v>
      </c>
      <c r="B325" s="74">
        <v>1</v>
      </c>
      <c r="C325" s="68" t="s">
        <v>363</v>
      </c>
      <c r="D325" s="68" t="s">
        <v>364</v>
      </c>
      <c r="E325" s="75">
        <f>60*F325*'THAM_SO_MOI'!$C$49/(2*PI()*'THAM_SO_MOI'!$C$26)</f>
        <v>1517.7499999999998</v>
      </c>
      <c r="F325" s="75">
        <f>'THAM_SO_MOI'!$E$49+('THAM_SO_MOI'!$F$49-'THAM_SO_MOI'!$E$49)*319/'THAM_SO_MOI'!$C$42</f>
        <v>2.369925213675214</v>
      </c>
      <c r="G325" s="75">
        <f>3.6*F325</f>
        <v>8.53173076923077</v>
      </c>
      <c r="H325" s="75">
        <f>'THAM_SO_MOI'!$D$49</f>
        <v>3.1625000000000005</v>
      </c>
      <c r="I325" s="75">
        <f>IF(F325&gt;'THAM_SO_MOI'!$C$14,'THAM_SO_MOI'!$C$13*(1+F325^2/1500),'THAM_SO_MOI'!$C$13)</f>
        <v>0.015</v>
      </c>
      <c r="J325" s="75">
        <f>'THAM_SO_MOI'!$C$40*('THAM_SO_MOI'!$C$23*(E325/'THAM_SO_MOI'!$C$22)+'THAM_SO_MOI'!$C$24*(E325/'THAM_SO_MOI'!$C$22)^2-'THAM_SO_MOI'!$C$25*(E325/'THAM_SO_MOI'!$C$22)^3)</f>
        <v>65.10530601825623</v>
      </c>
      <c r="K325" s="75">
        <f>'THAM_SO_MOI'!$C$31*J325/E325</f>
        <v>409.70329935782985</v>
      </c>
      <c r="L325" s="75">
        <f>K325*'THAM_SO_MOI'!$C$49*'THAM_SO_MOI'!$C$17/'THAM_SO_MOI'!$C$26</f>
        <v>23355.147000407924</v>
      </c>
      <c r="M325" s="75">
        <f>'THAM_SO_MOI'!$C$15*'THAM_SO_MOI'!$C$16*F325^2</f>
        <v>16.42839564135951</v>
      </c>
      <c r="N325" s="75">
        <f>'THAM_SO_MOI'!$C$12*I325</f>
        <v>1130.112</v>
      </c>
      <c r="O325" s="75">
        <f>M325+N325</f>
        <v>1146.5403956413595</v>
      </c>
      <c r="P325" s="75">
        <f>(MIN(L325,'THAM_SO_MOI'!$C$41)-O325)/('THAM_SO_MOI'!$C$11*H325)</f>
        <v>0.9143859768102174</v>
      </c>
      <c r="Q325" s="75">
        <f>IF(P325&gt;0,1/P325,NA())</f>
        <v>1.0936300701903174</v>
      </c>
      <c r="R325" s="75">
        <f>F325-F324</f>
        <v>0.0035133136094676054</v>
      </c>
      <c r="S325" s="75">
        <f>0.5*(Q324+Q325)*R325</f>
        <v>0.003842961150153433</v>
      </c>
      <c r="T325" s="75">
        <f>0.5*(F324*Q324+F325*Q325)*R325</f>
        <v>0.009100778538890311</v>
      </c>
      <c r="U325" s="76">
        <f>U324+S325</f>
        <v>1.335268540665668</v>
      </c>
      <c r="V325" s="76">
        <f>V324+T325</f>
        <v>2.391624517746398</v>
      </c>
    </row>
    <row r="326" spans="1:22" ht="19" customHeight="1">
      <c r="A326" s="68" t="s">
        <v>368</v>
      </c>
      <c r="B326" s="74">
        <v>1</v>
      </c>
      <c r="C326" s="68" t="s">
        <v>363</v>
      </c>
      <c r="D326" s="68" t="s">
        <v>364</v>
      </c>
      <c r="E326" s="75">
        <f>60*F326*'THAM_SO_MOI'!$C$49/(2*PI()*'THAM_SO_MOI'!$C$26)</f>
        <v>1519.9999999999995</v>
      </c>
      <c r="F326" s="75">
        <f>'THAM_SO_MOI'!$E$49+('THAM_SO_MOI'!$F$49-'THAM_SO_MOI'!$E$49)*320/'THAM_SO_MOI'!$C$42</f>
        <v>2.373438527284681</v>
      </c>
      <c r="G326" s="75">
        <f>3.6*F326</f>
        <v>8.544378698224852</v>
      </c>
      <c r="H326" s="75">
        <f>'THAM_SO_MOI'!$D$49</f>
        <v>3.1625000000000005</v>
      </c>
      <c r="I326" s="75">
        <f>IF(F326&gt;'THAM_SO_MOI'!$C$14,'THAM_SO_MOI'!$C$13*(1+F326^2/1500),'THAM_SO_MOI'!$C$13)</f>
        <v>0.015</v>
      </c>
      <c r="J326" s="75">
        <f>'THAM_SO_MOI'!$C$40*('THAM_SO_MOI'!$C$23*(E326/'THAM_SO_MOI'!$C$22)+'THAM_SO_MOI'!$C$24*(E326/'THAM_SO_MOI'!$C$22)^2-'THAM_SO_MOI'!$C$25*(E326/'THAM_SO_MOI'!$C$22)^3)</f>
        <v>65.22432519827541</v>
      </c>
      <c r="K326" s="75">
        <f>'THAM_SO_MOI'!$C$31*J326/E326</f>
        <v>409.8447016430116</v>
      </c>
      <c r="L326" s="75">
        <f>K326*'THAM_SO_MOI'!$C$49*'THAM_SO_MOI'!$C$17/'THAM_SO_MOI'!$C$26</f>
        <v>23363.20764127118</v>
      </c>
      <c r="M326" s="75">
        <f>'THAM_SO_MOI'!$C$15*'THAM_SO_MOI'!$C$16*F326^2</f>
        <v>16.477140545187883</v>
      </c>
      <c r="N326" s="75">
        <f>'THAM_SO_MOI'!$C$12*I326</f>
        <v>1130.112</v>
      </c>
      <c r="O326" s="75">
        <f>M326+N326</f>
        <v>1146.589140545188</v>
      </c>
      <c r="P326" s="75">
        <f>(MIN(L326,'THAM_SO_MOI'!$C$41)-O326)/('THAM_SO_MOI'!$C$11*H326)</f>
        <v>0.9147158473619067</v>
      </c>
      <c r="Q326" s="75">
        <f>IF(P326&gt;0,1/P326,NA())</f>
        <v>1.0932356784722357</v>
      </c>
      <c r="R326" s="75">
        <f>F326-F325</f>
        <v>0.0035133136094671613</v>
      </c>
      <c r="S326" s="75">
        <f>0.5*(Q325+Q326)*R326</f>
        <v>0.0038415725984268707</v>
      </c>
      <c r="T326" s="75">
        <f>0.5*(F325*Q325+F326*Q326)*R326</f>
        <v>0.00911098686879058</v>
      </c>
      <c r="U326" s="76">
        <f>U325+S326</f>
        <v>1.3391101132640948</v>
      </c>
      <c r="V326" s="76">
        <f>V325+T326</f>
        <v>2.4007355046151884</v>
      </c>
    </row>
    <row r="327" spans="1:22" ht="19" customHeight="1">
      <c r="A327" s="68" t="s">
        <v>368</v>
      </c>
      <c r="B327" s="74">
        <v>1</v>
      </c>
      <c r="C327" s="68" t="s">
        <v>363</v>
      </c>
      <c r="D327" s="68" t="s">
        <v>364</v>
      </c>
      <c r="E327" s="75">
        <f>60*F327*'THAM_SO_MOI'!$C$49/(2*PI()*'THAM_SO_MOI'!$C$26)</f>
        <v>1522.25</v>
      </c>
      <c r="F327" s="75">
        <f>'THAM_SO_MOI'!$E$49+('THAM_SO_MOI'!$F$49-'THAM_SO_MOI'!$E$49)*321/'THAM_SO_MOI'!$C$42</f>
        <v>2.376951840894149</v>
      </c>
      <c r="G327" s="75">
        <f>3.6*F327</f>
        <v>8.557026627218937</v>
      </c>
      <c r="H327" s="75">
        <f>'THAM_SO_MOI'!$D$49</f>
        <v>3.1625000000000005</v>
      </c>
      <c r="I327" s="75">
        <f>IF(F327&gt;'THAM_SO_MOI'!$C$14,'THAM_SO_MOI'!$C$13*(1+F327^2/1500),'THAM_SO_MOI'!$C$13)</f>
        <v>0.015</v>
      </c>
      <c r="J327" s="75">
        <f>'THAM_SO_MOI'!$C$40*('THAM_SO_MOI'!$C$23*(E327/'THAM_SO_MOI'!$C$22)+'THAM_SO_MOI'!$C$24*(E327/'THAM_SO_MOI'!$C$22)^2-'THAM_SO_MOI'!$C$25*(E327/'THAM_SO_MOI'!$C$22)^3)</f>
        <v>65.34333272260622</v>
      </c>
      <c r="K327" s="75">
        <f>'THAM_SO_MOI'!$C$31*J327/E327</f>
        <v>409.98561279013467</v>
      </c>
      <c r="L327" s="75">
        <f>K327*'THAM_SO_MOI'!$C$49*'THAM_SO_MOI'!$C$17/'THAM_SO_MOI'!$C$26</f>
        <v>23371.240284796906</v>
      </c>
      <c r="M327" s="75">
        <f>'THAM_SO_MOI'!$C$15*'THAM_SO_MOI'!$C$16*F327^2</f>
        <v>16.525957657745497</v>
      </c>
      <c r="N327" s="75">
        <f>'THAM_SO_MOI'!$C$12*I327</f>
        <v>1130.112</v>
      </c>
      <c r="O327" s="75">
        <f>M327+N327</f>
        <v>1146.6379576577456</v>
      </c>
      <c r="P327" s="75">
        <f>(MIN(L327,'THAM_SO_MOI'!$C$41)-O327)/('THAM_SO_MOI'!$C$11*H327)</f>
        <v>0.9150445622175213</v>
      </c>
      <c r="Q327" s="75">
        <f>IF(P327&gt;0,1/P327,NA())</f>
        <v>1.0928429513603113</v>
      </c>
      <c r="R327" s="75">
        <f>F327-F326</f>
        <v>0.0035133136094680495</v>
      </c>
      <c r="S327" s="75">
        <f>0.5*(Q326+Q327)*R327</f>
        <v>0.0038401899007789774</v>
      </c>
      <c r="T327" s="75">
        <f>0.5*(F326*Q326+F327*Q327)*R327</f>
        <v>0.009121199346424774</v>
      </c>
      <c r="U327" s="76">
        <f>U326+S327</f>
        <v>1.3429503031648737</v>
      </c>
      <c r="V327" s="76">
        <f>V326+T327</f>
        <v>2.409856703961613</v>
      </c>
    </row>
    <row r="328" spans="1:22" ht="19" customHeight="1">
      <c r="A328" s="68" t="s">
        <v>368</v>
      </c>
      <c r="B328" s="74">
        <v>1</v>
      </c>
      <c r="C328" s="68" t="s">
        <v>363</v>
      </c>
      <c r="D328" s="68" t="s">
        <v>364</v>
      </c>
      <c r="E328" s="75">
        <f>60*F328*'THAM_SO_MOI'!$C$49/(2*PI()*'THAM_SO_MOI'!$C$26)</f>
        <v>1524.4999999999998</v>
      </c>
      <c r="F328" s="75">
        <f>'THAM_SO_MOI'!$E$49+('THAM_SO_MOI'!$F$49-'THAM_SO_MOI'!$E$49)*322/'THAM_SO_MOI'!$C$42</f>
        <v>2.380465154503616</v>
      </c>
      <c r="G328" s="75">
        <f>3.6*F328</f>
        <v>8.569674556213018</v>
      </c>
      <c r="H328" s="75">
        <f>'THAM_SO_MOI'!$D$49</f>
        <v>3.1625000000000005</v>
      </c>
      <c r="I328" s="75">
        <f>IF(F328&gt;'THAM_SO_MOI'!$C$14,'THAM_SO_MOI'!$C$13*(1+F328^2/1500),'THAM_SO_MOI'!$C$13)</f>
        <v>0.015</v>
      </c>
      <c r="J328" s="75">
        <f>'THAM_SO_MOI'!$C$40*('THAM_SO_MOI'!$C$23*(E328/'THAM_SO_MOI'!$C$22)+'THAM_SO_MOI'!$C$24*(E328/'THAM_SO_MOI'!$C$22)^2-'THAM_SO_MOI'!$C$25*(E328/'THAM_SO_MOI'!$C$22)^3)</f>
        <v>65.46232824414903</v>
      </c>
      <c r="K328" s="75">
        <f>'THAM_SO_MOI'!$C$31*J328/E328</f>
        <v>410.12603279919887</v>
      </c>
      <c r="L328" s="75">
        <f>K328*'THAM_SO_MOI'!$C$49*'THAM_SO_MOI'!$C$17/'THAM_SO_MOI'!$C$26</f>
        <v>23379.244930985093</v>
      </c>
      <c r="M328" s="75">
        <f>'THAM_SO_MOI'!$C$15*'THAM_SO_MOI'!$C$16*F328^2</f>
        <v>16.574846979032333</v>
      </c>
      <c r="N328" s="75">
        <f>'THAM_SO_MOI'!$C$12*I328</f>
        <v>1130.112</v>
      </c>
      <c r="O328" s="75">
        <f>M328+N328</f>
        <v>1146.6868469790325</v>
      </c>
      <c r="P328" s="75">
        <f>(MIN(L328,'THAM_SO_MOI'!$C$41)-O328)/('THAM_SO_MOI'!$C$11*H328)</f>
        <v>0.915372121377061</v>
      </c>
      <c r="Q328" s="75">
        <f>IF(P328&gt;0,1/P328,NA())</f>
        <v>1.0924518855737348</v>
      </c>
      <c r="R328" s="75">
        <f>F328-F327</f>
        <v>0.0035133136094671613</v>
      </c>
      <c r="S328" s="75">
        <f>0.5*(Q327+Q328)*R328</f>
        <v>0.003838813045649353</v>
      </c>
      <c r="T328" s="75">
        <f>0.5*(F327*Q327+F328*Q328)*R328</f>
        <v>0.009131416005995773</v>
      </c>
      <c r="U328" s="76">
        <f>U327+S328</f>
        <v>1.346789116210523</v>
      </c>
      <c r="V328" s="76">
        <f>V327+T328</f>
        <v>2.418988119967609</v>
      </c>
    </row>
    <row r="329" spans="1:22" ht="19" customHeight="1">
      <c r="A329" s="68" t="s">
        <v>368</v>
      </c>
      <c r="B329" s="74">
        <v>1</v>
      </c>
      <c r="C329" s="68" t="s">
        <v>363</v>
      </c>
      <c r="D329" s="68" t="s">
        <v>364</v>
      </c>
      <c r="E329" s="75">
        <f>60*F329*'THAM_SO_MOI'!$C$49/(2*PI()*'THAM_SO_MOI'!$C$26)</f>
        <v>1526.7499999999995</v>
      </c>
      <c r="F329" s="75">
        <f>'THAM_SO_MOI'!$E$49+('THAM_SO_MOI'!$F$49-'THAM_SO_MOI'!$E$49)*323/'THAM_SO_MOI'!$C$42</f>
        <v>2.3839784681130833</v>
      </c>
      <c r="G329" s="75">
        <f>3.6*F329</f>
        <v>8.5823224852071</v>
      </c>
      <c r="H329" s="75">
        <f>'THAM_SO_MOI'!$D$49</f>
        <v>3.1625000000000005</v>
      </c>
      <c r="I329" s="75">
        <f>IF(F329&gt;'THAM_SO_MOI'!$C$14,'THAM_SO_MOI'!$C$13*(1+F329^2/1500),'THAM_SO_MOI'!$C$13)</f>
        <v>0.015</v>
      </c>
      <c r="J329" s="75">
        <f>'THAM_SO_MOI'!$C$40*('THAM_SO_MOI'!$C$23*(E329/'THAM_SO_MOI'!$C$22)+'THAM_SO_MOI'!$C$24*(E329/'THAM_SO_MOI'!$C$22)^2-'THAM_SO_MOI'!$C$25*(E329/'THAM_SO_MOI'!$C$22)^3)</f>
        <v>65.58131141580434</v>
      </c>
      <c r="K329" s="75">
        <f>'THAM_SO_MOI'!$C$31*J329/E329</f>
        <v>410.26596167020426</v>
      </c>
      <c r="L329" s="75">
        <f>K329*'THAM_SO_MOI'!$C$49*'THAM_SO_MOI'!$C$17/'THAM_SO_MOI'!$C$26</f>
        <v>23387.221579835754</v>
      </c>
      <c r="M329" s="75">
        <f>'THAM_SO_MOI'!$C$15*'THAM_SO_MOI'!$C$16*F329^2</f>
        <v>16.623808509048402</v>
      </c>
      <c r="N329" s="75">
        <f>'THAM_SO_MOI'!$C$12*I329</f>
        <v>1130.112</v>
      </c>
      <c r="O329" s="75">
        <f>M329+N329</f>
        <v>1146.7358085090484</v>
      </c>
      <c r="P329" s="75">
        <f>(MIN(L329,'THAM_SO_MOI'!$C$41)-O329)/('THAM_SO_MOI'!$C$11*H329)</f>
        <v>0.9156985248405263</v>
      </c>
      <c r="Q329" s="75">
        <f>IF(P329&gt;0,1/P329,NA())</f>
        <v>1.0920624778489791</v>
      </c>
      <c r="R329" s="75">
        <f>F329-F328</f>
        <v>0.0035133136094671613</v>
      </c>
      <c r="S329" s="75">
        <f>0.5*(Q328+Q329)*R329</f>
        <v>0.0038374420215447572</v>
      </c>
      <c r="T329" s="75">
        <f>0.5*(F328*Q328+F329*Q329)*R329</f>
        <v>0.009141636881703974</v>
      </c>
      <c r="U329" s="76">
        <f>U328+S329</f>
        <v>1.3506265582320678</v>
      </c>
      <c r="V329" s="76">
        <f>V328+T329</f>
        <v>2.4281297568493128</v>
      </c>
    </row>
    <row r="330" spans="1:22" ht="19" customHeight="1">
      <c r="A330" s="68" t="s">
        <v>368</v>
      </c>
      <c r="B330" s="74">
        <v>1</v>
      </c>
      <c r="C330" s="68" t="s">
        <v>363</v>
      </c>
      <c r="D330" s="68" t="s">
        <v>364</v>
      </c>
      <c r="E330" s="75">
        <f>60*F330*'THAM_SO_MOI'!$C$49/(2*PI()*'THAM_SO_MOI'!$C$26)</f>
        <v>1528.9999999999998</v>
      </c>
      <c r="F330" s="75">
        <f>'THAM_SO_MOI'!$E$49+('THAM_SO_MOI'!$F$49-'THAM_SO_MOI'!$E$49)*324/'THAM_SO_MOI'!$C$42</f>
        <v>2.387491781722551</v>
      </c>
      <c r="G330" s="75">
        <f>3.6*F330</f>
        <v>8.594970414201184</v>
      </c>
      <c r="H330" s="75">
        <f>'THAM_SO_MOI'!$D$49</f>
        <v>3.1625000000000005</v>
      </c>
      <c r="I330" s="75">
        <f>IF(F330&gt;'THAM_SO_MOI'!$C$14,'THAM_SO_MOI'!$C$13*(1+F330^2/1500),'THAM_SO_MOI'!$C$13)</f>
        <v>0.015</v>
      </c>
      <c r="J330" s="75">
        <f>'THAM_SO_MOI'!$C$40*('THAM_SO_MOI'!$C$23*(E330/'THAM_SO_MOI'!$C$22)+'THAM_SO_MOI'!$C$24*(E330/'THAM_SO_MOI'!$C$22)^2-'THAM_SO_MOI'!$C$25*(E330/'THAM_SO_MOI'!$C$22)^3)</f>
        <v>65.70028189047264</v>
      </c>
      <c r="K330" s="75">
        <f>'THAM_SO_MOI'!$C$31*J330/E330</f>
        <v>410.405399403151</v>
      </c>
      <c r="L330" s="75">
        <f>K330*'THAM_SO_MOI'!$C$49*'THAM_SO_MOI'!$C$17/'THAM_SO_MOI'!$C$26</f>
        <v>23395.170231348875</v>
      </c>
      <c r="M330" s="75">
        <f>'THAM_SO_MOI'!$C$15*'THAM_SO_MOI'!$C$16*F330^2</f>
        <v>16.67284224779371</v>
      </c>
      <c r="N330" s="75">
        <f>'THAM_SO_MOI'!$C$12*I330</f>
        <v>1130.112</v>
      </c>
      <c r="O330" s="75">
        <f>M330+N330</f>
        <v>1146.7848422477937</v>
      </c>
      <c r="P330" s="75">
        <f>(MIN(L330,'THAM_SO_MOI'!$C$41)-O330)/('THAM_SO_MOI'!$C$11*H330)</f>
        <v>0.9160237726079166</v>
      </c>
      <c r="Q330" s="75">
        <f>IF(P330&gt;0,1/P330,NA())</f>
        <v>1.0916747249397287</v>
      </c>
      <c r="R330" s="75">
        <f>F330-F329</f>
        <v>0.0035133136094676054</v>
      </c>
      <c r="S330" s="75">
        <f>0.5*(Q329+Q330)*R330</f>
        <v>0.003836076817029144</v>
      </c>
      <c r="T330" s="75">
        <f>0.5*(F329*Q329+F330*Q330)*R330</f>
        <v>0.009151862007724715</v>
      </c>
      <c r="U330" s="76">
        <f>U329+S330</f>
        <v>1.354462635049097</v>
      </c>
      <c r="V330" s="76">
        <f>V329+T330</f>
        <v>2.4372816188570376</v>
      </c>
    </row>
    <row r="331" spans="1:22" ht="19" customHeight="1">
      <c r="A331" s="68" t="s">
        <v>368</v>
      </c>
      <c r="B331" s="74">
        <v>1</v>
      </c>
      <c r="C331" s="68" t="s">
        <v>363</v>
      </c>
      <c r="D331" s="68" t="s">
        <v>364</v>
      </c>
      <c r="E331" s="75">
        <f>60*F331*'THAM_SO_MOI'!$C$49/(2*PI()*'THAM_SO_MOI'!$C$26)</f>
        <v>1531.2499999999998</v>
      </c>
      <c r="F331" s="75">
        <f>'THAM_SO_MOI'!$E$49+('THAM_SO_MOI'!$F$49-'THAM_SO_MOI'!$E$49)*325/'THAM_SO_MOI'!$C$42</f>
        <v>2.3910050953320185</v>
      </c>
      <c r="G331" s="75">
        <f>3.6*F331</f>
        <v>8.607618343195266</v>
      </c>
      <c r="H331" s="75">
        <f>'THAM_SO_MOI'!$D$49</f>
        <v>3.1625000000000005</v>
      </c>
      <c r="I331" s="75">
        <f>IF(F331&gt;'THAM_SO_MOI'!$C$14,'THAM_SO_MOI'!$C$13*(1+F331^2/1500),'THAM_SO_MOI'!$C$13)</f>
        <v>0.015</v>
      </c>
      <c r="J331" s="75">
        <f>'THAM_SO_MOI'!$C$40*('THAM_SO_MOI'!$C$23*(E331/'THAM_SO_MOI'!$C$22)+'THAM_SO_MOI'!$C$24*(E331/'THAM_SO_MOI'!$C$22)^2-'THAM_SO_MOI'!$C$25*(E331/'THAM_SO_MOI'!$C$22)^3)</f>
        <v>65.81923932105434</v>
      </c>
      <c r="K331" s="75">
        <f>'THAM_SO_MOI'!$C$31*J331/E331</f>
        <v>410.544345998039</v>
      </c>
      <c r="L331" s="75">
        <f>K331*'THAM_SO_MOI'!$C$49*'THAM_SO_MOI'!$C$17/'THAM_SO_MOI'!$C$26</f>
        <v>23403.090885524478</v>
      </c>
      <c r="M331" s="75">
        <f>'THAM_SO_MOI'!$C$15*'THAM_SO_MOI'!$C$16*F331^2</f>
        <v>16.72194819526825</v>
      </c>
      <c r="N331" s="75">
        <f>'THAM_SO_MOI'!$C$12*I331</f>
        <v>1130.112</v>
      </c>
      <c r="O331" s="75">
        <f>M331+N331</f>
        <v>1146.8339481952682</v>
      </c>
      <c r="P331" s="75">
        <f>(MIN(L331,'THAM_SO_MOI'!$C$41)-O331)/('THAM_SO_MOI'!$C$11*H331)</f>
        <v>0.9163478646792328</v>
      </c>
      <c r="Q331" s="75">
        <f>IF(P331&gt;0,1/P331,NA())</f>
        <v>1.091288623616807</v>
      </c>
      <c r="R331" s="75">
        <f>F331-F330</f>
        <v>0.0035133136094676054</v>
      </c>
      <c r="S331" s="75">
        <f>0.5*(Q330+Q331)*R331</f>
        <v>0.0038347174207263262</v>
      </c>
      <c r="T331" s="75">
        <f>0.5*(F330*Q330+F331*Q331)*R331</f>
        <v>0.009162091418215638</v>
      </c>
      <c r="U331" s="76">
        <f>U330+S331</f>
        <v>1.3582973524698232</v>
      </c>
      <c r="V331" s="76">
        <f>V330+T331</f>
        <v>2.446443710275253</v>
      </c>
    </row>
    <row r="332" spans="1:22" ht="19" customHeight="1">
      <c r="A332" s="68" t="s">
        <v>368</v>
      </c>
      <c r="B332" s="74">
        <v>1</v>
      </c>
      <c r="C332" s="68" t="s">
        <v>363</v>
      </c>
      <c r="D332" s="68" t="s">
        <v>364</v>
      </c>
      <c r="E332" s="75">
        <f>60*F332*'THAM_SO_MOI'!$C$49/(2*PI()*'THAM_SO_MOI'!$C$26)</f>
        <v>1533.4999999999998</v>
      </c>
      <c r="F332" s="75">
        <f>'THAM_SO_MOI'!$E$49+('THAM_SO_MOI'!$F$49-'THAM_SO_MOI'!$E$49)*326/'THAM_SO_MOI'!$C$42</f>
        <v>2.3945184089414857</v>
      </c>
      <c r="G332" s="75">
        <f>3.6*F332</f>
        <v>8.62026627218935</v>
      </c>
      <c r="H332" s="75">
        <f>'THAM_SO_MOI'!$D$49</f>
        <v>3.1625000000000005</v>
      </c>
      <c r="I332" s="75">
        <f>IF(F332&gt;'THAM_SO_MOI'!$C$14,'THAM_SO_MOI'!$C$13*(1+F332^2/1500),'THAM_SO_MOI'!$C$13)</f>
        <v>0.015</v>
      </c>
      <c r="J332" s="75">
        <f>'THAM_SO_MOI'!$C$40*('THAM_SO_MOI'!$C$23*(E332/'THAM_SO_MOI'!$C$22)+'THAM_SO_MOI'!$C$24*(E332/'THAM_SO_MOI'!$C$22)^2-'THAM_SO_MOI'!$C$25*(E332/'THAM_SO_MOI'!$C$22)^3)</f>
        <v>65.9381833604499</v>
      </c>
      <c r="K332" s="75">
        <f>'THAM_SO_MOI'!$C$31*J332/E332</f>
        <v>410.6828014548681</v>
      </c>
      <c r="L332" s="75">
        <f>K332*'THAM_SO_MOI'!$C$49*'THAM_SO_MOI'!$C$17/'THAM_SO_MOI'!$C$26</f>
        <v>23410.98354236254</v>
      </c>
      <c r="M332" s="75">
        <f>'THAM_SO_MOI'!$C$15*'THAM_SO_MOI'!$C$16*F332^2</f>
        <v>16.77112635147202</v>
      </c>
      <c r="N332" s="75">
        <f>'THAM_SO_MOI'!$C$12*I332</f>
        <v>1130.112</v>
      </c>
      <c r="O332" s="75">
        <f>M332+N332</f>
        <v>1146.8831263514721</v>
      </c>
      <c r="P332" s="75">
        <f>(MIN(L332,'THAM_SO_MOI'!$C$41)-O332)/('THAM_SO_MOI'!$C$11*H332)</f>
        <v>0.916670801054474</v>
      </c>
      <c r="Q332" s="75">
        <f>IF(P332&gt;0,1/P332,NA())</f>
        <v>1.0909041706681069</v>
      </c>
      <c r="R332" s="75">
        <f>F332-F331</f>
        <v>0.0035133136094671613</v>
      </c>
      <c r="S332" s="75">
        <f>0.5*(Q331+Q332)*R332</f>
        <v>0.003833363821321181</v>
      </c>
      <c r="T332" s="75">
        <f>0.5*(F331*Q331+F332*Q332)*R332</f>
        <v>0.00917232514732061</v>
      </c>
      <c r="U332" s="76">
        <f>U331+S332</f>
        <v>1.3621307162911445</v>
      </c>
      <c r="V332" s="76">
        <f>V331+T332</f>
        <v>2.455616035422574</v>
      </c>
    </row>
    <row r="333" spans="1:22" ht="19" customHeight="1">
      <c r="A333" s="68" t="s">
        <v>368</v>
      </c>
      <c r="B333" s="74">
        <v>1</v>
      </c>
      <c r="C333" s="68" t="s">
        <v>363</v>
      </c>
      <c r="D333" s="68" t="s">
        <v>364</v>
      </c>
      <c r="E333" s="75">
        <f>60*F333*'THAM_SO_MOI'!$C$49/(2*PI()*'THAM_SO_MOI'!$C$26)</f>
        <v>1535.7499999999998</v>
      </c>
      <c r="F333" s="75">
        <f>'THAM_SO_MOI'!$E$49+('THAM_SO_MOI'!$F$49-'THAM_SO_MOI'!$E$49)*327/'THAM_SO_MOI'!$C$42</f>
        <v>2.3980317225509533</v>
      </c>
      <c r="G333" s="75">
        <f>3.6*F333</f>
        <v>8.632914201183432</v>
      </c>
      <c r="H333" s="75">
        <f>'THAM_SO_MOI'!$D$49</f>
        <v>3.1625000000000005</v>
      </c>
      <c r="I333" s="75">
        <f>IF(F333&gt;'THAM_SO_MOI'!$C$14,'THAM_SO_MOI'!$C$13*(1+F333^2/1500),'THAM_SO_MOI'!$C$13)</f>
        <v>0.015</v>
      </c>
      <c r="J333" s="75">
        <f>'THAM_SO_MOI'!$C$40*('THAM_SO_MOI'!$C$23*(E333/'THAM_SO_MOI'!$C$22)+'THAM_SO_MOI'!$C$24*(E333/'THAM_SO_MOI'!$C$22)^2-'THAM_SO_MOI'!$C$25*(E333/'THAM_SO_MOI'!$C$22)^3)</f>
        <v>66.05711366155978</v>
      </c>
      <c r="K333" s="75">
        <f>'THAM_SO_MOI'!$C$31*J333/E333</f>
        <v>410.8207657736385</v>
      </c>
      <c r="L333" s="75">
        <f>K333*'THAM_SO_MOI'!$C$49*'THAM_SO_MOI'!$C$17/'THAM_SO_MOI'!$C$26</f>
        <v>23418.848201863075</v>
      </c>
      <c r="M333" s="75">
        <f>'THAM_SO_MOI'!$C$15*'THAM_SO_MOI'!$C$16*F333^2</f>
        <v>16.820376716405026</v>
      </c>
      <c r="N333" s="75">
        <f>'THAM_SO_MOI'!$C$12*I333</f>
        <v>1130.112</v>
      </c>
      <c r="O333" s="75">
        <f>M333+N333</f>
        <v>1146.932376716405</v>
      </c>
      <c r="P333" s="75">
        <f>(MIN(L333,'THAM_SO_MOI'!$C$41)-O333)/('THAM_SO_MOI'!$C$11*H333)</f>
        <v>0.9169925817336407</v>
      </c>
      <c r="Q333" s="75">
        <f>IF(P333&gt;0,1/P333,NA())</f>
        <v>1.0905213628985173</v>
      </c>
      <c r="R333" s="75">
        <f>F333-F332</f>
        <v>0.0035133136094676054</v>
      </c>
      <c r="S333" s="75">
        <f>0.5*(Q332+Q333)*R333</f>
        <v>0.0038320160075598765</v>
      </c>
      <c r="T333" s="75">
        <f>0.5*(F332*Q332+F333*Q333)*R333</f>
        <v>0.009182563229171383</v>
      </c>
      <c r="U333" s="76">
        <f>U332+S333</f>
        <v>1.3659627322987042</v>
      </c>
      <c r="V333" s="76">
        <f>V332+T333</f>
        <v>2.464798598651745</v>
      </c>
    </row>
    <row r="334" spans="1:22" ht="19" customHeight="1">
      <c r="A334" s="68" t="s">
        <v>368</v>
      </c>
      <c r="B334" s="74">
        <v>1</v>
      </c>
      <c r="C334" s="68" t="s">
        <v>363</v>
      </c>
      <c r="D334" s="68" t="s">
        <v>364</v>
      </c>
      <c r="E334" s="75">
        <f>60*F334*'THAM_SO_MOI'!$C$49/(2*PI()*'THAM_SO_MOI'!$C$26)</f>
        <v>1538.0</v>
      </c>
      <c r="F334" s="75">
        <f>'THAM_SO_MOI'!$E$49+('THAM_SO_MOI'!$F$49-'THAM_SO_MOI'!$E$49)*328/'THAM_SO_MOI'!$C$42</f>
        <v>2.401545036160421</v>
      </c>
      <c r="G334" s="75">
        <f>3.6*F334</f>
        <v>8.645562130177515</v>
      </c>
      <c r="H334" s="75">
        <f>'THAM_SO_MOI'!$D$49</f>
        <v>3.1625000000000005</v>
      </c>
      <c r="I334" s="75">
        <f>IF(F334&gt;'THAM_SO_MOI'!$C$14,'THAM_SO_MOI'!$C$13*(1+F334^2/1500),'THAM_SO_MOI'!$C$13)</f>
        <v>0.015</v>
      </c>
      <c r="J334" s="75">
        <f>'THAM_SO_MOI'!$C$40*('THAM_SO_MOI'!$C$23*(E334/'THAM_SO_MOI'!$C$22)+'THAM_SO_MOI'!$C$24*(E334/'THAM_SO_MOI'!$C$22)^2-'THAM_SO_MOI'!$C$25*(E334/'THAM_SO_MOI'!$C$22)^3)</f>
        <v>66.17602987728445</v>
      </c>
      <c r="K334" s="75">
        <f>'THAM_SO_MOI'!$C$31*J334/E334</f>
        <v>410.9582389543501</v>
      </c>
      <c r="L334" s="75">
        <f>K334*'THAM_SO_MOI'!$C$49*'THAM_SO_MOI'!$C$17/'THAM_SO_MOI'!$C$26</f>
        <v>23426.68486402607</v>
      </c>
      <c r="M334" s="75">
        <f>'THAM_SO_MOI'!$C$15*'THAM_SO_MOI'!$C$16*F334^2</f>
        <v>16.869699290067267</v>
      </c>
      <c r="N334" s="75">
        <f>'THAM_SO_MOI'!$C$12*I334</f>
        <v>1130.112</v>
      </c>
      <c r="O334" s="75">
        <f>M334+N334</f>
        <v>1146.9816992900674</v>
      </c>
      <c r="P334" s="75">
        <f>(MIN(L334,'THAM_SO_MOI'!$C$41)-O334)/('THAM_SO_MOI'!$C$11*H334)</f>
        <v>0.9173132067167324</v>
      </c>
      <c r="Q334" s="75">
        <f>IF(P334&gt;0,1/P334,NA())</f>
        <v>1.090140197129857</v>
      </c>
      <c r="R334" s="75">
        <f>F334-F333</f>
        <v>0.0035133136094676054</v>
      </c>
      <c r="S334" s="75">
        <f>0.5*(Q333+Q334)*R334</f>
        <v>0.003830673968245274</v>
      </c>
      <c r="T334" s="75">
        <f>0.5*(F333*Q333+F334*Q334)*R334</f>
        <v>0.009192805697877574</v>
      </c>
      <c r="U334" s="76">
        <f>U333+S334</f>
        <v>1.3697934062669495</v>
      </c>
      <c r="V334" s="76">
        <f>V333+T334</f>
        <v>2.4739914043496225</v>
      </c>
    </row>
    <row r="335" spans="1:22" ht="19" customHeight="1">
      <c r="A335" s="68" t="s">
        <v>368</v>
      </c>
      <c r="B335" s="74">
        <v>1</v>
      </c>
      <c r="C335" s="68" t="s">
        <v>363</v>
      </c>
      <c r="D335" s="68" t="s">
        <v>364</v>
      </c>
      <c r="E335" s="75">
        <f>60*F335*'THAM_SO_MOI'!$C$49/(2*PI()*'THAM_SO_MOI'!$C$26)</f>
        <v>1540.2499999999995</v>
      </c>
      <c r="F335" s="75">
        <f>'THAM_SO_MOI'!$E$49+('THAM_SO_MOI'!$F$49-'THAM_SO_MOI'!$E$49)*329/'THAM_SO_MOI'!$C$42</f>
        <v>2.405058349769888</v>
      </c>
      <c r="G335" s="75">
        <f>3.6*F335</f>
        <v>8.658210059171598</v>
      </c>
      <c r="H335" s="75">
        <f>'THAM_SO_MOI'!$D$49</f>
        <v>3.1625000000000005</v>
      </c>
      <c r="I335" s="75">
        <f>IF(F335&gt;'THAM_SO_MOI'!$C$14,'THAM_SO_MOI'!$C$13*(1+F335^2/1500),'THAM_SO_MOI'!$C$13)</f>
        <v>0.015</v>
      </c>
      <c r="J335" s="75">
        <f>'THAM_SO_MOI'!$C$40*('THAM_SO_MOI'!$C$23*(E335/'THAM_SO_MOI'!$C$22)+'THAM_SO_MOI'!$C$24*(E335/'THAM_SO_MOI'!$C$22)^2-'THAM_SO_MOI'!$C$25*(E335/'THAM_SO_MOI'!$C$22)^3)</f>
        <v>66.29493166052433</v>
      </c>
      <c r="K335" s="75">
        <f>'THAM_SO_MOI'!$C$31*J335/E335</f>
        <v>411.0952209970029</v>
      </c>
      <c r="L335" s="75">
        <f>K335*'THAM_SO_MOI'!$C$49*'THAM_SO_MOI'!$C$17/'THAM_SO_MOI'!$C$26</f>
        <v>23434.49352885153</v>
      </c>
      <c r="M335" s="75">
        <f>'THAM_SO_MOI'!$C$15*'THAM_SO_MOI'!$C$16*F335^2</f>
        <v>16.919094072458734</v>
      </c>
      <c r="N335" s="75">
        <f>'THAM_SO_MOI'!$C$12*I335</f>
        <v>1130.112</v>
      </c>
      <c r="O335" s="75">
        <f>M335+N335</f>
        <v>1147.031094072459</v>
      </c>
      <c r="P335" s="75">
        <f>(MIN(L335,'THAM_SO_MOI'!$C$41)-O335)/('THAM_SO_MOI'!$C$11*H335)</f>
        <v>0.9176326760037494</v>
      </c>
      <c r="Q335" s="75">
        <f>IF(P335&gt;0,1/P335,NA())</f>
        <v>1.0897606702008005</v>
      </c>
      <c r="R335" s="75">
        <f>F335-F334</f>
        <v>0.0035133136094671613</v>
      </c>
      <c r="S335" s="75">
        <f>0.5*(Q334+Q335)*R335</f>
        <v>0.003829337692241034</v>
      </c>
      <c r="T335" s="75">
        <f>0.5*(F334*Q334+F335*Q335)*R335</f>
        <v>0.00920305258753759</v>
      </c>
      <c r="U335" s="76">
        <f>U334+S335</f>
        <v>1.3736227439591906</v>
      </c>
      <c r="V335" s="76">
        <f>V334+T335</f>
        <v>2.4831944569371602</v>
      </c>
    </row>
    <row r="336" spans="1:22" ht="19" customHeight="1">
      <c r="A336" s="68" t="s">
        <v>368</v>
      </c>
      <c r="B336" s="74">
        <v>1</v>
      </c>
      <c r="C336" s="68" t="s">
        <v>363</v>
      </c>
      <c r="D336" s="68" t="s">
        <v>364</v>
      </c>
      <c r="E336" s="75">
        <f>60*F336*'THAM_SO_MOI'!$C$49/(2*PI()*'THAM_SO_MOI'!$C$26)</f>
        <v>1542.4999999999998</v>
      </c>
      <c r="F336" s="75">
        <f>'THAM_SO_MOI'!$E$49+('THAM_SO_MOI'!$F$49-'THAM_SO_MOI'!$E$49)*330/'THAM_SO_MOI'!$C$42</f>
        <v>2.4085716633793557</v>
      </c>
      <c r="G336" s="75">
        <f>3.6*F336</f>
        <v>8.67085798816568</v>
      </c>
      <c r="H336" s="75">
        <f>'THAM_SO_MOI'!$D$49</f>
        <v>3.1625000000000005</v>
      </c>
      <c r="I336" s="75">
        <f>IF(F336&gt;'THAM_SO_MOI'!$C$14,'THAM_SO_MOI'!$C$13*(1+F336^2/1500),'THAM_SO_MOI'!$C$13)</f>
        <v>0.015</v>
      </c>
      <c r="J336" s="75">
        <f>'THAM_SO_MOI'!$C$40*('THAM_SO_MOI'!$C$23*(E336/'THAM_SO_MOI'!$C$22)+'THAM_SO_MOI'!$C$24*(E336/'THAM_SO_MOI'!$C$22)^2-'THAM_SO_MOI'!$C$25*(E336/'THAM_SO_MOI'!$C$22)^3)</f>
        <v>66.41381866417991</v>
      </c>
      <c r="K336" s="75">
        <f>'THAM_SO_MOI'!$C$31*J336/E336</f>
        <v>411.23171190159695</v>
      </c>
      <c r="L336" s="75">
        <f>K336*'THAM_SO_MOI'!$C$49*'THAM_SO_MOI'!$C$17/'THAM_SO_MOI'!$C$26</f>
        <v>23442.274196339466</v>
      </c>
      <c r="M336" s="75">
        <f>'THAM_SO_MOI'!$C$15*'THAM_SO_MOI'!$C$16*F336^2</f>
        <v>16.96856106357944</v>
      </c>
      <c r="N336" s="75">
        <f>'THAM_SO_MOI'!$C$12*I336</f>
        <v>1130.112</v>
      </c>
      <c r="O336" s="75">
        <f>M336+N336</f>
        <v>1147.0805610635796</v>
      </c>
      <c r="P336" s="75">
        <f>(MIN(L336,'THAM_SO_MOI'!$C$41)-O336)/('THAM_SO_MOI'!$C$11*H336)</f>
        <v>0.9179509895946921</v>
      </c>
      <c r="Q336" s="75">
        <f>IF(P336&gt;0,1/P336,NA())</f>
        <v>1.0893827789668111</v>
      </c>
      <c r="R336" s="75">
        <f>F336-F335</f>
        <v>0.0035133136094676054</v>
      </c>
      <c r="S336" s="75">
        <f>0.5*(Q335+Q336)*R336</f>
        <v>0.003828007168471374</v>
      </c>
      <c r="T336" s="75">
        <f>0.5*(F335*Q335+F336*Q336)*R336</f>
        <v>0.009213303932239063</v>
      </c>
      <c r="U336" s="76">
        <f>U335+S336</f>
        <v>1.377450751127662</v>
      </c>
      <c r="V336" s="76">
        <f>V335+T336</f>
        <v>2.492407760869399</v>
      </c>
    </row>
    <row r="337" spans="1:22" ht="19" customHeight="1">
      <c r="A337" s="68" t="s">
        <v>368</v>
      </c>
      <c r="B337" s="74">
        <v>1</v>
      </c>
      <c r="C337" s="68" t="s">
        <v>363</v>
      </c>
      <c r="D337" s="68" t="s">
        <v>364</v>
      </c>
      <c r="E337" s="75">
        <f>60*F337*'THAM_SO_MOI'!$C$49/(2*PI()*'THAM_SO_MOI'!$C$26)</f>
        <v>1544.75</v>
      </c>
      <c r="F337" s="75">
        <f>'THAM_SO_MOI'!$E$49+('THAM_SO_MOI'!$F$49-'THAM_SO_MOI'!$E$49)*331/'THAM_SO_MOI'!$C$42</f>
        <v>2.4120849769888233</v>
      </c>
      <c r="G337" s="75">
        <f>3.6*F337</f>
        <v>8.683505917159763</v>
      </c>
      <c r="H337" s="75">
        <f>'THAM_SO_MOI'!$D$49</f>
        <v>3.1625000000000005</v>
      </c>
      <c r="I337" s="75">
        <f>IF(F337&gt;'THAM_SO_MOI'!$C$14,'THAM_SO_MOI'!$C$13*(1+F337^2/1500),'THAM_SO_MOI'!$C$13)</f>
        <v>0.015</v>
      </c>
      <c r="J337" s="75">
        <f>'THAM_SO_MOI'!$C$40*('THAM_SO_MOI'!$C$23*(E337/'THAM_SO_MOI'!$C$22)+'THAM_SO_MOI'!$C$24*(E337/'THAM_SO_MOI'!$C$22)^2-'THAM_SO_MOI'!$C$25*(E337/'THAM_SO_MOI'!$C$22)^3)</f>
        <v>66.53269054115167</v>
      </c>
      <c r="K337" s="75">
        <f>'THAM_SO_MOI'!$C$31*J337/E337</f>
        <v>411.3677116681323</v>
      </c>
      <c r="L337" s="75">
        <f>K337*'THAM_SO_MOI'!$C$49*'THAM_SO_MOI'!$C$17/'THAM_SO_MOI'!$C$26</f>
        <v>23450.02686648987</v>
      </c>
      <c r="M337" s="75">
        <f>'THAM_SO_MOI'!$C$15*'THAM_SO_MOI'!$C$16*F337^2</f>
        <v>17.018100263429382</v>
      </c>
      <c r="N337" s="75">
        <f>'THAM_SO_MOI'!$C$12*I337</f>
        <v>1130.112</v>
      </c>
      <c r="O337" s="75">
        <f>M337+N337</f>
        <v>1147.1301002634295</v>
      </c>
      <c r="P337" s="75">
        <f>(MIN(L337,'THAM_SO_MOI'!$C$41)-O337)/('THAM_SO_MOI'!$C$11*H337)</f>
        <v>0.91826814748956</v>
      </c>
      <c r="Q337" s="75">
        <f>IF(P337&gt;0,1/P337,NA())</f>
        <v>1.0890065203000732</v>
      </c>
      <c r="R337" s="75">
        <f>F337-F336</f>
        <v>0.0035133136094676054</v>
      </c>
      <c r="S337" s="75">
        <f>0.5*(Q336+Q337)*R337</f>
        <v>0.0038266823859164725</v>
      </c>
      <c r="T337" s="75">
        <f>0.5*(F336*Q336+F337*Q337)*R337</f>
        <v>0.009223559766048873</v>
      </c>
      <c r="U337" s="76">
        <f>U336+S337</f>
        <v>1.3812774335135785</v>
      </c>
      <c r="V337" s="76">
        <f>V336+T337</f>
        <v>2.501631320635448</v>
      </c>
    </row>
    <row r="338" spans="1:22" ht="19" customHeight="1">
      <c r="A338" s="68" t="s">
        <v>368</v>
      </c>
      <c r="B338" s="74">
        <v>1</v>
      </c>
      <c r="C338" s="68" t="s">
        <v>363</v>
      </c>
      <c r="D338" s="68" t="s">
        <v>364</v>
      </c>
      <c r="E338" s="75">
        <f>60*F338*'THAM_SO_MOI'!$C$49/(2*PI()*'THAM_SO_MOI'!$C$26)</f>
        <v>1546.9999999999998</v>
      </c>
      <c r="F338" s="75">
        <f>'THAM_SO_MOI'!$E$49+('THAM_SO_MOI'!$F$49-'THAM_SO_MOI'!$E$49)*332/'THAM_SO_MOI'!$C$42</f>
        <v>2.4155982905982905</v>
      </c>
      <c r="G338" s="75">
        <f>3.6*F338</f>
        <v>8.696153846153846</v>
      </c>
      <c r="H338" s="75">
        <f>'THAM_SO_MOI'!$D$49</f>
        <v>3.1625000000000005</v>
      </c>
      <c r="I338" s="75">
        <f>IF(F338&gt;'THAM_SO_MOI'!$C$14,'THAM_SO_MOI'!$C$13*(1+F338^2/1500),'THAM_SO_MOI'!$C$13)</f>
        <v>0.015</v>
      </c>
      <c r="J338" s="75">
        <f>'THAM_SO_MOI'!$C$40*('THAM_SO_MOI'!$C$23*(E338/'THAM_SO_MOI'!$C$22)+'THAM_SO_MOI'!$C$24*(E338/'THAM_SO_MOI'!$C$22)^2-'THAM_SO_MOI'!$C$25*(E338/'THAM_SO_MOI'!$C$22)^3)</f>
        <v>66.65154694433996</v>
      </c>
      <c r="K338" s="75">
        <f>'THAM_SO_MOI'!$C$31*J338/E338</f>
        <v>411.5032202966087</v>
      </c>
      <c r="L338" s="75">
        <f>K338*'THAM_SO_MOI'!$C$49*'THAM_SO_MOI'!$C$17/'THAM_SO_MOI'!$C$26</f>
        <v>23457.751539302735</v>
      </c>
      <c r="M338" s="75">
        <f>'THAM_SO_MOI'!$C$15*'THAM_SO_MOI'!$C$16*F338^2</f>
        <v>17.067711672008546</v>
      </c>
      <c r="N338" s="75">
        <f>'THAM_SO_MOI'!$C$12*I338</f>
        <v>1130.112</v>
      </c>
      <c r="O338" s="75">
        <f>M338+N338</f>
        <v>1147.1797116720086</v>
      </c>
      <c r="P338" s="75">
        <f>(MIN(L338,'THAM_SO_MOI'!$C$41)-O338)/('THAM_SO_MOI'!$C$11*H338)</f>
        <v>0.9185841496883532</v>
      </c>
      <c r="Q338" s="75">
        <f>IF(P338&gt;0,1/P338,NA())</f>
        <v>1.0886318910894213</v>
      </c>
      <c r="R338" s="75">
        <f>F338-F337</f>
        <v>0.0035133136094671613</v>
      </c>
      <c r="S338" s="75">
        <f>0.5*(Q337+Q338)*R338</f>
        <v>0.0038253633336165797</v>
      </c>
      <c r="T338" s="75">
        <f>0.5*(F337*Q337+F338*Q338)*R338</f>
        <v>0.009233820123024037</v>
      </c>
      <c r="U338" s="76">
        <f>U337+S338</f>
        <v>1.385102796847195</v>
      </c>
      <c r="V338" s="76">
        <f>V337+T338</f>
        <v>2.5108651407584723</v>
      </c>
    </row>
    <row r="339" spans="1:22" ht="19" customHeight="1">
      <c r="A339" s="68" t="s">
        <v>368</v>
      </c>
      <c r="B339" s="74">
        <v>1</v>
      </c>
      <c r="C339" s="68" t="s">
        <v>363</v>
      </c>
      <c r="D339" s="68" t="s">
        <v>364</v>
      </c>
      <c r="E339" s="75">
        <f>60*F339*'THAM_SO_MOI'!$C$49/(2*PI()*'THAM_SO_MOI'!$C$26)</f>
        <v>1549.2499999999998</v>
      </c>
      <c r="F339" s="75">
        <f>'THAM_SO_MOI'!$E$49+('THAM_SO_MOI'!$F$49-'THAM_SO_MOI'!$E$49)*333/'THAM_SO_MOI'!$C$42</f>
        <v>2.419111604207758</v>
      </c>
      <c r="G339" s="75">
        <f>3.6*F339</f>
        <v>8.70880177514793</v>
      </c>
      <c r="H339" s="75">
        <f>'THAM_SO_MOI'!$D$49</f>
        <v>3.1625000000000005</v>
      </c>
      <c r="I339" s="75">
        <f>IF(F339&gt;'THAM_SO_MOI'!$C$14,'THAM_SO_MOI'!$C$13*(1+F339^2/1500),'THAM_SO_MOI'!$C$13)</f>
        <v>0.015</v>
      </c>
      <c r="J339" s="75">
        <f>'THAM_SO_MOI'!$C$40*('THAM_SO_MOI'!$C$23*(E339/'THAM_SO_MOI'!$C$22)+'THAM_SO_MOI'!$C$24*(E339/'THAM_SO_MOI'!$C$22)^2-'THAM_SO_MOI'!$C$25*(E339/'THAM_SO_MOI'!$C$22)^3)</f>
        <v>66.77038752664534</v>
      </c>
      <c r="K339" s="75">
        <f>'THAM_SO_MOI'!$C$31*J339/E339</f>
        <v>411.6382377870264</v>
      </c>
      <c r="L339" s="75">
        <f>K339*'THAM_SO_MOI'!$C$49*'THAM_SO_MOI'!$C$17/'THAM_SO_MOI'!$C$26</f>
        <v>23465.448214778076</v>
      </c>
      <c r="M339" s="75">
        <f>'THAM_SO_MOI'!$C$15*'THAM_SO_MOI'!$C$16*F339^2</f>
        <v>17.117395289316953</v>
      </c>
      <c r="N339" s="75">
        <f>'THAM_SO_MOI'!$C$12*I339</f>
        <v>1130.112</v>
      </c>
      <c r="O339" s="75">
        <f>M339+N339</f>
        <v>1147.229395289317</v>
      </c>
      <c r="P339" s="75">
        <f>(MIN(L339,'THAM_SO_MOI'!$C$41)-O339)/('THAM_SO_MOI'!$C$11*H339)</f>
        <v>0.9188989961910718</v>
      </c>
      <c r="Q339" s="75">
        <f>IF(P339&gt;0,1/P339,NA())</f>
        <v>1.0882588882402744</v>
      </c>
      <c r="R339" s="75">
        <f>F339-F338</f>
        <v>0.0035133136094676054</v>
      </c>
      <c r="S339" s="75">
        <f>0.5*(Q338+Q339)*R339</f>
        <v>0.0038240500006717806</v>
      </c>
      <c r="T339" s="75">
        <f>0.5*(F338*Q338+F339*Q339)*R339</f>
        <v>0.009244085037212187</v>
      </c>
      <c r="U339" s="76">
        <f>U338+S339</f>
        <v>1.3889268468478668</v>
      </c>
      <c r="V339" s="76">
        <f>V338+T339</f>
        <v>2.5201092257956845</v>
      </c>
    </row>
    <row r="340" spans="1:22" ht="19" customHeight="1">
      <c r="A340" s="68" t="s">
        <v>368</v>
      </c>
      <c r="B340" s="74">
        <v>1</v>
      </c>
      <c r="C340" s="68" t="s">
        <v>363</v>
      </c>
      <c r="D340" s="68" t="s">
        <v>364</v>
      </c>
      <c r="E340" s="75">
        <f>60*F340*'THAM_SO_MOI'!$C$49/(2*PI()*'THAM_SO_MOI'!$C$26)</f>
        <v>1551.5</v>
      </c>
      <c r="F340" s="75">
        <f>'THAM_SO_MOI'!$E$49+('THAM_SO_MOI'!$F$49-'THAM_SO_MOI'!$E$49)*334/'THAM_SO_MOI'!$C$42</f>
        <v>2.4226249178172257</v>
      </c>
      <c r="G340" s="75">
        <f>3.6*F340</f>
        <v>8.721449704142012</v>
      </c>
      <c r="H340" s="75">
        <f>'THAM_SO_MOI'!$D$49</f>
        <v>3.1625000000000005</v>
      </c>
      <c r="I340" s="75">
        <f>IF(F340&gt;'THAM_SO_MOI'!$C$14,'THAM_SO_MOI'!$C$13*(1+F340^2/1500),'THAM_SO_MOI'!$C$13)</f>
        <v>0.015</v>
      </c>
      <c r="J340" s="75">
        <f>'THAM_SO_MOI'!$C$40*('THAM_SO_MOI'!$C$23*(E340/'THAM_SO_MOI'!$C$22)+'THAM_SO_MOI'!$C$24*(E340/'THAM_SO_MOI'!$C$22)^2-'THAM_SO_MOI'!$C$25*(E340/'THAM_SO_MOI'!$C$22)^3)</f>
        <v>66.88921194096822</v>
      </c>
      <c r="K340" s="75">
        <f>'THAM_SO_MOI'!$C$31*J340/E340</f>
        <v>411.7727641393853</v>
      </c>
      <c r="L340" s="75">
        <f>K340*'THAM_SO_MOI'!$C$49*'THAM_SO_MOI'!$C$17/'THAM_SO_MOI'!$C$26</f>
        <v>23473.116892915878</v>
      </c>
      <c r="M340" s="75">
        <f>'THAM_SO_MOI'!$C$15*'THAM_SO_MOI'!$C$16*F340^2</f>
        <v>17.167151115354592</v>
      </c>
      <c r="N340" s="75">
        <f>'THAM_SO_MOI'!$C$12*I340</f>
        <v>1130.112</v>
      </c>
      <c r="O340" s="75">
        <f>M340+N340</f>
        <v>1147.2791511153546</v>
      </c>
      <c r="P340" s="75">
        <f>(MIN(L340,'THAM_SO_MOI'!$C$41)-O340)/('THAM_SO_MOI'!$C$11*H340)</f>
        <v>0.9192126869977157</v>
      </c>
      <c r="Q340" s="75">
        <f>IF(P340&gt;0,1/P340,NA())</f>
        <v>1.0878875086745674</v>
      </c>
      <c r="R340" s="75">
        <f>F340-F339</f>
        <v>0.0035133136094676054</v>
      </c>
      <c r="S340" s="75">
        <f>0.5*(Q339+Q340)*R340</f>
        <v>0.0038227423762374033</v>
      </c>
      <c r="T340" s="75">
        <f>0.5*(F339*Q339+F340*Q340)*R340</f>
        <v>0.009254354542641523</v>
      </c>
      <c r="U340" s="76">
        <f>U339+S340</f>
        <v>1.3927495892241042</v>
      </c>
      <c r="V340" s="76">
        <f>V339+T340</f>
        <v>2.529363580338326</v>
      </c>
    </row>
    <row r="341" spans="1:22" ht="19" customHeight="1">
      <c r="A341" s="68" t="s">
        <v>368</v>
      </c>
      <c r="B341" s="74">
        <v>1</v>
      </c>
      <c r="C341" s="68" t="s">
        <v>363</v>
      </c>
      <c r="D341" s="68" t="s">
        <v>364</v>
      </c>
      <c r="E341" s="75">
        <f>60*F341*'THAM_SO_MOI'!$C$49/(2*PI()*'THAM_SO_MOI'!$C$26)</f>
        <v>1553.7499999999998</v>
      </c>
      <c r="F341" s="75">
        <f>'THAM_SO_MOI'!$E$49+('THAM_SO_MOI'!$F$49-'THAM_SO_MOI'!$E$49)*335/'THAM_SO_MOI'!$C$42</f>
        <v>2.426138231426693</v>
      </c>
      <c r="G341" s="75">
        <f>3.6*F341</f>
        <v>8.734097633136095</v>
      </c>
      <c r="H341" s="75">
        <f>'THAM_SO_MOI'!$D$49</f>
        <v>3.1625000000000005</v>
      </c>
      <c r="I341" s="75">
        <f>IF(F341&gt;'THAM_SO_MOI'!$C$14,'THAM_SO_MOI'!$C$13*(1+F341^2/1500),'THAM_SO_MOI'!$C$13)</f>
        <v>0.015</v>
      </c>
      <c r="J341" s="75">
        <f>'THAM_SO_MOI'!$C$40*('THAM_SO_MOI'!$C$23*(E341/'THAM_SO_MOI'!$C$22)+'THAM_SO_MOI'!$C$24*(E341/'THAM_SO_MOI'!$C$22)^2-'THAM_SO_MOI'!$C$25*(E341/'THAM_SO_MOI'!$C$22)^3)</f>
        <v>67.00801984020907</v>
      </c>
      <c r="K341" s="75">
        <f>'THAM_SO_MOI'!$C$31*J341/E341</f>
        <v>411.9067993536855</v>
      </c>
      <c r="L341" s="75">
        <f>K341*'THAM_SO_MOI'!$C$49*'THAM_SO_MOI'!$C$17/'THAM_SO_MOI'!$C$26</f>
        <v>23480.75757371615</v>
      </c>
      <c r="M341" s="75">
        <f>'THAM_SO_MOI'!$C$15*'THAM_SO_MOI'!$C$16*F341^2</f>
        <v>17.216979150121457</v>
      </c>
      <c r="N341" s="75">
        <f>'THAM_SO_MOI'!$C$12*I341</f>
        <v>1130.112</v>
      </c>
      <c r="O341" s="75">
        <f>M341+N341</f>
        <v>1147.3289791501215</v>
      </c>
      <c r="P341" s="75">
        <f>(MIN(L341,'THAM_SO_MOI'!$C$41)-O341)/('THAM_SO_MOI'!$C$11*H341)</f>
        <v>0.9195252221082849</v>
      </c>
      <c r="Q341" s="75">
        <f>IF(P341&gt;0,1/P341,NA())</f>
        <v>1.0875177493306847</v>
      </c>
      <c r="R341" s="75">
        <f>F341-F340</f>
        <v>0.0035133136094671613</v>
      </c>
      <c r="S341" s="75">
        <f>0.5*(Q340+Q341)*R341</f>
        <v>0.003821440449528137</v>
      </c>
      <c r="T341" s="75">
        <f>0.5*(F340*Q340+F341*Q341)*R341</f>
        <v>0.00926462867333174</v>
      </c>
      <c r="U341" s="76">
        <f>U340+S341</f>
        <v>1.3965710296736322</v>
      </c>
      <c r="V341" s="76">
        <f>V340+T341</f>
        <v>2.5386282090116574</v>
      </c>
    </row>
    <row r="342" spans="1:22" ht="19" customHeight="1">
      <c r="A342" s="68" t="s">
        <v>368</v>
      </c>
      <c r="B342" s="74">
        <v>1</v>
      </c>
      <c r="C342" s="68" t="s">
        <v>363</v>
      </c>
      <c r="D342" s="68" t="s">
        <v>364</v>
      </c>
      <c r="E342" s="75">
        <f>60*F342*'THAM_SO_MOI'!$C$49/(2*PI()*'THAM_SO_MOI'!$C$26)</f>
        <v>1556.0</v>
      </c>
      <c r="F342" s="75">
        <f>'THAM_SO_MOI'!$E$49+('THAM_SO_MOI'!$F$49-'THAM_SO_MOI'!$E$49)*336/'THAM_SO_MOI'!$C$42</f>
        <v>2.4296515450361604</v>
      </c>
      <c r="G342" s="75">
        <f>3.6*F342</f>
        <v>8.746745562130178</v>
      </c>
      <c r="H342" s="75">
        <f>'THAM_SO_MOI'!$D$49</f>
        <v>3.1625000000000005</v>
      </c>
      <c r="I342" s="75">
        <f>IF(F342&gt;'THAM_SO_MOI'!$C$14,'THAM_SO_MOI'!$C$13*(1+F342^2/1500),'THAM_SO_MOI'!$C$13)</f>
        <v>0.015</v>
      </c>
      <c r="J342" s="75">
        <f>'THAM_SO_MOI'!$C$40*('THAM_SO_MOI'!$C$23*(E342/'THAM_SO_MOI'!$C$22)+'THAM_SO_MOI'!$C$24*(E342/'THAM_SO_MOI'!$C$22)^2-'THAM_SO_MOI'!$C$25*(E342/'THAM_SO_MOI'!$C$22)^3)</f>
        <v>67.12681087726833</v>
      </c>
      <c r="K342" s="75">
        <f>'THAM_SO_MOI'!$C$31*J342/E342</f>
        <v>412.0403434299267</v>
      </c>
      <c r="L342" s="75">
        <f>K342*'THAM_SO_MOI'!$C$49*'THAM_SO_MOI'!$C$17/'THAM_SO_MOI'!$C$26</f>
        <v>23488.370257178874</v>
      </c>
      <c r="M342" s="75">
        <f>'THAM_SO_MOI'!$C$15*'THAM_SO_MOI'!$C$16*F342^2</f>
        <v>17.26687939361756</v>
      </c>
      <c r="N342" s="75">
        <f>'THAM_SO_MOI'!$C$12*I342</f>
        <v>1130.112</v>
      </c>
      <c r="O342" s="75">
        <f>M342+N342</f>
        <v>1147.3788793936176</v>
      </c>
      <c r="P342" s="75">
        <f>(MIN(L342,'THAM_SO_MOI'!$C$41)-O342)/('THAM_SO_MOI'!$C$11*H342)</f>
        <v>0.9198366015227789</v>
      </c>
      <c r="Q342" s="75">
        <f>IF(P342&gt;0,1/P342,NA())</f>
        <v>1.0871496071633935</v>
      </c>
      <c r="R342" s="75">
        <f>F342-F341</f>
        <v>0.0035133136094676054</v>
      </c>
      <c r="S342" s="75">
        <f>0.5*(Q341+Q342)*R342</f>
        <v>0.0038201442098177926</v>
      </c>
      <c r="T342" s="75">
        <f>0.5*(F341*Q341+F342*Q342)*R342</f>
        <v>0.009274907463294523</v>
      </c>
      <c r="U342" s="76">
        <f>U341+S342</f>
        <v>1.40039117388345</v>
      </c>
      <c r="V342" s="76">
        <f>V341+T342</f>
        <v>2.547903116474952</v>
      </c>
    </row>
    <row r="343" spans="1:22" ht="19" customHeight="1">
      <c r="A343" s="68" t="s">
        <v>368</v>
      </c>
      <c r="B343" s="74">
        <v>1</v>
      </c>
      <c r="C343" s="68" t="s">
        <v>363</v>
      </c>
      <c r="D343" s="68" t="s">
        <v>364</v>
      </c>
      <c r="E343" s="75">
        <f>60*F343*'THAM_SO_MOI'!$C$49/(2*PI()*'THAM_SO_MOI'!$C$26)</f>
        <v>1558.25</v>
      </c>
      <c r="F343" s="75">
        <f>'THAM_SO_MOI'!$E$49+('THAM_SO_MOI'!$F$49-'THAM_SO_MOI'!$E$49)*337/'THAM_SO_MOI'!$C$42</f>
        <v>2.433164858645628</v>
      </c>
      <c r="G343" s="75">
        <f>3.6*F343</f>
        <v>8.75939349112426</v>
      </c>
      <c r="H343" s="75">
        <f>'THAM_SO_MOI'!$D$49</f>
        <v>3.1625000000000005</v>
      </c>
      <c r="I343" s="75">
        <f>IF(F343&gt;'THAM_SO_MOI'!$C$14,'THAM_SO_MOI'!$C$13*(1+F343^2/1500),'THAM_SO_MOI'!$C$13)</f>
        <v>0.015</v>
      </c>
      <c r="J343" s="75">
        <f>'THAM_SO_MOI'!$C$40*('THAM_SO_MOI'!$C$23*(E343/'THAM_SO_MOI'!$C$22)+'THAM_SO_MOI'!$C$24*(E343/'THAM_SO_MOI'!$C$22)^2-'THAM_SO_MOI'!$C$25*(E343/'THAM_SO_MOI'!$C$22)^3)</f>
        <v>67.24558470504648</v>
      </c>
      <c r="K343" s="75">
        <f>'THAM_SO_MOI'!$C$31*J343/E343</f>
        <v>412.17339636810937</v>
      </c>
      <c r="L343" s="75">
        <f>K343*'THAM_SO_MOI'!$C$49*'THAM_SO_MOI'!$C$17/'THAM_SO_MOI'!$C$26</f>
        <v>23495.954943304085</v>
      </c>
      <c r="M343" s="75">
        <f>'THAM_SO_MOI'!$C$15*'THAM_SO_MOI'!$C$16*F343^2</f>
        <v>17.316851845842898</v>
      </c>
      <c r="N343" s="75">
        <f>'THAM_SO_MOI'!$C$12*I343</f>
        <v>1130.112</v>
      </c>
      <c r="O343" s="75">
        <f>M343+N343</f>
        <v>1147.428851845843</v>
      </c>
      <c r="P343" s="75">
        <f>(MIN(L343,'THAM_SO_MOI'!$C$41)-O343)/('THAM_SO_MOI'!$C$11*H343)</f>
        <v>0.9201468252411988</v>
      </c>
      <c r="Q343" s="75">
        <f>IF(P343&gt;0,1/P343,NA())</f>
        <v>1.086783079143776</v>
      </c>
      <c r="R343" s="75">
        <f>F343-F342</f>
        <v>0.0035133136094676054</v>
      </c>
      <c r="S343" s="75">
        <f>0.5*(Q342+Q343)*R343</f>
        <v>0.003818853646434725</v>
      </c>
      <c r="T343" s="75">
        <f>0.5*(F342*Q342+F343*Q343)*R343</f>
        <v>0.009285190946523424</v>
      </c>
      <c r="U343" s="76">
        <f>U342+S343</f>
        <v>1.4042100275298848</v>
      </c>
      <c r="V343" s="76">
        <f>V342+T343</f>
        <v>2.5571883074214754</v>
      </c>
    </row>
    <row r="344" spans="1:22" ht="19" customHeight="1">
      <c r="A344" s="68" t="s">
        <v>368</v>
      </c>
      <c r="B344" s="74">
        <v>1</v>
      </c>
      <c r="C344" s="68" t="s">
        <v>363</v>
      </c>
      <c r="D344" s="68" t="s">
        <v>364</v>
      </c>
      <c r="E344" s="75">
        <f>60*F344*'THAM_SO_MOI'!$C$49/(2*PI()*'THAM_SO_MOI'!$C$26)</f>
        <v>1560.4999999999998</v>
      </c>
      <c r="F344" s="75">
        <f>'THAM_SO_MOI'!$E$49+('THAM_SO_MOI'!$F$49-'THAM_SO_MOI'!$E$49)*338/'THAM_SO_MOI'!$C$42</f>
        <v>2.436678172255095</v>
      </c>
      <c r="G344" s="75">
        <f>3.6*F344</f>
        <v>8.772041420118343</v>
      </c>
      <c r="H344" s="75">
        <f>'THAM_SO_MOI'!$D$49</f>
        <v>3.1625000000000005</v>
      </c>
      <c r="I344" s="75">
        <f>IF(F344&gt;'THAM_SO_MOI'!$C$14,'THAM_SO_MOI'!$C$13*(1+F344^2/1500),'THAM_SO_MOI'!$C$13)</f>
        <v>0.015</v>
      </c>
      <c r="J344" s="75">
        <f>'THAM_SO_MOI'!$C$40*('THAM_SO_MOI'!$C$23*(E344/'THAM_SO_MOI'!$C$22)+'THAM_SO_MOI'!$C$24*(E344/'THAM_SO_MOI'!$C$22)^2-'THAM_SO_MOI'!$C$25*(E344/'THAM_SO_MOI'!$C$22)^3)</f>
        <v>67.36434097644396</v>
      </c>
      <c r="K344" s="75">
        <f>'THAM_SO_MOI'!$C$31*J344/E344</f>
        <v>412.3059581682332</v>
      </c>
      <c r="L344" s="75">
        <f>K344*'THAM_SO_MOI'!$C$49*'THAM_SO_MOI'!$C$17/'THAM_SO_MOI'!$C$26</f>
        <v>23503.511632091762</v>
      </c>
      <c r="M344" s="75">
        <f>'THAM_SO_MOI'!$C$15*'THAM_SO_MOI'!$C$16*F344^2</f>
        <v>17.366896506797463</v>
      </c>
      <c r="N344" s="75">
        <f>'THAM_SO_MOI'!$C$12*I344</f>
        <v>1130.112</v>
      </c>
      <c r="O344" s="75">
        <f>M344+N344</f>
        <v>1147.4788965067976</v>
      </c>
      <c r="P344" s="75">
        <f>(MIN(L344,'THAM_SO_MOI'!$C$41)-O344)/('THAM_SO_MOI'!$C$11*H344)</f>
        <v>0.920455893263544</v>
      </c>
      <c r="Q344" s="75">
        <f>IF(P344&gt;0,1/P344,NA())</f>
        <v>1.0864181622591675</v>
      </c>
      <c r="R344" s="75">
        <f>F344-F343</f>
        <v>0.0035133136094671613</v>
      </c>
      <c r="S344" s="75">
        <f>0.5*(Q343+Q344)*R344</f>
        <v>0.003817568748765946</v>
      </c>
      <c r="T344" s="75">
        <f>0.5*(F343*Q343+F344*Q344)*R344</f>
        <v>0.009295479157004856</v>
      </c>
      <c r="U344" s="76">
        <f>U343+S344</f>
        <v>1.4080275962786508</v>
      </c>
      <c r="V344" s="76">
        <f>V343+T344</f>
        <v>2.5664837865784804</v>
      </c>
    </row>
    <row r="345" spans="1:22" ht="19" customHeight="1">
      <c r="A345" s="68" t="s">
        <v>368</v>
      </c>
      <c r="B345" s="74">
        <v>1</v>
      </c>
      <c r="C345" s="68" t="s">
        <v>363</v>
      </c>
      <c r="D345" s="68" t="s">
        <v>364</v>
      </c>
      <c r="E345" s="75">
        <f>60*F345*'THAM_SO_MOI'!$C$49/(2*PI()*'THAM_SO_MOI'!$C$26)</f>
        <v>1562.75</v>
      </c>
      <c r="F345" s="75">
        <f>'THAM_SO_MOI'!$E$49+('THAM_SO_MOI'!$F$49-'THAM_SO_MOI'!$E$49)*339/'THAM_SO_MOI'!$C$42</f>
        <v>2.440191485864563</v>
      </c>
      <c r="G345" s="75">
        <f>3.6*F345</f>
        <v>8.784689349112426</v>
      </c>
      <c r="H345" s="75">
        <f>'THAM_SO_MOI'!$D$49</f>
        <v>3.1625000000000005</v>
      </c>
      <c r="I345" s="75">
        <f>IF(F345&gt;'THAM_SO_MOI'!$C$14,'THAM_SO_MOI'!$C$13*(1+F345^2/1500),'THAM_SO_MOI'!$C$13)</f>
        <v>0.015</v>
      </c>
      <c r="J345" s="75">
        <f>'THAM_SO_MOI'!$C$40*('THAM_SO_MOI'!$C$23*(E345/'THAM_SO_MOI'!$C$22)+'THAM_SO_MOI'!$C$24*(E345/'THAM_SO_MOI'!$C$22)^2-'THAM_SO_MOI'!$C$25*(E345/'THAM_SO_MOI'!$C$22)^3)</f>
        <v>67.48307934436123</v>
      </c>
      <c r="K345" s="75">
        <f>'THAM_SO_MOI'!$C$31*J345/E345</f>
        <v>412.4380288302982</v>
      </c>
      <c r="L345" s="75">
        <f>K345*'THAM_SO_MOI'!$C$49*'THAM_SO_MOI'!$C$17/'THAM_SO_MOI'!$C$26</f>
        <v>23511.040323541903</v>
      </c>
      <c r="M345" s="75">
        <f>'THAM_SO_MOI'!$C$15*'THAM_SO_MOI'!$C$16*F345^2</f>
        <v>17.41701337648127</v>
      </c>
      <c r="N345" s="75">
        <f>'THAM_SO_MOI'!$C$12*I345</f>
        <v>1130.112</v>
      </c>
      <c r="O345" s="75">
        <f>M345+N345</f>
        <v>1147.5290133764813</v>
      </c>
      <c r="P345" s="75">
        <f>(MIN(L345,'THAM_SO_MOI'!$C$41)-O345)/('THAM_SO_MOI'!$C$11*H345)</f>
        <v>0.9207638055898146</v>
      </c>
      <c r="Q345" s="75">
        <f>IF(P345&gt;0,1/P345,NA())</f>
        <v>1.0860548535130885</v>
      </c>
      <c r="R345" s="75">
        <f>F345-F344</f>
        <v>0.0035133136094676054</v>
      </c>
      <c r="S345" s="75">
        <f>0.5*(Q344+Q345)*R345</f>
        <v>0.0038162895062568993</v>
      </c>
      <c r="T345" s="75">
        <f>0.5*(F344*Q344+F345*Q345)*R345</f>
        <v>0.009305772128718566</v>
      </c>
      <c r="U345" s="76">
        <f>U344+S345</f>
        <v>1.4118438857849078</v>
      </c>
      <c r="V345" s="76">
        <f>V344+T345</f>
        <v>2.575789558707199</v>
      </c>
    </row>
    <row r="346" spans="1:22" ht="19" customHeight="1">
      <c r="A346" s="68" t="s">
        <v>368</v>
      </c>
      <c r="B346" s="74">
        <v>1</v>
      </c>
      <c r="C346" s="68" t="s">
        <v>363</v>
      </c>
      <c r="D346" s="68" t="s">
        <v>364</v>
      </c>
      <c r="E346" s="75">
        <f>60*F346*'THAM_SO_MOI'!$C$49/(2*PI()*'THAM_SO_MOI'!$C$26)</f>
        <v>1564.9999999999998</v>
      </c>
      <c r="F346" s="75">
        <f>'THAM_SO_MOI'!$E$49+('THAM_SO_MOI'!$F$49-'THAM_SO_MOI'!$E$49)*340/'THAM_SO_MOI'!$C$42</f>
        <v>2.4437047994740304</v>
      </c>
      <c r="G346" s="75">
        <f>3.6*F346</f>
        <v>8.79733727810651</v>
      </c>
      <c r="H346" s="75">
        <f>'THAM_SO_MOI'!$D$49</f>
        <v>3.1625000000000005</v>
      </c>
      <c r="I346" s="75">
        <f>IF(F346&gt;'THAM_SO_MOI'!$C$14,'THAM_SO_MOI'!$C$13*(1+F346^2/1500),'THAM_SO_MOI'!$C$13)</f>
        <v>0.015</v>
      </c>
      <c r="J346" s="75">
        <f>'THAM_SO_MOI'!$C$40*('THAM_SO_MOI'!$C$23*(E346/'THAM_SO_MOI'!$C$22)+'THAM_SO_MOI'!$C$24*(E346/'THAM_SO_MOI'!$C$22)^2-'THAM_SO_MOI'!$C$25*(E346/'THAM_SO_MOI'!$C$22)^3)</f>
        <v>67.60179946169873</v>
      </c>
      <c r="K346" s="75">
        <f>'THAM_SO_MOI'!$C$31*J346/E346</f>
        <v>412.56960835430453</v>
      </c>
      <c r="L346" s="75">
        <f>K346*'THAM_SO_MOI'!$C$49*'THAM_SO_MOI'!$C$17/'THAM_SO_MOI'!$C$26</f>
        <v>23518.54101765452</v>
      </c>
      <c r="M346" s="75">
        <f>'THAM_SO_MOI'!$C$15*'THAM_SO_MOI'!$C$16*F346^2</f>
        <v>17.467202454894302</v>
      </c>
      <c r="N346" s="75">
        <f>'THAM_SO_MOI'!$C$12*I346</f>
        <v>1130.112</v>
      </c>
      <c r="O346" s="75">
        <f>M346+N346</f>
        <v>1147.5792024548944</v>
      </c>
      <c r="P346" s="75">
        <f>(MIN(L346,'THAM_SO_MOI'!$C$41)-O346)/('THAM_SO_MOI'!$C$11*H346)</f>
        <v>0.9210705622200108</v>
      </c>
      <c r="Q346" s="75">
        <f>IF(P346&gt;0,1/P346,NA())</f>
        <v>1.0856931499251798</v>
      </c>
      <c r="R346" s="75">
        <f>F346-F345</f>
        <v>0.0035133136094676054</v>
      </c>
      <c r="S346" s="75">
        <f>0.5*(Q345+Q346)*R346</f>
        <v>0.003815015908406884</v>
      </c>
      <c r="T346" s="75">
        <f>0.5*(F345*Q345+F346*Q346)*R346</f>
        <v>0.009316069895627478</v>
      </c>
      <c r="U346" s="76">
        <f>U345+S346</f>
        <v>1.4156589016933148</v>
      </c>
      <c r="V346" s="76">
        <f>V345+T346</f>
        <v>2.5851056286028267</v>
      </c>
    </row>
    <row r="347" spans="1:22" ht="19" customHeight="1">
      <c r="A347" s="68" t="s">
        <v>368</v>
      </c>
      <c r="B347" s="74">
        <v>1</v>
      </c>
      <c r="C347" s="68" t="s">
        <v>363</v>
      </c>
      <c r="D347" s="68" t="s">
        <v>364</v>
      </c>
      <c r="E347" s="75">
        <f>60*F347*'THAM_SO_MOI'!$C$49/(2*PI()*'THAM_SO_MOI'!$C$26)</f>
        <v>1567.2499999999998</v>
      </c>
      <c r="F347" s="75">
        <f>'THAM_SO_MOI'!$E$49+('THAM_SO_MOI'!$F$49-'THAM_SO_MOI'!$E$49)*341/'THAM_SO_MOI'!$C$42</f>
        <v>2.4472181130834976</v>
      </c>
      <c r="G347" s="75">
        <f>3.6*F347</f>
        <v>8.809985207100592</v>
      </c>
      <c r="H347" s="75">
        <f>'THAM_SO_MOI'!$D$49</f>
        <v>3.1625000000000005</v>
      </c>
      <c r="I347" s="75">
        <f>IF(F347&gt;'THAM_SO_MOI'!$C$14,'THAM_SO_MOI'!$C$13*(1+F347^2/1500),'THAM_SO_MOI'!$C$13)</f>
        <v>0.015</v>
      </c>
      <c r="J347" s="75">
        <f>'THAM_SO_MOI'!$C$40*('THAM_SO_MOI'!$C$23*(E347/'THAM_SO_MOI'!$C$22)+'THAM_SO_MOI'!$C$24*(E347/'THAM_SO_MOI'!$C$22)^2-'THAM_SO_MOI'!$C$25*(E347/'THAM_SO_MOI'!$C$22)^3)</f>
        <v>67.72050098135693</v>
      </c>
      <c r="K347" s="75">
        <f>'THAM_SO_MOI'!$C$31*J347/E347</f>
        <v>412.70069674025206</v>
      </c>
      <c r="L347" s="75">
        <f>K347*'THAM_SO_MOI'!$C$49*'THAM_SO_MOI'!$C$17/'THAM_SO_MOI'!$C$26</f>
        <v>23526.013714429595</v>
      </c>
      <c r="M347" s="75">
        <f>'THAM_SO_MOI'!$C$15*'THAM_SO_MOI'!$C$16*F347^2</f>
        <v>17.51746374203657</v>
      </c>
      <c r="N347" s="75">
        <f>'THAM_SO_MOI'!$C$12*I347</f>
        <v>1130.112</v>
      </c>
      <c r="O347" s="75">
        <f>M347+N347</f>
        <v>1147.6294637420367</v>
      </c>
      <c r="P347" s="75">
        <f>(MIN(L347,'THAM_SO_MOI'!$C$41)-O347)/('THAM_SO_MOI'!$C$11*H347)</f>
        <v>0.921376163154132</v>
      </c>
      <c r="Q347" s="75">
        <f>IF(P347&gt;0,1/P347,NA())</f>
        <v>1.085333048531141</v>
      </c>
      <c r="R347" s="75">
        <f>F347-F346</f>
        <v>0.0035133136094671613</v>
      </c>
      <c r="S347" s="75">
        <f>0.5*(Q346+Q347)*R347</f>
        <v>0.0038137479447731735</v>
      </c>
      <c r="T347" s="75">
        <f>0.5*(F346*Q346+F347*Q347)*R347</f>
        <v>0.009326372491688734</v>
      </c>
      <c r="U347" s="76">
        <f>U346+S347</f>
        <v>1.4194726496380878</v>
      </c>
      <c r="V347" s="76">
        <f>V346+T347</f>
        <v>2.5944320010945154</v>
      </c>
    </row>
    <row r="348" spans="1:22" ht="19" customHeight="1">
      <c r="A348" s="68" t="s">
        <v>368</v>
      </c>
      <c r="B348" s="74">
        <v>1</v>
      </c>
      <c r="C348" s="68" t="s">
        <v>363</v>
      </c>
      <c r="D348" s="68" t="s">
        <v>364</v>
      </c>
      <c r="E348" s="75">
        <f>60*F348*'THAM_SO_MOI'!$C$49/(2*PI()*'THAM_SO_MOI'!$C$26)</f>
        <v>1569.4999999999998</v>
      </c>
      <c r="F348" s="75">
        <f>'THAM_SO_MOI'!$E$49+('THAM_SO_MOI'!$F$49-'THAM_SO_MOI'!$E$49)*342/'THAM_SO_MOI'!$C$42</f>
        <v>2.450731426692965</v>
      </c>
      <c r="G348" s="75">
        <f>3.6*F348</f>
        <v>8.822633136094675</v>
      </c>
      <c r="H348" s="75">
        <f>'THAM_SO_MOI'!$D$49</f>
        <v>3.1625000000000005</v>
      </c>
      <c r="I348" s="75">
        <f>IF(F348&gt;'THAM_SO_MOI'!$C$14,'THAM_SO_MOI'!$C$13*(1+F348^2/1500),'THAM_SO_MOI'!$C$13)</f>
        <v>0.015</v>
      </c>
      <c r="J348" s="75">
        <f>'THAM_SO_MOI'!$C$40*('THAM_SO_MOI'!$C$23*(E348/'THAM_SO_MOI'!$C$22)+'THAM_SO_MOI'!$C$24*(E348/'THAM_SO_MOI'!$C$22)^2-'THAM_SO_MOI'!$C$25*(E348/'THAM_SO_MOI'!$C$22)^3)</f>
        <v>67.83918355623626</v>
      </c>
      <c r="K348" s="75">
        <f>'THAM_SO_MOI'!$C$31*J348/E348</f>
        <v>412.8312939881406</v>
      </c>
      <c r="L348" s="75">
        <f>K348*'THAM_SO_MOI'!$C$49*'THAM_SO_MOI'!$C$17/'THAM_SO_MOI'!$C$26</f>
        <v>23533.45841386713</v>
      </c>
      <c r="M348" s="75">
        <f>'THAM_SO_MOI'!$C$15*'THAM_SO_MOI'!$C$16*F348^2</f>
        <v>17.56779723790807</v>
      </c>
      <c r="N348" s="75">
        <f>'THAM_SO_MOI'!$C$12*I348</f>
        <v>1130.112</v>
      </c>
      <c r="O348" s="75">
        <f>M348+N348</f>
        <v>1147.6797972379081</v>
      </c>
      <c r="P348" s="75">
        <f>(MIN(L348,'THAM_SO_MOI'!$C$41)-O348)/('THAM_SO_MOI'!$C$11*H348)</f>
        <v>0.9216806083921779</v>
      </c>
      <c r="Q348" s="75">
        <f>IF(P348&gt;0,1/P348,NA())</f>
        <v>1.084974546382663</v>
      </c>
      <c r="R348" s="75">
        <f>F348-F347</f>
        <v>0.0035133136094676054</v>
      </c>
      <c r="S348" s="75">
        <f>0.5*(Q347+Q348)*R348</f>
        <v>0.0038124856049707866</v>
      </c>
      <c r="T348" s="75">
        <f>0.5*(F347*Q347+F348*Q348)*R348</f>
        <v>0.009336679950854136</v>
      </c>
      <c r="U348" s="76">
        <f>U347+S348</f>
        <v>1.4232851352430587</v>
      </c>
      <c r="V348" s="76">
        <f>V347+T348</f>
        <v>2.6037686810453695</v>
      </c>
    </row>
    <row r="349" spans="1:22" ht="19" customHeight="1">
      <c r="A349" s="68" t="s">
        <v>368</v>
      </c>
      <c r="B349" s="74">
        <v>1</v>
      </c>
      <c r="C349" s="68" t="s">
        <v>363</v>
      </c>
      <c r="D349" s="68" t="s">
        <v>364</v>
      </c>
      <c r="E349" s="75">
        <f>60*F349*'THAM_SO_MOI'!$C$49/(2*PI()*'THAM_SO_MOI'!$C$26)</f>
        <v>1571.7499999999998</v>
      </c>
      <c r="F349" s="75">
        <f>'THAM_SO_MOI'!$E$49+('THAM_SO_MOI'!$F$49-'THAM_SO_MOI'!$E$49)*343/'THAM_SO_MOI'!$C$42</f>
        <v>2.454244740302433</v>
      </c>
      <c r="G349" s="75">
        <f>3.6*F349</f>
        <v>8.835281065088758</v>
      </c>
      <c r="H349" s="75">
        <f>'THAM_SO_MOI'!$D$49</f>
        <v>3.1625000000000005</v>
      </c>
      <c r="I349" s="75">
        <f>IF(F349&gt;'THAM_SO_MOI'!$C$14,'THAM_SO_MOI'!$C$13*(1+F349^2/1500),'THAM_SO_MOI'!$C$13)</f>
        <v>0.015</v>
      </c>
      <c r="J349" s="75">
        <f>'THAM_SO_MOI'!$C$40*('THAM_SO_MOI'!$C$23*(E349/'THAM_SO_MOI'!$C$22)+'THAM_SO_MOI'!$C$24*(E349/'THAM_SO_MOI'!$C$22)^2-'THAM_SO_MOI'!$C$25*(E349/'THAM_SO_MOI'!$C$22)^3)</f>
        <v>67.95784683923722</v>
      </c>
      <c r="K349" s="75">
        <f>'THAM_SO_MOI'!$C$31*J349/E349</f>
        <v>412.96140009797045</v>
      </c>
      <c r="L349" s="75">
        <f>K349*'THAM_SO_MOI'!$C$49*'THAM_SO_MOI'!$C$17/'THAM_SO_MOI'!$C$26</f>
        <v>23540.875115967134</v>
      </c>
      <c r="M349" s="75">
        <f>'THAM_SO_MOI'!$C$15*'THAM_SO_MOI'!$C$16*F349^2</f>
        <v>17.61820294250881</v>
      </c>
      <c r="N349" s="75">
        <f>'THAM_SO_MOI'!$C$12*I349</f>
        <v>1130.112</v>
      </c>
      <c r="O349" s="75">
        <f>M349+N349</f>
        <v>1147.7302029425089</v>
      </c>
      <c r="P349" s="75">
        <f>(MIN(L349,'THAM_SO_MOI'!$C$41)-O349)/('THAM_SO_MOI'!$C$11*H349)</f>
        <v>0.9219838979341495</v>
      </c>
      <c r="Q349" s="75">
        <f>IF(P349&gt;0,1/P349,NA())</f>
        <v>1.0846176405473653</v>
      </c>
      <c r="R349" s="75">
        <f>F349-F348</f>
        <v>0.0035133136094676054</v>
      </c>
      <c r="S349" s="75">
        <f>0.5*(Q348+Q349)*R349</f>
        <v>0.003811228878667927</v>
      </c>
      <c r="T349" s="75">
        <f>0.5*(F348*Q348+F349*Q349)*R349</f>
        <v>0.009346992307059968</v>
      </c>
      <c r="U349" s="76">
        <f>U348+S349</f>
        <v>1.4270963641217267</v>
      </c>
      <c r="V349" s="76">
        <f>V348+T349</f>
        <v>2.6131156733524294</v>
      </c>
    </row>
    <row r="350" spans="1:22" ht="19" customHeight="1">
      <c r="A350" s="68" t="s">
        <v>368</v>
      </c>
      <c r="B350" s="74">
        <v>1</v>
      </c>
      <c r="C350" s="68" t="s">
        <v>363</v>
      </c>
      <c r="D350" s="68" t="s">
        <v>364</v>
      </c>
      <c r="E350" s="75">
        <f>60*F350*'THAM_SO_MOI'!$C$49/(2*PI()*'THAM_SO_MOI'!$C$26)</f>
        <v>1573.9999999999995</v>
      </c>
      <c r="F350" s="75">
        <f>'THAM_SO_MOI'!$E$49+('THAM_SO_MOI'!$F$49-'THAM_SO_MOI'!$E$49)*344/'THAM_SO_MOI'!$C$42</f>
        <v>2.4577580539119</v>
      </c>
      <c r="G350" s="75">
        <f>3.6*F350</f>
        <v>8.84792899408284</v>
      </c>
      <c r="H350" s="75">
        <f>'THAM_SO_MOI'!$D$49</f>
        <v>3.1625000000000005</v>
      </c>
      <c r="I350" s="75">
        <f>IF(F350&gt;'THAM_SO_MOI'!$C$14,'THAM_SO_MOI'!$C$13*(1+F350^2/1500),'THAM_SO_MOI'!$C$13)</f>
        <v>0.015</v>
      </c>
      <c r="J350" s="75">
        <f>'THAM_SO_MOI'!$C$40*('THAM_SO_MOI'!$C$23*(E350/'THAM_SO_MOI'!$C$22)+'THAM_SO_MOI'!$C$24*(E350/'THAM_SO_MOI'!$C$22)^2-'THAM_SO_MOI'!$C$25*(E350/'THAM_SO_MOI'!$C$22)^3)</f>
        <v>68.07649048326026</v>
      </c>
      <c r="K350" s="75">
        <f>'THAM_SO_MOI'!$C$31*J350/E350</f>
        <v>413.09101506974173</v>
      </c>
      <c r="L350" s="75">
        <f>K350*'THAM_SO_MOI'!$C$49*'THAM_SO_MOI'!$C$17/'THAM_SO_MOI'!$C$26</f>
        <v>23548.263820729626</v>
      </c>
      <c r="M350" s="75">
        <f>'THAM_SO_MOI'!$C$15*'THAM_SO_MOI'!$C$16*F350^2</f>
        <v>17.66868085583877</v>
      </c>
      <c r="N350" s="75">
        <f>'THAM_SO_MOI'!$C$12*I350</f>
        <v>1130.112</v>
      </c>
      <c r="O350" s="75">
        <f>M350+N350</f>
        <v>1147.780680855839</v>
      </c>
      <c r="P350" s="75">
        <f>(MIN(L350,'THAM_SO_MOI'!$C$41)-O350)/('THAM_SO_MOI'!$C$11*H350)</f>
        <v>0.9222860317800471</v>
      </c>
      <c r="Q350" s="75">
        <f>IF(P350&gt;0,1/P350,NA())</f>
        <v>1.0842623281087342</v>
      </c>
      <c r="R350" s="75">
        <f>F350-F349</f>
        <v>0.0035133136094671613</v>
      </c>
      <c r="S350" s="75">
        <f>0.5*(Q349+Q350)*R350</f>
        <v>0.0038099777555900926</v>
      </c>
      <c r="T350" s="75">
        <f>0.5*(F349*Q349+F350*Q350)*R350</f>
        <v>0.009357309594238045</v>
      </c>
      <c r="U350" s="76">
        <f>U349+S350</f>
        <v>1.4309063418773167</v>
      </c>
      <c r="V350" s="76">
        <f>V349+T350</f>
        <v>2.6224729829466673</v>
      </c>
    </row>
    <row r="351" spans="1:22" ht="19" customHeight="1">
      <c r="A351" s="68" t="s">
        <v>368</v>
      </c>
      <c r="B351" s="74">
        <v>1</v>
      </c>
      <c r="C351" s="68" t="s">
        <v>363</v>
      </c>
      <c r="D351" s="68" t="s">
        <v>364</v>
      </c>
      <c r="E351" s="75">
        <f>60*F351*'THAM_SO_MOI'!$C$49/(2*PI()*'THAM_SO_MOI'!$C$26)</f>
        <v>1576.2499999999998</v>
      </c>
      <c r="F351" s="75">
        <f>'THAM_SO_MOI'!$E$49+('THAM_SO_MOI'!$F$49-'THAM_SO_MOI'!$E$49)*345/'THAM_SO_MOI'!$C$42</f>
        <v>2.4612713675213675</v>
      </c>
      <c r="G351" s="75">
        <f>3.6*F351</f>
        <v>8.860576923076923</v>
      </c>
      <c r="H351" s="75">
        <f>'THAM_SO_MOI'!$D$49</f>
        <v>3.1625000000000005</v>
      </c>
      <c r="I351" s="75">
        <f>IF(F351&gt;'THAM_SO_MOI'!$C$14,'THAM_SO_MOI'!$C$13*(1+F351^2/1500),'THAM_SO_MOI'!$C$13)</f>
        <v>0.015</v>
      </c>
      <c r="J351" s="75">
        <f>'THAM_SO_MOI'!$C$40*('THAM_SO_MOI'!$C$23*(E351/'THAM_SO_MOI'!$C$22)+'THAM_SO_MOI'!$C$24*(E351/'THAM_SO_MOI'!$C$22)^2-'THAM_SO_MOI'!$C$25*(E351/'THAM_SO_MOI'!$C$22)^3)</f>
        <v>68.1951141412058</v>
      </c>
      <c r="K351" s="75">
        <f>'THAM_SO_MOI'!$C$31*J351/E351</f>
        <v>413.2201389034541</v>
      </c>
      <c r="L351" s="75">
        <f>K351*'THAM_SO_MOI'!$C$49*'THAM_SO_MOI'!$C$17/'THAM_SO_MOI'!$C$26</f>
        <v>23555.624528154567</v>
      </c>
      <c r="M351" s="75">
        <f>'THAM_SO_MOI'!$C$15*'THAM_SO_MOI'!$C$16*F351^2</f>
        <v>17.719230977897972</v>
      </c>
      <c r="N351" s="75">
        <f>'THAM_SO_MOI'!$C$12*I351</f>
        <v>1130.112</v>
      </c>
      <c r="O351" s="75">
        <f>M351+N351</f>
        <v>1147.831230977898</v>
      </c>
      <c r="P351" s="75">
        <f>(MIN(L351,'THAM_SO_MOI'!$C$41)-O351)/('THAM_SO_MOI'!$C$11*H351)</f>
        <v>0.9225870099298692</v>
      </c>
      <c r="Q351" s="75">
        <f>IF(P351&gt;0,1/P351,NA())</f>
        <v>1.0839086061660628</v>
      </c>
      <c r="R351" s="75">
        <f>F351-F350</f>
        <v>0.0035133136094676054</v>
      </c>
      <c r="S351" s="75">
        <f>0.5*(Q350+Q351)*R351</f>
        <v>0.003808732225519869</v>
      </c>
      <c r="T351" s="75">
        <f>0.5*(F350*Q350+F351*Q351)*R351</f>
        <v>0.009367631846316194</v>
      </c>
      <c r="U351" s="76">
        <f>U350+S351</f>
        <v>1.4347150741028365</v>
      </c>
      <c r="V351" s="76">
        <f>V350+T351</f>
        <v>2.6318406147929836</v>
      </c>
    </row>
    <row r="352" spans="1:22" ht="19" customHeight="1">
      <c r="A352" s="68" t="s">
        <v>368</v>
      </c>
      <c r="B352" s="74">
        <v>1</v>
      </c>
      <c r="C352" s="68" t="s">
        <v>363</v>
      </c>
      <c r="D352" s="68" t="s">
        <v>364</v>
      </c>
      <c r="E352" s="75">
        <f>60*F352*'THAM_SO_MOI'!$C$49/(2*PI()*'THAM_SO_MOI'!$C$26)</f>
        <v>1578.4999999999998</v>
      </c>
      <c r="F352" s="75">
        <f>'THAM_SO_MOI'!$E$49+('THAM_SO_MOI'!$F$49-'THAM_SO_MOI'!$E$49)*346/'THAM_SO_MOI'!$C$42</f>
        <v>2.464784681130835</v>
      </c>
      <c r="G352" s="75">
        <f>3.6*F352</f>
        <v>8.873224852071006</v>
      </c>
      <c r="H352" s="75">
        <f>'THAM_SO_MOI'!$D$49</f>
        <v>3.1625000000000005</v>
      </c>
      <c r="I352" s="75">
        <f>IF(F352&gt;'THAM_SO_MOI'!$C$14,'THAM_SO_MOI'!$C$13*(1+F352^2/1500),'THAM_SO_MOI'!$C$13)</f>
        <v>0.015</v>
      </c>
      <c r="J352" s="75">
        <f>'THAM_SO_MOI'!$C$40*('THAM_SO_MOI'!$C$23*(E352/'THAM_SO_MOI'!$C$22)+'THAM_SO_MOI'!$C$24*(E352/'THAM_SO_MOI'!$C$22)^2-'THAM_SO_MOI'!$C$25*(E352/'THAM_SO_MOI'!$C$22)^3)</f>
        <v>68.31371746597432</v>
      </c>
      <c r="K352" s="75">
        <f>'THAM_SO_MOI'!$C$31*J352/E352</f>
        <v>413.34877159910764</v>
      </c>
      <c r="L352" s="75">
        <f>K352*'THAM_SO_MOI'!$C$49*'THAM_SO_MOI'!$C$17/'THAM_SO_MOI'!$C$26</f>
        <v>23562.957238241983</v>
      </c>
      <c r="M352" s="75">
        <f>'THAM_SO_MOI'!$C$15*'THAM_SO_MOI'!$C$16*F352^2</f>
        <v>17.769853308686407</v>
      </c>
      <c r="N352" s="75">
        <f>'THAM_SO_MOI'!$C$12*I352</f>
        <v>1130.112</v>
      </c>
      <c r="O352" s="75">
        <f>M352+N352</f>
        <v>1147.8818533086865</v>
      </c>
      <c r="P352" s="75">
        <f>(MIN(L352,'THAM_SO_MOI'!$C$41)-O352)/('THAM_SO_MOI'!$C$11*H352)</f>
        <v>0.922886832383617</v>
      </c>
      <c r="Q352" s="75">
        <f>IF(P352&gt;0,1/P352,NA())</f>
        <v>1.0835564718343813</v>
      </c>
      <c r="R352" s="75">
        <f>F352-F351</f>
        <v>0.0035133136094676054</v>
      </c>
      <c r="S352" s="75">
        <f>0.5*(Q351+Q352)*R352</f>
        <v>0.003807492278292363</v>
      </c>
      <c r="T352" s="75">
        <f>0.5*(F351*Q351+F352*Q352)*R352</f>
        <v>0.009377959097208016</v>
      </c>
      <c r="U352" s="76">
        <f>U351+S352</f>
        <v>1.438522566381129</v>
      </c>
      <c r="V352" s="76">
        <f>V351+T352</f>
        <v>2.6412185738901917</v>
      </c>
    </row>
    <row r="353" spans="1:22" ht="19" customHeight="1">
      <c r="A353" s="68" t="s">
        <v>368</v>
      </c>
      <c r="B353" s="74">
        <v>1</v>
      </c>
      <c r="C353" s="68" t="s">
        <v>363</v>
      </c>
      <c r="D353" s="68" t="s">
        <v>364</v>
      </c>
      <c r="E353" s="75">
        <f>60*F353*'THAM_SO_MOI'!$C$49/(2*PI()*'THAM_SO_MOI'!$C$26)</f>
        <v>1580.7499999999998</v>
      </c>
      <c r="F353" s="75">
        <f>'THAM_SO_MOI'!$E$49+('THAM_SO_MOI'!$F$49-'THAM_SO_MOI'!$E$49)*347/'THAM_SO_MOI'!$C$42</f>
        <v>2.4682979947403023</v>
      </c>
      <c r="G353" s="75">
        <f>3.6*F353</f>
        <v>8.885872781065089</v>
      </c>
      <c r="H353" s="75">
        <f>'THAM_SO_MOI'!$D$49</f>
        <v>3.1625000000000005</v>
      </c>
      <c r="I353" s="75">
        <f>IF(F353&gt;'THAM_SO_MOI'!$C$14,'THAM_SO_MOI'!$C$13*(1+F353^2/1500),'THAM_SO_MOI'!$C$13)</f>
        <v>0.015</v>
      </c>
      <c r="J353" s="75">
        <f>'THAM_SO_MOI'!$C$40*('THAM_SO_MOI'!$C$23*(E353/'THAM_SO_MOI'!$C$22)+'THAM_SO_MOI'!$C$24*(E353/'THAM_SO_MOI'!$C$22)^2-'THAM_SO_MOI'!$C$25*(E353/'THAM_SO_MOI'!$C$22)^3)</f>
        <v>68.43230011046627</v>
      </c>
      <c r="K353" s="75">
        <f>'THAM_SO_MOI'!$C$31*J353/E353</f>
        <v>413.47691315670244</v>
      </c>
      <c r="L353" s="75">
        <f>K353*'THAM_SO_MOI'!$C$49*'THAM_SO_MOI'!$C$17/'THAM_SO_MOI'!$C$26</f>
        <v>23570.261950991866</v>
      </c>
      <c r="M353" s="75">
        <f>'THAM_SO_MOI'!$C$15*'THAM_SO_MOI'!$C$16*F353^2</f>
        <v>17.82054784820407</v>
      </c>
      <c r="N353" s="75">
        <f>'THAM_SO_MOI'!$C$12*I353</f>
        <v>1130.112</v>
      </c>
      <c r="O353" s="75">
        <f>M353+N353</f>
        <v>1147.9325478482042</v>
      </c>
      <c r="P353" s="75">
        <f>(MIN(L353,'THAM_SO_MOI'!$C$41)-O353)/('THAM_SO_MOI'!$C$11*H353)</f>
        <v>0.9231854991412902</v>
      </c>
      <c r="Q353" s="75">
        <f>IF(P353&gt;0,1/P353,NA())</f>
        <v>1.0832059222444022</v>
      </c>
      <c r="R353" s="75">
        <f>F353-F352</f>
        <v>0.0035133136094671613</v>
      </c>
      <c r="S353" s="75">
        <f>0.5*(Q352+Q353)*R353</f>
        <v>0.0038062579037993188</v>
      </c>
      <c r="T353" s="75">
        <f>0.5*(F352*Q352+F353*Q353)*R353</f>
        <v>0.009388291380823961</v>
      </c>
      <c r="U353" s="76">
        <f>U352+S353</f>
        <v>1.4423288242849284</v>
      </c>
      <c r="V353" s="76">
        <f>V352+T353</f>
        <v>2.6506068652710155</v>
      </c>
    </row>
    <row r="354" spans="1:22" ht="19" customHeight="1">
      <c r="A354" s="68" t="s">
        <v>368</v>
      </c>
      <c r="B354" s="74">
        <v>1</v>
      </c>
      <c r="C354" s="68" t="s">
        <v>363</v>
      </c>
      <c r="D354" s="68" t="s">
        <v>364</v>
      </c>
      <c r="E354" s="75">
        <f>60*F354*'THAM_SO_MOI'!$C$49/(2*PI()*'THAM_SO_MOI'!$C$26)</f>
        <v>1582.9999999999998</v>
      </c>
      <c r="F354" s="75">
        <f>'THAM_SO_MOI'!$E$49+('THAM_SO_MOI'!$F$49-'THAM_SO_MOI'!$E$49)*348/'THAM_SO_MOI'!$C$42</f>
        <v>2.47181130834977</v>
      </c>
      <c r="G354" s="75">
        <f>3.6*F354</f>
        <v>8.898520710059172</v>
      </c>
      <c r="H354" s="75">
        <f>'THAM_SO_MOI'!$D$49</f>
        <v>3.1625000000000005</v>
      </c>
      <c r="I354" s="75">
        <f>IF(F354&gt;'THAM_SO_MOI'!$C$14,'THAM_SO_MOI'!$C$13*(1+F354^2/1500),'THAM_SO_MOI'!$C$13)</f>
        <v>0.015</v>
      </c>
      <c r="J354" s="75">
        <f>'THAM_SO_MOI'!$C$40*('THAM_SO_MOI'!$C$23*(E354/'THAM_SO_MOI'!$C$22)+'THAM_SO_MOI'!$C$24*(E354/'THAM_SO_MOI'!$C$22)^2-'THAM_SO_MOI'!$C$25*(E354/'THAM_SO_MOI'!$C$22)^3)</f>
        <v>68.5508617275821</v>
      </c>
      <c r="K354" s="75">
        <f>'THAM_SO_MOI'!$C$31*J354/E354</f>
        <v>413.6045635762385</v>
      </c>
      <c r="L354" s="75">
        <f>K354*'THAM_SO_MOI'!$C$49*'THAM_SO_MOI'!$C$17/'THAM_SO_MOI'!$C$26</f>
        <v>23577.53866640422</v>
      </c>
      <c r="M354" s="75">
        <f>'THAM_SO_MOI'!$C$15*'THAM_SO_MOI'!$C$16*F354^2</f>
        <v>17.871314596450972</v>
      </c>
      <c r="N354" s="75">
        <f>'THAM_SO_MOI'!$C$12*I354</f>
        <v>1130.112</v>
      </c>
      <c r="O354" s="75">
        <f>M354+N354</f>
        <v>1147.983314596451</v>
      </c>
      <c r="P354" s="75">
        <f>(MIN(L354,'THAM_SO_MOI'!$C$41)-O354)/('THAM_SO_MOI'!$C$11*H354)</f>
        <v>0.9234830102028889</v>
      </c>
      <c r="Q354" s="75">
        <f>IF(P354&gt;0,1/P354,NA())</f>
        <v>1.0828569545424558</v>
      </c>
      <c r="R354" s="75">
        <f>F354-F353</f>
        <v>0.0035133136094676054</v>
      </c>
      <c r="S354" s="75">
        <f>0.5*(Q353+Q354)*R354</f>
        <v>0.0038050290919889105</v>
      </c>
      <c r="T354" s="75">
        <f>0.5*(F353*Q353+F354*Q354)*R354</f>
        <v>0.009398628731071808</v>
      </c>
      <c r="U354" s="76">
        <f>U353+S354</f>
        <v>1.4461338533769172</v>
      </c>
      <c r="V354" s="76">
        <f>V353+T354</f>
        <v>2.660005494002087</v>
      </c>
    </row>
    <row r="355" spans="1:22" ht="19" customHeight="1">
      <c r="A355" s="68" t="s">
        <v>368</v>
      </c>
      <c r="B355" s="74">
        <v>1</v>
      </c>
      <c r="C355" s="68" t="s">
        <v>363</v>
      </c>
      <c r="D355" s="68" t="s">
        <v>364</v>
      </c>
      <c r="E355" s="75">
        <f>60*F355*'THAM_SO_MOI'!$C$49/(2*PI()*'THAM_SO_MOI'!$C$26)</f>
        <v>1585.2499999999998</v>
      </c>
      <c r="F355" s="75">
        <f>'THAM_SO_MOI'!$E$49+('THAM_SO_MOI'!$F$49-'THAM_SO_MOI'!$E$49)*349/'THAM_SO_MOI'!$C$42</f>
        <v>2.4753246219592375</v>
      </c>
      <c r="G355" s="75">
        <f>3.6*F355</f>
        <v>8.911168639053255</v>
      </c>
      <c r="H355" s="75">
        <f>'THAM_SO_MOI'!$D$49</f>
        <v>3.1625000000000005</v>
      </c>
      <c r="I355" s="75">
        <f>IF(F355&gt;'THAM_SO_MOI'!$C$14,'THAM_SO_MOI'!$C$13*(1+F355^2/1500),'THAM_SO_MOI'!$C$13)</f>
        <v>0.015</v>
      </c>
      <c r="J355" s="75">
        <f>'THAM_SO_MOI'!$C$40*('THAM_SO_MOI'!$C$23*(E355/'THAM_SO_MOI'!$C$22)+'THAM_SO_MOI'!$C$24*(E355/'THAM_SO_MOI'!$C$22)^2-'THAM_SO_MOI'!$C$25*(E355/'THAM_SO_MOI'!$C$22)^3)</f>
        <v>68.6694019702223</v>
      </c>
      <c r="K355" s="75">
        <f>'THAM_SO_MOI'!$C$31*J355/E355</f>
        <v>413.73172285771585</v>
      </c>
      <c r="L355" s="75">
        <f>K355*'THAM_SO_MOI'!$C$49*'THAM_SO_MOI'!$C$17/'THAM_SO_MOI'!$C$26</f>
        <v>23584.787384479045</v>
      </c>
      <c r="M355" s="75">
        <f>'THAM_SO_MOI'!$C$15*'THAM_SO_MOI'!$C$16*F355^2</f>
        <v>17.922153553427105</v>
      </c>
      <c r="N355" s="75">
        <f>'THAM_SO_MOI'!$C$12*I355</f>
        <v>1130.112</v>
      </c>
      <c r="O355" s="75">
        <f>M355+N355</f>
        <v>1148.0341535534271</v>
      </c>
      <c r="P355" s="75">
        <f>(MIN(L355,'THAM_SO_MOI'!$C$41)-O355)/('THAM_SO_MOI'!$C$11*H355)</f>
        <v>0.9237793655684129</v>
      </c>
      <c r="Q355" s="75">
        <f>IF(P355&gt;0,1/P355,NA())</f>
        <v>1.0825095658904305</v>
      </c>
      <c r="R355" s="75">
        <f>F355-F354</f>
        <v>0.0035133136094676054</v>
      </c>
      <c r="S355" s="75">
        <f>0.5*(Q354+Q355)*R355</f>
        <v>0.0038038058328611866</v>
      </c>
      <c r="T355" s="75">
        <f>0.5*(F354*Q354+F355*Q355)*R355</f>
        <v>0.00940897118184639</v>
      </c>
      <c r="U355" s="76">
        <f>U354+S355</f>
        <v>1.4499376592097784</v>
      </c>
      <c r="V355" s="76">
        <f>V354+T355</f>
        <v>2.6694144651839338</v>
      </c>
    </row>
    <row r="356" spans="1:22" ht="19" customHeight="1">
      <c r="A356" s="68" t="s">
        <v>368</v>
      </c>
      <c r="B356" s="74">
        <v>1</v>
      </c>
      <c r="C356" s="68" t="s">
        <v>363</v>
      </c>
      <c r="D356" s="68" t="s">
        <v>364</v>
      </c>
      <c r="E356" s="75">
        <f>60*F356*'THAM_SO_MOI'!$C$49/(2*PI()*'THAM_SO_MOI'!$C$26)</f>
        <v>1587.4999999999998</v>
      </c>
      <c r="F356" s="75">
        <f>'THAM_SO_MOI'!$E$49+('THAM_SO_MOI'!$F$49-'THAM_SO_MOI'!$E$49)*350/'THAM_SO_MOI'!$C$42</f>
        <v>2.4788379355687047</v>
      </c>
      <c r="G356" s="75">
        <f>3.6*F356</f>
        <v>8.923816568047338</v>
      </c>
      <c r="H356" s="75">
        <f>'THAM_SO_MOI'!$D$49</f>
        <v>3.1625000000000005</v>
      </c>
      <c r="I356" s="75">
        <f>IF(F356&gt;'THAM_SO_MOI'!$C$14,'THAM_SO_MOI'!$C$13*(1+F356^2/1500),'THAM_SO_MOI'!$C$13)</f>
        <v>0.015</v>
      </c>
      <c r="J356" s="75">
        <f>'THAM_SO_MOI'!$C$40*('THAM_SO_MOI'!$C$23*(E356/'THAM_SO_MOI'!$C$22)+'THAM_SO_MOI'!$C$24*(E356/'THAM_SO_MOI'!$C$22)^2-'THAM_SO_MOI'!$C$25*(E356/'THAM_SO_MOI'!$C$22)^3)</f>
        <v>68.78792049128725</v>
      </c>
      <c r="K356" s="75">
        <f>'THAM_SO_MOI'!$C$31*J356/E356</f>
        <v>413.85839100113424</v>
      </c>
      <c r="L356" s="75">
        <f>K356*'THAM_SO_MOI'!$C$49*'THAM_SO_MOI'!$C$17/'THAM_SO_MOI'!$C$26</f>
        <v>23592.008105216322</v>
      </c>
      <c r="M356" s="75">
        <f>'THAM_SO_MOI'!$C$15*'THAM_SO_MOI'!$C$16*F356^2</f>
        <v>17.973064719132466</v>
      </c>
      <c r="N356" s="75">
        <f>'THAM_SO_MOI'!$C$12*I356</f>
        <v>1130.112</v>
      </c>
      <c r="O356" s="75">
        <f>M356+N356</f>
        <v>1148.0850647191326</v>
      </c>
      <c r="P356" s="75">
        <f>(MIN(L356,'THAM_SO_MOI'!$C$41)-O356)/('THAM_SO_MOI'!$C$11*H356)</f>
        <v>0.9240745652378618</v>
      </c>
      <c r="Q356" s="75">
        <f>IF(P356&gt;0,1/P356,NA())</f>
        <v>1.0821637534657116</v>
      </c>
      <c r="R356" s="75">
        <f>F356-F355</f>
        <v>0.0035133136094671613</v>
      </c>
      <c r="S356" s="75">
        <f>0.5*(Q355+Q356)*R356</f>
        <v>0.0038025881164721943</v>
      </c>
      <c r="T356" s="75">
        <f>0.5*(F355*Q355+F356*Q356)*R356</f>
        <v>0.009419318767040729</v>
      </c>
      <c r="U356" s="76">
        <f>U355+S356</f>
        <v>1.4537402473262506</v>
      </c>
      <c r="V356" s="76">
        <f>V355+T356</f>
        <v>2.6788337839509744</v>
      </c>
    </row>
    <row r="357" spans="1:22" ht="19" customHeight="1">
      <c r="A357" s="68" t="s">
        <v>368</v>
      </c>
      <c r="B357" s="74">
        <v>1</v>
      </c>
      <c r="C357" s="68" t="s">
        <v>363</v>
      </c>
      <c r="D357" s="68" t="s">
        <v>364</v>
      </c>
      <c r="E357" s="75">
        <f>60*F357*'THAM_SO_MOI'!$C$49/(2*PI()*'THAM_SO_MOI'!$C$26)</f>
        <v>1589.7499999999998</v>
      </c>
      <c r="F357" s="75">
        <f>'THAM_SO_MOI'!$E$49+('THAM_SO_MOI'!$F$49-'THAM_SO_MOI'!$E$49)*351/'THAM_SO_MOI'!$C$42</f>
        <v>2.4823512491781723</v>
      </c>
      <c r="G357" s="75">
        <f>3.6*F357</f>
        <v>8.93646449704142</v>
      </c>
      <c r="H357" s="75">
        <f>'THAM_SO_MOI'!$D$49</f>
        <v>3.1625000000000005</v>
      </c>
      <c r="I357" s="75">
        <f>IF(F357&gt;'THAM_SO_MOI'!$C$14,'THAM_SO_MOI'!$C$13*(1+F357^2/1500),'THAM_SO_MOI'!$C$13)</f>
        <v>0.015</v>
      </c>
      <c r="J357" s="75">
        <f>'THAM_SO_MOI'!$C$40*('THAM_SO_MOI'!$C$23*(E357/'THAM_SO_MOI'!$C$22)+'THAM_SO_MOI'!$C$24*(E357/'THAM_SO_MOI'!$C$22)^2-'THAM_SO_MOI'!$C$25*(E357/'THAM_SO_MOI'!$C$22)^3)</f>
        <v>68.90641694367747</v>
      </c>
      <c r="K357" s="75">
        <f>'THAM_SO_MOI'!$C$31*J357/E357</f>
        <v>413.98456800649393</v>
      </c>
      <c r="L357" s="75">
        <f>K357*'THAM_SO_MOI'!$C$49*'THAM_SO_MOI'!$C$17/'THAM_SO_MOI'!$C$26</f>
        <v>23599.200828616074</v>
      </c>
      <c r="M357" s="75">
        <f>'THAM_SO_MOI'!$C$15*'THAM_SO_MOI'!$C$16*F357^2</f>
        <v>18.024048093567067</v>
      </c>
      <c r="N357" s="75">
        <f>'THAM_SO_MOI'!$C$12*I357</f>
        <v>1130.112</v>
      </c>
      <c r="O357" s="75">
        <f>M357+N357</f>
        <v>1148.136048093567</v>
      </c>
      <c r="P357" s="75">
        <f>(MIN(L357,'THAM_SO_MOI'!$C$41)-O357)/('THAM_SO_MOI'!$C$11*H357)</f>
        <v>0.9243686092112361</v>
      </c>
      <c r="Q357" s="75">
        <f>IF(P357&gt;0,1/P357,NA())</f>
        <v>1.0818195144611198</v>
      </c>
      <c r="R357" s="75">
        <f>F357-F356</f>
        <v>0.0035133136094676054</v>
      </c>
      <c r="S357" s="75">
        <f>0.5*(Q356+Q357)*R357</f>
        <v>0.0038013759329337603</v>
      </c>
      <c r="T357" s="75">
        <f>0.5*(F356*Q356+F357*Q357)*R357</f>
        <v>0.009429671520546452</v>
      </c>
      <c r="U357" s="76">
        <f>U356+S357</f>
        <v>1.4575416232591845</v>
      </c>
      <c r="V357" s="76">
        <f>V356+T357</f>
        <v>2.688263455471521</v>
      </c>
    </row>
    <row r="358" spans="1:22" ht="19" customHeight="1">
      <c r="A358" s="68" t="s">
        <v>368</v>
      </c>
      <c r="B358" s="74">
        <v>1</v>
      </c>
      <c r="C358" s="68" t="s">
        <v>363</v>
      </c>
      <c r="D358" s="68" t="s">
        <v>364</v>
      </c>
      <c r="E358" s="75">
        <f>60*F358*'THAM_SO_MOI'!$C$49/(2*PI()*'THAM_SO_MOI'!$C$26)</f>
        <v>1592.0</v>
      </c>
      <c r="F358" s="75">
        <f>'THAM_SO_MOI'!$E$49+('THAM_SO_MOI'!$F$49-'THAM_SO_MOI'!$E$49)*352/'THAM_SO_MOI'!$C$42</f>
        <v>2.48586456278764</v>
      </c>
      <c r="G358" s="75">
        <f>3.6*F358</f>
        <v>8.949112426035503</v>
      </c>
      <c r="H358" s="75">
        <f>'THAM_SO_MOI'!$D$49</f>
        <v>3.1625000000000005</v>
      </c>
      <c r="I358" s="75">
        <f>IF(F358&gt;'THAM_SO_MOI'!$C$14,'THAM_SO_MOI'!$C$13*(1+F358^2/1500),'THAM_SO_MOI'!$C$13)</f>
        <v>0.015</v>
      </c>
      <c r="J358" s="75">
        <f>'THAM_SO_MOI'!$C$40*('THAM_SO_MOI'!$C$23*(E358/'THAM_SO_MOI'!$C$22)+'THAM_SO_MOI'!$C$24*(E358/'THAM_SO_MOI'!$C$22)^2-'THAM_SO_MOI'!$C$25*(E358/'THAM_SO_MOI'!$C$22)^3)</f>
        <v>69.02489098029343</v>
      </c>
      <c r="K358" s="75">
        <f>'THAM_SO_MOI'!$C$31*J358/E358</f>
        <v>414.11025387379493</v>
      </c>
      <c r="L358" s="75">
        <f>K358*'THAM_SO_MOI'!$C$49*'THAM_SO_MOI'!$C$17/'THAM_SO_MOI'!$C$26</f>
        <v>23606.3655546783</v>
      </c>
      <c r="M358" s="75">
        <f>'THAM_SO_MOI'!$C$15*'THAM_SO_MOI'!$C$16*F358^2</f>
        <v>18.0751036767309</v>
      </c>
      <c r="N358" s="75">
        <f>'THAM_SO_MOI'!$C$12*I358</f>
        <v>1130.112</v>
      </c>
      <c r="O358" s="75">
        <f>M358+N358</f>
        <v>1148.1871036767309</v>
      </c>
      <c r="P358" s="75">
        <f>(MIN(L358,'THAM_SO_MOI'!$C$41)-O358)/('THAM_SO_MOI'!$C$11*H358)</f>
        <v>0.9246614974885361</v>
      </c>
      <c r="Q358" s="75">
        <f>IF(P358&gt;0,1/P358,NA())</f>
        <v>1.0814768460848538</v>
      </c>
      <c r="R358" s="75">
        <f>F358-F357</f>
        <v>0.0035133136094676054</v>
      </c>
      <c r="S358" s="75">
        <f>0.5*(Q357+Q358)*R358</f>
        <v>0.003800169272408954</v>
      </c>
      <c r="T358" s="75">
        <f>0.5*(F357*Q357+F358*Q358)*R358</f>
        <v>0.009440029476243537</v>
      </c>
      <c r="U358" s="76">
        <f>U357+S358</f>
        <v>1.4613417925315935</v>
      </c>
      <c r="V358" s="76">
        <f>V357+T358</f>
        <v>2.6977034849477644</v>
      </c>
    </row>
    <row r="359" spans="1:22" ht="19" customHeight="1">
      <c r="A359" s="68" t="s">
        <v>368</v>
      </c>
      <c r="B359" s="74">
        <v>1</v>
      </c>
      <c r="C359" s="68" t="s">
        <v>363</v>
      </c>
      <c r="D359" s="68" t="s">
        <v>364</v>
      </c>
      <c r="E359" s="75">
        <f>60*F359*'THAM_SO_MOI'!$C$49/(2*PI()*'THAM_SO_MOI'!$C$26)</f>
        <v>1594.2499999999998</v>
      </c>
      <c r="F359" s="75">
        <f>'THAM_SO_MOI'!$E$49+('THAM_SO_MOI'!$F$49-'THAM_SO_MOI'!$E$49)*353/'THAM_SO_MOI'!$C$42</f>
        <v>2.489377876397107</v>
      </c>
      <c r="G359" s="75">
        <f>3.6*F359</f>
        <v>8.961760355029586</v>
      </c>
      <c r="H359" s="75">
        <f>'THAM_SO_MOI'!$D$49</f>
        <v>3.1625000000000005</v>
      </c>
      <c r="I359" s="75">
        <f>IF(F359&gt;'THAM_SO_MOI'!$C$14,'THAM_SO_MOI'!$C$13*(1+F359^2/1500),'THAM_SO_MOI'!$C$13)</f>
        <v>0.015</v>
      </c>
      <c r="J359" s="75">
        <f>'THAM_SO_MOI'!$C$40*('THAM_SO_MOI'!$C$23*(E359/'THAM_SO_MOI'!$C$22)+'THAM_SO_MOI'!$C$24*(E359/'THAM_SO_MOI'!$C$22)^2-'THAM_SO_MOI'!$C$25*(E359/'THAM_SO_MOI'!$C$22)^3)</f>
        <v>69.1433422540355</v>
      </c>
      <c r="K359" s="75">
        <f>'THAM_SO_MOI'!$C$31*J359/E359</f>
        <v>414.235448603037</v>
      </c>
      <c r="L359" s="75">
        <f>K359*'THAM_SO_MOI'!$C$49*'THAM_SO_MOI'!$C$17/'THAM_SO_MOI'!$C$26</f>
        <v>23613.502283402988</v>
      </c>
      <c r="M359" s="75">
        <f>'THAM_SO_MOI'!$C$15*'THAM_SO_MOI'!$C$16*F359^2</f>
        <v>18.12623146862396</v>
      </c>
      <c r="N359" s="75">
        <f>'THAM_SO_MOI'!$C$12*I359</f>
        <v>1130.112</v>
      </c>
      <c r="O359" s="75">
        <f>M359+N359</f>
        <v>1148.238231468624</v>
      </c>
      <c r="P359" s="75">
        <f>(MIN(L359,'THAM_SO_MOI'!$C$41)-O359)/('THAM_SO_MOI'!$C$11*H359)</f>
        <v>0.9249532300697612</v>
      </c>
      <c r="Q359" s="75">
        <f>IF(P359&gt;0,1/P359,NA())</f>
        <v>1.081135745560431</v>
      </c>
      <c r="R359" s="75">
        <f>F359-F358</f>
        <v>0.0035133136094671613</v>
      </c>
      <c r="S359" s="75">
        <f>0.5*(Q358+Q359)*R359</f>
        <v>0.003798968125116214</v>
      </c>
      <c r="T359" s="75">
        <f>0.5*(F358*Q358+F359*Q359)*R359</f>
        <v>0.009450392668011438</v>
      </c>
      <c r="U359" s="76">
        <f>U358+S359</f>
        <v>1.4651407606567097</v>
      </c>
      <c r="V359" s="76">
        <f>V358+T359</f>
        <v>2.707153877615776</v>
      </c>
    </row>
    <row r="360" spans="1:22" ht="19" customHeight="1">
      <c r="A360" s="68" t="s">
        <v>368</v>
      </c>
      <c r="B360" s="74">
        <v>1</v>
      </c>
      <c r="C360" s="68" t="s">
        <v>363</v>
      </c>
      <c r="D360" s="68" t="s">
        <v>364</v>
      </c>
      <c r="E360" s="75">
        <f>60*F360*'THAM_SO_MOI'!$C$49/(2*PI()*'THAM_SO_MOI'!$C$26)</f>
        <v>1596.4999999999998</v>
      </c>
      <c r="F360" s="75">
        <f>'THAM_SO_MOI'!$E$49+('THAM_SO_MOI'!$F$49-'THAM_SO_MOI'!$E$49)*354/'THAM_SO_MOI'!$C$42</f>
        <v>2.4928911900065747</v>
      </c>
      <c r="G360" s="75">
        <f>3.6*F360</f>
        <v>8.974408284023669</v>
      </c>
      <c r="H360" s="75">
        <f>'THAM_SO_MOI'!$D$49</f>
        <v>3.1625000000000005</v>
      </c>
      <c r="I360" s="75">
        <f>IF(F360&gt;'THAM_SO_MOI'!$C$14,'THAM_SO_MOI'!$C$13*(1+F360^2/1500),'THAM_SO_MOI'!$C$13)</f>
        <v>0.015</v>
      </c>
      <c r="J360" s="75">
        <f>'THAM_SO_MOI'!$C$40*('THAM_SO_MOI'!$C$23*(E360/'THAM_SO_MOI'!$C$22)+'THAM_SO_MOI'!$C$24*(E360/'THAM_SO_MOI'!$C$22)^2-'THAM_SO_MOI'!$C$25*(E360/'THAM_SO_MOI'!$C$22)^3)</f>
        <v>69.2617704178042</v>
      </c>
      <c r="K360" s="75">
        <f>'THAM_SO_MOI'!$C$31*J360/E360</f>
        <v>414.36015219422035</v>
      </c>
      <c r="L360" s="75">
        <f>K360*'THAM_SO_MOI'!$C$49*'THAM_SO_MOI'!$C$17/'THAM_SO_MOI'!$C$26</f>
        <v>23620.611014790138</v>
      </c>
      <c r="M360" s="75">
        <f>'THAM_SO_MOI'!$C$15*'THAM_SO_MOI'!$C$16*F360^2</f>
        <v>18.177431469246258</v>
      </c>
      <c r="N360" s="75">
        <f>'THAM_SO_MOI'!$C$12*I360</f>
        <v>1130.112</v>
      </c>
      <c r="O360" s="75">
        <f>M360+N360</f>
        <v>1148.2894314692464</v>
      </c>
      <c r="P360" s="75">
        <f>(MIN(L360,'THAM_SO_MOI'!$C$41)-O360)/('THAM_SO_MOI'!$C$11*H360)</f>
        <v>0.9252438069549115</v>
      </c>
      <c r="Q360" s="75">
        <f>IF(P360&gt;0,1/P360,NA())</f>
        <v>1.0807962101266262</v>
      </c>
      <c r="R360" s="75">
        <f>F360-F359</f>
        <v>0.0035133136094676054</v>
      </c>
      <c r="S360" s="75">
        <f>0.5*(Q359+Q360)*R360</f>
        <v>0.0037977724813291268</v>
      </c>
      <c r="T360" s="75">
        <f>0.5*(F359*Q359+F360*Q360)*R360</f>
        <v>0.009460761129729546</v>
      </c>
      <c r="U360" s="76">
        <f>U359+S360</f>
        <v>1.468938533138039</v>
      </c>
      <c r="V360" s="76">
        <f>V359+T360</f>
        <v>2.7166146387455057</v>
      </c>
    </row>
    <row r="361" spans="1:22" ht="19" customHeight="1">
      <c r="A361" s="68" t="s">
        <v>368</v>
      </c>
      <c r="B361" s="74">
        <v>1</v>
      </c>
      <c r="C361" s="68" t="s">
        <v>363</v>
      </c>
      <c r="D361" s="68" t="s">
        <v>364</v>
      </c>
      <c r="E361" s="75">
        <f>60*F361*'THAM_SO_MOI'!$C$49/(2*PI()*'THAM_SO_MOI'!$C$26)</f>
        <v>1598.75</v>
      </c>
      <c r="F361" s="75">
        <f>'THAM_SO_MOI'!$E$49+('THAM_SO_MOI'!$F$49-'THAM_SO_MOI'!$E$49)*355/'THAM_SO_MOI'!$C$42</f>
        <v>2.4964045036160423</v>
      </c>
      <c r="G361" s="75">
        <f>3.6*F361</f>
        <v>8.987056213017752</v>
      </c>
      <c r="H361" s="75">
        <f>'THAM_SO_MOI'!$D$49</f>
        <v>3.1625000000000005</v>
      </c>
      <c r="I361" s="75">
        <f>IF(F361&gt;'THAM_SO_MOI'!$C$14,'THAM_SO_MOI'!$C$13*(1+F361^2/1500),'THAM_SO_MOI'!$C$13)</f>
        <v>0.015</v>
      </c>
      <c r="J361" s="75">
        <f>'THAM_SO_MOI'!$C$40*('THAM_SO_MOI'!$C$23*(E361/'THAM_SO_MOI'!$C$22)+'THAM_SO_MOI'!$C$24*(E361/'THAM_SO_MOI'!$C$22)^2-'THAM_SO_MOI'!$C$25*(E361/'THAM_SO_MOI'!$C$22)^3)</f>
        <v>69.3801751245</v>
      </c>
      <c r="K361" s="75">
        <f>'THAM_SO_MOI'!$C$31*J361/E361</f>
        <v>414.48436464734493</v>
      </c>
      <c r="L361" s="75">
        <f>K361*'THAM_SO_MOI'!$C$49*'THAM_SO_MOI'!$C$17/'THAM_SO_MOI'!$C$26</f>
        <v>23627.691748839763</v>
      </c>
      <c r="M361" s="75">
        <f>'THAM_SO_MOI'!$C$15*'THAM_SO_MOI'!$C$16*F361^2</f>
        <v>18.228703678597793</v>
      </c>
      <c r="N361" s="75">
        <f>'THAM_SO_MOI'!$C$12*I361</f>
        <v>1130.112</v>
      </c>
      <c r="O361" s="75">
        <f>M361+N361</f>
        <v>1148.340703678598</v>
      </c>
      <c r="P361" s="75">
        <f>(MIN(L361,'THAM_SO_MOI'!$C$41)-O361)/('THAM_SO_MOI'!$C$11*H361)</f>
        <v>0.9255332281439872</v>
      </c>
      <c r="Q361" s="75">
        <f>IF(P361&gt;0,1/P361,NA())</f>
        <v>1.080458237037415</v>
      </c>
      <c r="R361" s="75">
        <f>F361-F360</f>
        <v>0.0035133136094676054</v>
      </c>
      <c r="S361" s="75">
        <f>0.5*(Q360+Q361)*R361</f>
        <v>0.003796582331371906</v>
      </c>
      <c r="T361" s="75">
        <f>0.5*(F360*Q360+F361*Q361)*R361</f>
        <v>0.009471134895266846</v>
      </c>
      <c r="U361" s="76">
        <f>U360+S361</f>
        <v>1.4727351154694108</v>
      </c>
      <c r="V361" s="76">
        <f>V360+T361</f>
        <v>2.7260857736407726</v>
      </c>
    </row>
    <row r="362" spans="1:22" ht="19" customHeight="1">
      <c r="A362" s="68" t="s">
        <v>368</v>
      </c>
      <c r="B362" s="74">
        <v>1</v>
      </c>
      <c r="C362" s="68" t="s">
        <v>363</v>
      </c>
      <c r="D362" s="68" t="s">
        <v>364</v>
      </c>
      <c r="E362" s="75">
        <f>60*F362*'THAM_SO_MOI'!$C$49/(2*PI()*'THAM_SO_MOI'!$C$26)</f>
        <v>1600.9999999999998</v>
      </c>
      <c r="F362" s="75">
        <f>'THAM_SO_MOI'!$E$49+('THAM_SO_MOI'!$F$49-'THAM_SO_MOI'!$E$49)*356/'THAM_SO_MOI'!$C$42</f>
        <v>2.4999178172255094</v>
      </c>
      <c r="G362" s="75">
        <f>3.6*F362</f>
        <v>8.999704142011835</v>
      </c>
      <c r="H362" s="75">
        <f>'THAM_SO_MOI'!$D$49</f>
        <v>3.1625000000000005</v>
      </c>
      <c r="I362" s="75">
        <f>IF(F362&gt;'THAM_SO_MOI'!$C$14,'THAM_SO_MOI'!$C$13*(1+F362^2/1500),'THAM_SO_MOI'!$C$13)</f>
        <v>0.015</v>
      </c>
      <c r="J362" s="75">
        <f>'THAM_SO_MOI'!$C$40*('THAM_SO_MOI'!$C$23*(E362/'THAM_SO_MOI'!$C$22)+'THAM_SO_MOI'!$C$24*(E362/'THAM_SO_MOI'!$C$22)^2-'THAM_SO_MOI'!$C$25*(E362/'THAM_SO_MOI'!$C$22)^3)</f>
        <v>69.4985560270233</v>
      </c>
      <c r="K362" s="75">
        <f>'THAM_SO_MOI'!$C$31*J362/E362</f>
        <v>414.60808596241077</v>
      </c>
      <c r="L362" s="75">
        <f>K362*'THAM_SO_MOI'!$C$49*'THAM_SO_MOI'!$C$17/'THAM_SO_MOI'!$C$26</f>
        <v>23634.74448555185</v>
      </c>
      <c r="M362" s="75">
        <f>'THAM_SO_MOI'!$C$15*'THAM_SO_MOI'!$C$16*F362^2</f>
        <v>18.280048096678552</v>
      </c>
      <c r="N362" s="75">
        <f>'THAM_SO_MOI'!$C$12*I362</f>
        <v>1130.112</v>
      </c>
      <c r="O362" s="75">
        <f>M362+N362</f>
        <v>1148.3920480966785</v>
      </c>
      <c r="P362" s="75">
        <f>(MIN(L362,'THAM_SO_MOI'!$C$41)-O362)/('THAM_SO_MOI'!$C$11*H362)</f>
        <v>0.9258214936369881</v>
      </c>
      <c r="Q362" s="75">
        <f>IF(P362&gt;0,1/P362,NA())</f>
        <v>1.0801218235619157</v>
      </c>
      <c r="R362" s="75">
        <f>F362-F361</f>
        <v>0.0035133136094671613</v>
      </c>
      <c r="S362" s="75">
        <f>0.5*(Q361+Q362)*R362</f>
        <v>0.003795397665623506</v>
      </c>
      <c r="T362" s="75">
        <f>0.5*(F361*Q361+F362*Q362)*R362</f>
        <v>0.009481513998493112</v>
      </c>
      <c r="U362" s="76">
        <f>U361+S362</f>
        <v>1.4765305131350344</v>
      </c>
      <c r="V362" s="76">
        <f>V361+T362</f>
        <v>2.735567287639266</v>
      </c>
    </row>
    <row r="363" spans="1:22" ht="19" customHeight="1">
      <c r="A363" s="68" t="s">
        <v>368</v>
      </c>
      <c r="B363" s="74">
        <v>1</v>
      </c>
      <c r="C363" s="68" t="s">
        <v>363</v>
      </c>
      <c r="D363" s="68" t="s">
        <v>364</v>
      </c>
      <c r="E363" s="75">
        <f>60*F363*'THAM_SO_MOI'!$C$49/(2*PI()*'THAM_SO_MOI'!$C$26)</f>
        <v>1603.2499999999998</v>
      </c>
      <c r="F363" s="75">
        <f>'THAM_SO_MOI'!$E$49+('THAM_SO_MOI'!$F$49-'THAM_SO_MOI'!$E$49)*357/'THAM_SO_MOI'!$C$42</f>
        <v>2.503431130834977</v>
      </c>
      <c r="G363" s="75">
        <f>3.6*F363</f>
        <v>9.012352071005918</v>
      </c>
      <c r="H363" s="75">
        <f>'THAM_SO_MOI'!$D$49</f>
        <v>3.1625000000000005</v>
      </c>
      <c r="I363" s="75">
        <f>IF(F363&gt;'THAM_SO_MOI'!$C$14,'THAM_SO_MOI'!$C$13*(1+F363^2/1500),'THAM_SO_MOI'!$C$13)</f>
        <v>0.015</v>
      </c>
      <c r="J363" s="75">
        <f>'THAM_SO_MOI'!$C$40*('THAM_SO_MOI'!$C$23*(E363/'THAM_SO_MOI'!$C$22)+'THAM_SO_MOI'!$C$24*(E363/'THAM_SO_MOI'!$C$22)^2-'THAM_SO_MOI'!$C$25*(E363/'THAM_SO_MOI'!$C$22)^3)</f>
        <v>69.61691277827458</v>
      </c>
      <c r="K363" s="75">
        <f>'THAM_SO_MOI'!$C$31*J363/E363</f>
        <v>414.73131613941774</v>
      </c>
      <c r="L363" s="75">
        <f>K363*'THAM_SO_MOI'!$C$49*'THAM_SO_MOI'!$C$17/'THAM_SO_MOI'!$C$26</f>
        <v>23641.76922492641</v>
      </c>
      <c r="M363" s="75">
        <f>'THAM_SO_MOI'!$C$15*'THAM_SO_MOI'!$C$16*F363^2</f>
        <v>18.33146472348855</v>
      </c>
      <c r="N363" s="75">
        <f>'THAM_SO_MOI'!$C$12*I363</f>
        <v>1130.112</v>
      </c>
      <c r="O363" s="75">
        <f>M363+N363</f>
        <v>1148.4434647234887</v>
      </c>
      <c r="P363" s="75">
        <f>(MIN(L363,'THAM_SO_MOI'!$C$41)-O363)/('THAM_SO_MOI'!$C$11*H363)</f>
        <v>0.9261086034339147</v>
      </c>
      <c r="Q363" s="75">
        <f>IF(P363&gt;0,1/P363,NA())</f>
        <v>1.0797869669843296</v>
      </c>
      <c r="R363" s="75">
        <f>F363-F362</f>
        <v>0.0035133136094676054</v>
      </c>
      <c r="S363" s="75">
        <f>0.5*(Q362+Q363)*R363</f>
        <v>0.003794218474517419</v>
      </c>
      <c r="T363" s="75">
        <f>0.5*(F362*Q362+F363*Q363)*R363</f>
        <v>0.009491898473279328</v>
      </c>
      <c r="U363" s="76">
        <f>U362+S363</f>
        <v>1.4803247316095518</v>
      </c>
      <c r="V363" s="76">
        <f>V362+T363</f>
        <v>2.7450591861125453</v>
      </c>
    </row>
    <row r="364" spans="1:22" ht="19" customHeight="1">
      <c r="A364" s="68" t="s">
        <v>368</v>
      </c>
      <c r="B364" s="74">
        <v>1</v>
      </c>
      <c r="C364" s="68" t="s">
        <v>363</v>
      </c>
      <c r="D364" s="68" t="s">
        <v>364</v>
      </c>
      <c r="E364" s="75">
        <f>60*F364*'THAM_SO_MOI'!$C$49/(2*PI()*'THAM_SO_MOI'!$C$26)</f>
        <v>1605.5</v>
      </c>
      <c r="F364" s="75">
        <f>'THAM_SO_MOI'!$E$49+('THAM_SO_MOI'!$F$49-'THAM_SO_MOI'!$E$49)*358/'THAM_SO_MOI'!$C$42</f>
        <v>2.5069444444444446</v>
      </c>
      <c r="G364" s="75">
        <f>3.6*F364</f>
        <v>9.025</v>
      </c>
      <c r="H364" s="75">
        <f>'THAM_SO_MOI'!$D$49</f>
        <v>3.1625000000000005</v>
      </c>
      <c r="I364" s="75">
        <f>IF(F364&gt;'THAM_SO_MOI'!$C$14,'THAM_SO_MOI'!$C$13*(1+F364^2/1500),'THAM_SO_MOI'!$C$13)</f>
        <v>0.015</v>
      </c>
      <c r="J364" s="75">
        <f>'THAM_SO_MOI'!$C$40*('THAM_SO_MOI'!$C$23*(E364/'THAM_SO_MOI'!$C$22)+'THAM_SO_MOI'!$C$24*(E364/'THAM_SO_MOI'!$C$22)^2-'THAM_SO_MOI'!$C$25*(E364/'THAM_SO_MOI'!$C$22)^3)</f>
        <v>69.73524503115434</v>
      </c>
      <c r="K364" s="75">
        <f>'THAM_SO_MOI'!$C$31*J364/E364</f>
        <v>414.8540551783661</v>
      </c>
      <c r="L364" s="75">
        <f>K364*'THAM_SO_MOI'!$C$49*'THAM_SO_MOI'!$C$17/'THAM_SO_MOI'!$C$26</f>
        <v>23648.765966963438</v>
      </c>
      <c r="M364" s="75">
        <f>'THAM_SO_MOI'!$C$15*'THAM_SO_MOI'!$C$16*F364^2</f>
        <v>18.382953559027783</v>
      </c>
      <c r="N364" s="75">
        <f>'THAM_SO_MOI'!$C$12*I364</f>
        <v>1130.112</v>
      </c>
      <c r="O364" s="75">
        <f>M364+N364</f>
        <v>1148.4949535590279</v>
      </c>
      <c r="P364" s="75">
        <f>(MIN(L364,'THAM_SO_MOI'!$C$41)-O364)/('THAM_SO_MOI'!$C$11*H364)</f>
        <v>0.9263945575347664</v>
      </c>
      <c r="Q364" s="75">
        <f>IF(P364&gt;0,1/P364,NA())</f>
        <v>1.079453664603887</v>
      </c>
      <c r="R364" s="75">
        <f>F364-F363</f>
        <v>0.0035133136094676054</v>
      </c>
      <c r="S364" s="75">
        <f>0.5*(Q363+Q364)*R364</f>
        <v>0.003793044748537155</v>
      </c>
      <c r="T364" s="75">
        <f>0.5*(F363*Q363+F364*Q364)*R364</f>
        <v>0.009502288353487357</v>
      </c>
      <c r="U364" s="76">
        <f>U363+S364</f>
        <v>1.484117776358089</v>
      </c>
      <c r="V364" s="76">
        <f>V363+T364</f>
        <v>2.7545614744660325</v>
      </c>
    </row>
    <row r="365" spans="1:22" ht="19" customHeight="1">
      <c r="A365" s="68" t="s">
        <v>368</v>
      </c>
      <c r="B365" s="74">
        <v>1</v>
      </c>
      <c r="C365" s="68" t="s">
        <v>363</v>
      </c>
      <c r="D365" s="68" t="s">
        <v>364</v>
      </c>
      <c r="E365" s="75">
        <f>60*F365*'THAM_SO_MOI'!$C$49/(2*PI()*'THAM_SO_MOI'!$C$26)</f>
        <v>1607.75</v>
      </c>
      <c r="F365" s="75">
        <f>'THAM_SO_MOI'!$E$49+('THAM_SO_MOI'!$F$49-'THAM_SO_MOI'!$E$49)*359/'THAM_SO_MOI'!$C$42</f>
        <v>2.510457758053912</v>
      </c>
      <c r="G365" s="75">
        <f>3.6*F365</f>
        <v>9.037647928994083</v>
      </c>
      <c r="H365" s="75">
        <f>'THAM_SO_MOI'!$D$49</f>
        <v>3.1625000000000005</v>
      </c>
      <c r="I365" s="75">
        <f>IF(F365&gt;'THAM_SO_MOI'!$C$14,'THAM_SO_MOI'!$C$13*(1+F365^2/1500),'THAM_SO_MOI'!$C$13)</f>
        <v>0.015</v>
      </c>
      <c r="J365" s="75">
        <f>'THAM_SO_MOI'!$C$40*('THAM_SO_MOI'!$C$23*(E365/'THAM_SO_MOI'!$C$22)+'THAM_SO_MOI'!$C$24*(E365/'THAM_SO_MOI'!$C$22)^2-'THAM_SO_MOI'!$C$25*(E365/'THAM_SO_MOI'!$C$22)^3)</f>
        <v>69.85355243856296</v>
      </c>
      <c r="K365" s="75">
        <f>'THAM_SO_MOI'!$C$31*J365/E365</f>
        <v>414.9763030792555</v>
      </c>
      <c r="L365" s="75">
        <f>K365*'THAM_SO_MOI'!$C$49*'THAM_SO_MOI'!$C$17/'THAM_SO_MOI'!$C$26</f>
        <v>23655.734711662928</v>
      </c>
      <c r="M365" s="75">
        <f>'THAM_SO_MOI'!$C$15*'THAM_SO_MOI'!$C$16*F365^2</f>
        <v>18.434514603296243</v>
      </c>
      <c r="N365" s="75">
        <f>'THAM_SO_MOI'!$C$12*I365</f>
        <v>1130.112</v>
      </c>
      <c r="O365" s="75">
        <f>M365+N365</f>
        <v>1148.5465146032964</v>
      </c>
      <c r="P365" s="75">
        <f>(MIN(L365,'THAM_SO_MOI'!$C$41)-O365)/('THAM_SO_MOI'!$C$11*H365)</f>
        <v>0.9266793559395432</v>
      </c>
      <c r="Q365" s="75">
        <f>IF(P365&gt;0,1/P365,NA())</f>
        <v>1.0791219137347874</v>
      </c>
      <c r="R365" s="75">
        <f>F365-F364</f>
        <v>0.0035133136094671613</v>
      </c>
      <c r="S365" s="75">
        <f>0.5*(Q364+Q365)*R365</f>
        <v>0.003791876478220357</v>
      </c>
      <c r="T365" s="75">
        <f>0.5*(F364*Q364+F365*Q365)*R365</f>
        <v>0.009512683672981123</v>
      </c>
      <c r="U365" s="76">
        <f>U364+S365</f>
        <v>1.4879096528363094</v>
      </c>
      <c r="V365" s="76">
        <f>V364+T365</f>
        <v>2.764074158139014</v>
      </c>
    </row>
    <row r="366" spans="1:22" ht="19" customHeight="1">
      <c r="A366" s="68" t="s">
        <v>368</v>
      </c>
      <c r="B366" s="74">
        <v>1</v>
      </c>
      <c r="C366" s="68" t="s">
        <v>363</v>
      </c>
      <c r="D366" s="68" t="s">
        <v>364</v>
      </c>
      <c r="E366" s="75">
        <f>60*F366*'THAM_SO_MOI'!$C$49/(2*PI()*'THAM_SO_MOI'!$C$26)</f>
        <v>1610.0</v>
      </c>
      <c r="F366" s="75">
        <f>'THAM_SO_MOI'!$E$49+('THAM_SO_MOI'!$F$49-'THAM_SO_MOI'!$E$49)*360/'THAM_SO_MOI'!$C$42</f>
        <v>2.5139710716633794</v>
      </c>
      <c r="G366" s="75">
        <f>3.6*F366</f>
        <v>9.050295857988166</v>
      </c>
      <c r="H366" s="75">
        <f>'THAM_SO_MOI'!$D$49</f>
        <v>3.1625000000000005</v>
      </c>
      <c r="I366" s="75">
        <f>IF(F366&gt;'THAM_SO_MOI'!$C$14,'THAM_SO_MOI'!$C$13*(1+F366^2/1500),'THAM_SO_MOI'!$C$13)</f>
        <v>0.015</v>
      </c>
      <c r="J366" s="75">
        <f>'THAM_SO_MOI'!$C$40*('THAM_SO_MOI'!$C$23*(E366/'THAM_SO_MOI'!$C$22)+'THAM_SO_MOI'!$C$24*(E366/'THAM_SO_MOI'!$C$22)^2-'THAM_SO_MOI'!$C$25*(E366/'THAM_SO_MOI'!$C$22)^3)</f>
        <v>69.97183465340095</v>
      </c>
      <c r="K366" s="75">
        <f>'THAM_SO_MOI'!$C$31*J366/E366</f>
        <v>415.0980598420863</v>
      </c>
      <c r="L366" s="75">
        <f>K366*'THAM_SO_MOI'!$C$49*'THAM_SO_MOI'!$C$17/'THAM_SO_MOI'!$C$26</f>
        <v>23662.6754590249</v>
      </c>
      <c r="M366" s="75">
        <f>'THAM_SO_MOI'!$C$15*'THAM_SO_MOI'!$C$16*F366^2</f>
        <v>18.486147856293936</v>
      </c>
      <c r="N366" s="75">
        <f>'THAM_SO_MOI'!$C$12*I366</f>
        <v>1130.112</v>
      </c>
      <c r="O366" s="75">
        <f>M366+N366</f>
        <v>1148.598147856294</v>
      </c>
      <c r="P366" s="75">
        <f>(MIN(L366,'THAM_SO_MOI'!$C$41)-O366)/('THAM_SO_MOI'!$C$11*H366)</f>
        <v>0.9269629986482462</v>
      </c>
      <c r="Q366" s="75">
        <f>IF(P366&gt;0,1/P366,NA())</f>
        <v>1.0787917117061423</v>
      </c>
      <c r="R366" s="75">
        <f>F366-F365</f>
        <v>0.0035133136094676054</v>
      </c>
      <c r="S366" s="75">
        <f>0.5*(Q365+Q366)*R366</f>
        <v>0.0037907136541586</v>
      </c>
      <c r="T366" s="75">
        <f>0.5*(F365*Q365+F366*Q366)*R366</f>
        <v>0.009523084465627062</v>
      </c>
      <c r="U366" s="76">
        <f>U365+S366</f>
        <v>1.491700366490468</v>
      </c>
      <c r="V366" s="76">
        <f>V365+T366</f>
        <v>2.773597242604641</v>
      </c>
    </row>
    <row r="367" spans="1:22" ht="19" customHeight="1">
      <c r="A367" s="68" t="s">
        <v>368</v>
      </c>
      <c r="B367" s="74">
        <v>1</v>
      </c>
      <c r="C367" s="68" t="s">
        <v>363</v>
      </c>
      <c r="D367" s="68" t="s">
        <v>364</v>
      </c>
      <c r="E367" s="75">
        <f>60*F367*'THAM_SO_MOI'!$C$49/(2*PI()*'THAM_SO_MOI'!$C$26)</f>
        <v>1612.25</v>
      </c>
      <c r="F367" s="75">
        <f>'THAM_SO_MOI'!$E$49+('THAM_SO_MOI'!$F$49-'THAM_SO_MOI'!$E$49)*361/'THAM_SO_MOI'!$C$42</f>
        <v>2.517484385272847</v>
      </c>
      <c r="G367" s="75">
        <f>3.6*F367</f>
        <v>9.062943786982249</v>
      </c>
      <c r="H367" s="75">
        <f>'THAM_SO_MOI'!$D$49</f>
        <v>3.1625000000000005</v>
      </c>
      <c r="I367" s="75">
        <f>IF(F367&gt;'THAM_SO_MOI'!$C$14,'THAM_SO_MOI'!$C$13*(1+F367^2/1500),'THAM_SO_MOI'!$C$13)</f>
        <v>0.015</v>
      </c>
      <c r="J367" s="75">
        <f>'THAM_SO_MOI'!$C$40*('THAM_SO_MOI'!$C$23*(E367/'THAM_SO_MOI'!$C$22)+'THAM_SO_MOI'!$C$24*(E367/'THAM_SO_MOI'!$C$22)^2-'THAM_SO_MOI'!$C$25*(E367/'THAM_SO_MOI'!$C$22)^3)</f>
        <v>70.09009132856873</v>
      </c>
      <c r="K367" s="75">
        <f>'THAM_SO_MOI'!$C$31*J367/E367</f>
        <v>415.2193254668582</v>
      </c>
      <c r="L367" s="75">
        <f>K367*'THAM_SO_MOI'!$C$49*'THAM_SO_MOI'!$C$17/'THAM_SO_MOI'!$C$26</f>
        <v>23669.588209049325</v>
      </c>
      <c r="M367" s="75">
        <f>'THAM_SO_MOI'!$C$15*'THAM_SO_MOI'!$C$16*F367^2</f>
        <v>18.53785331802087</v>
      </c>
      <c r="N367" s="75">
        <f>'THAM_SO_MOI'!$C$12*I367</f>
        <v>1130.112</v>
      </c>
      <c r="O367" s="75">
        <f>M367+N367</f>
        <v>1148.6498533180209</v>
      </c>
      <c r="P367" s="75">
        <f>(MIN(L367,'THAM_SO_MOI'!$C$41)-O367)/('THAM_SO_MOI'!$C$11*H367)</f>
        <v>0.9272454856608737</v>
      </c>
      <c r="Q367" s="75">
        <f>IF(P367&gt;0,1/P367,NA())</f>
        <v>1.0784630558619244</v>
      </c>
      <c r="R367" s="75">
        <f>F367-F366</f>
        <v>0.0035133136094676054</v>
      </c>
      <c r="S367" s="75">
        <f>0.5*(Q366+Q367)*R367</f>
        <v>0.0037895562669928826</v>
      </c>
      <c r="T367" s="75">
        <f>0.5*(F366*Q366+F367*Q367)*R367</f>
        <v>0.009533490765283727</v>
      </c>
      <c r="U367" s="76">
        <f>U366+S367</f>
        <v>1.495489922757461</v>
      </c>
      <c r="V367" s="76">
        <f>V366+T367</f>
        <v>2.7831307333699247</v>
      </c>
    </row>
    <row r="368" spans="1:22" ht="19" customHeight="1">
      <c r="A368" s="68" t="s">
        <v>368</v>
      </c>
      <c r="B368" s="74">
        <v>1</v>
      </c>
      <c r="C368" s="68" t="s">
        <v>363</v>
      </c>
      <c r="D368" s="68" t="s">
        <v>364</v>
      </c>
      <c r="E368" s="75">
        <f>60*F368*'THAM_SO_MOI'!$C$49/(2*PI()*'THAM_SO_MOI'!$C$26)</f>
        <v>1614.4999999999998</v>
      </c>
      <c r="F368" s="75">
        <f>'THAM_SO_MOI'!$E$49+('THAM_SO_MOI'!$F$49-'THAM_SO_MOI'!$E$49)*362/'THAM_SO_MOI'!$C$42</f>
        <v>2.520997698882314</v>
      </c>
      <c r="G368" s="75">
        <f>3.6*F368</f>
        <v>9.075591715976332</v>
      </c>
      <c r="H368" s="75">
        <f>'THAM_SO_MOI'!$D$49</f>
        <v>3.1625000000000005</v>
      </c>
      <c r="I368" s="75">
        <f>IF(F368&gt;'THAM_SO_MOI'!$C$14,'THAM_SO_MOI'!$C$13*(1+F368^2/1500),'THAM_SO_MOI'!$C$13)</f>
        <v>0.015</v>
      </c>
      <c r="J368" s="75">
        <f>'THAM_SO_MOI'!$C$40*('THAM_SO_MOI'!$C$23*(E368/'THAM_SO_MOI'!$C$22)+'THAM_SO_MOI'!$C$24*(E368/'THAM_SO_MOI'!$C$22)^2-'THAM_SO_MOI'!$C$25*(E368/'THAM_SO_MOI'!$C$22)^3)</f>
        <v>70.20832211696676</v>
      </c>
      <c r="K368" s="75">
        <f>'THAM_SO_MOI'!$C$31*J368/E368</f>
        <v>415.34009995357127</v>
      </c>
      <c r="L368" s="75">
        <f>K368*'THAM_SO_MOI'!$C$49*'THAM_SO_MOI'!$C$17/'THAM_SO_MOI'!$C$26</f>
        <v>23676.472961736217</v>
      </c>
      <c r="M368" s="75">
        <f>'THAM_SO_MOI'!$C$15*'THAM_SO_MOI'!$C$16*F368^2</f>
        <v>18.589630988477026</v>
      </c>
      <c r="N368" s="75">
        <f>'THAM_SO_MOI'!$C$12*I368</f>
        <v>1130.112</v>
      </c>
      <c r="O368" s="75">
        <f>M368+N368</f>
        <v>1148.701630988477</v>
      </c>
      <c r="P368" s="75">
        <f>(MIN(L368,'THAM_SO_MOI'!$C$41)-O368)/('THAM_SO_MOI'!$C$11*H368)</f>
        <v>0.9275268169774266</v>
      </c>
      <c r="Q368" s="75">
        <f>IF(P368&gt;0,1/P368,NA())</f>
        <v>1.0781359435609044</v>
      </c>
      <c r="R368" s="75">
        <f>F368-F367</f>
        <v>0.0035133136094671613</v>
      </c>
      <c r="S368" s="75">
        <f>0.5*(Q367+Q368)*R368</f>
        <v>0.0037884043074177436</v>
      </c>
      <c r="T368" s="75">
        <f>0.5*(F367*Q367+F368*Q368)*R368</f>
        <v>0.009543902605813025</v>
      </c>
      <c r="U368" s="76">
        <f>U367+S368</f>
        <v>1.4992783270648786</v>
      </c>
      <c r="V368" s="76">
        <f>V367+T368</f>
        <v>2.7926746359757377</v>
      </c>
    </row>
    <row r="369" spans="1:22" ht="19" customHeight="1">
      <c r="A369" s="68" t="s">
        <v>368</v>
      </c>
      <c r="B369" s="74">
        <v>1</v>
      </c>
      <c r="C369" s="68" t="s">
        <v>363</v>
      </c>
      <c r="D369" s="68" t="s">
        <v>364</v>
      </c>
      <c r="E369" s="75">
        <f>60*F369*'THAM_SO_MOI'!$C$49/(2*PI()*'THAM_SO_MOI'!$C$26)</f>
        <v>1616.75</v>
      </c>
      <c r="F369" s="75">
        <f>'THAM_SO_MOI'!$E$49+('THAM_SO_MOI'!$F$49-'THAM_SO_MOI'!$E$49)*363/'THAM_SO_MOI'!$C$42</f>
        <v>2.524511012491782</v>
      </c>
      <c r="G369" s="75">
        <f>3.6*F369</f>
        <v>9.088239644970415</v>
      </c>
      <c r="H369" s="75">
        <f>'THAM_SO_MOI'!$D$49</f>
        <v>3.1625000000000005</v>
      </c>
      <c r="I369" s="75">
        <f>IF(F369&gt;'THAM_SO_MOI'!$C$14,'THAM_SO_MOI'!$C$13*(1+F369^2/1500),'THAM_SO_MOI'!$C$13)</f>
        <v>0.015</v>
      </c>
      <c r="J369" s="75">
        <f>'THAM_SO_MOI'!$C$40*('THAM_SO_MOI'!$C$23*(E369/'THAM_SO_MOI'!$C$22)+'THAM_SO_MOI'!$C$24*(E369/'THAM_SO_MOI'!$C$22)^2-'THAM_SO_MOI'!$C$25*(E369/'THAM_SO_MOI'!$C$22)^3)</f>
        <v>70.32652667149553</v>
      </c>
      <c r="K369" s="75">
        <f>'THAM_SO_MOI'!$C$31*J369/E369</f>
        <v>415.4603833022257</v>
      </c>
      <c r="L369" s="75">
        <f>K369*'THAM_SO_MOI'!$C$49*'THAM_SO_MOI'!$C$17/'THAM_SO_MOI'!$C$26</f>
        <v>23683.329717085584</v>
      </c>
      <c r="M369" s="75">
        <f>'THAM_SO_MOI'!$C$15*'THAM_SO_MOI'!$C$16*F369^2</f>
        <v>18.641480867662427</v>
      </c>
      <c r="N369" s="75">
        <f>'THAM_SO_MOI'!$C$12*I369</f>
        <v>1130.112</v>
      </c>
      <c r="O369" s="75">
        <f>M369+N369</f>
        <v>1148.7534808676626</v>
      </c>
      <c r="P369" s="75">
        <f>(MIN(L369,'THAM_SO_MOI'!$C$41)-O369)/('THAM_SO_MOI'!$C$11*H369)</f>
        <v>0.927806992597905</v>
      </c>
      <c r="Q369" s="75">
        <f>IF(P369&gt;0,1/P369,NA())</f>
        <v>1.0778103721766001</v>
      </c>
      <c r="R369" s="75">
        <f>F369-F368</f>
        <v>0.0035133136094676054</v>
      </c>
      <c r="S369" s="75">
        <f>0.5*(Q368+Q369)*R369</f>
        <v>0.003787257766181059</v>
      </c>
      <c r="T369" s="75">
        <f>0.5*(F368*Q368+F369*Q369)*R369</f>
        <v>0.009554320021080647</v>
      </c>
      <c r="U369" s="76">
        <f>U368+S369</f>
        <v>1.5030655848310597</v>
      </c>
      <c r="V369" s="76">
        <f>V368+T369</f>
        <v>2.8022289559968185</v>
      </c>
    </row>
    <row r="370" spans="1:22" ht="19" customHeight="1">
      <c r="A370" s="68" t="s">
        <v>368</v>
      </c>
      <c r="B370" s="74">
        <v>1</v>
      </c>
      <c r="C370" s="68" t="s">
        <v>363</v>
      </c>
      <c r="D370" s="68" t="s">
        <v>364</v>
      </c>
      <c r="E370" s="75">
        <f>60*F370*'THAM_SO_MOI'!$C$49/(2*PI()*'THAM_SO_MOI'!$C$26)</f>
        <v>1619.0000000000002</v>
      </c>
      <c r="F370" s="75">
        <f>'THAM_SO_MOI'!$E$49+('THAM_SO_MOI'!$F$49-'THAM_SO_MOI'!$E$49)*364/'THAM_SO_MOI'!$C$42</f>
        <v>2.5280243261012494</v>
      </c>
      <c r="G370" s="75">
        <f>3.6*F370</f>
        <v>9.100887573964497</v>
      </c>
      <c r="H370" s="75">
        <f>'THAM_SO_MOI'!$D$49</f>
        <v>3.1625000000000005</v>
      </c>
      <c r="I370" s="75">
        <f>IF(F370&gt;'THAM_SO_MOI'!$C$14,'THAM_SO_MOI'!$C$13*(1+F370^2/1500),'THAM_SO_MOI'!$C$13)</f>
        <v>0.015</v>
      </c>
      <c r="J370" s="75">
        <f>'THAM_SO_MOI'!$C$40*('THAM_SO_MOI'!$C$23*(E370/'THAM_SO_MOI'!$C$22)+'THAM_SO_MOI'!$C$24*(E370/'THAM_SO_MOI'!$C$22)^2-'THAM_SO_MOI'!$C$25*(E370/'THAM_SO_MOI'!$C$22)^3)</f>
        <v>70.44470464505547</v>
      </c>
      <c r="K370" s="75">
        <f>'THAM_SO_MOI'!$C$31*J370/E370</f>
        <v>415.5801755128212</v>
      </c>
      <c r="L370" s="75">
        <f>K370*'THAM_SO_MOI'!$C$49*'THAM_SO_MOI'!$C$17/'THAM_SO_MOI'!$C$26</f>
        <v>23690.158475097414</v>
      </c>
      <c r="M370" s="75">
        <f>'THAM_SO_MOI'!$C$15*'THAM_SO_MOI'!$C$16*F370^2</f>
        <v>18.693402955577053</v>
      </c>
      <c r="N370" s="75">
        <f>'THAM_SO_MOI'!$C$12*I370</f>
        <v>1130.112</v>
      </c>
      <c r="O370" s="75">
        <f>M370+N370</f>
        <v>1148.8054029555772</v>
      </c>
      <c r="P370" s="75">
        <f>(MIN(L370,'THAM_SO_MOI'!$C$41)-O370)/('THAM_SO_MOI'!$C$11*H370)</f>
        <v>0.9280860125223086</v>
      </c>
      <c r="Q370" s="75">
        <f>IF(P370&gt;0,1/P370,NA())</f>
        <v>1.0774863390972211</v>
      </c>
      <c r="R370" s="75">
        <f>F370-F369</f>
        <v>0.0035133136094676054</v>
      </c>
      <c r="S370" s="75">
        <f>0.5*(Q369+Q370)*R370</f>
        <v>0.0037861166340795436</v>
      </c>
      <c r="T370" s="75">
        <f>0.5*(F369*Q369+F370*Q370)*R370</f>
        <v>0.009564743044945648</v>
      </c>
      <c r="U370" s="76">
        <f>U369+S370</f>
        <v>1.5068517014651392</v>
      </c>
      <c r="V370" s="76">
        <f>V369+T370</f>
        <v>2.8117936990417642</v>
      </c>
    </row>
    <row r="371" spans="1:22" ht="19" customHeight="1">
      <c r="A371" s="68" t="s">
        <v>368</v>
      </c>
      <c r="B371" s="74">
        <v>1</v>
      </c>
      <c r="C371" s="68" t="s">
        <v>363</v>
      </c>
      <c r="D371" s="68" t="s">
        <v>364</v>
      </c>
      <c r="E371" s="75">
        <f>60*F371*'THAM_SO_MOI'!$C$49/(2*PI()*'THAM_SO_MOI'!$C$26)</f>
        <v>1621.2499999999995</v>
      </c>
      <c r="F371" s="75">
        <f>'THAM_SO_MOI'!$E$49+('THAM_SO_MOI'!$F$49-'THAM_SO_MOI'!$E$49)*365/'THAM_SO_MOI'!$C$42</f>
        <v>2.5315376397107165</v>
      </c>
      <c r="G371" s="75">
        <f>3.6*F371</f>
        <v>9.11353550295858</v>
      </c>
      <c r="H371" s="75">
        <f>'THAM_SO_MOI'!$D$49</f>
        <v>3.1625000000000005</v>
      </c>
      <c r="I371" s="75">
        <f>IF(F371&gt;'THAM_SO_MOI'!$C$14,'THAM_SO_MOI'!$C$13*(1+F371^2/1500),'THAM_SO_MOI'!$C$13)</f>
        <v>0.015</v>
      </c>
      <c r="J371" s="75">
        <f>'THAM_SO_MOI'!$C$40*('THAM_SO_MOI'!$C$23*(E371/'THAM_SO_MOI'!$C$22)+'THAM_SO_MOI'!$C$24*(E371/'THAM_SO_MOI'!$C$22)^2-'THAM_SO_MOI'!$C$25*(E371/'THAM_SO_MOI'!$C$22)^3)</f>
        <v>70.56285569054701</v>
      </c>
      <c r="K371" s="75">
        <f>'THAM_SO_MOI'!$C$31*J371/E371</f>
        <v>415.69947658535807</v>
      </c>
      <c r="L371" s="75">
        <f>K371*'THAM_SO_MOI'!$C$49*'THAM_SO_MOI'!$C$17/'THAM_SO_MOI'!$C$26</f>
        <v>23696.959235771716</v>
      </c>
      <c r="M371" s="75">
        <f>'THAM_SO_MOI'!$C$15*'THAM_SO_MOI'!$C$16*F371^2</f>
        <v>18.74539725222091</v>
      </c>
      <c r="N371" s="75">
        <f>'THAM_SO_MOI'!$C$12*I371</f>
        <v>1130.112</v>
      </c>
      <c r="O371" s="75">
        <f>M371+N371</f>
        <v>1148.857397252221</v>
      </c>
      <c r="P371" s="75">
        <f>(MIN(L371,'THAM_SO_MOI'!$C$41)-O371)/('THAM_SO_MOI'!$C$11*H371)</f>
        <v>0.9283638767506378</v>
      </c>
      <c r="Q371" s="75">
        <f>IF(P371&gt;0,1/P371,NA())</f>
        <v>1.0771638417256124</v>
      </c>
      <c r="R371" s="75">
        <f>F371-F370</f>
        <v>0.0035133136094671613</v>
      </c>
      <c r="S371" s="75">
        <f>0.5*(Q370+Q371)*R371</f>
        <v>0.00378498090196287</v>
      </c>
      <c r="T371" s="75">
        <f>0.5*(F370*Q370+F371*Q371)*R371</f>
        <v>0.009575171711271707</v>
      </c>
      <c r="U371" s="76">
        <f>U370+S371</f>
        <v>1.510636682367102</v>
      </c>
      <c r="V371" s="76">
        <f>V370+T371</f>
        <v>2.821368870753036</v>
      </c>
    </row>
    <row r="372" spans="1:22" ht="19" customHeight="1">
      <c r="A372" s="68" t="s">
        <v>368</v>
      </c>
      <c r="B372" s="74">
        <v>1</v>
      </c>
      <c r="C372" s="68" t="s">
        <v>363</v>
      </c>
      <c r="D372" s="68" t="s">
        <v>364</v>
      </c>
      <c r="E372" s="75">
        <f>60*F372*'THAM_SO_MOI'!$C$49/(2*PI()*'THAM_SO_MOI'!$C$26)</f>
        <v>1623.4999999999998</v>
      </c>
      <c r="F372" s="75">
        <f>'THAM_SO_MOI'!$E$49+('THAM_SO_MOI'!$F$49-'THAM_SO_MOI'!$E$49)*366/'THAM_SO_MOI'!$C$42</f>
        <v>2.535050953320184</v>
      </c>
      <c r="G372" s="75">
        <f>3.6*F372</f>
        <v>9.126183431952663</v>
      </c>
      <c r="H372" s="75">
        <f>'THAM_SO_MOI'!$D$49</f>
        <v>3.1625000000000005</v>
      </c>
      <c r="I372" s="75">
        <f>IF(F372&gt;'THAM_SO_MOI'!$C$14,'THAM_SO_MOI'!$C$13*(1+F372^2/1500),'THAM_SO_MOI'!$C$13)</f>
        <v>0.015</v>
      </c>
      <c r="J372" s="75">
        <f>'THAM_SO_MOI'!$C$40*('THAM_SO_MOI'!$C$23*(E372/'THAM_SO_MOI'!$C$22)+'THAM_SO_MOI'!$C$24*(E372/'THAM_SO_MOI'!$C$22)^2-'THAM_SO_MOI'!$C$25*(E372/'THAM_SO_MOI'!$C$22)^3)</f>
        <v>70.68097946087066</v>
      </c>
      <c r="K372" s="75">
        <f>'THAM_SO_MOI'!$C$31*J372/E372</f>
        <v>415.81828651983614</v>
      </c>
      <c r="L372" s="75">
        <f>K372*'THAM_SO_MOI'!$C$49*'THAM_SO_MOI'!$C$17/'THAM_SO_MOI'!$C$26</f>
        <v>23703.731999108488</v>
      </c>
      <c r="M372" s="75">
        <f>'THAM_SO_MOI'!$C$15*'THAM_SO_MOI'!$C$16*F372^2</f>
        <v>18.79746375759401</v>
      </c>
      <c r="N372" s="75">
        <f>'THAM_SO_MOI'!$C$12*I372</f>
        <v>1130.112</v>
      </c>
      <c r="O372" s="75">
        <f>M372+N372</f>
        <v>1148.909463757594</v>
      </c>
      <c r="P372" s="75">
        <f>(MIN(L372,'THAM_SO_MOI'!$C$41)-O372)/('THAM_SO_MOI'!$C$11*H372)</f>
        <v>0.9286405852828924</v>
      </c>
      <c r="Q372" s="75">
        <f>IF(P372&gt;0,1/P372,NA())</f>
        <v>1.0768428774792018</v>
      </c>
      <c r="R372" s="75">
        <f>F372-F371</f>
        <v>0.0035133136094676054</v>
      </c>
      <c r="S372" s="75">
        <f>0.5*(Q371+Q372)*R372</f>
        <v>0.00378385056073347</v>
      </c>
      <c r="T372" s="75">
        <f>0.5*(F371*Q371+F372*Q372)*R372</f>
        <v>0.009585606053927574</v>
      </c>
      <c r="U372" s="76">
        <f>U371+S372</f>
        <v>1.5144205329278355</v>
      </c>
      <c r="V372" s="76">
        <f>V371+T372</f>
        <v>2.8309544768069634</v>
      </c>
    </row>
    <row r="373" spans="1:22" ht="19" customHeight="1">
      <c r="A373" s="68" t="s">
        <v>368</v>
      </c>
      <c r="B373" s="74">
        <v>1</v>
      </c>
      <c r="C373" s="68" t="s">
        <v>363</v>
      </c>
      <c r="D373" s="68" t="s">
        <v>364</v>
      </c>
      <c r="E373" s="75">
        <f>60*F373*'THAM_SO_MOI'!$C$49/(2*PI()*'THAM_SO_MOI'!$C$26)</f>
        <v>1625.75</v>
      </c>
      <c r="F373" s="75">
        <f>'THAM_SO_MOI'!$E$49+('THAM_SO_MOI'!$F$49-'THAM_SO_MOI'!$E$49)*367/'THAM_SO_MOI'!$C$42</f>
        <v>2.5385642669296518</v>
      </c>
      <c r="G373" s="75">
        <f>3.6*F373</f>
        <v>9.138831360946746</v>
      </c>
      <c r="H373" s="75">
        <f>'THAM_SO_MOI'!$D$49</f>
        <v>3.1625000000000005</v>
      </c>
      <c r="I373" s="75">
        <f>IF(F373&gt;'THAM_SO_MOI'!$C$14,'THAM_SO_MOI'!$C$13*(1+F373^2/1500),'THAM_SO_MOI'!$C$13)</f>
        <v>0.015</v>
      </c>
      <c r="J373" s="75">
        <f>'THAM_SO_MOI'!$C$40*('THAM_SO_MOI'!$C$23*(E373/'THAM_SO_MOI'!$C$22)+'THAM_SO_MOI'!$C$24*(E373/'THAM_SO_MOI'!$C$22)^2-'THAM_SO_MOI'!$C$25*(E373/'THAM_SO_MOI'!$C$22)^3)</f>
        <v>70.79907560892683</v>
      </c>
      <c r="K373" s="75">
        <f>'THAM_SO_MOI'!$C$31*J373/E373</f>
        <v>415.9366053162552</v>
      </c>
      <c r="L373" s="75">
        <f>K373*'THAM_SO_MOI'!$C$49*'THAM_SO_MOI'!$C$17/'THAM_SO_MOI'!$C$26</f>
        <v>23710.476765107713</v>
      </c>
      <c r="M373" s="75">
        <f>'THAM_SO_MOI'!$C$15*'THAM_SO_MOI'!$C$16*F373^2</f>
        <v>18.849602471696336</v>
      </c>
      <c r="N373" s="75">
        <f>'THAM_SO_MOI'!$C$12*I373</f>
        <v>1130.112</v>
      </c>
      <c r="O373" s="75">
        <f>M373+N373</f>
        <v>1148.9616024716963</v>
      </c>
      <c r="P373" s="75">
        <f>(MIN(L373,'THAM_SO_MOI'!$C$41)-O373)/('THAM_SO_MOI'!$C$11*H373)</f>
        <v>0.9289161381190717</v>
      </c>
      <c r="Q373" s="75">
        <f>IF(P373&gt;0,1/P373,NA())</f>
        <v>1.0765234437899458</v>
      </c>
      <c r="R373" s="75">
        <f>F373-F372</f>
        <v>0.0035133136094676054</v>
      </c>
      <c r="S373" s="75">
        <f>0.5*(Q372+Q373)*R373</f>
        <v>0.0037827256013420437</v>
      </c>
      <c r="T373" s="75">
        <f>0.5*(F372*Q372+F373*Q373)*R373</f>
        <v>0.009596046106776598</v>
      </c>
      <c r="U373" s="76">
        <f>U372+S373</f>
        <v>1.5182032585291776</v>
      </c>
      <c r="V373" s="76">
        <f>V372+T373</f>
        <v>2.84055052291374</v>
      </c>
    </row>
    <row r="374" spans="1:22" ht="19" customHeight="1">
      <c r="A374" s="68" t="s">
        <v>368</v>
      </c>
      <c r="B374" s="74">
        <v>1</v>
      </c>
      <c r="C374" s="68" t="s">
        <v>363</v>
      </c>
      <c r="D374" s="68" t="s">
        <v>364</v>
      </c>
      <c r="E374" s="75">
        <f>60*F374*'THAM_SO_MOI'!$C$49/(2*PI()*'THAM_SO_MOI'!$C$26)</f>
        <v>1627.9999999999995</v>
      </c>
      <c r="F374" s="75">
        <f>'THAM_SO_MOI'!$E$49+('THAM_SO_MOI'!$F$49-'THAM_SO_MOI'!$E$49)*368/'THAM_SO_MOI'!$C$42</f>
        <v>2.542077580539119</v>
      </c>
      <c r="G374" s="75">
        <f>3.6*F374</f>
        <v>9.151479289940829</v>
      </c>
      <c r="H374" s="75">
        <f>'THAM_SO_MOI'!$D$49</f>
        <v>3.1625000000000005</v>
      </c>
      <c r="I374" s="75">
        <f>IF(F374&gt;'THAM_SO_MOI'!$C$14,'THAM_SO_MOI'!$C$13*(1+F374^2/1500),'THAM_SO_MOI'!$C$13)</f>
        <v>0.015</v>
      </c>
      <c r="J374" s="75">
        <f>'THAM_SO_MOI'!$C$40*('THAM_SO_MOI'!$C$23*(E374/'THAM_SO_MOI'!$C$22)+'THAM_SO_MOI'!$C$24*(E374/'THAM_SO_MOI'!$C$22)^2-'THAM_SO_MOI'!$C$25*(E374/'THAM_SO_MOI'!$C$22)^3)</f>
        <v>70.91714378761598</v>
      </c>
      <c r="K374" s="75">
        <f>'THAM_SO_MOI'!$C$31*J374/E374</f>
        <v>416.0544329746158</v>
      </c>
      <c r="L374" s="75">
        <f>K374*'THAM_SO_MOI'!$C$49*'THAM_SO_MOI'!$C$17/'THAM_SO_MOI'!$C$26</f>
        <v>23717.19353376942</v>
      </c>
      <c r="M374" s="75">
        <f>'THAM_SO_MOI'!$C$15*'THAM_SO_MOI'!$C$16*F374^2</f>
        <v>18.901813394527892</v>
      </c>
      <c r="N374" s="75">
        <f>'THAM_SO_MOI'!$C$12*I374</f>
        <v>1130.112</v>
      </c>
      <c r="O374" s="75">
        <f>M374+N374</f>
        <v>1149.013813394528</v>
      </c>
      <c r="P374" s="75">
        <f>(MIN(L374,'THAM_SO_MOI'!$C$41)-O374)/('THAM_SO_MOI'!$C$11*H374)</f>
        <v>0.9291905352591768</v>
      </c>
      <c r="Q374" s="75">
        <f>IF(P374&gt;0,1/P374,NA())</f>
        <v>1.0762055381042732</v>
      </c>
      <c r="R374" s="75">
        <f>F374-F373</f>
        <v>0.0035133136094671613</v>
      </c>
      <c r="S374" s="75">
        <f>0.5*(Q373+Q374)*R374</f>
        <v>0.003781606014791673</v>
      </c>
      <c r="T374" s="75">
        <f>0.5*(F373*Q373+F374*Q374)*R374</f>
        <v>0.009606491903688015</v>
      </c>
      <c r="U374" s="76">
        <f>U373+S374</f>
        <v>1.5219848645439693</v>
      </c>
      <c r="V374" s="76">
        <f>V373+T374</f>
        <v>2.8501570148174284</v>
      </c>
    </row>
    <row r="375" spans="1:22" ht="19" customHeight="1">
      <c r="A375" s="68" t="s">
        <v>368</v>
      </c>
      <c r="B375" s="74">
        <v>1</v>
      </c>
      <c r="C375" s="68" t="s">
        <v>363</v>
      </c>
      <c r="D375" s="68" t="s">
        <v>364</v>
      </c>
      <c r="E375" s="75">
        <f>60*F375*'THAM_SO_MOI'!$C$49/(2*PI()*'THAM_SO_MOI'!$C$26)</f>
        <v>1630.2499999999998</v>
      </c>
      <c r="F375" s="75">
        <f>'THAM_SO_MOI'!$E$49+('THAM_SO_MOI'!$F$49-'THAM_SO_MOI'!$E$49)*369/'THAM_SO_MOI'!$C$42</f>
        <v>2.5455908941485865</v>
      </c>
      <c r="G375" s="75">
        <f>3.6*F375</f>
        <v>9.164127218934912</v>
      </c>
      <c r="H375" s="75">
        <f>'THAM_SO_MOI'!$D$49</f>
        <v>3.1625000000000005</v>
      </c>
      <c r="I375" s="75">
        <f>IF(F375&gt;'THAM_SO_MOI'!$C$14,'THAM_SO_MOI'!$C$13*(1+F375^2/1500),'THAM_SO_MOI'!$C$13)</f>
        <v>0.015</v>
      </c>
      <c r="J375" s="75">
        <f>'THAM_SO_MOI'!$C$40*('THAM_SO_MOI'!$C$23*(E375/'THAM_SO_MOI'!$C$22)+'THAM_SO_MOI'!$C$24*(E375/'THAM_SO_MOI'!$C$22)^2-'THAM_SO_MOI'!$C$25*(E375/'THAM_SO_MOI'!$C$22)^3)</f>
        <v>71.03518364983863</v>
      </c>
      <c r="K375" s="75">
        <f>'THAM_SO_MOI'!$C$31*J375/E375</f>
        <v>416.17176949491756</v>
      </c>
      <c r="L375" s="75">
        <f>K375*'THAM_SO_MOI'!$C$49*'THAM_SO_MOI'!$C$17/'THAM_SO_MOI'!$C$26</f>
        <v>23723.882305093593</v>
      </c>
      <c r="M375" s="75">
        <f>'THAM_SO_MOI'!$C$15*'THAM_SO_MOI'!$C$16*F375^2</f>
        <v>18.954096526088687</v>
      </c>
      <c r="N375" s="75">
        <f>'THAM_SO_MOI'!$C$12*I375</f>
        <v>1130.112</v>
      </c>
      <c r="O375" s="75">
        <f>M375+N375</f>
        <v>1149.0660965260888</v>
      </c>
      <c r="P375" s="75">
        <f>(MIN(L375,'THAM_SO_MOI'!$C$41)-O375)/('THAM_SO_MOI'!$C$11*H375)</f>
        <v>0.9294637767032073</v>
      </c>
      <c r="Q375" s="75">
        <f>IF(P375&gt;0,1/P375,NA())</f>
        <v>1.075889157883036</v>
      </c>
      <c r="R375" s="75">
        <f>F375-F374</f>
        <v>0.0035133136094676054</v>
      </c>
      <c r="S375" s="75">
        <f>0.5*(Q374+Q375)*R375</f>
        <v>0.0037804917921376315</v>
      </c>
      <c r="T375" s="75">
        <f>0.5*(F374*Q374+F375*Q375)*R375</f>
        <v>0.009616943478537395</v>
      </c>
      <c r="U375" s="76">
        <f>U374+S375</f>
        <v>1.5257653563361069</v>
      </c>
      <c r="V375" s="76">
        <f>V374+T375</f>
        <v>2.859773958295966</v>
      </c>
    </row>
    <row r="376" spans="1:22" ht="19" customHeight="1">
      <c r="A376" s="68" t="s">
        <v>368</v>
      </c>
      <c r="B376" s="74">
        <v>1</v>
      </c>
      <c r="C376" s="68" t="s">
        <v>363</v>
      </c>
      <c r="D376" s="68" t="s">
        <v>364</v>
      </c>
      <c r="E376" s="75">
        <f>60*F376*'THAM_SO_MOI'!$C$49/(2*PI()*'THAM_SO_MOI'!$C$26)</f>
        <v>1632.4999999999998</v>
      </c>
      <c r="F376" s="75">
        <f>'THAM_SO_MOI'!$E$49+('THAM_SO_MOI'!$F$49-'THAM_SO_MOI'!$E$49)*370/'THAM_SO_MOI'!$C$42</f>
        <v>2.549104207758054</v>
      </c>
      <c r="G376" s="75">
        <f>3.6*F376</f>
        <v>9.176775147928995</v>
      </c>
      <c r="H376" s="75">
        <f>'THAM_SO_MOI'!$D$49</f>
        <v>3.1625000000000005</v>
      </c>
      <c r="I376" s="75">
        <f>IF(F376&gt;'THAM_SO_MOI'!$C$14,'THAM_SO_MOI'!$C$13*(1+F376^2/1500),'THAM_SO_MOI'!$C$13)</f>
        <v>0.015</v>
      </c>
      <c r="J376" s="75">
        <f>'THAM_SO_MOI'!$C$40*('THAM_SO_MOI'!$C$23*(E376/'THAM_SO_MOI'!$C$22)+'THAM_SO_MOI'!$C$24*(E376/'THAM_SO_MOI'!$C$22)^2-'THAM_SO_MOI'!$C$25*(E376/'THAM_SO_MOI'!$C$22)^3)</f>
        <v>71.15319484849516</v>
      </c>
      <c r="K376" s="75">
        <f>'THAM_SO_MOI'!$C$31*J376/E376</f>
        <v>416.28861487716046</v>
      </c>
      <c r="L376" s="75">
        <f>K376*'THAM_SO_MOI'!$C$49*'THAM_SO_MOI'!$C$17/'THAM_SO_MOI'!$C$26</f>
        <v>23730.543079080227</v>
      </c>
      <c r="M376" s="75">
        <f>'THAM_SO_MOI'!$C$15*'THAM_SO_MOI'!$C$16*F376^2</f>
        <v>19.006451866378715</v>
      </c>
      <c r="N376" s="75">
        <f>'THAM_SO_MOI'!$C$12*I376</f>
        <v>1130.112</v>
      </c>
      <c r="O376" s="75">
        <f>M376+N376</f>
        <v>1149.1184518663788</v>
      </c>
      <c r="P376" s="75">
        <f>(MIN(L376,'THAM_SO_MOI'!$C$41)-O376)/('THAM_SO_MOI'!$C$11*H376)</f>
        <v>0.9297358624511629</v>
      </c>
      <c r="Q376" s="75">
        <f>IF(P376&gt;0,1/P376,NA())</f>
        <v>1.0755743006014549</v>
      </c>
      <c r="R376" s="75">
        <f>F376-F375</f>
        <v>0.0035133136094676054</v>
      </c>
      <c r="S376" s="75">
        <f>0.5*(Q375+Q376)*R376</f>
        <v>0.003779382924482902</v>
      </c>
      <c r="T376" s="75">
        <f>0.5*(F375*Q375+F376*Q376)*R376</f>
        <v>0.00962740086519614</v>
      </c>
      <c r="U376" s="76">
        <f>U375+S376</f>
        <v>1.5295447392605899</v>
      </c>
      <c r="V376" s="76">
        <f>V375+T376</f>
        <v>2.869401359161162</v>
      </c>
    </row>
    <row r="377" spans="1:22" ht="19" customHeight="1">
      <c r="A377" s="68" t="s">
        <v>368</v>
      </c>
      <c r="B377" s="74">
        <v>1</v>
      </c>
      <c r="C377" s="68" t="s">
        <v>363</v>
      </c>
      <c r="D377" s="68" t="s">
        <v>364</v>
      </c>
      <c r="E377" s="75">
        <f>60*F377*'THAM_SO_MOI'!$C$49/(2*PI()*'THAM_SO_MOI'!$C$26)</f>
        <v>1634.7499999999998</v>
      </c>
      <c r="F377" s="75">
        <f>'THAM_SO_MOI'!$E$49+('THAM_SO_MOI'!$F$49-'THAM_SO_MOI'!$E$49)*371/'THAM_SO_MOI'!$C$42</f>
        <v>2.5526175213675213</v>
      </c>
      <c r="G377" s="75">
        <f>3.6*F377</f>
        <v>9.189423076923077</v>
      </c>
      <c r="H377" s="75">
        <f>'THAM_SO_MOI'!$D$49</f>
        <v>3.1625000000000005</v>
      </c>
      <c r="I377" s="75">
        <f>IF(F377&gt;'THAM_SO_MOI'!$C$14,'THAM_SO_MOI'!$C$13*(1+F377^2/1500),'THAM_SO_MOI'!$C$13)</f>
        <v>0.015</v>
      </c>
      <c r="J377" s="75">
        <f>'THAM_SO_MOI'!$C$40*('THAM_SO_MOI'!$C$23*(E377/'THAM_SO_MOI'!$C$22)+'THAM_SO_MOI'!$C$24*(E377/'THAM_SO_MOI'!$C$22)^2-'THAM_SO_MOI'!$C$25*(E377/'THAM_SO_MOI'!$C$22)^3)</f>
        <v>71.27117703648602</v>
      </c>
      <c r="K377" s="75">
        <f>'THAM_SO_MOI'!$C$31*J377/E377</f>
        <v>416.4049691213445</v>
      </c>
      <c r="L377" s="75">
        <f>K377*'THAM_SO_MOI'!$C$49*'THAM_SO_MOI'!$C$17/'THAM_SO_MOI'!$C$26</f>
        <v>23737.17585572933</v>
      </c>
      <c r="M377" s="75">
        <f>'THAM_SO_MOI'!$C$15*'THAM_SO_MOI'!$C$16*F377^2</f>
        <v>19.05887941539797</v>
      </c>
      <c r="N377" s="75">
        <f>'THAM_SO_MOI'!$C$12*I377</f>
        <v>1130.112</v>
      </c>
      <c r="O377" s="75">
        <f>M377+N377</f>
        <v>1149.170879415398</v>
      </c>
      <c r="P377" s="75">
        <f>(MIN(L377,'THAM_SO_MOI'!$C$41)-O377)/('THAM_SO_MOI'!$C$11*H377)</f>
        <v>0.9300067925030437</v>
      </c>
      <c r="Q377" s="75">
        <f>IF(P377&gt;0,1/P377,NA())</f>
        <v>1.0752609637490655</v>
      </c>
      <c r="R377" s="75">
        <f>F377-F376</f>
        <v>0.0035133136094671613</v>
      </c>
      <c r="S377" s="75">
        <f>0.5*(Q376+Q377)*R377</f>
        <v>0.0037782794029822915</v>
      </c>
      <c r="T377" s="75">
        <f>0.5*(F376*Q376+F377*Q377)*R377</f>
        <v>0.009637864097542808</v>
      </c>
      <c r="U377" s="76">
        <f>U376+S377</f>
        <v>1.5333230186635722</v>
      </c>
      <c r="V377" s="76">
        <f>V376+T377</f>
        <v>2.879039223258705</v>
      </c>
    </row>
    <row r="378" spans="1:22" ht="19" customHeight="1">
      <c r="A378" s="68" t="s">
        <v>368</v>
      </c>
      <c r="B378" s="74">
        <v>1</v>
      </c>
      <c r="C378" s="68" t="s">
        <v>363</v>
      </c>
      <c r="D378" s="68" t="s">
        <v>364</v>
      </c>
      <c r="E378" s="75">
        <f>60*F378*'THAM_SO_MOI'!$C$49/(2*PI()*'THAM_SO_MOI'!$C$26)</f>
        <v>1636.9999999999998</v>
      </c>
      <c r="F378" s="75">
        <f>'THAM_SO_MOI'!$E$49+('THAM_SO_MOI'!$F$49-'THAM_SO_MOI'!$E$49)*372/'THAM_SO_MOI'!$C$42</f>
        <v>2.556130834976989</v>
      </c>
      <c r="G378" s="75">
        <f>3.6*F378</f>
        <v>9.20207100591716</v>
      </c>
      <c r="H378" s="75">
        <f>'THAM_SO_MOI'!$D$49</f>
        <v>3.1625000000000005</v>
      </c>
      <c r="I378" s="75">
        <f>IF(F378&gt;'THAM_SO_MOI'!$C$14,'THAM_SO_MOI'!$C$13*(1+F378^2/1500),'THAM_SO_MOI'!$C$13)</f>
        <v>0.015</v>
      </c>
      <c r="J378" s="75">
        <f>'THAM_SO_MOI'!$C$40*('THAM_SO_MOI'!$C$23*(E378/'THAM_SO_MOI'!$C$22)+'THAM_SO_MOI'!$C$24*(E378/'THAM_SO_MOI'!$C$22)^2-'THAM_SO_MOI'!$C$25*(E378/'THAM_SO_MOI'!$C$22)^3)</f>
        <v>71.38912986671174</v>
      </c>
      <c r="K378" s="75">
        <f>'THAM_SO_MOI'!$C$31*J378/E378</f>
        <v>416.52083222746995</v>
      </c>
      <c r="L378" s="75">
        <f>K378*'THAM_SO_MOI'!$C$49*'THAM_SO_MOI'!$C$17/'THAM_SO_MOI'!$C$26</f>
        <v>23743.780635040905</v>
      </c>
      <c r="M378" s="75">
        <f>'THAM_SO_MOI'!$C$15*'THAM_SO_MOI'!$C$16*F378^2</f>
        <v>19.111379173146464</v>
      </c>
      <c r="N378" s="75">
        <f>'THAM_SO_MOI'!$C$12*I378</f>
        <v>1130.112</v>
      </c>
      <c r="O378" s="75">
        <f>M378+N378</f>
        <v>1149.2233791731464</v>
      </c>
      <c r="P378" s="75">
        <f>(MIN(L378,'THAM_SO_MOI'!$C$41)-O378)/('THAM_SO_MOI'!$C$11*H378)</f>
        <v>0.9302765668588502</v>
      </c>
      <c r="Q378" s="75">
        <f>IF(P378&gt;0,1/P378,NA())</f>
        <v>1.0749491448296675</v>
      </c>
      <c r="R378" s="75">
        <f>F378-F377</f>
        <v>0.0035133136094676054</v>
      </c>
      <c r="S378" s="75">
        <f>0.5*(Q377+Q378)*R378</f>
        <v>0.00377718121884224</v>
      </c>
      <c r="T378" s="75">
        <f>0.5*(F377*Q377+F378*Q378)*R378</f>
        <v>0.009648333209463554</v>
      </c>
      <c r="U378" s="76">
        <f>U377+S378</f>
        <v>1.5371001998824145</v>
      </c>
      <c r="V378" s="76">
        <f>V377+T378</f>
        <v>2.8886875564681684</v>
      </c>
    </row>
    <row r="379" spans="1:22" ht="19" customHeight="1">
      <c r="A379" s="68" t="s">
        <v>368</v>
      </c>
      <c r="B379" s="74">
        <v>1</v>
      </c>
      <c r="C379" s="68" t="s">
        <v>363</v>
      </c>
      <c r="D379" s="68" t="s">
        <v>364</v>
      </c>
      <c r="E379" s="75">
        <f>60*F379*'THAM_SO_MOI'!$C$49/(2*PI()*'THAM_SO_MOI'!$C$26)</f>
        <v>1639.25</v>
      </c>
      <c r="F379" s="75">
        <f>'THAM_SO_MOI'!$E$49+('THAM_SO_MOI'!$F$49-'THAM_SO_MOI'!$E$49)*373/'THAM_SO_MOI'!$C$42</f>
        <v>2.5596441485864565</v>
      </c>
      <c r="G379" s="75">
        <f>3.6*F379</f>
        <v>9.214718934911243</v>
      </c>
      <c r="H379" s="75">
        <f>'THAM_SO_MOI'!$D$49</f>
        <v>3.1625000000000005</v>
      </c>
      <c r="I379" s="75">
        <f>IF(F379&gt;'THAM_SO_MOI'!$C$14,'THAM_SO_MOI'!$C$13*(1+F379^2/1500),'THAM_SO_MOI'!$C$13)</f>
        <v>0.015</v>
      </c>
      <c r="J379" s="75">
        <f>'THAM_SO_MOI'!$C$40*('THAM_SO_MOI'!$C$23*(E379/'THAM_SO_MOI'!$C$22)+'THAM_SO_MOI'!$C$24*(E379/'THAM_SO_MOI'!$C$22)^2-'THAM_SO_MOI'!$C$25*(E379/'THAM_SO_MOI'!$C$22)^3)</f>
        <v>71.50705299207272</v>
      </c>
      <c r="K379" s="75">
        <f>'THAM_SO_MOI'!$C$31*J379/E379</f>
        <v>416.63620419553644</v>
      </c>
      <c r="L379" s="75">
        <f>K379*'THAM_SO_MOI'!$C$49*'THAM_SO_MOI'!$C$17/'THAM_SO_MOI'!$C$26</f>
        <v>23750.35741701494</v>
      </c>
      <c r="M379" s="75">
        <f>'THAM_SO_MOI'!$C$15*'THAM_SO_MOI'!$C$16*F379^2</f>
        <v>19.163951139624192</v>
      </c>
      <c r="N379" s="75">
        <f>'THAM_SO_MOI'!$C$12*I379</f>
        <v>1130.112</v>
      </c>
      <c r="O379" s="75">
        <f>M379+N379</f>
        <v>1149.2759511396243</v>
      </c>
      <c r="P379" s="75">
        <f>(MIN(L379,'THAM_SO_MOI'!$C$41)-O379)/('THAM_SO_MOI'!$C$11*H379)</f>
        <v>0.9305451855185817</v>
      </c>
      <c r="Q379" s="75">
        <f>IF(P379&gt;0,1/P379,NA())</f>
        <v>1.0746388413612735</v>
      </c>
      <c r="R379" s="75">
        <f>F379-F378</f>
        <v>0.0035133136094676054</v>
      </c>
      <c r="S379" s="75">
        <f>0.5*(Q378+Q379)*R379</f>
        <v>0.003776088363316348</v>
      </c>
      <c r="T379" s="75">
        <f>0.5*(F378*Q378+F379*Q379)*R379</f>
        <v>0.009658808234841578</v>
      </c>
      <c r="U379" s="76">
        <f>U378+S379</f>
        <v>1.540876288245731</v>
      </c>
      <c r="V379" s="76">
        <f>V378+T379</f>
        <v>2.89834636470301</v>
      </c>
    </row>
    <row r="380" spans="1:22" ht="19" customHeight="1">
      <c r="A380" s="68" t="s">
        <v>368</v>
      </c>
      <c r="B380" s="74">
        <v>1</v>
      </c>
      <c r="C380" s="68" t="s">
        <v>363</v>
      </c>
      <c r="D380" s="68" t="s">
        <v>364</v>
      </c>
      <c r="E380" s="75">
        <f>60*F380*'THAM_SO_MOI'!$C$49/(2*PI()*'THAM_SO_MOI'!$C$26)</f>
        <v>1641.4999999999998</v>
      </c>
      <c r="F380" s="75">
        <f>'THAM_SO_MOI'!$E$49+('THAM_SO_MOI'!$F$49-'THAM_SO_MOI'!$E$49)*374/'THAM_SO_MOI'!$C$42</f>
        <v>2.5631574621959237</v>
      </c>
      <c r="G380" s="75">
        <f>3.6*F380</f>
        <v>9.227366863905326</v>
      </c>
      <c r="H380" s="75">
        <f>'THAM_SO_MOI'!$D$49</f>
        <v>3.1625000000000005</v>
      </c>
      <c r="I380" s="75">
        <f>IF(F380&gt;'THAM_SO_MOI'!$C$14,'THAM_SO_MOI'!$C$13*(1+F380^2/1500),'THAM_SO_MOI'!$C$13)</f>
        <v>0.015</v>
      </c>
      <c r="J380" s="75">
        <f>'THAM_SO_MOI'!$C$40*('THAM_SO_MOI'!$C$23*(E380/'THAM_SO_MOI'!$C$22)+'THAM_SO_MOI'!$C$24*(E380/'THAM_SO_MOI'!$C$22)^2-'THAM_SO_MOI'!$C$25*(E380/'THAM_SO_MOI'!$C$22)^3)</f>
        <v>71.62494606546942</v>
      </c>
      <c r="K380" s="75">
        <f>'THAM_SO_MOI'!$C$31*J380/E380</f>
        <v>416.75108502554434</v>
      </c>
      <c r="L380" s="75">
        <f>K380*'THAM_SO_MOI'!$C$49*'THAM_SO_MOI'!$C$17/'THAM_SO_MOI'!$C$26</f>
        <v>23756.906201651454</v>
      </c>
      <c r="M380" s="75">
        <f>'THAM_SO_MOI'!$C$15*'THAM_SO_MOI'!$C$16*F380^2</f>
        <v>19.216595314831146</v>
      </c>
      <c r="N380" s="75">
        <f>'THAM_SO_MOI'!$C$12*I380</f>
        <v>1130.112</v>
      </c>
      <c r="O380" s="75">
        <f>M380+N380</f>
        <v>1149.3285953148313</v>
      </c>
      <c r="P380" s="75">
        <f>(MIN(L380,'THAM_SO_MOI'!$C$41)-O380)/('THAM_SO_MOI'!$C$11*H380)</f>
        <v>0.9308126484822389</v>
      </c>
      <c r="Q380" s="75">
        <f>IF(P380&gt;0,1/P380,NA())</f>
        <v>1.0743300508760558</v>
      </c>
      <c r="R380" s="75">
        <f>F380-F379</f>
        <v>0.0035133136094671613</v>
      </c>
      <c r="S380" s="75">
        <f>0.5*(Q379+Q380)*R380</f>
        <v>0.003775000827709489</v>
      </c>
      <c r="T380" s="75">
        <f>0.5*(F379*Q379+F380*Q380)*R380</f>
        <v>0.009669289207568498</v>
      </c>
      <c r="U380" s="76">
        <f>U379+S380</f>
        <v>1.5446512890734405</v>
      </c>
      <c r="V380" s="76">
        <f>V379+T380</f>
        <v>2.908015653910579</v>
      </c>
    </row>
    <row r="381" spans="1:22" ht="19" customHeight="1">
      <c r="A381" s="68" t="s">
        <v>368</v>
      </c>
      <c r="B381" s="74">
        <v>1</v>
      </c>
      <c r="C381" s="68" t="s">
        <v>363</v>
      </c>
      <c r="D381" s="68" t="s">
        <v>364</v>
      </c>
      <c r="E381" s="75">
        <f>60*F381*'THAM_SO_MOI'!$C$49/(2*PI()*'THAM_SO_MOI'!$C$26)</f>
        <v>1643.75</v>
      </c>
      <c r="F381" s="75">
        <f>'THAM_SO_MOI'!$E$49+('THAM_SO_MOI'!$F$49-'THAM_SO_MOI'!$E$49)*375/'THAM_SO_MOI'!$C$42</f>
        <v>2.5666707758053913</v>
      </c>
      <c r="G381" s="75">
        <f>3.6*F381</f>
        <v>9.240014792899409</v>
      </c>
      <c r="H381" s="75">
        <f>'THAM_SO_MOI'!$D$49</f>
        <v>3.1625000000000005</v>
      </c>
      <c r="I381" s="75">
        <f>IF(F381&gt;'THAM_SO_MOI'!$C$14,'THAM_SO_MOI'!$C$13*(1+F381^2/1500),'THAM_SO_MOI'!$C$13)</f>
        <v>0.015</v>
      </c>
      <c r="J381" s="75">
        <f>'THAM_SO_MOI'!$C$40*('THAM_SO_MOI'!$C$23*(E381/'THAM_SO_MOI'!$C$22)+'THAM_SO_MOI'!$C$24*(E381/'THAM_SO_MOI'!$C$22)^2-'THAM_SO_MOI'!$C$25*(E381/'THAM_SO_MOI'!$C$22)^3)</f>
        <v>71.7428087398023</v>
      </c>
      <c r="K381" s="75">
        <f>'THAM_SO_MOI'!$C$31*J381/E381</f>
        <v>416.8654747174934</v>
      </c>
      <c r="L381" s="75">
        <f>K381*'THAM_SO_MOI'!$C$49*'THAM_SO_MOI'!$C$17/'THAM_SO_MOI'!$C$26</f>
        <v>23763.426988950432</v>
      </c>
      <c r="M381" s="75">
        <f>'THAM_SO_MOI'!$C$15*'THAM_SO_MOI'!$C$16*F381^2</f>
        <v>19.26931169876734</v>
      </c>
      <c r="N381" s="75">
        <f>'THAM_SO_MOI'!$C$12*I381</f>
        <v>1130.112</v>
      </c>
      <c r="O381" s="75">
        <f>M381+N381</f>
        <v>1149.3813116987674</v>
      </c>
      <c r="P381" s="75">
        <f>(MIN(L381,'THAM_SO_MOI'!$C$41)-O381)/('THAM_SO_MOI'!$C$11*H381)</f>
        <v>0.9310789557498212</v>
      </c>
      <c r="Q381" s="75">
        <f>IF(P381&gt;0,1/P381,NA())</f>
        <v>1.0740227709202974</v>
      </c>
      <c r="R381" s="75">
        <f>F381-F380</f>
        <v>0.0035133136094676054</v>
      </c>
      <c r="S381" s="75">
        <f>0.5*(Q380+Q381)*R381</f>
        <v>0.0037739186033776306</v>
      </c>
      <c r="T381" s="75">
        <f>0.5*(F380*Q380+F381*Q381)*R381</f>
        <v>0.009679776161544787</v>
      </c>
      <c r="U381" s="76">
        <f>U380+S381</f>
        <v>1.5484252076768181</v>
      </c>
      <c r="V381" s="76">
        <f>V380+T381</f>
        <v>2.9176954300721234</v>
      </c>
    </row>
    <row r="382" spans="1:22" ht="19" customHeight="1">
      <c r="A382" s="68" t="s">
        <v>368</v>
      </c>
      <c r="B382" s="74">
        <v>1</v>
      </c>
      <c r="C382" s="68" t="s">
        <v>363</v>
      </c>
      <c r="D382" s="68" t="s">
        <v>364</v>
      </c>
      <c r="E382" s="75">
        <f>60*F382*'THAM_SO_MOI'!$C$49/(2*PI()*'THAM_SO_MOI'!$C$26)</f>
        <v>1646.0</v>
      </c>
      <c r="F382" s="75">
        <f>'THAM_SO_MOI'!$E$49+('THAM_SO_MOI'!$F$49-'THAM_SO_MOI'!$E$49)*376/'THAM_SO_MOI'!$C$42</f>
        <v>2.570184089414859</v>
      </c>
      <c r="G382" s="75">
        <f>3.6*F382</f>
        <v>9.252662721893492</v>
      </c>
      <c r="H382" s="75">
        <f>'THAM_SO_MOI'!$D$49</f>
        <v>3.1625000000000005</v>
      </c>
      <c r="I382" s="75">
        <f>IF(F382&gt;'THAM_SO_MOI'!$C$14,'THAM_SO_MOI'!$C$13*(1+F382^2/1500),'THAM_SO_MOI'!$C$13)</f>
        <v>0.015</v>
      </c>
      <c r="J382" s="75">
        <f>'THAM_SO_MOI'!$C$40*('THAM_SO_MOI'!$C$23*(E382/'THAM_SO_MOI'!$C$22)+'THAM_SO_MOI'!$C$24*(E382/'THAM_SO_MOI'!$C$22)^2-'THAM_SO_MOI'!$C$25*(E382/'THAM_SO_MOI'!$C$22)^3)</f>
        <v>71.86064066797182</v>
      </c>
      <c r="K382" s="75">
        <f>'THAM_SO_MOI'!$C$31*J382/E382</f>
        <v>416.9793732713837</v>
      </c>
      <c r="L382" s="75">
        <f>K382*'THAM_SO_MOI'!$C$49*'THAM_SO_MOI'!$C$17/'THAM_SO_MOI'!$C$26</f>
        <v>23769.919778911877</v>
      </c>
      <c r="M382" s="75">
        <f>'THAM_SO_MOI'!$C$15*'THAM_SO_MOI'!$C$16*F382^2</f>
        <v>19.32210029143277</v>
      </c>
      <c r="N382" s="75">
        <f>'THAM_SO_MOI'!$C$12*I382</f>
        <v>1130.112</v>
      </c>
      <c r="O382" s="75">
        <f>M382+N382</f>
        <v>1149.4341002914327</v>
      </c>
      <c r="P382" s="75">
        <f>(MIN(L382,'THAM_SO_MOI'!$C$41)-O382)/('THAM_SO_MOI'!$C$11*H382)</f>
        <v>0.9313441073213291</v>
      </c>
      <c r="Q382" s="75">
        <f>IF(P382&gt;0,1/P382,NA())</f>
        <v>1.0737169990543394</v>
      </c>
      <c r="R382" s="75">
        <f>F382-F381</f>
        <v>0.0035133136094676054</v>
      </c>
      <c r="S382" s="75">
        <f>0.5*(Q381+Q382)*R382</f>
        <v>0.0037728416817233573</v>
      </c>
      <c r="T382" s="75">
        <f>0.5*(F381*Q381+F382*Q382)*R382</f>
        <v>0.009690269130669178</v>
      </c>
      <c r="U382" s="76">
        <f>U381+S382</f>
        <v>1.5521980493585414</v>
      </c>
      <c r="V382" s="76">
        <f>V381+T382</f>
        <v>2.9273856992027927</v>
      </c>
    </row>
    <row r="383" spans="1:22" ht="19" customHeight="1">
      <c r="A383" s="68" t="s">
        <v>368</v>
      </c>
      <c r="B383" s="74">
        <v>1</v>
      </c>
      <c r="C383" s="68" t="s">
        <v>363</v>
      </c>
      <c r="D383" s="68" t="s">
        <v>364</v>
      </c>
      <c r="E383" s="75">
        <f>60*F383*'THAM_SO_MOI'!$C$49/(2*PI()*'THAM_SO_MOI'!$C$26)</f>
        <v>1648.2499999999998</v>
      </c>
      <c r="F383" s="75">
        <f>'THAM_SO_MOI'!$E$49+('THAM_SO_MOI'!$F$49-'THAM_SO_MOI'!$E$49)*377/'THAM_SO_MOI'!$C$42</f>
        <v>2.573697403024326</v>
      </c>
      <c r="G383" s="75">
        <f>3.6*F383</f>
        <v>9.265310650887574</v>
      </c>
      <c r="H383" s="75">
        <f>'THAM_SO_MOI'!$D$49</f>
        <v>3.1625000000000005</v>
      </c>
      <c r="I383" s="75">
        <f>IF(F383&gt;'THAM_SO_MOI'!$C$14,'THAM_SO_MOI'!$C$13*(1+F383^2/1500),'THAM_SO_MOI'!$C$13)</f>
        <v>0.015</v>
      </c>
      <c r="J383" s="75">
        <f>'THAM_SO_MOI'!$C$40*('THAM_SO_MOI'!$C$23*(E383/'THAM_SO_MOI'!$C$22)+'THAM_SO_MOI'!$C$24*(E383/'THAM_SO_MOI'!$C$22)^2-'THAM_SO_MOI'!$C$25*(E383/'THAM_SO_MOI'!$C$22)^3)</f>
        <v>71.9784415028784</v>
      </c>
      <c r="K383" s="75">
        <f>'THAM_SO_MOI'!$C$31*J383/E383</f>
        <v>417.092780687215</v>
      </c>
      <c r="L383" s="75">
        <f>K383*'THAM_SO_MOI'!$C$49*'THAM_SO_MOI'!$C$17/'THAM_SO_MOI'!$C$26</f>
        <v>23776.38457153578</v>
      </c>
      <c r="M383" s="75">
        <f>'THAM_SO_MOI'!$C$15*'THAM_SO_MOI'!$C$16*F383^2</f>
        <v>19.37496109282742</v>
      </c>
      <c r="N383" s="75">
        <f>'THAM_SO_MOI'!$C$12*I383</f>
        <v>1130.112</v>
      </c>
      <c r="O383" s="75">
        <f>M383+N383</f>
        <v>1149.4869610928274</v>
      </c>
      <c r="P383" s="75">
        <f>(MIN(L383,'THAM_SO_MOI'!$C$41)-O383)/('THAM_SO_MOI'!$C$11*H383)</f>
        <v>0.9316081031967616</v>
      </c>
      <c r="Q383" s="75">
        <f>IF(P383&gt;0,1/P383,NA())</f>
        <v>1.0734127328525325</v>
      </c>
      <c r="R383" s="75">
        <f>F383-F382</f>
        <v>0.0035133136094671613</v>
      </c>
      <c r="S383" s="75">
        <f>0.5*(Q382+Q383)*R383</f>
        <v>0.0037717700541999946</v>
      </c>
      <c r="T383" s="75">
        <f>0.5*(F382*Q382+F383*Q383)*R383</f>
        <v>0.00970076814885008</v>
      </c>
      <c r="U383" s="76">
        <f>U382+S383</f>
        <v>1.5559698194127414</v>
      </c>
      <c r="V383" s="76">
        <f>V382+T383</f>
        <v>2.9370864673516426</v>
      </c>
    </row>
    <row r="384" spans="1:22" ht="19" customHeight="1">
      <c r="A384" s="68" t="s">
        <v>368</v>
      </c>
      <c r="B384" s="74">
        <v>1</v>
      </c>
      <c r="C384" s="68" t="s">
        <v>363</v>
      </c>
      <c r="D384" s="68" t="s">
        <v>364</v>
      </c>
      <c r="E384" s="75">
        <f>60*F384*'THAM_SO_MOI'!$C$49/(2*PI()*'THAM_SO_MOI'!$C$26)</f>
        <v>1650.4999999999995</v>
      </c>
      <c r="F384" s="75">
        <f>'THAM_SO_MOI'!$E$49+('THAM_SO_MOI'!$F$49-'THAM_SO_MOI'!$E$49)*378/'THAM_SO_MOI'!$C$42</f>
        <v>2.577210716633793</v>
      </c>
      <c r="G384" s="75">
        <f>3.6*F384</f>
        <v>9.277958579881656</v>
      </c>
      <c r="H384" s="75">
        <f>'THAM_SO_MOI'!$D$49</f>
        <v>3.1625000000000005</v>
      </c>
      <c r="I384" s="75">
        <f>IF(F384&gt;'THAM_SO_MOI'!$C$14,'THAM_SO_MOI'!$C$13*(1+F384^2/1500),'THAM_SO_MOI'!$C$13)</f>
        <v>0.015</v>
      </c>
      <c r="J384" s="75">
        <f>'THAM_SO_MOI'!$C$40*('THAM_SO_MOI'!$C$23*(E384/'THAM_SO_MOI'!$C$22)+'THAM_SO_MOI'!$C$24*(E384/'THAM_SO_MOI'!$C$22)^2-'THAM_SO_MOI'!$C$25*(E384/'THAM_SO_MOI'!$C$22)^3)</f>
        <v>72.09621089742257</v>
      </c>
      <c r="K384" s="75">
        <f>'THAM_SO_MOI'!$C$31*J384/E384</f>
        <v>417.2056969649879</v>
      </c>
      <c r="L384" s="75">
        <f>K384*'THAM_SO_MOI'!$C$49*'THAM_SO_MOI'!$C$17/'THAM_SO_MOI'!$C$26</f>
        <v>23782.821366822172</v>
      </c>
      <c r="M384" s="75">
        <f>'THAM_SO_MOI'!$C$15*'THAM_SO_MOI'!$C$16*F384^2</f>
        <v>19.427894102951306</v>
      </c>
      <c r="N384" s="75">
        <f>'THAM_SO_MOI'!$C$12*I384</f>
        <v>1130.112</v>
      </c>
      <c r="O384" s="75">
        <f>M384+N384</f>
        <v>1149.5398941029514</v>
      </c>
      <c r="P384" s="75">
        <f>(MIN(L384,'THAM_SO_MOI'!$C$41)-O384)/('THAM_SO_MOI'!$C$11*H384)</f>
        <v>0.9318709433761205</v>
      </c>
      <c r="Q384" s="75">
        <f>IF(P384&gt;0,1/P384,NA())</f>
        <v>1.0731099699031836</v>
      </c>
      <c r="R384" s="75">
        <f>F384-F383</f>
        <v>0.0035133136094671613</v>
      </c>
      <c r="S384" s="75">
        <f>0.5*(Q383+Q384)*R384</f>
        <v>0.0037707037123109453</v>
      </c>
      <c r="T384" s="75">
        <f>0.5*(F383*Q383+F384*Q384)*R384</f>
        <v>0.009711273250004765</v>
      </c>
      <c r="U384" s="76">
        <f>U383+S384</f>
        <v>1.5597405231250523</v>
      </c>
      <c r="V384" s="76">
        <f>V383+T384</f>
        <v>2.9467977406016472</v>
      </c>
    </row>
    <row r="385" spans="1:22" ht="19" customHeight="1">
      <c r="A385" s="68" t="s">
        <v>368</v>
      </c>
      <c r="B385" s="74">
        <v>1</v>
      </c>
      <c r="C385" s="68" t="s">
        <v>363</v>
      </c>
      <c r="D385" s="68" t="s">
        <v>364</v>
      </c>
      <c r="E385" s="75">
        <f>60*F385*'THAM_SO_MOI'!$C$49/(2*PI()*'THAM_SO_MOI'!$C$26)</f>
        <v>1652.75</v>
      </c>
      <c r="F385" s="75">
        <f>'THAM_SO_MOI'!$E$49+('THAM_SO_MOI'!$F$49-'THAM_SO_MOI'!$E$49)*379/'THAM_SO_MOI'!$C$42</f>
        <v>2.5807240302432612</v>
      </c>
      <c r="G385" s="75">
        <f>3.6*F385</f>
        <v>9.29060650887574</v>
      </c>
      <c r="H385" s="75">
        <f>'THAM_SO_MOI'!$D$49</f>
        <v>3.1625000000000005</v>
      </c>
      <c r="I385" s="75">
        <f>IF(F385&gt;'THAM_SO_MOI'!$C$14,'THAM_SO_MOI'!$C$13*(1+F385^2/1500),'THAM_SO_MOI'!$C$13)</f>
        <v>0.015</v>
      </c>
      <c r="J385" s="75">
        <f>'THAM_SO_MOI'!$C$40*('THAM_SO_MOI'!$C$23*(E385/'THAM_SO_MOI'!$C$22)+'THAM_SO_MOI'!$C$24*(E385/'THAM_SO_MOI'!$C$22)^2-'THAM_SO_MOI'!$C$25*(E385/'THAM_SO_MOI'!$C$22)^3)</f>
        <v>72.21394850450471</v>
      </c>
      <c r="K385" s="75">
        <f>'THAM_SO_MOI'!$C$31*J385/E385</f>
        <v>417.3181221047016</v>
      </c>
      <c r="L385" s="75">
        <f>K385*'THAM_SO_MOI'!$C$49*'THAM_SO_MOI'!$C$17/'THAM_SO_MOI'!$C$26</f>
        <v>23789.230164771</v>
      </c>
      <c r="M385" s="75">
        <f>'THAM_SO_MOI'!$C$15*'THAM_SO_MOI'!$C$16*F385^2</f>
        <v>19.48089932180444</v>
      </c>
      <c r="N385" s="75">
        <f>'THAM_SO_MOI'!$C$12*I385</f>
        <v>1130.112</v>
      </c>
      <c r="O385" s="75">
        <f>M385+N385</f>
        <v>1149.5928993218045</v>
      </c>
      <c r="P385" s="75">
        <f>(MIN(L385,'THAM_SO_MOI'!$C$41)-O385)/('THAM_SO_MOI'!$C$11*H385)</f>
        <v>0.9321326278594035</v>
      </c>
      <c r="Q385" s="75">
        <f>IF(P385&gt;0,1/P385,NA())</f>
        <v>1.0728087078085127</v>
      </c>
      <c r="R385" s="75">
        <f>F385-F384</f>
        <v>0.0035133136094680495</v>
      </c>
      <c r="S385" s="75">
        <f>0.5*(Q384+Q385)*R385</f>
        <v>0.0037696426476080923</v>
      </c>
      <c r="T385" s="75">
        <f>0.5*(F384*Q384+F385*Q385)*R385</f>
        <v>0.009721784468056131</v>
      </c>
      <c r="U385" s="76">
        <f>U384+S385</f>
        <v>1.5635101657726604</v>
      </c>
      <c r="V385" s="76">
        <f>V384+T385</f>
        <v>2.9565195250697034</v>
      </c>
    </row>
    <row r="386" spans="1:22" ht="19" customHeight="1">
      <c r="A386" s="68" t="s">
        <v>368</v>
      </c>
      <c r="B386" s="74">
        <v>1</v>
      </c>
      <c r="C386" s="68" t="s">
        <v>363</v>
      </c>
      <c r="D386" s="68" t="s">
        <v>364</v>
      </c>
      <c r="E386" s="75">
        <f>60*F386*'THAM_SO_MOI'!$C$49/(2*PI()*'THAM_SO_MOI'!$C$26)</f>
        <v>1654.9999999999998</v>
      </c>
      <c r="F386" s="75">
        <f>'THAM_SO_MOI'!$E$49+('THAM_SO_MOI'!$F$49-'THAM_SO_MOI'!$E$49)*380/'THAM_SO_MOI'!$C$42</f>
        <v>2.5842373438527284</v>
      </c>
      <c r="G386" s="75">
        <f>3.6*F386</f>
        <v>9.303254437869823</v>
      </c>
      <c r="H386" s="75">
        <f>'THAM_SO_MOI'!$D$49</f>
        <v>3.1625000000000005</v>
      </c>
      <c r="I386" s="75">
        <f>IF(F386&gt;'THAM_SO_MOI'!$C$14,'THAM_SO_MOI'!$C$13*(1+F386^2/1500),'THAM_SO_MOI'!$C$13)</f>
        <v>0.015</v>
      </c>
      <c r="J386" s="75">
        <f>'THAM_SO_MOI'!$C$40*('THAM_SO_MOI'!$C$23*(E386/'THAM_SO_MOI'!$C$22)+'THAM_SO_MOI'!$C$24*(E386/'THAM_SO_MOI'!$C$22)^2-'THAM_SO_MOI'!$C$25*(E386/'THAM_SO_MOI'!$C$22)^3)</f>
        <v>72.33165397702533</v>
      </c>
      <c r="K386" s="75">
        <f>'THAM_SO_MOI'!$C$31*J386/E386</f>
        <v>417.43005610635674</v>
      </c>
      <c r="L386" s="75">
        <f>K386*'THAM_SO_MOI'!$C$49*'THAM_SO_MOI'!$C$17/'THAM_SO_MOI'!$C$26</f>
        <v>23795.610965382315</v>
      </c>
      <c r="M386" s="75">
        <f>'THAM_SO_MOI'!$C$15*'THAM_SO_MOI'!$C$16*F386^2</f>
        <v>19.53397674938679</v>
      </c>
      <c r="N386" s="75">
        <f>'THAM_SO_MOI'!$C$12*I386</f>
        <v>1130.112</v>
      </c>
      <c r="O386" s="75">
        <f>M386+N386</f>
        <v>1149.6459767493868</v>
      </c>
      <c r="P386" s="75">
        <f>(MIN(L386,'THAM_SO_MOI'!$C$41)-O386)/('THAM_SO_MOI'!$C$11*H386)</f>
        <v>0.9323931566466125</v>
      </c>
      <c r="Q386" s="75">
        <f>IF(P386&gt;0,1/P386,NA())</f>
        <v>1.072508944184595</v>
      </c>
      <c r="R386" s="75">
        <f>F386-F385</f>
        <v>0.0035133136094671613</v>
      </c>
      <c r="S386" s="75">
        <f>0.5*(Q385+Q386)*R386</f>
        <v>0.0037685868516887607</v>
      </c>
      <c r="T386" s="75">
        <f>0.5*(F385*Q385+F386*Q386)*R386</f>
        <v>0.00973230183692571</v>
      </c>
      <c r="U386" s="76">
        <f>U385+S386</f>
        <v>1.5672787526243492</v>
      </c>
      <c r="V386" s="76">
        <f>V385+T386</f>
        <v>2.966251826906629</v>
      </c>
    </row>
    <row r="387" spans="1:22" ht="19" customHeight="1">
      <c r="A387" s="68" t="s">
        <v>368</v>
      </c>
      <c r="B387" s="74">
        <v>1</v>
      </c>
      <c r="C387" s="68" t="s">
        <v>363</v>
      </c>
      <c r="D387" s="68" t="s">
        <v>364</v>
      </c>
      <c r="E387" s="75">
        <f>60*F387*'THAM_SO_MOI'!$C$49/(2*PI()*'THAM_SO_MOI'!$C$26)</f>
        <v>1657.2499999999995</v>
      </c>
      <c r="F387" s="75">
        <f>'THAM_SO_MOI'!$E$49+('THAM_SO_MOI'!$F$49-'THAM_SO_MOI'!$E$49)*381/'THAM_SO_MOI'!$C$42</f>
        <v>2.5877506574621956</v>
      </c>
      <c r="G387" s="75">
        <f>3.6*F387</f>
        <v>9.315902366863904</v>
      </c>
      <c r="H387" s="75">
        <f>'THAM_SO_MOI'!$D$49</f>
        <v>3.1625000000000005</v>
      </c>
      <c r="I387" s="75">
        <f>IF(F387&gt;'THAM_SO_MOI'!$C$14,'THAM_SO_MOI'!$C$13*(1+F387^2/1500),'THAM_SO_MOI'!$C$13)</f>
        <v>0.015</v>
      </c>
      <c r="J387" s="75">
        <f>'THAM_SO_MOI'!$C$40*('THAM_SO_MOI'!$C$23*(E387/'THAM_SO_MOI'!$C$22)+'THAM_SO_MOI'!$C$24*(E387/'THAM_SO_MOI'!$C$22)^2-'THAM_SO_MOI'!$C$25*(E387/'THAM_SO_MOI'!$C$22)^3)</f>
        <v>72.44932696788484</v>
      </c>
      <c r="K387" s="75">
        <f>'THAM_SO_MOI'!$C$31*J387/E387</f>
        <v>417.5414989699532</v>
      </c>
      <c r="L387" s="75">
        <f>K387*'THAM_SO_MOI'!$C$49*'THAM_SO_MOI'!$C$17/'THAM_SO_MOI'!$C$26</f>
        <v>23801.9637686561</v>
      </c>
      <c r="M387" s="75">
        <f>'THAM_SO_MOI'!$C$15*'THAM_SO_MOI'!$C$16*F387^2</f>
        <v>19.587126385698376</v>
      </c>
      <c r="N387" s="75">
        <f>'THAM_SO_MOI'!$C$12*I387</f>
        <v>1130.112</v>
      </c>
      <c r="O387" s="75">
        <f>M387+N387</f>
        <v>1149.6991263856985</v>
      </c>
      <c r="P387" s="75">
        <f>(MIN(L387,'THAM_SO_MOI'!$C$41)-O387)/('THAM_SO_MOI'!$C$11*H387)</f>
        <v>0.9326525297377469</v>
      </c>
      <c r="Q387" s="75">
        <f>IF(P387&gt;0,1/P387,NA())</f>
        <v>1.0722106766613184</v>
      </c>
      <c r="R387" s="75">
        <f>F387-F386</f>
        <v>0.0035133136094671613</v>
      </c>
      <c r="S387" s="75">
        <f>0.5*(Q386+Q387)*R387</f>
        <v>0.003767536316204599</v>
      </c>
      <c r="T387" s="75">
        <f>0.5*(F386*Q386+F387*Q387)*R387</f>
        <v>0.00974282539055742</v>
      </c>
      <c r="U387" s="76">
        <f>U386+S387</f>
        <v>1.5710462889405539</v>
      </c>
      <c r="V387" s="76">
        <f>V386+T387</f>
        <v>2.9759946522971865</v>
      </c>
    </row>
    <row r="388" spans="1:22" ht="19" customHeight="1">
      <c r="A388" s="68" t="s">
        <v>368</v>
      </c>
      <c r="B388" s="74">
        <v>1</v>
      </c>
      <c r="C388" s="68" t="s">
        <v>363</v>
      </c>
      <c r="D388" s="68" t="s">
        <v>364</v>
      </c>
      <c r="E388" s="75">
        <f>60*F388*'THAM_SO_MOI'!$C$49/(2*PI()*'THAM_SO_MOI'!$C$26)</f>
        <v>1659.5</v>
      </c>
      <c r="F388" s="75">
        <f>'THAM_SO_MOI'!$E$49+('THAM_SO_MOI'!$F$49-'THAM_SO_MOI'!$E$49)*382/'THAM_SO_MOI'!$C$42</f>
        <v>2.5912639710716636</v>
      </c>
      <c r="G388" s="75">
        <f>3.6*F388</f>
        <v>9.328550295857989</v>
      </c>
      <c r="H388" s="75">
        <f>'THAM_SO_MOI'!$D$49</f>
        <v>3.1625000000000005</v>
      </c>
      <c r="I388" s="75">
        <f>IF(F388&gt;'THAM_SO_MOI'!$C$14,'THAM_SO_MOI'!$C$13*(1+F388^2/1500),'THAM_SO_MOI'!$C$13)</f>
        <v>0.015</v>
      </c>
      <c r="J388" s="75">
        <f>'THAM_SO_MOI'!$C$40*('THAM_SO_MOI'!$C$23*(E388/'THAM_SO_MOI'!$C$22)+'THAM_SO_MOI'!$C$24*(E388/'THAM_SO_MOI'!$C$22)^2-'THAM_SO_MOI'!$C$25*(E388/'THAM_SO_MOI'!$C$22)^3)</f>
        <v>72.5669671299838</v>
      </c>
      <c r="K388" s="75">
        <f>'THAM_SO_MOI'!$C$31*J388/E388</f>
        <v>417.6524506954909</v>
      </c>
      <c r="L388" s="75">
        <f>K388*'THAM_SO_MOI'!$C$49*'THAM_SO_MOI'!$C$17/'THAM_SO_MOI'!$C$26</f>
        <v>23808.28857459236</v>
      </c>
      <c r="M388" s="75">
        <f>'THAM_SO_MOI'!$C$15*'THAM_SO_MOI'!$C$16*F388^2</f>
        <v>19.640348230739207</v>
      </c>
      <c r="N388" s="75">
        <f>'THAM_SO_MOI'!$C$12*I388</f>
        <v>1130.112</v>
      </c>
      <c r="O388" s="75">
        <f>M388+N388</f>
        <v>1149.7523482307392</v>
      </c>
      <c r="P388" s="75">
        <f>(MIN(L388,'THAM_SO_MOI'!$C$41)-O388)/('THAM_SO_MOI'!$C$11*H388)</f>
        <v>0.932910747132807</v>
      </c>
      <c r="Q388" s="75">
        <f>IF(P388&gt;0,1/P388,NA())</f>
        <v>1.0719139028823326</v>
      </c>
      <c r="R388" s="75">
        <f>F388-F387</f>
        <v>0.0035133136094680495</v>
      </c>
      <c r="S388" s="75">
        <f>0.5*(Q387+Q388)*R388</f>
        <v>0.003766491032852834</v>
      </c>
      <c r="T388" s="75">
        <f>0.5*(F387*Q387+F388*Q388)*R388</f>
        <v>0.00975335516289589</v>
      </c>
      <c r="U388" s="76">
        <f>U387+S388</f>
        <v>1.5748127799734066</v>
      </c>
      <c r="V388" s="76">
        <f>V387+T388</f>
        <v>2.9857480074600824</v>
      </c>
    </row>
    <row r="389" spans="1:22" ht="19" customHeight="1">
      <c r="A389" s="68" t="s">
        <v>368</v>
      </c>
      <c r="B389" s="74">
        <v>1</v>
      </c>
      <c r="C389" s="68" t="s">
        <v>363</v>
      </c>
      <c r="D389" s="68" t="s">
        <v>364</v>
      </c>
      <c r="E389" s="75">
        <f>60*F389*'THAM_SO_MOI'!$C$49/(2*PI()*'THAM_SO_MOI'!$C$26)</f>
        <v>1661.7499999999998</v>
      </c>
      <c r="F389" s="75">
        <f>'THAM_SO_MOI'!$E$49+('THAM_SO_MOI'!$F$49-'THAM_SO_MOI'!$E$49)*383/'THAM_SO_MOI'!$C$42</f>
        <v>2.594777284681131</v>
      </c>
      <c r="G389" s="75">
        <f>3.6*F389</f>
        <v>9.341198224852072</v>
      </c>
      <c r="H389" s="75">
        <f>'THAM_SO_MOI'!$D$49</f>
        <v>3.1625000000000005</v>
      </c>
      <c r="I389" s="75">
        <f>IF(F389&gt;'THAM_SO_MOI'!$C$14,'THAM_SO_MOI'!$C$13*(1+F389^2/1500),'THAM_SO_MOI'!$C$13)</f>
        <v>0.015</v>
      </c>
      <c r="J389" s="75">
        <f>'THAM_SO_MOI'!$C$40*('THAM_SO_MOI'!$C$23*(E389/'THAM_SO_MOI'!$C$22)+'THAM_SO_MOI'!$C$24*(E389/'THAM_SO_MOI'!$C$22)^2-'THAM_SO_MOI'!$C$25*(E389/'THAM_SO_MOI'!$C$22)^3)</f>
        <v>72.68457411622249</v>
      </c>
      <c r="K389" s="75">
        <f>'THAM_SO_MOI'!$C$31*J389/E389</f>
        <v>417.76291128296964</v>
      </c>
      <c r="L389" s="75">
        <f>K389*'THAM_SO_MOI'!$C$49*'THAM_SO_MOI'!$C$17/'THAM_SO_MOI'!$C$26</f>
        <v>23814.58538319107</v>
      </c>
      <c r="M389" s="75">
        <f>'THAM_SO_MOI'!$C$15*'THAM_SO_MOI'!$C$16*F389^2</f>
        <v>19.69364228450926</v>
      </c>
      <c r="N389" s="75">
        <f>'THAM_SO_MOI'!$C$12*I389</f>
        <v>1130.112</v>
      </c>
      <c r="O389" s="75">
        <f>M389+N389</f>
        <v>1149.8056422845093</v>
      </c>
      <c r="P389" s="75">
        <f>(MIN(L389,'THAM_SO_MOI'!$C$41)-O389)/('THAM_SO_MOI'!$C$11*H389)</f>
        <v>0.9331678088317917</v>
      </c>
      <c r="Q389" s="75">
        <f>IF(P389&gt;0,1/P389,NA())</f>
        <v>1.071618620505002</v>
      </c>
      <c r="R389" s="75">
        <f>F389-F388</f>
        <v>0.0035133136094671613</v>
      </c>
      <c r="S389" s="75">
        <f>0.5*(Q388+Q389)*R389</f>
        <v>0.003765450993376105</v>
      </c>
      <c r="T389" s="75">
        <f>0.5*(F388*Q388+F389*Q389)*R389</f>
        <v>0.009763891187886816</v>
      </c>
      <c r="U389" s="76">
        <f>U388+S389</f>
        <v>1.5785782309667826</v>
      </c>
      <c r="V389" s="76">
        <f>V388+T389</f>
        <v>2.9955118986479694</v>
      </c>
    </row>
    <row r="390" spans="1:22" ht="19" customHeight="1">
      <c r="A390" s="68" t="s">
        <v>368</v>
      </c>
      <c r="B390" s="74">
        <v>1</v>
      </c>
      <c r="C390" s="68" t="s">
        <v>363</v>
      </c>
      <c r="D390" s="68" t="s">
        <v>364</v>
      </c>
      <c r="E390" s="75">
        <f>60*F390*'THAM_SO_MOI'!$C$49/(2*PI()*'THAM_SO_MOI'!$C$26)</f>
        <v>1664.0000000000002</v>
      </c>
      <c r="F390" s="75">
        <f>'THAM_SO_MOI'!$E$49+('THAM_SO_MOI'!$F$49-'THAM_SO_MOI'!$E$49)*384/'THAM_SO_MOI'!$C$42</f>
        <v>2.5982905982905984</v>
      </c>
      <c r="G390" s="75">
        <f>3.6*F390</f>
        <v>9.353846153846154</v>
      </c>
      <c r="H390" s="75">
        <f>'THAM_SO_MOI'!$D$49</f>
        <v>3.1625000000000005</v>
      </c>
      <c r="I390" s="75">
        <f>IF(F390&gt;'THAM_SO_MOI'!$C$14,'THAM_SO_MOI'!$C$13*(1+F390^2/1500),'THAM_SO_MOI'!$C$13)</f>
        <v>0.015</v>
      </c>
      <c r="J390" s="75">
        <f>'THAM_SO_MOI'!$C$40*('THAM_SO_MOI'!$C$23*(E390/'THAM_SO_MOI'!$C$22)+'THAM_SO_MOI'!$C$24*(E390/'THAM_SO_MOI'!$C$22)^2-'THAM_SO_MOI'!$C$25*(E390/'THAM_SO_MOI'!$C$22)^3)</f>
        <v>72.80214757950151</v>
      </c>
      <c r="K390" s="75">
        <f>'THAM_SO_MOI'!$C$31*J390/E390</f>
        <v>417.8728807323896</v>
      </c>
      <c r="L390" s="75">
        <f>K390*'THAM_SO_MOI'!$C$49*'THAM_SO_MOI'!$C$17/'THAM_SO_MOI'!$C$26</f>
        <v>23820.85419445225</v>
      </c>
      <c r="M390" s="75">
        <f>'THAM_SO_MOI'!$C$15*'THAM_SO_MOI'!$C$16*F390^2</f>
        <v>19.747008547008548</v>
      </c>
      <c r="N390" s="75">
        <f>'THAM_SO_MOI'!$C$12*I390</f>
        <v>1130.112</v>
      </c>
      <c r="O390" s="75">
        <f>M390+N390</f>
        <v>1149.8590085470087</v>
      </c>
      <c r="P390" s="75">
        <f>(MIN(L390,'THAM_SO_MOI'!$C$41)-O390)/('THAM_SO_MOI'!$C$11*H390)</f>
        <v>0.9334237148347019</v>
      </c>
      <c r="Q390" s="75">
        <f>IF(P390&gt;0,1/P390,NA())</f>
        <v>1.0713248272003546</v>
      </c>
      <c r="R390" s="75">
        <f>F390-F389</f>
        <v>0.0035133136094676054</v>
      </c>
      <c r="S390" s="75">
        <f>0.5*(Q389+Q390)*R390</f>
        <v>0.0037644161895713305</v>
      </c>
      <c r="T390" s="75">
        <f>0.5*(F389*Q389+F390*Q390)*R390</f>
        <v>0.009774433499500797</v>
      </c>
      <c r="U390" s="76">
        <f>U389+S390</f>
        <v>1.582342647156354</v>
      </c>
      <c r="V390" s="76">
        <f>V389+T390</f>
        <v>3.0052863321474703</v>
      </c>
    </row>
    <row r="391" spans="1:22" ht="19" customHeight="1">
      <c r="A391" s="68" t="s">
        <v>368</v>
      </c>
      <c r="B391" s="74">
        <v>1</v>
      </c>
      <c r="C391" s="68" t="s">
        <v>363</v>
      </c>
      <c r="D391" s="68" t="s">
        <v>364</v>
      </c>
      <c r="E391" s="75">
        <f>60*F391*'THAM_SO_MOI'!$C$49/(2*PI()*'THAM_SO_MOI'!$C$26)</f>
        <v>1666.25</v>
      </c>
      <c r="F391" s="75">
        <f>'THAM_SO_MOI'!$E$49+('THAM_SO_MOI'!$F$49-'THAM_SO_MOI'!$E$49)*385/'THAM_SO_MOI'!$C$42</f>
        <v>2.601803911900066</v>
      </c>
      <c r="G391" s="75">
        <f>3.6*F391</f>
        <v>9.366494082840237</v>
      </c>
      <c r="H391" s="75">
        <f>'THAM_SO_MOI'!$D$49</f>
        <v>3.1625000000000005</v>
      </c>
      <c r="I391" s="75">
        <f>IF(F391&gt;'THAM_SO_MOI'!$C$14,'THAM_SO_MOI'!$C$13*(1+F391^2/1500),'THAM_SO_MOI'!$C$13)</f>
        <v>0.015</v>
      </c>
      <c r="J391" s="75">
        <f>'THAM_SO_MOI'!$C$40*('THAM_SO_MOI'!$C$23*(E391/'THAM_SO_MOI'!$C$22)+'THAM_SO_MOI'!$C$24*(E391/'THAM_SO_MOI'!$C$22)^2-'THAM_SO_MOI'!$C$25*(E391/'THAM_SO_MOI'!$C$22)^3)</f>
        <v>72.91968717272125</v>
      </c>
      <c r="K391" s="75">
        <f>'THAM_SO_MOI'!$C$31*J391/E391</f>
        <v>417.982359043751</v>
      </c>
      <c r="L391" s="75">
        <f>K391*'THAM_SO_MOI'!$C$49*'THAM_SO_MOI'!$C$17/'THAM_SO_MOI'!$C$26</f>
        <v>23827.095008375913</v>
      </c>
      <c r="M391" s="75">
        <f>'THAM_SO_MOI'!$C$15*'THAM_SO_MOI'!$C$16*F391^2</f>
        <v>19.800447018237072</v>
      </c>
      <c r="N391" s="75">
        <f>'THAM_SO_MOI'!$C$12*I391</f>
        <v>1130.112</v>
      </c>
      <c r="O391" s="75">
        <f>M391+N391</f>
        <v>1149.9124470182371</v>
      </c>
      <c r="P391" s="75">
        <f>(MIN(L391,'THAM_SO_MOI'!$C$41)-O391)/('THAM_SO_MOI'!$C$11*H391)</f>
        <v>0.9336784651415377</v>
      </c>
      <c r="Q391" s="75">
        <f>IF(P391&gt;0,1/P391,NA())</f>
        <v>1.0710325206530371</v>
      </c>
      <c r="R391" s="75">
        <f>F391-F390</f>
        <v>0.0035133136094676054</v>
      </c>
      <c r="S391" s="75">
        <f>0.5*(Q390+Q391)*R391</f>
        <v>0.0037633866132781232</v>
      </c>
      <c r="T391" s="75">
        <f>0.5*(F390*Q390+F391*Q391)*R391</f>
        <v>0.009784982131704152</v>
      </c>
      <c r="U391" s="76">
        <f>U390+S391</f>
        <v>1.586106033769632</v>
      </c>
      <c r="V391" s="76">
        <f>V390+T391</f>
        <v>3.0150713142791745</v>
      </c>
    </row>
    <row r="392" spans="1:22" ht="19" customHeight="1">
      <c r="A392" s="68" t="s">
        <v>368</v>
      </c>
      <c r="B392" s="74">
        <v>1</v>
      </c>
      <c r="C392" s="68" t="s">
        <v>363</v>
      </c>
      <c r="D392" s="68" t="s">
        <v>364</v>
      </c>
      <c r="E392" s="75">
        <f>60*F392*'THAM_SO_MOI'!$C$49/(2*PI()*'THAM_SO_MOI'!$C$26)</f>
        <v>1668.4999999999998</v>
      </c>
      <c r="F392" s="75">
        <f>'THAM_SO_MOI'!$E$49+('THAM_SO_MOI'!$F$49-'THAM_SO_MOI'!$E$49)*386/'THAM_SO_MOI'!$C$42</f>
        <v>2.605317225509533</v>
      </c>
      <c r="G392" s="75">
        <f>3.6*F392</f>
        <v>9.37914201183432</v>
      </c>
      <c r="H392" s="75">
        <f>'THAM_SO_MOI'!$D$49</f>
        <v>3.1625000000000005</v>
      </c>
      <c r="I392" s="75">
        <f>IF(F392&gt;'THAM_SO_MOI'!$C$14,'THAM_SO_MOI'!$C$13*(1+F392^2/1500),'THAM_SO_MOI'!$C$13)</f>
        <v>0.015</v>
      </c>
      <c r="J392" s="75">
        <f>'THAM_SO_MOI'!$C$40*('THAM_SO_MOI'!$C$23*(E392/'THAM_SO_MOI'!$C$22)+'THAM_SO_MOI'!$C$24*(E392/'THAM_SO_MOI'!$C$22)^2-'THAM_SO_MOI'!$C$25*(E392/'THAM_SO_MOI'!$C$22)^3)</f>
        <v>73.03719254878216</v>
      </c>
      <c r="K392" s="75">
        <f>'THAM_SO_MOI'!$C$31*J392/E392</f>
        <v>418.0913462170534</v>
      </c>
      <c r="L392" s="75">
        <f>K392*'THAM_SO_MOI'!$C$49*'THAM_SO_MOI'!$C$17/'THAM_SO_MOI'!$C$26</f>
        <v>23833.30782496203</v>
      </c>
      <c r="M392" s="75">
        <f>'THAM_SO_MOI'!$C$15*'THAM_SO_MOI'!$C$16*F392^2</f>
        <v>19.853957698194826</v>
      </c>
      <c r="N392" s="75">
        <f>'THAM_SO_MOI'!$C$12*I392</f>
        <v>1130.112</v>
      </c>
      <c r="O392" s="75">
        <f>M392+N392</f>
        <v>1149.9659576981949</v>
      </c>
      <c r="P392" s="75">
        <f>(MIN(L392,'THAM_SO_MOI'!$C$41)-O392)/('THAM_SO_MOI'!$C$11*H392)</f>
        <v>0.9339320597522986</v>
      </c>
      <c r="Q392" s="75">
        <f>IF(P392&gt;0,1/P392,NA())</f>
        <v>1.070741698561268</v>
      </c>
      <c r="R392" s="75">
        <f>F392-F391</f>
        <v>0.0035133136094671613</v>
      </c>
      <c r="S392" s="75">
        <f>0.5*(Q391+Q392)*R392</f>
        <v>0.003762362256385761</v>
      </c>
      <c r="T392" s="75">
        <f>0.5*(F391*Q391+F392*Q392)*R392</f>
        <v>0.00979553711847783</v>
      </c>
      <c r="U392" s="76">
        <f>U391+S392</f>
        <v>1.5898683960260178</v>
      </c>
      <c r="V392" s="76">
        <f>V391+T392</f>
        <v>3.024866851397652</v>
      </c>
    </row>
    <row r="393" spans="1:22" ht="19" customHeight="1">
      <c r="A393" s="68" t="s">
        <v>368</v>
      </c>
      <c r="B393" s="74">
        <v>1</v>
      </c>
      <c r="C393" s="68" t="s">
        <v>363</v>
      </c>
      <c r="D393" s="68" t="s">
        <v>364</v>
      </c>
      <c r="E393" s="75">
        <f>60*F393*'THAM_SO_MOI'!$C$49/(2*PI()*'THAM_SO_MOI'!$C$26)</f>
        <v>1670.75</v>
      </c>
      <c r="F393" s="75">
        <f>'THAM_SO_MOI'!$E$49+('THAM_SO_MOI'!$F$49-'THAM_SO_MOI'!$E$49)*387/'THAM_SO_MOI'!$C$42</f>
        <v>2.6088305391190008</v>
      </c>
      <c r="G393" s="75">
        <f>3.6*F393</f>
        <v>9.391789940828403</v>
      </c>
      <c r="H393" s="75">
        <f>'THAM_SO_MOI'!$D$49</f>
        <v>3.1625000000000005</v>
      </c>
      <c r="I393" s="75">
        <f>IF(F393&gt;'THAM_SO_MOI'!$C$14,'THAM_SO_MOI'!$C$13*(1+F393^2/1500),'THAM_SO_MOI'!$C$13)</f>
        <v>0.015</v>
      </c>
      <c r="J393" s="75">
        <f>'THAM_SO_MOI'!$C$40*('THAM_SO_MOI'!$C$23*(E393/'THAM_SO_MOI'!$C$22)+'THAM_SO_MOI'!$C$24*(E393/'THAM_SO_MOI'!$C$22)^2-'THAM_SO_MOI'!$C$25*(E393/'THAM_SO_MOI'!$C$22)^3)</f>
        <v>73.15466336058476</v>
      </c>
      <c r="K393" s="75">
        <f>'THAM_SO_MOI'!$C$31*J393/E393</f>
        <v>418.1998422522972</v>
      </c>
      <c r="L393" s="75">
        <f>K393*'THAM_SO_MOI'!$C$49*'THAM_SO_MOI'!$C$17/'THAM_SO_MOI'!$C$26</f>
        <v>23839.492644210623</v>
      </c>
      <c r="M393" s="75">
        <f>'THAM_SO_MOI'!$C$15*'THAM_SO_MOI'!$C$16*F393^2</f>
        <v>19.907540586881815</v>
      </c>
      <c r="N393" s="75">
        <f>'THAM_SO_MOI'!$C$12*I393</f>
        <v>1130.112</v>
      </c>
      <c r="O393" s="75">
        <f>M393+N393</f>
        <v>1150.019540586882</v>
      </c>
      <c r="P393" s="75">
        <f>(MIN(L393,'THAM_SO_MOI'!$C$41)-O393)/('THAM_SO_MOI'!$C$11*H393)</f>
        <v>0.9341844986669852</v>
      </c>
      <c r="Q393" s="75">
        <f>IF(P393&gt;0,1/P393,NA())</f>
        <v>1.0704523586367884</v>
      </c>
      <c r="R393" s="75">
        <f>F393-F392</f>
        <v>0.0035133136094676054</v>
      </c>
      <c r="S393" s="75">
        <f>0.5*(Q392+Q393)*R393</f>
        <v>0.0037613431108325453</v>
      </c>
      <c r="T393" s="75">
        <f>0.5*(F392*Q392+F393*Q393)*R393</f>
        <v>0.009806098493816607</v>
      </c>
      <c r="U393" s="76">
        <f>U392+S393</f>
        <v>1.5936297391368504</v>
      </c>
      <c r="V393" s="76">
        <f>V392+T393</f>
        <v>3.0346729498914686</v>
      </c>
    </row>
    <row r="394" spans="1:22" ht="19" customHeight="1">
      <c r="A394" s="68" t="s">
        <v>368</v>
      </c>
      <c r="B394" s="74">
        <v>1</v>
      </c>
      <c r="C394" s="68" t="s">
        <v>363</v>
      </c>
      <c r="D394" s="68" t="s">
        <v>364</v>
      </c>
      <c r="E394" s="75">
        <f>60*F394*'THAM_SO_MOI'!$C$49/(2*PI()*'THAM_SO_MOI'!$C$26)</f>
        <v>1673.0</v>
      </c>
      <c r="F394" s="75">
        <f>'THAM_SO_MOI'!$E$49+('THAM_SO_MOI'!$F$49-'THAM_SO_MOI'!$E$49)*388/'THAM_SO_MOI'!$C$42</f>
        <v>2.6123438527284684</v>
      </c>
      <c r="G394" s="75">
        <f>3.6*F394</f>
        <v>9.404437869822486</v>
      </c>
      <c r="H394" s="75">
        <f>'THAM_SO_MOI'!$D$49</f>
        <v>3.1625000000000005</v>
      </c>
      <c r="I394" s="75">
        <f>IF(F394&gt;'THAM_SO_MOI'!$C$14,'THAM_SO_MOI'!$C$13*(1+F394^2/1500),'THAM_SO_MOI'!$C$13)</f>
        <v>0.015</v>
      </c>
      <c r="J394" s="75">
        <f>'THAM_SO_MOI'!$C$40*('THAM_SO_MOI'!$C$23*(E394/'THAM_SO_MOI'!$C$22)+'THAM_SO_MOI'!$C$24*(E394/'THAM_SO_MOI'!$C$22)^2-'THAM_SO_MOI'!$C$25*(E394/'THAM_SO_MOI'!$C$22)^3)</f>
        <v>73.27209926102942</v>
      </c>
      <c r="K394" s="75">
        <f>'THAM_SO_MOI'!$C$31*J394/E394</f>
        <v>418.30784714948203</v>
      </c>
      <c r="L394" s="75">
        <f>K394*'THAM_SO_MOI'!$C$49*'THAM_SO_MOI'!$C$17/'THAM_SO_MOI'!$C$26</f>
        <v>23845.64946612167</v>
      </c>
      <c r="M394" s="75">
        <f>'THAM_SO_MOI'!$C$15*'THAM_SO_MOI'!$C$16*F394^2</f>
        <v>19.961195684298037</v>
      </c>
      <c r="N394" s="75">
        <f>'THAM_SO_MOI'!$C$12*I394</f>
        <v>1130.112</v>
      </c>
      <c r="O394" s="75">
        <f>M394+N394</f>
        <v>1150.073195684298</v>
      </c>
      <c r="P394" s="75">
        <f>(MIN(L394,'THAM_SO_MOI'!$C$41)-O394)/('THAM_SO_MOI'!$C$11*H394)</f>
        <v>0.9344357818855966</v>
      </c>
      <c r="Q394" s="75">
        <f>IF(P394&gt;0,1/P394,NA())</f>
        <v>1.0701644986048173</v>
      </c>
      <c r="R394" s="75">
        <f>F394-F393</f>
        <v>0.0035133136094676054</v>
      </c>
      <c r="S394" s="75">
        <f>0.5*(Q393+Q394)*R394</f>
        <v>0.003760329168601354</v>
      </c>
      <c r="T394" s="75">
        <f>0.5*(F393*Q393+F394*Q394)*R394</f>
        <v>0.009816666291718335</v>
      </c>
      <c r="U394" s="76">
        <f>U393+S394</f>
        <v>1.5973900683054516</v>
      </c>
      <c r="V394" s="76">
        <f>V393+T394</f>
        <v>3.044489616183187</v>
      </c>
    </row>
    <row r="395" spans="1:22" ht="19" customHeight="1">
      <c r="A395" s="68" t="s">
        <v>368</v>
      </c>
      <c r="B395" s="74">
        <v>1</v>
      </c>
      <c r="C395" s="68" t="s">
        <v>363</v>
      </c>
      <c r="D395" s="68" t="s">
        <v>364</v>
      </c>
      <c r="E395" s="75">
        <f>60*F395*'THAM_SO_MOI'!$C$49/(2*PI()*'THAM_SO_MOI'!$C$26)</f>
        <v>1675.2499999999998</v>
      </c>
      <c r="F395" s="75">
        <f>'THAM_SO_MOI'!$E$49+('THAM_SO_MOI'!$F$49-'THAM_SO_MOI'!$E$49)*389/'THAM_SO_MOI'!$C$42</f>
        <v>2.6158571663379355</v>
      </c>
      <c r="G395" s="75">
        <f>3.6*F395</f>
        <v>9.417085798816569</v>
      </c>
      <c r="H395" s="75">
        <f>'THAM_SO_MOI'!$D$49</f>
        <v>3.1625000000000005</v>
      </c>
      <c r="I395" s="75">
        <f>IF(F395&gt;'THAM_SO_MOI'!$C$14,'THAM_SO_MOI'!$C$13*(1+F395^2/1500),'THAM_SO_MOI'!$C$13)</f>
        <v>0.015</v>
      </c>
      <c r="J395" s="75">
        <f>'THAM_SO_MOI'!$C$40*('THAM_SO_MOI'!$C$23*(E395/'THAM_SO_MOI'!$C$22)+'THAM_SO_MOI'!$C$24*(E395/'THAM_SO_MOI'!$C$22)^2-'THAM_SO_MOI'!$C$25*(E395/'THAM_SO_MOI'!$C$22)^3)</f>
        <v>73.38949990301666</v>
      </c>
      <c r="K395" s="75">
        <f>'THAM_SO_MOI'!$C$31*J395/E395</f>
        <v>418.4153609086082</v>
      </c>
      <c r="L395" s="75">
        <f>K395*'THAM_SO_MOI'!$C$49*'THAM_SO_MOI'!$C$17/'THAM_SO_MOI'!$C$26</f>
        <v>23851.77829069519</v>
      </c>
      <c r="M395" s="75">
        <f>'THAM_SO_MOI'!$C$15*'THAM_SO_MOI'!$C$16*F395^2</f>
        <v>20.014922990443488</v>
      </c>
      <c r="N395" s="75">
        <f>'THAM_SO_MOI'!$C$12*I395</f>
        <v>1130.112</v>
      </c>
      <c r="O395" s="75">
        <f>M395+N395</f>
        <v>1150.1269229904435</v>
      </c>
      <c r="P395" s="75">
        <f>(MIN(L395,'THAM_SO_MOI'!$C$41)-O395)/('THAM_SO_MOI'!$C$11*H395)</f>
        <v>0.9346859094081335</v>
      </c>
      <c r="Q395" s="75">
        <f>IF(P395&gt;0,1/P395,NA())</f>
        <v>1.0698781162040039</v>
      </c>
      <c r="R395" s="75">
        <f>F395-F394</f>
        <v>0.0035133136094671613</v>
      </c>
      <c r="S395" s="75">
        <f>0.5*(Q394+Q395)*R395</f>
        <v>0.0037593204217237605</v>
      </c>
      <c r="T395" s="75">
        <f>0.5*(F394*Q394+F395*Q395)*R395</f>
        <v>0.00982724054619549</v>
      </c>
      <c r="U395" s="76">
        <f>U394+S395</f>
        <v>1.6011493887271753</v>
      </c>
      <c r="V395" s="76">
        <f>V394+T395</f>
        <v>3.0543168567293826</v>
      </c>
    </row>
    <row r="396" spans="1:22" ht="19" customHeight="1">
      <c r="A396" s="68" t="s">
        <v>368</v>
      </c>
      <c r="B396" s="74">
        <v>1</v>
      </c>
      <c r="C396" s="68" t="s">
        <v>363</v>
      </c>
      <c r="D396" s="68" t="s">
        <v>364</v>
      </c>
      <c r="E396" s="75">
        <f>60*F396*'THAM_SO_MOI'!$C$49/(2*PI()*'THAM_SO_MOI'!$C$26)</f>
        <v>1677.4999999999995</v>
      </c>
      <c r="F396" s="75">
        <f>'THAM_SO_MOI'!$E$49+('THAM_SO_MOI'!$F$49-'THAM_SO_MOI'!$E$49)*390/'THAM_SO_MOI'!$C$42</f>
        <v>2.619370479947403</v>
      </c>
      <c r="G396" s="75">
        <f>3.6*F396</f>
        <v>9.429733727810651</v>
      </c>
      <c r="H396" s="75">
        <f>'THAM_SO_MOI'!$D$49</f>
        <v>3.1625000000000005</v>
      </c>
      <c r="I396" s="75">
        <f>IF(F396&gt;'THAM_SO_MOI'!$C$14,'THAM_SO_MOI'!$C$13*(1+F396^2/1500),'THAM_SO_MOI'!$C$13)</f>
        <v>0.015</v>
      </c>
      <c r="J396" s="75">
        <f>'THAM_SO_MOI'!$C$40*('THAM_SO_MOI'!$C$23*(E396/'THAM_SO_MOI'!$C$22)+'THAM_SO_MOI'!$C$24*(E396/'THAM_SO_MOI'!$C$22)^2-'THAM_SO_MOI'!$C$25*(E396/'THAM_SO_MOI'!$C$22)^3)</f>
        <v>73.50686493944688</v>
      </c>
      <c r="K396" s="75">
        <f>'THAM_SO_MOI'!$C$31*J396/E396</f>
        <v>418.5223835296755</v>
      </c>
      <c r="L396" s="75">
        <f>K396*'THAM_SO_MOI'!$C$49*'THAM_SO_MOI'!$C$17/'THAM_SO_MOI'!$C$26</f>
        <v>23857.87911793118</v>
      </c>
      <c r="M396" s="75">
        <f>'THAM_SO_MOI'!$C$15*'THAM_SO_MOI'!$C$16*F396^2</f>
        <v>20.068722505318178</v>
      </c>
      <c r="N396" s="75">
        <f>'THAM_SO_MOI'!$C$12*I396</f>
        <v>1130.112</v>
      </c>
      <c r="O396" s="75">
        <f>M396+N396</f>
        <v>1150.1807225053183</v>
      </c>
      <c r="P396" s="75">
        <f>(MIN(L396,'THAM_SO_MOI'!$C$41)-O396)/('THAM_SO_MOI'!$C$11*H396)</f>
        <v>0.9349348812345956</v>
      </c>
      <c r="Q396" s="75">
        <f>IF(P396&gt;0,1/P396,NA())</f>
        <v>1.069593209186382</v>
      </c>
      <c r="R396" s="75">
        <f>F396-F395</f>
        <v>0.0035133136094676054</v>
      </c>
      <c r="S396" s="75">
        <f>0.5*(Q395+Q396)*R396</f>
        <v>0.0037583168622798697</v>
      </c>
      <c r="T396" s="75">
        <f>0.5*(F395*Q395+F396*Q396)*R396</f>
        <v>0.009837821291275606</v>
      </c>
      <c r="U396" s="76">
        <f>U395+S396</f>
        <v>1.6049077055894552</v>
      </c>
      <c r="V396" s="76">
        <f>V395+T396</f>
        <v>3.064154678020658</v>
      </c>
    </row>
    <row r="397" spans="1:22" ht="19" customHeight="1">
      <c r="A397" s="68" t="s">
        <v>368</v>
      </c>
      <c r="B397" s="74">
        <v>1</v>
      </c>
      <c r="C397" s="68" t="s">
        <v>363</v>
      </c>
      <c r="D397" s="68" t="s">
        <v>364</v>
      </c>
      <c r="E397" s="75">
        <f>60*F397*'THAM_SO_MOI'!$C$49/(2*PI()*'THAM_SO_MOI'!$C$26)</f>
        <v>1679.7499999999998</v>
      </c>
      <c r="F397" s="75">
        <f>'THAM_SO_MOI'!$E$49+('THAM_SO_MOI'!$F$49-'THAM_SO_MOI'!$E$49)*391/'THAM_SO_MOI'!$C$42</f>
        <v>2.6228837935568707</v>
      </c>
      <c r="G397" s="75">
        <f>3.6*F397</f>
        <v>9.442381656804734</v>
      </c>
      <c r="H397" s="75">
        <f>'THAM_SO_MOI'!$D$49</f>
        <v>3.1625000000000005</v>
      </c>
      <c r="I397" s="75">
        <f>IF(F397&gt;'THAM_SO_MOI'!$C$14,'THAM_SO_MOI'!$C$13*(1+F397^2/1500),'THAM_SO_MOI'!$C$13)</f>
        <v>0.015</v>
      </c>
      <c r="J397" s="75">
        <f>'THAM_SO_MOI'!$C$40*('THAM_SO_MOI'!$C$23*(E397/'THAM_SO_MOI'!$C$22)+'THAM_SO_MOI'!$C$24*(E397/'THAM_SO_MOI'!$C$22)^2-'THAM_SO_MOI'!$C$25*(E397/'THAM_SO_MOI'!$C$22)^3)</f>
        <v>73.62419402322061</v>
      </c>
      <c r="K397" s="75">
        <f>'THAM_SO_MOI'!$C$31*J397/E397</f>
        <v>418.62891501268416</v>
      </c>
      <c r="L397" s="75">
        <f>K397*'THAM_SO_MOI'!$C$49*'THAM_SO_MOI'!$C$17/'THAM_SO_MOI'!$C$26</f>
        <v>23863.951947829642</v>
      </c>
      <c r="M397" s="75">
        <f>'THAM_SO_MOI'!$C$15*'THAM_SO_MOI'!$C$16*F397^2</f>
        <v>20.1225942289221</v>
      </c>
      <c r="N397" s="75">
        <f>'THAM_SO_MOI'!$C$12*I397</f>
        <v>1130.112</v>
      </c>
      <c r="O397" s="75">
        <f>M397+N397</f>
        <v>1150.234594228922</v>
      </c>
      <c r="P397" s="75">
        <f>(MIN(L397,'THAM_SO_MOI'!$C$41)-O397)/('THAM_SO_MOI'!$C$11*H397)</f>
        <v>0.9351826973649833</v>
      </c>
      <c r="Q397" s="75">
        <f>IF(P397&gt;0,1/P397,NA())</f>
        <v>1.0693097753173249</v>
      </c>
      <c r="R397" s="75">
        <f>F397-F396</f>
        <v>0.0035133136094676054</v>
      </c>
      <c r="S397" s="75">
        <f>0.5*(Q396+Q397)*R397</f>
        <v>0.003757318482393876</v>
      </c>
      <c r="T397" s="75">
        <f>0.5*(F396*Q396+F397*Q397)*R397</f>
        <v>0.009848408560990488</v>
      </c>
      <c r="U397" s="76">
        <f>U396+S397</f>
        <v>1.608665024071849</v>
      </c>
      <c r="V397" s="76">
        <f>V396+T397</f>
        <v>3.074003086581649</v>
      </c>
    </row>
    <row r="398" spans="1:22" ht="19" customHeight="1">
      <c r="A398" s="68" t="s">
        <v>368</v>
      </c>
      <c r="B398" s="74">
        <v>1</v>
      </c>
      <c r="C398" s="68" t="s">
        <v>363</v>
      </c>
      <c r="D398" s="68" t="s">
        <v>364</v>
      </c>
      <c r="E398" s="75">
        <f>60*F398*'THAM_SO_MOI'!$C$49/(2*PI()*'THAM_SO_MOI'!$C$26)</f>
        <v>1681.9999999999998</v>
      </c>
      <c r="F398" s="75">
        <f>'THAM_SO_MOI'!$E$49+('THAM_SO_MOI'!$F$49-'THAM_SO_MOI'!$E$49)*392/'THAM_SO_MOI'!$C$42</f>
        <v>2.626397107166338</v>
      </c>
      <c r="G398" s="75">
        <f>3.6*F398</f>
        <v>9.455029585798817</v>
      </c>
      <c r="H398" s="75">
        <f>'THAM_SO_MOI'!$D$49</f>
        <v>3.1625000000000005</v>
      </c>
      <c r="I398" s="75">
        <f>IF(F398&gt;'THAM_SO_MOI'!$C$14,'THAM_SO_MOI'!$C$13*(1+F398^2/1500),'THAM_SO_MOI'!$C$13)</f>
        <v>0.015</v>
      </c>
      <c r="J398" s="75">
        <f>'THAM_SO_MOI'!$C$40*('THAM_SO_MOI'!$C$23*(E398/'THAM_SO_MOI'!$C$22)+'THAM_SO_MOI'!$C$24*(E398/'THAM_SO_MOI'!$C$22)^2-'THAM_SO_MOI'!$C$25*(E398/'THAM_SO_MOI'!$C$22)^3)</f>
        <v>73.74148680723826</v>
      </c>
      <c r="K398" s="75">
        <f>'THAM_SO_MOI'!$C$31*J398/E398</f>
        <v>418.73495535763396</v>
      </c>
      <c r="L398" s="75">
        <f>K398*'THAM_SO_MOI'!$C$49*'THAM_SO_MOI'!$C$17/'THAM_SO_MOI'!$C$26</f>
        <v>23869.996780390567</v>
      </c>
      <c r="M398" s="75">
        <f>'THAM_SO_MOI'!$C$15*'THAM_SO_MOI'!$C$16*F398^2</f>
        <v>20.176538161255248</v>
      </c>
      <c r="N398" s="75">
        <f>'THAM_SO_MOI'!$C$12*I398</f>
        <v>1130.112</v>
      </c>
      <c r="O398" s="75">
        <f>M398+N398</f>
        <v>1150.2885381612552</v>
      </c>
      <c r="P398" s="75">
        <f>(MIN(L398,'THAM_SO_MOI'!$C$41)-O398)/('THAM_SO_MOI'!$C$11*H398)</f>
        <v>0.9354293577992963</v>
      </c>
      <c r="Q398" s="75">
        <f>IF(P398&gt;0,1/P398,NA())</f>
        <v>1.0690278123754995</v>
      </c>
      <c r="R398" s="75">
        <f>F398-F397</f>
        <v>0.0035133136094671613</v>
      </c>
      <c r="S398" s="75">
        <f>0.5*(Q397+Q398)*R398</f>
        <v>0.003756325274238189</v>
      </c>
      <c r="T398" s="75">
        <f>0.5*(F397*Q397+F398*Q398)*R398</f>
        <v>0.009859002389387791</v>
      </c>
      <c r="U398" s="76">
        <f>U397+S398</f>
        <v>1.612421349346087</v>
      </c>
      <c r="V398" s="76">
        <f>V397+T398</f>
        <v>3.0838620889710366</v>
      </c>
    </row>
    <row r="399" spans="1:22" ht="19" customHeight="1">
      <c r="A399" s="68" t="s">
        <v>368</v>
      </c>
      <c r="B399" s="74">
        <v>1</v>
      </c>
      <c r="C399" s="68" t="s">
        <v>363</v>
      </c>
      <c r="D399" s="68" t="s">
        <v>364</v>
      </c>
      <c r="E399" s="75">
        <f>60*F399*'THAM_SO_MOI'!$C$49/(2*PI()*'THAM_SO_MOI'!$C$26)</f>
        <v>1684.2499999999995</v>
      </c>
      <c r="F399" s="75">
        <f>'THAM_SO_MOI'!$E$49+('THAM_SO_MOI'!$F$49-'THAM_SO_MOI'!$E$49)*393/'THAM_SO_MOI'!$C$42</f>
        <v>2.6299104207758055</v>
      </c>
      <c r="G399" s="75">
        <f>3.6*F399</f>
        <v>9.4676775147929</v>
      </c>
      <c r="H399" s="75">
        <f>'THAM_SO_MOI'!$D$49</f>
        <v>3.1625000000000005</v>
      </c>
      <c r="I399" s="75">
        <f>IF(F399&gt;'THAM_SO_MOI'!$C$14,'THAM_SO_MOI'!$C$13*(1+F399^2/1500),'THAM_SO_MOI'!$C$13)</f>
        <v>0.015</v>
      </c>
      <c r="J399" s="75">
        <f>'THAM_SO_MOI'!$C$40*('THAM_SO_MOI'!$C$23*(E399/'THAM_SO_MOI'!$C$22)+'THAM_SO_MOI'!$C$24*(E399/'THAM_SO_MOI'!$C$22)^2-'THAM_SO_MOI'!$C$25*(E399/'THAM_SO_MOI'!$C$22)^3)</f>
        <v>73.85874294440026</v>
      </c>
      <c r="K399" s="75">
        <f>'THAM_SO_MOI'!$C$31*J399/E399</f>
        <v>418.84050456452496</v>
      </c>
      <c r="L399" s="75">
        <f>K399*'THAM_SO_MOI'!$C$49*'THAM_SO_MOI'!$C$17/'THAM_SO_MOI'!$C$26</f>
        <v>23876.013615613956</v>
      </c>
      <c r="M399" s="75">
        <f>'THAM_SO_MOI'!$C$15*'THAM_SO_MOI'!$C$16*F399^2</f>
        <v>20.230554302317636</v>
      </c>
      <c r="N399" s="75">
        <f>'THAM_SO_MOI'!$C$12*I399</f>
        <v>1130.112</v>
      </c>
      <c r="O399" s="75">
        <f>M399+N399</f>
        <v>1150.3425543023177</v>
      </c>
      <c r="P399" s="75">
        <f>(MIN(L399,'THAM_SO_MOI'!$C$41)-O399)/('THAM_SO_MOI'!$C$11*H399)</f>
        <v>0.9356748625375343</v>
      </c>
      <c r="Q399" s="75">
        <f>IF(P399&gt;0,1/P399,NA())</f>
        <v>1.0687473181528218</v>
      </c>
      <c r="R399" s="75">
        <f>F399-F398</f>
        <v>0.0035133136094676054</v>
      </c>
      <c r="S399" s="75">
        <f>0.5*(Q398+Q399)*R399</f>
        <v>0.0037553372300332686</v>
      </c>
      <c r="T399" s="75">
        <f>0.5*(F398*Q398+F399*Q399)*R399</f>
        <v>0.009869602810531463</v>
      </c>
      <c r="U399" s="76">
        <f>U398+S399</f>
        <v>1.6161766865761202</v>
      </c>
      <c r="V399" s="76">
        <f>V398+T399</f>
        <v>3.093731691781568</v>
      </c>
    </row>
    <row r="400" spans="1:22" ht="19" customHeight="1">
      <c r="A400" s="68" t="s">
        <v>368</v>
      </c>
      <c r="B400" s="74">
        <v>1</v>
      </c>
      <c r="C400" s="68" t="s">
        <v>363</v>
      </c>
      <c r="D400" s="68" t="s">
        <v>364</v>
      </c>
      <c r="E400" s="75">
        <f>60*F400*'THAM_SO_MOI'!$C$49/(2*PI()*'THAM_SO_MOI'!$C$26)</f>
        <v>1686.4999999999998</v>
      </c>
      <c r="F400" s="75">
        <f>'THAM_SO_MOI'!$E$49+('THAM_SO_MOI'!$F$49-'THAM_SO_MOI'!$E$49)*394/'THAM_SO_MOI'!$C$42</f>
        <v>2.633423734385273</v>
      </c>
      <c r="G400" s="75">
        <f>3.6*F400</f>
        <v>9.480325443786983</v>
      </c>
      <c r="H400" s="75">
        <f>'THAM_SO_MOI'!$D$49</f>
        <v>3.1625000000000005</v>
      </c>
      <c r="I400" s="75">
        <f>IF(F400&gt;'THAM_SO_MOI'!$C$14,'THAM_SO_MOI'!$C$13*(1+F400^2/1500),'THAM_SO_MOI'!$C$13)</f>
        <v>0.015</v>
      </c>
      <c r="J400" s="75">
        <f>'THAM_SO_MOI'!$C$40*('THAM_SO_MOI'!$C$23*(E400/'THAM_SO_MOI'!$C$22)+'THAM_SO_MOI'!$C$24*(E400/'THAM_SO_MOI'!$C$22)^2-'THAM_SO_MOI'!$C$25*(E400/'THAM_SO_MOI'!$C$22)^3)</f>
        <v>73.97596208760712</v>
      </c>
      <c r="K400" s="75">
        <f>'THAM_SO_MOI'!$C$31*J400/E400</f>
        <v>418.94556263335727</v>
      </c>
      <c r="L400" s="75">
        <f>K400*'THAM_SO_MOI'!$C$49*'THAM_SO_MOI'!$C$17/'THAM_SO_MOI'!$C$26</f>
        <v>23882.002453499823</v>
      </c>
      <c r="M400" s="75">
        <f>'THAM_SO_MOI'!$C$15*'THAM_SO_MOI'!$C$16*F400^2</f>
        <v>20.28464265210926</v>
      </c>
      <c r="N400" s="75">
        <f>'THAM_SO_MOI'!$C$12*I400</f>
        <v>1130.112</v>
      </c>
      <c r="O400" s="75">
        <f>M400+N400</f>
        <v>1150.3966426521094</v>
      </c>
      <c r="P400" s="75">
        <f>(MIN(L400,'THAM_SO_MOI'!$C$41)-O400)/('THAM_SO_MOI'!$C$11*H400)</f>
        <v>0.9359192115796982</v>
      </c>
      <c r="Q400" s="75">
        <f>IF(P400&gt;0,1/P400,NA())</f>
        <v>1.0684682904544107</v>
      </c>
      <c r="R400" s="75">
        <f>F400-F399</f>
        <v>0.0035133136094676054</v>
      </c>
      <c r="S400" s="75">
        <f>0.5*(Q399+Q400)*R400</f>
        <v>0.0037543543420431903</v>
      </c>
      <c r="T400" s="75">
        <f>0.5*(F399*Q399+F400*Q400)*R400</f>
        <v>0.009880209858490906</v>
      </c>
      <c r="U400" s="76">
        <f>U399+S400</f>
        <v>1.6199310409181635</v>
      </c>
      <c r="V400" s="76">
        <f>V399+T400</f>
        <v>3.103611901640059</v>
      </c>
    </row>
    <row r="401" spans="1:22" ht="19" customHeight="1">
      <c r="A401" s="68" t="s">
        <v>368</v>
      </c>
      <c r="B401" s="74">
        <v>1</v>
      </c>
      <c r="C401" s="68" t="s">
        <v>363</v>
      </c>
      <c r="D401" s="68" t="s">
        <v>364</v>
      </c>
      <c r="E401" s="75">
        <f>60*F401*'THAM_SO_MOI'!$C$49/(2*PI()*'THAM_SO_MOI'!$C$26)</f>
        <v>1688.7499999999998</v>
      </c>
      <c r="F401" s="75">
        <f>'THAM_SO_MOI'!$E$49+('THAM_SO_MOI'!$F$49-'THAM_SO_MOI'!$E$49)*395/'THAM_SO_MOI'!$C$42</f>
        <v>2.6369370479947403</v>
      </c>
      <c r="G401" s="75">
        <f>3.6*F401</f>
        <v>9.492973372781066</v>
      </c>
      <c r="H401" s="75">
        <f>'THAM_SO_MOI'!$D$49</f>
        <v>3.1625000000000005</v>
      </c>
      <c r="I401" s="75">
        <f>IF(F401&gt;'THAM_SO_MOI'!$C$14,'THAM_SO_MOI'!$C$13*(1+F401^2/1500),'THAM_SO_MOI'!$C$13)</f>
        <v>0.015</v>
      </c>
      <c r="J401" s="75">
        <f>'THAM_SO_MOI'!$C$40*('THAM_SO_MOI'!$C$23*(E401/'THAM_SO_MOI'!$C$22)+'THAM_SO_MOI'!$C$24*(E401/'THAM_SO_MOI'!$C$22)^2-'THAM_SO_MOI'!$C$25*(E401/'THAM_SO_MOI'!$C$22)^3)</f>
        <v>74.09314388975926</v>
      </c>
      <c r="K401" s="75">
        <f>'THAM_SO_MOI'!$C$31*J401/E401</f>
        <v>419.0501295641307</v>
      </c>
      <c r="L401" s="75">
        <f>K401*'THAM_SO_MOI'!$C$49*'THAM_SO_MOI'!$C$17/'THAM_SO_MOI'!$C$26</f>
        <v>23887.96329404815</v>
      </c>
      <c r="M401" s="75">
        <f>'THAM_SO_MOI'!$C$15*'THAM_SO_MOI'!$C$16*F401^2</f>
        <v>20.338803210630108</v>
      </c>
      <c r="N401" s="75">
        <f>'THAM_SO_MOI'!$C$12*I401</f>
        <v>1130.112</v>
      </c>
      <c r="O401" s="75">
        <f>M401+N401</f>
        <v>1150.4508032106303</v>
      </c>
      <c r="P401" s="75">
        <f>(MIN(L401,'THAM_SO_MOI'!$C$41)-O401)/('THAM_SO_MOI'!$C$11*H401)</f>
        <v>0.9361624049257871</v>
      </c>
      <c r="Q401" s="75">
        <f>IF(P401&gt;0,1/P401,NA())</f>
        <v>1.068190727098546</v>
      </c>
      <c r="R401" s="75">
        <f>F401-F400</f>
        <v>0.0035133136094671613</v>
      </c>
      <c r="S401" s="75">
        <f>0.5*(Q400+Q401)*R401</f>
        <v>0.0037533766025797687</v>
      </c>
      <c r="T401" s="75">
        <f>0.5*(F400*Q400+F401*Q401)*R401</f>
        <v>0.009890823567352597</v>
      </c>
      <c r="U401" s="76">
        <f>U400+S401</f>
        <v>1.6236844175207432</v>
      </c>
      <c r="V401" s="76">
        <f>V400+T401</f>
        <v>3.1135027252074114</v>
      </c>
    </row>
    <row r="402" spans="1:22" ht="19" customHeight="1">
      <c r="A402" s="68" t="s">
        <v>368</v>
      </c>
      <c r="B402" s="74">
        <v>1</v>
      </c>
      <c r="C402" s="68" t="s">
        <v>363</v>
      </c>
      <c r="D402" s="68" t="s">
        <v>364</v>
      </c>
      <c r="E402" s="75">
        <f>60*F402*'THAM_SO_MOI'!$C$49/(2*PI()*'THAM_SO_MOI'!$C$26)</f>
        <v>1691.0</v>
      </c>
      <c r="F402" s="75">
        <f>'THAM_SO_MOI'!$E$49+('THAM_SO_MOI'!$F$49-'THAM_SO_MOI'!$E$49)*396/'THAM_SO_MOI'!$C$42</f>
        <v>2.640450361604208</v>
      </c>
      <c r="G402" s="75">
        <f>3.6*F402</f>
        <v>9.505621301775149</v>
      </c>
      <c r="H402" s="75">
        <f>'THAM_SO_MOI'!$D$49</f>
        <v>3.1625000000000005</v>
      </c>
      <c r="I402" s="75">
        <f>IF(F402&gt;'THAM_SO_MOI'!$C$14,'THAM_SO_MOI'!$C$13*(1+F402^2/1500),'THAM_SO_MOI'!$C$13)</f>
        <v>0.015</v>
      </c>
      <c r="J402" s="75">
        <f>'THAM_SO_MOI'!$C$40*('THAM_SO_MOI'!$C$23*(E402/'THAM_SO_MOI'!$C$22)+'THAM_SO_MOI'!$C$24*(E402/'THAM_SO_MOI'!$C$22)^2-'THAM_SO_MOI'!$C$25*(E402/'THAM_SO_MOI'!$C$22)^3)</f>
        <v>74.21028800375714</v>
      </c>
      <c r="K402" s="75">
        <f>'THAM_SO_MOI'!$C$31*J402/E402</f>
        <v>419.1542053568454</v>
      </c>
      <c r="L402" s="75">
        <f>K402*'THAM_SO_MOI'!$C$49*'THAM_SO_MOI'!$C$17/'THAM_SO_MOI'!$C$26</f>
        <v>23893.896137258944</v>
      </c>
      <c r="M402" s="75">
        <f>'THAM_SO_MOI'!$C$15*'THAM_SO_MOI'!$C$16*F402^2</f>
        <v>20.393035977880192</v>
      </c>
      <c r="N402" s="75">
        <f>'THAM_SO_MOI'!$C$12*I402</f>
        <v>1130.112</v>
      </c>
      <c r="O402" s="75">
        <f>M402+N402</f>
        <v>1150.5050359778802</v>
      </c>
      <c r="P402" s="75">
        <f>(MIN(L402,'THAM_SO_MOI'!$C$41)-O402)/('THAM_SO_MOI'!$C$11*H402)</f>
        <v>0.9364044425758012</v>
      </c>
      <c r="Q402" s="75">
        <f>IF(P402&gt;0,1/P402,NA())</f>
        <v>1.0679146259166223</v>
      </c>
      <c r="R402" s="75">
        <f>F402-F401</f>
        <v>0.0035133136094676054</v>
      </c>
      <c r="S402" s="75">
        <f>0.5*(Q401+Q402)*R402</f>
        <v>0.0037524040040023974</v>
      </c>
      <c r="T402" s="75">
        <f>0.5*(F401*Q401+F402*Q402)*R402</f>
        <v>0.00990144397122053</v>
      </c>
      <c r="U402" s="76">
        <f>U401+S402</f>
        <v>1.6274368215247457</v>
      </c>
      <c r="V402" s="76">
        <f>V401+T402</f>
        <v>3.123404169178632</v>
      </c>
    </row>
    <row r="403" spans="1:22" ht="19" customHeight="1">
      <c r="A403" s="68" t="s">
        <v>368</v>
      </c>
      <c r="B403" s="74">
        <v>1</v>
      </c>
      <c r="C403" s="68" t="s">
        <v>363</v>
      </c>
      <c r="D403" s="68" t="s">
        <v>364</v>
      </c>
      <c r="E403" s="75">
        <f>60*F403*'THAM_SO_MOI'!$C$49/(2*PI()*'THAM_SO_MOI'!$C$26)</f>
        <v>1693.2499999999998</v>
      </c>
      <c r="F403" s="75">
        <f>'THAM_SO_MOI'!$E$49+('THAM_SO_MOI'!$F$49-'THAM_SO_MOI'!$E$49)*397/'THAM_SO_MOI'!$C$42</f>
        <v>2.6439636752136755</v>
      </c>
      <c r="G403" s="75">
        <f>3.6*F403</f>
        <v>9.518269230769231</v>
      </c>
      <c r="H403" s="75">
        <f>'THAM_SO_MOI'!$D$49</f>
        <v>3.1625000000000005</v>
      </c>
      <c r="I403" s="75">
        <f>IF(F403&gt;'THAM_SO_MOI'!$C$14,'THAM_SO_MOI'!$C$13*(1+F403^2/1500),'THAM_SO_MOI'!$C$13)</f>
        <v>0.015</v>
      </c>
      <c r="J403" s="75">
        <f>'THAM_SO_MOI'!$C$40*('THAM_SO_MOI'!$C$23*(E403/'THAM_SO_MOI'!$C$22)+'THAM_SO_MOI'!$C$24*(E403/'THAM_SO_MOI'!$C$22)^2-'THAM_SO_MOI'!$C$25*(E403/'THAM_SO_MOI'!$C$22)^3)</f>
        <v>74.32739408250124</v>
      </c>
      <c r="K403" s="75">
        <f>'THAM_SO_MOI'!$C$31*J403/E403</f>
        <v>419.25779001150147</v>
      </c>
      <c r="L403" s="75">
        <f>K403*'THAM_SO_MOI'!$C$49*'THAM_SO_MOI'!$C$17/'THAM_SO_MOI'!$C$26</f>
        <v>23899.800983132212</v>
      </c>
      <c r="M403" s="75">
        <f>'THAM_SO_MOI'!$C$15*'THAM_SO_MOI'!$C$16*F403^2</f>
        <v>20.447340953859516</v>
      </c>
      <c r="N403" s="75">
        <f>'THAM_SO_MOI'!$C$12*I403</f>
        <v>1130.112</v>
      </c>
      <c r="O403" s="75">
        <f>M403+N403</f>
        <v>1150.5593409538596</v>
      </c>
      <c r="P403" s="75">
        <f>(MIN(L403,'THAM_SO_MOI'!$C$41)-O403)/('THAM_SO_MOI'!$C$11*H403)</f>
        <v>0.936645324529741</v>
      </c>
      <c r="Q403" s="75">
        <f>IF(P403&gt;0,1/P403,NA())</f>
        <v>1.0676399847531053</v>
      </c>
      <c r="R403" s="75">
        <f>F403-F402</f>
        <v>0.0035133136094676054</v>
      </c>
      <c r="S403" s="75">
        <f>0.5*(Q402+Q403)*R403</f>
        <v>0.003751436538713624</v>
      </c>
      <c r="T403" s="75">
        <f>0.5*(F402*Q402+F403*Q403)*R403</f>
        <v>0.009912071104205337</v>
      </c>
      <c r="U403" s="76">
        <f>U402+S403</f>
        <v>1.6311882580634594</v>
      </c>
      <c r="V403" s="76">
        <f>V402+T403</f>
        <v>3.1333162402828374</v>
      </c>
    </row>
    <row r="404" spans="1:22" ht="19" customHeight="1">
      <c r="A404" s="68" t="s">
        <v>368</v>
      </c>
      <c r="B404" s="74">
        <v>1</v>
      </c>
      <c r="C404" s="68" t="s">
        <v>363</v>
      </c>
      <c r="D404" s="68" t="s">
        <v>364</v>
      </c>
      <c r="E404" s="75">
        <f>60*F404*'THAM_SO_MOI'!$C$49/(2*PI()*'THAM_SO_MOI'!$C$26)</f>
        <v>1695.4999999999995</v>
      </c>
      <c r="F404" s="75">
        <f>'THAM_SO_MOI'!$E$49+('THAM_SO_MOI'!$F$49-'THAM_SO_MOI'!$E$49)*398/'THAM_SO_MOI'!$C$42</f>
        <v>2.6474769888231426</v>
      </c>
      <c r="G404" s="75">
        <f>3.6*F404</f>
        <v>9.530917159763314</v>
      </c>
      <c r="H404" s="75">
        <f>'THAM_SO_MOI'!$D$49</f>
        <v>3.1625000000000005</v>
      </c>
      <c r="I404" s="75">
        <f>IF(F404&gt;'THAM_SO_MOI'!$C$14,'THAM_SO_MOI'!$C$13*(1+F404^2/1500),'THAM_SO_MOI'!$C$13)</f>
        <v>0.015</v>
      </c>
      <c r="J404" s="75">
        <f>'THAM_SO_MOI'!$C$40*('THAM_SO_MOI'!$C$23*(E404/'THAM_SO_MOI'!$C$22)+'THAM_SO_MOI'!$C$24*(E404/'THAM_SO_MOI'!$C$22)^2-'THAM_SO_MOI'!$C$25*(E404/'THAM_SO_MOI'!$C$22)^3)</f>
        <v>74.44446177889195</v>
      </c>
      <c r="K404" s="75">
        <f>'THAM_SO_MOI'!$C$31*J404/E404</f>
        <v>419.36088352809844</v>
      </c>
      <c r="L404" s="75">
        <f>K404*'THAM_SO_MOI'!$C$49*'THAM_SO_MOI'!$C$17/'THAM_SO_MOI'!$C$26</f>
        <v>23905.677831667937</v>
      </c>
      <c r="M404" s="75">
        <f>'THAM_SO_MOI'!$C$15*'THAM_SO_MOI'!$C$16*F404^2</f>
        <v>20.501718138568062</v>
      </c>
      <c r="N404" s="75">
        <f>'THAM_SO_MOI'!$C$12*I404</f>
        <v>1130.112</v>
      </c>
      <c r="O404" s="75">
        <f>M404+N404</f>
        <v>1150.6137181385682</v>
      </c>
      <c r="P404" s="75">
        <f>(MIN(L404,'THAM_SO_MOI'!$C$41)-O404)/('THAM_SO_MOI'!$C$11*H404)</f>
        <v>0.9368850507876056</v>
      </c>
      <c r="Q404" s="75">
        <f>IF(P404&gt;0,1/P404,NA())</f>
        <v>1.0673668014654902</v>
      </c>
      <c r="R404" s="75">
        <f>F404-F403</f>
        <v>0.0035133136094671613</v>
      </c>
      <c r="S404" s="75">
        <f>0.5*(Q403+Q404)*R404</f>
        <v>0.0037504741991632694</v>
      </c>
      <c r="T404" s="75">
        <f>0.5*(F403*Q403+F404*Q404)*R404</f>
        <v>0.009922705000435949</v>
      </c>
      <c r="U404" s="76">
        <f>U403+S404</f>
        <v>1.6349387322626225</v>
      </c>
      <c r="V404" s="76">
        <f>V403+T404</f>
        <v>3.143238945283273</v>
      </c>
    </row>
    <row r="405" spans="1:22" ht="19" customHeight="1">
      <c r="A405" s="68" t="s">
        <v>368</v>
      </c>
      <c r="B405" s="74">
        <v>1</v>
      </c>
      <c r="C405" s="68" t="s">
        <v>363</v>
      </c>
      <c r="D405" s="68" t="s">
        <v>364</v>
      </c>
      <c r="E405" s="75">
        <f>60*F405*'THAM_SO_MOI'!$C$49/(2*PI()*'THAM_SO_MOI'!$C$26)</f>
        <v>1697.7499999999998</v>
      </c>
      <c r="F405" s="75">
        <f>'THAM_SO_MOI'!$E$49+('THAM_SO_MOI'!$F$49-'THAM_SO_MOI'!$E$49)*399/'THAM_SO_MOI'!$C$42</f>
        <v>2.6509903024326102</v>
      </c>
      <c r="G405" s="75">
        <f>3.6*F405</f>
        <v>9.543565088757397</v>
      </c>
      <c r="H405" s="75">
        <f>'THAM_SO_MOI'!$D$49</f>
        <v>3.1625000000000005</v>
      </c>
      <c r="I405" s="75">
        <f>IF(F405&gt;'THAM_SO_MOI'!$C$14,'THAM_SO_MOI'!$C$13*(1+F405^2/1500),'THAM_SO_MOI'!$C$13)</f>
        <v>0.015</v>
      </c>
      <c r="J405" s="75">
        <f>'THAM_SO_MOI'!$C$40*('THAM_SO_MOI'!$C$23*(E405/'THAM_SO_MOI'!$C$22)+'THAM_SO_MOI'!$C$24*(E405/'THAM_SO_MOI'!$C$22)^2-'THAM_SO_MOI'!$C$25*(E405/'THAM_SO_MOI'!$C$22)^3)</f>
        <v>74.56149074582981</v>
      </c>
      <c r="K405" s="75">
        <f>'THAM_SO_MOI'!$C$31*J405/E405</f>
        <v>419.46348590663683</v>
      </c>
      <c r="L405" s="75">
        <f>K405*'THAM_SO_MOI'!$C$49*'THAM_SO_MOI'!$C$17/'THAM_SO_MOI'!$C$26</f>
        <v>23911.526682866137</v>
      </c>
      <c r="M405" s="75">
        <f>'THAM_SO_MOI'!$C$15*'THAM_SO_MOI'!$C$16*F405^2</f>
        <v>20.556167532005848</v>
      </c>
      <c r="N405" s="75">
        <f>'THAM_SO_MOI'!$C$12*I405</f>
        <v>1130.112</v>
      </c>
      <c r="O405" s="75">
        <f>M405+N405</f>
        <v>1150.668167532006</v>
      </c>
      <c r="P405" s="75">
        <f>(MIN(L405,'THAM_SO_MOI'!$C$41)-O405)/('THAM_SO_MOI'!$C$11*H405)</f>
        <v>0.9371236213493959</v>
      </c>
      <c r="Q405" s="75">
        <f>IF(P405&gt;0,1/P405,NA())</f>
        <v>1.067095073924256</v>
      </c>
      <c r="R405" s="75">
        <f>F405-F404</f>
        <v>0.0035133136094676054</v>
      </c>
      <c r="S405" s="75">
        <f>0.5*(Q404+Q405)*R405</f>
        <v>0.003749516977848272</v>
      </c>
      <c r="T405" s="75">
        <f>0.5*(F404*Q404+F405*Q405)*R405</f>
        <v>0.009933345694060026</v>
      </c>
      <c r="U405" s="76">
        <f>U404+S405</f>
        <v>1.6386882492404709</v>
      </c>
      <c r="V405" s="76">
        <f>V404+T405</f>
        <v>3.1531722909773334</v>
      </c>
    </row>
    <row r="406" spans="1:22" ht="19" customHeight="1">
      <c r="A406" s="68" t="s">
        <v>368</v>
      </c>
      <c r="B406" s="74">
        <v>1</v>
      </c>
      <c r="C406" s="68" t="s">
        <v>363</v>
      </c>
      <c r="D406" s="68" t="s">
        <v>364</v>
      </c>
      <c r="E406" s="75">
        <f>60*F406*'THAM_SO_MOI'!$C$49/(2*PI()*'THAM_SO_MOI'!$C$26)</f>
        <v>1700.0</v>
      </c>
      <c r="F406" s="75">
        <f>'THAM_SO_MOI'!$E$49+('THAM_SO_MOI'!$F$49-'THAM_SO_MOI'!$E$49)*400/'THAM_SO_MOI'!$C$42</f>
        <v>2.654503616042078</v>
      </c>
      <c r="G406" s="75">
        <f>3.6*F406</f>
        <v>9.55621301775148</v>
      </c>
      <c r="H406" s="75">
        <f>'THAM_SO_MOI'!$D$49</f>
        <v>3.1625000000000005</v>
      </c>
      <c r="I406" s="75">
        <f>IF(F406&gt;'THAM_SO_MOI'!$C$14,'THAM_SO_MOI'!$C$13*(1+F406^2/1500),'THAM_SO_MOI'!$C$13)</f>
        <v>0.015</v>
      </c>
      <c r="J406" s="75">
        <f>'THAM_SO_MOI'!$C$40*('THAM_SO_MOI'!$C$23*(E406/'THAM_SO_MOI'!$C$22)+'THAM_SO_MOI'!$C$24*(E406/'THAM_SO_MOI'!$C$22)^2-'THAM_SO_MOI'!$C$25*(E406/'THAM_SO_MOI'!$C$22)^3)</f>
        <v>74.67848063621524</v>
      </c>
      <c r="K406" s="75">
        <f>'THAM_SO_MOI'!$C$31*J406/E406</f>
        <v>419.5655971471164</v>
      </c>
      <c r="L406" s="75">
        <f>K406*'THAM_SO_MOI'!$C$49*'THAM_SO_MOI'!$C$17/'THAM_SO_MOI'!$C$26</f>
        <v>23917.347536726804</v>
      </c>
      <c r="M406" s="75">
        <f>'THAM_SO_MOI'!$C$15*'THAM_SO_MOI'!$C$16*F406^2</f>
        <v>20.61068913417287</v>
      </c>
      <c r="N406" s="75">
        <f>'THAM_SO_MOI'!$C$12*I406</f>
        <v>1130.112</v>
      </c>
      <c r="O406" s="75">
        <f>M406+N406</f>
        <v>1150.722689134173</v>
      </c>
      <c r="P406" s="75">
        <f>(MIN(L406,'THAM_SO_MOI'!$C$41)-O406)/('THAM_SO_MOI'!$C$11*H406)</f>
        <v>0.9373610362151115</v>
      </c>
      <c r="Q406" s="75">
        <f>IF(P406&gt;0,1/P406,NA())</f>
        <v>1.0668248000128242</v>
      </c>
      <c r="R406" s="75">
        <f>F406-F405</f>
        <v>0.0035133136094676054</v>
      </c>
      <c r="S406" s="75">
        <f>0.5*(Q405+Q406)*R406</f>
        <v>0.00374856486730827</v>
      </c>
      <c r="T406" s="75">
        <f>0.5*(F405*Q405+F406*Q406)*R406</f>
        <v>0.009943993219233059</v>
      </c>
      <c r="U406" s="76">
        <f>U405+S406</f>
        <v>1.6424368141077792</v>
      </c>
      <c r="V406" s="76">
        <f>V405+T406</f>
        <v>3.1631162841965663</v>
      </c>
    </row>
    <row r="407" spans="1:22" ht="19" customHeight="1">
      <c r="A407" s="68" t="s">
        <v>368</v>
      </c>
      <c r="B407" s="74">
        <v>1</v>
      </c>
      <c r="C407" s="68" t="s">
        <v>363</v>
      </c>
      <c r="D407" s="68" t="s">
        <v>364</v>
      </c>
      <c r="E407" s="75">
        <f>60*F407*'THAM_SO_MOI'!$C$49/(2*PI()*'THAM_SO_MOI'!$C$26)</f>
        <v>1702.2499999999995</v>
      </c>
      <c r="F407" s="75">
        <f>'THAM_SO_MOI'!$E$49+('THAM_SO_MOI'!$F$49-'THAM_SO_MOI'!$E$49)*401/'THAM_SO_MOI'!$C$42</f>
        <v>2.658016929651545</v>
      </c>
      <c r="G407" s="75">
        <f>3.6*F407</f>
        <v>9.568860946745563</v>
      </c>
      <c r="H407" s="75">
        <f>'THAM_SO_MOI'!$D$49</f>
        <v>3.1625000000000005</v>
      </c>
      <c r="I407" s="75">
        <f>IF(F407&gt;'THAM_SO_MOI'!$C$14,'THAM_SO_MOI'!$C$13*(1+F407^2/1500),'THAM_SO_MOI'!$C$13)</f>
        <v>0.015</v>
      </c>
      <c r="J407" s="75">
        <f>'THAM_SO_MOI'!$C$40*('THAM_SO_MOI'!$C$23*(E407/'THAM_SO_MOI'!$C$22)+'THAM_SO_MOI'!$C$24*(E407/'THAM_SO_MOI'!$C$22)^2-'THAM_SO_MOI'!$C$25*(E407/'THAM_SO_MOI'!$C$22)^3)</f>
        <v>74.79543110294867</v>
      </c>
      <c r="K407" s="75">
        <f>'THAM_SO_MOI'!$C$31*J407/E407</f>
        <v>419.6672172495373</v>
      </c>
      <c r="L407" s="75">
        <f>K407*'THAM_SO_MOI'!$C$49*'THAM_SO_MOI'!$C$17/'THAM_SO_MOI'!$C$26</f>
        <v>23923.14039324994</v>
      </c>
      <c r="M407" s="75">
        <f>'THAM_SO_MOI'!$C$15*'THAM_SO_MOI'!$C$16*F407^2</f>
        <v>20.665282945069112</v>
      </c>
      <c r="N407" s="75">
        <f>'THAM_SO_MOI'!$C$12*I407</f>
        <v>1130.112</v>
      </c>
      <c r="O407" s="75">
        <f>M407+N407</f>
        <v>1150.7772829450691</v>
      </c>
      <c r="P407" s="75">
        <f>(MIN(L407,'THAM_SO_MOI'!$C$41)-O407)/('THAM_SO_MOI'!$C$11*H407)</f>
        <v>0.9375972953847524</v>
      </c>
      <c r="Q407" s="75">
        <f>IF(P407&gt;0,1/P407,NA())</f>
        <v>1.0665559776275164</v>
      </c>
      <c r="R407" s="75">
        <f>F407-F406</f>
        <v>0.0035133136094671613</v>
      </c>
      <c r="S407" s="75">
        <f>0.5*(Q406+Q407)*R407</f>
        <v>0.0037476178601297217</v>
      </c>
      <c r="T407" s="75">
        <f>0.5*(F406*Q406+F407*Q407)*R407</f>
        <v>0.00995464761013005</v>
      </c>
      <c r="U407" s="76">
        <f>U406+S407</f>
        <v>1.6461844319679089</v>
      </c>
      <c r="V407" s="76">
        <f>V406+T407</f>
        <v>3.1730709318066963</v>
      </c>
    </row>
    <row r="408" spans="1:22" ht="19" customHeight="1">
      <c r="A408" s="68" t="s">
        <v>368</v>
      </c>
      <c r="B408" s="74">
        <v>1</v>
      </c>
      <c r="C408" s="68" t="s">
        <v>363</v>
      </c>
      <c r="D408" s="68" t="s">
        <v>364</v>
      </c>
      <c r="E408" s="75">
        <f>60*F408*'THAM_SO_MOI'!$C$49/(2*PI()*'THAM_SO_MOI'!$C$26)</f>
        <v>1704.4999999999995</v>
      </c>
      <c r="F408" s="75">
        <f>'THAM_SO_MOI'!$E$49+('THAM_SO_MOI'!$F$49-'THAM_SO_MOI'!$E$49)*402/'THAM_SO_MOI'!$C$42</f>
        <v>2.661530243261012</v>
      </c>
      <c r="G408" s="75">
        <f>3.6*F408</f>
        <v>9.581508875739644</v>
      </c>
      <c r="H408" s="75">
        <f>'THAM_SO_MOI'!$D$49</f>
        <v>3.1625000000000005</v>
      </c>
      <c r="I408" s="75">
        <f>IF(F408&gt;'THAM_SO_MOI'!$C$14,'THAM_SO_MOI'!$C$13*(1+F408^2/1500),'THAM_SO_MOI'!$C$13)</f>
        <v>0.015</v>
      </c>
      <c r="J408" s="75">
        <f>'THAM_SO_MOI'!$C$40*('THAM_SO_MOI'!$C$23*(E408/'THAM_SO_MOI'!$C$22)+'THAM_SO_MOI'!$C$24*(E408/'THAM_SO_MOI'!$C$22)^2-'THAM_SO_MOI'!$C$25*(E408/'THAM_SO_MOI'!$C$22)^3)</f>
        <v>74.91234179893058</v>
      </c>
      <c r="K408" s="75">
        <f>'THAM_SO_MOI'!$C$31*J408/E408</f>
        <v>419.76834621389924</v>
      </c>
      <c r="L408" s="75">
        <f>K408*'THAM_SO_MOI'!$C$49*'THAM_SO_MOI'!$C$17/'THAM_SO_MOI'!$C$26</f>
        <v>23928.90525243554</v>
      </c>
      <c r="M408" s="75">
        <f>'THAM_SO_MOI'!$C$15*'THAM_SO_MOI'!$C$16*F408^2</f>
        <v>20.719948964694595</v>
      </c>
      <c r="N408" s="75">
        <f>'THAM_SO_MOI'!$C$12*I408</f>
        <v>1130.112</v>
      </c>
      <c r="O408" s="75">
        <f>M408+N408</f>
        <v>1150.8319489646947</v>
      </c>
      <c r="P408" s="75">
        <f>(MIN(L408,'THAM_SO_MOI'!$C$41)-O408)/('THAM_SO_MOI'!$C$11*H408)</f>
        <v>0.9378323988583185</v>
      </c>
      <c r="Q408" s="75">
        <f>IF(P408&gt;0,1/P408,NA())</f>
        <v>1.0662886046775117</v>
      </c>
      <c r="R408" s="75">
        <f>F408-F407</f>
        <v>0.0035133136094671613</v>
      </c>
      <c r="S408" s="75">
        <f>0.5*(Q407+Q408)*R408</f>
        <v>0.0037466759489452792</v>
      </c>
      <c r="T408" s="75">
        <f>0.5*(F407*Q407+F408*Q408)*R408</f>
        <v>0.009965308900944684</v>
      </c>
      <c r="U408" s="76">
        <f>U407+S408</f>
        <v>1.6499311079168542</v>
      </c>
      <c r="V408" s="76">
        <f>V407+T408</f>
        <v>3.183036240707641</v>
      </c>
    </row>
    <row r="409" spans="1:22" ht="19" customHeight="1">
      <c r="A409" s="68" t="s">
        <v>368</v>
      </c>
      <c r="B409" s="74">
        <v>1</v>
      </c>
      <c r="C409" s="68" t="s">
        <v>363</v>
      </c>
      <c r="D409" s="68" t="s">
        <v>364</v>
      </c>
      <c r="E409" s="75">
        <f>60*F409*'THAM_SO_MOI'!$C$49/(2*PI()*'THAM_SO_MOI'!$C$26)</f>
        <v>1706.75</v>
      </c>
      <c r="F409" s="75">
        <f>'THAM_SO_MOI'!$E$49+('THAM_SO_MOI'!$F$49-'THAM_SO_MOI'!$E$49)*403/'THAM_SO_MOI'!$C$42</f>
        <v>2.6650435568704802</v>
      </c>
      <c r="G409" s="75">
        <f>3.6*F409</f>
        <v>9.594156804733728</v>
      </c>
      <c r="H409" s="75">
        <f>'THAM_SO_MOI'!$D$49</f>
        <v>3.1625000000000005</v>
      </c>
      <c r="I409" s="75">
        <f>IF(F409&gt;'THAM_SO_MOI'!$C$14,'THAM_SO_MOI'!$C$13*(1+F409^2/1500),'THAM_SO_MOI'!$C$13)</f>
        <v>0.015</v>
      </c>
      <c r="J409" s="75">
        <f>'THAM_SO_MOI'!$C$40*('THAM_SO_MOI'!$C$23*(E409/'THAM_SO_MOI'!$C$22)+'THAM_SO_MOI'!$C$24*(E409/'THAM_SO_MOI'!$C$22)^2-'THAM_SO_MOI'!$C$25*(E409/'THAM_SO_MOI'!$C$22)^3)</f>
        <v>75.02921237706144</v>
      </c>
      <c r="K409" s="75">
        <f>'THAM_SO_MOI'!$C$31*J409/E409</f>
        <v>419.86898404020246</v>
      </c>
      <c r="L409" s="75">
        <f>K409*'THAM_SO_MOI'!$C$49*'THAM_SO_MOI'!$C$17/'THAM_SO_MOI'!$C$26</f>
        <v>23934.642114283604</v>
      </c>
      <c r="M409" s="75">
        <f>'THAM_SO_MOI'!$C$15*'THAM_SO_MOI'!$C$16*F409^2</f>
        <v>20.774687193049317</v>
      </c>
      <c r="N409" s="75">
        <f>'THAM_SO_MOI'!$C$12*I409</f>
        <v>1130.112</v>
      </c>
      <c r="O409" s="75">
        <f>M409+N409</f>
        <v>1150.8866871930495</v>
      </c>
      <c r="P409" s="75">
        <f>(MIN(L409,'THAM_SO_MOI'!$C$41)-O409)/('THAM_SO_MOI'!$C$11*H409)</f>
        <v>0.9380663466358099</v>
      </c>
      <c r="Q409" s="75">
        <f>IF(P409&gt;0,1/P409,NA())</f>
        <v>1.0660226790848035</v>
      </c>
      <c r="R409" s="75">
        <f>F409-F408</f>
        <v>0.0035133136094680495</v>
      </c>
      <c r="S409" s="75">
        <f>0.5*(Q408+Q409)*R409</f>
        <v>0.0037457391264322155</v>
      </c>
      <c r="T409" s="75">
        <f>0.5*(F408*Q408+F409*Q409)*R409</f>
        <v>0.009975977125885967</v>
      </c>
      <c r="U409" s="76">
        <f>U408+S409</f>
        <v>1.6536768470432863</v>
      </c>
      <c r="V409" s="76">
        <f>V408+T409</f>
        <v>3.1930122178335267</v>
      </c>
    </row>
    <row r="410" spans="1:22" ht="19" customHeight="1">
      <c r="A410" s="68" t="s">
        <v>368</v>
      </c>
      <c r="B410" s="74">
        <v>1</v>
      </c>
      <c r="C410" s="68" t="s">
        <v>363</v>
      </c>
      <c r="D410" s="68" t="s">
        <v>364</v>
      </c>
      <c r="E410" s="75">
        <f>60*F410*'THAM_SO_MOI'!$C$49/(2*PI()*'THAM_SO_MOI'!$C$26)</f>
        <v>1709.0</v>
      </c>
      <c r="F410" s="75">
        <f>'THAM_SO_MOI'!$E$49+('THAM_SO_MOI'!$F$49-'THAM_SO_MOI'!$E$49)*404/'THAM_SO_MOI'!$C$42</f>
        <v>2.6685568704799474</v>
      </c>
      <c r="G410" s="75">
        <f>3.6*F410</f>
        <v>9.606804733727811</v>
      </c>
      <c r="H410" s="75">
        <f>'THAM_SO_MOI'!$D$49</f>
        <v>3.1625000000000005</v>
      </c>
      <c r="I410" s="75">
        <f>IF(F410&gt;'THAM_SO_MOI'!$C$14,'THAM_SO_MOI'!$C$13*(1+F410^2/1500),'THAM_SO_MOI'!$C$13)</f>
        <v>0.015</v>
      </c>
      <c r="J410" s="75">
        <f>'THAM_SO_MOI'!$C$40*('THAM_SO_MOI'!$C$23*(E410/'THAM_SO_MOI'!$C$22)+'THAM_SO_MOI'!$C$24*(E410/'THAM_SO_MOI'!$C$22)^2-'THAM_SO_MOI'!$C$25*(E410/'THAM_SO_MOI'!$C$22)^3)</f>
        <v>75.14604249024167</v>
      </c>
      <c r="K410" s="75">
        <f>'THAM_SO_MOI'!$C$31*J410/E410</f>
        <v>419.96913072844694</v>
      </c>
      <c r="L410" s="75">
        <f>K410*'THAM_SO_MOI'!$C$49*'THAM_SO_MOI'!$C$17/'THAM_SO_MOI'!$C$26</f>
        <v>23940.350978794144</v>
      </c>
      <c r="M410" s="75">
        <f>'THAM_SO_MOI'!$C$15*'THAM_SO_MOI'!$C$16*F410^2</f>
        <v>20.829497630133265</v>
      </c>
      <c r="N410" s="75">
        <f>'THAM_SO_MOI'!$C$12*I410</f>
        <v>1130.112</v>
      </c>
      <c r="O410" s="75">
        <f>M410+N410</f>
        <v>1150.9414976301334</v>
      </c>
      <c r="P410" s="75">
        <f>(MIN(L410,'THAM_SO_MOI'!$C$41)-O410)/('THAM_SO_MOI'!$C$11*H410)</f>
        <v>0.9382991387172269</v>
      </c>
      <c r="Q410" s="75">
        <f>IF(P410&gt;0,1/P410,NA())</f>
        <v>1.0657581987841596</v>
      </c>
      <c r="R410" s="75">
        <f>F410-F409</f>
        <v>0.0035133136094671613</v>
      </c>
      <c r="S410" s="75">
        <f>0.5*(Q409+Q410)*R410</f>
        <v>0.0037448073853094408</v>
      </c>
      <c r="T410" s="75">
        <f>0.5*(F409*Q409+F410*Q410)*R410</f>
        <v>0.009986652319171016</v>
      </c>
      <c r="U410" s="76">
        <f>U409+S410</f>
        <v>1.6574216544285958</v>
      </c>
      <c r="V410" s="76">
        <f>V409+T410</f>
        <v>3.202998870152698</v>
      </c>
    </row>
    <row r="411" spans="1:22" ht="19" customHeight="1">
      <c r="A411" s="68" t="s">
        <v>368</v>
      </c>
      <c r="B411" s="74">
        <v>1</v>
      </c>
      <c r="C411" s="68" t="s">
        <v>363</v>
      </c>
      <c r="D411" s="68" t="s">
        <v>364</v>
      </c>
      <c r="E411" s="75">
        <f>60*F411*'THAM_SO_MOI'!$C$49/(2*PI()*'THAM_SO_MOI'!$C$26)</f>
        <v>1711.2499999999998</v>
      </c>
      <c r="F411" s="75">
        <f>'THAM_SO_MOI'!$E$49+('THAM_SO_MOI'!$F$49-'THAM_SO_MOI'!$E$49)*405/'THAM_SO_MOI'!$C$42</f>
        <v>2.6720701840894145</v>
      </c>
      <c r="G411" s="75">
        <f>3.6*F411</f>
        <v>9.619452662721892</v>
      </c>
      <c r="H411" s="75">
        <f>'THAM_SO_MOI'!$D$49</f>
        <v>3.1625000000000005</v>
      </c>
      <c r="I411" s="75">
        <f>IF(F411&gt;'THAM_SO_MOI'!$C$14,'THAM_SO_MOI'!$C$13*(1+F411^2/1500),'THAM_SO_MOI'!$C$13)</f>
        <v>0.015</v>
      </c>
      <c r="J411" s="75">
        <f>'THAM_SO_MOI'!$C$40*('THAM_SO_MOI'!$C$23*(E411/'THAM_SO_MOI'!$C$22)+'THAM_SO_MOI'!$C$24*(E411/'THAM_SO_MOI'!$C$22)^2-'THAM_SO_MOI'!$C$25*(E411/'THAM_SO_MOI'!$C$22)^3)</f>
        <v>75.26283179137177</v>
      </c>
      <c r="K411" s="75">
        <f>'THAM_SO_MOI'!$C$31*J411/E411</f>
        <v>420.06878627863273</v>
      </c>
      <c r="L411" s="75">
        <f>K411*'THAM_SO_MOI'!$C$49*'THAM_SO_MOI'!$C$17/'THAM_SO_MOI'!$C$26</f>
        <v>23946.031845967154</v>
      </c>
      <c r="M411" s="75">
        <f>'THAM_SO_MOI'!$C$15*'THAM_SO_MOI'!$C$16*F411^2</f>
        <v>20.88438027594644</v>
      </c>
      <c r="N411" s="75">
        <f>'THAM_SO_MOI'!$C$12*I411</f>
        <v>1130.112</v>
      </c>
      <c r="O411" s="75">
        <f>M411+N411</f>
        <v>1150.9963802759464</v>
      </c>
      <c r="P411" s="75">
        <f>(MIN(L411,'THAM_SO_MOI'!$C$41)-O411)/('THAM_SO_MOI'!$C$11*H411)</f>
        <v>0.9385307751025693</v>
      </c>
      <c r="Q411" s="75">
        <f>IF(P411&gt;0,1/P411,NA())</f>
        <v>1.0654951617230803</v>
      </c>
      <c r="R411" s="75">
        <f>F411-F410</f>
        <v>0.0035133136094671613</v>
      </c>
      <c r="S411" s="75">
        <f>0.5*(Q410+Q411)*R411</f>
        <v>0.0037438807183463544</v>
      </c>
      <c r="T411" s="75">
        <f>0.5*(F410*Q410+F411*Q411)*R411</f>
        <v>0.009997334515049451</v>
      </c>
      <c r="U411" s="76">
        <f>U410+S411</f>
        <v>1.661165535146942</v>
      </c>
      <c r="V411" s="76">
        <f>V410+T411</f>
        <v>3.212996204667747</v>
      </c>
    </row>
    <row r="412" spans="1:22" ht="19" customHeight="1">
      <c r="A412" s="68" t="s">
        <v>368</v>
      </c>
      <c r="B412" s="74">
        <v>1</v>
      </c>
      <c r="C412" s="68" t="s">
        <v>363</v>
      </c>
      <c r="D412" s="68" t="s">
        <v>364</v>
      </c>
      <c r="E412" s="75">
        <f>60*F412*'THAM_SO_MOI'!$C$49/(2*PI()*'THAM_SO_MOI'!$C$26)</f>
        <v>1713.5</v>
      </c>
      <c r="F412" s="75">
        <f>'THAM_SO_MOI'!$E$49+('THAM_SO_MOI'!$F$49-'THAM_SO_MOI'!$E$49)*406/'THAM_SO_MOI'!$C$42</f>
        <v>2.6755834976988826</v>
      </c>
      <c r="G412" s="75">
        <f>3.6*F412</f>
        <v>9.632100591715977</v>
      </c>
      <c r="H412" s="75">
        <f>'THAM_SO_MOI'!$D$49</f>
        <v>3.1625000000000005</v>
      </c>
      <c r="I412" s="75">
        <f>IF(F412&gt;'THAM_SO_MOI'!$C$14,'THAM_SO_MOI'!$C$13*(1+F412^2/1500),'THAM_SO_MOI'!$C$13)</f>
        <v>0.015</v>
      </c>
      <c r="J412" s="75">
        <f>'THAM_SO_MOI'!$C$40*('THAM_SO_MOI'!$C$23*(E412/'THAM_SO_MOI'!$C$22)+'THAM_SO_MOI'!$C$24*(E412/'THAM_SO_MOI'!$C$22)^2-'THAM_SO_MOI'!$C$25*(E412/'THAM_SO_MOI'!$C$22)^3)</f>
        <v>75.37957993335215</v>
      </c>
      <c r="K412" s="75">
        <f>'THAM_SO_MOI'!$C$31*J412/E412</f>
        <v>420.1679506907596</v>
      </c>
      <c r="L412" s="75">
        <f>K412*'THAM_SO_MOI'!$C$49*'THAM_SO_MOI'!$C$17/'THAM_SO_MOI'!$C$26</f>
        <v>23951.68471580262</v>
      </c>
      <c r="M412" s="75">
        <f>'THAM_SO_MOI'!$C$15*'THAM_SO_MOI'!$C$16*F412^2</f>
        <v>20.939335130488868</v>
      </c>
      <c r="N412" s="75">
        <f>'THAM_SO_MOI'!$C$12*I412</f>
        <v>1130.112</v>
      </c>
      <c r="O412" s="75">
        <f>M412+N412</f>
        <v>1151.051335130489</v>
      </c>
      <c r="P412" s="75">
        <f>(MIN(L412,'THAM_SO_MOI'!$C$41)-O412)/('THAM_SO_MOI'!$C$11*H412)</f>
        <v>0.9387612557918366</v>
      </c>
      <c r="Q412" s="75">
        <f>IF(P412&gt;0,1/P412,NA())</f>
        <v>1.065233565861758</v>
      </c>
      <c r="R412" s="75">
        <f>F412-F411</f>
        <v>0.0035133136094680495</v>
      </c>
      <c r="S412" s="75">
        <f>0.5*(Q411+Q412)*R412</f>
        <v>0.003742959118354176</v>
      </c>
      <c r="T412" s="75">
        <f>0.5*(F411*Q411+F412*Q412)*R412</f>
        <v>0.010008023747781104</v>
      </c>
      <c r="U412" s="76">
        <f>U411+S412</f>
        <v>1.6649084942652963</v>
      </c>
      <c r="V412" s="76">
        <f>V411+T412</f>
        <v>3.2230042284155282</v>
      </c>
    </row>
    <row r="413" spans="1:22" ht="19" customHeight="1">
      <c r="A413" s="68" t="s">
        <v>368</v>
      </c>
      <c r="B413" s="74">
        <v>1</v>
      </c>
      <c r="C413" s="68" t="s">
        <v>363</v>
      </c>
      <c r="D413" s="68" t="s">
        <v>364</v>
      </c>
      <c r="E413" s="75">
        <f>60*F413*'THAM_SO_MOI'!$C$49/(2*PI()*'THAM_SO_MOI'!$C$26)</f>
        <v>1715.7499999999998</v>
      </c>
      <c r="F413" s="75">
        <f>'THAM_SO_MOI'!$E$49+('THAM_SO_MOI'!$F$49-'THAM_SO_MOI'!$E$49)*407/'THAM_SO_MOI'!$C$42</f>
        <v>2.6790968113083498</v>
      </c>
      <c r="G413" s="75">
        <f>3.6*F413</f>
        <v>9.64474852071006</v>
      </c>
      <c r="H413" s="75">
        <f>'THAM_SO_MOI'!$D$49</f>
        <v>3.1625000000000005</v>
      </c>
      <c r="I413" s="75">
        <f>IF(F413&gt;'THAM_SO_MOI'!$C$14,'THAM_SO_MOI'!$C$13*(1+F413^2/1500),'THAM_SO_MOI'!$C$13)</f>
        <v>0.015</v>
      </c>
      <c r="J413" s="75">
        <f>'THAM_SO_MOI'!$C$40*('THAM_SO_MOI'!$C$23*(E413/'THAM_SO_MOI'!$C$22)+'THAM_SO_MOI'!$C$24*(E413/'THAM_SO_MOI'!$C$22)^2-'THAM_SO_MOI'!$C$25*(E413/'THAM_SO_MOI'!$C$22)^3)</f>
        <v>75.49628656908328</v>
      </c>
      <c r="K413" s="75">
        <f>'THAM_SO_MOI'!$C$31*J413/E413</f>
        <v>420.26662396482783</v>
      </c>
      <c r="L413" s="75">
        <f>K413*'THAM_SO_MOI'!$C$49*'THAM_SO_MOI'!$C$17/'THAM_SO_MOI'!$C$26</f>
        <v>23957.309588300566</v>
      </c>
      <c r="M413" s="75">
        <f>'THAM_SO_MOI'!$C$15*'THAM_SO_MOI'!$C$16*F413^2</f>
        <v>20.994362193760512</v>
      </c>
      <c r="N413" s="75">
        <f>'THAM_SO_MOI'!$C$12*I413</f>
        <v>1130.112</v>
      </c>
      <c r="O413" s="75">
        <f>M413+N413</f>
        <v>1151.1063621937606</v>
      </c>
      <c r="P413" s="75">
        <f>(MIN(L413,'THAM_SO_MOI'!$C$41)-O413)/('THAM_SO_MOI'!$C$11*H413)</f>
        <v>0.9389905807850297</v>
      </c>
      <c r="Q413" s="75">
        <f>IF(P413&gt;0,1/P413,NA())</f>
        <v>1.0649734091730336</v>
      </c>
      <c r="R413" s="75">
        <f>F413-F412</f>
        <v>0.0035133136094671613</v>
      </c>
      <c r="S413" s="75">
        <f>0.5*(Q412+Q413)*R413</f>
        <v>0.003742042578185804</v>
      </c>
      <c r="T413" s="75">
        <f>0.5*(F412*Q412+F413*Q413)*R413</f>
        <v>0.01001872005163636</v>
      </c>
      <c r="U413" s="76">
        <f>U412+S413</f>
        <v>1.668650536843482</v>
      </c>
      <c r="V413" s="76">
        <f>V412+T413</f>
        <v>3.2330229484671644</v>
      </c>
    </row>
    <row r="414" spans="1:22" ht="19" customHeight="1">
      <c r="A414" s="68" t="s">
        <v>368</v>
      </c>
      <c r="B414" s="74">
        <v>1</v>
      </c>
      <c r="C414" s="68" t="s">
        <v>363</v>
      </c>
      <c r="D414" s="68" t="s">
        <v>364</v>
      </c>
      <c r="E414" s="75">
        <f>60*F414*'THAM_SO_MOI'!$C$49/(2*PI()*'THAM_SO_MOI'!$C$26)</f>
        <v>1717.9999999999998</v>
      </c>
      <c r="F414" s="75">
        <f>'THAM_SO_MOI'!$E$49+('THAM_SO_MOI'!$F$49-'THAM_SO_MOI'!$E$49)*408/'THAM_SO_MOI'!$C$42</f>
        <v>2.682610124917817</v>
      </c>
      <c r="G414" s="75">
        <f>3.6*F414</f>
        <v>9.657396449704141</v>
      </c>
      <c r="H414" s="75">
        <f>'THAM_SO_MOI'!$D$49</f>
        <v>3.1625000000000005</v>
      </c>
      <c r="I414" s="75">
        <f>IF(F414&gt;'THAM_SO_MOI'!$C$14,'THAM_SO_MOI'!$C$13*(1+F414^2/1500),'THAM_SO_MOI'!$C$13)</f>
        <v>0.015</v>
      </c>
      <c r="J414" s="75">
        <f>'THAM_SO_MOI'!$C$40*('THAM_SO_MOI'!$C$23*(E414/'THAM_SO_MOI'!$C$22)+'THAM_SO_MOI'!$C$24*(E414/'THAM_SO_MOI'!$C$22)^2-'THAM_SO_MOI'!$C$25*(E414/'THAM_SO_MOI'!$C$22)^3)</f>
        <v>75.61295135146563</v>
      </c>
      <c r="K414" s="75">
        <f>'THAM_SO_MOI'!$C$31*J414/E414</f>
        <v>420.3648061008372</v>
      </c>
      <c r="L414" s="75">
        <f>K414*'THAM_SO_MOI'!$C$49*'THAM_SO_MOI'!$C$17/'THAM_SO_MOI'!$C$26</f>
        <v>23962.90646346097</v>
      </c>
      <c r="M414" s="75">
        <f>'THAM_SO_MOI'!$C$15*'THAM_SO_MOI'!$C$16*F414^2</f>
        <v>21.04946146576139</v>
      </c>
      <c r="N414" s="75">
        <f>'THAM_SO_MOI'!$C$12*I414</f>
        <v>1130.112</v>
      </c>
      <c r="O414" s="75">
        <f>M414+N414</f>
        <v>1151.1614614657615</v>
      </c>
      <c r="P414" s="75">
        <f>(MIN(L414,'THAM_SO_MOI'!$C$41)-O414)/('THAM_SO_MOI'!$C$11*H414)</f>
        <v>0.9392187500821477</v>
      </c>
      <c r="Q414" s="75">
        <f>IF(P414&gt;0,1/P414,NA())</f>
        <v>1.064714689642361</v>
      </c>
      <c r="R414" s="75">
        <f>F414-F413</f>
        <v>0.0035133136094671613</v>
      </c>
      <c r="S414" s="75">
        <f>0.5*(Q413+Q414)*R414</f>
        <v>0.0037411310907441856</v>
      </c>
      <c r="T414" s="75">
        <f>0.5*(F413*Q413+F414*Q414)*R414</f>
        <v>0.010029423460919345</v>
      </c>
      <c r="U414" s="76">
        <f>U413+S414</f>
        <v>1.6723916679342263</v>
      </c>
      <c r="V414" s="76">
        <f>V413+T414</f>
        <v>3.243052371928084</v>
      </c>
    </row>
    <row r="415" spans="1:22" ht="19" customHeight="1">
      <c r="A415" s="68" t="s">
        <v>368</v>
      </c>
      <c r="B415" s="74">
        <v>1</v>
      </c>
      <c r="C415" s="68" t="s">
        <v>363</v>
      </c>
      <c r="D415" s="68" t="s">
        <v>364</v>
      </c>
      <c r="E415" s="75">
        <f>60*F415*'THAM_SO_MOI'!$C$49/(2*PI()*'THAM_SO_MOI'!$C$26)</f>
        <v>1720.25</v>
      </c>
      <c r="F415" s="75">
        <f>'THAM_SO_MOI'!$E$49+('THAM_SO_MOI'!$F$49-'THAM_SO_MOI'!$E$49)*409/'THAM_SO_MOI'!$C$42</f>
        <v>2.6861234385272845</v>
      </c>
      <c r="G415" s="75">
        <f>3.6*F415</f>
        <v>9.670044378698224</v>
      </c>
      <c r="H415" s="75">
        <f>'THAM_SO_MOI'!$D$49</f>
        <v>3.1625000000000005</v>
      </c>
      <c r="I415" s="75">
        <f>IF(F415&gt;'THAM_SO_MOI'!$C$14,'THAM_SO_MOI'!$C$13*(1+F415^2/1500),'THAM_SO_MOI'!$C$13)</f>
        <v>0.015</v>
      </c>
      <c r="J415" s="75">
        <f>'THAM_SO_MOI'!$C$40*('THAM_SO_MOI'!$C$23*(E415/'THAM_SO_MOI'!$C$22)+'THAM_SO_MOI'!$C$24*(E415/'THAM_SO_MOI'!$C$22)^2-'THAM_SO_MOI'!$C$25*(E415/'THAM_SO_MOI'!$C$22)^3)</f>
        <v>75.72957393339965</v>
      </c>
      <c r="K415" s="75">
        <f>'THAM_SO_MOI'!$C$31*J415/E415</f>
        <v>420.46249709878776</v>
      </c>
      <c r="L415" s="75">
        <f>K415*'THAM_SO_MOI'!$C$49*'THAM_SO_MOI'!$C$17/'THAM_SO_MOI'!$C$26</f>
        <v>23968.475341283844</v>
      </c>
      <c r="M415" s="75">
        <f>'THAM_SO_MOI'!$C$15*'THAM_SO_MOI'!$C$16*F415^2</f>
        <v>21.104632946491506</v>
      </c>
      <c r="N415" s="75">
        <f>'THAM_SO_MOI'!$C$12*I415</f>
        <v>1130.112</v>
      </c>
      <c r="O415" s="75">
        <f>M415+N415</f>
        <v>1151.2166329464917</v>
      </c>
      <c r="P415" s="75">
        <f>(MIN(L415,'THAM_SO_MOI'!$C$41)-O415)/('THAM_SO_MOI'!$C$11*H415)</f>
        <v>0.9394457636831912</v>
      </c>
      <c r="Q415" s="75">
        <f>IF(P415&gt;0,1/P415,NA())</f>
        <v>1.0644574052677611</v>
      </c>
      <c r="R415" s="75">
        <f>F415-F414</f>
        <v>0.0035133136094676054</v>
      </c>
      <c r="S415" s="75">
        <f>0.5*(Q414+Q415)*R415</f>
        <v>0.003740224648973192</v>
      </c>
      <c r="T415" s="75">
        <f>0.5*(F414*Q414+F415*Q415)*R415</f>
        <v>0.010040134009944305</v>
      </c>
      <c r="U415" s="76">
        <f>U414+S415</f>
        <v>1.6761318925831996</v>
      </c>
      <c r="V415" s="76">
        <f>V414+T415</f>
        <v>3.2530925059380285</v>
      </c>
    </row>
    <row r="416" spans="1:22" ht="19" customHeight="1">
      <c r="A416" s="68" t="s">
        <v>368</v>
      </c>
      <c r="B416" s="74">
        <v>1</v>
      </c>
      <c r="C416" s="68" t="s">
        <v>363</v>
      </c>
      <c r="D416" s="68" t="s">
        <v>364</v>
      </c>
      <c r="E416" s="75">
        <f>60*F416*'THAM_SO_MOI'!$C$49/(2*PI()*'THAM_SO_MOI'!$C$26)</f>
        <v>1722.4999999999998</v>
      </c>
      <c r="F416" s="75">
        <f>'THAM_SO_MOI'!$E$49+('THAM_SO_MOI'!$F$49-'THAM_SO_MOI'!$E$49)*410/'THAM_SO_MOI'!$C$42</f>
        <v>2.689636752136752</v>
      </c>
      <c r="G416" s="75">
        <f>3.6*F416</f>
        <v>9.682692307692308</v>
      </c>
      <c r="H416" s="75">
        <f>'THAM_SO_MOI'!$D$49</f>
        <v>3.1625000000000005</v>
      </c>
      <c r="I416" s="75">
        <f>IF(F416&gt;'THAM_SO_MOI'!$C$14,'THAM_SO_MOI'!$C$13*(1+F416^2/1500),'THAM_SO_MOI'!$C$13)</f>
        <v>0.015</v>
      </c>
      <c r="J416" s="75">
        <f>'THAM_SO_MOI'!$C$40*('THAM_SO_MOI'!$C$23*(E416/'THAM_SO_MOI'!$C$22)+'THAM_SO_MOI'!$C$24*(E416/'THAM_SO_MOI'!$C$22)^2-'THAM_SO_MOI'!$C$25*(E416/'THAM_SO_MOI'!$C$22)^3)</f>
        <v>75.84615396778575</v>
      </c>
      <c r="K416" s="75">
        <f>'THAM_SO_MOI'!$C$31*J416/E416</f>
        <v>420.55969695867947</v>
      </c>
      <c r="L416" s="75">
        <f>K416*'THAM_SO_MOI'!$C$49*'THAM_SO_MOI'!$C$17/'THAM_SO_MOI'!$C$26</f>
        <v>23974.016221769183</v>
      </c>
      <c r="M416" s="75">
        <f>'THAM_SO_MOI'!$C$15*'THAM_SO_MOI'!$C$16*F416^2</f>
        <v>21.15987663595086</v>
      </c>
      <c r="N416" s="75">
        <f>'THAM_SO_MOI'!$C$12*I416</f>
        <v>1130.112</v>
      </c>
      <c r="O416" s="75">
        <f>M416+N416</f>
        <v>1151.271876635951</v>
      </c>
      <c r="P416" s="75">
        <f>(MIN(L416,'THAM_SO_MOI'!$C$41)-O416)/('THAM_SO_MOI'!$C$11*H416)</f>
        <v>0.93967162158816</v>
      </c>
      <c r="Q416" s="75">
        <f>IF(P416&gt;0,1/P416,NA())</f>
        <v>1.0642015540597871</v>
      </c>
      <c r="R416" s="75">
        <f>F416-F415</f>
        <v>0.0035133136094676054</v>
      </c>
      <c r="S416" s="75">
        <f>0.5*(Q415+Q416)*R416</f>
        <v>0.0037393232458603127</v>
      </c>
      <c r="T416" s="75">
        <f>0.5*(F415*Q415+F416*Q416)*R416</f>
        <v>0.010050851733043558</v>
      </c>
      <c r="U416" s="76">
        <f>U415+S416</f>
        <v>1.6798712158290598</v>
      </c>
      <c r="V416" s="76">
        <f>V415+T416</f>
        <v>3.263143357671072</v>
      </c>
    </row>
    <row r="417" spans="1:22" ht="19" customHeight="1">
      <c r="A417" s="68" t="s">
        <v>368</v>
      </c>
      <c r="B417" s="74">
        <v>1</v>
      </c>
      <c r="C417" s="68" t="s">
        <v>363</v>
      </c>
      <c r="D417" s="68" t="s">
        <v>364</v>
      </c>
      <c r="E417" s="75">
        <f>60*F417*'THAM_SO_MOI'!$C$49/(2*PI()*'THAM_SO_MOI'!$C$26)</f>
        <v>1724.7499999999998</v>
      </c>
      <c r="F417" s="75">
        <f>'THAM_SO_MOI'!$E$49+('THAM_SO_MOI'!$F$49-'THAM_SO_MOI'!$E$49)*411/'THAM_SO_MOI'!$C$42</f>
        <v>2.6931500657462193</v>
      </c>
      <c r="G417" s="75">
        <f>3.6*F417</f>
        <v>9.69534023668639</v>
      </c>
      <c r="H417" s="75">
        <f>'THAM_SO_MOI'!$D$49</f>
        <v>3.1625000000000005</v>
      </c>
      <c r="I417" s="75">
        <f>IF(F417&gt;'THAM_SO_MOI'!$C$14,'THAM_SO_MOI'!$C$13*(1+F417^2/1500),'THAM_SO_MOI'!$C$13)</f>
        <v>0.015</v>
      </c>
      <c r="J417" s="75">
        <f>'THAM_SO_MOI'!$C$40*('THAM_SO_MOI'!$C$23*(E417/'THAM_SO_MOI'!$C$22)+'THAM_SO_MOI'!$C$24*(E417/'THAM_SO_MOI'!$C$22)^2-'THAM_SO_MOI'!$C$25*(E417/'THAM_SO_MOI'!$C$22)^3)</f>
        <v>75.96269110752446</v>
      </c>
      <c r="K417" s="75">
        <f>'THAM_SO_MOI'!$C$31*J417/E417</f>
        <v>420.65640568051253</v>
      </c>
      <c r="L417" s="75">
        <f>K417*'THAM_SO_MOI'!$C$49*'THAM_SO_MOI'!$C$17/'THAM_SO_MOI'!$C$26</f>
        <v>23979.529104916997</v>
      </c>
      <c r="M417" s="75">
        <f>'THAM_SO_MOI'!$C$15*'THAM_SO_MOI'!$C$16*F417^2</f>
        <v>21.215192534139433</v>
      </c>
      <c r="N417" s="75">
        <f>'THAM_SO_MOI'!$C$12*I417</f>
        <v>1130.112</v>
      </c>
      <c r="O417" s="75">
        <f>M417+N417</f>
        <v>1151.3271925341396</v>
      </c>
      <c r="P417" s="75">
        <f>(MIN(L417,'THAM_SO_MOI'!$C$41)-O417)/('THAM_SO_MOI'!$C$11*H417)</f>
        <v>0.9398963237970542</v>
      </c>
      <c r="Q417" s="75">
        <f>IF(P417&gt;0,1/P417,NA())</f>
        <v>1.0639471340414812</v>
      </c>
      <c r="R417" s="75">
        <f>F417-F416</f>
        <v>0.0035133136094671613</v>
      </c>
      <c r="S417" s="75">
        <f>0.5*(Q416+Q417)*R417</f>
        <v>0.0037384268744379357</v>
      </c>
      <c r="T417" s="75">
        <f>0.5*(F416*Q416+F417*Q417)*R417</f>
        <v>0.010061576664571713</v>
      </c>
      <c r="U417" s="76">
        <f>U416+S417</f>
        <v>1.6836096427034979</v>
      </c>
      <c r="V417" s="76">
        <f>V416+T417</f>
        <v>3.2732049343356437</v>
      </c>
    </row>
    <row r="418" spans="1:22" ht="19" customHeight="1">
      <c r="A418" s="68" t="s">
        <v>368</v>
      </c>
      <c r="B418" s="74">
        <v>1</v>
      </c>
      <c r="C418" s="68" t="s">
        <v>363</v>
      </c>
      <c r="D418" s="68" t="s">
        <v>364</v>
      </c>
      <c r="E418" s="75">
        <f>60*F418*'THAM_SO_MOI'!$C$49/(2*PI()*'THAM_SO_MOI'!$C$26)</f>
        <v>1727.0</v>
      </c>
      <c r="F418" s="75">
        <f>'THAM_SO_MOI'!$E$49+('THAM_SO_MOI'!$F$49-'THAM_SO_MOI'!$E$49)*412/'THAM_SO_MOI'!$C$42</f>
        <v>2.696663379355687</v>
      </c>
      <c r="G418" s="75">
        <f>3.6*F418</f>
        <v>9.707988165680472</v>
      </c>
      <c r="H418" s="75">
        <f>'THAM_SO_MOI'!$D$49</f>
        <v>3.1625000000000005</v>
      </c>
      <c r="I418" s="75">
        <f>IF(F418&gt;'THAM_SO_MOI'!$C$14,'THAM_SO_MOI'!$C$13*(1+F418^2/1500),'THAM_SO_MOI'!$C$13)</f>
        <v>0.015</v>
      </c>
      <c r="J418" s="75">
        <f>'THAM_SO_MOI'!$C$40*('THAM_SO_MOI'!$C$23*(E418/'THAM_SO_MOI'!$C$22)+'THAM_SO_MOI'!$C$24*(E418/'THAM_SO_MOI'!$C$22)^2-'THAM_SO_MOI'!$C$25*(E418/'THAM_SO_MOI'!$C$22)^3)</f>
        <v>76.07918500551622</v>
      </c>
      <c r="K418" s="75">
        <f>'THAM_SO_MOI'!$C$31*J418/E418</f>
        <v>420.75262326428685</v>
      </c>
      <c r="L418" s="75">
        <f>K418*'THAM_SO_MOI'!$C$49*'THAM_SO_MOI'!$C$17/'THAM_SO_MOI'!$C$26</f>
        <v>23985.01399072728</v>
      </c>
      <c r="M418" s="75">
        <f>'THAM_SO_MOI'!$C$15*'THAM_SO_MOI'!$C$16*F418^2</f>
        <v>21.27058064105725</v>
      </c>
      <c r="N418" s="75">
        <f>'THAM_SO_MOI'!$C$12*I418</f>
        <v>1130.112</v>
      </c>
      <c r="O418" s="75">
        <f>M418+N418</f>
        <v>1151.3825806410573</v>
      </c>
      <c r="P418" s="75">
        <f>(MIN(L418,'THAM_SO_MOI'!$C$41)-O418)/('THAM_SO_MOI'!$C$11*H418)</f>
        <v>0.940119870309874</v>
      </c>
      <c r="Q418" s="75">
        <f>IF(P418&gt;0,1/P418,NA())</f>
        <v>1.063694143248338</v>
      </c>
      <c r="R418" s="75">
        <f>F418-F417</f>
        <v>0.0035133136094676054</v>
      </c>
      <c r="S418" s="75">
        <f>0.5*(Q417+Q418)*R418</f>
        <v>0.0037375355277836806</v>
      </c>
      <c r="T418" s="75">
        <f>0.5*(F417*Q417+F418*Q418)*R418</f>
        <v>0.010072308838907366</v>
      </c>
      <c r="U418" s="76">
        <f>U417+S418</f>
        <v>1.6873471782312817</v>
      </c>
      <c r="V418" s="76">
        <f>V417+T418</f>
        <v>3.283277243174551</v>
      </c>
    </row>
    <row r="419" spans="1:22" ht="19" customHeight="1">
      <c r="A419" s="68" t="s">
        <v>368</v>
      </c>
      <c r="B419" s="74">
        <v>1</v>
      </c>
      <c r="C419" s="68" t="s">
        <v>363</v>
      </c>
      <c r="D419" s="68" t="s">
        <v>364</v>
      </c>
      <c r="E419" s="75">
        <f>60*F419*'THAM_SO_MOI'!$C$49/(2*PI()*'THAM_SO_MOI'!$C$26)</f>
        <v>1729.2499999999998</v>
      </c>
      <c r="F419" s="75">
        <f>'THAM_SO_MOI'!$E$49+('THAM_SO_MOI'!$F$49-'THAM_SO_MOI'!$E$49)*413/'THAM_SO_MOI'!$C$42</f>
        <v>2.7001766929651545</v>
      </c>
      <c r="G419" s="75">
        <f>3.6*F419</f>
        <v>9.720636094674557</v>
      </c>
      <c r="H419" s="75">
        <f>'THAM_SO_MOI'!$D$49</f>
        <v>3.1625000000000005</v>
      </c>
      <c r="I419" s="75">
        <f>IF(F419&gt;'THAM_SO_MOI'!$C$14,'THAM_SO_MOI'!$C$13*(1+F419^2/1500),'THAM_SO_MOI'!$C$13)</f>
        <v>0.015</v>
      </c>
      <c r="J419" s="75">
        <f>'THAM_SO_MOI'!$C$40*('THAM_SO_MOI'!$C$23*(E419/'THAM_SO_MOI'!$C$22)+'THAM_SO_MOI'!$C$24*(E419/'THAM_SO_MOI'!$C$22)^2-'THAM_SO_MOI'!$C$25*(E419/'THAM_SO_MOI'!$C$22)^3)</f>
        <v>76.19563531466142</v>
      </c>
      <c r="K419" s="75">
        <f>'THAM_SO_MOI'!$C$31*J419/E419</f>
        <v>420.8483497100022</v>
      </c>
      <c r="L419" s="75">
        <f>K419*'THAM_SO_MOI'!$C$49*'THAM_SO_MOI'!$C$17/'THAM_SO_MOI'!$C$26</f>
        <v>23990.470879200016</v>
      </c>
      <c r="M419" s="75">
        <f>'THAM_SO_MOI'!$C$15*'THAM_SO_MOI'!$C$16*F419^2</f>
        <v>21.3260409567043</v>
      </c>
      <c r="N419" s="75">
        <f>'THAM_SO_MOI'!$C$12*I419</f>
        <v>1130.112</v>
      </c>
      <c r="O419" s="75">
        <f>M419+N419</f>
        <v>1151.4380409567043</v>
      </c>
      <c r="P419" s="75">
        <f>(MIN(L419,'THAM_SO_MOI'!$C$41)-O419)/('THAM_SO_MOI'!$C$11*H419)</f>
        <v>0.9403422611266183</v>
      </c>
      <c r="Q419" s="75">
        <f>IF(P419&gt;0,1/P419,NA())</f>
        <v>1.063442579728264</v>
      </c>
      <c r="R419" s="75">
        <f>F419-F418</f>
        <v>0.0035133136094676054</v>
      </c>
      <c r="S419" s="75">
        <f>0.5*(Q418+Q419)*R419</f>
        <v>0.00373664919901601</v>
      </c>
      <c r="T419" s="75">
        <f>0.5*(F418*Q418+F419*Q419)*R419</f>
        <v>0.010083048290442027</v>
      </c>
      <c r="U419" s="76">
        <f>U418+S419</f>
        <v>1.6910838274302977</v>
      </c>
      <c r="V419" s="76">
        <f>V418+T419</f>
        <v>3.2933602914649933</v>
      </c>
    </row>
    <row r="420" spans="1:22" ht="19" customHeight="1">
      <c r="A420" s="68" t="s">
        <v>368</v>
      </c>
      <c r="B420" s="74">
        <v>1</v>
      </c>
      <c r="C420" s="68" t="s">
        <v>363</v>
      </c>
      <c r="D420" s="68" t="s">
        <v>364</v>
      </c>
      <c r="E420" s="75">
        <f>60*F420*'THAM_SO_MOI'!$C$49/(2*PI()*'THAM_SO_MOI'!$C$26)</f>
        <v>1731.4999999999995</v>
      </c>
      <c r="F420" s="75">
        <f>'THAM_SO_MOI'!$E$49+('THAM_SO_MOI'!$F$49-'THAM_SO_MOI'!$E$49)*414/'THAM_SO_MOI'!$C$42</f>
        <v>2.703690006574622</v>
      </c>
      <c r="G420" s="75">
        <f>3.6*F420</f>
        <v>9.73328402366864</v>
      </c>
      <c r="H420" s="75">
        <f>'THAM_SO_MOI'!$D$49</f>
        <v>3.1625000000000005</v>
      </c>
      <c r="I420" s="75">
        <f>IF(F420&gt;'THAM_SO_MOI'!$C$14,'THAM_SO_MOI'!$C$13*(1+F420^2/1500),'THAM_SO_MOI'!$C$13)</f>
        <v>0.015</v>
      </c>
      <c r="J420" s="75">
        <f>'THAM_SO_MOI'!$C$40*('THAM_SO_MOI'!$C$23*(E420/'THAM_SO_MOI'!$C$22)+'THAM_SO_MOI'!$C$24*(E420/'THAM_SO_MOI'!$C$22)^2-'THAM_SO_MOI'!$C$25*(E420/'THAM_SO_MOI'!$C$22)^3)</f>
        <v>76.31204168786057</v>
      </c>
      <c r="K420" s="75">
        <f>'THAM_SO_MOI'!$C$31*J420/E420</f>
        <v>420.9435850176589</v>
      </c>
      <c r="L420" s="75">
        <f>K420*'THAM_SO_MOI'!$C$49*'THAM_SO_MOI'!$C$17/'THAM_SO_MOI'!$C$26</f>
        <v>23995.89977033523</v>
      </c>
      <c r="M420" s="75">
        <f>'THAM_SO_MOI'!$C$15*'THAM_SO_MOI'!$C$16*F420^2</f>
        <v>21.381573481080583</v>
      </c>
      <c r="N420" s="75">
        <f>'THAM_SO_MOI'!$C$12*I420</f>
        <v>1130.112</v>
      </c>
      <c r="O420" s="75">
        <f>M420+N420</f>
        <v>1151.4935734810806</v>
      </c>
      <c r="P420" s="75">
        <f>(MIN(L420,'THAM_SO_MOI'!$C$41)-O420)/('THAM_SO_MOI'!$C$11*H420)</f>
        <v>0.9405634962472885</v>
      </c>
      <c r="Q420" s="75">
        <f>IF(P420&gt;0,1/P420,NA())</f>
        <v>1.0631924415415381</v>
      </c>
      <c r="R420" s="75">
        <f>F420-F419</f>
        <v>0.0035133136094676054</v>
      </c>
      <c r="S420" s="75">
        <f>0.5*(Q419+Q420)*R420</f>
        <v>0.003735767881298813</v>
      </c>
      <c r="T420" s="75">
        <f>0.5*(F419*Q419+F420*Q420)*R420</f>
        <v>0.010093795053593256</v>
      </c>
      <c r="U420" s="76">
        <f>U419+S420</f>
        <v>1.6948195953115965</v>
      </c>
      <c r="V420" s="76">
        <f>V419+T420</f>
        <v>3.3034540865185864</v>
      </c>
    </row>
    <row r="421" spans="1:22" ht="19" customHeight="1">
      <c r="A421" s="68" t="s">
        <v>368</v>
      </c>
      <c r="B421" s="74">
        <v>1</v>
      </c>
      <c r="C421" s="68" t="s">
        <v>363</v>
      </c>
      <c r="D421" s="68" t="s">
        <v>364</v>
      </c>
      <c r="E421" s="75">
        <f>60*F421*'THAM_SO_MOI'!$C$49/(2*PI()*'THAM_SO_MOI'!$C$26)</f>
        <v>1733.7499999999998</v>
      </c>
      <c r="F421" s="75">
        <f>'THAM_SO_MOI'!$E$49+('THAM_SO_MOI'!$F$49-'THAM_SO_MOI'!$E$49)*415/'THAM_SO_MOI'!$C$42</f>
        <v>2.7072033201840897</v>
      </c>
      <c r="G421" s="75">
        <f>3.6*F421</f>
        <v>9.745931952662723</v>
      </c>
      <c r="H421" s="75">
        <f>'THAM_SO_MOI'!$D$49</f>
        <v>3.1625000000000005</v>
      </c>
      <c r="I421" s="75">
        <f>IF(F421&gt;'THAM_SO_MOI'!$C$14,'THAM_SO_MOI'!$C$13*(1+F421^2/1500),'THAM_SO_MOI'!$C$13)</f>
        <v>0.015</v>
      </c>
      <c r="J421" s="75">
        <f>'THAM_SO_MOI'!$C$40*('THAM_SO_MOI'!$C$23*(E421/'THAM_SO_MOI'!$C$22)+'THAM_SO_MOI'!$C$24*(E421/'THAM_SO_MOI'!$C$22)^2-'THAM_SO_MOI'!$C$25*(E421/'THAM_SO_MOI'!$C$22)^3)</f>
        <v>76.42840377801414</v>
      </c>
      <c r="K421" s="75">
        <f>'THAM_SO_MOI'!$C$31*J421/E421</f>
        <v>421.0383291872568</v>
      </c>
      <c r="L421" s="75">
        <f>K421*'THAM_SO_MOI'!$C$49*'THAM_SO_MOI'!$C$17/'THAM_SO_MOI'!$C$26</f>
        <v>24001.30066413291</v>
      </c>
      <c r="M421" s="75">
        <f>'THAM_SO_MOI'!$C$15*'THAM_SO_MOI'!$C$16*F421^2</f>
        <v>21.437178214186098</v>
      </c>
      <c r="N421" s="75">
        <f>'THAM_SO_MOI'!$C$12*I421</f>
        <v>1130.112</v>
      </c>
      <c r="O421" s="75">
        <f>M421+N421</f>
        <v>1151.5491782141862</v>
      </c>
      <c r="P421" s="75">
        <f>(MIN(L421,'THAM_SO_MOI'!$C$41)-O421)/('THAM_SO_MOI'!$C$11*H421)</f>
        <v>0.940783575671884</v>
      </c>
      <c r="Q421" s="75">
        <f>IF(P421&gt;0,1/P421,NA())</f>
        <v>1.062943726760775</v>
      </c>
      <c r="R421" s="75">
        <f>F421-F420</f>
        <v>0.0035133136094676054</v>
      </c>
      <c r="S421" s="75">
        <f>0.5*(Q420+Q421)*R421</f>
        <v>0.003734891567838912</v>
      </c>
      <c r="T421" s="75">
        <f>0.5*(F420*Q420+F421*Q421)*R421</f>
        <v>0.01010454916279868</v>
      </c>
      <c r="U421" s="76">
        <f>U420+S421</f>
        <v>1.6985544868794356</v>
      </c>
      <c r="V421" s="76">
        <f>V420+T421</f>
        <v>3.313558635681385</v>
      </c>
    </row>
    <row r="422" spans="1:22" ht="19" customHeight="1">
      <c r="A422" s="68" t="s">
        <v>368</v>
      </c>
      <c r="B422" s="74">
        <v>1</v>
      </c>
      <c r="C422" s="68" t="s">
        <v>363</v>
      </c>
      <c r="D422" s="68" t="s">
        <v>364</v>
      </c>
      <c r="E422" s="75">
        <f>60*F422*'THAM_SO_MOI'!$C$49/(2*PI()*'THAM_SO_MOI'!$C$26)</f>
        <v>1735.9999999999998</v>
      </c>
      <c r="F422" s="75">
        <f>'THAM_SO_MOI'!$E$49+('THAM_SO_MOI'!$F$49-'THAM_SO_MOI'!$E$49)*416/'THAM_SO_MOI'!$C$42</f>
        <v>2.710716633793557</v>
      </c>
      <c r="G422" s="75">
        <f>3.6*F422</f>
        <v>9.758579881656805</v>
      </c>
      <c r="H422" s="75">
        <f>'THAM_SO_MOI'!$D$49</f>
        <v>3.1625000000000005</v>
      </c>
      <c r="I422" s="75">
        <f>IF(F422&gt;'THAM_SO_MOI'!$C$14,'THAM_SO_MOI'!$C$13*(1+F422^2/1500),'THAM_SO_MOI'!$C$13)</f>
        <v>0.015</v>
      </c>
      <c r="J422" s="75">
        <f>'THAM_SO_MOI'!$C$40*('THAM_SO_MOI'!$C$23*(E422/'THAM_SO_MOI'!$C$22)+'THAM_SO_MOI'!$C$24*(E422/'THAM_SO_MOI'!$C$22)^2-'THAM_SO_MOI'!$C$25*(E422/'THAM_SO_MOI'!$C$22)^3)</f>
        <v>76.54472123802257</v>
      </c>
      <c r="K422" s="75">
        <f>'THAM_SO_MOI'!$C$31*J422/E422</f>
        <v>421.132582218796</v>
      </c>
      <c r="L422" s="75">
        <f>K422*'THAM_SO_MOI'!$C$49*'THAM_SO_MOI'!$C$17/'THAM_SO_MOI'!$C$26</f>
        <v>24006.673560593063</v>
      </c>
      <c r="M422" s="75">
        <f>'THAM_SO_MOI'!$C$15*'THAM_SO_MOI'!$C$16*F422^2</f>
        <v>21.492855156020838</v>
      </c>
      <c r="N422" s="75">
        <f>'THAM_SO_MOI'!$C$12*I422</f>
        <v>1130.112</v>
      </c>
      <c r="O422" s="75">
        <f>M422+N422</f>
        <v>1151.604855156021</v>
      </c>
      <c r="P422" s="75">
        <f>(MIN(L422,'THAM_SO_MOI'!$C$41)-O422)/('THAM_SO_MOI'!$C$11*H422)</f>
        <v>0.9410024994004049</v>
      </c>
      <c r="Q422" s="75">
        <f>IF(P422&gt;0,1/P422,NA())</f>
        <v>1.0626964334708862</v>
      </c>
      <c r="R422" s="75">
        <f>F422-F421</f>
        <v>0.0035133136094671613</v>
      </c>
      <c r="S422" s="75">
        <f>0.5*(Q421+Q422)*R422</f>
        <v>0.003734020251885927</v>
      </c>
      <c r="T422" s="75">
        <f>0.5*(F421*Q421+F422*Q422)*R422</f>
        <v>0.0101153106525164</v>
      </c>
      <c r="U422" s="76">
        <f>U421+S422</f>
        <v>1.7022885071313214</v>
      </c>
      <c r="V422" s="76">
        <f>V421+T422</f>
        <v>3.3236739463339013</v>
      </c>
    </row>
    <row r="423" spans="1:22" ht="19" customHeight="1">
      <c r="A423" s="68" t="s">
        <v>368</v>
      </c>
      <c r="B423" s="74">
        <v>1</v>
      </c>
      <c r="C423" s="68" t="s">
        <v>363</v>
      </c>
      <c r="D423" s="68" t="s">
        <v>364</v>
      </c>
      <c r="E423" s="75">
        <f>60*F423*'THAM_SO_MOI'!$C$49/(2*PI()*'THAM_SO_MOI'!$C$26)</f>
        <v>1738.25</v>
      </c>
      <c r="F423" s="75">
        <f>'THAM_SO_MOI'!$E$49+('THAM_SO_MOI'!$F$49-'THAM_SO_MOI'!$E$49)*417/'THAM_SO_MOI'!$C$42</f>
        <v>2.7142299474030245</v>
      </c>
      <c r="G423" s="75">
        <f>3.6*F423</f>
        <v>9.771227810650888</v>
      </c>
      <c r="H423" s="75">
        <f>'THAM_SO_MOI'!$D$49</f>
        <v>3.1625000000000005</v>
      </c>
      <c r="I423" s="75">
        <f>IF(F423&gt;'THAM_SO_MOI'!$C$14,'THAM_SO_MOI'!$C$13*(1+F423^2/1500),'THAM_SO_MOI'!$C$13)</f>
        <v>0.015</v>
      </c>
      <c r="J423" s="75">
        <f>'THAM_SO_MOI'!$C$40*('THAM_SO_MOI'!$C$23*(E423/'THAM_SO_MOI'!$C$22)+'THAM_SO_MOI'!$C$24*(E423/'THAM_SO_MOI'!$C$22)^2-'THAM_SO_MOI'!$C$25*(E423/'THAM_SO_MOI'!$C$22)^3)</f>
        <v>76.66099372078632</v>
      </c>
      <c r="K423" s="75">
        <f>'THAM_SO_MOI'!$C$31*J423/E423</f>
        <v>421.2263441122765</v>
      </c>
      <c r="L423" s="75">
        <f>K423*'THAM_SO_MOI'!$C$49*'THAM_SO_MOI'!$C$17/'THAM_SO_MOI'!$C$26</f>
        <v>24012.018459715684</v>
      </c>
      <c r="M423" s="75">
        <f>'THAM_SO_MOI'!$C$15*'THAM_SO_MOI'!$C$16*F423^2</f>
        <v>21.54860430658482</v>
      </c>
      <c r="N423" s="75">
        <f>'THAM_SO_MOI'!$C$12*I423</f>
        <v>1130.112</v>
      </c>
      <c r="O423" s="75">
        <f>M423+N423</f>
        <v>1151.660604306585</v>
      </c>
      <c r="P423" s="75">
        <f>(MIN(L423,'THAM_SO_MOI'!$C$41)-O423)/('THAM_SO_MOI'!$C$11*H423)</f>
        <v>0.9412202674328515</v>
      </c>
      <c r="Q423" s="75">
        <f>IF(P423&gt;0,1/P423,NA())</f>
        <v>1.0624505597690415</v>
      </c>
      <c r="R423" s="75">
        <f>F423-F422</f>
        <v>0.0035133136094676054</v>
      </c>
      <c r="S423" s="75">
        <f>0.5*(Q422+Q423)*R423</f>
        <v>0.0037331539267344994</v>
      </c>
      <c r="T423" s="75">
        <f>0.5*(F422*Q422+F423*Q423)*R423</f>
        <v>0.010126079557231785</v>
      </c>
      <c r="U423" s="76">
        <f>U422+S423</f>
        <v>1.7060216610580559</v>
      </c>
      <c r="V423" s="76">
        <f>V422+T423</f>
        <v>3.3338000258911333</v>
      </c>
    </row>
    <row r="424" spans="1:22" ht="19" customHeight="1">
      <c r="A424" s="68" t="s">
        <v>368</v>
      </c>
      <c r="B424" s="74">
        <v>1</v>
      </c>
      <c r="C424" s="68" t="s">
        <v>363</v>
      </c>
      <c r="D424" s="68" t="s">
        <v>364</v>
      </c>
      <c r="E424" s="75">
        <f>60*F424*'THAM_SO_MOI'!$C$49/(2*PI()*'THAM_SO_MOI'!$C$26)</f>
        <v>1740.4999999999998</v>
      </c>
      <c r="F424" s="75">
        <f>'THAM_SO_MOI'!$E$49+('THAM_SO_MOI'!$F$49-'THAM_SO_MOI'!$E$49)*418/'THAM_SO_MOI'!$C$42</f>
        <v>2.717743261012492</v>
      </c>
      <c r="G424" s="75">
        <f>3.6*F424</f>
        <v>9.783875739644971</v>
      </c>
      <c r="H424" s="75">
        <f>'THAM_SO_MOI'!$D$49</f>
        <v>3.1625000000000005</v>
      </c>
      <c r="I424" s="75">
        <f>IF(F424&gt;'THAM_SO_MOI'!$C$14,'THAM_SO_MOI'!$C$13*(1+F424^2/1500),'THAM_SO_MOI'!$C$13)</f>
        <v>0.015</v>
      </c>
      <c r="J424" s="75">
        <f>'THAM_SO_MOI'!$C$40*('THAM_SO_MOI'!$C$23*(E424/'THAM_SO_MOI'!$C$22)+'THAM_SO_MOI'!$C$24*(E424/'THAM_SO_MOI'!$C$22)^2-'THAM_SO_MOI'!$C$25*(E424/'THAM_SO_MOI'!$C$22)^3)</f>
        <v>76.7772208792058</v>
      </c>
      <c r="K424" s="75">
        <f>'THAM_SO_MOI'!$C$31*J424/E424</f>
        <v>421.319614867698</v>
      </c>
      <c r="L424" s="75">
        <f>K424*'THAM_SO_MOI'!$C$49*'THAM_SO_MOI'!$C$17/'THAM_SO_MOI'!$C$26</f>
        <v>24017.335361500765</v>
      </c>
      <c r="M424" s="75">
        <f>'THAM_SO_MOI'!$C$15*'THAM_SO_MOI'!$C$16*F424^2</f>
        <v>21.604425665878036</v>
      </c>
      <c r="N424" s="75">
        <f>'THAM_SO_MOI'!$C$12*I424</f>
        <v>1130.112</v>
      </c>
      <c r="O424" s="75">
        <f>M424+N424</f>
        <v>1151.7164256658782</v>
      </c>
      <c r="P424" s="75">
        <f>(MIN(L424,'THAM_SO_MOI'!$C$41)-O424)/('THAM_SO_MOI'!$C$11*H424)</f>
        <v>0.9414368797692227</v>
      </c>
      <c r="Q424" s="75">
        <f>IF(P424&gt;0,1/P424,NA())</f>
        <v>1.0622061037646338</v>
      </c>
      <c r="R424" s="75">
        <f>F424-F423</f>
        <v>0.0035133136094676054</v>
      </c>
      <c r="S424" s="75">
        <f>0.5*(Q423+Q424)*R424</f>
        <v>0.0037322925857194477</v>
      </c>
      <c r="T424" s="75">
        <f>0.5*(F423*Q423+F424*Q424)*R424</f>
        <v>0.010136855911445076</v>
      </c>
      <c r="U424" s="76">
        <f>U423+S424</f>
        <v>1.7097539536437754</v>
      </c>
      <c r="V424" s="76">
        <f>V423+T424</f>
        <v>3.3439368818025783</v>
      </c>
    </row>
    <row r="425" spans="1:22" ht="19" customHeight="1">
      <c r="A425" s="68" t="s">
        <v>368</v>
      </c>
      <c r="B425" s="74">
        <v>1</v>
      </c>
      <c r="C425" s="68" t="s">
        <v>363</v>
      </c>
      <c r="D425" s="68" t="s">
        <v>364</v>
      </c>
      <c r="E425" s="75">
        <f>60*F425*'THAM_SO_MOI'!$C$49/(2*PI()*'THAM_SO_MOI'!$C$26)</f>
        <v>1742.7499999999998</v>
      </c>
      <c r="F425" s="75">
        <f>'THAM_SO_MOI'!$E$49+('THAM_SO_MOI'!$F$49-'THAM_SO_MOI'!$E$49)*419/'THAM_SO_MOI'!$C$42</f>
        <v>2.7212565746219592</v>
      </c>
      <c r="G425" s="75">
        <f>3.6*F425</f>
        <v>9.796523668639054</v>
      </c>
      <c r="H425" s="75">
        <f>'THAM_SO_MOI'!$D$49</f>
        <v>3.1625000000000005</v>
      </c>
      <c r="I425" s="75">
        <f>IF(F425&gt;'THAM_SO_MOI'!$C$14,'THAM_SO_MOI'!$C$13*(1+F425^2/1500),'THAM_SO_MOI'!$C$13)</f>
        <v>0.015</v>
      </c>
      <c r="J425" s="75">
        <f>'THAM_SO_MOI'!$C$40*('THAM_SO_MOI'!$C$23*(E425/'THAM_SO_MOI'!$C$22)+'THAM_SO_MOI'!$C$24*(E425/'THAM_SO_MOI'!$C$22)^2-'THAM_SO_MOI'!$C$25*(E425/'THAM_SO_MOI'!$C$22)^3)</f>
        <v>76.89340236618152</v>
      </c>
      <c r="K425" s="75">
        <f>'THAM_SO_MOI'!$C$31*J425/E425</f>
        <v>421.4123944850609</v>
      </c>
      <c r="L425" s="75">
        <f>K425*'THAM_SO_MOI'!$C$49*'THAM_SO_MOI'!$C$17/'THAM_SO_MOI'!$C$26</f>
        <v>24022.624265948318</v>
      </c>
      <c r="M425" s="75">
        <f>'THAM_SO_MOI'!$C$15*'THAM_SO_MOI'!$C$16*F425^2</f>
        <v>21.660319233900474</v>
      </c>
      <c r="N425" s="75">
        <f>'THAM_SO_MOI'!$C$12*I425</f>
        <v>1130.112</v>
      </c>
      <c r="O425" s="75">
        <f>M425+N425</f>
        <v>1151.7723192339006</v>
      </c>
      <c r="P425" s="75">
        <f>(MIN(L425,'THAM_SO_MOI'!$C$41)-O425)/('THAM_SO_MOI'!$C$11*H425)</f>
        <v>0.9416523364095197</v>
      </c>
      <c r="Q425" s="75">
        <f>IF(P425&gt;0,1/P425,NA())</f>
        <v>1.0619630635792372</v>
      </c>
      <c r="R425" s="75">
        <f>F425-F424</f>
        <v>0.0035133136094671613</v>
      </c>
      <c r="S425" s="75">
        <f>0.5*(Q424+Q425)*R425</f>
        <v>0.0037314362222198747</v>
      </c>
      <c r="T425" s="75">
        <f>0.5*(F424*Q424+F425*Q425)*R425</f>
        <v>0.010147639749683282</v>
      </c>
      <c r="U425" s="76">
        <f>U424+S425</f>
        <v>1.7134853898659952</v>
      </c>
      <c r="V425" s="76">
        <f>V424+T425</f>
        <v>3.3540845215522617</v>
      </c>
    </row>
    <row r="426" spans="1:22" ht="19" customHeight="1">
      <c r="A426" s="68" t="s">
        <v>368</v>
      </c>
      <c r="B426" s="74">
        <v>1</v>
      </c>
      <c r="C426" s="68" t="s">
        <v>363</v>
      </c>
      <c r="D426" s="68" t="s">
        <v>364</v>
      </c>
      <c r="E426" s="75">
        <f>60*F426*'THAM_SO_MOI'!$C$49/(2*PI()*'THAM_SO_MOI'!$C$26)</f>
        <v>1745.0</v>
      </c>
      <c r="F426" s="75">
        <f>'THAM_SO_MOI'!$E$49+('THAM_SO_MOI'!$F$49-'THAM_SO_MOI'!$E$49)*420/'THAM_SO_MOI'!$C$42</f>
        <v>2.724769888231427</v>
      </c>
      <c r="G426" s="75">
        <f>3.6*F426</f>
        <v>9.809171597633137</v>
      </c>
      <c r="H426" s="75">
        <f>'THAM_SO_MOI'!$D$49</f>
        <v>3.1625000000000005</v>
      </c>
      <c r="I426" s="75">
        <f>IF(F426&gt;'THAM_SO_MOI'!$C$14,'THAM_SO_MOI'!$C$13*(1+F426^2/1500),'THAM_SO_MOI'!$C$13)</f>
        <v>0.015</v>
      </c>
      <c r="J426" s="75">
        <f>'THAM_SO_MOI'!$C$40*('THAM_SO_MOI'!$C$23*(E426/'THAM_SO_MOI'!$C$22)+'THAM_SO_MOI'!$C$24*(E426/'THAM_SO_MOI'!$C$22)^2-'THAM_SO_MOI'!$C$25*(E426/'THAM_SO_MOI'!$C$22)^3)</f>
        <v>77.0095378346139</v>
      </c>
      <c r="K426" s="75">
        <f>'THAM_SO_MOI'!$C$31*J426/E426</f>
        <v>421.50468296436486</v>
      </c>
      <c r="L426" s="75">
        <f>K426*'THAM_SO_MOI'!$C$49*'THAM_SO_MOI'!$C$17/'THAM_SO_MOI'!$C$26</f>
        <v>24027.88517305833</v>
      </c>
      <c r="M426" s="75">
        <f>'THAM_SO_MOI'!$C$15*'THAM_SO_MOI'!$C$16*F426^2</f>
        <v>21.716285010652157</v>
      </c>
      <c r="N426" s="75">
        <f>'THAM_SO_MOI'!$C$12*I426</f>
        <v>1130.112</v>
      </c>
      <c r="O426" s="75">
        <f>M426+N426</f>
        <v>1151.8282850106523</v>
      </c>
      <c r="P426" s="75">
        <f>(MIN(L426,'THAM_SO_MOI'!$C$41)-O426)/('THAM_SO_MOI'!$C$11*H426)</f>
        <v>0.9418666373537415</v>
      </c>
      <c r="Q426" s="75">
        <f>IF(P426&gt;0,1/P426,NA())</f>
        <v>1.0617214373465753</v>
      </c>
      <c r="R426" s="75">
        <f>F426-F425</f>
        <v>0.0035133136094676054</v>
      </c>
      <c r="S426" s="75">
        <f>0.5*(Q425+Q426)*R426</f>
        <v>0.003730584829659039</v>
      </c>
      <c r="T426" s="75">
        <f>0.5*(F425*Q425+F426*Q426)*R426</f>
        <v>0.010158431106500608</v>
      </c>
      <c r="U426" s="76">
        <f>U425+S426</f>
        <v>1.7172159746956541</v>
      </c>
      <c r="V426" s="76">
        <f>V425+T426</f>
        <v>3.364242952658762</v>
      </c>
    </row>
    <row r="427" spans="1:22" ht="19" customHeight="1">
      <c r="A427" s="68" t="s">
        <v>368</v>
      </c>
      <c r="B427" s="74">
        <v>1</v>
      </c>
      <c r="C427" s="68" t="s">
        <v>363</v>
      </c>
      <c r="D427" s="68" t="s">
        <v>364</v>
      </c>
      <c r="E427" s="75">
        <f>60*F427*'THAM_SO_MOI'!$C$49/(2*PI()*'THAM_SO_MOI'!$C$26)</f>
        <v>1747.2499999999998</v>
      </c>
      <c r="F427" s="75">
        <f>'THAM_SO_MOI'!$E$49+('THAM_SO_MOI'!$F$49-'THAM_SO_MOI'!$E$49)*421/'THAM_SO_MOI'!$C$42</f>
        <v>2.7282832018408945</v>
      </c>
      <c r="G427" s="75">
        <f>3.6*F427</f>
        <v>9.82181952662722</v>
      </c>
      <c r="H427" s="75">
        <f>'THAM_SO_MOI'!$D$49</f>
        <v>3.1625000000000005</v>
      </c>
      <c r="I427" s="75">
        <f>IF(F427&gt;'THAM_SO_MOI'!$C$14,'THAM_SO_MOI'!$C$13*(1+F427^2/1500),'THAM_SO_MOI'!$C$13)</f>
        <v>0.015</v>
      </c>
      <c r="J427" s="75">
        <f>'THAM_SO_MOI'!$C$40*('THAM_SO_MOI'!$C$23*(E427/'THAM_SO_MOI'!$C$22)+'THAM_SO_MOI'!$C$24*(E427/'THAM_SO_MOI'!$C$22)^2-'THAM_SO_MOI'!$C$25*(E427/'THAM_SO_MOI'!$C$22)^3)</f>
        <v>77.12562693740338</v>
      </c>
      <c r="K427" s="75">
        <f>'THAM_SO_MOI'!$C$31*J427/E427</f>
        <v>421.59648030561004</v>
      </c>
      <c r="L427" s="75">
        <f>K427*'THAM_SO_MOI'!$C$49*'THAM_SO_MOI'!$C$17/'THAM_SO_MOI'!$C$26</f>
        <v>24033.118082830813</v>
      </c>
      <c r="M427" s="75">
        <f>'THAM_SO_MOI'!$C$15*'THAM_SO_MOI'!$C$16*F427^2</f>
        <v>21.77232299613307</v>
      </c>
      <c r="N427" s="75">
        <f>'THAM_SO_MOI'!$C$12*I427</f>
        <v>1130.112</v>
      </c>
      <c r="O427" s="75">
        <f>M427+N427</f>
        <v>1151.884322996133</v>
      </c>
      <c r="P427" s="75">
        <f>(MIN(L427,'THAM_SO_MOI'!$C$41)-O427)/('THAM_SO_MOI'!$C$11*H427)</f>
        <v>0.9420797826018888</v>
      </c>
      <c r="Q427" s="75">
        <f>IF(P427&gt;0,1/P427,NA())</f>
        <v>1.0614812232124797</v>
      </c>
      <c r="R427" s="75">
        <f>F427-F426</f>
        <v>0.0035133136094676054</v>
      </c>
      <c r="S427" s="75">
        <f>0.5*(Q426+Q427)*R427</f>
        <v>0.0037297384014999785</v>
      </c>
      <c r="T427" s="75">
        <f>0.5*(F426*Q426+F427*Q427)*R427</f>
        <v>0.010169230016467294</v>
      </c>
      <c r="U427" s="76">
        <f>U426+S427</f>
        <v>1.7209457130971542</v>
      </c>
      <c r="V427" s="76">
        <f>V426+T427</f>
        <v>3.374412182675229</v>
      </c>
    </row>
    <row r="428" spans="1:22" ht="19" customHeight="1">
      <c r="A428" s="68" t="s">
        <v>368</v>
      </c>
      <c r="B428" s="74">
        <v>1</v>
      </c>
      <c r="C428" s="68" t="s">
        <v>363</v>
      </c>
      <c r="D428" s="68" t="s">
        <v>364</v>
      </c>
      <c r="E428" s="75">
        <f>60*F428*'THAM_SO_MOI'!$C$49/(2*PI()*'THAM_SO_MOI'!$C$26)</f>
        <v>1749.4999999999995</v>
      </c>
      <c r="F428" s="75">
        <f>'THAM_SO_MOI'!$E$49+('THAM_SO_MOI'!$F$49-'THAM_SO_MOI'!$E$49)*422/'THAM_SO_MOI'!$C$42</f>
        <v>2.7317965154503616</v>
      </c>
      <c r="G428" s="75">
        <f>3.6*F428</f>
        <v>9.834467455621303</v>
      </c>
      <c r="H428" s="75">
        <f>'THAM_SO_MOI'!$D$49</f>
        <v>3.1625000000000005</v>
      </c>
      <c r="I428" s="75">
        <f>IF(F428&gt;'THAM_SO_MOI'!$C$14,'THAM_SO_MOI'!$C$13*(1+F428^2/1500),'THAM_SO_MOI'!$C$13)</f>
        <v>0.015</v>
      </c>
      <c r="J428" s="75">
        <f>'THAM_SO_MOI'!$C$40*('THAM_SO_MOI'!$C$23*(E428/'THAM_SO_MOI'!$C$22)+'THAM_SO_MOI'!$C$24*(E428/'THAM_SO_MOI'!$C$22)^2-'THAM_SO_MOI'!$C$25*(E428/'THAM_SO_MOI'!$C$22)^3)</f>
        <v>77.24166932745048</v>
      </c>
      <c r="K428" s="75">
        <f>'THAM_SO_MOI'!$C$31*J428/E428</f>
        <v>421.68778650879653</v>
      </c>
      <c r="L428" s="75">
        <f>K428*'THAM_SO_MOI'!$C$49*'THAM_SO_MOI'!$C$17/'THAM_SO_MOI'!$C$26</f>
        <v>24038.32299526577</v>
      </c>
      <c r="M428" s="75">
        <f>'THAM_SO_MOI'!$C$15*'THAM_SO_MOI'!$C$16*F428^2</f>
        <v>21.82843319034321</v>
      </c>
      <c r="N428" s="75">
        <f>'THAM_SO_MOI'!$C$12*I428</f>
        <v>1130.112</v>
      </c>
      <c r="O428" s="75">
        <f>M428+N428</f>
        <v>1151.9404331903434</v>
      </c>
      <c r="P428" s="75">
        <f>(MIN(L428,'THAM_SO_MOI'!$C$41)-O428)/('THAM_SO_MOI'!$C$11*H428)</f>
        <v>0.9422917721539619</v>
      </c>
      <c r="Q428" s="75">
        <f>IF(P428&gt;0,1/P428,NA())</f>
        <v>1.0612424193348566</v>
      </c>
      <c r="R428" s="75">
        <f>F428-F427</f>
        <v>0.0035133136094671613</v>
      </c>
      <c r="S428" s="75">
        <f>0.5*(Q427+Q428)*R428</f>
        <v>0.0037288969312496314</v>
      </c>
      <c r="T428" s="75">
        <f>0.5*(F427*Q427+F428*Q428)*R428</f>
        <v>0.010180036514181555</v>
      </c>
      <c r="U428" s="76">
        <f>U427+S428</f>
        <v>1.7246746100284038</v>
      </c>
      <c r="V428" s="76">
        <f>V427+T428</f>
        <v>3.3845922191894107</v>
      </c>
    </row>
    <row r="429" spans="1:22" ht="19" customHeight="1">
      <c r="A429" s="68" t="s">
        <v>368</v>
      </c>
      <c r="B429" s="74">
        <v>1</v>
      </c>
      <c r="C429" s="68" t="s">
        <v>363</v>
      </c>
      <c r="D429" s="68" t="s">
        <v>364</v>
      </c>
      <c r="E429" s="75">
        <f>60*F429*'THAM_SO_MOI'!$C$49/(2*PI()*'THAM_SO_MOI'!$C$26)</f>
        <v>1751.7499999999998</v>
      </c>
      <c r="F429" s="75">
        <f>'THAM_SO_MOI'!$E$49+('THAM_SO_MOI'!$F$49-'THAM_SO_MOI'!$E$49)*423/'THAM_SO_MOI'!$C$42</f>
        <v>2.7353098290598292</v>
      </c>
      <c r="G429" s="75">
        <f>3.6*F429</f>
        <v>9.847115384615385</v>
      </c>
      <c r="H429" s="75">
        <f>'THAM_SO_MOI'!$D$49</f>
        <v>3.1625000000000005</v>
      </c>
      <c r="I429" s="75">
        <f>IF(F429&gt;'THAM_SO_MOI'!$C$14,'THAM_SO_MOI'!$C$13*(1+F429^2/1500),'THAM_SO_MOI'!$C$13)</f>
        <v>0.015</v>
      </c>
      <c r="J429" s="75">
        <f>'THAM_SO_MOI'!$C$40*('THAM_SO_MOI'!$C$23*(E429/'THAM_SO_MOI'!$C$22)+'THAM_SO_MOI'!$C$24*(E429/'THAM_SO_MOI'!$C$22)^2-'THAM_SO_MOI'!$C$25*(E429/'THAM_SO_MOI'!$C$22)^3)</f>
        <v>77.35766465765565</v>
      </c>
      <c r="K429" s="75">
        <f>'THAM_SO_MOI'!$C$31*J429/E429</f>
        <v>421.77860157392433</v>
      </c>
      <c r="L429" s="75">
        <f>K429*'THAM_SO_MOI'!$C$49*'THAM_SO_MOI'!$C$17/'THAM_SO_MOI'!$C$26</f>
        <v>24043.4999103632</v>
      </c>
      <c r="M429" s="75">
        <f>'THAM_SO_MOI'!$C$15*'THAM_SO_MOI'!$C$16*F429^2</f>
        <v>21.88461559328259</v>
      </c>
      <c r="N429" s="75">
        <f>'THAM_SO_MOI'!$C$12*I429</f>
        <v>1130.112</v>
      </c>
      <c r="O429" s="75">
        <f>M429+N429</f>
        <v>1151.9966155932827</v>
      </c>
      <c r="P429" s="75">
        <f>(MIN(L429,'THAM_SO_MOI'!$C$41)-O429)/('THAM_SO_MOI'!$C$11*H429)</f>
        <v>0.9425026060099602</v>
      </c>
      <c r="Q429" s="75">
        <f>IF(P429&gt;0,1/P429,NA())</f>
        <v>1.06100502388365</v>
      </c>
      <c r="R429" s="75">
        <f>F429-F428</f>
        <v>0.0035133136094676054</v>
      </c>
      <c r="S429" s="75">
        <f>0.5*(Q428+Q429)*R429</f>
        <v>0.003728060412458704</v>
      </c>
      <c r="T429" s="75">
        <f>0.5*(F428*Q428+F429*Q429)*R429</f>
        <v>0.010190850634270008</v>
      </c>
      <c r="U429" s="76">
        <f>U428+S429</f>
        <v>1.7284026704408626</v>
      </c>
      <c r="V429" s="76">
        <f>V428+T429</f>
        <v>3.3947830698236805</v>
      </c>
    </row>
    <row r="430" spans="1:22" ht="19" customHeight="1">
      <c r="A430" s="68" t="s">
        <v>368</v>
      </c>
      <c r="B430" s="74">
        <v>1</v>
      </c>
      <c r="C430" s="68" t="s">
        <v>363</v>
      </c>
      <c r="D430" s="68" t="s">
        <v>364</v>
      </c>
      <c r="E430" s="75">
        <f>60*F430*'THAM_SO_MOI'!$C$49/(2*PI()*'THAM_SO_MOI'!$C$26)</f>
        <v>1754.0</v>
      </c>
      <c r="F430" s="75">
        <f>'THAM_SO_MOI'!$E$49+('THAM_SO_MOI'!$F$49-'THAM_SO_MOI'!$E$49)*424/'THAM_SO_MOI'!$C$42</f>
        <v>2.738823142669297</v>
      </c>
      <c r="G430" s="75">
        <f>3.6*F430</f>
        <v>9.859763313609468</v>
      </c>
      <c r="H430" s="75">
        <f>'THAM_SO_MOI'!$D$49</f>
        <v>3.1625000000000005</v>
      </c>
      <c r="I430" s="75">
        <f>IF(F430&gt;'THAM_SO_MOI'!$C$14,'THAM_SO_MOI'!$C$13*(1+F430^2/1500),'THAM_SO_MOI'!$C$13)</f>
        <v>0.015</v>
      </c>
      <c r="J430" s="75">
        <f>'THAM_SO_MOI'!$C$40*('THAM_SO_MOI'!$C$23*(E430/'THAM_SO_MOI'!$C$22)+'THAM_SO_MOI'!$C$24*(E430/'THAM_SO_MOI'!$C$22)^2-'THAM_SO_MOI'!$C$25*(E430/'THAM_SO_MOI'!$C$22)^3)</f>
        <v>77.47361258091928</v>
      </c>
      <c r="K430" s="75">
        <f>'THAM_SO_MOI'!$C$31*J430/E430</f>
        <v>421.8689255009932</v>
      </c>
      <c r="L430" s="75">
        <f>K430*'THAM_SO_MOI'!$C$49*'THAM_SO_MOI'!$C$17/'THAM_SO_MOI'!$C$26</f>
        <v>24048.648828123085</v>
      </c>
      <c r="M430" s="75">
        <f>'THAM_SO_MOI'!$C$15*'THAM_SO_MOI'!$C$16*F430^2</f>
        <v>21.940870204951207</v>
      </c>
      <c r="N430" s="75">
        <f>'THAM_SO_MOI'!$C$12*I430</f>
        <v>1130.112</v>
      </c>
      <c r="O430" s="75">
        <f>M430+N430</f>
        <v>1152.0528702049512</v>
      </c>
      <c r="P430" s="75">
        <f>(MIN(L430,'THAM_SO_MOI'!$C$41)-O430)/('THAM_SO_MOI'!$C$11*H430)</f>
        <v>0.9427122841698834</v>
      </c>
      <c r="Q430" s="75">
        <f>IF(P430&gt;0,1/P430,NA())</f>
        <v>1.0607690350408046</v>
      </c>
      <c r="R430" s="75">
        <f>F430-F429</f>
        <v>0.0035133136094676054</v>
      </c>
      <c r="S430" s="75">
        <f>0.5*(Q429+Q430)*R430</f>
        <v>0.0037272288387173035</v>
      </c>
      <c r="T430" s="75">
        <f>0.5*(F429*Q429+F430*Q430)*R430</f>
        <v>0.010201672411376476</v>
      </c>
      <c r="U430" s="76">
        <f>U429+S430</f>
        <v>1.73212989927958</v>
      </c>
      <c r="V430" s="76">
        <f>V429+T430</f>
        <v>3.4049847422350568</v>
      </c>
    </row>
    <row r="431" spans="1:22" ht="19" customHeight="1">
      <c r="A431" s="68" t="s">
        <v>368</v>
      </c>
      <c r="B431" s="74">
        <v>1</v>
      </c>
      <c r="C431" s="68" t="s">
        <v>363</v>
      </c>
      <c r="D431" s="68" t="s">
        <v>364</v>
      </c>
      <c r="E431" s="75">
        <f>60*F431*'THAM_SO_MOI'!$C$49/(2*PI()*'THAM_SO_MOI'!$C$26)</f>
        <v>1756.25</v>
      </c>
      <c r="F431" s="75">
        <f>'THAM_SO_MOI'!$E$49+('THAM_SO_MOI'!$F$49-'THAM_SO_MOI'!$E$49)*425/'THAM_SO_MOI'!$C$42</f>
        <v>2.742336456278764</v>
      </c>
      <c r="G431" s="75">
        <f>3.6*F431</f>
        <v>9.872411242603551</v>
      </c>
      <c r="H431" s="75">
        <f>'THAM_SO_MOI'!$D$49</f>
        <v>3.1625000000000005</v>
      </c>
      <c r="I431" s="75">
        <f>IF(F431&gt;'THAM_SO_MOI'!$C$14,'THAM_SO_MOI'!$C$13*(1+F431^2/1500),'THAM_SO_MOI'!$C$13)</f>
        <v>0.015</v>
      </c>
      <c r="J431" s="75">
        <f>'THAM_SO_MOI'!$C$40*('THAM_SO_MOI'!$C$23*(E431/'THAM_SO_MOI'!$C$22)+'THAM_SO_MOI'!$C$24*(E431/'THAM_SO_MOI'!$C$22)^2-'THAM_SO_MOI'!$C$25*(E431/'THAM_SO_MOI'!$C$22)^3)</f>
        <v>77.58951275014186</v>
      </c>
      <c r="K431" s="75">
        <f>'THAM_SO_MOI'!$C$31*J431/E431</f>
        <v>421.9587582900033</v>
      </c>
      <c r="L431" s="75">
        <f>K431*'THAM_SO_MOI'!$C$49*'THAM_SO_MOI'!$C$17/'THAM_SO_MOI'!$C$26</f>
        <v>24053.769748545437</v>
      </c>
      <c r="M431" s="75">
        <f>'THAM_SO_MOI'!$C$15*'THAM_SO_MOI'!$C$16*F431^2</f>
        <v>21.997197025349042</v>
      </c>
      <c r="N431" s="75">
        <f>'THAM_SO_MOI'!$C$12*I431</f>
        <v>1130.112</v>
      </c>
      <c r="O431" s="75">
        <f>M431+N431</f>
        <v>1152.1091970253492</v>
      </c>
      <c r="P431" s="75">
        <f>(MIN(L431,'THAM_SO_MOI'!$C$41)-O431)/('THAM_SO_MOI'!$C$11*H431)</f>
        <v>0.942920806633732</v>
      </c>
      <c r="Q431" s="75">
        <f>IF(P431&gt;0,1/P431,NA())</f>
        <v>1.060534451000231</v>
      </c>
      <c r="R431" s="75">
        <f>F431-F430</f>
        <v>0.0035133136094671613</v>
      </c>
      <c r="S431" s="75">
        <f>0.5*(Q430+Q431)*R431</f>
        <v>0.003726402203659051</v>
      </c>
      <c r="T431" s="75">
        <f>0.5*(F430*Q430+F431*Q431)*R431</f>
        <v>0.010212501880173959</v>
      </c>
      <c r="U431" s="76">
        <f>U430+S431</f>
        <v>1.7358563014832389</v>
      </c>
      <c r="V431" s="76">
        <f>V430+T431</f>
        <v>3.4151972441152307</v>
      </c>
    </row>
    <row r="432" spans="1:22" ht="19" customHeight="1">
      <c r="A432" s="68" t="s">
        <v>368</v>
      </c>
      <c r="B432" s="74">
        <v>1</v>
      </c>
      <c r="C432" s="68" t="s">
        <v>363</v>
      </c>
      <c r="D432" s="68" t="s">
        <v>364</v>
      </c>
      <c r="E432" s="75">
        <f>60*F432*'THAM_SO_MOI'!$C$49/(2*PI()*'THAM_SO_MOI'!$C$26)</f>
        <v>1758.4999999999995</v>
      </c>
      <c r="F432" s="75">
        <f>'THAM_SO_MOI'!$E$49+('THAM_SO_MOI'!$F$49-'THAM_SO_MOI'!$E$49)*426/'THAM_SO_MOI'!$C$42</f>
        <v>2.745849769888231</v>
      </c>
      <c r="G432" s="75">
        <f>3.6*F432</f>
        <v>9.885059171597632</v>
      </c>
      <c r="H432" s="75">
        <f>'THAM_SO_MOI'!$D$49</f>
        <v>3.1625000000000005</v>
      </c>
      <c r="I432" s="75">
        <f>IF(F432&gt;'THAM_SO_MOI'!$C$14,'THAM_SO_MOI'!$C$13*(1+F432^2/1500),'THAM_SO_MOI'!$C$13)</f>
        <v>0.015</v>
      </c>
      <c r="J432" s="75">
        <f>'THAM_SO_MOI'!$C$40*('THAM_SO_MOI'!$C$23*(E432/'THAM_SO_MOI'!$C$22)+'THAM_SO_MOI'!$C$24*(E432/'THAM_SO_MOI'!$C$22)^2-'THAM_SO_MOI'!$C$25*(E432/'THAM_SO_MOI'!$C$22)^3)</f>
        <v>77.70536481822384</v>
      </c>
      <c r="K432" s="75">
        <f>'THAM_SO_MOI'!$C$31*J432/E432</f>
        <v>422.04809994095467</v>
      </c>
      <c r="L432" s="75">
        <f>K432*'THAM_SO_MOI'!$C$49*'THAM_SO_MOI'!$C$17/'THAM_SO_MOI'!$C$26</f>
        <v>24058.862671630264</v>
      </c>
      <c r="M432" s="75">
        <f>'THAM_SO_MOI'!$C$15*'THAM_SO_MOI'!$C$16*F432^2</f>
        <v>22.053596054476113</v>
      </c>
      <c r="N432" s="75">
        <f>'THAM_SO_MOI'!$C$12*I432</f>
        <v>1130.112</v>
      </c>
      <c r="O432" s="75">
        <f>M432+N432</f>
        <v>1152.1655960544763</v>
      </c>
      <c r="P432" s="75">
        <f>(MIN(L432,'THAM_SO_MOI'!$C$41)-O432)/('THAM_SO_MOI'!$C$11*H432)</f>
        <v>0.9431281734015062</v>
      </c>
      <c r="Q432" s="75">
        <f>IF(P432&gt;0,1/P432,NA())</f>
        <v>1.0603012699677696</v>
      </c>
      <c r="R432" s="75">
        <f>F432-F431</f>
        <v>0.0035133136094671613</v>
      </c>
      <c r="S432" s="75">
        <f>0.5*(Q431+Q432)*R432</f>
        <v>0.0037255805009604875</v>
      </c>
      <c r="T432" s="75">
        <f>0.5*(F431*Q431+F432*Q432)*R432</f>
        <v>0.010223339075363755</v>
      </c>
      <c r="U432" s="76">
        <f>U431+S432</f>
        <v>1.7395818819841993</v>
      </c>
      <c r="V432" s="76">
        <f>V431+T432</f>
        <v>3.4254205831905944</v>
      </c>
    </row>
    <row r="433" spans="1:22" ht="19" customHeight="1">
      <c r="A433" s="68" t="s">
        <v>368</v>
      </c>
      <c r="B433" s="74">
        <v>1</v>
      </c>
      <c r="C433" s="68" t="s">
        <v>363</v>
      </c>
      <c r="D433" s="68" t="s">
        <v>364</v>
      </c>
      <c r="E433" s="75">
        <f>60*F433*'THAM_SO_MOI'!$C$49/(2*PI()*'THAM_SO_MOI'!$C$26)</f>
        <v>1760.75</v>
      </c>
      <c r="F433" s="75">
        <f>'THAM_SO_MOI'!$E$49+('THAM_SO_MOI'!$F$49-'THAM_SO_MOI'!$E$49)*427/'THAM_SO_MOI'!$C$42</f>
        <v>2.749363083497699</v>
      </c>
      <c r="G433" s="75">
        <f>3.6*F433</f>
        <v>9.897707100591717</v>
      </c>
      <c r="H433" s="75">
        <f>'THAM_SO_MOI'!$D$49</f>
        <v>3.1625000000000005</v>
      </c>
      <c r="I433" s="75">
        <f>IF(F433&gt;'THAM_SO_MOI'!$C$14,'THAM_SO_MOI'!$C$13*(1+F433^2/1500),'THAM_SO_MOI'!$C$13)</f>
        <v>0.015</v>
      </c>
      <c r="J433" s="75">
        <f>'THAM_SO_MOI'!$C$40*('THAM_SO_MOI'!$C$23*(E433/'THAM_SO_MOI'!$C$22)+'THAM_SO_MOI'!$C$24*(E433/'THAM_SO_MOI'!$C$22)^2-'THAM_SO_MOI'!$C$25*(E433/'THAM_SO_MOI'!$C$22)^3)</f>
        <v>77.82116843806574</v>
      </c>
      <c r="K433" s="75">
        <f>'THAM_SO_MOI'!$C$31*J433/E433</f>
        <v>422.13695045384736</v>
      </c>
      <c r="L433" s="75">
        <f>K433*'THAM_SO_MOI'!$C$49*'THAM_SO_MOI'!$C$17/'THAM_SO_MOI'!$C$26</f>
        <v>24063.927597377562</v>
      </c>
      <c r="M433" s="75">
        <f>'THAM_SO_MOI'!$C$15*'THAM_SO_MOI'!$C$16*F433^2</f>
        <v>22.110067292332435</v>
      </c>
      <c r="N433" s="75">
        <f>'THAM_SO_MOI'!$C$12*I433</f>
        <v>1130.112</v>
      </c>
      <c r="O433" s="75">
        <f>M433+N433</f>
        <v>1152.2220672923324</v>
      </c>
      <c r="P433" s="75">
        <f>(MIN(L433,'THAM_SO_MOI'!$C$41)-O433)/('THAM_SO_MOI'!$C$11*H433)</f>
        <v>0.943334384473206</v>
      </c>
      <c r="Q433" s="75">
        <f>IF(P433&gt;0,1/P433,NA())</f>
        <v>1.0600694901611567</v>
      </c>
      <c r="R433" s="75">
        <f>F433-F432</f>
        <v>0.0035133136094680495</v>
      </c>
      <c r="S433" s="75">
        <f>0.5*(Q432+Q433)*R433</f>
        <v>0.003724763724339535</v>
      </c>
      <c r="T433" s="75">
        <f>0.5*(F432*Q432+F433*Q433)*R433</f>
        <v>0.010234184031672006</v>
      </c>
      <c r="U433" s="76">
        <f>U432+S433</f>
        <v>1.7433066457085389</v>
      </c>
      <c r="V433" s="76">
        <f>V432+T433</f>
        <v>3.4356547672222666</v>
      </c>
    </row>
    <row r="434" spans="1:22" ht="19" customHeight="1">
      <c r="A434" s="68" t="s">
        <v>368</v>
      </c>
      <c r="B434" s="74">
        <v>1</v>
      </c>
      <c r="C434" s="68" t="s">
        <v>363</v>
      </c>
      <c r="D434" s="68" t="s">
        <v>364</v>
      </c>
      <c r="E434" s="75">
        <f>60*F434*'THAM_SO_MOI'!$C$49/(2*PI()*'THAM_SO_MOI'!$C$26)</f>
        <v>1763.0</v>
      </c>
      <c r="F434" s="75">
        <f>'THAM_SO_MOI'!$E$49+('THAM_SO_MOI'!$F$49-'THAM_SO_MOI'!$E$49)*428/'THAM_SO_MOI'!$C$42</f>
        <v>2.7528763971071664</v>
      </c>
      <c r="G434" s="75">
        <f>3.6*F434</f>
        <v>9.9103550295858</v>
      </c>
      <c r="H434" s="75">
        <f>'THAM_SO_MOI'!$D$49</f>
        <v>3.1625000000000005</v>
      </c>
      <c r="I434" s="75">
        <f>IF(F434&gt;'THAM_SO_MOI'!$C$14,'THAM_SO_MOI'!$C$13*(1+F434^2/1500),'THAM_SO_MOI'!$C$13)</f>
        <v>0.015</v>
      </c>
      <c r="J434" s="75">
        <f>'THAM_SO_MOI'!$C$40*('THAM_SO_MOI'!$C$23*(E434/'THAM_SO_MOI'!$C$22)+'THAM_SO_MOI'!$C$24*(E434/'THAM_SO_MOI'!$C$22)^2-'THAM_SO_MOI'!$C$25*(E434/'THAM_SO_MOI'!$C$22)^3)</f>
        <v>77.93692326256792</v>
      </c>
      <c r="K434" s="75">
        <f>'THAM_SO_MOI'!$C$31*J434/E434</f>
        <v>422.22530982868113</v>
      </c>
      <c r="L434" s="75">
        <f>K434*'THAM_SO_MOI'!$C$49*'THAM_SO_MOI'!$C$17/'THAM_SO_MOI'!$C$26</f>
        <v>24068.964525787324</v>
      </c>
      <c r="M434" s="75">
        <f>'THAM_SO_MOI'!$C$15*'THAM_SO_MOI'!$C$16*F434^2</f>
        <v>22.16661073891797</v>
      </c>
      <c r="N434" s="75">
        <f>'THAM_SO_MOI'!$C$12*I434</f>
        <v>1130.112</v>
      </c>
      <c r="O434" s="75">
        <f>M434+N434</f>
        <v>1152.2786107389181</v>
      </c>
      <c r="P434" s="75">
        <f>(MIN(L434,'THAM_SO_MOI'!$C$41)-O434)/('THAM_SO_MOI'!$C$11*H434)</f>
        <v>0.9435394398488308</v>
      </c>
      <c r="Q434" s="75">
        <f>IF(P434&gt;0,1/P434,NA())</f>
        <v>1.0598391098099884</v>
      </c>
      <c r="R434" s="75">
        <f>F434-F433</f>
        <v>0.0035133136094671613</v>
      </c>
      <c r="S434" s="75">
        <f>0.5*(Q433+Q434)*R434</f>
        <v>0.0037239518675525507</v>
      </c>
      <c r="T434" s="75">
        <f>0.5*(F433*Q433+F434*Q434)*R434</f>
        <v>0.010245036783842308</v>
      </c>
      <c r="U434" s="76">
        <f>U433+S434</f>
        <v>1.7470305975760914</v>
      </c>
      <c r="V434" s="76">
        <f>V433+T434</f>
        <v>3.445899804006109</v>
      </c>
    </row>
    <row r="435" spans="1:22" ht="19" customHeight="1">
      <c r="A435" s="68" t="s">
        <v>368</v>
      </c>
      <c r="B435" s="74">
        <v>1</v>
      </c>
      <c r="C435" s="68" t="s">
        <v>363</v>
      </c>
      <c r="D435" s="68" t="s">
        <v>364</v>
      </c>
      <c r="E435" s="75">
        <f>60*F435*'THAM_SO_MOI'!$C$49/(2*PI()*'THAM_SO_MOI'!$C$26)</f>
        <v>1765.2499999999998</v>
      </c>
      <c r="F435" s="75">
        <f>'THAM_SO_MOI'!$E$49+('THAM_SO_MOI'!$F$49-'THAM_SO_MOI'!$E$49)*429/'THAM_SO_MOI'!$C$42</f>
        <v>2.7563897107166335</v>
      </c>
      <c r="G435" s="75">
        <f>3.6*F435</f>
        <v>9.92300295857988</v>
      </c>
      <c r="H435" s="75">
        <f>'THAM_SO_MOI'!$D$49</f>
        <v>3.1625000000000005</v>
      </c>
      <c r="I435" s="75">
        <f>IF(F435&gt;'THAM_SO_MOI'!$C$14,'THAM_SO_MOI'!$C$13*(1+F435^2/1500),'THAM_SO_MOI'!$C$13)</f>
        <v>0.015</v>
      </c>
      <c r="J435" s="75">
        <f>'THAM_SO_MOI'!$C$40*('THAM_SO_MOI'!$C$23*(E435/'THAM_SO_MOI'!$C$22)+'THAM_SO_MOI'!$C$24*(E435/'THAM_SO_MOI'!$C$22)^2-'THAM_SO_MOI'!$C$25*(E435/'THAM_SO_MOI'!$C$22)^3)</f>
        <v>78.05262894463084</v>
      </c>
      <c r="K435" s="75">
        <f>'THAM_SO_MOI'!$C$31*J435/E435</f>
        <v>422.3131780654561</v>
      </c>
      <c r="L435" s="75">
        <f>K435*'THAM_SO_MOI'!$C$49*'THAM_SO_MOI'!$C$17/'THAM_SO_MOI'!$C$26</f>
        <v>24073.97345685954</v>
      </c>
      <c r="M435" s="75">
        <f>'THAM_SO_MOI'!$C$15*'THAM_SO_MOI'!$C$16*F435^2</f>
        <v>22.22322639423274</v>
      </c>
      <c r="N435" s="75">
        <f>'THAM_SO_MOI'!$C$12*I435</f>
        <v>1130.112</v>
      </c>
      <c r="O435" s="75">
        <f>M435+N435</f>
        <v>1152.335226394233</v>
      </c>
      <c r="P435" s="75">
        <f>(MIN(L435,'THAM_SO_MOI'!$C$41)-O435)/('THAM_SO_MOI'!$C$11*H435)</f>
        <v>0.9437433395283805</v>
      </c>
      <c r="Q435" s="75">
        <f>IF(P435&gt;0,1/P435,NA())</f>
        <v>1.059610127155687</v>
      </c>
      <c r="R435" s="75">
        <f>F435-F434</f>
        <v>0.0035133136094671613</v>
      </c>
      <c r="S435" s="75">
        <f>0.5*(Q434+Q435)*R435</f>
        <v>0.003723144924403149</v>
      </c>
      <c r="T435" s="75">
        <f>0.5*(F434*Q434+F435*Q435)*R435</f>
        <v>0.010255897366660686</v>
      </c>
      <c r="U435" s="76">
        <f>U434+S435</f>
        <v>1.7507537425004944</v>
      </c>
      <c r="V435" s="76">
        <f>V434+T435</f>
        <v>3.45615570137277</v>
      </c>
    </row>
    <row r="436" spans="1:22" ht="19" customHeight="1">
      <c r="A436" s="68" t="s">
        <v>368</v>
      </c>
      <c r="B436" s="74">
        <v>1</v>
      </c>
      <c r="C436" s="68" t="s">
        <v>363</v>
      </c>
      <c r="D436" s="68" t="s">
        <v>364</v>
      </c>
      <c r="E436" s="75">
        <f>60*F436*'THAM_SO_MOI'!$C$49/(2*PI()*'THAM_SO_MOI'!$C$26)</f>
        <v>1767.5</v>
      </c>
      <c r="F436" s="75">
        <f>'THAM_SO_MOI'!$E$49+('THAM_SO_MOI'!$F$49-'THAM_SO_MOI'!$E$49)*430/'THAM_SO_MOI'!$C$42</f>
        <v>2.7599030243261016</v>
      </c>
      <c r="G436" s="75">
        <f>3.6*F436</f>
        <v>9.935650887573965</v>
      </c>
      <c r="H436" s="75">
        <f>'THAM_SO_MOI'!$D$49</f>
        <v>3.1625000000000005</v>
      </c>
      <c r="I436" s="75">
        <f>IF(F436&gt;'THAM_SO_MOI'!$C$14,'THAM_SO_MOI'!$C$13*(1+F436^2/1500),'THAM_SO_MOI'!$C$13)</f>
        <v>0.015</v>
      </c>
      <c r="J436" s="75">
        <f>'THAM_SO_MOI'!$C$40*('THAM_SO_MOI'!$C$23*(E436/'THAM_SO_MOI'!$C$22)+'THAM_SO_MOI'!$C$24*(E436/'THAM_SO_MOI'!$C$22)^2-'THAM_SO_MOI'!$C$25*(E436/'THAM_SO_MOI'!$C$22)^3)</f>
        <v>78.16828513715504</v>
      </c>
      <c r="K436" s="75">
        <f>'THAM_SO_MOI'!$C$31*J436/E436</f>
        <v>422.4005551641724</v>
      </c>
      <c r="L436" s="75">
        <f>K436*'THAM_SO_MOI'!$C$49*'THAM_SO_MOI'!$C$17/'THAM_SO_MOI'!$C$26</f>
        <v>24078.954390594237</v>
      </c>
      <c r="M436" s="75">
        <f>'THAM_SO_MOI'!$C$15*'THAM_SO_MOI'!$C$16*F436^2</f>
        <v>22.27991425827676</v>
      </c>
      <c r="N436" s="75">
        <f>'THAM_SO_MOI'!$C$12*I436</f>
        <v>1130.112</v>
      </c>
      <c r="O436" s="75">
        <f>M436+N436</f>
        <v>1152.3919142582768</v>
      </c>
      <c r="P436" s="75">
        <f>(MIN(L436,'THAM_SO_MOI'!$C$41)-O436)/('THAM_SO_MOI'!$C$11*H436)</f>
        <v>0.9439460835118559</v>
      </c>
      <c r="Q436" s="75">
        <f>IF(P436&gt;0,1/P436,NA())</f>
        <v>1.0593825404514643</v>
      </c>
      <c r="R436" s="75">
        <f>F436-F435</f>
        <v>0.0035133136094680495</v>
      </c>
      <c r="S436" s="75">
        <f>0.5*(Q435+Q436)*R436</f>
        <v>0.003722342888733606</v>
      </c>
      <c r="T436" s="75">
        <f>0.5*(F435*Q435+F436*Q436)*R436</f>
        <v>0.010266765814932723</v>
      </c>
      <c r="U436" s="76">
        <f>U435+S436</f>
        <v>1.754476085389228</v>
      </c>
      <c r="V436" s="76">
        <f>V435+T436</f>
        <v>3.466422467187703</v>
      </c>
    </row>
    <row r="437" spans="1:22" ht="19" customHeight="1">
      <c r="A437" s="68" t="s">
        <v>368</v>
      </c>
      <c r="B437" s="74">
        <v>1</v>
      </c>
      <c r="C437" s="68" t="s">
        <v>363</v>
      </c>
      <c r="D437" s="68" t="s">
        <v>364</v>
      </c>
      <c r="E437" s="75">
        <f>60*F437*'THAM_SO_MOI'!$C$49/(2*PI()*'THAM_SO_MOI'!$C$26)</f>
        <v>1769.7499999999998</v>
      </c>
      <c r="F437" s="75">
        <f>'THAM_SO_MOI'!$E$49+('THAM_SO_MOI'!$F$49-'THAM_SO_MOI'!$E$49)*431/'THAM_SO_MOI'!$C$42</f>
        <v>2.7634163379355687</v>
      </c>
      <c r="G437" s="75">
        <f>3.6*F437</f>
        <v>9.948298816568048</v>
      </c>
      <c r="H437" s="75">
        <f>'THAM_SO_MOI'!$D$49</f>
        <v>3.1625000000000005</v>
      </c>
      <c r="I437" s="75">
        <f>IF(F437&gt;'THAM_SO_MOI'!$C$14,'THAM_SO_MOI'!$C$13*(1+F437^2/1500),'THAM_SO_MOI'!$C$13)</f>
        <v>0.015</v>
      </c>
      <c r="J437" s="75">
        <f>'THAM_SO_MOI'!$C$40*('THAM_SO_MOI'!$C$23*(E437/'THAM_SO_MOI'!$C$22)+'THAM_SO_MOI'!$C$24*(E437/'THAM_SO_MOI'!$C$22)^2-'THAM_SO_MOI'!$C$25*(E437/'THAM_SO_MOI'!$C$22)^3)</f>
        <v>78.28389149304088</v>
      </c>
      <c r="K437" s="75">
        <f>'THAM_SO_MOI'!$C$31*J437/E437</f>
        <v>422.48744112482984</v>
      </c>
      <c r="L437" s="75">
        <f>K437*'THAM_SO_MOI'!$C$49*'THAM_SO_MOI'!$C$17/'THAM_SO_MOI'!$C$26</f>
        <v>24083.9073269914</v>
      </c>
      <c r="M437" s="75">
        <f>'THAM_SO_MOI'!$C$15*'THAM_SO_MOI'!$C$16*F437^2</f>
        <v>22.336674331049995</v>
      </c>
      <c r="N437" s="75">
        <f>'THAM_SO_MOI'!$C$12*I437</f>
        <v>1130.112</v>
      </c>
      <c r="O437" s="75">
        <f>M437+N437</f>
        <v>1152.4486743310501</v>
      </c>
      <c r="P437" s="75">
        <f>(MIN(L437,'THAM_SO_MOI'!$C$41)-O437)/('THAM_SO_MOI'!$C$11*H437)</f>
        <v>0.9441476717992566</v>
      </c>
      <c r="Q437" s="75">
        <f>IF(P437&gt;0,1/P437,NA())</f>
        <v>1.0591563479622905</v>
      </c>
      <c r="R437" s="75">
        <f>F437-F436</f>
        <v>0.0035133136094671613</v>
      </c>
      <c r="S437" s="75">
        <f>0.5*(Q436+Q437)*R437</f>
        <v>0.0037215457544247385</v>
      </c>
      <c r="T437" s="75">
        <f>0.5*(F436*Q436+F437*Q437)*R437</f>
        <v>0.010277642163483898</v>
      </c>
      <c r="U437" s="76">
        <f>U436+S437</f>
        <v>1.758197631143653</v>
      </c>
      <c r="V437" s="76">
        <f>V436+T437</f>
        <v>3.476700109351187</v>
      </c>
    </row>
    <row r="438" spans="1:22" ht="19" customHeight="1">
      <c r="A438" s="68" t="s">
        <v>368</v>
      </c>
      <c r="B438" s="74">
        <v>1</v>
      </c>
      <c r="C438" s="68" t="s">
        <v>363</v>
      </c>
      <c r="D438" s="68" t="s">
        <v>364</v>
      </c>
      <c r="E438" s="75">
        <f>60*F438*'THAM_SO_MOI'!$C$49/(2*PI()*'THAM_SO_MOI'!$C$26)</f>
        <v>1771.9999999999998</v>
      </c>
      <c r="F438" s="75">
        <f>'THAM_SO_MOI'!$E$49+('THAM_SO_MOI'!$F$49-'THAM_SO_MOI'!$E$49)*432/'THAM_SO_MOI'!$C$42</f>
        <v>2.766929651545036</v>
      </c>
      <c r="G438" s="75">
        <f>3.6*F438</f>
        <v>9.96094674556213</v>
      </c>
      <c r="H438" s="75">
        <f>'THAM_SO_MOI'!$D$49</f>
        <v>3.1625000000000005</v>
      </c>
      <c r="I438" s="75">
        <f>IF(F438&gt;'THAM_SO_MOI'!$C$14,'THAM_SO_MOI'!$C$13*(1+F438^2/1500),'THAM_SO_MOI'!$C$13)</f>
        <v>0.015</v>
      </c>
      <c r="J438" s="75">
        <f>'THAM_SO_MOI'!$C$40*('THAM_SO_MOI'!$C$23*(E438/'THAM_SO_MOI'!$C$22)+'THAM_SO_MOI'!$C$24*(E438/'THAM_SO_MOI'!$C$22)^2-'THAM_SO_MOI'!$C$25*(E438/'THAM_SO_MOI'!$C$22)^3)</f>
        <v>78.3994476651889</v>
      </c>
      <c r="K438" s="75">
        <f>'THAM_SO_MOI'!$C$31*J438/E438</f>
        <v>422.5738359474286</v>
      </c>
      <c r="L438" s="75">
        <f>K438*'THAM_SO_MOI'!$C$49*'THAM_SO_MOI'!$C$17/'THAM_SO_MOI'!$C$26</f>
        <v>24088.832266051035</v>
      </c>
      <c r="M438" s="75">
        <f>'THAM_SO_MOI'!$C$15*'THAM_SO_MOI'!$C$16*F438^2</f>
        <v>22.393506612552468</v>
      </c>
      <c r="N438" s="75">
        <f>'THAM_SO_MOI'!$C$12*I438</f>
        <v>1130.112</v>
      </c>
      <c r="O438" s="75">
        <f>M438+N438</f>
        <v>1152.5055066125526</v>
      </c>
      <c r="P438" s="75">
        <f>(MIN(L438,'THAM_SO_MOI'!$C$41)-O438)/('THAM_SO_MOI'!$C$11*H438)</f>
        <v>0.9443481043905829</v>
      </c>
      <c r="Q438" s="75">
        <f>IF(P438&gt;0,1/P438,NA())</f>
        <v>1.0589315479648587</v>
      </c>
      <c r="R438" s="75">
        <f>F438-F437</f>
        <v>0.0035133136094671613</v>
      </c>
      <c r="S438" s="75">
        <f>0.5*(Q437+Q438)*R438</f>
        <v>0.003720753515404259</v>
      </c>
      <c r="T438" s="75">
        <f>0.5*(F437*Q437+F438*Q438)*R438</f>
        <v>0.010288526447183375</v>
      </c>
      <c r="U438" s="76">
        <f>U437+S438</f>
        <v>1.7619183846590571</v>
      </c>
      <c r="V438" s="76">
        <f>V437+T438</f>
        <v>3.48698863579837</v>
      </c>
    </row>
    <row r="439" spans="1:22" ht="19" customHeight="1">
      <c r="A439" s="68" t="s">
        <v>368</v>
      </c>
      <c r="B439" s="74">
        <v>1</v>
      </c>
      <c r="C439" s="68" t="s">
        <v>363</v>
      </c>
      <c r="D439" s="68" t="s">
        <v>364</v>
      </c>
      <c r="E439" s="75">
        <f>60*F439*'THAM_SO_MOI'!$C$49/(2*PI()*'THAM_SO_MOI'!$C$26)</f>
        <v>1774.25</v>
      </c>
      <c r="F439" s="75">
        <f>'THAM_SO_MOI'!$E$49+('THAM_SO_MOI'!$F$49-'THAM_SO_MOI'!$E$49)*433/'THAM_SO_MOI'!$C$42</f>
        <v>2.7704429651545035</v>
      </c>
      <c r="G439" s="75">
        <f>3.6*F439</f>
        <v>9.973594674556212</v>
      </c>
      <c r="H439" s="75">
        <f>'THAM_SO_MOI'!$D$49</f>
        <v>3.1625000000000005</v>
      </c>
      <c r="I439" s="75">
        <f>IF(F439&gt;'THAM_SO_MOI'!$C$14,'THAM_SO_MOI'!$C$13*(1+F439^2/1500),'THAM_SO_MOI'!$C$13)</f>
        <v>0.015</v>
      </c>
      <c r="J439" s="75">
        <f>'THAM_SO_MOI'!$C$40*('THAM_SO_MOI'!$C$23*(E439/'THAM_SO_MOI'!$C$22)+'THAM_SO_MOI'!$C$24*(E439/'THAM_SO_MOI'!$C$22)^2-'THAM_SO_MOI'!$C$25*(E439/'THAM_SO_MOI'!$C$22)^3)</f>
        <v>78.51495330649949</v>
      </c>
      <c r="K439" s="75">
        <f>'THAM_SO_MOI'!$C$31*J439/E439</f>
        <v>422.6597396319685</v>
      </c>
      <c r="L439" s="75">
        <f>K439*'THAM_SO_MOI'!$C$49*'THAM_SO_MOI'!$C$17/'THAM_SO_MOI'!$C$26</f>
        <v>24093.729207773133</v>
      </c>
      <c r="M439" s="75">
        <f>'THAM_SO_MOI'!$C$15*'THAM_SO_MOI'!$C$16*F439^2</f>
        <v>22.450411102784177</v>
      </c>
      <c r="N439" s="75">
        <f>'THAM_SO_MOI'!$C$12*I439</f>
        <v>1130.112</v>
      </c>
      <c r="O439" s="75">
        <f>M439+N439</f>
        <v>1152.5624111027842</v>
      </c>
      <c r="P439" s="75">
        <f>(MIN(L439,'THAM_SO_MOI'!$C$41)-O439)/('THAM_SO_MOI'!$C$11*H439)</f>
        <v>0.9445473812858343</v>
      </c>
      <c r="Q439" s="75">
        <f>IF(P439&gt;0,1/P439,NA())</f>
        <v>1.058708138747552</v>
      </c>
      <c r="R439" s="75">
        <f>F439-F438</f>
        <v>0.0035133136094676054</v>
      </c>
      <c r="S439" s="75">
        <f>0.5*(Q438+Q439)*R439</f>
        <v>0.003719966165637715</v>
      </c>
      <c r="T439" s="75">
        <f>0.5*(F438*Q438+F439*Q439)*R439</f>
        <v>0.010299418700919733</v>
      </c>
      <c r="U439" s="76">
        <f>U438+S439</f>
        <v>1.765638350824695</v>
      </c>
      <c r="V439" s="76">
        <f>V438+T439</f>
        <v>3.4972880544992897</v>
      </c>
    </row>
    <row r="440" spans="1:22" ht="19" customHeight="1">
      <c r="A440" s="68" t="s">
        <v>368</v>
      </c>
      <c r="B440" s="74">
        <v>1</v>
      </c>
      <c r="C440" s="68" t="s">
        <v>363</v>
      </c>
      <c r="D440" s="68" t="s">
        <v>364</v>
      </c>
      <c r="E440" s="75">
        <f>60*F440*'THAM_SO_MOI'!$C$49/(2*PI()*'THAM_SO_MOI'!$C$26)</f>
        <v>1776.4999999999998</v>
      </c>
      <c r="F440" s="75">
        <f>'THAM_SO_MOI'!$E$49+('THAM_SO_MOI'!$F$49-'THAM_SO_MOI'!$E$49)*434/'THAM_SO_MOI'!$C$42</f>
        <v>2.773956278763971</v>
      </c>
      <c r="G440" s="75">
        <f>3.6*F440</f>
        <v>9.986242603550297</v>
      </c>
      <c r="H440" s="75">
        <f>'THAM_SO_MOI'!$D$49</f>
        <v>3.1625000000000005</v>
      </c>
      <c r="I440" s="75">
        <f>IF(F440&gt;'THAM_SO_MOI'!$C$14,'THAM_SO_MOI'!$C$13*(1+F440^2/1500),'THAM_SO_MOI'!$C$13)</f>
        <v>0.015</v>
      </c>
      <c r="J440" s="75">
        <f>'THAM_SO_MOI'!$C$40*('THAM_SO_MOI'!$C$23*(E440/'THAM_SO_MOI'!$C$22)+'THAM_SO_MOI'!$C$24*(E440/'THAM_SO_MOI'!$C$22)^2-'THAM_SO_MOI'!$C$25*(E440/'THAM_SO_MOI'!$C$22)^3)</f>
        <v>78.63040806987313</v>
      </c>
      <c r="K440" s="75">
        <f>'THAM_SO_MOI'!$C$31*J440/E440</f>
        <v>422.7451521784496</v>
      </c>
      <c r="L440" s="75">
        <f>K440*'THAM_SO_MOI'!$C$49*'THAM_SO_MOI'!$C$17/'THAM_SO_MOI'!$C$26</f>
        <v>24098.598152157694</v>
      </c>
      <c r="M440" s="75">
        <f>'THAM_SO_MOI'!$C$15*'THAM_SO_MOI'!$C$16*F440^2</f>
        <v>22.50738780174512</v>
      </c>
      <c r="N440" s="75">
        <f>'THAM_SO_MOI'!$C$12*I440</f>
        <v>1130.112</v>
      </c>
      <c r="O440" s="75">
        <f>M440+N440</f>
        <v>1152.6193878017452</v>
      </c>
      <c r="P440" s="75">
        <f>(MIN(L440,'THAM_SO_MOI'!$C$41)-O440)/('THAM_SO_MOI'!$C$11*H440)</f>
        <v>0.9447455024850109</v>
      </c>
      <c r="Q440" s="75">
        <f>IF(P440&gt;0,1/P440,NA())</f>
        <v>1.0584861186104093</v>
      </c>
      <c r="R440" s="75">
        <f>F440-F439</f>
        <v>0.0035133136094676054</v>
      </c>
      <c r="S440" s="75">
        <f>0.5*(Q439+Q440)*R440</f>
        <v>0.0037191836991311926</v>
      </c>
      <c r="T440" s="75">
        <f>0.5*(F439*Q439+F440*Q440)*R440</f>
        <v>0.010310318959609134</v>
      </c>
      <c r="U440" s="76">
        <f>U439+S440</f>
        <v>1.7693575345238262</v>
      </c>
      <c r="V440" s="76">
        <f>V439+T440</f>
        <v>3.5075983734588987</v>
      </c>
    </row>
    <row r="441" spans="1:22" ht="19" customHeight="1">
      <c r="A441" s="68" t="s">
        <v>368</v>
      </c>
      <c r="B441" s="74">
        <v>1</v>
      </c>
      <c r="C441" s="68" t="s">
        <v>363</v>
      </c>
      <c r="D441" s="68" t="s">
        <v>364</v>
      </c>
      <c r="E441" s="75">
        <f>60*F441*'THAM_SO_MOI'!$C$49/(2*PI()*'THAM_SO_MOI'!$C$26)</f>
        <v>1778.7499999999998</v>
      </c>
      <c r="F441" s="75">
        <f>'THAM_SO_MOI'!$E$49+('THAM_SO_MOI'!$F$49-'THAM_SO_MOI'!$E$49)*435/'THAM_SO_MOI'!$C$42</f>
        <v>2.7774695923734383</v>
      </c>
      <c r="G441" s="75">
        <f>3.6*F441</f>
        <v>9.998890532544378</v>
      </c>
      <c r="H441" s="75">
        <f>'THAM_SO_MOI'!$D$49</f>
        <v>3.1625000000000005</v>
      </c>
      <c r="I441" s="75">
        <f>IF(F441&gt;'THAM_SO_MOI'!$C$14,'THAM_SO_MOI'!$C$13*(1+F441^2/1500),'THAM_SO_MOI'!$C$13)</f>
        <v>0.015</v>
      </c>
      <c r="J441" s="75">
        <f>'THAM_SO_MOI'!$C$40*('THAM_SO_MOI'!$C$23*(E441/'THAM_SO_MOI'!$C$22)+'THAM_SO_MOI'!$C$24*(E441/'THAM_SO_MOI'!$C$22)^2-'THAM_SO_MOI'!$C$25*(E441/'THAM_SO_MOI'!$C$22)^3)</f>
        <v>78.74581160821029</v>
      </c>
      <c r="K441" s="75">
        <f>'THAM_SO_MOI'!$C$31*J441/E441</f>
        <v>422.830073586872</v>
      </c>
      <c r="L441" s="75">
        <f>K441*'THAM_SO_MOI'!$C$49*'THAM_SO_MOI'!$C$17/'THAM_SO_MOI'!$C$26</f>
        <v>24103.43909920473</v>
      </c>
      <c r="M441" s="75">
        <f>'THAM_SO_MOI'!$C$15*'THAM_SO_MOI'!$C$16*F441^2</f>
        <v>22.564436709435295</v>
      </c>
      <c r="N441" s="75">
        <f>'THAM_SO_MOI'!$C$12*I441</f>
        <v>1130.112</v>
      </c>
      <c r="O441" s="75">
        <f>M441+N441</f>
        <v>1152.6764367094354</v>
      </c>
      <c r="P441" s="75">
        <f>(MIN(L441,'THAM_SO_MOI'!$C$41)-O441)/('THAM_SO_MOI'!$C$11*H441)</f>
        <v>0.9449424679881131</v>
      </c>
      <c r="Q441" s="75">
        <f>IF(P441&gt;0,1/P441,NA())</f>
        <v>1.0582654858650924</v>
      </c>
      <c r="R441" s="75">
        <f>F441-F440</f>
        <v>0.0035133136094671613</v>
      </c>
      <c r="S441" s="75">
        <f>0.5*(Q440+Q441)*R441</f>
        <v>0.0037184061099326147</v>
      </c>
      <c r="T441" s="75">
        <f>0.5*(F440*Q440+F441*Q441)*R441</f>
        <v>0.010321227258199625</v>
      </c>
      <c r="U441" s="76">
        <f>U440+S441</f>
        <v>1.7730759406337588</v>
      </c>
      <c r="V441" s="76">
        <f>V440+T441</f>
        <v>3.5179196007170983</v>
      </c>
    </row>
    <row r="442" spans="1:22" ht="19" customHeight="1">
      <c r="A442" s="68" t="s">
        <v>368</v>
      </c>
      <c r="B442" s="74">
        <v>1</v>
      </c>
      <c r="C442" s="68" t="s">
        <v>363</v>
      </c>
      <c r="D442" s="68" t="s">
        <v>364</v>
      </c>
      <c r="E442" s="75">
        <f>60*F442*'THAM_SO_MOI'!$C$49/(2*PI()*'THAM_SO_MOI'!$C$26)</f>
        <v>1781.0</v>
      </c>
      <c r="F442" s="75">
        <f>'THAM_SO_MOI'!$E$49+('THAM_SO_MOI'!$F$49-'THAM_SO_MOI'!$E$49)*436/'THAM_SO_MOI'!$C$42</f>
        <v>2.780982905982906</v>
      </c>
      <c r="G442" s="75">
        <f>3.6*F442</f>
        <v>10.01153846153846</v>
      </c>
      <c r="H442" s="75">
        <f>'THAM_SO_MOI'!$D$49</f>
        <v>3.1625000000000005</v>
      </c>
      <c r="I442" s="75">
        <f>IF(F442&gt;'THAM_SO_MOI'!$C$14,'THAM_SO_MOI'!$C$13*(1+F442^2/1500),'THAM_SO_MOI'!$C$13)</f>
        <v>0.015</v>
      </c>
      <c r="J442" s="75">
        <f>'THAM_SO_MOI'!$C$40*('THAM_SO_MOI'!$C$23*(E442/'THAM_SO_MOI'!$C$22)+'THAM_SO_MOI'!$C$24*(E442/'THAM_SO_MOI'!$C$22)^2-'THAM_SO_MOI'!$C$25*(E442/'THAM_SO_MOI'!$C$22)^3)</f>
        <v>78.86116357441142</v>
      </c>
      <c r="K442" s="75">
        <f>'THAM_SO_MOI'!$C$31*J442/E442</f>
        <v>422.9145038572357</v>
      </c>
      <c r="L442" s="75">
        <f>K442*'THAM_SO_MOI'!$C$49*'THAM_SO_MOI'!$C$17/'THAM_SO_MOI'!$C$26</f>
        <v>24108.252048914233</v>
      </c>
      <c r="M442" s="75">
        <f>'THAM_SO_MOI'!$C$15*'THAM_SO_MOI'!$C$16*F442^2</f>
        <v>22.6215578258547</v>
      </c>
      <c r="N442" s="75">
        <f>'THAM_SO_MOI'!$C$12*I442</f>
        <v>1130.112</v>
      </c>
      <c r="O442" s="75">
        <f>M442+N442</f>
        <v>1152.7335578258549</v>
      </c>
      <c r="P442" s="75">
        <f>(MIN(L442,'THAM_SO_MOI'!$C$41)-O442)/('THAM_SO_MOI'!$C$11*H442)</f>
        <v>0.9451382777951405</v>
      </c>
      <c r="Q442" s="75">
        <f>IF(P442&gt;0,1/P442,NA())</f>
        <v>1.0580462388348542</v>
      </c>
      <c r="R442" s="75">
        <f>F442-F441</f>
        <v>0.0035133136094676054</v>
      </c>
      <c r="S442" s="75">
        <f>0.5*(Q441+Q442)*R442</f>
        <v>0.0037176333921320917</v>
      </c>
      <c r="T442" s="75">
        <f>0.5*(F441*Q441+F442*Q442)*R442</f>
        <v>0.010332143631672855</v>
      </c>
      <c r="U442" s="76">
        <f>U441+S442</f>
        <v>1.7767935740258909</v>
      </c>
      <c r="V442" s="76">
        <f>V441+T442</f>
        <v>3.528251744348771</v>
      </c>
    </row>
    <row r="443" spans="1:22" ht="19" customHeight="1">
      <c r="A443" s="68" t="s">
        <v>368</v>
      </c>
      <c r="B443" s="74">
        <v>1</v>
      </c>
      <c r="C443" s="68" t="s">
        <v>363</v>
      </c>
      <c r="D443" s="68" t="s">
        <v>364</v>
      </c>
      <c r="E443" s="75">
        <f>60*F443*'THAM_SO_MOI'!$C$49/(2*PI()*'THAM_SO_MOI'!$C$26)</f>
        <v>1783.2500000000002</v>
      </c>
      <c r="F443" s="75">
        <f>'THAM_SO_MOI'!$E$49+('THAM_SO_MOI'!$F$49-'THAM_SO_MOI'!$E$49)*437/'THAM_SO_MOI'!$C$42</f>
        <v>2.7844962195923735</v>
      </c>
      <c r="G443" s="75">
        <f>3.6*F443</f>
        <v>10.024186390532545</v>
      </c>
      <c r="H443" s="75">
        <f>'THAM_SO_MOI'!$D$49</f>
        <v>3.1625000000000005</v>
      </c>
      <c r="I443" s="75">
        <f>IF(F443&gt;'THAM_SO_MOI'!$C$14,'THAM_SO_MOI'!$C$13*(1+F443^2/1500),'THAM_SO_MOI'!$C$13)</f>
        <v>0.015</v>
      </c>
      <c r="J443" s="75">
        <f>'THAM_SO_MOI'!$C$40*('THAM_SO_MOI'!$C$23*(E443/'THAM_SO_MOI'!$C$22)+'THAM_SO_MOI'!$C$24*(E443/'THAM_SO_MOI'!$C$22)^2-'THAM_SO_MOI'!$C$25*(E443/'THAM_SO_MOI'!$C$22)^3)</f>
        <v>78.97646362137696</v>
      </c>
      <c r="K443" s="75">
        <f>'THAM_SO_MOI'!$C$31*J443/E443</f>
        <v>422.9984429895405</v>
      </c>
      <c r="L443" s="75">
        <f>K443*'THAM_SO_MOI'!$C$49*'THAM_SO_MOI'!$C$17/'THAM_SO_MOI'!$C$26</f>
        <v>24113.037001286208</v>
      </c>
      <c r="M443" s="75">
        <f>'THAM_SO_MOI'!$C$15*'THAM_SO_MOI'!$C$16*F443^2</f>
        <v>22.67875115100334</v>
      </c>
      <c r="N443" s="75">
        <f>'THAM_SO_MOI'!$C$12*I443</f>
        <v>1130.112</v>
      </c>
      <c r="O443" s="75">
        <f>M443+N443</f>
        <v>1152.7907511510034</v>
      </c>
      <c r="P443" s="75">
        <f>(MIN(L443,'THAM_SO_MOI'!$C$41)-O443)/('THAM_SO_MOI'!$C$11*H443)</f>
        <v>0.9453329319060935</v>
      </c>
      <c r="Q443" s="75">
        <f>IF(P443&gt;0,1/P443,NA())</f>
        <v>1.0578283758545048</v>
      </c>
      <c r="R443" s="75">
        <f>F443-F442</f>
        <v>0.0035133136094676054</v>
      </c>
      <c r="S443" s="75">
        <f>0.5*(Q442+Q443)*R443</f>
        <v>0.003716865539857575</v>
      </c>
      <c r="T443" s="75">
        <f>0.5*(F442*Q442+F443*Q443)*R443</f>
        <v>0.010343068115032734</v>
      </c>
      <c r="U443" s="76">
        <f>U442+S443</f>
        <v>1.7805104395657485</v>
      </c>
      <c r="V443" s="76">
        <f>V442+T443</f>
        <v>3.538594812463804</v>
      </c>
    </row>
    <row r="444" spans="1:22" ht="19" customHeight="1">
      <c r="A444" s="68" t="s">
        <v>368</v>
      </c>
      <c r="B444" s="74">
        <v>1</v>
      </c>
      <c r="C444" s="68" t="s">
        <v>363</v>
      </c>
      <c r="D444" s="68" t="s">
        <v>364</v>
      </c>
      <c r="E444" s="75">
        <f>60*F444*'THAM_SO_MOI'!$C$49/(2*PI()*'THAM_SO_MOI'!$C$26)</f>
        <v>1785.4999999999995</v>
      </c>
      <c r="F444" s="75">
        <f>'THAM_SO_MOI'!$E$49+('THAM_SO_MOI'!$F$49-'THAM_SO_MOI'!$E$49)*438/'THAM_SO_MOI'!$C$42</f>
        <v>2.7880095332018406</v>
      </c>
      <c r="G444" s="75">
        <f>3.6*F444</f>
        <v>10.036834319526626</v>
      </c>
      <c r="H444" s="75">
        <f>'THAM_SO_MOI'!$D$49</f>
        <v>3.1625000000000005</v>
      </c>
      <c r="I444" s="75">
        <f>IF(F444&gt;'THAM_SO_MOI'!$C$14,'THAM_SO_MOI'!$C$13*(1+F444^2/1500),'THAM_SO_MOI'!$C$13)</f>
        <v>0.015</v>
      </c>
      <c r="J444" s="75">
        <f>'THAM_SO_MOI'!$C$40*('THAM_SO_MOI'!$C$23*(E444/'THAM_SO_MOI'!$C$22)+'THAM_SO_MOI'!$C$24*(E444/'THAM_SO_MOI'!$C$22)^2-'THAM_SO_MOI'!$C$25*(E444/'THAM_SO_MOI'!$C$22)^3)</f>
        <v>79.09171140200733</v>
      </c>
      <c r="K444" s="75">
        <f>'THAM_SO_MOI'!$C$31*J444/E444</f>
        <v>423.0818909837865</v>
      </c>
      <c r="L444" s="75">
        <f>K444*'THAM_SO_MOI'!$C$49*'THAM_SO_MOI'!$C$17/'THAM_SO_MOI'!$C$26</f>
        <v>24117.79395632064</v>
      </c>
      <c r="M444" s="75">
        <f>'THAM_SO_MOI'!$C$15*'THAM_SO_MOI'!$C$16*F444^2</f>
        <v>22.73601668488121</v>
      </c>
      <c r="N444" s="75">
        <f>'THAM_SO_MOI'!$C$12*I444</f>
        <v>1130.112</v>
      </c>
      <c r="O444" s="75">
        <f>M444+N444</f>
        <v>1152.8480166848813</v>
      </c>
      <c r="P444" s="75">
        <f>(MIN(L444,'THAM_SO_MOI'!$C$41)-O444)/('THAM_SO_MOI'!$C$11*H444)</f>
        <v>0.9455264303209714</v>
      </c>
      <c r="Q444" s="75">
        <f>IF(P444&gt;0,1/P444,NA())</f>
        <v>1.0576118952703806</v>
      </c>
      <c r="R444" s="75">
        <f>F444-F443</f>
        <v>0.0035133136094671613</v>
      </c>
      <c r="S444" s="75">
        <f>0.5*(Q443+Q444)*R444</f>
        <v>0.003716102547278981</v>
      </c>
      <c r="T444" s="75">
        <f>0.5*(F443*Q443+F444*Q444)*R444</f>
        <v>0.010354000743317554</v>
      </c>
      <c r="U444" s="76">
        <f>U443+S444</f>
        <v>1.7842265421130274</v>
      </c>
      <c r="V444" s="76">
        <f>V443+T444</f>
        <v>3.5489488132071214</v>
      </c>
    </row>
    <row r="445" spans="1:22" ht="19" customHeight="1">
      <c r="A445" s="68" t="s">
        <v>368</v>
      </c>
      <c r="B445" s="74">
        <v>1</v>
      </c>
      <c r="C445" s="68" t="s">
        <v>363</v>
      </c>
      <c r="D445" s="68" t="s">
        <v>364</v>
      </c>
      <c r="E445" s="75">
        <f>60*F445*'THAM_SO_MOI'!$C$49/(2*PI()*'THAM_SO_MOI'!$C$26)</f>
        <v>1787.7499999999995</v>
      </c>
      <c r="F445" s="75">
        <f>'THAM_SO_MOI'!$E$49+('THAM_SO_MOI'!$F$49-'THAM_SO_MOI'!$E$49)*439/'THAM_SO_MOI'!$C$42</f>
        <v>2.7915228468113082</v>
      </c>
      <c r="G445" s="75">
        <f>3.6*F445</f>
        <v>10.04948224852071</v>
      </c>
      <c r="H445" s="75">
        <f>'THAM_SO_MOI'!$D$49</f>
        <v>3.1625000000000005</v>
      </c>
      <c r="I445" s="75">
        <f>IF(F445&gt;'THAM_SO_MOI'!$C$14,'THAM_SO_MOI'!$C$13*(1+F445^2/1500),'THAM_SO_MOI'!$C$13)</f>
        <v>0.015</v>
      </c>
      <c r="J445" s="75">
        <f>'THAM_SO_MOI'!$C$40*('THAM_SO_MOI'!$C$23*(E445/'THAM_SO_MOI'!$C$22)+'THAM_SO_MOI'!$C$24*(E445/'THAM_SO_MOI'!$C$22)^2-'THAM_SO_MOI'!$C$25*(E445/'THAM_SO_MOI'!$C$22)^3)</f>
        <v>79.20690656920306</v>
      </c>
      <c r="K445" s="75">
        <f>'THAM_SO_MOI'!$C$31*J445/E445</f>
        <v>423.1648478399737</v>
      </c>
      <c r="L445" s="75">
        <f>K445*'THAM_SO_MOI'!$C$49*'THAM_SO_MOI'!$C$17/'THAM_SO_MOI'!$C$26</f>
        <v>24122.522914017536</v>
      </c>
      <c r="M445" s="75">
        <f>'THAM_SO_MOI'!$C$15*'THAM_SO_MOI'!$C$16*F445^2</f>
        <v>22.793354427488325</v>
      </c>
      <c r="N445" s="75">
        <f>'THAM_SO_MOI'!$C$12*I445</f>
        <v>1130.112</v>
      </c>
      <c r="O445" s="75">
        <f>M445+N445</f>
        <v>1152.9053544274884</v>
      </c>
      <c r="P445" s="75">
        <f>(MIN(L445,'THAM_SO_MOI'!$C$41)-O445)/('THAM_SO_MOI'!$C$11*H445)</f>
        <v>0.9457187730397745</v>
      </c>
      <c r="Q445" s="75">
        <f>IF(P445&gt;0,1/P445,NA())</f>
        <v>1.0573967954403107</v>
      </c>
      <c r="R445" s="75">
        <f>F445-F444</f>
        <v>0.0035133136094676054</v>
      </c>
      <c r="S445" s="75">
        <f>0.5*(Q444+Q445)*R445</f>
        <v>0.0037153444086080664</v>
      </c>
      <c r="T445" s="75">
        <f>0.5*(F444*Q444+F445*Q445)*R445</f>
        <v>0.010364941551600422</v>
      </c>
      <c r="U445" s="76">
        <f>U444+S445</f>
        <v>1.7879418865216354</v>
      </c>
      <c r="V445" s="76">
        <f>V444+T445</f>
        <v>3.5593137547587217</v>
      </c>
    </row>
    <row r="446" spans="1:22" ht="19" customHeight="1">
      <c r="A446" s="68" t="s">
        <v>368</v>
      </c>
      <c r="B446" s="74">
        <v>1</v>
      </c>
      <c r="C446" s="68" t="s">
        <v>363</v>
      </c>
      <c r="D446" s="68" t="s">
        <v>364</v>
      </c>
      <c r="E446" s="75">
        <f>60*F446*'THAM_SO_MOI'!$C$49/(2*PI()*'THAM_SO_MOI'!$C$26)</f>
        <v>1789.9999999999998</v>
      </c>
      <c r="F446" s="75">
        <f>'THAM_SO_MOI'!$E$49+('THAM_SO_MOI'!$F$49-'THAM_SO_MOI'!$E$49)*440/'THAM_SO_MOI'!$C$42</f>
        <v>2.795036160420776</v>
      </c>
      <c r="G446" s="75">
        <f>3.6*F446</f>
        <v>10.062130177514794</v>
      </c>
      <c r="H446" s="75">
        <f>'THAM_SO_MOI'!$D$49</f>
        <v>3.1625000000000005</v>
      </c>
      <c r="I446" s="75">
        <f>IF(F446&gt;'THAM_SO_MOI'!$C$14,'THAM_SO_MOI'!$C$13*(1+F446^2/1500),'THAM_SO_MOI'!$C$13)</f>
        <v>0.015</v>
      </c>
      <c r="J446" s="75">
        <f>'THAM_SO_MOI'!$C$40*('THAM_SO_MOI'!$C$23*(E446/'THAM_SO_MOI'!$C$22)+'THAM_SO_MOI'!$C$24*(E446/'THAM_SO_MOI'!$C$22)^2-'THAM_SO_MOI'!$C$25*(E446/'THAM_SO_MOI'!$C$22)^3)</f>
        <v>79.32204877586459</v>
      </c>
      <c r="K446" s="75">
        <f>'THAM_SO_MOI'!$C$31*J446/E446</f>
        <v>423.24731355810223</v>
      </c>
      <c r="L446" s="75">
        <f>K446*'THAM_SO_MOI'!$C$49*'THAM_SO_MOI'!$C$17/'THAM_SO_MOI'!$C$26</f>
        <v>24127.223874376916</v>
      </c>
      <c r="M446" s="75">
        <f>'THAM_SO_MOI'!$C$15*'THAM_SO_MOI'!$C$16*F446^2</f>
        <v>22.850764378824664</v>
      </c>
      <c r="N446" s="75">
        <f>'THAM_SO_MOI'!$C$12*I446</f>
        <v>1130.112</v>
      </c>
      <c r="O446" s="75">
        <f>M446+N446</f>
        <v>1152.9627643788247</v>
      </c>
      <c r="P446" s="75">
        <f>(MIN(L446,'THAM_SO_MOI'!$C$41)-O446)/('THAM_SO_MOI'!$C$11*H446)</f>
        <v>0.9459099600625035</v>
      </c>
      <c r="Q446" s="75">
        <f>IF(P446&gt;0,1/P446,NA())</f>
        <v>1.0571830747335849</v>
      </c>
      <c r="R446" s="75">
        <f>F446-F445</f>
        <v>0.0035133136094676054</v>
      </c>
      <c r="S446" s="75">
        <f>0.5*(Q445+Q446)*R446</f>
        <v>0.003714591118094095</v>
      </c>
      <c r="T446" s="75">
        <f>0.5*(F445*Q445+F446*Q446)*R446</f>
        <v>0.010375890574977857</v>
      </c>
      <c r="U446" s="76">
        <f>U445+S446</f>
        <v>1.7916564776397295</v>
      </c>
      <c r="V446" s="76">
        <f>V445+T446</f>
        <v>3.5696896453336997</v>
      </c>
    </row>
    <row r="447" spans="1:22" ht="19" customHeight="1">
      <c r="A447" s="68" t="s">
        <v>368</v>
      </c>
      <c r="B447" s="74">
        <v>1</v>
      </c>
      <c r="C447" s="68" t="s">
        <v>363</v>
      </c>
      <c r="D447" s="68" t="s">
        <v>364</v>
      </c>
      <c r="E447" s="75">
        <f>60*F447*'THAM_SO_MOI'!$C$49/(2*PI()*'THAM_SO_MOI'!$C$26)</f>
        <v>1792.25</v>
      </c>
      <c r="F447" s="75">
        <f>'THAM_SO_MOI'!$E$49+('THAM_SO_MOI'!$F$49-'THAM_SO_MOI'!$E$49)*441/'THAM_SO_MOI'!$C$42</f>
        <v>2.7985494740302435</v>
      </c>
      <c r="G447" s="75">
        <f>3.6*F447</f>
        <v>10.074778106508877</v>
      </c>
      <c r="H447" s="75">
        <f>'THAM_SO_MOI'!$D$49</f>
        <v>3.1625000000000005</v>
      </c>
      <c r="I447" s="75">
        <f>IF(F447&gt;'THAM_SO_MOI'!$C$14,'THAM_SO_MOI'!$C$13*(1+F447^2/1500),'THAM_SO_MOI'!$C$13)</f>
        <v>0.015</v>
      </c>
      <c r="J447" s="75">
        <f>'THAM_SO_MOI'!$C$40*('THAM_SO_MOI'!$C$23*(E447/'THAM_SO_MOI'!$C$22)+'THAM_SO_MOI'!$C$24*(E447/'THAM_SO_MOI'!$C$22)^2-'THAM_SO_MOI'!$C$25*(E447/'THAM_SO_MOI'!$C$22)^3)</f>
        <v>79.43713767489237</v>
      </c>
      <c r="K447" s="75">
        <f>'THAM_SO_MOI'!$C$31*J447/E447</f>
        <v>423.329288138172</v>
      </c>
      <c r="L447" s="75">
        <f>K447*'THAM_SO_MOI'!$C$49*'THAM_SO_MOI'!$C$17/'THAM_SO_MOI'!$C$26</f>
        <v>24131.896837398755</v>
      </c>
      <c r="M447" s="75">
        <f>'THAM_SO_MOI'!$C$15*'THAM_SO_MOI'!$C$16*F447^2</f>
        <v>22.908246538890236</v>
      </c>
      <c r="N447" s="75">
        <f>'THAM_SO_MOI'!$C$12*I447</f>
        <v>1130.112</v>
      </c>
      <c r="O447" s="75">
        <f>M447+N447</f>
        <v>1153.0202465388902</v>
      </c>
      <c r="P447" s="75">
        <f>(MIN(L447,'THAM_SO_MOI'!$C$41)-O447)/('THAM_SO_MOI'!$C$11*H447)</f>
        <v>0.9460999913891577</v>
      </c>
      <c r="Q447" s="75">
        <f>IF(P447&gt;0,1/P447,NA())</f>
        <v>1.0569707315309251</v>
      </c>
      <c r="R447" s="75">
        <f>F447-F446</f>
        <v>0.0035133136094676054</v>
      </c>
      <c r="S447" s="75">
        <f>0.5*(Q446+Q447)*R447</f>
        <v>0.0037138426700284214</v>
      </c>
      <c r="T447" s="75">
        <f>0.5*(F446*Q446+F447*Q447)*R447</f>
        <v>0.010386847848583283</v>
      </c>
      <c r="U447" s="76">
        <f>U446+S447</f>
        <v>1.795370320309758</v>
      </c>
      <c r="V447" s="76">
        <f>V446+T447</f>
        <v>3.580076493182283</v>
      </c>
    </row>
    <row r="448" spans="1:22" ht="19" customHeight="1">
      <c r="A448" s="68" t="s">
        <v>368</v>
      </c>
      <c r="B448" s="74">
        <v>1</v>
      </c>
      <c r="C448" s="68" t="s">
        <v>363</v>
      </c>
      <c r="D448" s="68" t="s">
        <v>364</v>
      </c>
      <c r="E448" s="75">
        <f>60*F448*'THAM_SO_MOI'!$C$49/(2*PI()*'THAM_SO_MOI'!$C$26)</f>
        <v>1794.4999999999998</v>
      </c>
      <c r="F448" s="75">
        <f>'THAM_SO_MOI'!$E$49+('THAM_SO_MOI'!$F$49-'THAM_SO_MOI'!$E$49)*442/'THAM_SO_MOI'!$C$42</f>
        <v>2.802062787639711</v>
      </c>
      <c r="G448" s="75">
        <f>3.6*F448</f>
        <v>10.08742603550296</v>
      </c>
      <c r="H448" s="75">
        <f>'THAM_SO_MOI'!$D$49</f>
        <v>3.1625000000000005</v>
      </c>
      <c r="I448" s="75">
        <f>IF(F448&gt;'THAM_SO_MOI'!$C$14,'THAM_SO_MOI'!$C$13*(1+F448^2/1500),'THAM_SO_MOI'!$C$13)</f>
        <v>0.015</v>
      </c>
      <c r="J448" s="75">
        <f>'THAM_SO_MOI'!$C$40*('THAM_SO_MOI'!$C$23*(E448/'THAM_SO_MOI'!$C$22)+'THAM_SO_MOI'!$C$24*(E448/'THAM_SO_MOI'!$C$22)^2-'THAM_SO_MOI'!$C$25*(E448/'THAM_SO_MOI'!$C$22)^3)</f>
        <v>79.55217291918677</v>
      </c>
      <c r="K448" s="75">
        <f>'THAM_SO_MOI'!$C$31*J448/E448</f>
        <v>423.4107715801827</v>
      </c>
      <c r="L448" s="75">
        <f>K448*'THAM_SO_MOI'!$C$49*'THAM_SO_MOI'!$C$17/'THAM_SO_MOI'!$C$26</f>
        <v>24136.54180308305</v>
      </c>
      <c r="M448" s="75">
        <f>'THAM_SO_MOI'!$C$15*'THAM_SO_MOI'!$C$16*F448^2</f>
        <v>22.965800907685047</v>
      </c>
      <c r="N448" s="75">
        <f>'THAM_SO_MOI'!$C$12*I448</f>
        <v>1130.112</v>
      </c>
      <c r="O448" s="75">
        <f>M448+N448</f>
        <v>1153.077800907685</v>
      </c>
      <c r="P448" s="75">
        <f>(MIN(L448,'THAM_SO_MOI'!$C$41)-O448)/('THAM_SO_MOI'!$C$11*H448)</f>
        <v>0.9462888670197366</v>
      </c>
      <c r="Q448" s="75">
        <f>IF(P448&gt;0,1/P448,NA())</f>
        <v>1.0567597642244513</v>
      </c>
      <c r="R448" s="75">
        <f>F448-F447</f>
        <v>0.0035133136094676054</v>
      </c>
      <c r="S448" s="75">
        <f>0.5*(Q447+Q448)*R448</f>
        <v>0.0037130990587420365</v>
      </c>
      <c r="T448" s="75">
        <f>0.5*(F447*Q447+F448*Q448)*R448</f>
        <v>0.010397813407580893</v>
      </c>
      <c r="U448" s="76">
        <f>U447+S448</f>
        <v>1.7990834193685</v>
      </c>
      <c r="V448" s="76">
        <f>V447+T448</f>
        <v>3.590474306589864</v>
      </c>
    </row>
    <row r="449" spans="1:22" ht="19" customHeight="1">
      <c r="A449" s="68" t="s">
        <v>368</v>
      </c>
      <c r="B449" s="74">
        <v>1</v>
      </c>
      <c r="C449" s="68" t="s">
        <v>363</v>
      </c>
      <c r="D449" s="68" t="s">
        <v>364</v>
      </c>
      <c r="E449" s="75">
        <f>60*F449*'THAM_SO_MOI'!$C$49/(2*PI()*'THAM_SO_MOI'!$C$26)</f>
        <v>1796.7499999999998</v>
      </c>
      <c r="F449" s="75">
        <f>'THAM_SO_MOI'!$E$49+('THAM_SO_MOI'!$F$49-'THAM_SO_MOI'!$E$49)*443/'THAM_SO_MOI'!$C$42</f>
        <v>2.8055761012491782</v>
      </c>
      <c r="G449" s="75">
        <f>3.6*F449</f>
        <v>10.100073964497042</v>
      </c>
      <c r="H449" s="75">
        <f>'THAM_SO_MOI'!$D$49</f>
        <v>3.1625000000000005</v>
      </c>
      <c r="I449" s="75">
        <f>IF(F449&gt;'THAM_SO_MOI'!$C$14,'THAM_SO_MOI'!$C$13*(1+F449^2/1500),'THAM_SO_MOI'!$C$13)</f>
        <v>0.015</v>
      </c>
      <c r="J449" s="75">
        <f>'THAM_SO_MOI'!$C$40*('THAM_SO_MOI'!$C$23*(E449/'THAM_SO_MOI'!$C$22)+'THAM_SO_MOI'!$C$24*(E449/'THAM_SO_MOI'!$C$22)^2-'THAM_SO_MOI'!$C$25*(E449/'THAM_SO_MOI'!$C$22)^3)</f>
        <v>79.6671541616484</v>
      </c>
      <c r="K449" s="75">
        <f>'THAM_SO_MOI'!$C$31*J449/E449</f>
        <v>423.491763884135</v>
      </c>
      <c r="L449" s="75">
        <f>K449*'THAM_SO_MOI'!$C$49*'THAM_SO_MOI'!$C$17/'THAM_SO_MOI'!$C$26</f>
        <v>24141.158771429837</v>
      </c>
      <c r="M449" s="75">
        <f>'THAM_SO_MOI'!$C$15*'THAM_SO_MOI'!$C$16*F449^2</f>
        <v>23.02342748520908</v>
      </c>
      <c r="N449" s="75">
        <f>'THAM_SO_MOI'!$C$12*I449</f>
        <v>1130.112</v>
      </c>
      <c r="O449" s="75">
        <f>M449+N449</f>
        <v>1153.1354274852092</v>
      </c>
      <c r="P449" s="75">
        <f>(MIN(L449,'THAM_SO_MOI'!$C$41)-O449)/('THAM_SO_MOI'!$C$11*H449)</f>
        <v>0.9464765869542417</v>
      </c>
      <c r="Q449" s="75">
        <f>IF(P449&gt;0,1/P449,NA())</f>
        <v>1.0565501712176488</v>
      </c>
      <c r="R449" s="75">
        <f>F449-F448</f>
        <v>0.0035133136094671613</v>
      </c>
      <c r="S449" s="75">
        <f>0.5*(Q448+Q449)*R449</f>
        <v>0.0037123602786054487</v>
      </c>
      <c r="T449" s="75">
        <f>0.5*(F448*Q448+F449*Q449)*R449</f>
        <v>0.010408787287166014</v>
      </c>
      <c r="U449" s="76">
        <f>U448+S449</f>
        <v>1.8027957796471055</v>
      </c>
      <c r="V449" s="76">
        <f>V448+T449</f>
        <v>3.60088309387703</v>
      </c>
    </row>
    <row r="450" spans="1:22" ht="19" customHeight="1">
      <c r="A450" s="68" t="s">
        <v>368</v>
      </c>
      <c r="B450" s="74">
        <v>1</v>
      </c>
      <c r="C450" s="68" t="s">
        <v>363</v>
      </c>
      <c r="D450" s="68" t="s">
        <v>364</v>
      </c>
      <c r="E450" s="75">
        <f>60*F450*'THAM_SO_MOI'!$C$49/(2*PI()*'THAM_SO_MOI'!$C$26)</f>
        <v>1799.0</v>
      </c>
      <c r="F450" s="75">
        <f>'THAM_SO_MOI'!$E$49+('THAM_SO_MOI'!$F$49-'THAM_SO_MOI'!$E$49)*444/'THAM_SO_MOI'!$C$42</f>
        <v>2.809089414858646</v>
      </c>
      <c r="G450" s="75">
        <f>3.6*F450</f>
        <v>10.112721893491125</v>
      </c>
      <c r="H450" s="75">
        <f>'THAM_SO_MOI'!$D$49</f>
        <v>3.1625000000000005</v>
      </c>
      <c r="I450" s="75">
        <f>IF(F450&gt;'THAM_SO_MOI'!$C$14,'THAM_SO_MOI'!$C$13*(1+F450^2/1500),'THAM_SO_MOI'!$C$13)</f>
        <v>0.015</v>
      </c>
      <c r="J450" s="75">
        <f>'THAM_SO_MOI'!$C$40*('THAM_SO_MOI'!$C$23*(E450/'THAM_SO_MOI'!$C$22)+'THAM_SO_MOI'!$C$24*(E450/'THAM_SO_MOI'!$C$22)^2-'THAM_SO_MOI'!$C$25*(E450/'THAM_SO_MOI'!$C$22)^3)</f>
        <v>79.78208105517761</v>
      </c>
      <c r="K450" s="75">
        <f>'THAM_SO_MOI'!$C$31*J450/E450</f>
        <v>423.5722650500285</v>
      </c>
      <c r="L450" s="75">
        <f>K450*'THAM_SO_MOI'!$C$49*'THAM_SO_MOI'!$C$17/'THAM_SO_MOI'!$C$26</f>
        <v>24145.747742439078</v>
      </c>
      <c r="M450" s="75">
        <f>'THAM_SO_MOI'!$C$15*'THAM_SO_MOI'!$C$16*F450^2</f>
        <v>23.081126271462352</v>
      </c>
      <c r="N450" s="75">
        <f>'THAM_SO_MOI'!$C$12*I450</f>
        <v>1130.112</v>
      </c>
      <c r="O450" s="75">
        <f>M450+N450</f>
        <v>1153.1931262714625</v>
      </c>
      <c r="P450" s="75">
        <f>(MIN(L450,'THAM_SO_MOI'!$C$41)-O450)/('THAM_SO_MOI'!$C$11*H450)</f>
        <v>0.9466631511926717</v>
      </c>
      <c r="Q450" s="75">
        <f>IF(P450&gt;0,1/P450,NA())</f>
        <v>1.056341950925343</v>
      </c>
      <c r="R450" s="75">
        <f>F450-F449</f>
        <v>0.0035133136094676054</v>
      </c>
      <c r="S450" s="75">
        <f>0.5*(Q449+Q450)*R450</f>
        <v>0.0037116263240309323</v>
      </c>
      <c r="T450" s="75">
        <f>0.5*(F449*Q449+F450*Q450)*R450</f>
        <v>0.0104197695225721</v>
      </c>
      <c r="U450" s="76">
        <f>U449+S450</f>
        <v>1.8065074059711363</v>
      </c>
      <c r="V450" s="76">
        <f>V449+T450</f>
        <v>3.6113028633996023</v>
      </c>
    </row>
    <row r="451" spans="1:22" ht="19" customHeight="1">
      <c r="A451" s="68" t="s">
        <v>368</v>
      </c>
      <c r="B451" s="74">
        <v>1</v>
      </c>
      <c r="C451" s="68" t="s">
        <v>363</v>
      </c>
      <c r="D451" s="68" t="s">
        <v>364</v>
      </c>
      <c r="E451" s="75">
        <f>60*F451*'THAM_SO_MOI'!$C$49/(2*PI()*'THAM_SO_MOI'!$C$26)</f>
        <v>1801.2500000000002</v>
      </c>
      <c r="F451" s="75">
        <f>'THAM_SO_MOI'!$E$49+('THAM_SO_MOI'!$F$49-'THAM_SO_MOI'!$E$49)*445/'THAM_SO_MOI'!$C$42</f>
        <v>2.8126027284681134</v>
      </c>
      <c r="G451" s="75">
        <f>3.6*F451</f>
        <v>10.125369822485208</v>
      </c>
      <c r="H451" s="75">
        <f>'THAM_SO_MOI'!$D$49</f>
        <v>3.1625000000000005</v>
      </c>
      <c r="I451" s="75">
        <f>IF(F451&gt;'THAM_SO_MOI'!$C$14,'THAM_SO_MOI'!$C$13*(1+F451^2/1500),'THAM_SO_MOI'!$C$13)</f>
        <v>0.015</v>
      </c>
      <c r="J451" s="75">
        <f>'THAM_SO_MOI'!$C$40*('THAM_SO_MOI'!$C$23*(E451/'THAM_SO_MOI'!$C$22)+'THAM_SO_MOI'!$C$24*(E451/'THAM_SO_MOI'!$C$22)^2-'THAM_SO_MOI'!$C$25*(E451/'THAM_SO_MOI'!$C$22)^3)</f>
        <v>79.89695325267488</v>
      </c>
      <c r="K451" s="75">
        <f>'THAM_SO_MOI'!$C$31*J451/E451</f>
        <v>423.652275077863</v>
      </c>
      <c r="L451" s="75">
        <f>K451*'THAM_SO_MOI'!$C$49*'THAM_SO_MOI'!$C$17/'THAM_SO_MOI'!$C$26</f>
        <v>24150.30871611079</v>
      </c>
      <c r="M451" s="75">
        <f>'THAM_SO_MOI'!$C$15*'THAM_SO_MOI'!$C$16*F451^2</f>
        <v>23.138897266444857</v>
      </c>
      <c r="N451" s="75">
        <f>'THAM_SO_MOI'!$C$12*I451</f>
        <v>1130.112</v>
      </c>
      <c r="O451" s="75">
        <f>M451+N451</f>
        <v>1153.250897266445</v>
      </c>
      <c r="P451" s="75">
        <f>(MIN(L451,'THAM_SO_MOI'!$C$41)-O451)/('THAM_SO_MOI'!$C$11*H451)</f>
        <v>0.9468485597350271</v>
      </c>
      <c r="Q451" s="75">
        <f>IF(P451&gt;0,1/P451,NA())</f>
        <v>1.056135101773664</v>
      </c>
      <c r="R451" s="75">
        <f>F451-F450</f>
        <v>0.0035133136094676054</v>
      </c>
      <c r="S451" s="75">
        <f>0.5*(Q450+Q451)*R451</f>
        <v>0.0037108971894677188</v>
      </c>
      <c r="T451" s="75">
        <f>0.5*(F450*Q450+F451*Q451)*R451</f>
        <v>0.01043076014905798</v>
      </c>
      <c r="U451" s="76">
        <f>U450+S451</f>
        <v>1.810218303160604</v>
      </c>
      <c r="V451" s="76">
        <f>V450+T451</f>
        <v>3.62173362354866</v>
      </c>
    </row>
    <row r="452" spans="1:22" ht="19" customHeight="1">
      <c r="A452" s="68" t="s">
        <v>368</v>
      </c>
      <c r="B452" s="74">
        <v>1</v>
      </c>
      <c r="C452" s="68" t="s">
        <v>363</v>
      </c>
      <c r="D452" s="68" t="s">
        <v>364</v>
      </c>
      <c r="E452" s="75">
        <f>60*F452*'THAM_SO_MOI'!$C$49/(2*PI()*'THAM_SO_MOI'!$C$26)</f>
        <v>1803.4999999999995</v>
      </c>
      <c r="F452" s="75">
        <f>'THAM_SO_MOI'!$E$49+('THAM_SO_MOI'!$F$49-'THAM_SO_MOI'!$E$49)*446/'THAM_SO_MOI'!$C$42</f>
        <v>2.8161160420775806</v>
      </c>
      <c r="G452" s="75">
        <f>3.6*F452</f>
        <v>10.13801775147929</v>
      </c>
      <c r="H452" s="75">
        <f>'THAM_SO_MOI'!$D$49</f>
        <v>3.1625000000000005</v>
      </c>
      <c r="I452" s="75">
        <f>IF(F452&gt;'THAM_SO_MOI'!$C$14,'THAM_SO_MOI'!$C$13*(1+F452^2/1500),'THAM_SO_MOI'!$C$13)</f>
        <v>0.015</v>
      </c>
      <c r="J452" s="75">
        <f>'THAM_SO_MOI'!$C$40*('THAM_SO_MOI'!$C$23*(E452/'THAM_SO_MOI'!$C$22)+'THAM_SO_MOI'!$C$24*(E452/'THAM_SO_MOI'!$C$22)^2-'THAM_SO_MOI'!$C$25*(E452/'THAM_SO_MOI'!$C$22)^3)</f>
        <v>80.0117704070406</v>
      </c>
      <c r="K452" s="75">
        <f>'THAM_SO_MOI'!$C$31*J452/E452</f>
        <v>423.7317939676387</v>
      </c>
      <c r="L452" s="75">
        <f>K452*'THAM_SO_MOI'!$C$49*'THAM_SO_MOI'!$C$17/'THAM_SO_MOI'!$C$26</f>
        <v>24154.841692444956</v>
      </c>
      <c r="M452" s="75">
        <f>'THAM_SO_MOI'!$C$15*'THAM_SO_MOI'!$C$16*F452^2</f>
        <v>23.19674047015659</v>
      </c>
      <c r="N452" s="75">
        <f>'THAM_SO_MOI'!$C$12*I452</f>
        <v>1130.112</v>
      </c>
      <c r="O452" s="75">
        <f>M452+N452</f>
        <v>1153.3087404701566</v>
      </c>
      <c r="P452" s="75">
        <f>(MIN(L452,'THAM_SO_MOI'!$C$41)-O452)/('THAM_SO_MOI'!$C$11*H452)</f>
        <v>0.9470328125813074</v>
      </c>
      <c r="Q452" s="75">
        <f>IF(P452&gt;0,1/P452,NA())</f>
        <v>1.0559296222000176</v>
      </c>
      <c r="R452" s="75">
        <f>F452-F451</f>
        <v>0.0035133136094671613</v>
      </c>
      <c r="S452" s="75">
        <f>0.5*(Q451+Q452)*R452</f>
        <v>0.0037101728694061194</v>
      </c>
      <c r="T452" s="75">
        <f>0.5*(F451*Q451+F452*Q452)*R452</f>
        <v>0.010441759201920071</v>
      </c>
      <c r="U452" s="76">
        <f>U451+S452</f>
        <v>1.8139284760300103</v>
      </c>
      <c r="V452" s="76">
        <f>V451+T452</f>
        <v>3.6321753827505803</v>
      </c>
    </row>
    <row r="453" spans="1:22" ht="19" customHeight="1">
      <c r="A453" s="68" t="s">
        <v>368</v>
      </c>
      <c r="B453" s="74">
        <v>1</v>
      </c>
      <c r="C453" s="68" t="s">
        <v>363</v>
      </c>
      <c r="D453" s="68" t="s">
        <v>364</v>
      </c>
      <c r="E453" s="75">
        <f>60*F453*'THAM_SO_MOI'!$C$49/(2*PI()*'THAM_SO_MOI'!$C$26)</f>
        <v>1805.7499999999998</v>
      </c>
      <c r="F453" s="75">
        <f>'THAM_SO_MOI'!$E$49+('THAM_SO_MOI'!$F$49-'THAM_SO_MOI'!$E$49)*447/'THAM_SO_MOI'!$C$42</f>
        <v>2.819629355687048</v>
      </c>
      <c r="G453" s="75">
        <f>3.6*F453</f>
        <v>10.150665680473374</v>
      </c>
      <c r="H453" s="75">
        <f>'THAM_SO_MOI'!$D$49</f>
        <v>3.1625000000000005</v>
      </c>
      <c r="I453" s="75">
        <f>IF(F453&gt;'THAM_SO_MOI'!$C$14,'THAM_SO_MOI'!$C$13*(1+F453^2/1500),'THAM_SO_MOI'!$C$13)</f>
        <v>0.015</v>
      </c>
      <c r="J453" s="75">
        <f>'THAM_SO_MOI'!$C$40*('THAM_SO_MOI'!$C$23*(E453/'THAM_SO_MOI'!$C$22)+'THAM_SO_MOI'!$C$24*(E453/'THAM_SO_MOI'!$C$22)^2-'THAM_SO_MOI'!$C$25*(E453/'THAM_SO_MOI'!$C$22)^3)</f>
        <v>80.12653217117537</v>
      </c>
      <c r="K453" s="75">
        <f>'THAM_SO_MOI'!$C$31*J453/E453</f>
        <v>423.8108217193558</v>
      </c>
      <c r="L453" s="75">
        <f>K453*'THAM_SO_MOI'!$C$49*'THAM_SO_MOI'!$C$17/'THAM_SO_MOI'!$C$26</f>
        <v>24159.346671441606</v>
      </c>
      <c r="M453" s="75">
        <f>'THAM_SO_MOI'!$C$15*'THAM_SO_MOI'!$C$16*F453^2</f>
        <v>23.254655882597568</v>
      </c>
      <c r="N453" s="75">
        <f>'THAM_SO_MOI'!$C$12*I453</f>
        <v>1130.112</v>
      </c>
      <c r="O453" s="75">
        <f>M453+N453</f>
        <v>1153.3666558825976</v>
      </c>
      <c r="P453" s="75">
        <f>(MIN(L453,'THAM_SO_MOI'!$C$41)-O453)/('THAM_SO_MOI'!$C$11*H453)</f>
        <v>0.9472159097315137</v>
      </c>
      <c r="Q453" s="75">
        <f>IF(P453&gt;0,1/P453,NA())</f>
        <v>1.0557255106530545</v>
      </c>
      <c r="R453" s="75">
        <f>F453-F452</f>
        <v>0.0035133136094676054</v>
      </c>
      <c r="S453" s="75">
        <f>0.5*(Q452+Q453)*R453</f>
        <v>0.0037094533583774117</v>
      </c>
      <c r="T453" s="75">
        <f>0.5*(F452*Q452+F453*Q453)*R453</f>
        <v>0.010452766716492808</v>
      </c>
      <c r="U453" s="76">
        <f>U452+S453</f>
        <v>1.8176379293883878</v>
      </c>
      <c r="V453" s="76">
        <f>V452+T453</f>
        <v>3.642628149467073</v>
      </c>
    </row>
    <row r="454" spans="1:22" ht="19" customHeight="1">
      <c r="A454" s="68" t="s">
        <v>368</v>
      </c>
      <c r="B454" s="74">
        <v>1</v>
      </c>
      <c r="C454" s="68" t="s">
        <v>363</v>
      </c>
      <c r="D454" s="68" t="s">
        <v>364</v>
      </c>
      <c r="E454" s="75">
        <f>60*F454*'THAM_SO_MOI'!$C$49/(2*PI()*'THAM_SO_MOI'!$C$26)</f>
        <v>1808.0</v>
      </c>
      <c r="F454" s="75">
        <f>'THAM_SO_MOI'!$E$49+('THAM_SO_MOI'!$F$49-'THAM_SO_MOI'!$E$49)*448/'THAM_SO_MOI'!$C$42</f>
        <v>2.823142669296516</v>
      </c>
      <c r="G454" s="75">
        <f>3.6*F454</f>
        <v>10.163313609467457</v>
      </c>
      <c r="H454" s="75">
        <f>'THAM_SO_MOI'!$D$49</f>
        <v>3.1625000000000005</v>
      </c>
      <c r="I454" s="75">
        <f>IF(F454&gt;'THAM_SO_MOI'!$C$14,'THAM_SO_MOI'!$C$13*(1+F454^2/1500),'THAM_SO_MOI'!$C$13)</f>
        <v>0.015</v>
      </c>
      <c r="J454" s="75">
        <f>'THAM_SO_MOI'!$C$40*('THAM_SO_MOI'!$C$23*(E454/'THAM_SO_MOI'!$C$22)+'THAM_SO_MOI'!$C$24*(E454/'THAM_SO_MOI'!$C$22)^2-'THAM_SO_MOI'!$C$25*(E454/'THAM_SO_MOI'!$C$22)^3)</f>
        <v>80.24123819797956</v>
      </c>
      <c r="K454" s="75">
        <f>'THAM_SO_MOI'!$C$31*J454/E454</f>
        <v>423.88935833301406</v>
      </c>
      <c r="L454" s="75">
        <f>K454*'THAM_SO_MOI'!$C$49*'THAM_SO_MOI'!$C$17/'THAM_SO_MOI'!$C$26</f>
        <v>24163.82365310072</v>
      </c>
      <c r="M454" s="75">
        <f>'THAM_SO_MOI'!$C$15*'THAM_SO_MOI'!$C$16*F454^2</f>
        <v>23.312643503767774</v>
      </c>
      <c r="N454" s="75">
        <f>'THAM_SO_MOI'!$C$12*I454</f>
        <v>1130.112</v>
      </c>
      <c r="O454" s="75">
        <f>M454+N454</f>
        <v>1153.4246435037678</v>
      </c>
      <c r="P454" s="75">
        <f>(MIN(L454,'THAM_SO_MOI'!$C$41)-O454)/('THAM_SO_MOI'!$C$11*H454)</f>
        <v>0.9473978511856451</v>
      </c>
      <c r="Q454" s="75">
        <f>IF(P454&gt;0,1/P454,NA())</f>
        <v>1.0555227655926436</v>
      </c>
      <c r="R454" s="75">
        <f>F454-F453</f>
        <v>0.0035133136094676054</v>
      </c>
      <c r="S454" s="75">
        <f>0.5*(Q453+Q454)*R454</f>
        <v>0.003708738650949517</v>
      </c>
      <c r="T454" s="75">
        <f>0.5*(F453*Q453+F454*Q454)*R454</f>
        <v>0.010463782728137158</v>
      </c>
      <c r="U454" s="76">
        <f>U453+S454</f>
        <v>1.8213466680393373</v>
      </c>
      <c r="V454" s="76">
        <f>V453+T454</f>
        <v>3.6530919321952102</v>
      </c>
    </row>
    <row r="455" spans="1:22" ht="19" customHeight="1">
      <c r="A455" s="68" t="s">
        <v>368</v>
      </c>
      <c r="B455" s="74">
        <v>1</v>
      </c>
      <c r="C455" s="68" t="s">
        <v>363</v>
      </c>
      <c r="D455" s="68" t="s">
        <v>364</v>
      </c>
      <c r="E455" s="75">
        <f>60*F455*'THAM_SO_MOI'!$C$49/(2*PI()*'THAM_SO_MOI'!$C$26)</f>
        <v>1810.25</v>
      </c>
      <c r="F455" s="75">
        <f>'THAM_SO_MOI'!$E$49+('THAM_SO_MOI'!$F$49-'THAM_SO_MOI'!$E$49)*449/'THAM_SO_MOI'!$C$42</f>
        <v>2.826655982905983</v>
      </c>
      <c r="G455" s="75">
        <f>3.6*F455</f>
        <v>10.17596153846154</v>
      </c>
      <c r="H455" s="75">
        <f>'THAM_SO_MOI'!$D$49</f>
        <v>3.1625000000000005</v>
      </c>
      <c r="I455" s="75">
        <f>IF(F455&gt;'THAM_SO_MOI'!$C$14,'THAM_SO_MOI'!$C$13*(1+F455^2/1500),'THAM_SO_MOI'!$C$13)</f>
        <v>0.015</v>
      </c>
      <c r="J455" s="75">
        <f>'THAM_SO_MOI'!$C$40*('THAM_SO_MOI'!$C$23*(E455/'THAM_SO_MOI'!$C$22)+'THAM_SO_MOI'!$C$24*(E455/'THAM_SO_MOI'!$C$22)^2-'THAM_SO_MOI'!$C$25*(E455/'THAM_SO_MOI'!$C$22)^3)</f>
        <v>80.35588814035361</v>
      </c>
      <c r="K455" s="75">
        <f>'THAM_SO_MOI'!$C$31*J455/E455</f>
        <v>423.9674038086136</v>
      </c>
      <c r="L455" s="75">
        <f>K455*'THAM_SO_MOI'!$C$49*'THAM_SO_MOI'!$C$17/'THAM_SO_MOI'!$C$26</f>
        <v>24168.272637422306</v>
      </c>
      <c r="M455" s="75">
        <f>'THAM_SO_MOI'!$C$15*'THAM_SO_MOI'!$C$16*F455^2</f>
        <v>23.370703333667205</v>
      </c>
      <c r="N455" s="75">
        <f>'THAM_SO_MOI'!$C$12*I455</f>
        <v>1130.112</v>
      </c>
      <c r="O455" s="75">
        <f>M455+N455</f>
        <v>1153.4827033336674</v>
      </c>
      <c r="P455" s="75">
        <f>(MIN(L455,'THAM_SO_MOI'!$C$41)-O455)/('THAM_SO_MOI'!$C$11*H455)</f>
        <v>0.9475786369437019</v>
      </c>
      <c r="Q455" s="75">
        <f>IF(P455&gt;0,1/P455,NA())</f>
        <v>1.0553213854898382</v>
      </c>
      <c r="R455" s="75">
        <f>F455-F454</f>
        <v>0.0035133136094671613</v>
      </c>
      <c r="S455" s="75">
        <f>0.5*(Q454+Q455)*R455</f>
        <v>0.00370802874173112</v>
      </c>
      <c r="T455" s="75">
        <f>0.5*(F454*Q454+F455*Q455)*R455</f>
        <v>0.010474807272252896</v>
      </c>
      <c r="U455" s="76">
        <f>U454+S455</f>
        <v>1.8250546967810684</v>
      </c>
      <c r="V455" s="76">
        <f>V454+T455</f>
        <v>3.663566739467463</v>
      </c>
    </row>
    <row r="456" spans="1:22" ht="19" customHeight="1">
      <c r="A456" s="68" t="s">
        <v>368</v>
      </c>
      <c r="B456" s="74">
        <v>1</v>
      </c>
      <c r="C456" s="68" t="s">
        <v>363</v>
      </c>
      <c r="D456" s="68" t="s">
        <v>364</v>
      </c>
      <c r="E456" s="75">
        <f>60*F456*'THAM_SO_MOI'!$C$49/(2*PI()*'THAM_SO_MOI'!$C$26)</f>
        <v>1812.4999999999998</v>
      </c>
      <c r="F456" s="75">
        <f>'THAM_SO_MOI'!$E$49+('THAM_SO_MOI'!$F$49-'THAM_SO_MOI'!$E$49)*450/'THAM_SO_MOI'!$C$42</f>
        <v>2.83016929651545</v>
      </c>
      <c r="G456" s="75">
        <f>3.6*F456</f>
        <v>10.18860946745562</v>
      </c>
      <c r="H456" s="75">
        <f>'THAM_SO_MOI'!$D$49</f>
        <v>3.1625000000000005</v>
      </c>
      <c r="I456" s="75">
        <f>IF(F456&gt;'THAM_SO_MOI'!$C$14,'THAM_SO_MOI'!$C$13*(1+F456^2/1500),'THAM_SO_MOI'!$C$13)</f>
        <v>0.015</v>
      </c>
      <c r="J456" s="75">
        <f>'THAM_SO_MOI'!$C$40*('THAM_SO_MOI'!$C$23*(E456/'THAM_SO_MOI'!$C$22)+'THAM_SO_MOI'!$C$24*(E456/'THAM_SO_MOI'!$C$22)^2-'THAM_SO_MOI'!$C$25*(E456/'THAM_SO_MOI'!$C$22)^3)</f>
        <v>80.47048165119799</v>
      </c>
      <c r="K456" s="75">
        <f>'THAM_SO_MOI'!$C$31*J456/E456</f>
        <v>424.0449581461542</v>
      </c>
      <c r="L456" s="75">
        <f>K456*'THAM_SO_MOI'!$C$49*'THAM_SO_MOI'!$C$17/'THAM_SO_MOI'!$C$26</f>
        <v>24172.693624406347</v>
      </c>
      <c r="M456" s="75">
        <f>'THAM_SO_MOI'!$C$15*'THAM_SO_MOI'!$C$16*F456^2</f>
        <v>23.428835372295868</v>
      </c>
      <c r="N456" s="75">
        <f>'THAM_SO_MOI'!$C$12*I456</f>
        <v>1130.112</v>
      </c>
      <c r="O456" s="75">
        <f>M456+N456</f>
        <v>1153.540835372296</v>
      </c>
      <c r="P456" s="75">
        <f>(MIN(L456,'THAM_SO_MOI'!$C$41)-O456)/('THAM_SO_MOI'!$C$11*H456)</f>
        <v>0.9477582670056838</v>
      </c>
      <c r="Q456" s="75">
        <f>IF(P456&gt;0,1/P456,NA())</f>
        <v>1.0551213688268497</v>
      </c>
      <c r="R456" s="75">
        <f>F456-F455</f>
        <v>0.0035133136094671613</v>
      </c>
      <c r="S456" s="75">
        <f>0.5*(Q455+Q456)*R456</f>
        <v>0.0037073236253710906</v>
      </c>
      <c r="T456" s="75">
        <f>0.5*(F455*Q455+F456*Q456)*R456</f>
        <v>0.010485840384277701</v>
      </c>
      <c r="U456" s="76">
        <f>U455+S456</f>
        <v>1.8287620204064394</v>
      </c>
      <c r="V456" s="76">
        <f>V455+T456</f>
        <v>3.674052579851741</v>
      </c>
    </row>
    <row r="457" spans="1:22" ht="19" customHeight="1">
      <c r="A457" s="68" t="s">
        <v>368</v>
      </c>
      <c r="B457" s="74">
        <v>1</v>
      </c>
      <c r="C457" s="68" t="s">
        <v>363</v>
      </c>
      <c r="D457" s="68" t="s">
        <v>364</v>
      </c>
      <c r="E457" s="75">
        <f>60*F457*'THAM_SO_MOI'!$C$49/(2*PI()*'THAM_SO_MOI'!$C$26)</f>
        <v>1814.75</v>
      </c>
      <c r="F457" s="75">
        <f>'THAM_SO_MOI'!$E$49+('THAM_SO_MOI'!$F$49-'THAM_SO_MOI'!$E$49)*451/'THAM_SO_MOI'!$C$42</f>
        <v>2.833682610124918</v>
      </c>
      <c r="G457" s="75">
        <f>3.6*F457</f>
        <v>10.201257396449705</v>
      </c>
      <c r="H457" s="75">
        <f>'THAM_SO_MOI'!$D$49</f>
        <v>3.1625000000000005</v>
      </c>
      <c r="I457" s="75">
        <f>IF(F457&gt;'THAM_SO_MOI'!$C$14,'THAM_SO_MOI'!$C$13*(1+F457^2/1500),'THAM_SO_MOI'!$C$13)</f>
        <v>0.015</v>
      </c>
      <c r="J457" s="75">
        <f>'THAM_SO_MOI'!$C$40*('THAM_SO_MOI'!$C$23*(E457/'THAM_SO_MOI'!$C$22)+'THAM_SO_MOI'!$C$24*(E457/'THAM_SO_MOI'!$C$22)^2-'THAM_SO_MOI'!$C$25*(E457/'THAM_SO_MOI'!$C$22)^3)</f>
        <v>80.58501838341317</v>
      </c>
      <c r="K457" s="75">
        <f>'THAM_SO_MOI'!$C$31*J457/E457</f>
        <v>424.12202134563614</v>
      </c>
      <c r="L457" s="75">
        <f>K457*'THAM_SO_MOI'!$C$49*'THAM_SO_MOI'!$C$17/'THAM_SO_MOI'!$C$26</f>
        <v>24177.086614052863</v>
      </c>
      <c r="M457" s="75">
        <f>'THAM_SO_MOI'!$C$15*'THAM_SO_MOI'!$C$16*F457^2</f>
        <v>23.487039619653785</v>
      </c>
      <c r="N457" s="75">
        <f>'THAM_SO_MOI'!$C$12*I457</f>
        <v>1130.112</v>
      </c>
      <c r="O457" s="75">
        <f>M457+N457</f>
        <v>1153.599039619654</v>
      </c>
      <c r="P457" s="75">
        <f>(MIN(L457,'THAM_SO_MOI'!$C$41)-O457)/('THAM_SO_MOI'!$C$11*H457)</f>
        <v>0.9479367413715911</v>
      </c>
      <c r="Q457" s="75">
        <f>IF(P457&gt;0,1/P457,NA())</f>
        <v>1.0549227140970159</v>
      </c>
      <c r="R457" s="75">
        <f>F457-F456</f>
        <v>0.0035133136094680495</v>
      </c>
      <c r="S457" s="75">
        <f>0.5*(Q456+Q457)*R457</f>
        <v>0.003706623296556973</v>
      </c>
      <c r="T457" s="75">
        <f>0.5*(F456*Q456+F457*Q457)*R457</f>
        <v>0.010496882099683576</v>
      </c>
      <c r="U457" s="76">
        <f>U456+S457</f>
        <v>1.8324686437029964</v>
      </c>
      <c r="V457" s="76">
        <f>V456+T457</f>
        <v>3.6845494619514243</v>
      </c>
    </row>
    <row r="458" spans="1:22" ht="19" customHeight="1">
      <c r="A458" s="68" t="s">
        <v>368</v>
      </c>
      <c r="B458" s="74">
        <v>1</v>
      </c>
      <c r="C458" s="68" t="s">
        <v>363</v>
      </c>
      <c r="D458" s="68" t="s">
        <v>364</v>
      </c>
      <c r="E458" s="75">
        <f>60*F458*'THAM_SO_MOI'!$C$49/(2*PI()*'THAM_SO_MOI'!$C$26)</f>
        <v>1816.9999999999998</v>
      </c>
      <c r="F458" s="75">
        <f>'THAM_SO_MOI'!$E$49+('THAM_SO_MOI'!$F$49-'THAM_SO_MOI'!$E$49)*452/'THAM_SO_MOI'!$C$42</f>
        <v>2.8371959237343853</v>
      </c>
      <c r="G458" s="75">
        <f>3.6*F458</f>
        <v>10.213905325443788</v>
      </c>
      <c r="H458" s="75">
        <f>'THAM_SO_MOI'!$D$49</f>
        <v>3.1625000000000005</v>
      </c>
      <c r="I458" s="75">
        <f>IF(F458&gt;'THAM_SO_MOI'!$C$14,'THAM_SO_MOI'!$C$13*(1+F458^2/1500),'THAM_SO_MOI'!$C$13)</f>
        <v>0.015</v>
      </c>
      <c r="J458" s="75">
        <f>'THAM_SO_MOI'!$C$40*('THAM_SO_MOI'!$C$23*(E458/'THAM_SO_MOI'!$C$22)+'THAM_SO_MOI'!$C$24*(E458/'THAM_SO_MOI'!$C$22)^2-'THAM_SO_MOI'!$C$25*(E458/'THAM_SO_MOI'!$C$22)^3)</f>
        <v>80.69949798989961</v>
      </c>
      <c r="K458" s="75">
        <f>'THAM_SO_MOI'!$C$31*J458/E458</f>
        <v>424.1985934070594</v>
      </c>
      <c r="L458" s="75">
        <f>K458*'THAM_SO_MOI'!$C$49*'THAM_SO_MOI'!$C$17/'THAM_SO_MOI'!$C$26</f>
        <v>24181.45160636185</v>
      </c>
      <c r="M458" s="75">
        <f>'THAM_SO_MOI'!$C$15*'THAM_SO_MOI'!$C$16*F458^2</f>
        <v>23.54531607574091</v>
      </c>
      <c r="N458" s="75">
        <f>'THAM_SO_MOI'!$C$12*I458</f>
        <v>1130.112</v>
      </c>
      <c r="O458" s="75">
        <f>M458+N458</f>
        <v>1153.657316075741</v>
      </c>
      <c r="P458" s="75">
        <f>(MIN(L458,'THAM_SO_MOI'!$C$41)-O458)/('THAM_SO_MOI'!$C$11*H458)</f>
        <v>0.9481140600414238</v>
      </c>
      <c r="Q458" s="75">
        <f>IF(P458&gt;0,1/P458,NA())</f>
        <v>1.0547254198047746</v>
      </c>
      <c r="R458" s="75">
        <f>F458-F457</f>
        <v>0.0035133136094671613</v>
      </c>
      <c r="S458" s="75">
        <f>0.5*(Q457+Q458)*R458</f>
        <v>0.0037059277500120806</v>
      </c>
      <c r="T458" s="75">
        <f>0.5*(F457*Q457+F458*Q458)*R458</f>
        <v>0.010507932453969271</v>
      </c>
      <c r="U458" s="76">
        <f>U457+S458</f>
        <v>1.8361745714530084</v>
      </c>
      <c r="V458" s="76">
        <f>V457+T458</f>
        <v>3.6950573944053935</v>
      </c>
    </row>
    <row r="459" spans="1:22" ht="19" customHeight="1">
      <c r="A459" s="68" t="s">
        <v>368</v>
      </c>
      <c r="B459" s="74">
        <v>1</v>
      </c>
      <c r="C459" s="68" t="s">
        <v>363</v>
      </c>
      <c r="D459" s="68" t="s">
        <v>364</v>
      </c>
      <c r="E459" s="75">
        <f>60*F459*'THAM_SO_MOI'!$C$49/(2*PI()*'THAM_SO_MOI'!$C$26)</f>
        <v>1819.2499999999998</v>
      </c>
      <c r="F459" s="75">
        <f>'THAM_SO_MOI'!$E$49+('THAM_SO_MOI'!$F$49-'THAM_SO_MOI'!$E$49)*453/'THAM_SO_MOI'!$C$42</f>
        <v>2.8407092373438525</v>
      </c>
      <c r="G459" s="75">
        <f>3.6*F459</f>
        <v>10.226553254437869</v>
      </c>
      <c r="H459" s="75">
        <f>'THAM_SO_MOI'!$D$49</f>
        <v>3.1625000000000005</v>
      </c>
      <c r="I459" s="75">
        <f>IF(F459&gt;'THAM_SO_MOI'!$C$14,'THAM_SO_MOI'!$C$13*(1+F459^2/1500),'THAM_SO_MOI'!$C$13)</f>
        <v>0.015</v>
      </c>
      <c r="J459" s="75">
        <f>'THAM_SO_MOI'!$C$40*('THAM_SO_MOI'!$C$23*(E459/'THAM_SO_MOI'!$C$22)+'THAM_SO_MOI'!$C$24*(E459/'THAM_SO_MOI'!$C$22)^2-'THAM_SO_MOI'!$C$25*(E459/'THAM_SO_MOI'!$C$22)^3)</f>
        <v>80.81392012355774</v>
      </c>
      <c r="K459" s="75">
        <f>'THAM_SO_MOI'!$C$31*J459/E459</f>
        <v>424.2746743304237</v>
      </c>
      <c r="L459" s="75">
        <f>K459*'THAM_SO_MOI'!$C$49*'THAM_SO_MOI'!$C$17/'THAM_SO_MOI'!$C$26</f>
        <v>24185.788601333297</v>
      </c>
      <c r="M459" s="75">
        <f>'THAM_SO_MOI'!$C$15*'THAM_SO_MOI'!$C$16*F459^2</f>
        <v>23.603664740557278</v>
      </c>
      <c r="N459" s="75">
        <f>'THAM_SO_MOI'!$C$12*I459</f>
        <v>1130.112</v>
      </c>
      <c r="O459" s="75">
        <f>M459+N459</f>
        <v>1153.7156647405573</v>
      </c>
      <c r="P459" s="75">
        <f>(MIN(L459,'THAM_SO_MOI'!$C$41)-O459)/('THAM_SO_MOI'!$C$11*H459)</f>
        <v>0.9482902230151818</v>
      </c>
      <c r="Q459" s="75">
        <f>IF(P459&gt;0,1/P459,NA())</f>
        <v>1.0545294844656332</v>
      </c>
      <c r="R459" s="75">
        <f>F459-F458</f>
        <v>0.0035133136094671613</v>
      </c>
      <c r="S459" s="75">
        <f>0.5*(Q458+Q459)*R459</f>
        <v>0.003705236980504289</v>
      </c>
      <c r="T459" s="75">
        <f>0.5*(F458*Q458+F459*Q459)*R459</f>
        <v>0.010518991482685905</v>
      </c>
      <c r="U459" s="76">
        <f>U458+S459</f>
        <v>1.8398798084335126</v>
      </c>
      <c r="V459" s="76">
        <f>V458+T459</f>
        <v>3.7055763858880795</v>
      </c>
    </row>
    <row r="460" spans="1:22" ht="19" customHeight="1">
      <c r="A460" s="68" t="s">
        <v>368</v>
      </c>
      <c r="B460" s="74">
        <v>1</v>
      </c>
      <c r="C460" s="68" t="s">
        <v>363</v>
      </c>
      <c r="D460" s="68" t="s">
        <v>364</v>
      </c>
      <c r="E460" s="75">
        <f>60*F460*'THAM_SO_MOI'!$C$49/(2*PI()*'THAM_SO_MOI'!$C$26)</f>
        <v>1821.5</v>
      </c>
      <c r="F460" s="75">
        <f>'THAM_SO_MOI'!$E$49+('THAM_SO_MOI'!$F$49-'THAM_SO_MOI'!$E$49)*454/'THAM_SO_MOI'!$C$42</f>
        <v>2.8442225509533205</v>
      </c>
      <c r="G460" s="75">
        <f>3.6*F460</f>
        <v>10.239201183431954</v>
      </c>
      <c r="H460" s="75">
        <f>'THAM_SO_MOI'!$D$49</f>
        <v>3.1625000000000005</v>
      </c>
      <c r="I460" s="75">
        <f>IF(F460&gt;'THAM_SO_MOI'!$C$14,'THAM_SO_MOI'!$C$13*(1+F460^2/1500),'THAM_SO_MOI'!$C$13)</f>
        <v>0.015</v>
      </c>
      <c r="J460" s="75">
        <f>'THAM_SO_MOI'!$C$40*('THAM_SO_MOI'!$C$23*(E460/'THAM_SO_MOI'!$C$22)+'THAM_SO_MOI'!$C$24*(E460/'THAM_SO_MOI'!$C$22)^2-'THAM_SO_MOI'!$C$25*(E460/'THAM_SO_MOI'!$C$22)^3)</f>
        <v>80.92828443728803</v>
      </c>
      <c r="K460" s="75">
        <f>'THAM_SO_MOI'!$C$31*J460/E460</f>
        <v>424.3502641157292</v>
      </c>
      <c r="L460" s="75">
        <f>K460*'THAM_SO_MOI'!$C$49*'THAM_SO_MOI'!$C$17/'THAM_SO_MOI'!$C$26</f>
        <v>24190.09759896721</v>
      </c>
      <c r="M460" s="75">
        <f>'THAM_SO_MOI'!$C$15*'THAM_SO_MOI'!$C$16*F460^2</f>
        <v>23.66208561410289</v>
      </c>
      <c r="N460" s="75">
        <f>'THAM_SO_MOI'!$C$12*I460</f>
        <v>1130.112</v>
      </c>
      <c r="O460" s="75">
        <f>M460+N460</f>
        <v>1153.774085614103</v>
      </c>
      <c r="P460" s="75">
        <f>(MIN(L460,'THAM_SO_MOI'!$C$41)-O460)/('THAM_SO_MOI'!$C$11*H460)</f>
        <v>0.948465230292865</v>
      </c>
      <c r="Q460" s="75">
        <f>IF(P460&gt;0,1/P460,NA())</f>
        <v>1.0543349066061412</v>
      </c>
      <c r="R460" s="75">
        <f>F460-F459</f>
        <v>0.0035133136094680495</v>
      </c>
      <c r="S460" s="75">
        <f>0.5*(Q459+Q460)*R460</f>
        <v>0.0037045509828375085</v>
      </c>
      <c r="T460" s="75">
        <f>0.5*(F459*Q459+F460*Q460)*R460</f>
        <v>0.010530059221413491</v>
      </c>
      <c r="U460" s="76">
        <f>U459+S460</f>
        <v>1.8435843594163501</v>
      </c>
      <c r="V460" s="76">
        <f>V459+T460</f>
        <v>3.716106445109493</v>
      </c>
    </row>
    <row r="461" spans="1:22" ht="19" customHeight="1">
      <c r="A461" s="68" t="s">
        <v>368</v>
      </c>
      <c r="B461" s="74">
        <v>1</v>
      </c>
      <c r="C461" s="68" t="s">
        <v>363</v>
      </c>
      <c r="D461" s="68" t="s">
        <v>364</v>
      </c>
      <c r="E461" s="75">
        <f>60*F461*'THAM_SO_MOI'!$C$49/(2*PI()*'THAM_SO_MOI'!$C$26)</f>
        <v>1823.7499999999998</v>
      </c>
      <c r="F461" s="75">
        <f>'THAM_SO_MOI'!$E$49+('THAM_SO_MOI'!$F$49-'THAM_SO_MOI'!$E$49)*455/'THAM_SO_MOI'!$C$42</f>
        <v>2.8477358645627877</v>
      </c>
      <c r="G461" s="75">
        <f>3.6*F461</f>
        <v>10.251849112426036</v>
      </c>
      <c r="H461" s="75">
        <f>'THAM_SO_MOI'!$D$49</f>
        <v>3.1625000000000005</v>
      </c>
      <c r="I461" s="75">
        <f>IF(F461&gt;'THAM_SO_MOI'!$C$14,'THAM_SO_MOI'!$C$13*(1+F461^2/1500),'THAM_SO_MOI'!$C$13)</f>
        <v>0.015</v>
      </c>
      <c r="J461" s="75">
        <f>'THAM_SO_MOI'!$C$40*('THAM_SO_MOI'!$C$23*(E461/'THAM_SO_MOI'!$C$22)+'THAM_SO_MOI'!$C$24*(E461/'THAM_SO_MOI'!$C$22)^2-'THAM_SO_MOI'!$C$25*(E461/'THAM_SO_MOI'!$C$22)^3)</f>
        <v>81.04259058399094</v>
      </c>
      <c r="K461" s="75">
        <f>'THAM_SO_MOI'!$C$31*J461/E461</f>
        <v>424.4253627629761</v>
      </c>
      <c r="L461" s="75">
        <f>K461*'THAM_SO_MOI'!$C$49*'THAM_SO_MOI'!$C$17/'THAM_SO_MOI'!$C$26</f>
        <v>24194.3785992636</v>
      </c>
      <c r="M461" s="75">
        <f>'THAM_SO_MOI'!$C$15*'THAM_SO_MOI'!$C$16*F461^2</f>
        <v>23.720578696377718</v>
      </c>
      <c r="N461" s="75">
        <f>'THAM_SO_MOI'!$C$12*I461</f>
        <v>1130.112</v>
      </c>
      <c r="O461" s="75">
        <f>M461+N461</f>
        <v>1153.8325786963778</v>
      </c>
      <c r="P461" s="75">
        <f>(MIN(L461,'THAM_SO_MOI'!$C$41)-O461)/('THAM_SO_MOI'!$C$11*H461)</f>
        <v>0.9486390818744737</v>
      </c>
      <c r="Q461" s="75">
        <f>IF(P461&gt;0,1/P461,NA())</f>
        <v>1.0541416847638612</v>
      </c>
      <c r="R461" s="75">
        <f>F461-F460</f>
        <v>0.0035133136094671613</v>
      </c>
      <c r="S461" s="75">
        <f>0.5*(Q460+Q461)*R461</f>
        <v>0.00370386975185158</v>
      </c>
      <c r="T461" s="75">
        <f>0.5*(F460*Q460+F461*Q461)*R461</f>
        <v>0.010541135705761286</v>
      </c>
      <c r="U461" s="76">
        <f>U460+S461</f>
        <v>1.8472882291682018</v>
      </c>
      <c r="V461" s="76">
        <f>V460+T461</f>
        <v>3.7266475808152544</v>
      </c>
    </row>
    <row r="462" spans="1:22" ht="19" customHeight="1">
      <c r="A462" s="68" t="s">
        <v>368</v>
      </c>
      <c r="B462" s="74">
        <v>1</v>
      </c>
      <c r="C462" s="68" t="s">
        <v>363</v>
      </c>
      <c r="D462" s="68" t="s">
        <v>364</v>
      </c>
      <c r="E462" s="75">
        <f>60*F462*'THAM_SO_MOI'!$C$49/(2*PI()*'THAM_SO_MOI'!$C$26)</f>
        <v>1825.9999999999998</v>
      </c>
      <c r="F462" s="75">
        <f>'THAM_SO_MOI'!$E$49+('THAM_SO_MOI'!$F$49-'THAM_SO_MOI'!$E$49)*456/'THAM_SO_MOI'!$C$42</f>
        <v>2.851249178172255</v>
      </c>
      <c r="G462" s="75">
        <f>3.6*F462</f>
        <v>10.264497041420118</v>
      </c>
      <c r="H462" s="75">
        <f>'THAM_SO_MOI'!$D$49</f>
        <v>3.1625000000000005</v>
      </c>
      <c r="I462" s="75">
        <f>IF(F462&gt;'THAM_SO_MOI'!$C$14,'THAM_SO_MOI'!$C$13*(1+F462^2/1500),'THAM_SO_MOI'!$C$13)</f>
        <v>0.015</v>
      </c>
      <c r="J462" s="75">
        <f>'THAM_SO_MOI'!$C$40*('THAM_SO_MOI'!$C$23*(E462/'THAM_SO_MOI'!$C$22)+'THAM_SO_MOI'!$C$24*(E462/'THAM_SO_MOI'!$C$22)^2-'THAM_SO_MOI'!$C$25*(E462/'THAM_SO_MOI'!$C$22)^3)</f>
        <v>81.15683821656694</v>
      </c>
      <c r="K462" s="75">
        <f>'THAM_SO_MOI'!$C$31*J462/E462</f>
        <v>424.4999702721642</v>
      </c>
      <c r="L462" s="75">
        <f>K462*'THAM_SO_MOI'!$C$49*'THAM_SO_MOI'!$C$17/'THAM_SO_MOI'!$C$26</f>
        <v>24198.63160222246</v>
      </c>
      <c r="M462" s="75">
        <f>'THAM_SO_MOI'!$C$15*'THAM_SO_MOI'!$C$16*F462^2</f>
        <v>23.779143987381783</v>
      </c>
      <c r="N462" s="75">
        <f>'THAM_SO_MOI'!$C$12*I462</f>
        <v>1130.112</v>
      </c>
      <c r="O462" s="75">
        <f>M462+N462</f>
        <v>1153.8911439873818</v>
      </c>
      <c r="P462" s="75">
        <f>(MIN(L462,'THAM_SO_MOI'!$C$41)-O462)/('THAM_SO_MOI'!$C$11*H462)</f>
        <v>0.9488117777600079</v>
      </c>
      <c r="Q462" s="75">
        <f>IF(P462&gt;0,1/P462,NA())</f>
        <v>1.0539498174873412</v>
      </c>
      <c r="R462" s="75">
        <f>F462-F461</f>
        <v>0.0035133136094671613</v>
      </c>
      <c r="S462" s="75">
        <f>0.5*(Q461+Q462)*R462</f>
        <v>0.003703193282430611</v>
      </c>
      <c r="T462" s="75">
        <f>0.5*(F461*Q461+F462*Q462)*R462</f>
        <v>0.010552220971392152</v>
      </c>
      <c r="U462" s="76">
        <f>U461+S462</f>
        <v>1.8509914224506323</v>
      </c>
      <c r="V462" s="76">
        <f>V461+T462</f>
        <v>3.7371998017866463</v>
      </c>
    </row>
    <row r="463" spans="1:22" ht="19" customHeight="1">
      <c r="A463" s="68" t="s">
        <v>368</v>
      </c>
      <c r="B463" s="74">
        <v>1</v>
      </c>
      <c r="C463" s="68" t="s">
        <v>363</v>
      </c>
      <c r="D463" s="68" t="s">
        <v>364</v>
      </c>
      <c r="E463" s="75">
        <f>60*F463*'THAM_SO_MOI'!$C$49/(2*PI()*'THAM_SO_MOI'!$C$26)</f>
        <v>1828.25</v>
      </c>
      <c r="F463" s="75">
        <f>'THAM_SO_MOI'!$E$49+('THAM_SO_MOI'!$F$49-'THAM_SO_MOI'!$E$49)*457/'THAM_SO_MOI'!$C$42</f>
        <v>2.8547624917817225</v>
      </c>
      <c r="G463" s="75">
        <f>3.6*F463</f>
        <v>10.2771449704142</v>
      </c>
      <c r="H463" s="75">
        <f>'THAM_SO_MOI'!$D$49</f>
        <v>3.1625000000000005</v>
      </c>
      <c r="I463" s="75">
        <f>IF(F463&gt;'THAM_SO_MOI'!$C$14,'THAM_SO_MOI'!$C$13*(1+F463^2/1500),'THAM_SO_MOI'!$C$13)</f>
        <v>0.015</v>
      </c>
      <c r="J463" s="75">
        <f>'THAM_SO_MOI'!$C$40*('THAM_SO_MOI'!$C$23*(E463/'THAM_SO_MOI'!$C$22)+'THAM_SO_MOI'!$C$24*(E463/'THAM_SO_MOI'!$C$22)^2-'THAM_SO_MOI'!$C$25*(E463/'THAM_SO_MOI'!$C$22)^3)</f>
        <v>81.27102698791641</v>
      </c>
      <c r="K463" s="75">
        <f>'THAM_SO_MOI'!$C$31*J463/E463</f>
        <v>424.57408664329336</v>
      </c>
      <c r="L463" s="75">
        <f>K463*'THAM_SO_MOI'!$C$49*'THAM_SO_MOI'!$C$17/'THAM_SO_MOI'!$C$26</f>
        <v>24202.856607843776</v>
      </c>
      <c r="M463" s="75">
        <f>'THAM_SO_MOI'!$C$15*'THAM_SO_MOI'!$C$16*F463^2</f>
        <v>23.837781487115084</v>
      </c>
      <c r="N463" s="75">
        <f>'THAM_SO_MOI'!$C$12*I463</f>
        <v>1130.112</v>
      </c>
      <c r="O463" s="75">
        <f>M463+N463</f>
        <v>1153.9497814871152</v>
      </c>
      <c r="P463" s="75">
        <f>(MIN(L463,'THAM_SO_MOI'!$C$41)-O463)/('THAM_SO_MOI'!$C$11*H463)</f>
        <v>0.948983317949467</v>
      </c>
      <c r="Q463" s="75">
        <f>IF(P463&gt;0,1/P463,NA())</f>
        <v>1.0537593033360884</v>
      </c>
      <c r="R463" s="75">
        <f>F463-F462</f>
        <v>0.0035133136094676054</v>
      </c>
      <c r="S463" s="75">
        <f>0.5*(Q462+Q463)*R463</f>
        <v>0.003702521569493978</v>
      </c>
      <c r="T463" s="75">
        <f>0.5*(F462*Q462+F463*Q463)*R463</f>
        <v>0.010563315053997692</v>
      </c>
      <c r="U463" s="76">
        <f>U462+S463</f>
        <v>1.8546939440201262</v>
      </c>
      <c r="V463" s="76">
        <f>V462+T463</f>
        <v>3.7477631168406442</v>
      </c>
    </row>
    <row r="464" spans="1:22" ht="19" customHeight="1">
      <c r="A464" s="68" t="s">
        <v>368</v>
      </c>
      <c r="B464" s="74">
        <v>1</v>
      </c>
      <c r="C464" s="68" t="s">
        <v>363</v>
      </c>
      <c r="D464" s="68" t="s">
        <v>364</v>
      </c>
      <c r="E464" s="75">
        <f>60*F464*'THAM_SO_MOI'!$C$49/(2*PI()*'THAM_SO_MOI'!$C$26)</f>
        <v>1830.4999999999998</v>
      </c>
      <c r="F464" s="75">
        <f>'THAM_SO_MOI'!$E$49+('THAM_SO_MOI'!$F$49-'THAM_SO_MOI'!$E$49)*458/'THAM_SO_MOI'!$C$42</f>
        <v>2.85827580539119</v>
      </c>
      <c r="G464" s="75">
        <f>3.6*F464</f>
        <v>10.289792899408285</v>
      </c>
      <c r="H464" s="75">
        <f>'THAM_SO_MOI'!$D$49</f>
        <v>3.1625000000000005</v>
      </c>
      <c r="I464" s="75">
        <f>IF(F464&gt;'THAM_SO_MOI'!$C$14,'THAM_SO_MOI'!$C$13*(1+F464^2/1500),'THAM_SO_MOI'!$C$13)</f>
        <v>0.015</v>
      </c>
      <c r="J464" s="75">
        <f>'THAM_SO_MOI'!$C$40*('THAM_SO_MOI'!$C$23*(E464/'THAM_SO_MOI'!$C$22)+'THAM_SO_MOI'!$C$24*(E464/'THAM_SO_MOI'!$C$22)^2-'THAM_SO_MOI'!$C$25*(E464/'THAM_SO_MOI'!$C$22)^3)</f>
        <v>81.38515655093988</v>
      </c>
      <c r="K464" s="75">
        <f>'THAM_SO_MOI'!$C$31*J464/E464</f>
        <v>424.6477118763638</v>
      </c>
      <c r="L464" s="75">
        <f>K464*'THAM_SO_MOI'!$C$49*'THAM_SO_MOI'!$C$17/'THAM_SO_MOI'!$C$26</f>
        <v>24207.05361612756</v>
      </c>
      <c r="M464" s="75">
        <f>'THAM_SO_MOI'!$C$15*'THAM_SO_MOI'!$C$16*F464^2</f>
        <v>23.89649119557762</v>
      </c>
      <c r="N464" s="75">
        <f>'THAM_SO_MOI'!$C$12*I464</f>
        <v>1130.112</v>
      </c>
      <c r="O464" s="75">
        <f>M464+N464</f>
        <v>1154.0084911955778</v>
      </c>
      <c r="P464" s="75">
        <f>(MIN(L464,'THAM_SO_MOI'!$C$41)-O464)/('THAM_SO_MOI'!$C$11*H464)</f>
        <v>0.9491537024428516</v>
      </c>
      <c r="Q464" s="75">
        <f>IF(P464&gt;0,1/P464,NA())</f>
        <v>1.0535701408805387</v>
      </c>
      <c r="R464" s="75">
        <f>F464-F463</f>
        <v>0.0035133136094676054</v>
      </c>
      <c r="S464" s="75">
        <f>0.5*(Q463+Q464)*R464</f>
        <v>0.0037018546079990405</v>
      </c>
      <c r="T464" s="75">
        <f>0.5*(F463*Q463+F464*Q464)*R464</f>
        <v>0.010574417989306606</v>
      </c>
      <c r="U464" s="76">
        <f>U463+S464</f>
        <v>1.8583957986281252</v>
      </c>
      <c r="V464" s="76">
        <f>V463+T464</f>
        <v>3.758337534829951</v>
      </c>
    </row>
    <row r="465" spans="1:22" ht="19" customHeight="1">
      <c r="A465" s="68" t="s">
        <v>368</v>
      </c>
      <c r="B465" s="74">
        <v>1</v>
      </c>
      <c r="C465" s="68" t="s">
        <v>363</v>
      </c>
      <c r="D465" s="68" t="s">
        <v>364</v>
      </c>
      <c r="E465" s="75">
        <f>60*F465*'THAM_SO_MOI'!$C$49/(2*PI()*'THAM_SO_MOI'!$C$26)</f>
        <v>1832.7499999999995</v>
      </c>
      <c r="F465" s="75">
        <f>'THAM_SO_MOI'!$E$49+('THAM_SO_MOI'!$F$49-'THAM_SO_MOI'!$E$49)*459/'THAM_SO_MOI'!$C$42</f>
        <v>2.8617891190006572</v>
      </c>
      <c r="G465" s="75">
        <f>3.6*F465</f>
        <v>10.302440828402366</v>
      </c>
      <c r="H465" s="75">
        <f>'THAM_SO_MOI'!$D$49</f>
        <v>3.1625000000000005</v>
      </c>
      <c r="I465" s="75">
        <f>IF(F465&gt;'THAM_SO_MOI'!$C$14,'THAM_SO_MOI'!$C$13*(1+F465^2/1500),'THAM_SO_MOI'!$C$13)</f>
        <v>0.015</v>
      </c>
      <c r="J465" s="75">
        <f>'THAM_SO_MOI'!$C$40*('THAM_SO_MOI'!$C$23*(E465/'THAM_SO_MOI'!$C$22)+'THAM_SO_MOI'!$C$24*(E465/'THAM_SO_MOI'!$C$22)^2-'THAM_SO_MOI'!$C$25*(E465/'THAM_SO_MOI'!$C$22)^3)</f>
        <v>81.49922655853779</v>
      </c>
      <c r="K465" s="75">
        <f>'THAM_SO_MOI'!$C$31*J465/E465</f>
        <v>424.72084597137547</v>
      </c>
      <c r="L465" s="75">
        <f>K465*'THAM_SO_MOI'!$C$49*'THAM_SO_MOI'!$C$17/'THAM_SO_MOI'!$C$26</f>
        <v>24211.222627073814</v>
      </c>
      <c r="M465" s="75">
        <f>'THAM_SO_MOI'!$C$15*'THAM_SO_MOI'!$C$16*F465^2</f>
        <v>23.955273112769383</v>
      </c>
      <c r="N465" s="75">
        <f>'THAM_SO_MOI'!$C$12*I465</f>
        <v>1130.112</v>
      </c>
      <c r="O465" s="75">
        <f>M465+N465</f>
        <v>1154.0672731127695</v>
      </c>
      <c r="P465" s="75">
        <f>(MIN(L465,'THAM_SO_MOI'!$C$41)-O465)/('THAM_SO_MOI'!$C$11*H465)</f>
        <v>0.9493229312401614</v>
      </c>
      <c r="Q465" s="75">
        <f>IF(P465&gt;0,1/P465,NA())</f>
        <v>1.0533823287020316</v>
      </c>
      <c r="R465" s="75">
        <f>F465-F464</f>
        <v>0.0035133136094671613</v>
      </c>
      <c r="S465" s="75">
        <f>0.5*(Q464+Q465)*R465</f>
        <v>0.003701192392942445</v>
      </c>
      <c r="T465" s="75">
        <f>0.5*(F464*Q464+F465*Q465)*R465</f>
        <v>0.010585529813089082</v>
      </c>
      <c r="U465" s="76">
        <f>U464+S465</f>
        <v>1.8620969910210676</v>
      </c>
      <c r="V465" s="76">
        <f>V464+T465</f>
        <v>3.7689230646430403</v>
      </c>
    </row>
    <row r="466" spans="1:22" ht="19" customHeight="1">
      <c r="A466" s="68" t="s">
        <v>368</v>
      </c>
      <c r="B466" s="74">
        <v>1</v>
      </c>
      <c r="C466" s="68" t="s">
        <v>363</v>
      </c>
      <c r="D466" s="68" t="s">
        <v>364</v>
      </c>
      <c r="E466" s="75">
        <f>60*F466*'THAM_SO_MOI'!$C$49/(2*PI()*'THAM_SO_MOI'!$C$26)</f>
        <v>1834.9999999999998</v>
      </c>
      <c r="F466" s="75">
        <f>'THAM_SO_MOI'!$E$49+('THAM_SO_MOI'!$F$49-'THAM_SO_MOI'!$E$49)*460/'THAM_SO_MOI'!$C$42</f>
        <v>2.865302432610125</v>
      </c>
      <c r="G466" s="75">
        <f>3.6*F466</f>
        <v>10.315088757396449</v>
      </c>
      <c r="H466" s="75">
        <f>'THAM_SO_MOI'!$D$49</f>
        <v>3.1625000000000005</v>
      </c>
      <c r="I466" s="75">
        <f>IF(F466&gt;'THAM_SO_MOI'!$C$14,'THAM_SO_MOI'!$C$13*(1+F466^2/1500),'THAM_SO_MOI'!$C$13)</f>
        <v>0.015</v>
      </c>
      <c r="J466" s="75">
        <f>'THAM_SO_MOI'!$C$40*('THAM_SO_MOI'!$C$23*(E466/'THAM_SO_MOI'!$C$22)+'THAM_SO_MOI'!$C$24*(E466/'THAM_SO_MOI'!$C$22)^2-'THAM_SO_MOI'!$C$25*(E466/'THAM_SO_MOI'!$C$22)^3)</f>
        <v>81.61323666361062</v>
      </c>
      <c r="K466" s="75">
        <f>'THAM_SO_MOI'!$C$31*J466/E466</f>
        <v>424.7934889283285</v>
      </c>
      <c r="L466" s="75">
        <f>K466*'THAM_SO_MOI'!$C$49*'THAM_SO_MOI'!$C$17/'THAM_SO_MOI'!$C$26</f>
        <v>24215.363640682546</v>
      </c>
      <c r="M466" s="75">
        <f>'THAM_SO_MOI'!$C$15*'THAM_SO_MOI'!$C$16*F466^2</f>
        <v>24.01412723869039</v>
      </c>
      <c r="N466" s="75">
        <f>'THAM_SO_MOI'!$C$12*I466</f>
        <v>1130.112</v>
      </c>
      <c r="O466" s="75">
        <f>M466+N466</f>
        <v>1154.1261272386905</v>
      </c>
      <c r="P466" s="75">
        <f>(MIN(L466,'THAM_SO_MOI'!$C$41)-O466)/('THAM_SO_MOI'!$C$11*H466)</f>
        <v>0.9494910043413971</v>
      </c>
      <c r="Q466" s="75">
        <f>IF(P466&gt;0,1/P466,NA())</f>
        <v>1.0531958653927826</v>
      </c>
      <c r="R466" s="75">
        <f>F466-F465</f>
        <v>0.0035133136094676054</v>
      </c>
      <c r="S466" s="75">
        <f>0.5*(Q465+Q466)*R466</f>
        <v>0.003700534919360501</v>
      </c>
      <c r="T466" s="75">
        <f>0.5*(F465*Q465+F466*Q466)*R466</f>
        <v>0.010596650561158584</v>
      </c>
      <c r="U466" s="76">
        <f>U465+S466</f>
        <v>1.865797525940428</v>
      </c>
      <c r="V466" s="76">
        <f>V465+T466</f>
        <v>3.779519715204199</v>
      </c>
    </row>
    <row r="467" spans="1:22" ht="19" customHeight="1">
      <c r="A467" s="68" t="s">
        <v>368</v>
      </c>
      <c r="B467" s="74">
        <v>1</v>
      </c>
      <c r="C467" s="68" t="s">
        <v>363</v>
      </c>
      <c r="D467" s="68" t="s">
        <v>364</v>
      </c>
      <c r="E467" s="75">
        <f>60*F467*'THAM_SO_MOI'!$C$49/(2*PI()*'THAM_SO_MOI'!$C$26)</f>
        <v>1837.2499999999998</v>
      </c>
      <c r="F467" s="75">
        <f>'THAM_SO_MOI'!$E$49+('THAM_SO_MOI'!$F$49-'THAM_SO_MOI'!$E$49)*461/'THAM_SO_MOI'!$C$42</f>
        <v>2.8688157462195925</v>
      </c>
      <c r="G467" s="75">
        <f>3.6*F467</f>
        <v>10.327736686390534</v>
      </c>
      <c r="H467" s="75">
        <f>'THAM_SO_MOI'!$D$49</f>
        <v>3.1625000000000005</v>
      </c>
      <c r="I467" s="75">
        <f>IF(F467&gt;'THAM_SO_MOI'!$C$14,'THAM_SO_MOI'!$C$13*(1+F467^2/1500),'THAM_SO_MOI'!$C$13)</f>
        <v>0.015</v>
      </c>
      <c r="J467" s="75">
        <f>'THAM_SO_MOI'!$C$40*('THAM_SO_MOI'!$C$23*(E467/'THAM_SO_MOI'!$C$22)+'THAM_SO_MOI'!$C$24*(E467/'THAM_SO_MOI'!$C$22)^2-'THAM_SO_MOI'!$C$25*(E467/'THAM_SO_MOI'!$C$22)^3)</f>
        <v>81.72718651905876</v>
      </c>
      <c r="K467" s="75">
        <f>'THAM_SO_MOI'!$C$31*J467/E467</f>
        <v>424.8656407472225</v>
      </c>
      <c r="L467" s="75">
        <f>K467*'THAM_SO_MOI'!$C$49*'THAM_SO_MOI'!$C$17/'THAM_SO_MOI'!$C$26</f>
        <v>24219.476656953728</v>
      </c>
      <c r="M467" s="75">
        <f>'THAM_SO_MOI'!$C$15*'THAM_SO_MOI'!$C$16*F467^2</f>
        <v>24.073053573340623</v>
      </c>
      <c r="N467" s="75">
        <f>'THAM_SO_MOI'!$C$12*I467</f>
        <v>1130.112</v>
      </c>
      <c r="O467" s="75">
        <f>M467+N467</f>
        <v>1154.1850535733406</v>
      </c>
      <c r="P467" s="75">
        <f>(MIN(L467,'THAM_SO_MOI'!$C$41)-O467)/('THAM_SO_MOI'!$C$11*H467)</f>
        <v>0.9496579217465572</v>
      </c>
      <c r="Q467" s="75">
        <f>IF(P467&gt;0,1/P467,NA())</f>
        <v>1.0530107495558574</v>
      </c>
      <c r="R467" s="75">
        <f>F467-F466</f>
        <v>0.0035133136094676054</v>
      </c>
      <c r="S467" s="75">
        <f>0.5*(Q466+Q467)*R467</f>
        <v>0.0036998821823248764</v>
      </c>
      <c r="T467" s="75">
        <f>0.5*(F466*Q466+F467*Q467)*R467</f>
        <v>0.010607780269360188</v>
      </c>
      <c r="U467" s="76">
        <f>U466+S467</f>
        <v>1.869497408122753</v>
      </c>
      <c r="V467" s="76">
        <f>V466+T467</f>
        <v>3.790127495473559</v>
      </c>
    </row>
    <row r="468" spans="1:22" ht="19" customHeight="1">
      <c r="A468" s="68" t="s">
        <v>368</v>
      </c>
      <c r="B468" s="74">
        <v>1</v>
      </c>
      <c r="C468" s="68" t="s">
        <v>363</v>
      </c>
      <c r="D468" s="68" t="s">
        <v>364</v>
      </c>
      <c r="E468" s="75">
        <f>60*F468*'THAM_SO_MOI'!$C$49/(2*PI()*'THAM_SO_MOI'!$C$26)</f>
        <v>1839.5</v>
      </c>
      <c r="F468" s="75">
        <f>'THAM_SO_MOI'!$E$49+('THAM_SO_MOI'!$F$49-'THAM_SO_MOI'!$E$49)*462/'THAM_SO_MOI'!$C$42</f>
        <v>2.8723290598290596</v>
      </c>
      <c r="G468" s="75">
        <f>3.6*F468</f>
        <v>10.340384615384615</v>
      </c>
      <c r="H468" s="75">
        <f>'THAM_SO_MOI'!$D$49</f>
        <v>3.1625000000000005</v>
      </c>
      <c r="I468" s="75">
        <f>IF(F468&gt;'THAM_SO_MOI'!$C$14,'THAM_SO_MOI'!$C$13*(1+F468^2/1500),'THAM_SO_MOI'!$C$13)</f>
        <v>0.015</v>
      </c>
      <c r="J468" s="75">
        <f>'THAM_SO_MOI'!$C$40*('THAM_SO_MOI'!$C$23*(E468/'THAM_SO_MOI'!$C$22)+'THAM_SO_MOI'!$C$24*(E468/'THAM_SO_MOI'!$C$22)^2-'THAM_SO_MOI'!$C$25*(E468/'THAM_SO_MOI'!$C$22)^3)</f>
        <v>81.84107577778273</v>
      </c>
      <c r="K468" s="75">
        <f>'THAM_SO_MOI'!$C$31*J468/E468</f>
        <v>424.93730142805794</v>
      </c>
      <c r="L468" s="75">
        <f>K468*'THAM_SO_MOI'!$C$49*'THAM_SO_MOI'!$C$17/'THAM_SO_MOI'!$C$26</f>
        <v>24223.56167588739</v>
      </c>
      <c r="M468" s="75">
        <f>'THAM_SO_MOI'!$C$15*'THAM_SO_MOI'!$C$16*F468^2</f>
        <v>24.132052116720086</v>
      </c>
      <c r="N468" s="75">
        <f>'THAM_SO_MOI'!$C$12*I468</f>
        <v>1130.112</v>
      </c>
      <c r="O468" s="75">
        <f>M468+N468</f>
        <v>1154.2440521167202</v>
      </c>
      <c r="P468" s="75">
        <f>(MIN(L468,'THAM_SO_MOI'!$C$41)-O468)/('THAM_SO_MOI'!$C$11*H468)</f>
        <v>0.9498236834556433</v>
      </c>
      <c r="Q468" s="75">
        <f>IF(P468&gt;0,1/P468,NA())</f>
        <v>1.052826979805142</v>
      </c>
      <c r="R468" s="75">
        <f>F468-F467</f>
        <v>0.0035133136094671613</v>
      </c>
      <c r="S468" s="75">
        <f>0.5*(Q467+Q468)*R468</f>
        <v>0.003699234176946712</v>
      </c>
      <c r="T468" s="75">
        <f>0.5*(F467*Q467+F468*Q468)*R468</f>
        <v>0.010618918973583016</v>
      </c>
      <c r="U468" s="76">
        <f>U467+S468</f>
        <v>1.8731966422996995</v>
      </c>
      <c r="V468" s="76">
        <f>V467+T468</f>
        <v>3.800746414447142</v>
      </c>
    </row>
    <row r="469" spans="1:22" ht="19" customHeight="1">
      <c r="A469" s="68" t="s">
        <v>368</v>
      </c>
      <c r="B469" s="74">
        <v>1</v>
      </c>
      <c r="C469" s="68" t="s">
        <v>363</v>
      </c>
      <c r="D469" s="68" t="s">
        <v>364</v>
      </c>
      <c r="E469" s="75">
        <f>60*F469*'THAM_SO_MOI'!$C$49/(2*PI()*'THAM_SO_MOI'!$C$26)</f>
        <v>1841.7499999999995</v>
      </c>
      <c r="F469" s="75">
        <f>'THAM_SO_MOI'!$E$49+('THAM_SO_MOI'!$F$49-'THAM_SO_MOI'!$E$49)*463/'THAM_SO_MOI'!$C$42</f>
        <v>2.875842373438527</v>
      </c>
      <c r="G469" s="75">
        <f>3.6*F469</f>
        <v>10.353032544378697</v>
      </c>
      <c r="H469" s="75">
        <f>'THAM_SO_MOI'!$D$49</f>
        <v>3.1625000000000005</v>
      </c>
      <c r="I469" s="75">
        <f>IF(F469&gt;'THAM_SO_MOI'!$C$14,'THAM_SO_MOI'!$C$13*(1+F469^2/1500),'THAM_SO_MOI'!$C$13)</f>
        <v>0.015</v>
      </c>
      <c r="J469" s="75">
        <f>'THAM_SO_MOI'!$C$40*('THAM_SO_MOI'!$C$23*(E469/'THAM_SO_MOI'!$C$22)+'THAM_SO_MOI'!$C$24*(E469/'THAM_SO_MOI'!$C$22)^2-'THAM_SO_MOI'!$C$25*(E469/'THAM_SO_MOI'!$C$22)^3)</f>
        <v>81.95490409268292</v>
      </c>
      <c r="K469" s="75">
        <f>'THAM_SO_MOI'!$C$31*J469/E469</f>
        <v>425.0084709708345</v>
      </c>
      <c r="L469" s="75">
        <f>K469*'THAM_SO_MOI'!$C$49*'THAM_SO_MOI'!$C$17/'THAM_SO_MOI'!$C$26</f>
        <v>24227.618697483515</v>
      </c>
      <c r="M469" s="75">
        <f>'THAM_SO_MOI'!$C$15*'THAM_SO_MOI'!$C$16*F469^2</f>
        <v>24.191122868828785</v>
      </c>
      <c r="N469" s="75">
        <f>'THAM_SO_MOI'!$C$12*I469</f>
        <v>1130.112</v>
      </c>
      <c r="O469" s="75">
        <f>M469+N469</f>
        <v>1154.303122868829</v>
      </c>
      <c r="P469" s="75">
        <f>(MIN(L469,'THAM_SO_MOI'!$C$41)-O469)/('THAM_SO_MOI'!$C$11*H469)</f>
        <v>0.9499882894686545</v>
      </c>
      <c r="Q469" s="75">
        <f>IF(P469&gt;0,1/P469,NA())</f>
        <v>1.0526445547653203</v>
      </c>
      <c r="R469" s="75">
        <f>F469-F468</f>
        <v>0.0035133136094676054</v>
      </c>
      <c r="S469" s="75">
        <f>0.5*(Q468+Q469)*R469</f>
        <v>0.0036985908983765245</v>
      </c>
      <c r="T469" s="75">
        <f>0.5*(F468*Q468+F469*Q469)*R469</f>
        <v>0.010630066709760662</v>
      </c>
      <c r="U469" s="76">
        <f>U468+S469</f>
        <v>1.876895233198076</v>
      </c>
      <c r="V469" s="76">
        <f>V468+T469</f>
        <v>3.811376481156903</v>
      </c>
    </row>
    <row r="470" spans="1:22" ht="19" customHeight="1">
      <c r="A470" s="68" t="s">
        <v>368</v>
      </c>
      <c r="B470" s="74">
        <v>1</v>
      </c>
      <c r="C470" s="68" t="s">
        <v>363</v>
      </c>
      <c r="D470" s="68" t="s">
        <v>364</v>
      </c>
      <c r="E470" s="75">
        <f>60*F470*'THAM_SO_MOI'!$C$49/(2*PI()*'THAM_SO_MOI'!$C$26)</f>
        <v>1843.9999999999998</v>
      </c>
      <c r="F470" s="75">
        <f>'THAM_SO_MOI'!$E$49+('THAM_SO_MOI'!$F$49-'THAM_SO_MOI'!$E$49)*464/'THAM_SO_MOI'!$C$42</f>
        <v>2.879355687047995</v>
      </c>
      <c r="G470" s="75">
        <f>3.6*F470</f>
        <v>10.365680473372782</v>
      </c>
      <c r="H470" s="75">
        <f>'THAM_SO_MOI'!$D$49</f>
        <v>3.1625000000000005</v>
      </c>
      <c r="I470" s="75">
        <f>IF(F470&gt;'THAM_SO_MOI'!$C$14,'THAM_SO_MOI'!$C$13*(1+F470^2/1500),'THAM_SO_MOI'!$C$13)</f>
        <v>0.015</v>
      </c>
      <c r="J470" s="75">
        <f>'THAM_SO_MOI'!$C$40*('THAM_SO_MOI'!$C$23*(E470/'THAM_SO_MOI'!$C$22)+'THAM_SO_MOI'!$C$24*(E470/'THAM_SO_MOI'!$C$22)^2-'THAM_SO_MOI'!$C$25*(E470/'THAM_SO_MOI'!$C$22)^3)</f>
        <v>82.06867111665987</v>
      </c>
      <c r="K470" s="75">
        <f>'THAM_SO_MOI'!$C$31*J470/E470</f>
        <v>425.07914937555233</v>
      </c>
      <c r="L470" s="75">
        <f>K470*'THAM_SO_MOI'!$C$49*'THAM_SO_MOI'!$C$17/'THAM_SO_MOI'!$C$26</f>
        <v>24231.647721742112</v>
      </c>
      <c r="M470" s="75">
        <f>'THAM_SO_MOI'!$C$15*'THAM_SO_MOI'!$C$16*F470^2</f>
        <v>24.250265829666724</v>
      </c>
      <c r="N470" s="75">
        <f>'THAM_SO_MOI'!$C$12*I470</f>
        <v>1130.112</v>
      </c>
      <c r="O470" s="75">
        <f>M470+N470</f>
        <v>1154.3622658296667</v>
      </c>
      <c r="P470" s="75">
        <f>(MIN(L470,'THAM_SO_MOI'!$C$41)-O470)/('THAM_SO_MOI'!$C$11*H470)</f>
        <v>0.9501517397855913</v>
      </c>
      <c r="Q470" s="75">
        <f>IF(P470&gt;0,1/P470,NA())</f>
        <v>1.0524634730718456</v>
      </c>
      <c r="R470" s="75">
        <f>F470-F469</f>
        <v>0.0035133136094676054</v>
      </c>
      <c r="S470" s="75">
        <f>0.5*(Q469+Q470)*R470</f>
        <v>0.0036979523417999126</v>
      </c>
      <c r="T470" s="75">
        <f>0.5*(F469*Q469+F470*Q470)*R470</f>
        <v>0.010641223513859524</v>
      </c>
      <c r="U470" s="76">
        <f>U469+S470</f>
        <v>1.8805931855398759</v>
      </c>
      <c r="V470" s="76">
        <f>V469+T470</f>
        <v>3.8220177046707624</v>
      </c>
    </row>
    <row r="471" spans="1:22" ht="19" customHeight="1">
      <c r="A471" s="68" t="s">
        <v>368</v>
      </c>
      <c r="B471" s="74">
        <v>1</v>
      </c>
      <c r="C471" s="68" t="s">
        <v>363</v>
      </c>
      <c r="D471" s="68" t="s">
        <v>364</v>
      </c>
      <c r="E471" s="75">
        <f>60*F471*'THAM_SO_MOI'!$C$49/(2*PI()*'THAM_SO_MOI'!$C$26)</f>
        <v>1846.2499999999995</v>
      </c>
      <c r="F471" s="75">
        <f>'THAM_SO_MOI'!$E$49+('THAM_SO_MOI'!$F$49-'THAM_SO_MOI'!$E$49)*465/'THAM_SO_MOI'!$C$42</f>
        <v>2.882869000657462</v>
      </c>
      <c r="G471" s="75">
        <f>3.6*F471</f>
        <v>10.378328402366863</v>
      </c>
      <c r="H471" s="75">
        <f>'THAM_SO_MOI'!$D$49</f>
        <v>3.1625000000000005</v>
      </c>
      <c r="I471" s="75">
        <f>IF(F471&gt;'THAM_SO_MOI'!$C$14,'THAM_SO_MOI'!$C$13*(1+F471^2/1500),'THAM_SO_MOI'!$C$13)</f>
        <v>0.015</v>
      </c>
      <c r="J471" s="75">
        <f>'THAM_SO_MOI'!$C$40*('THAM_SO_MOI'!$C$23*(E471/'THAM_SO_MOI'!$C$22)+'THAM_SO_MOI'!$C$24*(E471/'THAM_SO_MOI'!$C$22)^2-'THAM_SO_MOI'!$C$25*(E471/'THAM_SO_MOI'!$C$22)^3)</f>
        <v>82.18237650261395</v>
      </c>
      <c r="K471" s="75">
        <f>'THAM_SO_MOI'!$C$31*J471/E471</f>
        <v>425.1493366422113</v>
      </c>
      <c r="L471" s="75">
        <f>K471*'THAM_SO_MOI'!$C$49*'THAM_SO_MOI'!$C$17/'THAM_SO_MOI'!$C$26</f>
        <v>24235.64874866317</v>
      </c>
      <c r="M471" s="75">
        <f>'THAM_SO_MOI'!$C$15*'THAM_SO_MOI'!$C$16*F471^2</f>
        <v>24.30948099923388</v>
      </c>
      <c r="N471" s="75">
        <f>'THAM_SO_MOI'!$C$12*I471</f>
        <v>1130.112</v>
      </c>
      <c r="O471" s="75">
        <f>M471+N471</f>
        <v>1154.421480999234</v>
      </c>
      <c r="P471" s="75">
        <f>(MIN(L471,'THAM_SO_MOI'!$C$41)-O471)/('THAM_SO_MOI'!$C$11*H471)</f>
        <v>0.9503140344064531</v>
      </c>
      <c r="Q471" s="75">
        <f>IF(P471&gt;0,1/P471,NA())</f>
        <v>1.0522837333709165</v>
      </c>
      <c r="R471" s="75">
        <f>F471-F470</f>
        <v>0.0035133136094671613</v>
      </c>
      <c r="S471" s="75">
        <f>0.5*(Q470+Q471)*R471</f>
        <v>0.0036973185024416727</v>
      </c>
      <c r="T471" s="75">
        <f>0.5*(F470*Q470+F471*Q471)*R471</f>
        <v>0.010652389421891265</v>
      </c>
      <c r="U471" s="76">
        <f>U470+S471</f>
        <v>1.8842905040423175</v>
      </c>
      <c r="V471" s="76">
        <f>V470+T471</f>
        <v>3.8326700940926535</v>
      </c>
    </row>
    <row r="472" spans="1:22" ht="19" customHeight="1">
      <c r="A472" s="68" t="s">
        <v>368</v>
      </c>
      <c r="B472" s="74">
        <v>1</v>
      </c>
      <c r="C472" s="68" t="s">
        <v>363</v>
      </c>
      <c r="D472" s="68" t="s">
        <v>364</v>
      </c>
      <c r="E472" s="75">
        <f>60*F472*'THAM_SO_MOI'!$C$49/(2*PI()*'THAM_SO_MOI'!$C$26)</f>
        <v>1848.4999999999998</v>
      </c>
      <c r="F472" s="75">
        <f>'THAM_SO_MOI'!$E$49+('THAM_SO_MOI'!$F$49-'THAM_SO_MOI'!$E$49)*466/'THAM_SO_MOI'!$C$42</f>
        <v>2.8863823142669296</v>
      </c>
      <c r="G472" s="75">
        <f>3.6*F472</f>
        <v>10.390976331360946</v>
      </c>
      <c r="H472" s="75">
        <f>'THAM_SO_MOI'!$D$49</f>
        <v>3.1625000000000005</v>
      </c>
      <c r="I472" s="75">
        <f>IF(F472&gt;'THAM_SO_MOI'!$C$14,'THAM_SO_MOI'!$C$13*(1+F472^2/1500),'THAM_SO_MOI'!$C$13)</f>
        <v>0.015</v>
      </c>
      <c r="J472" s="75">
        <f>'THAM_SO_MOI'!$C$40*('THAM_SO_MOI'!$C$23*(E472/'THAM_SO_MOI'!$C$22)+'THAM_SO_MOI'!$C$24*(E472/'THAM_SO_MOI'!$C$22)^2-'THAM_SO_MOI'!$C$25*(E472/'THAM_SO_MOI'!$C$22)^3)</f>
        <v>82.29601990344568</v>
      </c>
      <c r="K472" s="75">
        <f>'THAM_SO_MOI'!$C$31*J472/E472</f>
        <v>425.2190327708116</v>
      </c>
      <c r="L472" s="75">
        <f>K472*'THAM_SO_MOI'!$C$49*'THAM_SO_MOI'!$C$17/'THAM_SO_MOI'!$C$26</f>
        <v>24239.621778246703</v>
      </c>
      <c r="M472" s="75">
        <f>'THAM_SO_MOI'!$C$15*'THAM_SO_MOI'!$C$16*F472^2</f>
        <v>24.368768377530284</v>
      </c>
      <c r="N472" s="75">
        <f>'THAM_SO_MOI'!$C$12*I472</f>
        <v>1130.112</v>
      </c>
      <c r="O472" s="75">
        <f>M472+N472</f>
        <v>1154.4807683775305</v>
      </c>
      <c r="P472" s="75">
        <f>(MIN(L472,'THAM_SO_MOI'!$C$41)-O472)/('THAM_SO_MOI'!$C$11*H472)</f>
        <v>0.9504751733312404</v>
      </c>
      <c r="Q472" s="75">
        <f>IF(P472&gt;0,1/P472,NA())</f>
        <v>1.052105334319448</v>
      </c>
      <c r="R472" s="75">
        <f>F472-F471</f>
        <v>0.0035133136094676054</v>
      </c>
      <c r="S472" s="75">
        <f>0.5*(Q471+Q472)*R472</f>
        <v>0.003696689375565702</v>
      </c>
      <c r="T472" s="75">
        <f>0.5*(F471*Q471+F472*Q472)*R472</f>
        <v>0.010663564469913239</v>
      </c>
      <c r="U472" s="76">
        <f>U471+S472</f>
        <v>1.8879871934178831</v>
      </c>
      <c r="V472" s="76">
        <f>V471+T472</f>
        <v>3.8433336585625666</v>
      </c>
    </row>
    <row r="473" spans="1:22" ht="19" customHeight="1">
      <c r="A473" s="68" t="s">
        <v>368</v>
      </c>
      <c r="B473" s="74">
        <v>1</v>
      </c>
      <c r="C473" s="68" t="s">
        <v>363</v>
      </c>
      <c r="D473" s="68" t="s">
        <v>364</v>
      </c>
      <c r="E473" s="75">
        <f>60*F473*'THAM_SO_MOI'!$C$49/(2*PI()*'THAM_SO_MOI'!$C$26)</f>
        <v>1850.7499999999995</v>
      </c>
      <c r="F473" s="75">
        <f>'THAM_SO_MOI'!$E$49+('THAM_SO_MOI'!$F$49-'THAM_SO_MOI'!$E$49)*467/'THAM_SO_MOI'!$C$42</f>
        <v>2.889895627876397</v>
      </c>
      <c r="G473" s="75">
        <f>3.6*F473</f>
        <v>10.40362426035503</v>
      </c>
      <c r="H473" s="75">
        <f>'THAM_SO_MOI'!$D$49</f>
        <v>3.1625000000000005</v>
      </c>
      <c r="I473" s="75">
        <f>IF(F473&gt;'THAM_SO_MOI'!$C$14,'THAM_SO_MOI'!$C$13*(1+F473^2/1500),'THAM_SO_MOI'!$C$13)</f>
        <v>0.015</v>
      </c>
      <c r="J473" s="75">
        <f>'THAM_SO_MOI'!$C$40*('THAM_SO_MOI'!$C$23*(E473/'THAM_SO_MOI'!$C$22)+'THAM_SO_MOI'!$C$24*(E473/'THAM_SO_MOI'!$C$22)^2-'THAM_SO_MOI'!$C$25*(E473/'THAM_SO_MOI'!$C$22)^3)</f>
        <v>82.40960097205547</v>
      </c>
      <c r="K473" s="75">
        <f>'THAM_SO_MOI'!$C$31*J473/E473</f>
        <v>425.2882377613531</v>
      </c>
      <c r="L473" s="75">
        <f>K473*'THAM_SO_MOI'!$C$49*'THAM_SO_MOI'!$C$17/'THAM_SO_MOI'!$C$26</f>
        <v>24243.5668104927</v>
      </c>
      <c r="M473" s="75">
        <f>'THAM_SO_MOI'!$C$15*'THAM_SO_MOI'!$C$16*F473^2</f>
        <v>24.428127964555916</v>
      </c>
      <c r="N473" s="75">
        <f>'THAM_SO_MOI'!$C$12*I473</f>
        <v>1130.112</v>
      </c>
      <c r="O473" s="75">
        <f>M473+N473</f>
        <v>1154.540127964556</v>
      </c>
      <c r="P473" s="75">
        <f>(MIN(L473,'THAM_SO_MOI'!$C$41)-O473)/('THAM_SO_MOI'!$C$11*H473)</f>
        <v>0.950635156559953</v>
      </c>
      <c r="Q473" s="75">
        <f>IF(P473&gt;0,1/P473,NA())</f>
        <v>1.0519282745850498</v>
      </c>
      <c r="R473" s="75">
        <f>F473-F472</f>
        <v>0.0035133136094676054</v>
      </c>
      <c r="S473" s="75">
        <f>0.5*(Q472+Q473)*R473</f>
        <v>0.0036960649564707067</v>
      </c>
      <c r="T473" s="75">
        <f>0.5*(F472*Q472+F473*Q473)*R473</f>
        <v>0.010674748694016774</v>
      </c>
      <c r="U473" s="76">
        <f>U472+S473</f>
        <v>1.891683258374354</v>
      </c>
      <c r="V473" s="76">
        <f>V472+T473</f>
        <v>3.8540084072565834</v>
      </c>
    </row>
    <row r="474" spans="1:22" ht="19" customHeight="1">
      <c r="A474" s="68" t="s">
        <v>368</v>
      </c>
      <c r="B474" s="74">
        <v>1</v>
      </c>
      <c r="C474" s="68" t="s">
        <v>363</v>
      </c>
      <c r="D474" s="68" t="s">
        <v>364</v>
      </c>
      <c r="E474" s="75">
        <f>60*F474*'THAM_SO_MOI'!$C$49/(2*PI()*'THAM_SO_MOI'!$C$26)</f>
        <v>1852.9999999999995</v>
      </c>
      <c r="F474" s="75">
        <f>'THAM_SO_MOI'!$E$49+('THAM_SO_MOI'!$F$49-'THAM_SO_MOI'!$E$49)*468/'THAM_SO_MOI'!$C$42</f>
        <v>2.8934089414858644</v>
      </c>
      <c r="G474" s="75">
        <f>3.6*F474</f>
        <v>10.416272189349112</v>
      </c>
      <c r="H474" s="75">
        <f>'THAM_SO_MOI'!$D$49</f>
        <v>3.1625000000000005</v>
      </c>
      <c r="I474" s="75">
        <f>IF(F474&gt;'THAM_SO_MOI'!$C$14,'THAM_SO_MOI'!$C$13*(1+F474^2/1500),'THAM_SO_MOI'!$C$13)</f>
        <v>0.015</v>
      </c>
      <c r="J474" s="75">
        <f>'THAM_SO_MOI'!$C$40*('THAM_SO_MOI'!$C$23*(E474/'THAM_SO_MOI'!$C$22)+'THAM_SO_MOI'!$C$24*(E474/'THAM_SO_MOI'!$C$22)^2-'THAM_SO_MOI'!$C$25*(E474/'THAM_SO_MOI'!$C$22)^3)</f>
        <v>82.52311936134379</v>
      </c>
      <c r="K474" s="75">
        <f>'THAM_SO_MOI'!$C$31*J474/E474</f>
        <v>425.3569516138357</v>
      </c>
      <c r="L474" s="75">
        <f>K474*'THAM_SO_MOI'!$C$49*'THAM_SO_MOI'!$C$17/'THAM_SO_MOI'!$C$26</f>
        <v>24247.483845401155</v>
      </c>
      <c r="M474" s="75">
        <f>'THAM_SO_MOI'!$C$15*'THAM_SO_MOI'!$C$16*F474^2</f>
        <v>24.487559760310777</v>
      </c>
      <c r="N474" s="75">
        <f>'THAM_SO_MOI'!$C$12*I474</f>
        <v>1130.112</v>
      </c>
      <c r="O474" s="75">
        <f>M474+N474</f>
        <v>1154.599559760311</v>
      </c>
      <c r="P474" s="75">
        <f>(MIN(L474,'THAM_SO_MOI'!$C$41)-O474)/('THAM_SO_MOI'!$C$11*H474)</f>
        <v>0.9507939840925906</v>
      </c>
      <c r="Q474" s="75">
        <f>IF(P474&gt;0,1/P474,NA())</f>
        <v>1.0517525528459986</v>
      </c>
      <c r="R474" s="75">
        <f>F474-F473</f>
        <v>0.0035133136094671613</v>
      </c>
      <c r="S474" s="75">
        <f>0.5*(Q473+Q474)*R474</f>
        <v>0.0036954452404943205</v>
      </c>
      <c r="T474" s="75">
        <f>0.5*(F473*Q473+F474*Q474)*R474</f>
        <v>0.010685942130339693</v>
      </c>
      <c r="U474" s="76">
        <f>U473+S474</f>
        <v>1.8953787036148482</v>
      </c>
      <c r="V474" s="76">
        <f>V473+T474</f>
        <v>3.864694349386923</v>
      </c>
    </row>
    <row r="475" spans="1:22" ht="19" customHeight="1">
      <c r="A475" s="68" t="s">
        <v>368</v>
      </c>
      <c r="B475" s="74">
        <v>1</v>
      </c>
      <c r="C475" s="68" t="s">
        <v>363</v>
      </c>
      <c r="D475" s="68" t="s">
        <v>364</v>
      </c>
      <c r="E475" s="75">
        <f>60*F475*'THAM_SO_MOI'!$C$49/(2*PI()*'THAM_SO_MOI'!$C$26)</f>
        <v>1855.2499999999998</v>
      </c>
      <c r="F475" s="75">
        <f>'THAM_SO_MOI'!$E$49+('THAM_SO_MOI'!$F$49-'THAM_SO_MOI'!$E$49)*469/'THAM_SO_MOI'!$C$42</f>
        <v>2.896922255095332</v>
      </c>
      <c r="G475" s="75">
        <f>3.6*F475</f>
        <v>10.428920118343195</v>
      </c>
      <c r="H475" s="75">
        <f>'THAM_SO_MOI'!$D$49</f>
        <v>3.1625000000000005</v>
      </c>
      <c r="I475" s="75">
        <f>IF(F475&gt;'THAM_SO_MOI'!$C$14,'THAM_SO_MOI'!$C$13*(1+F475^2/1500),'THAM_SO_MOI'!$C$13)</f>
        <v>0.015</v>
      </c>
      <c r="J475" s="75">
        <f>'THAM_SO_MOI'!$C$40*('THAM_SO_MOI'!$C$23*(E475/'THAM_SO_MOI'!$C$22)+'THAM_SO_MOI'!$C$24*(E475/'THAM_SO_MOI'!$C$22)^2-'THAM_SO_MOI'!$C$25*(E475/'THAM_SO_MOI'!$C$22)^3)</f>
        <v>82.63657472421114</v>
      </c>
      <c r="K475" s="75">
        <f>'THAM_SO_MOI'!$C$31*J475/E475</f>
        <v>425.42517432825974</v>
      </c>
      <c r="L475" s="75">
        <f>K475*'THAM_SO_MOI'!$C$49*'THAM_SO_MOI'!$C$17/'THAM_SO_MOI'!$C$26</f>
        <v>24251.372882972097</v>
      </c>
      <c r="M475" s="75">
        <f>'THAM_SO_MOI'!$C$15*'THAM_SO_MOI'!$C$16*F475^2</f>
        <v>24.547063764794874</v>
      </c>
      <c r="N475" s="75">
        <f>'THAM_SO_MOI'!$C$12*I475</f>
        <v>1130.112</v>
      </c>
      <c r="O475" s="75">
        <f>M475+N475</f>
        <v>1154.659063764795</v>
      </c>
      <c r="P475" s="75">
        <f>(MIN(L475,'THAM_SO_MOI'!$C$41)-O475)/('THAM_SO_MOI'!$C$11*H475)</f>
        <v>0.9509516559291542</v>
      </c>
      <c r="Q475" s="75">
        <f>IF(P475&gt;0,1/P475,NA())</f>
        <v>1.051578167791213</v>
      </c>
      <c r="R475" s="75">
        <f>F475-F474</f>
        <v>0.0035133136094676054</v>
      </c>
      <c r="S475" s="75">
        <f>0.5*(Q474+Q475)*R475</f>
        <v>0.0036948302230130113</v>
      </c>
      <c r="T475" s="75">
        <f>0.5*(F474*Q474+F475*Q475)*R475</f>
        <v>0.010697144815066725</v>
      </c>
      <c r="U475" s="76">
        <f>U474+S475</f>
        <v>1.8990735338378613</v>
      </c>
      <c r="V475" s="76">
        <f>V474+T475</f>
        <v>3.8753914942019896</v>
      </c>
    </row>
    <row r="476" spans="1:22" ht="19" customHeight="1">
      <c r="A476" s="68" t="s">
        <v>368</v>
      </c>
      <c r="B476" s="74">
        <v>1</v>
      </c>
      <c r="C476" s="68" t="s">
        <v>363</v>
      </c>
      <c r="D476" s="68" t="s">
        <v>364</v>
      </c>
      <c r="E476" s="75">
        <f>60*F476*'THAM_SO_MOI'!$C$49/(2*PI()*'THAM_SO_MOI'!$C$26)</f>
        <v>1857.5</v>
      </c>
      <c r="F476" s="75">
        <f>'THAM_SO_MOI'!$E$49+('THAM_SO_MOI'!$F$49-'THAM_SO_MOI'!$E$49)*470/'THAM_SO_MOI'!$C$42</f>
        <v>2.9004355687047996</v>
      </c>
      <c r="G476" s="75">
        <f>3.6*F476</f>
        <v>10.44156804733728</v>
      </c>
      <c r="H476" s="75">
        <f>'THAM_SO_MOI'!$D$49</f>
        <v>3.1625000000000005</v>
      </c>
      <c r="I476" s="75">
        <f>IF(F476&gt;'THAM_SO_MOI'!$C$14,'THAM_SO_MOI'!$C$13*(1+F476^2/1500),'THAM_SO_MOI'!$C$13)</f>
        <v>0.015</v>
      </c>
      <c r="J476" s="75">
        <f>'THAM_SO_MOI'!$C$40*('THAM_SO_MOI'!$C$23*(E476/'THAM_SO_MOI'!$C$22)+'THAM_SO_MOI'!$C$24*(E476/'THAM_SO_MOI'!$C$22)^2-'THAM_SO_MOI'!$C$25*(E476/'THAM_SO_MOI'!$C$22)^3)</f>
        <v>82.74996671355792</v>
      </c>
      <c r="K476" s="75">
        <f>'THAM_SO_MOI'!$C$31*J476/E476</f>
        <v>425.49290590462493</v>
      </c>
      <c r="L476" s="75">
        <f>K476*'THAM_SO_MOI'!$C$49*'THAM_SO_MOI'!$C$17/'THAM_SO_MOI'!$C$26</f>
        <v>24255.233923205502</v>
      </c>
      <c r="M476" s="75">
        <f>'THAM_SO_MOI'!$C$15*'THAM_SO_MOI'!$C$16*F476^2</f>
        <v>24.60663997800821</v>
      </c>
      <c r="N476" s="75">
        <f>'THAM_SO_MOI'!$C$12*I476</f>
        <v>1130.112</v>
      </c>
      <c r="O476" s="75">
        <f>M476+N476</f>
        <v>1154.7186399780082</v>
      </c>
      <c r="P476" s="75">
        <f>(MIN(L476,'THAM_SO_MOI'!$C$41)-O476)/('THAM_SO_MOI'!$C$11*H476)</f>
        <v>0.951108172069643</v>
      </c>
      <c r="Q476" s="75">
        <f>IF(P476&gt;0,1/P476,NA())</f>
        <v>1.0514051181202309</v>
      </c>
      <c r="R476" s="75">
        <f>F476-F475</f>
        <v>0.0035133136094676054</v>
      </c>
      <c r="S476" s="75">
        <f>0.5*(Q475+Q476)*R476</f>
        <v>0.00369421989943779</v>
      </c>
      <c r="T476" s="75">
        <f>0.5*(F475*Q475+F476*Q476)*R476</f>
        <v>0.010708356784417766</v>
      </c>
      <c r="U476" s="76">
        <f>U475+S476</f>
        <v>1.9027677537372991</v>
      </c>
      <c r="V476" s="76">
        <f>V475+T476</f>
        <v>3.8860998509864073</v>
      </c>
    </row>
    <row r="477" spans="1:22" ht="19" customHeight="1">
      <c r="A477" s="68" t="s">
        <v>368</v>
      </c>
      <c r="B477" s="74">
        <v>1</v>
      </c>
      <c r="C477" s="68" t="s">
        <v>363</v>
      </c>
      <c r="D477" s="68" t="s">
        <v>364</v>
      </c>
      <c r="E477" s="75">
        <f>60*F477*'THAM_SO_MOI'!$C$49/(2*PI()*'THAM_SO_MOI'!$C$26)</f>
        <v>1859.7499999999998</v>
      </c>
      <c r="F477" s="75">
        <f>'THAM_SO_MOI'!$E$49+('THAM_SO_MOI'!$F$49-'THAM_SO_MOI'!$E$49)*471/'THAM_SO_MOI'!$C$42</f>
        <v>2.903948882314267</v>
      </c>
      <c r="G477" s="75">
        <f>3.6*F477</f>
        <v>10.454215976331362</v>
      </c>
      <c r="H477" s="75">
        <f>'THAM_SO_MOI'!$D$49</f>
        <v>3.1625000000000005</v>
      </c>
      <c r="I477" s="75">
        <f>IF(F477&gt;'THAM_SO_MOI'!$C$14,'THAM_SO_MOI'!$C$13*(1+F477^2/1500),'THAM_SO_MOI'!$C$13)</f>
        <v>0.015</v>
      </c>
      <c r="J477" s="75">
        <f>'THAM_SO_MOI'!$C$40*('THAM_SO_MOI'!$C$23*(E477/'THAM_SO_MOI'!$C$22)+'THAM_SO_MOI'!$C$24*(E477/'THAM_SO_MOI'!$C$22)^2-'THAM_SO_MOI'!$C$25*(E477/'THAM_SO_MOI'!$C$22)^3)</f>
        <v>82.86329498228456</v>
      </c>
      <c r="K477" s="75">
        <f>'THAM_SO_MOI'!$C$31*J477/E477</f>
        <v>425.56014634293115</v>
      </c>
      <c r="L477" s="75">
        <f>K477*'THAM_SO_MOI'!$C$49*'THAM_SO_MOI'!$C$17/'THAM_SO_MOI'!$C$26</f>
        <v>24259.06696610136</v>
      </c>
      <c r="M477" s="75">
        <f>'THAM_SO_MOI'!$C$15*'THAM_SO_MOI'!$C$16*F477^2</f>
        <v>24.666288399950776</v>
      </c>
      <c r="N477" s="75">
        <f>'THAM_SO_MOI'!$C$12*I477</f>
        <v>1130.112</v>
      </c>
      <c r="O477" s="75">
        <f>M477+N477</f>
        <v>1154.778288399951</v>
      </c>
      <c r="P477" s="75">
        <f>(MIN(L477,'THAM_SO_MOI'!$C$41)-O477)/('THAM_SO_MOI'!$C$11*H477)</f>
        <v>0.9512635325140565</v>
      </c>
      <c r="Q477" s="75">
        <f>IF(P477&gt;0,1/P477,NA())</f>
        <v>1.0512334025431835</v>
      </c>
      <c r="R477" s="75">
        <f>F477-F476</f>
        <v>0.0035133136094676054</v>
      </c>
      <c r="S477" s="75">
        <f>0.5*(Q476+Q477)*R477</f>
        <v>0.003693614265218803</v>
      </c>
      <c r="T477" s="75">
        <f>0.5*(F476*Q476+F477*Q477)*R477</f>
        <v>0.010719578074661786</v>
      </c>
      <c r="U477" s="76">
        <f>U476+S477</f>
        <v>1.906461368002518</v>
      </c>
      <c r="V477" s="76">
        <f>V476+T477</f>
        <v>3.896819429061069</v>
      </c>
    </row>
    <row r="478" spans="1:22" ht="19" customHeight="1">
      <c r="A478" s="68" t="s">
        <v>368</v>
      </c>
      <c r="B478" s="74">
        <v>1</v>
      </c>
      <c r="C478" s="68" t="s">
        <v>363</v>
      </c>
      <c r="D478" s="68" t="s">
        <v>364</v>
      </c>
      <c r="E478" s="75">
        <f>60*F478*'THAM_SO_MOI'!$C$49/(2*PI()*'THAM_SO_MOI'!$C$26)</f>
        <v>1862.0</v>
      </c>
      <c r="F478" s="75">
        <f>'THAM_SO_MOI'!$E$49+('THAM_SO_MOI'!$F$49-'THAM_SO_MOI'!$E$49)*472/'THAM_SO_MOI'!$C$42</f>
        <v>2.907462195923735</v>
      </c>
      <c r="G478" s="75">
        <f>3.6*F478</f>
        <v>10.466863905325445</v>
      </c>
      <c r="H478" s="75">
        <f>'THAM_SO_MOI'!$D$49</f>
        <v>3.1625000000000005</v>
      </c>
      <c r="I478" s="75">
        <f>IF(F478&gt;'THAM_SO_MOI'!$C$14,'THAM_SO_MOI'!$C$13*(1+F478^2/1500),'THAM_SO_MOI'!$C$13)</f>
        <v>0.015</v>
      </c>
      <c r="J478" s="75">
        <f>'THAM_SO_MOI'!$C$40*('THAM_SO_MOI'!$C$23*(E478/'THAM_SO_MOI'!$C$22)+'THAM_SO_MOI'!$C$24*(E478/'THAM_SO_MOI'!$C$22)^2-'THAM_SO_MOI'!$C$25*(E478/'THAM_SO_MOI'!$C$22)^3)</f>
        <v>82.97655918329163</v>
      </c>
      <c r="K478" s="75">
        <f>'THAM_SO_MOI'!$C$31*J478/E478</f>
        <v>425.62689564317895</v>
      </c>
      <c r="L478" s="75">
        <f>K478*'THAM_SO_MOI'!$C$49*'THAM_SO_MOI'!$C$17/'THAM_SO_MOI'!$C$26</f>
        <v>24262.87201165971</v>
      </c>
      <c r="M478" s="75">
        <f>'THAM_SO_MOI'!$C$15*'THAM_SO_MOI'!$C$16*F478^2</f>
        <v>24.726009030622578</v>
      </c>
      <c r="N478" s="75">
        <f>'THAM_SO_MOI'!$C$12*I478</f>
        <v>1130.112</v>
      </c>
      <c r="O478" s="75">
        <f>M478+N478</f>
        <v>1154.8380090306227</v>
      </c>
      <c r="P478" s="75">
        <f>(MIN(L478,'THAM_SO_MOI'!$C$41)-O478)/('THAM_SO_MOI'!$C$11*H478)</f>
        <v>0.9514177372623964</v>
      </c>
      <c r="Q478" s="75">
        <f>IF(P478&gt;0,1/P478,NA())</f>
        <v>1.0510630197807682</v>
      </c>
      <c r="R478" s="75">
        <f>F478-F477</f>
        <v>0.0035133136094676054</v>
      </c>
      <c r="S478" s="75">
        <f>0.5*(Q477+Q478)*R478</f>
        <v>0.003693013315842898</v>
      </c>
      <c r="T478" s="75">
        <f>0.5*(F477*Q477+F478*Q478)*R478</f>
        <v>0.01073080872211046</v>
      </c>
      <c r="U478" s="76">
        <f>U477+S478</f>
        <v>1.9101543813183608</v>
      </c>
      <c r="V478" s="76">
        <f>V477+T478</f>
        <v>3.9075502377831794</v>
      </c>
    </row>
    <row r="479" spans="1:22" ht="19" customHeight="1">
      <c r="A479" s="68" t="s">
        <v>368</v>
      </c>
      <c r="B479" s="74">
        <v>1</v>
      </c>
      <c r="C479" s="68" t="s">
        <v>363</v>
      </c>
      <c r="D479" s="68" t="s">
        <v>364</v>
      </c>
      <c r="E479" s="75">
        <f>60*F479*'THAM_SO_MOI'!$C$49/(2*PI()*'THAM_SO_MOI'!$C$26)</f>
        <v>1864.25</v>
      </c>
      <c r="F479" s="75">
        <f>'THAM_SO_MOI'!$E$49+('THAM_SO_MOI'!$F$49-'THAM_SO_MOI'!$E$49)*473/'THAM_SO_MOI'!$C$42</f>
        <v>2.910975509533202</v>
      </c>
      <c r="G479" s="75">
        <f>3.6*F479</f>
        <v>10.479511834319528</v>
      </c>
      <c r="H479" s="75">
        <f>'THAM_SO_MOI'!$D$49</f>
        <v>3.1625000000000005</v>
      </c>
      <c r="I479" s="75">
        <f>IF(F479&gt;'THAM_SO_MOI'!$C$14,'THAM_SO_MOI'!$C$13*(1+F479^2/1500),'THAM_SO_MOI'!$C$13)</f>
        <v>0.015</v>
      </c>
      <c r="J479" s="75">
        <f>'THAM_SO_MOI'!$C$40*('THAM_SO_MOI'!$C$23*(E479/'THAM_SO_MOI'!$C$22)+'THAM_SO_MOI'!$C$24*(E479/'THAM_SO_MOI'!$C$22)^2-'THAM_SO_MOI'!$C$25*(E479/'THAM_SO_MOI'!$C$22)^3)</f>
        <v>83.08975896947945</v>
      </c>
      <c r="K479" s="75">
        <f>'THAM_SO_MOI'!$C$31*J479/E479</f>
        <v>425.6931538053677</v>
      </c>
      <c r="L479" s="75">
        <f>K479*'THAM_SO_MOI'!$C$49*'THAM_SO_MOI'!$C$17/'THAM_SO_MOI'!$C$26</f>
        <v>24266.649059880507</v>
      </c>
      <c r="M479" s="75">
        <f>'THAM_SO_MOI'!$C$15*'THAM_SO_MOI'!$C$16*F479^2</f>
        <v>24.785801870023597</v>
      </c>
      <c r="N479" s="75">
        <f>'THAM_SO_MOI'!$C$12*I479</f>
        <v>1130.112</v>
      </c>
      <c r="O479" s="75">
        <f>M479+N479</f>
        <v>1154.8978018700236</v>
      </c>
      <c r="P479" s="75">
        <f>(MIN(L479,'THAM_SO_MOI'!$C$41)-O479)/('THAM_SO_MOI'!$C$11*H479)</f>
        <v>0.9515707863146606</v>
      </c>
      <c r="Q479" s="75">
        <f>IF(P479&gt;0,1/P479,NA())</f>
        <v>1.0508939685642316</v>
      </c>
      <c r="R479" s="75">
        <f>F479-F478</f>
        <v>0.0035133136094671613</v>
      </c>
      <c r="S479" s="75">
        <f>0.5*(Q478+Q479)*R479</f>
        <v>0.003692417046833548</v>
      </c>
      <c r="T479" s="75">
        <f>0.5*(F478*Q478+F479*Q479)*R479</f>
        <v>0.010742048763118597</v>
      </c>
      <c r="U479" s="76">
        <f>U478+S479</f>
        <v>1.9138467983651943</v>
      </c>
      <c r="V479" s="76">
        <f>V478+T479</f>
        <v>3.918292286546298</v>
      </c>
    </row>
    <row r="480" spans="1:22" ht="19" customHeight="1">
      <c r="A480" s="68" t="s">
        <v>368</v>
      </c>
      <c r="B480" s="74">
        <v>1</v>
      </c>
      <c r="C480" s="68" t="s">
        <v>363</v>
      </c>
      <c r="D480" s="68" t="s">
        <v>364</v>
      </c>
      <c r="E480" s="75">
        <f>60*F480*'THAM_SO_MOI'!$C$49/(2*PI()*'THAM_SO_MOI'!$C$26)</f>
        <v>1866.4999999999998</v>
      </c>
      <c r="F480" s="75">
        <f>'THAM_SO_MOI'!$E$49+('THAM_SO_MOI'!$F$49-'THAM_SO_MOI'!$E$49)*474/'THAM_SO_MOI'!$C$42</f>
        <v>2.914488823142669</v>
      </c>
      <c r="G480" s="75">
        <f>3.6*F480</f>
        <v>10.492159763313609</v>
      </c>
      <c r="H480" s="75">
        <f>'THAM_SO_MOI'!$D$49</f>
        <v>3.1625000000000005</v>
      </c>
      <c r="I480" s="75">
        <f>IF(F480&gt;'THAM_SO_MOI'!$C$14,'THAM_SO_MOI'!$C$13*(1+F480^2/1500),'THAM_SO_MOI'!$C$13)</f>
        <v>0.015</v>
      </c>
      <c r="J480" s="75">
        <f>'THAM_SO_MOI'!$C$40*('THAM_SO_MOI'!$C$23*(E480/'THAM_SO_MOI'!$C$22)+'THAM_SO_MOI'!$C$24*(E480/'THAM_SO_MOI'!$C$22)^2-'THAM_SO_MOI'!$C$25*(E480/'THAM_SO_MOI'!$C$22)^3)</f>
        <v>83.20289399374855</v>
      </c>
      <c r="K480" s="75">
        <f>'THAM_SO_MOI'!$C$31*J480/E480</f>
        <v>425.75892082949775</v>
      </c>
      <c r="L480" s="75">
        <f>K480*'THAM_SO_MOI'!$C$49*'THAM_SO_MOI'!$C$17/'THAM_SO_MOI'!$C$26</f>
        <v>24270.39811076378</v>
      </c>
      <c r="M480" s="75">
        <f>'THAM_SO_MOI'!$C$15*'THAM_SO_MOI'!$C$16*F480^2</f>
        <v>24.845666918153857</v>
      </c>
      <c r="N480" s="75">
        <f>'THAM_SO_MOI'!$C$12*I480</f>
        <v>1130.112</v>
      </c>
      <c r="O480" s="75">
        <f>M480+N480</f>
        <v>1154.957666918154</v>
      </c>
      <c r="P480" s="75">
        <f>(MIN(L480,'THAM_SO_MOI'!$C$41)-O480)/('THAM_SO_MOI'!$C$11*H480)</f>
        <v>0.9517226796708507</v>
      </c>
      <c r="Q480" s="75">
        <f>IF(P480&gt;0,1/P480,NA())</f>
        <v>1.0507262476353363</v>
      </c>
      <c r="R480" s="75">
        <f>F480-F479</f>
        <v>0.0035133136094671613</v>
      </c>
      <c r="S480" s="75">
        <f>0.5*(Q479+Q480)*R480</f>
        <v>0.0036918254537526302</v>
      </c>
      <c r="T480" s="75">
        <f>0.5*(F479*Q479+F480*Q480)*R480</f>
        <v>0.010753298234089954</v>
      </c>
      <c r="U480" s="76">
        <f>U479+S480</f>
        <v>1.917538623818947</v>
      </c>
      <c r="V480" s="76">
        <f>V479+T480</f>
        <v>3.929045584780388</v>
      </c>
    </row>
    <row r="481" spans="1:22" ht="19" customHeight="1">
      <c r="A481" s="68" t="s">
        <v>368</v>
      </c>
      <c r="B481" s="74">
        <v>1</v>
      </c>
      <c r="C481" s="68" t="s">
        <v>363</v>
      </c>
      <c r="D481" s="68" t="s">
        <v>364</v>
      </c>
      <c r="E481" s="75">
        <f>60*F481*'THAM_SO_MOI'!$C$49/(2*PI()*'THAM_SO_MOI'!$C$26)</f>
        <v>1868.75</v>
      </c>
      <c r="F481" s="75">
        <f>'THAM_SO_MOI'!$E$49+('THAM_SO_MOI'!$F$49-'THAM_SO_MOI'!$E$49)*475/'THAM_SO_MOI'!$C$42</f>
        <v>2.918002136752137</v>
      </c>
      <c r="G481" s="75">
        <f>3.6*F481</f>
        <v>10.504807692307693</v>
      </c>
      <c r="H481" s="75">
        <f>'THAM_SO_MOI'!$D$49</f>
        <v>3.1625000000000005</v>
      </c>
      <c r="I481" s="75">
        <f>IF(F481&gt;'THAM_SO_MOI'!$C$14,'THAM_SO_MOI'!$C$13*(1+F481^2/1500),'THAM_SO_MOI'!$C$13)</f>
        <v>0.015</v>
      </c>
      <c r="J481" s="75">
        <f>'THAM_SO_MOI'!$C$40*('THAM_SO_MOI'!$C$23*(E481/'THAM_SO_MOI'!$C$22)+'THAM_SO_MOI'!$C$24*(E481/'THAM_SO_MOI'!$C$22)^2-'THAM_SO_MOI'!$C$25*(E481/'THAM_SO_MOI'!$C$22)^3)</f>
        <v>83.31596390899938</v>
      </c>
      <c r="K481" s="75">
        <f>'THAM_SO_MOI'!$C$31*J481/E481</f>
        <v>425.82419671556903</v>
      </c>
      <c r="L481" s="75">
        <f>K481*'THAM_SO_MOI'!$C$49*'THAM_SO_MOI'!$C$17/'THAM_SO_MOI'!$C$26</f>
        <v>24274.119164309515</v>
      </c>
      <c r="M481" s="75">
        <f>'THAM_SO_MOI'!$C$15*'THAM_SO_MOI'!$C$16*F481^2</f>
        <v>24.905604175013362</v>
      </c>
      <c r="N481" s="75">
        <f>'THAM_SO_MOI'!$C$12*I481</f>
        <v>1130.112</v>
      </c>
      <c r="O481" s="75">
        <f>M481+N481</f>
        <v>1155.0176041750135</v>
      </c>
      <c r="P481" s="75">
        <f>(MIN(L481,'THAM_SO_MOI'!$C$41)-O481)/('THAM_SO_MOI'!$C$11*H481)</f>
        <v>0.9518734173309659</v>
      </c>
      <c r="Q481" s="75">
        <f>IF(P481&gt;0,1/P481,NA())</f>
        <v>1.0505598557463451</v>
      </c>
      <c r="R481" s="75">
        <f>F481-F480</f>
        <v>0.0035133136094680495</v>
      </c>
      <c r="S481" s="75">
        <f>0.5*(Q480+Q481)*R481</f>
        <v>0.003691238532198474</v>
      </c>
      <c r="T481" s="75">
        <f>0.5*(F480*Q480+F481*Q481)*R481</f>
        <v>0.01076455717147222</v>
      </c>
      <c r="U481" s="76">
        <f>U480+S481</f>
        <v>1.9212298623511455</v>
      </c>
      <c r="V481" s="76">
        <f>V480+T481</f>
        <v>3.93981014195186</v>
      </c>
    </row>
    <row r="482" spans="1:22" ht="19" customHeight="1">
      <c r="A482" s="68" t="s">
        <v>368</v>
      </c>
      <c r="B482" s="74">
        <v>1</v>
      </c>
      <c r="C482" s="68" t="s">
        <v>363</v>
      </c>
      <c r="D482" s="68" t="s">
        <v>364</v>
      </c>
      <c r="E482" s="75">
        <f>60*F482*'THAM_SO_MOI'!$C$49/(2*PI()*'THAM_SO_MOI'!$C$26)</f>
        <v>1870.9999999999998</v>
      </c>
      <c r="F482" s="75">
        <f>'THAM_SO_MOI'!$E$49+('THAM_SO_MOI'!$F$49-'THAM_SO_MOI'!$E$49)*476/'THAM_SO_MOI'!$C$42</f>
        <v>2.9215154503616043</v>
      </c>
      <c r="G482" s="75">
        <f>3.6*F482</f>
        <v>10.517455621301776</v>
      </c>
      <c r="H482" s="75">
        <f>'THAM_SO_MOI'!$D$49</f>
        <v>3.1625000000000005</v>
      </c>
      <c r="I482" s="75">
        <f>IF(F482&gt;'THAM_SO_MOI'!$C$14,'THAM_SO_MOI'!$C$13*(1+F482^2/1500),'THAM_SO_MOI'!$C$13)</f>
        <v>0.015</v>
      </c>
      <c r="J482" s="75">
        <f>'THAM_SO_MOI'!$C$40*('THAM_SO_MOI'!$C$23*(E482/'THAM_SO_MOI'!$C$22)+'THAM_SO_MOI'!$C$24*(E482/'THAM_SO_MOI'!$C$22)^2-'THAM_SO_MOI'!$C$25*(E482/'THAM_SO_MOI'!$C$22)^3)</f>
        <v>83.42896836813239</v>
      </c>
      <c r="K482" s="75">
        <f>'THAM_SO_MOI'!$C$31*J482/E482</f>
        <v>425.88898146358156</v>
      </c>
      <c r="L482" s="75">
        <f>K482*'THAM_SO_MOI'!$C$49*'THAM_SO_MOI'!$C$17/'THAM_SO_MOI'!$C$26</f>
        <v>24277.812220517728</v>
      </c>
      <c r="M482" s="75">
        <f>'THAM_SO_MOI'!$C$15*'THAM_SO_MOI'!$C$16*F482^2</f>
        <v>24.96561364060209</v>
      </c>
      <c r="N482" s="75">
        <f>'THAM_SO_MOI'!$C$12*I482</f>
        <v>1130.112</v>
      </c>
      <c r="O482" s="75">
        <f>M482+N482</f>
        <v>1155.077613640602</v>
      </c>
      <c r="P482" s="75">
        <f>(MIN(L482,'THAM_SO_MOI'!$C$41)-O482)/('THAM_SO_MOI'!$C$11*H482)</f>
        <v>0.9520229992950067</v>
      </c>
      <c r="Q482" s="75">
        <f>IF(P482&gt;0,1/P482,NA())</f>
        <v>1.0503947916599927</v>
      </c>
      <c r="R482" s="75">
        <f>F482-F481</f>
        <v>0.0035133136094671613</v>
      </c>
      <c r="S482" s="75">
        <f>0.5*(Q481+Q482)*R482</f>
        <v>0.0036906562778029842</v>
      </c>
      <c r="T482" s="75">
        <f>0.5*(F481*Q481+F482*Q482)*R482</f>
        <v>0.010775825611749255</v>
      </c>
      <c r="U482" s="76">
        <f>U481+S482</f>
        <v>1.9249205186289484</v>
      </c>
      <c r="V482" s="76">
        <f>V481+T482</f>
        <v>3.9505859675636095</v>
      </c>
    </row>
    <row r="483" spans="1:22" ht="19" customHeight="1">
      <c r="A483" s="68" t="s">
        <v>368</v>
      </c>
      <c r="B483" s="74">
        <v>1</v>
      </c>
      <c r="C483" s="68" t="s">
        <v>363</v>
      </c>
      <c r="D483" s="68" t="s">
        <v>364</v>
      </c>
      <c r="E483" s="75">
        <f>60*F483*'THAM_SO_MOI'!$C$49/(2*PI()*'THAM_SO_MOI'!$C$26)</f>
        <v>1873.2499999999998</v>
      </c>
      <c r="F483" s="75">
        <f>'THAM_SO_MOI'!$E$49+('THAM_SO_MOI'!$F$49-'THAM_SO_MOI'!$E$49)*477/'THAM_SO_MOI'!$C$42</f>
        <v>2.9250287639710715</v>
      </c>
      <c r="G483" s="75">
        <f>3.6*F483</f>
        <v>10.530103550295857</v>
      </c>
      <c r="H483" s="75">
        <f>'THAM_SO_MOI'!$D$49</f>
        <v>3.1625000000000005</v>
      </c>
      <c r="I483" s="75">
        <f>IF(F483&gt;'THAM_SO_MOI'!$C$14,'THAM_SO_MOI'!$C$13*(1+F483^2/1500),'THAM_SO_MOI'!$C$13)</f>
        <v>0.015</v>
      </c>
      <c r="J483" s="75">
        <f>'THAM_SO_MOI'!$C$40*('THAM_SO_MOI'!$C$23*(E483/'THAM_SO_MOI'!$C$22)+'THAM_SO_MOI'!$C$24*(E483/'THAM_SO_MOI'!$C$22)^2-'THAM_SO_MOI'!$C$25*(E483/'THAM_SO_MOI'!$C$22)^3)</f>
        <v>83.541907024048</v>
      </c>
      <c r="K483" s="75">
        <f>'THAM_SO_MOI'!$C$31*J483/E483</f>
        <v>425.9532750735351</v>
      </c>
      <c r="L483" s="75">
        <f>K483*'THAM_SO_MOI'!$C$49*'THAM_SO_MOI'!$C$17/'THAM_SO_MOI'!$C$26</f>
        <v>24281.477279388393</v>
      </c>
      <c r="M483" s="75">
        <f>'THAM_SO_MOI'!$C$15*'THAM_SO_MOI'!$C$16*F483^2</f>
        <v>25.025695314920046</v>
      </c>
      <c r="N483" s="75">
        <f>'THAM_SO_MOI'!$C$12*I483</f>
        <v>1130.112</v>
      </c>
      <c r="O483" s="75">
        <f>M483+N483</f>
        <v>1155.1376953149202</v>
      </c>
      <c r="P483" s="75">
        <f>(MIN(L483,'THAM_SO_MOI'!$C$41)-O483)/('THAM_SO_MOI'!$C$11*H483)</f>
        <v>0.9521714255629723</v>
      </c>
      <c r="Q483" s="75">
        <f>IF(P483&gt;0,1/P483,NA())</f>
        <v>1.0502310541494657</v>
      </c>
      <c r="R483" s="75">
        <f>F483-F482</f>
        <v>0.0035133136094671613</v>
      </c>
      <c r="S483" s="75">
        <f>0.5*(Q482+Q483)*R483</f>
        <v>0.0036900786862404185</v>
      </c>
      <c r="T483" s="75">
        <f>0.5*(F482*Q482+F483*Q483)*R483</f>
        <v>0.010787103591467348</v>
      </c>
      <c r="U483" s="76">
        <f>U482+S483</f>
        <v>1.9286105973151888</v>
      </c>
      <c r="V483" s="76">
        <f>V482+T483</f>
        <v>3.961373071155077</v>
      </c>
    </row>
    <row r="484" spans="1:22" ht="19" customHeight="1">
      <c r="A484" s="68" t="s">
        <v>368</v>
      </c>
      <c r="B484" s="74">
        <v>1</v>
      </c>
      <c r="C484" s="68" t="s">
        <v>363</v>
      </c>
      <c r="D484" s="68" t="s">
        <v>364</v>
      </c>
      <c r="E484" s="75">
        <f>60*F484*'THAM_SO_MOI'!$C$49/(2*PI()*'THAM_SO_MOI'!$C$26)</f>
        <v>1875.5</v>
      </c>
      <c r="F484" s="75">
        <f>'THAM_SO_MOI'!$E$49+('THAM_SO_MOI'!$F$49-'THAM_SO_MOI'!$E$49)*478/'THAM_SO_MOI'!$C$42</f>
        <v>2.9285420775805395</v>
      </c>
      <c r="G484" s="75">
        <f>3.6*F484</f>
        <v>10.542751479289942</v>
      </c>
      <c r="H484" s="75">
        <f>'THAM_SO_MOI'!$D$49</f>
        <v>3.1625000000000005</v>
      </c>
      <c r="I484" s="75">
        <f>IF(F484&gt;'THAM_SO_MOI'!$C$14,'THAM_SO_MOI'!$C$13*(1+F484^2/1500),'THAM_SO_MOI'!$C$13)</f>
        <v>0.015</v>
      </c>
      <c r="J484" s="75">
        <f>'THAM_SO_MOI'!$C$40*('THAM_SO_MOI'!$C$23*(E484/'THAM_SO_MOI'!$C$22)+'THAM_SO_MOI'!$C$24*(E484/'THAM_SO_MOI'!$C$22)^2-'THAM_SO_MOI'!$C$25*(E484/'THAM_SO_MOI'!$C$22)^3)</f>
        <v>83.65477952964672</v>
      </c>
      <c r="K484" s="75">
        <f>'THAM_SO_MOI'!$C$31*J484/E484</f>
        <v>426.01707754543</v>
      </c>
      <c r="L484" s="75">
        <f>K484*'THAM_SO_MOI'!$C$49*'THAM_SO_MOI'!$C$17/'THAM_SO_MOI'!$C$26</f>
        <v>24285.114340921533</v>
      </c>
      <c r="M484" s="75">
        <f>'THAM_SO_MOI'!$C$15*'THAM_SO_MOI'!$C$16*F484^2</f>
        <v>25.085849197967253</v>
      </c>
      <c r="N484" s="75">
        <f>'THAM_SO_MOI'!$C$12*I484</f>
        <v>1130.112</v>
      </c>
      <c r="O484" s="75">
        <f>M484+N484</f>
        <v>1155.1978491979673</v>
      </c>
      <c r="P484" s="75">
        <f>(MIN(L484,'THAM_SO_MOI'!$C$41)-O484)/('THAM_SO_MOI'!$C$11*H484)</f>
        <v>0.9523186961348634</v>
      </c>
      <c r="Q484" s="75">
        <f>IF(P484&gt;0,1/P484,NA())</f>
        <v>1.0500686419983758</v>
      </c>
      <c r="R484" s="75">
        <f>F484-F483</f>
        <v>0.0035133136094680495</v>
      </c>
      <c r="S484" s="75">
        <f>0.5*(Q483+Q484)*R484</f>
        <v>0.00368950575321891</v>
      </c>
      <c r="T484" s="75">
        <f>0.5*(F483*Q483+F484*Q484)*R484</f>
        <v>0.010798391147211142</v>
      </c>
      <c r="U484" s="76">
        <f>U483+S484</f>
        <v>1.9323001030684077</v>
      </c>
      <c r="V484" s="76">
        <f>V483+T484</f>
        <v>3.972171462302288</v>
      </c>
    </row>
    <row r="485" spans="1:22" ht="19" customHeight="1">
      <c r="A485" s="68" t="s">
        <v>368</v>
      </c>
      <c r="B485" s="74">
        <v>1</v>
      </c>
      <c r="C485" s="68" t="s">
        <v>363</v>
      </c>
      <c r="D485" s="68" t="s">
        <v>364</v>
      </c>
      <c r="E485" s="75">
        <f>60*F485*'THAM_SO_MOI'!$C$49/(2*PI()*'THAM_SO_MOI'!$C$26)</f>
        <v>1877.7499999999998</v>
      </c>
      <c r="F485" s="75">
        <f>'THAM_SO_MOI'!$E$49+('THAM_SO_MOI'!$F$49-'THAM_SO_MOI'!$E$49)*479/'THAM_SO_MOI'!$C$42</f>
        <v>2.9320553911900067</v>
      </c>
      <c r="G485" s="75">
        <f>3.6*F485</f>
        <v>10.555399408284025</v>
      </c>
      <c r="H485" s="75">
        <f>'THAM_SO_MOI'!$D$49</f>
        <v>3.1625000000000005</v>
      </c>
      <c r="I485" s="75">
        <f>IF(F485&gt;'THAM_SO_MOI'!$C$14,'THAM_SO_MOI'!$C$13*(1+F485^2/1500),'THAM_SO_MOI'!$C$13)</f>
        <v>0.015</v>
      </c>
      <c r="J485" s="75">
        <f>'THAM_SO_MOI'!$C$40*('THAM_SO_MOI'!$C$23*(E485/'THAM_SO_MOI'!$C$22)+'THAM_SO_MOI'!$C$24*(E485/'THAM_SO_MOI'!$C$22)^2-'THAM_SO_MOI'!$C$25*(E485/'THAM_SO_MOI'!$C$22)^3)</f>
        <v>83.76758553782899</v>
      </c>
      <c r="K485" s="75">
        <f>'THAM_SO_MOI'!$C$31*J485/E485</f>
        <v>426.0803888792662</v>
      </c>
      <c r="L485" s="75">
        <f>K485*'THAM_SO_MOI'!$C$49*'THAM_SO_MOI'!$C$17/'THAM_SO_MOI'!$C$26</f>
        <v>24288.72340511714</v>
      </c>
      <c r="M485" s="75">
        <f>'THAM_SO_MOI'!$C$15*'THAM_SO_MOI'!$C$16*F485^2</f>
        <v>25.14607528974367</v>
      </c>
      <c r="N485" s="75">
        <f>'THAM_SO_MOI'!$C$12*I485</f>
        <v>1130.112</v>
      </c>
      <c r="O485" s="75">
        <f>M485+N485</f>
        <v>1155.2580752897438</v>
      </c>
      <c r="P485" s="75">
        <f>(MIN(L485,'THAM_SO_MOI'!$C$41)-O485)/('THAM_SO_MOI'!$C$11*H485)</f>
        <v>0.9524648110106798</v>
      </c>
      <c r="Q485" s="75">
        <f>IF(P485&gt;0,1/P485,NA())</f>
        <v>1.04990755400074</v>
      </c>
      <c r="R485" s="75">
        <f>F485-F484</f>
        <v>0.0035133136094671613</v>
      </c>
      <c r="S485" s="75">
        <f>0.5*(Q484+Q485)*R485</f>
        <v>0.0036889374744803866</v>
      </c>
      <c r="T485" s="75">
        <f>0.5*(F484*Q484+F485*Q485)*R485</f>
        <v>0.01080968831560399</v>
      </c>
      <c r="U485" s="76">
        <f>U484+S485</f>
        <v>1.9359890405428881</v>
      </c>
      <c r="V485" s="76">
        <f>V484+T485</f>
        <v>3.982981150617892</v>
      </c>
    </row>
    <row r="486" spans="1:22" ht="19" customHeight="1">
      <c r="A486" s="68" t="s">
        <v>368</v>
      </c>
      <c r="B486" s="74">
        <v>1</v>
      </c>
      <c r="C486" s="68" t="s">
        <v>363</v>
      </c>
      <c r="D486" s="68" t="s">
        <v>364</v>
      </c>
      <c r="E486" s="75">
        <f>60*F486*'THAM_SO_MOI'!$C$49/(2*PI()*'THAM_SO_MOI'!$C$26)</f>
        <v>1879.9999999999998</v>
      </c>
      <c r="F486" s="75">
        <f>'THAM_SO_MOI'!$E$49+('THAM_SO_MOI'!$F$49-'THAM_SO_MOI'!$E$49)*480/'THAM_SO_MOI'!$C$42</f>
        <v>2.935568704799474</v>
      </c>
      <c r="G486" s="75">
        <f>3.6*F486</f>
        <v>10.568047337278106</v>
      </c>
      <c r="H486" s="75">
        <f>'THAM_SO_MOI'!$D$49</f>
        <v>3.1625000000000005</v>
      </c>
      <c r="I486" s="75">
        <f>IF(F486&gt;'THAM_SO_MOI'!$C$14,'THAM_SO_MOI'!$C$13*(1+F486^2/1500),'THAM_SO_MOI'!$C$13)</f>
        <v>0.015</v>
      </c>
      <c r="J486" s="75">
        <f>'THAM_SO_MOI'!$C$40*('THAM_SO_MOI'!$C$23*(E486/'THAM_SO_MOI'!$C$22)+'THAM_SO_MOI'!$C$24*(E486/'THAM_SO_MOI'!$C$22)^2-'THAM_SO_MOI'!$C$25*(E486/'THAM_SO_MOI'!$C$22)^3)</f>
        <v>83.88032470149527</v>
      </c>
      <c r="K486" s="75">
        <f>'THAM_SO_MOI'!$C$31*J486/E486</f>
        <v>426.14320907504367</v>
      </c>
      <c r="L486" s="75">
        <f>K486*'THAM_SO_MOI'!$C$49*'THAM_SO_MOI'!$C$17/'THAM_SO_MOI'!$C$26</f>
        <v>24292.30447197522</v>
      </c>
      <c r="M486" s="75">
        <f>'THAM_SO_MOI'!$C$15*'THAM_SO_MOI'!$C$16*F486^2</f>
        <v>25.206373590249328</v>
      </c>
      <c r="N486" s="75">
        <f>'THAM_SO_MOI'!$C$12*I486</f>
        <v>1130.112</v>
      </c>
      <c r="O486" s="75">
        <f>M486+N486</f>
        <v>1155.3183735902494</v>
      </c>
      <c r="P486" s="75">
        <f>(MIN(L486,'THAM_SO_MOI'!$C$41)-O486)/('THAM_SO_MOI'!$C$11*H486)</f>
        <v>0.9526097701904219</v>
      </c>
      <c r="Q486" s="75">
        <f>IF(P486&gt;0,1/P486,NA())</f>
        <v>1.049747788960956</v>
      </c>
      <c r="R486" s="75">
        <f>F486-F485</f>
        <v>0.0035133136094671613</v>
      </c>
      <c r="S486" s="75">
        <f>0.5*(Q485+Q486)*R486</f>
        <v>0.003688373845808884</v>
      </c>
      <c r="T486" s="75">
        <f>0.5*(F485*Q485+F486*Q486)*R486</f>
        <v>0.010820995133332947</v>
      </c>
      <c r="U486" s="76">
        <f>U485+S486</f>
        <v>1.939677414388697</v>
      </c>
      <c r="V486" s="76">
        <f>V485+T486</f>
        <v>3.993802145751225</v>
      </c>
    </row>
    <row r="487" spans="1:22" ht="19" customHeight="1">
      <c r="A487" s="68" t="s">
        <v>368</v>
      </c>
      <c r="B487" s="74">
        <v>1</v>
      </c>
      <c r="C487" s="68" t="s">
        <v>363</v>
      </c>
      <c r="D487" s="68" t="s">
        <v>364</v>
      </c>
      <c r="E487" s="75">
        <f>60*F487*'THAM_SO_MOI'!$C$49/(2*PI()*'THAM_SO_MOI'!$C$26)</f>
        <v>1882.25</v>
      </c>
      <c r="F487" s="75">
        <f>'THAM_SO_MOI'!$E$49+('THAM_SO_MOI'!$F$49-'THAM_SO_MOI'!$E$49)*481/'THAM_SO_MOI'!$C$42</f>
        <v>2.9390820184089415</v>
      </c>
      <c r="G487" s="75">
        <f>3.6*F487</f>
        <v>10.580695266272189</v>
      </c>
      <c r="H487" s="75">
        <f>'THAM_SO_MOI'!$D$49</f>
        <v>3.1625000000000005</v>
      </c>
      <c r="I487" s="75">
        <f>IF(F487&gt;'THAM_SO_MOI'!$C$14,'THAM_SO_MOI'!$C$13*(1+F487^2/1500),'THAM_SO_MOI'!$C$13)</f>
        <v>0.015</v>
      </c>
      <c r="J487" s="75">
        <f>'THAM_SO_MOI'!$C$40*('THAM_SO_MOI'!$C$23*(E487/'THAM_SO_MOI'!$C$22)+'THAM_SO_MOI'!$C$24*(E487/'THAM_SO_MOI'!$C$22)^2-'THAM_SO_MOI'!$C$25*(E487/'THAM_SO_MOI'!$C$22)^3)</f>
        <v>83.99299667354597</v>
      </c>
      <c r="K487" s="75">
        <f>'THAM_SO_MOI'!$C$31*J487/E487</f>
        <v>426.20553813276206</v>
      </c>
      <c r="L487" s="75">
        <f>K487*'THAM_SO_MOI'!$C$49*'THAM_SO_MOI'!$C$17/'THAM_SO_MOI'!$C$26</f>
        <v>24295.857541495756</v>
      </c>
      <c r="M487" s="75">
        <f>'THAM_SO_MOI'!$C$15*'THAM_SO_MOI'!$C$16*F487^2</f>
        <v>25.266744099484225</v>
      </c>
      <c r="N487" s="75">
        <f>'THAM_SO_MOI'!$C$12*I487</f>
        <v>1130.112</v>
      </c>
      <c r="O487" s="75">
        <f>M487+N487</f>
        <v>1155.3787440994843</v>
      </c>
      <c r="P487" s="75">
        <f>(MIN(L487,'THAM_SO_MOI'!$C$41)-O487)/('THAM_SO_MOI'!$C$11*H487)</f>
        <v>0.9527535736740887</v>
      </c>
      <c r="Q487" s="75">
        <f>IF(P487&gt;0,1/P487,NA())</f>
        <v>1.0495893456937826</v>
      </c>
      <c r="R487" s="75">
        <f>F487-F486</f>
        <v>0.0035133136094676054</v>
      </c>
      <c r="S487" s="75">
        <f>0.5*(Q486+Q487)*R487</f>
        <v>0.00368781486302161</v>
      </c>
      <c r="T487" s="75">
        <f>0.5*(F486*Q486+F487*Q487)*R487</f>
        <v>0.010832311637123254</v>
      </c>
      <c r="U487" s="76">
        <f>U486+S487</f>
        <v>1.9433652292517185</v>
      </c>
      <c r="V487" s="76">
        <f>V486+T487</f>
        <v>4.004634457388348</v>
      </c>
    </row>
    <row r="488" spans="1:22" ht="19" customHeight="1">
      <c r="A488" s="68" t="s">
        <v>368</v>
      </c>
      <c r="B488" s="74">
        <v>1</v>
      </c>
      <c r="C488" s="68" t="s">
        <v>363</v>
      </c>
      <c r="D488" s="68" t="s">
        <v>364</v>
      </c>
      <c r="E488" s="75">
        <f>60*F488*'THAM_SO_MOI'!$C$49/(2*PI()*'THAM_SO_MOI'!$C$26)</f>
        <v>1884.5000000000002</v>
      </c>
      <c r="F488" s="75">
        <f>'THAM_SO_MOI'!$E$49+('THAM_SO_MOI'!$F$49-'THAM_SO_MOI'!$E$49)*482/'THAM_SO_MOI'!$C$42</f>
        <v>2.942595332018409</v>
      </c>
      <c r="G488" s="75">
        <f>3.6*F488</f>
        <v>10.593343195266273</v>
      </c>
      <c r="H488" s="75">
        <f>'THAM_SO_MOI'!$D$49</f>
        <v>3.1625000000000005</v>
      </c>
      <c r="I488" s="75">
        <f>IF(F488&gt;'THAM_SO_MOI'!$C$14,'THAM_SO_MOI'!$C$13*(1+F488^2/1500),'THAM_SO_MOI'!$C$13)</f>
        <v>0.015</v>
      </c>
      <c r="J488" s="75">
        <f>'THAM_SO_MOI'!$C$40*('THAM_SO_MOI'!$C$23*(E488/'THAM_SO_MOI'!$C$22)+'THAM_SO_MOI'!$C$24*(E488/'THAM_SO_MOI'!$C$22)^2-'THAM_SO_MOI'!$C$25*(E488/'THAM_SO_MOI'!$C$22)^3)</f>
        <v>84.10560110688162</v>
      </c>
      <c r="K488" s="75">
        <f>'THAM_SO_MOI'!$C$31*J488/E488</f>
        <v>426.2673760524219</v>
      </c>
      <c r="L488" s="75">
        <f>K488*'THAM_SO_MOI'!$C$49*'THAM_SO_MOI'!$C$17/'THAM_SO_MOI'!$C$26</f>
        <v>24299.38261367877</v>
      </c>
      <c r="M488" s="75">
        <f>'THAM_SO_MOI'!$C$15*'THAM_SO_MOI'!$C$16*F488^2</f>
        <v>25.327186817448357</v>
      </c>
      <c r="N488" s="75">
        <f>'THAM_SO_MOI'!$C$12*I488</f>
        <v>1130.112</v>
      </c>
      <c r="O488" s="75">
        <f>M488+N488</f>
        <v>1155.4391868174484</v>
      </c>
      <c r="P488" s="75">
        <f>(MIN(L488,'THAM_SO_MOI'!$C$41)-O488)/('THAM_SO_MOI'!$C$11*H488)</f>
        <v>0.9528962214616813</v>
      </c>
      <c r="Q488" s="75">
        <f>IF(P488&gt;0,1/P488,NA())</f>
        <v>1.0494322230243127</v>
      </c>
      <c r="R488" s="75">
        <f>F488-F487</f>
        <v>0.0035133136094676054</v>
      </c>
      <c r="S488" s="75">
        <f>0.5*(Q487+Q488)*R488</f>
        <v>0.0036872605219716633</v>
      </c>
      <c r="T488" s="75">
        <f>0.5*(F487*Q487+F488*Q488)*R488</f>
        <v>0.010843637863746921</v>
      </c>
      <c r="U488" s="76">
        <f>U487+S488</f>
        <v>1.9470524897736903</v>
      </c>
      <c r="V488" s="76">
        <f>V487+T488</f>
        <v>4.015478095252095</v>
      </c>
    </row>
    <row r="489" spans="1:22" ht="19" customHeight="1">
      <c r="A489" s="68" t="s">
        <v>368</v>
      </c>
      <c r="B489" s="74">
        <v>1</v>
      </c>
      <c r="C489" s="68" t="s">
        <v>363</v>
      </c>
      <c r="D489" s="68" t="s">
        <v>364</v>
      </c>
      <c r="E489" s="75">
        <f>60*F489*'THAM_SO_MOI'!$C$49/(2*PI()*'THAM_SO_MOI'!$C$26)</f>
        <v>1886.7499999999995</v>
      </c>
      <c r="F489" s="75">
        <f>'THAM_SO_MOI'!$E$49+('THAM_SO_MOI'!$F$49-'THAM_SO_MOI'!$E$49)*483/'THAM_SO_MOI'!$C$42</f>
        <v>2.946108645627876</v>
      </c>
      <c r="G489" s="75">
        <f>3.6*F489</f>
        <v>10.605991124260354</v>
      </c>
      <c r="H489" s="75">
        <f>'THAM_SO_MOI'!$D$49</f>
        <v>3.1625000000000005</v>
      </c>
      <c r="I489" s="75">
        <f>IF(F489&gt;'THAM_SO_MOI'!$C$14,'THAM_SO_MOI'!$C$13*(1+F489^2/1500),'THAM_SO_MOI'!$C$13)</f>
        <v>0.015</v>
      </c>
      <c r="J489" s="75">
        <f>'THAM_SO_MOI'!$C$40*('THAM_SO_MOI'!$C$23*(E489/'THAM_SO_MOI'!$C$22)+'THAM_SO_MOI'!$C$24*(E489/'THAM_SO_MOI'!$C$22)^2-'THAM_SO_MOI'!$C$25*(E489/'THAM_SO_MOI'!$C$22)^3)</f>
        <v>84.2181376544026</v>
      </c>
      <c r="K489" s="75">
        <f>'THAM_SO_MOI'!$C$31*J489/E489</f>
        <v>426.328722834023</v>
      </c>
      <c r="L489" s="75">
        <f>K489*'THAM_SO_MOI'!$C$49*'THAM_SO_MOI'!$C$17/'THAM_SO_MOI'!$C$26</f>
        <v>24302.879688524252</v>
      </c>
      <c r="M489" s="75">
        <f>'THAM_SO_MOI'!$C$15*'THAM_SO_MOI'!$C$16*F489^2</f>
        <v>25.38770174414171</v>
      </c>
      <c r="N489" s="75">
        <f>'THAM_SO_MOI'!$C$12*I489</f>
        <v>1130.112</v>
      </c>
      <c r="O489" s="75">
        <f>M489+N489</f>
        <v>1155.4997017441417</v>
      </c>
      <c r="P489" s="75">
        <f>(MIN(L489,'THAM_SO_MOI'!$C$41)-O489)/('THAM_SO_MOI'!$C$11*H489)</f>
        <v>0.9530377135531993</v>
      </c>
      <c r="Q489" s="75">
        <f>IF(P489&gt;0,1/P489,NA())</f>
        <v>1.0492764197879554</v>
      </c>
      <c r="R489" s="75">
        <f>F489-F488</f>
        <v>0.0035133136094671613</v>
      </c>
      <c r="S489" s="75">
        <f>0.5*(Q488+Q489)*R489</f>
        <v>0.0036867108185493487</v>
      </c>
      <c r="T489" s="75">
        <f>0.5*(F488*Q488+F489*Q489)*R489</f>
        <v>0.010854973850027224</v>
      </c>
      <c r="U489" s="76">
        <f>U488+S489</f>
        <v>1.9507392005922397</v>
      </c>
      <c r="V489" s="76">
        <f>V488+T489</f>
        <v>4.026333069102122</v>
      </c>
    </row>
    <row r="490" spans="1:22" ht="19" customHeight="1">
      <c r="A490" s="68" t="s">
        <v>368</v>
      </c>
      <c r="B490" s="74">
        <v>1</v>
      </c>
      <c r="C490" s="68" t="s">
        <v>363</v>
      </c>
      <c r="D490" s="68" t="s">
        <v>364</v>
      </c>
      <c r="E490" s="75">
        <f>60*F490*'THAM_SO_MOI'!$C$49/(2*PI()*'THAM_SO_MOI'!$C$26)</f>
        <v>1888.9999999999998</v>
      </c>
      <c r="F490" s="75">
        <f>'THAM_SO_MOI'!$E$49+('THAM_SO_MOI'!$F$49-'THAM_SO_MOI'!$E$49)*484/'THAM_SO_MOI'!$C$42</f>
        <v>2.949621959237344</v>
      </c>
      <c r="G490" s="75">
        <f>3.6*F490</f>
        <v>10.618639053254437</v>
      </c>
      <c r="H490" s="75">
        <f>'THAM_SO_MOI'!$D$49</f>
        <v>3.1625000000000005</v>
      </c>
      <c r="I490" s="75">
        <f>IF(F490&gt;'THAM_SO_MOI'!$C$14,'THAM_SO_MOI'!$C$13*(1+F490^2/1500),'THAM_SO_MOI'!$C$13)</f>
        <v>0.015</v>
      </c>
      <c r="J490" s="75">
        <f>'THAM_SO_MOI'!$C$40*('THAM_SO_MOI'!$C$23*(E490/'THAM_SO_MOI'!$C$22)+'THAM_SO_MOI'!$C$24*(E490/'THAM_SO_MOI'!$C$22)^2-'THAM_SO_MOI'!$C$25*(E490/'THAM_SO_MOI'!$C$22)^3)</f>
        <v>84.33060596900944</v>
      </c>
      <c r="K490" s="75">
        <f>'THAM_SO_MOI'!$C$31*J490/E490</f>
        <v>426.38957847756535</v>
      </c>
      <c r="L490" s="75">
        <f>K490*'THAM_SO_MOI'!$C$49*'THAM_SO_MOI'!$C$17/'THAM_SO_MOI'!$C$26</f>
        <v>24306.348766032203</v>
      </c>
      <c r="M490" s="75">
        <f>'THAM_SO_MOI'!$C$15*'THAM_SO_MOI'!$C$16*F490^2</f>
        <v>25.448288879564306</v>
      </c>
      <c r="N490" s="75">
        <f>'THAM_SO_MOI'!$C$12*I490</f>
        <v>1130.112</v>
      </c>
      <c r="O490" s="75">
        <f>M490+N490</f>
        <v>1155.5602888795645</v>
      </c>
      <c r="P490" s="75">
        <f>(MIN(L490,'THAM_SO_MOI'!$C$41)-O490)/('THAM_SO_MOI'!$C$11*H490)</f>
        <v>0.9531780499486426</v>
      </c>
      <c r="Q490" s="75">
        <f>IF(P490&gt;0,1/P490,NA())</f>
        <v>1.049121934830413</v>
      </c>
      <c r="R490" s="75">
        <f>F490-F489</f>
        <v>0.0035133136094676054</v>
      </c>
      <c r="S490" s="75">
        <f>0.5*(Q489+Q490)*R490</f>
        <v>0.003686165748682572</v>
      </c>
      <c r="T490" s="75">
        <f>0.5*(F489*Q489+F490*Q490)*R490</f>
        <v>0.010866319632840534</v>
      </c>
      <c r="U490" s="76">
        <f>U489+S490</f>
        <v>1.9544253663409223</v>
      </c>
      <c r="V490" s="76">
        <f>V489+T490</f>
        <v>4.037199388734963</v>
      </c>
    </row>
    <row r="491" spans="1:22" ht="19" customHeight="1">
      <c r="A491" s="68" t="s">
        <v>368</v>
      </c>
      <c r="B491" s="74">
        <v>1</v>
      </c>
      <c r="C491" s="68" t="s">
        <v>363</v>
      </c>
      <c r="D491" s="68" t="s">
        <v>364</v>
      </c>
      <c r="E491" s="75">
        <f>60*F491*'THAM_SO_MOI'!$C$49/(2*PI()*'THAM_SO_MOI'!$C$26)</f>
        <v>1891.25</v>
      </c>
      <c r="F491" s="75">
        <f>'THAM_SO_MOI'!$E$49+('THAM_SO_MOI'!$F$49-'THAM_SO_MOI'!$E$49)*485/'THAM_SO_MOI'!$C$42</f>
        <v>2.9531352728468114</v>
      </c>
      <c r="G491" s="75">
        <f>3.6*F491</f>
        <v>10.631286982248522</v>
      </c>
      <c r="H491" s="75">
        <f>'THAM_SO_MOI'!$D$49</f>
        <v>3.1625000000000005</v>
      </c>
      <c r="I491" s="75">
        <f>IF(F491&gt;'THAM_SO_MOI'!$C$14,'THAM_SO_MOI'!$C$13*(1+F491^2/1500),'THAM_SO_MOI'!$C$13)</f>
        <v>0.015</v>
      </c>
      <c r="J491" s="75">
        <f>'THAM_SO_MOI'!$C$40*('THAM_SO_MOI'!$C$23*(E491/'THAM_SO_MOI'!$C$22)+'THAM_SO_MOI'!$C$24*(E491/'THAM_SO_MOI'!$C$22)^2-'THAM_SO_MOI'!$C$25*(E491/'THAM_SO_MOI'!$C$22)^3)</f>
        <v>84.44300570360254</v>
      </c>
      <c r="K491" s="75">
        <f>'THAM_SO_MOI'!$C$31*J491/E491</f>
        <v>426.4499429830488</v>
      </c>
      <c r="L491" s="75">
        <f>K491*'THAM_SO_MOI'!$C$49*'THAM_SO_MOI'!$C$17/'THAM_SO_MOI'!$C$26</f>
        <v>24309.789846202617</v>
      </c>
      <c r="M491" s="75">
        <f>'THAM_SO_MOI'!$C$15*'THAM_SO_MOI'!$C$16*F491^2</f>
        <v>25.508948223716132</v>
      </c>
      <c r="N491" s="75">
        <f>'THAM_SO_MOI'!$C$12*I491</f>
        <v>1130.112</v>
      </c>
      <c r="O491" s="75">
        <f>M491+N491</f>
        <v>1155.6209482237161</v>
      </c>
      <c r="P491" s="75">
        <f>(MIN(L491,'THAM_SO_MOI'!$C$41)-O491)/('THAM_SO_MOI'!$C$11*H491)</f>
        <v>0.9533172306480112</v>
      </c>
      <c r="Q491" s="75">
        <f>IF(P491&gt;0,1/P491,NA())</f>
        <v>1.0489687670076586</v>
      </c>
      <c r="R491" s="75">
        <f>F491-F490</f>
        <v>0.0035133136094676054</v>
      </c>
      <c r="S491" s="75">
        <f>0.5*(Q490+Q491)*R491</f>
        <v>0.0036856253083325683</v>
      </c>
      <c r="T491" s="75">
        <f>0.5*(F490*Q490+F491*Q491)*R491</f>
        <v>0.010877675249104359</v>
      </c>
      <c r="U491" s="76">
        <f>U490+S491</f>
        <v>1.958110991649255</v>
      </c>
      <c r="V491" s="76">
        <f>V490+T491</f>
        <v>4.048077063984067</v>
      </c>
    </row>
    <row r="492" spans="1:22" ht="19" customHeight="1">
      <c r="A492" s="68" t="s">
        <v>368</v>
      </c>
      <c r="B492" s="74">
        <v>1</v>
      </c>
      <c r="C492" s="68" t="s">
        <v>363</v>
      </c>
      <c r="D492" s="68" t="s">
        <v>364</v>
      </c>
      <c r="E492" s="75">
        <f>60*F492*'THAM_SO_MOI'!$C$49/(2*PI()*'THAM_SO_MOI'!$C$26)</f>
        <v>1893.4999999999995</v>
      </c>
      <c r="F492" s="75">
        <f>'THAM_SO_MOI'!$E$49+('THAM_SO_MOI'!$F$49-'THAM_SO_MOI'!$E$49)*486/'THAM_SO_MOI'!$C$42</f>
        <v>2.9566485864562786</v>
      </c>
      <c r="G492" s="75">
        <f>3.6*F492</f>
        <v>10.643934911242603</v>
      </c>
      <c r="H492" s="75">
        <f>'THAM_SO_MOI'!$D$49</f>
        <v>3.1625000000000005</v>
      </c>
      <c r="I492" s="75">
        <f>IF(F492&gt;'THAM_SO_MOI'!$C$14,'THAM_SO_MOI'!$C$13*(1+F492^2/1500),'THAM_SO_MOI'!$C$13)</f>
        <v>0.015</v>
      </c>
      <c r="J492" s="75">
        <f>'THAM_SO_MOI'!$C$40*('THAM_SO_MOI'!$C$23*(E492/'THAM_SO_MOI'!$C$22)+'THAM_SO_MOI'!$C$24*(E492/'THAM_SO_MOI'!$C$22)^2-'THAM_SO_MOI'!$C$25*(E492/'THAM_SO_MOI'!$C$22)^3)</f>
        <v>84.55533651108236</v>
      </c>
      <c r="K492" s="75">
        <f>'THAM_SO_MOI'!$C$31*J492/E492</f>
        <v>426.50981635047356</v>
      </c>
      <c r="L492" s="75">
        <f>K492*'THAM_SO_MOI'!$C$49*'THAM_SO_MOI'!$C$17/'THAM_SO_MOI'!$C$26</f>
        <v>24313.202929035502</v>
      </c>
      <c r="M492" s="75">
        <f>'THAM_SO_MOI'!$C$15*'THAM_SO_MOI'!$C$16*F492^2</f>
        <v>25.569679776597187</v>
      </c>
      <c r="N492" s="75">
        <f>'THAM_SO_MOI'!$C$12*I492</f>
        <v>1130.112</v>
      </c>
      <c r="O492" s="75">
        <f>M492+N492</f>
        <v>1155.6816797765973</v>
      </c>
      <c r="P492" s="75">
        <f>(MIN(L492,'THAM_SO_MOI'!$C$41)-O492)/('THAM_SO_MOI'!$C$11*H492)</f>
        <v>0.9534552556513053</v>
      </c>
      <c r="Q492" s="75">
        <f>IF(P492&gt;0,1/P492,NA())</f>
        <v>1.048816915185915</v>
      </c>
      <c r="R492" s="75">
        <f>F492-F491</f>
        <v>0.0035133136094671613</v>
      </c>
      <c r="S492" s="75">
        <f>0.5*(Q491+Q492)*R492</f>
        <v>0.003685089493498018</v>
      </c>
      <c r="T492" s="75">
        <f>0.5*(F491*Q491+F492*Q492)*R492</f>
        <v>0.010889040735790093</v>
      </c>
      <c r="U492" s="76">
        <f>U491+S492</f>
        <v>1.961796081142753</v>
      </c>
      <c r="V492" s="76">
        <f>V491+T492</f>
        <v>4.0589661047198575</v>
      </c>
    </row>
    <row r="493" spans="1:22" ht="19" customHeight="1">
      <c r="A493" s="68" t="s">
        <v>368</v>
      </c>
      <c r="B493" s="74">
        <v>1</v>
      </c>
      <c r="C493" s="68" t="s">
        <v>363</v>
      </c>
      <c r="D493" s="68" t="s">
        <v>364</v>
      </c>
      <c r="E493" s="75">
        <f>60*F493*'THAM_SO_MOI'!$C$49/(2*PI()*'THAM_SO_MOI'!$C$26)</f>
        <v>1895.7499999999995</v>
      </c>
      <c r="F493" s="75">
        <f>'THAM_SO_MOI'!$E$49+('THAM_SO_MOI'!$F$49-'THAM_SO_MOI'!$E$49)*487/'THAM_SO_MOI'!$C$42</f>
        <v>2.960161900065746</v>
      </c>
      <c r="G493" s="75">
        <f>3.6*F493</f>
        <v>10.656582840236686</v>
      </c>
      <c r="H493" s="75">
        <f>'THAM_SO_MOI'!$D$49</f>
        <v>3.1625000000000005</v>
      </c>
      <c r="I493" s="75">
        <f>IF(F493&gt;'THAM_SO_MOI'!$C$14,'THAM_SO_MOI'!$C$13*(1+F493^2/1500),'THAM_SO_MOI'!$C$13)</f>
        <v>0.015</v>
      </c>
      <c r="J493" s="75">
        <f>'THAM_SO_MOI'!$C$40*('THAM_SO_MOI'!$C$23*(E493/'THAM_SO_MOI'!$C$22)+'THAM_SO_MOI'!$C$24*(E493/'THAM_SO_MOI'!$C$22)^2-'THAM_SO_MOI'!$C$25*(E493/'THAM_SO_MOI'!$C$22)^3)</f>
        <v>84.66759804434936</v>
      </c>
      <c r="K493" s="75">
        <f>'THAM_SO_MOI'!$C$31*J493/E493</f>
        <v>426.56919857983945</v>
      </c>
      <c r="L493" s="75">
        <f>K493*'THAM_SO_MOI'!$C$49*'THAM_SO_MOI'!$C$17/'THAM_SO_MOI'!$C$26</f>
        <v>24316.588014530847</v>
      </c>
      <c r="M493" s="75">
        <f>'THAM_SO_MOI'!$C$15*'THAM_SO_MOI'!$C$16*F493^2</f>
        <v>25.630483538207486</v>
      </c>
      <c r="N493" s="75">
        <f>'THAM_SO_MOI'!$C$12*I493</f>
        <v>1130.112</v>
      </c>
      <c r="O493" s="75">
        <f>M493+N493</f>
        <v>1155.7424835382076</v>
      </c>
      <c r="P493" s="75">
        <f>(MIN(L493,'THAM_SO_MOI'!$C$41)-O493)/('THAM_SO_MOI'!$C$11*H493)</f>
        <v>0.9535921249585242</v>
      </c>
      <c r="Q493" s="75">
        <f>IF(P493&gt;0,1/P493,NA())</f>
        <v>1.0486663782416348</v>
      </c>
      <c r="R493" s="75">
        <f>F493-F492</f>
        <v>0.0035133136094676054</v>
      </c>
      <c r="S493" s="75">
        <f>0.5*(Q492+Q493)*R493</f>
        <v>0.0036845583002149728</v>
      </c>
      <c r="T493" s="75">
        <f>0.5*(F492*Q492+F493*Q493)*R493</f>
        <v>0.010900416129923464</v>
      </c>
      <c r="U493" s="76">
        <f>U492+S493</f>
        <v>1.965480639442968</v>
      </c>
      <c r="V493" s="76">
        <f>V492+T493</f>
        <v>4.069866520849781</v>
      </c>
    </row>
    <row r="494" spans="1:22" ht="19" customHeight="1">
      <c r="A494" s="68" t="s">
        <v>368</v>
      </c>
      <c r="B494" s="74">
        <v>1</v>
      </c>
      <c r="C494" s="68" t="s">
        <v>363</v>
      </c>
      <c r="D494" s="68" t="s">
        <v>364</v>
      </c>
      <c r="E494" s="75">
        <f>60*F494*'THAM_SO_MOI'!$C$49/(2*PI()*'THAM_SO_MOI'!$C$26)</f>
        <v>1897.9999999999998</v>
      </c>
      <c r="F494" s="75">
        <f>'THAM_SO_MOI'!$E$49+('THAM_SO_MOI'!$F$49-'THAM_SO_MOI'!$E$49)*488/'THAM_SO_MOI'!$C$42</f>
        <v>2.963675213675214</v>
      </c>
      <c r="G494" s="75">
        <f>3.6*F494</f>
        <v>10.66923076923077</v>
      </c>
      <c r="H494" s="75">
        <f>'THAM_SO_MOI'!$D$49</f>
        <v>3.1625000000000005</v>
      </c>
      <c r="I494" s="75">
        <f>IF(F494&gt;'THAM_SO_MOI'!$C$14,'THAM_SO_MOI'!$C$13*(1+F494^2/1500),'THAM_SO_MOI'!$C$13)</f>
        <v>0.015</v>
      </c>
      <c r="J494" s="75">
        <f>'THAM_SO_MOI'!$C$40*('THAM_SO_MOI'!$C$23*(E494/'THAM_SO_MOI'!$C$22)+'THAM_SO_MOI'!$C$24*(E494/'THAM_SO_MOI'!$C$22)^2-'THAM_SO_MOI'!$C$25*(E494/'THAM_SO_MOI'!$C$22)^3)</f>
        <v>84.77978995630403</v>
      </c>
      <c r="K494" s="75">
        <f>'THAM_SO_MOI'!$C$31*J494/E494</f>
        <v>426.6280896711466</v>
      </c>
      <c r="L494" s="75">
        <f>K494*'THAM_SO_MOI'!$C$49*'THAM_SO_MOI'!$C$17/'THAM_SO_MOI'!$C$26</f>
        <v>24319.945102688667</v>
      </c>
      <c r="M494" s="75">
        <f>'THAM_SO_MOI'!$C$15*'THAM_SO_MOI'!$C$16*F494^2</f>
        <v>25.691359508547013</v>
      </c>
      <c r="N494" s="75">
        <f>'THAM_SO_MOI'!$C$12*I494</f>
        <v>1130.112</v>
      </c>
      <c r="O494" s="75">
        <f>M494+N494</f>
        <v>1155.8033595085471</v>
      </c>
      <c r="P494" s="75">
        <f>(MIN(L494,'THAM_SO_MOI'!$C$41)-O494)/('THAM_SO_MOI'!$C$11*H494)</f>
        <v>0.9537278385696688</v>
      </c>
      <c r="Q494" s="75">
        <f>IF(P494&gt;0,1/P494,NA())</f>
        <v>1.0485171550614762</v>
      </c>
      <c r="R494" s="75">
        <f>F494-F493</f>
        <v>0.0035133136094676054</v>
      </c>
      <c r="S494" s="75">
        <f>0.5*(Q493+Q494)*R494</f>
        <v>0.0036840317245525897</v>
      </c>
      <c r="T494" s="75">
        <f>0.5*(F493*Q493+F494*Q494)*R494</f>
        <v>0.010911801468572546</v>
      </c>
      <c r="U494" s="76">
        <f>U493+S494</f>
        <v>1.9691646711675206</v>
      </c>
      <c r="V494" s="76">
        <f>V493+T494</f>
        <v>4.080778322318354</v>
      </c>
    </row>
    <row r="495" spans="1:22" ht="19" customHeight="1">
      <c r="A495" s="68" t="s">
        <v>368</v>
      </c>
      <c r="B495" s="74">
        <v>1</v>
      </c>
      <c r="C495" s="68" t="s">
        <v>363</v>
      </c>
      <c r="D495" s="68" t="s">
        <v>364</v>
      </c>
      <c r="E495" s="75">
        <f>60*F495*'THAM_SO_MOI'!$C$49/(2*PI()*'THAM_SO_MOI'!$C$26)</f>
        <v>1900.2499999999995</v>
      </c>
      <c r="F495" s="75">
        <f>'THAM_SO_MOI'!$E$49+('THAM_SO_MOI'!$F$49-'THAM_SO_MOI'!$E$49)*489/'THAM_SO_MOI'!$C$42</f>
        <v>2.967188527284681</v>
      </c>
      <c r="G495" s="75">
        <f>3.6*F495</f>
        <v>10.681878698224851</v>
      </c>
      <c r="H495" s="75">
        <f>'THAM_SO_MOI'!$D$49</f>
        <v>3.1625000000000005</v>
      </c>
      <c r="I495" s="75">
        <f>IF(F495&gt;'THAM_SO_MOI'!$C$14,'THAM_SO_MOI'!$C$13*(1+F495^2/1500),'THAM_SO_MOI'!$C$13)</f>
        <v>0.015</v>
      </c>
      <c r="J495" s="75">
        <f>'THAM_SO_MOI'!$C$40*('THAM_SO_MOI'!$C$23*(E495/'THAM_SO_MOI'!$C$22)+'THAM_SO_MOI'!$C$24*(E495/'THAM_SO_MOI'!$C$22)^2-'THAM_SO_MOI'!$C$25*(E495/'THAM_SO_MOI'!$C$22)^3)</f>
        <v>84.89191189984678</v>
      </c>
      <c r="K495" s="75">
        <f>'THAM_SO_MOI'!$C$31*J495/E495</f>
        <v>426.68648962439494</v>
      </c>
      <c r="L495" s="75">
        <f>K495*'THAM_SO_MOI'!$C$49*'THAM_SO_MOI'!$C$17/'THAM_SO_MOI'!$C$26</f>
        <v>24323.274193508947</v>
      </c>
      <c r="M495" s="75">
        <f>'THAM_SO_MOI'!$C$15*'THAM_SO_MOI'!$C$16*F495^2</f>
        <v>25.75230768761577</v>
      </c>
      <c r="N495" s="75">
        <f>'THAM_SO_MOI'!$C$12*I495</f>
        <v>1130.112</v>
      </c>
      <c r="O495" s="75">
        <f>M495+N495</f>
        <v>1155.8643076876158</v>
      </c>
      <c r="P495" s="75">
        <f>(MIN(L495,'THAM_SO_MOI'!$C$41)-O495)/('THAM_SO_MOI'!$C$11*H495)</f>
        <v>0.9538623964847384</v>
      </c>
      <c r="Q495" s="75">
        <f>IF(P495&gt;0,1/P495,NA())</f>
        <v>1.0483692445422863</v>
      </c>
      <c r="R495" s="75">
        <f>F495-F494</f>
        <v>0.0035133136094671613</v>
      </c>
      <c r="S495" s="75">
        <f>0.5*(Q494+Q495)*R495</f>
        <v>0.0036835097626172477</v>
      </c>
      <c r="T495" s="75">
        <f>0.5*(F494*Q494+F495*Q495)*R495</f>
        <v>0.010923196788860553</v>
      </c>
      <c r="U495" s="76">
        <f>U494+S495</f>
        <v>1.972848180930138</v>
      </c>
      <c r="V495" s="76">
        <f>V494+T495</f>
        <v>4.091701519107215</v>
      </c>
    </row>
    <row r="496" spans="1:22" ht="19" customHeight="1">
      <c r="A496" s="68" t="s">
        <v>368</v>
      </c>
      <c r="B496" s="74">
        <v>1</v>
      </c>
      <c r="C496" s="68" t="s">
        <v>363</v>
      </c>
      <c r="D496" s="68" t="s">
        <v>364</v>
      </c>
      <c r="E496" s="75">
        <f>60*F496*'THAM_SO_MOI'!$C$49/(2*PI()*'THAM_SO_MOI'!$C$26)</f>
        <v>1902.4999999999998</v>
      </c>
      <c r="F496" s="75">
        <f>'THAM_SO_MOI'!$E$49+('THAM_SO_MOI'!$F$49-'THAM_SO_MOI'!$E$49)*490/'THAM_SO_MOI'!$C$42</f>
        <v>2.9707018408941486</v>
      </c>
      <c r="G496" s="75">
        <f>3.6*F496</f>
        <v>10.694526627218934</v>
      </c>
      <c r="H496" s="75">
        <f>'THAM_SO_MOI'!$D$49</f>
        <v>3.1625000000000005</v>
      </c>
      <c r="I496" s="75">
        <f>IF(F496&gt;'THAM_SO_MOI'!$C$14,'THAM_SO_MOI'!$C$13*(1+F496^2/1500),'THAM_SO_MOI'!$C$13)</f>
        <v>0.015</v>
      </c>
      <c r="J496" s="75">
        <f>'THAM_SO_MOI'!$C$40*('THAM_SO_MOI'!$C$23*(E496/'THAM_SO_MOI'!$C$22)+'THAM_SO_MOI'!$C$24*(E496/'THAM_SO_MOI'!$C$22)^2-'THAM_SO_MOI'!$C$25*(E496/'THAM_SO_MOI'!$C$22)^3)</f>
        <v>85.00396352787808</v>
      </c>
      <c r="K496" s="75">
        <f>'THAM_SO_MOI'!$C$31*J496/E496</f>
        <v>426.74439843958453</v>
      </c>
      <c r="L496" s="75">
        <f>K496*'THAM_SO_MOI'!$C$49*'THAM_SO_MOI'!$C$17/'THAM_SO_MOI'!$C$26</f>
        <v>24326.5752869917</v>
      </c>
      <c r="M496" s="75">
        <f>'THAM_SO_MOI'!$C$15*'THAM_SO_MOI'!$C$16*F496^2</f>
        <v>25.81332807541376</v>
      </c>
      <c r="N496" s="75">
        <f>'THAM_SO_MOI'!$C$12*I496</f>
        <v>1130.112</v>
      </c>
      <c r="O496" s="75">
        <f>M496+N496</f>
        <v>1155.9253280754137</v>
      </c>
      <c r="P496" s="75">
        <f>(MIN(L496,'THAM_SO_MOI'!$C$41)-O496)/('THAM_SO_MOI'!$C$11*H496)</f>
        <v>0.9539957987037336</v>
      </c>
      <c r="Q496" s="75">
        <f>IF(P496&gt;0,1/P496,NA())</f>
        <v>1.0482226455910768</v>
      </c>
      <c r="R496" s="75">
        <f>F496-F495</f>
        <v>0.0035133136094676054</v>
      </c>
      <c r="S496" s="75">
        <f>0.5*(Q495+Q496)*R496</f>
        <v>0.0036829924105524774</v>
      </c>
      <c r="T496" s="75">
        <f>0.5*(F495*Q495+F496*Q496)*R496</f>
        <v>0.010934602127966276</v>
      </c>
      <c r="U496" s="76">
        <f>U495+S496</f>
        <v>1.9765311733406905</v>
      </c>
      <c r="V496" s="76">
        <f>V495+T496</f>
        <v>4.1026361212351805</v>
      </c>
    </row>
    <row r="497" spans="1:22" ht="19" customHeight="1">
      <c r="A497" s="68" t="s">
        <v>368</v>
      </c>
      <c r="B497" s="74">
        <v>1</v>
      </c>
      <c r="C497" s="68" t="s">
        <v>363</v>
      </c>
      <c r="D497" s="68" t="s">
        <v>364</v>
      </c>
      <c r="E497" s="75">
        <f>60*F497*'THAM_SO_MOI'!$C$49/(2*PI()*'THAM_SO_MOI'!$C$26)</f>
        <v>1904.7499999999995</v>
      </c>
      <c r="F497" s="75">
        <f>'THAM_SO_MOI'!$E$49+('THAM_SO_MOI'!$F$49-'THAM_SO_MOI'!$E$49)*491/'THAM_SO_MOI'!$C$42</f>
        <v>2.974215154503616</v>
      </c>
      <c r="G497" s="75">
        <f>3.6*F497</f>
        <v>10.707174556213019</v>
      </c>
      <c r="H497" s="75">
        <f>'THAM_SO_MOI'!$D$49</f>
        <v>3.1625000000000005</v>
      </c>
      <c r="I497" s="75">
        <f>IF(F497&gt;'THAM_SO_MOI'!$C$14,'THAM_SO_MOI'!$C$13*(1+F497^2/1500),'THAM_SO_MOI'!$C$13)</f>
        <v>0.015</v>
      </c>
      <c r="J497" s="75">
        <f>'THAM_SO_MOI'!$C$40*('THAM_SO_MOI'!$C$23*(E497/'THAM_SO_MOI'!$C$22)+'THAM_SO_MOI'!$C$24*(E497/'THAM_SO_MOI'!$C$22)^2-'THAM_SO_MOI'!$C$25*(E497/'THAM_SO_MOI'!$C$22)^3)</f>
        <v>85.1159444932984</v>
      </c>
      <c r="K497" s="75">
        <f>'THAM_SO_MOI'!$C$31*J497/E497</f>
        <v>426.8018161167154</v>
      </c>
      <c r="L497" s="75">
        <f>K497*'THAM_SO_MOI'!$C$49*'THAM_SO_MOI'!$C$17/'THAM_SO_MOI'!$C$26</f>
        <v>24329.848383136923</v>
      </c>
      <c r="M497" s="75">
        <f>'THAM_SO_MOI'!$C$15*'THAM_SO_MOI'!$C$16*F497^2</f>
        <v>25.87442067194099</v>
      </c>
      <c r="N497" s="75">
        <f>'THAM_SO_MOI'!$C$12*I497</f>
        <v>1130.112</v>
      </c>
      <c r="O497" s="75">
        <f>M497+N497</f>
        <v>1155.986420671941</v>
      </c>
      <c r="P497" s="75">
        <f>(MIN(L497,'THAM_SO_MOI'!$C$41)-O497)/('THAM_SO_MOI'!$C$11*H497)</f>
        <v>0.9541280452266542</v>
      </c>
      <c r="Q497" s="75">
        <f>IF(P497&gt;0,1/P497,NA())</f>
        <v>1.0480773571250062</v>
      </c>
      <c r="R497" s="75">
        <f>F497-F496</f>
        <v>0.0035133136094676054</v>
      </c>
      <c r="S497" s="75">
        <f>0.5*(Q496+Q497)*R497</f>
        <v>0.0036824796645346957</v>
      </c>
      <c r="T497" s="75">
        <f>0.5*(F496*Q496+F497*Q497)*R497</f>
        <v>0.010946017523112072</v>
      </c>
      <c r="U497" s="76">
        <f>U496+S497</f>
        <v>1.9802136530052252</v>
      </c>
      <c r="V497" s="76">
        <f>V496+T497</f>
        <v>4.113582138758293</v>
      </c>
    </row>
    <row r="498" spans="1:22" ht="19" customHeight="1">
      <c r="A498" s="68" t="s">
        <v>368</v>
      </c>
      <c r="B498" s="74">
        <v>1</v>
      </c>
      <c r="C498" s="68" t="s">
        <v>363</v>
      </c>
      <c r="D498" s="68" t="s">
        <v>364</v>
      </c>
      <c r="E498" s="75">
        <f>60*F498*'THAM_SO_MOI'!$C$49/(2*PI()*'THAM_SO_MOI'!$C$26)</f>
        <v>1906.9999999999995</v>
      </c>
      <c r="F498" s="75">
        <f>'THAM_SO_MOI'!$E$49+('THAM_SO_MOI'!$F$49-'THAM_SO_MOI'!$E$49)*492/'THAM_SO_MOI'!$C$42</f>
        <v>2.9777284681130833</v>
      </c>
      <c r="G498" s="75">
        <f>3.6*F498</f>
        <v>10.7198224852071</v>
      </c>
      <c r="H498" s="75">
        <f>'THAM_SO_MOI'!$D$49</f>
        <v>3.1625000000000005</v>
      </c>
      <c r="I498" s="75">
        <f>IF(F498&gt;'THAM_SO_MOI'!$C$14,'THAM_SO_MOI'!$C$13*(1+F498^2/1500),'THAM_SO_MOI'!$C$13)</f>
        <v>0.015</v>
      </c>
      <c r="J498" s="75">
        <f>'THAM_SO_MOI'!$C$40*('THAM_SO_MOI'!$C$23*(E498/'THAM_SO_MOI'!$C$22)+'THAM_SO_MOI'!$C$24*(E498/'THAM_SO_MOI'!$C$22)^2-'THAM_SO_MOI'!$C$25*(E498/'THAM_SO_MOI'!$C$22)^3)</f>
        <v>85.22785444900818</v>
      </c>
      <c r="K498" s="75">
        <f>'THAM_SO_MOI'!$C$31*J498/E498</f>
        <v>426.8587426557874</v>
      </c>
      <c r="L498" s="75">
        <f>K498*'THAM_SO_MOI'!$C$49*'THAM_SO_MOI'!$C$17/'THAM_SO_MOI'!$C$26</f>
        <v>24333.093481944616</v>
      </c>
      <c r="M498" s="75">
        <f>'THAM_SO_MOI'!$C$15*'THAM_SO_MOI'!$C$16*F498^2</f>
        <v>25.93558547719744</v>
      </c>
      <c r="N498" s="75">
        <f>'THAM_SO_MOI'!$C$12*I498</f>
        <v>1130.112</v>
      </c>
      <c r="O498" s="75">
        <f>M498+N498</f>
        <v>1156.0475854771976</v>
      </c>
      <c r="P498" s="75">
        <f>(MIN(L498,'THAM_SO_MOI'!$C$41)-O498)/('THAM_SO_MOI'!$C$11*H498)</f>
        <v>0.9542591360535003</v>
      </c>
      <c r="Q498" s="75">
        <f>IF(P498&gt;0,1/P498,NA())</f>
        <v>1.0479333780713578</v>
      </c>
      <c r="R498" s="75">
        <f>F498-F497</f>
        <v>0.0035133136094671613</v>
      </c>
      <c r="S498" s="75">
        <f>0.5*(Q497+Q498)*R498</f>
        <v>0.003681971520777328</v>
      </c>
      <c r="T498" s="75">
        <f>0.5*(F497*Q497+F498*Q498)*R498</f>
        <v>0.01095744301157669</v>
      </c>
      <c r="U498" s="76">
        <f>U497+S498</f>
        <v>1.9838956245260027</v>
      </c>
      <c r="V498" s="76">
        <f>V497+T498</f>
        <v>4.12453958176987</v>
      </c>
    </row>
    <row r="499" spans="1:22" ht="19" customHeight="1">
      <c r="A499" s="68" t="s">
        <v>368</v>
      </c>
      <c r="B499" s="74">
        <v>1</v>
      </c>
      <c r="C499" s="68" t="s">
        <v>363</v>
      </c>
      <c r="D499" s="68" t="s">
        <v>364</v>
      </c>
      <c r="E499" s="75">
        <f>60*F499*'THAM_SO_MOI'!$C$49/(2*PI()*'THAM_SO_MOI'!$C$26)</f>
        <v>1909.2499999999998</v>
      </c>
      <c r="F499" s="75">
        <f>'THAM_SO_MOI'!$E$49+('THAM_SO_MOI'!$F$49-'THAM_SO_MOI'!$E$49)*493/'THAM_SO_MOI'!$C$42</f>
        <v>2.981241781722551</v>
      </c>
      <c r="G499" s="75">
        <f>3.6*F499</f>
        <v>10.732470414201183</v>
      </c>
      <c r="H499" s="75">
        <f>'THAM_SO_MOI'!$D$49</f>
        <v>3.1625000000000005</v>
      </c>
      <c r="I499" s="75">
        <f>IF(F499&gt;'THAM_SO_MOI'!$C$14,'THAM_SO_MOI'!$C$13*(1+F499^2/1500),'THAM_SO_MOI'!$C$13)</f>
        <v>0.015</v>
      </c>
      <c r="J499" s="75">
        <f>'THAM_SO_MOI'!$C$40*('THAM_SO_MOI'!$C$23*(E499/'THAM_SO_MOI'!$C$22)+'THAM_SO_MOI'!$C$24*(E499/'THAM_SO_MOI'!$C$22)^2-'THAM_SO_MOI'!$C$25*(E499/'THAM_SO_MOI'!$C$22)^3)</f>
        <v>85.33969304790787</v>
      </c>
      <c r="K499" s="75">
        <f>'THAM_SO_MOI'!$C$31*J499/E499</f>
        <v>426.9151780568005</v>
      </c>
      <c r="L499" s="75">
        <f>K499*'THAM_SO_MOI'!$C$49*'THAM_SO_MOI'!$C$17/'THAM_SO_MOI'!$C$26</f>
        <v>24336.31058341476</v>
      </c>
      <c r="M499" s="75">
        <f>'THAM_SO_MOI'!$C$15*'THAM_SO_MOI'!$C$16*F499^2</f>
        <v>25.996822491183135</v>
      </c>
      <c r="N499" s="75">
        <f>'THAM_SO_MOI'!$C$12*I499</f>
        <v>1130.112</v>
      </c>
      <c r="O499" s="75">
        <f>M499+N499</f>
        <v>1156.1088224911832</v>
      </c>
      <c r="P499" s="75">
        <f>(MIN(L499,'THAM_SO_MOI'!$C$41)-O499)/('THAM_SO_MOI'!$C$11*H499)</f>
        <v>0.954389071184271</v>
      </c>
      <c r="Q499" s="75">
        <f>IF(P499&gt;0,1/P499,NA())</f>
        <v>1.0477907073675223</v>
      </c>
      <c r="R499" s="75">
        <f>F499-F498</f>
        <v>0.0035133136094676054</v>
      </c>
      <c r="S499" s="75">
        <f>0.5*(Q498+Q499)*R499</f>
        <v>0.0036814679755307342</v>
      </c>
      <c r="T499" s="75">
        <f>0.5*(F498*Q498+F499*Q499)*R499</f>
        <v>0.010968878630695721</v>
      </c>
      <c r="U499" s="76">
        <f>U498+S499</f>
        <v>1.9875770925015335</v>
      </c>
      <c r="V499" s="76">
        <f>V498+T499</f>
        <v>4.135508460400565</v>
      </c>
    </row>
    <row r="500" spans="1:22" ht="19" customHeight="1">
      <c r="A500" s="68" t="s">
        <v>368</v>
      </c>
      <c r="B500" s="74">
        <v>1</v>
      </c>
      <c r="C500" s="68" t="s">
        <v>363</v>
      </c>
      <c r="D500" s="68" t="s">
        <v>364</v>
      </c>
      <c r="E500" s="75">
        <f>60*F500*'THAM_SO_MOI'!$C$49/(2*PI()*'THAM_SO_MOI'!$C$26)</f>
        <v>1911.5</v>
      </c>
      <c r="F500" s="75">
        <f>'THAM_SO_MOI'!$E$49+('THAM_SO_MOI'!$F$49-'THAM_SO_MOI'!$E$49)*494/'THAM_SO_MOI'!$C$42</f>
        <v>2.9847550953320185</v>
      </c>
      <c r="G500" s="75">
        <f>3.6*F500</f>
        <v>10.745118343195267</v>
      </c>
      <c r="H500" s="75">
        <f>'THAM_SO_MOI'!$D$49</f>
        <v>3.1625000000000005</v>
      </c>
      <c r="I500" s="75">
        <f>IF(F500&gt;'THAM_SO_MOI'!$C$14,'THAM_SO_MOI'!$C$13*(1+F500^2/1500),'THAM_SO_MOI'!$C$13)</f>
        <v>0.015</v>
      </c>
      <c r="J500" s="75">
        <f>'THAM_SO_MOI'!$C$40*('THAM_SO_MOI'!$C$23*(E500/'THAM_SO_MOI'!$C$22)+'THAM_SO_MOI'!$C$24*(E500/'THAM_SO_MOI'!$C$22)^2-'THAM_SO_MOI'!$C$25*(E500/'THAM_SO_MOI'!$C$22)^3)</f>
        <v>85.45145994289796</v>
      </c>
      <c r="K500" s="75">
        <f>'THAM_SO_MOI'!$C$31*J500/E500</f>
        <v>426.971122319755</v>
      </c>
      <c r="L500" s="75">
        <f>K500*'THAM_SO_MOI'!$C$49*'THAM_SO_MOI'!$C$17/'THAM_SO_MOI'!$C$26</f>
        <v>24339.499687547388</v>
      </c>
      <c r="M500" s="75">
        <f>'THAM_SO_MOI'!$C$15*'THAM_SO_MOI'!$C$16*F500^2</f>
        <v>26.05813171389806</v>
      </c>
      <c r="N500" s="75">
        <f>'THAM_SO_MOI'!$C$12*I500</f>
        <v>1130.112</v>
      </c>
      <c r="O500" s="75">
        <f>M500+N500</f>
        <v>1156.1701317138982</v>
      </c>
      <c r="P500" s="75">
        <f>(MIN(L500,'THAM_SO_MOI'!$C$41)-O500)/('THAM_SO_MOI'!$C$11*H500)</f>
        <v>0.9545178506189677</v>
      </c>
      <c r="Q500" s="75">
        <f>IF(P500&gt;0,1/P500,NA())</f>
        <v>1.0476493439609735</v>
      </c>
      <c r="R500" s="75">
        <f>F500-F499</f>
        <v>0.0035133136094676054</v>
      </c>
      <c r="S500" s="75">
        <f>0.5*(Q499+Q500)*R500</f>
        <v>0.0036809690250779515</v>
      </c>
      <c r="T500" s="75">
        <f>0.5*(F499*Q499+F500*Q500)*R500</f>
        <v>0.010980324417849532</v>
      </c>
      <c r="U500" s="76">
        <f>U499+S500</f>
        <v>1.9912580615266113</v>
      </c>
      <c r="V500" s="76">
        <f>V499+T500</f>
        <v>4.146488784818415</v>
      </c>
    </row>
    <row r="501" spans="1:22" ht="19" customHeight="1">
      <c r="A501" s="68" t="s">
        <v>368</v>
      </c>
      <c r="B501" s="74">
        <v>1</v>
      </c>
      <c r="C501" s="68" t="s">
        <v>363</v>
      </c>
      <c r="D501" s="68" t="s">
        <v>364</v>
      </c>
      <c r="E501" s="75">
        <f>60*F501*'THAM_SO_MOI'!$C$49/(2*PI()*'THAM_SO_MOI'!$C$26)</f>
        <v>1913.7499999999998</v>
      </c>
      <c r="F501" s="75">
        <f>'THAM_SO_MOI'!$E$49+('THAM_SO_MOI'!$F$49-'THAM_SO_MOI'!$E$49)*495/'THAM_SO_MOI'!$C$42</f>
        <v>2.9882684089414857</v>
      </c>
      <c r="G501" s="75">
        <f>3.6*F501</f>
        <v>10.757766272189349</v>
      </c>
      <c r="H501" s="75">
        <f>'THAM_SO_MOI'!$D$49</f>
        <v>3.1625000000000005</v>
      </c>
      <c r="I501" s="75">
        <f>IF(F501&gt;'THAM_SO_MOI'!$C$14,'THAM_SO_MOI'!$C$13*(1+F501^2/1500),'THAM_SO_MOI'!$C$13)</f>
        <v>0.015</v>
      </c>
      <c r="J501" s="75">
        <f>'THAM_SO_MOI'!$C$40*('THAM_SO_MOI'!$C$23*(E501/'THAM_SO_MOI'!$C$22)+'THAM_SO_MOI'!$C$24*(E501/'THAM_SO_MOI'!$C$22)^2-'THAM_SO_MOI'!$C$25*(E501/'THAM_SO_MOI'!$C$22)^3)</f>
        <v>85.56315478687887</v>
      </c>
      <c r="K501" s="75">
        <f>'THAM_SO_MOI'!$C$31*J501/E501</f>
        <v>427.0265754446508</v>
      </c>
      <c r="L501" s="75">
        <f>K501*'THAM_SO_MOI'!$C$49*'THAM_SO_MOI'!$C$17/'THAM_SO_MOI'!$C$26</f>
        <v>24342.66079434248</v>
      </c>
      <c r="M501" s="75">
        <f>'THAM_SO_MOI'!$C$15*'THAM_SO_MOI'!$C$16*F501^2</f>
        <v>26.119513145342214</v>
      </c>
      <c r="N501" s="75">
        <f>'THAM_SO_MOI'!$C$12*I501</f>
        <v>1130.112</v>
      </c>
      <c r="O501" s="75">
        <f>M501+N501</f>
        <v>1156.2315131453422</v>
      </c>
      <c r="P501" s="75">
        <f>(MIN(L501,'THAM_SO_MOI'!$C$41)-O501)/('THAM_SO_MOI'!$C$11*H501)</f>
        <v>0.9546454743575894</v>
      </c>
      <c r="Q501" s="75">
        <f>IF(P501&gt;0,1/P501,NA())</f>
        <v>1.0475092868092535</v>
      </c>
      <c r="R501" s="75">
        <f>F501-F500</f>
        <v>0.0035133136094671613</v>
      </c>
      <c r="S501" s="75">
        <f>0.5*(Q500+Q501)*R501</f>
        <v>0.0036804746657388104</v>
      </c>
      <c r="T501" s="75">
        <f>0.5*(F500*Q500+F501*Q501)*R501</f>
        <v>0.010991780410476144</v>
      </c>
      <c r="U501" s="76">
        <f>U500+S501</f>
        <v>1.9949385361923502</v>
      </c>
      <c r="V501" s="76">
        <f>V500+T501</f>
        <v>4.157480565228892</v>
      </c>
    </row>
    <row r="502" spans="1:22" ht="19" customHeight="1">
      <c r="A502" s="68" t="s">
        <v>368</v>
      </c>
      <c r="B502" s="74">
        <v>1</v>
      </c>
      <c r="C502" s="68" t="s">
        <v>363</v>
      </c>
      <c r="D502" s="68" t="s">
        <v>364</v>
      </c>
      <c r="E502" s="75">
        <f>60*F502*'THAM_SO_MOI'!$C$49/(2*PI()*'THAM_SO_MOI'!$C$26)</f>
        <v>1915.9999999999998</v>
      </c>
      <c r="F502" s="75">
        <f>'THAM_SO_MOI'!$E$49+('THAM_SO_MOI'!$F$49-'THAM_SO_MOI'!$E$49)*496/'THAM_SO_MOI'!$C$42</f>
        <v>2.9917817225509533</v>
      </c>
      <c r="G502" s="75">
        <f>3.6*F502</f>
        <v>10.770414201183431</v>
      </c>
      <c r="H502" s="75">
        <f>'THAM_SO_MOI'!$D$49</f>
        <v>3.1625000000000005</v>
      </c>
      <c r="I502" s="75">
        <f>IF(F502&gt;'THAM_SO_MOI'!$C$14,'THAM_SO_MOI'!$C$13*(1+F502^2/1500),'THAM_SO_MOI'!$C$13)</f>
        <v>0.015</v>
      </c>
      <c r="J502" s="75">
        <f>'THAM_SO_MOI'!$C$40*('THAM_SO_MOI'!$C$23*(E502/'THAM_SO_MOI'!$C$22)+'THAM_SO_MOI'!$C$24*(E502/'THAM_SO_MOI'!$C$22)^2-'THAM_SO_MOI'!$C$25*(E502/'THAM_SO_MOI'!$C$22)^3)</f>
        <v>85.67477723275104</v>
      </c>
      <c r="K502" s="75">
        <f>'THAM_SO_MOI'!$C$31*J502/E502</f>
        <v>427.0815374314877</v>
      </c>
      <c r="L502" s="75">
        <f>K502*'THAM_SO_MOI'!$C$49*'THAM_SO_MOI'!$C$17/'THAM_SO_MOI'!$C$26</f>
        <v>24345.793903800033</v>
      </c>
      <c r="M502" s="75">
        <f>'THAM_SO_MOI'!$C$15*'THAM_SO_MOI'!$C$16*F502^2</f>
        <v>26.180966785515604</v>
      </c>
      <c r="N502" s="75">
        <f>'THAM_SO_MOI'!$C$12*I502</f>
        <v>1130.112</v>
      </c>
      <c r="O502" s="75">
        <f>M502+N502</f>
        <v>1156.2929667855158</v>
      </c>
      <c r="P502" s="75">
        <f>(MIN(L502,'THAM_SO_MOI'!$C$41)-O502)/('THAM_SO_MOI'!$C$11*H502)</f>
        <v>0.9547719424001364</v>
      </c>
      <c r="Q502" s="75">
        <f>IF(P502&gt;0,1/P502,NA())</f>
        <v>1.0473705348799502</v>
      </c>
      <c r="R502" s="75">
        <f>F502-F501</f>
        <v>0.0035133136094676054</v>
      </c>
      <c r="S502" s="75">
        <f>0.5*(Q501+Q502)*R502</f>
        <v>0.0036799848938698747</v>
      </c>
      <c r="T502" s="75">
        <f>0.5*(F501*Q501+F502*Q502)*R502</f>
        <v>0.011003246646071682</v>
      </c>
      <c r="U502" s="76">
        <f>U501+S502</f>
        <v>1.99861852108622</v>
      </c>
      <c r="V502" s="76">
        <f>V501+T502</f>
        <v>4.168483811874964</v>
      </c>
    </row>
    <row r="503" spans="1:22" ht="19" customHeight="1">
      <c r="A503" s="68" t="s">
        <v>368</v>
      </c>
      <c r="B503" s="74">
        <v>1</v>
      </c>
      <c r="C503" s="68" t="s">
        <v>363</v>
      </c>
      <c r="D503" s="68" t="s">
        <v>364</v>
      </c>
      <c r="E503" s="75">
        <f>60*F503*'THAM_SO_MOI'!$C$49/(2*PI()*'THAM_SO_MOI'!$C$26)</f>
        <v>1918.25</v>
      </c>
      <c r="F503" s="75">
        <f>'THAM_SO_MOI'!$E$49+('THAM_SO_MOI'!$F$49-'THAM_SO_MOI'!$E$49)*497/'THAM_SO_MOI'!$C$42</f>
        <v>2.995295036160421</v>
      </c>
      <c r="G503" s="75">
        <f>3.6*F503</f>
        <v>10.783062130177516</v>
      </c>
      <c r="H503" s="75">
        <f>'THAM_SO_MOI'!$D$49</f>
        <v>3.1625000000000005</v>
      </c>
      <c r="I503" s="75">
        <f>IF(F503&gt;'THAM_SO_MOI'!$C$14,'THAM_SO_MOI'!$C$13*(1+F503^2/1500),'THAM_SO_MOI'!$C$13)</f>
        <v>0.015</v>
      </c>
      <c r="J503" s="75">
        <f>'THAM_SO_MOI'!$C$40*('THAM_SO_MOI'!$C$23*(E503/'THAM_SO_MOI'!$C$22)+'THAM_SO_MOI'!$C$24*(E503/'THAM_SO_MOI'!$C$22)^2-'THAM_SO_MOI'!$C$25*(E503/'THAM_SO_MOI'!$C$22)^3)</f>
        <v>85.78632693341501</v>
      </c>
      <c r="K503" s="75">
        <f>'THAM_SO_MOI'!$C$31*J503/E503</f>
        <v>427.1360082802659</v>
      </c>
      <c r="L503" s="75">
        <f>K503*'THAM_SO_MOI'!$C$49*'THAM_SO_MOI'!$C$17/'THAM_SO_MOI'!$C$26</f>
        <v>24348.899015920062</v>
      </c>
      <c r="M503" s="75">
        <f>'THAM_SO_MOI'!$C$15*'THAM_SO_MOI'!$C$16*F503^2</f>
        <v>26.24249263441823</v>
      </c>
      <c r="N503" s="75">
        <f>'THAM_SO_MOI'!$C$12*I503</f>
        <v>1130.112</v>
      </c>
      <c r="O503" s="75">
        <f>M503+N503</f>
        <v>1156.3544926344184</v>
      </c>
      <c r="P503" s="75">
        <f>(MIN(L503,'THAM_SO_MOI'!$C$41)-O503)/('THAM_SO_MOI'!$C$11*H503)</f>
        <v>0.954897254746609</v>
      </c>
      <c r="Q503" s="75">
        <f>IF(P503&gt;0,1/P503,NA())</f>
        <v>1.0472330871506792</v>
      </c>
      <c r="R503" s="75">
        <f>F503-F502</f>
        <v>0.0035133136094676054</v>
      </c>
      <c r="S503" s="75">
        <f>0.5*(Q502+Q503)*R503</f>
        <v>0.003679499705860175</v>
      </c>
      <c r="T503" s="75">
        <f>0.5*(F502*Q502+F503*Q503)*R503</f>
        <v>0.011014723162178264</v>
      </c>
      <c r="U503" s="76">
        <f>U502+S503</f>
        <v>2.00229802079208</v>
      </c>
      <c r="V503" s="76">
        <f>V502+T503</f>
        <v>4.179498535037142</v>
      </c>
    </row>
    <row r="504" spans="1:22" ht="19" customHeight="1">
      <c r="A504" s="68" t="s">
        <v>368</v>
      </c>
      <c r="B504" s="74">
        <v>1</v>
      </c>
      <c r="C504" s="68" t="s">
        <v>363</v>
      </c>
      <c r="D504" s="68" t="s">
        <v>364</v>
      </c>
      <c r="E504" s="75">
        <f>60*F504*'THAM_SO_MOI'!$C$49/(2*PI()*'THAM_SO_MOI'!$C$26)</f>
        <v>1920.4999999999998</v>
      </c>
      <c r="F504" s="75">
        <f>'THAM_SO_MOI'!$E$49+('THAM_SO_MOI'!$F$49-'THAM_SO_MOI'!$E$49)*498/'THAM_SO_MOI'!$C$42</f>
        <v>2.998808349769888</v>
      </c>
      <c r="G504" s="75">
        <f>3.6*F504</f>
        <v>10.795710059171597</v>
      </c>
      <c r="H504" s="75">
        <f>'THAM_SO_MOI'!$D$49</f>
        <v>3.1625000000000005</v>
      </c>
      <c r="I504" s="75">
        <f>IF(F504&gt;'THAM_SO_MOI'!$C$14,'THAM_SO_MOI'!$C$13*(1+F504^2/1500),'THAM_SO_MOI'!$C$13)</f>
        <v>0.015</v>
      </c>
      <c r="J504" s="75">
        <f>'THAM_SO_MOI'!$C$40*('THAM_SO_MOI'!$C$23*(E504/'THAM_SO_MOI'!$C$22)+'THAM_SO_MOI'!$C$24*(E504/'THAM_SO_MOI'!$C$22)^2-'THAM_SO_MOI'!$C$25*(E504/'THAM_SO_MOI'!$C$22)^3)</f>
        <v>85.89780354177114</v>
      </c>
      <c r="K504" s="75">
        <f>'THAM_SO_MOI'!$C$31*J504/E504</f>
        <v>427.1899879909853</v>
      </c>
      <c r="L504" s="75">
        <f>K504*'THAM_SO_MOI'!$C$49*'THAM_SO_MOI'!$C$17/'THAM_SO_MOI'!$C$26</f>
        <v>24351.976130702562</v>
      </c>
      <c r="M504" s="75">
        <f>'THAM_SO_MOI'!$C$15*'THAM_SO_MOI'!$C$16*F504^2</f>
        <v>26.304090692050078</v>
      </c>
      <c r="N504" s="75">
        <f>'THAM_SO_MOI'!$C$12*I504</f>
        <v>1130.112</v>
      </c>
      <c r="O504" s="75">
        <f>M504+N504</f>
        <v>1156.4160906920501</v>
      </c>
      <c r="P504" s="75">
        <f>(MIN(L504,'THAM_SO_MOI'!$C$41)-O504)/('THAM_SO_MOI'!$C$11*H504)</f>
        <v>0.955021411397007</v>
      </c>
      <c r="Q504" s="75">
        <f>IF(P504&gt;0,1/P504,NA())</f>
        <v>1.0470969426090648</v>
      </c>
      <c r="R504" s="75">
        <f>F504-F503</f>
        <v>0.0035133136094671613</v>
      </c>
      <c r="S504" s="75">
        <f>0.5*(Q503+Q504)*R504</f>
        <v>0.003679019098135337</v>
      </c>
      <c r="T504" s="75">
        <f>0.5*(F503*Q503+F504*Q504)*R504</f>
        <v>0.011026209996396948</v>
      </c>
      <c r="U504" s="76">
        <f>U503+S504</f>
        <v>2.0059770398902157</v>
      </c>
      <c r="V504" s="76">
        <f>V503+T504</f>
        <v>4.19052474503354</v>
      </c>
    </row>
    <row r="505" spans="1:22" ht="19" customHeight="1">
      <c r="A505" s="68" t="s">
        <v>368</v>
      </c>
      <c r="B505" s="74">
        <v>1</v>
      </c>
      <c r="C505" s="68" t="s">
        <v>363</v>
      </c>
      <c r="D505" s="68" t="s">
        <v>364</v>
      </c>
      <c r="E505" s="75">
        <f>60*F505*'THAM_SO_MOI'!$C$49/(2*PI()*'THAM_SO_MOI'!$C$26)</f>
        <v>1922.75</v>
      </c>
      <c r="F505" s="75">
        <f>'THAM_SO_MOI'!$E$49+('THAM_SO_MOI'!$F$49-'THAM_SO_MOI'!$E$49)*499/'THAM_SO_MOI'!$C$42</f>
        <v>3.002321663379356</v>
      </c>
      <c r="G505" s="75">
        <f>3.6*F505</f>
        <v>10.808357988165682</v>
      </c>
      <c r="H505" s="75">
        <f>'THAM_SO_MOI'!$D$49</f>
        <v>3.1625000000000005</v>
      </c>
      <c r="I505" s="75">
        <f>IF(F505&gt;'THAM_SO_MOI'!$C$14,'THAM_SO_MOI'!$C$13*(1+F505^2/1500),'THAM_SO_MOI'!$C$13)</f>
        <v>0.015</v>
      </c>
      <c r="J505" s="75">
        <f>'THAM_SO_MOI'!$C$40*('THAM_SO_MOI'!$C$23*(E505/'THAM_SO_MOI'!$C$22)+'THAM_SO_MOI'!$C$24*(E505/'THAM_SO_MOI'!$C$22)^2-'THAM_SO_MOI'!$C$25*(E505/'THAM_SO_MOI'!$C$22)^3)</f>
        <v>86.00920671071991</v>
      </c>
      <c r="K505" s="75">
        <f>'THAM_SO_MOI'!$C$31*J505/E505</f>
        <v>427.24347656364574</v>
      </c>
      <c r="L505" s="75">
        <f>K505*'THAM_SO_MOI'!$C$49*'THAM_SO_MOI'!$C$17/'THAM_SO_MOI'!$C$26</f>
        <v>24355.025248147515</v>
      </c>
      <c r="M505" s="75">
        <f>'THAM_SO_MOI'!$C$15*'THAM_SO_MOI'!$C$16*F505^2</f>
        <v>26.365760958411183</v>
      </c>
      <c r="N505" s="75">
        <f>'THAM_SO_MOI'!$C$12*I505</f>
        <v>1130.112</v>
      </c>
      <c r="O505" s="75">
        <f>M505+N505</f>
        <v>1156.4777609584112</v>
      </c>
      <c r="P505" s="75">
        <f>(MIN(L505,'THAM_SO_MOI'!$C$41)-O505)/('THAM_SO_MOI'!$C$11*H505)</f>
        <v>0.9551444123513299</v>
      </c>
      <c r="Q505" s="75">
        <f>IF(P505&gt;0,1/P505,NA())</f>
        <v>1.0469621002527219</v>
      </c>
      <c r="R505" s="75">
        <f>F505-F504</f>
        <v>0.0035133136094680495</v>
      </c>
      <c r="S505" s="75">
        <f>0.5*(Q504+Q505)*R505</f>
        <v>0.0036785430671579765</v>
      </c>
      <c r="T505" s="75">
        <f>0.5*(F504*Q504+F505*Q505)*R505</f>
        <v>0.011037707186389545</v>
      </c>
      <c r="U505" s="76">
        <f>U504+S505</f>
        <v>2.0096555829573735</v>
      </c>
      <c r="V505" s="76">
        <f>V504+T505</f>
        <v>4.201562452219929</v>
      </c>
    </row>
    <row r="506" spans="1:22" ht="19" customHeight="1">
      <c r="A506" s="68" t="s">
        <v>368</v>
      </c>
      <c r="B506" s="74">
        <v>1</v>
      </c>
      <c r="C506" s="68" t="s">
        <v>363</v>
      </c>
      <c r="D506" s="68" t="s">
        <v>364</v>
      </c>
      <c r="E506" s="75">
        <f>60*F506*'THAM_SO_MOI'!$C$49/(2*PI()*'THAM_SO_MOI'!$C$26)</f>
        <v>1924.9999999999998</v>
      </c>
      <c r="F506" s="75">
        <f>'THAM_SO_MOI'!$E$49+('THAM_SO_MOI'!$F$49-'THAM_SO_MOI'!$E$49)*500/'THAM_SO_MOI'!$C$42</f>
        <v>3.0058349769888233</v>
      </c>
      <c r="G506" s="75">
        <f>3.6*F506</f>
        <v>10.821005917159765</v>
      </c>
      <c r="H506" s="75">
        <f>'THAM_SO_MOI'!$D$49</f>
        <v>3.1625000000000005</v>
      </c>
      <c r="I506" s="75">
        <f>IF(F506&gt;'THAM_SO_MOI'!$C$14,'THAM_SO_MOI'!$C$13*(1+F506^2/1500),'THAM_SO_MOI'!$C$13)</f>
        <v>0.015</v>
      </c>
      <c r="J506" s="75">
        <f>'THAM_SO_MOI'!$C$40*('THAM_SO_MOI'!$C$23*(E506/'THAM_SO_MOI'!$C$22)+'THAM_SO_MOI'!$C$24*(E506/'THAM_SO_MOI'!$C$22)^2-'THAM_SO_MOI'!$C$25*(E506/'THAM_SO_MOI'!$C$22)^3)</f>
        <v>86.12053609316179</v>
      </c>
      <c r="K506" s="75">
        <f>'THAM_SO_MOI'!$C$31*J506/E506</f>
        <v>427.29647399824756</v>
      </c>
      <c r="L506" s="75">
        <f>K506*'THAM_SO_MOI'!$C$49*'THAM_SO_MOI'!$C$17/'THAM_SO_MOI'!$C$26</f>
        <v>24358.04636825494</v>
      </c>
      <c r="M506" s="75">
        <f>'THAM_SO_MOI'!$C$15*'THAM_SO_MOI'!$C$16*F506^2</f>
        <v>26.427503433501496</v>
      </c>
      <c r="N506" s="75">
        <f>'THAM_SO_MOI'!$C$12*I506</f>
        <v>1130.112</v>
      </c>
      <c r="O506" s="75">
        <f>M506+N506</f>
        <v>1156.5395034335015</v>
      </c>
      <c r="P506" s="75">
        <f>(MIN(L506,'THAM_SO_MOI'!$C$41)-O506)/('THAM_SO_MOI'!$C$11*H506)</f>
        <v>0.9552662576095783</v>
      </c>
      <c r="Q506" s="75">
        <f>IF(P506&gt;0,1/P506,NA())</f>
        <v>1.0468285590892341</v>
      </c>
      <c r="R506" s="75">
        <f>F506-F505</f>
        <v>0.0035133136094671613</v>
      </c>
      <c r="S506" s="75">
        <f>0.5*(Q505+Q506)*R506</f>
        <v>0.0036780716094206574</v>
      </c>
      <c r="T506" s="75">
        <f>0.5*(F505*Q505+F506*Q506)*R506</f>
        <v>0.011049214769858118</v>
      </c>
      <c r="U506" s="76">
        <f>U505+S506</f>
        <v>2.013333654566794</v>
      </c>
      <c r="V506" s="76">
        <f>V505+T506</f>
        <v>4.212611666989787</v>
      </c>
    </row>
    <row r="507" spans="1:22" ht="19" customHeight="1">
      <c r="A507" s="68" t="s">
        <v>368</v>
      </c>
      <c r="B507" s="74">
        <v>1</v>
      </c>
      <c r="C507" s="68" t="s">
        <v>363</v>
      </c>
      <c r="D507" s="68" t="s">
        <v>364</v>
      </c>
      <c r="E507" s="75">
        <f>60*F507*'THAM_SO_MOI'!$C$49/(2*PI()*'THAM_SO_MOI'!$C$26)</f>
        <v>1927.2499999999998</v>
      </c>
      <c r="F507" s="75">
        <f>'THAM_SO_MOI'!$E$49+('THAM_SO_MOI'!$F$49-'THAM_SO_MOI'!$E$49)*501/'THAM_SO_MOI'!$C$42</f>
        <v>3.0093482905982905</v>
      </c>
      <c r="G507" s="75">
        <f>3.6*F507</f>
        <v>10.833653846153846</v>
      </c>
      <c r="H507" s="75">
        <f>'THAM_SO_MOI'!$D$49</f>
        <v>3.1625000000000005</v>
      </c>
      <c r="I507" s="75">
        <f>IF(F507&gt;'THAM_SO_MOI'!$C$14,'THAM_SO_MOI'!$C$13*(1+F507^2/1500),'THAM_SO_MOI'!$C$13)</f>
        <v>0.015</v>
      </c>
      <c r="J507" s="75">
        <f>'THAM_SO_MOI'!$C$40*('THAM_SO_MOI'!$C$23*(E507/'THAM_SO_MOI'!$C$22)+'THAM_SO_MOI'!$C$24*(E507/'THAM_SO_MOI'!$C$22)^2-'THAM_SO_MOI'!$C$25*(E507/'THAM_SO_MOI'!$C$22)^3)</f>
        <v>86.23179134199725</v>
      </c>
      <c r="K507" s="75">
        <f>'THAM_SO_MOI'!$C$31*J507/E507</f>
        <v>427.3489802947907</v>
      </c>
      <c r="L507" s="75">
        <f>K507*'THAM_SO_MOI'!$C$49*'THAM_SO_MOI'!$C$17/'THAM_SO_MOI'!$C$26</f>
        <v>24361.039491024847</v>
      </c>
      <c r="M507" s="75">
        <f>'THAM_SO_MOI'!$C$15*'THAM_SO_MOI'!$C$16*F507^2</f>
        <v>26.489318117321048</v>
      </c>
      <c r="N507" s="75">
        <f>'THAM_SO_MOI'!$C$12*I507</f>
        <v>1130.112</v>
      </c>
      <c r="O507" s="75">
        <f>M507+N507</f>
        <v>1156.6013181173212</v>
      </c>
      <c r="P507" s="75">
        <f>(MIN(L507,'THAM_SO_MOI'!$C$41)-O507)/('THAM_SO_MOI'!$C$11*H507)</f>
        <v>0.9553869471717523</v>
      </c>
      <c r="Q507" s="75">
        <f>IF(P507&gt;0,1/P507,NA())</f>
        <v>1.04669631813614</v>
      </c>
      <c r="R507" s="75">
        <f>F507-F506</f>
        <v>0.0035133136094671613</v>
      </c>
      <c r="S507" s="75">
        <f>0.5*(Q506+Q507)*R507</f>
        <v>0.003677604721456987</v>
      </c>
      <c r="T507" s="75">
        <f>0.5*(F506*Q506+F507*Q507)*R507</f>
        <v>0.011060732784578883</v>
      </c>
      <c r="U507" s="76">
        <f>U506+S507</f>
        <v>2.017011259288251</v>
      </c>
      <c r="V507" s="76">
        <f>V506+T507</f>
        <v>4.223672399774366</v>
      </c>
    </row>
    <row r="508" spans="1:22" ht="19" customHeight="1">
      <c r="A508" s="68" t="s">
        <v>368</v>
      </c>
      <c r="B508" s="74">
        <v>1</v>
      </c>
      <c r="C508" s="68" t="s">
        <v>363</v>
      </c>
      <c r="D508" s="68" t="s">
        <v>364</v>
      </c>
      <c r="E508" s="75">
        <f>60*F508*'THAM_SO_MOI'!$C$49/(2*PI()*'THAM_SO_MOI'!$C$26)</f>
        <v>1929.5000000000002</v>
      </c>
      <c r="F508" s="75">
        <f>'THAM_SO_MOI'!$E$49+('THAM_SO_MOI'!$F$49-'THAM_SO_MOI'!$E$49)*502/'THAM_SO_MOI'!$C$42</f>
        <v>3.0128616042077585</v>
      </c>
      <c r="G508" s="75">
        <f>3.6*F508</f>
        <v>10.84630177514793</v>
      </c>
      <c r="H508" s="75">
        <f>'THAM_SO_MOI'!$D$49</f>
        <v>3.1625000000000005</v>
      </c>
      <c r="I508" s="75">
        <f>IF(F508&gt;'THAM_SO_MOI'!$C$14,'THAM_SO_MOI'!$C$13*(1+F508^2/1500),'THAM_SO_MOI'!$C$13)</f>
        <v>0.015</v>
      </c>
      <c r="J508" s="75">
        <f>'THAM_SO_MOI'!$C$40*('THAM_SO_MOI'!$C$23*(E508/'THAM_SO_MOI'!$C$22)+'THAM_SO_MOI'!$C$24*(E508/'THAM_SO_MOI'!$C$22)^2-'THAM_SO_MOI'!$C$25*(E508/'THAM_SO_MOI'!$C$22)^3)</f>
        <v>86.34297211012672</v>
      </c>
      <c r="K508" s="75">
        <f>'THAM_SO_MOI'!$C$31*J508/E508</f>
        <v>427.40099545327485</v>
      </c>
      <c r="L508" s="75">
        <f>K508*'THAM_SO_MOI'!$C$49*'THAM_SO_MOI'!$C$17/'THAM_SO_MOI'!$C$26</f>
        <v>24364.004616457205</v>
      </c>
      <c r="M508" s="75">
        <f>'THAM_SO_MOI'!$C$15*'THAM_SO_MOI'!$C$16*F508^2</f>
        <v>26.551205009869843</v>
      </c>
      <c r="N508" s="75">
        <f>'THAM_SO_MOI'!$C$12*I508</f>
        <v>1130.112</v>
      </c>
      <c r="O508" s="75">
        <f>M508+N508</f>
        <v>1156.66320500987</v>
      </c>
      <c r="P508" s="75">
        <f>(MIN(L508,'THAM_SO_MOI'!$C$41)-O508)/('THAM_SO_MOI'!$C$11*H508)</f>
        <v>0.9555064810378512</v>
      </c>
      <c r="Q508" s="75">
        <f>IF(P508&gt;0,1/P508,NA())</f>
        <v>1.0465653764209122</v>
      </c>
      <c r="R508" s="75">
        <f>F508-F507</f>
        <v>0.0035133136094680495</v>
      </c>
      <c r="S508" s="75">
        <f>0.5*(Q507+Q508)*R508</f>
        <v>0.0036771423998327207</v>
      </c>
      <c r="T508" s="75">
        <f>0.5*(F507*Q507+F508*Q508)*R508</f>
        <v>0.011072261268376146</v>
      </c>
      <c r="U508" s="76">
        <f>U507+S508</f>
        <v>2.0206884016880835</v>
      </c>
      <c r="V508" s="76">
        <f>V507+T508</f>
        <v>4.234744661042742</v>
      </c>
    </row>
    <row r="509" spans="1:22" ht="19" customHeight="1">
      <c r="A509" s="68" t="s">
        <v>368</v>
      </c>
      <c r="B509" s="74">
        <v>1</v>
      </c>
      <c r="C509" s="68" t="s">
        <v>363</v>
      </c>
      <c r="D509" s="68" t="s">
        <v>364</v>
      </c>
      <c r="E509" s="75">
        <f>60*F509*'THAM_SO_MOI'!$C$49/(2*PI()*'THAM_SO_MOI'!$C$26)</f>
        <v>1931.7499999999998</v>
      </c>
      <c r="F509" s="75">
        <f>'THAM_SO_MOI'!$E$49+('THAM_SO_MOI'!$F$49-'THAM_SO_MOI'!$E$49)*503/'THAM_SO_MOI'!$C$42</f>
        <v>3.0163749178172257</v>
      </c>
      <c r="G509" s="75">
        <f>3.6*F509</f>
        <v>10.858949704142013</v>
      </c>
      <c r="H509" s="75">
        <f>'THAM_SO_MOI'!$D$49</f>
        <v>3.1625000000000005</v>
      </c>
      <c r="I509" s="75">
        <f>IF(F509&gt;'THAM_SO_MOI'!$C$14,'THAM_SO_MOI'!$C$13*(1+F509^2/1500),'THAM_SO_MOI'!$C$13)</f>
        <v>0.015</v>
      </c>
      <c r="J509" s="75">
        <f>'THAM_SO_MOI'!$C$40*('THAM_SO_MOI'!$C$23*(E509/'THAM_SO_MOI'!$C$22)+'THAM_SO_MOI'!$C$24*(E509/'THAM_SO_MOI'!$C$22)^2-'THAM_SO_MOI'!$C$25*(E509/'THAM_SO_MOI'!$C$22)^3)</f>
        <v>86.45407805045066</v>
      </c>
      <c r="K509" s="75">
        <f>'THAM_SO_MOI'!$C$31*J509/E509</f>
        <v>427.45251947370036</v>
      </c>
      <c r="L509" s="75">
        <f>K509*'THAM_SO_MOI'!$C$49*'THAM_SO_MOI'!$C$17/'THAM_SO_MOI'!$C$26</f>
        <v>24366.941744552038</v>
      </c>
      <c r="M509" s="75">
        <f>'THAM_SO_MOI'!$C$15*'THAM_SO_MOI'!$C$16*F509^2</f>
        <v>26.613164111147864</v>
      </c>
      <c r="N509" s="75">
        <f>'THAM_SO_MOI'!$C$12*I509</f>
        <v>1130.112</v>
      </c>
      <c r="O509" s="75">
        <f>M509+N509</f>
        <v>1156.725164111148</v>
      </c>
      <c r="P509" s="75">
        <f>(MIN(L509,'THAM_SO_MOI'!$C$41)-O509)/('THAM_SO_MOI'!$C$11*H509)</f>
        <v>0.9556248592078757</v>
      </c>
      <c r="Q509" s="75">
        <f>IF(P509&gt;0,1/P509,NA())</f>
        <v>1.046435732980939</v>
      </c>
      <c r="R509" s="75">
        <f>F509-F508</f>
        <v>0.0035133136094671613</v>
      </c>
      <c r="S509" s="75">
        <f>0.5*(Q508+Q509)*R509</f>
        <v>0.0036766846411456955</v>
      </c>
      <c r="T509" s="75">
        <f>0.5*(F508*Q508+F509*Q509)*R509</f>
        <v>0.011083800259122657</v>
      </c>
      <c r="U509" s="76">
        <f>U508+S509</f>
        <v>2.024365086329229</v>
      </c>
      <c r="V509" s="76">
        <f>V508+T509</f>
        <v>4.245828461301865</v>
      </c>
    </row>
    <row r="510" spans="1:22" ht="19" customHeight="1">
      <c r="A510" s="68" t="s">
        <v>368</v>
      </c>
      <c r="B510" s="74">
        <v>1</v>
      </c>
      <c r="C510" s="68" t="s">
        <v>363</v>
      </c>
      <c r="D510" s="68" t="s">
        <v>364</v>
      </c>
      <c r="E510" s="75">
        <f>60*F510*'THAM_SO_MOI'!$C$49/(2*PI()*'THAM_SO_MOI'!$C$26)</f>
        <v>1933.9999999999998</v>
      </c>
      <c r="F510" s="75">
        <f>'THAM_SO_MOI'!$E$49+('THAM_SO_MOI'!$F$49-'THAM_SO_MOI'!$E$49)*504/'THAM_SO_MOI'!$C$42</f>
        <v>3.019888231426693</v>
      </c>
      <c r="G510" s="75">
        <f>3.6*F510</f>
        <v>10.871597633136094</v>
      </c>
      <c r="H510" s="75">
        <f>'THAM_SO_MOI'!$D$49</f>
        <v>3.1625000000000005</v>
      </c>
      <c r="I510" s="75">
        <f>IF(F510&gt;'THAM_SO_MOI'!$C$14,'THAM_SO_MOI'!$C$13*(1+F510^2/1500),'THAM_SO_MOI'!$C$13)</f>
        <v>0.015</v>
      </c>
      <c r="J510" s="75">
        <f>'THAM_SO_MOI'!$C$40*('THAM_SO_MOI'!$C$23*(E510/'THAM_SO_MOI'!$C$22)+'THAM_SO_MOI'!$C$24*(E510/'THAM_SO_MOI'!$C$22)^2-'THAM_SO_MOI'!$C$25*(E510/'THAM_SO_MOI'!$C$22)^3)</f>
        <v>86.56510881586954</v>
      </c>
      <c r="K510" s="75">
        <f>'THAM_SO_MOI'!$C$31*J510/E510</f>
        <v>427.50355235606713</v>
      </c>
      <c r="L510" s="75">
        <f>K510*'THAM_SO_MOI'!$C$49*'THAM_SO_MOI'!$C$17/'THAM_SO_MOI'!$C$26</f>
        <v>24369.85087530934</v>
      </c>
      <c r="M510" s="75">
        <f>'THAM_SO_MOI'!$C$15*'THAM_SO_MOI'!$C$16*F510^2</f>
        <v>26.675195421155113</v>
      </c>
      <c r="N510" s="75">
        <f>'THAM_SO_MOI'!$C$12*I510</f>
        <v>1130.112</v>
      </c>
      <c r="O510" s="75">
        <f>M510+N510</f>
        <v>1156.7871954211553</v>
      </c>
      <c r="P510" s="75">
        <f>(MIN(L510,'THAM_SO_MOI'!$C$41)-O510)/('THAM_SO_MOI'!$C$11*H510)</f>
        <v>0.9557420816818257</v>
      </c>
      <c r="Q510" s="75">
        <f>IF(P510&gt;0,1/P510,NA())</f>
        <v>1.0463073868635075</v>
      </c>
      <c r="R510" s="75">
        <f>F510-F509</f>
        <v>0.0035133136094671613</v>
      </c>
      <c r="S510" s="75">
        <f>0.5*(Q509+Q510)*R510</f>
        <v>0.003676231442034131</v>
      </c>
      <c r="T510" s="75">
        <f>0.5*(F509*Q509+F510*Q510)*R510</f>
        <v>0.01109534979476524</v>
      </c>
      <c r="U510" s="76">
        <f>U509+S510</f>
        <v>2.028041317771263</v>
      </c>
      <c r="V510" s="76">
        <f>V509+T510</f>
        <v>4.25692381109663</v>
      </c>
    </row>
    <row r="511" spans="1:22" ht="19" customHeight="1">
      <c r="A511" s="68" t="s">
        <v>368</v>
      </c>
      <c r="B511" s="74">
        <v>1</v>
      </c>
      <c r="C511" s="68" t="s">
        <v>363</v>
      </c>
      <c r="D511" s="68" t="s">
        <v>364</v>
      </c>
      <c r="E511" s="75">
        <f>60*F511*'THAM_SO_MOI'!$C$49/(2*PI()*'THAM_SO_MOI'!$C$26)</f>
        <v>1936.25</v>
      </c>
      <c r="F511" s="75">
        <f>'THAM_SO_MOI'!$E$49+('THAM_SO_MOI'!$F$49-'THAM_SO_MOI'!$E$49)*505/'THAM_SO_MOI'!$C$42</f>
        <v>3.0234015450361604</v>
      </c>
      <c r="G511" s="75">
        <f>3.6*F511</f>
        <v>10.884245562130177</v>
      </c>
      <c r="H511" s="75">
        <f>'THAM_SO_MOI'!$D$49</f>
        <v>3.1625000000000005</v>
      </c>
      <c r="I511" s="75">
        <f>IF(F511&gt;'THAM_SO_MOI'!$C$14,'THAM_SO_MOI'!$C$13*(1+F511^2/1500),'THAM_SO_MOI'!$C$13)</f>
        <v>0.015</v>
      </c>
      <c r="J511" s="75">
        <f>'THAM_SO_MOI'!$C$40*('THAM_SO_MOI'!$C$23*(E511/'THAM_SO_MOI'!$C$22)+'THAM_SO_MOI'!$C$24*(E511/'THAM_SO_MOI'!$C$22)^2-'THAM_SO_MOI'!$C$25*(E511/'THAM_SO_MOI'!$C$22)^3)</f>
        <v>86.67606405928382</v>
      </c>
      <c r="K511" s="75">
        <f>'THAM_SO_MOI'!$C$31*J511/E511</f>
        <v>427.5540941003751</v>
      </c>
      <c r="L511" s="75">
        <f>K511*'THAM_SO_MOI'!$C$49*'THAM_SO_MOI'!$C$17/'THAM_SO_MOI'!$C$26</f>
        <v>24372.73200872911</v>
      </c>
      <c r="M511" s="75">
        <f>'THAM_SO_MOI'!$C$15*'THAM_SO_MOI'!$C$16*F511^2</f>
        <v>26.737298939891602</v>
      </c>
      <c r="N511" s="75">
        <f>'THAM_SO_MOI'!$C$12*I511</f>
        <v>1130.112</v>
      </c>
      <c r="O511" s="75">
        <f>M511+N511</f>
        <v>1156.8492989398917</v>
      </c>
      <c r="P511" s="75">
        <f>(MIN(L511,'THAM_SO_MOI'!$C$41)-O511)/('THAM_SO_MOI'!$C$11*H511)</f>
        <v>0.9558581484597009</v>
      </c>
      <c r="Q511" s="75">
        <f>IF(P511&gt;0,1/P511,NA())</f>
        <v>1.0461803371257865</v>
      </c>
      <c r="R511" s="75">
        <f>F511-F510</f>
        <v>0.0035133136094676054</v>
      </c>
      <c r="S511" s="75">
        <f>0.5*(Q510+Q511)*R511</f>
        <v>0.0036757827991677405</v>
      </c>
      <c r="T511" s="75">
        <f>0.5*(F510*Q510+F511*Q511)*R511</f>
        <v>0.011106909913298648</v>
      </c>
      <c r="U511" s="76">
        <f>U510+S511</f>
        <v>2.0317171005704306</v>
      </c>
      <c r="V511" s="76">
        <f>V510+T511</f>
        <v>4.268030721009929</v>
      </c>
    </row>
    <row r="512" spans="1:22" ht="19" customHeight="1">
      <c r="A512" s="68" t="s">
        <v>368</v>
      </c>
      <c r="B512" s="74">
        <v>1</v>
      </c>
      <c r="C512" s="68" t="s">
        <v>363</v>
      </c>
      <c r="D512" s="68" t="s">
        <v>364</v>
      </c>
      <c r="E512" s="75">
        <f>60*F512*'THAM_SO_MOI'!$C$49/(2*PI()*'THAM_SO_MOI'!$C$26)</f>
        <v>1938.5000000000002</v>
      </c>
      <c r="F512" s="75">
        <f>'THAM_SO_MOI'!$E$49+('THAM_SO_MOI'!$F$49-'THAM_SO_MOI'!$E$49)*506/'THAM_SO_MOI'!$C$42</f>
        <v>3.026914858645628</v>
      </c>
      <c r="G512" s="75">
        <f>3.6*F512</f>
        <v>10.896893491124262</v>
      </c>
      <c r="H512" s="75">
        <f>'THAM_SO_MOI'!$D$49</f>
        <v>3.1625000000000005</v>
      </c>
      <c r="I512" s="75">
        <f>IF(F512&gt;'THAM_SO_MOI'!$C$14,'THAM_SO_MOI'!$C$13*(1+F512^2/1500),'THAM_SO_MOI'!$C$13)</f>
        <v>0.015</v>
      </c>
      <c r="J512" s="75">
        <f>'THAM_SO_MOI'!$C$40*('THAM_SO_MOI'!$C$23*(E512/'THAM_SO_MOI'!$C$22)+'THAM_SO_MOI'!$C$24*(E512/'THAM_SO_MOI'!$C$22)^2-'THAM_SO_MOI'!$C$25*(E512/'THAM_SO_MOI'!$C$22)^3)</f>
        <v>86.78694343359393</v>
      </c>
      <c r="K512" s="75">
        <f>'THAM_SO_MOI'!$C$31*J512/E512</f>
        <v>427.6041447066243</v>
      </c>
      <c r="L512" s="75">
        <f>K512*'THAM_SO_MOI'!$C$49*'THAM_SO_MOI'!$C$17/'THAM_SO_MOI'!$C$26</f>
        <v>24375.585144811346</v>
      </c>
      <c r="M512" s="75">
        <f>'THAM_SO_MOI'!$C$15*'THAM_SO_MOI'!$C$16*F512^2</f>
        <v>26.79947466735732</v>
      </c>
      <c r="N512" s="75">
        <f>'THAM_SO_MOI'!$C$12*I512</f>
        <v>1130.112</v>
      </c>
      <c r="O512" s="75">
        <f>M512+N512</f>
        <v>1156.9114746673574</v>
      </c>
      <c r="P512" s="75">
        <f>(MIN(L512,'THAM_SO_MOI'!$C$41)-O512)/('THAM_SO_MOI'!$C$11*H512)</f>
        <v>0.9559730595415014</v>
      </c>
      <c r="Q512" s="75">
        <f>IF(P512&gt;0,1/P512,NA())</f>
        <v>1.0460545828348078</v>
      </c>
      <c r="R512" s="75">
        <f>F512-F511</f>
        <v>0.0035133136094676054</v>
      </c>
      <c r="S512" s="75">
        <f>0.5*(Q511+Q512)*R512</f>
        <v>0.003675338709250461</v>
      </c>
      <c r="T512" s="75">
        <f>0.5*(F511*Q511+F512*Q512)*R512</f>
        <v>0.011118480652774343</v>
      </c>
      <c r="U512" s="76">
        <f>U511+S512</f>
        <v>2.035392439279681</v>
      </c>
      <c r="V512" s="76">
        <f>V511+T512</f>
        <v>4.279149201662703</v>
      </c>
    </row>
    <row r="513" spans="1:22" ht="19" customHeight="1">
      <c r="A513" s="68" t="s">
        <v>368</v>
      </c>
      <c r="B513" s="74">
        <v>1</v>
      </c>
      <c r="C513" s="68" t="s">
        <v>363</v>
      </c>
      <c r="D513" s="68" t="s">
        <v>364</v>
      </c>
      <c r="E513" s="75">
        <f>60*F513*'THAM_SO_MOI'!$C$49/(2*PI()*'THAM_SO_MOI'!$C$26)</f>
        <v>1940.7499999999995</v>
      </c>
      <c r="F513" s="75">
        <f>'THAM_SO_MOI'!$E$49+('THAM_SO_MOI'!$F$49-'THAM_SO_MOI'!$E$49)*507/'THAM_SO_MOI'!$C$42</f>
        <v>3.030428172255095</v>
      </c>
      <c r="G513" s="75">
        <f>3.6*F513</f>
        <v>10.909541420118343</v>
      </c>
      <c r="H513" s="75">
        <f>'THAM_SO_MOI'!$D$49</f>
        <v>3.1625000000000005</v>
      </c>
      <c r="I513" s="75">
        <f>IF(F513&gt;'THAM_SO_MOI'!$C$14,'THAM_SO_MOI'!$C$13*(1+F513^2/1500),'THAM_SO_MOI'!$C$13)</f>
        <v>0.015</v>
      </c>
      <c r="J513" s="75">
        <f>'THAM_SO_MOI'!$C$40*('THAM_SO_MOI'!$C$23*(E513/'THAM_SO_MOI'!$C$22)+'THAM_SO_MOI'!$C$24*(E513/'THAM_SO_MOI'!$C$22)^2-'THAM_SO_MOI'!$C$25*(E513/'THAM_SO_MOI'!$C$22)^3)</f>
        <v>86.8977465917003</v>
      </c>
      <c r="K513" s="75">
        <f>'THAM_SO_MOI'!$C$31*J513/E513</f>
        <v>427.6537041748146</v>
      </c>
      <c r="L513" s="75">
        <f>K513*'THAM_SO_MOI'!$C$49*'THAM_SO_MOI'!$C$17/'THAM_SO_MOI'!$C$26</f>
        <v>24378.410283556044</v>
      </c>
      <c r="M513" s="75">
        <f>'THAM_SO_MOI'!$C$15*'THAM_SO_MOI'!$C$16*F513^2</f>
        <v>26.86172260355227</v>
      </c>
      <c r="N513" s="75">
        <f>'THAM_SO_MOI'!$C$12*I513</f>
        <v>1130.112</v>
      </c>
      <c r="O513" s="75">
        <f>M513+N513</f>
        <v>1156.9737226035525</v>
      </c>
      <c r="P513" s="75">
        <f>(MIN(L513,'THAM_SO_MOI'!$C$41)-O513)/('THAM_SO_MOI'!$C$11*H513)</f>
        <v>0.9560868149272269</v>
      </c>
      <c r="Q513" s="75">
        <f>IF(P513&gt;0,1/P513,NA())</f>
        <v>1.0459301230674491</v>
      </c>
      <c r="R513" s="75">
        <f>F513-F512</f>
        <v>0.0035133136094671613</v>
      </c>
      <c r="S513" s="75">
        <f>0.5*(Q512+Q513)*R513</f>
        <v>0.0036748991690217776</v>
      </c>
      <c r="T513" s="75">
        <f>0.5*(F512*Q512+F513*Q513)*R513</f>
        <v>0.011130062051305145</v>
      </c>
      <c r="U513" s="76">
        <f>U512+S513</f>
        <v>2.0390673384487026</v>
      </c>
      <c r="V513" s="76">
        <f>V512+T513</f>
        <v>4.290279263714008</v>
      </c>
    </row>
    <row r="514" spans="1:22" ht="19" customHeight="1">
      <c r="A514" s="68" t="s">
        <v>368</v>
      </c>
      <c r="B514" s="74">
        <v>1</v>
      </c>
      <c r="C514" s="68" t="s">
        <v>363</v>
      </c>
      <c r="D514" s="68" t="s">
        <v>364</v>
      </c>
      <c r="E514" s="75">
        <f>60*F514*'THAM_SO_MOI'!$C$49/(2*PI()*'THAM_SO_MOI'!$C$26)</f>
        <v>1942.9999999999998</v>
      </c>
      <c r="F514" s="75">
        <f>'THAM_SO_MOI'!$E$49+('THAM_SO_MOI'!$F$49-'THAM_SO_MOI'!$E$49)*508/'THAM_SO_MOI'!$C$42</f>
        <v>3.033941485864563</v>
      </c>
      <c r="G514" s="75">
        <f>3.6*F514</f>
        <v>10.922189349112426</v>
      </c>
      <c r="H514" s="75">
        <f>'THAM_SO_MOI'!$D$49</f>
        <v>3.1625000000000005</v>
      </c>
      <c r="I514" s="75">
        <f>IF(F514&gt;'THAM_SO_MOI'!$C$14,'THAM_SO_MOI'!$C$13*(1+F514^2/1500),'THAM_SO_MOI'!$C$13)</f>
        <v>0.015</v>
      </c>
      <c r="J514" s="75">
        <f>'THAM_SO_MOI'!$C$40*('THAM_SO_MOI'!$C$23*(E514/'THAM_SO_MOI'!$C$22)+'THAM_SO_MOI'!$C$24*(E514/'THAM_SO_MOI'!$C$22)^2-'THAM_SO_MOI'!$C$25*(E514/'THAM_SO_MOI'!$C$22)^3)</f>
        <v>87.00847318650342</v>
      </c>
      <c r="K514" s="75">
        <f>'THAM_SO_MOI'!$C$31*J514/E514</f>
        <v>427.7027725049461</v>
      </c>
      <c r="L514" s="75">
        <f>K514*'THAM_SO_MOI'!$C$49*'THAM_SO_MOI'!$C$17/'THAM_SO_MOI'!$C$26</f>
        <v>24381.20742496321</v>
      </c>
      <c r="M514" s="75">
        <f>'THAM_SO_MOI'!$C$15*'THAM_SO_MOI'!$C$16*F514^2</f>
        <v>26.924042748476463</v>
      </c>
      <c r="N514" s="75">
        <f>'THAM_SO_MOI'!$C$12*I514</f>
        <v>1130.112</v>
      </c>
      <c r="O514" s="75">
        <f>M514+N514</f>
        <v>1157.0360427484766</v>
      </c>
      <c r="P514" s="75">
        <f>(MIN(L514,'THAM_SO_MOI'!$C$41)-O514)/('THAM_SO_MOI'!$C$11*H514)</f>
        <v>0.9561994146168779</v>
      </c>
      <c r="Q514" s="75">
        <f>IF(P514&gt;0,1/P514,NA())</f>
        <v>1.0458069569104178</v>
      </c>
      <c r="R514" s="75">
        <f>F514-F513</f>
        <v>0.0035133136094676054</v>
      </c>
      <c r="S514" s="75">
        <f>0.5*(Q513+Q514)*R514</f>
        <v>0.003674464175257135</v>
      </c>
      <c r="T514" s="75">
        <f>0.5*(F513*Q513+F514*Q514)*R514</f>
        <v>0.01114165414706708</v>
      </c>
      <c r="U514" s="76">
        <f>U513+S514</f>
        <v>2.0427418026239597</v>
      </c>
      <c r="V514" s="76">
        <f>V513+T514</f>
        <v>4.301420917861075</v>
      </c>
    </row>
    <row r="515" spans="1:22" ht="19" customHeight="1">
      <c r="A515" s="68" t="s">
        <v>368</v>
      </c>
      <c r="B515" s="74">
        <v>1</v>
      </c>
      <c r="C515" s="68" t="s">
        <v>363</v>
      </c>
      <c r="D515" s="68" t="s">
        <v>364</v>
      </c>
      <c r="E515" s="75">
        <f>60*F515*'THAM_SO_MOI'!$C$49/(2*PI()*'THAM_SO_MOI'!$C$26)</f>
        <v>1945.2499999999998</v>
      </c>
      <c r="F515" s="75">
        <f>'THAM_SO_MOI'!$E$49+('THAM_SO_MOI'!$F$49-'THAM_SO_MOI'!$E$49)*509/'THAM_SO_MOI'!$C$42</f>
        <v>3.0374547994740304</v>
      </c>
      <c r="G515" s="75">
        <f>3.6*F515</f>
        <v>10.93483727810651</v>
      </c>
      <c r="H515" s="75">
        <f>'THAM_SO_MOI'!$D$49</f>
        <v>3.1625000000000005</v>
      </c>
      <c r="I515" s="75">
        <f>IF(F515&gt;'THAM_SO_MOI'!$C$14,'THAM_SO_MOI'!$C$13*(1+F515^2/1500),'THAM_SO_MOI'!$C$13)</f>
        <v>0.015</v>
      </c>
      <c r="J515" s="75">
        <f>'THAM_SO_MOI'!$C$40*('THAM_SO_MOI'!$C$23*(E515/'THAM_SO_MOI'!$C$22)+'THAM_SO_MOI'!$C$24*(E515/'THAM_SO_MOI'!$C$22)^2-'THAM_SO_MOI'!$C$25*(E515/'THAM_SO_MOI'!$C$22)^3)</f>
        <v>87.1191228709038</v>
      </c>
      <c r="K515" s="75">
        <f>'THAM_SO_MOI'!$C$31*J515/E515</f>
        <v>427.751349697019</v>
      </c>
      <c r="L515" s="75">
        <f>K515*'THAM_SO_MOI'!$C$49*'THAM_SO_MOI'!$C$17/'THAM_SO_MOI'!$C$26</f>
        <v>24383.976569032853</v>
      </c>
      <c r="M515" s="75">
        <f>'THAM_SO_MOI'!$C$15*'THAM_SO_MOI'!$C$16*F515^2</f>
        <v>26.98643510212988</v>
      </c>
      <c r="N515" s="75">
        <f>'THAM_SO_MOI'!$C$12*I515</f>
        <v>1130.112</v>
      </c>
      <c r="O515" s="75">
        <f>M515+N515</f>
        <v>1157.09843510213</v>
      </c>
      <c r="P515" s="75">
        <f>(MIN(L515,'THAM_SO_MOI'!$C$41)-O515)/('THAM_SO_MOI'!$C$11*H515)</f>
        <v>0.9563108586104544</v>
      </c>
      <c r="Q515" s="75">
        <f>IF(P515&gt;0,1/P515,NA())</f>
        <v>1.045685083460233</v>
      </c>
      <c r="R515" s="75">
        <f>F515-F514</f>
        <v>0.0035133136094676054</v>
      </c>
      <c r="S515" s="75">
        <f>0.5*(Q514+Q515)*R515</f>
        <v>0.0036740337247636885</v>
      </c>
      <c r="T515" s="75">
        <f>0.5*(F514*Q514+F515*Q515)*R515</f>
        <v>0.011153256978287139</v>
      </c>
      <c r="U515" s="76">
        <f>U514+S515</f>
        <v>2.0464158363487233</v>
      </c>
      <c r="V515" s="76">
        <f>V514+T515</f>
        <v>4.312574174839362</v>
      </c>
    </row>
    <row r="516" spans="1:22" ht="19" customHeight="1">
      <c r="A516" s="68" t="s">
        <v>368</v>
      </c>
      <c r="B516" s="74">
        <v>1</v>
      </c>
      <c r="C516" s="68" t="s">
        <v>363</v>
      </c>
      <c r="D516" s="68" t="s">
        <v>364</v>
      </c>
      <c r="E516" s="75">
        <f>60*F516*'THAM_SO_MOI'!$C$49/(2*PI()*'THAM_SO_MOI'!$C$26)</f>
        <v>1947.5</v>
      </c>
      <c r="F516" s="75">
        <f>'THAM_SO_MOI'!$E$49+('THAM_SO_MOI'!$F$49-'THAM_SO_MOI'!$E$49)*510/'THAM_SO_MOI'!$C$42</f>
        <v>3.0409681130834976</v>
      </c>
      <c r="G516" s="75">
        <f>3.6*F516</f>
        <v>10.947485207100591</v>
      </c>
      <c r="H516" s="75">
        <f>'THAM_SO_MOI'!$D$49</f>
        <v>3.1625000000000005</v>
      </c>
      <c r="I516" s="75">
        <f>IF(F516&gt;'THAM_SO_MOI'!$C$14,'THAM_SO_MOI'!$C$13*(1+F516^2/1500),'THAM_SO_MOI'!$C$13)</f>
        <v>0.015</v>
      </c>
      <c r="J516" s="75">
        <f>'THAM_SO_MOI'!$C$40*('THAM_SO_MOI'!$C$23*(E516/'THAM_SO_MOI'!$C$22)+'THAM_SO_MOI'!$C$24*(E516/'THAM_SO_MOI'!$C$22)^2-'THAM_SO_MOI'!$C$25*(E516/'THAM_SO_MOI'!$C$22)^3)</f>
        <v>87.22969529780183</v>
      </c>
      <c r="K516" s="75">
        <f>'THAM_SO_MOI'!$C$31*J516/E516</f>
        <v>427.79943575103306</v>
      </c>
      <c r="L516" s="75">
        <f>K516*'THAM_SO_MOI'!$C$49*'THAM_SO_MOI'!$C$17/'THAM_SO_MOI'!$C$26</f>
        <v>24386.71771576496</v>
      </c>
      <c r="M516" s="75">
        <f>'THAM_SO_MOI'!$C$15*'THAM_SO_MOI'!$C$16*F516^2</f>
        <v>27.048899664512533</v>
      </c>
      <c r="N516" s="75">
        <f>'THAM_SO_MOI'!$C$12*I516</f>
        <v>1130.112</v>
      </c>
      <c r="O516" s="75">
        <f>M516+N516</f>
        <v>1157.1608996645127</v>
      </c>
      <c r="P516" s="75">
        <f>(MIN(L516,'THAM_SO_MOI'!$C$41)-O516)/('THAM_SO_MOI'!$C$11*H516)</f>
        <v>0.9564211469079564</v>
      </c>
      <c r="Q516" s="75">
        <f>IF(P516&gt;0,1/P516,NA())</f>
        <v>1.0455645018232094</v>
      </c>
      <c r="R516" s="75">
        <f>F516-F515</f>
        <v>0.0035133136094671613</v>
      </c>
      <c r="S516" s="75">
        <f>0.5*(Q515+Q516)*R516</f>
        <v>0.0036736078143844377</v>
      </c>
      <c r="T516" s="75">
        <f>0.5*(F515*Q515+F516*Q516)*R516</f>
        <v>0.011164870583256358</v>
      </c>
      <c r="U516" s="76">
        <f>U515+S516</f>
        <v>2.050089444163108</v>
      </c>
      <c r="V516" s="76">
        <f>V515+T516</f>
        <v>4.323739045422618</v>
      </c>
    </row>
    <row r="517" spans="1:22" ht="19" customHeight="1">
      <c r="A517" s="68" t="s">
        <v>368</v>
      </c>
      <c r="B517" s="74">
        <v>1</v>
      </c>
      <c r="C517" s="68" t="s">
        <v>363</v>
      </c>
      <c r="D517" s="68" t="s">
        <v>364</v>
      </c>
      <c r="E517" s="75">
        <f>60*F517*'THAM_SO_MOI'!$C$49/(2*PI()*'THAM_SO_MOI'!$C$26)</f>
        <v>1949.7499999999998</v>
      </c>
      <c r="F517" s="75">
        <f>'THAM_SO_MOI'!$E$49+('THAM_SO_MOI'!$F$49-'THAM_SO_MOI'!$E$49)*511/'THAM_SO_MOI'!$C$42</f>
        <v>3.044481426692965</v>
      </c>
      <c r="G517" s="75">
        <f>3.6*F517</f>
        <v>10.960133136094674</v>
      </c>
      <c r="H517" s="75">
        <f>'THAM_SO_MOI'!$D$49</f>
        <v>3.1625000000000005</v>
      </c>
      <c r="I517" s="75">
        <f>IF(F517&gt;'THAM_SO_MOI'!$C$14,'THAM_SO_MOI'!$C$13*(1+F517^2/1500),'THAM_SO_MOI'!$C$13)</f>
        <v>0.015</v>
      </c>
      <c r="J517" s="75">
        <f>'THAM_SO_MOI'!$C$40*('THAM_SO_MOI'!$C$23*(E517/'THAM_SO_MOI'!$C$22)+'THAM_SO_MOI'!$C$24*(E517/'THAM_SO_MOI'!$C$22)^2-'THAM_SO_MOI'!$C$25*(E517/'THAM_SO_MOI'!$C$22)^3)</f>
        <v>87.34019012009793</v>
      </c>
      <c r="K517" s="75">
        <f>'THAM_SO_MOI'!$C$31*J517/E517</f>
        <v>427.8470306669883</v>
      </c>
      <c r="L517" s="75">
        <f>K517*'THAM_SO_MOI'!$C$49*'THAM_SO_MOI'!$C$17/'THAM_SO_MOI'!$C$26</f>
        <v>24389.43086515953</v>
      </c>
      <c r="M517" s="75">
        <f>'THAM_SO_MOI'!$C$15*'THAM_SO_MOI'!$C$16*F517^2</f>
        <v>27.111436435624416</v>
      </c>
      <c r="N517" s="75">
        <f>'THAM_SO_MOI'!$C$12*I517</f>
        <v>1130.112</v>
      </c>
      <c r="O517" s="75">
        <f>M517+N517</f>
        <v>1157.2234364356245</v>
      </c>
      <c r="P517" s="75">
        <f>(MIN(L517,'THAM_SO_MOI'!$C$41)-O517)/('THAM_SO_MOI'!$C$11*H517)</f>
        <v>0.9565302795093833</v>
      </c>
      <c r="Q517" s="75">
        <f>IF(P517&gt;0,1/P517,NA())</f>
        <v>1.045445211115442</v>
      </c>
      <c r="R517" s="75">
        <f>F517-F516</f>
        <v>0.0035133136094676054</v>
      </c>
      <c r="S517" s="75">
        <f>0.5*(Q516+Q517)*R517</f>
        <v>0.0036731864409981574</v>
      </c>
      <c r="T517" s="75">
        <f>0.5*(F516*Q516+F517*Q517)*R517</f>
        <v>0.011176495000330279</v>
      </c>
      <c r="U517" s="76">
        <f>U516+S517</f>
        <v>2.053762630604106</v>
      </c>
      <c r="V517" s="76">
        <f>V516+T517</f>
        <v>4.334915540422949</v>
      </c>
    </row>
    <row r="518" spans="1:22" ht="19" customHeight="1">
      <c r="A518" s="68" t="s">
        <v>368</v>
      </c>
      <c r="B518" s="74">
        <v>1</v>
      </c>
      <c r="C518" s="68" t="s">
        <v>363</v>
      </c>
      <c r="D518" s="68" t="s">
        <v>364</v>
      </c>
      <c r="E518" s="75">
        <f>60*F518*'THAM_SO_MOI'!$C$49/(2*PI()*'THAM_SO_MOI'!$C$26)</f>
        <v>1951.9999999999998</v>
      </c>
      <c r="F518" s="75">
        <f>'THAM_SO_MOI'!$E$49+('THAM_SO_MOI'!$F$49-'THAM_SO_MOI'!$E$49)*512/'THAM_SO_MOI'!$C$42</f>
        <v>3.047994740302433</v>
      </c>
      <c r="G518" s="75">
        <f>3.6*F518</f>
        <v>10.972781065088759</v>
      </c>
      <c r="H518" s="75">
        <f>'THAM_SO_MOI'!$D$49</f>
        <v>3.1625000000000005</v>
      </c>
      <c r="I518" s="75">
        <f>IF(F518&gt;'THAM_SO_MOI'!$C$14,'THAM_SO_MOI'!$C$13*(1+F518^2/1500),'THAM_SO_MOI'!$C$13)</f>
        <v>0.015</v>
      </c>
      <c r="J518" s="75">
        <f>'THAM_SO_MOI'!$C$40*('THAM_SO_MOI'!$C$23*(E518/'THAM_SO_MOI'!$C$22)+'THAM_SO_MOI'!$C$24*(E518/'THAM_SO_MOI'!$C$22)^2-'THAM_SO_MOI'!$C$25*(E518/'THAM_SO_MOI'!$C$22)^3)</f>
        <v>87.45060699069262</v>
      </c>
      <c r="K518" s="75">
        <f>'THAM_SO_MOI'!$C$31*J518/E518</f>
        <v>427.8941344448847</v>
      </c>
      <c r="L518" s="75">
        <f>K518*'THAM_SO_MOI'!$C$49*'THAM_SO_MOI'!$C$17/'THAM_SO_MOI'!$C$26</f>
        <v>24392.116017216566</v>
      </c>
      <c r="M518" s="75">
        <f>'THAM_SO_MOI'!$C$15*'THAM_SO_MOI'!$C$16*F518^2</f>
        <v>27.174045415465542</v>
      </c>
      <c r="N518" s="75">
        <f>'THAM_SO_MOI'!$C$12*I518</f>
        <v>1130.112</v>
      </c>
      <c r="O518" s="75">
        <f>M518+N518</f>
        <v>1157.2860454154657</v>
      </c>
      <c r="P518" s="75">
        <f>(MIN(L518,'THAM_SO_MOI'!$C$41)-O518)/('THAM_SO_MOI'!$C$11*H518)</f>
        <v>0.9566382564147355</v>
      </c>
      <c r="Q518" s="75">
        <f>IF(P518&gt;0,1/P518,NA())</f>
        <v>1.045327210462787</v>
      </c>
      <c r="R518" s="75">
        <f>F518-F517</f>
        <v>0.0035133136094676054</v>
      </c>
      <c r="S518" s="75">
        <f>0.5*(Q517+Q518)*R518</f>
        <v>0.003672769601515167</v>
      </c>
      <c r="T518" s="75">
        <f>0.5*(F517*Q517+F518*Q518)*R518</f>
        <v>0.011188130267916667</v>
      </c>
      <c r="U518" s="76">
        <f>U517+S518</f>
        <v>2.0574354002056214</v>
      </c>
      <c r="V518" s="76">
        <f>V517+T518</f>
        <v>4.346103670690866</v>
      </c>
    </row>
    <row r="519" spans="1:22" ht="19" customHeight="1">
      <c r="A519" s="68" t="s">
        <v>368</v>
      </c>
      <c r="B519" s="74">
        <v>1</v>
      </c>
      <c r="C519" s="68" t="s">
        <v>363</v>
      </c>
      <c r="D519" s="68" t="s">
        <v>364</v>
      </c>
      <c r="E519" s="75">
        <f>60*F519*'THAM_SO_MOI'!$C$49/(2*PI()*'THAM_SO_MOI'!$C$26)</f>
        <v>1954.2499999999995</v>
      </c>
      <c r="F519" s="75">
        <f>'THAM_SO_MOI'!$E$49+('THAM_SO_MOI'!$F$49-'THAM_SO_MOI'!$E$49)*513/'THAM_SO_MOI'!$C$42</f>
        <v>3.0515080539119</v>
      </c>
      <c r="G519" s="75">
        <f>3.6*F519</f>
        <v>10.98542899408284</v>
      </c>
      <c r="H519" s="75">
        <f>'THAM_SO_MOI'!$D$49</f>
        <v>3.1625000000000005</v>
      </c>
      <c r="I519" s="75">
        <f>IF(F519&gt;'THAM_SO_MOI'!$C$14,'THAM_SO_MOI'!$C$13*(1+F519^2/1500),'THAM_SO_MOI'!$C$13)</f>
        <v>0.015</v>
      </c>
      <c r="J519" s="75">
        <f>'THAM_SO_MOI'!$C$40*('THAM_SO_MOI'!$C$23*(E519/'THAM_SO_MOI'!$C$22)+'THAM_SO_MOI'!$C$24*(E519/'THAM_SO_MOI'!$C$22)^2-'THAM_SO_MOI'!$C$25*(E519/'THAM_SO_MOI'!$C$22)^3)</f>
        <v>87.56094556248634</v>
      </c>
      <c r="K519" s="75">
        <f>'THAM_SO_MOI'!$C$31*J519/E519</f>
        <v>427.9407470847224</v>
      </c>
      <c r="L519" s="75">
        <f>K519*'THAM_SO_MOI'!$C$49*'THAM_SO_MOI'!$C$17/'THAM_SO_MOI'!$C$26</f>
        <v>24394.773171936067</v>
      </c>
      <c r="M519" s="75">
        <f>'THAM_SO_MOI'!$C$15*'THAM_SO_MOI'!$C$16*F519^2</f>
        <v>27.236726604035884</v>
      </c>
      <c r="N519" s="75">
        <f>'THAM_SO_MOI'!$C$12*I519</f>
        <v>1130.112</v>
      </c>
      <c r="O519" s="75">
        <f>M519+N519</f>
        <v>1157.348726604036</v>
      </c>
      <c r="P519" s="75">
        <f>(MIN(L519,'THAM_SO_MOI'!$C$41)-O519)/('THAM_SO_MOI'!$C$11*H519)</f>
        <v>0.9567450776240131</v>
      </c>
      <c r="Q519" s="75">
        <f>IF(P519&gt;0,1/P519,NA())</f>
        <v>1.0452104990008482</v>
      </c>
      <c r="R519" s="75">
        <f>F519-F518</f>
        <v>0.0035133136094671613</v>
      </c>
      <c r="S519" s="75">
        <f>0.5*(Q518+Q519)*R519</f>
        <v>0.003672357292881448</v>
      </c>
      <c r="T519" s="75">
        <f>0.5*(F518*Q518+F519*Q519)*R519</f>
        <v>0.011199776424488625</v>
      </c>
      <c r="U519" s="76">
        <f>U518+S519</f>
        <v>2.061107757498503</v>
      </c>
      <c r="V519" s="76">
        <f>V518+T519</f>
        <v>4.3573034471153544</v>
      </c>
    </row>
    <row r="520" spans="1:22" ht="19" customHeight="1">
      <c r="A520" s="68" t="s">
        <v>368</v>
      </c>
      <c r="B520" s="74">
        <v>1</v>
      </c>
      <c r="C520" s="68" t="s">
        <v>363</v>
      </c>
      <c r="D520" s="68" t="s">
        <v>364</v>
      </c>
      <c r="E520" s="75">
        <f>60*F520*'THAM_SO_MOI'!$C$49/(2*PI()*'THAM_SO_MOI'!$C$26)</f>
        <v>1956.4999999999998</v>
      </c>
      <c r="F520" s="75">
        <f>'THAM_SO_MOI'!$E$49+('THAM_SO_MOI'!$F$49-'THAM_SO_MOI'!$E$49)*514/'THAM_SO_MOI'!$C$42</f>
        <v>3.0550213675213675</v>
      </c>
      <c r="G520" s="75">
        <f>3.6*F520</f>
        <v>10.998076923076923</v>
      </c>
      <c r="H520" s="75">
        <f>'THAM_SO_MOI'!$D$49</f>
        <v>3.1625000000000005</v>
      </c>
      <c r="I520" s="75">
        <f>IF(F520&gt;'THAM_SO_MOI'!$C$14,'THAM_SO_MOI'!$C$13*(1+F520^2/1500),'THAM_SO_MOI'!$C$13)</f>
        <v>0.015</v>
      </c>
      <c r="J520" s="75">
        <f>'THAM_SO_MOI'!$C$40*('THAM_SO_MOI'!$C$23*(E520/'THAM_SO_MOI'!$C$22)+'THAM_SO_MOI'!$C$24*(E520/'THAM_SO_MOI'!$C$22)^2-'THAM_SO_MOI'!$C$25*(E520/'THAM_SO_MOI'!$C$22)^3)</f>
        <v>87.67120548837957</v>
      </c>
      <c r="K520" s="75">
        <f>'THAM_SO_MOI'!$C$31*J520/E520</f>
        <v>427.9868685865013</v>
      </c>
      <c r="L520" s="75">
        <f>K520*'THAM_SO_MOI'!$C$49*'THAM_SO_MOI'!$C$17/'THAM_SO_MOI'!$C$26</f>
        <v>24397.402329318047</v>
      </c>
      <c r="M520" s="75">
        <f>'THAM_SO_MOI'!$C$15*'THAM_SO_MOI'!$C$16*F520^2</f>
        <v>27.299480001335475</v>
      </c>
      <c r="N520" s="75">
        <f>'THAM_SO_MOI'!$C$12*I520</f>
        <v>1130.112</v>
      </c>
      <c r="O520" s="75">
        <f>M520+N520</f>
        <v>1157.4114800013356</v>
      </c>
      <c r="P520" s="75">
        <f>(MIN(L520,'THAM_SO_MOI'!$C$41)-O520)/('THAM_SO_MOI'!$C$11*H520)</f>
        <v>0.9568507431372162</v>
      </c>
      <c r="Q520" s="75">
        <f>IF(P520&gt;0,1/P520,NA())</f>
        <v>1.045095075874959</v>
      </c>
      <c r="R520" s="75">
        <f>F520-F519</f>
        <v>0.0035133136094676054</v>
      </c>
      <c r="S520" s="75">
        <f>0.5*(Q519+Q520)*R520</f>
        <v>0.0036719495120785903</v>
      </c>
      <c r="T520" s="75">
        <f>0.5*(F519*Q519+F520*Q520)*R520</f>
        <v>0.011211433508585061</v>
      </c>
      <c r="U520" s="76">
        <f>U519+S520</f>
        <v>2.0647797070105813</v>
      </c>
      <c r="V520" s="76">
        <f>V519+T520</f>
        <v>4.368514880623939</v>
      </c>
    </row>
    <row r="521" spans="1:22" ht="19" customHeight="1">
      <c r="A521" s="68" t="s">
        <v>368</v>
      </c>
      <c r="B521" s="74">
        <v>1</v>
      </c>
      <c r="C521" s="68" t="s">
        <v>363</v>
      </c>
      <c r="D521" s="68" t="s">
        <v>364</v>
      </c>
      <c r="E521" s="75">
        <f>60*F521*'THAM_SO_MOI'!$C$49/(2*PI()*'THAM_SO_MOI'!$C$26)</f>
        <v>1958.75</v>
      </c>
      <c r="F521" s="75">
        <f>'THAM_SO_MOI'!$E$49+('THAM_SO_MOI'!$F$49-'THAM_SO_MOI'!$E$49)*515/'THAM_SO_MOI'!$C$42</f>
        <v>3.058534681130835</v>
      </c>
      <c r="G521" s="75">
        <f>3.6*F521</f>
        <v>11.010724852071007</v>
      </c>
      <c r="H521" s="75">
        <f>'THAM_SO_MOI'!$D$49</f>
        <v>3.1625000000000005</v>
      </c>
      <c r="I521" s="75">
        <f>IF(F521&gt;'THAM_SO_MOI'!$C$14,'THAM_SO_MOI'!$C$13*(1+F521^2/1500),'THAM_SO_MOI'!$C$13)</f>
        <v>0.015</v>
      </c>
      <c r="J521" s="75">
        <f>'THAM_SO_MOI'!$C$40*('THAM_SO_MOI'!$C$23*(E521/'THAM_SO_MOI'!$C$22)+'THAM_SO_MOI'!$C$24*(E521/'THAM_SO_MOI'!$C$22)^2-'THAM_SO_MOI'!$C$25*(E521/'THAM_SO_MOI'!$C$22)^3)</f>
        <v>87.78138642127274</v>
      </c>
      <c r="K521" s="75">
        <f>'THAM_SO_MOI'!$C$31*J521/E521</f>
        <v>428.03249895022157</v>
      </c>
      <c r="L521" s="75">
        <f>K521*'THAM_SO_MOI'!$C$49*'THAM_SO_MOI'!$C$17/'THAM_SO_MOI'!$C$26</f>
        <v>24400.003489362494</v>
      </c>
      <c r="M521" s="75">
        <f>'THAM_SO_MOI'!$C$15*'THAM_SO_MOI'!$C$16*F521^2</f>
        <v>27.36230560736429</v>
      </c>
      <c r="N521" s="75">
        <f>'THAM_SO_MOI'!$C$12*I521</f>
        <v>1130.112</v>
      </c>
      <c r="O521" s="75">
        <f>M521+N521</f>
        <v>1157.4743056073644</v>
      </c>
      <c r="P521" s="75">
        <f>(MIN(L521,'THAM_SO_MOI'!$C$41)-O521)/('THAM_SO_MOI'!$C$11*H521)</f>
        <v>0.9569552529543448</v>
      </c>
      <c r="Q521" s="75">
        <f>IF(P521&gt;0,1/P521,NA())</f>
        <v>1.044980940240169</v>
      </c>
      <c r="R521" s="75">
        <f>F521-F520</f>
        <v>0.0035133136094676054</v>
      </c>
      <c r="S521" s="75">
        <f>0.5*(Q520+Q521)*R521</f>
        <v>0.003671546256119557</v>
      </c>
      <c r="T521" s="75">
        <f>0.5*(F520*Q520+F521*Q521)*R521</f>
        <v>0.01122310155879837</v>
      </c>
      <c r="U521" s="76">
        <f>U520+S521</f>
        <v>2.068451253266701</v>
      </c>
      <c r="V521" s="76">
        <f>V520+T521</f>
        <v>4.379737982182737</v>
      </c>
    </row>
    <row r="522" spans="1:22" ht="19" customHeight="1">
      <c r="A522" s="68" t="s">
        <v>368</v>
      </c>
      <c r="B522" s="74">
        <v>1</v>
      </c>
      <c r="C522" s="68" t="s">
        <v>363</v>
      </c>
      <c r="D522" s="68" t="s">
        <v>364</v>
      </c>
      <c r="E522" s="75">
        <f>60*F522*'THAM_SO_MOI'!$C$49/(2*PI()*'THAM_SO_MOI'!$C$26)</f>
        <v>1960.9999999999995</v>
      </c>
      <c r="F522" s="75">
        <f>'THAM_SO_MOI'!$E$49+('THAM_SO_MOI'!$F$49-'THAM_SO_MOI'!$E$49)*516/'THAM_SO_MOI'!$C$42</f>
        <v>3.0620479947403023</v>
      </c>
      <c r="G522" s="75">
        <f>3.6*F522</f>
        <v>11.023372781065088</v>
      </c>
      <c r="H522" s="75">
        <f>'THAM_SO_MOI'!$D$49</f>
        <v>3.1625000000000005</v>
      </c>
      <c r="I522" s="75">
        <f>IF(F522&gt;'THAM_SO_MOI'!$C$14,'THAM_SO_MOI'!$C$13*(1+F522^2/1500),'THAM_SO_MOI'!$C$13)</f>
        <v>0.015</v>
      </c>
      <c r="J522" s="75">
        <f>'THAM_SO_MOI'!$C$40*('THAM_SO_MOI'!$C$23*(E522/'THAM_SO_MOI'!$C$22)+'THAM_SO_MOI'!$C$24*(E522/'THAM_SO_MOI'!$C$22)^2-'THAM_SO_MOI'!$C$25*(E522/'THAM_SO_MOI'!$C$22)^3)</f>
        <v>87.89148801406627</v>
      </c>
      <c r="K522" s="75">
        <f>'THAM_SO_MOI'!$C$31*J522/E522</f>
        <v>428.07763817588295</v>
      </c>
      <c r="L522" s="75">
        <f>K522*'THAM_SO_MOI'!$C$49*'THAM_SO_MOI'!$C$17/'THAM_SO_MOI'!$C$26</f>
        <v>24402.57665206941</v>
      </c>
      <c r="M522" s="75">
        <f>'THAM_SO_MOI'!$C$15*'THAM_SO_MOI'!$C$16*F522^2</f>
        <v>27.42520342212234</v>
      </c>
      <c r="N522" s="75">
        <f>'THAM_SO_MOI'!$C$12*I522</f>
        <v>1130.112</v>
      </c>
      <c r="O522" s="75">
        <f>M522+N522</f>
        <v>1157.5372034221225</v>
      </c>
      <c r="P522" s="75">
        <f>(MIN(L522,'THAM_SO_MOI'!$C$41)-O522)/('THAM_SO_MOI'!$C$11*H522)</f>
        <v>0.9570586070753987</v>
      </c>
      <c r="Q522" s="75">
        <f>IF(P522&gt;0,1/P522,NA())</f>
        <v>1.0448680912612265</v>
      </c>
      <c r="R522" s="75">
        <f>F522-F521</f>
        <v>0.0035133136094671613</v>
      </c>
      <c r="S522" s="75">
        <f>0.5*(Q521+Q522)*R522</f>
        <v>0.0036711475220528094</v>
      </c>
      <c r="T522" s="75">
        <f>0.5*(F521*Q521+F522*Q522)*R522</f>
        <v>0.011234780613787593</v>
      </c>
      <c r="U522" s="76">
        <f>U521+S522</f>
        <v>2.072122400788754</v>
      </c>
      <c r="V522" s="76">
        <f>V521+T522</f>
        <v>4.390972762796525</v>
      </c>
    </row>
    <row r="523" spans="1:22" ht="19" customHeight="1">
      <c r="A523" s="68" t="s">
        <v>368</v>
      </c>
      <c r="B523" s="74">
        <v>1</v>
      </c>
      <c r="C523" s="68" t="s">
        <v>363</v>
      </c>
      <c r="D523" s="68" t="s">
        <v>364</v>
      </c>
      <c r="E523" s="75">
        <f>60*F523*'THAM_SO_MOI'!$C$49/(2*PI()*'THAM_SO_MOI'!$C$26)</f>
        <v>1963.2499999999998</v>
      </c>
      <c r="F523" s="75">
        <f>'THAM_SO_MOI'!$E$49+('THAM_SO_MOI'!$F$49-'THAM_SO_MOI'!$E$49)*517/'THAM_SO_MOI'!$C$42</f>
        <v>3.06556130834977</v>
      </c>
      <c r="G523" s="75">
        <f>3.6*F523</f>
        <v>11.036020710059171</v>
      </c>
      <c r="H523" s="75">
        <f>'THAM_SO_MOI'!$D$49</f>
        <v>3.1625000000000005</v>
      </c>
      <c r="I523" s="75">
        <f>IF(F523&gt;'THAM_SO_MOI'!$C$14,'THAM_SO_MOI'!$C$13*(1+F523^2/1500),'THAM_SO_MOI'!$C$13)</f>
        <v>0.015</v>
      </c>
      <c r="J523" s="75">
        <f>'THAM_SO_MOI'!$C$40*('THAM_SO_MOI'!$C$23*(E523/'THAM_SO_MOI'!$C$22)+'THAM_SO_MOI'!$C$24*(E523/'THAM_SO_MOI'!$C$22)^2-'THAM_SO_MOI'!$C$25*(E523/'THAM_SO_MOI'!$C$22)^3)</f>
        <v>88.00150991966068</v>
      </c>
      <c r="K523" s="75">
        <f>'THAM_SO_MOI'!$C$31*J523/E523</f>
        <v>428.12228626348553</v>
      </c>
      <c r="L523" s="75">
        <f>K523*'THAM_SO_MOI'!$C$49*'THAM_SO_MOI'!$C$17/'THAM_SO_MOI'!$C$26</f>
        <v>24405.121817438787</v>
      </c>
      <c r="M523" s="75">
        <f>'THAM_SO_MOI'!$C$15*'THAM_SO_MOI'!$C$16*F523^2</f>
        <v>27.488173445609625</v>
      </c>
      <c r="N523" s="75">
        <f>'THAM_SO_MOI'!$C$12*I523</f>
        <v>1130.112</v>
      </c>
      <c r="O523" s="75">
        <f>M523+N523</f>
        <v>1157.6001734456097</v>
      </c>
      <c r="P523" s="75">
        <f>(MIN(L523,'THAM_SO_MOI'!$C$41)-O523)/('THAM_SO_MOI'!$C$11*H523)</f>
        <v>0.9571608055003776</v>
      </c>
      <c r="Q523" s="75">
        <f>IF(P523&gt;0,1/P523,NA())</f>
        <v>1.0447565281125644</v>
      </c>
      <c r="R523" s="75">
        <f>F523-F522</f>
        <v>0.0035133136094676054</v>
      </c>
      <c r="S523" s="75">
        <f>0.5*(Q522+Q523)*R523</f>
        <v>0.0036707533069622526</v>
      </c>
      <c r="T523" s="75">
        <f>0.5*(F522*Q522+F523*Q523)*R523</f>
        <v>0.011246470712278895</v>
      </c>
      <c r="U523" s="76">
        <f>U522+S523</f>
        <v>2.075793154095716</v>
      </c>
      <c r="V523" s="76">
        <f>V522+T523</f>
        <v>4.402219233508804</v>
      </c>
    </row>
    <row r="524" spans="1:22" ht="19" customHeight="1">
      <c r="A524" s="68" t="s">
        <v>368</v>
      </c>
      <c r="B524" s="74">
        <v>1</v>
      </c>
      <c r="C524" s="68" t="s">
        <v>363</v>
      </c>
      <c r="D524" s="68" t="s">
        <v>364</v>
      </c>
      <c r="E524" s="75">
        <f>60*F524*'THAM_SO_MOI'!$C$49/(2*PI()*'THAM_SO_MOI'!$C$26)</f>
        <v>1965.5</v>
      </c>
      <c r="F524" s="75">
        <f>'THAM_SO_MOI'!$E$49+('THAM_SO_MOI'!$F$49-'THAM_SO_MOI'!$E$49)*518/'THAM_SO_MOI'!$C$42</f>
        <v>3.0690746219592375</v>
      </c>
      <c r="G524" s="75">
        <f>3.6*F524</f>
        <v>11.048668639053256</v>
      </c>
      <c r="H524" s="75">
        <f>'THAM_SO_MOI'!$D$49</f>
        <v>3.1625000000000005</v>
      </c>
      <c r="I524" s="75">
        <f>IF(F524&gt;'THAM_SO_MOI'!$C$14,'THAM_SO_MOI'!$C$13*(1+F524^2/1500),'THAM_SO_MOI'!$C$13)</f>
        <v>0.015</v>
      </c>
      <c r="J524" s="75">
        <f>'THAM_SO_MOI'!$C$40*('THAM_SO_MOI'!$C$23*(E524/'THAM_SO_MOI'!$C$22)+'THAM_SO_MOI'!$C$24*(E524/'THAM_SO_MOI'!$C$22)^2-'THAM_SO_MOI'!$C$25*(E524/'THAM_SO_MOI'!$C$22)^3)</f>
        <v>88.1114517909564</v>
      </c>
      <c r="K524" s="75">
        <f>'THAM_SO_MOI'!$C$31*J524/E524</f>
        <v>428.16644321302937</v>
      </c>
      <c r="L524" s="75">
        <f>K524*'THAM_SO_MOI'!$C$49*'THAM_SO_MOI'!$C$17/'THAM_SO_MOI'!$C$26</f>
        <v>24407.638985470636</v>
      </c>
      <c r="M524" s="75">
        <f>'THAM_SO_MOI'!$C$15*'THAM_SO_MOI'!$C$16*F524^2</f>
        <v>27.551215677826146</v>
      </c>
      <c r="N524" s="75">
        <f>'THAM_SO_MOI'!$C$12*I524</f>
        <v>1130.112</v>
      </c>
      <c r="O524" s="75">
        <f>M524+N524</f>
        <v>1157.6632156778262</v>
      </c>
      <c r="P524" s="75">
        <f>(MIN(L524,'THAM_SO_MOI'!$C$41)-O524)/('THAM_SO_MOI'!$C$11*H524)</f>
        <v>0.9572618482292821</v>
      </c>
      <c r="Q524" s="75">
        <f>IF(P524&gt;0,1/P524,NA())</f>
        <v>1.0446462499782831</v>
      </c>
      <c r="R524" s="75">
        <f>F524-F523</f>
        <v>0.0035133136094676054</v>
      </c>
      <c r="S524" s="75">
        <f>0.5*(Q523+Q524)*R524</f>
        <v>0.003670363607962999</v>
      </c>
      <c r="T524" s="75">
        <f>0.5*(F523*Q523+F524*Q524)*R524</f>
        <v>0.011258171893053184</v>
      </c>
      <c r="U524" s="76">
        <f>U523+S524</f>
        <v>2.079463517703679</v>
      </c>
      <c r="V524" s="76">
        <f>V523+T524</f>
        <v>4.413477405401857</v>
      </c>
    </row>
    <row r="525" spans="1:22" ht="19" customHeight="1">
      <c r="A525" s="68" t="s">
        <v>368</v>
      </c>
      <c r="B525" s="74">
        <v>1</v>
      </c>
      <c r="C525" s="68" t="s">
        <v>363</v>
      </c>
      <c r="D525" s="68" t="s">
        <v>364</v>
      </c>
      <c r="E525" s="75">
        <f>60*F525*'THAM_SO_MOI'!$C$49/(2*PI()*'THAM_SO_MOI'!$C$26)</f>
        <v>1967.7499999999998</v>
      </c>
      <c r="F525" s="75">
        <f>'THAM_SO_MOI'!$E$49+('THAM_SO_MOI'!$F$49-'THAM_SO_MOI'!$E$49)*519/'THAM_SO_MOI'!$C$42</f>
        <v>3.0725879355687047</v>
      </c>
      <c r="G525" s="75">
        <f>3.6*F525</f>
        <v>11.061316568047337</v>
      </c>
      <c r="H525" s="75">
        <f>'THAM_SO_MOI'!$D$49</f>
        <v>3.1625000000000005</v>
      </c>
      <c r="I525" s="75">
        <f>IF(F525&gt;'THAM_SO_MOI'!$C$14,'THAM_SO_MOI'!$C$13*(1+F525^2/1500),'THAM_SO_MOI'!$C$13)</f>
        <v>0.015</v>
      </c>
      <c r="J525" s="75">
        <f>'THAM_SO_MOI'!$C$40*('THAM_SO_MOI'!$C$23*(E525/'THAM_SO_MOI'!$C$22)+'THAM_SO_MOI'!$C$24*(E525/'THAM_SO_MOI'!$C$22)^2-'THAM_SO_MOI'!$C$25*(E525/'THAM_SO_MOI'!$C$22)^3)</f>
        <v>88.22131328085383</v>
      </c>
      <c r="K525" s="75">
        <f>'THAM_SO_MOI'!$C$31*J525/E525</f>
        <v>428.2101090245144</v>
      </c>
      <c r="L525" s="75">
        <f>K525*'THAM_SO_MOI'!$C$49*'THAM_SO_MOI'!$C$17/'THAM_SO_MOI'!$C$26</f>
        <v>24410.12815616495</v>
      </c>
      <c r="M525" s="75">
        <f>'THAM_SO_MOI'!$C$15*'THAM_SO_MOI'!$C$16*F525^2</f>
        <v>27.61433011877189</v>
      </c>
      <c r="N525" s="75">
        <f>'THAM_SO_MOI'!$C$12*I525</f>
        <v>1130.112</v>
      </c>
      <c r="O525" s="75">
        <f>M525+N525</f>
        <v>1157.726330118772</v>
      </c>
      <c r="P525" s="75">
        <f>(MIN(L525,'THAM_SO_MOI'!$C$41)-O525)/('THAM_SO_MOI'!$C$11*H525)</f>
        <v>0.9573617352621118</v>
      </c>
      <c r="Q525" s="75">
        <f>IF(P525&gt;0,1/P525,NA())</f>
        <v>1.0445372560521384</v>
      </c>
      <c r="R525" s="75">
        <f>F525-F524</f>
        <v>0.0035133136094671613</v>
      </c>
      <c r="S525" s="75">
        <f>0.5*(Q524+Q525)*R525</f>
        <v>0.0036699784222054993</v>
      </c>
      <c r="T525" s="75">
        <f>0.5*(F524*Q524+F525*Q525)*R525</f>
        <v>0.011269884194959338</v>
      </c>
      <c r="U525" s="76">
        <f>U524+S525</f>
        <v>2.0831334961258845</v>
      </c>
      <c r="V525" s="76">
        <f>V524+T525</f>
        <v>4.424747289596817</v>
      </c>
    </row>
    <row r="526" spans="1:22" ht="19" customHeight="1">
      <c r="A526" s="68" t="s">
        <v>368</v>
      </c>
      <c r="B526" s="74">
        <v>1</v>
      </c>
      <c r="C526" s="68" t="s">
        <v>363</v>
      </c>
      <c r="D526" s="68" t="s">
        <v>364</v>
      </c>
      <c r="E526" s="75">
        <f>60*F526*'THAM_SO_MOI'!$C$49/(2*PI()*'THAM_SO_MOI'!$C$26)</f>
        <v>1969.9999999999995</v>
      </c>
      <c r="F526" s="75">
        <f>'THAM_SO_MOI'!$E$49+('THAM_SO_MOI'!$F$49-'THAM_SO_MOI'!$E$49)*520/'THAM_SO_MOI'!$C$42</f>
        <v>3.0761012491781723</v>
      </c>
      <c r="G526" s="75">
        <f>3.6*F526</f>
        <v>11.07396449704142</v>
      </c>
      <c r="H526" s="75">
        <f>'THAM_SO_MOI'!$D$49</f>
        <v>3.1625000000000005</v>
      </c>
      <c r="I526" s="75">
        <f>IF(F526&gt;'THAM_SO_MOI'!$C$14,'THAM_SO_MOI'!$C$13*(1+F526^2/1500),'THAM_SO_MOI'!$C$13)</f>
        <v>0.015</v>
      </c>
      <c r="J526" s="75">
        <f>'THAM_SO_MOI'!$C$40*('THAM_SO_MOI'!$C$23*(E526/'THAM_SO_MOI'!$C$22)+'THAM_SO_MOI'!$C$24*(E526/'THAM_SO_MOI'!$C$22)^2-'THAM_SO_MOI'!$C$25*(E526/'THAM_SO_MOI'!$C$22)^3)</f>
        <v>88.3310940422535</v>
      </c>
      <c r="K526" s="75">
        <f>'THAM_SO_MOI'!$C$31*J526/E526</f>
        <v>428.2532836979406</v>
      </c>
      <c r="L526" s="75">
        <f>K526*'THAM_SO_MOI'!$C$49*'THAM_SO_MOI'!$C$17/'THAM_SO_MOI'!$C$26</f>
        <v>24412.58932952173</v>
      </c>
      <c r="M526" s="75">
        <f>'THAM_SO_MOI'!$C$15*'THAM_SO_MOI'!$C$16*F526^2</f>
        <v>27.677516768446875</v>
      </c>
      <c r="N526" s="75">
        <f>'THAM_SO_MOI'!$C$12*I526</f>
        <v>1130.112</v>
      </c>
      <c r="O526" s="75">
        <f>M526+N526</f>
        <v>1157.789516768447</v>
      </c>
      <c r="P526" s="75">
        <f>(MIN(L526,'THAM_SO_MOI'!$C$41)-O526)/('THAM_SO_MOI'!$C$11*H526)</f>
        <v>0.9574604665988669</v>
      </c>
      <c r="Q526" s="75">
        <f>IF(P526&gt;0,1/P526,NA())</f>
        <v>1.0444295455375239</v>
      </c>
      <c r="R526" s="75">
        <f>F526-F525</f>
        <v>0.0035133136094676054</v>
      </c>
      <c r="S526" s="75">
        <f>0.5*(Q525+Q526)*R526</f>
        <v>0.003669597746875488</v>
      </c>
      <c r="T526" s="75">
        <f>0.5*(F525*Q525+F526*Q526)*R526</f>
        <v>0.011281607656914657</v>
      </c>
      <c r="U526" s="76">
        <f>U525+S526</f>
        <v>2.08680309387276</v>
      </c>
      <c r="V526" s="76">
        <f>V525+T526</f>
        <v>4.436028897253731</v>
      </c>
    </row>
    <row r="527" spans="1:22" ht="19" customHeight="1">
      <c r="A527" s="68" t="s">
        <v>368</v>
      </c>
      <c r="B527" s="74">
        <v>1</v>
      </c>
      <c r="C527" s="68" t="s">
        <v>363</v>
      </c>
      <c r="D527" s="68" t="s">
        <v>364</v>
      </c>
      <c r="E527" s="75">
        <f>60*F527*'THAM_SO_MOI'!$C$49/(2*PI()*'THAM_SO_MOI'!$C$26)</f>
        <v>1972.2499999999998</v>
      </c>
      <c r="F527" s="75">
        <f>'THAM_SO_MOI'!$E$49+('THAM_SO_MOI'!$F$49-'THAM_SO_MOI'!$E$49)*521/'THAM_SO_MOI'!$C$42</f>
        <v>3.07961456278764</v>
      </c>
      <c r="G527" s="75">
        <f>3.6*F527</f>
        <v>11.086612426035504</v>
      </c>
      <c r="H527" s="75">
        <f>'THAM_SO_MOI'!$D$49</f>
        <v>3.1625000000000005</v>
      </c>
      <c r="I527" s="75">
        <f>IF(F527&gt;'THAM_SO_MOI'!$C$14,'THAM_SO_MOI'!$C$13*(1+F527^2/1500),'THAM_SO_MOI'!$C$13)</f>
        <v>0.015</v>
      </c>
      <c r="J527" s="75">
        <f>'THAM_SO_MOI'!$C$40*('THAM_SO_MOI'!$C$23*(E527/'THAM_SO_MOI'!$C$22)+'THAM_SO_MOI'!$C$24*(E527/'THAM_SO_MOI'!$C$22)^2-'THAM_SO_MOI'!$C$25*(E527/'THAM_SO_MOI'!$C$22)^3)</f>
        <v>88.44079372805585</v>
      </c>
      <c r="K527" s="75">
        <f>'THAM_SO_MOI'!$C$31*J527/E527</f>
        <v>428.29596723330803</v>
      </c>
      <c r="L527" s="75">
        <f>K527*'THAM_SO_MOI'!$C$49*'THAM_SO_MOI'!$C$17/'THAM_SO_MOI'!$C$26</f>
        <v>24415.022505540972</v>
      </c>
      <c r="M527" s="75">
        <f>'THAM_SO_MOI'!$C$15*'THAM_SO_MOI'!$C$16*F527^2</f>
        <v>27.740775626851093</v>
      </c>
      <c r="N527" s="75">
        <f>'THAM_SO_MOI'!$C$12*I527</f>
        <v>1130.112</v>
      </c>
      <c r="O527" s="75">
        <f>M527+N527</f>
        <v>1157.852775626851</v>
      </c>
      <c r="P527" s="75">
        <f>(MIN(L527,'THAM_SO_MOI'!$C$41)-O527)/('THAM_SO_MOI'!$C$11*H527)</f>
        <v>0.957558042239547</v>
      </c>
      <c r="Q527" s="75">
        <f>IF(P527&gt;0,1/P527,NA())</f>
        <v>1.044323117647458</v>
      </c>
      <c r="R527" s="75">
        <f>F527-F526</f>
        <v>0.0035133136094676054</v>
      </c>
      <c r="S527" s="75">
        <f>0.5*(Q526+Q527)*R527</f>
        <v>0.003669221579189751</v>
      </c>
      <c r="T527" s="75">
        <f>0.5*(F526*Q526+F527*Q527)*R527</f>
        <v>0.011293342317892485</v>
      </c>
      <c r="U527" s="76">
        <f>U526+S527</f>
        <v>2.0904723154519496</v>
      </c>
      <c r="V527" s="76">
        <f>V526+T527</f>
        <v>4.447322239571624</v>
      </c>
    </row>
    <row r="528" spans="1:22" ht="19" customHeight="1">
      <c r="A528" s="68" t="s">
        <v>368</v>
      </c>
      <c r="B528" s="74">
        <v>1</v>
      </c>
      <c r="C528" s="68" t="s">
        <v>363</v>
      </c>
      <c r="D528" s="68" t="s">
        <v>364</v>
      </c>
      <c r="E528" s="75">
        <f>60*F528*'THAM_SO_MOI'!$C$49/(2*PI()*'THAM_SO_MOI'!$C$26)</f>
        <v>1974.4999999999998</v>
      </c>
      <c r="F528" s="75">
        <f>'THAM_SO_MOI'!$E$49+('THAM_SO_MOI'!$F$49-'THAM_SO_MOI'!$E$49)*522/'THAM_SO_MOI'!$C$42</f>
        <v>3.083127876397107</v>
      </c>
      <c r="G528" s="75">
        <f>3.6*F528</f>
        <v>11.099260355029585</v>
      </c>
      <c r="H528" s="75">
        <f>'THAM_SO_MOI'!$D$49</f>
        <v>3.1625000000000005</v>
      </c>
      <c r="I528" s="75">
        <f>IF(F528&gt;'THAM_SO_MOI'!$C$14,'THAM_SO_MOI'!$C$13*(1+F528^2/1500),'THAM_SO_MOI'!$C$13)</f>
        <v>0.015</v>
      </c>
      <c r="J528" s="75">
        <f>'THAM_SO_MOI'!$C$40*('THAM_SO_MOI'!$C$23*(E528/'THAM_SO_MOI'!$C$22)+'THAM_SO_MOI'!$C$24*(E528/'THAM_SO_MOI'!$C$22)^2-'THAM_SO_MOI'!$C$25*(E528/'THAM_SO_MOI'!$C$22)^3)</f>
        <v>88.55041199116133</v>
      </c>
      <c r="K528" s="75">
        <f>'THAM_SO_MOI'!$C$31*J528/E528</f>
        <v>428.33815963061676</v>
      </c>
      <c r="L528" s="75">
        <f>K528*'THAM_SO_MOI'!$C$49*'THAM_SO_MOI'!$C$17/'THAM_SO_MOI'!$C$26</f>
        <v>24417.42768422269</v>
      </c>
      <c r="M528" s="75">
        <f>'THAM_SO_MOI'!$C$15*'THAM_SO_MOI'!$C$16*F528^2</f>
        <v>27.804106693984536</v>
      </c>
      <c r="N528" s="75">
        <f>'THAM_SO_MOI'!$C$12*I528</f>
        <v>1130.112</v>
      </c>
      <c r="O528" s="75">
        <f>M528+N528</f>
        <v>1157.9161066939846</v>
      </c>
      <c r="P528" s="75">
        <f>(MIN(L528,'THAM_SO_MOI'!$C$41)-O528)/('THAM_SO_MOI'!$C$11*H528)</f>
        <v>0.9576544621841527</v>
      </c>
      <c r="Q528" s="75">
        <f>IF(P528&gt;0,1/P528,NA())</f>
        <v>1.0442179716045685</v>
      </c>
      <c r="R528" s="75">
        <f>F528-F527</f>
        <v>0.0035133136094671613</v>
      </c>
      <c r="S528" s="75">
        <f>0.5*(Q527+Q528)*R528</f>
        <v>0.003668849916400257</v>
      </c>
      <c r="T528" s="75">
        <f>0.5*(F527*Q527+F528*Q528)*R528</f>
        <v>0.011305088216935443</v>
      </c>
      <c r="U528" s="76">
        <f>U527+S528</f>
        <v>2.0941411653683497</v>
      </c>
      <c r="V528" s="76">
        <f>V527+T528</f>
        <v>4.458627327788559</v>
      </c>
    </row>
    <row r="529" spans="1:22" ht="19" customHeight="1">
      <c r="A529" s="68" t="s">
        <v>368</v>
      </c>
      <c r="B529" s="74">
        <v>1</v>
      </c>
      <c r="C529" s="68" t="s">
        <v>363</v>
      </c>
      <c r="D529" s="68" t="s">
        <v>364</v>
      </c>
      <c r="E529" s="75">
        <f>60*F529*'THAM_SO_MOI'!$C$49/(2*PI()*'THAM_SO_MOI'!$C$26)</f>
        <v>1976.7499999999995</v>
      </c>
      <c r="F529" s="75">
        <f>'THAM_SO_MOI'!$E$49+('THAM_SO_MOI'!$F$49-'THAM_SO_MOI'!$E$49)*523/'THAM_SO_MOI'!$C$42</f>
        <v>3.086641190006574</v>
      </c>
      <c r="G529" s="75">
        <f>3.6*F529</f>
        <v>11.111908284023668</v>
      </c>
      <c r="H529" s="75">
        <f>'THAM_SO_MOI'!$D$49</f>
        <v>3.1625000000000005</v>
      </c>
      <c r="I529" s="75">
        <f>IF(F529&gt;'THAM_SO_MOI'!$C$14,'THAM_SO_MOI'!$C$13*(1+F529^2/1500),'THAM_SO_MOI'!$C$13)</f>
        <v>0.015</v>
      </c>
      <c r="J529" s="75">
        <f>'THAM_SO_MOI'!$C$40*('THAM_SO_MOI'!$C$23*(E529/'THAM_SO_MOI'!$C$22)+'THAM_SO_MOI'!$C$24*(E529/'THAM_SO_MOI'!$C$22)^2-'THAM_SO_MOI'!$C$25*(E529/'THAM_SO_MOI'!$C$22)^3)</f>
        <v>88.65994848447038</v>
      </c>
      <c r="K529" s="75">
        <f>'THAM_SO_MOI'!$C$31*J529/E529</f>
        <v>428.3798608898667</v>
      </c>
      <c r="L529" s="75">
        <f>K529*'THAM_SO_MOI'!$C$49*'THAM_SO_MOI'!$C$17/'THAM_SO_MOI'!$C$26</f>
        <v>24419.80486556687</v>
      </c>
      <c r="M529" s="75">
        <f>'THAM_SO_MOI'!$C$15*'THAM_SO_MOI'!$C$16*F529^2</f>
        <v>27.867509969847216</v>
      </c>
      <c r="N529" s="75">
        <f>'THAM_SO_MOI'!$C$12*I529</f>
        <v>1130.112</v>
      </c>
      <c r="O529" s="75">
        <f>M529+N529</f>
        <v>1157.9795099698472</v>
      </c>
      <c r="P529" s="75">
        <f>(MIN(L529,'THAM_SO_MOI'!$C$41)-O529)/('THAM_SO_MOI'!$C$11*H529)</f>
        <v>0.9577497264326836</v>
      </c>
      <c r="Q529" s="75">
        <f>IF(P529&gt;0,1/P529,NA())</f>
        <v>1.0441141066410797</v>
      </c>
      <c r="R529" s="75">
        <f>F529-F528</f>
        <v>0.0035133136094671613</v>
      </c>
      <c r="S529" s="75">
        <f>0.5*(Q528+Q529)*R529</f>
        <v>0.003668482755793639</v>
      </c>
      <c r="T529" s="75">
        <f>0.5*(F528*Q528+F529*Q529)*R529</f>
        <v>0.011316845393154475</v>
      </c>
      <c r="U529" s="76">
        <f>U528+S529</f>
        <v>2.0978096481241435</v>
      </c>
      <c r="V529" s="76">
        <f>V528+T529</f>
        <v>4.469944173181713</v>
      </c>
    </row>
    <row r="530" spans="1:22" ht="19" customHeight="1">
      <c r="A530" s="68" t="s">
        <v>368</v>
      </c>
      <c r="B530" s="74">
        <v>1</v>
      </c>
      <c r="C530" s="68" t="s">
        <v>363</v>
      </c>
      <c r="D530" s="68" t="s">
        <v>364</v>
      </c>
      <c r="E530" s="75">
        <f>60*F530*'THAM_SO_MOI'!$C$49/(2*PI()*'THAM_SO_MOI'!$C$26)</f>
        <v>1978.9999999999998</v>
      </c>
      <c r="F530" s="75">
        <f>'THAM_SO_MOI'!$E$49+('THAM_SO_MOI'!$F$49-'THAM_SO_MOI'!$E$49)*524/'THAM_SO_MOI'!$C$42</f>
        <v>3.0901545036160423</v>
      </c>
      <c r="G530" s="75">
        <f>3.6*F530</f>
        <v>11.124556213017753</v>
      </c>
      <c r="H530" s="75">
        <f>'THAM_SO_MOI'!$D$49</f>
        <v>3.1625000000000005</v>
      </c>
      <c r="I530" s="75">
        <f>IF(F530&gt;'THAM_SO_MOI'!$C$14,'THAM_SO_MOI'!$C$13*(1+F530^2/1500),'THAM_SO_MOI'!$C$13)</f>
        <v>0.015</v>
      </c>
      <c r="J530" s="75">
        <f>'THAM_SO_MOI'!$C$40*('THAM_SO_MOI'!$C$23*(E530/'THAM_SO_MOI'!$C$22)+'THAM_SO_MOI'!$C$24*(E530/'THAM_SO_MOI'!$C$22)^2-'THAM_SO_MOI'!$C$25*(E530/'THAM_SO_MOI'!$C$22)^3)</f>
        <v>88.76940286088349</v>
      </c>
      <c r="K530" s="75">
        <f>'THAM_SO_MOI'!$C$31*J530/E530</f>
        <v>428.42107101105785</v>
      </c>
      <c r="L530" s="75">
        <f>K530*'THAM_SO_MOI'!$C$49*'THAM_SO_MOI'!$C$17/'THAM_SO_MOI'!$C$26</f>
        <v>24422.154049573528</v>
      </c>
      <c r="M530" s="75">
        <f>'THAM_SO_MOI'!$C$15*'THAM_SO_MOI'!$C$16*F530^2</f>
        <v>27.930985454439142</v>
      </c>
      <c r="N530" s="75">
        <f>'THAM_SO_MOI'!$C$12*I530</f>
        <v>1130.112</v>
      </c>
      <c r="O530" s="75">
        <f>M530+N530</f>
        <v>1158.0429854544393</v>
      </c>
      <c r="P530" s="75">
        <f>(MIN(L530,'THAM_SO_MOI'!$C$41)-O530)/('THAM_SO_MOI'!$C$11*H530)</f>
        <v>0.9578438349851401</v>
      </c>
      <c r="Q530" s="75">
        <f>IF(P530&gt;0,1/P530,NA())</f>
        <v>1.0440115219987962</v>
      </c>
      <c r="R530" s="75">
        <f>F530-F529</f>
        <v>0.0035133136094680495</v>
      </c>
      <c r="S530" s="75">
        <f>0.5*(Q529+Q530)*R530</f>
        <v>0.0036681200946897512</v>
      </c>
      <c r="T530" s="75">
        <f>0.5*(F529*Q529+F530*Q530)*R530</f>
        <v>0.011328613885725005</v>
      </c>
      <c r="U530" s="76">
        <f>U529+S530</f>
        <v>2.101477768218833</v>
      </c>
      <c r="V530" s="76">
        <f>V529+T530</f>
        <v>4.4812727870674385</v>
      </c>
    </row>
    <row r="531" spans="1:22" ht="19" customHeight="1">
      <c r="A531" s="68" t="s">
        <v>368</v>
      </c>
      <c r="B531" s="74">
        <v>1</v>
      </c>
      <c r="C531" s="68" t="s">
        <v>363</v>
      </c>
      <c r="D531" s="68" t="s">
        <v>364</v>
      </c>
      <c r="E531" s="75">
        <f>60*F531*'THAM_SO_MOI'!$C$49/(2*PI()*'THAM_SO_MOI'!$C$26)</f>
        <v>1981.2499999999998</v>
      </c>
      <c r="F531" s="75">
        <f>'THAM_SO_MOI'!$E$49+('THAM_SO_MOI'!$F$49-'THAM_SO_MOI'!$E$49)*525/'THAM_SO_MOI'!$C$42</f>
        <v>3.0936678172255094</v>
      </c>
      <c r="G531" s="75">
        <f>3.6*F531</f>
        <v>11.137204142011834</v>
      </c>
      <c r="H531" s="75">
        <f>'THAM_SO_MOI'!$D$49</f>
        <v>3.1625000000000005</v>
      </c>
      <c r="I531" s="75">
        <f>IF(F531&gt;'THAM_SO_MOI'!$C$14,'THAM_SO_MOI'!$C$13*(1+F531^2/1500),'THAM_SO_MOI'!$C$13)</f>
        <v>0.015</v>
      </c>
      <c r="J531" s="75">
        <f>'THAM_SO_MOI'!$C$40*('THAM_SO_MOI'!$C$23*(E531/'THAM_SO_MOI'!$C$22)+'THAM_SO_MOI'!$C$24*(E531/'THAM_SO_MOI'!$C$22)^2-'THAM_SO_MOI'!$C$25*(E531/'THAM_SO_MOI'!$C$22)^3)</f>
        <v>88.87877477330106</v>
      </c>
      <c r="K531" s="75">
        <f>'THAM_SO_MOI'!$C$31*J531/E531</f>
        <v>428.4617899941902</v>
      </c>
      <c r="L531" s="75">
        <f>K531*'THAM_SO_MOI'!$C$49*'THAM_SO_MOI'!$C$17/'THAM_SO_MOI'!$C$26</f>
        <v>24424.47523624264</v>
      </c>
      <c r="M531" s="75">
        <f>'THAM_SO_MOI'!$C$15*'THAM_SO_MOI'!$C$16*F531^2</f>
        <v>27.994533147760286</v>
      </c>
      <c r="N531" s="75">
        <f>'THAM_SO_MOI'!$C$12*I531</f>
        <v>1130.112</v>
      </c>
      <c r="O531" s="75">
        <f>M531+N531</f>
        <v>1158.1065331477603</v>
      </c>
      <c r="P531" s="75">
        <f>(MIN(L531,'THAM_SO_MOI'!$C$41)-O531)/('THAM_SO_MOI'!$C$11*H531)</f>
        <v>0.9579367878415216</v>
      </c>
      <c r="Q531" s="75">
        <f>IF(P531&gt;0,1/P531,NA())</f>
        <v>1.0439102169290917</v>
      </c>
      <c r="R531" s="75">
        <f>F531-F530</f>
        <v>0.0035133136094671613</v>
      </c>
      <c r="S531" s="75">
        <f>0.5*(Q530+Q531)*R531</f>
        <v>0.0036677619304388447</v>
      </c>
      <c r="T531" s="75">
        <f>0.5*(F530*Q530+F531*Q531)*R531</f>
        <v>0.011340393733878759</v>
      </c>
      <c r="U531" s="76">
        <f>U530+S531</f>
        <v>2.105145530149272</v>
      </c>
      <c r="V531" s="76">
        <f>V530+T531</f>
        <v>4.492613180801317</v>
      </c>
    </row>
    <row r="532" spans="1:22" ht="19" customHeight="1">
      <c r="A532" s="68" t="s">
        <v>368</v>
      </c>
      <c r="B532" s="74">
        <v>1</v>
      </c>
      <c r="C532" s="68" t="s">
        <v>363</v>
      </c>
      <c r="D532" s="68" t="s">
        <v>364</v>
      </c>
      <c r="E532" s="75">
        <f>60*F532*'THAM_SO_MOI'!$C$49/(2*PI()*'THAM_SO_MOI'!$C$26)</f>
        <v>1983.4999999999995</v>
      </c>
      <c r="F532" s="75">
        <f>'THAM_SO_MOI'!$E$49+('THAM_SO_MOI'!$F$49-'THAM_SO_MOI'!$E$49)*526/'THAM_SO_MOI'!$C$42</f>
        <v>3.0971811308349766</v>
      </c>
      <c r="G532" s="75">
        <f>3.6*F532</f>
        <v>11.149852071005917</v>
      </c>
      <c r="H532" s="75">
        <f>'THAM_SO_MOI'!$D$49</f>
        <v>3.1625000000000005</v>
      </c>
      <c r="I532" s="75">
        <f>IF(F532&gt;'THAM_SO_MOI'!$C$14,'THAM_SO_MOI'!$C$13*(1+F532^2/1500),'THAM_SO_MOI'!$C$13)</f>
        <v>0.015</v>
      </c>
      <c r="J532" s="75">
        <f>'THAM_SO_MOI'!$C$40*('THAM_SO_MOI'!$C$23*(E532/'THAM_SO_MOI'!$C$22)+'THAM_SO_MOI'!$C$24*(E532/'THAM_SO_MOI'!$C$22)^2-'THAM_SO_MOI'!$C$25*(E532/'THAM_SO_MOI'!$C$22)^3)</f>
        <v>88.98806387462358</v>
      </c>
      <c r="K532" s="75">
        <f>'THAM_SO_MOI'!$C$31*J532/E532</f>
        <v>428.5020178392638</v>
      </c>
      <c r="L532" s="75">
        <f>K532*'THAM_SO_MOI'!$C$49*'THAM_SO_MOI'!$C$17/'THAM_SO_MOI'!$C$26</f>
        <v>24426.768425574228</v>
      </c>
      <c r="M532" s="75">
        <f>'THAM_SO_MOI'!$C$15*'THAM_SO_MOI'!$C$16*F532^2</f>
        <v>28.058153049810656</v>
      </c>
      <c r="N532" s="75">
        <f>'THAM_SO_MOI'!$C$12*I532</f>
        <v>1130.112</v>
      </c>
      <c r="O532" s="75">
        <f>M532+N532</f>
        <v>1158.1701530498108</v>
      </c>
      <c r="P532" s="75">
        <f>(MIN(L532,'THAM_SO_MOI'!$C$41)-O532)/('THAM_SO_MOI'!$C$11*H532)</f>
        <v>0.9580285850018286</v>
      </c>
      <c r="Q532" s="75">
        <f>IF(P532&gt;0,1/P532,NA())</f>
        <v>1.0438101906928918</v>
      </c>
      <c r="R532" s="75">
        <f>F532-F531</f>
        <v>0.0035133136094671613</v>
      </c>
      <c r="S532" s="75">
        <f>0.5*(Q531+Q532)*R532</f>
        <v>0.003667408260430322</v>
      </c>
      <c r="T532" s="75">
        <f>0.5*(F531*Q531+F532*Q532)*R532</f>
        <v>0.011352184976931424</v>
      </c>
      <c r="U532" s="76">
        <f>U531+S532</f>
        <v>2.1088129384097023</v>
      </c>
      <c r="V532" s="76">
        <f>V531+T532</f>
        <v>4.503965365778249</v>
      </c>
    </row>
    <row r="533" spans="1:22" ht="19" customHeight="1">
      <c r="A533" s="68" t="s">
        <v>368</v>
      </c>
      <c r="B533" s="74">
        <v>1</v>
      </c>
      <c r="C533" s="68" t="s">
        <v>363</v>
      </c>
      <c r="D533" s="68" t="s">
        <v>364</v>
      </c>
      <c r="E533" s="75">
        <f>60*F533*'THAM_SO_MOI'!$C$49/(2*PI()*'THAM_SO_MOI'!$C$26)</f>
        <v>1985.7499999999998</v>
      </c>
      <c r="F533" s="75">
        <f>'THAM_SO_MOI'!$E$49+('THAM_SO_MOI'!$F$49-'THAM_SO_MOI'!$E$49)*527/'THAM_SO_MOI'!$C$42</f>
        <v>3.1006944444444446</v>
      </c>
      <c r="G533" s="75">
        <f>3.6*F533</f>
        <v>11.162500000000001</v>
      </c>
      <c r="H533" s="75">
        <f>'THAM_SO_MOI'!$D$49</f>
        <v>3.1625000000000005</v>
      </c>
      <c r="I533" s="75">
        <f>IF(F533&gt;'THAM_SO_MOI'!$C$14,'THAM_SO_MOI'!$C$13*(1+F533^2/1500),'THAM_SO_MOI'!$C$13)</f>
        <v>0.015</v>
      </c>
      <c r="J533" s="75">
        <f>'THAM_SO_MOI'!$C$40*('THAM_SO_MOI'!$C$23*(E533/'THAM_SO_MOI'!$C$22)+'THAM_SO_MOI'!$C$24*(E533/'THAM_SO_MOI'!$C$22)^2-'THAM_SO_MOI'!$C$25*(E533/'THAM_SO_MOI'!$C$22)^3)</f>
        <v>89.09726981775155</v>
      </c>
      <c r="K533" s="75">
        <f>'THAM_SO_MOI'!$C$31*J533/E533</f>
        <v>428.5417545462787</v>
      </c>
      <c r="L533" s="75">
        <f>K533*'THAM_SO_MOI'!$C$49*'THAM_SO_MOI'!$C$17/'THAM_SO_MOI'!$C$26</f>
        <v>24429.03361756829</v>
      </c>
      <c r="M533" s="75">
        <f>'THAM_SO_MOI'!$C$15*'THAM_SO_MOI'!$C$16*F533^2</f>
        <v>28.121845160590283</v>
      </c>
      <c r="N533" s="75">
        <f>'THAM_SO_MOI'!$C$12*I533</f>
        <v>1130.112</v>
      </c>
      <c r="O533" s="75">
        <f>M533+N533</f>
        <v>1158.2338451605904</v>
      </c>
      <c r="P533" s="75">
        <f>(MIN(L533,'THAM_SO_MOI'!$C$41)-O533)/('THAM_SO_MOI'!$C$11*H533)</f>
        <v>0.9581192264660613</v>
      </c>
      <c r="Q533" s="75">
        <f>IF(P533&gt;0,1/P533,NA())</f>
        <v>1.0437114425606637</v>
      </c>
      <c r="R533" s="75">
        <f>F533-F532</f>
        <v>0.0035133136094680495</v>
      </c>
      <c r="S533" s="75">
        <f>0.5*(Q532+Q533)*R533</f>
        <v>0.0036670590820843435</v>
      </c>
      <c r="T533" s="75">
        <f>0.5*(F532*Q532+F533*Q533)*R533</f>
        <v>0.011363987654257317</v>
      </c>
      <c r="U533" s="76">
        <f>U532+S533</f>
        <v>2.1124799974917865</v>
      </c>
      <c r="V533" s="76">
        <f>V532+T533</f>
        <v>4.515329353432506</v>
      </c>
    </row>
    <row r="534" spans="1:22" ht="19" customHeight="1">
      <c r="A534" s="68" t="s">
        <v>368</v>
      </c>
      <c r="B534" s="74">
        <v>1</v>
      </c>
      <c r="C534" s="68" t="s">
        <v>363</v>
      </c>
      <c r="D534" s="68" t="s">
        <v>364</v>
      </c>
      <c r="E534" s="75">
        <f>60*F534*'THAM_SO_MOI'!$C$49/(2*PI()*'THAM_SO_MOI'!$C$26)</f>
        <v>1987.9999999999995</v>
      </c>
      <c r="F534" s="75">
        <f>'THAM_SO_MOI'!$E$49+('THAM_SO_MOI'!$F$49-'THAM_SO_MOI'!$E$49)*528/'THAM_SO_MOI'!$C$42</f>
        <v>3.104207758053912</v>
      </c>
      <c r="G534" s="75">
        <f>3.6*F534</f>
        <v>11.175147928994082</v>
      </c>
      <c r="H534" s="75">
        <f>'THAM_SO_MOI'!$D$49</f>
        <v>3.1625000000000005</v>
      </c>
      <c r="I534" s="75">
        <f>IF(F534&gt;'THAM_SO_MOI'!$C$14,'THAM_SO_MOI'!$C$13*(1+F534^2/1500),'THAM_SO_MOI'!$C$13)</f>
        <v>0.015</v>
      </c>
      <c r="J534" s="75">
        <f>'THAM_SO_MOI'!$C$40*('THAM_SO_MOI'!$C$23*(E534/'THAM_SO_MOI'!$C$22)+'THAM_SO_MOI'!$C$24*(E534/'THAM_SO_MOI'!$C$22)^2-'THAM_SO_MOI'!$C$25*(E534/'THAM_SO_MOI'!$C$22)^3)</f>
        <v>89.20639225558533</v>
      </c>
      <c r="K534" s="75">
        <f>'THAM_SO_MOI'!$C$31*J534/E534</f>
        <v>428.58100011523464</v>
      </c>
      <c r="L534" s="75">
        <f>K534*'THAM_SO_MOI'!$C$49*'THAM_SO_MOI'!$C$17/'THAM_SO_MOI'!$C$26</f>
        <v>24431.270812224808</v>
      </c>
      <c r="M534" s="75">
        <f>'THAM_SO_MOI'!$C$15*'THAM_SO_MOI'!$C$16*F534^2</f>
        <v>28.185609480099124</v>
      </c>
      <c r="N534" s="75">
        <f>'THAM_SO_MOI'!$C$12*I534</f>
        <v>1130.112</v>
      </c>
      <c r="O534" s="75">
        <f>M534+N534</f>
        <v>1158.2976094800993</v>
      </c>
      <c r="P534" s="75">
        <f>(MIN(L534,'THAM_SO_MOI'!$C$41)-O534)/('THAM_SO_MOI'!$C$11*H534)</f>
        <v>0.9582087122342187</v>
      </c>
      <c r="Q534" s="75">
        <f>IF(P534&gt;0,1/P534,NA())</f>
        <v>1.043613971812402</v>
      </c>
      <c r="R534" s="75">
        <f>F534-F533</f>
        <v>0.0035133136094671613</v>
      </c>
      <c r="S534" s="75">
        <f>0.5*(Q533+Q534)*R534</f>
        <v>0.0036667143928517864</v>
      </c>
      <c r="T534" s="75">
        <f>0.5*(F533*Q533+F534*Q534)*R534</f>
        <v>0.011375801805289798</v>
      </c>
      <c r="U534" s="76">
        <f>U533+S534</f>
        <v>2.1161467118846384</v>
      </c>
      <c r="V534" s="76">
        <f>V533+T534</f>
        <v>4.526705155237796</v>
      </c>
    </row>
    <row r="535" spans="1:22" ht="19" customHeight="1">
      <c r="A535" s="68" t="s">
        <v>368</v>
      </c>
      <c r="B535" s="74">
        <v>1</v>
      </c>
      <c r="C535" s="68" t="s">
        <v>363</v>
      </c>
      <c r="D535" s="68" t="s">
        <v>364</v>
      </c>
      <c r="E535" s="75">
        <f>60*F535*'THAM_SO_MOI'!$C$49/(2*PI()*'THAM_SO_MOI'!$C$26)</f>
        <v>1990.2499999999998</v>
      </c>
      <c r="F535" s="75">
        <f>'THAM_SO_MOI'!$E$49+('THAM_SO_MOI'!$F$49-'THAM_SO_MOI'!$E$49)*529/'THAM_SO_MOI'!$C$42</f>
        <v>3.1077210716633794</v>
      </c>
      <c r="G535" s="75">
        <f>3.6*F535</f>
        <v>11.187795857988165</v>
      </c>
      <c r="H535" s="75">
        <f>'THAM_SO_MOI'!$D$49</f>
        <v>3.1625000000000005</v>
      </c>
      <c r="I535" s="75">
        <f>IF(F535&gt;'THAM_SO_MOI'!$C$14,'THAM_SO_MOI'!$C$13*(1+F535^2/1500),'THAM_SO_MOI'!$C$13)</f>
        <v>0.015</v>
      </c>
      <c r="J535" s="75">
        <f>'THAM_SO_MOI'!$C$40*('THAM_SO_MOI'!$C$23*(E535/'THAM_SO_MOI'!$C$22)+'THAM_SO_MOI'!$C$24*(E535/'THAM_SO_MOI'!$C$22)^2-'THAM_SO_MOI'!$C$25*(E535/'THAM_SO_MOI'!$C$22)^3)</f>
        <v>89.31543084102543</v>
      </c>
      <c r="K535" s="75">
        <f>'THAM_SO_MOI'!$C$31*J535/E535</f>
        <v>428.61975454613184</v>
      </c>
      <c r="L535" s="75">
        <f>K535*'THAM_SO_MOI'!$C$49*'THAM_SO_MOI'!$C$17/'THAM_SO_MOI'!$C$26</f>
        <v>24433.480009543797</v>
      </c>
      <c r="M535" s="75">
        <f>'THAM_SO_MOI'!$C$15*'THAM_SO_MOI'!$C$16*F535^2</f>
        <v>28.249446008337213</v>
      </c>
      <c r="N535" s="75">
        <f>'THAM_SO_MOI'!$C$12*I535</f>
        <v>1130.112</v>
      </c>
      <c r="O535" s="75">
        <f>M535+N535</f>
        <v>1158.3614460083372</v>
      </c>
      <c r="P535" s="75">
        <f>(MIN(L535,'THAM_SO_MOI'!$C$41)-O535)/('THAM_SO_MOI'!$C$11*H535)</f>
        <v>0.9582970423063017</v>
      </c>
      <c r="Q535" s="75">
        <f>IF(P535&gt;0,1/P535,NA())</f>
        <v>1.0435177777376137</v>
      </c>
      <c r="R535" s="75">
        <f>F535-F534</f>
        <v>0.0035133136094676054</v>
      </c>
      <c r="S535" s="75">
        <f>0.5*(Q534+Q535)*R535</f>
        <v>0.003666374190223002</v>
      </c>
      <c r="T535" s="75">
        <f>0.5*(F534*Q534+F535*Q535)*R535</f>
        <v>0.011387627469549001</v>
      </c>
      <c r="U535" s="76">
        <f>U534+S535</f>
        <v>2.1198130860748616</v>
      </c>
      <c r="V535" s="76">
        <f>V534+T535</f>
        <v>4.538092782707345</v>
      </c>
    </row>
    <row r="536" spans="1:22" ht="19" customHeight="1">
      <c r="A536" s="68" t="s">
        <v>368</v>
      </c>
      <c r="B536" s="74">
        <v>1</v>
      </c>
      <c r="C536" s="68" t="s">
        <v>363</v>
      </c>
      <c r="D536" s="68" t="s">
        <v>364</v>
      </c>
      <c r="E536" s="75">
        <f>60*F536*'THAM_SO_MOI'!$C$49/(2*PI()*'THAM_SO_MOI'!$C$26)</f>
        <v>1992.5</v>
      </c>
      <c r="F536" s="75">
        <f>'THAM_SO_MOI'!$E$49+('THAM_SO_MOI'!$F$49-'THAM_SO_MOI'!$E$49)*530/'THAM_SO_MOI'!$C$42</f>
        <v>3.111234385272847</v>
      </c>
      <c r="G536" s="75">
        <f>3.6*F536</f>
        <v>11.20044378698225</v>
      </c>
      <c r="H536" s="75">
        <f>'THAM_SO_MOI'!$D$49</f>
        <v>3.1625000000000005</v>
      </c>
      <c r="I536" s="75">
        <f>IF(F536&gt;'THAM_SO_MOI'!$C$14,'THAM_SO_MOI'!$C$13*(1+F536^2/1500),'THAM_SO_MOI'!$C$13)</f>
        <v>0.015</v>
      </c>
      <c r="J536" s="75">
        <f>'THAM_SO_MOI'!$C$40*('THAM_SO_MOI'!$C$23*(E536/'THAM_SO_MOI'!$C$22)+'THAM_SO_MOI'!$C$24*(E536/'THAM_SO_MOI'!$C$22)^2-'THAM_SO_MOI'!$C$25*(E536/'THAM_SO_MOI'!$C$22)^3)</f>
        <v>89.42438522697235</v>
      </c>
      <c r="K536" s="75">
        <f>'THAM_SO_MOI'!$C$31*J536/E536</f>
        <v>428.6580178389704</v>
      </c>
      <c r="L536" s="75">
        <f>K536*'THAM_SO_MOI'!$C$49*'THAM_SO_MOI'!$C$17/'THAM_SO_MOI'!$C$26</f>
        <v>24435.661209525257</v>
      </c>
      <c r="M536" s="75">
        <f>'THAM_SO_MOI'!$C$15*'THAM_SO_MOI'!$C$16*F536^2</f>
        <v>28.313354745304526</v>
      </c>
      <c r="N536" s="75">
        <f>'THAM_SO_MOI'!$C$12*I536</f>
        <v>1130.112</v>
      </c>
      <c r="O536" s="75">
        <f>M536+N536</f>
        <v>1158.4253547453045</v>
      </c>
      <c r="P536" s="75">
        <f>(MIN(L536,'THAM_SO_MOI'!$C$41)-O536)/('THAM_SO_MOI'!$C$11*H536)</f>
        <v>0.9583842166823101</v>
      </c>
      <c r="Q536" s="75">
        <f>IF(P536&gt;0,1/P536,NA())</f>
        <v>1.0434228596353072</v>
      </c>
      <c r="R536" s="75">
        <f>F536-F535</f>
        <v>0.0035133136094676054</v>
      </c>
      <c r="S536" s="75">
        <f>0.5*(Q535+Q536)*R536</f>
        <v>0.003666038471716641</v>
      </c>
      <c r="T536" s="75">
        <f>0.5*(F535*Q535+F536*Q536)*R536</f>
        <v>0.0113994646866078</v>
      </c>
      <c r="U536" s="76">
        <f>U535+S536</f>
        <v>2.123479124546578</v>
      </c>
      <c r="V536" s="76">
        <f>V535+T536</f>
        <v>4.549492247393953</v>
      </c>
    </row>
    <row r="537" spans="1:22" ht="19" customHeight="1">
      <c r="A537" s="68" t="s">
        <v>368</v>
      </c>
      <c r="B537" s="74">
        <v>1</v>
      </c>
      <c r="C537" s="68" t="s">
        <v>363</v>
      </c>
      <c r="D537" s="68" t="s">
        <v>364</v>
      </c>
      <c r="E537" s="75">
        <f>60*F537*'THAM_SO_MOI'!$C$49/(2*PI()*'THAM_SO_MOI'!$C$26)</f>
        <v>1994.75</v>
      </c>
      <c r="F537" s="75">
        <f>'THAM_SO_MOI'!$E$49+('THAM_SO_MOI'!$F$49-'THAM_SO_MOI'!$E$49)*531/'THAM_SO_MOI'!$C$42</f>
        <v>3.114747698882314</v>
      </c>
      <c r="G537" s="75">
        <f>3.6*F537</f>
        <v>11.213091715976331</v>
      </c>
      <c r="H537" s="75">
        <f>'THAM_SO_MOI'!$D$49</f>
        <v>3.1625000000000005</v>
      </c>
      <c r="I537" s="75">
        <f>IF(F537&gt;'THAM_SO_MOI'!$C$14,'THAM_SO_MOI'!$C$13*(1+F537^2/1500),'THAM_SO_MOI'!$C$13)</f>
        <v>0.015</v>
      </c>
      <c r="J537" s="75">
        <f>'THAM_SO_MOI'!$C$40*('THAM_SO_MOI'!$C$23*(E537/'THAM_SO_MOI'!$C$22)+'THAM_SO_MOI'!$C$24*(E537/'THAM_SO_MOI'!$C$22)^2-'THAM_SO_MOI'!$C$25*(E537/'THAM_SO_MOI'!$C$22)^3)</f>
        <v>89.53325506632646</v>
      </c>
      <c r="K537" s="75">
        <f>'THAM_SO_MOI'!$C$31*J537/E537</f>
        <v>428.69578999375017</v>
      </c>
      <c r="L537" s="75">
        <f>K537*'THAM_SO_MOI'!$C$49*'THAM_SO_MOI'!$C$17/'THAM_SO_MOI'!$C$26</f>
        <v>24437.814412169188</v>
      </c>
      <c r="M537" s="75">
        <f>'THAM_SO_MOI'!$C$15*'THAM_SO_MOI'!$C$16*F537^2</f>
        <v>28.37733569100107</v>
      </c>
      <c r="N537" s="75">
        <f>'THAM_SO_MOI'!$C$12*I537</f>
        <v>1130.112</v>
      </c>
      <c r="O537" s="75">
        <f>M537+N537</f>
        <v>1158.489335691001</v>
      </c>
      <c r="P537" s="75">
        <f>(MIN(L537,'THAM_SO_MOI'!$C$41)-O537)/('THAM_SO_MOI'!$C$11*H537)</f>
        <v>0.958470235362244</v>
      </c>
      <c r="Q537" s="75">
        <f>IF(P537&gt;0,1/P537,NA())</f>
        <v>1.043329216813979</v>
      </c>
      <c r="R537" s="75">
        <f>F537-F536</f>
        <v>0.0035133136094671613</v>
      </c>
      <c r="S537" s="75">
        <f>0.5*(Q536+Q537)*R537</f>
        <v>0.0036657072348865675</v>
      </c>
      <c r="T537" s="75">
        <f>0.5*(F536*Q536+F537*Q537)*R537</f>
        <v>0.011411313496113806</v>
      </c>
      <c r="U537" s="76">
        <f>U536+S537</f>
        <v>2.1271448317814645</v>
      </c>
      <c r="V537" s="76">
        <f>V536+T537</f>
        <v>4.560903560890067</v>
      </c>
    </row>
    <row r="538" spans="1:22" ht="19" customHeight="1">
      <c r="A538" s="68" t="s">
        <v>368</v>
      </c>
      <c r="B538" s="74">
        <v>1</v>
      </c>
      <c r="C538" s="68" t="s">
        <v>363</v>
      </c>
      <c r="D538" s="68" t="s">
        <v>364</v>
      </c>
      <c r="E538" s="75">
        <f>60*F538*'THAM_SO_MOI'!$C$49/(2*PI()*'THAM_SO_MOI'!$C$26)</f>
        <v>1996.9999999999998</v>
      </c>
      <c r="F538" s="75">
        <f>'THAM_SO_MOI'!$E$49+('THAM_SO_MOI'!$F$49-'THAM_SO_MOI'!$E$49)*532/'THAM_SO_MOI'!$C$42</f>
        <v>3.118261012491782</v>
      </c>
      <c r="G538" s="75">
        <f>3.6*F538</f>
        <v>11.225739644970414</v>
      </c>
      <c r="H538" s="75">
        <f>'THAM_SO_MOI'!$D$49</f>
        <v>3.1625000000000005</v>
      </c>
      <c r="I538" s="75">
        <f>IF(F538&gt;'THAM_SO_MOI'!$C$14,'THAM_SO_MOI'!$C$13*(1+F538^2/1500),'THAM_SO_MOI'!$C$13)</f>
        <v>0.015</v>
      </c>
      <c r="J538" s="75">
        <f>'THAM_SO_MOI'!$C$40*('THAM_SO_MOI'!$C$23*(E538/'THAM_SO_MOI'!$C$22)+'THAM_SO_MOI'!$C$24*(E538/'THAM_SO_MOI'!$C$22)^2-'THAM_SO_MOI'!$C$25*(E538/'THAM_SO_MOI'!$C$22)^3)</f>
        <v>89.64204001198824</v>
      </c>
      <c r="K538" s="75">
        <f>'THAM_SO_MOI'!$C$31*J538/E538</f>
        <v>428.7330710104711</v>
      </c>
      <c r="L538" s="75">
        <f>K538*'THAM_SO_MOI'!$C$49*'THAM_SO_MOI'!$C$17/'THAM_SO_MOI'!$C$26</f>
        <v>24439.93961747558</v>
      </c>
      <c r="M538" s="75">
        <f>'THAM_SO_MOI'!$C$15*'THAM_SO_MOI'!$C$16*F538^2</f>
        <v>28.441388845426847</v>
      </c>
      <c r="N538" s="75">
        <f>'THAM_SO_MOI'!$C$12*I538</f>
        <v>1130.112</v>
      </c>
      <c r="O538" s="75">
        <f>M538+N538</f>
        <v>1158.553388845427</v>
      </c>
      <c r="P538" s="75">
        <f>(MIN(L538,'THAM_SO_MOI'!$C$41)-O538)/('THAM_SO_MOI'!$C$11*H538)</f>
        <v>0.958555098346103</v>
      </c>
      <c r="Q538" s="75">
        <f>IF(P538&gt;0,1/P538,NA())</f>
        <v>1.0432368485916004</v>
      </c>
      <c r="R538" s="75">
        <f>F538-F537</f>
        <v>0.0035133136094676054</v>
      </c>
      <c r="S538" s="75">
        <f>0.5*(Q537+Q538)*R538</f>
        <v>0.003665380477321347</v>
      </c>
      <c r="T538" s="75">
        <f>0.5*(F537*Q537+F538*Q538)*R538</f>
        <v>0.011423173937788408</v>
      </c>
      <c r="U538" s="76">
        <f>U537+S538</f>
        <v>2.130810212258786</v>
      </c>
      <c r="V538" s="76">
        <f>V537+T538</f>
        <v>4.572326734827856</v>
      </c>
    </row>
    <row r="539" spans="1:22" ht="19" customHeight="1">
      <c r="A539" s="68" t="s">
        <v>368</v>
      </c>
      <c r="B539" s="74">
        <v>1</v>
      </c>
      <c r="C539" s="68" t="s">
        <v>363</v>
      </c>
      <c r="D539" s="68" t="s">
        <v>364</v>
      </c>
      <c r="E539" s="75">
        <f>60*F539*'THAM_SO_MOI'!$C$49/(2*PI()*'THAM_SO_MOI'!$C$26)</f>
        <v>1999.25</v>
      </c>
      <c r="F539" s="75">
        <f>'THAM_SO_MOI'!$E$49+('THAM_SO_MOI'!$F$49-'THAM_SO_MOI'!$E$49)*533/'THAM_SO_MOI'!$C$42</f>
        <v>3.1217743261012494</v>
      </c>
      <c r="G539" s="75">
        <f>3.6*F539</f>
        <v>11.238387573964499</v>
      </c>
      <c r="H539" s="75">
        <f>'THAM_SO_MOI'!$D$49</f>
        <v>3.1625000000000005</v>
      </c>
      <c r="I539" s="75">
        <f>IF(F539&gt;'THAM_SO_MOI'!$C$14,'THAM_SO_MOI'!$C$13*(1+F539^2/1500),'THAM_SO_MOI'!$C$13)</f>
        <v>0.015</v>
      </c>
      <c r="J539" s="75">
        <f>'THAM_SO_MOI'!$C$40*('THAM_SO_MOI'!$C$23*(E539/'THAM_SO_MOI'!$C$22)+'THAM_SO_MOI'!$C$24*(E539/'THAM_SO_MOI'!$C$22)^2-'THAM_SO_MOI'!$C$25*(E539/'THAM_SO_MOI'!$C$22)^3)</f>
        <v>89.75073971685818</v>
      </c>
      <c r="K539" s="75">
        <f>'THAM_SO_MOI'!$C$31*J539/E539</f>
        <v>428.76986088913327</v>
      </c>
      <c r="L539" s="75">
        <f>K539*'THAM_SO_MOI'!$C$49*'THAM_SO_MOI'!$C$17/'THAM_SO_MOI'!$C$26</f>
        <v>24442.036825444444</v>
      </c>
      <c r="M539" s="75">
        <f>'THAM_SO_MOI'!$C$15*'THAM_SO_MOI'!$C$16*F539^2</f>
        <v>28.505514208581868</v>
      </c>
      <c r="N539" s="75">
        <f>'THAM_SO_MOI'!$C$12*I539</f>
        <v>1130.112</v>
      </c>
      <c r="O539" s="75">
        <f>M539+N539</f>
        <v>1158.617514208582</v>
      </c>
      <c r="P539" s="75">
        <f>(MIN(L539,'THAM_SO_MOI'!$C$41)-O539)/('THAM_SO_MOI'!$C$11*H539)</f>
        <v>0.9586388056338875</v>
      </c>
      <c r="Q539" s="75">
        <f>IF(P539&gt;0,1/P539,NA())</f>
        <v>1.0431457542956055</v>
      </c>
      <c r="R539" s="75">
        <f>F539-F538</f>
        <v>0.0035133136094676054</v>
      </c>
      <c r="S539" s="75">
        <f>0.5*(Q538+Q539)*R539</f>
        <v>0.0036650581966400334</v>
      </c>
      <c r="T539" s="75">
        <f>0.5*(F538*Q538+F539*Q539)*R539</f>
        <v>0.011435046051414221</v>
      </c>
      <c r="U539" s="76">
        <f>U538+S539</f>
        <v>2.134475270455426</v>
      </c>
      <c r="V539" s="76">
        <f>V538+T539</f>
        <v>4.58376178087927</v>
      </c>
    </row>
    <row r="540" spans="1:22" ht="19" customHeight="1">
      <c r="A540" s="68" t="s">
        <v>368</v>
      </c>
      <c r="B540" s="74">
        <v>1</v>
      </c>
      <c r="C540" s="68" t="s">
        <v>363</v>
      </c>
      <c r="D540" s="68" t="s">
        <v>364</v>
      </c>
      <c r="E540" s="75">
        <f>60*F540*'THAM_SO_MOI'!$C$49/(2*PI()*'THAM_SO_MOI'!$C$26)</f>
        <v>2001.4999999999995</v>
      </c>
      <c r="F540" s="75">
        <f>'THAM_SO_MOI'!$E$49+('THAM_SO_MOI'!$F$49-'THAM_SO_MOI'!$E$49)*534/'THAM_SO_MOI'!$C$42</f>
        <v>3.1252876397107165</v>
      </c>
      <c r="G540" s="75">
        <f>3.6*F540</f>
        <v>11.25103550295858</v>
      </c>
      <c r="H540" s="75">
        <f>'THAM_SO_MOI'!$D$49</f>
        <v>3.1625000000000005</v>
      </c>
      <c r="I540" s="75">
        <f>IF(F540&gt;'THAM_SO_MOI'!$C$14,'THAM_SO_MOI'!$C$13*(1+F540^2/1500),'THAM_SO_MOI'!$C$13)</f>
        <v>0.015</v>
      </c>
      <c r="J540" s="75">
        <f>'THAM_SO_MOI'!$C$40*('THAM_SO_MOI'!$C$23*(E540/'THAM_SO_MOI'!$C$22)+'THAM_SO_MOI'!$C$24*(E540/'THAM_SO_MOI'!$C$22)^2-'THAM_SO_MOI'!$C$25*(E540/'THAM_SO_MOI'!$C$22)^3)</f>
        <v>89.85935383383666</v>
      </c>
      <c r="K540" s="75">
        <f>'THAM_SO_MOI'!$C$31*J540/E540</f>
        <v>428.8061596297366</v>
      </c>
      <c r="L540" s="75">
        <f>K540*'THAM_SO_MOI'!$C$49*'THAM_SO_MOI'!$C$17/'THAM_SO_MOI'!$C$26</f>
        <v>24444.106036075762</v>
      </c>
      <c r="M540" s="75">
        <f>'THAM_SO_MOI'!$C$15*'THAM_SO_MOI'!$C$16*F540^2</f>
        <v>28.569711780466104</v>
      </c>
      <c r="N540" s="75">
        <f>'THAM_SO_MOI'!$C$12*I540</f>
        <v>1130.112</v>
      </c>
      <c r="O540" s="75">
        <f>M540+N540</f>
        <v>1158.6817117804662</v>
      </c>
      <c r="P540" s="75">
        <f>(MIN(L540,'THAM_SO_MOI'!$C$41)-O540)/('THAM_SO_MOI'!$C$11*H540)</f>
        <v>0.9587213572255966</v>
      </c>
      <c r="Q540" s="75">
        <f>IF(P540&gt;0,1/P540,NA())</f>
        <v>1.0430559332628804</v>
      </c>
      <c r="R540" s="75">
        <f>F540-F539</f>
        <v>0.0035133136094671613</v>
      </c>
      <c r="S540" s="75">
        <f>0.5*(Q539+Q540)*R540</f>
        <v>0.0036647403904962934</v>
      </c>
      <c r="T540" s="75">
        <f>0.5*(F539*Q539+F540*Q540)*R540</f>
        <v>0.011446929876848528</v>
      </c>
      <c r="U540" s="76">
        <f>U539+S540</f>
        <v>2.1381400108459223</v>
      </c>
      <c r="V540" s="76">
        <f>V539+T540</f>
        <v>4.595208710756118</v>
      </c>
    </row>
    <row r="541" spans="1:22" ht="19" customHeight="1">
      <c r="A541" s="68" t="s">
        <v>368</v>
      </c>
      <c r="B541" s="74">
        <v>1</v>
      </c>
      <c r="C541" s="68" t="s">
        <v>363</v>
      </c>
      <c r="D541" s="68" t="s">
        <v>364</v>
      </c>
      <c r="E541" s="75">
        <f>60*F541*'THAM_SO_MOI'!$C$49/(2*PI()*'THAM_SO_MOI'!$C$26)</f>
        <v>2003.7499999999998</v>
      </c>
      <c r="F541" s="75">
        <f>'THAM_SO_MOI'!$E$49+('THAM_SO_MOI'!$F$49-'THAM_SO_MOI'!$E$49)*535/'THAM_SO_MOI'!$C$42</f>
        <v>3.128800953320184</v>
      </c>
      <c r="G541" s="75">
        <f>3.6*F541</f>
        <v>11.263683431952662</v>
      </c>
      <c r="H541" s="75">
        <f>'THAM_SO_MOI'!$D$49</f>
        <v>3.1625000000000005</v>
      </c>
      <c r="I541" s="75">
        <f>IF(F541&gt;'THAM_SO_MOI'!$C$14,'THAM_SO_MOI'!$C$13*(1+F541^2/1500),'THAM_SO_MOI'!$C$13)</f>
        <v>0.015</v>
      </c>
      <c r="J541" s="75">
        <f>'THAM_SO_MOI'!$C$40*('THAM_SO_MOI'!$C$23*(E541/'THAM_SO_MOI'!$C$22)+'THAM_SO_MOI'!$C$24*(E541/'THAM_SO_MOI'!$C$22)^2-'THAM_SO_MOI'!$C$25*(E541/'THAM_SO_MOI'!$C$22)^3)</f>
        <v>89.96788201582424</v>
      </c>
      <c r="K541" s="75">
        <f>'THAM_SO_MOI'!$C$31*J541/E541</f>
        <v>428.84196723228126</v>
      </c>
      <c r="L541" s="75">
        <f>K541*'THAM_SO_MOI'!$C$49*'THAM_SO_MOI'!$C$17/'THAM_SO_MOI'!$C$26</f>
        <v>24446.147249369562</v>
      </c>
      <c r="M541" s="75">
        <f>'THAM_SO_MOI'!$C$15*'THAM_SO_MOI'!$C$16*F541^2</f>
        <v>28.633981561079587</v>
      </c>
      <c r="N541" s="75">
        <f>'THAM_SO_MOI'!$C$12*I541</f>
        <v>1130.112</v>
      </c>
      <c r="O541" s="75">
        <f>M541+N541</f>
        <v>1158.7459815610796</v>
      </c>
      <c r="P541" s="75">
        <f>(MIN(L541,'THAM_SO_MOI'!$C$41)-O541)/('THAM_SO_MOI'!$C$11*H541)</f>
        <v>0.9588027531212318</v>
      </c>
      <c r="Q541" s="75">
        <f>IF(P541&gt;0,1/P541,NA())</f>
        <v>1.0429673848397463</v>
      </c>
      <c r="R541" s="75">
        <f>F541-F540</f>
        <v>0.0035133136094676054</v>
      </c>
      <c r="S541" s="75">
        <f>0.5*(Q540+Q541)*R541</f>
        <v>0.0036644270565783653</v>
      </c>
      <c r="T541" s="75">
        <f>0.5*(F540*Q540+F541*Q541)*R541</f>
        <v>0.011458825454023732</v>
      </c>
      <c r="U541" s="76">
        <f>U540+S541</f>
        <v>2.1418044379025005</v>
      </c>
      <c r="V541" s="76">
        <f>V540+T541</f>
        <v>4.606667536210142</v>
      </c>
    </row>
    <row r="542" spans="1:22" ht="19" customHeight="1">
      <c r="A542" s="68" t="s">
        <v>368</v>
      </c>
      <c r="B542" s="74">
        <v>1</v>
      </c>
      <c r="C542" s="68" t="s">
        <v>363</v>
      </c>
      <c r="D542" s="68" t="s">
        <v>364</v>
      </c>
      <c r="E542" s="75">
        <f>60*F542*'THAM_SO_MOI'!$C$49/(2*PI()*'THAM_SO_MOI'!$C$26)</f>
        <v>2005.9999999999995</v>
      </c>
      <c r="F542" s="75">
        <f>'THAM_SO_MOI'!$E$49+('THAM_SO_MOI'!$F$49-'THAM_SO_MOI'!$E$49)*536/'THAM_SO_MOI'!$C$42</f>
        <v>3.1323142669296518</v>
      </c>
      <c r="G542" s="75">
        <f>3.6*F542</f>
        <v>11.276331360946747</v>
      </c>
      <c r="H542" s="75">
        <f>'THAM_SO_MOI'!$D$49</f>
        <v>3.1625000000000005</v>
      </c>
      <c r="I542" s="75">
        <f>IF(F542&gt;'THAM_SO_MOI'!$C$14,'THAM_SO_MOI'!$C$13*(1+F542^2/1500),'THAM_SO_MOI'!$C$13)</f>
        <v>0.015</v>
      </c>
      <c r="J542" s="75">
        <f>'THAM_SO_MOI'!$C$40*('THAM_SO_MOI'!$C$23*(E542/'THAM_SO_MOI'!$C$22)+'THAM_SO_MOI'!$C$24*(E542/'THAM_SO_MOI'!$C$22)^2-'THAM_SO_MOI'!$C$25*(E542/'THAM_SO_MOI'!$C$22)^3)</f>
        <v>90.07632391572129</v>
      </c>
      <c r="K542" s="75">
        <f>'THAM_SO_MOI'!$C$31*J542/E542</f>
        <v>428.87728369676705</v>
      </c>
      <c r="L542" s="75">
        <f>K542*'THAM_SO_MOI'!$C$49*'THAM_SO_MOI'!$C$17/'THAM_SO_MOI'!$C$26</f>
        <v>24448.160465325825</v>
      </c>
      <c r="M542" s="75">
        <f>'THAM_SO_MOI'!$C$15*'THAM_SO_MOI'!$C$16*F542^2</f>
        <v>28.698323550422298</v>
      </c>
      <c r="N542" s="75">
        <f>'THAM_SO_MOI'!$C$12*I542</f>
        <v>1130.112</v>
      </c>
      <c r="O542" s="75">
        <f>M542+N542</f>
        <v>1158.8103235504225</v>
      </c>
      <c r="P542" s="75">
        <f>(MIN(L542,'THAM_SO_MOI'!$C$41)-O542)/('THAM_SO_MOI'!$C$11*H542)</f>
        <v>0.9588829933207921</v>
      </c>
      <c r="Q542" s="75">
        <f>IF(P542&gt;0,1/P542,NA())</f>
        <v>1.0428801083819539</v>
      </c>
      <c r="R542" s="75">
        <f>F542-F541</f>
        <v>0.0035133136094676054</v>
      </c>
      <c r="S542" s="75">
        <f>0.5*(Q541+Q542)*R542</f>
        <v>0.003664118192604844</v>
      </c>
      <c r="T542" s="75">
        <f>0.5*(F541*Q541+F542*Q542)*R542</f>
        <v>0.011470732822934798</v>
      </c>
      <c r="U542" s="76">
        <f>U541+S542</f>
        <v>2.1454685560951052</v>
      </c>
      <c r="V542" s="76">
        <f>V541+T542</f>
        <v>4.618138269033077</v>
      </c>
    </row>
    <row r="543" spans="1:22" ht="19" customHeight="1">
      <c r="A543" s="68" t="s">
        <v>368</v>
      </c>
      <c r="B543" s="74">
        <v>1</v>
      </c>
      <c r="C543" s="68" t="s">
        <v>363</v>
      </c>
      <c r="D543" s="68" t="s">
        <v>364</v>
      </c>
      <c r="E543" s="75">
        <f>60*F543*'THAM_SO_MOI'!$C$49/(2*PI()*'THAM_SO_MOI'!$C$26)</f>
        <v>2008.2499999999995</v>
      </c>
      <c r="F543" s="75">
        <f>'THAM_SO_MOI'!$E$49+('THAM_SO_MOI'!$F$49-'THAM_SO_MOI'!$E$49)*537/'THAM_SO_MOI'!$C$42</f>
        <v>3.135827580539119</v>
      </c>
      <c r="G543" s="75">
        <f>3.6*F543</f>
        <v>11.288979289940828</v>
      </c>
      <c r="H543" s="75">
        <f>'THAM_SO_MOI'!$D$49</f>
        <v>3.1625000000000005</v>
      </c>
      <c r="I543" s="75">
        <f>IF(F543&gt;'THAM_SO_MOI'!$C$14,'THAM_SO_MOI'!$C$13*(1+F543^2/1500),'THAM_SO_MOI'!$C$13)</f>
        <v>0.015</v>
      </c>
      <c r="J543" s="75">
        <f>'THAM_SO_MOI'!$C$40*('THAM_SO_MOI'!$C$23*(E543/'THAM_SO_MOI'!$C$22)+'THAM_SO_MOI'!$C$24*(E543/'THAM_SO_MOI'!$C$22)^2-'THAM_SO_MOI'!$C$25*(E543/'THAM_SO_MOI'!$C$22)^3)</f>
        <v>90.1846791864283</v>
      </c>
      <c r="K543" s="75">
        <f>'THAM_SO_MOI'!$C$31*J543/E543</f>
        <v>428.91210902319403</v>
      </c>
      <c r="L543" s="75">
        <f>K543*'THAM_SO_MOI'!$C$49*'THAM_SO_MOI'!$C$17/'THAM_SO_MOI'!$C$26</f>
        <v>24450.145683944553</v>
      </c>
      <c r="M543" s="75">
        <f>'THAM_SO_MOI'!$C$15*'THAM_SO_MOI'!$C$16*F543^2</f>
        <v>28.76273774849424</v>
      </c>
      <c r="N543" s="75">
        <f>'THAM_SO_MOI'!$C$12*I543</f>
        <v>1130.112</v>
      </c>
      <c r="O543" s="75">
        <f>M543+N543</f>
        <v>1158.8747377484942</v>
      </c>
      <c r="P543" s="75">
        <f>(MIN(L543,'THAM_SO_MOI'!$C$41)-O543)/('THAM_SO_MOI'!$C$11*H543)</f>
        <v>0.9589620778242777</v>
      </c>
      <c r="Q543" s="75">
        <f>IF(P543&gt;0,1/P543,NA())</f>
        <v>1.0427941032546673</v>
      </c>
      <c r="R543" s="75">
        <f>F543-F542</f>
        <v>0.0035133136094671613</v>
      </c>
      <c r="S543" s="75">
        <f>0.5*(Q542+Q543)*R543</f>
        <v>0.003663813796328817</v>
      </c>
      <c r="T543" s="75">
        <f>0.5*(F542*Q542+F543*Q543)*R543</f>
        <v>0.011482652023652708</v>
      </c>
      <c r="U543" s="76">
        <f>U542+S543</f>
        <v>2.149132369891434</v>
      </c>
      <c r="V543" s="76">
        <f>V542+T543</f>
        <v>4.62962092105673</v>
      </c>
    </row>
    <row r="544" spans="1:22" ht="19" customHeight="1">
      <c r="A544" s="68" t="s">
        <v>368</v>
      </c>
      <c r="B544" s="74">
        <v>1</v>
      </c>
      <c r="C544" s="68" t="s">
        <v>363</v>
      </c>
      <c r="D544" s="68" t="s">
        <v>364</v>
      </c>
      <c r="E544" s="75">
        <f>60*F544*'THAM_SO_MOI'!$C$49/(2*PI()*'THAM_SO_MOI'!$C$26)</f>
        <v>2010.4999999999998</v>
      </c>
      <c r="F544" s="75">
        <f>'THAM_SO_MOI'!$E$49+('THAM_SO_MOI'!$F$49-'THAM_SO_MOI'!$E$49)*538/'THAM_SO_MOI'!$C$42</f>
        <v>3.1393408941485865</v>
      </c>
      <c r="G544" s="75">
        <f>3.6*F544</f>
        <v>11.301627218934911</v>
      </c>
      <c r="H544" s="75">
        <f>'THAM_SO_MOI'!$D$49</f>
        <v>3.1625000000000005</v>
      </c>
      <c r="I544" s="75">
        <f>IF(F544&gt;'THAM_SO_MOI'!$C$14,'THAM_SO_MOI'!$C$13*(1+F544^2/1500),'THAM_SO_MOI'!$C$13)</f>
        <v>0.015</v>
      </c>
      <c r="J544" s="75">
        <f>'THAM_SO_MOI'!$C$40*('THAM_SO_MOI'!$C$23*(E544/'THAM_SO_MOI'!$C$22)+'THAM_SO_MOI'!$C$24*(E544/'THAM_SO_MOI'!$C$22)^2-'THAM_SO_MOI'!$C$25*(E544/'THAM_SO_MOI'!$C$22)^3)</f>
        <v>90.29294748084574</v>
      </c>
      <c r="K544" s="75">
        <f>'THAM_SO_MOI'!$C$31*J544/E544</f>
        <v>428.9464432115622</v>
      </c>
      <c r="L544" s="75">
        <f>K544*'THAM_SO_MOI'!$C$49*'THAM_SO_MOI'!$C$17/'THAM_SO_MOI'!$C$26</f>
        <v>24452.102905225747</v>
      </c>
      <c r="M544" s="75">
        <f>'THAM_SO_MOI'!$C$15*'THAM_SO_MOI'!$C$16*F544^2</f>
        <v>28.82722415529542</v>
      </c>
      <c r="N544" s="75">
        <f>'THAM_SO_MOI'!$C$12*I544</f>
        <v>1130.112</v>
      </c>
      <c r="O544" s="75">
        <f>M544+N544</f>
        <v>1158.9392241552955</v>
      </c>
      <c r="P544" s="75">
        <f>(MIN(L544,'THAM_SO_MOI'!$C$41)-O544)/('THAM_SO_MOI'!$C$11*H544)</f>
        <v>0.9590400066316884</v>
      </c>
      <c r="Q544" s="75">
        <f>IF(P544&gt;0,1/P544,NA())</f>
        <v>1.0427093688324536</v>
      </c>
      <c r="R544" s="75">
        <f>F544-F543</f>
        <v>0.0035133136094676054</v>
      </c>
      <c r="S544" s="75">
        <f>0.5*(Q543+Q544)*R544</f>
        <v>0.0036635138655378126</v>
      </c>
      <c r="T544" s="75">
        <f>0.5*(F543*Q543+F544*Q544)*R544</f>
        <v>0.011494583096324956</v>
      </c>
      <c r="U544" s="76">
        <f>U543+S544</f>
        <v>2.152795883756972</v>
      </c>
      <c r="V544" s="76">
        <f>V543+T544</f>
        <v>4.6411155041530545</v>
      </c>
    </row>
    <row r="545" spans="1:22" ht="19" customHeight="1">
      <c r="A545" s="68" t="s">
        <v>368</v>
      </c>
      <c r="B545" s="74">
        <v>1</v>
      </c>
      <c r="C545" s="68" t="s">
        <v>363</v>
      </c>
      <c r="D545" s="68" t="s">
        <v>364</v>
      </c>
      <c r="E545" s="75">
        <f>60*F545*'THAM_SO_MOI'!$C$49/(2*PI()*'THAM_SO_MOI'!$C$26)</f>
        <v>2012.75</v>
      </c>
      <c r="F545" s="75">
        <f>'THAM_SO_MOI'!$E$49+('THAM_SO_MOI'!$F$49-'THAM_SO_MOI'!$E$49)*539/'THAM_SO_MOI'!$C$42</f>
        <v>3.142854207758054</v>
      </c>
      <c r="G545" s="75">
        <f>3.6*F545</f>
        <v>11.314275147928996</v>
      </c>
      <c r="H545" s="75">
        <f>'THAM_SO_MOI'!$D$49</f>
        <v>3.1625000000000005</v>
      </c>
      <c r="I545" s="75">
        <f>IF(F545&gt;'THAM_SO_MOI'!$C$14,'THAM_SO_MOI'!$C$13*(1+F545^2/1500),'THAM_SO_MOI'!$C$13)</f>
        <v>0.015</v>
      </c>
      <c r="J545" s="75">
        <f>'THAM_SO_MOI'!$C$40*('THAM_SO_MOI'!$C$23*(E545/'THAM_SO_MOI'!$C$22)+'THAM_SO_MOI'!$C$24*(E545/'THAM_SO_MOI'!$C$22)^2-'THAM_SO_MOI'!$C$25*(E545/'THAM_SO_MOI'!$C$22)^3)</f>
        <v>90.40112845187407</v>
      </c>
      <c r="K545" s="75">
        <f>'THAM_SO_MOI'!$C$31*J545/E545</f>
        <v>428.9802862618718</v>
      </c>
      <c r="L545" s="75">
        <f>K545*'THAM_SO_MOI'!$C$49*'THAM_SO_MOI'!$C$17/'THAM_SO_MOI'!$C$26</f>
        <v>24454.03212916942</v>
      </c>
      <c r="M545" s="75">
        <f>'THAM_SO_MOI'!$C$15*'THAM_SO_MOI'!$C$16*F545^2</f>
        <v>28.891782770825834</v>
      </c>
      <c r="N545" s="75">
        <f>'THAM_SO_MOI'!$C$12*I545</f>
        <v>1130.112</v>
      </c>
      <c r="O545" s="75">
        <f>M545+N545</f>
        <v>1159.0037827708259</v>
      </c>
      <c r="P545" s="75">
        <f>(MIN(L545,'THAM_SO_MOI'!$C$41)-O545)/('THAM_SO_MOI'!$C$11*H545)</f>
        <v>0.959116779743025</v>
      </c>
      <c r="Q545" s="75">
        <f>IF(P545&gt;0,1/P545,NA())</f>
        <v>1.0426259044992714</v>
      </c>
      <c r="R545" s="75">
        <f>F545-F544</f>
        <v>0.0035133136094676054</v>
      </c>
      <c r="S545" s="75">
        <f>0.5*(Q544+Q545)*R545</f>
        <v>0.003663218398049599</v>
      </c>
      <c r="T545" s="75">
        <f>0.5*(F544*Q544+F545*Q545)*R545</f>
        <v>0.0115065260811629</v>
      </c>
      <c r="U545" s="76">
        <f>U544+S545</f>
        <v>2.1564591021550212</v>
      </c>
      <c r="V545" s="76">
        <f>V544+T545</f>
        <v>4.652622030234218</v>
      </c>
    </row>
    <row r="546" spans="1:22" ht="19" customHeight="1">
      <c r="A546" s="68" t="s">
        <v>368</v>
      </c>
      <c r="B546" s="74">
        <v>1</v>
      </c>
      <c r="C546" s="68" t="s">
        <v>363</v>
      </c>
      <c r="D546" s="68" t="s">
        <v>364</v>
      </c>
      <c r="E546" s="75">
        <f>60*F546*'THAM_SO_MOI'!$C$49/(2*PI()*'THAM_SO_MOI'!$C$26)</f>
        <v>2014.9999999999995</v>
      </c>
      <c r="F546" s="75">
        <f>'THAM_SO_MOI'!$E$49+('THAM_SO_MOI'!$F$49-'THAM_SO_MOI'!$E$49)*540/'THAM_SO_MOI'!$C$42</f>
        <v>3.1463675213675213</v>
      </c>
      <c r="G546" s="75">
        <f>3.6*F546</f>
        <v>11.326923076923077</v>
      </c>
      <c r="H546" s="75">
        <f>'THAM_SO_MOI'!$D$49</f>
        <v>3.1625000000000005</v>
      </c>
      <c r="I546" s="75">
        <f>IF(F546&gt;'THAM_SO_MOI'!$C$14,'THAM_SO_MOI'!$C$13*(1+F546^2/1500),'THAM_SO_MOI'!$C$13)</f>
        <v>0.015</v>
      </c>
      <c r="J546" s="75">
        <f>'THAM_SO_MOI'!$C$40*('THAM_SO_MOI'!$C$23*(E546/'THAM_SO_MOI'!$C$22)+'THAM_SO_MOI'!$C$24*(E546/'THAM_SO_MOI'!$C$22)^2-'THAM_SO_MOI'!$C$25*(E546/'THAM_SO_MOI'!$C$22)^3)</f>
        <v>90.50922175241368</v>
      </c>
      <c r="K546" s="75">
        <f>'THAM_SO_MOI'!$C$31*J546/E546</f>
        <v>429.01363817412255</v>
      </c>
      <c r="L546" s="75">
        <f>K546*'THAM_SO_MOI'!$C$49*'THAM_SO_MOI'!$C$17/'THAM_SO_MOI'!$C$26</f>
        <v>24455.933355775556</v>
      </c>
      <c r="M546" s="75">
        <f>'THAM_SO_MOI'!$C$15*'THAM_SO_MOI'!$C$16*F546^2</f>
        <v>28.95641359508547</v>
      </c>
      <c r="N546" s="75">
        <f>'THAM_SO_MOI'!$C$12*I546</f>
        <v>1130.112</v>
      </c>
      <c r="O546" s="75">
        <f>M546+N546</f>
        <v>1159.0684135950855</v>
      </c>
      <c r="P546" s="75">
        <f>(MIN(L546,'THAM_SO_MOI'!$C$41)-O546)/('THAM_SO_MOI'!$C$11*H546)</f>
        <v>0.9591923971582866</v>
      </c>
      <c r="Q546" s="75">
        <f>IF(P546&gt;0,1/P546,NA())</f>
        <v>1.0425437096484609</v>
      </c>
      <c r="R546" s="75">
        <f>F546-F545</f>
        <v>0.0035133136094671613</v>
      </c>
      <c r="S546" s="75">
        <f>0.5*(Q545+Q546)*R546</f>
        <v>0.0036629273917163085</v>
      </c>
      <c r="T546" s="75">
        <f>0.5*(F545*Q545+F546*Q546)*R546</f>
        <v>0.011518481018455323</v>
      </c>
      <c r="U546" s="76">
        <f>U545+S546</f>
        <v>2.1601220295467374</v>
      </c>
      <c r="V546" s="76">
        <f>V545+T546</f>
        <v>4.664140511252673</v>
      </c>
    </row>
    <row r="547" spans="1:22" ht="19" customHeight="1">
      <c r="A547" s="68" t="s">
        <v>368</v>
      </c>
      <c r="B547" s="74">
        <v>1</v>
      </c>
      <c r="C547" s="68" t="s">
        <v>363</v>
      </c>
      <c r="D547" s="68" t="s">
        <v>364</v>
      </c>
      <c r="E547" s="75">
        <f>60*F547*'THAM_SO_MOI'!$C$49/(2*PI()*'THAM_SO_MOI'!$C$26)</f>
        <v>2017.2499999999998</v>
      </c>
      <c r="F547" s="75">
        <f>'THAM_SO_MOI'!$E$49+('THAM_SO_MOI'!$F$49-'THAM_SO_MOI'!$E$49)*541/'THAM_SO_MOI'!$C$42</f>
        <v>3.149880834976989</v>
      </c>
      <c r="G547" s="75">
        <f>3.6*F547</f>
        <v>11.33957100591716</v>
      </c>
      <c r="H547" s="75">
        <f>'THAM_SO_MOI'!$D$49</f>
        <v>3.1625000000000005</v>
      </c>
      <c r="I547" s="75">
        <f>IF(F547&gt;'THAM_SO_MOI'!$C$14,'THAM_SO_MOI'!$C$13*(1+F547^2/1500),'THAM_SO_MOI'!$C$13)</f>
        <v>0.015</v>
      </c>
      <c r="J547" s="75">
        <f>'THAM_SO_MOI'!$C$40*('THAM_SO_MOI'!$C$23*(E547/'THAM_SO_MOI'!$C$22)+'THAM_SO_MOI'!$C$24*(E547/'THAM_SO_MOI'!$C$22)^2-'THAM_SO_MOI'!$C$25*(E547/'THAM_SO_MOI'!$C$22)^3)</f>
        <v>90.61722703536509</v>
      </c>
      <c r="K547" s="75">
        <f>'THAM_SO_MOI'!$C$31*J547/E547</f>
        <v>429.0464989483144</v>
      </c>
      <c r="L547" s="75">
        <f>K547*'THAM_SO_MOI'!$C$49*'THAM_SO_MOI'!$C$17/'THAM_SO_MOI'!$C$26</f>
        <v>24457.806585044156</v>
      </c>
      <c r="M547" s="75">
        <f>'THAM_SO_MOI'!$C$15*'THAM_SO_MOI'!$C$16*F547^2</f>
        <v>29.021116628074353</v>
      </c>
      <c r="N547" s="75">
        <f>'THAM_SO_MOI'!$C$12*I547</f>
        <v>1130.112</v>
      </c>
      <c r="O547" s="75">
        <f>M547+N547</f>
        <v>1159.1331166280745</v>
      </c>
      <c r="P547" s="75">
        <f>(MIN(L547,'THAM_SO_MOI'!$C$41)-O547)/('THAM_SO_MOI'!$C$11*H547)</f>
        <v>0.9592668588774735</v>
      </c>
      <c r="Q547" s="75">
        <f>IF(P547&gt;0,1/P547,NA())</f>
        <v>1.0424627836827305</v>
      </c>
      <c r="R547" s="75">
        <f>F547-F546</f>
        <v>0.0035133136094676054</v>
      </c>
      <c r="S547" s="75">
        <f>0.5*(Q546+Q547)*R547</f>
        <v>0.0036626408444244015</v>
      </c>
      <c r="T547" s="75">
        <f>0.5*(F546*Q546+F547*Q547)*R547</f>
        <v>0.011530447948568869</v>
      </c>
      <c r="U547" s="76">
        <f>U546+S547</f>
        <v>2.163784670391162</v>
      </c>
      <c r="V547" s="76">
        <f>V546+T547</f>
        <v>4.675670959201241</v>
      </c>
    </row>
    <row r="548" spans="1:22" ht="19" customHeight="1">
      <c r="A548" s="68" t="s">
        <v>368</v>
      </c>
      <c r="B548" s="74">
        <v>1</v>
      </c>
      <c r="C548" s="68" t="s">
        <v>363</v>
      </c>
      <c r="D548" s="68" t="s">
        <v>364</v>
      </c>
      <c r="E548" s="75">
        <f>60*F548*'THAM_SO_MOI'!$C$49/(2*PI()*'THAM_SO_MOI'!$C$26)</f>
        <v>2019.5</v>
      </c>
      <c r="F548" s="75">
        <f>'THAM_SO_MOI'!$E$49+('THAM_SO_MOI'!$F$49-'THAM_SO_MOI'!$E$49)*542/'THAM_SO_MOI'!$C$42</f>
        <v>3.1533941485864565</v>
      </c>
      <c r="G548" s="75">
        <f>3.6*F548</f>
        <v>11.352218934911244</v>
      </c>
      <c r="H548" s="75">
        <f>'THAM_SO_MOI'!$D$49</f>
        <v>3.1625000000000005</v>
      </c>
      <c r="I548" s="75">
        <f>IF(F548&gt;'THAM_SO_MOI'!$C$14,'THAM_SO_MOI'!$C$13*(1+F548^2/1500),'THAM_SO_MOI'!$C$13)</f>
        <v>0.015</v>
      </c>
      <c r="J548" s="75">
        <f>'THAM_SO_MOI'!$C$40*('THAM_SO_MOI'!$C$23*(E548/'THAM_SO_MOI'!$C$22)+'THAM_SO_MOI'!$C$24*(E548/'THAM_SO_MOI'!$C$22)^2-'THAM_SO_MOI'!$C$25*(E548/'THAM_SO_MOI'!$C$22)^3)</f>
        <v>90.72514395362873</v>
      </c>
      <c r="K548" s="75">
        <f>'THAM_SO_MOI'!$C$31*J548/E548</f>
        <v>429.0788685844475</v>
      </c>
      <c r="L548" s="75">
        <f>K548*'THAM_SO_MOI'!$C$49*'THAM_SO_MOI'!$C$17/'THAM_SO_MOI'!$C$26</f>
        <v>24459.65181697522</v>
      </c>
      <c r="M548" s="75">
        <f>'THAM_SO_MOI'!$C$15*'THAM_SO_MOI'!$C$16*F548^2</f>
        <v>29.085891869792462</v>
      </c>
      <c r="N548" s="75">
        <f>'THAM_SO_MOI'!$C$12*I548</f>
        <v>1130.112</v>
      </c>
      <c r="O548" s="75">
        <f>M548+N548</f>
        <v>1159.1978918697926</v>
      </c>
      <c r="P548" s="75">
        <f>(MIN(L548,'THAM_SO_MOI'!$C$41)-O548)/('THAM_SO_MOI'!$C$11*H548)</f>
        <v>0.9593401649005856</v>
      </c>
      <c r="Q548" s="75">
        <f>IF(P548&gt;0,1/P548,NA())</f>
        <v>1.0423831260141474</v>
      </c>
      <c r="R548" s="75">
        <f>F548-F547</f>
        <v>0.0035133136094676054</v>
      </c>
      <c r="S548" s="75">
        <f>0.5*(Q547+Q548)*R548</f>
        <v>0.0036623587540904556</v>
      </c>
      <c r="T548" s="75">
        <f>0.5*(F547*Q547+F548*Q548)*R548</f>
        <v>0.011542426911935409</v>
      </c>
      <c r="U548" s="76">
        <f>U547+S548</f>
        <v>2.167447029145252</v>
      </c>
      <c r="V548" s="76">
        <f>V547+T548</f>
        <v>4.687213386113177</v>
      </c>
    </row>
    <row r="549" spans="1:22" ht="19" customHeight="1">
      <c r="A549" s="68" t="s">
        <v>368</v>
      </c>
      <c r="B549" s="74">
        <v>1</v>
      </c>
      <c r="C549" s="68" t="s">
        <v>363</v>
      </c>
      <c r="D549" s="68" t="s">
        <v>364</v>
      </c>
      <c r="E549" s="75">
        <f>60*F549*'THAM_SO_MOI'!$C$49/(2*PI()*'THAM_SO_MOI'!$C$26)</f>
        <v>2021.7499999999998</v>
      </c>
      <c r="F549" s="75">
        <f>'THAM_SO_MOI'!$E$49+('THAM_SO_MOI'!$F$49-'THAM_SO_MOI'!$E$49)*543/'THAM_SO_MOI'!$C$42</f>
        <v>3.1569074621959237</v>
      </c>
      <c r="G549" s="75">
        <f>3.6*F549</f>
        <v>11.364866863905325</v>
      </c>
      <c r="H549" s="75">
        <f>'THAM_SO_MOI'!$D$49</f>
        <v>3.1625000000000005</v>
      </c>
      <c r="I549" s="75">
        <f>IF(F549&gt;'THAM_SO_MOI'!$C$14,'THAM_SO_MOI'!$C$13*(1+F549^2/1500),'THAM_SO_MOI'!$C$13)</f>
        <v>0.015</v>
      </c>
      <c r="J549" s="75">
        <f>'THAM_SO_MOI'!$C$40*('THAM_SO_MOI'!$C$23*(E549/'THAM_SO_MOI'!$C$22)+'THAM_SO_MOI'!$C$24*(E549/'THAM_SO_MOI'!$C$22)^2-'THAM_SO_MOI'!$C$25*(E549/'THAM_SO_MOI'!$C$22)^3)</f>
        <v>90.83297216010507</v>
      </c>
      <c r="K549" s="75">
        <f>'THAM_SO_MOI'!$C$31*J549/E549</f>
        <v>429.110747082522</v>
      </c>
      <c r="L549" s="75">
        <f>K549*'THAM_SO_MOI'!$C$49*'THAM_SO_MOI'!$C$17/'THAM_SO_MOI'!$C$26</f>
        <v>24461.469051568765</v>
      </c>
      <c r="M549" s="75">
        <f>'THAM_SO_MOI'!$C$15*'THAM_SO_MOI'!$C$16*F549^2</f>
        <v>29.1507393202398</v>
      </c>
      <c r="N549" s="75">
        <f>'THAM_SO_MOI'!$C$12*I549</f>
        <v>1130.112</v>
      </c>
      <c r="O549" s="75">
        <f>M549+N549</f>
        <v>1159.26273932024</v>
      </c>
      <c r="P549" s="75">
        <f>(MIN(L549,'THAM_SO_MOI'!$C$41)-O549)/('THAM_SO_MOI'!$C$11*H549)</f>
        <v>0.9594123152276235</v>
      </c>
      <c r="Q549" s="75">
        <f>IF(P549&gt;0,1/P549,NA())</f>
        <v>1.0423047360641258</v>
      </c>
      <c r="R549" s="75">
        <f>F549-F548</f>
        <v>0.0035133136094671613</v>
      </c>
      <c r="S549" s="75">
        <f>0.5*(Q548+Q549)*R549</f>
        <v>0.003662081118665299</v>
      </c>
      <c r="T549" s="75">
        <f>0.5*(F548*Q548+F549*Q549)*R549</f>
        <v>0.011554417949065598</v>
      </c>
      <c r="U549" s="76">
        <f>U548+S549</f>
        <v>2.1711091102639175</v>
      </c>
      <c r="V549" s="76">
        <f>V548+T549</f>
        <v>4.698767804062243</v>
      </c>
    </row>
    <row r="550" spans="1:22" ht="19" customHeight="1">
      <c r="A550" s="68" t="s">
        <v>368</v>
      </c>
      <c r="B550" s="74">
        <v>1</v>
      </c>
      <c r="C550" s="68" t="s">
        <v>363</v>
      </c>
      <c r="D550" s="68" t="s">
        <v>364</v>
      </c>
      <c r="E550" s="75">
        <f>60*F550*'THAM_SO_MOI'!$C$49/(2*PI()*'THAM_SO_MOI'!$C$26)</f>
        <v>2023.9999999999995</v>
      </c>
      <c r="F550" s="75">
        <f>'THAM_SO_MOI'!$E$49+('THAM_SO_MOI'!$F$49-'THAM_SO_MOI'!$E$49)*544/'THAM_SO_MOI'!$C$42</f>
        <v>3.1604207758053913</v>
      </c>
      <c r="G550" s="75">
        <f>3.6*F550</f>
        <v>11.377514792899408</v>
      </c>
      <c r="H550" s="75">
        <f>'THAM_SO_MOI'!$D$49</f>
        <v>3.1625000000000005</v>
      </c>
      <c r="I550" s="75">
        <f>IF(F550&gt;'THAM_SO_MOI'!$C$14,'THAM_SO_MOI'!$C$13*(1+F550^2/1500),'THAM_SO_MOI'!$C$13)</f>
        <v>0.015</v>
      </c>
      <c r="J550" s="75">
        <f>'THAM_SO_MOI'!$C$40*('THAM_SO_MOI'!$C$23*(E550/'THAM_SO_MOI'!$C$22)+'THAM_SO_MOI'!$C$24*(E550/'THAM_SO_MOI'!$C$22)^2-'THAM_SO_MOI'!$C$25*(E550/'THAM_SO_MOI'!$C$22)^3)</f>
        <v>90.94071130769454</v>
      </c>
      <c r="K550" s="75">
        <f>'THAM_SO_MOI'!$C$31*J550/E550</f>
        <v>429.14213444253755</v>
      </c>
      <c r="L550" s="75">
        <f>K550*'THAM_SO_MOI'!$C$49*'THAM_SO_MOI'!$C$17/'THAM_SO_MOI'!$C$26</f>
        <v>24463.258288824763</v>
      </c>
      <c r="M550" s="75">
        <f>'THAM_SO_MOI'!$C$15*'THAM_SO_MOI'!$C$16*F550^2</f>
        <v>29.21565897941638</v>
      </c>
      <c r="N550" s="75">
        <f>'THAM_SO_MOI'!$C$12*I550</f>
        <v>1130.112</v>
      </c>
      <c r="O550" s="75">
        <f>M550+N550</f>
        <v>1159.3276589794164</v>
      </c>
      <c r="P550" s="75">
        <f>(MIN(L550,'THAM_SO_MOI'!$C$41)-O550)/('THAM_SO_MOI'!$C$11*H550)</f>
        <v>0.9594833098585862</v>
      </c>
      <c r="Q550" s="75">
        <f>IF(P550&gt;0,1/P550,NA())</f>
        <v>1.0422276132634192</v>
      </c>
      <c r="R550" s="75">
        <f>F550-F549</f>
        <v>0.0035133136094676054</v>
      </c>
      <c r="S550" s="75">
        <f>0.5*(Q549+Q550)*R550</f>
        <v>0.003661807936133972</v>
      </c>
      <c r="T550" s="75">
        <f>0.5*(F549*Q549+F550*Q550)*R550</f>
        <v>0.011566421100549364</v>
      </c>
      <c r="U550" s="76">
        <f>U549+S550</f>
        <v>2.1747709182000516</v>
      </c>
      <c r="V550" s="76">
        <f>V549+T550</f>
        <v>4.710334225162792</v>
      </c>
    </row>
    <row r="551" spans="1:22" ht="19" customHeight="1">
      <c r="A551" s="68" t="s">
        <v>368</v>
      </c>
      <c r="B551" s="74">
        <v>1</v>
      </c>
      <c r="C551" s="68" t="s">
        <v>363</v>
      </c>
      <c r="D551" s="68" t="s">
        <v>364</v>
      </c>
      <c r="E551" s="75">
        <f>60*F551*'THAM_SO_MOI'!$C$49/(2*PI()*'THAM_SO_MOI'!$C$26)</f>
        <v>2026.2499999999998</v>
      </c>
      <c r="F551" s="75">
        <f>'THAM_SO_MOI'!$E$49+('THAM_SO_MOI'!$F$49-'THAM_SO_MOI'!$E$49)*545/'THAM_SO_MOI'!$C$42</f>
        <v>3.163934089414859</v>
      </c>
      <c r="G551" s="75">
        <f>3.6*F551</f>
        <v>11.390162721893493</v>
      </c>
      <c r="H551" s="75">
        <f>'THAM_SO_MOI'!$D$49</f>
        <v>3.1625000000000005</v>
      </c>
      <c r="I551" s="75">
        <f>IF(F551&gt;'THAM_SO_MOI'!$C$14,'THAM_SO_MOI'!$C$13*(1+F551^2/1500),'THAM_SO_MOI'!$C$13)</f>
        <v>0.015</v>
      </c>
      <c r="J551" s="75">
        <f>'THAM_SO_MOI'!$C$40*('THAM_SO_MOI'!$C$23*(E551/'THAM_SO_MOI'!$C$22)+'THAM_SO_MOI'!$C$24*(E551/'THAM_SO_MOI'!$C$22)^2-'THAM_SO_MOI'!$C$25*(E551/'THAM_SO_MOI'!$C$22)^3)</f>
        <v>91.0483610492976</v>
      </c>
      <c r="K551" s="75">
        <f>'THAM_SO_MOI'!$C$31*J551/E551</f>
        <v>429.1730306644942</v>
      </c>
      <c r="L551" s="75">
        <f>K551*'THAM_SO_MOI'!$C$49*'THAM_SO_MOI'!$C$17/'THAM_SO_MOI'!$C$26</f>
        <v>24465.01952874323</v>
      </c>
      <c r="M551" s="75">
        <f>'THAM_SO_MOI'!$C$15*'THAM_SO_MOI'!$C$16*F551^2</f>
        <v>29.280650847322192</v>
      </c>
      <c r="N551" s="75">
        <f>'THAM_SO_MOI'!$C$12*I551</f>
        <v>1130.112</v>
      </c>
      <c r="O551" s="75">
        <f>M551+N551</f>
        <v>1159.3926508473223</v>
      </c>
      <c r="P551" s="75">
        <f>(MIN(L551,'THAM_SO_MOI'!$C$41)-O551)/('THAM_SO_MOI'!$C$11*H551)</f>
        <v>0.9595531487934742</v>
      </c>
      <c r="Q551" s="75">
        <f>IF(P551&gt;0,1/P551,NA())</f>
        <v>1.042151757052106</v>
      </c>
      <c r="R551" s="75">
        <f>F551-F550</f>
        <v>0.0035133136094676054</v>
      </c>
      <c r="S551" s="75">
        <f>0.5*(Q550+Q551)*R551</f>
        <v>0.003661539204511526</v>
      </c>
      <c r="T551" s="75">
        <f>0.5*(F550*Q550+F551*Q551)*R551</f>
        <v>0.01157843640704321</v>
      </c>
      <c r="U551" s="76">
        <f>U550+S551</f>
        <v>2.178432457404563</v>
      </c>
      <c r="V551" s="76">
        <f>V550+T551</f>
        <v>4.721912661569835</v>
      </c>
    </row>
    <row r="552" spans="1:22" ht="19" customHeight="1">
      <c r="A552" s="68" t="s">
        <v>368</v>
      </c>
      <c r="B552" s="74">
        <v>1</v>
      </c>
      <c r="C552" s="68" t="s">
        <v>363</v>
      </c>
      <c r="D552" s="68" t="s">
        <v>364</v>
      </c>
      <c r="E552" s="75">
        <f>60*F552*'THAM_SO_MOI'!$C$49/(2*PI()*'THAM_SO_MOI'!$C$26)</f>
        <v>2028.4999999999998</v>
      </c>
      <c r="F552" s="75">
        <f>'THAM_SO_MOI'!$E$49+('THAM_SO_MOI'!$F$49-'THAM_SO_MOI'!$E$49)*546/'THAM_SO_MOI'!$C$42</f>
        <v>3.167447403024326</v>
      </c>
      <c r="G552" s="75">
        <f>3.6*F552</f>
        <v>11.402810650887574</v>
      </c>
      <c r="H552" s="75">
        <f>'THAM_SO_MOI'!$D$49</f>
        <v>3.1625000000000005</v>
      </c>
      <c r="I552" s="75">
        <f>IF(F552&gt;'THAM_SO_MOI'!$C$14,'THAM_SO_MOI'!$C$13*(1+F552^2/1500),'THAM_SO_MOI'!$C$13)</f>
        <v>0.015</v>
      </c>
      <c r="J552" s="75">
        <f>'THAM_SO_MOI'!$C$40*('THAM_SO_MOI'!$C$23*(E552/'THAM_SO_MOI'!$C$22)+'THAM_SO_MOI'!$C$24*(E552/'THAM_SO_MOI'!$C$22)^2-'THAM_SO_MOI'!$C$25*(E552/'THAM_SO_MOI'!$C$22)^3)</f>
        <v>91.15592103781474</v>
      </c>
      <c r="K552" s="75">
        <f>'THAM_SO_MOI'!$C$31*J552/E552</f>
        <v>429.2034357483923</v>
      </c>
      <c r="L552" s="75">
        <f>K552*'THAM_SO_MOI'!$C$49*'THAM_SO_MOI'!$C$17/'THAM_SO_MOI'!$C$26</f>
        <v>24466.752771324172</v>
      </c>
      <c r="M552" s="75">
        <f>'THAM_SO_MOI'!$C$15*'THAM_SO_MOI'!$C$16*F552^2</f>
        <v>29.345714923957225</v>
      </c>
      <c r="N552" s="75">
        <f>'THAM_SO_MOI'!$C$12*I552</f>
        <v>1130.112</v>
      </c>
      <c r="O552" s="75">
        <f>M552+N552</f>
        <v>1159.4577149239574</v>
      </c>
      <c r="P552" s="75">
        <f>(MIN(L552,'THAM_SO_MOI'!$C$41)-O552)/('THAM_SO_MOI'!$C$11*H552)</f>
        <v>0.9596218320322879</v>
      </c>
      <c r="Q552" s="75">
        <f>IF(P552&gt;0,1/P552,NA())</f>
        <v>1.0420771668795812</v>
      </c>
      <c r="R552" s="75">
        <f>F552-F551</f>
        <v>0.0035133136094671613</v>
      </c>
      <c r="S552" s="75">
        <f>0.5*(Q551+Q552)*R552</f>
        <v>0.0036612749218471467</v>
      </c>
      <c r="T552" s="75">
        <f>0.5*(F551*Q551+F552*Q552)*R552</f>
        <v>0.011590463909283803</v>
      </c>
      <c r="U552" s="76">
        <f>U551+S552</f>
        <v>2.1820937323264102</v>
      </c>
      <c r="V552" s="76">
        <f>V551+T552</f>
        <v>4.7335031254791184</v>
      </c>
    </row>
    <row r="553" spans="1:22" ht="19" customHeight="1">
      <c r="A553" s="68" t="s">
        <v>368</v>
      </c>
      <c r="B553" s="74">
        <v>1</v>
      </c>
      <c r="C553" s="68" t="s">
        <v>363</v>
      </c>
      <c r="D553" s="68" t="s">
        <v>364</v>
      </c>
      <c r="E553" s="75">
        <f>60*F553*'THAM_SO_MOI'!$C$49/(2*PI()*'THAM_SO_MOI'!$C$26)</f>
        <v>2030.7499999999995</v>
      </c>
      <c r="F553" s="75">
        <f>'THAM_SO_MOI'!$E$49+('THAM_SO_MOI'!$F$49-'THAM_SO_MOI'!$E$49)*547/'THAM_SO_MOI'!$C$42</f>
        <v>3.170960716633793</v>
      </c>
      <c r="G553" s="75">
        <f>3.6*F553</f>
        <v>11.415458579881657</v>
      </c>
      <c r="H553" s="75">
        <f>'THAM_SO_MOI'!$D$49</f>
        <v>3.1625000000000005</v>
      </c>
      <c r="I553" s="75">
        <f>IF(F553&gt;'THAM_SO_MOI'!$C$14,'THAM_SO_MOI'!$C$13*(1+F553^2/1500),'THAM_SO_MOI'!$C$13)</f>
        <v>0.015</v>
      </c>
      <c r="J553" s="75">
        <f>'THAM_SO_MOI'!$C$40*('THAM_SO_MOI'!$C$23*(E553/'THAM_SO_MOI'!$C$22)+'THAM_SO_MOI'!$C$24*(E553/'THAM_SO_MOI'!$C$22)^2-'THAM_SO_MOI'!$C$25*(E553/'THAM_SO_MOI'!$C$22)^3)</f>
        <v>91.26339092614639</v>
      </c>
      <c r="K553" s="75">
        <f>'THAM_SO_MOI'!$C$31*J553/E553</f>
        <v>429.2333496942316</v>
      </c>
      <c r="L553" s="75">
        <f>K553*'THAM_SO_MOI'!$C$49*'THAM_SO_MOI'!$C$17/'THAM_SO_MOI'!$C$26</f>
        <v>24468.45801656758</v>
      </c>
      <c r="M553" s="75">
        <f>'THAM_SO_MOI'!$C$15*'THAM_SO_MOI'!$C$16*F553^2</f>
        <v>29.410851209321496</v>
      </c>
      <c r="N553" s="75">
        <f>'THAM_SO_MOI'!$C$12*I553</f>
        <v>1130.112</v>
      </c>
      <c r="O553" s="75">
        <f>M553+N553</f>
        <v>1159.5228512093215</v>
      </c>
      <c r="P553" s="75">
        <f>(MIN(L553,'THAM_SO_MOI'!$C$41)-O553)/('THAM_SO_MOI'!$C$11*H553)</f>
        <v>0.9596893595750269</v>
      </c>
      <c r="Q553" s="75">
        <f>IF(P553&gt;0,1/P553,NA())</f>
        <v>1.042003842204548</v>
      </c>
      <c r="R553" s="75">
        <f>F553-F552</f>
        <v>0.0035133136094671613</v>
      </c>
      <c r="S553" s="75">
        <f>0.5*(Q552+Q553)*R553</f>
        <v>0.003661015086223663</v>
      </c>
      <c r="T553" s="75">
        <f>0.5*(F552*Q552+F553*Q553)*R553</f>
        <v>0.011602503648087022</v>
      </c>
      <c r="U553" s="76">
        <f>U552+S553</f>
        <v>2.1857547474126338</v>
      </c>
      <c r="V553" s="76">
        <f>V552+T553</f>
        <v>4.745105629127205</v>
      </c>
    </row>
    <row r="554" spans="1:22" ht="19" customHeight="1">
      <c r="A554" s="68" t="s">
        <v>368</v>
      </c>
      <c r="B554" s="74">
        <v>1</v>
      </c>
      <c r="C554" s="68" t="s">
        <v>363</v>
      </c>
      <c r="D554" s="68" t="s">
        <v>364</v>
      </c>
      <c r="E554" s="75">
        <f>60*F554*'THAM_SO_MOI'!$C$49/(2*PI()*'THAM_SO_MOI'!$C$26)</f>
        <v>2032.9999999999998</v>
      </c>
      <c r="F554" s="75">
        <f>'THAM_SO_MOI'!$E$49+('THAM_SO_MOI'!$F$49-'THAM_SO_MOI'!$E$49)*548/'THAM_SO_MOI'!$C$42</f>
        <v>3.1744740302432612</v>
      </c>
      <c r="G554" s="75">
        <f>3.6*F554</f>
        <v>11.428106508875741</v>
      </c>
      <c r="H554" s="75">
        <f>'THAM_SO_MOI'!$D$49</f>
        <v>3.1625000000000005</v>
      </c>
      <c r="I554" s="75">
        <f>IF(F554&gt;'THAM_SO_MOI'!$C$14,'THAM_SO_MOI'!$C$13*(1+F554^2/1500),'THAM_SO_MOI'!$C$13)</f>
        <v>0.015</v>
      </c>
      <c r="J554" s="75">
        <f>'THAM_SO_MOI'!$C$40*('THAM_SO_MOI'!$C$23*(E554/'THAM_SO_MOI'!$C$22)+'THAM_SO_MOI'!$C$24*(E554/'THAM_SO_MOI'!$C$22)^2-'THAM_SO_MOI'!$C$25*(E554/'THAM_SO_MOI'!$C$22)^3)</f>
        <v>91.37077036719302</v>
      </c>
      <c r="K554" s="75">
        <f>'THAM_SO_MOI'!$C$31*J554/E554</f>
        <v>429.2627725020121</v>
      </c>
      <c r="L554" s="75">
        <f>K554*'THAM_SO_MOI'!$C$49*'THAM_SO_MOI'!$C$17/'THAM_SO_MOI'!$C$26</f>
        <v>24470.135264473458</v>
      </c>
      <c r="M554" s="75">
        <f>'THAM_SO_MOI'!$C$15*'THAM_SO_MOI'!$C$16*F554^2</f>
        <v>29.476059703415014</v>
      </c>
      <c r="N554" s="75">
        <f>'THAM_SO_MOI'!$C$12*I554</f>
        <v>1130.112</v>
      </c>
      <c r="O554" s="75">
        <f>M554+N554</f>
        <v>1159.5880597034152</v>
      </c>
      <c r="P554" s="75">
        <f>(MIN(L554,'THAM_SO_MOI'!$C$41)-O554)/('THAM_SO_MOI'!$C$11*H554)</f>
        <v>0.9597557314216913</v>
      </c>
      <c r="Q554" s="75">
        <f>IF(P554&gt;0,1/P554,NA())</f>
        <v>1.041931782495005</v>
      </c>
      <c r="R554" s="75">
        <f>F554-F553</f>
        <v>0.0035133136094680495</v>
      </c>
      <c r="S554" s="75">
        <f>0.5*(Q553+Q554)*R554</f>
        <v>0.0036607596957561202</v>
      </c>
      <c r="T554" s="75">
        <f>0.5*(F553*Q553+F554*Q554)*R554</f>
        <v>0.01161455566434402</v>
      </c>
      <c r="U554" s="76">
        <f>U553+S554</f>
        <v>2.18941550710839</v>
      </c>
      <c r="V554" s="76">
        <f>V553+T554</f>
        <v>4.756720184791549</v>
      </c>
    </row>
    <row r="555" spans="1:22" ht="19" customHeight="1">
      <c r="A555" s="68" t="s">
        <v>368</v>
      </c>
      <c r="B555" s="74">
        <v>1</v>
      </c>
      <c r="C555" s="68" t="s">
        <v>363</v>
      </c>
      <c r="D555" s="68" t="s">
        <v>364</v>
      </c>
      <c r="E555" s="75">
        <f>60*F555*'THAM_SO_MOI'!$C$49/(2*PI()*'THAM_SO_MOI'!$C$26)</f>
        <v>2035.2499999999998</v>
      </c>
      <c r="F555" s="75">
        <f>'THAM_SO_MOI'!$E$49+('THAM_SO_MOI'!$F$49-'THAM_SO_MOI'!$E$49)*549/'THAM_SO_MOI'!$C$42</f>
        <v>3.1779873438527284</v>
      </c>
      <c r="G555" s="75">
        <f>3.6*F555</f>
        <v>11.440754437869822</v>
      </c>
      <c r="H555" s="75">
        <f>'THAM_SO_MOI'!$D$49</f>
        <v>3.1625000000000005</v>
      </c>
      <c r="I555" s="75">
        <f>IF(F555&gt;'THAM_SO_MOI'!$C$14,'THAM_SO_MOI'!$C$13*(1+F555^2/1500),'THAM_SO_MOI'!$C$13)</f>
        <v>0.015</v>
      </c>
      <c r="J555" s="75">
        <f>'THAM_SO_MOI'!$C$40*('THAM_SO_MOI'!$C$23*(E555/'THAM_SO_MOI'!$C$22)+'THAM_SO_MOI'!$C$24*(E555/'THAM_SO_MOI'!$C$22)^2-'THAM_SO_MOI'!$C$25*(E555/'THAM_SO_MOI'!$C$22)^3)</f>
        <v>91.47805901385506</v>
      </c>
      <c r="K555" s="75">
        <f>'THAM_SO_MOI'!$C$31*J555/E555</f>
        <v>429.29170417173384</v>
      </c>
      <c r="L555" s="75">
        <f>K555*'THAM_SO_MOI'!$C$49*'THAM_SO_MOI'!$C$17/'THAM_SO_MOI'!$C$26</f>
        <v>24471.784515041803</v>
      </c>
      <c r="M555" s="75">
        <f>'THAM_SO_MOI'!$C$15*'THAM_SO_MOI'!$C$16*F555^2</f>
        <v>29.541340406237754</v>
      </c>
      <c r="N555" s="75">
        <f>'THAM_SO_MOI'!$C$12*I555</f>
        <v>1130.112</v>
      </c>
      <c r="O555" s="75">
        <f>M555+N555</f>
        <v>1159.653340406238</v>
      </c>
      <c r="P555" s="75">
        <f>(MIN(L555,'THAM_SO_MOI'!$C$41)-O555)/('THAM_SO_MOI'!$C$11*H555)</f>
        <v>0.959820947572281</v>
      </c>
      <c r="Q555" s="75">
        <f>IF(P555&gt;0,1/P555,NA())</f>
        <v>1.0418609872282385</v>
      </c>
      <c r="R555" s="75">
        <f>F555-F554</f>
        <v>0.0035133136094671613</v>
      </c>
      <c r="S555" s="75">
        <f>0.5*(Q554+Q555)*R555</f>
        <v>0.0036605087485889706</v>
      </c>
      <c r="T555" s="75">
        <f>0.5*(F554*Q554+F555*Q555)*R555</f>
        <v>0.011626619999012855</v>
      </c>
      <c r="U555" s="76">
        <f>U554+S555</f>
        <v>2.193076015856979</v>
      </c>
      <c r="V555" s="76">
        <f>V554+T555</f>
        <v>4.7683468047905615</v>
      </c>
    </row>
    <row r="556" spans="1:22" ht="19" customHeight="1">
      <c r="A556" s="68" t="s">
        <v>368</v>
      </c>
      <c r="B556" s="74">
        <v>1</v>
      </c>
      <c r="C556" s="68" t="s">
        <v>363</v>
      </c>
      <c r="D556" s="68" t="s">
        <v>364</v>
      </c>
      <c r="E556" s="75">
        <f>60*F556*'THAM_SO_MOI'!$C$49/(2*PI()*'THAM_SO_MOI'!$C$26)</f>
        <v>2037.4999999999995</v>
      </c>
      <c r="F556" s="75">
        <f>'THAM_SO_MOI'!$E$49+('THAM_SO_MOI'!$F$49-'THAM_SO_MOI'!$E$49)*550/'THAM_SO_MOI'!$C$42</f>
        <v>3.1815006574621956</v>
      </c>
      <c r="G556" s="75">
        <f>3.6*F556</f>
        <v>11.453402366863905</v>
      </c>
      <c r="H556" s="75">
        <f>'THAM_SO_MOI'!$D$49</f>
        <v>3.1625000000000005</v>
      </c>
      <c r="I556" s="75">
        <f>IF(F556&gt;'THAM_SO_MOI'!$C$14,'THAM_SO_MOI'!$C$13*(1+F556^2/1500),'THAM_SO_MOI'!$C$13)</f>
        <v>0.015</v>
      </c>
      <c r="J556" s="75">
        <f>'THAM_SO_MOI'!$C$40*('THAM_SO_MOI'!$C$23*(E556/'THAM_SO_MOI'!$C$22)+'THAM_SO_MOI'!$C$24*(E556/'THAM_SO_MOI'!$C$22)^2-'THAM_SO_MOI'!$C$25*(E556/'THAM_SO_MOI'!$C$22)^3)</f>
        <v>91.58525651903295</v>
      </c>
      <c r="K556" s="75">
        <f>'THAM_SO_MOI'!$C$31*J556/E556</f>
        <v>429.3201447033967</v>
      </c>
      <c r="L556" s="75">
        <f>K556*'THAM_SO_MOI'!$C$49*'THAM_SO_MOI'!$C$17/'THAM_SO_MOI'!$C$26</f>
        <v>24473.405768272605</v>
      </c>
      <c r="M556" s="75">
        <f>'THAM_SO_MOI'!$C$15*'THAM_SO_MOI'!$C$16*F556^2</f>
        <v>29.606693317789723</v>
      </c>
      <c r="N556" s="75">
        <f>'THAM_SO_MOI'!$C$12*I556</f>
        <v>1130.112</v>
      </c>
      <c r="O556" s="75">
        <f>M556+N556</f>
        <v>1159.7186933177898</v>
      </c>
      <c r="P556" s="75">
        <f>(MIN(L556,'THAM_SO_MOI'!$C$41)-O556)/('THAM_SO_MOI'!$C$11*H556)</f>
        <v>0.9598850080267955</v>
      </c>
      <c r="Q556" s="75">
        <f>IF(P556&gt;0,1/P556,NA())</f>
        <v>1.041791455890813</v>
      </c>
      <c r="R556" s="75">
        <f>F556-F555</f>
        <v>0.0035133136094671613</v>
      </c>
      <c r="S556" s="75">
        <f>0.5*(Q555+Q556)*R556</f>
        <v>0.003660262242904832</v>
      </c>
      <c r="T556" s="75">
        <f>0.5*(F555*Q555+F556*Q556)*R556</f>
        <v>0.011638696693146865</v>
      </c>
      <c r="U556" s="76">
        <f>U555+S556</f>
        <v>2.1967362780998836</v>
      </c>
      <c r="V556" s="76">
        <f>V555+T556</f>
        <v>4.779985501483709</v>
      </c>
    </row>
    <row r="557" spans="1:22" ht="19" customHeight="1">
      <c r="A557" s="68" t="s">
        <v>368</v>
      </c>
      <c r="B557" s="74">
        <v>1</v>
      </c>
      <c r="C557" s="68" t="s">
        <v>363</v>
      </c>
      <c r="D557" s="68" t="s">
        <v>364</v>
      </c>
      <c r="E557" s="75">
        <f>60*F557*'THAM_SO_MOI'!$C$49/(2*PI()*'THAM_SO_MOI'!$C$26)</f>
        <v>2039.7500000000002</v>
      </c>
      <c r="F557" s="75">
        <f>'THAM_SO_MOI'!$E$49+('THAM_SO_MOI'!$F$49-'THAM_SO_MOI'!$E$49)*551/'THAM_SO_MOI'!$C$42</f>
        <v>3.1850139710716636</v>
      </c>
      <c r="G557" s="75">
        <f>3.6*F557</f>
        <v>11.46605029585799</v>
      </c>
      <c r="H557" s="75">
        <f>'THAM_SO_MOI'!$D$49</f>
        <v>3.1625000000000005</v>
      </c>
      <c r="I557" s="75">
        <f>IF(F557&gt;'THAM_SO_MOI'!$C$14,'THAM_SO_MOI'!$C$13*(1+F557^2/1500),'THAM_SO_MOI'!$C$13)</f>
        <v>0.015</v>
      </c>
      <c r="J557" s="75">
        <f>'THAM_SO_MOI'!$C$40*('THAM_SO_MOI'!$C$23*(E557/'THAM_SO_MOI'!$C$22)+'THAM_SO_MOI'!$C$24*(E557/'THAM_SO_MOI'!$C$22)^2-'THAM_SO_MOI'!$C$25*(E557/'THAM_SO_MOI'!$C$22)^3)</f>
        <v>91.69236253562721</v>
      </c>
      <c r="K557" s="75">
        <f>'THAM_SO_MOI'!$C$31*J557/E557</f>
        <v>429.34809409700074</v>
      </c>
      <c r="L557" s="75">
        <f>K557*'THAM_SO_MOI'!$C$49*'THAM_SO_MOI'!$C$17/'THAM_SO_MOI'!$C$26</f>
        <v>24474.999024165878</v>
      </c>
      <c r="M557" s="75">
        <f>'THAM_SO_MOI'!$C$15*'THAM_SO_MOI'!$C$16*F557^2</f>
        <v>29.672118438070942</v>
      </c>
      <c r="N557" s="75">
        <f>'THAM_SO_MOI'!$C$12*I557</f>
        <v>1130.112</v>
      </c>
      <c r="O557" s="75">
        <f>M557+N557</f>
        <v>1159.7841184380711</v>
      </c>
      <c r="P557" s="75">
        <f>(MIN(L557,'THAM_SO_MOI'!$C$41)-O557)/('THAM_SO_MOI'!$C$11*H557)</f>
        <v>0.9599479127852357</v>
      </c>
      <c r="Q557" s="75">
        <f>IF(P557&gt;0,1/P557,NA())</f>
        <v>1.0417231879785596</v>
      </c>
      <c r="R557" s="75">
        <f>F557-F556</f>
        <v>0.0035133136094680495</v>
      </c>
      <c r="S557" s="75">
        <f>0.5*(Q556+Q557)*R557</f>
        <v>0.0036600201769161214</v>
      </c>
      <c r="T557" s="75">
        <f>0.5*(F556*Q556+F557*Q557)*R557</f>
        <v>0.011650785787868718</v>
      </c>
      <c r="U557" s="76">
        <f>U556+S557</f>
        <v>2.2003962982767997</v>
      </c>
      <c r="V557" s="76">
        <f>V556+T557</f>
        <v>4.791636287271578</v>
      </c>
    </row>
    <row r="558" spans="1:22" ht="19" customHeight="1">
      <c r="A558" s="68" t="s">
        <v>368</v>
      </c>
      <c r="B558" s="74">
        <v>1</v>
      </c>
      <c r="C558" s="68" t="s">
        <v>363</v>
      </c>
      <c r="D558" s="68" t="s">
        <v>364</v>
      </c>
      <c r="E558" s="75">
        <f>60*F558*'THAM_SO_MOI'!$C$49/(2*PI()*'THAM_SO_MOI'!$C$26)</f>
        <v>2041.9999999999995</v>
      </c>
      <c r="F558" s="75">
        <f>'THAM_SO_MOI'!$E$49+('THAM_SO_MOI'!$F$49-'THAM_SO_MOI'!$E$49)*552/'THAM_SO_MOI'!$C$42</f>
        <v>3.188527284681131</v>
      </c>
      <c r="G558" s="75">
        <f>3.6*F558</f>
        <v>11.47869822485207</v>
      </c>
      <c r="H558" s="75">
        <f>'THAM_SO_MOI'!$D$49</f>
        <v>3.1625000000000005</v>
      </c>
      <c r="I558" s="75">
        <f>IF(F558&gt;'THAM_SO_MOI'!$C$14,'THAM_SO_MOI'!$C$13*(1+F558^2/1500),'THAM_SO_MOI'!$C$13)</f>
        <v>0.015</v>
      </c>
      <c r="J558" s="75">
        <f>'THAM_SO_MOI'!$C$40*('THAM_SO_MOI'!$C$23*(E558/'THAM_SO_MOI'!$C$22)+'THAM_SO_MOI'!$C$24*(E558/'THAM_SO_MOI'!$C$22)^2-'THAM_SO_MOI'!$C$25*(E558/'THAM_SO_MOI'!$C$22)^3)</f>
        <v>91.79937671653823</v>
      </c>
      <c r="K558" s="75">
        <f>'THAM_SO_MOI'!$C$31*J558/E558</f>
        <v>429.3755523525462</v>
      </c>
      <c r="L558" s="75">
        <f>K558*'THAM_SO_MOI'!$C$49*'THAM_SO_MOI'!$C$17/'THAM_SO_MOI'!$C$26</f>
        <v>24476.564282721632</v>
      </c>
      <c r="M558" s="75">
        <f>'THAM_SO_MOI'!$C$15*'THAM_SO_MOI'!$C$16*F558^2</f>
        <v>29.737615767081376</v>
      </c>
      <c r="N558" s="75">
        <f>'THAM_SO_MOI'!$C$12*I558</f>
        <v>1130.112</v>
      </c>
      <c r="O558" s="75">
        <f>M558+N558</f>
        <v>1159.8496157670816</v>
      </c>
      <c r="P558" s="75">
        <f>(MIN(L558,'THAM_SO_MOI'!$C$41)-O558)/('THAM_SO_MOI'!$C$11*H558)</f>
        <v>0.9600096618476016</v>
      </c>
      <c r="Q558" s="75">
        <f>IF(P558&gt;0,1/P558,NA())</f>
        <v>1.0416561829965694</v>
      </c>
      <c r="R558" s="75">
        <f>F558-F557</f>
        <v>0.0035133136094671613</v>
      </c>
      <c r="S558" s="75">
        <f>0.5*(Q557+Q558)*R558</f>
        <v>0.0036597825488650267</v>
      </c>
      <c r="T558" s="75">
        <f>0.5*(F557*Q557+F558*Q558)*R558</f>
        <v>0.01166288732437082</v>
      </c>
      <c r="U558" s="76">
        <f>U557+S558</f>
        <v>2.204056080825665</v>
      </c>
      <c r="V558" s="76">
        <f>V557+T558</f>
        <v>4.803299174595948</v>
      </c>
    </row>
    <row r="559" spans="1:22" ht="19" customHeight="1">
      <c r="A559" s="68" t="s">
        <v>368</v>
      </c>
      <c r="B559" s="74">
        <v>1</v>
      </c>
      <c r="C559" s="68" t="s">
        <v>363</v>
      </c>
      <c r="D559" s="68" t="s">
        <v>364</v>
      </c>
      <c r="E559" s="75">
        <f>60*F559*'THAM_SO_MOI'!$C$49/(2*PI()*'THAM_SO_MOI'!$C$26)</f>
        <v>2044.2499999999995</v>
      </c>
      <c r="F559" s="75">
        <f>'THAM_SO_MOI'!$E$49+('THAM_SO_MOI'!$F$49-'THAM_SO_MOI'!$E$49)*553/'THAM_SO_MOI'!$C$42</f>
        <v>3.192040598290598</v>
      </c>
      <c r="G559" s="75">
        <f>3.6*F559</f>
        <v>11.491346153846154</v>
      </c>
      <c r="H559" s="75">
        <f>'THAM_SO_MOI'!$D$49</f>
        <v>3.1625000000000005</v>
      </c>
      <c r="I559" s="75">
        <f>IF(F559&gt;'THAM_SO_MOI'!$C$14,'THAM_SO_MOI'!$C$13*(1+F559^2/1500),'THAM_SO_MOI'!$C$13)</f>
        <v>0.015</v>
      </c>
      <c r="J559" s="75">
        <f>'THAM_SO_MOI'!$C$40*('THAM_SO_MOI'!$C$23*(E559/'THAM_SO_MOI'!$C$22)+'THAM_SO_MOI'!$C$24*(E559/'THAM_SO_MOI'!$C$22)^2-'THAM_SO_MOI'!$C$25*(E559/'THAM_SO_MOI'!$C$22)^3)</f>
        <v>91.9062987146665</v>
      </c>
      <c r="K559" s="75">
        <f>'THAM_SO_MOI'!$C$31*J559/E559</f>
        <v>429.40251947003276</v>
      </c>
      <c r="L559" s="75">
        <f>K559*'THAM_SO_MOI'!$C$49*'THAM_SO_MOI'!$C$17/'THAM_SO_MOI'!$C$26</f>
        <v>24478.101543939843</v>
      </c>
      <c r="M559" s="75">
        <f>'THAM_SO_MOI'!$C$15*'THAM_SO_MOI'!$C$16*F559^2</f>
        <v>29.803185304821042</v>
      </c>
      <c r="N559" s="75">
        <f>'THAM_SO_MOI'!$C$12*I559</f>
        <v>1130.112</v>
      </c>
      <c r="O559" s="75">
        <f>M559+N559</f>
        <v>1159.915185304821</v>
      </c>
      <c r="P559" s="75">
        <f>(MIN(L559,'THAM_SO_MOI'!$C$41)-O559)/('THAM_SO_MOI'!$C$11*H559)</f>
        <v>0.9600702552138924</v>
      </c>
      <c r="Q559" s="75">
        <f>IF(P559&gt;0,1/P559,NA())</f>
        <v>1.0415904404591847</v>
      </c>
      <c r="R559" s="75">
        <f>F559-F558</f>
        <v>0.0035133136094671613</v>
      </c>
      <c r="S559" s="75">
        <f>0.5*(Q558+Q559)*R559</f>
        <v>0.003659549357031806</v>
      </c>
      <c r="T559" s="75">
        <f>0.5*(F558*Q558+F559*Q559)*R559</f>
        <v>0.011675001343942332</v>
      </c>
      <c r="U559" s="76">
        <f>U558+S559</f>
        <v>2.2077156301826966</v>
      </c>
      <c r="V559" s="76">
        <f>V558+T559</f>
        <v>4.8149741759398905</v>
      </c>
    </row>
    <row r="560" spans="1:22" ht="19" customHeight="1">
      <c r="A560" s="68" t="s">
        <v>368</v>
      </c>
      <c r="B560" s="74">
        <v>1</v>
      </c>
      <c r="C560" s="68" t="s">
        <v>363</v>
      </c>
      <c r="D560" s="68" t="s">
        <v>364</v>
      </c>
      <c r="E560" s="75">
        <f>60*F560*'THAM_SO_MOI'!$C$49/(2*PI()*'THAM_SO_MOI'!$C$26)</f>
        <v>2046.4999999999998</v>
      </c>
      <c r="F560" s="75">
        <f>'THAM_SO_MOI'!$E$49+('THAM_SO_MOI'!$F$49-'THAM_SO_MOI'!$E$49)*554/'THAM_SO_MOI'!$C$42</f>
        <v>3.1955539119000655</v>
      </c>
      <c r="G560" s="75">
        <f>3.6*F560</f>
        <v>11.503994082840237</v>
      </c>
      <c r="H560" s="75">
        <f>'THAM_SO_MOI'!$D$49</f>
        <v>3.1625000000000005</v>
      </c>
      <c r="I560" s="75">
        <f>IF(F560&gt;'THAM_SO_MOI'!$C$14,'THAM_SO_MOI'!$C$13*(1+F560^2/1500),'THAM_SO_MOI'!$C$13)</f>
        <v>0.015</v>
      </c>
      <c r="J560" s="75">
        <f>'THAM_SO_MOI'!$C$40*('THAM_SO_MOI'!$C$23*(E560/'THAM_SO_MOI'!$C$22)+'THAM_SO_MOI'!$C$24*(E560/'THAM_SO_MOI'!$C$22)^2-'THAM_SO_MOI'!$C$25*(E560/'THAM_SO_MOI'!$C$22)^3)</f>
        <v>92.01312818291251</v>
      </c>
      <c r="K560" s="75">
        <f>'THAM_SO_MOI'!$C$31*J560/E560</f>
        <v>429.4289954494607</v>
      </c>
      <c r="L560" s="75">
        <f>K560*'THAM_SO_MOI'!$C$49*'THAM_SO_MOI'!$C$17/'THAM_SO_MOI'!$C$26</f>
        <v>24479.61080782053</v>
      </c>
      <c r="M560" s="75">
        <f>'THAM_SO_MOI'!$C$15*'THAM_SO_MOI'!$C$16*F560^2</f>
        <v>29.868827051289955</v>
      </c>
      <c r="N560" s="75">
        <f>'THAM_SO_MOI'!$C$12*I560</f>
        <v>1130.112</v>
      </c>
      <c r="O560" s="75">
        <f>M560+N560</f>
        <v>1159.9808270512901</v>
      </c>
      <c r="P560" s="75">
        <f>(MIN(L560,'THAM_SO_MOI'!$C$41)-O560)/('THAM_SO_MOI'!$C$11*H560)</f>
        <v>0.9601296928841088</v>
      </c>
      <c r="Q560" s="75">
        <f>IF(P560&gt;0,1/P560,NA())</f>
        <v>1.0415259598899873</v>
      </c>
      <c r="R560" s="75">
        <f>F560-F559</f>
        <v>0.0035133136094676054</v>
      </c>
      <c r="S560" s="75">
        <f>0.5*(Q559+Q560)*R560</f>
        <v>0.0036593205997259575</v>
      </c>
      <c r="T560" s="75">
        <f>0.5*(F559*Q559+F560*Q560)*R560</f>
        <v>0.011687127887941644</v>
      </c>
      <c r="U560" s="76">
        <f>U559+S560</f>
        <v>2.2113749507824227</v>
      </c>
      <c r="V560" s="76">
        <f>V559+T560</f>
        <v>4.826661303827832</v>
      </c>
    </row>
    <row r="561" spans="1:22" ht="19" customHeight="1">
      <c r="A561" s="68" t="s">
        <v>368</v>
      </c>
      <c r="B561" s="74">
        <v>1</v>
      </c>
      <c r="C561" s="68" t="s">
        <v>363</v>
      </c>
      <c r="D561" s="68" t="s">
        <v>364</v>
      </c>
      <c r="E561" s="75">
        <f>60*F561*'THAM_SO_MOI'!$C$49/(2*PI()*'THAM_SO_MOI'!$C$26)</f>
        <v>2048.75</v>
      </c>
      <c r="F561" s="75">
        <f>'THAM_SO_MOI'!$E$49+('THAM_SO_MOI'!$F$49-'THAM_SO_MOI'!$E$49)*555/'THAM_SO_MOI'!$C$42</f>
        <v>3.199067225509533</v>
      </c>
      <c r="G561" s="75">
        <f>3.6*F561</f>
        <v>11.51664201183432</v>
      </c>
      <c r="H561" s="75">
        <f>'THAM_SO_MOI'!$D$49</f>
        <v>3.1625000000000005</v>
      </c>
      <c r="I561" s="75">
        <f>IF(F561&gt;'THAM_SO_MOI'!$C$14,'THAM_SO_MOI'!$C$13*(1+F561^2/1500),'THAM_SO_MOI'!$C$13)</f>
        <v>0.015</v>
      </c>
      <c r="J561" s="75">
        <f>'THAM_SO_MOI'!$C$40*('THAM_SO_MOI'!$C$23*(E561/'THAM_SO_MOI'!$C$22)+'THAM_SO_MOI'!$C$24*(E561/'THAM_SO_MOI'!$C$22)^2-'THAM_SO_MOI'!$C$25*(E561/'THAM_SO_MOI'!$C$22)^3)</f>
        <v>92.11986477417668</v>
      </c>
      <c r="K561" s="75">
        <f>'THAM_SO_MOI'!$C$31*J561/E561</f>
        <v>429.4549802908298</v>
      </c>
      <c r="L561" s="75">
        <f>K561*'THAM_SO_MOI'!$C$49*'THAM_SO_MOI'!$C$17/'THAM_SO_MOI'!$C$26</f>
        <v>24481.092074363678</v>
      </c>
      <c r="M561" s="75">
        <f>'THAM_SO_MOI'!$C$15*'THAM_SO_MOI'!$C$16*F561^2</f>
        <v>29.934541006488093</v>
      </c>
      <c r="N561" s="75">
        <f>'THAM_SO_MOI'!$C$12*I561</f>
        <v>1130.112</v>
      </c>
      <c r="O561" s="75">
        <f>M561+N561</f>
        <v>1160.0465410064883</v>
      </c>
      <c r="P561" s="75">
        <f>(MIN(L561,'THAM_SO_MOI'!$C$41)-O561)/('THAM_SO_MOI'!$C$11*H561)</f>
        <v>0.9601879748582504</v>
      </c>
      <c r="Q561" s="75">
        <f>IF(P561&gt;0,1/P561,NA())</f>
        <v>1.0414627408217927</v>
      </c>
      <c r="R561" s="75">
        <f>F561-F560</f>
        <v>0.0035133136094676054</v>
      </c>
      <c r="S561" s="75">
        <f>0.5*(Q560+Q561)*R561</f>
        <v>0.0036590962752889706</v>
      </c>
      <c r="T561" s="75">
        <f>0.5*(F560*Q560+F561*Q561)*R561</f>
        <v>0.011699266997805666</v>
      </c>
      <c r="U561" s="76">
        <f>U560+S561</f>
        <v>2.2150340470577117</v>
      </c>
      <c r="V561" s="76">
        <f>V560+T561</f>
        <v>4.838360570825637</v>
      </c>
    </row>
    <row r="562" spans="1:22" ht="19" customHeight="1">
      <c r="A562" s="68" t="s">
        <v>368</v>
      </c>
      <c r="B562" s="74">
        <v>1</v>
      </c>
      <c r="C562" s="68" t="s">
        <v>363</v>
      </c>
      <c r="D562" s="68" t="s">
        <v>364</v>
      </c>
      <c r="E562" s="75">
        <f>60*F562*'THAM_SO_MOI'!$C$49/(2*PI()*'THAM_SO_MOI'!$C$26)</f>
        <v>2051.0</v>
      </c>
      <c r="F562" s="75">
        <f>'THAM_SO_MOI'!$E$49+('THAM_SO_MOI'!$F$49-'THAM_SO_MOI'!$E$49)*556/'THAM_SO_MOI'!$C$42</f>
        <v>3.2025805391190008</v>
      </c>
      <c r="G562" s="75">
        <f>3.6*F562</f>
        <v>11.529289940828402</v>
      </c>
      <c r="H562" s="75">
        <f>'THAM_SO_MOI'!$D$49</f>
        <v>3.1625000000000005</v>
      </c>
      <c r="I562" s="75">
        <f>IF(F562&gt;'THAM_SO_MOI'!$C$14,'THAM_SO_MOI'!$C$13*(1+F562^2/1500),'THAM_SO_MOI'!$C$13)</f>
        <v>0.015</v>
      </c>
      <c r="J562" s="75">
        <f>'THAM_SO_MOI'!$C$40*('THAM_SO_MOI'!$C$23*(E562/'THAM_SO_MOI'!$C$22)+'THAM_SO_MOI'!$C$24*(E562/'THAM_SO_MOI'!$C$22)^2-'THAM_SO_MOI'!$C$25*(E562/'THAM_SO_MOI'!$C$22)^3)</f>
        <v>92.2265081413594</v>
      </c>
      <c r="K562" s="75">
        <f>'THAM_SO_MOI'!$C$31*J562/E562</f>
        <v>429.48047399413997</v>
      </c>
      <c r="L562" s="75">
        <f>K562*'THAM_SO_MOI'!$C$49*'THAM_SO_MOI'!$C$17/'THAM_SO_MOI'!$C$26</f>
        <v>24482.54534356929</v>
      </c>
      <c r="M562" s="75">
        <f>'THAM_SO_MOI'!$C$15*'THAM_SO_MOI'!$C$16*F562^2</f>
        <v>30.000327170415474</v>
      </c>
      <c r="N562" s="75">
        <f>'THAM_SO_MOI'!$C$12*I562</f>
        <v>1130.112</v>
      </c>
      <c r="O562" s="75">
        <f>M562+N562</f>
        <v>1160.1123271704155</v>
      </c>
      <c r="P562" s="75">
        <f>(MIN(L562,'THAM_SO_MOI'!$C$41)-O562)/('THAM_SO_MOI'!$C$11*H562)</f>
        <v>0.9602451011363171</v>
      </c>
      <c r="Q562" s="75">
        <f>IF(P562&gt;0,1/P562,NA())</f>
        <v>1.0414007827966407</v>
      </c>
      <c r="R562" s="75">
        <f>F562-F561</f>
        <v>0.0035133136094676054</v>
      </c>
      <c r="S562" s="75">
        <f>0.5*(Q561+Q562)*R562</f>
        <v>0.003658876382096147</v>
      </c>
      <c r="T562" s="75">
        <f>0.5*(F561*Q561+F562*Q562)*R562</f>
        <v>0.011711418715056222</v>
      </c>
      <c r="U562" s="76">
        <f>U561+S562</f>
        <v>2.2186929234398076</v>
      </c>
      <c r="V562" s="76">
        <f>V561+T562</f>
        <v>4.850071989540694</v>
      </c>
    </row>
    <row r="563" spans="1:22" ht="19" customHeight="1">
      <c r="A563" s="68" t="s">
        <v>368</v>
      </c>
      <c r="B563" s="74">
        <v>1</v>
      </c>
      <c r="C563" s="68" t="s">
        <v>363</v>
      </c>
      <c r="D563" s="68" t="s">
        <v>364</v>
      </c>
      <c r="E563" s="75">
        <f>60*F563*'THAM_SO_MOI'!$C$49/(2*PI()*'THAM_SO_MOI'!$C$26)</f>
        <v>2053.2499999999995</v>
      </c>
      <c r="F563" s="75">
        <f>'THAM_SO_MOI'!$E$49+('THAM_SO_MOI'!$F$49-'THAM_SO_MOI'!$E$49)*557/'THAM_SO_MOI'!$C$42</f>
        <v>3.2060938527284684</v>
      </c>
      <c r="G563" s="75">
        <f>3.6*F563</f>
        <v>11.541937869822487</v>
      </c>
      <c r="H563" s="75">
        <f>'THAM_SO_MOI'!$D$49</f>
        <v>3.1625000000000005</v>
      </c>
      <c r="I563" s="75">
        <f>IF(F563&gt;'THAM_SO_MOI'!$C$14,'THAM_SO_MOI'!$C$13*(1+F563^2/1500),'THAM_SO_MOI'!$C$13)</f>
        <v>0.015</v>
      </c>
      <c r="J563" s="75">
        <f>'THAM_SO_MOI'!$C$40*('THAM_SO_MOI'!$C$23*(E563/'THAM_SO_MOI'!$C$22)+'THAM_SO_MOI'!$C$24*(E563/'THAM_SO_MOI'!$C$22)^2-'THAM_SO_MOI'!$C$25*(E563/'THAM_SO_MOI'!$C$22)^3)</f>
        <v>92.33305793736119</v>
      </c>
      <c r="K563" s="75">
        <f>'THAM_SO_MOI'!$C$31*J563/E563</f>
        <v>429.5054765593914</v>
      </c>
      <c r="L563" s="75">
        <f>K563*'THAM_SO_MOI'!$C$49*'THAM_SO_MOI'!$C$17/'THAM_SO_MOI'!$C$26</f>
        <v>24483.97061543737</v>
      </c>
      <c r="M563" s="75">
        <f>'THAM_SO_MOI'!$C$15*'THAM_SO_MOI'!$C$16*F563^2</f>
        <v>30.066185543072077</v>
      </c>
      <c r="N563" s="75">
        <f>'THAM_SO_MOI'!$C$12*I563</f>
        <v>1130.112</v>
      </c>
      <c r="O563" s="75">
        <f>M563+N563</f>
        <v>1160.1781855430722</v>
      </c>
      <c r="P563" s="75">
        <f>(MIN(L563,'THAM_SO_MOI'!$C$41)-O563)/('THAM_SO_MOI'!$C$11*H563)</f>
        <v>0.9603010717183091</v>
      </c>
      <c r="Q563" s="75">
        <f>IF(P563&gt;0,1/P563,NA())</f>
        <v>1.0413400853657862</v>
      </c>
      <c r="R563" s="75">
        <f>F563-F562</f>
        <v>0.0035133136094676054</v>
      </c>
      <c r="S563" s="75">
        <f>0.5*(Q562+Q563)*R563</f>
        <v>0.0036586609185547147</v>
      </c>
      <c r="T563" s="75">
        <f>0.5*(F562*Q562+F563*Q563)*R563</f>
        <v>0.011723583081294621</v>
      </c>
      <c r="U563" s="76">
        <f>U562+S563</f>
        <v>2.2223515843583623</v>
      </c>
      <c r="V563" s="76">
        <f>V562+T563</f>
        <v>4.861795572621988</v>
      </c>
    </row>
    <row r="564" spans="1:22" ht="19" customHeight="1">
      <c r="A564" s="68" t="s">
        <v>368</v>
      </c>
      <c r="B564" s="74">
        <v>1</v>
      </c>
      <c r="C564" s="68" t="s">
        <v>363</v>
      </c>
      <c r="D564" s="68" t="s">
        <v>364</v>
      </c>
      <c r="E564" s="75">
        <f>60*F564*'THAM_SO_MOI'!$C$49/(2*PI()*'THAM_SO_MOI'!$C$26)</f>
        <v>2055.5</v>
      </c>
      <c r="F564" s="75">
        <f>'THAM_SO_MOI'!$E$49+('THAM_SO_MOI'!$F$49-'THAM_SO_MOI'!$E$49)*558/'THAM_SO_MOI'!$C$42</f>
        <v>3.2096071663379355</v>
      </c>
      <c r="G564" s="75">
        <f>3.6*F564</f>
        <v>11.554585798816568</v>
      </c>
      <c r="H564" s="75">
        <f>'THAM_SO_MOI'!$D$49</f>
        <v>3.1625000000000005</v>
      </c>
      <c r="I564" s="75">
        <f>IF(F564&gt;'THAM_SO_MOI'!$C$14,'THAM_SO_MOI'!$C$13*(1+F564^2/1500),'THAM_SO_MOI'!$C$13)</f>
        <v>0.015</v>
      </c>
      <c r="J564" s="75">
        <f>'THAM_SO_MOI'!$C$40*('THAM_SO_MOI'!$C$23*(E564/'THAM_SO_MOI'!$C$22)+'THAM_SO_MOI'!$C$24*(E564/'THAM_SO_MOI'!$C$22)^2-'THAM_SO_MOI'!$C$25*(E564/'THAM_SO_MOI'!$C$22)^3)</f>
        <v>92.43951381508255</v>
      </c>
      <c r="K564" s="75">
        <f>'THAM_SO_MOI'!$C$31*J564/E564</f>
        <v>429.5299879865841</v>
      </c>
      <c r="L564" s="75">
        <f>K564*'THAM_SO_MOI'!$C$49*'THAM_SO_MOI'!$C$17/'THAM_SO_MOI'!$C$26</f>
        <v>24485.36788996792</v>
      </c>
      <c r="M564" s="75">
        <f>'THAM_SO_MOI'!$C$15*'THAM_SO_MOI'!$C$16*F564^2</f>
        <v>30.132116124457912</v>
      </c>
      <c r="N564" s="75">
        <f>'THAM_SO_MOI'!$C$12*I564</f>
        <v>1130.112</v>
      </c>
      <c r="O564" s="75">
        <f>M564+N564</f>
        <v>1160.244116124458</v>
      </c>
      <c r="P564" s="75">
        <f>(MIN(L564,'THAM_SO_MOI'!$C$41)-O564)/('THAM_SO_MOI'!$C$11*H564)</f>
        <v>0.9603558866042267</v>
      </c>
      <c r="Q564" s="75">
        <f>IF(P564&gt;0,1/P564,NA())</f>
        <v>1.0412806480896921</v>
      </c>
      <c r="R564" s="75">
        <f>F564-F563</f>
        <v>0.0035133136094671613</v>
      </c>
      <c r="S564" s="75">
        <f>0.5*(Q563+Q564)*R564</f>
        <v>0.003658449883103806</v>
      </c>
      <c r="T564" s="75">
        <f>0.5*(F563*Q563+F564*Q564)*R564</f>
        <v>0.01173576013820212</v>
      </c>
      <c r="U564" s="76">
        <f>U563+S564</f>
        <v>2.226010034241466</v>
      </c>
      <c r="V564" s="76">
        <f>V563+T564</f>
        <v>4.87353133276019</v>
      </c>
    </row>
    <row r="565" spans="1:22" ht="19" customHeight="1">
      <c r="A565" s="68" t="s">
        <v>368</v>
      </c>
      <c r="B565" s="74">
        <v>1</v>
      </c>
      <c r="C565" s="68" t="s">
        <v>363</v>
      </c>
      <c r="D565" s="68" t="s">
        <v>364</v>
      </c>
      <c r="E565" s="75">
        <f>60*F565*'THAM_SO_MOI'!$C$49/(2*PI()*'THAM_SO_MOI'!$C$26)</f>
        <v>2057.7499999999995</v>
      </c>
      <c r="F565" s="75">
        <f>'THAM_SO_MOI'!$E$49+('THAM_SO_MOI'!$F$49-'THAM_SO_MOI'!$E$49)*559/'THAM_SO_MOI'!$C$42</f>
        <v>3.213120479947403</v>
      </c>
      <c r="G565" s="75">
        <f>3.6*F565</f>
        <v>11.56723372781065</v>
      </c>
      <c r="H565" s="75">
        <f>'THAM_SO_MOI'!$D$49</f>
        <v>3.1625000000000005</v>
      </c>
      <c r="I565" s="75">
        <f>IF(F565&gt;'THAM_SO_MOI'!$C$14,'THAM_SO_MOI'!$C$13*(1+F565^2/1500),'THAM_SO_MOI'!$C$13)</f>
        <v>0.015</v>
      </c>
      <c r="J565" s="75">
        <f>'THAM_SO_MOI'!$C$40*('THAM_SO_MOI'!$C$23*(E565/'THAM_SO_MOI'!$C$22)+'THAM_SO_MOI'!$C$24*(E565/'THAM_SO_MOI'!$C$22)^2-'THAM_SO_MOI'!$C$25*(E565/'THAM_SO_MOI'!$C$22)^3)</f>
        <v>92.54587542742382</v>
      </c>
      <c r="K565" s="75">
        <f>'THAM_SO_MOI'!$C$31*J565/E565</f>
        <v>429.554008275718</v>
      </c>
      <c r="L565" s="75">
        <f>K565*'THAM_SO_MOI'!$C$49*'THAM_SO_MOI'!$C$17/'THAM_SO_MOI'!$C$26</f>
        <v>24486.73716716094</v>
      </c>
      <c r="M565" s="75">
        <f>'THAM_SO_MOI'!$C$15*'THAM_SO_MOI'!$C$16*F565^2</f>
        <v>30.198118914572984</v>
      </c>
      <c r="N565" s="75">
        <f>'THAM_SO_MOI'!$C$12*I565</f>
        <v>1130.112</v>
      </c>
      <c r="O565" s="75">
        <f>M565+N565</f>
        <v>1160.310118914573</v>
      </c>
      <c r="P565" s="75">
        <f>(MIN(L565,'THAM_SO_MOI'!$C$41)-O565)/('THAM_SO_MOI'!$C$11*H565)</f>
        <v>0.9604095457940696</v>
      </c>
      <c r="Q565" s="75">
        <f>IF(P565&gt;0,1/P565,NA())</f>
        <v>1.0412224705380213</v>
      </c>
      <c r="R565" s="75">
        <f>F565-F564</f>
        <v>0.0035133136094676054</v>
      </c>
      <c r="S565" s="75">
        <f>0.5*(Q564+Q565)*R565</f>
        <v>0.0036582432742167386</v>
      </c>
      <c r="T565" s="75">
        <f>0.5*(F564*Q564+F565*Q565)*R565</f>
        <v>0.011747949927547822</v>
      </c>
      <c r="U565" s="76">
        <f>U564+S565</f>
        <v>2.229668277515683</v>
      </c>
      <c r="V565" s="76">
        <f>V564+T565</f>
        <v>4.885279282687738</v>
      </c>
    </row>
    <row r="566" spans="1:22" ht="19" customHeight="1">
      <c r="A566" s="68" t="s">
        <v>368</v>
      </c>
      <c r="B566" s="74">
        <v>1</v>
      </c>
      <c r="C566" s="68" t="s">
        <v>363</v>
      </c>
      <c r="D566" s="68" t="s">
        <v>364</v>
      </c>
      <c r="E566" s="75">
        <f>60*F566*'THAM_SO_MOI'!$C$49/(2*PI()*'THAM_SO_MOI'!$C$26)</f>
        <v>2059.9999999999995</v>
      </c>
      <c r="F566" s="75">
        <f>'THAM_SO_MOI'!$E$49+('THAM_SO_MOI'!$F$49-'THAM_SO_MOI'!$E$49)*560/'THAM_SO_MOI'!$C$42</f>
        <v>3.2166337935568707</v>
      </c>
      <c r="G566" s="75">
        <f>3.6*F566</f>
        <v>11.579881656804735</v>
      </c>
      <c r="H566" s="75">
        <f>'THAM_SO_MOI'!$D$49</f>
        <v>3.1625000000000005</v>
      </c>
      <c r="I566" s="75">
        <f>IF(F566&gt;'THAM_SO_MOI'!$C$14,'THAM_SO_MOI'!$C$13*(1+F566^2/1500),'THAM_SO_MOI'!$C$13)</f>
        <v>0.015</v>
      </c>
      <c r="J566" s="75">
        <f>'THAM_SO_MOI'!$C$40*('THAM_SO_MOI'!$C$23*(E566/'THAM_SO_MOI'!$C$22)+'THAM_SO_MOI'!$C$24*(E566/'THAM_SO_MOI'!$C$22)^2-'THAM_SO_MOI'!$C$25*(E566/'THAM_SO_MOI'!$C$22)^3)</f>
        <v>92.65214242728558</v>
      </c>
      <c r="K566" s="75">
        <f>'THAM_SO_MOI'!$C$31*J566/E566</f>
        <v>429.57753742679324</v>
      </c>
      <c r="L566" s="75">
        <f>K566*'THAM_SO_MOI'!$C$49*'THAM_SO_MOI'!$C$17/'THAM_SO_MOI'!$C$26</f>
        <v>24488.078447016433</v>
      </c>
      <c r="M566" s="75">
        <f>'THAM_SO_MOI'!$C$15*'THAM_SO_MOI'!$C$16*F566^2</f>
        <v>30.264193913417294</v>
      </c>
      <c r="N566" s="75">
        <f>'THAM_SO_MOI'!$C$12*I566</f>
        <v>1130.112</v>
      </c>
      <c r="O566" s="75">
        <f>M566+N566</f>
        <v>1160.3761939134174</v>
      </c>
      <c r="P566" s="75">
        <f>(MIN(L566,'THAM_SO_MOI'!$C$41)-O566)/('THAM_SO_MOI'!$C$11*H566)</f>
        <v>0.9604620492878382</v>
      </c>
      <c r="Q566" s="75">
        <f>IF(P566&gt;0,1/P566,NA())</f>
        <v>1.0411655522896281</v>
      </c>
      <c r="R566" s="75">
        <f>F566-F565</f>
        <v>0.0035133136094676054</v>
      </c>
      <c r="S566" s="75">
        <f>0.5*(Q565+Q566)*R566</f>
        <v>0.0036580410903963596</v>
      </c>
      <c r="T566" s="75">
        <f>0.5*(F565*Q565+F566*Q566)*R566</f>
        <v>0.011760152491174328</v>
      </c>
      <c r="U566" s="76">
        <f>U565+S566</f>
        <v>2.2333263186060797</v>
      </c>
      <c r="V566" s="76">
        <f>V565+T566</f>
        <v>4.897039435178912</v>
      </c>
    </row>
    <row r="567" spans="1:22" ht="19" customHeight="1">
      <c r="A567" s="68" t="s">
        <v>368</v>
      </c>
      <c r="B567" s="74">
        <v>1</v>
      </c>
      <c r="C567" s="68" t="s">
        <v>363</v>
      </c>
      <c r="D567" s="68" t="s">
        <v>364</v>
      </c>
      <c r="E567" s="75">
        <f>60*F567*'THAM_SO_MOI'!$C$49/(2*PI()*'THAM_SO_MOI'!$C$26)</f>
        <v>2062.2499999999995</v>
      </c>
      <c r="F567" s="75">
        <f>'THAM_SO_MOI'!$E$49+('THAM_SO_MOI'!$F$49-'THAM_SO_MOI'!$E$49)*561/'THAM_SO_MOI'!$C$42</f>
        <v>3.220147107166338</v>
      </c>
      <c r="G567" s="75">
        <f>3.6*F567</f>
        <v>11.592529585798816</v>
      </c>
      <c r="H567" s="75">
        <f>'THAM_SO_MOI'!$D$49</f>
        <v>3.1625000000000005</v>
      </c>
      <c r="I567" s="75">
        <f>IF(F567&gt;'THAM_SO_MOI'!$C$14,'THAM_SO_MOI'!$C$13*(1+F567^2/1500),'THAM_SO_MOI'!$C$13)</f>
        <v>0.015</v>
      </c>
      <c r="J567" s="75">
        <f>'THAM_SO_MOI'!$C$40*('THAM_SO_MOI'!$C$23*(E567/'THAM_SO_MOI'!$C$22)+'THAM_SO_MOI'!$C$24*(E567/'THAM_SO_MOI'!$C$22)^2-'THAM_SO_MOI'!$C$25*(E567/'THAM_SO_MOI'!$C$22)^3)</f>
        <v>92.75831446756821</v>
      </c>
      <c r="K567" s="75">
        <f>'THAM_SO_MOI'!$C$31*J567/E567</f>
        <v>429.6005754398096</v>
      </c>
      <c r="L567" s="75">
        <f>K567*'THAM_SO_MOI'!$C$49*'THAM_SO_MOI'!$C$17/'THAM_SO_MOI'!$C$26</f>
        <v>24489.39172953438</v>
      </c>
      <c r="M567" s="75">
        <f>'THAM_SO_MOI'!$C$15*'THAM_SO_MOI'!$C$16*F567^2</f>
        <v>30.330341120990823</v>
      </c>
      <c r="N567" s="75">
        <f>'THAM_SO_MOI'!$C$12*I567</f>
        <v>1130.112</v>
      </c>
      <c r="O567" s="75">
        <f>M567+N567</f>
        <v>1160.442341120991</v>
      </c>
      <c r="P567" s="75">
        <f>(MIN(L567,'THAM_SO_MOI'!$C$41)-O567)/('THAM_SO_MOI'!$C$11*H567)</f>
        <v>0.9605133970855315</v>
      </c>
      <c r="Q567" s="75">
        <f>IF(P567&gt;0,1/P567,NA())</f>
        <v>1.0411098929325524</v>
      </c>
      <c r="R567" s="75">
        <f>F567-F566</f>
        <v>0.0035133136094671613</v>
      </c>
      <c r="S567" s="75">
        <f>0.5*(Q566+Q567)*R567</f>
        <v>0.0036578433301791896</v>
      </c>
      <c r="T567" s="75">
        <f>0.5*(F566*Q566+F567*Q567)*R567</f>
        <v>0.011772367871011548</v>
      </c>
      <c r="U567" s="76">
        <f>U566+S567</f>
        <v>2.2369841619362587</v>
      </c>
      <c r="V567" s="76">
        <f>V566+T567</f>
        <v>4.9088118030499235</v>
      </c>
    </row>
    <row r="568" spans="1:22" ht="19" customHeight="1">
      <c r="A568" s="68" t="s">
        <v>368</v>
      </c>
      <c r="B568" s="74">
        <v>1</v>
      </c>
      <c r="C568" s="68" t="s">
        <v>363</v>
      </c>
      <c r="D568" s="68" t="s">
        <v>364</v>
      </c>
      <c r="E568" s="75">
        <f>60*F568*'THAM_SO_MOI'!$C$49/(2*PI()*'THAM_SO_MOI'!$C$26)</f>
        <v>2064.4999999999995</v>
      </c>
      <c r="F568" s="75">
        <f>'THAM_SO_MOI'!$E$49+('THAM_SO_MOI'!$F$49-'THAM_SO_MOI'!$E$49)*562/'THAM_SO_MOI'!$C$42</f>
        <v>3.2236604207758055</v>
      </c>
      <c r="G568" s="75">
        <f>3.6*F568</f>
        <v>11.6051775147929</v>
      </c>
      <c r="H568" s="75">
        <f>'THAM_SO_MOI'!$D$49</f>
        <v>3.1625000000000005</v>
      </c>
      <c r="I568" s="75">
        <f>IF(F568&gt;'THAM_SO_MOI'!$C$14,'THAM_SO_MOI'!$C$13*(1+F568^2/1500),'THAM_SO_MOI'!$C$13)</f>
        <v>0.015</v>
      </c>
      <c r="J568" s="75">
        <f>'THAM_SO_MOI'!$C$40*('THAM_SO_MOI'!$C$23*(E568/'THAM_SO_MOI'!$C$22)+'THAM_SO_MOI'!$C$24*(E568/'THAM_SO_MOI'!$C$22)^2-'THAM_SO_MOI'!$C$25*(E568/'THAM_SO_MOI'!$C$22)^3)</f>
        <v>92.86439120117218</v>
      </c>
      <c r="K568" s="75">
        <f>'THAM_SO_MOI'!$C$31*J568/E568</f>
        <v>429.62312231476716</v>
      </c>
      <c r="L568" s="75">
        <f>K568*'THAM_SO_MOI'!$C$49*'THAM_SO_MOI'!$C$17/'THAM_SO_MOI'!$C$26</f>
        <v>24490.6770147148</v>
      </c>
      <c r="M568" s="75">
        <f>'THAM_SO_MOI'!$C$15*'THAM_SO_MOI'!$C$16*F568^2</f>
        <v>30.396560537293603</v>
      </c>
      <c r="N568" s="75">
        <f>'THAM_SO_MOI'!$C$12*I568</f>
        <v>1130.112</v>
      </c>
      <c r="O568" s="75">
        <f>M568+N568</f>
        <v>1160.5085605372938</v>
      </c>
      <c r="P568" s="75">
        <f>(MIN(L568,'THAM_SO_MOI'!$C$41)-O568)/('THAM_SO_MOI'!$C$11*H568)</f>
        <v>0.9605635891871501</v>
      </c>
      <c r="Q568" s="75">
        <f>IF(P568&gt;0,1/P568,NA())</f>
        <v>1.0410554920640098</v>
      </c>
      <c r="R568" s="75">
        <f>F568-F567</f>
        <v>0.0035133136094676054</v>
      </c>
      <c r="S568" s="75">
        <f>0.5*(Q567+Q568)*R568</f>
        <v>0.0036576499921353897</v>
      </c>
      <c r="T568" s="75">
        <f>0.5*(F567*Q567+F568*Q568)*R568</f>
        <v>0.011784596109077224</v>
      </c>
      <c r="U568" s="76">
        <f>U567+S568</f>
        <v>2.240641811928394</v>
      </c>
      <c r="V568" s="76">
        <f>V567+T568</f>
        <v>4.920596399159001</v>
      </c>
    </row>
    <row r="569" spans="1:22" ht="19" customHeight="1">
      <c r="A569" s="68" t="s">
        <v>368</v>
      </c>
      <c r="B569" s="74">
        <v>1</v>
      </c>
      <c r="C569" s="68" t="s">
        <v>363</v>
      </c>
      <c r="D569" s="68" t="s">
        <v>364</v>
      </c>
      <c r="E569" s="75">
        <f>60*F569*'THAM_SO_MOI'!$C$49/(2*PI()*'THAM_SO_MOI'!$C$26)</f>
        <v>2066.75</v>
      </c>
      <c r="F569" s="75">
        <f>'THAM_SO_MOI'!$E$49+('THAM_SO_MOI'!$F$49-'THAM_SO_MOI'!$E$49)*563/'THAM_SO_MOI'!$C$42</f>
        <v>3.227173734385273</v>
      </c>
      <c r="G569" s="75">
        <f>3.6*F569</f>
        <v>11.617825443786984</v>
      </c>
      <c r="H569" s="75">
        <f>'THAM_SO_MOI'!$D$49</f>
        <v>3.1625000000000005</v>
      </c>
      <c r="I569" s="75">
        <f>IF(F569&gt;'THAM_SO_MOI'!$C$14,'THAM_SO_MOI'!$C$13*(1+F569^2/1500),'THAM_SO_MOI'!$C$13)</f>
        <v>0.015</v>
      </c>
      <c r="J569" s="75">
        <f>'THAM_SO_MOI'!$C$40*('THAM_SO_MOI'!$C$23*(E569/'THAM_SO_MOI'!$C$22)+'THAM_SO_MOI'!$C$24*(E569/'THAM_SO_MOI'!$C$22)^2-'THAM_SO_MOI'!$C$25*(E569/'THAM_SO_MOI'!$C$22)^3)</f>
        <v>92.97037228099799</v>
      </c>
      <c r="K569" s="75">
        <f>'THAM_SO_MOI'!$C$31*J569/E569</f>
        <v>429.64517805166605</v>
      </c>
      <c r="L569" s="75">
        <f>K569*'THAM_SO_MOI'!$C$49*'THAM_SO_MOI'!$C$17/'THAM_SO_MOI'!$C$26</f>
        <v>24491.934302557696</v>
      </c>
      <c r="M569" s="75">
        <f>'THAM_SO_MOI'!$C$15*'THAM_SO_MOI'!$C$16*F569^2</f>
        <v>30.462852162325607</v>
      </c>
      <c r="N569" s="75">
        <f>'THAM_SO_MOI'!$C$12*I569</f>
        <v>1130.112</v>
      </c>
      <c r="O569" s="75">
        <f>M569+N569</f>
        <v>1160.5748521623257</v>
      </c>
      <c r="P569" s="75">
        <f>(MIN(L569,'THAM_SO_MOI'!$C$41)-O569)/('THAM_SO_MOI'!$C$11*H569)</f>
        <v>0.9606126255926946</v>
      </c>
      <c r="Q569" s="75">
        <f>IF(P569&gt;0,1/P569,NA())</f>
        <v>1.041002349290385</v>
      </c>
      <c r="R569" s="75">
        <f>F569-F568</f>
        <v>0.0035133136094676054</v>
      </c>
      <c r="S569" s="75">
        <f>0.5*(Q568+Q569)*R569</f>
        <v>0.00365746107486457</v>
      </c>
      <c r="T569" s="75">
        <f>0.5*(F568*Q568+F569*Q569)*R569</f>
        <v>0.011796837247463996</v>
      </c>
      <c r="U569" s="76">
        <f>U568+S569</f>
        <v>2.2442992730032585</v>
      </c>
      <c r="V569" s="76">
        <f>V568+T569</f>
        <v>4.932393236406464</v>
      </c>
    </row>
    <row r="570" spans="1:22" ht="19" customHeight="1">
      <c r="A570" s="68" t="s">
        <v>368</v>
      </c>
      <c r="B570" s="74">
        <v>1</v>
      </c>
      <c r="C570" s="68" t="s">
        <v>363</v>
      </c>
      <c r="D570" s="68" t="s">
        <v>364</v>
      </c>
      <c r="E570" s="75">
        <f>60*F570*'THAM_SO_MOI'!$C$49/(2*PI()*'THAM_SO_MOI'!$C$26)</f>
        <v>2069.0</v>
      </c>
      <c r="F570" s="75">
        <f>'THAM_SO_MOI'!$E$49+('THAM_SO_MOI'!$F$49-'THAM_SO_MOI'!$E$49)*564/'THAM_SO_MOI'!$C$42</f>
        <v>3.2306870479947403</v>
      </c>
      <c r="G570" s="75">
        <f>3.6*F570</f>
        <v>11.630473372781065</v>
      </c>
      <c r="H570" s="75">
        <f>'THAM_SO_MOI'!$D$49</f>
        <v>3.1625000000000005</v>
      </c>
      <c r="I570" s="75">
        <f>IF(F570&gt;'THAM_SO_MOI'!$C$14,'THAM_SO_MOI'!$C$13*(1+F570^2/1500),'THAM_SO_MOI'!$C$13)</f>
        <v>0.015</v>
      </c>
      <c r="J570" s="75">
        <f>'THAM_SO_MOI'!$C$40*('THAM_SO_MOI'!$C$23*(E570/'THAM_SO_MOI'!$C$22)+'THAM_SO_MOI'!$C$24*(E570/'THAM_SO_MOI'!$C$22)^2-'THAM_SO_MOI'!$C$25*(E570/'THAM_SO_MOI'!$C$22)^3)</f>
        <v>93.07625735994603</v>
      </c>
      <c r="K570" s="75">
        <f>'THAM_SO_MOI'!$C$31*J570/E570</f>
        <v>429.6667426505062</v>
      </c>
      <c r="L570" s="75">
        <f>K570*'THAM_SO_MOI'!$C$49*'THAM_SO_MOI'!$C$17/'THAM_SO_MOI'!$C$26</f>
        <v>24493.16359306306</v>
      </c>
      <c r="M570" s="75">
        <f>'THAM_SO_MOI'!$C$15*'THAM_SO_MOI'!$C$16*F570^2</f>
        <v>30.529215996086837</v>
      </c>
      <c r="N570" s="75">
        <f>'THAM_SO_MOI'!$C$12*I570</f>
        <v>1130.112</v>
      </c>
      <c r="O570" s="75">
        <f>M570+N570</f>
        <v>1160.6412159960869</v>
      </c>
      <c r="P570" s="75">
        <f>(MIN(L570,'THAM_SO_MOI'!$C$41)-O570)/('THAM_SO_MOI'!$C$11*H570)</f>
        <v>0.9606605063021643</v>
      </c>
      <c r="Q570" s="75">
        <f>IF(P570&gt;0,1/P570,NA())</f>
        <v>1.0409504642272263</v>
      </c>
      <c r="R570" s="75">
        <f>F570-F569</f>
        <v>0.0035133136094671613</v>
      </c>
      <c r="S570" s="75">
        <f>0.5*(Q569+Q570)*R570</f>
        <v>0.0036572765769999353</v>
      </c>
      <c r="T570" s="75">
        <f>0.5*(F569*Q569+F570*Q570)*R570</f>
        <v>0.011809091328353285</v>
      </c>
      <c r="U570" s="76">
        <f>U569+S570</f>
        <v>2.2479565495802585</v>
      </c>
      <c r="V570" s="76">
        <f>V569+T570</f>
        <v>4.944202327734818</v>
      </c>
    </row>
    <row r="571" spans="1:22" ht="19" customHeight="1">
      <c r="A571" s="68" t="s">
        <v>368</v>
      </c>
      <c r="B571" s="74">
        <v>1</v>
      </c>
      <c r="C571" s="68" t="s">
        <v>363</v>
      </c>
      <c r="D571" s="68" t="s">
        <v>364</v>
      </c>
      <c r="E571" s="75">
        <f>60*F571*'THAM_SO_MOI'!$C$49/(2*PI()*'THAM_SO_MOI'!$C$26)</f>
        <v>2071.2499999999995</v>
      </c>
      <c r="F571" s="75">
        <f>'THAM_SO_MOI'!$E$49+('THAM_SO_MOI'!$F$49-'THAM_SO_MOI'!$E$49)*565/'THAM_SO_MOI'!$C$42</f>
        <v>3.234200361604208</v>
      </c>
      <c r="G571" s="75">
        <f>3.6*F571</f>
        <v>11.643121301775148</v>
      </c>
      <c r="H571" s="75">
        <f>'THAM_SO_MOI'!$D$49</f>
        <v>3.1625000000000005</v>
      </c>
      <c r="I571" s="75">
        <f>IF(F571&gt;'THAM_SO_MOI'!$C$14,'THAM_SO_MOI'!$C$13*(1+F571^2/1500),'THAM_SO_MOI'!$C$13)</f>
        <v>0.015</v>
      </c>
      <c r="J571" s="75">
        <f>'THAM_SO_MOI'!$C$40*('THAM_SO_MOI'!$C$23*(E571/'THAM_SO_MOI'!$C$22)+'THAM_SO_MOI'!$C$24*(E571/'THAM_SO_MOI'!$C$22)^2-'THAM_SO_MOI'!$C$25*(E571/'THAM_SO_MOI'!$C$22)^3)</f>
        <v>93.18204609091673</v>
      </c>
      <c r="K571" s="75">
        <f>'THAM_SO_MOI'!$C$31*J571/E571</f>
        <v>429.6878161112873</v>
      </c>
      <c r="L571" s="75">
        <f>K571*'THAM_SO_MOI'!$C$49*'THAM_SO_MOI'!$C$17/'THAM_SO_MOI'!$C$26</f>
        <v>24494.364886230873</v>
      </c>
      <c r="M571" s="75">
        <f>'THAM_SO_MOI'!$C$15*'THAM_SO_MOI'!$C$16*F571^2</f>
        <v>30.59565203857731</v>
      </c>
      <c r="N571" s="75">
        <f>'THAM_SO_MOI'!$C$12*I571</f>
        <v>1130.112</v>
      </c>
      <c r="O571" s="75">
        <f>M571+N571</f>
        <v>1160.7076520385774</v>
      </c>
      <c r="P571" s="75">
        <f>(MIN(L571,'THAM_SO_MOI'!$C$41)-O571)/('THAM_SO_MOI'!$C$11*H571)</f>
        <v>0.9607072313155588</v>
      </c>
      <c r="Q571" s="75">
        <f>IF(P571&gt;0,1/P571,NA())</f>
        <v>1.0408998364992372</v>
      </c>
      <c r="R571" s="75">
        <f>F571-F570</f>
        <v>0.0035133136094676054</v>
      </c>
      <c r="S571" s="75">
        <f>0.5*(Q570+Q571)*R571</f>
        <v>0.0036570964972082558</v>
      </c>
      <c r="T571" s="75">
        <f>0.5*(F570*Q570+F571*Q571)*R571</f>
        <v>0.011821358394015807</v>
      </c>
      <c r="U571" s="76">
        <f>U570+S571</f>
        <v>2.251613646077467</v>
      </c>
      <c r="V571" s="76">
        <f>V570+T571</f>
        <v>4.956023686128834</v>
      </c>
    </row>
    <row r="572" spans="1:22" ht="19" customHeight="1">
      <c r="A572" s="68" t="s">
        <v>368</v>
      </c>
      <c r="B572" s="74">
        <v>1</v>
      </c>
      <c r="C572" s="68" t="s">
        <v>363</v>
      </c>
      <c r="D572" s="68" t="s">
        <v>364</v>
      </c>
      <c r="E572" s="75">
        <f>60*F572*'THAM_SO_MOI'!$C$49/(2*PI()*'THAM_SO_MOI'!$C$26)</f>
        <v>2073.5</v>
      </c>
      <c r="F572" s="75">
        <f>'THAM_SO_MOI'!$E$49+('THAM_SO_MOI'!$F$49-'THAM_SO_MOI'!$E$49)*566/'THAM_SO_MOI'!$C$42</f>
        <v>3.2377136752136755</v>
      </c>
      <c r="G572" s="75">
        <f>3.6*F572</f>
        <v>11.655769230769232</v>
      </c>
      <c r="H572" s="75">
        <f>'THAM_SO_MOI'!$D$49</f>
        <v>3.1625000000000005</v>
      </c>
      <c r="I572" s="75">
        <f>IF(F572&gt;'THAM_SO_MOI'!$C$14,'THAM_SO_MOI'!$C$13*(1+F572^2/1500),'THAM_SO_MOI'!$C$13)</f>
        <v>0.015</v>
      </c>
      <c r="J572" s="75">
        <f>'THAM_SO_MOI'!$C$40*('THAM_SO_MOI'!$C$23*(E572/'THAM_SO_MOI'!$C$22)+'THAM_SO_MOI'!$C$24*(E572/'THAM_SO_MOI'!$C$22)^2-'THAM_SO_MOI'!$C$25*(E572/'THAM_SO_MOI'!$C$22)^3)</f>
        <v>93.28773812681061</v>
      </c>
      <c r="K572" s="75">
        <f>'THAM_SO_MOI'!$C$31*J572/E572</f>
        <v>429.70839843400967</v>
      </c>
      <c r="L572" s="75">
        <f>K572*'THAM_SO_MOI'!$C$49*'THAM_SO_MOI'!$C$17/'THAM_SO_MOI'!$C$26</f>
        <v>24495.538182061166</v>
      </c>
      <c r="M572" s="75">
        <f>'THAM_SO_MOI'!$C$15*'THAM_SO_MOI'!$C$16*F572^2</f>
        <v>30.66216028979702</v>
      </c>
      <c r="N572" s="75">
        <f>'THAM_SO_MOI'!$C$12*I572</f>
        <v>1130.112</v>
      </c>
      <c r="O572" s="75">
        <f>M572+N572</f>
        <v>1160.774160289797</v>
      </c>
      <c r="P572" s="75">
        <f>(MIN(L572,'THAM_SO_MOI'!$C$41)-O572)/('THAM_SO_MOI'!$C$11*H572)</f>
        <v>0.9607528006328789</v>
      </c>
      <c r="Q572" s="75">
        <f>IF(P572&gt;0,1/P572,NA())</f>
        <v>1.040850465740269</v>
      </c>
      <c r="R572" s="75">
        <f>F572-F571</f>
        <v>0.0035133136094676054</v>
      </c>
      <c r="S572" s="75">
        <f>0.5*(Q571+Q572)*R572</f>
        <v>0.003656920834185679</v>
      </c>
      <c r="T572" s="75">
        <f>0.5*(F571*Q571+F572*Q572)*R572</f>
        <v>0.011833638486798612</v>
      </c>
      <c r="U572" s="76">
        <f>U571+S572</f>
        <v>2.2552705669116526</v>
      </c>
      <c r="V572" s="76">
        <f>V571+T572</f>
        <v>4.967857324615633</v>
      </c>
    </row>
    <row r="573" spans="1:22" ht="19" customHeight="1">
      <c r="A573" s="68" t="s">
        <v>368</v>
      </c>
      <c r="B573" s="74">
        <v>1</v>
      </c>
      <c r="C573" s="68" t="s">
        <v>363</v>
      </c>
      <c r="D573" s="68" t="s">
        <v>364</v>
      </c>
      <c r="E573" s="75">
        <f>60*F573*'THAM_SO_MOI'!$C$49/(2*PI()*'THAM_SO_MOI'!$C$26)</f>
        <v>2075.7499999999995</v>
      </c>
      <c r="F573" s="75">
        <f>'THAM_SO_MOI'!$E$49+('THAM_SO_MOI'!$F$49-'THAM_SO_MOI'!$E$49)*567/'THAM_SO_MOI'!$C$42</f>
        <v>3.2412269888231426</v>
      </c>
      <c r="G573" s="75">
        <f>3.6*F573</f>
        <v>11.668417159763314</v>
      </c>
      <c r="H573" s="75">
        <f>'THAM_SO_MOI'!$D$49</f>
        <v>3.1625000000000005</v>
      </c>
      <c r="I573" s="75">
        <f>IF(F573&gt;'THAM_SO_MOI'!$C$14,'THAM_SO_MOI'!$C$13*(1+F573^2/1500),'THAM_SO_MOI'!$C$13)</f>
        <v>0.015</v>
      </c>
      <c r="J573" s="75">
        <f>'THAM_SO_MOI'!$C$40*('THAM_SO_MOI'!$C$23*(E573/'THAM_SO_MOI'!$C$22)+'THAM_SO_MOI'!$C$24*(E573/'THAM_SO_MOI'!$C$22)^2-'THAM_SO_MOI'!$C$25*(E573/'THAM_SO_MOI'!$C$22)^3)</f>
        <v>93.39333312052815</v>
      </c>
      <c r="K573" s="75">
        <f>'THAM_SO_MOI'!$C$31*J573/E573</f>
        <v>429.7284896186736</v>
      </c>
      <c r="L573" s="75">
        <f>K573*'THAM_SO_MOI'!$C$49*'THAM_SO_MOI'!$C$17/'THAM_SO_MOI'!$C$26</f>
        <v>24496.683480553937</v>
      </c>
      <c r="M573" s="75">
        <f>'THAM_SO_MOI'!$C$15*'THAM_SO_MOI'!$C$16*F573^2</f>
        <v>30.728740749745945</v>
      </c>
      <c r="N573" s="75">
        <f>'THAM_SO_MOI'!$C$12*I573</f>
        <v>1130.112</v>
      </c>
      <c r="O573" s="75">
        <f>M573+N573</f>
        <v>1160.840740749746</v>
      </c>
      <c r="P573" s="75">
        <f>(MIN(L573,'THAM_SO_MOI'!$C$41)-O573)/('THAM_SO_MOI'!$C$11*H573)</f>
        <v>0.9607972142541249</v>
      </c>
      <c r="Q573" s="75">
        <f>IF(P573&gt;0,1/P573,NA())</f>
        <v>1.0408023515933158</v>
      </c>
      <c r="R573" s="75">
        <f>F573-F572</f>
        <v>0.0035133136094671613</v>
      </c>
      <c r="S573" s="75">
        <f>0.5*(Q572+Q573)*R573</f>
        <v>0.0036567495866618714</v>
      </c>
      <c r="T573" s="75">
        <f>0.5*(F572*Q572+F573*Q573)*R573</f>
        <v>0.011845931649139002</v>
      </c>
      <c r="U573" s="76">
        <f>U572+S573</f>
        <v>2.2589273164983146</v>
      </c>
      <c r="V573" s="76">
        <f>V572+T573</f>
        <v>4.979703256264772</v>
      </c>
    </row>
    <row r="574" spans="1:22" ht="19" customHeight="1">
      <c r="A574" s="68" t="s">
        <v>368</v>
      </c>
      <c r="B574" s="74">
        <v>1</v>
      </c>
      <c r="C574" s="68" t="s">
        <v>363</v>
      </c>
      <c r="D574" s="68" t="s">
        <v>364</v>
      </c>
      <c r="E574" s="75">
        <f>60*F574*'THAM_SO_MOI'!$C$49/(2*PI()*'THAM_SO_MOI'!$C$26)</f>
        <v>2078.0</v>
      </c>
      <c r="F574" s="75">
        <f>'THAM_SO_MOI'!$E$49+('THAM_SO_MOI'!$F$49-'THAM_SO_MOI'!$E$49)*568/'THAM_SO_MOI'!$C$42</f>
        <v>3.2447403024326102</v>
      </c>
      <c r="G574" s="75">
        <f>3.6*F574</f>
        <v>11.681065088757396</v>
      </c>
      <c r="H574" s="75">
        <f>'THAM_SO_MOI'!$D$49</f>
        <v>3.1625000000000005</v>
      </c>
      <c r="I574" s="75">
        <f>IF(F574&gt;'THAM_SO_MOI'!$C$14,'THAM_SO_MOI'!$C$13*(1+F574^2/1500),'THAM_SO_MOI'!$C$13)</f>
        <v>0.015</v>
      </c>
      <c r="J574" s="75">
        <f>'THAM_SO_MOI'!$C$40*('THAM_SO_MOI'!$C$23*(E574/'THAM_SO_MOI'!$C$22)+'THAM_SO_MOI'!$C$24*(E574/'THAM_SO_MOI'!$C$22)^2-'THAM_SO_MOI'!$C$25*(E574/'THAM_SO_MOI'!$C$22)^3)</f>
        <v>93.49883072496975</v>
      </c>
      <c r="K574" s="75">
        <f>'THAM_SO_MOI'!$C$31*J574/E574</f>
        <v>429.74808966527837</v>
      </c>
      <c r="L574" s="75">
        <f>K574*'THAM_SO_MOI'!$C$49*'THAM_SO_MOI'!$C$17/'THAM_SO_MOI'!$C$26</f>
        <v>24497.80078170915</v>
      </c>
      <c r="M574" s="75">
        <f>'THAM_SO_MOI'!$C$15*'THAM_SO_MOI'!$C$16*F574^2</f>
        <v>30.79539341842412</v>
      </c>
      <c r="N574" s="75">
        <f>'THAM_SO_MOI'!$C$12*I574</f>
        <v>1130.112</v>
      </c>
      <c r="O574" s="75">
        <f>M574+N574</f>
        <v>1160.9073934184241</v>
      </c>
      <c r="P574" s="75">
        <f>(MIN(L574,'THAM_SO_MOI'!$C$41)-O574)/('THAM_SO_MOI'!$C$11*H574)</f>
        <v>0.9608404721792952</v>
      </c>
      <c r="Q574" s="75">
        <f>IF(P574&gt;0,1/P574,NA())</f>
        <v>1.040755493710508</v>
      </c>
      <c r="R574" s="75">
        <f>F574-F573</f>
        <v>0.0035133136094676054</v>
      </c>
      <c r="S574" s="75">
        <f>0.5*(Q573+Q574)*R574</f>
        <v>0.0036565827533999937</v>
      </c>
      <c r="T574" s="75">
        <f>0.5*(F573*Q573+F574*Q574)*R574</f>
        <v>0.011858237923565055</v>
      </c>
      <c r="U574" s="76">
        <f>U573+S574</f>
        <v>2.2625838992517147</v>
      </c>
      <c r="V574" s="76">
        <f>V573+T574</f>
        <v>4.991561494188337</v>
      </c>
    </row>
    <row r="575" spans="1:22" ht="19" customHeight="1">
      <c r="A575" s="68" t="s">
        <v>368</v>
      </c>
      <c r="B575" s="74">
        <v>1</v>
      </c>
      <c r="C575" s="68" t="s">
        <v>363</v>
      </c>
      <c r="D575" s="68" t="s">
        <v>364</v>
      </c>
      <c r="E575" s="75">
        <f>60*F575*'THAM_SO_MOI'!$C$49/(2*PI()*'THAM_SO_MOI'!$C$26)</f>
        <v>2080.25</v>
      </c>
      <c r="F575" s="75">
        <f>'THAM_SO_MOI'!$E$49+('THAM_SO_MOI'!$F$49-'THAM_SO_MOI'!$E$49)*569/'THAM_SO_MOI'!$C$42</f>
        <v>3.248253616042078</v>
      </c>
      <c r="G575" s="75">
        <f>3.6*F575</f>
        <v>11.693713017751481</v>
      </c>
      <c r="H575" s="75">
        <f>'THAM_SO_MOI'!$D$49</f>
        <v>3.1625000000000005</v>
      </c>
      <c r="I575" s="75">
        <f>IF(F575&gt;'THAM_SO_MOI'!$C$14,'THAM_SO_MOI'!$C$13*(1+F575^2/1500),'THAM_SO_MOI'!$C$13)</f>
        <v>0.015</v>
      </c>
      <c r="J575" s="75">
        <f>'THAM_SO_MOI'!$C$40*('THAM_SO_MOI'!$C$23*(E575/'THAM_SO_MOI'!$C$22)+'THAM_SO_MOI'!$C$24*(E575/'THAM_SO_MOI'!$C$22)^2-'THAM_SO_MOI'!$C$25*(E575/'THAM_SO_MOI'!$C$22)^3)</f>
        <v>93.60423059303587</v>
      </c>
      <c r="K575" s="75">
        <f>'THAM_SO_MOI'!$C$31*J575/E575</f>
        <v>429.76719857382454</v>
      </c>
      <c r="L575" s="75">
        <f>K575*'THAM_SO_MOI'!$C$49*'THAM_SO_MOI'!$C$17/'THAM_SO_MOI'!$C$26</f>
        <v>24498.890085526844</v>
      </c>
      <c r="M575" s="75">
        <f>'THAM_SO_MOI'!$C$15*'THAM_SO_MOI'!$C$16*F575^2</f>
        <v>30.86211829583152</v>
      </c>
      <c r="N575" s="75">
        <f>'THAM_SO_MOI'!$C$12*I575</f>
        <v>1130.112</v>
      </c>
      <c r="O575" s="75">
        <f>M575+N575</f>
        <v>1160.9741182958317</v>
      </c>
      <c r="P575" s="75">
        <f>(MIN(L575,'THAM_SO_MOI'!$C$41)-O575)/('THAM_SO_MOI'!$C$11*H575)</f>
        <v>0.9608825744083913</v>
      </c>
      <c r="Q575" s="75">
        <f>IF(P575&gt;0,1/P575,NA())</f>
        <v>1.0407098917531032</v>
      </c>
      <c r="R575" s="75">
        <f>F575-F574</f>
        <v>0.0035133136094676054</v>
      </c>
      <c r="S575" s="75">
        <f>0.5*(Q574+Q575)*R575</f>
        <v>0.0036564203331925197</v>
      </c>
      <c r="T575" s="75">
        <f>0.5*(F574*Q574+F575*Q575)*R575</f>
        <v>0.011870557352682626</v>
      </c>
      <c r="U575" s="76">
        <f>U574+S575</f>
        <v>2.2662403195849072</v>
      </c>
      <c r="V575" s="76">
        <f>V574+T575</f>
        <v>5.0034320515410196</v>
      </c>
    </row>
    <row r="576" spans="1:22" ht="19" customHeight="1">
      <c r="A576" s="68" t="s">
        <v>368</v>
      </c>
      <c r="B576" s="74">
        <v>1</v>
      </c>
      <c r="C576" s="68" t="s">
        <v>363</v>
      </c>
      <c r="D576" s="68" t="s">
        <v>364</v>
      </c>
      <c r="E576" s="75">
        <f>60*F576*'THAM_SO_MOI'!$C$49/(2*PI()*'THAM_SO_MOI'!$C$26)</f>
        <v>2082.4999999999995</v>
      </c>
      <c r="F576" s="75">
        <f>'THAM_SO_MOI'!$E$49+('THAM_SO_MOI'!$F$49-'THAM_SO_MOI'!$E$49)*570/'THAM_SO_MOI'!$C$42</f>
        <v>3.251766929651545</v>
      </c>
      <c r="G576" s="75">
        <f>3.6*F576</f>
        <v>11.706360946745562</v>
      </c>
      <c r="H576" s="75">
        <f>'THAM_SO_MOI'!$D$49</f>
        <v>3.1625000000000005</v>
      </c>
      <c r="I576" s="75">
        <f>IF(F576&gt;'THAM_SO_MOI'!$C$14,'THAM_SO_MOI'!$C$13*(1+F576^2/1500),'THAM_SO_MOI'!$C$13)</f>
        <v>0.015</v>
      </c>
      <c r="J576" s="75">
        <f>'THAM_SO_MOI'!$C$40*('THAM_SO_MOI'!$C$23*(E576/'THAM_SO_MOI'!$C$22)+'THAM_SO_MOI'!$C$24*(E576/'THAM_SO_MOI'!$C$22)^2-'THAM_SO_MOI'!$C$25*(E576/'THAM_SO_MOI'!$C$22)^3)</f>
        <v>93.70953237762696</v>
      </c>
      <c r="K576" s="75">
        <f>'THAM_SO_MOI'!$C$31*J576/E576</f>
        <v>429.78581634431185</v>
      </c>
      <c r="L576" s="75">
        <f>K576*'THAM_SO_MOI'!$C$49*'THAM_SO_MOI'!$C$17/'THAM_SO_MOI'!$C$26</f>
        <v>24499.95139200701</v>
      </c>
      <c r="M576" s="75">
        <f>'THAM_SO_MOI'!$C$15*'THAM_SO_MOI'!$C$16*F576^2</f>
        <v>30.928915381968153</v>
      </c>
      <c r="N576" s="75">
        <f>'THAM_SO_MOI'!$C$12*I576</f>
        <v>1130.112</v>
      </c>
      <c r="O576" s="75">
        <f>M576+N576</f>
        <v>1161.0409153819683</v>
      </c>
      <c r="P576" s="75">
        <f>(MIN(L576,'THAM_SO_MOI'!$C$41)-O576)/('THAM_SO_MOI'!$C$11*H576)</f>
        <v>0.960923520941413</v>
      </c>
      <c r="Q576" s="75">
        <f>IF(P576&gt;0,1/P576,NA())</f>
        <v>1.0406655453914833</v>
      </c>
      <c r="R576" s="75">
        <f>F576-F575</f>
        <v>0.0035133136094671613</v>
      </c>
      <c r="S576" s="75">
        <f>0.5*(Q575+Q576)*R576</f>
        <v>0.0036562623248653694</v>
      </c>
      <c r="T576" s="75">
        <f>0.5*(F575*Q575+F576*Q576)*R576</f>
        <v>0.0118828899791893</v>
      </c>
      <c r="U576" s="76">
        <f>U575+S576</f>
        <v>2.2698965819097725</v>
      </c>
      <c r="V576" s="76">
        <f>V575+T576</f>
        <v>5.0153149415202085</v>
      </c>
    </row>
    <row r="577" spans="1:22" ht="19" customHeight="1">
      <c r="A577" s="68" t="s">
        <v>368</v>
      </c>
      <c r="B577" s="74">
        <v>1</v>
      </c>
      <c r="C577" s="68" t="s">
        <v>363</v>
      </c>
      <c r="D577" s="68" t="s">
        <v>364</v>
      </c>
      <c r="E577" s="75">
        <f>60*F577*'THAM_SO_MOI'!$C$49/(2*PI()*'THAM_SO_MOI'!$C$26)</f>
        <v>2084.7499999999995</v>
      </c>
      <c r="F577" s="75">
        <f>'THAM_SO_MOI'!$E$49+('THAM_SO_MOI'!$F$49-'THAM_SO_MOI'!$E$49)*571/'THAM_SO_MOI'!$C$42</f>
        <v>3.255280243261012</v>
      </c>
      <c r="G577" s="75">
        <f>3.6*F577</f>
        <v>11.719008875739645</v>
      </c>
      <c r="H577" s="75">
        <f>'THAM_SO_MOI'!$D$49</f>
        <v>3.1625000000000005</v>
      </c>
      <c r="I577" s="75">
        <f>IF(F577&gt;'THAM_SO_MOI'!$C$14,'THAM_SO_MOI'!$C$13*(1+F577^2/1500),'THAM_SO_MOI'!$C$13)</f>
        <v>0.015</v>
      </c>
      <c r="J577" s="75">
        <f>'THAM_SO_MOI'!$C$40*('THAM_SO_MOI'!$C$23*(E577/'THAM_SO_MOI'!$C$22)+'THAM_SO_MOI'!$C$24*(E577/'THAM_SO_MOI'!$C$22)^2-'THAM_SO_MOI'!$C$25*(E577/'THAM_SO_MOI'!$C$22)^3)</f>
        <v>93.81473573164351</v>
      </c>
      <c r="K577" s="75">
        <f>'THAM_SO_MOI'!$C$31*J577/E577</f>
        <v>429.8039429767405</v>
      </c>
      <c r="L577" s="75">
        <f>K577*'THAM_SO_MOI'!$C$49*'THAM_SO_MOI'!$C$17/'THAM_SO_MOI'!$C$26</f>
        <v>24500.98470114964</v>
      </c>
      <c r="M577" s="75">
        <f>'THAM_SO_MOI'!$C$15*'THAM_SO_MOI'!$C$16*F577^2</f>
        <v>30.995784676834017</v>
      </c>
      <c r="N577" s="75">
        <f>'THAM_SO_MOI'!$C$12*I577</f>
        <v>1130.112</v>
      </c>
      <c r="O577" s="75">
        <f>M577+N577</f>
        <v>1161.1077846768342</v>
      </c>
      <c r="P577" s="75">
        <f>(MIN(L577,'THAM_SO_MOI'!$C$41)-O577)/('THAM_SO_MOI'!$C$11*H577)</f>
        <v>0.9609633117783597</v>
      </c>
      <c r="Q577" s="75">
        <f>IF(P577&gt;0,1/P577,NA())</f>
        <v>1.040622454305148</v>
      </c>
      <c r="R577" s="75">
        <f>F577-F576</f>
        <v>0.0035133136094671613</v>
      </c>
      <c r="S577" s="75">
        <f>0.5*(Q576+Q577)*R577</f>
        <v>0.00365610872727743</v>
      </c>
      <c r="T577" s="75">
        <f>0.5*(F576*Q576+F577*Q577)*R577</f>
        <v>0.01189523584587343</v>
      </c>
      <c r="U577" s="76">
        <f>U576+S577</f>
        <v>2.27355269063705</v>
      </c>
      <c r="V577" s="76">
        <f>V576+T577</f>
        <v>5.027210177366082</v>
      </c>
    </row>
    <row r="578" spans="1:22" ht="19" customHeight="1">
      <c r="A578" s="68" t="s">
        <v>368</v>
      </c>
      <c r="B578" s="74">
        <v>1</v>
      </c>
      <c r="C578" s="68" t="s">
        <v>363</v>
      </c>
      <c r="D578" s="68" t="s">
        <v>364</v>
      </c>
      <c r="E578" s="75">
        <f>60*F578*'THAM_SO_MOI'!$C$49/(2*PI()*'THAM_SO_MOI'!$C$26)</f>
        <v>2087.0</v>
      </c>
      <c r="F578" s="75">
        <f>'THAM_SO_MOI'!$E$49+('THAM_SO_MOI'!$F$49-'THAM_SO_MOI'!$E$49)*572/'THAM_SO_MOI'!$C$42</f>
        <v>3.2587935568704802</v>
      </c>
      <c r="G578" s="75">
        <f>3.6*F578</f>
        <v>11.73165680473373</v>
      </c>
      <c r="H578" s="75">
        <f>'THAM_SO_MOI'!$D$49</f>
        <v>3.1625000000000005</v>
      </c>
      <c r="I578" s="75">
        <f>IF(F578&gt;'THAM_SO_MOI'!$C$14,'THAM_SO_MOI'!$C$13*(1+F578^2/1500),'THAM_SO_MOI'!$C$13)</f>
        <v>0.015</v>
      </c>
      <c r="J578" s="75">
        <f>'THAM_SO_MOI'!$C$40*('THAM_SO_MOI'!$C$23*(E578/'THAM_SO_MOI'!$C$22)+'THAM_SO_MOI'!$C$24*(E578/'THAM_SO_MOI'!$C$22)^2-'THAM_SO_MOI'!$C$25*(E578/'THAM_SO_MOI'!$C$22)^3)</f>
        <v>93.91984030798598</v>
      </c>
      <c r="K578" s="75">
        <f>'THAM_SO_MOI'!$C$31*J578/E578</f>
        <v>429.8215784711103</v>
      </c>
      <c r="L578" s="75">
        <f>K578*'THAM_SO_MOI'!$C$49*'THAM_SO_MOI'!$C$17/'THAM_SO_MOI'!$C$26</f>
        <v>24501.990012954735</v>
      </c>
      <c r="M578" s="75">
        <f>'THAM_SO_MOI'!$C$15*'THAM_SO_MOI'!$C$16*F578^2</f>
        <v>31.06272618042913</v>
      </c>
      <c r="N578" s="75">
        <f>'THAM_SO_MOI'!$C$12*I578</f>
        <v>1130.112</v>
      </c>
      <c r="O578" s="75">
        <f>M578+N578</f>
        <v>1161.1747261804292</v>
      </c>
      <c r="P578" s="75">
        <f>(MIN(L578,'THAM_SO_MOI'!$C$41)-O578)/('THAM_SO_MOI'!$C$11*H578)</f>
        <v>0.9610019469192318</v>
      </c>
      <c r="Q578" s="75">
        <f>IF(P578&gt;0,1/P578,NA())</f>
        <v>1.0405806181827078</v>
      </c>
      <c r="R578" s="75">
        <f>F578-F577</f>
        <v>0.0035133136094680495</v>
      </c>
      <c r="S578" s="75">
        <f>0.5*(Q577+Q578)*R578</f>
        <v>0.003655959539319152</v>
      </c>
      <c r="T578" s="75">
        <f>0.5*(F577*Q577+F578*Q578)*R578</f>
        <v>0.011907594995610133</v>
      </c>
      <c r="U578" s="76">
        <f>U577+S578</f>
        <v>2.277208650176369</v>
      </c>
      <c r="V578" s="76">
        <f>V577+T578</f>
        <v>5.039117772361692</v>
      </c>
    </row>
    <row r="579" spans="1:22" ht="19" customHeight="1">
      <c r="A579" s="68" t="s">
        <v>368</v>
      </c>
      <c r="B579" s="74">
        <v>1</v>
      </c>
      <c r="C579" s="68" t="s">
        <v>363</v>
      </c>
      <c r="D579" s="68" t="s">
        <v>364</v>
      </c>
      <c r="E579" s="75">
        <f>60*F579*'THAM_SO_MOI'!$C$49/(2*PI()*'THAM_SO_MOI'!$C$26)</f>
        <v>2089.2499999999995</v>
      </c>
      <c r="F579" s="75">
        <f>'THAM_SO_MOI'!$E$49+('THAM_SO_MOI'!$F$49-'THAM_SO_MOI'!$E$49)*573/'THAM_SO_MOI'!$C$42</f>
        <v>3.2623068704799474</v>
      </c>
      <c r="G579" s="75">
        <f>3.6*F579</f>
        <v>11.74430473372781</v>
      </c>
      <c r="H579" s="75">
        <f>'THAM_SO_MOI'!$D$49</f>
        <v>3.1625000000000005</v>
      </c>
      <c r="I579" s="75">
        <f>IF(F579&gt;'THAM_SO_MOI'!$C$14,'THAM_SO_MOI'!$C$13*(1+F579^2/1500),'THAM_SO_MOI'!$C$13)</f>
        <v>0.015</v>
      </c>
      <c r="J579" s="75">
        <f>'THAM_SO_MOI'!$C$40*('THAM_SO_MOI'!$C$23*(E579/'THAM_SO_MOI'!$C$22)+'THAM_SO_MOI'!$C$24*(E579/'THAM_SO_MOI'!$C$22)^2-'THAM_SO_MOI'!$C$25*(E579/'THAM_SO_MOI'!$C$22)^3)</f>
        <v>94.02484575955478</v>
      </c>
      <c r="K579" s="75">
        <f>'THAM_SO_MOI'!$C$31*J579/E579</f>
        <v>429.8387228274214</v>
      </c>
      <c r="L579" s="75">
        <f>K579*'THAM_SO_MOI'!$C$49*'THAM_SO_MOI'!$C$17/'THAM_SO_MOI'!$C$26</f>
        <v>24502.967327422306</v>
      </c>
      <c r="M579" s="75">
        <f>'THAM_SO_MOI'!$C$15*'THAM_SO_MOI'!$C$16*F579^2</f>
        <v>31.12973989275346</v>
      </c>
      <c r="N579" s="75">
        <f>'THAM_SO_MOI'!$C$12*I579</f>
        <v>1130.112</v>
      </c>
      <c r="O579" s="75">
        <f>M579+N579</f>
        <v>1161.2417398927535</v>
      </c>
      <c r="P579" s="75">
        <f>(MIN(L579,'THAM_SO_MOI'!$C$41)-O579)/('THAM_SO_MOI'!$C$11*H579)</f>
        <v>0.9610394263640295</v>
      </c>
      <c r="Q579" s="75">
        <f>IF(P579&gt;0,1/P579,NA())</f>
        <v>1.0405400367218782</v>
      </c>
      <c r="R579" s="75">
        <f>F579-F578</f>
        <v>0.0035133136094671613</v>
      </c>
      <c r="S579" s="75">
        <f>0.5*(Q578+Q579)*R579</f>
        <v>0.003655814759909747</v>
      </c>
      <c r="T579" s="75">
        <f>0.5*(F578*Q578+F579*Q579)*R579</f>
        <v>0.011919967471352703</v>
      </c>
      <c r="U579" s="76">
        <f>U578+S579</f>
        <v>2.280864464936279</v>
      </c>
      <c r="V579" s="76">
        <f>V578+T579</f>
        <v>5.051037739833045</v>
      </c>
    </row>
    <row r="580" spans="1:22" ht="19" customHeight="1">
      <c r="A580" s="68" t="s">
        <v>368</v>
      </c>
      <c r="B580" s="74">
        <v>1</v>
      </c>
      <c r="C580" s="68" t="s">
        <v>363</v>
      </c>
      <c r="D580" s="68" t="s">
        <v>364</v>
      </c>
      <c r="E580" s="75">
        <f>60*F580*'THAM_SO_MOI'!$C$49/(2*PI()*'THAM_SO_MOI'!$C$26)</f>
        <v>2091.4999999999995</v>
      </c>
      <c r="F580" s="75">
        <f>'THAM_SO_MOI'!$E$49+('THAM_SO_MOI'!$F$49-'THAM_SO_MOI'!$E$49)*574/'THAM_SO_MOI'!$C$42</f>
        <v>3.2658201840894145</v>
      </c>
      <c r="G580" s="75">
        <f>3.6*F580</f>
        <v>11.756952662721893</v>
      </c>
      <c r="H580" s="75">
        <f>'THAM_SO_MOI'!$D$49</f>
        <v>3.1625000000000005</v>
      </c>
      <c r="I580" s="75">
        <f>IF(F580&gt;'THAM_SO_MOI'!$C$14,'THAM_SO_MOI'!$C$13*(1+F580^2/1500),'THAM_SO_MOI'!$C$13)</f>
        <v>0.015</v>
      </c>
      <c r="J580" s="75">
        <f>'THAM_SO_MOI'!$C$40*('THAM_SO_MOI'!$C$23*(E580/'THAM_SO_MOI'!$C$22)+'THAM_SO_MOI'!$C$24*(E580/'THAM_SO_MOI'!$C$22)^2-'THAM_SO_MOI'!$C$25*(E580/'THAM_SO_MOI'!$C$22)^3)</f>
        <v>94.12975173925037</v>
      </c>
      <c r="K580" s="75">
        <f>'THAM_SO_MOI'!$C$31*J580/E580</f>
        <v>429.85537604567355</v>
      </c>
      <c r="L580" s="75">
        <f>K580*'THAM_SO_MOI'!$C$49*'THAM_SO_MOI'!$C$17/'THAM_SO_MOI'!$C$26</f>
        <v>24503.91664455233</v>
      </c>
      <c r="M580" s="75">
        <f>'THAM_SO_MOI'!$C$15*'THAM_SO_MOI'!$C$16*F580^2</f>
        <v>31.196825813807017</v>
      </c>
      <c r="N580" s="75">
        <f>'THAM_SO_MOI'!$C$12*I580</f>
        <v>1130.112</v>
      </c>
      <c r="O580" s="75">
        <f>M580+N580</f>
        <v>1161.308825813807</v>
      </c>
      <c r="P580" s="75">
        <f>(MIN(L580,'THAM_SO_MOI'!$C$41)-O580)/('THAM_SO_MOI'!$C$11*H580)</f>
        <v>0.9610757501127519</v>
      </c>
      <c r="Q580" s="75">
        <f>IF(P580&gt;0,1/P580,NA())</f>
        <v>1.0405007096294767</v>
      </c>
      <c r="R580" s="75">
        <f>F580-F579</f>
        <v>0.0035133136094671613</v>
      </c>
      <c r="S580" s="75">
        <f>0.5*(Q579+Q580)*R580</f>
        <v>0.0036556743880059566</v>
      </c>
      <c r="T580" s="75">
        <f>0.5*(F579*Q579+F580*Q580)*R580</f>
        <v>0.011932353316161753</v>
      </c>
      <c r="U580" s="76">
        <f>U579+S580</f>
        <v>2.284520139324285</v>
      </c>
      <c r="V580" s="76">
        <f>V579+T580</f>
        <v>5.0629700931492065</v>
      </c>
    </row>
    <row r="581" spans="1:22" ht="19" customHeight="1">
      <c r="A581" s="68" t="s">
        <v>368</v>
      </c>
      <c r="B581" s="74">
        <v>1</v>
      </c>
      <c r="C581" s="68" t="s">
        <v>363</v>
      </c>
      <c r="D581" s="68" t="s">
        <v>364</v>
      </c>
      <c r="E581" s="75">
        <f>60*F581*'THAM_SO_MOI'!$C$49/(2*PI()*'THAM_SO_MOI'!$C$26)</f>
        <v>2093.75</v>
      </c>
      <c r="F581" s="75">
        <f>'THAM_SO_MOI'!$E$49+('THAM_SO_MOI'!$F$49-'THAM_SO_MOI'!$E$49)*575/'THAM_SO_MOI'!$C$42</f>
        <v>3.2693334976988826</v>
      </c>
      <c r="G581" s="75">
        <f>3.6*F581</f>
        <v>11.769600591715978</v>
      </c>
      <c r="H581" s="75">
        <f>'THAM_SO_MOI'!$D$49</f>
        <v>3.1625000000000005</v>
      </c>
      <c r="I581" s="75">
        <f>IF(F581&gt;'THAM_SO_MOI'!$C$14,'THAM_SO_MOI'!$C$13*(1+F581^2/1500),'THAM_SO_MOI'!$C$13)</f>
        <v>0.015</v>
      </c>
      <c r="J581" s="75">
        <f>'THAM_SO_MOI'!$C$40*('THAM_SO_MOI'!$C$23*(E581/'THAM_SO_MOI'!$C$22)+'THAM_SO_MOI'!$C$24*(E581/'THAM_SO_MOI'!$C$22)^2-'THAM_SO_MOI'!$C$25*(E581/'THAM_SO_MOI'!$C$22)^3)</f>
        <v>94.2345578999733</v>
      </c>
      <c r="K581" s="75">
        <f>'THAM_SO_MOI'!$C$31*J581/E581</f>
        <v>429.87153812586723</v>
      </c>
      <c r="L581" s="75">
        <f>K581*'THAM_SO_MOI'!$C$49*'THAM_SO_MOI'!$C$17/'THAM_SO_MOI'!$C$26</f>
        <v>24504.837964344846</v>
      </c>
      <c r="M581" s="75">
        <f>'THAM_SO_MOI'!$C$15*'THAM_SO_MOI'!$C$16*F581^2</f>
        <v>31.263983943589828</v>
      </c>
      <c r="N581" s="75">
        <f>'THAM_SO_MOI'!$C$12*I581</f>
        <v>1130.112</v>
      </c>
      <c r="O581" s="75">
        <f>M581+N581</f>
        <v>1161.37598394359</v>
      </c>
      <c r="P581" s="75">
        <f>(MIN(L581,'THAM_SO_MOI'!$C$41)-O581)/('THAM_SO_MOI'!$C$11*H581)</f>
        <v>0.9611109181654006</v>
      </c>
      <c r="Q581" s="75">
        <f>IF(P581&gt;0,1/P581,NA())</f>
        <v>1.0404626366214131</v>
      </c>
      <c r="R581" s="75">
        <f>F581-F580</f>
        <v>0.0035133136094680495</v>
      </c>
      <c r="S581" s="75">
        <f>0.5*(Q580+Q581)*R581</f>
        <v>0.003655538422593712</v>
      </c>
      <c r="T581" s="75">
        <f>0.5*(F580*Q580+F581*Q581)*R581</f>
        <v>0.011944752573178612</v>
      </c>
      <c r="U581" s="76">
        <f>U580+S581</f>
        <v>2.288175677746879</v>
      </c>
      <c r="V581" s="76">
        <f>V580+T581</f>
        <v>5.074914845722385</v>
      </c>
    </row>
    <row r="582" spans="1:22" ht="19" customHeight="1">
      <c r="A582" s="68" t="s">
        <v>368</v>
      </c>
      <c r="B582" s="74">
        <v>1</v>
      </c>
      <c r="C582" s="68" t="s">
        <v>363</v>
      </c>
      <c r="D582" s="68" t="s">
        <v>364</v>
      </c>
      <c r="E582" s="75">
        <f>60*F582*'THAM_SO_MOI'!$C$49/(2*PI()*'THAM_SO_MOI'!$C$26)</f>
        <v>2096.0</v>
      </c>
      <c r="F582" s="75">
        <f>'THAM_SO_MOI'!$E$49+('THAM_SO_MOI'!$F$49-'THAM_SO_MOI'!$E$49)*576/'THAM_SO_MOI'!$C$42</f>
        <v>3.2728468113083498</v>
      </c>
      <c r="G582" s="75">
        <f>3.6*F582</f>
        <v>11.78224852071006</v>
      </c>
      <c r="H582" s="75">
        <f>'THAM_SO_MOI'!$D$49</f>
        <v>3.1625000000000005</v>
      </c>
      <c r="I582" s="75">
        <f>IF(F582&gt;'THAM_SO_MOI'!$C$14,'THAM_SO_MOI'!$C$13*(1+F582^2/1500),'THAM_SO_MOI'!$C$13)</f>
        <v>0.015</v>
      </c>
      <c r="J582" s="75">
        <f>'THAM_SO_MOI'!$C$40*('THAM_SO_MOI'!$C$23*(E582/'THAM_SO_MOI'!$C$22)+'THAM_SO_MOI'!$C$24*(E582/'THAM_SO_MOI'!$C$22)^2-'THAM_SO_MOI'!$C$25*(E582/'THAM_SO_MOI'!$C$22)^3)</f>
        <v>94.33926389462385</v>
      </c>
      <c r="K582" s="75">
        <f>'THAM_SO_MOI'!$C$31*J582/E582</f>
        <v>429.88720906800177</v>
      </c>
      <c r="L582" s="75">
        <f>K582*'THAM_SO_MOI'!$C$49*'THAM_SO_MOI'!$C$17/'THAM_SO_MOI'!$C$26</f>
        <v>24505.731286799804</v>
      </c>
      <c r="M582" s="75">
        <f>'THAM_SO_MOI'!$C$15*'THAM_SO_MOI'!$C$16*F582^2</f>
        <v>31.331214282101858</v>
      </c>
      <c r="N582" s="75">
        <f>'THAM_SO_MOI'!$C$12*I582</f>
        <v>1130.112</v>
      </c>
      <c r="O582" s="75">
        <f>M582+N582</f>
        <v>1161.443214282102</v>
      </c>
      <c r="P582" s="75">
        <f>(MIN(L582,'THAM_SO_MOI'!$C$41)-O582)/('THAM_SO_MOI'!$C$11*H582)</f>
        <v>0.9611449305219738</v>
      </c>
      <c r="Q582" s="75">
        <f>IF(P582&gt;0,1/P582,NA())</f>
        <v>1.0404258174226908</v>
      </c>
      <c r="R582" s="75">
        <f>F582-F581</f>
        <v>0.0035133136094671613</v>
      </c>
      <c r="S582" s="75">
        <f>0.5*(Q581+Q582)*R582</f>
        <v>0.003655406862688116</v>
      </c>
      <c r="T582" s="75">
        <f>0.5*(F581*Q581+F582*Q582)*R582</f>
        <v>0.011957165285625777</v>
      </c>
      <c r="U582" s="76">
        <f>U581+S582</f>
        <v>2.291831084609567</v>
      </c>
      <c r="V582" s="76">
        <f>V581+T582</f>
        <v>5.086872011008011</v>
      </c>
    </row>
    <row r="583" spans="1:22" ht="19" customHeight="1">
      <c r="A583" s="68" t="s">
        <v>368</v>
      </c>
      <c r="B583" s="74">
        <v>1</v>
      </c>
      <c r="C583" s="68" t="s">
        <v>363</v>
      </c>
      <c r="D583" s="68" t="s">
        <v>364</v>
      </c>
      <c r="E583" s="75">
        <f>60*F583*'THAM_SO_MOI'!$C$49/(2*PI()*'THAM_SO_MOI'!$C$26)</f>
        <v>2098.2499999999995</v>
      </c>
      <c r="F583" s="75">
        <f>'THAM_SO_MOI'!$E$49+('THAM_SO_MOI'!$F$49-'THAM_SO_MOI'!$E$49)*577/'THAM_SO_MOI'!$C$42</f>
        <v>3.276360124917817</v>
      </c>
      <c r="G583" s="75">
        <f>3.6*F583</f>
        <v>11.794896449704142</v>
      </c>
      <c r="H583" s="75">
        <f>'THAM_SO_MOI'!$D$49</f>
        <v>3.1625000000000005</v>
      </c>
      <c r="I583" s="75">
        <f>IF(F583&gt;'THAM_SO_MOI'!$C$14,'THAM_SO_MOI'!$C$13*(1+F583^2/1500),'THAM_SO_MOI'!$C$13)</f>
        <v>0.015</v>
      </c>
      <c r="J583" s="75">
        <f>'THAM_SO_MOI'!$C$40*('THAM_SO_MOI'!$C$23*(E583/'THAM_SO_MOI'!$C$22)+'THAM_SO_MOI'!$C$24*(E583/'THAM_SO_MOI'!$C$22)^2-'THAM_SO_MOI'!$C$25*(E583/'THAM_SO_MOI'!$C$22)^3)</f>
        <v>94.44386937610263</v>
      </c>
      <c r="K583" s="75">
        <f>'THAM_SO_MOI'!$C$31*J583/E583</f>
        <v>429.9023888720778</v>
      </c>
      <c r="L583" s="75">
        <f>K583*'THAM_SO_MOI'!$C$49*'THAM_SO_MOI'!$C$17/'THAM_SO_MOI'!$C$26</f>
        <v>24506.596611917244</v>
      </c>
      <c r="M583" s="75">
        <f>'THAM_SO_MOI'!$C$15*'THAM_SO_MOI'!$C$16*F583^2</f>
        <v>31.39851682934312</v>
      </c>
      <c r="N583" s="75">
        <f>'THAM_SO_MOI'!$C$12*I583</f>
        <v>1130.112</v>
      </c>
      <c r="O583" s="75">
        <f>M583+N583</f>
        <v>1161.5105168293433</v>
      </c>
      <c r="P583" s="75">
        <f>(MIN(L583,'THAM_SO_MOI'!$C$41)-O583)/('THAM_SO_MOI'!$C$11*H583)</f>
        <v>0.9611777871824727</v>
      </c>
      <c r="Q583" s="75">
        <f>IF(P583&gt;0,1/P583,NA())</f>
        <v>1.0403902517673946</v>
      </c>
      <c r="R583" s="75">
        <f>F583-F582</f>
        <v>0.0035133136094671613</v>
      </c>
      <c r="S583" s="75">
        <f>0.5*(Q582+Q583)*R583</f>
        <v>0.003655279707341744</v>
      </c>
      <c r="T583" s="75">
        <f>0.5*(F582*Q582+F583*Q583)*R583</f>
        <v>0.01196959149683462</v>
      </c>
      <c r="U583" s="76">
        <f>U582+S583</f>
        <v>2.295486364316909</v>
      </c>
      <c r="V583" s="76">
        <f>V582+T583</f>
        <v>5.098841602504845</v>
      </c>
    </row>
    <row r="584" spans="1:22" ht="19" customHeight="1">
      <c r="A584" s="68" t="s">
        <v>368</v>
      </c>
      <c r="B584" s="74">
        <v>1</v>
      </c>
      <c r="C584" s="68" t="s">
        <v>363</v>
      </c>
      <c r="D584" s="68" t="s">
        <v>364</v>
      </c>
      <c r="E584" s="75">
        <f>60*F584*'THAM_SO_MOI'!$C$49/(2*PI()*'THAM_SO_MOI'!$C$26)</f>
        <v>2100.5</v>
      </c>
      <c r="F584" s="75">
        <f>'THAM_SO_MOI'!$E$49+('THAM_SO_MOI'!$F$49-'THAM_SO_MOI'!$E$49)*578/'THAM_SO_MOI'!$C$42</f>
        <v>3.279873438527285</v>
      </c>
      <c r="G584" s="75">
        <f>3.6*F584</f>
        <v>11.807544378698227</v>
      </c>
      <c r="H584" s="75">
        <f>'THAM_SO_MOI'!$D$49</f>
        <v>3.1625000000000005</v>
      </c>
      <c r="I584" s="75">
        <f>IF(F584&gt;'THAM_SO_MOI'!$C$14,'THAM_SO_MOI'!$C$13*(1+F584^2/1500),'THAM_SO_MOI'!$C$13)</f>
        <v>0.015</v>
      </c>
      <c r="J584" s="75">
        <f>'THAM_SO_MOI'!$C$40*('THAM_SO_MOI'!$C$23*(E584/'THAM_SO_MOI'!$C$22)+'THAM_SO_MOI'!$C$24*(E584/'THAM_SO_MOI'!$C$22)^2-'THAM_SO_MOI'!$C$25*(E584/'THAM_SO_MOI'!$C$22)^3)</f>
        <v>94.54837399731001</v>
      </c>
      <c r="K584" s="75">
        <f>'THAM_SO_MOI'!$C$31*J584/E584</f>
        <v>429.9170775380948</v>
      </c>
      <c r="L584" s="75">
        <f>K584*'THAM_SO_MOI'!$C$49*'THAM_SO_MOI'!$C$17/'THAM_SO_MOI'!$C$26</f>
        <v>24507.433939697137</v>
      </c>
      <c r="M584" s="75">
        <f>'THAM_SO_MOI'!$C$15*'THAM_SO_MOI'!$C$16*F584^2</f>
        <v>31.46589158531363</v>
      </c>
      <c r="N584" s="75">
        <f>'THAM_SO_MOI'!$C$12*I584</f>
        <v>1130.112</v>
      </c>
      <c r="O584" s="75">
        <f>M584+N584</f>
        <v>1161.5778915853136</v>
      </c>
      <c r="P584" s="75">
        <f>(MIN(L584,'THAM_SO_MOI'!$C$41)-O584)/('THAM_SO_MOI'!$C$11*H584)</f>
        <v>0.9612094881468963</v>
      </c>
      <c r="Q584" s="75">
        <f>IF(P584&gt;0,1/P584,NA())</f>
        <v>1.0403559393986919</v>
      </c>
      <c r="R584" s="75">
        <f>F584-F583</f>
        <v>0.0035133136094680495</v>
      </c>
      <c r="S584" s="75">
        <f>0.5*(Q583+Q584)*R584</f>
        <v>0.00365515695563631</v>
      </c>
      <c r="T584" s="75">
        <f>0.5*(F583*Q583+F584*Q584)*R584</f>
        <v>0.01198203125021871</v>
      </c>
      <c r="U584" s="76">
        <f>U583+S584</f>
        <v>2.2991415212725452</v>
      </c>
      <c r="V584" s="76">
        <f>V583+T584</f>
        <v>5.110823633755064</v>
      </c>
    </row>
    <row r="585" spans="1:22" ht="19" customHeight="1">
      <c r="A585" s="68" t="s">
        <v>368</v>
      </c>
      <c r="B585" s="74">
        <v>1</v>
      </c>
      <c r="C585" s="68" t="s">
        <v>363</v>
      </c>
      <c r="D585" s="68" t="s">
        <v>364</v>
      </c>
      <c r="E585" s="75">
        <f>60*F585*'THAM_SO_MOI'!$C$49/(2*PI()*'THAM_SO_MOI'!$C$26)</f>
        <v>2102.75</v>
      </c>
      <c r="F585" s="75">
        <f>'THAM_SO_MOI'!$E$49+('THAM_SO_MOI'!$F$49-'THAM_SO_MOI'!$E$49)*579/'THAM_SO_MOI'!$C$42</f>
        <v>3.283386752136752</v>
      </c>
      <c r="G585" s="75">
        <f>3.6*F585</f>
        <v>11.820192307692308</v>
      </c>
      <c r="H585" s="75">
        <f>'THAM_SO_MOI'!$D$49</f>
        <v>3.1625000000000005</v>
      </c>
      <c r="I585" s="75">
        <f>IF(F585&gt;'THAM_SO_MOI'!$C$14,'THAM_SO_MOI'!$C$13*(1+F585^2/1500),'THAM_SO_MOI'!$C$13)</f>
        <v>0.015</v>
      </c>
      <c r="J585" s="75">
        <f>'THAM_SO_MOI'!$C$40*('THAM_SO_MOI'!$C$23*(E585/'THAM_SO_MOI'!$C$22)+'THAM_SO_MOI'!$C$24*(E585/'THAM_SO_MOI'!$C$22)^2-'THAM_SO_MOI'!$C$25*(E585/'THAM_SO_MOI'!$C$22)^3)</f>
        <v>94.6527774111465</v>
      </c>
      <c r="K585" s="75">
        <f>'THAM_SO_MOI'!$C$31*J585/E585</f>
        <v>429.93127506605316</v>
      </c>
      <c r="L585" s="75">
        <f>K585*'THAM_SO_MOI'!$C$49*'THAM_SO_MOI'!$C$17/'THAM_SO_MOI'!$C$26</f>
        <v>24508.243270139512</v>
      </c>
      <c r="M585" s="75">
        <f>'THAM_SO_MOI'!$C$15*'THAM_SO_MOI'!$C$16*F585^2</f>
        <v>31.533338550013358</v>
      </c>
      <c r="N585" s="75">
        <f>'THAM_SO_MOI'!$C$12*I585</f>
        <v>1130.112</v>
      </c>
      <c r="O585" s="75">
        <f>M585+N585</f>
        <v>1161.6453385500135</v>
      </c>
      <c r="P585" s="75">
        <f>(MIN(L585,'THAM_SO_MOI'!$C$41)-O585)/('THAM_SO_MOI'!$C$11*H585)</f>
        <v>0.961240033415246</v>
      </c>
      <c r="Q585" s="75">
        <f>IF(P585&gt;0,1/P585,NA())</f>
        <v>1.0403228800688227</v>
      </c>
      <c r="R585" s="75">
        <f>F585-F584</f>
        <v>0.0035133136094671613</v>
      </c>
      <c r="S585" s="75">
        <f>0.5*(Q584+Q585)*R585</f>
        <v>0.0036550386066826427</v>
      </c>
      <c r="T585" s="75">
        <f>0.5*(F584*Q584+F585*Q585)*R585</f>
        <v>0.011994484589274263</v>
      </c>
      <c r="U585" s="76">
        <f>U584+S585</f>
        <v>2.3027965598792277</v>
      </c>
      <c r="V585" s="76">
        <f>V584+T585</f>
        <v>5.122818118344338</v>
      </c>
    </row>
    <row r="586" spans="1:22" ht="19" customHeight="1">
      <c r="A586" s="68" t="s">
        <v>368</v>
      </c>
      <c r="B586" s="74">
        <v>1</v>
      </c>
      <c r="C586" s="68" t="s">
        <v>363</v>
      </c>
      <c r="D586" s="68" t="s">
        <v>364</v>
      </c>
      <c r="E586" s="75">
        <f>60*F586*'THAM_SO_MOI'!$C$49/(2*PI()*'THAM_SO_MOI'!$C$26)</f>
        <v>2105.0</v>
      </c>
      <c r="F586" s="75">
        <f>'THAM_SO_MOI'!$E$49+('THAM_SO_MOI'!$F$49-'THAM_SO_MOI'!$E$49)*580/'THAM_SO_MOI'!$C$42</f>
        <v>3.2869000657462193</v>
      </c>
      <c r="G586" s="75">
        <f>3.6*F586</f>
        <v>11.83284023668639</v>
      </c>
      <c r="H586" s="75">
        <f>'THAM_SO_MOI'!$D$49</f>
        <v>3.1625000000000005</v>
      </c>
      <c r="I586" s="75">
        <f>IF(F586&gt;'THAM_SO_MOI'!$C$14,'THAM_SO_MOI'!$C$13*(1+F586^2/1500),'THAM_SO_MOI'!$C$13)</f>
        <v>0.015</v>
      </c>
      <c r="J586" s="75">
        <f>'THAM_SO_MOI'!$C$40*('THAM_SO_MOI'!$C$23*(E586/'THAM_SO_MOI'!$C$22)+'THAM_SO_MOI'!$C$24*(E586/'THAM_SO_MOI'!$C$22)^2-'THAM_SO_MOI'!$C$25*(E586/'THAM_SO_MOI'!$C$22)^3)</f>
        <v>94.75707927051252</v>
      </c>
      <c r="K586" s="75">
        <f>'THAM_SO_MOI'!$C$31*J586/E586</f>
        <v>429.9449814559528</v>
      </c>
      <c r="L586" s="75">
        <f>K586*'THAM_SO_MOI'!$C$49*'THAM_SO_MOI'!$C$17/'THAM_SO_MOI'!$C$26</f>
        <v>24509.024603244354</v>
      </c>
      <c r="M586" s="75">
        <f>'THAM_SO_MOI'!$C$15*'THAM_SO_MOI'!$C$16*F586^2</f>
        <v>31.600857723442314</v>
      </c>
      <c r="N586" s="75">
        <f>'THAM_SO_MOI'!$C$12*I586</f>
        <v>1130.112</v>
      </c>
      <c r="O586" s="75">
        <f>M586+N586</f>
        <v>1161.7128577234423</v>
      </c>
      <c r="P586" s="75">
        <f>(MIN(L586,'THAM_SO_MOI'!$C$41)-O586)/('THAM_SO_MOI'!$C$11*H586)</f>
        <v>0.9612694229875208</v>
      </c>
      <c r="Q586" s="75">
        <f>IF(P586&gt;0,1/P586,NA())</f>
        <v>1.0402910735391009</v>
      </c>
      <c r="R586" s="75">
        <f>F586-F585</f>
        <v>0.0035133136094671613</v>
      </c>
      <c r="S586" s="75">
        <f>0.5*(Q585+Q586)*R586</f>
        <v>0.0036549246596289976</v>
      </c>
      <c r="T586" s="75">
        <f>0.5*(F585*Q585+F586*Q586)*R586</f>
        <v>0.012006951557607943</v>
      </c>
      <c r="U586" s="76">
        <f>U585+S586</f>
        <v>2.3064514845388566</v>
      </c>
      <c r="V586" s="76">
        <f>V585+T586</f>
        <v>5.134825069901947</v>
      </c>
    </row>
    <row r="587" spans="1:22" ht="19" customHeight="1">
      <c r="A587" s="68" t="s">
        <v>368</v>
      </c>
      <c r="B587" s="74">
        <v>1</v>
      </c>
      <c r="C587" s="68" t="s">
        <v>363</v>
      </c>
      <c r="D587" s="68" t="s">
        <v>364</v>
      </c>
      <c r="E587" s="75">
        <f>60*F587*'THAM_SO_MOI'!$C$49/(2*PI()*'THAM_SO_MOI'!$C$26)</f>
        <v>2107.25</v>
      </c>
      <c r="F587" s="75">
        <f>'THAM_SO_MOI'!$E$49+('THAM_SO_MOI'!$F$49-'THAM_SO_MOI'!$E$49)*581/'THAM_SO_MOI'!$C$42</f>
        <v>3.2904133793556873</v>
      </c>
      <c r="G587" s="75">
        <f>3.6*F587</f>
        <v>11.845488165680475</v>
      </c>
      <c r="H587" s="75">
        <f>'THAM_SO_MOI'!$D$49</f>
        <v>3.1625000000000005</v>
      </c>
      <c r="I587" s="75">
        <f>IF(F587&gt;'THAM_SO_MOI'!$C$14,'THAM_SO_MOI'!$C$13*(1+F587^2/1500),'THAM_SO_MOI'!$C$13)</f>
        <v>0.015</v>
      </c>
      <c r="J587" s="75">
        <f>'THAM_SO_MOI'!$C$40*('THAM_SO_MOI'!$C$23*(E587/'THAM_SO_MOI'!$C$22)+'THAM_SO_MOI'!$C$24*(E587/'THAM_SO_MOI'!$C$22)^2-'THAM_SO_MOI'!$C$25*(E587/'THAM_SO_MOI'!$C$22)^3)</f>
        <v>94.86127922830855</v>
      </c>
      <c r="K587" s="75">
        <f>'THAM_SO_MOI'!$C$31*J587/E587</f>
        <v>429.95819670779366</v>
      </c>
      <c r="L587" s="75">
        <f>K587*'THAM_SO_MOI'!$C$49*'THAM_SO_MOI'!$C$17/'THAM_SO_MOI'!$C$26</f>
        <v>24509.777939011656</v>
      </c>
      <c r="M587" s="75">
        <f>'THAM_SO_MOI'!$C$15*'THAM_SO_MOI'!$C$16*F587^2</f>
        <v>31.66844910560053</v>
      </c>
      <c r="N587" s="75">
        <f>'THAM_SO_MOI'!$C$12*I587</f>
        <v>1130.112</v>
      </c>
      <c r="O587" s="75">
        <f>M587+N587</f>
        <v>1161.7804491056006</v>
      </c>
      <c r="P587" s="75">
        <f>(MIN(L587,'THAM_SO_MOI'!$C$41)-O587)/('THAM_SO_MOI'!$C$11*H587)</f>
        <v>0.9612976568637208</v>
      </c>
      <c r="Q587" s="75">
        <f>IF(P587&gt;0,1/P587,NA())</f>
        <v>1.0402605195799055</v>
      </c>
      <c r="R587" s="75">
        <f>F587-F586</f>
        <v>0.0035133136094680495</v>
      </c>
      <c r="S587" s="75">
        <f>0.5*(Q586+Q587)*R587</f>
        <v>0.003654815113652718</v>
      </c>
      <c r="T587" s="75">
        <f>0.5*(F586*Q586+F587*Q587)*R587</f>
        <v>0.012019432198910114</v>
      </c>
      <c r="U587" s="76">
        <f>U586+S587</f>
        <v>2.3101062996525092</v>
      </c>
      <c r="V587" s="76">
        <f>V586+T587</f>
        <v>5.146844502100857</v>
      </c>
    </row>
    <row r="588" spans="1:22" ht="19" customHeight="1">
      <c r="A588" s="68" t="s">
        <v>368</v>
      </c>
      <c r="B588" s="74">
        <v>1</v>
      </c>
      <c r="C588" s="68" t="s">
        <v>363</v>
      </c>
      <c r="D588" s="68" t="s">
        <v>364</v>
      </c>
      <c r="E588" s="75">
        <f>60*F588*'THAM_SO_MOI'!$C$49/(2*PI()*'THAM_SO_MOI'!$C$26)</f>
        <v>2109.4999999999995</v>
      </c>
      <c r="F588" s="75">
        <f>'THAM_SO_MOI'!$E$49+('THAM_SO_MOI'!$F$49-'THAM_SO_MOI'!$E$49)*582/'THAM_SO_MOI'!$C$42</f>
        <v>3.2939266929651545</v>
      </c>
      <c r="G588" s="75">
        <f>3.6*F588</f>
        <v>11.858136094674556</v>
      </c>
      <c r="H588" s="75">
        <f>'THAM_SO_MOI'!$D$49</f>
        <v>3.1625000000000005</v>
      </c>
      <c r="I588" s="75">
        <f>IF(F588&gt;'THAM_SO_MOI'!$C$14,'THAM_SO_MOI'!$C$13*(1+F588^2/1500),'THAM_SO_MOI'!$C$13)</f>
        <v>0.015</v>
      </c>
      <c r="J588" s="75">
        <f>'THAM_SO_MOI'!$C$40*('THAM_SO_MOI'!$C$23*(E588/'THAM_SO_MOI'!$C$22)+'THAM_SO_MOI'!$C$24*(E588/'THAM_SO_MOI'!$C$22)^2-'THAM_SO_MOI'!$C$25*(E588/'THAM_SO_MOI'!$C$22)^3)</f>
        <v>94.96537693743498</v>
      </c>
      <c r="K588" s="75">
        <f>'THAM_SO_MOI'!$C$31*J588/E588</f>
        <v>429.97092082157565</v>
      </c>
      <c r="L588" s="75">
        <f>K588*'THAM_SO_MOI'!$C$49*'THAM_SO_MOI'!$C$17/'THAM_SO_MOI'!$C$26</f>
        <v>24510.503277441432</v>
      </c>
      <c r="M588" s="75">
        <f>'THAM_SO_MOI'!$C$15*'THAM_SO_MOI'!$C$16*F588^2</f>
        <v>31.736112696487954</v>
      </c>
      <c r="N588" s="75">
        <f>'THAM_SO_MOI'!$C$12*I588</f>
        <v>1130.112</v>
      </c>
      <c r="O588" s="75">
        <f>M588+N588</f>
        <v>1161.848112696488</v>
      </c>
      <c r="P588" s="75">
        <f>(MIN(L588,'THAM_SO_MOI'!$C$41)-O588)/('THAM_SO_MOI'!$C$11*H588)</f>
        <v>0.9613247350438463</v>
      </c>
      <c r="Q588" s="75">
        <f>IF(P588&gt;0,1/P588,NA())</f>
        <v>1.0402312179706785</v>
      </c>
      <c r="R588" s="75">
        <f>F588-F587</f>
        <v>0.0035133136094671613</v>
      </c>
      <c r="S588" s="75">
        <f>0.5*(Q587+Q588)*R588</f>
        <v>0.003654709967960224</v>
      </c>
      <c r="T588" s="75">
        <f>0.5*(F587*Q587+F588*Q588)*R588</f>
        <v>0.012031926556955293</v>
      </c>
      <c r="U588" s="76">
        <f>U587+S588</f>
        <v>2.3137610096204693</v>
      </c>
      <c r="V588" s="76">
        <f>V587+T588</f>
        <v>5.158876428657812</v>
      </c>
    </row>
    <row r="589" spans="1:22" ht="19" customHeight="1">
      <c r="A589" s="68" t="s">
        <v>368</v>
      </c>
      <c r="B589" s="74">
        <v>1</v>
      </c>
      <c r="C589" s="68" t="s">
        <v>363</v>
      </c>
      <c r="D589" s="68" t="s">
        <v>364</v>
      </c>
      <c r="E589" s="75">
        <f>60*F589*'THAM_SO_MOI'!$C$49/(2*PI()*'THAM_SO_MOI'!$C$26)</f>
        <v>2111.7499999999995</v>
      </c>
      <c r="F589" s="75">
        <f>'THAM_SO_MOI'!$E$49+('THAM_SO_MOI'!$F$49-'THAM_SO_MOI'!$E$49)*583/'THAM_SO_MOI'!$C$42</f>
        <v>3.2974400065746217</v>
      </c>
      <c r="G589" s="75">
        <f>3.6*F589</f>
        <v>11.870784023668639</v>
      </c>
      <c r="H589" s="75">
        <f>'THAM_SO_MOI'!$D$49</f>
        <v>3.1625000000000005</v>
      </c>
      <c r="I589" s="75">
        <f>IF(F589&gt;'THAM_SO_MOI'!$C$14,'THAM_SO_MOI'!$C$13*(1+F589^2/1500),'THAM_SO_MOI'!$C$13)</f>
        <v>0.015</v>
      </c>
      <c r="J589" s="75">
        <f>'THAM_SO_MOI'!$C$40*('THAM_SO_MOI'!$C$23*(E589/'THAM_SO_MOI'!$C$22)+'THAM_SO_MOI'!$C$24*(E589/'THAM_SO_MOI'!$C$22)^2-'THAM_SO_MOI'!$C$25*(E589/'THAM_SO_MOI'!$C$22)^3)</f>
        <v>95.06937205079237</v>
      </c>
      <c r="K589" s="75">
        <f>'THAM_SO_MOI'!$C$31*J589/E589</f>
        <v>429.98315379729894</v>
      </c>
      <c r="L589" s="75">
        <f>K589*'THAM_SO_MOI'!$C$49*'THAM_SO_MOI'!$C$17/'THAM_SO_MOI'!$C$26</f>
        <v>24511.200618533672</v>
      </c>
      <c r="M589" s="75">
        <f>'THAM_SO_MOI'!$C$15*'THAM_SO_MOI'!$C$16*F589^2</f>
        <v>31.803848496104614</v>
      </c>
      <c r="N589" s="75">
        <f>'THAM_SO_MOI'!$C$12*I589</f>
        <v>1130.112</v>
      </c>
      <c r="O589" s="75">
        <f>M589+N589</f>
        <v>1161.9158484961047</v>
      </c>
      <c r="P589" s="75">
        <f>(MIN(L589,'THAM_SO_MOI'!$C$41)-O589)/('THAM_SO_MOI'!$C$11*H589)</f>
        <v>0.9613506575278971</v>
      </c>
      <c r="Q589" s="75">
        <f>IF(P589&gt;0,1/P589,NA())</f>
        <v>1.04020316849992</v>
      </c>
      <c r="R589" s="75">
        <f>F589-F588</f>
        <v>0.0035133136094671613</v>
      </c>
      <c r="S589" s="75">
        <f>0.5*(Q588+Q589)*R589</f>
        <v>0.0036546092217953088</v>
      </c>
      <c r="T589" s="75">
        <f>0.5*(F588*Q588+F589*Q589)*R589</f>
        <v>0.012044434675630022</v>
      </c>
      <c r="U589" s="76">
        <f>U588+S589</f>
        <v>2.3174156188422645</v>
      </c>
      <c r="V589" s="76">
        <f>V588+T589</f>
        <v>5.170920863333442</v>
      </c>
    </row>
    <row r="590" spans="1:22" ht="19" customHeight="1">
      <c r="A590" s="68" t="s">
        <v>368</v>
      </c>
      <c r="B590" s="74">
        <v>1</v>
      </c>
      <c r="C590" s="68" t="s">
        <v>363</v>
      </c>
      <c r="D590" s="68" t="s">
        <v>364</v>
      </c>
      <c r="E590" s="75">
        <f>60*F590*'THAM_SO_MOI'!$C$49/(2*PI()*'THAM_SO_MOI'!$C$26)</f>
        <v>2114.0</v>
      </c>
      <c r="F590" s="75">
        <f>'THAM_SO_MOI'!$E$49+('THAM_SO_MOI'!$F$49-'THAM_SO_MOI'!$E$49)*584/'THAM_SO_MOI'!$C$42</f>
        <v>3.3009533201840897</v>
      </c>
      <c r="G590" s="75">
        <f>3.6*F590</f>
        <v>11.883431952662724</v>
      </c>
      <c r="H590" s="75">
        <f>'THAM_SO_MOI'!$D$49</f>
        <v>3.1625000000000005</v>
      </c>
      <c r="I590" s="75">
        <f>IF(F590&gt;'THAM_SO_MOI'!$C$14,'THAM_SO_MOI'!$C$13*(1+F590^2/1500),'THAM_SO_MOI'!$C$13)</f>
        <v>0.015</v>
      </c>
      <c r="J590" s="75">
        <f>'THAM_SO_MOI'!$C$40*('THAM_SO_MOI'!$C$23*(E590/'THAM_SO_MOI'!$C$22)+'THAM_SO_MOI'!$C$24*(E590/'THAM_SO_MOI'!$C$22)^2-'THAM_SO_MOI'!$C$25*(E590/'THAM_SO_MOI'!$C$22)^3)</f>
        <v>95.17326422128114</v>
      </c>
      <c r="K590" s="75">
        <f>'THAM_SO_MOI'!$C$31*J590/E590</f>
        <v>429.99489563496354</v>
      </c>
      <c r="L590" s="75">
        <f>K590*'THAM_SO_MOI'!$C$49*'THAM_SO_MOI'!$C$17/'THAM_SO_MOI'!$C$26</f>
        <v>24511.86996228839</v>
      </c>
      <c r="M590" s="75">
        <f>'THAM_SO_MOI'!$C$15*'THAM_SO_MOI'!$C$16*F590^2</f>
        <v>31.87165650445052</v>
      </c>
      <c r="N590" s="75">
        <f>'THAM_SO_MOI'!$C$12*I590</f>
        <v>1130.112</v>
      </c>
      <c r="O590" s="75">
        <f>M590+N590</f>
        <v>1161.9836565044507</v>
      </c>
      <c r="P590" s="75">
        <f>(MIN(L590,'THAM_SO_MOI'!$C$41)-O590)/('THAM_SO_MOI'!$C$11*H590)</f>
        <v>0.9613754243158735</v>
      </c>
      <c r="Q590" s="75">
        <f>IF(P590&gt;0,1/P590,NA())</f>
        <v>1.0401763709651848</v>
      </c>
      <c r="R590" s="75">
        <f>F590-F589</f>
        <v>0.0035133136094680495</v>
      </c>
      <c r="S590" s="75">
        <f>0.5*(Q589+Q590)*R590</f>
        <v>0.003654512874430813</v>
      </c>
      <c r="T590" s="75">
        <f>0.5*(F589*Q589+F590*Q590)*R590</f>
        <v>0.012056956598906047</v>
      </c>
      <c r="U590" s="76">
        <f>U589+S590</f>
        <v>2.3210701317166955</v>
      </c>
      <c r="V590" s="76">
        <f>V589+T590</f>
        <v>5.182977819932348</v>
      </c>
    </row>
    <row r="591" spans="1:22" ht="19" customHeight="1">
      <c r="A591" s="68" t="s">
        <v>368</v>
      </c>
      <c r="B591" s="74">
        <v>1</v>
      </c>
      <c r="C591" s="68" t="s">
        <v>363</v>
      </c>
      <c r="D591" s="68" t="s">
        <v>364</v>
      </c>
      <c r="E591" s="75">
        <f>60*F591*'THAM_SO_MOI'!$C$49/(2*PI()*'THAM_SO_MOI'!$C$26)</f>
        <v>2116.2499999999995</v>
      </c>
      <c r="F591" s="75">
        <f>'THAM_SO_MOI'!$E$49+('THAM_SO_MOI'!$F$49-'THAM_SO_MOI'!$E$49)*585/'THAM_SO_MOI'!$C$42</f>
        <v>3.304466633793557</v>
      </c>
      <c r="G591" s="75">
        <f>3.6*F591</f>
        <v>11.896079881656805</v>
      </c>
      <c r="H591" s="75">
        <f>'THAM_SO_MOI'!$D$49</f>
        <v>3.1625000000000005</v>
      </c>
      <c r="I591" s="75">
        <f>IF(F591&gt;'THAM_SO_MOI'!$C$14,'THAM_SO_MOI'!$C$13*(1+F591^2/1500),'THAM_SO_MOI'!$C$13)</f>
        <v>0.015</v>
      </c>
      <c r="J591" s="75">
        <f>'THAM_SO_MOI'!$C$40*('THAM_SO_MOI'!$C$23*(E591/'THAM_SO_MOI'!$C$22)+'THAM_SO_MOI'!$C$24*(E591/'THAM_SO_MOI'!$C$22)^2-'THAM_SO_MOI'!$C$25*(E591/'THAM_SO_MOI'!$C$22)^3)</f>
        <v>95.27705310180167</v>
      </c>
      <c r="K591" s="75">
        <f>'THAM_SO_MOI'!$C$31*J591/E591</f>
        <v>430.00614633456917</v>
      </c>
      <c r="L591" s="75">
        <f>K591*'THAM_SO_MOI'!$C$49*'THAM_SO_MOI'!$C$17/'THAM_SO_MOI'!$C$26</f>
        <v>24512.511308705565</v>
      </c>
      <c r="M591" s="75">
        <f>'THAM_SO_MOI'!$C$15*'THAM_SO_MOI'!$C$16*F591^2</f>
        <v>31.93953672152565</v>
      </c>
      <c r="N591" s="75">
        <f>'THAM_SO_MOI'!$C$12*I591</f>
        <v>1130.112</v>
      </c>
      <c r="O591" s="75">
        <f>M591+N591</f>
        <v>1162.0515367215257</v>
      </c>
      <c r="P591" s="75">
        <f>(MIN(L591,'THAM_SO_MOI'!$C$41)-O591)/('THAM_SO_MOI'!$C$11*H591)</f>
        <v>0.9613990354077748</v>
      </c>
      <c r="Q591" s="75">
        <f>IF(P591&gt;0,1/P591,NA())</f>
        <v>1.0401508251730798</v>
      </c>
      <c r="R591" s="75">
        <f>F591-F590</f>
        <v>0.0035133136094671613</v>
      </c>
      <c r="S591" s="75">
        <f>0.5*(Q590+Q591)*R591</f>
        <v>0.0036544209251686125</v>
      </c>
      <c r="T591" s="75">
        <f>0.5*(F590*Q590+F591*Q591)*R591</f>
        <v>0.012069492370840797</v>
      </c>
      <c r="U591" s="76">
        <f>U590+S591</f>
        <v>2.324724552641864</v>
      </c>
      <c r="V591" s="76">
        <f>V590+T591</f>
        <v>5.195047312303188</v>
      </c>
    </row>
    <row r="592" spans="1:22" ht="19" customHeight="1">
      <c r="A592" s="68" t="s">
        <v>368</v>
      </c>
      <c r="B592" s="74">
        <v>1</v>
      </c>
      <c r="C592" s="68" t="s">
        <v>363</v>
      </c>
      <c r="D592" s="68" t="s">
        <v>364</v>
      </c>
      <c r="E592" s="75">
        <f>60*F592*'THAM_SO_MOI'!$C$49/(2*PI()*'THAM_SO_MOI'!$C$26)</f>
        <v>2118.4999999999995</v>
      </c>
      <c r="F592" s="75">
        <f>'THAM_SO_MOI'!$E$49+('THAM_SO_MOI'!$F$49-'THAM_SO_MOI'!$E$49)*586/'THAM_SO_MOI'!$C$42</f>
        <v>3.307979947403024</v>
      </c>
      <c r="G592" s="75">
        <f>3.6*F592</f>
        <v>11.908727810650888</v>
      </c>
      <c r="H592" s="75">
        <f>'THAM_SO_MOI'!$D$49</f>
        <v>3.1625000000000005</v>
      </c>
      <c r="I592" s="75">
        <f>IF(F592&gt;'THAM_SO_MOI'!$C$14,'THAM_SO_MOI'!$C$13*(1+F592^2/1500),'THAM_SO_MOI'!$C$13)</f>
        <v>0.015</v>
      </c>
      <c r="J592" s="75">
        <f>'THAM_SO_MOI'!$C$40*('THAM_SO_MOI'!$C$23*(E592/'THAM_SO_MOI'!$C$22)+'THAM_SO_MOI'!$C$24*(E592/'THAM_SO_MOI'!$C$22)^2-'THAM_SO_MOI'!$C$25*(E592/'THAM_SO_MOI'!$C$22)^3)</f>
        <v>95.3807383452545</v>
      </c>
      <c r="K592" s="75">
        <f>'THAM_SO_MOI'!$C$31*J592/E592</f>
        <v>430.0169058961161</v>
      </c>
      <c r="L592" s="75">
        <f>K592*'THAM_SO_MOI'!$C$49*'THAM_SO_MOI'!$C$17/'THAM_SO_MOI'!$C$26</f>
        <v>24513.124657785207</v>
      </c>
      <c r="M592" s="75">
        <f>'THAM_SO_MOI'!$C$15*'THAM_SO_MOI'!$C$16*F592^2</f>
        <v>32.007489147330006</v>
      </c>
      <c r="N592" s="75">
        <f>'THAM_SO_MOI'!$C$12*I592</f>
        <v>1130.112</v>
      </c>
      <c r="O592" s="75">
        <f>M592+N592</f>
        <v>1162.1194891473301</v>
      </c>
      <c r="P592" s="75">
        <f>(MIN(L592,'THAM_SO_MOI'!$C$41)-O592)/('THAM_SO_MOI'!$C$11*H592)</f>
        <v>0.9614214908036015</v>
      </c>
      <c r="Q592" s="75">
        <f>IF(P592&gt;0,1/P592,NA())</f>
        <v>1.0401265309392582</v>
      </c>
      <c r="R592" s="75">
        <f>F592-F591</f>
        <v>0.0035133136094671613</v>
      </c>
      <c r="S592" s="75">
        <f>0.5*(Q591+Q592)*R592</f>
        <v>0.0036543333733479208</v>
      </c>
      <c r="T592" s="75">
        <f>0.5*(F591*Q591+F592*Q592)*R592</f>
        <v>0.012082042035605318</v>
      </c>
      <c r="U592" s="76">
        <f>U591+S592</f>
        <v>2.328378886015212</v>
      </c>
      <c r="V592" s="76">
        <f>V591+T592</f>
        <v>5.207129354338794</v>
      </c>
    </row>
    <row r="593" spans="1:22" ht="19" customHeight="1">
      <c r="A593" s="68" t="s">
        <v>368</v>
      </c>
      <c r="B593" s="74">
        <v>1</v>
      </c>
      <c r="C593" s="68" t="s">
        <v>363</v>
      </c>
      <c r="D593" s="68" t="s">
        <v>364</v>
      </c>
      <c r="E593" s="75">
        <f>60*F593*'THAM_SO_MOI'!$C$49/(2*PI()*'THAM_SO_MOI'!$C$26)</f>
        <v>2120.75</v>
      </c>
      <c r="F593" s="75">
        <f>'THAM_SO_MOI'!$E$49+('THAM_SO_MOI'!$F$49-'THAM_SO_MOI'!$E$49)*587/'THAM_SO_MOI'!$C$42</f>
        <v>3.311493261012492</v>
      </c>
      <c r="G593" s="75">
        <f>3.6*F593</f>
        <v>11.921375739644972</v>
      </c>
      <c r="H593" s="75">
        <f>'THAM_SO_MOI'!$D$49</f>
        <v>3.1625000000000005</v>
      </c>
      <c r="I593" s="75">
        <f>IF(F593&gt;'THAM_SO_MOI'!$C$14,'THAM_SO_MOI'!$C$13*(1+F593^2/1500),'THAM_SO_MOI'!$C$13)</f>
        <v>0.015</v>
      </c>
      <c r="J593" s="75">
        <f>'THAM_SO_MOI'!$C$40*('THAM_SO_MOI'!$C$23*(E593/'THAM_SO_MOI'!$C$22)+'THAM_SO_MOI'!$C$24*(E593/'THAM_SO_MOI'!$C$22)^2-'THAM_SO_MOI'!$C$25*(E593/'THAM_SO_MOI'!$C$22)^3)</f>
        <v>95.48431960454008</v>
      </c>
      <c r="K593" s="75">
        <f>'THAM_SO_MOI'!$C$31*J593/E593</f>
        <v>430.0271743196042</v>
      </c>
      <c r="L593" s="75">
        <f>K593*'THAM_SO_MOI'!$C$49*'THAM_SO_MOI'!$C$17/'THAM_SO_MOI'!$C$26</f>
        <v>24513.71000952732</v>
      </c>
      <c r="M593" s="75">
        <f>'THAM_SO_MOI'!$C$15*'THAM_SO_MOI'!$C$16*F593^2</f>
        <v>32.07551378186361</v>
      </c>
      <c r="N593" s="75">
        <f>'THAM_SO_MOI'!$C$12*I593</f>
        <v>1130.112</v>
      </c>
      <c r="O593" s="75">
        <f>M593+N593</f>
        <v>1162.1875137818638</v>
      </c>
      <c r="P593" s="75">
        <f>(MIN(L593,'THAM_SO_MOI'!$C$41)-O593)/('THAM_SO_MOI'!$C$11*H593)</f>
        <v>0.9614427905033536</v>
      </c>
      <c r="Q593" s="75">
        <f>IF(P593&gt;0,1/P593,NA())</f>
        <v>1.040103488088418</v>
      </c>
      <c r="R593" s="75">
        <f>F593-F592</f>
        <v>0.0035133136094680495</v>
      </c>
      <c r="S593" s="75">
        <f>0.5*(Q592+Q593)*R593</f>
        <v>0.003654250218336957</v>
      </c>
      <c r="T593" s="75">
        <f>0.5*(F592*Q592+F593*Q593)*R593</f>
        <v>0.012094605637457397</v>
      </c>
      <c r="U593" s="76">
        <f>U592+S593</f>
        <v>2.332033136233549</v>
      </c>
      <c r="V593" s="76">
        <f>V592+T593</f>
        <v>5.219223959976252</v>
      </c>
    </row>
    <row r="594" spans="1:22" ht="19" customHeight="1">
      <c r="A594" s="68" t="s">
        <v>368</v>
      </c>
      <c r="B594" s="74">
        <v>1</v>
      </c>
      <c r="C594" s="68" t="s">
        <v>363</v>
      </c>
      <c r="D594" s="68" t="s">
        <v>364</v>
      </c>
      <c r="E594" s="75">
        <f>60*F594*'THAM_SO_MOI'!$C$49/(2*PI()*'THAM_SO_MOI'!$C$26)</f>
        <v>2123.0</v>
      </c>
      <c r="F594" s="75">
        <f>'THAM_SO_MOI'!$E$49+('THAM_SO_MOI'!$F$49-'THAM_SO_MOI'!$E$49)*588/'THAM_SO_MOI'!$C$42</f>
        <v>3.3150065746219592</v>
      </c>
      <c r="G594" s="75">
        <f>3.6*F594</f>
        <v>11.934023668639053</v>
      </c>
      <c r="H594" s="75">
        <f>'THAM_SO_MOI'!$D$49</f>
        <v>3.1625000000000005</v>
      </c>
      <c r="I594" s="75">
        <f>IF(F594&gt;'THAM_SO_MOI'!$C$14,'THAM_SO_MOI'!$C$13*(1+F594^2/1500),'THAM_SO_MOI'!$C$13)</f>
        <v>0.015</v>
      </c>
      <c r="J594" s="75">
        <f>'THAM_SO_MOI'!$C$40*('THAM_SO_MOI'!$C$23*(E594/'THAM_SO_MOI'!$C$22)+'THAM_SO_MOI'!$C$24*(E594/'THAM_SO_MOI'!$C$22)^2-'THAM_SO_MOI'!$C$25*(E594/'THAM_SO_MOI'!$C$22)^3)</f>
        <v>95.58779653255881</v>
      </c>
      <c r="K594" s="75">
        <f>'THAM_SO_MOI'!$C$31*J594/E594</f>
        <v>430.0369516050336</v>
      </c>
      <c r="L594" s="75">
        <f>K594*'THAM_SO_MOI'!$C$49*'THAM_SO_MOI'!$C$17/'THAM_SO_MOI'!$C$26</f>
        <v>24514.267363931896</v>
      </c>
      <c r="M594" s="75">
        <f>'THAM_SO_MOI'!$C$15*'THAM_SO_MOI'!$C$16*F594^2</f>
        <v>32.143610625126435</v>
      </c>
      <c r="N594" s="75">
        <f>'THAM_SO_MOI'!$C$12*I594</f>
        <v>1130.112</v>
      </c>
      <c r="O594" s="75">
        <f>M594+N594</f>
        <v>1162.2556106251266</v>
      </c>
      <c r="P594" s="75">
        <f>(MIN(L594,'THAM_SO_MOI'!$C$41)-O594)/('THAM_SO_MOI'!$C$11*H594)</f>
        <v>0.9614629345070308</v>
      </c>
      <c r="Q594" s="75">
        <f>IF(P594&gt;0,1/P594,NA())</f>
        <v>1.0400816964542978</v>
      </c>
      <c r="R594" s="75">
        <f>F594-F593</f>
        <v>0.0035133136094671613</v>
      </c>
      <c r="S594" s="75">
        <f>0.5*(Q593+Q594)*R594</f>
        <v>0.0036541714595329402</v>
      </c>
      <c r="T594" s="75">
        <f>0.5*(F593*Q593+F594*Q594)*R594</f>
        <v>0.012107183220742003</v>
      </c>
      <c r="U594" s="76">
        <f>U593+S594</f>
        <v>2.3356873076930817</v>
      </c>
      <c r="V594" s="76">
        <f>V593+T594</f>
        <v>5.231331143196994</v>
      </c>
    </row>
    <row r="595" spans="1:22" ht="19" customHeight="1">
      <c r="A595" s="68" t="s">
        <v>368</v>
      </c>
      <c r="B595" s="74">
        <v>1</v>
      </c>
      <c r="C595" s="68" t="s">
        <v>363</v>
      </c>
      <c r="D595" s="68" t="s">
        <v>364</v>
      </c>
      <c r="E595" s="75">
        <f>60*F595*'THAM_SO_MOI'!$C$49/(2*PI()*'THAM_SO_MOI'!$C$26)</f>
        <v>2125.2499999999995</v>
      </c>
      <c r="F595" s="75">
        <f>'THAM_SO_MOI'!$E$49+('THAM_SO_MOI'!$F$49-'THAM_SO_MOI'!$E$49)*589/'THAM_SO_MOI'!$C$42</f>
        <v>3.3185198882314264</v>
      </c>
      <c r="G595" s="75">
        <f>3.6*F595</f>
        <v>11.946671597633136</v>
      </c>
      <c r="H595" s="75">
        <f>'THAM_SO_MOI'!$D$49</f>
        <v>3.1625000000000005</v>
      </c>
      <c r="I595" s="75">
        <f>IF(F595&gt;'THAM_SO_MOI'!$C$14,'THAM_SO_MOI'!$C$13*(1+F595^2/1500),'THAM_SO_MOI'!$C$13)</f>
        <v>0.015</v>
      </c>
      <c r="J595" s="75">
        <f>'THAM_SO_MOI'!$C$40*('THAM_SO_MOI'!$C$23*(E595/'THAM_SO_MOI'!$C$22)+'THAM_SO_MOI'!$C$24*(E595/'THAM_SO_MOI'!$C$22)^2-'THAM_SO_MOI'!$C$25*(E595/'THAM_SO_MOI'!$C$22)^3)</f>
        <v>95.69116878221118</v>
      </c>
      <c r="K595" s="75">
        <f>'THAM_SO_MOI'!$C$31*J595/E595</f>
        <v>430.04623775240424</v>
      </c>
      <c r="L595" s="75">
        <f>K595*'THAM_SO_MOI'!$C$49*'THAM_SO_MOI'!$C$17/'THAM_SO_MOI'!$C$26</f>
        <v>24514.79672099895</v>
      </c>
      <c r="M595" s="75">
        <f>'THAM_SO_MOI'!$C$15*'THAM_SO_MOI'!$C$16*F595^2</f>
        <v>32.21177967711849</v>
      </c>
      <c r="N595" s="75">
        <f>'THAM_SO_MOI'!$C$12*I595</f>
        <v>1130.112</v>
      </c>
      <c r="O595" s="75">
        <f>M595+N595</f>
        <v>1162.3237796771186</v>
      </c>
      <c r="P595" s="75">
        <f>(MIN(L595,'THAM_SO_MOI'!$C$41)-O595)/('THAM_SO_MOI'!$C$11*H595)</f>
        <v>0.9614819228146338</v>
      </c>
      <c r="Q595" s="75">
        <f>IF(P595&gt;0,1/P595,NA())</f>
        <v>1.0400611558796744</v>
      </c>
      <c r="R595" s="75">
        <f>F595-F594</f>
        <v>0.0035133136094671613</v>
      </c>
      <c r="S595" s="75">
        <f>0.5*(Q594+Q595)*R595</f>
        <v>0.003654097096370392</v>
      </c>
      <c r="T595" s="75">
        <f>0.5*(F594*Q594+F595*Q595)*R595</f>
        <v>0.012119774829919367</v>
      </c>
      <c r="U595" s="76">
        <f>U594+S595</f>
        <v>2.3393414047894523</v>
      </c>
      <c r="V595" s="76">
        <f>V594+T595</f>
        <v>5.243450918026913</v>
      </c>
    </row>
    <row r="596" spans="1:22" ht="19" customHeight="1">
      <c r="A596" s="68" t="s">
        <v>368</v>
      </c>
      <c r="B596" s="74">
        <v>1</v>
      </c>
      <c r="C596" s="68" t="s">
        <v>363</v>
      </c>
      <c r="D596" s="68" t="s">
        <v>364</v>
      </c>
      <c r="E596" s="75">
        <f>60*F596*'THAM_SO_MOI'!$C$49/(2*PI()*'THAM_SO_MOI'!$C$26)</f>
        <v>2127.5</v>
      </c>
      <c r="F596" s="75">
        <f>'THAM_SO_MOI'!$E$49+('THAM_SO_MOI'!$F$49-'THAM_SO_MOI'!$E$49)*590/'THAM_SO_MOI'!$C$42</f>
        <v>3.3220332018408945</v>
      </c>
      <c r="G596" s="75">
        <f>3.6*F596</f>
        <v>11.95931952662722</v>
      </c>
      <c r="H596" s="75">
        <f>'THAM_SO_MOI'!$D$49</f>
        <v>3.1625000000000005</v>
      </c>
      <c r="I596" s="75">
        <f>IF(F596&gt;'THAM_SO_MOI'!$C$14,'THAM_SO_MOI'!$C$13*(1+F596^2/1500),'THAM_SO_MOI'!$C$13)</f>
        <v>0.015</v>
      </c>
      <c r="J596" s="75">
        <f>'THAM_SO_MOI'!$C$40*('THAM_SO_MOI'!$C$23*(E596/'THAM_SO_MOI'!$C$22)+'THAM_SO_MOI'!$C$24*(E596/'THAM_SO_MOI'!$C$22)^2-'THAM_SO_MOI'!$C$25*(E596/'THAM_SO_MOI'!$C$22)^3)</f>
        <v>95.79443600639767</v>
      </c>
      <c r="K596" s="75">
        <f>'THAM_SO_MOI'!$C$31*J596/E596</f>
        <v>430.05503276171606</v>
      </c>
      <c r="L596" s="75">
        <f>K596*'THAM_SO_MOI'!$C$49*'THAM_SO_MOI'!$C$17/'THAM_SO_MOI'!$C$26</f>
        <v>24515.298080728466</v>
      </c>
      <c r="M596" s="75">
        <f>'THAM_SO_MOI'!$C$15*'THAM_SO_MOI'!$C$16*F596^2</f>
        <v>32.2800209378398</v>
      </c>
      <c r="N596" s="75">
        <f>'THAM_SO_MOI'!$C$12*I596</f>
        <v>1130.112</v>
      </c>
      <c r="O596" s="75">
        <f>M596+N596</f>
        <v>1162.3920209378398</v>
      </c>
      <c r="P596" s="75">
        <f>(MIN(L596,'THAM_SO_MOI'!$C$41)-O596)/('THAM_SO_MOI'!$C$11*H596)</f>
        <v>0.961499755426162</v>
      </c>
      <c r="Q596" s="75">
        <f>IF(P596&gt;0,1/P596,NA())</f>
        <v>1.0400418662163609</v>
      </c>
      <c r="R596" s="75">
        <f>F596-F595</f>
        <v>0.0035133136094680495</v>
      </c>
      <c r="S596" s="75">
        <f>0.5*(Q595+Q596)*R596</f>
        <v>0.0036540271283128103</v>
      </c>
      <c r="T596" s="75">
        <f>0.5*(F595*Q595+F596*Q596)*R596</f>
        <v>0.012132380509537985</v>
      </c>
      <c r="U596" s="76">
        <f>U595+S596</f>
        <v>2.3429954319177653</v>
      </c>
      <c r="V596" s="76">
        <f>V595+T596</f>
        <v>5.255583298536451</v>
      </c>
    </row>
    <row r="597" spans="1:22" ht="19" customHeight="1">
      <c r="A597" s="68" t="s">
        <v>368</v>
      </c>
      <c r="B597" s="74">
        <v>1</v>
      </c>
      <c r="C597" s="68" t="s">
        <v>363</v>
      </c>
      <c r="D597" s="68" t="s">
        <v>364</v>
      </c>
      <c r="E597" s="75">
        <f>60*F597*'THAM_SO_MOI'!$C$49/(2*PI()*'THAM_SO_MOI'!$C$26)</f>
        <v>2129.7499999999995</v>
      </c>
      <c r="F597" s="75">
        <f>'THAM_SO_MOI'!$E$49+('THAM_SO_MOI'!$F$49-'THAM_SO_MOI'!$E$49)*591/'THAM_SO_MOI'!$C$42</f>
        <v>3.3255465154503616</v>
      </c>
      <c r="G597" s="75">
        <f>3.6*F597</f>
        <v>11.971967455621302</v>
      </c>
      <c r="H597" s="75">
        <f>'THAM_SO_MOI'!$D$49</f>
        <v>3.1625000000000005</v>
      </c>
      <c r="I597" s="75">
        <f>IF(F597&gt;'THAM_SO_MOI'!$C$14,'THAM_SO_MOI'!$C$13*(1+F597^2/1500),'THAM_SO_MOI'!$C$13)</f>
        <v>0.015</v>
      </c>
      <c r="J597" s="75">
        <f>'THAM_SO_MOI'!$C$40*('THAM_SO_MOI'!$C$23*(E597/'THAM_SO_MOI'!$C$22)+'THAM_SO_MOI'!$C$24*(E597/'THAM_SO_MOI'!$C$22)^2-'THAM_SO_MOI'!$C$25*(E597/'THAM_SO_MOI'!$C$22)^3)</f>
        <v>95.89759785801864</v>
      </c>
      <c r="K597" s="75">
        <f>'THAM_SO_MOI'!$C$31*J597/E597</f>
        <v>430.06333663296897</v>
      </c>
      <c r="L597" s="75">
        <f>K597*'THAM_SO_MOI'!$C$49*'THAM_SO_MOI'!$C$17/'THAM_SO_MOI'!$C$26</f>
        <v>24515.771443120437</v>
      </c>
      <c r="M597" s="75">
        <f>'THAM_SO_MOI'!$C$15*'THAM_SO_MOI'!$C$16*F597^2</f>
        <v>32.348334407290324</v>
      </c>
      <c r="N597" s="75">
        <f>'THAM_SO_MOI'!$C$12*I597</f>
        <v>1130.112</v>
      </c>
      <c r="O597" s="75">
        <f>M597+N597</f>
        <v>1162.4603344072905</v>
      </c>
      <c r="P597" s="75">
        <f>(MIN(L597,'THAM_SO_MOI'!$C$41)-O597)/('THAM_SO_MOI'!$C$11*H597)</f>
        <v>0.9615164323416148</v>
      </c>
      <c r="Q597" s="75">
        <f>IF(P597&gt;0,1/P597,NA())</f>
        <v>1.0400238273252023</v>
      </c>
      <c r="R597" s="75">
        <f>F597-F596</f>
        <v>0.0035133136094671613</v>
      </c>
      <c r="S597" s="75">
        <f>0.5*(Q596+Q597)*R597</f>
        <v>0.0036539615548526615</v>
      </c>
      <c r="T597" s="75">
        <f>0.5*(F596*Q596+F597*Q597)*R597</f>
        <v>0.0121450003042351</v>
      </c>
      <c r="U597" s="76">
        <f>U596+S597</f>
        <v>2.346649393472618</v>
      </c>
      <c r="V597" s="76">
        <f>V596+T597</f>
        <v>5.267728298840686</v>
      </c>
    </row>
    <row r="598" spans="1:22" ht="19" customHeight="1">
      <c r="A598" s="68" t="s">
        <v>368</v>
      </c>
      <c r="B598" s="74">
        <v>1</v>
      </c>
      <c r="C598" s="68" t="s">
        <v>363</v>
      </c>
      <c r="D598" s="68" t="s">
        <v>364</v>
      </c>
      <c r="E598" s="75">
        <f>60*F598*'THAM_SO_MOI'!$C$49/(2*PI()*'THAM_SO_MOI'!$C$26)</f>
        <v>2131.9999999999995</v>
      </c>
      <c r="F598" s="75">
        <f>'THAM_SO_MOI'!$E$49+('THAM_SO_MOI'!$F$49-'THAM_SO_MOI'!$E$49)*592/'THAM_SO_MOI'!$C$42</f>
        <v>3.329059829059829</v>
      </c>
      <c r="G598" s="75">
        <f>3.6*F598</f>
        <v>11.984615384615385</v>
      </c>
      <c r="H598" s="75">
        <f>'THAM_SO_MOI'!$D$49</f>
        <v>3.1625000000000005</v>
      </c>
      <c r="I598" s="75">
        <f>IF(F598&gt;'THAM_SO_MOI'!$C$14,'THAM_SO_MOI'!$C$13*(1+F598^2/1500),'THAM_SO_MOI'!$C$13)</f>
        <v>0.015</v>
      </c>
      <c r="J598" s="75">
        <f>'THAM_SO_MOI'!$C$40*('THAM_SO_MOI'!$C$23*(E598/'THAM_SO_MOI'!$C$22)+'THAM_SO_MOI'!$C$24*(E598/'THAM_SO_MOI'!$C$22)^2-'THAM_SO_MOI'!$C$25*(E598/'THAM_SO_MOI'!$C$22)^3)</f>
        <v>96.00065398997468</v>
      </c>
      <c r="K598" s="75">
        <f>'THAM_SO_MOI'!$C$31*J598/E598</f>
        <v>430.0711493661633</v>
      </c>
      <c r="L598" s="75">
        <f>K598*'THAM_SO_MOI'!$C$49*'THAM_SO_MOI'!$C$17/'THAM_SO_MOI'!$C$26</f>
        <v>24516.216808174893</v>
      </c>
      <c r="M598" s="75">
        <f>'THAM_SO_MOI'!$C$15*'THAM_SO_MOI'!$C$16*F598^2</f>
        <v>32.41672008547008</v>
      </c>
      <c r="N598" s="75">
        <f>'THAM_SO_MOI'!$C$12*I598</f>
        <v>1130.112</v>
      </c>
      <c r="O598" s="75">
        <f>M598+N598</f>
        <v>1162.5287200854702</v>
      </c>
      <c r="P598" s="75">
        <f>(MIN(L598,'THAM_SO_MOI'!$C$41)-O598)/('THAM_SO_MOI'!$C$11*H598)</f>
        <v>0.9615319535609937</v>
      </c>
      <c r="Q598" s="75">
        <f>IF(P598&gt;0,1/P598,NA())</f>
        <v>1.0400070390760716</v>
      </c>
      <c r="R598" s="75">
        <f>F598-F597</f>
        <v>0.0035133136094671613</v>
      </c>
      <c r="S598" s="75">
        <f>0.5*(Q597+Q598)*R598</f>
        <v>0.0036539003755196833</v>
      </c>
      <c r="T598" s="75">
        <f>0.5*(F597*Q597+F598*Q598)*R598</f>
        <v>0.012157634258764823</v>
      </c>
      <c r="U598" s="76">
        <f>U597+S598</f>
        <v>2.3503032938481376</v>
      </c>
      <c r="V598" s="76">
        <f>V597+T598</f>
        <v>5.279885933099451</v>
      </c>
    </row>
    <row r="599" spans="1:22" ht="19" customHeight="1">
      <c r="A599" s="68" t="s">
        <v>368</v>
      </c>
      <c r="B599" s="74">
        <v>1</v>
      </c>
      <c r="C599" s="68" t="s">
        <v>363</v>
      </c>
      <c r="D599" s="68" t="s">
        <v>364</v>
      </c>
      <c r="E599" s="75">
        <f>60*F599*'THAM_SO_MOI'!$C$49/(2*PI()*'THAM_SO_MOI'!$C$26)</f>
        <v>2134.25</v>
      </c>
      <c r="F599" s="75">
        <f>'THAM_SO_MOI'!$E$49+('THAM_SO_MOI'!$F$49-'THAM_SO_MOI'!$E$49)*593/'THAM_SO_MOI'!$C$42</f>
        <v>3.332573142669297</v>
      </c>
      <c r="G599" s="75">
        <f>3.6*F599</f>
        <v>11.99726331360947</v>
      </c>
      <c r="H599" s="75">
        <f>'THAM_SO_MOI'!$D$49</f>
        <v>3.1625000000000005</v>
      </c>
      <c r="I599" s="75">
        <f>IF(F599&gt;'THAM_SO_MOI'!$C$14,'THAM_SO_MOI'!$C$13*(1+F599^2/1500),'THAM_SO_MOI'!$C$13)</f>
        <v>0.015</v>
      </c>
      <c r="J599" s="75">
        <f>'THAM_SO_MOI'!$C$40*('THAM_SO_MOI'!$C$23*(E599/'THAM_SO_MOI'!$C$22)+'THAM_SO_MOI'!$C$24*(E599/'THAM_SO_MOI'!$C$22)^2-'THAM_SO_MOI'!$C$25*(E599/'THAM_SO_MOI'!$C$22)^3)</f>
        <v>96.10360405516619</v>
      </c>
      <c r="K599" s="75">
        <f>'THAM_SO_MOI'!$C$31*J599/E599</f>
        <v>430.07847096129876</v>
      </c>
      <c r="L599" s="75">
        <f>K599*'THAM_SO_MOI'!$C$49*'THAM_SO_MOI'!$C$17/'THAM_SO_MOI'!$C$26</f>
        <v>24516.634175891813</v>
      </c>
      <c r="M599" s="75">
        <f>'THAM_SO_MOI'!$C$15*'THAM_SO_MOI'!$C$16*F599^2</f>
        <v>32.48517797237909</v>
      </c>
      <c r="N599" s="75">
        <f>'THAM_SO_MOI'!$C$12*I599</f>
        <v>1130.112</v>
      </c>
      <c r="O599" s="75">
        <f>M599+N599</f>
        <v>1162.597177972379</v>
      </c>
      <c r="P599" s="75">
        <f>(MIN(L599,'THAM_SO_MOI'!$C$41)-O599)/('THAM_SO_MOI'!$C$11*H599)</f>
        <v>0.961546319084298</v>
      </c>
      <c r="Q599" s="75">
        <f>IF(P599&gt;0,1/P599,NA())</f>
        <v>1.0399915013478729</v>
      </c>
      <c r="R599" s="75">
        <f>F599-F598</f>
        <v>0.0035133136094680495</v>
      </c>
      <c r="S599" s="75">
        <f>0.5*(Q598+Q599)*R599</f>
        <v>0.0036538435898725618</v>
      </c>
      <c r="T599" s="75">
        <f>0.5*(F598*Q598+F599*Q599)*R599</f>
        <v>0.012170282417971093</v>
      </c>
      <c r="U599" s="76">
        <f>U598+S599</f>
        <v>2.35395713743801</v>
      </c>
      <c r="V599" s="76">
        <f>V598+T599</f>
        <v>5.292056215517422</v>
      </c>
    </row>
    <row r="600" spans="1:22" ht="19" customHeight="1">
      <c r="A600" s="68" t="s">
        <v>368</v>
      </c>
      <c r="B600" s="74">
        <v>1</v>
      </c>
      <c r="C600" s="68" t="s">
        <v>363</v>
      </c>
      <c r="D600" s="68" t="s">
        <v>364</v>
      </c>
      <c r="E600" s="75">
        <f>60*F600*'THAM_SO_MOI'!$C$49/(2*PI()*'THAM_SO_MOI'!$C$26)</f>
        <v>2136.4999999999995</v>
      </c>
      <c r="F600" s="75">
        <f>'THAM_SO_MOI'!$E$49+('THAM_SO_MOI'!$F$49-'THAM_SO_MOI'!$E$49)*594/'THAM_SO_MOI'!$C$42</f>
        <v>3.336086456278764</v>
      </c>
      <c r="G600" s="75">
        <f>3.6*F600</f>
        <v>12.00991124260355</v>
      </c>
      <c r="H600" s="75">
        <f>'THAM_SO_MOI'!$D$49</f>
        <v>3.1625000000000005</v>
      </c>
      <c r="I600" s="75">
        <f>IF(F600&gt;'THAM_SO_MOI'!$C$14,'THAM_SO_MOI'!$C$13*(1+F600^2/1500),'THAM_SO_MOI'!$C$13)</f>
        <v>0.015</v>
      </c>
      <c r="J600" s="75">
        <f>'THAM_SO_MOI'!$C$40*('THAM_SO_MOI'!$C$23*(E600/'THAM_SO_MOI'!$C$22)+'THAM_SO_MOI'!$C$24*(E600/'THAM_SO_MOI'!$C$22)^2-'THAM_SO_MOI'!$C$25*(E600/'THAM_SO_MOI'!$C$22)^3)</f>
        <v>96.20644770649358</v>
      </c>
      <c r="K600" s="75">
        <f>'THAM_SO_MOI'!$C$31*J600/E600</f>
        <v>430.0853014183755</v>
      </c>
      <c r="L600" s="75">
        <f>K600*'THAM_SO_MOI'!$C$49*'THAM_SO_MOI'!$C$17/'THAM_SO_MOI'!$C$26</f>
        <v>24517.023546271197</v>
      </c>
      <c r="M600" s="75">
        <f>'THAM_SO_MOI'!$C$15*'THAM_SO_MOI'!$C$16*F600^2</f>
        <v>32.553708068017315</v>
      </c>
      <c r="N600" s="75">
        <f>'THAM_SO_MOI'!$C$12*I600</f>
        <v>1130.112</v>
      </c>
      <c r="O600" s="75">
        <f>M600+N600</f>
        <v>1162.6657080680175</v>
      </c>
      <c r="P600" s="75">
        <f>(MIN(L600,'THAM_SO_MOI'!$C$41)-O600)/('THAM_SO_MOI'!$C$11*H600)</f>
        <v>0.9615595289115273</v>
      </c>
      <c r="Q600" s="75">
        <f>IF(P600&gt;0,1/P600,NA())</f>
        <v>1.0399772140285342</v>
      </c>
      <c r="R600" s="75">
        <f>F600-F599</f>
        <v>0.0035133136094671613</v>
      </c>
      <c r="S600" s="75">
        <f>0.5*(Q599+Q600)*R600</f>
        <v>0.0036537911974989295</v>
      </c>
      <c r="T600" s="75">
        <f>0.5*(F599*Q599+F600*Q600)*R600</f>
        <v>0.012182944826788158</v>
      </c>
      <c r="U600" s="76">
        <f>U599+S600</f>
        <v>2.357610928635509</v>
      </c>
      <c r="V600" s="76">
        <f>V599+T600</f>
        <v>5.304239160344211</v>
      </c>
    </row>
    <row r="601" spans="1:22" ht="19" customHeight="1">
      <c r="A601" s="68" t="s">
        <v>368</v>
      </c>
      <c r="B601" s="74">
        <v>1</v>
      </c>
      <c r="C601" s="68" t="s">
        <v>363</v>
      </c>
      <c r="D601" s="68" t="s">
        <v>364</v>
      </c>
      <c r="E601" s="75">
        <f>60*F601*'THAM_SO_MOI'!$C$49/(2*PI()*'THAM_SO_MOI'!$C$26)</f>
        <v>2138.7499999999995</v>
      </c>
      <c r="F601" s="75">
        <f>'THAM_SO_MOI'!$E$49+('THAM_SO_MOI'!$F$49-'THAM_SO_MOI'!$E$49)*595/'THAM_SO_MOI'!$C$42</f>
        <v>3.339599769888231</v>
      </c>
      <c r="G601" s="75">
        <f>3.6*F601</f>
        <v>12.022559171597633</v>
      </c>
      <c r="H601" s="75">
        <f>'THAM_SO_MOI'!$D$49</f>
        <v>3.1625000000000005</v>
      </c>
      <c r="I601" s="75">
        <f>IF(F601&gt;'THAM_SO_MOI'!$C$14,'THAM_SO_MOI'!$C$13*(1+F601^2/1500),'THAM_SO_MOI'!$C$13)</f>
        <v>0.015</v>
      </c>
      <c r="J601" s="75">
        <f>'THAM_SO_MOI'!$C$40*('THAM_SO_MOI'!$C$23*(E601/'THAM_SO_MOI'!$C$22)+'THAM_SO_MOI'!$C$24*(E601/'THAM_SO_MOI'!$C$22)^2-'THAM_SO_MOI'!$C$25*(E601/'THAM_SO_MOI'!$C$22)^3)</f>
        <v>96.30918459685736</v>
      </c>
      <c r="K601" s="75">
        <f>'THAM_SO_MOI'!$C$31*J601/E601</f>
        <v>430.09164073739345</v>
      </c>
      <c r="L601" s="75">
        <f>K601*'THAM_SO_MOI'!$C$49*'THAM_SO_MOI'!$C$17/'THAM_SO_MOI'!$C$26</f>
        <v>24517.38491931305</v>
      </c>
      <c r="M601" s="75">
        <f>'THAM_SO_MOI'!$C$15*'THAM_SO_MOI'!$C$16*F601^2</f>
        <v>32.62231037238477</v>
      </c>
      <c r="N601" s="75">
        <f>'THAM_SO_MOI'!$C$12*I601</f>
        <v>1130.112</v>
      </c>
      <c r="O601" s="75">
        <f>M601+N601</f>
        <v>1162.734310372385</v>
      </c>
      <c r="P601" s="75">
        <f>(MIN(L601,'THAM_SO_MOI'!$C$41)-O601)/('THAM_SO_MOI'!$C$11*H601)</f>
        <v>0.9615715830426821</v>
      </c>
      <c r="Q601" s="75">
        <f>IF(P601&gt;0,1/P601,NA())</f>
        <v>1.0399641770150065</v>
      </c>
      <c r="R601" s="75">
        <f>F601-F600</f>
        <v>0.0035133136094671613</v>
      </c>
      <c r="S601" s="75">
        <f>0.5*(Q600+Q601)*R601</f>
        <v>0.003653743198023665</v>
      </c>
      <c r="T601" s="75">
        <f>0.5*(F600*Q600+F601*Q601)*R601</f>
        <v>0.012195621530268787</v>
      </c>
      <c r="U601" s="76">
        <f>U600+S601</f>
        <v>2.3612646718335326</v>
      </c>
      <c r="V601" s="76">
        <f>V600+T601</f>
        <v>5.31643478187448</v>
      </c>
    </row>
    <row r="602" spans="1:22" ht="19" customHeight="1">
      <c r="A602" s="68" t="s">
        <v>368</v>
      </c>
      <c r="B602" s="74">
        <v>1</v>
      </c>
      <c r="C602" s="68" t="s">
        <v>363</v>
      </c>
      <c r="D602" s="68" t="s">
        <v>364</v>
      </c>
      <c r="E602" s="75">
        <f>60*F602*'THAM_SO_MOI'!$C$49/(2*PI()*'THAM_SO_MOI'!$C$26)</f>
        <v>2141.0</v>
      </c>
      <c r="F602" s="75">
        <f>'THAM_SO_MOI'!$E$49+('THAM_SO_MOI'!$F$49-'THAM_SO_MOI'!$E$49)*596/'THAM_SO_MOI'!$C$42</f>
        <v>3.343113083497699</v>
      </c>
      <c r="G602" s="75">
        <f>3.6*F602</f>
        <v>12.035207100591718</v>
      </c>
      <c r="H602" s="75">
        <f>'THAM_SO_MOI'!$D$49</f>
        <v>3.1625000000000005</v>
      </c>
      <c r="I602" s="75">
        <f>IF(F602&gt;'THAM_SO_MOI'!$C$14,'THAM_SO_MOI'!$C$13*(1+F602^2/1500),'THAM_SO_MOI'!$C$13)</f>
        <v>0.015</v>
      </c>
      <c r="J602" s="75">
        <f>'THAM_SO_MOI'!$C$40*('THAM_SO_MOI'!$C$23*(E602/'THAM_SO_MOI'!$C$22)+'THAM_SO_MOI'!$C$24*(E602/'THAM_SO_MOI'!$C$22)^2-'THAM_SO_MOI'!$C$25*(E602/'THAM_SO_MOI'!$C$22)^3)</f>
        <v>96.41181437915799</v>
      </c>
      <c r="K602" s="75">
        <f>'THAM_SO_MOI'!$C$31*J602/E602</f>
        <v>430.0974889183526</v>
      </c>
      <c r="L602" s="75">
        <f>K602*'THAM_SO_MOI'!$C$49*'THAM_SO_MOI'!$C$17/'THAM_SO_MOI'!$C$26</f>
        <v>24517.718295017374</v>
      </c>
      <c r="M602" s="75">
        <f>'THAM_SO_MOI'!$C$15*'THAM_SO_MOI'!$C$16*F602^2</f>
        <v>32.69098488548147</v>
      </c>
      <c r="N602" s="75">
        <f>'THAM_SO_MOI'!$C$12*I602</f>
        <v>1130.112</v>
      </c>
      <c r="O602" s="75">
        <f>M602+N602</f>
        <v>1162.8029848854815</v>
      </c>
      <c r="P602" s="75">
        <f>(MIN(L602,'THAM_SO_MOI'!$C$41)-O602)/('THAM_SO_MOI'!$C$11*H602)</f>
        <v>0.9615824814777622</v>
      </c>
      <c r="Q602" s="75">
        <f>IF(P602&gt;0,1/P602,NA())</f>
        <v>1.0399523902132635</v>
      </c>
      <c r="R602" s="75">
        <f>F602-F601</f>
        <v>0.0035133136094680495</v>
      </c>
      <c r="S602" s="75">
        <f>0.5*(Q601+Q602)*R602</f>
        <v>0.003653699591100574</v>
      </c>
      <c r="T602" s="75">
        <f>0.5*(F601*Q601+F602*Q602)*R602</f>
        <v>0.012208312573557142</v>
      </c>
      <c r="U602" s="76">
        <f>U601+S602</f>
        <v>2.364918371424633</v>
      </c>
      <c r="V602" s="76">
        <f>V601+T602</f>
        <v>5.328643094448037</v>
      </c>
    </row>
    <row r="603" spans="1:22" ht="19" customHeight="1">
      <c r="A603" s="68" t="s">
        <v>368</v>
      </c>
      <c r="B603" s="74">
        <v>1</v>
      </c>
      <c r="C603" s="68" t="s">
        <v>363</v>
      </c>
      <c r="D603" s="68" t="s">
        <v>364</v>
      </c>
      <c r="E603" s="75">
        <f>60*F603*'THAM_SO_MOI'!$C$49/(2*PI()*'THAM_SO_MOI'!$C$26)</f>
        <v>2143.2499999999995</v>
      </c>
      <c r="F603" s="75">
        <f>'THAM_SO_MOI'!$E$49+('THAM_SO_MOI'!$F$49-'THAM_SO_MOI'!$E$49)*597/'THAM_SO_MOI'!$C$42</f>
        <v>3.3466263971071664</v>
      </c>
      <c r="G603" s="75">
        <f>3.6*F603</f>
        <v>12.047855029585799</v>
      </c>
      <c r="H603" s="75">
        <f>'THAM_SO_MOI'!$D$49</f>
        <v>3.1625000000000005</v>
      </c>
      <c r="I603" s="75">
        <f>IF(F603&gt;'THAM_SO_MOI'!$C$14,'THAM_SO_MOI'!$C$13*(1+F603^2/1500),'THAM_SO_MOI'!$C$13)</f>
        <v>0.015</v>
      </c>
      <c r="J603" s="75">
        <f>'THAM_SO_MOI'!$C$40*('THAM_SO_MOI'!$C$23*(E603/'THAM_SO_MOI'!$C$22)+'THAM_SO_MOI'!$C$24*(E603/'THAM_SO_MOI'!$C$22)^2-'THAM_SO_MOI'!$C$25*(E603/'THAM_SO_MOI'!$C$22)^3)</f>
        <v>96.51433670629584</v>
      </c>
      <c r="K603" s="75">
        <f>'THAM_SO_MOI'!$C$31*J603/E603</f>
        <v>430.1028459612529</v>
      </c>
      <c r="L603" s="75">
        <f>K603*'THAM_SO_MOI'!$C$49*'THAM_SO_MOI'!$C$17/'THAM_SO_MOI'!$C$26</f>
        <v>24518.023673384156</v>
      </c>
      <c r="M603" s="75">
        <f>'THAM_SO_MOI'!$C$15*'THAM_SO_MOI'!$C$16*F603^2</f>
        <v>32.759731607307394</v>
      </c>
      <c r="N603" s="75">
        <f>'THAM_SO_MOI'!$C$12*I603</f>
        <v>1130.112</v>
      </c>
      <c r="O603" s="75">
        <f>M603+N603</f>
        <v>1162.8717316073075</v>
      </c>
      <c r="P603" s="75">
        <f>(MIN(L603,'THAM_SO_MOI'!$C$41)-O603)/('THAM_SO_MOI'!$C$11*H603)</f>
        <v>0.9615922242167673</v>
      </c>
      <c r="Q603" s="75">
        <f>IF(P603&gt;0,1/P603,NA())</f>
        <v>1.0399418535382985</v>
      </c>
      <c r="R603" s="75">
        <f>F603-F602</f>
        <v>0.0035133136094671613</v>
      </c>
      <c r="S603" s="75">
        <f>0.5*(Q602+Q603)*R603</f>
        <v>0.003653660376412386</v>
      </c>
      <c r="T603" s="75">
        <f>0.5*(F602*Q602+F603*Q603)*R603</f>
        <v>0.012221018001889261</v>
      </c>
      <c r="U603" s="76">
        <f>U602+S603</f>
        <v>2.3685720318010457</v>
      </c>
      <c r="V603" s="76">
        <f>V602+T603</f>
        <v>5.3408641124499265</v>
      </c>
    </row>
    <row r="604" spans="1:22" ht="19" customHeight="1">
      <c r="A604" s="68" t="s">
        <v>368</v>
      </c>
      <c r="B604" s="74">
        <v>1</v>
      </c>
      <c r="C604" s="68" t="s">
        <v>363</v>
      </c>
      <c r="D604" s="68" t="s">
        <v>364</v>
      </c>
      <c r="E604" s="75">
        <f>60*F604*'THAM_SO_MOI'!$C$49/(2*PI()*'THAM_SO_MOI'!$C$26)</f>
        <v>2145.4999999999995</v>
      </c>
      <c r="F604" s="75">
        <f>'THAM_SO_MOI'!$E$49+('THAM_SO_MOI'!$F$49-'THAM_SO_MOI'!$E$49)*598/'THAM_SO_MOI'!$C$42</f>
        <v>3.3501397107166335</v>
      </c>
      <c r="G604" s="75">
        <f>3.6*F604</f>
        <v>12.060502958579882</v>
      </c>
      <c r="H604" s="75">
        <f>'THAM_SO_MOI'!$D$49</f>
        <v>3.1625000000000005</v>
      </c>
      <c r="I604" s="75">
        <f>IF(F604&gt;'THAM_SO_MOI'!$C$14,'THAM_SO_MOI'!$C$13*(1+F604^2/1500),'THAM_SO_MOI'!$C$13)</f>
        <v>0.015</v>
      </c>
      <c r="J604" s="75">
        <f>'THAM_SO_MOI'!$C$40*('THAM_SO_MOI'!$C$23*(E604/'THAM_SO_MOI'!$C$22)+'THAM_SO_MOI'!$C$24*(E604/'THAM_SO_MOI'!$C$22)^2-'THAM_SO_MOI'!$C$25*(E604/'THAM_SO_MOI'!$C$22)^3)</f>
        <v>96.61675123117148</v>
      </c>
      <c r="K604" s="75">
        <f>'THAM_SO_MOI'!$C$31*J604/E604</f>
        <v>430.1077118660946</v>
      </c>
      <c r="L604" s="75">
        <f>K604*'THAM_SO_MOI'!$C$49*'THAM_SO_MOI'!$C$17/'THAM_SO_MOI'!$C$26</f>
        <v>24518.301054413416</v>
      </c>
      <c r="M604" s="75">
        <f>'THAM_SO_MOI'!$C$15*'THAM_SO_MOI'!$C$16*F604^2</f>
        <v>32.828550537862554</v>
      </c>
      <c r="N604" s="75">
        <f>'THAM_SO_MOI'!$C$12*I604</f>
        <v>1130.112</v>
      </c>
      <c r="O604" s="75">
        <f>M604+N604</f>
        <v>1162.9405505378627</v>
      </c>
      <c r="P604" s="75">
        <f>(MIN(L604,'THAM_SO_MOI'!$C$41)-O604)/('THAM_SO_MOI'!$C$11*H604)</f>
        <v>0.9616008112596982</v>
      </c>
      <c r="Q604" s="75">
        <f>IF(P604&gt;0,1/P604,NA())</f>
        <v>1.039932566914122</v>
      </c>
      <c r="R604" s="75">
        <f>F604-F603</f>
        <v>0.0035133136094671613</v>
      </c>
      <c r="S604" s="75">
        <f>0.5*(Q603+Q604)*R604</f>
        <v>0.0036536255536790572</v>
      </c>
      <c r="T604" s="75">
        <f>0.5*(F603*Q603+F604*Q604)*R604</f>
        <v>0.01223373786062137</v>
      </c>
      <c r="U604" s="76">
        <f>U603+S604</f>
        <v>2.3722256573547247</v>
      </c>
      <c r="V604" s="76">
        <f>V603+T604</f>
        <v>5.353097850310548</v>
      </c>
    </row>
    <row r="605" spans="1:22" ht="19" customHeight="1">
      <c r="A605" s="68" t="s">
        <v>368</v>
      </c>
      <c r="B605" s="74">
        <v>1</v>
      </c>
      <c r="C605" s="68" t="s">
        <v>363</v>
      </c>
      <c r="D605" s="68" t="s">
        <v>364</v>
      </c>
      <c r="E605" s="75">
        <f>60*F605*'THAM_SO_MOI'!$C$49/(2*PI()*'THAM_SO_MOI'!$C$26)</f>
        <v>2147.75</v>
      </c>
      <c r="F605" s="75">
        <f>'THAM_SO_MOI'!$E$49+('THAM_SO_MOI'!$F$49-'THAM_SO_MOI'!$E$49)*599/'THAM_SO_MOI'!$C$42</f>
        <v>3.3536530243261016</v>
      </c>
      <c r="G605" s="75">
        <f>3.6*F605</f>
        <v>12.073150887573966</v>
      </c>
      <c r="H605" s="75">
        <f>'THAM_SO_MOI'!$D$49</f>
        <v>3.1625000000000005</v>
      </c>
      <c r="I605" s="75">
        <f>IF(F605&gt;'THAM_SO_MOI'!$C$14,'THAM_SO_MOI'!$C$13*(1+F605^2/1500),'THAM_SO_MOI'!$C$13)</f>
        <v>0.015</v>
      </c>
      <c r="J605" s="75">
        <f>'THAM_SO_MOI'!$C$40*('THAM_SO_MOI'!$C$23*(E605/'THAM_SO_MOI'!$C$22)+'THAM_SO_MOI'!$C$24*(E605/'THAM_SO_MOI'!$C$22)^2-'THAM_SO_MOI'!$C$25*(E605/'THAM_SO_MOI'!$C$22)^3)</f>
        <v>96.7190576066853</v>
      </c>
      <c r="K605" s="75">
        <f>'THAM_SO_MOI'!$C$31*J605/E605</f>
        <v>430.1120866328773</v>
      </c>
      <c r="L605" s="75">
        <f>K605*'THAM_SO_MOI'!$C$49*'THAM_SO_MOI'!$C$17/'THAM_SO_MOI'!$C$26</f>
        <v>24518.550438105136</v>
      </c>
      <c r="M605" s="75">
        <f>'THAM_SO_MOI'!$C$15*'THAM_SO_MOI'!$C$16*F605^2</f>
        <v>32.89744167714696</v>
      </c>
      <c r="N605" s="75">
        <f>'THAM_SO_MOI'!$C$12*I605</f>
        <v>1130.112</v>
      </c>
      <c r="O605" s="75">
        <f>M605+N605</f>
        <v>1163.0094416771472</v>
      </c>
      <c r="P605" s="75">
        <f>(MIN(L605,'THAM_SO_MOI'!$C$41)-O605)/('THAM_SO_MOI'!$C$11*H605)</f>
        <v>0.9616082426065541</v>
      </c>
      <c r="Q605" s="75">
        <f>IF(P605&gt;0,1/P605,NA())</f>
        <v>1.0399245302737636</v>
      </c>
      <c r="R605" s="75">
        <f>F605-F604</f>
        <v>0.0035133136094680495</v>
      </c>
      <c r="S605" s="75">
        <f>0.5*(Q604+Q605)*R605</f>
        <v>0.0036535951226494556</v>
      </c>
      <c r="T605" s="75">
        <f>0.5*(F604*Q604+F605*Q605)*R605</f>
        <v>0.012246472195202683</v>
      </c>
      <c r="U605" s="76">
        <f>U604+S605</f>
        <v>2.375879252477374</v>
      </c>
      <c r="V605" s="76">
        <f>V604+T605</f>
        <v>5.36534432250575</v>
      </c>
    </row>
    <row r="606" spans="1:22" ht="19" customHeight="1">
      <c r="A606" s="68" t="s">
        <v>368</v>
      </c>
      <c r="B606" s="74">
        <v>1</v>
      </c>
      <c r="C606" s="68" t="s">
        <v>363</v>
      </c>
      <c r="D606" s="68" t="s">
        <v>364</v>
      </c>
      <c r="E606" s="75">
        <f>60*F606*'THAM_SO_MOI'!$C$49/(2*PI()*'THAM_SO_MOI'!$C$26)</f>
        <v>2150.0</v>
      </c>
      <c r="F606" s="75">
        <f>'THAM_SO_MOI'!$E$49+('THAM_SO_MOI'!$F$49-'THAM_SO_MOI'!$E$49)*600/'THAM_SO_MOI'!$C$42</f>
        <v>3.3571663379355687</v>
      </c>
      <c r="G606" s="75">
        <f>3.6*F606</f>
        <v>12.085798816568047</v>
      </c>
      <c r="H606" s="75">
        <f>'THAM_SO_MOI'!$D$49</f>
        <v>3.1625000000000005</v>
      </c>
      <c r="I606" s="75">
        <f>IF(F606&gt;'THAM_SO_MOI'!$C$14,'THAM_SO_MOI'!$C$13*(1+F606^2/1500),'THAM_SO_MOI'!$C$13)</f>
        <v>0.015</v>
      </c>
      <c r="J606" s="75">
        <f>'THAM_SO_MOI'!$C$40*('THAM_SO_MOI'!$C$23*(E606/'THAM_SO_MOI'!$C$22)+'THAM_SO_MOI'!$C$24*(E606/'THAM_SO_MOI'!$C$22)^2-'THAM_SO_MOI'!$C$25*(E606/'THAM_SO_MOI'!$C$22)^3)</f>
        <v>96.82125548573778</v>
      </c>
      <c r="K606" s="75">
        <f>'THAM_SO_MOI'!$C$31*J606/E606</f>
        <v>430.11597026160143</v>
      </c>
      <c r="L606" s="75">
        <f>K606*'THAM_SO_MOI'!$C$49*'THAM_SO_MOI'!$C$17/'THAM_SO_MOI'!$C$26</f>
        <v>24518.77182445933</v>
      </c>
      <c r="M606" s="75">
        <f>'THAM_SO_MOI'!$C$15*'THAM_SO_MOI'!$C$16*F606^2</f>
        <v>32.966405025160576</v>
      </c>
      <c r="N606" s="75">
        <f>'THAM_SO_MOI'!$C$12*I606</f>
        <v>1130.112</v>
      </c>
      <c r="O606" s="75">
        <f>M606+N606</f>
        <v>1163.0784050251607</v>
      </c>
      <c r="P606" s="75">
        <f>(MIN(L606,'THAM_SO_MOI'!$C$41)-O606)/('THAM_SO_MOI'!$C$11*H606)</f>
        <v>0.9616145182573356</v>
      </c>
      <c r="Q606" s="75">
        <f>IF(P606&gt;0,1/P606,NA())</f>
        <v>1.039917743559267</v>
      </c>
      <c r="R606" s="75">
        <f>F606-F605</f>
        <v>0.0035133136094671613</v>
      </c>
      <c r="S606" s="75">
        <f>0.5*(Q605+Q606)*R606</f>
        <v>0.0036535690831013567</v>
      </c>
      <c r="T606" s="75">
        <f>0.5*(F605*Q605+F606*Q606)*R606</f>
        <v>0.012259221051175863</v>
      </c>
      <c r="U606" s="76">
        <f>U605+S606</f>
        <v>2.3795328215604754</v>
      </c>
      <c r="V606" s="76">
        <f>V605+T606</f>
        <v>5.377603543556926</v>
      </c>
    </row>
    <row r="607" spans="1:22" ht="19" customHeight="1">
      <c r="A607" s="68" t="s">
        <v>368</v>
      </c>
      <c r="B607" s="74">
        <v>1</v>
      </c>
      <c r="C607" s="68" t="s">
        <v>363</v>
      </c>
      <c r="D607" s="68" t="s">
        <v>364</v>
      </c>
      <c r="E607" s="75">
        <f>60*F607*'THAM_SO_MOI'!$C$49/(2*PI()*'THAM_SO_MOI'!$C$26)</f>
        <v>2152.2499999999995</v>
      </c>
      <c r="F607" s="75">
        <f>'THAM_SO_MOI'!$E$49+('THAM_SO_MOI'!$F$49-'THAM_SO_MOI'!$E$49)*601/'THAM_SO_MOI'!$C$42</f>
        <v>3.360679651545036</v>
      </c>
      <c r="G607" s="75">
        <f>3.6*F607</f>
        <v>12.09844674556213</v>
      </c>
      <c r="H607" s="75">
        <f>'THAM_SO_MOI'!$D$49</f>
        <v>3.1625000000000005</v>
      </c>
      <c r="I607" s="75">
        <f>IF(F607&gt;'THAM_SO_MOI'!$C$14,'THAM_SO_MOI'!$C$13*(1+F607^2/1500),'THAM_SO_MOI'!$C$13)</f>
        <v>0.015</v>
      </c>
      <c r="J607" s="75">
        <f>'THAM_SO_MOI'!$C$40*('THAM_SO_MOI'!$C$23*(E607/'THAM_SO_MOI'!$C$22)+'THAM_SO_MOI'!$C$24*(E607/'THAM_SO_MOI'!$C$22)^2-'THAM_SO_MOI'!$C$25*(E607/'THAM_SO_MOI'!$C$22)^3)</f>
        <v>96.92334452122932</v>
      </c>
      <c r="K607" s="75">
        <f>'THAM_SO_MOI'!$C$31*J607/E607</f>
        <v>430.1193627522667</v>
      </c>
      <c r="L607" s="75">
        <f>K607*'THAM_SO_MOI'!$C$49*'THAM_SO_MOI'!$C$17/'THAM_SO_MOI'!$C$26</f>
        <v>24518.965213475993</v>
      </c>
      <c r="M607" s="75">
        <f>'THAM_SO_MOI'!$C$15*'THAM_SO_MOI'!$C$16*F607^2</f>
        <v>33.03544058190343</v>
      </c>
      <c r="N607" s="75">
        <f>'THAM_SO_MOI'!$C$12*I607</f>
        <v>1130.112</v>
      </c>
      <c r="O607" s="75">
        <f>M607+N607</f>
        <v>1163.1474405819035</v>
      </c>
      <c r="P607" s="75">
        <f>(MIN(L607,'THAM_SO_MOI'!$C$41)-O607)/('THAM_SO_MOI'!$C$11*H607)</f>
        <v>0.9616196382120424</v>
      </c>
      <c r="Q607" s="75">
        <f>IF(P607&gt;0,1/P607,NA())</f>
        <v>1.039912206721692</v>
      </c>
      <c r="R607" s="75">
        <f>F607-F606</f>
        <v>0.0035133136094671613</v>
      </c>
      <c r="S607" s="75">
        <f>0.5*(Q606+Q607)*R607</f>
        <v>0.0036535474348497513</v>
      </c>
      <c r="T607" s="75">
        <f>0.5*(F606*Q606+F607*Q607)*R607</f>
        <v>0.012271984474205463</v>
      </c>
      <c r="U607" s="76">
        <f>U606+S607</f>
        <v>2.383186368995325</v>
      </c>
      <c r="V607" s="76">
        <f>V606+T607</f>
        <v>5.389875528031132</v>
      </c>
    </row>
    <row r="608" spans="1:22" ht="19" customHeight="1">
      <c r="A608" s="68" t="s">
        <v>368</v>
      </c>
      <c r="B608" s="74">
        <v>1</v>
      </c>
      <c r="C608" s="68" t="s">
        <v>363</v>
      </c>
      <c r="D608" s="68" t="s">
        <v>364</v>
      </c>
      <c r="E608" s="75">
        <f>60*F608*'THAM_SO_MOI'!$C$49/(2*PI()*'THAM_SO_MOI'!$C$26)</f>
        <v>2154.5</v>
      </c>
      <c r="F608" s="75">
        <f>'THAM_SO_MOI'!$E$49+('THAM_SO_MOI'!$F$49-'THAM_SO_MOI'!$E$49)*602/'THAM_SO_MOI'!$C$42</f>
        <v>3.364192965154504</v>
      </c>
      <c r="G608" s="75">
        <f>3.6*F608</f>
        <v>12.111094674556215</v>
      </c>
      <c r="H608" s="75">
        <f>'THAM_SO_MOI'!$D$49</f>
        <v>3.1625000000000005</v>
      </c>
      <c r="I608" s="75">
        <f>IF(F608&gt;'THAM_SO_MOI'!$C$14,'THAM_SO_MOI'!$C$13*(1+F608^2/1500),'THAM_SO_MOI'!$C$13)</f>
        <v>0.015</v>
      </c>
      <c r="J608" s="75">
        <f>'THAM_SO_MOI'!$C$40*('THAM_SO_MOI'!$C$23*(E608/'THAM_SO_MOI'!$C$22)+'THAM_SO_MOI'!$C$24*(E608/'THAM_SO_MOI'!$C$22)^2-'THAM_SO_MOI'!$C$25*(E608/'THAM_SO_MOI'!$C$22)^3)</f>
        <v>97.02532436606045</v>
      </c>
      <c r="K608" s="75">
        <f>'THAM_SO_MOI'!$C$31*J608/E608</f>
        <v>430.122264104873</v>
      </c>
      <c r="L608" s="75">
        <f>K608*'THAM_SO_MOI'!$C$49*'THAM_SO_MOI'!$C$17/'THAM_SO_MOI'!$C$26</f>
        <v>24519.130605155104</v>
      </c>
      <c r="M608" s="75">
        <f>'THAM_SO_MOI'!$C$15*'THAM_SO_MOI'!$C$16*F608^2</f>
        <v>33.104548347375534</v>
      </c>
      <c r="N608" s="75">
        <f>'THAM_SO_MOI'!$C$12*I608</f>
        <v>1130.112</v>
      </c>
      <c r="O608" s="75">
        <f>M608+N608</f>
        <v>1163.2165483473757</v>
      </c>
      <c r="P608" s="75">
        <f>(MIN(L608,'THAM_SO_MOI'!$C$41)-O608)/('THAM_SO_MOI'!$C$11*H608)</f>
        <v>0.9616236024706737</v>
      </c>
      <c r="Q608" s="75">
        <f>IF(P608&gt;0,1/P608,NA())</f>
        <v>1.039907919721112</v>
      </c>
      <c r="R608" s="75">
        <f>F608-F607</f>
        <v>0.0035133136094680495</v>
      </c>
      <c r="S608" s="75">
        <f>0.5*(Q607+Q608)*R608</f>
        <v>0.0036535301777385312</v>
      </c>
      <c r="T608" s="75">
        <f>0.5*(F607*Q607+F608*Q608)*R608</f>
        <v>0.012284762510050616</v>
      </c>
      <c r="U608" s="76">
        <f>U607+S608</f>
        <v>2.3868398991730637</v>
      </c>
      <c r="V608" s="76">
        <f>V607+T608</f>
        <v>5.4021602905411825</v>
      </c>
    </row>
    <row r="609" spans="1:22" ht="19" customHeight="1">
      <c r="A609" s="68" t="s">
        <v>368</v>
      </c>
      <c r="B609" s="74">
        <v>1</v>
      </c>
      <c r="C609" s="68" t="s">
        <v>363</v>
      </c>
      <c r="D609" s="68" t="s">
        <v>364</v>
      </c>
      <c r="E609" s="75">
        <f>60*F609*'THAM_SO_MOI'!$C$49/(2*PI()*'THAM_SO_MOI'!$C$26)</f>
        <v>2156.75</v>
      </c>
      <c r="F609" s="75">
        <f>'THAM_SO_MOI'!$E$49+('THAM_SO_MOI'!$F$49-'THAM_SO_MOI'!$E$49)*603/'THAM_SO_MOI'!$C$42</f>
        <v>3.367706278763971</v>
      </c>
      <c r="G609" s="75">
        <f>3.6*F609</f>
        <v>12.123742603550296</v>
      </c>
      <c r="H609" s="75">
        <f>'THAM_SO_MOI'!$D$49</f>
        <v>3.1625000000000005</v>
      </c>
      <c r="I609" s="75">
        <f>IF(F609&gt;'THAM_SO_MOI'!$C$14,'THAM_SO_MOI'!$C$13*(1+F609^2/1500),'THAM_SO_MOI'!$C$13)</f>
        <v>0.015</v>
      </c>
      <c r="J609" s="75">
        <f>'THAM_SO_MOI'!$C$40*('THAM_SO_MOI'!$C$23*(E609/'THAM_SO_MOI'!$C$22)+'THAM_SO_MOI'!$C$24*(E609/'THAM_SO_MOI'!$C$22)^2-'THAM_SO_MOI'!$C$25*(E609/'THAM_SO_MOI'!$C$22)^3)</f>
        <v>97.1271946731316</v>
      </c>
      <c r="K609" s="75">
        <f>'THAM_SO_MOI'!$C$31*J609/E609</f>
        <v>430.12467431942076</v>
      </c>
      <c r="L609" s="75">
        <f>K609*'THAM_SO_MOI'!$C$49*'THAM_SO_MOI'!$C$17/'THAM_SO_MOI'!$C$26</f>
        <v>24519.267999496707</v>
      </c>
      <c r="M609" s="75">
        <f>'THAM_SO_MOI'!$C$15*'THAM_SO_MOI'!$C$16*F609^2</f>
        <v>33.17372832157685</v>
      </c>
      <c r="N609" s="75">
        <f>'THAM_SO_MOI'!$C$12*I609</f>
        <v>1130.112</v>
      </c>
      <c r="O609" s="75">
        <f>M609+N609</f>
        <v>1163.285728321577</v>
      </c>
      <c r="P609" s="75">
        <f>(MIN(L609,'THAM_SO_MOI'!$C$41)-O609)/('THAM_SO_MOI'!$C$11*H609)</f>
        <v>0.9616264110332314</v>
      </c>
      <c r="Q609" s="75">
        <f>IF(P609&gt;0,1/P609,NA())</f>
        <v>1.039904882526612</v>
      </c>
      <c r="R609" s="75">
        <f>F609-F608</f>
        <v>0.0035133136094671613</v>
      </c>
      <c r="S609" s="75">
        <f>0.5*(Q608+Q609)*R609</f>
        <v>0.003653517311640481</v>
      </c>
      <c r="T609" s="75">
        <f>0.5*(F608*Q608+F609*Q609)*R609</f>
        <v>0.012297555204565502</v>
      </c>
      <c r="U609" s="76">
        <f>U608+S609</f>
        <v>2.3904934164847043</v>
      </c>
      <c r="V609" s="76">
        <f>V608+T609</f>
        <v>5.414457845745748</v>
      </c>
    </row>
    <row r="610" spans="1:22" ht="19" customHeight="1">
      <c r="A610" s="68" t="s">
        <v>368</v>
      </c>
      <c r="B610" s="74">
        <v>1</v>
      </c>
      <c r="C610" s="68" t="s">
        <v>363</v>
      </c>
      <c r="D610" s="68" t="s">
        <v>364</v>
      </c>
      <c r="E610" s="75">
        <f>60*F610*'THAM_SO_MOI'!$C$49/(2*PI()*'THAM_SO_MOI'!$C$26)</f>
        <v>2159.0</v>
      </c>
      <c r="F610" s="75">
        <f>'THAM_SO_MOI'!$E$49+('THAM_SO_MOI'!$F$49-'THAM_SO_MOI'!$E$49)*604/'THAM_SO_MOI'!$C$42</f>
        <v>3.3712195923734383</v>
      </c>
      <c r="G610" s="75">
        <f>3.6*F610</f>
        <v>12.136390532544379</v>
      </c>
      <c r="H610" s="75">
        <f>'THAM_SO_MOI'!$D$49</f>
        <v>3.1625000000000005</v>
      </c>
      <c r="I610" s="75">
        <f>IF(F610&gt;'THAM_SO_MOI'!$C$14,'THAM_SO_MOI'!$C$13*(1+F610^2/1500),'THAM_SO_MOI'!$C$13)</f>
        <v>0.015</v>
      </c>
      <c r="J610" s="75">
        <f>'THAM_SO_MOI'!$C$40*('THAM_SO_MOI'!$C$23*(E610/'THAM_SO_MOI'!$C$22)+'THAM_SO_MOI'!$C$24*(E610/'THAM_SO_MOI'!$C$22)^2-'THAM_SO_MOI'!$C$25*(E610/'THAM_SO_MOI'!$C$22)^3)</f>
        <v>97.22895509534322</v>
      </c>
      <c r="K610" s="75">
        <f>'THAM_SO_MOI'!$C$31*J610/E610</f>
        <v>430.12659339590977</v>
      </c>
      <c r="L610" s="75">
        <f>K610*'THAM_SO_MOI'!$C$49*'THAM_SO_MOI'!$C$17/'THAM_SO_MOI'!$C$26</f>
        <v>24519.37739650077</v>
      </c>
      <c r="M610" s="75">
        <f>'THAM_SO_MOI'!$C$15*'THAM_SO_MOI'!$C$16*F610^2</f>
        <v>33.24298050450741</v>
      </c>
      <c r="N610" s="75">
        <f>'THAM_SO_MOI'!$C$12*I610</f>
        <v>1130.112</v>
      </c>
      <c r="O610" s="75">
        <f>M610+N610</f>
        <v>1163.3549805045075</v>
      </c>
      <c r="P610" s="75">
        <f>(MIN(L610,'THAM_SO_MOI'!$C$41)-O610)/('THAM_SO_MOI'!$C$11*H610)</f>
        <v>0.9616280638997142</v>
      </c>
      <c r="Q610" s="75">
        <f>IF(P610&gt;0,1/P610,NA())</f>
        <v>1.0399030951162918</v>
      </c>
      <c r="R610" s="75">
        <f>F610-F609</f>
        <v>0.0035133136094671613</v>
      </c>
      <c r="S610" s="75">
        <f>0.5*(Q609+Q610)*R610</f>
        <v>0.0036535088364655936</v>
      </c>
      <c r="T610" s="75">
        <f>0.5*(F609*Q609+F610*Q610)*R610</f>
        <v>0.012310362603727894</v>
      </c>
      <c r="U610" s="76">
        <f>U609+S610</f>
        <v>2.39414692532117</v>
      </c>
      <c r="V610" s="76">
        <f>V609+T610</f>
        <v>5.4267682083494755</v>
      </c>
    </row>
    <row r="611" spans="1:22" ht="19" customHeight="1">
      <c r="A611" s="68" t="s">
        <v>368</v>
      </c>
      <c r="B611" s="74">
        <v>1</v>
      </c>
      <c r="C611" s="68" t="s">
        <v>363</v>
      </c>
      <c r="D611" s="68" t="s">
        <v>364</v>
      </c>
      <c r="E611" s="75">
        <f>60*F611*'THAM_SO_MOI'!$C$49/(2*PI()*'THAM_SO_MOI'!$C$26)</f>
        <v>2161.2499999999995</v>
      </c>
      <c r="F611" s="75">
        <f>'THAM_SO_MOI'!$E$49+('THAM_SO_MOI'!$F$49-'THAM_SO_MOI'!$E$49)*605/'THAM_SO_MOI'!$C$42</f>
        <v>3.3747329059829063</v>
      </c>
      <c r="G611" s="75">
        <f>3.6*F611</f>
        <v>12.149038461538463</v>
      </c>
      <c r="H611" s="75">
        <f>'THAM_SO_MOI'!$D$49</f>
        <v>3.1625000000000005</v>
      </c>
      <c r="I611" s="75">
        <f>IF(F611&gt;'THAM_SO_MOI'!$C$14,'THAM_SO_MOI'!$C$13*(1+F611^2/1500),'THAM_SO_MOI'!$C$13)</f>
        <v>0.015</v>
      </c>
      <c r="J611" s="75">
        <f>'THAM_SO_MOI'!$C$40*('THAM_SO_MOI'!$C$23*(E611/'THAM_SO_MOI'!$C$22)+'THAM_SO_MOI'!$C$24*(E611/'THAM_SO_MOI'!$C$22)^2-'THAM_SO_MOI'!$C$25*(E611/'THAM_SO_MOI'!$C$22)^3)</f>
        <v>97.33060528559575</v>
      </c>
      <c r="K611" s="75">
        <f>'THAM_SO_MOI'!$C$31*J611/E611</f>
        <v>430.12802133433996</v>
      </c>
      <c r="L611" s="75">
        <f>K611*'THAM_SO_MOI'!$C$49*'THAM_SO_MOI'!$C$17/'THAM_SO_MOI'!$C$26</f>
        <v>24519.458796167306</v>
      </c>
      <c r="M611" s="75">
        <f>'THAM_SO_MOI'!$C$15*'THAM_SO_MOI'!$C$16*F611^2</f>
        <v>33.31230489616721</v>
      </c>
      <c r="N611" s="75">
        <f>'THAM_SO_MOI'!$C$12*I611</f>
        <v>1130.112</v>
      </c>
      <c r="O611" s="75">
        <f>M611+N611</f>
        <v>1163.4243048961673</v>
      </c>
      <c r="P611" s="75">
        <f>(MIN(L611,'THAM_SO_MOI'!$C$41)-O611)/('THAM_SO_MOI'!$C$11*H611)</f>
        <v>0.9616285610701224</v>
      </c>
      <c r="Q611" s="75">
        <f>IF(P611&gt;0,1/P611,NA())</f>
        <v>1.0399025574772622</v>
      </c>
      <c r="R611" s="75">
        <f>F611-F610</f>
        <v>0.0035133136094680495</v>
      </c>
      <c r="S611" s="75">
        <f>0.5*(Q610+Q611)*R611</f>
        <v>0.003653504752152755</v>
      </c>
      <c r="T611" s="75">
        <f>0.5*(F610*Q610+F611*Q611)*R611</f>
        <v>0.01232318475361176</v>
      </c>
      <c r="U611" s="76">
        <f>U610+S611</f>
        <v>2.397800430073323</v>
      </c>
      <c r="V611" s="76">
        <f>V610+T611</f>
        <v>5.439091393103087</v>
      </c>
    </row>
    <row r="612" spans="1:22" ht="19" customHeight="1">
      <c r="A612" s="68" t="s">
        <v>368</v>
      </c>
      <c r="B612" s="74">
        <v>1</v>
      </c>
      <c r="C612" s="68" t="s">
        <v>363</v>
      </c>
      <c r="D612" s="68" t="s">
        <v>364</v>
      </c>
      <c r="E612" s="75">
        <f>60*F612*'THAM_SO_MOI'!$C$49/(2*PI()*'THAM_SO_MOI'!$C$26)</f>
        <v>2163.5</v>
      </c>
      <c r="F612" s="75">
        <f>'THAM_SO_MOI'!$E$49+('THAM_SO_MOI'!$F$49-'THAM_SO_MOI'!$E$49)*606/'THAM_SO_MOI'!$C$42</f>
        <v>3.3782462195923735</v>
      </c>
      <c r="G612" s="75">
        <f>3.6*F612</f>
        <v>12.161686390532545</v>
      </c>
      <c r="H612" s="75">
        <f>'THAM_SO_MOI'!$D$49</f>
        <v>3.1625000000000005</v>
      </c>
      <c r="I612" s="75">
        <f>IF(F612&gt;'THAM_SO_MOI'!$C$14,'THAM_SO_MOI'!$C$13*(1+F612^2/1500),'THAM_SO_MOI'!$C$13)</f>
        <v>0.015</v>
      </c>
      <c r="J612" s="75">
        <f>'THAM_SO_MOI'!$C$40*('THAM_SO_MOI'!$C$23*(E612/'THAM_SO_MOI'!$C$22)+'THAM_SO_MOI'!$C$24*(E612/'THAM_SO_MOI'!$C$22)^2-'THAM_SO_MOI'!$C$25*(E612/'THAM_SO_MOI'!$C$22)^3)</f>
        <v>97.43214489678967</v>
      </c>
      <c r="K612" s="75">
        <f>'THAM_SO_MOI'!$C$31*J612/E612</f>
        <v>430.12895813471124</v>
      </c>
      <c r="L612" s="75">
        <f>K612*'THAM_SO_MOI'!$C$49*'THAM_SO_MOI'!$C$17/'THAM_SO_MOI'!$C$26</f>
        <v>24519.512198496293</v>
      </c>
      <c r="M612" s="75">
        <f>'THAM_SO_MOI'!$C$15*'THAM_SO_MOI'!$C$16*F612^2</f>
        <v>33.38170149655623</v>
      </c>
      <c r="N612" s="75">
        <f>'THAM_SO_MOI'!$C$12*I612</f>
        <v>1130.112</v>
      </c>
      <c r="O612" s="75">
        <f>M612+N612</f>
        <v>1163.4937014965562</v>
      </c>
      <c r="P612" s="75">
        <f>(MIN(L612,'THAM_SO_MOI'!$C$41)-O612)/('THAM_SO_MOI'!$C$11*H612)</f>
        <v>0.9616279025444554</v>
      </c>
      <c r="Q612" s="75">
        <f>IF(P612&gt;0,1/P612,NA())</f>
        <v>1.0399032696056474</v>
      </c>
      <c r="R612" s="75">
        <f>F612-F611</f>
        <v>0.0035133136094671613</v>
      </c>
      <c r="S612" s="75">
        <f>0.5*(Q611+Q612)*R612</f>
        <v>0.003653505058669746</v>
      </c>
      <c r="T612" s="75">
        <f>0.5*(F611*Q611+F612*Q612)*R612</f>
        <v>0.012336021700387757</v>
      </c>
      <c r="U612" s="76">
        <f>U611+S612</f>
        <v>2.401453935131993</v>
      </c>
      <c r="V612" s="76">
        <f>V611+T612</f>
        <v>5.451427414803475</v>
      </c>
    </row>
    <row r="613" spans="1:22" ht="19" customHeight="1">
      <c r="A613" s="68" t="s">
        <v>368</v>
      </c>
      <c r="B613" s="74">
        <v>1</v>
      </c>
      <c r="C613" s="68" t="s">
        <v>363</v>
      </c>
      <c r="D613" s="68" t="s">
        <v>364</v>
      </c>
      <c r="E613" s="75">
        <f>60*F613*'THAM_SO_MOI'!$C$49/(2*PI()*'THAM_SO_MOI'!$C$26)</f>
        <v>2165.7499999999995</v>
      </c>
      <c r="F613" s="75">
        <f>'THAM_SO_MOI'!$E$49+('THAM_SO_MOI'!$F$49-'THAM_SO_MOI'!$E$49)*607/'THAM_SO_MOI'!$C$42</f>
        <v>3.3817595332018406</v>
      </c>
      <c r="G613" s="75">
        <f>3.6*F613</f>
        <v>12.174334319526627</v>
      </c>
      <c r="H613" s="75">
        <f>'THAM_SO_MOI'!$D$49</f>
        <v>3.1625000000000005</v>
      </c>
      <c r="I613" s="75">
        <f>IF(F613&gt;'THAM_SO_MOI'!$C$14,'THAM_SO_MOI'!$C$13*(1+F613^2/1500),'THAM_SO_MOI'!$C$13)</f>
        <v>0.015</v>
      </c>
      <c r="J613" s="75">
        <f>'THAM_SO_MOI'!$C$40*('THAM_SO_MOI'!$C$23*(E613/'THAM_SO_MOI'!$C$22)+'THAM_SO_MOI'!$C$24*(E613/'THAM_SO_MOI'!$C$22)^2-'THAM_SO_MOI'!$C$25*(E613/'THAM_SO_MOI'!$C$22)^3)</f>
        <v>97.53357358182545</v>
      </c>
      <c r="K613" s="75">
        <f>'THAM_SO_MOI'!$C$31*J613/E613</f>
        <v>430.129403797024</v>
      </c>
      <c r="L613" s="75">
        <f>K613*'THAM_SO_MOI'!$C$49*'THAM_SO_MOI'!$C$17/'THAM_SO_MOI'!$C$26</f>
        <v>24519.53760348777</v>
      </c>
      <c r="M613" s="75">
        <f>'THAM_SO_MOI'!$C$15*'THAM_SO_MOI'!$C$16*F613^2</f>
        <v>33.45117030567448</v>
      </c>
      <c r="N613" s="75">
        <f>'THAM_SO_MOI'!$C$12*I613</f>
        <v>1130.112</v>
      </c>
      <c r="O613" s="75">
        <f>M613+N613</f>
        <v>1163.5631703056745</v>
      </c>
      <c r="P613" s="75">
        <f>(MIN(L613,'THAM_SO_MOI'!$C$41)-O613)/('THAM_SO_MOI'!$C$11*H613)</f>
        <v>0.9616260883227146</v>
      </c>
      <c r="Q613" s="75">
        <f>IF(P613&gt;0,1/P613,NA())</f>
        <v>1.0399052315065807</v>
      </c>
      <c r="R613" s="75">
        <f>F613-F612</f>
        <v>0.0035133136094671613</v>
      </c>
      <c r="S613" s="75">
        <f>0.5*(Q612+Q613)*R613</f>
        <v>0.003653509756021544</v>
      </c>
      <c r="T613" s="75">
        <f>0.5*(F612*Q612+F613*Q613)*R613</f>
        <v>0.01234887349035183</v>
      </c>
      <c r="U613" s="76">
        <f>U612+S613</f>
        <v>2.4051074448880145</v>
      </c>
      <c r="V613" s="76">
        <f>V612+T613</f>
        <v>5.463776288293826</v>
      </c>
    </row>
    <row r="614" spans="1:22" ht="19" customHeight="1">
      <c r="A614" s="68" t="s">
        <v>368</v>
      </c>
      <c r="B614" s="74">
        <v>1</v>
      </c>
      <c r="C614" s="68" t="s">
        <v>363</v>
      </c>
      <c r="D614" s="68" t="s">
        <v>364</v>
      </c>
      <c r="E614" s="75">
        <f>60*F614*'THAM_SO_MOI'!$C$49/(2*PI()*'THAM_SO_MOI'!$C$26)</f>
        <v>2168.0</v>
      </c>
      <c r="F614" s="75">
        <f>'THAM_SO_MOI'!$E$49+('THAM_SO_MOI'!$F$49-'THAM_SO_MOI'!$E$49)*608/'THAM_SO_MOI'!$C$42</f>
        <v>3.3852728468113087</v>
      </c>
      <c r="G614" s="75">
        <f>3.6*F614</f>
        <v>12.186982248520712</v>
      </c>
      <c r="H614" s="75">
        <f>'THAM_SO_MOI'!$D$49</f>
        <v>3.1625000000000005</v>
      </c>
      <c r="I614" s="75">
        <f>IF(F614&gt;'THAM_SO_MOI'!$C$14,'THAM_SO_MOI'!$C$13*(1+F614^2/1500),'THAM_SO_MOI'!$C$13)</f>
        <v>0.015</v>
      </c>
      <c r="J614" s="75">
        <f>'THAM_SO_MOI'!$C$40*('THAM_SO_MOI'!$C$23*(E614/'THAM_SO_MOI'!$C$22)+'THAM_SO_MOI'!$C$24*(E614/'THAM_SO_MOI'!$C$22)^2-'THAM_SO_MOI'!$C$25*(E614/'THAM_SO_MOI'!$C$22)^3)</f>
        <v>97.63489099360349</v>
      </c>
      <c r="K614" s="75">
        <f>'THAM_SO_MOI'!$C$31*J614/E614</f>
        <v>430.1293583212777</v>
      </c>
      <c r="L614" s="75">
        <f>K614*'THAM_SO_MOI'!$C$49*'THAM_SO_MOI'!$C$17/'THAM_SO_MOI'!$C$26</f>
        <v>24519.535011141696</v>
      </c>
      <c r="M614" s="75">
        <f>'THAM_SO_MOI'!$C$15*'THAM_SO_MOI'!$C$16*F614^2</f>
        <v>33.52071132352199</v>
      </c>
      <c r="N614" s="75">
        <f>'THAM_SO_MOI'!$C$12*I614</f>
        <v>1130.112</v>
      </c>
      <c r="O614" s="75">
        <f>M614+N614</f>
        <v>1163.632711323522</v>
      </c>
      <c r="P614" s="75">
        <f>(MIN(L614,'THAM_SO_MOI'!$C$41)-O614)/('THAM_SO_MOI'!$C$11*H614)</f>
        <v>0.9616231184048982</v>
      </c>
      <c r="Q614" s="75">
        <f>IF(P614&gt;0,1/P614,NA())</f>
        <v>1.039908443194211</v>
      </c>
      <c r="R614" s="75">
        <f>F614-F613</f>
        <v>0.0035133136094680495</v>
      </c>
      <c r="S614" s="75">
        <f>0.5*(Q613+Q614)*R614</f>
        <v>0.003653518844242023</v>
      </c>
      <c r="T614" s="75">
        <f>0.5*(F613*Q613+F614*Q614)*R614</f>
        <v>0.012361740169897759</v>
      </c>
      <c r="U614" s="76">
        <f>U613+S614</f>
        <v>2.4087609637322567</v>
      </c>
      <c r="V614" s="76">
        <f>V613+T614</f>
        <v>5.476138028463724</v>
      </c>
    </row>
    <row r="615" spans="1:22" ht="19" customHeight="1">
      <c r="A615" s="68" t="s">
        <v>368</v>
      </c>
      <c r="B615" s="74">
        <v>1</v>
      </c>
      <c r="C615" s="68" t="s">
        <v>363</v>
      </c>
      <c r="D615" s="68" t="s">
        <v>364</v>
      </c>
      <c r="E615" s="75">
        <f>60*F615*'THAM_SO_MOI'!$C$49/(2*PI()*'THAM_SO_MOI'!$C$26)</f>
        <v>2170.25</v>
      </c>
      <c r="F615" s="75">
        <f>'THAM_SO_MOI'!$E$49+('THAM_SO_MOI'!$F$49-'THAM_SO_MOI'!$E$49)*609/'THAM_SO_MOI'!$C$42</f>
        <v>3.388786160420776</v>
      </c>
      <c r="G615" s="75">
        <f>3.6*F615</f>
        <v>12.199630177514793</v>
      </c>
      <c r="H615" s="75">
        <f>'THAM_SO_MOI'!$D$49</f>
        <v>3.1625000000000005</v>
      </c>
      <c r="I615" s="75">
        <f>IF(F615&gt;'THAM_SO_MOI'!$C$14,'THAM_SO_MOI'!$C$13*(1+F615^2/1500),'THAM_SO_MOI'!$C$13)</f>
        <v>0.015</v>
      </c>
      <c r="J615" s="75">
        <f>'THAM_SO_MOI'!$C$40*('THAM_SO_MOI'!$C$23*(E615/'THAM_SO_MOI'!$C$22)+'THAM_SO_MOI'!$C$24*(E615/'THAM_SO_MOI'!$C$22)^2-'THAM_SO_MOI'!$C$25*(E615/'THAM_SO_MOI'!$C$22)^3)</f>
        <v>97.73609678502429</v>
      </c>
      <c r="K615" s="75">
        <f>'THAM_SO_MOI'!$C$31*J615/E615</f>
        <v>430.1288217074728</v>
      </c>
      <c r="L615" s="75">
        <f>K615*'THAM_SO_MOI'!$C$49*'THAM_SO_MOI'!$C$17/'THAM_SO_MOI'!$C$26</f>
        <v>24519.5044214581</v>
      </c>
      <c r="M615" s="75">
        <f>'THAM_SO_MOI'!$C$15*'THAM_SO_MOI'!$C$16*F615^2</f>
        <v>33.5903245500987</v>
      </c>
      <c r="N615" s="75">
        <f>'THAM_SO_MOI'!$C$12*I615</f>
        <v>1130.112</v>
      </c>
      <c r="O615" s="75">
        <f>M615+N615</f>
        <v>1163.7023245500989</v>
      </c>
      <c r="P615" s="75">
        <f>(MIN(L615,'THAM_SO_MOI'!$C$41)-O615)/('THAM_SO_MOI'!$C$11*H615)</f>
        <v>0.9616189927910077</v>
      </c>
      <c r="Q615" s="75">
        <f>IF(P615&gt;0,1/P615,NA())</f>
        <v>1.0399129046916962</v>
      </c>
      <c r="R615" s="75">
        <f>F615-F614</f>
        <v>0.0035133136094671613</v>
      </c>
      <c r="S615" s="75">
        <f>0.5*(Q614+Q615)*R615</f>
        <v>0.0036535323233939463</v>
      </c>
      <c r="T615" s="75">
        <f>0.5*(F614*Q614+F615*Q615)*R615</f>
        <v>0.012374621785517646</v>
      </c>
      <c r="U615" s="76">
        <f>U614+S615</f>
        <v>2.412414496055651</v>
      </c>
      <c r="V615" s="76">
        <f>V614+T615</f>
        <v>5.488512650249242</v>
      </c>
    </row>
    <row r="616" spans="1:22" ht="19" customHeight="1">
      <c r="A616" s="68" t="s">
        <v>368</v>
      </c>
      <c r="B616" s="74">
        <v>1</v>
      </c>
      <c r="C616" s="68" t="s">
        <v>363</v>
      </c>
      <c r="D616" s="68" t="s">
        <v>364</v>
      </c>
      <c r="E616" s="75">
        <f>60*F616*'THAM_SO_MOI'!$C$49/(2*PI()*'THAM_SO_MOI'!$C$26)</f>
        <v>2172.499999999999</v>
      </c>
      <c r="F616" s="75">
        <f>'THAM_SO_MOI'!$E$49+('THAM_SO_MOI'!$F$49-'THAM_SO_MOI'!$E$49)*610/'THAM_SO_MOI'!$C$42</f>
        <v>3.392299474030243</v>
      </c>
      <c r="G616" s="75">
        <f>3.6*F616</f>
        <v>12.212278106508876</v>
      </c>
      <c r="H616" s="75">
        <f>'THAM_SO_MOI'!$D$49</f>
        <v>3.1625000000000005</v>
      </c>
      <c r="I616" s="75">
        <f>IF(F616&gt;'THAM_SO_MOI'!$C$14,'THAM_SO_MOI'!$C$13*(1+F616^2/1500),'THAM_SO_MOI'!$C$13)</f>
        <v>0.015</v>
      </c>
      <c r="J616" s="75">
        <f>'THAM_SO_MOI'!$C$40*('THAM_SO_MOI'!$C$23*(E616/'THAM_SO_MOI'!$C$22)+'THAM_SO_MOI'!$C$24*(E616/'THAM_SO_MOI'!$C$22)^2-'THAM_SO_MOI'!$C$25*(E616/'THAM_SO_MOI'!$C$22)^3)</f>
        <v>97.83719060898824</v>
      </c>
      <c r="K616" s="75">
        <f>'THAM_SO_MOI'!$C$31*J616/E616</f>
        <v>430.12779395560904</v>
      </c>
      <c r="L616" s="75">
        <f>K616*'THAM_SO_MOI'!$C$49*'THAM_SO_MOI'!$C$17/'THAM_SO_MOI'!$C$26</f>
        <v>24519.44583443696</v>
      </c>
      <c r="M616" s="75">
        <f>'THAM_SO_MOI'!$C$15*'THAM_SO_MOI'!$C$16*F616^2</f>
        <v>33.660009985404656</v>
      </c>
      <c r="N616" s="75">
        <f>'THAM_SO_MOI'!$C$12*I616</f>
        <v>1130.112</v>
      </c>
      <c r="O616" s="75">
        <f>M616+N616</f>
        <v>1163.7720099854048</v>
      </c>
      <c r="P616" s="75">
        <f>(MIN(L616,'THAM_SO_MOI'!$C$41)-O616)/('THAM_SO_MOI'!$C$11*H616)</f>
        <v>0.9616137114810421</v>
      </c>
      <c r="Q616" s="75">
        <f>IF(P616&gt;0,1/P616,NA())</f>
        <v>1.0399186160312093</v>
      </c>
      <c r="R616" s="75">
        <f>F616-F615</f>
        <v>0.0035133136094671613</v>
      </c>
      <c r="S616" s="75">
        <f>0.5*(Q615+Q616)*R616</f>
        <v>0.0036535501935772824</v>
      </c>
      <c r="T616" s="75">
        <f>0.5*(F615*Q615+F616*Q616)*R616</f>
        <v>0.012387518383830625</v>
      </c>
      <c r="U616" s="76">
        <f>U615+S616</f>
        <v>2.416068046249228</v>
      </c>
      <c r="V616" s="76">
        <f>V615+T616</f>
        <v>5.5009001686330725</v>
      </c>
    </row>
    <row r="617" spans="1:22" ht="19" customHeight="1">
      <c r="A617" s="68" t="s">
        <v>368</v>
      </c>
      <c r="B617" s="74">
        <v>1</v>
      </c>
      <c r="C617" s="68" t="s">
        <v>363</v>
      </c>
      <c r="D617" s="68" t="s">
        <v>364</v>
      </c>
      <c r="E617" s="75">
        <f>60*F617*'THAM_SO_MOI'!$C$49/(2*PI()*'THAM_SO_MOI'!$C$26)</f>
        <v>2174.749999999999</v>
      </c>
      <c r="F617" s="75">
        <f>'THAM_SO_MOI'!$E$49+('THAM_SO_MOI'!$F$49-'THAM_SO_MOI'!$E$49)*611/'THAM_SO_MOI'!$C$42</f>
        <v>3.39581278763971</v>
      </c>
      <c r="G617" s="75">
        <f>3.6*F617</f>
        <v>12.224926035502957</v>
      </c>
      <c r="H617" s="75">
        <f>'THAM_SO_MOI'!$D$49</f>
        <v>3.1625000000000005</v>
      </c>
      <c r="I617" s="75">
        <f>IF(F617&gt;'THAM_SO_MOI'!$C$14,'THAM_SO_MOI'!$C$13*(1+F617^2/1500),'THAM_SO_MOI'!$C$13)</f>
        <v>0.015</v>
      </c>
      <c r="J617" s="75">
        <f>'THAM_SO_MOI'!$C$40*('THAM_SO_MOI'!$C$23*(E617/'THAM_SO_MOI'!$C$22)+'THAM_SO_MOI'!$C$24*(E617/'THAM_SO_MOI'!$C$22)^2-'THAM_SO_MOI'!$C$25*(E617/'THAM_SO_MOI'!$C$22)^3)</f>
        <v>97.93817211839591</v>
      </c>
      <c r="K617" s="75">
        <f>'THAM_SO_MOI'!$C$31*J617/E617</f>
        <v>430.12627506568657</v>
      </c>
      <c r="L617" s="75">
        <f>K617*'THAM_SO_MOI'!$C$49*'THAM_SO_MOI'!$C$17/'THAM_SO_MOI'!$C$26</f>
        <v>24519.3592500783</v>
      </c>
      <c r="M617" s="75">
        <f>'THAM_SO_MOI'!$C$15*'THAM_SO_MOI'!$C$16*F617^2</f>
        <v>33.72976762943984</v>
      </c>
      <c r="N617" s="75">
        <f>'THAM_SO_MOI'!$C$12*I617</f>
        <v>1130.112</v>
      </c>
      <c r="O617" s="75">
        <f>M617+N617</f>
        <v>1163.84176762944</v>
      </c>
      <c r="P617" s="75">
        <f>(MIN(L617,'THAM_SO_MOI'!$C$41)-O617)/('THAM_SO_MOI'!$C$11*H617)</f>
        <v>0.9616072744750024</v>
      </c>
      <c r="Q617" s="75">
        <f>IF(P617&gt;0,1/P617,NA())</f>
        <v>1.039925577253935</v>
      </c>
      <c r="R617" s="75">
        <f>F617-F616</f>
        <v>0.0035133136094671613</v>
      </c>
      <c r="S617" s="75">
        <f>0.5*(Q616+Q617)*R617</f>
        <v>0.0036535724549199735</v>
      </c>
      <c r="T617" s="75">
        <f>0.5*(F616*Q616+F617*Q617)*R617</f>
        <v>0.012400430011552173</v>
      </c>
      <c r="U617" s="76">
        <f>U616+S617</f>
        <v>2.419721618704148</v>
      </c>
      <c r="V617" s="76">
        <f>V616+T617</f>
        <v>5.513300598644625</v>
      </c>
    </row>
    <row r="618" spans="1:22" ht="19" customHeight="1">
      <c r="A618" s="68" t="s">
        <v>368</v>
      </c>
      <c r="B618" s="74">
        <v>1</v>
      </c>
      <c r="C618" s="68" t="s">
        <v>363</v>
      </c>
      <c r="D618" s="68" t="s">
        <v>364</v>
      </c>
      <c r="E618" s="75">
        <f>60*F618*'THAM_SO_MOI'!$C$49/(2*PI()*'THAM_SO_MOI'!$C$26)</f>
        <v>2177.0</v>
      </c>
      <c r="F618" s="75">
        <f>'THAM_SO_MOI'!$E$49+('THAM_SO_MOI'!$F$49-'THAM_SO_MOI'!$E$49)*612/'THAM_SO_MOI'!$C$42</f>
        <v>3.3993261012491782</v>
      </c>
      <c r="G618" s="75">
        <f>3.6*F618</f>
        <v>12.237573964497042</v>
      </c>
      <c r="H618" s="75">
        <f>'THAM_SO_MOI'!$D$49</f>
        <v>3.1625000000000005</v>
      </c>
      <c r="I618" s="75">
        <f>IF(F618&gt;'THAM_SO_MOI'!$C$14,'THAM_SO_MOI'!$C$13*(1+F618^2/1500),'THAM_SO_MOI'!$C$13)</f>
        <v>0.015</v>
      </c>
      <c r="J618" s="75">
        <f>'THAM_SO_MOI'!$C$40*('THAM_SO_MOI'!$C$23*(E618/'THAM_SO_MOI'!$C$22)+'THAM_SO_MOI'!$C$24*(E618/'THAM_SO_MOI'!$C$22)^2-'THAM_SO_MOI'!$C$25*(E618/'THAM_SO_MOI'!$C$22)^3)</f>
        <v>98.03904096614771</v>
      </c>
      <c r="K618" s="75">
        <f>'THAM_SO_MOI'!$C$31*J618/E618</f>
        <v>430.1242650377052</v>
      </c>
      <c r="L618" s="75">
        <f>K618*'THAM_SO_MOI'!$C$49*'THAM_SO_MOI'!$C$17/'THAM_SO_MOI'!$C$26</f>
        <v>24519.244668382096</v>
      </c>
      <c r="M618" s="75">
        <f>'THAM_SO_MOI'!$C$15*'THAM_SO_MOI'!$C$16*F618^2</f>
        <v>33.79959748220427</v>
      </c>
      <c r="N618" s="75">
        <f>'THAM_SO_MOI'!$C$12*I618</f>
        <v>1130.112</v>
      </c>
      <c r="O618" s="75">
        <f>M618+N618</f>
        <v>1163.9115974822043</v>
      </c>
      <c r="P618" s="75">
        <f>(MIN(L618,'THAM_SO_MOI'!$C$41)-O618)/('THAM_SO_MOI'!$C$11*H618)</f>
        <v>0.9615996817728873</v>
      </c>
      <c r="Q618" s="75">
        <f>IF(P618&gt;0,1/P618,NA())</f>
        <v>1.0399337884100737</v>
      </c>
      <c r="R618" s="75">
        <f>F618-F617</f>
        <v>0.0035133136094680495</v>
      </c>
      <c r="S618" s="75">
        <f>0.5*(Q617+Q618)*R618</f>
        <v>0.0036535991075834734</v>
      </c>
      <c r="T618" s="75">
        <f>0.5*(F617*Q617+F618*Q618)*R618</f>
        <v>0.012413356715513437</v>
      </c>
      <c r="U618" s="76">
        <f>U617+S618</f>
        <v>2.4233752178117314</v>
      </c>
      <c r="V618" s="76">
        <f>V617+T618</f>
        <v>5.525713955360138</v>
      </c>
    </row>
    <row r="619" spans="1:22" ht="19" customHeight="1">
      <c r="A619" s="68" t="s">
        <v>368</v>
      </c>
      <c r="B619" s="74">
        <v>1</v>
      </c>
      <c r="C619" s="68" t="s">
        <v>363</v>
      </c>
      <c r="D619" s="68" t="s">
        <v>364</v>
      </c>
      <c r="E619" s="75">
        <f>60*F619*'THAM_SO_MOI'!$C$49/(2*PI()*'THAM_SO_MOI'!$C$26)</f>
        <v>2179.2499999999995</v>
      </c>
      <c r="F619" s="75">
        <f>'THAM_SO_MOI'!$E$49+('THAM_SO_MOI'!$F$49-'THAM_SO_MOI'!$E$49)*613/'THAM_SO_MOI'!$C$42</f>
        <v>3.4028394148586454</v>
      </c>
      <c r="G619" s="75">
        <f>3.6*F619</f>
        <v>12.250221893491124</v>
      </c>
      <c r="H619" s="75">
        <f>'THAM_SO_MOI'!$D$49</f>
        <v>3.1625000000000005</v>
      </c>
      <c r="I619" s="75">
        <f>IF(F619&gt;'THAM_SO_MOI'!$C$14,'THAM_SO_MOI'!$C$13*(1+F619^2/1500),'THAM_SO_MOI'!$C$13)</f>
        <v>0.015</v>
      </c>
      <c r="J619" s="75">
        <f>'THAM_SO_MOI'!$C$40*('THAM_SO_MOI'!$C$23*(E619/'THAM_SO_MOI'!$C$22)+'THAM_SO_MOI'!$C$24*(E619/'THAM_SO_MOI'!$C$22)^2-'THAM_SO_MOI'!$C$25*(E619/'THAM_SO_MOI'!$C$22)^3)</f>
        <v>98.139796805144</v>
      </c>
      <c r="K619" s="75">
        <f>'THAM_SO_MOI'!$C$31*J619/E619</f>
        <v>430.12176387166505</v>
      </c>
      <c r="L619" s="75">
        <f>K619*'THAM_SO_MOI'!$C$49*'THAM_SO_MOI'!$C$17/'THAM_SO_MOI'!$C$26</f>
        <v>24519.102089348366</v>
      </c>
      <c r="M619" s="75">
        <f>'THAM_SO_MOI'!$C$15*'THAM_SO_MOI'!$C$16*F619^2</f>
        <v>33.86949954369793</v>
      </c>
      <c r="N619" s="75">
        <f>'THAM_SO_MOI'!$C$12*I619</f>
        <v>1130.112</v>
      </c>
      <c r="O619" s="75">
        <f>M619+N619</f>
        <v>1163.981499543698</v>
      </c>
      <c r="P619" s="75">
        <f>(MIN(L619,'THAM_SO_MOI'!$C$41)-O619)/('THAM_SO_MOI'!$C$11*H619)</f>
        <v>0.961590933374698</v>
      </c>
      <c r="Q619" s="75">
        <f>IF(P619&gt;0,1/P619,NA())</f>
        <v>1.0399432495588385</v>
      </c>
      <c r="R619" s="75">
        <f>F619-F618</f>
        <v>0.0035133136094671613</v>
      </c>
      <c r="S619" s="75">
        <f>0.5*(Q618+Q619)*R619</f>
        <v>0.0036536301517572137</v>
      </c>
      <c r="T619" s="75">
        <f>0.5*(F618*Q618+F619*Q619)*R619</f>
        <v>0.012426298542642978</v>
      </c>
      <c r="U619" s="76">
        <f>U618+S619</f>
        <v>2.4270288479634887</v>
      </c>
      <c r="V619" s="76">
        <f>V618+T619</f>
        <v>5.538140253902781</v>
      </c>
    </row>
    <row r="620" spans="1:22" ht="19" customHeight="1">
      <c r="A620" s="68" t="s">
        <v>368</v>
      </c>
      <c r="B620" s="74">
        <v>1</v>
      </c>
      <c r="C620" s="68" t="s">
        <v>363</v>
      </c>
      <c r="D620" s="68" t="s">
        <v>364</v>
      </c>
      <c r="E620" s="75">
        <f>60*F620*'THAM_SO_MOI'!$C$49/(2*PI()*'THAM_SO_MOI'!$C$26)</f>
        <v>2181.5</v>
      </c>
      <c r="F620" s="75">
        <f>'THAM_SO_MOI'!$E$49+('THAM_SO_MOI'!$F$49-'THAM_SO_MOI'!$E$49)*614/'THAM_SO_MOI'!$C$42</f>
        <v>3.4063527284681134</v>
      </c>
      <c r="G620" s="75">
        <f>3.6*F620</f>
        <v>12.262869822485209</v>
      </c>
      <c r="H620" s="75">
        <f>'THAM_SO_MOI'!$D$49</f>
        <v>3.1625000000000005</v>
      </c>
      <c r="I620" s="75">
        <f>IF(F620&gt;'THAM_SO_MOI'!$C$14,'THAM_SO_MOI'!$C$13*(1+F620^2/1500),'THAM_SO_MOI'!$C$13)</f>
        <v>0.015</v>
      </c>
      <c r="J620" s="75">
        <f>'THAM_SO_MOI'!$C$40*('THAM_SO_MOI'!$C$23*(E620/'THAM_SO_MOI'!$C$22)+'THAM_SO_MOI'!$C$24*(E620/'THAM_SO_MOI'!$C$22)^2-'THAM_SO_MOI'!$C$25*(E620/'THAM_SO_MOI'!$C$22)^3)</f>
        <v>98.2404392882854</v>
      </c>
      <c r="K620" s="75">
        <f>'THAM_SO_MOI'!$C$31*J620/E620</f>
        <v>430.1187715675662</v>
      </c>
      <c r="L620" s="75">
        <f>K620*'THAM_SO_MOI'!$C$49*'THAM_SO_MOI'!$C$17/'THAM_SO_MOI'!$C$26</f>
        <v>24518.931512977102</v>
      </c>
      <c r="M620" s="75">
        <f>'THAM_SO_MOI'!$C$15*'THAM_SO_MOI'!$C$16*F620^2</f>
        <v>33.93947381392083</v>
      </c>
      <c r="N620" s="75">
        <f>'THAM_SO_MOI'!$C$12*I620</f>
        <v>1130.112</v>
      </c>
      <c r="O620" s="75">
        <f>M620+N620</f>
        <v>1164.051473813921</v>
      </c>
      <c r="P620" s="75">
        <f>(MIN(L620,'THAM_SO_MOI'!$C$41)-O620)/('THAM_SO_MOI'!$C$11*H620)</f>
        <v>0.9615810292804339</v>
      </c>
      <c r="Q620" s="75">
        <f>IF(P620&gt;0,1/P620,NA())</f>
        <v>1.0399539607684603</v>
      </c>
      <c r="R620" s="75">
        <f>F620-F619</f>
        <v>0.0035133136094680495</v>
      </c>
      <c r="S620" s="75">
        <f>0.5*(Q619+Q620)*R620</f>
        <v>0.0036536655876687643</v>
      </c>
      <c r="T620" s="75">
        <f>0.5*(F619*Q619+F620*Q620)*R620</f>
        <v>0.01243925554000186</v>
      </c>
      <c r="U620" s="76">
        <f>U619+S620</f>
        <v>2.4306825135511576</v>
      </c>
      <c r="V620" s="76">
        <f>V619+T620</f>
        <v>5.550579509442783</v>
      </c>
    </row>
    <row r="621" spans="1:22" ht="19" customHeight="1">
      <c r="A621" s="68" t="s">
        <v>368</v>
      </c>
      <c r="B621" s="74">
        <v>1</v>
      </c>
      <c r="C621" s="68" t="s">
        <v>363</v>
      </c>
      <c r="D621" s="68" t="s">
        <v>364</v>
      </c>
      <c r="E621" s="75">
        <f>60*F621*'THAM_SO_MOI'!$C$49/(2*PI()*'THAM_SO_MOI'!$C$26)</f>
        <v>2183.7499999999995</v>
      </c>
      <c r="F621" s="75">
        <f>'THAM_SO_MOI'!$E$49+('THAM_SO_MOI'!$F$49-'THAM_SO_MOI'!$E$49)*615/'THAM_SO_MOI'!$C$42</f>
        <v>3.4098660420775806</v>
      </c>
      <c r="G621" s="75">
        <f>3.6*F621</f>
        <v>12.27551775147929</v>
      </c>
      <c r="H621" s="75">
        <f>'THAM_SO_MOI'!$D$49</f>
        <v>3.1625000000000005</v>
      </c>
      <c r="I621" s="75">
        <f>IF(F621&gt;'THAM_SO_MOI'!$C$14,'THAM_SO_MOI'!$C$13*(1+F621^2/1500),'THAM_SO_MOI'!$C$13)</f>
        <v>0.015</v>
      </c>
      <c r="J621" s="75">
        <f>'THAM_SO_MOI'!$C$40*('THAM_SO_MOI'!$C$23*(E621/'THAM_SO_MOI'!$C$22)+'THAM_SO_MOI'!$C$24*(E621/'THAM_SO_MOI'!$C$22)^2-'THAM_SO_MOI'!$C$25*(E621/'THAM_SO_MOI'!$C$22)^3)</f>
        <v>98.34096806847224</v>
      </c>
      <c r="K621" s="75">
        <f>'THAM_SO_MOI'!$C$31*J621/E621</f>
        <v>430.1152881254087</v>
      </c>
      <c r="L621" s="75">
        <f>K621*'THAM_SO_MOI'!$C$49*'THAM_SO_MOI'!$C$17/'THAM_SO_MOI'!$C$26</f>
        <v>24518.732939268313</v>
      </c>
      <c r="M621" s="75">
        <f>'THAM_SO_MOI'!$C$15*'THAM_SO_MOI'!$C$16*F621^2</f>
        <v>34.009520292872935</v>
      </c>
      <c r="N621" s="75">
        <f>'THAM_SO_MOI'!$C$12*I621</f>
        <v>1130.112</v>
      </c>
      <c r="O621" s="75">
        <f>M621+N621</f>
        <v>1164.121520292873</v>
      </c>
      <c r="P621" s="75">
        <f>(MIN(L621,'THAM_SO_MOI'!$C$41)-O621)/('THAM_SO_MOI'!$C$11*H621)</f>
        <v>0.9615699694900954</v>
      </c>
      <c r="Q621" s="75">
        <f>IF(P621&gt;0,1/P621,NA())</f>
        <v>1.039965922116186</v>
      </c>
      <c r="R621" s="75">
        <f>F621-F620</f>
        <v>0.0035133136094671613</v>
      </c>
      <c r="S621" s="75">
        <f>0.5*(Q620+Q621)*R621</f>
        <v>0.0036537054155699866</v>
      </c>
      <c r="T621" s="75">
        <f>0.5*(F620*Q620+F621*Q621)*R621</f>
        <v>0.01245222775473714</v>
      </c>
      <c r="U621" s="76">
        <f>U620+S621</f>
        <v>2.4343362189667275</v>
      </c>
      <c r="V621" s="76">
        <f>V620+T621</f>
        <v>5.56303173719752</v>
      </c>
    </row>
    <row r="622" spans="1:22" ht="19" customHeight="1">
      <c r="A622" s="68" t="s">
        <v>368</v>
      </c>
      <c r="B622" s="74">
        <v>1</v>
      </c>
      <c r="C622" s="68" t="s">
        <v>363</v>
      </c>
      <c r="D622" s="68" t="s">
        <v>364</v>
      </c>
      <c r="E622" s="75">
        <f>60*F622*'THAM_SO_MOI'!$C$49/(2*PI()*'THAM_SO_MOI'!$C$26)</f>
        <v>2185.9999999999995</v>
      </c>
      <c r="F622" s="75">
        <f>'THAM_SO_MOI'!$E$49+('THAM_SO_MOI'!$F$49-'THAM_SO_MOI'!$E$49)*616/'THAM_SO_MOI'!$C$42</f>
        <v>3.4133793556870478</v>
      </c>
      <c r="G622" s="75">
        <f>3.6*F622</f>
        <v>12.288165680473373</v>
      </c>
      <c r="H622" s="75">
        <f>'THAM_SO_MOI'!$D$49</f>
        <v>3.1625000000000005</v>
      </c>
      <c r="I622" s="75">
        <f>IF(F622&gt;'THAM_SO_MOI'!$C$14,'THAM_SO_MOI'!$C$13*(1+F622^2/1500),'THAM_SO_MOI'!$C$13)</f>
        <v>0.015</v>
      </c>
      <c r="J622" s="75">
        <f>'THAM_SO_MOI'!$C$40*('THAM_SO_MOI'!$C$23*(E622/'THAM_SO_MOI'!$C$22)+'THAM_SO_MOI'!$C$24*(E622/'THAM_SO_MOI'!$C$22)^2-'THAM_SO_MOI'!$C$25*(E622/'THAM_SO_MOI'!$C$22)^3)</f>
        <v>98.441382798605</v>
      </c>
      <c r="K622" s="75">
        <f>'THAM_SO_MOI'!$C$31*J622/E622</f>
        <v>430.1113135451923</v>
      </c>
      <c r="L622" s="75">
        <f>K622*'THAM_SO_MOI'!$C$49*'THAM_SO_MOI'!$C$17/'THAM_SO_MOI'!$C$26</f>
        <v>24518.506368221984</v>
      </c>
      <c r="M622" s="75">
        <f>'THAM_SO_MOI'!$C$15*'THAM_SO_MOI'!$C$16*F622^2</f>
        <v>34.079638980554286</v>
      </c>
      <c r="N622" s="75">
        <f>'THAM_SO_MOI'!$C$12*I622</f>
        <v>1130.112</v>
      </c>
      <c r="O622" s="75">
        <f>M622+N622</f>
        <v>1164.1916389805544</v>
      </c>
      <c r="P622" s="75">
        <f>(MIN(L622,'THAM_SO_MOI'!$C$41)-O622)/('THAM_SO_MOI'!$C$11*H622)</f>
        <v>0.9615577540036818</v>
      </c>
      <c r="Q622" s="75">
        <f>IF(P622&gt;0,1/P622,NA())</f>
        <v>1.0399791336882829</v>
      </c>
      <c r="R622" s="75">
        <f>F622-F621</f>
        <v>0.0035133136094671613</v>
      </c>
      <c r="S622" s="75">
        <f>0.5*(Q621+Q622)*R622</f>
        <v>0.0036537496357508877</v>
      </c>
      <c r="T622" s="75">
        <f>0.5*(F621*Q621+F622*Q622)*R622</f>
        <v>0.012465215234129554</v>
      </c>
      <c r="U622" s="76">
        <f>U621+S622</f>
        <v>2.437989968602478</v>
      </c>
      <c r="V622" s="76">
        <f>V621+T622</f>
        <v>5.57549695243165</v>
      </c>
    </row>
    <row r="623" spans="1:22" ht="19" customHeight="1">
      <c r="A623" s="68" t="s">
        <v>368</v>
      </c>
      <c r="B623" s="74">
        <v>1</v>
      </c>
      <c r="C623" s="68" t="s">
        <v>363</v>
      </c>
      <c r="D623" s="68" t="s">
        <v>364</v>
      </c>
      <c r="E623" s="75">
        <f>60*F623*'THAM_SO_MOI'!$C$49/(2*PI()*'THAM_SO_MOI'!$C$26)</f>
        <v>2188.25</v>
      </c>
      <c r="F623" s="75">
        <f>'THAM_SO_MOI'!$E$49+('THAM_SO_MOI'!$F$49-'THAM_SO_MOI'!$E$49)*617/'THAM_SO_MOI'!$C$42</f>
        <v>3.416892669296516</v>
      </c>
      <c r="G623" s="75">
        <f>3.6*F623</f>
        <v>12.300813609467458</v>
      </c>
      <c r="H623" s="75">
        <f>'THAM_SO_MOI'!$D$49</f>
        <v>3.1625000000000005</v>
      </c>
      <c r="I623" s="75">
        <f>IF(F623&gt;'THAM_SO_MOI'!$C$14,'THAM_SO_MOI'!$C$13*(1+F623^2/1500),'THAM_SO_MOI'!$C$13)</f>
        <v>0.015</v>
      </c>
      <c r="J623" s="75">
        <f>'THAM_SO_MOI'!$C$40*('THAM_SO_MOI'!$C$23*(E623/'THAM_SO_MOI'!$C$22)+'THAM_SO_MOI'!$C$24*(E623/'THAM_SO_MOI'!$C$22)^2-'THAM_SO_MOI'!$C$25*(E623/'THAM_SO_MOI'!$C$22)^3)</f>
        <v>98.54168313158421</v>
      </c>
      <c r="K623" s="75">
        <f>'THAM_SO_MOI'!$C$31*J623/E623</f>
        <v>430.10684782691715</v>
      </c>
      <c r="L623" s="75">
        <f>K623*'THAM_SO_MOI'!$C$49*'THAM_SO_MOI'!$C$17/'THAM_SO_MOI'!$C$26</f>
        <v>24518.25179983813</v>
      </c>
      <c r="M623" s="75">
        <f>'THAM_SO_MOI'!$C$15*'THAM_SO_MOI'!$C$16*F623^2</f>
        <v>34.14982987696489</v>
      </c>
      <c r="N623" s="75">
        <f>'THAM_SO_MOI'!$C$12*I623</f>
        <v>1130.112</v>
      </c>
      <c r="O623" s="75">
        <f>M623+N623</f>
        <v>1164.261829876965</v>
      </c>
      <c r="P623" s="75">
        <f>(MIN(L623,'THAM_SO_MOI'!$C$41)-O623)/('THAM_SO_MOI'!$C$11*H623)</f>
        <v>0.961544382821194</v>
      </c>
      <c r="Q623" s="75">
        <f>IF(P623&gt;0,1/P623,NA())</f>
        <v>1.039993595580036</v>
      </c>
      <c r="R623" s="75">
        <f>F623-F622</f>
        <v>0.0035133136094680495</v>
      </c>
      <c r="S623" s="75">
        <f>0.5*(Q622+Q623)*R623</f>
        <v>0.0036537982485303935</v>
      </c>
      <c r="T623" s="75">
        <f>0.5*(F622*Q622+F623*Q623)*R623</f>
        <v>0.012478218025562674</v>
      </c>
      <c r="U623" s="76">
        <f>U622+S623</f>
        <v>2.4416437668510085</v>
      </c>
      <c r="V623" s="76">
        <f>V622+T623</f>
        <v>5.587975170457213</v>
      </c>
    </row>
    <row r="624" spans="1:22" ht="19" customHeight="1">
      <c r="A624" s="68" t="s">
        <v>368</v>
      </c>
      <c r="B624" s="74">
        <v>1</v>
      </c>
      <c r="C624" s="68" t="s">
        <v>363</v>
      </c>
      <c r="D624" s="68" t="s">
        <v>364</v>
      </c>
      <c r="E624" s="75">
        <f>60*F624*'THAM_SO_MOI'!$C$49/(2*PI()*'THAM_SO_MOI'!$C$26)</f>
        <v>2190.4999999999995</v>
      </c>
      <c r="F624" s="75">
        <f>'THAM_SO_MOI'!$E$49+('THAM_SO_MOI'!$F$49-'THAM_SO_MOI'!$E$49)*618/'THAM_SO_MOI'!$C$42</f>
        <v>3.420405982905983</v>
      </c>
      <c r="G624" s="75">
        <f>3.6*F624</f>
        <v>12.313461538461539</v>
      </c>
      <c r="H624" s="75">
        <f>'THAM_SO_MOI'!$D$49</f>
        <v>3.1625000000000005</v>
      </c>
      <c r="I624" s="75">
        <f>IF(F624&gt;'THAM_SO_MOI'!$C$14,'THAM_SO_MOI'!$C$13*(1+F624^2/1500),'THAM_SO_MOI'!$C$13)</f>
        <v>0.015</v>
      </c>
      <c r="J624" s="75">
        <f>'THAM_SO_MOI'!$C$40*('THAM_SO_MOI'!$C$23*(E624/'THAM_SO_MOI'!$C$22)+'THAM_SO_MOI'!$C$24*(E624/'THAM_SO_MOI'!$C$22)^2-'THAM_SO_MOI'!$C$25*(E624/'THAM_SO_MOI'!$C$22)^3)</f>
        <v>98.6418687203102</v>
      </c>
      <c r="K624" s="75">
        <f>'THAM_SO_MOI'!$C$31*J624/E624</f>
        <v>430.10189097058316</v>
      </c>
      <c r="L624" s="75">
        <f>K624*'THAM_SO_MOI'!$C$49*'THAM_SO_MOI'!$C$17/'THAM_SO_MOI'!$C$26</f>
        <v>24517.96923411674</v>
      </c>
      <c r="M624" s="75">
        <f>'THAM_SO_MOI'!$C$15*'THAM_SO_MOI'!$C$16*F624^2</f>
        <v>34.2200929821047</v>
      </c>
      <c r="N624" s="75">
        <f>'THAM_SO_MOI'!$C$12*I624</f>
        <v>1130.112</v>
      </c>
      <c r="O624" s="75">
        <f>M624+N624</f>
        <v>1164.3320929821048</v>
      </c>
      <c r="P624" s="75">
        <f>(MIN(L624,'THAM_SO_MOI'!$C$41)-O624)/('THAM_SO_MOI'!$C$11*H624)</f>
        <v>0.9615298559426313</v>
      </c>
      <c r="Q624" s="75">
        <f>IF(P624&gt;0,1/P624,NA())</f>
        <v>1.040009307895754</v>
      </c>
      <c r="R624" s="75">
        <f>F624-F623</f>
        <v>0.0035133136094671613</v>
      </c>
      <c r="S624" s="75">
        <f>0.5*(Q623+Q624)*R624</f>
        <v>0.003653851254256351</v>
      </c>
      <c r="T624" s="75">
        <f>0.5*(F623*Q623+F624*Q624)*R624</f>
        <v>0.012491236176523422</v>
      </c>
      <c r="U624" s="76">
        <f>U623+S624</f>
        <v>2.445297618105265</v>
      </c>
      <c r="V624" s="76">
        <f>V623+T624</f>
        <v>5.600466406633736</v>
      </c>
    </row>
    <row r="625" spans="1:22" ht="19" customHeight="1">
      <c r="A625" s="68" t="s">
        <v>368</v>
      </c>
      <c r="B625" s="74">
        <v>1</v>
      </c>
      <c r="C625" s="68" t="s">
        <v>363</v>
      </c>
      <c r="D625" s="68" t="s">
        <v>364</v>
      </c>
      <c r="E625" s="75">
        <f>60*F625*'THAM_SO_MOI'!$C$49/(2*PI()*'THAM_SO_MOI'!$C$26)</f>
        <v>2192.7499999999995</v>
      </c>
      <c r="F625" s="75">
        <f>'THAM_SO_MOI'!$E$49+('THAM_SO_MOI'!$F$49-'THAM_SO_MOI'!$E$49)*619/'THAM_SO_MOI'!$C$42</f>
        <v>3.42391929651545</v>
      </c>
      <c r="G625" s="75">
        <f>3.6*F625</f>
        <v>12.326109467455622</v>
      </c>
      <c r="H625" s="75">
        <f>'THAM_SO_MOI'!$D$49</f>
        <v>3.1625000000000005</v>
      </c>
      <c r="I625" s="75">
        <f>IF(F625&gt;'THAM_SO_MOI'!$C$14,'THAM_SO_MOI'!$C$13*(1+F625^2/1500),'THAM_SO_MOI'!$C$13)</f>
        <v>0.015</v>
      </c>
      <c r="J625" s="75">
        <f>'THAM_SO_MOI'!$C$40*('THAM_SO_MOI'!$C$23*(E625/'THAM_SO_MOI'!$C$22)+'THAM_SO_MOI'!$C$24*(E625/'THAM_SO_MOI'!$C$22)^2-'THAM_SO_MOI'!$C$25*(E625/'THAM_SO_MOI'!$C$22)^3)</f>
        <v>98.74193921768351</v>
      </c>
      <c r="K625" s="75">
        <f>'THAM_SO_MOI'!$C$31*J625/E625</f>
        <v>430.0964429761904</v>
      </c>
      <c r="L625" s="75">
        <f>K625*'THAM_SO_MOI'!$C$49*'THAM_SO_MOI'!$C$17/'THAM_SO_MOI'!$C$26</f>
        <v>24517.658671057816</v>
      </c>
      <c r="M625" s="75">
        <f>'THAM_SO_MOI'!$C$15*'THAM_SO_MOI'!$C$16*F625^2</f>
        <v>34.290428295973754</v>
      </c>
      <c r="N625" s="75">
        <f>'THAM_SO_MOI'!$C$12*I625</f>
        <v>1130.112</v>
      </c>
      <c r="O625" s="75">
        <f>M625+N625</f>
        <v>1164.4024282959738</v>
      </c>
      <c r="P625" s="75">
        <f>(MIN(L625,'THAM_SO_MOI'!$C$41)-O625)/('THAM_SO_MOI'!$C$11*H625)</f>
        <v>0.9615141733679939</v>
      </c>
      <c r="Q625" s="75">
        <f>IF(P625&gt;0,1/P625,NA())</f>
        <v>1.0400262707487689</v>
      </c>
      <c r="R625" s="75">
        <f>F625-F624</f>
        <v>0.0035133136094671613</v>
      </c>
      <c r="S625" s="75">
        <f>0.5*(Q624+Q625)*R625</f>
        <v>0.0036539086533138522</v>
      </c>
      <c r="T625" s="75">
        <f>0.5*(F624*Q624+F625*Q625)*R625</f>
        <v>0.012504269734631064</v>
      </c>
      <c r="U625" s="76">
        <f>U624+S625</f>
        <v>2.4489515267585786</v>
      </c>
      <c r="V625" s="76">
        <f>V624+T625</f>
        <v>5.612970676368367</v>
      </c>
    </row>
    <row r="626" spans="1:22" ht="19" customHeight="1">
      <c r="A626" s="68" t="s">
        <v>368</v>
      </c>
      <c r="B626" s="74">
        <v>1</v>
      </c>
      <c r="C626" s="68" t="s">
        <v>363</v>
      </c>
      <c r="D626" s="68" t="s">
        <v>364</v>
      </c>
      <c r="E626" s="75">
        <f>60*F626*'THAM_SO_MOI'!$C$49/(2*PI()*'THAM_SO_MOI'!$C$26)</f>
        <v>2195.0</v>
      </c>
      <c r="F626" s="75">
        <f>'THAM_SO_MOI'!$E$49+('THAM_SO_MOI'!$F$49-'THAM_SO_MOI'!$E$49)*620/'THAM_SO_MOI'!$C$42</f>
        <v>3.427432610124918</v>
      </c>
      <c r="G626" s="75">
        <f>3.6*F626</f>
        <v>12.338757396449706</v>
      </c>
      <c r="H626" s="75">
        <f>'THAM_SO_MOI'!$D$49</f>
        <v>3.1625000000000005</v>
      </c>
      <c r="I626" s="75">
        <f>IF(F626&gt;'THAM_SO_MOI'!$C$14,'THAM_SO_MOI'!$C$13*(1+F626^2/1500),'THAM_SO_MOI'!$C$13)</f>
        <v>0.015</v>
      </c>
      <c r="J626" s="75">
        <f>'THAM_SO_MOI'!$C$40*('THAM_SO_MOI'!$C$23*(E626/'THAM_SO_MOI'!$C$22)+'THAM_SO_MOI'!$C$24*(E626/'THAM_SO_MOI'!$C$22)^2-'THAM_SO_MOI'!$C$25*(E626/'THAM_SO_MOI'!$C$22)^3)</f>
        <v>98.84189427660459</v>
      </c>
      <c r="K626" s="75">
        <f>'THAM_SO_MOI'!$C$31*J626/E626</f>
        <v>430.0905038437388</v>
      </c>
      <c r="L626" s="75">
        <f>K626*'THAM_SO_MOI'!$C$49*'THAM_SO_MOI'!$C$17/'THAM_SO_MOI'!$C$26</f>
        <v>24517.320110661352</v>
      </c>
      <c r="M626" s="75">
        <f>'THAM_SO_MOI'!$C$15*'THAM_SO_MOI'!$C$16*F626^2</f>
        <v>34.360835818572056</v>
      </c>
      <c r="N626" s="75">
        <f>'THAM_SO_MOI'!$C$12*I626</f>
        <v>1130.112</v>
      </c>
      <c r="O626" s="75">
        <f>M626+N626</f>
        <v>1164.472835818572</v>
      </c>
      <c r="P626" s="75">
        <f>(MIN(L626,'THAM_SO_MOI'!$C$41)-O626)/('THAM_SO_MOI'!$C$11*H626)</f>
        <v>0.9614973350972815</v>
      </c>
      <c r="Q626" s="75">
        <f>IF(P626&gt;0,1/P626,NA())</f>
        <v>1.040044484261439</v>
      </c>
      <c r="R626" s="75">
        <f>F626-F625</f>
        <v>0.0035133136094680495</v>
      </c>
      <c r="S626" s="75">
        <f>0.5*(Q625+Q626)*R626</f>
        <v>0.003653970446116922</v>
      </c>
      <c r="T626" s="75">
        <f>0.5*(F625*Q625+F626*Q626)*R626</f>
        <v>0.012517318747609408</v>
      </c>
      <c r="U626" s="76">
        <f>U625+S626</f>
        <v>2.4526054972046953</v>
      </c>
      <c r="V626" s="76">
        <f>V625+T626</f>
        <v>5.625487995115977</v>
      </c>
    </row>
    <row r="627" spans="1:22" ht="19" customHeight="1">
      <c r="A627" s="68" t="s">
        <v>368</v>
      </c>
      <c r="B627" s="74">
        <v>1</v>
      </c>
      <c r="C627" s="68" t="s">
        <v>363</v>
      </c>
      <c r="D627" s="68" t="s">
        <v>364</v>
      </c>
      <c r="E627" s="75">
        <f>60*F627*'THAM_SO_MOI'!$C$49/(2*PI()*'THAM_SO_MOI'!$C$26)</f>
        <v>2197.2499999999995</v>
      </c>
      <c r="F627" s="75">
        <f>'THAM_SO_MOI'!$E$49+('THAM_SO_MOI'!$F$49-'THAM_SO_MOI'!$E$49)*621/'THAM_SO_MOI'!$C$42</f>
        <v>3.4309459237343853</v>
      </c>
      <c r="G627" s="75">
        <f>3.6*F627</f>
        <v>12.351405325443787</v>
      </c>
      <c r="H627" s="75">
        <f>'THAM_SO_MOI'!$D$49</f>
        <v>3.1625000000000005</v>
      </c>
      <c r="I627" s="75">
        <f>IF(F627&gt;'THAM_SO_MOI'!$C$14,'THAM_SO_MOI'!$C$13*(1+F627^2/1500),'THAM_SO_MOI'!$C$13)</f>
        <v>0.015</v>
      </c>
      <c r="J627" s="75">
        <f>'THAM_SO_MOI'!$C$40*('THAM_SO_MOI'!$C$23*(E627/'THAM_SO_MOI'!$C$22)+'THAM_SO_MOI'!$C$24*(E627/'THAM_SO_MOI'!$C$22)^2-'THAM_SO_MOI'!$C$25*(E627/'THAM_SO_MOI'!$C$22)^3)</f>
        <v>98.94173354997386</v>
      </c>
      <c r="K627" s="75">
        <f>'THAM_SO_MOI'!$C$31*J627/E627</f>
        <v>430.0840735732286</v>
      </c>
      <c r="L627" s="75">
        <f>K627*'THAM_SO_MOI'!$C$49*'THAM_SO_MOI'!$C$17/'THAM_SO_MOI'!$C$26</f>
        <v>24516.953552927367</v>
      </c>
      <c r="M627" s="75">
        <f>'THAM_SO_MOI'!$C$15*'THAM_SO_MOI'!$C$16*F627^2</f>
        <v>34.43131554989957</v>
      </c>
      <c r="N627" s="75">
        <f>'THAM_SO_MOI'!$C$12*I627</f>
        <v>1130.112</v>
      </c>
      <c r="O627" s="75">
        <f>M627+N627</f>
        <v>1164.5433155498997</v>
      </c>
      <c r="P627" s="75">
        <f>(MIN(L627,'THAM_SO_MOI'!$C$41)-O627)/('THAM_SO_MOI'!$C$11*H627)</f>
        <v>0.9614793411304949</v>
      </c>
      <c r="Q627" s="75">
        <f>IF(P627&gt;0,1/P627,NA())</f>
        <v>1.0400639485651486</v>
      </c>
      <c r="R627" s="75">
        <f>F627-F626</f>
        <v>0.0035133136094671613</v>
      </c>
      <c r="S627" s="75">
        <f>0.5*(Q626+Q627)*R627</f>
        <v>0.0036540366331085294</v>
      </c>
      <c r="T627" s="75">
        <f>0.5*(F626*Q626+F627*Q627)*R627</f>
        <v>0.01253038326328732</v>
      </c>
      <c r="U627" s="76">
        <f>U626+S627</f>
        <v>2.456259533837804</v>
      </c>
      <c r="V627" s="76">
        <f>V626+T627</f>
        <v>5.638018378379265</v>
      </c>
    </row>
    <row r="628" spans="1:22" ht="19" customHeight="1">
      <c r="A628" s="68" t="s">
        <v>368</v>
      </c>
      <c r="B628" s="74">
        <v>1</v>
      </c>
      <c r="C628" s="68" t="s">
        <v>363</v>
      </c>
      <c r="D628" s="68" t="s">
        <v>364</v>
      </c>
      <c r="E628" s="75">
        <f>60*F628*'THAM_SO_MOI'!$C$49/(2*PI()*'THAM_SO_MOI'!$C$26)</f>
        <v>2199.4999999999995</v>
      </c>
      <c r="F628" s="75">
        <f>'THAM_SO_MOI'!$E$49+('THAM_SO_MOI'!$F$49-'THAM_SO_MOI'!$E$49)*622/'THAM_SO_MOI'!$C$42</f>
        <v>3.4344592373438525</v>
      </c>
      <c r="G628" s="75">
        <f>3.6*F628</f>
        <v>12.36405325443787</v>
      </c>
      <c r="H628" s="75">
        <f>'THAM_SO_MOI'!$D$49</f>
        <v>3.1625000000000005</v>
      </c>
      <c r="I628" s="75">
        <f>IF(F628&gt;'THAM_SO_MOI'!$C$14,'THAM_SO_MOI'!$C$13*(1+F628^2/1500),'THAM_SO_MOI'!$C$13)</f>
        <v>0.015</v>
      </c>
      <c r="J628" s="75">
        <f>'THAM_SO_MOI'!$C$40*('THAM_SO_MOI'!$C$23*(E628/'THAM_SO_MOI'!$C$22)+'THAM_SO_MOI'!$C$24*(E628/'THAM_SO_MOI'!$C$22)^2-'THAM_SO_MOI'!$C$25*(E628/'THAM_SO_MOI'!$C$22)^3)</f>
        <v>99.04145669069182</v>
      </c>
      <c r="K628" s="75">
        <f>'THAM_SO_MOI'!$C$31*J628/E628</f>
        <v>430.0771521646595</v>
      </c>
      <c r="L628" s="75">
        <f>K628*'THAM_SO_MOI'!$C$49*'THAM_SO_MOI'!$C$17/'THAM_SO_MOI'!$C$26</f>
        <v>24516.558997855846</v>
      </c>
      <c r="M628" s="75">
        <f>'THAM_SO_MOI'!$C$15*'THAM_SO_MOI'!$C$16*F628^2</f>
        <v>34.50186748995631</v>
      </c>
      <c r="N628" s="75">
        <f>'THAM_SO_MOI'!$C$12*I628</f>
        <v>1130.112</v>
      </c>
      <c r="O628" s="75">
        <f>M628+N628</f>
        <v>1164.6138674899564</v>
      </c>
      <c r="P628" s="75">
        <f>(MIN(L628,'THAM_SO_MOI'!$C$41)-O628)/('THAM_SO_MOI'!$C$11*H628)</f>
        <v>0.9614601914676336</v>
      </c>
      <c r="Q628" s="75">
        <f>IF(P628&gt;0,1/P628,NA())</f>
        <v>1.0400846638003147</v>
      </c>
      <c r="R628" s="75">
        <f>F628-F627</f>
        <v>0.0035133136094671613</v>
      </c>
      <c r="S628" s="75">
        <f>0.5*(Q627+Q628)*R628</f>
        <v>0.003654107214768907</v>
      </c>
      <c r="T628" s="75">
        <f>0.5*(F627*Q627+F628*Q628)*R628</f>
        <v>0.012543463329627804</v>
      </c>
      <c r="U628" s="76">
        <f>U627+S628</f>
        <v>2.459913641052573</v>
      </c>
      <c r="V628" s="76">
        <f>V627+T628</f>
        <v>5.6505618417088925</v>
      </c>
    </row>
    <row r="629" spans="1:22" ht="19" customHeight="1">
      <c r="A629" s="68" t="s">
        <v>368</v>
      </c>
      <c r="B629" s="74">
        <v>1</v>
      </c>
      <c r="C629" s="68" t="s">
        <v>363</v>
      </c>
      <c r="D629" s="68" t="s">
        <v>364</v>
      </c>
      <c r="E629" s="75">
        <f>60*F629*'THAM_SO_MOI'!$C$49/(2*PI()*'THAM_SO_MOI'!$C$26)</f>
        <v>2201.75</v>
      </c>
      <c r="F629" s="75">
        <f>'THAM_SO_MOI'!$E$49+('THAM_SO_MOI'!$F$49-'THAM_SO_MOI'!$E$49)*623/'THAM_SO_MOI'!$C$42</f>
        <v>3.4379725509533205</v>
      </c>
      <c r="G629" s="75">
        <f>3.6*F629</f>
        <v>12.376701183431955</v>
      </c>
      <c r="H629" s="75">
        <f>'THAM_SO_MOI'!$D$49</f>
        <v>3.1625000000000005</v>
      </c>
      <c r="I629" s="75">
        <f>IF(F629&gt;'THAM_SO_MOI'!$C$14,'THAM_SO_MOI'!$C$13*(1+F629^2/1500),'THAM_SO_MOI'!$C$13)</f>
        <v>0.015</v>
      </c>
      <c r="J629" s="75">
        <f>'THAM_SO_MOI'!$C$40*('THAM_SO_MOI'!$C$23*(E629/'THAM_SO_MOI'!$C$22)+'THAM_SO_MOI'!$C$24*(E629/'THAM_SO_MOI'!$C$22)^2-'THAM_SO_MOI'!$C$25*(E629/'THAM_SO_MOI'!$C$22)^3)</f>
        <v>99.1410633516589</v>
      </c>
      <c r="K629" s="75">
        <f>'THAM_SO_MOI'!$C$31*J629/E629</f>
        <v>430.06973961803163</v>
      </c>
      <c r="L629" s="75">
        <f>K629*'THAM_SO_MOI'!$C$49*'THAM_SO_MOI'!$C$17/'THAM_SO_MOI'!$C$26</f>
        <v>24516.13644544679</v>
      </c>
      <c r="M629" s="75">
        <f>'THAM_SO_MOI'!$C$15*'THAM_SO_MOI'!$C$16*F629^2</f>
        <v>34.572491638742314</v>
      </c>
      <c r="N629" s="75">
        <f>'THAM_SO_MOI'!$C$12*I629</f>
        <v>1130.112</v>
      </c>
      <c r="O629" s="75">
        <f>M629+N629</f>
        <v>1164.6844916387424</v>
      </c>
      <c r="P629" s="75">
        <f>(MIN(L629,'THAM_SO_MOI'!$C$41)-O629)/('THAM_SO_MOI'!$C$11*H629)</f>
        <v>0.9614398861086976</v>
      </c>
      <c r="Q629" s="75">
        <f>IF(P629&gt;0,1/P629,NA())</f>
        <v>1.0401066301163866</v>
      </c>
      <c r="R629" s="75">
        <f>F629-F628</f>
        <v>0.0035133136094680495</v>
      </c>
      <c r="S629" s="75">
        <f>0.5*(Q628+Q629)*R629</f>
        <v>0.003654182191607249</v>
      </c>
      <c r="T629" s="75">
        <f>0.5*(F628*Q628+F629*Q629)*R629</f>
        <v>0.01255655899470015</v>
      </c>
      <c r="U629" s="76">
        <f>U628+S629</f>
        <v>2.46356782324418</v>
      </c>
      <c r="V629" s="76">
        <f>V628+T629</f>
        <v>5.663118400703593</v>
      </c>
    </row>
    <row r="630" spans="1:22" ht="19" customHeight="1">
      <c r="A630" s="68" t="s">
        <v>368</v>
      </c>
      <c r="B630" s="74">
        <v>1</v>
      </c>
      <c r="C630" s="68" t="s">
        <v>363</v>
      </c>
      <c r="D630" s="68" t="s">
        <v>364</v>
      </c>
      <c r="E630" s="75">
        <f>60*F630*'THAM_SO_MOI'!$C$49/(2*PI()*'THAM_SO_MOI'!$C$26)</f>
        <v>2204.0</v>
      </c>
      <c r="F630" s="75">
        <f>'THAM_SO_MOI'!$E$49+('THAM_SO_MOI'!$F$49-'THAM_SO_MOI'!$E$49)*624/'THAM_SO_MOI'!$C$42</f>
        <v>3.4414858645627877</v>
      </c>
      <c r="G630" s="75">
        <f>3.6*F630</f>
        <v>12.389349112426036</v>
      </c>
      <c r="H630" s="75">
        <f>'THAM_SO_MOI'!$D$49</f>
        <v>3.1625000000000005</v>
      </c>
      <c r="I630" s="75">
        <f>IF(F630&gt;'THAM_SO_MOI'!$C$14,'THAM_SO_MOI'!$C$13*(1+F630^2/1500),'THAM_SO_MOI'!$C$13)</f>
        <v>0.015</v>
      </c>
      <c r="J630" s="75">
        <f>'THAM_SO_MOI'!$C$40*('THAM_SO_MOI'!$C$23*(E630/'THAM_SO_MOI'!$C$22)+'THAM_SO_MOI'!$C$24*(E630/'THAM_SO_MOI'!$C$22)^2-'THAM_SO_MOI'!$C$25*(E630/'THAM_SO_MOI'!$C$22)^3)</f>
        <v>99.24055318577554</v>
      </c>
      <c r="K630" s="75">
        <f>'THAM_SO_MOI'!$C$31*J630/E630</f>
        <v>430.0618359333449</v>
      </c>
      <c r="L630" s="75">
        <f>K630*'THAM_SO_MOI'!$C$49*'THAM_SO_MOI'!$C$17/'THAM_SO_MOI'!$C$26</f>
        <v>24515.6858957002</v>
      </c>
      <c r="M630" s="75">
        <f>'THAM_SO_MOI'!$C$15*'THAM_SO_MOI'!$C$16*F630^2</f>
        <v>34.643187996257524</v>
      </c>
      <c r="N630" s="75">
        <f>'THAM_SO_MOI'!$C$12*I630</f>
        <v>1130.112</v>
      </c>
      <c r="O630" s="75">
        <f>M630+N630</f>
        <v>1164.7551879962575</v>
      </c>
      <c r="P630" s="75">
        <f>(MIN(L630,'THAM_SO_MOI'!$C$41)-O630)/('THAM_SO_MOI'!$C$11*H630)</f>
        <v>0.9614184250536865</v>
      </c>
      <c r="Q630" s="75">
        <f>IF(P630&gt;0,1/P630,NA())</f>
        <v>1.040129847671849</v>
      </c>
      <c r="R630" s="75">
        <f>F630-F629</f>
        <v>0.0035133136094671613</v>
      </c>
      <c r="S630" s="75">
        <f>0.5*(Q629+Q630)*R630</f>
        <v>0.0036542615641617206</v>
      </c>
      <c r="T630" s="75">
        <f>0.5*(F629*Q629+F630*Q630)*R630</f>
        <v>0.012569670306680434</v>
      </c>
      <c r="U630" s="76">
        <f>U629+S630</f>
        <v>2.467222084808342</v>
      </c>
      <c r="V630" s="76">
        <f>V629+T630</f>
        <v>5.675688071010273</v>
      </c>
    </row>
    <row r="631" spans="1:22" ht="19" customHeight="1">
      <c r="A631" s="68" t="s">
        <v>368</v>
      </c>
      <c r="B631" s="74">
        <v>1</v>
      </c>
      <c r="C631" s="68" t="s">
        <v>363</v>
      </c>
      <c r="D631" s="68" t="s">
        <v>364</v>
      </c>
      <c r="E631" s="75">
        <f>60*F631*'THAM_SO_MOI'!$C$49/(2*PI()*'THAM_SO_MOI'!$C$26)</f>
        <v>2206.25</v>
      </c>
      <c r="F631" s="75">
        <f>'THAM_SO_MOI'!$E$49+('THAM_SO_MOI'!$F$49-'THAM_SO_MOI'!$E$49)*625/'THAM_SO_MOI'!$C$42</f>
        <v>3.444999178172255</v>
      </c>
      <c r="G631" s="75">
        <f>3.6*F631</f>
        <v>12.401997041420119</v>
      </c>
      <c r="H631" s="75">
        <f>'THAM_SO_MOI'!$D$49</f>
        <v>3.1625000000000005</v>
      </c>
      <c r="I631" s="75">
        <f>IF(F631&gt;'THAM_SO_MOI'!$C$14,'THAM_SO_MOI'!$C$13*(1+F631^2/1500),'THAM_SO_MOI'!$C$13)</f>
        <v>0.015</v>
      </c>
      <c r="J631" s="75">
        <f>'THAM_SO_MOI'!$C$40*('THAM_SO_MOI'!$C$23*(E631/'THAM_SO_MOI'!$C$22)+'THAM_SO_MOI'!$C$24*(E631/'THAM_SO_MOI'!$C$22)^2-'THAM_SO_MOI'!$C$25*(E631/'THAM_SO_MOI'!$C$22)^3)</f>
        <v>99.33992584594222</v>
      </c>
      <c r="K631" s="75">
        <f>'THAM_SO_MOI'!$C$31*J631/E631</f>
        <v>430.05344111059946</v>
      </c>
      <c r="L631" s="75">
        <f>K631*'THAM_SO_MOI'!$C$49*'THAM_SO_MOI'!$C$17/'THAM_SO_MOI'!$C$26</f>
        <v>24515.207348616077</v>
      </c>
      <c r="M631" s="75">
        <f>'THAM_SO_MOI'!$C$15*'THAM_SO_MOI'!$C$16*F631^2</f>
        <v>34.71395656250198</v>
      </c>
      <c r="N631" s="75">
        <f>'THAM_SO_MOI'!$C$12*I631</f>
        <v>1130.112</v>
      </c>
      <c r="O631" s="75">
        <f>M631+N631</f>
        <v>1164.8259565625021</v>
      </c>
      <c r="P631" s="75">
        <f>(MIN(L631,'THAM_SO_MOI'!$C$41)-O631)/('THAM_SO_MOI'!$C$11*H631)</f>
        <v>0.961395808302601</v>
      </c>
      <c r="Q631" s="75">
        <f>IF(P631&gt;0,1/P631,NA())</f>
        <v>1.0401543166342246</v>
      </c>
      <c r="R631" s="75">
        <f>F631-F630</f>
        <v>0.0035133136094671613</v>
      </c>
      <c r="S631" s="75">
        <f>0.5*(Q630+Q631)*R631</f>
        <v>0.003654345333007774</v>
      </c>
      <c r="T631" s="75">
        <f>0.5*(F630*Q630+F631*Q631)*R631</f>
        <v>0.012582797313880702</v>
      </c>
      <c r="U631" s="76">
        <f>U630+S631</f>
        <v>2.4708764301413497</v>
      </c>
      <c r="V631" s="76">
        <f>V630+T631</f>
        <v>5.688270868324154</v>
      </c>
    </row>
    <row r="632" spans="1:22" ht="19" customHeight="1">
      <c r="A632" s="68" t="s">
        <v>368</v>
      </c>
      <c r="B632" s="74">
        <v>1</v>
      </c>
      <c r="C632" s="68" t="s">
        <v>363</v>
      </c>
      <c r="D632" s="68" t="s">
        <v>364</v>
      </c>
      <c r="E632" s="75">
        <f>60*F632*'THAM_SO_MOI'!$C$49/(2*PI()*'THAM_SO_MOI'!$C$26)</f>
        <v>2208.5</v>
      </c>
      <c r="F632" s="75">
        <f>'THAM_SO_MOI'!$E$49+('THAM_SO_MOI'!$F$49-'THAM_SO_MOI'!$E$49)*626/'THAM_SO_MOI'!$C$42</f>
        <v>3.448512491781723</v>
      </c>
      <c r="G632" s="75">
        <f>3.6*F632</f>
        <v>12.414644970414203</v>
      </c>
      <c r="H632" s="75">
        <f>'THAM_SO_MOI'!$D$49</f>
        <v>3.1625000000000005</v>
      </c>
      <c r="I632" s="75">
        <f>IF(F632&gt;'THAM_SO_MOI'!$C$14,'THAM_SO_MOI'!$C$13*(1+F632^2/1500),'THAM_SO_MOI'!$C$13)</f>
        <v>0.015</v>
      </c>
      <c r="J632" s="75">
        <f>'THAM_SO_MOI'!$C$40*('THAM_SO_MOI'!$C$23*(E632/'THAM_SO_MOI'!$C$22)+'THAM_SO_MOI'!$C$24*(E632/'THAM_SO_MOI'!$C$22)^2-'THAM_SO_MOI'!$C$25*(E632/'THAM_SO_MOI'!$C$22)^3)</f>
        <v>99.43918098505942</v>
      </c>
      <c r="K632" s="75">
        <f>'THAM_SO_MOI'!$C$31*J632/E632</f>
        <v>430.0445551497954</v>
      </c>
      <c r="L632" s="75">
        <f>K632*'THAM_SO_MOI'!$C$49*'THAM_SO_MOI'!$C$17/'THAM_SO_MOI'!$C$26</f>
        <v>24514.70080419444</v>
      </c>
      <c r="M632" s="75">
        <f>'THAM_SO_MOI'!$C$15*'THAM_SO_MOI'!$C$16*F632^2</f>
        <v>34.78479733747567</v>
      </c>
      <c r="N632" s="75">
        <f>'THAM_SO_MOI'!$C$12*I632</f>
        <v>1130.112</v>
      </c>
      <c r="O632" s="75">
        <f>M632+N632</f>
        <v>1164.8967973374758</v>
      </c>
      <c r="P632" s="75">
        <f>(MIN(L632,'THAM_SO_MOI'!$C$41)-O632)/('THAM_SO_MOI'!$C$11*H632)</f>
        <v>0.9613720358554413</v>
      </c>
      <c r="Q632" s="75">
        <f>IF(P632&gt;0,1/P632,NA())</f>
        <v>1.0401800371800778</v>
      </c>
      <c r="R632" s="75">
        <f>F632-F631</f>
        <v>0.0035133136094680495</v>
      </c>
      <c r="S632" s="75">
        <f>0.5*(Q631+Q632)*R632</f>
        <v>0.0036544334987498547</v>
      </c>
      <c r="T632" s="75">
        <f>0.5*(F631*Q631+F632*Q632)*R632</f>
        <v>0.012595940064721003</v>
      </c>
      <c r="U632" s="76">
        <f>U631+S632</f>
        <v>2.4745308636400996</v>
      </c>
      <c r="V632" s="76">
        <f>V631+T632</f>
        <v>5.700866808388875</v>
      </c>
    </row>
    <row r="633" spans="1:22" ht="19" customHeight="1">
      <c r="A633" s="68" t="s">
        <v>368</v>
      </c>
      <c r="B633" s="74">
        <v>1</v>
      </c>
      <c r="C633" s="68" t="s">
        <v>363</v>
      </c>
      <c r="D633" s="68" t="s">
        <v>364</v>
      </c>
      <c r="E633" s="75">
        <f>60*F633*'THAM_SO_MOI'!$C$49/(2*PI()*'THAM_SO_MOI'!$C$26)</f>
        <v>2210.75</v>
      </c>
      <c r="F633" s="75">
        <f>'THAM_SO_MOI'!$E$49+('THAM_SO_MOI'!$F$49-'THAM_SO_MOI'!$E$49)*627/'THAM_SO_MOI'!$C$42</f>
        <v>3.45202580539119</v>
      </c>
      <c r="G633" s="75">
        <f>3.6*F633</f>
        <v>12.427292899408284</v>
      </c>
      <c r="H633" s="75">
        <f>'THAM_SO_MOI'!$D$49</f>
        <v>3.1625000000000005</v>
      </c>
      <c r="I633" s="75">
        <f>IF(F633&gt;'THAM_SO_MOI'!$C$14,'THAM_SO_MOI'!$C$13*(1+F633^2/1500),'THAM_SO_MOI'!$C$13)</f>
        <v>0.015</v>
      </c>
      <c r="J633" s="75">
        <f>'THAM_SO_MOI'!$C$40*('THAM_SO_MOI'!$C$23*(E633/'THAM_SO_MOI'!$C$22)+'THAM_SO_MOI'!$C$24*(E633/'THAM_SO_MOI'!$C$22)^2-'THAM_SO_MOI'!$C$25*(E633/'THAM_SO_MOI'!$C$22)^3)</f>
        <v>99.53831825602751</v>
      </c>
      <c r="K633" s="75">
        <f>'THAM_SO_MOI'!$C$31*J633/E633</f>
        <v>430.0351780509323</v>
      </c>
      <c r="L633" s="75">
        <f>K633*'THAM_SO_MOI'!$C$49*'THAM_SO_MOI'!$C$17/'THAM_SO_MOI'!$C$26</f>
        <v>24514.166262435243</v>
      </c>
      <c r="M633" s="75">
        <f>'THAM_SO_MOI'!$C$15*'THAM_SO_MOI'!$C$16*F633^2</f>
        <v>34.855710321178584</v>
      </c>
      <c r="N633" s="75">
        <f>'THAM_SO_MOI'!$C$12*I633</f>
        <v>1130.112</v>
      </c>
      <c r="O633" s="75">
        <f>M633+N633</f>
        <v>1164.9677103211786</v>
      </c>
      <c r="P633" s="75">
        <f>(MIN(L633,'THAM_SO_MOI'!$C$41)-O633)/('THAM_SO_MOI'!$C$11*H633)</f>
        <v>0.961347107712206</v>
      </c>
      <c r="Q633" s="75">
        <f>IF(P633&gt;0,1/P633,NA())</f>
        <v>1.0402070094950193</v>
      </c>
      <c r="R633" s="75">
        <f>F633-F632</f>
        <v>0.0035133136094671613</v>
      </c>
      <c r="S633" s="75">
        <f>0.5*(Q632+Q633)*R633</f>
        <v>0.0036545260620214066</v>
      </c>
      <c r="T633" s="75">
        <f>0.5*(F632*Q632+F633*Q633)*R633</f>
        <v>0.012609098607729947</v>
      </c>
      <c r="U633" s="76">
        <f>U632+S633</f>
        <v>2.478185389702121</v>
      </c>
      <c r="V633" s="76">
        <f>V632+T633</f>
        <v>5.713475906996606</v>
      </c>
    </row>
    <row r="634" spans="1:22" ht="19" customHeight="1">
      <c r="A634" s="68" t="s">
        <v>368</v>
      </c>
      <c r="B634" s="74">
        <v>1</v>
      </c>
      <c r="C634" s="68" t="s">
        <v>363</v>
      </c>
      <c r="D634" s="68" t="s">
        <v>364</v>
      </c>
      <c r="E634" s="75">
        <f>60*F634*'THAM_SO_MOI'!$C$49/(2*PI()*'THAM_SO_MOI'!$C$26)</f>
        <v>2212.9999999999995</v>
      </c>
      <c r="F634" s="75">
        <f>'THAM_SO_MOI'!$E$49+('THAM_SO_MOI'!$F$49-'THAM_SO_MOI'!$E$49)*628/'THAM_SO_MOI'!$C$42</f>
        <v>3.4555391190006572</v>
      </c>
      <c r="G634" s="75">
        <f>3.6*F634</f>
        <v>12.439940828402367</v>
      </c>
      <c r="H634" s="75">
        <f>'THAM_SO_MOI'!$D$49</f>
        <v>3.1625000000000005</v>
      </c>
      <c r="I634" s="75">
        <f>IF(F634&gt;'THAM_SO_MOI'!$C$14,'THAM_SO_MOI'!$C$13*(1+F634^2/1500),'THAM_SO_MOI'!$C$13)</f>
        <v>0.015</v>
      </c>
      <c r="J634" s="75">
        <f>'THAM_SO_MOI'!$C$40*('THAM_SO_MOI'!$C$23*(E634/'THAM_SO_MOI'!$C$22)+'THAM_SO_MOI'!$C$24*(E634/'THAM_SO_MOI'!$C$22)^2-'THAM_SO_MOI'!$C$25*(E634/'THAM_SO_MOI'!$C$22)^3)</f>
        <v>99.63733731174703</v>
      </c>
      <c r="K634" s="75">
        <f>'THAM_SO_MOI'!$C$31*J634/E634</f>
        <v>430.02530981401065</v>
      </c>
      <c r="L634" s="75">
        <f>K634*'THAM_SO_MOI'!$C$49*'THAM_SO_MOI'!$C$17/'THAM_SO_MOI'!$C$26</f>
        <v>24513.603723338532</v>
      </c>
      <c r="M634" s="75">
        <f>'THAM_SO_MOI'!$C$15*'THAM_SO_MOI'!$C$16*F634^2</f>
        <v>34.92669551361073</v>
      </c>
      <c r="N634" s="75">
        <f>'THAM_SO_MOI'!$C$12*I634</f>
        <v>1130.112</v>
      </c>
      <c r="O634" s="75">
        <f>M634+N634</f>
        <v>1165.0386955136107</v>
      </c>
      <c r="P634" s="75">
        <f>(MIN(L634,'THAM_SO_MOI'!$C$41)-O634)/('THAM_SO_MOI'!$C$11*H634)</f>
        <v>0.9613210238728968</v>
      </c>
      <c r="Q634" s="75">
        <f>IF(P634&gt;0,1/P634,NA())</f>
        <v>1.0402352337737049</v>
      </c>
      <c r="R634" s="75">
        <f>F634-F633</f>
        <v>0.0035133136094671613</v>
      </c>
      <c r="S634" s="75">
        <f>0.5*(Q633+Q634)*R634</f>
        <v>0.003654623023493199</v>
      </c>
      <c r="T634" s="75">
        <f>0.5*(F633*Q633+F634*Q634)*R634</f>
        <v>0.012622272991573952</v>
      </c>
      <c r="U634" s="76">
        <f>U633+S634</f>
        <v>2.4818400127256144</v>
      </c>
      <c r="V634" s="76">
        <f>V633+T634</f>
        <v>5.726098179988179</v>
      </c>
    </row>
    <row r="635" spans="1:22" ht="19" customHeight="1">
      <c r="A635" s="68" t="s">
        <v>368</v>
      </c>
      <c r="B635" s="74">
        <v>1</v>
      </c>
      <c r="C635" s="68" t="s">
        <v>363</v>
      </c>
      <c r="D635" s="68" t="s">
        <v>364</v>
      </c>
      <c r="E635" s="75">
        <f>60*F635*'THAM_SO_MOI'!$C$49/(2*PI()*'THAM_SO_MOI'!$C$26)</f>
        <v>2215.25</v>
      </c>
      <c r="F635" s="75">
        <f>'THAM_SO_MOI'!$E$49+('THAM_SO_MOI'!$F$49-'THAM_SO_MOI'!$E$49)*629/'THAM_SO_MOI'!$C$42</f>
        <v>3.4590524326101253</v>
      </c>
      <c r="G635" s="75">
        <f>3.6*F635</f>
        <v>12.452588757396452</v>
      </c>
      <c r="H635" s="75">
        <f>'THAM_SO_MOI'!$D$49</f>
        <v>3.1625000000000005</v>
      </c>
      <c r="I635" s="75">
        <f>IF(F635&gt;'THAM_SO_MOI'!$C$14,'THAM_SO_MOI'!$C$13*(1+F635^2/1500),'THAM_SO_MOI'!$C$13)</f>
        <v>0.015</v>
      </c>
      <c r="J635" s="75">
        <f>'THAM_SO_MOI'!$C$40*('THAM_SO_MOI'!$C$23*(E635/'THAM_SO_MOI'!$C$22)+'THAM_SO_MOI'!$C$24*(E635/'THAM_SO_MOI'!$C$22)^2-'THAM_SO_MOI'!$C$25*(E635/'THAM_SO_MOI'!$C$22)^3)</f>
        <v>99.73623780511844</v>
      </c>
      <c r="K635" s="75">
        <f>'THAM_SO_MOI'!$C$31*J635/E635</f>
        <v>430.01495043903014</v>
      </c>
      <c r="L635" s="75">
        <f>K635*'THAM_SO_MOI'!$C$49*'THAM_SO_MOI'!$C$17/'THAM_SO_MOI'!$C$26</f>
        <v>24513.013186904285</v>
      </c>
      <c r="M635" s="75">
        <f>'THAM_SO_MOI'!$C$15*'THAM_SO_MOI'!$C$16*F635^2</f>
        <v>34.99775291477213</v>
      </c>
      <c r="N635" s="75">
        <f>'THAM_SO_MOI'!$C$12*I635</f>
        <v>1130.112</v>
      </c>
      <c r="O635" s="75">
        <f>M635+N635</f>
        <v>1165.1097529147721</v>
      </c>
      <c r="P635" s="75">
        <f>(MIN(L635,'THAM_SO_MOI'!$C$41)-O635)/('THAM_SO_MOI'!$C$11*H635)</f>
        <v>0.9612937843375127</v>
      </c>
      <c r="Q635" s="75">
        <f>IF(P635&gt;0,1/P635,NA())</f>
        <v>1.0402647102198441</v>
      </c>
      <c r="R635" s="75">
        <f>F635-F634</f>
        <v>0.0035133136094680495</v>
      </c>
      <c r="S635" s="75">
        <f>0.5*(Q634+Q635)*R635</f>
        <v>0.0036547243838650247</v>
      </c>
      <c r="T635" s="75">
        <f>0.5*(F634*Q634+F635*Q635)*R635</f>
        <v>0.012635463265029203</v>
      </c>
      <c r="U635" s="76">
        <f>U634+S635</f>
        <v>2.4854947371094793</v>
      </c>
      <c r="V635" s="76">
        <f>V634+T635</f>
        <v>5.738733643253209</v>
      </c>
    </row>
    <row r="636" spans="1:22" ht="19" customHeight="1">
      <c r="A636" s="68" t="s">
        <v>368</v>
      </c>
      <c r="B636" s="74">
        <v>1</v>
      </c>
      <c r="C636" s="68" t="s">
        <v>363</v>
      </c>
      <c r="D636" s="68" t="s">
        <v>364</v>
      </c>
      <c r="E636" s="75">
        <f>60*F636*'THAM_SO_MOI'!$C$49/(2*PI()*'THAM_SO_MOI'!$C$26)</f>
        <v>2217.4999999999995</v>
      </c>
      <c r="F636" s="75">
        <f>'THAM_SO_MOI'!$E$49+('THAM_SO_MOI'!$F$49-'THAM_SO_MOI'!$E$49)*630/'THAM_SO_MOI'!$C$42</f>
        <v>3.4625657462195925</v>
      </c>
      <c r="G636" s="75">
        <f>3.6*F636</f>
        <v>12.465236686390533</v>
      </c>
      <c r="H636" s="75">
        <f>'THAM_SO_MOI'!$D$49</f>
        <v>3.1625000000000005</v>
      </c>
      <c r="I636" s="75">
        <f>IF(F636&gt;'THAM_SO_MOI'!$C$14,'THAM_SO_MOI'!$C$13*(1+F636^2/1500),'THAM_SO_MOI'!$C$13)</f>
        <v>0.015</v>
      </c>
      <c r="J636" s="75">
        <f>'THAM_SO_MOI'!$C$40*('THAM_SO_MOI'!$C$23*(E636/'THAM_SO_MOI'!$C$22)+'THAM_SO_MOI'!$C$24*(E636/'THAM_SO_MOI'!$C$22)^2-'THAM_SO_MOI'!$C$25*(E636/'THAM_SO_MOI'!$C$22)^3)</f>
        <v>99.83501938904213</v>
      </c>
      <c r="K636" s="75">
        <f>'THAM_SO_MOI'!$C$31*J636/E636</f>
        <v>430.004099925991</v>
      </c>
      <c r="L636" s="75">
        <f>K636*'THAM_SO_MOI'!$C$49*'THAM_SO_MOI'!$C$17/'THAM_SO_MOI'!$C$26</f>
        <v>24512.394653132516</v>
      </c>
      <c r="M636" s="75">
        <f>'THAM_SO_MOI'!$C$15*'THAM_SO_MOI'!$C$16*F636^2</f>
        <v>35.06888252466274</v>
      </c>
      <c r="N636" s="75">
        <f>'THAM_SO_MOI'!$C$12*I636</f>
        <v>1130.112</v>
      </c>
      <c r="O636" s="75">
        <f>M636+N636</f>
        <v>1165.1808825246628</v>
      </c>
      <c r="P636" s="75">
        <f>(MIN(L636,'THAM_SO_MOI'!$C$41)-O636)/('THAM_SO_MOI'!$C$11*H636)</f>
        <v>0.9612653891060544</v>
      </c>
      <c r="Q636" s="75">
        <f>IF(P636&gt;0,1/P636,NA())</f>
        <v>1.040295439046201</v>
      </c>
      <c r="R636" s="75">
        <f>F636-F635</f>
        <v>0.0035133136094671613</v>
      </c>
      <c r="S636" s="75">
        <f>0.5*(Q635+Q636)*R636</f>
        <v>0.0036548301438657123</v>
      </c>
      <c r="T636" s="75">
        <f>0.5*(F635*Q635+F636*Q636)*R636</f>
        <v>0.01264866947698221</v>
      </c>
      <c r="U636" s="76">
        <f>U635+S636</f>
        <v>2.489149567253345</v>
      </c>
      <c r="V636" s="76">
        <f>V635+T636</f>
        <v>5.751382312730191</v>
      </c>
    </row>
    <row r="637" spans="1:22" ht="19" customHeight="1">
      <c r="A637" s="68" t="s">
        <v>368</v>
      </c>
      <c r="B637" s="74">
        <v>1</v>
      </c>
      <c r="C637" s="68" t="s">
        <v>363</v>
      </c>
      <c r="D637" s="68" t="s">
        <v>364</v>
      </c>
      <c r="E637" s="75">
        <f>60*F637*'THAM_SO_MOI'!$C$49/(2*PI()*'THAM_SO_MOI'!$C$26)</f>
        <v>2219.7499999999995</v>
      </c>
      <c r="F637" s="75">
        <f>'THAM_SO_MOI'!$E$49+('THAM_SO_MOI'!$F$49-'THAM_SO_MOI'!$E$49)*631/'THAM_SO_MOI'!$C$42</f>
        <v>3.4660790598290596</v>
      </c>
      <c r="G637" s="75">
        <f>3.6*F637</f>
        <v>12.477884615384616</v>
      </c>
      <c r="H637" s="75">
        <f>'THAM_SO_MOI'!$D$49</f>
        <v>3.1625000000000005</v>
      </c>
      <c r="I637" s="75">
        <f>IF(F637&gt;'THAM_SO_MOI'!$C$14,'THAM_SO_MOI'!$C$13*(1+F637^2/1500),'THAM_SO_MOI'!$C$13)</f>
        <v>0.015</v>
      </c>
      <c r="J637" s="75">
        <f>'THAM_SO_MOI'!$C$40*('THAM_SO_MOI'!$C$23*(E637/'THAM_SO_MOI'!$C$22)+'THAM_SO_MOI'!$C$24*(E637/'THAM_SO_MOI'!$C$22)^2-'THAM_SO_MOI'!$C$25*(E637/'THAM_SO_MOI'!$C$22)^3)</f>
        <v>99.93368171641856</v>
      </c>
      <c r="K637" s="75">
        <f>'THAM_SO_MOI'!$C$31*J637/E637</f>
        <v>429.9927582748928</v>
      </c>
      <c r="L637" s="75">
        <f>K637*'THAM_SO_MOI'!$C$49*'THAM_SO_MOI'!$C$17/'THAM_SO_MOI'!$C$26</f>
        <v>24511.748122023197</v>
      </c>
      <c r="M637" s="75">
        <f>'THAM_SO_MOI'!$C$15*'THAM_SO_MOI'!$C$16*F637^2</f>
        <v>35.14008434328259</v>
      </c>
      <c r="N637" s="75">
        <f>'THAM_SO_MOI'!$C$12*I637</f>
        <v>1130.112</v>
      </c>
      <c r="O637" s="75">
        <f>M637+N637</f>
        <v>1165.2520843432826</v>
      </c>
      <c r="P637" s="75">
        <f>(MIN(L637,'THAM_SO_MOI'!$C$41)-O637)/('THAM_SO_MOI'!$C$11*H637)</f>
        <v>0.9612358381785207</v>
      </c>
      <c r="Q637" s="75">
        <f>IF(P637&gt;0,1/P637,NA())</f>
        <v>1.0403274204745996</v>
      </c>
      <c r="R637" s="75">
        <f>F637-F636</f>
        <v>0.0035133136094671613</v>
      </c>
      <c r="S637" s="75">
        <f>0.5*(Q636+Q637)*R637</f>
        <v>0.0036549403042614548</v>
      </c>
      <c r="T637" s="75">
        <f>0.5*(F636*Q636+F637*Q637)*R637</f>
        <v>0.012661891676459177</v>
      </c>
      <c r="U637" s="76">
        <f>U636+S637</f>
        <v>2.4928045075576066</v>
      </c>
      <c r="V637" s="76">
        <f>V636+T637</f>
        <v>5.76404420440665</v>
      </c>
    </row>
    <row r="638" spans="1:22" ht="19" customHeight="1">
      <c r="A638" s="68" t="s">
        <v>368</v>
      </c>
      <c r="B638" s="74">
        <v>1</v>
      </c>
      <c r="C638" s="68" t="s">
        <v>363</v>
      </c>
      <c r="D638" s="68" t="s">
        <v>364</v>
      </c>
      <c r="E638" s="75">
        <f>60*F638*'THAM_SO_MOI'!$C$49/(2*PI()*'THAM_SO_MOI'!$C$26)</f>
        <v>2222.0</v>
      </c>
      <c r="F638" s="75">
        <f>'THAM_SO_MOI'!$E$49+('THAM_SO_MOI'!$F$49-'THAM_SO_MOI'!$E$49)*632/'THAM_SO_MOI'!$C$42</f>
        <v>3.4695923734385277</v>
      </c>
      <c r="G638" s="75">
        <f>3.6*F638</f>
        <v>12.4905325443787</v>
      </c>
      <c r="H638" s="75">
        <f>'THAM_SO_MOI'!$D$49</f>
        <v>3.1625000000000005</v>
      </c>
      <c r="I638" s="75">
        <f>IF(F638&gt;'THAM_SO_MOI'!$C$14,'THAM_SO_MOI'!$C$13*(1+F638^2/1500),'THAM_SO_MOI'!$C$13)</f>
        <v>0.015</v>
      </c>
      <c r="J638" s="75">
        <f>'THAM_SO_MOI'!$C$40*('THAM_SO_MOI'!$C$23*(E638/'THAM_SO_MOI'!$C$22)+'THAM_SO_MOI'!$C$24*(E638/'THAM_SO_MOI'!$C$22)^2-'THAM_SO_MOI'!$C$25*(E638/'THAM_SO_MOI'!$C$22)^3)</f>
        <v>100.03222444014825</v>
      </c>
      <c r="K638" s="75">
        <f>'THAM_SO_MOI'!$C$31*J638/E638</f>
        <v>429.98092548573595</v>
      </c>
      <c r="L638" s="75">
        <f>K638*'THAM_SO_MOI'!$C$49*'THAM_SO_MOI'!$C$17/'THAM_SO_MOI'!$C$26</f>
        <v>24511.07359357635</v>
      </c>
      <c r="M638" s="75">
        <f>'THAM_SO_MOI'!$C$15*'THAM_SO_MOI'!$C$16*F638^2</f>
        <v>35.21135837063168</v>
      </c>
      <c r="N638" s="75">
        <f>'THAM_SO_MOI'!$C$12*I638</f>
        <v>1130.112</v>
      </c>
      <c r="O638" s="75">
        <f>M638+N638</f>
        <v>1165.3233583706317</v>
      </c>
      <c r="P638" s="75">
        <f>(MIN(L638,'THAM_SO_MOI'!$C$41)-O638)/('THAM_SO_MOI'!$C$11*H638)</f>
        <v>0.9612051315549126</v>
      </c>
      <c r="Q638" s="75">
        <f>IF(P638&gt;0,1/P638,NA())</f>
        <v>1.0403606547359252</v>
      </c>
      <c r="R638" s="75">
        <f>F638-F637</f>
        <v>0.0035133136094680495</v>
      </c>
      <c r="S638" s="75">
        <f>0.5*(Q637+Q638)*R638</f>
        <v>0.0036550548658475087</v>
      </c>
      <c r="T638" s="75">
        <f>0.5*(F637*Q637+F638*Q638)*R638</f>
        <v>0.012675129912597847</v>
      </c>
      <c r="U638" s="76">
        <f>U637+S638</f>
        <v>2.4964595624234542</v>
      </c>
      <c r="V638" s="76">
        <f>V637+T638</f>
        <v>5.776719334319248</v>
      </c>
    </row>
    <row r="639" spans="1:22" ht="19" customHeight="1">
      <c r="A639" s="68" t="s">
        <v>368</v>
      </c>
      <c r="B639" s="74">
        <v>1</v>
      </c>
      <c r="C639" s="68" t="s">
        <v>363</v>
      </c>
      <c r="D639" s="68" t="s">
        <v>364</v>
      </c>
      <c r="E639" s="75">
        <f>60*F639*'THAM_SO_MOI'!$C$49/(2*PI()*'THAM_SO_MOI'!$C$26)</f>
        <v>2224.25</v>
      </c>
      <c r="F639" s="75">
        <f>'THAM_SO_MOI'!$E$49+('THAM_SO_MOI'!$F$49-'THAM_SO_MOI'!$E$49)*633/'THAM_SO_MOI'!$C$42</f>
        <v>3.473105687047995</v>
      </c>
      <c r="G639" s="75">
        <f>3.6*F639</f>
        <v>12.503180473372781</v>
      </c>
      <c r="H639" s="75">
        <f>'THAM_SO_MOI'!$D$49</f>
        <v>3.1625000000000005</v>
      </c>
      <c r="I639" s="75">
        <f>IF(F639&gt;'THAM_SO_MOI'!$C$14,'THAM_SO_MOI'!$C$13*(1+F639^2/1500),'THAM_SO_MOI'!$C$13)</f>
        <v>0.015</v>
      </c>
      <c r="J639" s="75">
        <f>'THAM_SO_MOI'!$C$40*('THAM_SO_MOI'!$C$23*(E639/'THAM_SO_MOI'!$C$22)+'THAM_SO_MOI'!$C$24*(E639/'THAM_SO_MOI'!$C$22)^2-'THAM_SO_MOI'!$C$25*(E639/'THAM_SO_MOI'!$C$22)^3)</f>
        <v>100.13064721313161</v>
      </c>
      <c r="K639" s="75">
        <f>'THAM_SO_MOI'!$C$31*J639/E639</f>
        <v>429.96860155852033</v>
      </c>
      <c r="L639" s="75">
        <f>K639*'THAM_SO_MOI'!$C$49*'THAM_SO_MOI'!$C$17/'THAM_SO_MOI'!$C$26</f>
        <v>24510.371067791973</v>
      </c>
      <c r="M639" s="75">
        <f>'THAM_SO_MOI'!$C$15*'THAM_SO_MOI'!$C$16*F639^2</f>
        <v>35.28270460670999</v>
      </c>
      <c r="N639" s="75">
        <f>'THAM_SO_MOI'!$C$12*I639</f>
        <v>1130.112</v>
      </c>
      <c r="O639" s="75">
        <f>M639+N639</f>
        <v>1165.39470460671</v>
      </c>
      <c r="P639" s="75">
        <f>(MIN(L639,'THAM_SO_MOI'!$C$41)-O639)/('THAM_SO_MOI'!$C$11*H639)</f>
        <v>0.9611732692352297</v>
      </c>
      <c r="Q639" s="75">
        <f>IF(P639&gt;0,1/P639,NA())</f>
        <v>1.0403951420701318</v>
      </c>
      <c r="R639" s="75">
        <f>F639-F638</f>
        <v>0.0035133136094671613</v>
      </c>
      <c r="S639" s="75">
        <f>0.5*(Q638+Q639)*R639</f>
        <v>0.003655173829448204</v>
      </c>
      <c r="T639" s="75">
        <f>0.5*(F638*Q638+F639*Q639)*R639</f>
        <v>0.012688384234648074</v>
      </c>
      <c r="U639" s="76">
        <f>U638+S639</f>
        <v>2.5001147362529026</v>
      </c>
      <c r="V639" s="76">
        <f>V638+T639</f>
        <v>5.789407718553896</v>
      </c>
    </row>
    <row r="640" spans="1:22" ht="19" customHeight="1">
      <c r="A640" s="68" t="s">
        <v>368</v>
      </c>
      <c r="B640" s="74">
        <v>1</v>
      </c>
      <c r="C640" s="68" t="s">
        <v>363</v>
      </c>
      <c r="D640" s="68" t="s">
        <v>364</v>
      </c>
      <c r="E640" s="75">
        <f>60*F640*'THAM_SO_MOI'!$C$49/(2*PI()*'THAM_SO_MOI'!$C$26)</f>
        <v>2226.499999999999</v>
      </c>
      <c r="F640" s="75">
        <f>'THAM_SO_MOI'!$E$49+('THAM_SO_MOI'!$F$49-'THAM_SO_MOI'!$E$49)*634/'THAM_SO_MOI'!$C$42</f>
        <v>3.476619000657462</v>
      </c>
      <c r="G640" s="75">
        <f>3.6*F640</f>
        <v>12.515828402366864</v>
      </c>
      <c r="H640" s="75">
        <f>'THAM_SO_MOI'!$D$49</f>
        <v>3.1625000000000005</v>
      </c>
      <c r="I640" s="75">
        <f>IF(F640&gt;'THAM_SO_MOI'!$C$14,'THAM_SO_MOI'!$C$13*(1+F640^2/1500),'THAM_SO_MOI'!$C$13)</f>
        <v>0.015</v>
      </c>
      <c r="J640" s="75">
        <f>'THAM_SO_MOI'!$C$40*('THAM_SO_MOI'!$C$23*(E640/'THAM_SO_MOI'!$C$22)+'THAM_SO_MOI'!$C$24*(E640/'THAM_SO_MOI'!$C$22)^2-'THAM_SO_MOI'!$C$25*(E640/'THAM_SO_MOI'!$C$22)^3)</f>
        <v>100.22894968826907</v>
      </c>
      <c r="K640" s="75">
        <f>'THAM_SO_MOI'!$C$31*J640/E640</f>
        <v>429.955786493246</v>
      </c>
      <c r="L640" s="75">
        <f>K640*'THAM_SO_MOI'!$C$49*'THAM_SO_MOI'!$C$17/'THAM_SO_MOI'!$C$26</f>
        <v>24509.64054467007</v>
      </c>
      <c r="M640" s="75">
        <f>'THAM_SO_MOI'!$C$15*'THAM_SO_MOI'!$C$16*F640^2</f>
        <v>35.35412305151754</v>
      </c>
      <c r="N640" s="75">
        <f>'THAM_SO_MOI'!$C$12*I640</f>
        <v>1130.112</v>
      </c>
      <c r="O640" s="75">
        <f>M640+N640</f>
        <v>1165.4661230515176</v>
      </c>
      <c r="P640" s="75">
        <f>(MIN(L640,'THAM_SO_MOI'!$C$41)-O640)/('THAM_SO_MOI'!$C$11*H640)</f>
        <v>0.9611402512194724</v>
      </c>
      <c r="Q640" s="75">
        <f>IF(P640&gt;0,1/P640,NA())</f>
        <v>1.0404308827262443</v>
      </c>
      <c r="R640" s="75">
        <f>F640-F639</f>
        <v>0.0035133136094671613</v>
      </c>
      <c r="S640" s="75">
        <f>0.5*(Q639+Q640)*R640</f>
        <v>0.0036552971959252804</v>
      </c>
      <c r="T640" s="75">
        <f>0.5*(F639*Q639+F640*Q640)*R640</f>
        <v>0.012701654692001286</v>
      </c>
      <c r="U640" s="76">
        <f>U639+S640</f>
        <v>2.503770033448828</v>
      </c>
      <c r="V640" s="76">
        <f>V639+T640</f>
        <v>5.802109373245897</v>
      </c>
    </row>
    <row r="641" spans="1:22" ht="19" customHeight="1">
      <c r="A641" s="68" t="s">
        <v>368</v>
      </c>
      <c r="B641" s="74">
        <v>1</v>
      </c>
      <c r="C641" s="68" t="s">
        <v>363</v>
      </c>
      <c r="D641" s="68" t="s">
        <v>364</v>
      </c>
      <c r="E641" s="75">
        <f>60*F641*'THAM_SO_MOI'!$C$49/(2*PI()*'THAM_SO_MOI'!$C$26)</f>
        <v>2228.749999999999</v>
      </c>
      <c r="F641" s="75">
        <f>'THAM_SO_MOI'!$E$49+('THAM_SO_MOI'!$F$49-'THAM_SO_MOI'!$E$49)*635/'THAM_SO_MOI'!$C$42</f>
        <v>3.480132314266929</v>
      </c>
      <c r="G641" s="75">
        <f>3.6*F641</f>
        <v>12.528476331360945</v>
      </c>
      <c r="H641" s="75">
        <f>'THAM_SO_MOI'!$D$49</f>
        <v>3.1625000000000005</v>
      </c>
      <c r="I641" s="75">
        <f>IF(F641&gt;'THAM_SO_MOI'!$C$14,'THAM_SO_MOI'!$C$13*(1+F641^2/1500),'THAM_SO_MOI'!$C$13)</f>
        <v>0.015</v>
      </c>
      <c r="J641" s="75">
        <f>'THAM_SO_MOI'!$C$40*('THAM_SO_MOI'!$C$23*(E641/'THAM_SO_MOI'!$C$22)+'THAM_SO_MOI'!$C$24*(E641/'THAM_SO_MOI'!$C$22)^2-'THAM_SO_MOI'!$C$25*(E641/'THAM_SO_MOI'!$C$22)^3)</f>
        <v>100.32713151846113</v>
      </c>
      <c r="K641" s="75">
        <f>'THAM_SO_MOI'!$C$31*J641/E641</f>
        <v>429.9424802899128</v>
      </c>
      <c r="L641" s="75">
        <f>K641*'THAM_SO_MOI'!$C$49*'THAM_SO_MOI'!$C$17/'THAM_SO_MOI'!$C$26</f>
        <v>24508.882024210627</v>
      </c>
      <c r="M641" s="75">
        <f>'THAM_SO_MOI'!$C$15*'THAM_SO_MOI'!$C$16*F641^2</f>
        <v>35.42561370505431</v>
      </c>
      <c r="N641" s="75">
        <f>'THAM_SO_MOI'!$C$12*I641</f>
        <v>1130.112</v>
      </c>
      <c r="O641" s="75">
        <f>M641+N641</f>
        <v>1165.5376137050544</v>
      </c>
      <c r="P641" s="75">
        <f>(MIN(L641,'THAM_SO_MOI'!$C$41)-O641)/('THAM_SO_MOI'!$C$11*H641)</f>
        <v>0.9611060775076403</v>
      </c>
      <c r="Q641" s="75">
        <f>IF(P641&gt;0,1/P641,NA())</f>
        <v>1.0404678769623643</v>
      </c>
      <c r="R641" s="75">
        <f>F641-F640</f>
        <v>0.0035133136094671613</v>
      </c>
      <c r="S641" s="75">
        <f>0.5*(Q640+Q641)*R641</f>
        <v>0.003655424966168662</v>
      </c>
      <c r="T641" s="75">
        <f>0.5*(F640*Q640+F641*Q641)*R641</f>
        <v>0.012714941334159055</v>
      </c>
      <c r="U641" s="76">
        <f>U640+S641</f>
        <v>2.5074254584149966</v>
      </c>
      <c r="V641" s="76">
        <f>V640+T641</f>
        <v>5.814824314580056</v>
      </c>
    </row>
    <row r="642" spans="1:22" ht="19" customHeight="1">
      <c r="A642" s="68" t="s">
        <v>368</v>
      </c>
      <c r="B642" s="74">
        <v>1</v>
      </c>
      <c r="C642" s="68" t="s">
        <v>363</v>
      </c>
      <c r="D642" s="68" t="s">
        <v>364</v>
      </c>
      <c r="E642" s="75">
        <f>60*F642*'THAM_SO_MOI'!$C$49/(2*PI()*'THAM_SO_MOI'!$C$26)</f>
        <v>2230.9999999999995</v>
      </c>
      <c r="F642" s="75">
        <f>'THAM_SO_MOI'!$E$49+('THAM_SO_MOI'!$F$49-'THAM_SO_MOI'!$E$49)*636/'THAM_SO_MOI'!$C$42</f>
        <v>3.483645627876397</v>
      </c>
      <c r="G642" s="75">
        <f>3.6*F642</f>
        <v>12.54112426035503</v>
      </c>
      <c r="H642" s="75">
        <f>'THAM_SO_MOI'!$D$49</f>
        <v>3.1625000000000005</v>
      </c>
      <c r="I642" s="75">
        <f>IF(F642&gt;'THAM_SO_MOI'!$C$14,'THAM_SO_MOI'!$C$13*(1+F642^2/1500),'THAM_SO_MOI'!$C$13)</f>
        <v>0.015</v>
      </c>
      <c r="J642" s="75">
        <f>'THAM_SO_MOI'!$C$40*('THAM_SO_MOI'!$C$23*(E642/'THAM_SO_MOI'!$C$22)+'THAM_SO_MOI'!$C$24*(E642/'THAM_SO_MOI'!$C$22)^2-'THAM_SO_MOI'!$C$25*(E642/'THAM_SO_MOI'!$C$22)^3)</f>
        <v>100.42519235660825</v>
      </c>
      <c r="K642" s="75">
        <f>'THAM_SO_MOI'!$C$31*J642/E642</f>
        <v>429.9286829485207</v>
      </c>
      <c r="L642" s="75">
        <f>K642*'THAM_SO_MOI'!$C$49*'THAM_SO_MOI'!$C$17/'THAM_SO_MOI'!$C$26</f>
        <v>24508.095506413643</v>
      </c>
      <c r="M642" s="75">
        <f>'THAM_SO_MOI'!$C$15*'THAM_SO_MOI'!$C$16*F642^2</f>
        <v>35.49717656732034</v>
      </c>
      <c r="N642" s="75">
        <f>'THAM_SO_MOI'!$C$12*I642</f>
        <v>1130.112</v>
      </c>
      <c r="O642" s="75">
        <f>M642+N642</f>
        <v>1165.6091765673204</v>
      </c>
      <c r="P642" s="75">
        <f>(MIN(L642,'THAM_SO_MOI'!$C$41)-O642)/('THAM_SO_MOI'!$C$11*H642)</f>
        <v>0.961070748099733</v>
      </c>
      <c r="Q642" s="75">
        <f>IF(P642&gt;0,1/P642,NA())</f>
        <v>1.0405061250456737</v>
      </c>
      <c r="R642" s="75">
        <f>F642-F641</f>
        <v>0.0035133136094680495</v>
      </c>
      <c r="S642" s="75">
        <f>0.5*(Q641+Q642)*R642</f>
        <v>0.003655557141102016</v>
      </c>
      <c r="T642" s="75">
        <f>0.5*(F641*Q641+F642*Q642)*R642</f>
        <v>0.012728244210752955</v>
      </c>
      <c r="U642" s="76">
        <f>U641+S642</f>
        <v>2.5110810155560985</v>
      </c>
      <c r="V642" s="76">
        <f>V641+T642</f>
        <v>5.827552558790809</v>
      </c>
    </row>
    <row r="643" spans="1:22" ht="19" customHeight="1">
      <c r="A643" s="68" t="s">
        <v>368</v>
      </c>
      <c r="B643" s="74">
        <v>1</v>
      </c>
      <c r="C643" s="68" t="s">
        <v>363</v>
      </c>
      <c r="D643" s="68" t="s">
        <v>364</v>
      </c>
      <c r="E643" s="75">
        <f>60*F643*'THAM_SO_MOI'!$C$49/(2*PI()*'THAM_SO_MOI'!$C$26)</f>
        <v>2233.2499999999995</v>
      </c>
      <c r="F643" s="75">
        <f>'THAM_SO_MOI'!$E$49+('THAM_SO_MOI'!$F$49-'THAM_SO_MOI'!$E$49)*637/'THAM_SO_MOI'!$C$42</f>
        <v>3.4871589414858644</v>
      </c>
      <c r="G643" s="75">
        <f>3.6*F643</f>
        <v>12.553772189349113</v>
      </c>
      <c r="H643" s="75">
        <f>'THAM_SO_MOI'!$D$49</f>
        <v>3.1625000000000005</v>
      </c>
      <c r="I643" s="75">
        <f>IF(F643&gt;'THAM_SO_MOI'!$C$14,'THAM_SO_MOI'!$C$13*(1+F643^2/1500),'THAM_SO_MOI'!$C$13)</f>
        <v>0.015</v>
      </c>
      <c r="J643" s="75">
        <f>'THAM_SO_MOI'!$C$40*('THAM_SO_MOI'!$C$23*(E643/'THAM_SO_MOI'!$C$22)+'THAM_SO_MOI'!$C$24*(E643/'THAM_SO_MOI'!$C$22)^2-'THAM_SO_MOI'!$C$25*(E643/'THAM_SO_MOI'!$C$22)^3)</f>
        <v>100.52313185561088</v>
      </c>
      <c r="K643" s="75">
        <f>'THAM_SO_MOI'!$C$31*J643/E643</f>
        <v>429.9143944690701</v>
      </c>
      <c r="L643" s="75">
        <f>K643*'THAM_SO_MOI'!$C$49*'THAM_SO_MOI'!$C$17/'THAM_SO_MOI'!$C$26</f>
        <v>24507.28099127914</v>
      </c>
      <c r="M643" s="75">
        <f>'THAM_SO_MOI'!$C$15*'THAM_SO_MOI'!$C$16*F643^2</f>
        <v>35.56881163831558</v>
      </c>
      <c r="N643" s="75">
        <f>'THAM_SO_MOI'!$C$12*I643</f>
        <v>1130.112</v>
      </c>
      <c r="O643" s="75">
        <f>M643+N643</f>
        <v>1165.6808116383156</v>
      </c>
      <c r="P643" s="75">
        <f>(MIN(L643,'THAM_SO_MOI'!$C$41)-O643)/('THAM_SO_MOI'!$C$11*H643)</f>
        <v>0.9610342629957518</v>
      </c>
      <c r="Q643" s="75">
        <f>IF(P643&gt;0,1/P643,NA())</f>
        <v>1.040545627252439</v>
      </c>
      <c r="R643" s="75">
        <f>F643-F642</f>
        <v>0.0035133136094671613</v>
      </c>
      <c r="S643" s="75">
        <f>0.5*(Q642+Q643)*R643</f>
        <v>0.0036556937216772217</v>
      </c>
      <c r="T643" s="75">
        <f>0.5*(F642*Q642+F643*Q643)*R643</f>
        <v>0.012741563371525867</v>
      </c>
      <c r="U643" s="76">
        <f>U642+S643</f>
        <v>2.5147367092777757</v>
      </c>
      <c r="V643" s="76">
        <f>V642+T643</f>
        <v>5.840294122162335</v>
      </c>
    </row>
    <row r="644" spans="1:22" ht="19" customHeight="1">
      <c r="A644" s="68" t="s">
        <v>368</v>
      </c>
      <c r="B644" s="74">
        <v>1</v>
      </c>
      <c r="C644" s="68" t="s">
        <v>363</v>
      </c>
      <c r="D644" s="68" t="s">
        <v>364</v>
      </c>
      <c r="E644" s="75">
        <f>60*F644*'THAM_SO_MOI'!$C$49/(2*PI()*'THAM_SO_MOI'!$C$26)</f>
        <v>2235.4999999999995</v>
      </c>
      <c r="F644" s="75">
        <f>'THAM_SO_MOI'!$E$49+('THAM_SO_MOI'!$F$49-'THAM_SO_MOI'!$E$49)*638/'THAM_SO_MOI'!$C$42</f>
        <v>3.4906722550953315</v>
      </c>
      <c r="G644" s="75">
        <f>3.6*F644</f>
        <v>12.566420118343194</v>
      </c>
      <c r="H644" s="75">
        <f>'THAM_SO_MOI'!$D$49</f>
        <v>3.1625000000000005</v>
      </c>
      <c r="I644" s="75">
        <f>IF(F644&gt;'THAM_SO_MOI'!$C$14,'THAM_SO_MOI'!$C$13*(1+F644^2/1500),'THAM_SO_MOI'!$C$13)</f>
        <v>0.015</v>
      </c>
      <c r="J644" s="75">
        <f>'THAM_SO_MOI'!$C$40*('THAM_SO_MOI'!$C$23*(E644/'THAM_SO_MOI'!$C$22)+'THAM_SO_MOI'!$C$24*(E644/'THAM_SO_MOI'!$C$22)^2-'THAM_SO_MOI'!$C$25*(E644/'THAM_SO_MOI'!$C$22)^3)</f>
        <v>100.62094966836946</v>
      </c>
      <c r="K644" s="75">
        <f>'THAM_SO_MOI'!$C$31*J644/E644</f>
        <v>429.8996148515606</v>
      </c>
      <c r="L644" s="75">
        <f>K644*'THAM_SO_MOI'!$C$49*'THAM_SO_MOI'!$C$17/'THAM_SO_MOI'!$C$26</f>
        <v>24506.438478807107</v>
      </c>
      <c r="M644" s="75">
        <f>'THAM_SO_MOI'!$C$15*'THAM_SO_MOI'!$C$16*F644^2</f>
        <v>35.64051891804006</v>
      </c>
      <c r="N644" s="75">
        <f>'THAM_SO_MOI'!$C$12*I644</f>
        <v>1130.112</v>
      </c>
      <c r="O644" s="75">
        <f>M644+N644</f>
        <v>1165.75251891804</v>
      </c>
      <c r="P644" s="75">
        <f>(MIN(L644,'THAM_SO_MOI'!$C$41)-O644)/('THAM_SO_MOI'!$C$11*H644)</f>
        <v>0.9609966221956959</v>
      </c>
      <c r="Q644" s="75">
        <f>IF(P644&gt;0,1/P644,NA())</f>
        <v>1.040586383868019</v>
      </c>
      <c r="R644" s="75">
        <f>F644-F643</f>
        <v>0.0035133136094671613</v>
      </c>
      <c r="S644" s="75">
        <f>0.5*(Q643+Q644)*R644</f>
        <v>0.003655834708883634</v>
      </c>
      <c r="T644" s="75">
        <f>0.5*(F643*Q643+F644*Q644)*R644</f>
        <v>0.012754898866364802</v>
      </c>
      <c r="U644" s="76">
        <f>U643+S644</f>
        <v>2.5183925439866592</v>
      </c>
      <c r="V644" s="76">
        <f>V643+T644</f>
        <v>5.853049021028699</v>
      </c>
    </row>
    <row r="645" spans="1:22" ht="19" customHeight="1">
      <c r="A645" s="68" t="s">
        <v>368</v>
      </c>
      <c r="B645" s="74">
        <v>1</v>
      </c>
      <c r="C645" s="68" t="s">
        <v>363</v>
      </c>
      <c r="D645" s="68" t="s">
        <v>364</v>
      </c>
      <c r="E645" s="75">
        <f>60*F645*'THAM_SO_MOI'!$C$49/(2*PI()*'THAM_SO_MOI'!$C$26)</f>
        <v>2237.7499999999995</v>
      </c>
      <c r="F645" s="75">
        <f>'THAM_SO_MOI'!$E$49+('THAM_SO_MOI'!$F$49-'THAM_SO_MOI'!$E$49)*639/'THAM_SO_MOI'!$C$42</f>
        <v>3.4941855687047996</v>
      </c>
      <c r="G645" s="75">
        <f>3.6*F645</f>
        <v>12.579068047337278</v>
      </c>
      <c r="H645" s="75">
        <f>'THAM_SO_MOI'!$D$49</f>
        <v>3.1625000000000005</v>
      </c>
      <c r="I645" s="75">
        <f>IF(F645&gt;'THAM_SO_MOI'!$C$14,'THAM_SO_MOI'!$C$13*(1+F645^2/1500),'THAM_SO_MOI'!$C$13)</f>
        <v>0.015</v>
      </c>
      <c r="J645" s="75">
        <f>'THAM_SO_MOI'!$C$40*('THAM_SO_MOI'!$C$23*(E645/'THAM_SO_MOI'!$C$22)+'THAM_SO_MOI'!$C$24*(E645/'THAM_SO_MOI'!$C$22)^2-'THAM_SO_MOI'!$C$25*(E645/'THAM_SO_MOI'!$C$22)^3)</f>
        <v>100.71864544778444</v>
      </c>
      <c r="K645" s="75">
        <f>'THAM_SO_MOI'!$C$31*J645/E645</f>
        <v>429.88434409599233</v>
      </c>
      <c r="L645" s="75">
        <f>K645*'THAM_SO_MOI'!$C$49*'THAM_SO_MOI'!$C$17/'THAM_SO_MOI'!$C$26</f>
        <v>24505.567968997537</v>
      </c>
      <c r="M645" s="75">
        <f>'THAM_SO_MOI'!$C$15*'THAM_SO_MOI'!$C$16*F645^2</f>
        <v>35.71229840649379</v>
      </c>
      <c r="N645" s="75">
        <f>'THAM_SO_MOI'!$C$12*I645</f>
        <v>1130.112</v>
      </c>
      <c r="O645" s="75">
        <f>M645+N645</f>
        <v>1165.8242984064939</v>
      </c>
      <c r="P645" s="75">
        <f>(MIN(L645,'THAM_SO_MOI'!$C$41)-O645)/('THAM_SO_MOI'!$C$11*H645)</f>
        <v>0.9609578256995651</v>
      </c>
      <c r="Q645" s="75">
        <f>IF(P645&gt;0,1/P645,NA())</f>
        <v>1.0406283951868676</v>
      </c>
      <c r="R645" s="75">
        <f>F645-F644</f>
        <v>0.0035133136094680495</v>
      </c>
      <c r="S645" s="75">
        <f>0.5*(Q644+Q645)*R645</f>
        <v>0.0036559801037397864</v>
      </c>
      <c r="T645" s="75">
        <f>0.5*(F644*Q644+F645*Q645)*R645</f>
        <v>0.01276825074527257</v>
      </c>
      <c r="U645" s="76">
        <f>U644+S645</f>
        <v>2.522048524090399</v>
      </c>
      <c r="V645" s="76">
        <f>V644+T645</f>
        <v>5.865817271773972</v>
      </c>
    </row>
    <row r="646" spans="1:22" ht="19" customHeight="1">
      <c r="A646" s="68" t="s">
        <v>368</v>
      </c>
      <c r="B646" s="74">
        <v>1</v>
      </c>
      <c r="C646" s="68" t="s">
        <v>363</v>
      </c>
      <c r="D646" s="68" t="s">
        <v>364</v>
      </c>
      <c r="E646" s="75">
        <f>60*F646*'THAM_SO_MOI'!$C$49/(2*PI()*'THAM_SO_MOI'!$C$26)</f>
        <v>2239.9999999999995</v>
      </c>
      <c r="F646" s="75">
        <f>'THAM_SO_MOI'!$E$49+('THAM_SO_MOI'!$F$49-'THAM_SO_MOI'!$E$49)*640/'THAM_SO_MOI'!$C$42</f>
        <v>3.4976988823142667</v>
      </c>
      <c r="G646" s="75">
        <f>3.6*F646</f>
        <v>12.591715976331361</v>
      </c>
      <c r="H646" s="75">
        <f>'THAM_SO_MOI'!$D$49</f>
        <v>3.1625000000000005</v>
      </c>
      <c r="I646" s="75">
        <f>IF(F646&gt;'THAM_SO_MOI'!$C$14,'THAM_SO_MOI'!$C$13*(1+F646^2/1500),'THAM_SO_MOI'!$C$13)</f>
        <v>0.015</v>
      </c>
      <c r="J646" s="75">
        <f>'THAM_SO_MOI'!$C$40*('THAM_SO_MOI'!$C$23*(E646/'THAM_SO_MOI'!$C$22)+'THAM_SO_MOI'!$C$24*(E646/'THAM_SO_MOI'!$C$22)^2-'THAM_SO_MOI'!$C$25*(E646/'THAM_SO_MOI'!$C$22)^3)</f>
        <v>100.81621884675629</v>
      </c>
      <c r="K646" s="75">
        <f>'THAM_SO_MOI'!$C$31*J646/E646</f>
        <v>429.86858220236525</v>
      </c>
      <c r="L646" s="75">
        <f>K646*'THAM_SO_MOI'!$C$49*'THAM_SO_MOI'!$C$17/'THAM_SO_MOI'!$C$26</f>
        <v>24504.669461850437</v>
      </c>
      <c r="M646" s="75">
        <f>'THAM_SO_MOI'!$C$15*'THAM_SO_MOI'!$C$16*F646^2</f>
        <v>35.78415010367673</v>
      </c>
      <c r="N646" s="75">
        <f>'THAM_SO_MOI'!$C$12*I646</f>
        <v>1130.112</v>
      </c>
      <c r="O646" s="75">
        <f>M646+N646</f>
        <v>1165.8961501036767</v>
      </c>
      <c r="P646" s="75">
        <f>(MIN(L646,'THAM_SO_MOI'!$C$41)-O646)/('THAM_SO_MOI'!$C$11*H646)</f>
        <v>0.9609178735073598</v>
      </c>
      <c r="Q646" s="75">
        <f>IF(P646&gt;0,1/P646,NA())</f>
        <v>1.040671661512539</v>
      </c>
      <c r="R646" s="75">
        <f>F646-F645</f>
        <v>0.0035133136094671613</v>
      </c>
      <c r="S646" s="75">
        <f>0.5*(Q645+Q646)*R646</f>
        <v>0.0036561299072934</v>
      </c>
      <c r="T646" s="75">
        <f>0.5*(F645*Q645+F646*Q646)*R646</f>
        <v>0.012781619058368344</v>
      </c>
      <c r="U646" s="76">
        <f>U645+S646</f>
        <v>2.525704653997692</v>
      </c>
      <c r="V646" s="76">
        <f>V645+T646</f>
        <v>5.8785988908323406</v>
      </c>
    </row>
    <row r="647" spans="1:22" ht="19" customHeight="1">
      <c r="A647" s="68" t="s">
        <v>368</v>
      </c>
      <c r="B647" s="74">
        <v>1</v>
      </c>
      <c r="C647" s="68" t="s">
        <v>363</v>
      </c>
      <c r="D647" s="68" t="s">
        <v>364</v>
      </c>
      <c r="E647" s="75">
        <f>60*F647*'THAM_SO_MOI'!$C$49/(2*PI()*'THAM_SO_MOI'!$C$26)</f>
        <v>2242.25</v>
      </c>
      <c r="F647" s="75">
        <f>'THAM_SO_MOI'!$E$49+('THAM_SO_MOI'!$F$49-'THAM_SO_MOI'!$E$49)*641/'THAM_SO_MOI'!$C$42</f>
        <v>3.501212195923735</v>
      </c>
      <c r="G647" s="75">
        <f>3.6*F647</f>
        <v>12.604363905325446</v>
      </c>
      <c r="H647" s="75">
        <f>'THAM_SO_MOI'!$D$49</f>
        <v>3.1625000000000005</v>
      </c>
      <c r="I647" s="75">
        <f>IF(F647&gt;'THAM_SO_MOI'!$C$14,'THAM_SO_MOI'!$C$13*(1+F647^2/1500),'THAM_SO_MOI'!$C$13)</f>
        <v>0.015</v>
      </c>
      <c r="J647" s="75">
        <f>'THAM_SO_MOI'!$C$40*('THAM_SO_MOI'!$C$23*(E647/'THAM_SO_MOI'!$C$22)+'THAM_SO_MOI'!$C$24*(E647/'THAM_SO_MOI'!$C$22)^2-'THAM_SO_MOI'!$C$25*(E647/'THAM_SO_MOI'!$C$22)^3)</f>
        <v>100.91366951818543</v>
      </c>
      <c r="K647" s="75">
        <f>'THAM_SO_MOI'!$C$31*J647/E647</f>
        <v>429.85232917067924</v>
      </c>
      <c r="L647" s="75">
        <f>K647*'THAM_SO_MOI'!$C$49*'THAM_SO_MOI'!$C$17/'THAM_SO_MOI'!$C$26</f>
        <v>24503.742957365783</v>
      </c>
      <c r="M647" s="75">
        <f>'THAM_SO_MOI'!$C$15*'THAM_SO_MOI'!$C$16*F647^2</f>
        <v>35.85607400958892</v>
      </c>
      <c r="N647" s="75">
        <f>'THAM_SO_MOI'!$C$12*I647</f>
        <v>1130.112</v>
      </c>
      <c r="O647" s="75">
        <f>M647+N647</f>
        <v>1165.968074009589</v>
      </c>
      <c r="P647" s="75">
        <f>(MIN(L647,'THAM_SO_MOI'!$C$41)-O647)/('THAM_SO_MOI'!$C$11*H647)</f>
        <v>0.960876765619079</v>
      </c>
      <c r="Q647" s="75">
        <f>IF(P647&gt;0,1/P647,NA())</f>
        <v>1.040716183157696</v>
      </c>
      <c r="R647" s="75">
        <f>F647-F646</f>
        <v>0.0035133136094680495</v>
      </c>
      <c r="S647" s="75">
        <f>0.5*(Q646+Q647)*R647</f>
        <v>0.0036562841206306544</v>
      </c>
      <c r="T647" s="75">
        <f>0.5*(F646*Q646+F647*Q647)*R647</f>
        <v>0.0127950038559206</v>
      </c>
      <c r="U647" s="76">
        <f>U646+S647</f>
        <v>2.5293609381183226</v>
      </c>
      <c r="V647" s="76">
        <f>V646+T647</f>
        <v>5.891393894688261</v>
      </c>
    </row>
    <row r="648" spans="1:22" ht="19" customHeight="1">
      <c r="A648" s="68" t="s">
        <v>368</v>
      </c>
      <c r="B648" s="74">
        <v>1</v>
      </c>
      <c r="C648" s="68" t="s">
        <v>363</v>
      </c>
      <c r="D648" s="68" t="s">
        <v>364</v>
      </c>
      <c r="E648" s="75">
        <f>60*F648*'THAM_SO_MOI'!$C$49/(2*PI()*'THAM_SO_MOI'!$C$26)</f>
        <v>2244.4999999999995</v>
      </c>
      <c r="F648" s="75">
        <f>'THAM_SO_MOI'!$E$49+('THAM_SO_MOI'!$F$49-'THAM_SO_MOI'!$E$49)*642/'THAM_SO_MOI'!$C$42</f>
        <v>3.504725509533202</v>
      </c>
      <c r="G648" s="75">
        <f>3.6*F648</f>
        <v>12.617011834319527</v>
      </c>
      <c r="H648" s="75">
        <f>'THAM_SO_MOI'!$D$49</f>
        <v>3.1625000000000005</v>
      </c>
      <c r="I648" s="75">
        <f>IF(F648&gt;'THAM_SO_MOI'!$C$14,'THAM_SO_MOI'!$C$13*(1+F648^2/1500),'THAM_SO_MOI'!$C$13)</f>
        <v>0.015</v>
      </c>
      <c r="J648" s="75">
        <f>'THAM_SO_MOI'!$C$40*('THAM_SO_MOI'!$C$23*(E648/'THAM_SO_MOI'!$C$22)+'THAM_SO_MOI'!$C$24*(E648/'THAM_SO_MOI'!$C$22)^2-'THAM_SO_MOI'!$C$25*(E648/'THAM_SO_MOI'!$C$22)^3)</f>
        <v>101.01099711497238</v>
      </c>
      <c r="K648" s="75">
        <f>'THAM_SO_MOI'!$C$31*J648/E648</f>
        <v>429.83558500093477</v>
      </c>
      <c r="L648" s="75">
        <f>K648*'THAM_SO_MOI'!$C$49*'THAM_SO_MOI'!$C$17/'THAM_SO_MOI'!$C$26</f>
        <v>24502.788455543625</v>
      </c>
      <c r="M648" s="75">
        <f>'THAM_SO_MOI'!$C$15*'THAM_SO_MOI'!$C$16*F648^2</f>
        <v>35.92807012423034</v>
      </c>
      <c r="N648" s="75">
        <f>'THAM_SO_MOI'!$C$12*I648</f>
        <v>1130.112</v>
      </c>
      <c r="O648" s="75">
        <f>M648+N648</f>
        <v>1166.0400701242304</v>
      </c>
      <c r="P648" s="75">
        <f>(MIN(L648,'THAM_SO_MOI'!$C$41)-O648)/('THAM_SO_MOI'!$C$11*H648)</f>
        <v>0.9608345020347245</v>
      </c>
      <c r="Q648" s="75">
        <f>IF(P648&gt;0,1/P648,NA())</f>
        <v>1.0407619604441098</v>
      </c>
      <c r="R648" s="75">
        <f>F648-F647</f>
        <v>0.0035133136094671613</v>
      </c>
      <c r="S648" s="75">
        <f>0.5*(Q647+Q648)*R648</f>
        <v>0.003656442744862333</v>
      </c>
      <c r="T648" s="75">
        <f>0.5*(F647*Q647+F648*Q648)*R648</f>
        <v>0.012808405188299265</v>
      </c>
      <c r="U648" s="76">
        <f>U647+S648</f>
        <v>2.533017380863185</v>
      </c>
      <c r="V648" s="76">
        <f>V647+T648</f>
        <v>5.904202299876561</v>
      </c>
    </row>
    <row r="649" spans="1:22" ht="19" customHeight="1">
      <c r="A649" s="68" t="s">
        <v>368</v>
      </c>
      <c r="B649" s="74">
        <v>1</v>
      </c>
      <c r="C649" s="68" t="s">
        <v>363</v>
      </c>
      <c r="D649" s="68" t="s">
        <v>364</v>
      </c>
      <c r="E649" s="75">
        <f>60*F649*'THAM_SO_MOI'!$C$49/(2*PI()*'THAM_SO_MOI'!$C$26)</f>
        <v>2246.7499999999995</v>
      </c>
      <c r="F649" s="75">
        <f>'THAM_SO_MOI'!$E$49+('THAM_SO_MOI'!$F$49-'THAM_SO_MOI'!$E$49)*643/'THAM_SO_MOI'!$C$42</f>
        <v>3.508238823142669</v>
      </c>
      <c r="G649" s="75">
        <f>3.6*F649</f>
        <v>12.62965976331361</v>
      </c>
      <c r="H649" s="75">
        <f>'THAM_SO_MOI'!$D$49</f>
        <v>3.1625000000000005</v>
      </c>
      <c r="I649" s="75">
        <f>IF(F649&gt;'THAM_SO_MOI'!$C$14,'THAM_SO_MOI'!$C$13*(1+F649^2/1500),'THAM_SO_MOI'!$C$13)</f>
        <v>0.015</v>
      </c>
      <c r="J649" s="75">
        <f>'THAM_SO_MOI'!$C$40*('THAM_SO_MOI'!$C$23*(E649/'THAM_SO_MOI'!$C$22)+'THAM_SO_MOI'!$C$24*(E649/'THAM_SO_MOI'!$C$22)^2-'THAM_SO_MOI'!$C$25*(E649/'THAM_SO_MOI'!$C$22)^3)</f>
        <v>101.10820129001753</v>
      </c>
      <c r="K649" s="75">
        <f>'THAM_SO_MOI'!$C$31*J649/E649</f>
        <v>429.81834969313127</v>
      </c>
      <c r="L649" s="75">
        <f>K649*'THAM_SO_MOI'!$C$49*'THAM_SO_MOI'!$C$17/'THAM_SO_MOI'!$C$26</f>
        <v>24501.80595638392</v>
      </c>
      <c r="M649" s="75">
        <f>'THAM_SO_MOI'!$C$15*'THAM_SO_MOI'!$C$16*F649^2</f>
        <v>36.000138447600975</v>
      </c>
      <c r="N649" s="75">
        <f>'THAM_SO_MOI'!$C$12*I649</f>
        <v>1130.112</v>
      </c>
      <c r="O649" s="75">
        <f>M649+N649</f>
        <v>1166.112138447601</v>
      </c>
      <c r="P649" s="75">
        <f>(MIN(L649,'THAM_SO_MOI'!$C$41)-O649)/('THAM_SO_MOI'!$C$11*H649)</f>
        <v>0.9607910827542948</v>
      </c>
      <c r="Q649" s="75">
        <f>IF(P649&gt;0,1/P649,NA())</f>
        <v>1.0408089937026739</v>
      </c>
      <c r="R649" s="75">
        <f>F649-F648</f>
        <v>0.0035133136094671613</v>
      </c>
      <c r="S649" s="75">
        <f>0.5*(Q648+Q649)*R649</f>
        <v>0.0036566057811377203</v>
      </c>
      <c r="T649" s="75">
        <f>0.5*(F648*Q648+F649*Q649)*R649</f>
        <v>0.012821823106024869</v>
      </c>
      <c r="U649" s="76">
        <f>U648+S649</f>
        <v>2.5366739866443226</v>
      </c>
      <c r="V649" s="76">
        <f>V648+T649</f>
        <v>5.9170241229825855</v>
      </c>
    </row>
    <row r="650" spans="1:22" ht="19" customHeight="1">
      <c r="A650" s="68" t="s">
        <v>368</v>
      </c>
      <c r="B650" s="74">
        <v>1</v>
      </c>
      <c r="C650" s="68" t="s">
        <v>363</v>
      </c>
      <c r="D650" s="68" t="s">
        <v>364</v>
      </c>
      <c r="E650" s="75">
        <f>60*F650*'THAM_SO_MOI'!$C$49/(2*PI()*'THAM_SO_MOI'!$C$26)</f>
        <v>2249.0</v>
      </c>
      <c r="F650" s="75">
        <f>'THAM_SO_MOI'!$E$49+('THAM_SO_MOI'!$F$49-'THAM_SO_MOI'!$E$49)*644/'THAM_SO_MOI'!$C$42</f>
        <v>3.511752136752137</v>
      </c>
      <c r="G650" s="75">
        <f>3.6*F650</f>
        <v>12.642307692307694</v>
      </c>
      <c r="H650" s="75">
        <f>'THAM_SO_MOI'!$D$49</f>
        <v>3.1625000000000005</v>
      </c>
      <c r="I650" s="75">
        <f>IF(F650&gt;'THAM_SO_MOI'!$C$14,'THAM_SO_MOI'!$C$13*(1+F650^2/1500),'THAM_SO_MOI'!$C$13)</f>
        <v>0.015</v>
      </c>
      <c r="J650" s="75">
        <f>'THAM_SO_MOI'!$C$40*('THAM_SO_MOI'!$C$23*(E650/'THAM_SO_MOI'!$C$22)+'THAM_SO_MOI'!$C$24*(E650/'THAM_SO_MOI'!$C$22)^2-'THAM_SO_MOI'!$C$25*(E650/'THAM_SO_MOI'!$C$22)^3)</f>
        <v>101.20528169622142</v>
      </c>
      <c r="K650" s="75">
        <f>'THAM_SO_MOI'!$C$31*J650/E650</f>
        <v>429.80062324726913</v>
      </c>
      <c r="L650" s="75">
        <f>K650*'THAM_SO_MOI'!$C$49*'THAM_SO_MOI'!$C$17/'THAM_SO_MOI'!$C$26</f>
        <v>24500.79545988669</v>
      </c>
      <c r="M650" s="75">
        <f>'THAM_SO_MOI'!$C$15*'THAM_SO_MOI'!$C$16*F650^2</f>
        <v>36.07227897970086</v>
      </c>
      <c r="N650" s="75">
        <f>'THAM_SO_MOI'!$C$12*I650</f>
        <v>1130.112</v>
      </c>
      <c r="O650" s="75">
        <f>M650+N650</f>
        <v>1166.184278979701</v>
      </c>
      <c r="P650" s="75">
        <f>(MIN(L650,'THAM_SO_MOI'!$C$41)-O650)/('THAM_SO_MOI'!$C$11*H650)</f>
        <v>0.9607465077777909</v>
      </c>
      <c r="Q650" s="75">
        <f>IF(P650&gt;0,1/P650,NA())</f>
        <v>1.0408572832734022</v>
      </c>
      <c r="R650" s="75">
        <f>F650-F649</f>
        <v>0.0035133136094680495</v>
      </c>
      <c r="S650" s="75">
        <f>0.5*(Q649+Q650)*R650</f>
        <v>0.003656773230635367</v>
      </c>
      <c r="T650" s="75">
        <f>0.5*(F649*Q649+F650*Q650)*R650</f>
        <v>0.012835257659736843</v>
      </c>
      <c r="U650" s="76">
        <f>U649+S650</f>
        <v>2.540330759874958</v>
      </c>
      <c r="V650" s="76">
        <f>V649+T650</f>
        <v>5.9298593806423225</v>
      </c>
    </row>
    <row r="651" spans="1:22" ht="19" customHeight="1">
      <c r="A651" s="68" t="s">
        <v>368</v>
      </c>
      <c r="B651" s="74">
        <v>1</v>
      </c>
      <c r="C651" s="68" t="s">
        <v>363</v>
      </c>
      <c r="D651" s="68" t="s">
        <v>364</v>
      </c>
      <c r="E651" s="75">
        <f>60*F651*'THAM_SO_MOI'!$C$49/(2*PI()*'THAM_SO_MOI'!$C$26)</f>
        <v>2251.25</v>
      </c>
      <c r="F651" s="75">
        <f>'THAM_SO_MOI'!$E$49+('THAM_SO_MOI'!$F$49-'THAM_SO_MOI'!$E$49)*645/'THAM_SO_MOI'!$C$42</f>
        <v>3.5152654503616043</v>
      </c>
      <c r="G651" s="75">
        <f>3.6*F651</f>
        <v>12.654955621301776</v>
      </c>
      <c r="H651" s="75">
        <f>'THAM_SO_MOI'!$D$49</f>
        <v>3.1625000000000005</v>
      </c>
      <c r="I651" s="75">
        <f>IF(F651&gt;'THAM_SO_MOI'!$C$14,'THAM_SO_MOI'!$C$13*(1+F651^2/1500),'THAM_SO_MOI'!$C$13)</f>
        <v>0.015</v>
      </c>
      <c r="J651" s="75">
        <f>'THAM_SO_MOI'!$C$40*('THAM_SO_MOI'!$C$23*(E651/'THAM_SO_MOI'!$C$22)+'THAM_SO_MOI'!$C$24*(E651/'THAM_SO_MOI'!$C$22)^2-'THAM_SO_MOI'!$C$25*(E651/'THAM_SO_MOI'!$C$22)^3)</f>
        <v>101.30223798648443</v>
      </c>
      <c r="K651" s="75">
        <f>'THAM_SO_MOI'!$C$31*J651/E651</f>
        <v>429.7824056633482</v>
      </c>
      <c r="L651" s="75">
        <f>K651*'THAM_SO_MOI'!$C$49*'THAM_SO_MOI'!$C$17/'THAM_SO_MOI'!$C$26</f>
        <v>24499.756966051926</v>
      </c>
      <c r="M651" s="75">
        <f>'THAM_SO_MOI'!$C$15*'THAM_SO_MOI'!$C$16*F651^2</f>
        <v>36.14449172052997</v>
      </c>
      <c r="N651" s="75">
        <f>'THAM_SO_MOI'!$C$12*I651</f>
        <v>1130.112</v>
      </c>
      <c r="O651" s="75">
        <f>M651+N651</f>
        <v>1166.25649172053</v>
      </c>
      <c r="P651" s="75">
        <f>(MIN(L651,'THAM_SO_MOI'!$C$41)-O651)/('THAM_SO_MOI'!$C$11*H651)</f>
        <v>0.9607007771052121</v>
      </c>
      <c r="Q651" s="75">
        <f>IF(P651&gt;0,1/P651,NA())</f>
        <v>1.0409068295054413</v>
      </c>
      <c r="R651" s="75">
        <f>F651-F650</f>
        <v>0.0035133136094671613</v>
      </c>
      <c r="S651" s="75">
        <f>0.5*(Q650+Q651)*R651</f>
        <v>0.003656945094563121</v>
      </c>
      <c r="T651" s="75">
        <f>0.5*(F650*Q650+F651*Q651)*R651</f>
        <v>0.012848708900194086</v>
      </c>
      <c r="U651" s="76">
        <f>U650+S651</f>
        <v>2.543987704969521</v>
      </c>
      <c r="V651" s="76">
        <f>V650+T651</f>
        <v>5.942708089542517</v>
      </c>
    </row>
    <row r="652" spans="1:22" ht="19" customHeight="1">
      <c r="A652" s="68" t="s">
        <v>368</v>
      </c>
      <c r="B652" s="74">
        <v>1</v>
      </c>
      <c r="C652" s="68" t="s">
        <v>363</v>
      </c>
      <c r="D652" s="68" t="s">
        <v>364</v>
      </c>
      <c r="E652" s="75">
        <f>60*F652*'THAM_SO_MOI'!$C$49/(2*PI()*'THAM_SO_MOI'!$C$26)</f>
        <v>2253.4999999999995</v>
      </c>
      <c r="F652" s="75">
        <f>'THAM_SO_MOI'!$E$49+('THAM_SO_MOI'!$F$49-'THAM_SO_MOI'!$E$49)*646/'THAM_SO_MOI'!$C$42</f>
        <v>3.5187787639710715</v>
      </c>
      <c r="G652" s="75">
        <f>3.6*F652</f>
        <v>12.667603550295858</v>
      </c>
      <c r="H652" s="75">
        <f>'THAM_SO_MOI'!$D$49</f>
        <v>3.1625000000000005</v>
      </c>
      <c r="I652" s="75">
        <f>IF(F652&gt;'THAM_SO_MOI'!$C$14,'THAM_SO_MOI'!$C$13*(1+F652^2/1500),'THAM_SO_MOI'!$C$13)</f>
        <v>0.015</v>
      </c>
      <c r="J652" s="75">
        <f>'THAM_SO_MOI'!$C$40*('THAM_SO_MOI'!$C$23*(E652/'THAM_SO_MOI'!$C$22)+'THAM_SO_MOI'!$C$24*(E652/'THAM_SO_MOI'!$C$22)^2-'THAM_SO_MOI'!$C$25*(E652/'THAM_SO_MOI'!$C$22)^3)</f>
        <v>101.39906981370699</v>
      </c>
      <c r="K652" s="75">
        <f>'THAM_SO_MOI'!$C$31*J652/E652</f>
        <v>429.7636969413684</v>
      </c>
      <c r="L652" s="75">
        <f>K652*'THAM_SO_MOI'!$C$49*'THAM_SO_MOI'!$C$17/'THAM_SO_MOI'!$C$26</f>
        <v>24498.690474879626</v>
      </c>
      <c r="M652" s="75">
        <f>'THAM_SO_MOI'!$C$15*'THAM_SO_MOI'!$C$16*F652^2</f>
        <v>36.216776670088315</v>
      </c>
      <c r="N652" s="75">
        <f>'THAM_SO_MOI'!$C$12*I652</f>
        <v>1130.112</v>
      </c>
      <c r="O652" s="75">
        <f>M652+N652</f>
        <v>1166.3287766700885</v>
      </c>
      <c r="P652" s="75">
        <f>(MIN(L652,'THAM_SO_MOI'!$C$41)-O652)/('THAM_SO_MOI'!$C$11*H652)</f>
        <v>0.9606538907365585</v>
      </c>
      <c r="Q652" s="75">
        <f>IF(P652&gt;0,1/P652,NA())</f>
        <v>1.0409576327570733</v>
      </c>
      <c r="R652" s="75">
        <f>F652-F651</f>
        <v>0.0035133136094671613</v>
      </c>
      <c r="S652" s="75">
        <f>0.5*(Q651+Q652)*R652</f>
        <v>0.0036571213741664636</v>
      </c>
      <c r="T652" s="75">
        <f>0.5*(F651*Q651+F652*Q652)*R652</f>
        <v>0.012862176878304852</v>
      </c>
      <c r="U652" s="76">
        <f>U651+S652</f>
        <v>2.5476448263436873</v>
      </c>
      <c r="V652" s="76">
        <f>V651+T652</f>
        <v>5.955570266420822</v>
      </c>
    </row>
    <row r="653" spans="1:22" ht="19" customHeight="1">
      <c r="A653" s="68" t="s">
        <v>368</v>
      </c>
      <c r="B653" s="74">
        <v>1</v>
      </c>
      <c r="C653" s="68" t="s">
        <v>363</v>
      </c>
      <c r="D653" s="68" t="s">
        <v>364</v>
      </c>
      <c r="E653" s="75">
        <f>60*F653*'THAM_SO_MOI'!$C$49/(2*PI()*'THAM_SO_MOI'!$C$26)</f>
        <v>2255.75</v>
      </c>
      <c r="F653" s="75">
        <f>'THAM_SO_MOI'!$E$49+('THAM_SO_MOI'!$F$49-'THAM_SO_MOI'!$E$49)*647/'THAM_SO_MOI'!$C$42</f>
        <v>3.5222920775805395</v>
      </c>
      <c r="G653" s="75">
        <f>3.6*F653</f>
        <v>12.680251479289943</v>
      </c>
      <c r="H653" s="75">
        <f>'THAM_SO_MOI'!$D$49</f>
        <v>3.1625000000000005</v>
      </c>
      <c r="I653" s="75">
        <f>IF(F653&gt;'THAM_SO_MOI'!$C$14,'THAM_SO_MOI'!$C$13*(1+F653^2/1500),'THAM_SO_MOI'!$C$13)</f>
        <v>0.015</v>
      </c>
      <c r="J653" s="75">
        <f>'THAM_SO_MOI'!$C$40*('THAM_SO_MOI'!$C$23*(E653/'THAM_SO_MOI'!$C$22)+'THAM_SO_MOI'!$C$24*(E653/'THAM_SO_MOI'!$C$22)^2-'THAM_SO_MOI'!$C$25*(E653/'THAM_SO_MOI'!$C$22)^3)</f>
        <v>101.4957768307897</v>
      </c>
      <c r="K653" s="75">
        <f>'THAM_SO_MOI'!$C$31*J653/E653</f>
        <v>429.74449708133005</v>
      </c>
      <c r="L653" s="75">
        <f>K653*'THAM_SO_MOI'!$C$49*'THAM_SO_MOI'!$C$17/'THAM_SO_MOI'!$C$26</f>
        <v>24497.5959863698</v>
      </c>
      <c r="M653" s="75">
        <f>'THAM_SO_MOI'!$C$15*'THAM_SO_MOI'!$C$16*F653^2</f>
        <v>36.28913382837591</v>
      </c>
      <c r="N653" s="75">
        <f>'THAM_SO_MOI'!$C$12*I653</f>
        <v>1130.112</v>
      </c>
      <c r="O653" s="75">
        <f>M653+N653</f>
        <v>1166.401133828376</v>
      </c>
      <c r="P653" s="75">
        <f>(MIN(L653,'THAM_SO_MOI'!$C$41)-O653)/('THAM_SO_MOI'!$C$11*H653)</f>
        <v>0.9606058486718305</v>
      </c>
      <c r="Q653" s="75">
        <f>IF(P653&gt;0,1/P653,NA())</f>
        <v>1.0410096933957225</v>
      </c>
      <c r="R653" s="75">
        <f>F653-F652</f>
        <v>0.0035133136094680495</v>
      </c>
      <c r="S653" s="75">
        <f>0.5*(Q652+Q653)*R653</f>
        <v>0.0036573020707202117</v>
      </c>
      <c r="T653" s="75">
        <f>0.5*(F652*Q652+F653*Q653)*R653</f>
        <v>0.012875661645098168</v>
      </c>
      <c r="U653" s="76">
        <f>U652+S653</f>
        <v>2.5513021284144073</v>
      </c>
      <c r="V653" s="76">
        <f>V652+T653</f>
        <v>5.96844592806592</v>
      </c>
    </row>
    <row r="654" spans="1:22" ht="19" customHeight="1">
      <c r="A654" s="68" t="s">
        <v>368</v>
      </c>
      <c r="B654" s="74">
        <v>1</v>
      </c>
      <c r="C654" s="68" t="s">
        <v>363</v>
      </c>
      <c r="D654" s="68" t="s">
        <v>364</v>
      </c>
      <c r="E654" s="75">
        <f>60*F654*'THAM_SO_MOI'!$C$49/(2*PI()*'THAM_SO_MOI'!$C$26)</f>
        <v>2258.0</v>
      </c>
      <c r="F654" s="75">
        <f>'THAM_SO_MOI'!$E$49+('THAM_SO_MOI'!$F$49-'THAM_SO_MOI'!$E$49)*648/'THAM_SO_MOI'!$C$42</f>
        <v>3.5258053911900067</v>
      </c>
      <c r="G654" s="75">
        <f>3.6*F654</f>
        <v>12.692899408284024</v>
      </c>
      <c r="H654" s="75">
        <f>'THAM_SO_MOI'!$D$49</f>
        <v>3.1625000000000005</v>
      </c>
      <c r="I654" s="75">
        <f>IF(F654&gt;'THAM_SO_MOI'!$C$14,'THAM_SO_MOI'!$C$13*(1+F654^2/1500),'THAM_SO_MOI'!$C$13)</f>
        <v>0.015</v>
      </c>
      <c r="J654" s="75">
        <f>'THAM_SO_MOI'!$C$40*('THAM_SO_MOI'!$C$23*(E654/'THAM_SO_MOI'!$C$22)+'THAM_SO_MOI'!$C$24*(E654/'THAM_SO_MOI'!$C$22)^2-'THAM_SO_MOI'!$C$25*(E654/'THAM_SO_MOI'!$C$22)^3)</f>
        <v>101.59235869063284</v>
      </c>
      <c r="K654" s="75">
        <f>'THAM_SO_MOI'!$C$31*J654/E654</f>
        <v>429.72480608323264</v>
      </c>
      <c r="L654" s="75">
        <f>K654*'THAM_SO_MOI'!$C$49*'THAM_SO_MOI'!$C$17/'THAM_SO_MOI'!$C$26</f>
        <v>24496.473500522432</v>
      </c>
      <c r="M654" s="75">
        <f>'THAM_SO_MOI'!$C$15*'THAM_SO_MOI'!$C$16*F654^2</f>
        <v>36.36156319539271</v>
      </c>
      <c r="N654" s="75">
        <f>'THAM_SO_MOI'!$C$12*I654</f>
        <v>1130.112</v>
      </c>
      <c r="O654" s="75">
        <f>M654+N654</f>
        <v>1166.473563195393</v>
      </c>
      <c r="P654" s="75">
        <f>(MIN(L654,'THAM_SO_MOI'!$C$41)-O654)/('THAM_SO_MOI'!$C$11*H654)</f>
        <v>0.9605566509110274</v>
      </c>
      <c r="Q654" s="75">
        <f>IF(P654&gt;0,1/P654,NA())</f>
        <v>1.0410630117979642</v>
      </c>
      <c r="R654" s="75">
        <f>F654-F653</f>
        <v>0.0035133136094671613</v>
      </c>
      <c r="S654" s="75">
        <f>0.5*(Q653+Q654)*R654</f>
        <v>0.003657487185528544</v>
      </c>
      <c r="T654" s="75">
        <f>0.5*(F653*Q653+F654*Q654)*R654</f>
        <v>0.012889163251724445</v>
      </c>
      <c r="U654" s="76">
        <f>U653+S654</f>
        <v>2.5549596155999357</v>
      </c>
      <c r="V654" s="76">
        <f>V653+T654</f>
        <v>5.981335091317645</v>
      </c>
    </row>
    <row r="655" spans="1:22" ht="19" customHeight="1">
      <c r="A655" s="68" t="s">
        <v>368</v>
      </c>
      <c r="B655" s="74">
        <v>1</v>
      </c>
      <c r="C655" s="68" t="s">
        <v>363</v>
      </c>
      <c r="D655" s="68" t="s">
        <v>364</v>
      </c>
      <c r="E655" s="75">
        <f>60*F655*'THAM_SO_MOI'!$C$49/(2*PI()*'THAM_SO_MOI'!$C$26)</f>
        <v>2260.25</v>
      </c>
      <c r="F655" s="75">
        <f>'THAM_SO_MOI'!$E$49+('THAM_SO_MOI'!$F$49-'THAM_SO_MOI'!$E$49)*649/'THAM_SO_MOI'!$C$42</f>
        <v>3.529318704799474</v>
      </c>
      <c r="G655" s="75">
        <f>3.6*F655</f>
        <v>12.705547337278107</v>
      </c>
      <c r="H655" s="75">
        <f>'THAM_SO_MOI'!$D$49</f>
        <v>3.1625000000000005</v>
      </c>
      <c r="I655" s="75">
        <f>IF(F655&gt;'THAM_SO_MOI'!$C$14,'THAM_SO_MOI'!$C$13*(1+F655^2/1500),'THAM_SO_MOI'!$C$13)</f>
        <v>0.015</v>
      </c>
      <c r="J655" s="75">
        <f>'THAM_SO_MOI'!$C$40*('THAM_SO_MOI'!$C$23*(E655/'THAM_SO_MOI'!$C$22)+'THAM_SO_MOI'!$C$24*(E655/'THAM_SO_MOI'!$C$22)^2-'THAM_SO_MOI'!$C$25*(E655/'THAM_SO_MOI'!$C$22)^3)</f>
        <v>101.68881504613698</v>
      </c>
      <c r="K655" s="75">
        <f>'THAM_SO_MOI'!$C$31*J655/E655</f>
        <v>429.70462394707664</v>
      </c>
      <c r="L655" s="75">
        <f>K655*'THAM_SO_MOI'!$C$49*'THAM_SO_MOI'!$C$17/'THAM_SO_MOI'!$C$26</f>
        <v>24495.323017337545</v>
      </c>
      <c r="M655" s="75">
        <f>'THAM_SO_MOI'!$C$15*'THAM_SO_MOI'!$C$16*F655^2</f>
        <v>36.43406477113875</v>
      </c>
      <c r="N655" s="75">
        <f>'THAM_SO_MOI'!$C$12*I655</f>
        <v>1130.112</v>
      </c>
      <c r="O655" s="75">
        <f>M655+N655</f>
        <v>1166.5460647711388</v>
      </c>
      <c r="P655" s="75">
        <f>(MIN(L655,'THAM_SO_MOI'!$C$41)-O655)/('THAM_SO_MOI'!$C$11*H655)</f>
        <v>0.9605062974541503</v>
      </c>
      <c r="Q655" s="75">
        <f>IF(P655&gt;0,1/P655,NA())</f>
        <v>1.0411175883495287</v>
      </c>
      <c r="R655" s="75">
        <f>F655-F654</f>
        <v>0.0035133136094671613</v>
      </c>
      <c r="S655" s="75">
        <f>0.5*(Q654+Q655)*R655</f>
        <v>0.0036576767199333437</v>
      </c>
      <c r="T655" s="75">
        <f>0.5*(F654*Q654+F655*Q655)*R655</f>
        <v>0.01290268174948543</v>
      </c>
      <c r="U655" s="76">
        <f>U654+S655</f>
        <v>2.558617292319869</v>
      </c>
      <c r="V655" s="76">
        <f>V654+T655</f>
        <v>5.99423777306713</v>
      </c>
    </row>
    <row r="656" spans="1:22" ht="19" customHeight="1">
      <c r="A656" s="68" t="s">
        <v>368</v>
      </c>
      <c r="B656" s="74">
        <v>1</v>
      </c>
      <c r="C656" s="68" t="s">
        <v>363</v>
      </c>
      <c r="D656" s="68" t="s">
        <v>364</v>
      </c>
      <c r="E656" s="75">
        <f>60*F656*'THAM_SO_MOI'!$C$49/(2*PI()*'THAM_SO_MOI'!$C$26)</f>
        <v>2262.5</v>
      </c>
      <c r="F656" s="75">
        <f>'THAM_SO_MOI'!$E$49+('THAM_SO_MOI'!$F$49-'THAM_SO_MOI'!$E$49)*650/'THAM_SO_MOI'!$C$42</f>
        <v>3.532832018408942</v>
      </c>
      <c r="G656" s="75">
        <f>3.6*F656</f>
        <v>12.718195266272192</v>
      </c>
      <c r="H656" s="75">
        <f>'THAM_SO_MOI'!$D$49</f>
        <v>3.1625000000000005</v>
      </c>
      <c r="I656" s="75">
        <f>IF(F656&gt;'THAM_SO_MOI'!$C$14,'THAM_SO_MOI'!$C$13*(1+F656^2/1500),'THAM_SO_MOI'!$C$13)</f>
        <v>0.015</v>
      </c>
      <c r="J656" s="75">
        <f>'THAM_SO_MOI'!$C$40*('THAM_SO_MOI'!$C$23*(E656/'THAM_SO_MOI'!$C$22)+'THAM_SO_MOI'!$C$24*(E656/'THAM_SO_MOI'!$C$22)^2-'THAM_SO_MOI'!$C$25*(E656/'THAM_SO_MOI'!$C$22)^3)</f>
        <v>101.78514555020251</v>
      </c>
      <c r="K656" s="75">
        <f>'THAM_SO_MOI'!$C$31*J656/E656</f>
        <v>429.6839506728618</v>
      </c>
      <c r="L656" s="75">
        <f>K656*'THAM_SO_MOI'!$C$49*'THAM_SO_MOI'!$C$17/'THAM_SO_MOI'!$C$26</f>
        <v>24494.144536815114</v>
      </c>
      <c r="M656" s="75">
        <f>'THAM_SO_MOI'!$C$15*'THAM_SO_MOI'!$C$16*F656^2</f>
        <v>36.506638555614046</v>
      </c>
      <c r="N656" s="75">
        <f>'THAM_SO_MOI'!$C$12*I656</f>
        <v>1130.112</v>
      </c>
      <c r="O656" s="75">
        <f>M656+N656</f>
        <v>1166.618638555614</v>
      </c>
      <c r="P656" s="75">
        <f>(MIN(L656,'THAM_SO_MOI'!$C$41)-O656)/('THAM_SO_MOI'!$C$11*H656)</f>
        <v>0.960454788301198</v>
      </c>
      <c r="Q656" s="75">
        <f>IF(P656&gt;0,1/P656,NA())</f>
        <v>1.0411734234453112</v>
      </c>
      <c r="R656" s="75">
        <f>F656-F655</f>
        <v>0.0035133136094680495</v>
      </c>
      <c r="S656" s="75">
        <f>0.5*(Q655+Q656)*R656</f>
        <v>0.003657870675305903</v>
      </c>
      <c r="T656" s="75">
        <f>0.5*(F655*Q655+F656*Q656)*R656</f>
        <v>0.012916217189805568</v>
      </c>
      <c r="U656" s="76">
        <f>U655+S656</f>
        <v>2.562275162995175</v>
      </c>
      <c r="V656" s="76">
        <f>V655+T656</f>
        <v>6.007153990256936</v>
      </c>
    </row>
    <row r="657" spans="1:22" ht="19" customHeight="1">
      <c r="A657" s="68" t="s">
        <v>368</v>
      </c>
      <c r="B657" s="74">
        <v>1</v>
      </c>
      <c r="C657" s="68" t="s">
        <v>363</v>
      </c>
      <c r="D657" s="68" t="s">
        <v>364</v>
      </c>
      <c r="E657" s="75">
        <f>60*F657*'THAM_SO_MOI'!$C$49/(2*PI()*'THAM_SO_MOI'!$C$26)</f>
        <v>2264.75</v>
      </c>
      <c r="F657" s="75">
        <f>'THAM_SO_MOI'!$E$49+('THAM_SO_MOI'!$F$49-'THAM_SO_MOI'!$E$49)*651/'THAM_SO_MOI'!$C$42</f>
        <v>3.536345332018409</v>
      </c>
      <c r="G657" s="75">
        <f>3.6*F657</f>
        <v>12.730843195266273</v>
      </c>
      <c r="H657" s="75">
        <f>'THAM_SO_MOI'!$D$49</f>
        <v>3.1625000000000005</v>
      </c>
      <c r="I657" s="75">
        <f>IF(F657&gt;'THAM_SO_MOI'!$C$14,'THAM_SO_MOI'!$C$13*(1+F657^2/1500),'THAM_SO_MOI'!$C$13)</f>
        <v>0.015</v>
      </c>
      <c r="J657" s="75">
        <f>'THAM_SO_MOI'!$C$40*('THAM_SO_MOI'!$C$23*(E657/'THAM_SO_MOI'!$C$22)+'THAM_SO_MOI'!$C$24*(E657/'THAM_SO_MOI'!$C$22)^2-'THAM_SO_MOI'!$C$25*(E657/'THAM_SO_MOI'!$C$22)^3)</f>
        <v>101.88134985572988</v>
      </c>
      <c r="K657" s="75">
        <f>'THAM_SO_MOI'!$C$31*J657/E657</f>
        <v>429.662786260588</v>
      </c>
      <c r="L657" s="75">
        <f>K657*'THAM_SO_MOI'!$C$49*'THAM_SO_MOI'!$C$17/'THAM_SO_MOI'!$C$26</f>
        <v>24492.938058955144</v>
      </c>
      <c r="M657" s="75">
        <f>'THAM_SO_MOI'!$C$15*'THAM_SO_MOI'!$C$16*F657^2</f>
        <v>36.57928454881855</v>
      </c>
      <c r="N657" s="75">
        <f>'THAM_SO_MOI'!$C$12*I657</f>
        <v>1130.112</v>
      </c>
      <c r="O657" s="75">
        <f>M657+N657</f>
        <v>1166.6912845488187</v>
      </c>
      <c r="P657" s="75">
        <f>(MIN(L657,'THAM_SO_MOI'!$C$41)-O657)/('THAM_SO_MOI'!$C$11*H657)</f>
        <v>0.9604021234521707</v>
      </c>
      <c r="Q657" s="75">
        <f>IF(P657&gt;0,1/P657,NA())</f>
        <v>1.0412305174893768</v>
      </c>
      <c r="R657" s="75">
        <f>F657-F656</f>
        <v>0.0035133136094671613</v>
      </c>
      <c r="S657" s="75">
        <f>0.5*(Q656+Q657)*R657</f>
        <v>0.0036580690530469448</v>
      </c>
      <c r="T657" s="75">
        <f>0.5*(F656*Q656+F657*Q657)*R657</f>
        <v>0.01292976962423261</v>
      </c>
      <c r="U657" s="76">
        <f>U656+S657</f>
        <v>2.565933232048222</v>
      </c>
      <c r="V657" s="76">
        <f>V656+T657</f>
        <v>6.020083759881168</v>
      </c>
    </row>
    <row r="658" spans="1:22" ht="19" customHeight="1">
      <c r="A658" s="68" t="s">
        <v>368</v>
      </c>
      <c r="B658" s="74">
        <v>1</v>
      </c>
      <c r="C658" s="68" t="s">
        <v>363</v>
      </c>
      <c r="D658" s="68" t="s">
        <v>364</v>
      </c>
      <c r="E658" s="75">
        <f>60*F658*'THAM_SO_MOI'!$C$49/(2*PI()*'THAM_SO_MOI'!$C$26)</f>
        <v>2266.9999999999995</v>
      </c>
      <c r="F658" s="75">
        <f>'THAM_SO_MOI'!$E$49+('THAM_SO_MOI'!$F$49-'THAM_SO_MOI'!$E$49)*652/'THAM_SO_MOI'!$C$42</f>
        <v>3.539858645627876</v>
      </c>
      <c r="G658" s="75">
        <f>3.6*F658</f>
        <v>12.743491124260355</v>
      </c>
      <c r="H658" s="75">
        <f>'THAM_SO_MOI'!$D$49</f>
        <v>3.1625000000000005</v>
      </c>
      <c r="I658" s="75">
        <f>IF(F658&gt;'THAM_SO_MOI'!$C$14,'THAM_SO_MOI'!$C$13*(1+F658^2/1500),'THAM_SO_MOI'!$C$13)</f>
        <v>0.015</v>
      </c>
      <c r="J658" s="75">
        <f>'THAM_SO_MOI'!$C$40*('THAM_SO_MOI'!$C$23*(E658/'THAM_SO_MOI'!$C$22)+'THAM_SO_MOI'!$C$24*(E658/'THAM_SO_MOI'!$C$22)^2-'THAM_SO_MOI'!$C$25*(E658/'THAM_SO_MOI'!$C$22)^3)</f>
        <v>101.97742761561963</v>
      </c>
      <c r="K658" s="75">
        <f>'THAM_SO_MOI'!$C$31*J658/E658</f>
        <v>429.6411307102557</v>
      </c>
      <c r="L658" s="75">
        <f>K658*'THAM_SO_MOI'!$C$49*'THAM_SO_MOI'!$C$17/'THAM_SO_MOI'!$C$26</f>
        <v>24491.70358375766</v>
      </c>
      <c r="M658" s="75">
        <f>'THAM_SO_MOI'!$C$15*'THAM_SO_MOI'!$C$16*F658^2</f>
        <v>36.65200275075229</v>
      </c>
      <c r="N658" s="75">
        <f>'THAM_SO_MOI'!$C$12*I658</f>
        <v>1130.112</v>
      </c>
      <c r="O658" s="75">
        <f>M658+N658</f>
        <v>1166.7640027507523</v>
      </c>
      <c r="P658" s="75">
        <f>(MIN(L658,'THAM_SO_MOI'!$C$41)-O658)/('THAM_SO_MOI'!$C$11*H658)</f>
        <v>0.9603483029070693</v>
      </c>
      <c r="Q658" s="75">
        <f>IF(P658&gt;0,1/P658,NA())</f>
        <v>1.041288870894967</v>
      </c>
      <c r="R658" s="75">
        <f>F658-F657</f>
        <v>0.0035133136094671613</v>
      </c>
      <c r="S658" s="75">
        <f>0.5*(Q657+Q658)*R658</f>
        <v>0.003658271854594972</v>
      </c>
      <c r="T658" s="75">
        <f>0.5*(F657*Q657+F658*Q658)*R658</f>
        <v>0.012943339104467653</v>
      </c>
      <c r="U658" s="76">
        <f>U657+S658</f>
        <v>2.569591503902817</v>
      </c>
      <c r="V658" s="76">
        <f>V657+T658</f>
        <v>6.033027098985636</v>
      </c>
    </row>
    <row r="659" spans="1:22" ht="19" customHeight="1">
      <c r="A659" s="68" t="s">
        <v>368</v>
      </c>
      <c r="B659" s="74">
        <v>1</v>
      </c>
      <c r="C659" s="68" t="s">
        <v>363</v>
      </c>
      <c r="D659" s="68" t="s">
        <v>364</v>
      </c>
      <c r="E659" s="75">
        <f>60*F659*'THAM_SO_MOI'!$C$49/(2*PI()*'THAM_SO_MOI'!$C$26)</f>
        <v>2269.25</v>
      </c>
      <c r="F659" s="75">
        <f>'THAM_SO_MOI'!$E$49+('THAM_SO_MOI'!$F$49-'THAM_SO_MOI'!$E$49)*653/'THAM_SO_MOI'!$C$42</f>
        <v>3.5433719592373443</v>
      </c>
      <c r="G659" s="75">
        <f>3.6*F659</f>
        <v>12.75613905325444</v>
      </c>
      <c r="H659" s="75">
        <f>'THAM_SO_MOI'!$D$49</f>
        <v>3.1625000000000005</v>
      </c>
      <c r="I659" s="75">
        <f>IF(F659&gt;'THAM_SO_MOI'!$C$14,'THAM_SO_MOI'!$C$13*(1+F659^2/1500),'THAM_SO_MOI'!$C$13)</f>
        <v>0.015</v>
      </c>
      <c r="J659" s="75">
        <f>'THAM_SO_MOI'!$C$40*('THAM_SO_MOI'!$C$23*(E659/'THAM_SO_MOI'!$C$22)+'THAM_SO_MOI'!$C$24*(E659/'THAM_SO_MOI'!$C$22)^2-'THAM_SO_MOI'!$C$25*(E659/'THAM_SO_MOI'!$C$22)^3)</f>
        <v>102.07337848277217</v>
      </c>
      <c r="K659" s="75">
        <f>'THAM_SO_MOI'!$C$31*J659/E659</f>
        <v>429.61898402186443</v>
      </c>
      <c r="L659" s="75">
        <f>K659*'THAM_SO_MOI'!$C$49*'THAM_SO_MOI'!$C$17/'THAM_SO_MOI'!$C$26</f>
        <v>24490.44111122263</v>
      </c>
      <c r="M659" s="75">
        <f>'THAM_SO_MOI'!$C$15*'THAM_SO_MOI'!$C$16*F659^2</f>
        <v>36.72479316141528</v>
      </c>
      <c r="N659" s="75">
        <f>'THAM_SO_MOI'!$C$12*I659</f>
        <v>1130.112</v>
      </c>
      <c r="O659" s="75">
        <f>M659+N659</f>
        <v>1166.8367931614152</v>
      </c>
      <c r="P659" s="75">
        <f>(MIN(L659,'THAM_SO_MOI'!$C$41)-O659)/('THAM_SO_MOI'!$C$11*H659)</f>
        <v>0.9602933266658931</v>
      </c>
      <c r="Q659" s="75">
        <f>IF(P659&gt;0,1/P659,NA())</f>
        <v>1.041348484084511</v>
      </c>
      <c r="R659" s="75">
        <f>F659-F658</f>
        <v>0.0035133136094680495</v>
      </c>
      <c r="S659" s="75">
        <f>0.5*(Q658+Q659)*R659</f>
        <v>0.0036584790814179705</v>
      </c>
      <c r="T659" s="75">
        <f>0.5*(F658*Q658+F659*Q659)*R659</f>
        <v>0.012956925682336438</v>
      </c>
      <c r="U659" s="76">
        <f>U658+S659</f>
        <v>2.573249982984235</v>
      </c>
      <c r="V659" s="76">
        <f>V658+T659</f>
        <v>6.045984024667972</v>
      </c>
    </row>
    <row r="660" spans="1:22" ht="19" customHeight="1">
      <c r="A660" s="68" t="s">
        <v>368</v>
      </c>
      <c r="B660" s="74">
        <v>1</v>
      </c>
      <c r="C660" s="68" t="s">
        <v>363</v>
      </c>
      <c r="D660" s="68" t="s">
        <v>364</v>
      </c>
      <c r="E660" s="75">
        <f>60*F660*'THAM_SO_MOI'!$C$49/(2*PI()*'THAM_SO_MOI'!$C$26)</f>
        <v>2271.5</v>
      </c>
      <c r="F660" s="75">
        <f>'THAM_SO_MOI'!$E$49+('THAM_SO_MOI'!$F$49-'THAM_SO_MOI'!$E$49)*654/'THAM_SO_MOI'!$C$42</f>
        <v>3.5468852728468114</v>
      </c>
      <c r="G660" s="75">
        <f>3.6*F660</f>
        <v>12.768786982248521</v>
      </c>
      <c r="H660" s="75">
        <f>'THAM_SO_MOI'!$D$49</f>
        <v>3.1625000000000005</v>
      </c>
      <c r="I660" s="75">
        <f>IF(F660&gt;'THAM_SO_MOI'!$C$14,'THAM_SO_MOI'!$C$13*(1+F660^2/1500),'THAM_SO_MOI'!$C$13)</f>
        <v>0.015</v>
      </c>
      <c r="J660" s="75">
        <f>'THAM_SO_MOI'!$C$40*('THAM_SO_MOI'!$C$23*(E660/'THAM_SO_MOI'!$C$22)+'THAM_SO_MOI'!$C$24*(E660/'THAM_SO_MOI'!$C$22)^2-'THAM_SO_MOI'!$C$25*(E660/'THAM_SO_MOI'!$C$22)^3)</f>
        <v>102.16920211008795</v>
      </c>
      <c r="K660" s="75">
        <f>'THAM_SO_MOI'!$C$31*J660/E660</f>
        <v>429.5963461954145</v>
      </c>
      <c r="L660" s="75">
        <f>K660*'THAM_SO_MOI'!$C$49*'THAM_SO_MOI'!$C$17/'THAM_SO_MOI'!$C$26</f>
        <v>24489.150641350076</v>
      </c>
      <c r="M660" s="75">
        <f>'THAM_SO_MOI'!$C$15*'THAM_SO_MOI'!$C$16*F660^2</f>
        <v>36.79765578080748</v>
      </c>
      <c r="N660" s="75">
        <f>'THAM_SO_MOI'!$C$12*I660</f>
        <v>1130.112</v>
      </c>
      <c r="O660" s="75">
        <f>M660+N660</f>
        <v>1166.9096557808075</v>
      </c>
      <c r="P660" s="75">
        <f>(MIN(L660,'THAM_SO_MOI'!$C$41)-O660)/('THAM_SO_MOI'!$C$11*H660)</f>
        <v>0.9602371947286423</v>
      </c>
      <c r="Q660" s="75">
        <f>IF(P660&gt;0,1/P660,NA())</f>
        <v>1.04140935748963</v>
      </c>
      <c r="R660" s="75">
        <f>F660-F659</f>
        <v>0.0035133136094671613</v>
      </c>
      <c r="S660" s="75">
        <f>0.5*(Q659+Q660)*R660</f>
        <v>0.00365869073501344</v>
      </c>
      <c r="T660" s="75">
        <f>0.5*(F659*Q659+F660*Q660)*R660</f>
        <v>0.012970529409789947</v>
      </c>
      <c r="U660" s="76">
        <f>U659+S660</f>
        <v>2.5769086737192484</v>
      </c>
      <c r="V660" s="76">
        <f>V659+T660</f>
        <v>6.058954554077762</v>
      </c>
    </row>
    <row r="661" spans="1:22" ht="19" customHeight="1">
      <c r="A661" s="68" t="s">
        <v>368</v>
      </c>
      <c r="B661" s="74">
        <v>1</v>
      </c>
      <c r="C661" s="68" t="s">
        <v>363</v>
      </c>
      <c r="D661" s="68" t="s">
        <v>364</v>
      </c>
      <c r="E661" s="75">
        <f>60*F661*'THAM_SO_MOI'!$C$49/(2*PI()*'THAM_SO_MOI'!$C$26)</f>
        <v>2273.7499999999995</v>
      </c>
      <c r="F661" s="75">
        <f>'THAM_SO_MOI'!$E$49+('THAM_SO_MOI'!$F$49-'THAM_SO_MOI'!$E$49)*655/'THAM_SO_MOI'!$C$42</f>
        <v>3.5503985864562786</v>
      </c>
      <c r="G661" s="75">
        <f>3.6*F661</f>
        <v>12.781434911242604</v>
      </c>
      <c r="H661" s="75">
        <f>'THAM_SO_MOI'!$D$49</f>
        <v>3.1625000000000005</v>
      </c>
      <c r="I661" s="75">
        <f>IF(F661&gt;'THAM_SO_MOI'!$C$14,'THAM_SO_MOI'!$C$13*(1+F661^2/1500),'THAM_SO_MOI'!$C$13)</f>
        <v>0.015</v>
      </c>
      <c r="J661" s="75">
        <f>'THAM_SO_MOI'!$C$40*('THAM_SO_MOI'!$C$23*(E661/'THAM_SO_MOI'!$C$22)+'THAM_SO_MOI'!$C$24*(E661/'THAM_SO_MOI'!$C$22)^2-'THAM_SO_MOI'!$C$25*(E661/'THAM_SO_MOI'!$C$22)^3)</f>
        <v>102.2648981504674</v>
      </c>
      <c r="K661" s="75">
        <f>'THAM_SO_MOI'!$C$31*J661/E661</f>
        <v>429.5732172309058</v>
      </c>
      <c r="L661" s="75">
        <f>K661*'THAM_SO_MOI'!$C$49*'THAM_SO_MOI'!$C$17/'THAM_SO_MOI'!$C$26</f>
        <v>24487.832174139985</v>
      </c>
      <c r="M661" s="75">
        <f>'THAM_SO_MOI'!$C$15*'THAM_SO_MOI'!$C$16*F661^2</f>
        <v>36.87059060892892</v>
      </c>
      <c r="N661" s="75">
        <f>'THAM_SO_MOI'!$C$12*I661</f>
        <v>1130.112</v>
      </c>
      <c r="O661" s="75">
        <f>M661+N661</f>
        <v>1166.982590608929</v>
      </c>
      <c r="P661" s="75">
        <f>(MIN(L661,'THAM_SO_MOI'!$C$41)-O661)/('THAM_SO_MOI'!$C$11*H661)</f>
        <v>0.9601799070953168</v>
      </c>
      <c r="Q661" s="75">
        <f>IF(P661&gt;0,1/P661,NA())</f>
        <v>1.0414714915511456</v>
      </c>
      <c r="R661" s="75">
        <f>F661-F660</f>
        <v>0.0035133136094671613</v>
      </c>
      <c r="S661" s="75">
        <f>0.5*(Q660+Q661)*R661</f>
        <v>0.003658906816916737</v>
      </c>
      <c r="T661" s="75">
        <f>0.5*(F660*Q660+F661*Q661)*R661</f>
        <v>0.012984150338934566</v>
      </c>
      <c r="U661" s="76">
        <f>U660+S661</f>
        <v>2.580567580536165</v>
      </c>
      <c r="V661" s="76">
        <f>V660+T661</f>
        <v>6.071938704416697</v>
      </c>
    </row>
    <row r="662" spans="1:22" ht="19" customHeight="1">
      <c r="A662" s="68" t="s">
        <v>368</v>
      </c>
      <c r="B662" s="74">
        <v>1</v>
      </c>
      <c r="C662" s="68" t="s">
        <v>363</v>
      </c>
      <c r="D662" s="68" t="s">
        <v>364</v>
      </c>
      <c r="E662" s="75">
        <f>60*F662*'THAM_SO_MOI'!$C$49/(2*PI()*'THAM_SO_MOI'!$C$26)</f>
        <v>2276.0</v>
      </c>
      <c r="F662" s="75">
        <f>'THAM_SO_MOI'!$E$49+('THAM_SO_MOI'!$F$49-'THAM_SO_MOI'!$E$49)*656/'THAM_SO_MOI'!$C$42</f>
        <v>3.5539119000657466</v>
      </c>
      <c r="G662" s="75">
        <f>3.6*F662</f>
        <v>12.794082840236689</v>
      </c>
      <c r="H662" s="75">
        <f>'THAM_SO_MOI'!$D$49</f>
        <v>3.1625000000000005</v>
      </c>
      <c r="I662" s="75">
        <f>IF(F662&gt;'THAM_SO_MOI'!$C$14,'THAM_SO_MOI'!$C$13*(1+F662^2/1500),'THAM_SO_MOI'!$C$13)</f>
        <v>0.015</v>
      </c>
      <c r="J662" s="75">
        <f>'THAM_SO_MOI'!$C$40*('THAM_SO_MOI'!$C$23*(E662/'THAM_SO_MOI'!$C$22)+'THAM_SO_MOI'!$C$24*(E662/'THAM_SO_MOI'!$C$22)^2-'THAM_SO_MOI'!$C$25*(E662/'THAM_SO_MOI'!$C$22)^3)</f>
        <v>102.36046625681107</v>
      </c>
      <c r="K662" s="75">
        <f>'THAM_SO_MOI'!$C$31*J662/E662</f>
        <v>429.5495971283384</v>
      </c>
      <c r="L662" s="75">
        <f>K662*'THAM_SO_MOI'!$C$49*'THAM_SO_MOI'!$C$17/'THAM_SO_MOI'!$C$26</f>
        <v>24486.48570959237</v>
      </c>
      <c r="M662" s="75">
        <f>'THAM_SO_MOI'!$C$15*'THAM_SO_MOI'!$C$16*F662^2</f>
        <v>36.94359764577961</v>
      </c>
      <c r="N662" s="75">
        <f>'THAM_SO_MOI'!$C$12*I662</f>
        <v>1130.112</v>
      </c>
      <c r="O662" s="75">
        <f>M662+N662</f>
        <v>1167.0555976457797</v>
      </c>
      <c r="P662" s="75">
        <f>(MIN(L662,'THAM_SO_MOI'!$C$41)-O662)/('THAM_SO_MOI'!$C$11*H662)</f>
        <v>0.9601214637659168</v>
      </c>
      <c r="Q662" s="75">
        <f>IF(P662&gt;0,1/P662,NA())</f>
        <v>1.041534886719089</v>
      </c>
      <c r="R662" s="75">
        <f>F662-F661</f>
        <v>0.0035133136094680495</v>
      </c>
      <c r="S662" s="75">
        <f>0.5*(Q661+Q662)*R662</f>
        <v>0.003659127328692784</v>
      </c>
      <c r="T662" s="75">
        <f>0.5*(F661*Q661+F662*Q662)*R662</f>
        <v>0.012997788522003279</v>
      </c>
      <c r="U662" s="76">
        <f>U661+S662</f>
        <v>2.584226707864858</v>
      </c>
      <c r="V662" s="76">
        <f>V661+T662</f>
        <v>6.0849364929387</v>
      </c>
    </row>
    <row r="663" spans="1:22" ht="19" customHeight="1">
      <c r="A663" s="68" t="s">
        <v>368</v>
      </c>
      <c r="B663" s="74">
        <v>1</v>
      </c>
      <c r="C663" s="68" t="s">
        <v>363</v>
      </c>
      <c r="D663" s="68" t="s">
        <v>364</v>
      </c>
      <c r="E663" s="75">
        <f>60*F663*'THAM_SO_MOI'!$C$49/(2*PI()*'THAM_SO_MOI'!$C$26)</f>
        <v>2278.25</v>
      </c>
      <c r="F663" s="75">
        <f>'THAM_SO_MOI'!$E$49+('THAM_SO_MOI'!$F$49-'THAM_SO_MOI'!$E$49)*657/'THAM_SO_MOI'!$C$42</f>
        <v>3.557425213675214</v>
      </c>
      <c r="G663" s="75">
        <f>3.6*F663</f>
        <v>12.80673076923077</v>
      </c>
      <c r="H663" s="75">
        <f>'THAM_SO_MOI'!$D$49</f>
        <v>3.1625000000000005</v>
      </c>
      <c r="I663" s="75">
        <f>IF(F663&gt;'THAM_SO_MOI'!$C$14,'THAM_SO_MOI'!$C$13*(1+F663^2/1500),'THAM_SO_MOI'!$C$13)</f>
        <v>0.015</v>
      </c>
      <c r="J663" s="75">
        <f>'THAM_SO_MOI'!$C$40*('THAM_SO_MOI'!$C$23*(E663/'THAM_SO_MOI'!$C$22)+'THAM_SO_MOI'!$C$24*(E663/'THAM_SO_MOI'!$C$22)^2-'THAM_SO_MOI'!$C$25*(E663/'THAM_SO_MOI'!$C$22)^3)</f>
        <v>102.45590608201924</v>
      </c>
      <c r="K663" s="75">
        <f>'THAM_SO_MOI'!$C$31*J663/E663</f>
        <v>429.52548588771185</v>
      </c>
      <c r="L663" s="75">
        <f>K663*'THAM_SO_MOI'!$C$49*'THAM_SO_MOI'!$C$17/'THAM_SO_MOI'!$C$26</f>
        <v>24485.1112477072</v>
      </c>
      <c r="M663" s="75">
        <f>'THAM_SO_MOI'!$C$15*'THAM_SO_MOI'!$C$16*F663^2</f>
        <v>37.01667689135951</v>
      </c>
      <c r="N663" s="75">
        <f>'THAM_SO_MOI'!$C$12*I663</f>
        <v>1130.112</v>
      </c>
      <c r="O663" s="75">
        <f>M663+N663</f>
        <v>1167.1286768913596</v>
      </c>
      <c r="P663" s="75">
        <f>(MIN(L663,'THAM_SO_MOI'!$C$41)-O663)/('THAM_SO_MOI'!$C$11*H663)</f>
        <v>0.9600618647404412</v>
      </c>
      <c r="Q663" s="75">
        <f>IF(P663&gt;0,1/P663,NA())</f>
        <v>1.041599543452709</v>
      </c>
      <c r="R663" s="75">
        <f>F663-F662</f>
        <v>0.0035133136094671613</v>
      </c>
      <c r="S663" s="75">
        <f>0.5*(Q662+Q663)*R663</f>
        <v>0.003659352271936099</v>
      </c>
      <c r="T663" s="75">
        <f>0.5*(F662*Q662+F663*Q663)*R663</f>
        <v>0.01301144401135628</v>
      </c>
      <c r="U663" s="76">
        <f>U662+S663</f>
        <v>2.587886060136794</v>
      </c>
      <c r="V663" s="76">
        <f>V662+T663</f>
        <v>6.097947936950057</v>
      </c>
    </row>
    <row r="664" spans="1:22" ht="19" customHeight="1">
      <c r="A664" s="68" t="s">
        <v>368</v>
      </c>
      <c r="B664" s="74">
        <v>1</v>
      </c>
      <c r="C664" s="68" t="s">
        <v>363</v>
      </c>
      <c r="D664" s="68" t="s">
        <v>364</v>
      </c>
      <c r="E664" s="75">
        <f>60*F664*'THAM_SO_MOI'!$C$49/(2*PI()*'THAM_SO_MOI'!$C$26)</f>
        <v>2280.4999999999995</v>
      </c>
      <c r="F664" s="75">
        <f>'THAM_SO_MOI'!$E$49+('THAM_SO_MOI'!$F$49-'THAM_SO_MOI'!$E$49)*658/'THAM_SO_MOI'!$C$42</f>
        <v>3.560938527284681</v>
      </c>
      <c r="G664" s="75">
        <f>3.6*F664</f>
        <v>12.819378698224853</v>
      </c>
      <c r="H664" s="75">
        <f>'THAM_SO_MOI'!$D$49</f>
        <v>3.1625000000000005</v>
      </c>
      <c r="I664" s="75">
        <f>IF(F664&gt;'THAM_SO_MOI'!$C$14,'THAM_SO_MOI'!$C$13*(1+F664^2/1500),'THAM_SO_MOI'!$C$13)</f>
        <v>0.015</v>
      </c>
      <c r="J664" s="75">
        <f>'THAM_SO_MOI'!$C$40*('THAM_SO_MOI'!$C$23*(E664/'THAM_SO_MOI'!$C$22)+'THAM_SO_MOI'!$C$24*(E664/'THAM_SO_MOI'!$C$22)^2-'THAM_SO_MOI'!$C$25*(E664/'THAM_SO_MOI'!$C$22)^3)</f>
        <v>102.55121727899254</v>
      </c>
      <c r="K664" s="75">
        <f>'THAM_SO_MOI'!$C$31*J664/E664</f>
        <v>429.50088350902695</v>
      </c>
      <c r="L664" s="75">
        <f>K664*'THAM_SO_MOI'!$C$49*'THAM_SO_MOI'!$C$17/'THAM_SO_MOI'!$C$26</f>
        <v>24483.708788484528</v>
      </c>
      <c r="M664" s="75">
        <f>'THAM_SO_MOI'!$C$15*'THAM_SO_MOI'!$C$16*F664^2</f>
        <v>37.08982834566865</v>
      </c>
      <c r="N664" s="75">
        <f>'THAM_SO_MOI'!$C$12*I664</f>
        <v>1130.112</v>
      </c>
      <c r="O664" s="75">
        <f>M664+N664</f>
        <v>1167.2018283456687</v>
      </c>
      <c r="P664" s="75">
        <f>(MIN(L664,'THAM_SO_MOI'!$C$41)-O664)/('THAM_SO_MOI'!$C$11*H664)</f>
        <v>0.9600011100188922</v>
      </c>
      <c r="Q664" s="75">
        <f>IF(P664&gt;0,1/P664,NA())</f>
        <v>1.0416654622204766</v>
      </c>
      <c r="R664" s="75">
        <f>F664-F663</f>
        <v>0.0035133136094671613</v>
      </c>
      <c r="S664" s="75">
        <f>0.5*(Q663+Q664)*R664</f>
        <v>0.0036595816482791425</v>
      </c>
      <c r="T664" s="75">
        <f>0.5*(F663*Q663+F664*Q664)*R664</f>
        <v>0.013025116859511226</v>
      </c>
      <c r="U664" s="76">
        <f>U663+S664</f>
        <v>2.591545641785073</v>
      </c>
      <c r="V664" s="76">
        <f>V663+T664</f>
        <v>6.110973053809568</v>
      </c>
    </row>
    <row r="665" spans="1:22" ht="19" customHeight="1">
      <c r="A665" s="68" t="s">
        <v>368</v>
      </c>
      <c r="B665" s="74">
        <v>1</v>
      </c>
      <c r="C665" s="68" t="s">
        <v>363</v>
      </c>
      <c r="D665" s="68" t="s">
        <v>364</v>
      </c>
      <c r="E665" s="75">
        <f>60*F665*'THAM_SO_MOI'!$C$49/(2*PI()*'THAM_SO_MOI'!$C$26)</f>
        <v>2282.749999999999</v>
      </c>
      <c r="F665" s="75">
        <f>'THAM_SO_MOI'!$E$49+('THAM_SO_MOI'!$F$49-'THAM_SO_MOI'!$E$49)*659/'THAM_SO_MOI'!$C$42</f>
        <v>3.564451840894148</v>
      </c>
      <c r="G665" s="75">
        <f>3.6*F665</f>
        <v>12.832026627218934</v>
      </c>
      <c r="H665" s="75">
        <f>'THAM_SO_MOI'!$D$49</f>
        <v>3.1625000000000005</v>
      </c>
      <c r="I665" s="75">
        <f>IF(F665&gt;'THAM_SO_MOI'!$C$14,'THAM_SO_MOI'!$C$13*(1+F665^2/1500),'THAM_SO_MOI'!$C$13)</f>
        <v>0.015</v>
      </c>
      <c r="J665" s="75">
        <f>'THAM_SO_MOI'!$C$40*('THAM_SO_MOI'!$C$23*(E665/'THAM_SO_MOI'!$C$22)+'THAM_SO_MOI'!$C$24*(E665/'THAM_SO_MOI'!$C$22)^2-'THAM_SO_MOI'!$C$25*(E665/'THAM_SO_MOI'!$C$22)^3)</f>
        <v>102.64639950063136</v>
      </c>
      <c r="K665" s="75">
        <f>'THAM_SO_MOI'!$C$31*J665/E665</f>
        <v>429.47578999228324</v>
      </c>
      <c r="L665" s="75">
        <f>K665*'THAM_SO_MOI'!$C$49*'THAM_SO_MOI'!$C$17/'THAM_SO_MOI'!$C$26</f>
        <v>24482.27833192431</v>
      </c>
      <c r="M665" s="75">
        <f>'THAM_SO_MOI'!$C$15*'THAM_SO_MOI'!$C$16*F665^2</f>
        <v>37.16305200870703</v>
      </c>
      <c r="N665" s="75">
        <f>'THAM_SO_MOI'!$C$12*I665</f>
        <v>1130.112</v>
      </c>
      <c r="O665" s="75">
        <f>M665+N665</f>
        <v>1167.275052008707</v>
      </c>
      <c r="P665" s="75">
        <f>(MIN(L665,'THAM_SO_MOI'!$C$41)-O665)/('THAM_SO_MOI'!$C$11*H665)</f>
        <v>0.9599391996012681</v>
      </c>
      <c r="Q665" s="75">
        <f>IF(P665&gt;0,1/P665,NA())</f>
        <v>1.0417326435001009</v>
      </c>
      <c r="R665" s="75">
        <f>F665-F664</f>
        <v>0.0035133136094671613</v>
      </c>
      <c r="S665" s="75">
        <f>0.5*(Q664+Q665)*R665</f>
        <v>0.0036598154593831043</v>
      </c>
      <c r="T665" s="75">
        <f>0.5*(F664*Q664+F665*Q665)*R665</f>
        <v>0.013038807119111063</v>
      </c>
      <c r="U665" s="76">
        <f>U664+S665</f>
        <v>2.595205457244456</v>
      </c>
      <c r="V665" s="76">
        <f>V664+T665</f>
        <v>6.124011860928679</v>
      </c>
    </row>
    <row r="666" spans="1:22" ht="19" customHeight="1">
      <c r="A666" s="68" t="s">
        <v>368</v>
      </c>
      <c r="B666" s="74">
        <v>1</v>
      </c>
      <c r="C666" s="68" t="s">
        <v>363</v>
      </c>
      <c r="D666" s="68" t="s">
        <v>364</v>
      </c>
      <c r="E666" s="75">
        <f>60*F666*'THAM_SO_MOI'!$C$49/(2*PI()*'THAM_SO_MOI'!$C$26)</f>
        <v>2284.9999999999995</v>
      </c>
      <c r="F666" s="75">
        <f>'THAM_SO_MOI'!$E$49+('THAM_SO_MOI'!$F$49-'THAM_SO_MOI'!$E$49)*660/'THAM_SO_MOI'!$C$42</f>
        <v>3.567965154503616</v>
      </c>
      <c r="G666" s="75">
        <f>3.6*F666</f>
        <v>12.844674556213018</v>
      </c>
      <c r="H666" s="75">
        <f>'THAM_SO_MOI'!$D$49</f>
        <v>3.1625000000000005</v>
      </c>
      <c r="I666" s="75">
        <f>IF(F666&gt;'THAM_SO_MOI'!$C$14,'THAM_SO_MOI'!$C$13*(1+F666^2/1500),'THAM_SO_MOI'!$C$13)</f>
        <v>0.015</v>
      </c>
      <c r="J666" s="75">
        <f>'THAM_SO_MOI'!$C$40*('THAM_SO_MOI'!$C$23*(E666/'THAM_SO_MOI'!$C$22)+'THAM_SO_MOI'!$C$24*(E666/'THAM_SO_MOI'!$C$22)^2-'THAM_SO_MOI'!$C$25*(E666/'THAM_SO_MOI'!$C$22)^3)</f>
        <v>102.74145239983612</v>
      </c>
      <c r="K666" s="75">
        <f>'THAM_SO_MOI'!$C$31*J666/E666</f>
        <v>429.45020533748044</v>
      </c>
      <c r="L666" s="75">
        <f>K666*'THAM_SO_MOI'!$C$49*'THAM_SO_MOI'!$C$17/'THAM_SO_MOI'!$C$26</f>
        <v>24480.81987802655</v>
      </c>
      <c r="M666" s="75">
        <f>'THAM_SO_MOI'!$C$15*'THAM_SO_MOI'!$C$16*F666^2</f>
        <v>37.236347880474646</v>
      </c>
      <c r="N666" s="75">
        <f>'THAM_SO_MOI'!$C$12*I666</f>
        <v>1130.112</v>
      </c>
      <c r="O666" s="75">
        <f>M666+N666</f>
        <v>1167.3483478804746</v>
      </c>
      <c r="P666" s="75">
        <f>(MIN(L666,'THAM_SO_MOI'!$C$41)-O666)/('THAM_SO_MOI'!$C$11*H666)</f>
        <v>0.9598761334875686</v>
      </c>
      <c r="Q666" s="75">
        <f>IF(P666&gt;0,1/P666,NA())</f>
        <v>1.0418010877785315</v>
      </c>
      <c r="R666" s="75">
        <f>F666-F665</f>
        <v>0.0035133136094680495</v>
      </c>
      <c r="S666" s="75">
        <f>0.5*(Q665+Q666)*R666</f>
        <v>0.0036600537069434824</v>
      </c>
      <c r="T666" s="75">
        <f>0.5*(F665*Q665+F666*Q666)*R666</f>
        <v>0.013052514842944448</v>
      </c>
      <c r="U666" s="76">
        <f>U665+S666</f>
        <v>2.5988655109513994</v>
      </c>
      <c r="V666" s="76">
        <f>V665+T666</f>
        <v>6.137064375771623</v>
      </c>
    </row>
    <row r="667" spans="1:22" ht="19" customHeight="1">
      <c r="A667" s="68" t="s">
        <v>368</v>
      </c>
      <c r="B667" s="74">
        <v>1</v>
      </c>
      <c r="C667" s="68" t="s">
        <v>363</v>
      </c>
      <c r="D667" s="68" t="s">
        <v>364</v>
      </c>
      <c r="E667" s="75">
        <f>60*F667*'THAM_SO_MOI'!$C$49/(2*PI()*'THAM_SO_MOI'!$C$26)</f>
        <v>2287.2499999999995</v>
      </c>
      <c r="F667" s="75">
        <f>'THAM_SO_MOI'!$E$49+('THAM_SO_MOI'!$F$49-'THAM_SO_MOI'!$E$49)*661/'THAM_SO_MOI'!$C$42</f>
        <v>3.5714784681130833</v>
      </c>
      <c r="G667" s="75">
        <f>3.6*F667</f>
        <v>12.857322485207101</v>
      </c>
      <c r="H667" s="75">
        <f>'THAM_SO_MOI'!$D$49</f>
        <v>3.1625000000000005</v>
      </c>
      <c r="I667" s="75">
        <f>IF(F667&gt;'THAM_SO_MOI'!$C$14,'THAM_SO_MOI'!$C$13*(1+F667^2/1500),'THAM_SO_MOI'!$C$13)</f>
        <v>0.015</v>
      </c>
      <c r="J667" s="75">
        <f>'THAM_SO_MOI'!$C$40*('THAM_SO_MOI'!$C$23*(E667/'THAM_SO_MOI'!$C$22)+'THAM_SO_MOI'!$C$24*(E667/'THAM_SO_MOI'!$C$22)^2-'THAM_SO_MOI'!$C$25*(E667/'THAM_SO_MOI'!$C$22)^3)</f>
        <v>102.83637562950733</v>
      </c>
      <c r="K667" s="75">
        <f>'THAM_SO_MOI'!$C$31*J667/E667</f>
        <v>429.42412954461906</v>
      </c>
      <c r="L667" s="75">
        <f>K667*'THAM_SO_MOI'!$C$49*'THAM_SO_MOI'!$C$17/'THAM_SO_MOI'!$C$26</f>
        <v>24479.33342679127</v>
      </c>
      <c r="M667" s="75">
        <f>'THAM_SO_MOI'!$C$15*'THAM_SO_MOI'!$C$16*F667^2</f>
        <v>37.30971596097148</v>
      </c>
      <c r="N667" s="75">
        <f>'THAM_SO_MOI'!$C$12*I667</f>
        <v>1130.112</v>
      </c>
      <c r="O667" s="75">
        <f>M667+N667</f>
        <v>1167.4217159609716</v>
      </c>
      <c r="P667" s="75">
        <f>(MIN(L667,'THAM_SO_MOI'!$C$41)-O667)/('THAM_SO_MOI'!$C$11*H667)</f>
        <v>0.9598119116777953</v>
      </c>
      <c r="Q667" s="75">
        <f>IF(P667&gt;0,1/P667,NA())</f>
        <v>1.0418707955519682</v>
      </c>
      <c r="R667" s="75">
        <f>F667-F666</f>
        <v>0.0035133136094671613</v>
      </c>
      <c r="S667" s="75">
        <f>0.5*(Q666+Q667)*R667</f>
        <v>0.003660296392684558</v>
      </c>
      <c r="T667" s="75">
        <f>0.5*(F666*Q666+F667*Q667)*R667</f>
        <v>0.013066240083926593</v>
      </c>
      <c r="U667" s="76">
        <f>U666+S667</f>
        <v>2.602525807344084</v>
      </c>
      <c r="V667" s="76">
        <f>V666+T667</f>
        <v>6.1501306158555495</v>
      </c>
    </row>
    <row r="668" spans="1:22" ht="19" customHeight="1">
      <c r="A668" s="68" t="s">
        <v>368</v>
      </c>
      <c r="B668" s="74">
        <v>1</v>
      </c>
      <c r="C668" s="68" t="s">
        <v>363</v>
      </c>
      <c r="D668" s="68" t="s">
        <v>364</v>
      </c>
      <c r="E668" s="75">
        <f>60*F668*'THAM_SO_MOI'!$C$49/(2*PI()*'THAM_SO_MOI'!$C$26)</f>
        <v>2289.4999999999995</v>
      </c>
      <c r="F668" s="75">
        <f>'THAM_SO_MOI'!$E$49+('THAM_SO_MOI'!$F$49-'THAM_SO_MOI'!$E$49)*662/'THAM_SO_MOI'!$C$42</f>
        <v>3.5749917817225505</v>
      </c>
      <c r="G668" s="75">
        <f>3.6*F668</f>
        <v>12.869970414201182</v>
      </c>
      <c r="H668" s="75">
        <f>'THAM_SO_MOI'!$D$49</f>
        <v>3.1625000000000005</v>
      </c>
      <c r="I668" s="75">
        <f>IF(F668&gt;'THAM_SO_MOI'!$C$14,'THAM_SO_MOI'!$C$13*(1+F668^2/1500),'THAM_SO_MOI'!$C$13)</f>
        <v>0.015</v>
      </c>
      <c r="J668" s="75">
        <f>'THAM_SO_MOI'!$C$40*('THAM_SO_MOI'!$C$23*(E668/'THAM_SO_MOI'!$C$22)+'THAM_SO_MOI'!$C$24*(E668/'THAM_SO_MOI'!$C$22)^2-'THAM_SO_MOI'!$C$25*(E668/'THAM_SO_MOI'!$C$22)^3)</f>
        <v>102.93116884254543</v>
      </c>
      <c r="K668" s="75">
        <f>'THAM_SO_MOI'!$C$31*J668/E668</f>
        <v>429.3975626136989</v>
      </c>
      <c r="L668" s="75">
        <f>K668*'THAM_SO_MOI'!$C$49*'THAM_SO_MOI'!$C$17/'THAM_SO_MOI'!$C$26</f>
        <v>24477.818978218456</v>
      </c>
      <c r="M668" s="75">
        <f>'THAM_SO_MOI'!$C$15*'THAM_SO_MOI'!$C$16*F668^2</f>
        <v>37.383156250197544</v>
      </c>
      <c r="N668" s="75">
        <f>'THAM_SO_MOI'!$C$12*I668</f>
        <v>1130.112</v>
      </c>
      <c r="O668" s="75">
        <f>M668+N668</f>
        <v>1167.4951562501976</v>
      </c>
      <c r="P668" s="75">
        <f>(MIN(L668,'THAM_SO_MOI'!$C$41)-O668)/('THAM_SO_MOI'!$C$11*H668)</f>
        <v>0.9597465341719472</v>
      </c>
      <c r="Q668" s="75">
        <f>IF(P668&gt;0,1/P668,NA())</f>
        <v>1.0419417673258728</v>
      </c>
      <c r="R668" s="75">
        <f>F668-F667</f>
        <v>0.0035133136094671613</v>
      </c>
      <c r="S668" s="75">
        <f>0.5*(Q667+Q668)*R668</f>
        <v>0.0036605435183686822</v>
      </c>
      <c r="T668" s="75">
        <f>0.5*(F667*Q667+F668*Q668)*R668</f>
        <v>0.013079982895132984</v>
      </c>
      <c r="U668" s="76">
        <f>U667+S668</f>
        <v>2.6061863508624525</v>
      </c>
      <c r="V668" s="76">
        <f>V667+T668</f>
        <v>6.163210598750682</v>
      </c>
    </row>
    <row r="669" spans="1:22" ht="19" customHeight="1">
      <c r="A669" s="68" t="s">
        <v>368</v>
      </c>
      <c r="B669" s="74">
        <v>1</v>
      </c>
      <c r="C669" s="68" t="s">
        <v>363</v>
      </c>
      <c r="D669" s="68" t="s">
        <v>364</v>
      </c>
      <c r="E669" s="75">
        <f>60*F669*'THAM_SO_MOI'!$C$49/(2*PI()*'THAM_SO_MOI'!$C$26)</f>
        <v>2291.7499999999995</v>
      </c>
      <c r="F669" s="75">
        <f>'THAM_SO_MOI'!$E$49+('THAM_SO_MOI'!$F$49-'THAM_SO_MOI'!$E$49)*663/'THAM_SO_MOI'!$C$42</f>
        <v>3.5785050953320185</v>
      </c>
      <c r="G669" s="75">
        <f>3.6*F669</f>
        <v>12.882618343195267</v>
      </c>
      <c r="H669" s="75">
        <f>'THAM_SO_MOI'!$D$49</f>
        <v>3.1625000000000005</v>
      </c>
      <c r="I669" s="75">
        <f>IF(F669&gt;'THAM_SO_MOI'!$C$14,'THAM_SO_MOI'!$C$13*(1+F669^2/1500),'THAM_SO_MOI'!$C$13)</f>
        <v>0.015</v>
      </c>
      <c r="J669" s="75">
        <f>'THAM_SO_MOI'!$C$40*('THAM_SO_MOI'!$C$23*(E669/'THAM_SO_MOI'!$C$22)+'THAM_SO_MOI'!$C$24*(E669/'THAM_SO_MOI'!$C$22)^2-'THAM_SO_MOI'!$C$25*(E669/'THAM_SO_MOI'!$C$22)^3)</f>
        <v>103.02583169185087</v>
      </c>
      <c r="K669" s="75">
        <f>'THAM_SO_MOI'!$C$31*J669/E669</f>
        <v>429.37050454471995</v>
      </c>
      <c r="L669" s="75">
        <f>K669*'THAM_SO_MOI'!$C$49*'THAM_SO_MOI'!$C$17/'THAM_SO_MOI'!$C$26</f>
        <v>24476.276532308104</v>
      </c>
      <c r="M669" s="75">
        <f>'THAM_SO_MOI'!$C$15*'THAM_SO_MOI'!$C$16*F669^2</f>
        <v>37.456668748152865</v>
      </c>
      <c r="N669" s="75">
        <f>'THAM_SO_MOI'!$C$12*I669</f>
        <v>1130.112</v>
      </c>
      <c r="O669" s="75">
        <f>M669+N669</f>
        <v>1167.568668748153</v>
      </c>
      <c r="P669" s="75">
        <f>(MIN(L669,'THAM_SO_MOI'!$C$41)-O669)/('THAM_SO_MOI'!$C$11*H669)</f>
        <v>0.9596800009700241</v>
      </c>
      <c r="Q669" s="75">
        <f>IF(P669&gt;0,1/P669,NA())</f>
        <v>1.0420140036149772</v>
      </c>
      <c r="R669" s="75">
        <f>F669-F668</f>
        <v>0.0035133136094680495</v>
      </c>
      <c r="S669" s="75">
        <f>0.5*(Q668+Q669)*R669</f>
        <v>0.0036607950857879853</v>
      </c>
      <c r="T669" s="75">
        <f>0.5*(F668*Q668+F669*Q669)*R669</f>
        <v>0.01309374332977039</v>
      </c>
      <c r="U669" s="76">
        <f>U668+S669</f>
        <v>2.6098471459482404</v>
      </c>
      <c r="V669" s="76">
        <f>V668+T669</f>
        <v>6.176304342080453</v>
      </c>
    </row>
    <row r="670" spans="1:22" ht="19" customHeight="1">
      <c r="A670" s="68" t="s">
        <v>368</v>
      </c>
      <c r="B670" s="74">
        <v>1</v>
      </c>
      <c r="C670" s="68" t="s">
        <v>363</v>
      </c>
      <c r="D670" s="68" t="s">
        <v>364</v>
      </c>
      <c r="E670" s="75">
        <f>60*F670*'THAM_SO_MOI'!$C$49/(2*PI()*'THAM_SO_MOI'!$C$26)</f>
        <v>2293.9999999999995</v>
      </c>
      <c r="F670" s="75">
        <f>'THAM_SO_MOI'!$E$49+('THAM_SO_MOI'!$F$49-'THAM_SO_MOI'!$E$49)*664/'THAM_SO_MOI'!$C$42</f>
        <v>3.5820184089414857</v>
      </c>
      <c r="G670" s="75">
        <f>3.6*F670</f>
        <v>12.89526627218935</v>
      </c>
      <c r="H670" s="75">
        <f>'THAM_SO_MOI'!$D$49</f>
        <v>3.1625000000000005</v>
      </c>
      <c r="I670" s="75">
        <f>IF(F670&gt;'THAM_SO_MOI'!$C$14,'THAM_SO_MOI'!$C$13*(1+F670^2/1500),'THAM_SO_MOI'!$C$13)</f>
        <v>0.015</v>
      </c>
      <c r="J670" s="75">
        <f>'THAM_SO_MOI'!$C$40*('THAM_SO_MOI'!$C$23*(E670/'THAM_SO_MOI'!$C$22)+'THAM_SO_MOI'!$C$24*(E670/'THAM_SO_MOI'!$C$22)^2-'THAM_SO_MOI'!$C$25*(E670/'THAM_SO_MOI'!$C$22)^3)</f>
        <v>103.12036383032408</v>
      </c>
      <c r="K670" s="75">
        <f>'THAM_SO_MOI'!$C$31*J670/E670</f>
        <v>429.3429553376822</v>
      </c>
      <c r="L670" s="75">
        <f>K670*'THAM_SO_MOI'!$C$49*'THAM_SO_MOI'!$C$17/'THAM_SO_MOI'!$C$26</f>
        <v>24474.706089060226</v>
      </c>
      <c r="M670" s="75">
        <f>'THAM_SO_MOI'!$C$15*'THAM_SO_MOI'!$C$16*F670^2</f>
        <v>37.53025345483741</v>
      </c>
      <c r="N670" s="75">
        <f>'THAM_SO_MOI'!$C$12*I670</f>
        <v>1130.112</v>
      </c>
      <c r="O670" s="75">
        <f>M670+N670</f>
        <v>1167.6422534548374</v>
      </c>
      <c r="P670" s="75">
        <f>(MIN(L670,'THAM_SO_MOI'!$C$41)-O670)/('THAM_SO_MOI'!$C$11*H670)</f>
        <v>0.9596123120720266</v>
      </c>
      <c r="Q670" s="75">
        <f>IF(P670&gt;0,1/P670,NA())</f>
        <v>1.04208750494329</v>
      </c>
      <c r="R670" s="75">
        <f>F670-F669</f>
        <v>0.0035133136094671613</v>
      </c>
      <c r="S670" s="75">
        <f>0.5*(Q669+Q670)*R670</f>
        <v>0.0036610510967644005</v>
      </c>
      <c r="T670" s="75">
        <f>0.5*(F669*Q669+F670*Q670)*R670</f>
        <v>0.013107521441177463</v>
      </c>
      <c r="U670" s="76">
        <f>U669+S670</f>
        <v>2.6135081970450047</v>
      </c>
      <c r="V670" s="76">
        <f>V669+T670</f>
        <v>6.18941186352163</v>
      </c>
    </row>
    <row r="671" spans="1:22" ht="19" customHeight="1">
      <c r="A671" s="68" t="s">
        <v>368</v>
      </c>
      <c r="B671" s="74">
        <v>1</v>
      </c>
      <c r="C671" s="68" t="s">
        <v>363</v>
      </c>
      <c r="D671" s="68" t="s">
        <v>364</v>
      </c>
      <c r="E671" s="75">
        <f>60*F671*'THAM_SO_MOI'!$C$49/(2*PI()*'THAM_SO_MOI'!$C$26)</f>
        <v>2296.2499999999995</v>
      </c>
      <c r="F671" s="75">
        <f>'THAM_SO_MOI'!$E$49+('THAM_SO_MOI'!$F$49-'THAM_SO_MOI'!$E$49)*665/'THAM_SO_MOI'!$C$42</f>
        <v>3.585531722550953</v>
      </c>
      <c r="G671" s="75">
        <f>3.6*F671</f>
        <v>12.90791420118343</v>
      </c>
      <c r="H671" s="75">
        <f>'THAM_SO_MOI'!$D$49</f>
        <v>3.1625000000000005</v>
      </c>
      <c r="I671" s="75">
        <f>IF(F671&gt;'THAM_SO_MOI'!$C$14,'THAM_SO_MOI'!$C$13*(1+F671^2/1500),'THAM_SO_MOI'!$C$13)</f>
        <v>0.015</v>
      </c>
      <c r="J671" s="75">
        <f>'THAM_SO_MOI'!$C$40*('THAM_SO_MOI'!$C$23*(E671/'THAM_SO_MOI'!$C$22)+'THAM_SO_MOI'!$C$24*(E671/'THAM_SO_MOI'!$C$22)^2-'THAM_SO_MOI'!$C$25*(E671/'THAM_SO_MOI'!$C$22)^3)</f>
        <v>103.21476491086558</v>
      </c>
      <c r="K671" s="75">
        <f>'THAM_SO_MOI'!$C$31*J671/E671</f>
        <v>429.3149149925857</v>
      </c>
      <c r="L671" s="75">
        <f>K671*'THAM_SO_MOI'!$C$49*'THAM_SO_MOI'!$C$17/'THAM_SO_MOI'!$C$26</f>
        <v>24473.107648474812</v>
      </c>
      <c r="M671" s="75">
        <f>'THAM_SO_MOI'!$C$15*'THAM_SO_MOI'!$C$16*F671^2</f>
        <v>37.60391037025117</v>
      </c>
      <c r="N671" s="75">
        <f>'THAM_SO_MOI'!$C$12*I671</f>
        <v>1130.112</v>
      </c>
      <c r="O671" s="75">
        <f>M671+N671</f>
        <v>1167.7159103702513</v>
      </c>
      <c r="P671" s="75">
        <f>(MIN(L671,'THAM_SO_MOI'!$C$41)-O671)/('THAM_SO_MOI'!$C$11*H671)</f>
        <v>0.9595434674779545</v>
      </c>
      <c r="Q671" s="75">
        <f>IF(P671&gt;0,1/P671,NA())</f>
        <v>1.0421622718441101</v>
      </c>
      <c r="R671" s="75">
        <f>F671-F670</f>
        <v>0.0035133136094671613</v>
      </c>
      <c r="S671" s="75">
        <f>0.5*(Q670+Q671)*R671</f>
        <v>0.0036613115531580337</v>
      </c>
      <c r="T671" s="75">
        <f>0.5*(F670*Q670+F671*Q671)*R671</f>
        <v>0.013121317282855252</v>
      </c>
      <c r="U671" s="76">
        <f>U670+S671</f>
        <v>2.6171695085981628</v>
      </c>
      <c r="V671" s="76">
        <f>V670+T671</f>
        <v>6.202533180804485</v>
      </c>
    </row>
    <row r="672" spans="1:22" ht="19" customHeight="1">
      <c r="A672" s="68" t="s">
        <v>368</v>
      </c>
      <c r="B672" s="74">
        <v>1</v>
      </c>
      <c r="C672" s="68" t="s">
        <v>363</v>
      </c>
      <c r="D672" s="68" t="s">
        <v>364</v>
      </c>
      <c r="E672" s="75">
        <f>60*F672*'THAM_SO_MOI'!$C$49/(2*PI()*'THAM_SO_MOI'!$C$26)</f>
        <v>2298.4999999999995</v>
      </c>
      <c r="F672" s="75">
        <f>'THAM_SO_MOI'!$E$49+('THAM_SO_MOI'!$F$49-'THAM_SO_MOI'!$E$49)*666/'THAM_SO_MOI'!$C$42</f>
        <v>3.589045036160421</v>
      </c>
      <c r="G672" s="75">
        <f>3.6*F672</f>
        <v>12.920562130177515</v>
      </c>
      <c r="H672" s="75">
        <f>'THAM_SO_MOI'!$D$49</f>
        <v>3.1625000000000005</v>
      </c>
      <c r="I672" s="75">
        <f>IF(F672&gt;'THAM_SO_MOI'!$C$14,'THAM_SO_MOI'!$C$13*(1+F672^2/1500),'THAM_SO_MOI'!$C$13)</f>
        <v>0.015</v>
      </c>
      <c r="J672" s="75">
        <f>'THAM_SO_MOI'!$C$40*('THAM_SO_MOI'!$C$23*(E672/'THAM_SO_MOI'!$C$22)+'THAM_SO_MOI'!$C$24*(E672/'THAM_SO_MOI'!$C$22)^2-'THAM_SO_MOI'!$C$25*(E672/'THAM_SO_MOI'!$C$22)^3)</f>
        <v>103.30903458637573</v>
      </c>
      <c r="K672" s="75">
        <f>'THAM_SO_MOI'!$C$31*J672/E672</f>
        <v>429.2863835094303</v>
      </c>
      <c r="L672" s="75">
        <f>K672*'THAM_SO_MOI'!$C$49*'THAM_SO_MOI'!$C$17/'THAM_SO_MOI'!$C$26</f>
        <v>24471.48121055186</v>
      </c>
      <c r="M672" s="75">
        <f>'THAM_SO_MOI'!$C$15*'THAM_SO_MOI'!$C$16*F672^2</f>
        <v>37.67763949439419</v>
      </c>
      <c r="N672" s="75">
        <f>'THAM_SO_MOI'!$C$12*I672</f>
        <v>1130.112</v>
      </c>
      <c r="O672" s="75">
        <f>M672+N672</f>
        <v>1167.7896394943944</v>
      </c>
      <c r="P672" s="75">
        <f>(MIN(L672,'THAM_SO_MOI'!$C$41)-O672)/('THAM_SO_MOI'!$C$11*H672)</f>
        <v>0.9594734671878072</v>
      </c>
      <c r="Q672" s="75">
        <f>IF(P672&gt;0,1/P672,NA())</f>
        <v>1.0422383048600343</v>
      </c>
      <c r="R672" s="75">
        <f>F672-F671</f>
        <v>0.0035133136094680495</v>
      </c>
      <c r="S672" s="75">
        <f>0.5*(Q671+Q672)*R672</f>
        <v>0.003661576456858861</v>
      </c>
      <c r="T672" s="75">
        <f>0.5*(F671*Q671+F672*Q672)*R672</f>
        <v>0.01313513090843812</v>
      </c>
      <c r="U672" s="76">
        <f>U671+S672</f>
        <v>2.6208310850550216</v>
      </c>
      <c r="V672" s="76">
        <f>V671+T672</f>
        <v>6.215668311712923</v>
      </c>
    </row>
    <row r="673" spans="1:22" ht="19" customHeight="1">
      <c r="A673" s="68" t="s">
        <v>368</v>
      </c>
      <c r="B673" s="74">
        <v>1</v>
      </c>
      <c r="C673" s="68" t="s">
        <v>363</v>
      </c>
      <c r="D673" s="68" t="s">
        <v>364</v>
      </c>
      <c r="E673" s="75">
        <f>60*F673*'THAM_SO_MOI'!$C$49/(2*PI()*'THAM_SO_MOI'!$C$26)</f>
        <v>2300.7499999999995</v>
      </c>
      <c r="F673" s="75">
        <f>'THAM_SO_MOI'!$E$49+('THAM_SO_MOI'!$F$49-'THAM_SO_MOI'!$E$49)*667/'THAM_SO_MOI'!$C$42</f>
        <v>3.592558349769888</v>
      </c>
      <c r="G673" s="75">
        <f>3.6*F673</f>
        <v>12.933210059171598</v>
      </c>
      <c r="H673" s="75">
        <f>'THAM_SO_MOI'!$D$49</f>
        <v>3.1625000000000005</v>
      </c>
      <c r="I673" s="75">
        <f>IF(F673&gt;'THAM_SO_MOI'!$C$14,'THAM_SO_MOI'!$C$13*(1+F673^2/1500),'THAM_SO_MOI'!$C$13)</f>
        <v>0.015</v>
      </c>
      <c r="J673" s="75">
        <f>'THAM_SO_MOI'!$C$40*('THAM_SO_MOI'!$C$23*(E673/'THAM_SO_MOI'!$C$22)+'THAM_SO_MOI'!$C$24*(E673/'THAM_SO_MOI'!$C$22)^2-'THAM_SO_MOI'!$C$25*(E673/'THAM_SO_MOI'!$C$22)^3)</f>
        <v>103.40317250975508</v>
      </c>
      <c r="K673" s="75">
        <f>'THAM_SO_MOI'!$C$31*J673/E673</f>
        <v>429.25736088821634</v>
      </c>
      <c r="L673" s="75">
        <f>K673*'THAM_SO_MOI'!$C$49*'THAM_SO_MOI'!$C$17/'THAM_SO_MOI'!$C$26</f>
        <v>24469.82677529139</v>
      </c>
      <c r="M673" s="75">
        <f>'THAM_SO_MOI'!$C$15*'THAM_SO_MOI'!$C$16*F673^2</f>
        <v>37.75144082726643</v>
      </c>
      <c r="N673" s="75">
        <f>'THAM_SO_MOI'!$C$12*I673</f>
        <v>1130.112</v>
      </c>
      <c r="O673" s="75">
        <f>M673+N673</f>
        <v>1167.8634408272665</v>
      </c>
      <c r="P673" s="75">
        <f>(MIN(L673,'THAM_SO_MOI'!$C$41)-O673)/('THAM_SO_MOI'!$C$11*H673)</f>
        <v>0.9594023112015859</v>
      </c>
      <c r="Q673" s="75">
        <f>IF(P673&gt;0,1/P673,NA())</f>
        <v>1.0423156045429662</v>
      </c>
      <c r="R673" s="75">
        <f>F673-F672</f>
        <v>0.0035133136094671613</v>
      </c>
      <c r="S673" s="75">
        <f>0.5*(Q672+Q673)*R673</f>
        <v>0.003661845809786769</v>
      </c>
      <c r="T673" s="75">
        <f>0.5*(F672*Q672+F673*Q673)*R673</f>
        <v>0.013148962371694382</v>
      </c>
      <c r="U673" s="76">
        <f>U672+S673</f>
        <v>2.6244929308648084</v>
      </c>
      <c r="V673" s="76">
        <f>V672+T673</f>
        <v>6.2288172740846175</v>
      </c>
    </row>
    <row r="674" spans="1:22" ht="19" customHeight="1">
      <c r="A674" s="68" t="s">
        <v>368</v>
      </c>
      <c r="B674" s="74">
        <v>1</v>
      </c>
      <c r="C674" s="68" t="s">
        <v>363</v>
      </c>
      <c r="D674" s="68" t="s">
        <v>364</v>
      </c>
      <c r="E674" s="75">
        <f>60*F674*'THAM_SO_MOI'!$C$49/(2*PI()*'THAM_SO_MOI'!$C$26)</f>
        <v>2302.9999999999995</v>
      </c>
      <c r="F674" s="75">
        <f>'THAM_SO_MOI'!$E$49+('THAM_SO_MOI'!$F$49-'THAM_SO_MOI'!$E$49)*668/'THAM_SO_MOI'!$C$42</f>
        <v>3.5960716633793552</v>
      </c>
      <c r="G674" s="75">
        <f>3.6*F674</f>
        <v>12.94585798816568</v>
      </c>
      <c r="H674" s="75">
        <f>'THAM_SO_MOI'!$D$49</f>
        <v>3.1625000000000005</v>
      </c>
      <c r="I674" s="75">
        <f>IF(F674&gt;'THAM_SO_MOI'!$C$14,'THAM_SO_MOI'!$C$13*(1+F674^2/1500),'THAM_SO_MOI'!$C$13)</f>
        <v>0.015</v>
      </c>
      <c r="J674" s="75">
        <f>'THAM_SO_MOI'!$C$40*('THAM_SO_MOI'!$C$23*(E674/'THAM_SO_MOI'!$C$22)+'THAM_SO_MOI'!$C$24*(E674/'THAM_SO_MOI'!$C$22)^2-'THAM_SO_MOI'!$C$25*(E674/'THAM_SO_MOI'!$C$22)^3)</f>
        <v>103.49717833390406</v>
      </c>
      <c r="K674" s="75">
        <f>'THAM_SO_MOI'!$C$31*J674/E674</f>
        <v>429.22784712894355</v>
      </c>
      <c r="L674" s="75">
        <f>K674*'THAM_SO_MOI'!$C$49*'THAM_SO_MOI'!$C$17/'THAM_SO_MOI'!$C$26</f>
        <v>24468.144342693384</v>
      </c>
      <c r="M674" s="75">
        <f>'THAM_SO_MOI'!$C$15*'THAM_SO_MOI'!$C$16*F674^2</f>
        <v>37.82531436886789</v>
      </c>
      <c r="N674" s="75">
        <f>'THAM_SO_MOI'!$C$12*I674</f>
        <v>1130.112</v>
      </c>
      <c r="O674" s="75">
        <f>M674+N674</f>
        <v>1167.9373143688679</v>
      </c>
      <c r="P674" s="75">
        <f>(MIN(L674,'THAM_SO_MOI'!$C$41)-O674)/('THAM_SO_MOI'!$C$11*H674)</f>
        <v>0.9593299995192899</v>
      </c>
      <c r="Q674" s="75">
        <f>IF(P674&gt;0,1/P674,NA())</f>
        <v>1.042394171454129</v>
      </c>
      <c r="R674" s="75">
        <f>F674-F673</f>
        <v>0.0035133136094671613</v>
      </c>
      <c r="S674" s="75">
        <f>0.5*(Q673+Q674)*R674</f>
        <v>0.003662119613899916</v>
      </c>
      <c r="T674" s="75">
        <f>0.5*(F673*Q673+F674*Q674)*R674</f>
        <v>0.01316281172655689</v>
      </c>
      <c r="U674" s="76">
        <f>U673+S674</f>
        <v>2.6281550504787083</v>
      </c>
      <c r="V674" s="76">
        <f>V673+T674</f>
        <v>6.241980085811174</v>
      </c>
    </row>
    <row r="675" spans="1:22" ht="19" customHeight="1">
      <c r="A675" s="68" t="s">
        <v>368</v>
      </c>
      <c r="B675" s="74">
        <v>1</v>
      </c>
      <c r="C675" s="68" t="s">
        <v>363</v>
      </c>
      <c r="D675" s="68" t="s">
        <v>364</v>
      </c>
      <c r="E675" s="75">
        <f>60*F675*'THAM_SO_MOI'!$C$49/(2*PI()*'THAM_SO_MOI'!$C$26)</f>
        <v>2305.25</v>
      </c>
      <c r="F675" s="75">
        <f>'THAM_SO_MOI'!$E$49+('THAM_SO_MOI'!$F$49-'THAM_SO_MOI'!$E$49)*669/'THAM_SO_MOI'!$C$42</f>
        <v>3.5995849769888233</v>
      </c>
      <c r="G675" s="75">
        <f>3.6*F675</f>
        <v>12.958505917159764</v>
      </c>
      <c r="H675" s="75">
        <f>'THAM_SO_MOI'!$D$49</f>
        <v>3.1625000000000005</v>
      </c>
      <c r="I675" s="75">
        <f>IF(F675&gt;'THAM_SO_MOI'!$C$14,'THAM_SO_MOI'!$C$13*(1+F675^2/1500),'THAM_SO_MOI'!$C$13)</f>
        <v>0.015</v>
      </c>
      <c r="J675" s="75">
        <f>'THAM_SO_MOI'!$C$40*('THAM_SO_MOI'!$C$23*(E675/'THAM_SO_MOI'!$C$22)+'THAM_SO_MOI'!$C$24*(E675/'THAM_SO_MOI'!$C$22)^2-'THAM_SO_MOI'!$C$25*(E675/'THAM_SO_MOI'!$C$22)^3)</f>
        <v>103.59105171172307</v>
      </c>
      <c r="K675" s="75">
        <f>'THAM_SO_MOI'!$C$31*J675/E675</f>
        <v>429.19784223161173</v>
      </c>
      <c r="L675" s="75">
        <f>K675*'THAM_SO_MOI'!$C$49*'THAM_SO_MOI'!$C$17/'THAM_SO_MOI'!$C$26</f>
        <v>24466.433912757828</v>
      </c>
      <c r="M675" s="75">
        <f>'THAM_SO_MOI'!$C$15*'THAM_SO_MOI'!$C$16*F675^2</f>
        <v>37.899260119198615</v>
      </c>
      <c r="N675" s="75">
        <f>'THAM_SO_MOI'!$C$12*I675</f>
        <v>1130.112</v>
      </c>
      <c r="O675" s="75">
        <f>M675+N675</f>
        <v>1168.0112601191986</v>
      </c>
      <c r="P675" s="75">
        <f>(MIN(L675,'THAM_SO_MOI'!$C$41)-O675)/('THAM_SO_MOI'!$C$11*H675)</f>
        <v>0.9592565321409182</v>
      </c>
      <c r="Q675" s="75">
        <f>IF(P675&gt;0,1/P675,NA())</f>
        <v>1.0424740061640743</v>
      </c>
      <c r="R675" s="75">
        <f>F675-F674</f>
        <v>0.0035133136094680495</v>
      </c>
      <c r="S675" s="75">
        <f>0.5*(Q674+Q675)*R675</f>
        <v>0.0036623978711864415</v>
      </c>
      <c r="T675" s="75">
        <f>0.5*(F674*Q674+F675*Q675)*R675</f>
        <v>0.013176679027093893</v>
      </c>
      <c r="U675" s="76">
        <f>U674+S675</f>
        <v>2.631817448349895</v>
      </c>
      <c r="V675" s="76">
        <f>V674+T675</f>
        <v>6.255156764838268</v>
      </c>
    </row>
    <row r="676" spans="1:22" ht="19" customHeight="1">
      <c r="A676" s="68" t="s">
        <v>368</v>
      </c>
      <c r="B676" s="74">
        <v>1</v>
      </c>
      <c r="C676" s="68" t="s">
        <v>363</v>
      </c>
      <c r="D676" s="68" t="s">
        <v>364</v>
      </c>
      <c r="E676" s="75">
        <f>60*F676*'THAM_SO_MOI'!$C$49/(2*PI()*'THAM_SO_MOI'!$C$26)</f>
        <v>2307.5</v>
      </c>
      <c r="F676" s="75">
        <f>'THAM_SO_MOI'!$E$49+('THAM_SO_MOI'!$F$49-'THAM_SO_MOI'!$E$49)*670/'THAM_SO_MOI'!$C$42</f>
        <v>3.6030982905982905</v>
      </c>
      <c r="G676" s="75">
        <f>3.6*F676</f>
        <v>12.971153846153847</v>
      </c>
      <c r="H676" s="75">
        <f>'THAM_SO_MOI'!$D$49</f>
        <v>3.1625000000000005</v>
      </c>
      <c r="I676" s="75">
        <f>IF(F676&gt;'THAM_SO_MOI'!$C$14,'THAM_SO_MOI'!$C$13*(1+F676^2/1500),'THAM_SO_MOI'!$C$13)</f>
        <v>0.015</v>
      </c>
      <c r="J676" s="75">
        <f>'THAM_SO_MOI'!$C$40*('THAM_SO_MOI'!$C$23*(E676/'THAM_SO_MOI'!$C$22)+'THAM_SO_MOI'!$C$24*(E676/'THAM_SO_MOI'!$C$22)^2-'THAM_SO_MOI'!$C$25*(E676/'THAM_SO_MOI'!$C$22)^3)</f>
        <v>103.68479229611265</v>
      </c>
      <c r="K676" s="75">
        <f>'THAM_SO_MOI'!$C$31*J676/E676</f>
        <v>429.16734619622144</v>
      </c>
      <c r="L676" s="75">
        <f>K676*'THAM_SO_MOI'!$C$49*'THAM_SO_MOI'!$C$17/'THAM_SO_MOI'!$C$26</f>
        <v>24464.695485484765</v>
      </c>
      <c r="M676" s="75">
        <f>'THAM_SO_MOI'!$C$15*'THAM_SO_MOI'!$C$16*F676^2</f>
        <v>37.973278078258545</v>
      </c>
      <c r="N676" s="75">
        <f>'THAM_SO_MOI'!$C$12*I676</f>
        <v>1130.112</v>
      </c>
      <c r="O676" s="75">
        <f>M676+N676</f>
        <v>1168.0852780782586</v>
      </c>
      <c r="P676" s="75">
        <f>(MIN(L676,'THAM_SO_MOI'!$C$41)-O676)/('THAM_SO_MOI'!$C$11*H676)</f>
        <v>0.9591819090664733</v>
      </c>
      <c r="Q676" s="75">
        <f>IF(P676&gt;0,1/P676,NA())</f>
        <v>1.0425551092526892</v>
      </c>
      <c r="R676" s="75">
        <f>F676-F675</f>
        <v>0.0035133136094671613</v>
      </c>
      <c r="S676" s="75">
        <f>0.5*(Q675+Q676)*R676</f>
        <v>0.0036626805836644963</v>
      </c>
      <c r="T676" s="75">
        <f>0.5*(F675*Q675+F676*Q676)*R676</f>
        <v>0.013190564327509643</v>
      </c>
      <c r="U676" s="76">
        <f>U675+S676</f>
        <v>2.635480128933559</v>
      </c>
      <c r="V676" s="76">
        <f>V675+T676</f>
        <v>6.268347329165778</v>
      </c>
    </row>
    <row r="677" spans="1:22" ht="19" customHeight="1">
      <c r="A677" s="68" t="s">
        <v>368</v>
      </c>
      <c r="B677" s="74">
        <v>1</v>
      </c>
      <c r="C677" s="68" t="s">
        <v>363</v>
      </c>
      <c r="D677" s="68" t="s">
        <v>364</v>
      </c>
      <c r="E677" s="75">
        <f>60*F677*'THAM_SO_MOI'!$C$49/(2*PI()*'THAM_SO_MOI'!$C$26)</f>
        <v>2309.75</v>
      </c>
      <c r="F677" s="75">
        <f>'THAM_SO_MOI'!$E$49+('THAM_SO_MOI'!$F$49-'THAM_SO_MOI'!$E$49)*671/'THAM_SO_MOI'!$C$42</f>
        <v>3.6066116042077585</v>
      </c>
      <c r="G677" s="75">
        <f>3.6*F677</f>
        <v>12.983801775147931</v>
      </c>
      <c r="H677" s="75">
        <f>'THAM_SO_MOI'!$D$49</f>
        <v>3.1625000000000005</v>
      </c>
      <c r="I677" s="75">
        <f>IF(F677&gt;'THAM_SO_MOI'!$C$14,'THAM_SO_MOI'!$C$13*(1+F677^2/1500),'THAM_SO_MOI'!$C$13)</f>
        <v>0.015</v>
      </c>
      <c r="J677" s="75">
        <f>'THAM_SO_MOI'!$C$40*('THAM_SO_MOI'!$C$23*(E677/'THAM_SO_MOI'!$C$22)+'THAM_SO_MOI'!$C$24*(E677/'THAM_SO_MOI'!$C$22)^2-'THAM_SO_MOI'!$C$25*(E677/'THAM_SO_MOI'!$C$22)^3)</f>
        <v>103.7783997399732</v>
      </c>
      <c r="K677" s="75">
        <f>'THAM_SO_MOI'!$C$31*J677/E677</f>
        <v>429.13635902277224</v>
      </c>
      <c r="L677" s="75">
        <f>K677*'THAM_SO_MOI'!$C$49*'THAM_SO_MOI'!$C$17/'THAM_SO_MOI'!$C$26</f>
        <v>24462.92906087415</v>
      </c>
      <c r="M677" s="75">
        <f>'THAM_SO_MOI'!$C$15*'THAM_SO_MOI'!$C$16*F677^2</f>
        <v>38.04736824604773</v>
      </c>
      <c r="N677" s="75">
        <f>'THAM_SO_MOI'!$C$12*I677</f>
        <v>1130.112</v>
      </c>
      <c r="O677" s="75">
        <f>M677+N677</f>
        <v>1168.1593682460477</v>
      </c>
      <c r="P677" s="75">
        <f>(MIN(L677,'THAM_SO_MOI'!$C$41)-O677)/('THAM_SO_MOI'!$C$11*H677)</f>
        <v>0.9591061302959527</v>
      </c>
      <c r="Q677" s="75">
        <f>IF(P677&gt;0,1/P677,NA())</f>
        <v>1.0426374813092152</v>
      </c>
      <c r="R677" s="75">
        <f>F677-F676</f>
        <v>0.0035133136094680495</v>
      </c>
      <c r="S677" s="75">
        <f>0.5*(Q676+Q677)*R677</f>
        <v>0.0036629677533915384</v>
      </c>
      <c r="T677" s="75">
        <f>0.5*(F676*Q676+F677*Q677)*R677</f>
        <v>0.013204467682178474</v>
      </c>
      <c r="U677" s="76">
        <f>U676+S677</f>
        <v>2.6391430966869507</v>
      </c>
      <c r="V677" s="76">
        <f>V676+T677</f>
        <v>6.281551796847956</v>
      </c>
    </row>
    <row r="678" spans="1:22" ht="19" customHeight="1">
      <c r="A678" s="68" t="s">
        <v>368</v>
      </c>
      <c r="B678" s="74">
        <v>1</v>
      </c>
      <c r="C678" s="68" t="s">
        <v>363</v>
      </c>
      <c r="D678" s="68" t="s">
        <v>364</v>
      </c>
      <c r="E678" s="75">
        <f>60*F678*'THAM_SO_MOI'!$C$49/(2*PI()*'THAM_SO_MOI'!$C$26)</f>
        <v>2312.0</v>
      </c>
      <c r="F678" s="75">
        <f>'THAM_SO_MOI'!$E$49+('THAM_SO_MOI'!$F$49-'THAM_SO_MOI'!$E$49)*672/'THAM_SO_MOI'!$C$42</f>
        <v>3.6101249178172257</v>
      </c>
      <c r="G678" s="75">
        <f>3.6*F678</f>
        <v>12.996449704142012</v>
      </c>
      <c r="H678" s="75">
        <f>'THAM_SO_MOI'!$D$49</f>
        <v>3.1625000000000005</v>
      </c>
      <c r="I678" s="75">
        <f>IF(F678&gt;'THAM_SO_MOI'!$C$14,'THAM_SO_MOI'!$C$13*(1+F678^2/1500),'THAM_SO_MOI'!$C$13)</f>
        <v>0.015</v>
      </c>
      <c r="J678" s="75">
        <f>'THAM_SO_MOI'!$C$40*('THAM_SO_MOI'!$C$23*(E678/'THAM_SO_MOI'!$C$22)+'THAM_SO_MOI'!$C$24*(E678/'THAM_SO_MOI'!$C$22)^2-'THAM_SO_MOI'!$C$25*(E678/'THAM_SO_MOI'!$C$22)^3)</f>
        <v>103.87187369620518</v>
      </c>
      <c r="K678" s="75">
        <f>'THAM_SO_MOI'!$C$31*J678/E678</f>
        <v>429.10488071126434</v>
      </c>
      <c r="L678" s="75">
        <f>K678*'THAM_SO_MOI'!$C$49*'THAM_SO_MOI'!$C$17/'THAM_SO_MOI'!$C$26</f>
        <v>24461.134638926014</v>
      </c>
      <c r="M678" s="75">
        <f>'THAM_SO_MOI'!$C$15*'THAM_SO_MOI'!$C$16*F678^2</f>
        <v>38.121530622566134</v>
      </c>
      <c r="N678" s="75">
        <f>'THAM_SO_MOI'!$C$12*I678</f>
        <v>1130.112</v>
      </c>
      <c r="O678" s="75">
        <f>M678+N678</f>
        <v>1168.2335306225661</v>
      </c>
      <c r="P678" s="75">
        <f>(MIN(L678,'THAM_SO_MOI'!$C$41)-O678)/('THAM_SO_MOI'!$C$11*H678)</f>
        <v>0.9590291958293578</v>
      </c>
      <c r="Q678" s="75">
        <f>IF(P678&gt;0,1/P678,NA())</f>
        <v>1.0427211229322493</v>
      </c>
      <c r="R678" s="75">
        <f>F678-F677</f>
        <v>0.0035133136094671613</v>
      </c>
      <c r="S678" s="75">
        <f>0.5*(Q677+Q678)*R678</f>
        <v>0.00366325938245049</v>
      </c>
      <c r="T678" s="75">
        <f>0.5*(F677*Q677+F678*Q678)*R678</f>
        <v>0.013218389145595501</v>
      </c>
      <c r="U678" s="76">
        <f>U677+S678</f>
        <v>2.6428063560694013</v>
      </c>
      <c r="V678" s="76">
        <f>V677+T678</f>
        <v>6.294770185993552</v>
      </c>
    </row>
    <row r="679" spans="1:22" ht="19" customHeight="1">
      <c r="A679" s="68" t="s">
        <v>368</v>
      </c>
      <c r="B679" s="74">
        <v>1</v>
      </c>
      <c r="C679" s="68" t="s">
        <v>363</v>
      </c>
      <c r="D679" s="68" t="s">
        <v>364</v>
      </c>
      <c r="E679" s="75">
        <f>60*F679*'THAM_SO_MOI'!$C$49/(2*PI()*'THAM_SO_MOI'!$C$26)</f>
        <v>2314.25</v>
      </c>
      <c r="F679" s="75">
        <f>'THAM_SO_MOI'!$E$49+('THAM_SO_MOI'!$F$49-'THAM_SO_MOI'!$E$49)*673/'THAM_SO_MOI'!$C$42</f>
        <v>3.613638231426693</v>
      </c>
      <c r="G679" s="75">
        <f>3.6*F679</f>
        <v>13.009097633136095</v>
      </c>
      <c r="H679" s="75">
        <f>'THAM_SO_MOI'!$D$49</f>
        <v>3.1625000000000005</v>
      </c>
      <c r="I679" s="75">
        <f>IF(F679&gt;'THAM_SO_MOI'!$C$14,'THAM_SO_MOI'!$C$13*(1+F679^2/1500),'THAM_SO_MOI'!$C$13)</f>
        <v>0.015</v>
      </c>
      <c r="J679" s="75">
        <f>'THAM_SO_MOI'!$C$40*('THAM_SO_MOI'!$C$23*(E679/'THAM_SO_MOI'!$C$22)+'THAM_SO_MOI'!$C$24*(E679/'THAM_SO_MOI'!$C$22)^2-'THAM_SO_MOI'!$C$25*(E679/'THAM_SO_MOI'!$C$22)^3)</f>
        <v>103.96521381770904</v>
      </c>
      <c r="K679" s="75">
        <f>'THAM_SO_MOI'!$C$31*J679/E679</f>
        <v>429.0729112616975</v>
      </c>
      <c r="L679" s="75">
        <f>K679*'THAM_SO_MOI'!$C$49*'THAM_SO_MOI'!$C$17/'THAM_SO_MOI'!$C$26</f>
        <v>24459.31221964034</v>
      </c>
      <c r="M679" s="75">
        <f>'THAM_SO_MOI'!$C$15*'THAM_SO_MOI'!$C$16*F679^2</f>
        <v>38.195765207813764</v>
      </c>
      <c r="N679" s="75">
        <f>'THAM_SO_MOI'!$C$12*I679</f>
        <v>1130.112</v>
      </c>
      <c r="O679" s="75">
        <f>M679+N679</f>
        <v>1168.3077652078139</v>
      </c>
      <c r="P679" s="75">
        <f>(MIN(L679,'THAM_SO_MOI'!$C$41)-O679)/('THAM_SO_MOI'!$C$11*H679)</f>
        <v>0.9589511056666882</v>
      </c>
      <c r="Q679" s="75">
        <f>IF(P679&gt;0,1/P679,NA())</f>
        <v>1.0428060347297619</v>
      </c>
      <c r="R679" s="75">
        <f>F679-F678</f>
        <v>0.0035133136094671613</v>
      </c>
      <c r="S679" s="75">
        <f>0.5*(Q678+Q679)*R679</f>
        <v>0.0036635554729636554</v>
      </c>
      <c r="T679" s="75">
        <f>0.5*(F678*Q678+F679*Q679)*R679</f>
        <v>0.01323232877242735</v>
      </c>
      <c r="U679" s="76">
        <f>U678+S679</f>
        <v>2.646469911542365</v>
      </c>
      <c r="V679" s="76">
        <f>V678+T679</f>
        <v>6.308002514765979</v>
      </c>
    </row>
    <row r="680" spans="1:22" ht="19" customHeight="1">
      <c r="A680" s="68" t="s">
        <v>368</v>
      </c>
      <c r="B680" s="74">
        <v>1</v>
      </c>
      <c r="C680" s="68" t="s">
        <v>363</v>
      </c>
      <c r="D680" s="68" t="s">
        <v>364</v>
      </c>
      <c r="E680" s="75">
        <f>60*F680*'THAM_SO_MOI'!$C$49/(2*PI()*'THAM_SO_MOI'!$C$26)</f>
        <v>2316.5</v>
      </c>
      <c r="F680" s="75">
        <f>'THAM_SO_MOI'!$E$49+('THAM_SO_MOI'!$F$49-'THAM_SO_MOI'!$E$49)*674/'THAM_SO_MOI'!$C$42</f>
        <v>3.617151545036161</v>
      </c>
      <c r="G680" s="75">
        <f>3.6*F680</f>
        <v>13.02174556213018</v>
      </c>
      <c r="H680" s="75">
        <f>'THAM_SO_MOI'!$D$49</f>
        <v>3.1625000000000005</v>
      </c>
      <c r="I680" s="75">
        <f>IF(F680&gt;'THAM_SO_MOI'!$C$14,'THAM_SO_MOI'!$C$13*(1+F680^2/1500),'THAM_SO_MOI'!$C$13)</f>
        <v>0.015</v>
      </c>
      <c r="J680" s="75">
        <f>'THAM_SO_MOI'!$C$40*('THAM_SO_MOI'!$C$23*(E680/'THAM_SO_MOI'!$C$22)+'THAM_SO_MOI'!$C$24*(E680/'THAM_SO_MOI'!$C$22)^2-'THAM_SO_MOI'!$C$25*(E680/'THAM_SO_MOI'!$C$22)^3)</f>
        <v>104.05841975738528</v>
      </c>
      <c r="K680" s="75">
        <f>'THAM_SO_MOI'!$C$31*J680/E680</f>
        <v>429.04045067407213</v>
      </c>
      <c r="L680" s="75">
        <f>K680*'THAM_SO_MOI'!$C$49*'THAM_SO_MOI'!$C$17/'THAM_SO_MOI'!$C$26</f>
        <v>24457.461803017137</v>
      </c>
      <c r="M680" s="75">
        <f>'THAM_SO_MOI'!$C$15*'THAM_SO_MOI'!$C$16*F680^2</f>
        <v>38.27007200179065</v>
      </c>
      <c r="N680" s="75">
        <f>'THAM_SO_MOI'!$C$12*I680</f>
        <v>1130.112</v>
      </c>
      <c r="O680" s="75">
        <f>M680+N680</f>
        <v>1168.3820720017907</v>
      </c>
      <c r="P680" s="75">
        <f>(MIN(L680,'THAM_SO_MOI'!$C$41)-O680)/('THAM_SO_MOI'!$C$11*H680)</f>
        <v>0.958871859807944</v>
      </c>
      <c r="Q680" s="75">
        <f>IF(P680&gt;0,1/P680,NA())</f>
        <v>1.0428922173191042</v>
      </c>
      <c r="R680" s="75">
        <f>F680-F679</f>
        <v>0.0035133136094680495</v>
      </c>
      <c r="S680" s="75">
        <f>0.5*(Q679+Q680)*R680</f>
        <v>0.0036638560270835017</v>
      </c>
      <c r="T680" s="75">
        <f>0.5*(F679*Q679+F680*Q680)*R680</f>
        <v>0.013246286617479548</v>
      </c>
      <c r="U680" s="76">
        <f>U679+S680</f>
        <v>2.6501337675694483</v>
      </c>
      <c r="V680" s="76">
        <f>V679+T680</f>
        <v>6.321248801383459</v>
      </c>
    </row>
    <row r="681" spans="1:22" ht="19" customHeight="1">
      <c r="A681" s="68" t="s">
        <v>368</v>
      </c>
      <c r="B681" s="74">
        <v>1</v>
      </c>
      <c r="C681" s="68" t="s">
        <v>363</v>
      </c>
      <c r="D681" s="68" t="s">
        <v>364</v>
      </c>
      <c r="E681" s="75">
        <f>60*F681*'THAM_SO_MOI'!$C$49/(2*PI()*'THAM_SO_MOI'!$C$26)</f>
        <v>2318.75</v>
      </c>
      <c r="F681" s="75">
        <f>'THAM_SO_MOI'!$E$49+('THAM_SO_MOI'!$F$49-'THAM_SO_MOI'!$E$49)*675/'THAM_SO_MOI'!$C$42</f>
        <v>3.620664858645628</v>
      </c>
      <c r="G681" s="75">
        <f>3.6*F681</f>
        <v>13.034393491124261</v>
      </c>
      <c r="H681" s="75">
        <f>'THAM_SO_MOI'!$D$49</f>
        <v>3.1625000000000005</v>
      </c>
      <c r="I681" s="75">
        <f>IF(F681&gt;'THAM_SO_MOI'!$C$14,'THAM_SO_MOI'!$C$13*(1+F681^2/1500),'THAM_SO_MOI'!$C$13)</f>
        <v>0.015</v>
      </c>
      <c r="J681" s="75">
        <f>'THAM_SO_MOI'!$C$40*('THAM_SO_MOI'!$C$23*(E681/'THAM_SO_MOI'!$C$22)+'THAM_SO_MOI'!$C$24*(E681/'THAM_SO_MOI'!$C$22)^2-'THAM_SO_MOI'!$C$25*(E681/'THAM_SO_MOI'!$C$22)^3)</f>
        <v>104.15149116813431</v>
      </c>
      <c r="K681" s="75">
        <f>'THAM_SO_MOI'!$C$31*J681/E681</f>
        <v>429.0074989483878</v>
      </c>
      <c r="L681" s="75">
        <f>K681*'THAM_SO_MOI'!$C$49*'THAM_SO_MOI'!$C$17/'THAM_SO_MOI'!$C$26</f>
        <v>24455.583389056403</v>
      </c>
      <c r="M681" s="75">
        <f>'THAM_SO_MOI'!$C$15*'THAM_SO_MOI'!$C$16*F681^2</f>
        <v>38.34445100449675</v>
      </c>
      <c r="N681" s="75">
        <f>'THAM_SO_MOI'!$C$12*I681</f>
        <v>1130.112</v>
      </c>
      <c r="O681" s="75">
        <f>M681+N681</f>
        <v>1168.4564510044968</v>
      </c>
      <c r="P681" s="75">
        <f>(MIN(L681,'THAM_SO_MOI'!$C$41)-O681)/('THAM_SO_MOI'!$C$11*H681)</f>
        <v>0.9587914582531251</v>
      </c>
      <c r="Q681" s="75">
        <f>IF(P681&gt;0,1/P681,NA())</f>
        <v>1.0429796713270214</v>
      </c>
      <c r="R681" s="75">
        <f>F681-F680</f>
        <v>0.0035133136094671613</v>
      </c>
      <c r="S681" s="75">
        <f>0.5*(Q680+Q681)*R681</f>
        <v>0.0036641610469927022</v>
      </c>
      <c r="T681" s="75">
        <f>0.5*(F680*Q680+F681*Q681)*R681</f>
        <v>0.013260262735697158</v>
      </c>
      <c r="U681" s="76">
        <f>U680+S681</f>
        <v>2.653797928616441</v>
      </c>
      <c r="V681" s="76">
        <f>V680+T681</f>
        <v>6.334509064119156</v>
      </c>
    </row>
    <row r="682" spans="1:22" ht="19" customHeight="1">
      <c r="A682" s="68" t="s">
        <v>368</v>
      </c>
      <c r="B682" s="74">
        <v>1</v>
      </c>
      <c r="C682" s="68" t="s">
        <v>363</v>
      </c>
      <c r="D682" s="68" t="s">
        <v>364</v>
      </c>
      <c r="E682" s="75">
        <f>60*F682*'THAM_SO_MOI'!$C$49/(2*PI()*'THAM_SO_MOI'!$C$26)</f>
        <v>2320.9999999999995</v>
      </c>
      <c r="F682" s="75">
        <f>'THAM_SO_MOI'!$E$49+('THAM_SO_MOI'!$F$49-'THAM_SO_MOI'!$E$49)*676/'THAM_SO_MOI'!$C$42</f>
        <v>3.624178172255095</v>
      </c>
      <c r="G682" s="75">
        <f>3.6*F682</f>
        <v>13.047041420118344</v>
      </c>
      <c r="H682" s="75">
        <f>'THAM_SO_MOI'!$D$49</f>
        <v>3.1625000000000005</v>
      </c>
      <c r="I682" s="75">
        <f>IF(F682&gt;'THAM_SO_MOI'!$C$14,'THAM_SO_MOI'!$C$13*(1+F682^2/1500),'THAM_SO_MOI'!$C$13)</f>
        <v>0.015</v>
      </c>
      <c r="J682" s="75">
        <f>'THAM_SO_MOI'!$C$40*('THAM_SO_MOI'!$C$23*(E682/'THAM_SO_MOI'!$C$22)+'THAM_SO_MOI'!$C$24*(E682/'THAM_SO_MOI'!$C$22)^2-'THAM_SO_MOI'!$C$25*(E682/'THAM_SO_MOI'!$C$22)^3)</f>
        <v>104.24442770285656</v>
      </c>
      <c r="K682" s="75">
        <f>'THAM_SO_MOI'!$C$31*J682/E682</f>
        <v>428.97405608464464</v>
      </c>
      <c r="L682" s="75">
        <f>K682*'THAM_SO_MOI'!$C$49*'THAM_SO_MOI'!$C$17/'THAM_SO_MOI'!$C$26</f>
        <v>24453.676977758125</v>
      </c>
      <c r="M682" s="75">
        <f>'THAM_SO_MOI'!$C$15*'THAM_SO_MOI'!$C$16*F682^2</f>
        <v>38.41890221593208</v>
      </c>
      <c r="N682" s="75">
        <f>'THAM_SO_MOI'!$C$12*I682</f>
        <v>1130.112</v>
      </c>
      <c r="O682" s="75">
        <f>M682+N682</f>
        <v>1168.5309022159322</v>
      </c>
      <c r="P682" s="75">
        <f>(MIN(L682,'THAM_SO_MOI'!$C$41)-O682)/('THAM_SO_MOI'!$C$11*H682)</f>
        <v>0.958709901002231</v>
      </c>
      <c r="Q682" s="75">
        <f>IF(P682&gt;0,1/P682,NA())</f>
        <v>1.0430683973896635</v>
      </c>
      <c r="R682" s="75">
        <f>F682-F681</f>
        <v>0.0035133136094671613</v>
      </c>
      <c r="S682" s="75">
        <f>0.5*(Q681+Q682)*R682</f>
        <v>0.0036644705349125084</v>
      </c>
      <c r="T682" s="75">
        <f>0.5*(F681*Q681+F682*Q682)*R682</f>
        <v>0.013274257182195676</v>
      </c>
      <c r="U682" s="76">
        <f>U681+S682</f>
        <v>2.6574623991513535</v>
      </c>
      <c r="V682" s="76">
        <f>V681+T682</f>
        <v>6.3477833213013515</v>
      </c>
    </row>
    <row r="683" spans="1:22" ht="19" customHeight="1">
      <c r="A683" s="68" t="s">
        <v>368</v>
      </c>
      <c r="B683" s="74">
        <v>1</v>
      </c>
      <c r="C683" s="68" t="s">
        <v>363</v>
      </c>
      <c r="D683" s="68" t="s">
        <v>364</v>
      </c>
      <c r="E683" s="75">
        <f>60*F683*'THAM_SO_MOI'!$C$49/(2*PI()*'THAM_SO_MOI'!$C$26)</f>
        <v>2323.2500000000005</v>
      </c>
      <c r="F683" s="75">
        <f>'THAM_SO_MOI'!$E$49+('THAM_SO_MOI'!$F$49-'THAM_SO_MOI'!$E$49)*677/'THAM_SO_MOI'!$C$42</f>
        <v>3.6276914858645632</v>
      </c>
      <c r="G683" s="75">
        <f>3.6*F683</f>
        <v>13.059689349112428</v>
      </c>
      <c r="H683" s="75">
        <f>'THAM_SO_MOI'!$D$49</f>
        <v>3.1625000000000005</v>
      </c>
      <c r="I683" s="75">
        <f>IF(F683&gt;'THAM_SO_MOI'!$C$14,'THAM_SO_MOI'!$C$13*(1+F683^2/1500),'THAM_SO_MOI'!$C$13)</f>
        <v>0.015</v>
      </c>
      <c r="J683" s="75">
        <f>'THAM_SO_MOI'!$C$40*('THAM_SO_MOI'!$C$23*(E683/'THAM_SO_MOI'!$C$22)+'THAM_SO_MOI'!$C$24*(E683/'THAM_SO_MOI'!$C$22)^2-'THAM_SO_MOI'!$C$25*(E683/'THAM_SO_MOI'!$C$22)^3)</f>
        <v>104.3372290144526</v>
      </c>
      <c r="K683" s="75">
        <f>'THAM_SO_MOI'!$C$31*J683/E683</f>
        <v>428.94012208284283</v>
      </c>
      <c r="L683" s="75">
        <f>K683*'THAM_SO_MOI'!$C$49*'THAM_SO_MOI'!$C$17/'THAM_SO_MOI'!$C$26</f>
        <v>24451.742569122325</v>
      </c>
      <c r="M683" s="75">
        <f>'THAM_SO_MOI'!$C$15*'THAM_SO_MOI'!$C$16*F683^2</f>
        <v>38.49342563609667</v>
      </c>
      <c r="N683" s="75">
        <f>'THAM_SO_MOI'!$C$12*I683</f>
        <v>1130.112</v>
      </c>
      <c r="O683" s="75">
        <f>M683+N683</f>
        <v>1168.6054256360967</v>
      </c>
      <c r="P683" s="75">
        <f>(MIN(L683,'THAM_SO_MOI'!$C$41)-O683)/('THAM_SO_MOI'!$C$11*H683)</f>
        <v>0.9586271880552628</v>
      </c>
      <c r="Q683" s="75">
        <f>IF(P683&gt;0,1/P683,NA())</f>
        <v>1.043158396152595</v>
      </c>
      <c r="R683" s="75">
        <f>F683-F682</f>
        <v>0.0035133136094680495</v>
      </c>
      <c r="S683" s="75">
        <f>0.5*(Q682+Q683)*R683</f>
        <v>0.0036647844930944536</v>
      </c>
      <c r="T683" s="75">
        <f>0.5*(F682*Q682+F683*Q683)*R683</f>
        <v>0.013288270012231615</v>
      </c>
      <c r="U683" s="76">
        <f>U682+S683</f>
        <v>2.661127183644448</v>
      </c>
      <c r="V683" s="76">
        <f>V682+T683</f>
        <v>6.361071591313583</v>
      </c>
    </row>
    <row r="684" spans="1:22" ht="19" customHeight="1">
      <c r="A684" s="68" t="s">
        <v>368</v>
      </c>
      <c r="B684" s="74">
        <v>1</v>
      </c>
      <c r="C684" s="68" t="s">
        <v>363</v>
      </c>
      <c r="D684" s="68" t="s">
        <v>364</v>
      </c>
      <c r="E684" s="75">
        <f>60*F684*'THAM_SO_MOI'!$C$49/(2*PI()*'THAM_SO_MOI'!$C$26)</f>
        <v>2325.5</v>
      </c>
      <c r="F684" s="75">
        <f>'THAM_SO_MOI'!$E$49+('THAM_SO_MOI'!$F$49-'THAM_SO_MOI'!$E$49)*678/'THAM_SO_MOI'!$C$42</f>
        <v>3.6312047994740304</v>
      </c>
      <c r="G684" s="75">
        <f>3.6*F684</f>
        <v>13.07233727810651</v>
      </c>
      <c r="H684" s="75">
        <f>'THAM_SO_MOI'!$D$49</f>
        <v>3.1625000000000005</v>
      </c>
      <c r="I684" s="75">
        <f>IF(F684&gt;'THAM_SO_MOI'!$C$14,'THAM_SO_MOI'!$C$13*(1+F684^2/1500),'THAM_SO_MOI'!$C$13)</f>
        <v>0.015</v>
      </c>
      <c r="J684" s="75">
        <f>'THAM_SO_MOI'!$C$40*('THAM_SO_MOI'!$C$23*(E684/'THAM_SO_MOI'!$C$22)+'THAM_SO_MOI'!$C$24*(E684/'THAM_SO_MOI'!$C$22)^2-'THAM_SO_MOI'!$C$25*(E684/'THAM_SO_MOI'!$C$22)^3)</f>
        <v>104.42989475582276</v>
      </c>
      <c r="K684" s="75">
        <f>'THAM_SO_MOI'!$C$31*J684/E684</f>
        <v>428.9056969429822</v>
      </c>
      <c r="L684" s="75">
        <f>K684*'THAM_SO_MOI'!$C$49*'THAM_SO_MOI'!$C$17/'THAM_SO_MOI'!$C$26</f>
        <v>24449.780163148993</v>
      </c>
      <c r="M684" s="75">
        <f>'THAM_SO_MOI'!$C$15*'THAM_SO_MOI'!$C$16*F684^2</f>
        <v>38.568021264990456</v>
      </c>
      <c r="N684" s="75">
        <f>'THAM_SO_MOI'!$C$12*I684</f>
        <v>1130.112</v>
      </c>
      <c r="O684" s="75">
        <f>M684+N684</f>
        <v>1168.6800212649905</v>
      </c>
      <c r="P684" s="75">
        <f>(MIN(L684,'THAM_SO_MOI'!$C$41)-O684)/('THAM_SO_MOI'!$C$11*H684)</f>
        <v>0.9585433194122199</v>
      </c>
      <c r="Q684" s="75">
        <f>IF(P684&gt;0,1/P684,NA())</f>
        <v>1.0432496682708106</v>
      </c>
      <c r="R684" s="75">
        <f>F684-F683</f>
        <v>0.0035133136094671613</v>
      </c>
      <c r="S684" s="75">
        <f>0.5*(Q683+Q684)*R684</f>
        <v>0.0036651029238203947</v>
      </c>
      <c r="T684" s="75">
        <f>0.5*(F683*Q683+F684*Q684)*R684</f>
        <v>0.013302301281203178</v>
      </c>
      <c r="U684" s="76">
        <f>U683+S684</f>
        <v>2.6647922865682685</v>
      </c>
      <c r="V684" s="76">
        <f>V683+T684</f>
        <v>6.374373892594786</v>
      </c>
    </row>
    <row r="685" spans="1:22" ht="19" customHeight="1">
      <c r="A685" s="68" t="s">
        <v>368</v>
      </c>
      <c r="B685" s="74">
        <v>1</v>
      </c>
      <c r="C685" s="68" t="s">
        <v>363</v>
      </c>
      <c r="D685" s="68" t="s">
        <v>364</v>
      </c>
      <c r="E685" s="75">
        <f>60*F685*'THAM_SO_MOI'!$C$49/(2*PI()*'THAM_SO_MOI'!$C$26)</f>
        <v>2327.7499999999995</v>
      </c>
      <c r="F685" s="75">
        <f>'THAM_SO_MOI'!$E$49+('THAM_SO_MOI'!$F$49-'THAM_SO_MOI'!$E$49)*679/'THAM_SO_MOI'!$C$42</f>
        <v>3.6347181130834976</v>
      </c>
      <c r="G685" s="75">
        <f>3.6*F685</f>
        <v>13.084985207100592</v>
      </c>
      <c r="H685" s="75">
        <f>'THAM_SO_MOI'!$D$49</f>
        <v>3.1625000000000005</v>
      </c>
      <c r="I685" s="75">
        <f>IF(F685&gt;'THAM_SO_MOI'!$C$14,'THAM_SO_MOI'!$C$13*(1+F685^2/1500),'THAM_SO_MOI'!$C$13)</f>
        <v>0.015</v>
      </c>
      <c r="J685" s="75">
        <f>'THAM_SO_MOI'!$C$40*('THAM_SO_MOI'!$C$23*(E685/'THAM_SO_MOI'!$C$22)+'THAM_SO_MOI'!$C$24*(E685/'THAM_SO_MOI'!$C$22)^2-'THAM_SO_MOI'!$C$25*(E685/'THAM_SO_MOI'!$C$22)^3)</f>
        <v>104.5224245798675</v>
      </c>
      <c r="K685" s="75">
        <f>'THAM_SO_MOI'!$C$31*J685/E685</f>
        <v>428.8707806650627</v>
      </c>
      <c r="L685" s="75">
        <f>K685*'THAM_SO_MOI'!$C$49*'THAM_SO_MOI'!$C$17/'THAM_SO_MOI'!$C$26</f>
        <v>24447.78975983812</v>
      </c>
      <c r="M685" s="75">
        <f>'THAM_SO_MOI'!$C$15*'THAM_SO_MOI'!$C$16*F685^2</f>
        <v>38.642689102613495</v>
      </c>
      <c r="N685" s="75">
        <f>'THAM_SO_MOI'!$C$12*I685</f>
        <v>1130.112</v>
      </c>
      <c r="O685" s="75">
        <f>M685+N685</f>
        <v>1168.7546891026136</v>
      </c>
      <c r="P685" s="75">
        <f>(MIN(L685,'THAM_SO_MOI'!$C$41)-O685)/('THAM_SO_MOI'!$C$11*H685)</f>
        <v>0.9584582950731021</v>
      </c>
      <c r="Q685" s="75">
        <f>IF(P685&gt;0,1/P685,NA())</f>
        <v>1.0433422144087443</v>
      </c>
      <c r="R685" s="75">
        <f>F685-F684</f>
        <v>0.0035133136094671613</v>
      </c>
      <c r="S685" s="75">
        <f>0.5*(Q684+Q685)*R685</f>
        <v>0.0036654258294108928</v>
      </c>
      <c r="T685" s="75">
        <f>0.5*(F684*Q684+F685*Q685)*R685</f>
        <v>0.01331635104468126</v>
      </c>
      <c r="U685" s="76">
        <f>U684+S685</f>
        <v>2.6684577123976796</v>
      </c>
      <c r="V685" s="76">
        <f>V684+T685</f>
        <v>6.387690243639467</v>
      </c>
    </row>
    <row r="686" spans="1:22" ht="19" customHeight="1">
      <c r="A686" s="68" t="s">
        <v>368</v>
      </c>
      <c r="B686" s="74">
        <v>1</v>
      </c>
      <c r="C686" s="68" t="s">
        <v>363</v>
      </c>
      <c r="D686" s="68" t="s">
        <v>364</v>
      </c>
      <c r="E686" s="75">
        <f>60*F686*'THAM_SO_MOI'!$C$49/(2*PI()*'THAM_SO_MOI'!$C$26)</f>
        <v>2330.0</v>
      </c>
      <c r="F686" s="75">
        <f>'THAM_SO_MOI'!$E$49+('THAM_SO_MOI'!$F$49-'THAM_SO_MOI'!$E$49)*680/'THAM_SO_MOI'!$C$42</f>
        <v>3.6382314266929656</v>
      </c>
      <c r="G686" s="75">
        <f>3.6*F686</f>
        <v>13.097633136094677</v>
      </c>
      <c r="H686" s="75">
        <f>'THAM_SO_MOI'!$D$49</f>
        <v>3.1625000000000005</v>
      </c>
      <c r="I686" s="75">
        <f>IF(F686&gt;'THAM_SO_MOI'!$C$14,'THAM_SO_MOI'!$C$13*(1+F686^2/1500),'THAM_SO_MOI'!$C$13)</f>
        <v>0.015</v>
      </c>
      <c r="J686" s="75">
        <f>'THAM_SO_MOI'!$C$40*('THAM_SO_MOI'!$C$23*(E686/'THAM_SO_MOI'!$C$22)+'THAM_SO_MOI'!$C$24*(E686/'THAM_SO_MOI'!$C$22)^2-'THAM_SO_MOI'!$C$25*(E686/'THAM_SO_MOI'!$C$22)^3)</f>
        <v>104.61481813948744</v>
      </c>
      <c r="K686" s="75">
        <f>'THAM_SO_MOI'!$C$31*J686/E686</f>
        <v>428.8353732490847</v>
      </c>
      <c r="L686" s="75">
        <f>K686*'THAM_SO_MOI'!$C$49*'THAM_SO_MOI'!$C$17/'THAM_SO_MOI'!$C$26</f>
        <v>24445.771359189734</v>
      </c>
      <c r="M686" s="75">
        <f>'THAM_SO_MOI'!$C$15*'THAM_SO_MOI'!$C$16*F686^2</f>
        <v>38.71742914896577</v>
      </c>
      <c r="N686" s="75">
        <f>'THAM_SO_MOI'!$C$12*I686</f>
        <v>1130.112</v>
      </c>
      <c r="O686" s="75">
        <f>M686+N686</f>
        <v>1168.8294291489658</v>
      </c>
      <c r="P686" s="75">
        <f>(MIN(L686,'THAM_SO_MOI'!$C$41)-O686)/('THAM_SO_MOI'!$C$11*H686)</f>
        <v>0.9583721150379103</v>
      </c>
      <c r="Q686" s="75">
        <f>IF(P686&gt;0,1/P686,NA())</f>
        <v>1.0434360352402814</v>
      </c>
      <c r="R686" s="75">
        <f>F686-F685</f>
        <v>0.0035133136094680495</v>
      </c>
      <c r="S686" s="75">
        <f>0.5*(Q685+Q686)*R686</f>
        <v>0.0036657532122169184</v>
      </c>
      <c r="T686" s="75">
        <f>0.5*(F685*Q685+F686*Q686)*R686</f>
        <v>0.013330419358379931</v>
      </c>
      <c r="U686" s="76">
        <f>U685+S686</f>
        <v>2.6721234656098964</v>
      </c>
      <c r="V686" s="76">
        <f>V685+T686</f>
        <v>6.401020662997847</v>
      </c>
    </row>
    <row r="687" spans="1:22" ht="19" customHeight="1">
      <c r="A687" s="68" t="s">
        <v>368</v>
      </c>
      <c r="B687" s="74">
        <v>1</v>
      </c>
      <c r="C687" s="68" t="s">
        <v>363</v>
      </c>
      <c r="D687" s="68" t="s">
        <v>364</v>
      </c>
      <c r="E687" s="75">
        <f>60*F687*'THAM_SO_MOI'!$C$49/(2*PI()*'THAM_SO_MOI'!$C$26)</f>
        <v>2332.25</v>
      </c>
      <c r="F687" s="75">
        <f>'THAM_SO_MOI'!$E$49+('THAM_SO_MOI'!$F$49-'THAM_SO_MOI'!$E$49)*681/'THAM_SO_MOI'!$C$42</f>
        <v>3.641744740302433</v>
      </c>
      <c r="G687" s="75">
        <f>3.6*F687</f>
        <v>13.110281065088758</v>
      </c>
      <c r="H687" s="75">
        <f>'THAM_SO_MOI'!$D$49</f>
        <v>3.1625000000000005</v>
      </c>
      <c r="I687" s="75">
        <f>IF(F687&gt;'THAM_SO_MOI'!$C$14,'THAM_SO_MOI'!$C$13*(1+F687^2/1500),'THAM_SO_MOI'!$C$13)</f>
        <v>0.015</v>
      </c>
      <c r="J687" s="75">
        <f>'THAM_SO_MOI'!$C$40*('THAM_SO_MOI'!$C$23*(E687/'THAM_SO_MOI'!$C$22)+'THAM_SO_MOI'!$C$24*(E687/'THAM_SO_MOI'!$C$22)^2-'THAM_SO_MOI'!$C$25*(E687/'THAM_SO_MOI'!$C$22)^3)</f>
        <v>104.70707508758284</v>
      </c>
      <c r="K687" s="75">
        <f>'THAM_SO_MOI'!$C$31*J687/E687</f>
        <v>428.79947469504765</v>
      </c>
      <c r="L687" s="75">
        <f>K687*'THAM_SO_MOI'!$C$49*'THAM_SO_MOI'!$C$17/'THAM_SO_MOI'!$C$26</f>
        <v>24443.724961203792</v>
      </c>
      <c r="M687" s="75">
        <f>'THAM_SO_MOI'!$C$15*'THAM_SO_MOI'!$C$16*F687^2</f>
        <v>38.792241404047275</v>
      </c>
      <c r="N687" s="75">
        <f>'THAM_SO_MOI'!$C$12*I687</f>
        <v>1130.112</v>
      </c>
      <c r="O687" s="75">
        <f>M687+N687</f>
        <v>1168.9042414040473</v>
      </c>
      <c r="P687" s="75">
        <f>(MIN(L687,'THAM_SO_MOI'!$C$41)-O687)/('THAM_SO_MOI'!$C$11*H687)</f>
        <v>0.9582847793066428</v>
      </c>
      <c r="Q687" s="75">
        <f>IF(P687&gt;0,1/P687,NA())</f>
        <v>1.0435311314487743</v>
      </c>
      <c r="R687" s="75">
        <f>F687-F686</f>
        <v>0.0035133136094671613</v>
      </c>
      <c r="S687" s="75">
        <f>0.5*(Q686+Q687)*R687</f>
        <v>0.003666085074619891</v>
      </c>
      <c r="T687" s="75">
        <f>0.5*(F686*Q686+F687*Q687)*R687</f>
        <v>0.013344506278157156</v>
      </c>
      <c r="U687" s="76">
        <f>U686+S687</f>
        <v>2.675789550684516</v>
      </c>
      <c r="V687" s="76">
        <f>V686+T687</f>
        <v>6.414365169276004</v>
      </c>
    </row>
    <row r="688" spans="1:22" ht="19" customHeight="1">
      <c r="A688" s="68" t="s">
        <v>368</v>
      </c>
      <c r="B688" s="74">
        <v>1</v>
      </c>
      <c r="C688" s="68" t="s">
        <v>363</v>
      </c>
      <c r="D688" s="68" t="s">
        <v>364</v>
      </c>
      <c r="E688" s="75">
        <f>60*F688*'THAM_SO_MOI'!$C$49/(2*PI()*'THAM_SO_MOI'!$C$26)</f>
        <v>2334.4999999999995</v>
      </c>
      <c r="F688" s="75">
        <f>'THAM_SO_MOI'!$E$49+('THAM_SO_MOI'!$F$49-'THAM_SO_MOI'!$E$49)*682/'THAM_SO_MOI'!$C$42</f>
        <v>3.6452580539119</v>
      </c>
      <c r="G688" s="75">
        <f>3.6*F688</f>
        <v>13.12292899408284</v>
      </c>
      <c r="H688" s="75">
        <f>'THAM_SO_MOI'!$D$49</f>
        <v>3.1625000000000005</v>
      </c>
      <c r="I688" s="75">
        <f>IF(F688&gt;'THAM_SO_MOI'!$C$14,'THAM_SO_MOI'!$C$13*(1+F688^2/1500),'THAM_SO_MOI'!$C$13)</f>
        <v>0.015</v>
      </c>
      <c r="J688" s="75">
        <f>'THAM_SO_MOI'!$C$40*('THAM_SO_MOI'!$C$23*(E688/'THAM_SO_MOI'!$C$22)+'THAM_SO_MOI'!$C$24*(E688/'THAM_SO_MOI'!$C$22)^2-'THAM_SO_MOI'!$C$25*(E688/'THAM_SO_MOI'!$C$22)^3)</f>
        <v>104.79919507705425</v>
      </c>
      <c r="K688" s="75">
        <f>'THAM_SO_MOI'!$C$31*J688/E688</f>
        <v>428.76308500295204</v>
      </c>
      <c r="L688" s="75">
        <f>K688*'THAM_SO_MOI'!$C$49*'THAM_SO_MOI'!$C$17/'THAM_SO_MOI'!$C$26</f>
        <v>24441.65056588034</v>
      </c>
      <c r="M688" s="75">
        <f>'THAM_SO_MOI'!$C$15*'THAM_SO_MOI'!$C$16*F688^2</f>
        <v>38.86712586785801</v>
      </c>
      <c r="N688" s="75">
        <f>'THAM_SO_MOI'!$C$12*I688</f>
        <v>1130.112</v>
      </c>
      <c r="O688" s="75">
        <f>M688+N688</f>
        <v>1168.979125867858</v>
      </c>
      <c r="P688" s="75">
        <f>(MIN(L688,'THAM_SO_MOI'!$C$41)-O688)/('THAM_SO_MOI'!$C$11*H688)</f>
        <v>0.9581962878793016</v>
      </c>
      <c r="Q688" s="75">
        <f>IF(P688&gt;0,1/P688,NA())</f>
        <v>1.0436275037270486</v>
      </c>
      <c r="R688" s="75">
        <f>F688-F687</f>
        <v>0.0035133136094671613</v>
      </c>
      <c r="S688" s="75">
        <f>0.5*(Q687+Q688)*R688</f>
        <v>0.0036664214190400618</v>
      </c>
      <c r="T688" s="75">
        <f>0.5*(F687*Q687+F688*Q688)*R688</f>
        <v>0.01335861186004584</v>
      </c>
      <c r="U688" s="76">
        <f>U687+S688</f>
        <v>2.6794559721035562</v>
      </c>
      <c r="V688" s="76">
        <f>V687+T688</f>
        <v>6.4277237811360495</v>
      </c>
    </row>
    <row r="689" spans="1:22" ht="19" customHeight="1">
      <c r="A689" s="68" t="s">
        <v>368</v>
      </c>
      <c r="B689" s="74">
        <v>1</v>
      </c>
      <c r="C689" s="68" t="s">
        <v>363</v>
      </c>
      <c r="D689" s="68" t="s">
        <v>364</v>
      </c>
      <c r="E689" s="75">
        <f>60*F689*'THAM_SO_MOI'!$C$49/(2*PI()*'THAM_SO_MOI'!$C$26)</f>
        <v>2336.7499999999995</v>
      </c>
      <c r="F689" s="75">
        <f>'THAM_SO_MOI'!$E$49+('THAM_SO_MOI'!$F$49-'THAM_SO_MOI'!$E$49)*683/'THAM_SO_MOI'!$C$42</f>
        <v>3.648771367521367</v>
      </c>
      <c r="G689" s="75">
        <f>3.6*F689</f>
        <v>13.135576923076922</v>
      </c>
      <c r="H689" s="75">
        <f>'THAM_SO_MOI'!$D$49</f>
        <v>3.1625000000000005</v>
      </c>
      <c r="I689" s="75">
        <f>IF(F689&gt;'THAM_SO_MOI'!$C$14,'THAM_SO_MOI'!$C$13*(1+F689^2/1500),'THAM_SO_MOI'!$C$13)</f>
        <v>0.015</v>
      </c>
      <c r="J689" s="75">
        <f>'THAM_SO_MOI'!$C$40*('THAM_SO_MOI'!$C$23*(E689/'THAM_SO_MOI'!$C$22)+'THAM_SO_MOI'!$C$24*(E689/'THAM_SO_MOI'!$C$22)^2-'THAM_SO_MOI'!$C$25*(E689/'THAM_SO_MOI'!$C$22)^3)</f>
        <v>104.8911777608021</v>
      </c>
      <c r="K689" s="75">
        <f>'THAM_SO_MOI'!$C$31*J689/E689</f>
        <v>428.72620417279745</v>
      </c>
      <c r="L689" s="75">
        <f>K689*'THAM_SO_MOI'!$C$49*'THAM_SO_MOI'!$C$17/'THAM_SO_MOI'!$C$26</f>
        <v>24439.54817321934</v>
      </c>
      <c r="M689" s="75">
        <f>'THAM_SO_MOI'!$C$15*'THAM_SO_MOI'!$C$16*F689^2</f>
        <v>38.94208254039796</v>
      </c>
      <c r="N689" s="75">
        <f>'THAM_SO_MOI'!$C$12*I689</f>
        <v>1130.112</v>
      </c>
      <c r="O689" s="75">
        <f>M689+N689</f>
        <v>1169.054082540398</v>
      </c>
      <c r="P689" s="75">
        <f>(MIN(L689,'THAM_SO_MOI'!$C$41)-O689)/('THAM_SO_MOI'!$C$11*H689)</f>
        <v>0.9581066407558851</v>
      </c>
      <c r="Q689" s="75">
        <f>IF(P689&gt;0,1/P689,NA())</f>
        <v>1.0437251527774232</v>
      </c>
      <c r="R689" s="75">
        <f>F689-F688</f>
        <v>0.0035133136094671613</v>
      </c>
      <c r="S689" s="75">
        <f>0.5*(Q688+Q689)*R689</f>
        <v>0.003666762247927297</v>
      </c>
      <c r="T689" s="75">
        <f>0.5*(F688*Q688+F689*Q689)*R689</f>
        <v>0.013372736160220895</v>
      </c>
      <c r="U689" s="76">
        <f>U688+S689</f>
        <v>2.6831227343514836</v>
      </c>
      <c r="V689" s="76">
        <f>V688+T689</f>
        <v>6.441096517296271</v>
      </c>
    </row>
    <row r="690" spans="1:22" ht="19" customHeight="1">
      <c r="A690" s="68" t="s">
        <v>368</v>
      </c>
      <c r="B690" s="74">
        <v>1</v>
      </c>
      <c r="C690" s="68" t="s">
        <v>363</v>
      </c>
      <c r="D690" s="68" t="s">
        <v>364</v>
      </c>
      <c r="E690" s="75">
        <f>60*F690*'THAM_SO_MOI'!$C$49/(2*PI()*'THAM_SO_MOI'!$C$26)</f>
        <v>2338.9999999999995</v>
      </c>
      <c r="F690" s="75">
        <f>'THAM_SO_MOI'!$E$49+('THAM_SO_MOI'!$F$49-'THAM_SO_MOI'!$E$49)*684/'THAM_SO_MOI'!$C$42</f>
        <v>3.652284681130835</v>
      </c>
      <c r="G690" s="75">
        <f>3.6*F690</f>
        <v>13.148224852071007</v>
      </c>
      <c r="H690" s="75">
        <f>'THAM_SO_MOI'!$D$49</f>
        <v>3.1625000000000005</v>
      </c>
      <c r="I690" s="75">
        <f>IF(F690&gt;'THAM_SO_MOI'!$C$14,'THAM_SO_MOI'!$C$13*(1+F690^2/1500),'THAM_SO_MOI'!$C$13)</f>
        <v>0.015</v>
      </c>
      <c r="J690" s="75">
        <f>'THAM_SO_MOI'!$C$40*('THAM_SO_MOI'!$C$23*(E690/'THAM_SO_MOI'!$C$22)+'THAM_SO_MOI'!$C$24*(E690/'THAM_SO_MOI'!$C$22)^2-'THAM_SO_MOI'!$C$25*(E690/'THAM_SO_MOI'!$C$22)^3)</f>
        <v>104.98302279172685</v>
      </c>
      <c r="K690" s="75">
        <f>'THAM_SO_MOI'!$C$31*J690/E690</f>
        <v>428.6888322045842</v>
      </c>
      <c r="L690" s="75">
        <f>K690*'THAM_SO_MOI'!$C$49*'THAM_SO_MOI'!$C$17/'THAM_SO_MOI'!$C$26</f>
        <v>24437.41778322081</v>
      </c>
      <c r="M690" s="75">
        <f>'THAM_SO_MOI'!$C$15*'THAM_SO_MOI'!$C$16*F690^2</f>
        <v>39.017111421667174</v>
      </c>
      <c r="N690" s="75">
        <f>'THAM_SO_MOI'!$C$12*I690</f>
        <v>1130.112</v>
      </c>
      <c r="O690" s="75">
        <f>M690+N690</f>
        <v>1169.1291114216672</v>
      </c>
      <c r="P690" s="75">
        <f>(MIN(L690,'THAM_SO_MOI'!$C$41)-O690)/('THAM_SO_MOI'!$C$11*H690)</f>
        <v>0.9580158379363941</v>
      </c>
      <c r="Q690" s="75">
        <f>IF(P690&gt;0,1/P690,NA())</f>
        <v>1.0438240793117173</v>
      </c>
      <c r="R690" s="75">
        <f>F690-F689</f>
        <v>0.0035133136094680495</v>
      </c>
      <c r="S690" s="75">
        <f>0.5*(Q689+Q690)*R690</f>
        <v>0.0036671075637666763</v>
      </c>
      <c r="T690" s="75">
        <f>0.5*(F689*Q689+F690*Q690)*R690</f>
        <v>0.013386879235020235</v>
      </c>
      <c r="U690" s="76">
        <f>U689+S690</f>
        <v>2.6867898419152505</v>
      </c>
      <c r="V690" s="76">
        <f>V689+T690</f>
        <v>6.454483396531291</v>
      </c>
    </row>
    <row r="691" spans="1:22" ht="19" customHeight="1">
      <c r="A691" s="68" t="s">
        <v>368</v>
      </c>
      <c r="B691" s="74">
        <v>1</v>
      </c>
      <c r="C691" s="68" t="s">
        <v>363</v>
      </c>
      <c r="D691" s="68" t="s">
        <v>364</v>
      </c>
      <c r="E691" s="75">
        <f>60*F691*'THAM_SO_MOI'!$C$49/(2*PI()*'THAM_SO_MOI'!$C$26)</f>
        <v>2341.2499999999995</v>
      </c>
      <c r="F691" s="75">
        <f>'THAM_SO_MOI'!$E$49+('THAM_SO_MOI'!$F$49-'THAM_SO_MOI'!$E$49)*685/'THAM_SO_MOI'!$C$42</f>
        <v>3.6557979947403023</v>
      </c>
      <c r="G691" s="75">
        <f>3.6*F691</f>
        <v>13.16087278106509</v>
      </c>
      <c r="H691" s="75">
        <f>'THAM_SO_MOI'!$D$49</f>
        <v>3.1625000000000005</v>
      </c>
      <c r="I691" s="75">
        <f>IF(F691&gt;'THAM_SO_MOI'!$C$14,'THAM_SO_MOI'!$C$13*(1+F691^2/1500),'THAM_SO_MOI'!$C$13)</f>
        <v>0.015</v>
      </c>
      <c r="J691" s="75">
        <f>'THAM_SO_MOI'!$C$40*('THAM_SO_MOI'!$C$23*(E691/'THAM_SO_MOI'!$C$22)+'THAM_SO_MOI'!$C$24*(E691/'THAM_SO_MOI'!$C$22)^2-'THAM_SO_MOI'!$C$25*(E691/'THAM_SO_MOI'!$C$22)^3)</f>
        <v>105.07472982272897</v>
      </c>
      <c r="K691" s="75">
        <f>'THAM_SO_MOI'!$C$31*J691/E691</f>
        <v>428.6509690983121</v>
      </c>
      <c r="L691" s="75">
        <f>K691*'THAM_SO_MOI'!$C$49*'THAM_SO_MOI'!$C$17/'THAM_SO_MOI'!$C$26</f>
        <v>24435.25939588475</v>
      </c>
      <c r="M691" s="75">
        <f>'THAM_SO_MOI'!$C$15*'THAM_SO_MOI'!$C$16*F691^2</f>
        <v>39.09221251166561</v>
      </c>
      <c r="N691" s="75">
        <f>'THAM_SO_MOI'!$C$12*I691</f>
        <v>1130.112</v>
      </c>
      <c r="O691" s="75">
        <f>M691+N691</f>
        <v>1169.2042125116657</v>
      </c>
      <c r="P691" s="75">
        <f>(MIN(L691,'THAM_SO_MOI'!$C$41)-O691)/('THAM_SO_MOI'!$C$11*H691)</f>
        <v>0.9579238794208284</v>
      </c>
      <c r="Q691" s="75">
        <f>IF(P691&gt;0,1/P691,NA())</f>
        <v>1.0439242840512666</v>
      </c>
      <c r="R691" s="75">
        <f>F691-F690</f>
        <v>0.0035133136094671613</v>
      </c>
      <c r="S691" s="75">
        <f>0.5*(Q690+Q691)*R691</f>
        <v>0.003667457369072981</v>
      </c>
      <c r="T691" s="75">
        <f>0.5*(F690*Q690+F691*Q691)*R691</f>
        <v>0.013401041140925206</v>
      </c>
      <c r="U691" s="76">
        <f>U690+S691</f>
        <v>2.6904572992843234</v>
      </c>
      <c r="V691" s="76">
        <f>V690+T691</f>
        <v>6.467884437672216</v>
      </c>
    </row>
    <row r="692" spans="1:22" ht="19" customHeight="1">
      <c r="A692" s="68" t="s">
        <v>368</v>
      </c>
      <c r="B692" s="74">
        <v>1</v>
      </c>
      <c r="C692" s="68" t="s">
        <v>363</v>
      </c>
      <c r="D692" s="68" t="s">
        <v>364</v>
      </c>
      <c r="E692" s="75">
        <f>60*F692*'THAM_SO_MOI'!$C$49/(2*PI()*'THAM_SO_MOI'!$C$26)</f>
        <v>2343.4999999999995</v>
      </c>
      <c r="F692" s="75">
        <f>'THAM_SO_MOI'!$E$49+('THAM_SO_MOI'!$F$49-'THAM_SO_MOI'!$E$49)*686/'THAM_SO_MOI'!$C$42</f>
        <v>3.6593113083497695</v>
      </c>
      <c r="G692" s="75">
        <f>3.6*F692</f>
        <v>13.17352071005917</v>
      </c>
      <c r="H692" s="75">
        <f>'THAM_SO_MOI'!$D$49</f>
        <v>3.1625000000000005</v>
      </c>
      <c r="I692" s="75">
        <f>IF(F692&gt;'THAM_SO_MOI'!$C$14,'THAM_SO_MOI'!$C$13*(1+F692^2/1500),'THAM_SO_MOI'!$C$13)</f>
        <v>0.015</v>
      </c>
      <c r="J692" s="75">
        <f>'THAM_SO_MOI'!$C$40*('THAM_SO_MOI'!$C$23*(E692/'THAM_SO_MOI'!$C$22)+'THAM_SO_MOI'!$C$24*(E692/'THAM_SO_MOI'!$C$22)^2-'THAM_SO_MOI'!$C$25*(E692/'THAM_SO_MOI'!$C$22)^3)</f>
        <v>105.1662985067089</v>
      </c>
      <c r="K692" s="75">
        <f>'THAM_SO_MOI'!$C$31*J692/E692</f>
        <v>428.6126148539812</v>
      </c>
      <c r="L692" s="75">
        <f>K692*'THAM_SO_MOI'!$C$49*'THAM_SO_MOI'!$C$17/'THAM_SO_MOI'!$C$26</f>
        <v>24433.073011211156</v>
      </c>
      <c r="M692" s="75">
        <f>'THAM_SO_MOI'!$C$15*'THAM_SO_MOI'!$C$16*F692^2</f>
        <v>39.16738581039327</v>
      </c>
      <c r="N692" s="75">
        <f>'THAM_SO_MOI'!$C$12*I692</f>
        <v>1130.112</v>
      </c>
      <c r="O692" s="75">
        <f>M692+N692</f>
        <v>1169.2793858103933</v>
      </c>
      <c r="P692" s="75">
        <f>(MIN(L692,'THAM_SO_MOI'!$C$41)-O692)/('THAM_SO_MOI'!$C$11*H692)</f>
        <v>0.957830765209188</v>
      </c>
      <c r="Q692" s="75">
        <f>IF(P692&gt;0,1/P692,NA())</f>
        <v>1.044025767726935</v>
      </c>
      <c r="R692" s="75">
        <f>F692-F691</f>
        <v>0.0035133136094671613</v>
      </c>
      <c r="S692" s="75">
        <f>0.5*(Q691+Q692)*R692</f>
        <v>0.00366781166640001</v>
      </c>
      <c r="T692" s="75">
        <f>0.5*(F691*Q691+F692*Q692)*R692</f>
        <v>0.013415221934595208</v>
      </c>
      <c r="U692" s="76">
        <f>U691+S692</f>
        <v>2.6941251109507234</v>
      </c>
      <c r="V692" s="76">
        <f>V691+T692</f>
        <v>6.481299659606812</v>
      </c>
    </row>
    <row r="693" spans="1:22" ht="19" customHeight="1">
      <c r="A693" s="68" t="s">
        <v>368</v>
      </c>
      <c r="B693" s="74">
        <v>1</v>
      </c>
      <c r="C693" s="68" t="s">
        <v>363</v>
      </c>
      <c r="D693" s="68" t="s">
        <v>364</v>
      </c>
      <c r="E693" s="75">
        <f>60*F693*'THAM_SO_MOI'!$C$49/(2*PI()*'THAM_SO_MOI'!$C$26)</f>
        <v>2345.7499999999995</v>
      </c>
      <c r="F693" s="75">
        <f>'THAM_SO_MOI'!$E$49+('THAM_SO_MOI'!$F$49-'THAM_SO_MOI'!$E$49)*687/'THAM_SO_MOI'!$C$42</f>
        <v>3.6628246219592375</v>
      </c>
      <c r="G693" s="75">
        <f>3.6*F693</f>
        <v>13.186168639053255</v>
      </c>
      <c r="H693" s="75">
        <f>'THAM_SO_MOI'!$D$49</f>
        <v>3.1625000000000005</v>
      </c>
      <c r="I693" s="75">
        <f>IF(F693&gt;'THAM_SO_MOI'!$C$14,'THAM_SO_MOI'!$C$13*(1+F693^2/1500),'THAM_SO_MOI'!$C$13)</f>
        <v>0.015</v>
      </c>
      <c r="J693" s="75">
        <f>'THAM_SO_MOI'!$C$40*('THAM_SO_MOI'!$C$23*(E693/'THAM_SO_MOI'!$C$22)+'THAM_SO_MOI'!$C$24*(E693/'THAM_SO_MOI'!$C$22)^2-'THAM_SO_MOI'!$C$25*(E693/'THAM_SO_MOI'!$C$22)^3)</f>
        <v>105.2577284965671</v>
      </c>
      <c r="K693" s="75">
        <f>'THAM_SO_MOI'!$C$31*J693/E693</f>
        <v>428.5737694715916</v>
      </c>
      <c r="L693" s="75">
        <f>K693*'THAM_SO_MOI'!$C$49*'THAM_SO_MOI'!$C$17/'THAM_SO_MOI'!$C$26</f>
        <v>24430.85862920003</v>
      </c>
      <c r="M693" s="75">
        <f>'THAM_SO_MOI'!$C$15*'THAM_SO_MOI'!$C$16*F693^2</f>
        <v>39.24263131785018</v>
      </c>
      <c r="N693" s="75">
        <f>'THAM_SO_MOI'!$C$12*I693</f>
        <v>1130.112</v>
      </c>
      <c r="O693" s="75">
        <f>M693+N693</f>
        <v>1169.3546313178504</v>
      </c>
      <c r="P693" s="75">
        <f>(MIN(L693,'THAM_SO_MOI'!$C$41)-O693)/('THAM_SO_MOI'!$C$11*H693)</f>
        <v>0.9577364953014729</v>
      </c>
      <c r="Q693" s="75">
        <f>IF(P693&gt;0,1/P693,NA())</f>
        <v>1.044128531079129</v>
      </c>
      <c r="R693" s="75">
        <f>F693-F692</f>
        <v>0.0035133136094680495</v>
      </c>
      <c r="S693" s="75">
        <f>0.5*(Q692+Q693)*R693</f>
        <v>0.003668170458332278</v>
      </c>
      <c r="T693" s="75">
        <f>0.5*(F692*Q692+F693*Q693)*R693</f>
        <v>0.013429421672838001</v>
      </c>
      <c r="U693" s="76">
        <f>U692+S693</f>
        <v>2.6977932814090555</v>
      </c>
      <c r="V693" s="76">
        <f>V692+T693</f>
        <v>6.49472908127965</v>
      </c>
    </row>
    <row r="694" spans="1:22" ht="19" customHeight="1">
      <c r="A694" s="68" t="s">
        <v>368</v>
      </c>
      <c r="B694" s="74">
        <v>1</v>
      </c>
      <c r="C694" s="68" t="s">
        <v>363</v>
      </c>
      <c r="D694" s="68" t="s">
        <v>364</v>
      </c>
      <c r="E694" s="75">
        <f>60*F694*'THAM_SO_MOI'!$C$49/(2*PI()*'THAM_SO_MOI'!$C$26)</f>
        <v>2347.9999999999995</v>
      </c>
      <c r="F694" s="75">
        <f>'THAM_SO_MOI'!$E$49+('THAM_SO_MOI'!$F$49-'THAM_SO_MOI'!$E$49)*688/'THAM_SO_MOI'!$C$42</f>
        <v>3.6663379355687047</v>
      </c>
      <c r="G694" s="75">
        <f>3.6*F694</f>
        <v>13.198816568047338</v>
      </c>
      <c r="H694" s="75">
        <f>'THAM_SO_MOI'!$D$49</f>
        <v>3.1625000000000005</v>
      </c>
      <c r="I694" s="75">
        <f>IF(F694&gt;'THAM_SO_MOI'!$C$14,'THAM_SO_MOI'!$C$13*(1+F694^2/1500),'THAM_SO_MOI'!$C$13)</f>
        <v>0.015</v>
      </c>
      <c r="J694" s="75">
        <f>'THAM_SO_MOI'!$C$40*('THAM_SO_MOI'!$C$23*(E694/'THAM_SO_MOI'!$C$22)+'THAM_SO_MOI'!$C$24*(E694/'THAM_SO_MOI'!$C$22)^2-'THAM_SO_MOI'!$C$25*(E694/'THAM_SO_MOI'!$C$22)^3)</f>
        <v>105.34901944520401</v>
      </c>
      <c r="K694" s="75">
        <f>'THAM_SO_MOI'!$C$31*J694/E694</f>
        <v>428.5344329511431</v>
      </c>
      <c r="L694" s="75">
        <f>K694*'THAM_SO_MOI'!$C$49*'THAM_SO_MOI'!$C$17/'THAM_SO_MOI'!$C$26</f>
        <v>24428.616249851366</v>
      </c>
      <c r="M694" s="75">
        <f>'THAM_SO_MOI'!$C$15*'THAM_SO_MOI'!$C$16*F694^2</f>
        <v>39.31794903403632</v>
      </c>
      <c r="N694" s="75">
        <f>'THAM_SO_MOI'!$C$12*I694</f>
        <v>1130.112</v>
      </c>
      <c r="O694" s="75">
        <f>M694+N694</f>
        <v>1169.4299490340363</v>
      </c>
      <c r="P694" s="75">
        <f>(MIN(L694,'THAM_SO_MOI'!$C$41)-O694)/('THAM_SO_MOI'!$C$11*H694)</f>
        <v>0.957641069697683</v>
      </c>
      <c r="Q694" s="75">
        <f>IF(P694&gt;0,1/P694,NA())</f>
        <v>1.044232574857811</v>
      </c>
      <c r="R694" s="75">
        <f>F694-F693</f>
        <v>0.0035133136094671613</v>
      </c>
      <c r="S694" s="75">
        <f>0.5*(Q693+Q694)*R694</f>
        <v>0.003668533747485072</v>
      </c>
      <c r="T694" s="75">
        <f>0.5*(F693*Q693+F694*Q694)*R694</f>
        <v>0.013443640412610407</v>
      </c>
      <c r="U694" s="76">
        <f>U693+S694</f>
        <v>2.7014618151565406</v>
      </c>
      <c r="V694" s="76">
        <f>V693+T694</f>
        <v>6.508172721692261</v>
      </c>
    </row>
    <row r="695" spans="1:22" ht="19" customHeight="1">
      <c r="A695" s="68" t="s">
        <v>368</v>
      </c>
      <c r="B695" s="74">
        <v>1</v>
      </c>
      <c r="C695" s="68" t="s">
        <v>363</v>
      </c>
      <c r="D695" s="68" t="s">
        <v>364</v>
      </c>
      <c r="E695" s="75">
        <f>60*F695*'THAM_SO_MOI'!$C$49/(2*PI()*'THAM_SO_MOI'!$C$26)</f>
        <v>2350.2499999999995</v>
      </c>
      <c r="F695" s="75">
        <f>'THAM_SO_MOI'!$E$49+('THAM_SO_MOI'!$F$49-'THAM_SO_MOI'!$E$49)*689/'THAM_SO_MOI'!$C$42</f>
        <v>3.669851249178172</v>
      </c>
      <c r="G695" s="75">
        <f>3.6*F695</f>
        <v>13.211464497041419</v>
      </c>
      <c r="H695" s="75">
        <f>'THAM_SO_MOI'!$D$49</f>
        <v>3.1625000000000005</v>
      </c>
      <c r="I695" s="75">
        <f>IF(F695&gt;'THAM_SO_MOI'!$C$14,'THAM_SO_MOI'!$C$13*(1+F695^2/1500),'THAM_SO_MOI'!$C$13)</f>
        <v>0.015</v>
      </c>
      <c r="J695" s="75">
        <f>'THAM_SO_MOI'!$C$40*('THAM_SO_MOI'!$C$23*(E695/'THAM_SO_MOI'!$C$22)+'THAM_SO_MOI'!$C$24*(E695/'THAM_SO_MOI'!$C$22)^2-'THAM_SO_MOI'!$C$25*(E695/'THAM_SO_MOI'!$C$22)^3)</f>
        <v>105.44017100552014</v>
      </c>
      <c r="K695" s="75">
        <f>'THAM_SO_MOI'!$C$31*J695/E695</f>
        <v>428.49460529263604</v>
      </c>
      <c r="L695" s="75">
        <f>K695*'THAM_SO_MOI'!$C$49*'THAM_SO_MOI'!$C$17/'THAM_SO_MOI'!$C$26</f>
        <v>24426.345873165184</v>
      </c>
      <c r="M695" s="75">
        <f>'THAM_SO_MOI'!$C$15*'THAM_SO_MOI'!$C$16*F695^2</f>
        <v>39.393338958951674</v>
      </c>
      <c r="N695" s="75">
        <f>'THAM_SO_MOI'!$C$12*I695</f>
        <v>1130.112</v>
      </c>
      <c r="O695" s="75">
        <f>M695+N695</f>
        <v>1169.5053389589518</v>
      </c>
      <c r="P695" s="75">
        <f>(MIN(L695,'THAM_SO_MOI'!$C$41)-O695)/('THAM_SO_MOI'!$C$11*H695)</f>
        <v>0.957544488397819</v>
      </c>
      <c r="Q695" s="75">
        <f>IF(P695&gt;0,1/P695,NA())</f>
        <v>1.044337899822512</v>
      </c>
      <c r="R695" s="75">
        <f>F695-F694</f>
        <v>0.0035133136094671613</v>
      </c>
      <c r="S695" s="75">
        <f>0.5*(Q694+Q695)*R695</f>
        <v>0.0036689015365128337</v>
      </c>
      <c r="T695" s="75">
        <f>0.5*(F694*Q694+F695*Q695)*R695</f>
        <v>0.013457878211049644</v>
      </c>
      <c r="U695" s="76">
        <f>U694+S695</f>
        <v>2.7051307166930534</v>
      </c>
      <c r="V695" s="76">
        <f>V694+T695</f>
        <v>6.52163059990331</v>
      </c>
    </row>
    <row r="696" spans="1:22" ht="19" customHeight="1">
      <c r="A696" s="68" t="s">
        <v>368</v>
      </c>
      <c r="B696" s="74">
        <v>1</v>
      </c>
      <c r="C696" s="68" t="s">
        <v>363</v>
      </c>
      <c r="D696" s="68" t="s">
        <v>364</v>
      </c>
      <c r="E696" s="75">
        <f>60*F696*'THAM_SO_MOI'!$C$49/(2*PI()*'THAM_SO_MOI'!$C$26)</f>
        <v>2352.5</v>
      </c>
      <c r="F696" s="75">
        <f>'THAM_SO_MOI'!$E$49+('THAM_SO_MOI'!$F$49-'THAM_SO_MOI'!$E$49)*690/'THAM_SO_MOI'!$C$42</f>
        <v>3.67336456278764</v>
      </c>
      <c r="G696" s="75">
        <f>3.6*F696</f>
        <v>13.224112426035504</v>
      </c>
      <c r="H696" s="75">
        <f>'THAM_SO_MOI'!$D$49</f>
        <v>3.1625000000000005</v>
      </c>
      <c r="I696" s="75">
        <f>IF(F696&gt;'THAM_SO_MOI'!$C$14,'THAM_SO_MOI'!$C$13*(1+F696^2/1500),'THAM_SO_MOI'!$C$13)</f>
        <v>0.015</v>
      </c>
      <c r="J696" s="75">
        <f>'THAM_SO_MOI'!$C$40*('THAM_SO_MOI'!$C$23*(E696/'THAM_SO_MOI'!$C$22)+'THAM_SO_MOI'!$C$24*(E696/'THAM_SO_MOI'!$C$22)^2-'THAM_SO_MOI'!$C$25*(E696/'THAM_SO_MOI'!$C$22)^3)</f>
        <v>105.53118283041587</v>
      </c>
      <c r="K696" s="75">
        <f>'THAM_SO_MOI'!$C$31*J696/E696</f>
        <v>428.45428649607</v>
      </c>
      <c r="L696" s="75">
        <f>K696*'THAM_SO_MOI'!$C$49*'THAM_SO_MOI'!$C$17/'THAM_SO_MOI'!$C$26</f>
        <v>24424.04749914146</v>
      </c>
      <c r="M696" s="75">
        <f>'THAM_SO_MOI'!$C$15*'THAM_SO_MOI'!$C$16*F696^2</f>
        <v>39.468801092596294</v>
      </c>
      <c r="N696" s="75">
        <f>'THAM_SO_MOI'!$C$12*I696</f>
        <v>1130.112</v>
      </c>
      <c r="O696" s="75">
        <f>M696+N696</f>
        <v>1169.5808010925964</v>
      </c>
      <c r="P696" s="75">
        <f>(MIN(L696,'THAM_SO_MOI'!$C$41)-O696)/('THAM_SO_MOI'!$C$11*H696)</f>
        <v>0.9574467514018798</v>
      </c>
      <c r="Q696" s="75">
        <f>IF(P696&gt;0,1/P696,NA())</f>
        <v>1.044444506742348</v>
      </c>
      <c r="R696" s="75">
        <f>F696-F695</f>
        <v>0.0035133136094680495</v>
      </c>
      <c r="S696" s="75">
        <f>0.5*(Q695+Q696)*R696</f>
        <v>0.0036692738281008737</v>
      </c>
      <c r="T696" s="75">
        <f>0.5*(F695*Q695+F696*Q696)*R696</f>
        <v>0.013472135125443561</v>
      </c>
      <c r="U696" s="76">
        <f>U695+S696</f>
        <v>2.7087999905211544</v>
      </c>
      <c r="V696" s="76">
        <f>V695+T696</f>
        <v>6.535102735028754</v>
      </c>
    </row>
    <row r="697" spans="1:22" ht="19" customHeight="1">
      <c r="A697" s="68" t="s">
        <v>368</v>
      </c>
      <c r="B697" s="74">
        <v>1</v>
      </c>
      <c r="C697" s="68" t="s">
        <v>363</v>
      </c>
      <c r="D697" s="68" t="s">
        <v>364</v>
      </c>
      <c r="E697" s="75">
        <f>60*F697*'THAM_SO_MOI'!$C$49/(2*PI()*'THAM_SO_MOI'!$C$26)</f>
        <v>2354.7499999999995</v>
      </c>
      <c r="F697" s="75">
        <f>'THAM_SO_MOI'!$E$49+('THAM_SO_MOI'!$F$49-'THAM_SO_MOI'!$E$49)*691/'THAM_SO_MOI'!$C$42</f>
        <v>3.676877876397107</v>
      </c>
      <c r="G697" s="75">
        <f>3.6*F697</f>
        <v>13.236760355029586</v>
      </c>
      <c r="H697" s="75">
        <f>'THAM_SO_MOI'!$D$49</f>
        <v>3.1625000000000005</v>
      </c>
      <c r="I697" s="75">
        <f>IF(F697&gt;'THAM_SO_MOI'!$C$14,'THAM_SO_MOI'!$C$13*(1+F697^2/1500),'THAM_SO_MOI'!$C$13)</f>
        <v>0.015</v>
      </c>
      <c r="J697" s="75">
        <f>'THAM_SO_MOI'!$C$40*('THAM_SO_MOI'!$C$23*(E697/'THAM_SO_MOI'!$C$22)+'THAM_SO_MOI'!$C$24*(E697/'THAM_SO_MOI'!$C$22)^2-'THAM_SO_MOI'!$C$25*(E697/'THAM_SO_MOI'!$C$22)^3)</f>
        <v>105.6220545727917</v>
      </c>
      <c r="K697" s="75">
        <f>'THAM_SO_MOI'!$C$31*J697/E697</f>
        <v>428.4134765614453</v>
      </c>
      <c r="L697" s="75">
        <f>K697*'THAM_SO_MOI'!$C$49*'THAM_SO_MOI'!$C$17/'THAM_SO_MOI'!$C$26</f>
        <v>24421.7211277802</v>
      </c>
      <c r="M697" s="75">
        <f>'THAM_SO_MOI'!$C$15*'THAM_SO_MOI'!$C$16*F697^2</f>
        <v>39.544335434970115</v>
      </c>
      <c r="N697" s="75">
        <f>'THAM_SO_MOI'!$C$12*I697</f>
        <v>1130.112</v>
      </c>
      <c r="O697" s="75">
        <f>M697+N697</f>
        <v>1169.6563354349703</v>
      </c>
      <c r="P697" s="75">
        <f>(MIN(L697,'THAM_SO_MOI'!$C$41)-O697)/('THAM_SO_MOI'!$C$11*H697)</f>
        <v>0.957347858709866</v>
      </c>
      <c r="Q697" s="75">
        <f>IF(P697&gt;0,1/P697,NA())</f>
        <v>1.0445523963960315</v>
      </c>
      <c r="R697" s="75">
        <f>F697-F696</f>
        <v>0.0035133136094671613</v>
      </c>
      <c r="S697" s="75">
        <f>0.5*(Q696+Q697)*R697</f>
        <v>0.003669650624965411</v>
      </c>
      <c r="T697" s="75">
        <f>0.5*(F696*Q696+F697*Q697)*R697</f>
        <v>0.013486411213231344</v>
      </c>
      <c r="U697" s="76">
        <f>U696+S697</f>
        <v>2.7124696411461198</v>
      </c>
      <c r="V697" s="76">
        <f>V696+T697</f>
        <v>6.5485891462419845</v>
      </c>
    </row>
    <row r="698" spans="1:22" ht="19" customHeight="1">
      <c r="A698" s="68" t="s">
        <v>368</v>
      </c>
      <c r="B698" s="74">
        <v>1</v>
      </c>
      <c r="C698" s="68" t="s">
        <v>363</v>
      </c>
      <c r="D698" s="68" t="s">
        <v>364</v>
      </c>
      <c r="E698" s="75">
        <f>60*F698*'THAM_SO_MOI'!$C$49/(2*PI()*'THAM_SO_MOI'!$C$26)</f>
        <v>2356.9999999999995</v>
      </c>
      <c r="F698" s="75">
        <f>'THAM_SO_MOI'!$E$49+('THAM_SO_MOI'!$F$49-'THAM_SO_MOI'!$E$49)*692/'THAM_SO_MOI'!$C$42</f>
        <v>3.680391190006574</v>
      </c>
      <c r="G698" s="75">
        <f>3.6*F698</f>
        <v>13.249408284023668</v>
      </c>
      <c r="H698" s="75">
        <f>'THAM_SO_MOI'!$D$49</f>
        <v>3.1625000000000005</v>
      </c>
      <c r="I698" s="75">
        <f>IF(F698&gt;'THAM_SO_MOI'!$C$14,'THAM_SO_MOI'!$C$13*(1+F698^2/1500),'THAM_SO_MOI'!$C$13)</f>
        <v>0.015</v>
      </c>
      <c r="J698" s="75">
        <f>'THAM_SO_MOI'!$C$40*('THAM_SO_MOI'!$C$23*(E698/'THAM_SO_MOI'!$C$22)+'THAM_SO_MOI'!$C$24*(E698/'THAM_SO_MOI'!$C$22)^2-'THAM_SO_MOI'!$C$25*(E698/'THAM_SO_MOI'!$C$22)^3)</f>
        <v>105.71278588554809</v>
      </c>
      <c r="K698" s="75">
        <f>'THAM_SO_MOI'!$C$31*J698/E698</f>
        <v>428.37217548876185</v>
      </c>
      <c r="L698" s="75">
        <f>K698*'THAM_SO_MOI'!$C$49*'THAM_SO_MOI'!$C$17/'THAM_SO_MOI'!$C$26</f>
        <v>24419.366759081415</v>
      </c>
      <c r="M698" s="75">
        <f>'THAM_SO_MOI'!$C$15*'THAM_SO_MOI'!$C$16*F698^2</f>
        <v>39.61994198607318</v>
      </c>
      <c r="N698" s="75">
        <f>'THAM_SO_MOI'!$C$12*I698</f>
        <v>1130.112</v>
      </c>
      <c r="O698" s="75">
        <f>M698+N698</f>
        <v>1169.7319419860733</v>
      </c>
      <c r="P698" s="75">
        <f>(MIN(L698,'THAM_SO_MOI'!$C$41)-O698)/('THAM_SO_MOI'!$C$11*H698)</f>
        <v>0.9572478103217776</v>
      </c>
      <c r="Q698" s="75">
        <f>IF(P698&gt;0,1/P698,NA())</f>
        <v>1.0446615695718868</v>
      </c>
      <c r="R698" s="75">
        <f>F698-F697</f>
        <v>0.0035133136094671613</v>
      </c>
      <c r="S698" s="75">
        <f>0.5*(Q697+Q698)*R698</f>
        <v>0.0036700319298619746</v>
      </c>
      <c r="T698" s="75">
        <f>0.5*(F697*Q697+F698*Q698)*R698</f>
        <v>0.013500706532034952</v>
      </c>
      <c r="U698" s="76">
        <f>U697+S698</f>
        <v>2.7161396730759817</v>
      </c>
      <c r="V698" s="76">
        <f>V697+T698</f>
        <v>6.56208985277402</v>
      </c>
    </row>
    <row r="699" spans="1:22" ht="19" customHeight="1">
      <c r="A699" s="68" t="s">
        <v>368</v>
      </c>
      <c r="B699" s="74">
        <v>1</v>
      </c>
      <c r="C699" s="68" t="s">
        <v>363</v>
      </c>
      <c r="D699" s="68" t="s">
        <v>364</v>
      </c>
      <c r="E699" s="75">
        <f>60*F699*'THAM_SO_MOI'!$C$49/(2*PI()*'THAM_SO_MOI'!$C$26)</f>
        <v>2359.25</v>
      </c>
      <c r="F699" s="75">
        <f>'THAM_SO_MOI'!$E$49+('THAM_SO_MOI'!$F$49-'THAM_SO_MOI'!$E$49)*693/'THAM_SO_MOI'!$C$42</f>
        <v>3.6839045036160423</v>
      </c>
      <c r="G699" s="75">
        <f>3.6*F699</f>
        <v>13.262056213017752</v>
      </c>
      <c r="H699" s="75">
        <f>'THAM_SO_MOI'!$D$49</f>
        <v>3.1625000000000005</v>
      </c>
      <c r="I699" s="75">
        <f>IF(F699&gt;'THAM_SO_MOI'!$C$14,'THAM_SO_MOI'!$C$13*(1+F699^2/1500),'THAM_SO_MOI'!$C$13)</f>
        <v>0.015</v>
      </c>
      <c r="J699" s="75">
        <f>'THAM_SO_MOI'!$C$40*('THAM_SO_MOI'!$C$23*(E699/'THAM_SO_MOI'!$C$22)+'THAM_SO_MOI'!$C$24*(E699/'THAM_SO_MOI'!$C$22)^2-'THAM_SO_MOI'!$C$25*(E699/'THAM_SO_MOI'!$C$22)^3)</f>
        <v>105.80337642158544</v>
      </c>
      <c r="K699" s="75">
        <f>'THAM_SO_MOI'!$C$31*J699/E699</f>
        <v>428.3303832780194</v>
      </c>
      <c r="L699" s="75">
        <f>K699*'THAM_SO_MOI'!$C$49*'THAM_SO_MOI'!$C$17/'THAM_SO_MOI'!$C$26</f>
        <v>24416.98439304509</v>
      </c>
      <c r="M699" s="75">
        <f>'THAM_SO_MOI'!$C$15*'THAM_SO_MOI'!$C$16*F699^2</f>
        <v>39.69562074590549</v>
      </c>
      <c r="N699" s="75">
        <f>'THAM_SO_MOI'!$C$12*I699</f>
        <v>1130.112</v>
      </c>
      <c r="O699" s="75">
        <f>M699+N699</f>
        <v>1169.8076207459055</v>
      </c>
      <c r="P699" s="75">
        <f>(MIN(L699,'THAM_SO_MOI'!$C$41)-O699)/('THAM_SO_MOI'!$C$11*H699)</f>
        <v>0.9571466062376146</v>
      </c>
      <c r="Q699" s="75">
        <f>IF(P699&gt;0,1/P699,NA())</f>
        <v>1.0447720270678649</v>
      </c>
      <c r="R699" s="75">
        <f>F699-F698</f>
        <v>0.0035133136094680495</v>
      </c>
      <c r="S699" s="75">
        <f>0.5*(Q698+Q699)*R699</f>
        <v>0.003670417745577107</v>
      </c>
      <c r="T699" s="75">
        <f>0.5*(F698*Q698+F699*Q699)*R699</f>
        <v>0.013515021139629267</v>
      </c>
      <c r="U699" s="76">
        <f>U698+S699</f>
        <v>2.719810090821559</v>
      </c>
      <c r="V699" s="76">
        <f>V698+T699</f>
        <v>6.575604873913649</v>
      </c>
    </row>
    <row r="700" spans="1:22" ht="19" customHeight="1">
      <c r="A700" s="68" t="s">
        <v>368</v>
      </c>
      <c r="B700" s="74">
        <v>1</v>
      </c>
      <c r="C700" s="68" t="s">
        <v>363</v>
      </c>
      <c r="D700" s="68" t="s">
        <v>364</v>
      </c>
      <c r="E700" s="75">
        <f>60*F700*'THAM_SO_MOI'!$C$49/(2*PI()*'THAM_SO_MOI'!$C$26)</f>
        <v>2361.5</v>
      </c>
      <c r="F700" s="75">
        <f>'THAM_SO_MOI'!$E$49+('THAM_SO_MOI'!$F$49-'THAM_SO_MOI'!$E$49)*694/'THAM_SO_MOI'!$C$42</f>
        <v>3.6874178172255094</v>
      </c>
      <c r="G700" s="75">
        <f>3.6*F700</f>
        <v>13.274704142011835</v>
      </c>
      <c r="H700" s="75">
        <f>'THAM_SO_MOI'!$D$49</f>
        <v>3.1625000000000005</v>
      </c>
      <c r="I700" s="75">
        <f>IF(F700&gt;'THAM_SO_MOI'!$C$14,'THAM_SO_MOI'!$C$13*(1+F700^2/1500),'THAM_SO_MOI'!$C$13)</f>
        <v>0.015</v>
      </c>
      <c r="J700" s="75">
        <f>'THAM_SO_MOI'!$C$40*('THAM_SO_MOI'!$C$23*(E700/'THAM_SO_MOI'!$C$22)+'THAM_SO_MOI'!$C$24*(E700/'THAM_SO_MOI'!$C$22)^2-'THAM_SO_MOI'!$C$25*(E700/'THAM_SO_MOI'!$C$22)^3)</f>
        <v>105.8938258338043</v>
      </c>
      <c r="K700" s="75">
        <f>'THAM_SO_MOI'!$C$31*J700/E700</f>
        <v>428.2880999292184</v>
      </c>
      <c r="L700" s="75">
        <f>K700*'THAM_SO_MOI'!$C$49*'THAM_SO_MOI'!$C$17/'THAM_SO_MOI'!$C$26</f>
        <v>24414.574029671243</v>
      </c>
      <c r="M700" s="75">
        <f>'THAM_SO_MOI'!$C$15*'THAM_SO_MOI'!$C$16*F700^2</f>
        <v>39.771371714467016</v>
      </c>
      <c r="N700" s="75">
        <f>'THAM_SO_MOI'!$C$12*I700</f>
        <v>1130.112</v>
      </c>
      <c r="O700" s="75">
        <f>M700+N700</f>
        <v>1169.883371714467</v>
      </c>
      <c r="P700" s="75">
        <f>(MIN(L700,'THAM_SO_MOI'!$C$41)-O700)/('THAM_SO_MOI'!$C$11*H700)</f>
        <v>0.9570442464573771</v>
      </c>
      <c r="Q700" s="75">
        <f>IF(P700&gt;0,1/P700,NA())</f>
        <v>1.0448837696915574</v>
      </c>
      <c r="R700" s="75">
        <f>F700-F699</f>
        <v>0.0035133136094671613</v>
      </c>
      <c r="S700" s="75">
        <f>0.5*(Q699+Q700)*R700</f>
        <v>0.003670808074928412</v>
      </c>
      <c r="T700" s="75">
        <f>0.5*(F699*Q699+F700*Q700)*R700</f>
        <v>0.01352935509394281</v>
      </c>
      <c r="U700" s="76">
        <f>U699+S700</f>
        <v>2.7234808988964874</v>
      </c>
      <c r="V700" s="76">
        <f>V699+T700</f>
        <v>6.589134229007592</v>
      </c>
    </row>
    <row r="701" spans="1:22" ht="19" customHeight="1">
      <c r="A701" s="68" t="s">
        <v>368</v>
      </c>
      <c r="B701" s="74">
        <v>1</v>
      </c>
      <c r="C701" s="68" t="s">
        <v>363</v>
      </c>
      <c r="D701" s="68" t="s">
        <v>364</v>
      </c>
      <c r="E701" s="75">
        <f>60*F701*'THAM_SO_MOI'!$C$49/(2*PI()*'THAM_SO_MOI'!$C$26)</f>
        <v>2363.7499999999995</v>
      </c>
      <c r="F701" s="75">
        <f>'THAM_SO_MOI'!$E$49+('THAM_SO_MOI'!$F$49-'THAM_SO_MOI'!$E$49)*695/'THAM_SO_MOI'!$C$42</f>
        <v>3.6909311308349766</v>
      </c>
      <c r="G701" s="75">
        <f>3.6*F701</f>
        <v>13.287352071005916</v>
      </c>
      <c r="H701" s="75">
        <f>'THAM_SO_MOI'!$D$49</f>
        <v>3.1625000000000005</v>
      </c>
      <c r="I701" s="75">
        <f>IF(F701&gt;'THAM_SO_MOI'!$C$14,'THAM_SO_MOI'!$C$13*(1+F701^2/1500),'THAM_SO_MOI'!$C$13)</f>
        <v>0.015</v>
      </c>
      <c r="J701" s="75">
        <f>'THAM_SO_MOI'!$C$40*('THAM_SO_MOI'!$C$23*(E701/'THAM_SO_MOI'!$C$22)+'THAM_SO_MOI'!$C$24*(E701/'THAM_SO_MOI'!$C$22)^2-'THAM_SO_MOI'!$C$25*(E701/'THAM_SO_MOI'!$C$22)^3)</f>
        <v>105.98413377510504</v>
      </c>
      <c r="K701" s="75">
        <f>'THAM_SO_MOI'!$C$31*J701/E701</f>
        <v>428.2453254423586</v>
      </c>
      <c r="L701" s="75">
        <f>K701*'THAM_SO_MOI'!$C$49*'THAM_SO_MOI'!$C$17/'THAM_SO_MOI'!$C$26</f>
        <v>24412.13566895986</v>
      </c>
      <c r="M701" s="75">
        <f>'THAM_SO_MOI'!$C$15*'THAM_SO_MOI'!$C$16*F701^2</f>
        <v>39.84719489175778</v>
      </c>
      <c r="N701" s="75">
        <f>'THAM_SO_MOI'!$C$12*I701</f>
        <v>1130.112</v>
      </c>
      <c r="O701" s="75">
        <f>M701+N701</f>
        <v>1169.9591948917578</v>
      </c>
      <c r="P701" s="75">
        <f>(MIN(L701,'THAM_SO_MOI'!$C$41)-O701)/('THAM_SO_MOI'!$C$11*H701)</f>
        <v>0.9569407309810647</v>
      </c>
      <c r="Q701" s="75">
        <f>IF(P701&gt;0,1/P701,NA())</f>
        <v>1.0449967982602126</v>
      </c>
      <c r="R701" s="75">
        <f>F701-F700</f>
        <v>0.0035133136094671613</v>
      </c>
      <c r="S701" s="75">
        <f>0.5*(Q700+Q701)*R701</f>
        <v>0.003671202920772957</v>
      </c>
      <c r="T701" s="75">
        <f>0.5*(F700*Q700+F701*Q701)*R701</f>
        <v>0.013543708453089299</v>
      </c>
      <c r="U701" s="76">
        <f>U700+S701</f>
        <v>2.72715210181726</v>
      </c>
      <c r="V701" s="76">
        <f>V700+T701</f>
        <v>6.602677937460681</v>
      </c>
    </row>
    <row r="702" spans="1:22" ht="19" customHeight="1">
      <c r="A702" s="68" t="s">
        <v>368</v>
      </c>
      <c r="B702" s="74">
        <v>1</v>
      </c>
      <c r="C702" s="68" t="s">
        <v>363</v>
      </c>
      <c r="D702" s="68" t="s">
        <v>364</v>
      </c>
      <c r="E702" s="75">
        <f>60*F702*'THAM_SO_MOI'!$C$49/(2*PI()*'THAM_SO_MOI'!$C$26)</f>
        <v>2366.0</v>
      </c>
      <c r="F702" s="75">
        <f>'THAM_SO_MOI'!$E$49+('THAM_SO_MOI'!$F$49-'THAM_SO_MOI'!$E$49)*696/'THAM_SO_MOI'!$C$42</f>
        <v>3.6944444444444446</v>
      </c>
      <c r="G702" s="75">
        <f>3.6*F702</f>
        <v>13.3</v>
      </c>
      <c r="H702" s="75">
        <f>'THAM_SO_MOI'!$D$49</f>
        <v>3.1625000000000005</v>
      </c>
      <c r="I702" s="75">
        <f>IF(F702&gt;'THAM_SO_MOI'!$C$14,'THAM_SO_MOI'!$C$13*(1+F702^2/1500),'THAM_SO_MOI'!$C$13)</f>
        <v>0.015</v>
      </c>
      <c r="J702" s="75">
        <f>'THAM_SO_MOI'!$C$40*('THAM_SO_MOI'!$C$23*(E702/'THAM_SO_MOI'!$C$22)+'THAM_SO_MOI'!$C$24*(E702/'THAM_SO_MOI'!$C$22)^2-'THAM_SO_MOI'!$C$25*(E702/'THAM_SO_MOI'!$C$22)^3)</f>
        <v>106.07429989838818</v>
      </c>
      <c r="K702" s="75">
        <f>'THAM_SO_MOI'!$C$31*J702/E702</f>
        <v>428.20205981743993</v>
      </c>
      <c r="L702" s="75">
        <f>K702*'THAM_SO_MOI'!$C$49*'THAM_SO_MOI'!$C$17/'THAM_SO_MOI'!$C$26</f>
        <v>24409.669310910944</v>
      </c>
      <c r="M702" s="75">
        <f>'THAM_SO_MOI'!$C$15*'THAM_SO_MOI'!$C$16*F702^2</f>
        <v>39.92309027777779</v>
      </c>
      <c r="N702" s="75">
        <f>'THAM_SO_MOI'!$C$12*I702</f>
        <v>1130.112</v>
      </c>
      <c r="O702" s="75">
        <f>M702+N702</f>
        <v>1170.035090277778</v>
      </c>
      <c r="P702" s="75">
        <f>(MIN(L702,'THAM_SO_MOI'!$C$41)-O702)/('THAM_SO_MOI'!$C$11*H702)</f>
        <v>0.9568360598086776</v>
      </c>
      <c r="Q702" s="75">
        <f>IF(P702&gt;0,1/P702,NA())</f>
        <v>1.0451111136007492</v>
      </c>
      <c r="R702" s="75">
        <f>F702-F701</f>
        <v>0.0035133136094680495</v>
      </c>
      <c r="S702" s="75">
        <f>0.5*(Q701+Q702)*R702</f>
        <v>0.0036716022859989814</v>
      </c>
      <c r="T702" s="75">
        <f>0.5*(F701*Q701+F702*Q702)*R702</f>
        <v>0.013558081275337691</v>
      </c>
      <c r="U702" s="76">
        <f>U701+S702</f>
        <v>2.7308237041032593</v>
      </c>
      <c r="V702" s="76">
        <f>V701+T702</f>
        <v>6.616236018736019</v>
      </c>
    </row>
    <row r="703" spans="1:22" ht="19" customHeight="1">
      <c r="A703" s="68" t="s">
        <v>368</v>
      </c>
      <c r="B703" s="74">
        <v>1</v>
      </c>
      <c r="C703" s="68" t="s">
        <v>363</v>
      </c>
      <c r="D703" s="68" t="s">
        <v>364</v>
      </c>
      <c r="E703" s="75">
        <f>60*F703*'THAM_SO_MOI'!$C$49/(2*PI()*'THAM_SO_MOI'!$C$26)</f>
        <v>2368.2499999999995</v>
      </c>
      <c r="F703" s="75">
        <f>'THAM_SO_MOI'!$E$49+('THAM_SO_MOI'!$F$49-'THAM_SO_MOI'!$E$49)*697/'THAM_SO_MOI'!$C$42</f>
        <v>3.697957758053912</v>
      </c>
      <c r="G703" s="75">
        <f>3.6*F703</f>
        <v>13.312647928994084</v>
      </c>
      <c r="H703" s="75">
        <f>'THAM_SO_MOI'!$D$49</f>
        <v>3.1625000000000005</v>
      </c>
      <c r="I703" s="75">
        <f>IF(F703&gt;'THAM_SO_MOI'!$C$14,'THAM_SO_MOI'!$C$13*(1+F703^2/1500),'THAM_SO_MOI'!$C$13)</f>
        <v>0.015</v>
      </c>
      <c r="J703" s="75">
        <f>'THAM_SO_MOI'!$C$40*('THAM_SO_MOI'!$C$23*(E703/'THAM_SO_MOI'!$C$22)+'THAM_SO_MOI'!$C$24*(E703/'THAM_SO_MOI'!$C$22)^2-'THAM_SO_MOI'!$C$25*(E703/'THAM_SO_MOI'!$C$22)^3)</f>
        <v>106.16432385655409</v>
      </c>
      <c r="K703" s="75">
        <f>'THAM_SO_MOI'!$C$31*J703/E703</f>
        <v>428.1583030544625</v>
      </c>
      <c r="L703" s="75">
        <f>K703*'THAM_SO_MOI'!$C$49*'THAM_SO_MOI'!$C$17/'THAM_SO_MOI'!$C$26</f>
        <v>24407.174955524493</v>
      </c>
      <c r="M703" s="75">
        <f>'THAM_SO_MOI'!$C$15*'THAM_SO_MOI'!$C$16*F703^2</f>
        <v>39.99905787252701</v>
      </c>
      <c r="N703" s="75">
        <f>'THAM_SO_MOI'!$C$12*I703</f>
        <v>1130.112</v>
      </c>
      <c r="O703" s="75">
        <f>M703+N703</f>
        <v>1170.111057872527</v>
      </c>
      <c r="P703" s="75">
        <f>(MIN(L703,'THAM_SO_MOI'!$C$41)-O703)/('THAM_SO_MOI'!$C$11*H703)</f>
        <v>0.9567302329402159</v>
      </c>
      <c r="Q703" s="75">
        <f>IF(P703&gt;0,1/P703,NA())</f>
        <v>1.0452267165497717</v>
      </c>
      <c r="R703" s="75">
        <f>F703-F702</f>
        <v>0.0035133136094671613</v>
      </c>
      <c r="S703" s="75">
        <f>0.5*(Q702+Q703)*R703</f>
        <v>0.00367200617352594</v>
      </c>
      <c r="T703" s="75">
        <f>0.5*(F702*Q702+F703*Q703)*R703</f>
        <v>0.013572473619112927</v>
      </c>
      <c r="U703" s="76">
        <f>U702+S703</f>
        <v>2.7344957102767853</v>
      </c>
      <c r="V703" s="76">
        <f>V702+T703</f>
        <v>6.6298084923551315</v>
      </c>
    </row>
    <row r="704" spans="1:22" ht="19" customHeight="1">
      <c r="A704" s="68" t="s">
        <v>368</v>
      </c>
      <c r="B704" s="74">
        <v>1</v>
      </c>
      <c r="C704" s="68" t="s">
        <v>363</v>
      </c>
      <c r="D704" s="68" t="s">
        <v>364</v>
      </c>
      <c r="E704" s="75">
        <f>60*F704*'THAM_SO_MOI'!$C$49/(2*PI()*'THAM_SO_MOI'!$C$26)</f>
        <v>2370.5</v>
      </c>
      <c r="F704" s="75">
        <f>'THAM_SO_MOI'!$E$49+('THAM_SO_MOI'!$F$49-'THAM_SO_MOI'!$E$49)*698/'THAM_SO_MOI'!$C$42</f>
        <v>3.70147107166338</v>
      </c>
      <c r="G704" s="75">
        <f>3.6*F704</f>
        <v>13.325295857988168</v>
      </c>
      <c r="H704" s="75">
        <f>'THAM_SO_MOI'!$D$49</f>
        <v>3.1625000000000005</v>
      </c>
      <c r="I704" s="75">
        <f>IF(F704&gt;'THAM_SO_MOI'!$C$14,'THAM_SO_MOI'!$C$13*(1+F704^2/1500),'THAM_SO_MOI'!$C$13)</f>
        <v>0.015</v>
      </c>
      <c r="J704" s="75">
        <f>'THAM_SO_MOI'!$C$40*('THAM_SO_MOI'!$C$23*(E704/'THAM_SO_MOI'!$C$22)+'THAM_SO_MOI'!$C$24*(E704/'THAM_SO_MOI'!$C$22)^2-'THAM_SO_MOI'!$C$25*(E704/'THAM_SO_MOI'!$C$22)^3)</f>
        <v>106.25420530250332</v>
      </c>
      <c r="K704" s="75">
        <f>'THAM_SO_MOI'!$C$31*J704/E704</f>
        <v>428.1140551534263</v>
      </c>
      <c r="L704" s="75">
        <f>K704*'THAM_SO_MOI'!$C$49*'THAM_SO_MOI'!$C$17/'THAM_SO_MOI'!$C$26</f>
        <v>24404.65260280051</v>
      </c>
      <c r="M704" s="75">
        <f>'THAM_SO_MOI'!$C$15*'THAM_SO_MOI'!$C$16*F704^2</f>
        <v>40.07509767600549</v>
      </c>
      <c r="N704" s="75">
        <f>'THAM_SO_MOI'!$C$12*I704</f>
        <v>1130.112</v>
      </c>
      <c r="O704" s="75">
        <f>M704+N704</f>
        <v>1170.1870976760056</v>
      </c>
      <c r="P704" s="75">
        <f>(MIN(L704,'THAM_SO_MOI'!$C$41)-O704)/('THAM_SO_MOI'!$C$11*H704)</f>
        <v>0.9566232503756793</v>
      </c>
      <c r="Q704" s="75">
        <f>IF(P704&gt;0,1/P704,NA())</f>
        <v>1.0453436079535867</v>
      </c>
      <c r="R704" s="75">
        <f>F704-F703</f>
        <v>0.0035133136094680495</v>
      </c>
      <c r="S704" s="75">
        <f>0.5*(Q703+Q704)*R704</f>
        <v>0.0036724145863138427</v>
      </c>
      <c r="T704" s="75">
        <f>0.5*(F703*Q703+F704*Q704)*R704</f>
        <v>0.01358688554303101</v>
      </c>
      <c r="U704" s="76">
        <f>U703+S704</f>
        <v>2.738168124863099</v>
      </c>
      <c r="V704" s="76">
        <f>V703+T704</f>
        <v>6.6433953778981625</v>
      </c>
    </row>
    <row r="705" spans="1:22" ht="19" customHeight="1">
      <c r="A705" s="68" t="s">
        <v>368</v>
      </c>
      <c r="B705" s="74">
        <v>1</v>
      </c>
      <c r="C705" s="68" t="s">
        <v>363</v>
      </c>
      <c r="D705" s="68" t="s">
        <v>364</v>
      </c>
      <c r="E705" s="75">
        <f>60*F705*'THAM_SO_MOI'!$C$49/(2*PI()*'THAM_SO_MOI'!$C$26)</f>
        <v>2372.75</v>
      </c>
      <c r="F705" s="75">
        <f>'THAM_SO_MOI'!$E$49+('THAM_SO_MOI'!$F$49-'THAM_SO_MOI'!$E$49)*699/'THAM_SO_MOI'!$C$42</f>
        <v>3.704984385272847</v>
      </c>
      <c r="G705" s="75">
        <f>3.6*F705</f>
        <v>13.33794378698225</v>
      </c>
      <c r="H705" s="75">
        <f>'THAM_SO_MOI'!$D$49</f>
        <v>3.1625000000000005</v>
      </c>
      <c r="I705" s="75">
        <f>IF(F705&gt;'THAM_SO_MOI'!$C$14,'THAM_SO_MOI'!$C$13*(1+F705^2/1500),'THAM_SO_MOI'!$C$13)</f>
        <v>0.015</v>
      </c>
      <c r="J705" s="75">
        <f>'THAM_SO_MOI'!$C$40*('THAM_SO_MOI'!$C$23*(E705/'THAM_SO_MOI'!$C$22)+'THAM_SO_MOI'!$C$24*(E705/'THAM_SO_MOI'!$C$22)^2-'THAM_SO_MOI'!$C$25*(E705/'THAM_SO_MOI'!$C$22)^3)</f>
        <v>106.34394388913628</v>
      </c>
      <c r="K705" s="75">
        <f>'THAM_SO_MOI'!$C$31*J705/E705</f>
        <v>428.0693161143314</v>
      </c>
      <c r="L705" s="75">
        <f>K705*'THAM_SO_MOI'!$C$49*'THAM_SO_MOI'!$C$17/'THAM_SO_MOI'!$C$26</f>
        <v>24402.102252738998</v>
      </c>
      <c r="M705" s="75">
        <f>'THAM_SO_MOI'!$C$15*'THAM_SO_MOI'!$C$16*F705^2</f>
        <v>40.15120968821318</v>
      </c>
      <c r="N705" s="75">
        <f>'THAM_SO_MOI'!$C$12*I705</f>
        <v>1130.112</v>
      </c>
      <c r="O705" s="75">
        <f>M705+N705</f>
        <v>1170.2632096882132</v>
      </c>
      <c r="P705" s="75">
        <f>(MIN(L705,'THAM_SO_MOI'!$C$41)-O705)/('THAM_SO_MOI'!$C$11*H705)</f>
        <v>0.9565151121150683</v>
      </c>
      <c r="Q705" s="75">
        <f>IF(P705&gt;0,1/P705,NA())</f>
        <v>1.0454617886682176</v>
      </c>
      <c r="R705" s="75">
        <f>F705-F704</f>
        <v>0.0035133136094671613</v>
      </c>
      <c r="S705" s="75">
        <f>0.5*(Q704+Q705)*R705</f>
        <v>0.0036728275273493855</v>
      </c>
      <c r="T705" s="75">
        <f>0.5*(F704*Q704+F705*Q705)*R705</f>
        <v>0.013601317105848368</v>
      </c>
      <c r="U705" s="76">
        <f>U704+S705</f>
        <v>2.741840952390448</v>
      </c>
      <c r="V705" s="76">
        <f>V704+T705</f>
        <v>6.656996695004011</v>
      </c>
    </row>
    <row r="706" spans="1:22" ht="19" customHeight="1">
      <c r="A706" s="68" t="s">
        <v>368</v>
      </c>
      <c r="B706" s="74">
        <v>1</v>
      </c>
      <c r="C706" s="68" t="s">
        <v>363</v>
      </c>
      <c r="D706" s="68" t="s">
        <v>364</v>
      </c>
      <c r="E706" s="75">
        <f>60*F706*'THAM_SO_MOI'!$C$49/(2*PI()*'THAM_SO_MOI'!$C$26)</f>
        <v>2374.9999999999995</v>
      </c>
      <c r="F706" s="75">
        <f>'THAM_SO_MOI'!$E$49+('THAM_SO_MOI'!$F$49-'THAM_SO_MOI'!$E$49)*700/'THAM_SO_MOI'!$C$42</f>
        <v>3.708497698882314</v>
      </c>
      <c r="G706" s="75">
        <f>3.6*F706</f>
        <v>13.350591715976332</v>
      </c>
      <c r="H706" s="75">
        <f>'THAM_SO_MOI'!$D$49</f>
        <v>3.1625000000000005</v>
      </c>
      <c r="I706" s="75">
        <f>IF(F706&gt;'THAM_SO_MOI'!$C$14,'THAM_SO_MOI'!$C$13*(1+F706^2/1500),'THAM_SO_MOI'!$C$13)</f>
        <v>0.015</v>
      </c>
      <c r="J706" s="75">
        <f>'THAM_SO_MOI'!$C$40*('THAM_SO_MOI'!$C$23*(E706/'THAM_SO_MOI'!$C$22)+'THAM_SO_MOI'!$C$24*(E706/'THAM_SO_MOI'!$C$22)^2-'THAM_SO_MOI'!$C$25*(E706/'THAM_SO_MOI'!$C$22)^3)</f>
        <v>106.43353926935342</v>
      </c>
      <c r="K706" s="75">
        <f>'THAM_SO_MOI'!$C$31*J706/E706</f>
        <v>428.0240859371777</v>
      </c>
      <c r="L706" s="75">
        <f>K706*'THAM_SO_MOI'!$C$49*'THAM_SO_MOI'!$C$17/'THAM_SO_MOI'!$C$26</f>
        <v>24399.523905339953</v>
      </c>
      <c r="M706" s="75">
        <f>'THAM_SO_MOI'!$C$15*'THAM_SO_MOI'!$C$16*F706^2</f>
        <v>40.22739390915011</v>
      </c>
      <c r="N706" s="75">
        <f>'THAM_SO_MOI'!$C$12*I706</f>
        <v>1130.112</v>
      </c>
      <c r="O706" s="75">
        <f>M706+N706</f>
        <v>1170.3393939091502</v>
      </c>
      <c r="P706" s="75">
        <f>(MIN(L706,'THAM_SO_MOI'!$C$41)-O706)/('THAM_SO_MOI'!$C$11*H706)</f>
        <v>0.9564058181583827</v>
      </c>
      <c r="Q706" s="75">
        <f>IF(P706&gt;0,1/P706,NA())</f>
        <v>1.0455812595594207</v>
      </c>
      <c r="R706" s="75">
        <f>F706-F705</f>
        <v>0.0035133136094671613</v>
      </c>
      <c r="S706" s="75">
        <f>0.5*(Q705+Q706)*R706</f>
        <v>0.00367324499965993</v>
      </c>
      <c r="T706" s="75">
        <f>0.5*(F705*Q705+F706*Q706)*R706</f>
        <v>0.013615768366514139</v>
      </c>
      <c r="U706" s="76">
        <f>U705+S706</f>
        <v>2.745514197390108</v>
      </c>
      <c r="V706" s="76">
        <f>V705+T706</f>
        <v>6.670612463370525</v>
      </c>
    </row>
    <row r="707" spans="1:22" ht="19" customHeight="1">
      <c r="A707" s="68" t="s">
        <v>368</v>
      </c>
      <c r="B707" s="74">
        <v>1</v>
      </c>
      <c r="C707" s="68" t="s">
        <v>363</v>
      </c>
      <c r="D707" s="68" t="s">
        <v>364</v>
      </c>
      <c r="E707" s="75">
        <f>60*F707*'THAM_SO_MOI'!$C$49/(2*PI()*'THAM_SO_MOI'!$C$26)</f>
        <v>2377.25</v>
      </c>
      <c r="F707" s="75">
        <f>'THAM_SO_MOI'!$E$49+('THAM_SO_MOI'!$F$49-'THAM_SO_MOI'!$E$49)*701/'THAM_SO_MOI'!$C$42</f>
        <v>3.7120110124917822</v>
      </c>
      <c r="G707" s="75">
        <f>3.6*F707</f>
        <v>13.363239644970417</v>
      </c>
      <c r="H707" s="75">
        <f>'THAM_SO_MOI'!$D$49</f>
        <v>3.1625000000000005</v>
      </c>
      <c r="I707" s="75">
        <f>IF(F707&gt;'THAM_SO_MOI'!$C$14,'THAM_SO_MOI'!$C$13*(1+F707^2/1500),'THAM_SO_MOI'!$C$13)</f>
        <v>0.015</v>
      </c>
      <c r="J707" s="75">
        <f>'THAM_SO_MOI'!$C$40*('THAM_SO_MOI'!$C$23*(E707/'THAM_SO_MOI'!$C$22)+'THAM_SO_MOI'!$C$24*(E707/'THAM_SO_MOI'!$C$22)^2-'THAM_SO_MOI'!$C$25*(E707/'THAM_SO_MOI'!$C$22)^3)</f>
        <v>106.52299109605518</v>
      </c>
      <c r="K707" s="75">
        <f>'THAM_SO_MOI'!$C$31*J707/E707</f>
        <v>427.978364621965</v>
      </c>
      <c r="L707" s="75">
        <f>K707*'THAM_SO_MOI'!$C$49*'THAM_SO_MOI'!$C$17/'THAM_SO_MOI'!$C$26</f>
        <v>24396.917560603364</v>
      </c>
      <c r="M707" s="75">
        <f>'THAM_SO_MOI'!$C$15*'THAM_SO_MOI'!$C$16*F707^2</f>
        <v>40.30365033881628</v>
      </c>
      <c r="N707" s="75">
        <f>'THAM_SO_MOI'!$C$12*I707</f>
        <v>1130.112</v>
      </c>
      <c r="O707" s="75">
        <f>M707+N707</f>
        <v>1170.4156503388162</v>
      </c>
      <c r="P707" s="75">
        <f>(MIN(L707,'THAM_SO_MOI'!$C$41)-O707)/('THAM_SO_MOI'!$C$11*H707)</f>
        <v>0.9562953685056218</v>
      </c>
      <c r="Q707" s="75">
        <f>IF(P707&gt;0,1/P707,NA())</f>
        <v>1.045702021502702</v>
      </c>
      <c r="R707" s="75">
        <f>F707-F706</f>
        <v>0.0035133136094680495</v>
      </c>
      <c r="S707" s="75">
        <f>0.5*(Q706+Q707)*R707</f>
        <v>0.003673667006304276</v>
      </c>
      <c r="T707" s="75">
        <f>0.5*(F706*Q706+F707*Q707)*R707</f>
        <v>0.01363023938413665</v>
      </c>
      <c r="U707" s="76">
        <f>U706+S707</f>
        <v>2.7491878643964123</v>
      </c>
      <c r="V707" s="76">
        <f>V706+T707</f>
        <v>6.684242702754662</v>
      </c>
    </row>
    <row r="708" spans="1:22" ht="19" customHeight="1">
      <c r="A708" s="68" t="s">
        <v>368</v>
      </c>
      <c r="B708" s="74">
        <v>1</v>
      </c>
      <c r="C708" s="68" t="s">
        <v>363</v>
      </c>
      <c r="D708" s="68" t="s">
        <v>364</v>
      </c>
      <c r="E708" s="75">
        <f>60*F708*'THAM_SO_MOI'!$C$49/(2*PI()*'THAM_SO_MOI'!$C$26)</f>
        <v>2379.5</v>
      </c>
      <c r="F708" s="75">
        <f>'THAM_SO_MOI'!$E$49+('THAM_SO_MOI'!$F$49-'THAM_SO_MOI'!$E$49)*702/'THAM_SO_MOI'!$C$42</f>
        <v>3.7155243261012494</v>
      </c>
      <c r="G708" s="75">
        <f>3.6*F708</f>
        <v>13.375887573964498</v>
      </c>
      <c r="H708" s="75">
        <f>'THAM_SO_MOI'!$D$49</f>
        <v>3.1625000000000005</v>
      </c>
      <c r="I708" s="75">
        <f>IF(F708&gt;'THAM_SO_MOI'!$C$14,'THAM_SO_MOI'!$C$13*(1+F708^2/1500),'THAM_SO_MOI'!$C$13)</f>
        <v>0.015</v>
      </c>
      <c r="J708" s="75">
        <f>'THAM_SO_MOI'!$C$40*('THAM_SO_MOI'!$C$23*(E708/'THAM_SO_MOI'!$C$22)+'THAM_SO_MOI'!$C$24*(E708/'THAM_SO_MOI'!$C$22)^2-'THAM_SO_MOI'!$C$25*(E708/'THAM_SO_MOI'!$C$22)^3)</f>
        <v>106.6122990221421</v>
      </c>
      <c r="K708" s="75">
        <f>'THAM_SO_MOI'!$C$31*J708/E708</f>
        <v>427.9321521686938</v>
      </c>
      <c r="L708" s="75">
        <f>K708*'THAM_SO_MOI'!$C$49*'THAM_SO_MOI'!$C$17/'THAM_SO_MOI'!$C$26</f>
        <v>24394.283218529254</v>
      </c>
      <c r="M708" s="75">
        <f>'THAM_SO_MOI'!$C$15*'THAM_SO_MOI'!$C$16*F708^2</f>
        <v>40.37997897721167</v>
      </c>
      <c r="N708" s="75">
        <f>'THAM_SO_MOI'!$C$12*I708</f>
        <v>1130.112</v>
      </c>
      <c r="O708" s="75">
        <f>M708+N708</f>
        <v>1170.4919789772118</v>
      </c>
      <c r="P708" s="75">
        <f>(MIN(L708,'THAM_SO_MOI'!$C$41)-O708)/('THAM_SO_MOI'!$C$11*H708)</f>
        <v>0.9561837631567868</v>
      </c>
      <c r="Q708" s="75">
        <f>IF(P708&gt;0,1/P708,NA())</f>
        <v>1.0458240753833306</v>
      </c>
      <c r="R708" s="75">
        <f>F708-F707</f>
        <v>0.0035133136094671613</v>
      </c>
      <c r="S708" s="75">
        <f>0.5*(Q707+Q708)*R708</f>
        <v>0.0036740935503727155</v>
      </c>
      <c r="T708" s="75">
        <f>0.5*(F707*Q707+F708*Q708)*R708</f>
        <v>0.013644730217984168</v>
      </c>
      <c r="U708" s="76">
        <f>U707+S708</f>
        <v>2.752861957946785</v>
      </c>
      <c r="V708" s="76">
        <f>V707+T708</f>
        <v>6.697887432972646</v>
      </c>
    </row>
    <row r="709" spans="1:22" ht="19" customHeight="1">
      <c r="A709" s="68" t="s">
        <v>368</v>
      </c>
      <c r="B709" s="74">
        <v>1</v>
      </c>
      <c r="C709" s="68" t="s">
        <v>363</v>
      </c>
      <c r="D709" s="68" t="s">
        <v>364</v>
      </c>
      <c r="E709" s="75">
        <f>60*F709*'THAM_SO_MOI'!$C$49/(2*PI()*'THAM_SO_MOI'!$C$26)</f>
        <v>2381.7499999999995</v>
      </c>
      <c r="F709" s="75">
        <f>'THAM_SO_MOI'!$E$49+('THAM_SO_MOI'!$F$49-'THAM_SO_MOI'!$E$49)*703/'THAM_SO_MOI'!$C$42</f>
        <v>3.7190376397107165</v>
      </c>
      <c r="G709" s="75">
        <f>3.6*F709</f>
        <v>13.38853550295858</v>
      </c>
      <c r="H709" s="75">
        <f>'THAM_SO_MOI'!$D$49</f>
        <v>3.1625000000000005</v>
      </c>
      <c r="I709" s="75">
        <f>IF(F709&gt;'THAM_SO_MOI'!$C$14,'THAM_SO_MOI'!$C$13*(1+F709^2/1500),'THAM_SO_MOI'!$C$13)</f>
        <v>0.015</v>
      </c>
      <c r="J709" s="75">
        <f>'THAM_SO_MOI'!$C$40*('THAM_SO_MOI'!$C$23*(E709/'THAM_SO_MOI'!$C$22)+'THAM_SO_MOI'!$C$24*(E709/'THAM_SO_MOI'!$C$22)^2-'THAM_SO_MOI'!$C$25*(E709/'THAM_SO_MOI'!$C$22)^3)</f>
        <v>106.70146270051453</v>
      </c>
      <c r="K709" s="75">
        <f>'THAM_SO_MOI'!$C$31*J709/E709</f>
        <v>427.8854485773638</v>
      </c>
      <c r="L709" s="75">
        <f>K709*'THAM_SO_MOI'!$C$49*'THAM_SO_MOI'!$C$17/'THAM_SO_MOI'!$C$26</f>
        <v>24391.620879117618</v>
      </c>
      <c r="M709" s="75">
        <f>'THAM_SO_MOI'!$C$15*'THAM_SO_MOI'!$C$16*F709^2</f>
        <v>40.4563798243363</v>
      </c>
      <c r="N709" s="75">
        <f>'THAM_SO_MOI'!$C$12*I709</f>
        <v>1130.112</v>
      </c>
      <c r="O709" s="75">
        <f>M709+N709</f>
        <v>1170.5683798243365</v>
      </c>
      <c r="P709" s="75">
        <f>(MIN(L709,'THAM_SO_MOI'!$C$41)-O709)/('THAM_SO_MOI'!$C$11*H709)</f>
        <v>0.9560710021118773</v>
      </c>
      <c r="Q709" s="75">
        <f>IF(P709&gt;0,1/P709,NA())</f>
        <v>1.0459474220963583</v>
      </c>
      <c r="R709" s="75">
        <f>F709-F708</f>
        <v>0.0035133136094671613</v>
      </c>
      <c r="S709" s="75">
        <f>0.5*(Q708+Q709)*R709</f>
        <v>0.003674524634995448</v>
      </c>
      <c r="T709" s="75">
        <f>0.5*(F708*Q708+F709*Q709)*R709</f>
        <v>0.013659240927516731</v>
      </c>
      <c r="U709" s="76">
        <f>U708+S709</f>
        <v>2.7565364825817804</v>
      </c>
      <c r="V709" s="76">
        <f>V708+T709</f>
        <v>6.711546673900163</v>
      </c>
    </row>
    <row r="710" spans="1:22" ht="19" customHeight="1">
      <c r="A710" s="68" t="s">
        <v>368</v>
      </c>
      <c r="B710" s="74">
        <v>1</v>
      </c>
      <c r="C710" s="68" t="s">
        <v>363</v>
      </c>
      <c r="D710" s="68" t="s">
        <v>364</v>
      </c>
      <c r="E710" s="75">
        <f>60*F710*'THAM_SO_MOI'!$C$49/(2*PI()*'THAM_SO_MOI'!$C$26)</f>
        <v>2384.0</v>
      </c>
      <c r="F710" s="75">
        <f>'THAM_SO_MOI'!$E$49+('THAM_SO_MOI'!$F$49-'THAM_SO_MOI'!$E$49)*704/'THAM_SO_MOI'!$C$42</f>
        <v>3.7225509533201846</v>
      </c>
      <c r="G710" s="75">
        <f>3.6*F710</f>
        <v>13.401183431952665</v>
      </c>
      <c r="H710" s="75">
        <f>'THAM_SO_MOI'!$D$49</f>
        <v>3.1625000000000005</v>
      </c>
      <c r="I710" s="75">
        <f>IF(F710&gt;'THAM_SO_MOI'!$C$14,'THAM_SO_MOI'!$C$13*(1+F710^2/1500),'THAM_SO_MOI'!$C$13)</f>
        <v>0.015</v>
      </c>
      <c r="J710" s="75">
        <f>'THAM_SO_MOI'!$C$40*('THAM_SO_MOI'!$C$23*(E710/'THAM_SO_MOI'!$C$22)+'THAM_SO_MOI'!$C$24*(E710/'THAM_SO_MOI'!$C$22)^2-'THAM_SO_MOI'!$C$25*(E710/'THAM_SO_MOI'!$C$22)^3)</f>
        <v>106.79048178407302</v>
      </c>
      <c r="K710" s="75">
        <f>'THAM_SO_MOI'!$C$31*J710/E710</f>
        <v>427.838253847975</v>
      </c>
      <c r="L710" s="75">
        <f>K710*'THAM_SO_MOI'!$C$49*'THAM_SO_MOI'!$C$17/'THAM_SO_MOI'!$C$26</f>
        <v>24388.930542368445</v>
      </c>
      <c r="M710" s="75">
        <f>'THAM_SO_MOI'!$C$15*'THAM_SO_MOI'!$C$16*F710^2</f>
        <v>40.53285288019018</v>
      </c>
      <c r="N710" s="75">
        <f>'THAM_SO_MOI'!$C$12*I710</f>
        <v>1130.112</v>
      </c>
      <c r="O710" s="75">
        <f>M710+N710</f>
        <v>1170.6448528801902</v>
      </c>
      <c r="P710" s="75">
        <f>(MIN(L710,'THAM_SO_MOI'!$C$41)-O710)/('THAM_SO_MOI'!$C$11*H710)</f>
        <v>0.9559570853708931</v>
      </c>
      <c r="Q710" s="75">
        <f>IF(P710&gt;0,1/P710,NA())</f>
        <v>1.0460720625466353</v>
      </c>
      <c r="R710" s="75">
        <f>F710-F709</f>
        <v>0.0035133136094680495</v>
      </c>
      <c r="S710" s="75">
        <f>0.5*(Q709+Q710)*R710</f>
        <v>0.0036749602633342825</v>
      </c>
      <c r="T710" s="75">
        <f>0.5*(F709*Q709+F710*Q710)*R710</f>
        <v>0.013673771572355994</v>
      </c>
      <c r="U710" s="76">
        <f>U709+S710</f>
        <v>2.7602114428451148</v>
      </c>
      <c r="V710" s="76">
        <f>V709+T710</f>
        <v>6.725220445472519</v>
      </c>
    </row>
    <row r="711" spans="1:22" ht="19" customHeight="1">
      <c r="A711" s="68" t="s">
        <v>368</v>
      </c>
      <c r="B711" s="74">
        <v>1</v>
      </c>
      <c r="C711" s="68" t="s">
        <v>363</v>
      </c>
      <c r="D711" s="68" t="s">
        <v>364</v>
      </c>
      <c r="E711" s="75">
        <f>60*F711*'THAM_SO_MOI'!$C$49/(2*PI()*'THAM_SO_MOI'!$C$26)</f>
        <v>2386.2499999999995</v>
      </c>
      <c r="F711" s="75">
        <f>'THAM_SO_MOI'!$E$49+('THAM_SO_MOI'!$F$49-'THAM_SO_MOI'!$E$49)*705/'THAM_SO_MOI'!$C$42</f>
        <v>3.7260642669296518</v>
      </c>
      <c r="G711" s="75">
        <f>3.6*F711</f>
        <v>13.413831360946746</v>
      </c>
      <c r="H711" s="75">
        <f>'THAM_SO_MOI'!$D$49</f>
        <v>3.1625000000000005</v>
      </c>
      <c r="I711" s="75">
        <f>IF(F711&gt;'THAM_SO_MOI'!$C$14,'THAM_SO_MOI'!$C$13*(1+F711^2/1500),'THAM_SO_MOI'!$C$13)</f>
        <v>0.015</v>
      </c>
      <c r="J711" s="75">
        <f>'THAM_SO_MOI'!$C$40*('THAM_SO_MOI'!$C$23*(E711/'THAM_SO_MOI'!$C$22)+'THAM_SO_MOI'!$C$24*(E711/'THAM_SO_MOI'!$C$22)^2-'THAM_SO_MOI'!$C$25*(E711/'THAM_SO_MOI'!$C$22)^3)</f>
        <v>106.8793559257179</v>
      </c>
      <c r="K711" s="75">
        <f>'THAM_SO_MOI'!$C$31*J711/E711</f>
        <v>427.79056798052727</v>
      </c>
      <c r="L711" s="75">
        <f>K711*'THAM_SO_MOI'!$C$49*'THAM_SO_MOI'!$C$17/'THAM_SO_MOI'!$C$26</f>
        <v>24386.212208281733</v>
      </c>
      <c r="M711" s="75">
        <f>'THAM_SO_MOI'!$C$15*'THAM_SO_MOI'!$C$16*F711^2</f>
        <v>40.60939814477326</v>
      </c>
      <c r="N711" s="75">
        <f>'THAM_SO_MOI'!$C$12*I711</f>
        <v>1130.112</v>
      </c>
      <c r="O711" s="75">
        <f>M711+N711</f>
        <v>1170.7213981447733</v>
      </c>
      <c r="P711" s="75">
        <f>(MIN(L711,'THAM_SO_MOI'!$C$41)-O711)/('THAM_SO_MOI'!$C$11*H711)</f>
        <v>0.9558420129338338</v>
      </c>
      <c r="Q711" s="75">
        <f>IF(P711&gt;0,1/P711,NA())</f>
        <v>1.0461979976488258</v>
      </c>
      <c r="R711" s="75">
        <f>F711-F710</f>
        <v>0.0035133136094671613</v>
      </c>
      <c r="S711" s="75">
        <f>0.5*(Q710+Q711)*R711</f>
        <v>0.003675400438582695</v>
      </c>
      <c r="T711" s="75">
        <f>0.5*(F710*Q710+F711*Q711)*R711</f>
        <v>0.013688322212285964</v>
      </c>
      <c r="U711" s="76">
        <f>U710+S711</f>
        <v>2.7638868432836974</v>
      </c>
      <c r="V711" s="76">
        <f>V710+T711</f>
        <v>6.738908767684805</v>
      </c>
    </row>
    <row r="712" spans="1:22" ht="19" customHeight="1">
      <c r="A712" s="68" t="s">
        <v>368</v>
      </c>
      <c r="B712" s="74">
        <v>1</v>
      </c>
      <c r="C712" s="68" t="s">
        <v>363</v>
      </c>
      <c r="D712" s="68" t="s">
        <v>364</v>
      </c>
      <c r="E712" s="75">
        <f>60*F712*'THAM_SO_MOI'!$C$49/(2*PI()*'THAM_SO_MOI'!$C$26)</f>
        <v>2388.4999999999995</v>
      </c>
      <c r="F712" s="75">
        <f>'THAM_SO_MOI'!$E$49+('THAM_SO_MOI'!$F$49-'THAM_SO_MOI'!$E$49)*706/'THAM_SO_MOI'!$C$42</f>
        <v>3.729577580539119</v>
      </c>
      <c r="G712" s="75">
        <f>3.6*F712</f>
        <v>13.42647928994083</v>
      </c>
      <c r="H712" s="75">
        <f>'THAM_SO_MOI'!$D$49</f>
        <v>3.1625000000000005</v>
      </c>
      <c r="I712" s="75">
        <f>IF(F712&gt;'THAM_SO_MOI'!$C$14,'THAM_SO_MOI'!$C$13*(1+F712^2/1500),'THAM_SO_MOI'!$C$13)</f>
        <v>0.015</v>
      </c>
      <c r="J712" s="75">
        <f>'THAM_SO_MOI'!$C$40*('THAM_SO_MOI'!$C$23*(E712/'THAM_SO_MOI'!$C$22)+'THAM_SO_MOI'!$C$24*(E712/'THAM_SO_MOI'!$C$22)^2-'THAM_SO_MOI'!$C$25*(E712/'THAM_SO_MOI'!$C$22)^3)</f>
        <v>106.96808477834973</v>
      </c>
      <c r="K712" s="75">
        <f>'THAM_SO_MOI'!$C$31*J712/E712</f>
        <v>427.74239097502084</v>
      </c>
      <c r="L712" s="75">
        <f>K712*'THAM_SO_MOI'!$C$49*'THAM_SO_MOI'!$C$17/'THAM_SO_MOI'!$C$26</f>
        <v>24383.465876857485</v>
      </c>
      <c r="M712" s="75">
        <f>'THAM_SO_MOI'!$C$15*'THAM_SO_MOI'!$C$16*F712^2</f>
        <v>40.686015618085584</v>
      </c>
      <c r="N712" s="75">
        <f>'THAM_SO_MOI'!$C$12*I712</f>
        <v>1130.112</v>
      </c>
      <c r="O712" s="75">
        <f>M712+N712</f>
        <v>1170.7980156180856</v>
      </c>
      <c r="P712" s="75">
        <f>(MIN(L712,'THAM_SO_MOI'!$C$41)-O712)/('THAM_SO_MOI'!$C$11*H712)</f>
        <v>0.9557257848006997</v>
      </c>
      <c r="Q712" s="75">
        <f>IF(P712&gt;0,1/P712,NA())</f>
        <v>1.0463252283274254</v>
      </c>
      <c r="R712" s="75">
        <f>F712-F711</f>
        <v>0.0035133136094671613</v>
      </c>
      <c r="S712" s="75">
        <f>0.5*(Q711+Q712)*R712</f>
        <v>0.0036758451639742453</v>
      </c>
      <c r="T712" s="75">
        <f>0.5*(F711*Q711+F712*Q712)*R712</f>
        <v>0.013702892907284962</v>
      </c>
      <c r="U712" s="76">
        <f>U711+S712</f>
        <v>2.7675626884476716</v>
      </c>
      <c r="V712" s="76">
        <f>V711+T712</f>
        <v>6.75261166059209</v>
      </c>
    </row>
    <row r="713" spans="1:22" ht="19" customHeight="1">
      <c r="A713" s="68" t="s">
        <v>368</v>
      </c>
      <c r="B713" s="74">
        <v>1</v>
      </c>
      <c r="C713" s="68" t="s">
        <v>363</v>
      </c>
      <c r="D713" s="68" t="s">
        <v>364</v>
      </c>
      <c r="E713" s="75">
        <f>60*F713*'THAM_SO_MOI'!$C$49/(2*PI()*'THAM_SO_MOI'!$C$26)</f>
        <v>2390.7499999999995</v>
      </c>
      <c r="F713" s="75">
        <f>'THAM_SO_MOI'!$E$49+('THAM_SO_MOI'!$F$49-'THAM_SO_MOI'!$E$49)*707/'THAM_SO_MOI'!$C$42</f>
        <v>3.733090894148586</v>
      </c>
      <c r="G713" s="75">
        <f>3.6*F713</f>
        <v>13.43912721893491</v>
      </c>
      <c r="H713" s="75">
        <f>'THAM_SO_MOI'!$D$49</f>
        <v>3.1625000000000005</v>
      </c>
      <c r="I713" s="75">
        <f>IF(F713&gt;'THAM_SO_MOI'!$C$14,'THAM_SO_MOI'!$C$13*(1+F713^2/1500),'THAM_SO_MOI'!$C$13)</f>
        <v>0.015</v>
      </c>
      <c r="J713" s="75">
        <f>'THAM_SO_MOI'!$C$40*('THAM_SO_MOI'!$C$23*(E713/'THAM_SO_MOI'!$C$22)+'THAM_SO_MOI'!$C$24*(E713/'THAM_SO_MOI'!$C$22)^2-'THAM_SO_MOI'!$C$25*(E713/'THAM_SO_MOI'!$C$22)^3)</f>
        <v>107.05666799486897</v>
      </c>
      <c r="K713" s="75">
        <f>'THAM_SO_MOI'!$C$31*J713/E713</f>
        <v>427.6937228314558</v>
      </c>
      <c r="L713" s="75">
        <f>K713*'THAM_SO_MOI'!$C$49*'THAM_SO_MOI'!$C$17/'THAM_SO_MOI'!$C$26</f>
        <v>24380.69154809572</v>
      </c>
      <c r="M713" s="75">
        <f>'THAM_SO_MOI'!$C$15*'THAM_SO_MOI'!$C$16*F713^2</f>
        <v>40.762705300127145</v>
      </c>
      <c r="N713" s="75">
        <f>'THAM_SO_MOI'!$C$12*I713</f>
        <v>1130.112</v>
      </c>
      <c r="O713" s="75">
        <f>M713+N713</f>
        <v>1170.8747053001273</v>
      </c>
      <c r="P713" s="75">
        <f>(MIN(L713,'THAM_SO_MOI'!$C$41)-O713)/('THAM_SO_MOI'!$C$11*H713)</f>
        <v>0.9556084009714917</v>
      </c>
      <c r="Q713" s="75">
        <f>IF(P713&gt;0,1/P713,NA())</f>
        <v>1.0464537555167774</v>
      </c>
      <c r="R713" s="75">
        <f>F713-F712</f>
        <v>0.0035133136094671613</v>
      </c>
      <c r="S713" s="75">
        <f>0.5*(Q712+Q713)*R713</f>
        <v>0.0036762944427733467</v>
      </c>
      <c r="T713" s="75">
        <f>0.5*(F712*Q712+F713*Q713)*R713</f>
        <v>0.013717483717491876</v>
      </c>
      <c r="U713" s="76">
        <f>U712+S713</f>
        <v>2.771238982890445</v>
      </c>
      <c r="V713" s="76">
        <f>V712+T713</f>
        <v>6.766329144309582</v>
      </c>
    </row>
    <row r="714" spans="1:22" ht="19" customHeight="1">
      <c r="A714" s="68" t="s">
        <v>368</v>
      </c>
      <c r="B714" s="74">
        <v>1</v>
      </c>
      <c r="C714" s="68" t="s">
        <v>363</v>
      </c>
      <c r="D714" s="68" t="s">
        <v>364</v>
      </c>
      <c r="E714" s="75">
        <f>60*F714*'THAM_SO_MOI'!$C$49/(2*PI()*'THAM_SO_MOI'!$C$26)</f>
        <v>2392.9999999999995</v>
      </c>
      <c r="F714" s="75">
        <f>'THAM_SO_MOI'!$E$49+('THAM_SO_MOI'!$F$49-'THAM_SO_MOI'!$E$49)*708/'THAM_SO_MOI'!$C$42</f>
        <v>3.736604207758054</v>
      </c>
      <c r="G714" s="75">
        <f>3.6*F714</f>
        <v>13.451775147928995</v>
      </c>
      <c r="H714" s="75">
        <f>'THAM_SO_MOI'!$D$49</f>
        <v>3.1625000000000005</v>
      </c>
      <c r="I714" s="75">
        <f>IF(F714&gt;'THAM_SO_MOI'!$C$14,'THAM_SO_MOI'!$C$13*(1+F714^2/1500),'THAM_SO_MOI'!$C$13)</f>
        <v>0.015</v>
      </c>
      <c r="J714" s="75">
        <f>'THAM_SO_MOI'!$C$40*('THAM_SO_MOI'!$C$23*(E714/'THAM_SO_MOI'!$C$22)+'THAM_SO_MOI'!$C$24*(E714/'THAM_SO_MOI'!$C$22)^2-'THAM_SO_MOI'!$C$25*(E714/'THAM_SO_MOI'!$C$22)^3)</f>
        <v>107.14510522817602</v>
      </c>
      <c r="K714" s="75">
        <f>'THAM_SO_MOI'!$C$31*J714/E714</f>
        <v>427.6445635498318</v>
      </c>
      <c r="L714" s="75">
        <f>K714*'THAM_SO_MOI'!$C$49*'THAM_SO_MOI'!$C$17/'THAM_SO_MOI'!$C$26</f>
        <v>24377.889221996415</v>
      </c>
      <c r="M714" s="75">
        <f>'THAM_SO_MOI'!$C$15*'THAM_SO_MOI'!$C$16*F714^2</f>
        <v>40.83946719089795</v>
      </c>
      <c r="N714" s="75">
        <f>'THAM_SO_MOI'!$C$12*I714</f>
        <v>1130.112</v>
      </c>
      <c r="O714" s="75">
        <f>M714+N714</f>
        <v>1170.951467190898</v>
      </c>
      <c r="P714" s="75">
        <f>(MIN(L714,'THAM_SO_MOI'!$C$41)-O714)/('THAM_SO_MOI'!$C$11*H714)</f>
        <v>0.9554898614462085</v>
      </c>
      <c r="Q714" s="75">
        <f>IF(P714&gt;0,1/P714,NA())</f>
        <v>1.0465835801610934</v>
      </c>
      <c r="R714" s="75">
        <f>F714-F713</f>
        <v>0.0035133136094680495</v>
      </c>
      <c r="S714" s="75">
        <f>0.5*(Q713+Q714)*R714</f>
        <v>0.0036767482782809053</v>
      </c>
      <c r="T714" s="75">
        <f>0.5*(F713*Q713+F714*Q714)*R714</f>
        <v>0.01373209470322776</v>
      </c>
      <c r="U714" s="76">
        <f>U713+S714</f>
        <v>2.7749157311687256</v>
      </c>
      <c r="V714" s="76">
        <f>V713+T714</f>
        <v>6.780061239012809</v>
      </c>
    </row>
    <row r="715" spans="1:22" ht="19" customHeight="1">
      <c r="A715" s="68" t="s">
        <v>368</v>
      </c>
      <c r="B715" s="74">
        <v>1</v>
      </c>
      <c r="C715" s="68" t="s">
        <v>363</v>
      </c>
      <c r="D715" s="68" t="s">
        <v>364</v>
      </c>
      <c r="E715" s="75">
        <f>60*F715*'THAM_SO_MOI'!$C$49/(2*PI()*'THAM_SO_MOI'!$C$26)</f>
        <v>2395.2499999999995</v>
      </c>
      <c r="F715" s="75">
        <f>'THAM_SO_MOI'!$E$49+('THAM_SO_MOI'!$F$49-'THAM_SO_MOI'!$E$49)*709/'THAM_SO_MOI'!$C$42</f>
        <v>3.7401175213675213</v>
      </c>
      <c r="G715" s="75">
        <f>3.6*F715</f>
        <v>13.464423076923078</v>
      </c>
      <c r="H715" s="75">
        <f>'THAM_SO_MOI'!$D$49</f>
        <v>3.1625000000000005</v>
      </c>
      <c r="I715" s="75">
        <f>IF(F715&gt;'THAM_SO_MOI'!$C$14,'THAM_SO_MOI'!$C$13*(1+F715^2/1500),'THAM_SO_MOI'!$C$13)</f>
        <v>0.015</v>
      </c>
      <c r="J715" s="75">
        <f>'THAM_SO_MOI'!$C$40*('THAM_SO_MOI'!$C$23*(E715/'THAM_SO_MOI'!$C$22)+'THAM_SO_MOI'!$C$24*(E715/'THAM_SO_MOI'!$C$22)^2-'THAM_SO_MOI'!$C$25*(E715/'THAM_SO_MOI'!$C$22)^3)</f>
        <v>107.23339613117135</v>
      </c>
      <c r="K715" s="75">
        <f>'THAM_SO_MOI'!$C$31*J715/E715</f>
        <v>427.594913130149</v>
      </c>
      <c r="L715" s="75">
        <f>K715*'THAM_SO_MOI'!$C$49*'THAM_SO_MOI'!$C$17/'THAM_SO_MOI'!$C$26</f>
        <v>24375.05889855957</v>
      </c>
      <c r="M715" s="75">
        <f>'THAM_SO_MOI'!$C$15*'THAM_SO_MOI'!$C$16*F715^2</f>
        <v>40.916301290397975</v>
      </c>
      <c r="N715" s="75">
        <f>'THAM_SO_MOI'!$C$12*I715</f>
        <v>1130.112</v>
      </c>
      <c r="O715" s="75">
        <f>M715+N715</f>
        <v>1171.028301290398</v>
      </c>
      <c r="P715" s="75">
        <f>(MIN(L715,'THAM_SO_MOI'!$C$41)-O715)/('THAM_SO_MOI'!$C$11*H715)</f>
        <v>0.9553701662248505</v>
      </c>
      <c r="Q715" s="75">
        <f>IF(P715&gt;0,1/P715,NA())</f>
        <v>1.0467147032144666</v>
      </c>
      <c r="R715" s="75">
        <f>F715-F714</f>
        <v>0.0035133136094671613</v>
      </c>
      <c r="S715" s="75">
        <f>0.5*(Q714+Q715)*R715</f>
        <v>0.003677206673828801</v>
      </c>
      <c r="T715" s="75">
        <f>0.5*(F714*Q714+F715*Q715)*R715</f>
        <v>0.013746725924975861</v>
      </c>
      <c r="U715" s="76">
        <f>U714+S715</f>
        <v>2.7785929378425545</v>
      </c>
      <c r="V715" s="76">
        <f>V714+T715</f>
        <v>6.793807964937785</v>
      </c>
    </row>
    <row r="716" spans="1:22" ht="19" customHeight="1">
      <c r="A716" s="68" t="s">
        <v>368</v>
      </c>
      <c r="B716" s="74">
        <v>1</v>
      </c>
      <c r="C716" s="68" t="s">
        <v>363</v>
      </c>
      <c r="D716" s="68" t="s">
        <v>364</v>
      </c>
      <c r="E716" s="75">
        <f>60*F716*'THAM_SO_MOI'!$C$49/(2*PI()*'THAM_SO_MOI'!$C$26)</f>
        <v>2397.4999999999995</v>
      </c>
      <c r="F716" s="75">
        <f>'THAM_SO_MOI'!$E$49+('THAM_SO_MOI'!$F$49-'THAM_SO_MOI'!$E$49)*710/'THAM_SO_MOI'!$C$42</f>
        <v>3.7436308349769885</v>
      </c>
      <c r="G716" s="75">
        <f>3.6*F716</f>
        <v>13.477071005917159</v>
      </c>
      <c r="H716" s="75">
        <f>'THAM_SO_MOI'!$D$49</f>
        <v>3.1625000000000005</v>
      </c>
      <c r="I716" s="75">
        <f>IF(F716&gt;'THAM_SO_MOI'!$C$14,'THAM_SO_MOI'!$C$13*(1+F716^2/1500),'THAM_SO_MOI'!$C$13)</f>
        <v>0.015</v>
      </c>
      <c r="J716" s="75">
        <f>'THAM_SO_MOI'!$C$40*('THAM_SO_MOI'!$C$23*(E716/'THAM_SO_MOI'!$C$22)+'THAM_SO_MOI'!$C$24*(E716/'THAM_SO_MOI'!$C$22)^2-'THAM_SO_MOI'!$C$25*(E716/'THAM_SO_MOI'!$C$22)^3)</f>
        <v>107.32154035675546</v>
      </c>
      <c r="K716" s="75">
        <f>'THAM_SO_MOI'!$C$31*J716/E716</f>
        <v>427.54477157240757</v>
      </c>
      <c r="L716" s="75">
        <f>K716*'THAM_SO_MOI'!$C$49*'THAM_SO_MOI'!$C$17/'THAM_SO_MOI'!$C$26</f>
        <v>24372.200577785206</v>
      </c>
      <c r="M716" s="75">
        <f>'THAM_SO_MOI'!$C$15*'THAM_SO_MOI'!$C$16*F716^2</f>
        <v>40.99320759862722</v>
      </c>
      <c r="N716" s="75">
        <f>'THAM_SO_MOI'!$C$12*I716</f>
        <v>1130.112</v>
      </c>
      <c r="O716" s="75">
        <f>M716+N716</f>
        <v>1171.1052075986272</v>
      </c>
      <c r="P716" s="75">
        <f>(MIN(L716,'THAM_SO_MOI'!$C$41)-O716)/('THAM_SO_MOI'!$C$11*H716)</f>
        <v>0.9552493153074182</v>
      </c>
      <c r="Q716" s="75">
        <f>IF(P716&gt;0,1/P716,NA())</f>
        <v>1.046847125640891</v>
      </c>
      <c r="R716" s="75">
        <f>F716-F715</f>
        <v>0.0035133136094671613</v>
      </c>
      <c r="S716" s="75">
        <f>0.5*(Q715+Q716)*R716</f>
        <v>0.0036776696327892443</v>
      </c>
      <c r="T716" s="75">
        <f>0.5*(F715*Q715+F716*Q716)*R716</f>
        <v>0.013761377443417145</v>
      </c>
      <c r="U716" s="76">
        <f>U715+S716</f>
        <v>2.782270607475344</v>
      </c>
      <c r="V716" s="76">
        <f>V715+T716</f>
        <v>6.8075693423812025</v>
      </c>
    </row>
    <row r="717" spans="1:22" ht="19" customHeight="1">
      <c r="A717" s="68" t="s">
        <v>368</v>
      </c>
      <c r="B717" s="74">
        <v>1</v>
      </c>
      <c r="C717" s="68" t="s">
        <v>363</v>
      </c>
      <c r="D717" s="68" t="s">
        <v>364</v>
      </c>
      <c r="E717" s="75">
        <f>60*F717*'THAM_SO_MOI'!$C$49/(2*PI()*'THAM_SO_MOI'!$C$26)</f>
        <v>2399.7499999999995</v>
      </c>
      <c r="F717" s="75">
        <f>'THAM_SO_MOI'!$E$49+('THAM_SO_MOI'!$F$49-'THAM_SO_MOI'!$E$49)*711/'THAM_SO_MOI'!$C$42</f>
        <v>3.7471441485864565</v>
      </c>
      <c r="G717" s="75">
        <f>3.6*F717</f>
        <v>13.489718934911243</v>
      </c>
      <c r="H717" s="75">
        <f>'THAM_SO_MOI'!$D$49</f>
        <v>3.1625000000000005</v>
      </c>
      <c r="I717" s="75">
        <f>IF(F717&gt;'THAM_SO_MOI'!$C$14,'THAM_SO_MOI'!$C$13*(1+F717^2/1500),'THAM_SO_MOI'!$C$13)</f>
        <v>0.015</v>
      </c>
      <c r="J717" s="75">
        <f>'THAM_SO_MOI'!$C$40*('THAM_SO_MOI'!$C$23*(E717/'THAM_SO_MOI'!$C$22)+'THAM_SO_MOI'!$C$24*(E717/'THAM_SO_MOI'!$C$22)^2-'THAM_SO_MOI'!$C$25*(E717/'THAM_SO_MOI'!$C$22)^3)</f>
        <v>107.40953755782874</v>
      </c>
      <c r="K717" s="75">
        <f>'THAM_SO_MOI'!$C$31*J717/E717</f>
        <v>427.4941388766073</v>
      </c>
      <c r="L717" s="75">
        <f>K717*'THAM_SO_MOI'!$C$49*'THAM_SO_MOI'!$C$17/'THAM_SO_MOI'!$C$26</f>
        <v>24369.31425967331</v>
      </c>
      <c r="M717" s="75">
        <f>'THAM_SO_MOI'!$C$15*'THAM_SO_MOI'!$C$16*F717^2</f>
        <v>41.070186115585734</v>
      </c>
      <c r="N717" s="75">
        <f>'THAM_SO_MOI'!$C$12*I717</f>
        <v>1130.112</v>
      </c>
      <c r="O717" s="75">
        <f>M717+N717</f>
        <v>1171.1821861155859</v>
      </c>
      <c r="P717" s="75">
        <f>(MIN(L717,'THAM_SO_MOI'!$C$41)-O717)/('THAM_SO_MOI'!$C$11*H717)</f>
        <v>0.9551273086939113</v>
      </c>
      <c r="Q717" s="75">
        <f>IF(P717&gt;0,1/P717,NA())</f>
        <v>1.0469808484142809</v>
      </c>
      <c r="R717" s="75">
        <f>F717-F716</f>
        <v>0.0035133136094680495</v>
      </c>
      <c r="S717" s="75">
        <f>0.5*(Q716+Q717)*R717</f>
        <v>0.0036781371585664743</v>
      </c>
      <c r="T717" s="75">
        <f>0.5*(F716*Q716+F717*Q717)*R717</f>
        <v>0.01377604931939994</v>
      </c>
      <c r="U717" s="76">
        <f>U716+S717</f>
        <v>2.7859487446339104</v>
      </c>
      <c r="V717" s="76">
        <f>V716+T717</f>
        <v>6.821345391700603</v>
      </c>
    </row>
    <row r="718" spans="1:22" ht="19" customHeight="1">
      <c r="A718" s="68" t="s">
        <v>368</v>
      </c>
      <c r="B718" s="74">
        <v>1</v>
      </c>
      <c r="C718" s="68" t="s">
        <v>363</v>
      </c>
      <c r="D718" s="68" t="s">
        <v>364</v>
      </c>
      <c r="E718" s="75">
        <f>60*F718*'THAM_SO_MOI'!$C$49/(2*PI()*'THAM_SO_MOI'!$C$26)</f>
        <v>2401.9999999999995</v>
      </c>
      <c r="F718" s="75">
        <f>'THAM_SO_MOI'!$E$49+('THAM_SO_MOI'!$F$49-'THAM_SO_MOI'!$E$49)*712/'THAM_SO_MOI'!$C$42</f>
        <v>3.7506574621959237</v>
      </c>
      <c r="G718" s="75">
        <f>3.6*F718</f>
        <v>13.502366863905326</v>
      </c>
      <c r="H718" s="75">
        <f>'THAM_SO_MOI'!$D$49</f>
        <v>3.1625000000000005</v>
      </c>
      <c r="I718" s="75">
        <f>IF(F718&gt;'THAM_SO_MOI'!$C$14,'THAM_SO_MOI'!$C$13*(1+F718^2/1500),'THAM_SO_MOI'!$C$13)</f>
        <v>0.015</v>
      </c>
      <c r="J718" s="75">
        <f>'THAM_SO_MOI'!$C$40*('THAM_SO_MOI'!$C$23*(E718/'THAM_SO_MOI'!$C$22)+'THAM_SO_MOI'!$C$24*(E718/'THAM_SO_MOI'!$C$22)^2-'THAM_SO_MOI'!$C$25*(E718/'THAM_SO_MOI'!$C$22)^3)</f>
        <v>107.49738738729167</v>
      </c>
      <c r="K718" s="75">
        <f>'THAM_SO_MOI'!$C$31*J718/E718</f>
        <v>427.44301504274813</v>
      </c>
      <c r="L718" s="75">
        <f>K718*'THAM_SO_MOI'!$C$49*'THAM_SO_MOI'!$C$17/'THAM_SO_MOI'!$C$26</f>
        <v>24366.399944223867</v>
      </c>
      <c r="M718" s="75">
        <f>'THAM_SO_MOI'!$C$15*'THAM_SO_MOI'!$C$16*F718^2</f>
        <v>41.147236841273454</v>
      </c>
      <c r="N718" s="75">
        <f>'THAM_SO_MOI'!$C$12*I718</f>
        <v>1130.112</v>
      </c>
      <c r="O718" s="75">
        <f>M718+N718</f>
        <v>1171.2592368412736</v>
      </c>
      <c r="P718" s="75">
        <f>(MIN(L718,'THAM_SO_MOI'!$C$41)-O718)/('THAM_SO_MOI'!$C$11*H718)</f>
        <v>0.9550041463843293</v>
      </c>
      <c r="Q718" s="75">
        <f>IF(P718&gt;0,1/P718,NA())</f>
        <v>1.0471158725184873</v>
      </c>
      <c r="R718" s="75">
        <f>F718-F717</f>
        <v>0.0035133136094671613</v>
      </c>
      <c r="S718" s="75">
        <f>0.5*(Q717+Q718)*R718</f>
        <v>0.003678609254596825</v>
      </c>
      <c r="T718" s="75">
        <f>0.5*(F717*Q717+F718*Q718)*R718</f>
        <v>0.013790741613940727</v>
      </c>
      <c r="U718" s="76">
        <f>U717+S718</f>
        <v>2.7896273538885072</v>
      </c>
      <c r="V718" s="76">
        <f>V717+T718</f>
        <v>6.835136133314544</v>
      </c>
    </row>
    <row r="719" spans="1:22" ht="19" customHeight="1">
      <c r="A719" s="68" t="s">
        <v>368</v>
      </c>
      <c r="B719" s="74">
        <v>1</v>
      </c>
      <c r="C719" s="68" t="s">
        <v>363</v>
      </c>
      <c r="D719" s="68" t="s">
        <v>364</v>
      </c>
      <c r="E719" s="75">
        <f>60*F719*'THAM_SO_MOI'!$C$49/(2*PI()*'THAM_SO_MOI'!$C$26)</f>
        <v>2404.2499999999995</v>
      </c>
      <c r="F719" s="75">
        <f>'THAM_SO_MOI'!$E$49+('THAM_SO_MOI'!$F$49-'THAM_SO_MOI'!$E$49)*713/'THAM_SO_MOI'!$C$42</f>
        <v>3.754170775805391</v>
      </c>
      <c r="G719" s="75">
        <f>3.6*F719</f>
        <v>13.515014792899407</v>
      </c>
      <c r="H719" s="75">
        <f>'THAM_SO_MOI'!$D$49</f>
        <v>3.1625000000000005</v>
      </c>
      <c r="I719" s="75">
        <f>IF(F719&gt;'THAM_SO_MOI'!$C$14,'THAM_SO_MOI'!$C$13*(1+F719^2/1500),'THAM_SO_MOI'!$C$13)</f>
        <v>0.015</v>
      </c>
      <c r="J719" s="75">
        <f>'THAM_SO_MOI'!$C$40*('THAM_SO_MOI'!$C$23*(E719/'THAM_SO_MOI'!$C$22)+'THAM_SO_MOI'!$C$24*(E719/'THAM_SO_MOI'!$C$22)^2-'THAM_SO_MOI'!$C$25*(E719/'THAM_SO_MOI'!$C$22)^3)</f>
        <v>107.58508949804472</v>
      </c>
      <c r="K719" s="75">
        <f>'THAM_SO_MOI'!$C$31*J719/E719</f>
        <v>427.39140007083034</v>
      </c>
      <c r="L719" s="75">
        <f>K719*'THAM_SO_MOI'!$C$49*'THAM_SO_MOI'!$C$17/'THAM_SO_MOI'!$C$26</f>
        <v>24363.457631436904</v>
      </c>
      <c r="M719" s="75">
        <f>'THAM_SO_MOI'!$C$15*'THAM_SO_MOI'!$C$16*F719^2</f>
        <v>41.22435977569041</v>
      </c>
      <c r="N719" s="75">
        <f>'THAM_SO_MOI'!$C$12*I719</f>
        <v>1130.112</v>
      </c>
      <c r="O719" s="75">
        <f>M719+N719</f>
        <v>1171.3363597756904</v>
      </c>
      <c r="P719" s="75">
        <f>(MIN(L719,'THAM_SO_MOI'!$C$41)-O719)/('THAM_SO_MOI'!$C$11*H719)</f>
        <v>0.954879828378673</v>
      </c>
      <c r="Q719" s="75">
        <f>IF(P719&gt;0,1/P719,NA())</f>
        <v>1.047252198947315</v>
      </c>
      <c r="R719" s="75">
        <f>F719-F718</f>
        <v>0.0035133136094671613</v>
      </c>
      <c r="S719" s="75">
        <f>0.5*(Q718+Q719)*R719</f>
        <v>0.003679085924357148</v>
      </c>
      <c r="T719" s="75">
        <f>0.5*(F718*Q718+F719*Q719)*R719</f>
        <v>0.01380545438825632</v>
      </c>
      <c r="U719" s="76">
        <f>U718+S719</f>
        <v>2.793306439812864</v>
      </c>
      <c r="V719" s="76">
        <f>V718+T719</f>
        <v>6.8489415877028</v>
      </c>
    </row>
    <row r="720" spans="1:22" ht="19" customHeight="1">
      <c r="A720" s="68" t="s">
        <v>368</v>
      </c>
      <c r="B720" s="74">
        <v>1</v>
      </c>
      <c r="C720" s="68" t="s">
        <v>363</v>
      </c>
      <c r="D720" s="68" t="s">
        <v>364</v>
      </c>
      <c r="E720" s="75">
        <f>60*F720*'THAM_SO_MOI'!$C$49/(2*PI()*'THAM_SO_MOI'!$C$26)</f>
        <v>2406.5</v>
      </c>
      <c r="F720" s="75">
        <f>'THAM_SO_MOI'!$E$49+('THAM_SO_MOI'!$F$49-'THAM_SO_MOI'!$E$49)*714/'THAM_SO_MOI'!$C$42</f>
        <v>3.757684089414859</v>
      </c>
      <c r="G720" s="75">
        <f>3.6*F720</f>
        <v>13.527662721893492</v>
      </c>
      <c r="H720" s="75">
        <f>'THAM_SO_MOI'!$D$49</f>
        <v>3.1625000000000005</v>
      </c>
      <c r="I720" s="75">
        <f>IF(F720&gt;'THAM_SO_MOI'!$C$14,'THAM_SO_MOI'!$C$13*(1+F720^2/1500),'THAM_SO_MOI'!$C$13)</f>
        <v>0.015</v>
      </c>
      <c r="J720" s="75">
        <f>'THAM_SO_MOI'!$C$40*('THAM_SO_MOI'!$C$23*(E720/'THAM_SO_MOI'!$C$22)+'THAM_SO_MOI'!$C$24*(E720/'THAM_SO_MOI'!$C$22)^2-'THAM_SO_MOI'!$C$25*(E720/'THAM_SO_MOI'!$C$22)^3)</f>
        <v>107.67264354298837</v>
      </c>
      <c r="K720" s="75">
        <f>'THAM_SO_MOI'!$C$31*J720/E720</f>
        <v>427.3392939608537</v>
      </c>
      <c r="L720" s="75">
        <f>K720*'THAM_SO_MOI'!$C$49*'THAM_SO_MOI'!$C$17/'THAM_SO_MOI'!$C$26</f>
        <v>24360.4873213124</v>
      </c>
      <c r="M720" s="75">
        <f>'THAM_SO_MOI'!$C$15*'THAM_SO_MOI'!$C$16*F720^2</f>
        <v>41.301554918836615</v>
      </c>
      <c r="N720" s="75">
        <f>'THAM_SO_MOI'!$C$12*I720</f>
        <v>1130.112</v>
      </c>
      <c r="O720" s="75">
        <f>M720+N720</f>
        <v>1171.4135549188368</v>
      </c>
      <c r="P720" s="75">
        <f>(MIN(L720,'THAM_SO_MOI'!$C$41)-O720)/('THAM_SO_MOI'!$C$11*H720)</f>
        <v>0.9547543546769418</v>
      </c>
      <c r="Q720" s="75">
        <f>IF(P720&gt;0,1/P720,NA())</f>
        <v>1.0473898287045444</v>
      </c>
      <c r="R720" s="75">
        <f>F720-F719</f>
        <v>0.0035133136094680495</v>
      </c>
      <c r="S720" s="75">
        <f>0.5*(Q719+Q720)*R720</f>
        <v>0.003679567171356514</v>
      </c>
      <c r="T720" s="75">
        <f>0.5*(F719*Q719+F720*Q720)*R720</f>
        <v>0.013820187703733413</v>
      </c>
      <c r="U720" s="76">
        <f>U719+S720</f>
        <v>2.7969860069842207</v>
      </c>
      <c r="V720" s="76">
        <f>V719+T720</f>
        <v>6.8627617754065335</v>
      </c>
    </row>
    <row r="721" spans="1:22" ht="19" customHeight="1">
      <c r="A721" s="68" t="s">
        <v>368</v>
      </c>
      <c r="B721" s="74">
        <v>1</v>
      </c>
      <c r="C721" s="68" t="s">
        <v>363</v>
      </c>
      <c r="D721" s="68" t="s">
        <v>364</v>
      </c>
      <c r="E721" s="75">
        <f>60*F721*'THAM_SO_MOI'!$C$49/(2*PI()*'THAM_SO_MOI'!$C$26)</f>
        <v>2408.75</v>
      </c>
      <c r="F721" s="75">
        <f>'THAM_SO_MOI'!$E$49+('THAM_SO_MOI'!$F$49-'THAM_SO_MOI'!$E$49)*715/'THAM_SO_MOI'!$C$42</f>
        <v>3.761197403024326</v>
      </c>
      <c r="G721" s="75">
        <f>3.6*F721</f>
        <v>13.540310650887575</v>
      </c>
      <c r="H721" s="75">
        <f>'THAM_SO_MOI'!$D$49</f>
        <v>3.1625000000000005</v>
      </c>
      <c r="I721" s="75">
        <f>IF(F721&gt;'THAM_SO_MOI'!$C$14,'THAM_SO_MOI'!$C$13*(1+F721^2/1500),'THAM_SO_MOI'!$C$13)</f>
        <v>0.015</v>
      </c>
      <c r="J721" s="75">
        <f>'THAM_SO_MOI'!$C$40*('THAM_SO_MOI'!$C$23*(E721/'THAM_SO_MOI'!$C$22)+'THAM_SO_MOI'!$C$24*(E721/'THAM_SO_MOI'!$C$22)^2-'THAM_SO_MOI'!$C$25*(E721/'THAM_SO_MOI'!$C$22)^3)</f>
        <v>107.76004917502298</v>
      </c>
      <c r="K721" s="75">
        <f>'THAM_SO_MOI'!$C$31*J721/E721</f>
        <v>427.28669671281824</v>
      </c>
      <c r="L721" s="75">
        <f>K721*'THAM_SO_MOI'!$C$49*'THAM_SO_MOI'!$C$17/'THAM_SO_MOI'!$C$26</f>
        <v>24357.489013850365</v>
      </c>
      <c r="M721" s="75">
        <f>'THAM_SO_MOI'!$C$15*'THAM_SO_MOI'!$C$16*F721^2</f>
        <v>41.378822270712035</v>
      </c>
      <c r="N721" s="75">
        <f>'THAM_SO_MOI'!$C$12*I721</f>
        <v>1130.112</v>
      </c>
      <c r="O721" s="75">
        <f>M721+N721</f>
        <v>1171.4908222707122</v>
      </c>
      <c r="P721" s="75">
        <f>(MIN(L721,'THAM_SO_MOI'!$C$41)-O721)/('THAM_SO_MOI'!$C$11*H721)</f>
        <v>0.9546277252791358</v>
      </c>
      <c r="Q721" s="75">
        <f>IF(P721&gt;0,1/P721,NA())</f>
        <v>1.0475287628039478</v>
      </c>
      <c r="R721" s="75">
        <f>F721-F720</f>
        <v>0.0035133136094671613</v>
      </c>
      <c r="S721" s="75">
        <f>0.5*(Q720+Q721)*R721</f>
        <v>0.003680052999136281</v>
      </c>
      <c r="T721" s="75">
        <f>0.5*(F720*Q720+F721*Q721)*R721</f>
        <v>0.013834941621929386</v>
      </c>
      <c r="U721" s="76">
        <f>U720+S721</f>
        <v>2.800666059983357</v>
      </c>
      <c r="V721" s="76">
        <f>V720+T721</f>
        <v>6.8765967170284625</v>
      </c>
    </row>
    <row r="722" spans="1:22" ht="19" customHeight="1">
      <c r="A722" s="68" t="s">
        <v>368</v>
      </c>
      <c r="B722" s="74">
        <v>1</v>
      </c>
      <c r="C722" s="68" t="s">
        <v>363</v>
      </c>
      <c r="D722" s="68" t="s">
        <v>364</v>
      </c>
      <c r="E722" s="75">
        <f>60*F722*'THAM_SO_MOI'!$C$49/(2*PI()*'THAM_SO_MOI'!$C$26)</f>
        <v>2410.9999999999995</v>
      </c>
      <c r="F722" s="75">
        <f>'THAM_SO_MOI'!$E$49+('THAM_SO_MOI'!$F$49-'THAM_SO_MOI'!$E$49)*716/'THAM_SO_MOI'!$C$42</f>
        <v>3.764710716633793</v>
      </c>
      <c r="G722" s="75">
        <f>3.6*F722</f>
        <v>13.552958579881656</v>
      </c>
      <c r="H722" s="75">
        <f>'THAM_SO_MOI'!$D$49</f>
        <v>3.1625000000000005</v>
      </c>
      <c r="I722" s="75">
        <f>IF(F722&gt;'THAM_SO_MOI'!$C$14,'THAM_SO_MOI'!$C$13*(1+F722^2/1500),'THAM_SO_MOI'!$C$13)</f>
        <v>0.015</v>
      </c>
      <c r="J722" s="75">
        <f>'THAM_SO_MOI'!$C$40*('THAM_SO_MOI'!$C$23*(E722/'THAM_SO_MOI'!$C$22)+'THAM_SO_MOI'!$C$24*(E722/'THAM_SO_MOI'!$C$22)^2-'THAM_SO_MOI'!$C$25*(E722/'THAM_SO_MOI'!$C$22)^3)</f>
        <v>107.8473060470491</v>
      </c>
      <c r="K722" s="75">
        <f>'THAM_SO_MOI'!$C$31*J722/E722</f>
        <v>427.23360832672415</v>
      </c>
      <c r="L722" s="75">
        <f>K722*'THAM_SO_MOI'!$C$49*'THAM_SO_MOI'!$C$17/'THAM_SO_MOI'!$C$26</f>
        <v>24354.462709050807</v>
      </c>
      <c r="M722" s="75">
        <f>'THAM_SO_MOI'!$C$15*'THAM_SO_MOI'!$C$16*F722^2</f>
        <v>41.456161831316685</v>
      </c>
      <c r="N722" s="75">
        <f>'THAM_SO_MOI'!$C$12*I722</f>
        <v>1130.112</v>
      </c>
      <c r="O722" s="75">
        <f>M722+N722</f>
        <v>1171.5681618313167</v>
      </c>
      <c r="P722" s="75">
        <f>(MIN(L722,'THAM_SO_MOI'!$C$41)-O722)/('THAM_SO_MOI'!$C$11*H722)</f>
        <v>0.9544999401852555</v>
      </c>
      <c r="Q722" s="75">
        <f>IF(P722&gt;0,1/P722,NA())</f>
        <v>1.0476690022693071</v>
      </c>
      <c r="R722" s="75">
        <f>F722-F721</f>
        <v>0.0035133136094671613</v>
      </c>
      <c r="S722" s="75">
        <f>0.5*(Q721+Q722)*R722</f>
        <v>0.003680543411278524</v>
      </c>
      <c r="T722" s="75">
        <f>0.5*(F721*Q721+F722*Q722)*R722</f>
        <v>0.013849716204604607</v>
      </c>
      <c r="U722" s="76">
        <f>U721+S722</f>
        <v>2.8043466033946354</v>
      </c>
      <c r="V722" s="76">
        <f>V721+T722</f>
        <v>6.890446433233067</v>
      </c>
    </row>
    <row r="723" spans="1:22" ht="19" customHeight="1">
      <c r="A723" s="68" t="s">
        <v>368</v>
      </c>
      <c r="B723" s="74">
        <v>1</v>
      </c>
      <c r="C723" s="68" t="s">
        <v>363</v>
      </c>
      <c r="D723" s="68" t="s">
        <v>364</v>
      </c>
      <c r="E723" s="75">
        <f>60*F723*'THAM_SO_MOI'!$C$49/(2*PI()*'THAM_SO_MOI'!$C$26)</f>
        <v>2413.25</v>
      </c>
      <c r="F723" s="75">
        <f>'THAM_SO_MOI'!$E$49+('THAM_SO_MOI'!$F$49-'THAM_SO_MOI'!$E$49)*717/'THAM_SO_MOI'!$C$42</f>
        <v>3.7682240302432612</v>
      </c>
      <c r="G723" s="75">
        <f>3.6*F723</f>
        <v>13.56560650887574</v>
      </c>
      <c r="H723" s="75">
        <f>'THAM_SO_MOI'!$D$49</f>
        <v>3.1625000000000005</v>
      </c>
      <c r="I723" s="75">
        <f>IF(F723&gt;'THAM_SO_MOI'!$C$14,'THAM_SO_MOI'!$C$13*(1+F723^2/1500),'THAM_SO_MOI'!$C$13)</f>
        <v>0.015</v>
      </c>
      <c r="J723" s="75">
        <f>'THAM_SO_MOI'!$C$40*('THAM_SO_MOI'!$C$23*(E723/'THAM_SO_MOI'!$C$22)+'THAM_SO_MOI'!$C$24*(E723/'THAM_SO_MOI'!$C$22)^2-'THAM_SO_MOI'!$C$25*(E723/'THAM_SO_MOI'!$C$22)^3)</f>
        <v>107.93441381196715</v>
      </c>
      <c r="K723" s="75">
        <f>'THAM_SO_MOI'!$C$31*J723/E723</f>
        <v>427.18002880257114</v>
      </c>
      <c r="L723" s="75">
        <f>K723*'THAM_SO_MOI'!$C$49*'THAM_SO_MOI'!$C$17/'THAM_SO_MOI'!$C$26</f>
        <v>24351.408406913706</v>
      </c>
      <c r="M723" s="75">
        <f>'THAM_SO_MOI'!$C$15*'THAM_SO_MOI'!$C$16*F723^2</f>
        <v>41.5335736006506</v>
      </c>
      <c r="N723" s="75">
        <f>'THAM_SO_MOI'!$C$12*I723</f>
        <v>1130.112</v>
      </c>
      <c r="O723" s="75">
        <f>M723+N723</f>
        <v>1171.6455736006508</v>
      </c>
      <c r="P723" s="75">
        <f>(MIN(L723,'THAM_SO_MOI'!$C$41)-O723)/('THAM_SO_MOI'!$C$11*H723)</f>
        <v>0.9543709993953002</v>
      </c>
      <c r="Q723" s="75">
        <f>IF(P723&gt;0,1/P723,NA())</f>
        <v>1.047810548134437</v>
      </c>
      <c r="R723" s="75">
        <f>F723-F722</f>
        <v>0.0035133136094680495</v>
      </c>
      <c r="S723" s="75">
        <f>0.5*(Q722+Q723)*R723</f>
        <v>0.0036810384113977316</v>
      </c>
      <c r="T723" s="75">
        <f>0.5*(F722*Q722+F723*Q723)*R723</f>
        <v>0.01386451151369188</v>
      </c>
      <c r="U723" s="76">
        <f>U722+S723</f>
        <v>2.8080276418060333</v>
      </c>
      <c r="V723" s="76">
        <f>V722+T723</f>
        <v>6.904310944746759</v>
      </c>
    </row>
    <row r="724" spans="1:22" ht="19" customHeight="1">
      <c r="A724" s="68" t="s">
        <v>368</v>
      </c>
      <c r="B724" s="74">
        <v>1</v>
      </c>
      <c r="C724" s="68" t="s">
        <v>363</v>
      </c>
      <c r="D724" s="68" t="s">
        <v>364</v>
      </c>
      <c r="E724" s="75">
        <f>60*F724*'THAM_SO_MOI'!$C$49/(2*PI()*'THAM_SO_MOI'!$C$26)</f>
        <v>2415.5</v>
      </c>
      <c r="F724" s="75">
        <f>'THAM_SO_MOI'!$E$49+('THAM_SO_MOI'!$F$49-'THAM_SO_MOI'!$E$49)*718/'THAM_SO_MOI'!$C$42</f>
        <v>3.7717373438527284</v>
      </c>
      <c r="G724" s="75">
        <f>3.6*F724</f>
        <v>13.578254437869823</v>
      </c>
      <c r="H724" s="75">
        <f>'THAM_SO_MOI'!$D$49</f>
        <v>3.1625000000000005</v>
      </c>
      <c r="I724" s="75">
        <f>IF(F724&gt;'THAM_SO_MOI'!$C$14,'THAM_SO_MOI'!$C$13*(1+F724^2/1500),'THAM_SO_MOI'!$C$13)</f>
        <v>0.015</v>
      </c>
      <c r="J724" s="75">
        <f>'THAM_SO_MOI'!$C$40*('THAM_SO_MOI'!$C$23*(E724/'THAM_SO_MOI'!$C$22)+'THAM_SO_MOI'!$C$24*(E724/'THAM_SO_MOI'!$C$22)^2-'THAM_SO_MOI'!$C$25*(E724/'THAM_SO_MOI'!$C$22)^3)</f>
        <v>108.02137212267758</v>
      </c>
      <c r="K724" s="75">
        <f>'THAM_SO_MOI'!$C$31*J724/E724</f>
        <v>427.1259581403594</v>
      </c>
      <c r="L724" s="75">
        <f>K724*'THAM_SO_MOI'!$C$49*'THAM_SO_MOI'!$C$17/'THAM_SO_MOI'!$C$26</f>
        <v>24348.326107439076</v>
      </c>
      <c r="M724" s="75">
        <f>'THAM_SO_MOI'!$C$15*'THAM_SO_MOI'!$C$16*F724^2</f>
        <v>41.61105757871371</v>
      </c>
      <c r="N724" s="75">
        <f>'THAM_SO_MOI'!$C$12*I724</f>
        <v>1130.112</v>
      </c>
      <c r="O724" s="75">
        <f>M724+N724</f>
        <v>1171.723057578714</v>
      </c>
      <c r="P724" s="75">
        <f>(MIN(L724,'THAM_SO_MOI'!$C$41)-O724)/('THAM_SO_MOI'!$C$11*H724)</f>
        <v>0.9542409029092703</v>
      </c>
      <c r="Q724" s="75">
        <f>IF(P724&gt;0,1/P724,NA())</f>
        <v>1.0479534014431997</v>
      </c>
      <c r="R724" s="75">
        <f>F724-F723</f>
        <v>0.0035133136094671613</v>
      </c>
      <c r="S724" s="75">
        <f>0.5*(Q723+Q724)*R724</f>
        <v>0.0036815380031408806</v>
      </c>
      <c r="T724" s="75">
        <f>0.5*(F723*Q723+F724*Q724)*R724</f>
        <v>0.013879327611297261</v>
      </c>
      <c r="U724" s="76">
        <f>U723+S724</f>
        <v>2.8117091798091742</v>
      </c>
      <c r="V724" s="76">
        <f>V723+T724</f>
        <v>6.918190272358056</v>
      </c>
    </row>
    <row r="725" spans="1:22" ht="19" customHeight="1">
      <c r="A725" s="68" t="s">
        <v>368</v>
      </c>
      <c r="B725" s="74">
        <v>1</v>
      </c>
      <c r="C725" s="68" t="s">
        <v>363</v>
      </c>
      <c r="D725" s="68" t="s">
        <v>364</v>
      </c>
      <c r="E725" s="75">
        <f>60*F725*'THAM_SO_MOI'!$C$49/(2*PI()*'THAM_SO_MOI'!$C$26)</f>
        <v>2417.7499999999995</v>
      </c>
      <c r="F725" s="75">
        <f>'THAM_SO_MOI'!$E$49+('THAM_SO_MOI'!$F$49-'THAM_SO_MOI'!$E$49)*719/'THAM_SO_MOI'!$C$42</f>
        <v>3.7752506574621956</v>
      </c>
      <c r="G725" s="75">
        <f>3.6*F725</f>
        <v>13.590902366863904</v>
      </c>
      <c r="H725" s="75">
        <f>'THAM_SO_MOI'!$D$49</f>
        <v>3.1625000000000005</v>
      </c>
      <c r="I725" s="75">
        <f>IF(F725&gt;'THAM_SO_MOI'!$C$14,'THAM_SO_MOI'!$C$13*(1+F725^2/1500),'THAM_SO_MOI'!$C$13)</f>
        <v>0.015</v>
      </c>
      <c r="J725" s="75">
        <f>'THAM_SO_MOI'!$C$40*('THAM_SO_MOI'!$C$23*(E725/'THAM_SO_MOI'!$C$22)+'THAM_SO_MOI'!$C$24*(E725/'THAM_SO_MOI'!$C$22)^2-'THAM_SO_MOI'!$C$25*(E725/'THAM_SO_MOI'!$C$22)^3)</f>
        <v>108.10818063208083</v>
      </c>
      <c r="K725" s="75">
        <f>'THAM_SO_MOI'!$C$31*J725/E725</f>
        <v>427.0713963400889</v>
      </c>
      <c r="L725" s="75">
        <f>K725*'THAM_SO_MOI'!$C$49*'THAM_SO_MOI'!$C$17/'THAM_SO_MOI'!$C$26</f>
        <v>24345.21581062692</v>
      </c>
      <c r="M725" s="75">
        <f>'THAM_SO_MOI'!$C$15*'THAM_SO_MOI'!$C$16*F725^2</f>
        <v>41.68861376550607</v>
      </c>
      <c r="N725" s="75">
        <f>'THAM_SO_MOI'!$C$12*I725</f>
        <v>1130.112</v>
      </c>
      <c r="O725" s="75">
        <f>M725+N725</f>
        <v>1171.8006137655061</v>
      </c>
      <c r="P725" s="75">
        <f>(MIN(L725,'THAM_SO_MOI'!$C$41)-O725)/('THAM_SO_MOI'!$C$11*H725)</f>
        <v>0.9541096507271661</v>
      </c>
      <c r="Q725" s="75">
        <f>IF(P725&gt;0,1/P725,NA())</f>
        <v>1.0480975632495269</v>
      </c>
      <c r="R725" s="75">
        <f>F725-F724</f>
        <v>0.0035133136094671613</v>
      </c>
      <c r="S725" s="75">
        <f>0.5*(Q724+Q725)*R725</f>
        <v>0.0036820421901958642</v>
      </c>
      <c r="T725" s="75">
        <f>0.5*(F724*Q724+F725*Q725)*R725</f>
        <v>0.013894164559732476</v>
      </c>
      <c r="U725" s="76">
        <f>U724+S725</f>
        <v>2.81539122199937</v>
      </c>
      <c r="V725" s="76">
        <f>V724+T725</f>
        <v>6.932084436917789</v>
      </c>
    </row>
    <row r="726" spans="1:22" ht="19" customHeight="1">
      <c r="A726" s="68" t="s">
        <v>368</v>
      </c>
      <c r="B726" s="74">
        <v>1</v>
      </c>
      <c r="C726" s="68" t="s">
        <v>363</v>
      </c>
      <c r="D726" s="68" t="s">
        <v>364</v>
      </c>
      <c r="E726" s="75">
        <f>60*F726*'THAM_SO_MOI'!$C$49/(2*PI()*'THAM_SO_MOI'!$C$26)</f>
        <v>2420.0</v>
      </c>
      <c r="F726" s="75">
        <f>'THAM_SO_MOI'!$E$49+('THAM_SO_MOI'!$F$49-'THAM_SO_MOI'!$E$49)*720/'THAM_SO_MOI'!$C$42</f>
        <v>3.7787639710716636</v>
      </c>
      <c r="G726" s="75">
        <f>3.6*F726</f>
        <v>13.603550295857989</v>
      </c>
      <c r="H726" s="75">
        <f>'THAM_SO_MOI'!$D$49</f>
        <v>3.1625000000000005</v>
      </c>
      <c r="I726" s="75">
        <f>IF(F726&gt;'THAM_SO_MOI'!$C$14,'THAM_SO_MOI'!$C$13*(1+F726^2/1500),'THAM_SO_MOI'!$C$13)</f>
        <v>0.015</v>
      </c>
      <c r="J726" s="75">
        <f>'THAM_SO_MOI'!$C$40*('THAM_SO_MOI'!$C$23*(E726/'THAM_SO_MOI'!$C$22)+'THAM_SO_MOI'!$C$24*(E726/'THAM_SO_MOI'!$C$22)^2-'THAM_SO_MOI'!$C$25*(E726/'THAM_SO_MOI'!$C$22)^3)</f>
        <v>108.19483899307743</v>
      </c>
      <c r="K726" s="75">
        <f>'THAM_SO_MOI'!$C$31*J726/E726</f>
        <v>427.01634340175957</v>
      </c>
      <c r="L726" s="75">
        <f>K726*'THAM_SO_MOI'!$C$49*'THAM_SO_MOI'!$C$17/'THAM_SO_MOI'!$C$26</f>
        <v>24342.077516477217</v>
      </c>
      <c r="M726" s="75">
        <f>'THAM_SO_MOI'!$C$15*'THAM_SO_MOI'!$C$16*F726^2</f>
        <v>41.76624216102767</v>
      </c>
      <c r="N726" s="75">
        <f>'THAM_SO_MOI'!$C$12*I726</f>
        <v>1130.112</v>
      </c>
      <c r="O726" s="75">
        <f>M726+N726</f>
        <v>1171.8782421610279</v>
      </c>
      <c r="P726" s="75">
        <f>(MIN(L726,'THAM_SO_MOI'!$C$41)-O726)/('THAM_SO_MOI'!$C$11*H726)</f>
        <v>0.9539772428489864</v>
      </c>
      <c r="Q726" s="75">
        <f>IF(P726&gt;0,1/P726,NA())</f>
        <v>1.0482430346174398</v>
      </c>
      <c r="R726" s="75">
        <f>F726-F725</f>
        <v>0.0035133136094680495</v>
      </c>
      <c r="S726" s="75">
        <f>0.5*(Q725+Q726)*R726</f>
        <v>0.0036825509762832007</v>
      </c>
      <c r="T726" s="75">
        <f>0.5*(F725*Q725+F726*Q726)*R726</f>
        <v>0.013909022421484294</v>
      </c>
      <c r="U726" s="76">
        <f>U725+S726</f>
        <v>2.819073772975653</v>
      </c>
      <c r="V726" s="76">
        <f>V725+T726</f>
        <v>6.945993459339273</v>
      </c>
    </row>
    <row r="727" spans="1:22" ht="19" customHeight="1">
      <c r="A727" s="68" t="s">
        <v>368</v>
      </c>
      <c r="B727" s="74">
        <v>1</v>
      </c>
      <c r="C727" s="68" t="s">
        <v>363</v>
      </c>
      <c r="D727" s="68" t="s">
        <v>364</v>
      </c>
      <c r="E727" s="75">
        <f>60*F727*'THAM_SO_MOI'!$C$49/(2*PI()*'THAM_SO_MOI'!$C$26)</f>
        <v>2422.2499999999995</v>
      </c>
      <c r="F727" s="75">
        <f>'THAM_SO_MOI'!$E$49+('THAM_SO_MOI'!$F$49-'THAM_SO_MOI'!$E$49)*721/'THAM_SO_MOI'!$C$42</f>
        <v>3.782277284681131</v>
      </c>
      <c r="G727" s="75">
        <f>3.6*F727</f>
        <v>13.616198224852072</v>
      </c>
      <c r="H727" s="75">
        <f>'THAM_SO_MOI'!$D$49</f>
        <v>3.1625000000000005</v>
      </c>
      <c r="I727" s="75">
        <f>IF(F727&gt;'THAM_SO_MOI'!$C$14,'THAM_SO_MOI'!$C$13*(1+F727^2/1500),'THAM_SO_MOI'!$C$13)</f>
        <v>0.015</v>
      </c>
      <c r="J727" s="75">
        <f>'THAM_SO_MOI'!$C$40*('THAM_SO_MOI'!$C$23*(E727/'THAM_SO_MOI'!$C$22)+'THAM_SO_MOI'!$C$24*(E727/'THAM_SO_MOI'!$C$22)^2-'THAM_SO_MOI'!$C$25*(E727/'THAM_SO_MOI'!$C$22)^3)</f>
        <v>108.28134685856773</v>
      </c>
      <c r="K727" s="75">
        <f>'THAM_SO_MOI'!$C$31*J727/E727</f>
        <v>426.9607993253715</v>
      </c>
      <c r="L727" s="75">
        <f>K727*'THAM_SO_MOI'!$C$49*'THAM_SO_MOI'!$C$17/'THAM_SO_MOI'!$C$26</f>
        <v>24338.911224989995</v>
      </c>
      <c r="M727" s="75">
        <f>'THAM_SO_MOI'!$C$15*'THAM_SO_MOI'!$C$16*F727^2</f>
        <v>41.84394276527849</v>
      </c>
      <c r="N727" s="75">
        <f>'THAM_SO_MOI'!$C$12*I727</f>
        <v>1130.112</v>
      </c>
      <c r="O727" s="75">
        <f>M727+N727</f>
        <v>1171.9559427652787</v>
      </c>
      <c r="P727" s="75">
        <f>(MIN(L727,'THAM_SO_MOI'!$C$41)-O727)/('THAM_SO_MOI'!$C$11*H727)</f>
        <v>0.9538436792747329</v>
      </c>
      <c r="Q727" s="75">
        <f>IF(P727&gt;0,1/P727,NA())</f>
        <v>1.048389816621066</v>
      </c>
      <c r="R727" s="75">
        <f>F727-F726</f>
        <v>0.0035133136094671613</v>
      </c>
      <c r="S727" s="75">
        <f>0.5*(Q726+Q727)*R727</f>
        <v>0.0036830643651560905</v>
      </c>
      <c r="T727" s="75">
        <f>0.5*(F726*Q726+F727*Q727)*R727</f>
        <v>0.013923901259215325</v>
      </c>
      <c r="U727" s="76">
        <f>U726+S727</f>
        <v>2.822756837340809</v>
      </c>
      <c r="V727" s="76">
        <f>V726+T727</f>
        <v>6.959917360598488</v>
      </c>
    </row>
    <row r="728" spans="1:22" ht="19" customHeight="1">
      <c r="A728" s="68" t="s">
        <v>368</v>
      </c>
      <c r="B728" s="74">
        <v>1</v>
      </c>
      <c r="C728" s="68" t="s">
        <v>363</v>
      </c>
      <c r="D728" s="68" t="s">
        <v>364</v>
      </c>
      <c r="E728" s="75">
        <f>60*F728*'THAM_SO_MOI'!$C$49/(2*PI()*'THAM_SO_MOI'!$C$26)</f>
        <v>2424.4999999999995</v>
      </c>
      <c r="F728" s="75">
        <f>'THAM_SO_MOI'!$E$49+('THAM_SO_MOI'!$F$49-'THAM_SO_MOI'!$E$49)*722/'THAM_SO_MOI'!$C$42</f>
        <v>3.785790598290598</v>
      </c>
      <c r="G728" s="75">
        <f>3.6*F728</f>
        <v>13.628846153846153</v>
      </c>
      <c r="H728" s="75">
        <f>'THAM_SO_MOI'!$D$49</f>
        <v>3.1625000000000005</v>
      </c>
      <c r="I728" s="75">
        <f>IF(F728&gt;'THAM_SO_MOI'!$C$14,'THAM_SO_MOI'!$C$13*(1+F728^2/1500),'THAM_SO_MOI'!$C$13)</f>
        <v>0.015</v>
      </c>
      <c r="J728" s="75">
        <f>'THAM_SO_MOI'!$C$40*('THAM_SO_MOI'!$C$23*(E728/'THAM_SO_MOI'!$C$22)+'THAM_SO_MOI'!$C$24*(E728/'THAM_SO_MOI'!$C$22)^2-'THAM_SO_MOI'!$C$25*(E728/'THAM_SO_MOI'!$C$22)^3)</f>
        <v>108.36770388145227</v>
      </c>
      <c r="K728" s="75">
        <f>'THAM_SO_MOI'!$C$31*J728/E728</f>
        <v>426.9047641109247</v>
      </c>
      <c r="L728" s="75">
        <f>K728*'THAM_SO_MOI'!$C$49*'THAM_SO_MOI'!$C$17/'THAM_SO_MOI'!$C$26</f>
        <v>24335.716936165238</v>
      </c>
      <c r="M728" s="75">
        <f>'THAM_SO_MOI'!$C$15*'THAM_SO_MOI'!$C$16*F728^2</f>
        <v>41.92171557825855</v>
      </c>
      <c r="N728" s="75">
        <f>'THAM_SO_MOI'!$C$12*I728</f>
        <v>1130.112</v>
      </c>
      <c r="O728" s="75">
        <f>M728+N728</f>
        <v>1172.0337155782586</v>
      </c>
      <c r="P728" s="75">
        <f>(MIN(L728,'THAM_SO_MOI'!$C$41)-O728)/('THAM_SO_MOI'!$C$11*H728)</f>
        <v>0.9537089600044045</v>
      </c>
      <c r="Q728" s="75">
        <f>IF(P728&gt;0,1/P728,NA())</f>
        <v>1.0485379103446628</v>
      </c>
      <c r="R728" s="75">
        <f>F728-F727</f>
        <v>0.0035133136094671613</v>
      </c>
      <c r="S728" s="75">
        <f>0.5*(Q727+Q728)*R728</f>
        <v>0.003683582360608867</v>
      </c>
      <c r="T728" s="75">
        <f>0.5*(F727*Q727+F728*Q728)*R728</f>
        <v>0.013938801135796576</v>
      </c>
      <c r="U728" s="76">
        <f>U727+S728</f>
        <v>2.826440419701418</v>
      </c>
      <c r="V728" s="76">
        <f>V727+T728</f>
        <v>6.973856161734284</v>
      </c>
    </row>
    <row r="729" spans="1:22" ht="19" customHeight="1">
      <c r="A729" s="68" t="s">
        <v>368</v>
      </c>
      <c r="B729" s="74">
        <v>1</v>
      </c>
      <c r="C729" s="68" t="s">
        <v>363</v>
      </c>
      <c r="D729" s="68" t="s">
        <v>364</v>
      </c>
      <c r="E729" s="75">
        <f>60*F729*'THAM_SO_MOI'!$C$49/(2*PI()*'THAM_SO_MOI'!$C$26)</f>
        <v>2426.75</v>
      </c>
      <c r="F729" s="75">
        <f>'THAM_SO_MOI'!$E$49+('THAM_SO_MOI'!$F$49-'THAM_SO_MOI'!$E$49)*723/'THAM_SO_MOI'!$C$42</f>
        <v>3.789303911900066</v>
      </c>
      <c r="G729" s="75">
        <f>3.6*F729</f>
        <v>13.641494082840238</v>
      </c>
      <c r="H729" s="75">
        <f>'THAM_SO_MOI'!$D$49</f>
        <v>3.1625000000000005</v>
      </c>
      <c r="I729" s="75">
        <f>IF(F729&gt;'THAM_SO_MOI'!$C$14,'THAM_SO_MOI'!$C$13*(1+F729^2/1500),'THAM_SO_MOI'!$C$13)</f>
        <v>0.015</v>
      </c>
      <c r="J729" s="75">
        <f>'THAM_SO_MOI'!$C$40*('THAM_SO_MOI'!$C$23*(E729/'THAM_SO_MOI'!$C$22)+'THAM_SO_MOI'!$C$24*(E729/'THAM_SO_MOI'!$C$22)^2-'THAM_SO_MOI'!$C$25*(E729/'THAM_SO_MOI'!$C$22)^3)</f>
        <v>108.45390971463148</v>
      </c>
      <c r="K729" s="75">
        <f>'THAM_SO_MOI'!$C$31*J729/E729</f>
        <v>426.8482377584191</v>
      </c>
      <c r="L729" s="75">
        <f>K729*'THAM_SO_MOI'!$C$49*'THAM_SO_MOI'!$C$17/'THAM_SO_MOI'!$C$26</f>
        <v>24332.494650002944</v>
      </c>
      <c r="M729" s="75">
        <f>'THAM_SO_MOI'!$C$15*'THAM_SO_MOI'!$C$16*F729^2</f>
        <v>41.99956059996785</v>
      </c>
      <c r="N729" s="75">
        <f>'THAM_SO_MOI'!$C$12*I729</f>
        <v>1130.112</v>
      </c>
      <c r="O729" s="75">
        <f>M729+N729</f>
        <v>1172.111560599968</v>
      </c>
      <c r="P729" s="75">
        <f>(MIN(L729,'THAM_SO_MOI'!$C$41)-O729)/('THAM_SO_MOI'!$C$11*H729)</f>
        <v>0.9535730850380011</v>
      </c>
      <c r="Q729" s="75">
        <f>IF(P729&gt;0,1/P729,NA())</f>
        <v>1.048687316882637</v>
      </c>
      <c r="R729" s="75">
        <f>F729-F728</f>
        <v>0.0035133136094680495</v>
      </c>
      <c r="S729" s="75">
        <f>0.5*(Q728+Q729)*R729</f>
        <v>0.0036841049664686977</v>
      </c>
      <c r="T729" s="75">
        <f>0.5*(F728*Q728+F729*Q729)*R729</f>
        <v>0.013953722114276734</v>
      </c>
      <c r="U729" s="76">
        <f>U728+S729</f>
        <v>2.8301245246678866</v>
      </c>
      <c r="V729" s="76">
        <f>V728+T729</f>
        <v>6.987809883848561</v>
      </c>
    </row>
    <row r="730" spans="1:22" ht="19" customHeight="1">
      <c r="A730" s="68" t="s">
        <v>368</v>
      </c>
      <c r="B730" s="74">
        <v>1</v>
      </c>
      <c r="C730" s="68" t="s">
        <v>363</v>
      </c>
      <c r="D730" s="68" t="s">
        <v>364</v>
      </c>
      <c r="E730" s="75">
        <f>60*F730*'THAM_SO_MOI'!$C$49/(2*PI()*'THAM_SO_MOI'!$C$26)</f>
        <v>2428.9999999999995</v>
      </c>
      <c r="F730" s="75">
        <f>'THAM_SO_MOI'!$E$49+('THAM_SO_MOI'!$F$49-'THAM_SO_MOI'!$E$49)*724/'THAM_SO_MOI'!$C$42</f>
        <v>3.792817225509533</v>
      </c>
      <c r="G730" s="75">
        <f>3.6*F730</f>
        <v>13.65414201183432</v>
      </c>
      <c r="H730" s="75">
        <f>'THAM_SO_MOI'!$D$49</f>
        <v>3.1625000000000005</v>
      </c>
      <c r="I730" s="75">
        <f>IF(F730&gt;'THAM_SO_MOI'!$C$14,'THAM_SO_MOI'!$C$13*(1+F730^2/1500),'THAM_SO_MOI'!$C$13)</f>
        <v>0.015</v>
      </c>
      <c r="J730" s="75">
        <f>'THAM_SO_MOI'!$C$40*('THAM_SO_MOI'!$C$23*(E730/'THAM_SO_MOI'!$C$22)+'THAM_SO_MOI'!$C$24*(E730/'THAM_SO_MOI'!$C$22)^2-'THAM_SO_MOI'!$C$25*(E730/'THAM_SO_MOI'!$C$22)^3)</f>
        <v>108.5399640110058</v>
      </c>
      <c r="K730" s="75">
        <f>'THAM_SO_MOI'!$C$31*J730/E730</f>
        <v>426.7912202678547</v>
      </c>
      <c r="L730" s="75">
        <f>K730*'THAM_SO_MOI'!$C$49*'THAM_SO_MOI'!$C$17/'THAM_SO_MOI'!$C$26</f>
        <v>24329.244366503128</v>
      </c>
      <c r="M730" s="75">
        <f>'THAM_SO_MOI'!$C$15*'THAM_SO_MOI'!$C$16*F730^2</f>
        <v>42.07747783040636</v>
      </c>
      <c r="N730" s="75">
        <f>'THAM_SO_MOI'!$C$12*I730</f>
        <v>1130.112</v>
      </c>
      <c r="O730" s="75">
        <f>M730+N730</f>
        <v>1172.1894778304065</v>
      </c>
      <c r="P730" s="75">
        <f>(MIN(L730,'THAM_SO_MOI'!$C$41)-O730)/('THAM_SO_MOI'!$C$11*H730)</f>
        <v>0.9534360543755236</v>
      </c>
      <c r="Q730" s="75">
        <f>IF(P730&gt;0,1/P730,NA())</f>
        <v>1.0488380373395618</v>
      </c>
      <c r="R730" s="75">
        <f>F730-F729</f>
        <v>0.0035133136094671613</v>
      </c>
      <c r="S730" s="75">
        <f>0.5*(Q729+Q730)*R730</f>
        <v>0.0036846321865956397</v>
      </c>
      <c r="T730" s="75">
        <f>0.5*(F729*Q729+F730*Q730)*R730</f>
        <v>0.013968664257882962</v>
      </c>
      <c r="U730" s="76">
        <f>U729+S730</f>
        <v>2.8338091568544823</v>
      </c>
      <c r="V730" s="76">
        <f>V729+T730</f>
        <v>7.001778548106444</v>
      </c>
    </row>
    <row r="731" spans="1:22" ht="19" customHeight="1">
      <c r="A731" s="68" t="s">
        <v>368</v>
      </c>
      <c r="B731" s="74">
        <v>1</v>
      </c>
      <c r="C731" s="68" t="s">
        <v>363</v>
      </c>
      <c r="D731" s="68" t="s">
        <v>364</v>
      </c>
      <c r="E731" s="75">
        <f>60*F731*'THAM_SO_MOI'!$C$49/(2*PI()*'THAM_SO_MOI'!$C$26)</f>
        <v>2431.2499999999995</v>
      </c>
      <c r="F731" s="75">
        <f>'THAM_SO_MOI'!$E$49+('THAM_SO_MOI'!$F$49-'THAM_SO_MOI'!$E$49)*725/'THAM_SO_MOI'!$C$42</f>
        <v>3.7963305391190003</v>
      </c>
      <c r="G731" s="75">
        <f>3.6*F731</f>
        <v>13.666789940828401</v>
      </c>
      <c r="H731" s="75">
        <f>'THAM_SO_MOI'!$D$49</f>
        <v>3.1625000000000005</v>
      </c>
      <c r="I731" s="75">
        <f>IF(F731&gt;'THAM_SO_MOI'!$C$14,'THAM_SO_MOI'!$C$13*(1+F731^2/1500),'THAM_SO_MOI'!$C$13)</f>
        <v>0.015</v>
      </c>
      <c r="J731" s="75">
        <f>'THAM_SO_MOI'!$C$40*('THAM_SO_MOI'!$C$23*(E731/'THAM_SO_MOI'!$C$22)+'THAM_SO_MOI'!$C$24*(E731/'THAM_SO_MOI'!$C$22)^2-'THAM_SO_MOI'!$C$25*(E731/'THAM_SO_MOI'!$C$22)^3)</f>
        <v>108.62586642347568</v>
      </c>
      <c r="K731" s="75">
        <f>'THAM_SO_MOI'!$C$31*J731/E731</f>
        <v>426.73371163923156</v>
      </c>
      <c r="L731" s="75">
        <f>K731*'THAM_SO_MOI'!$C$49*'THAM_SO_MOI'!$C$17/'THAM_SO_MOI'!$C$26</f>
        <v>24325.966085665772</v>
      </c>
      <c r="M731" s="75">
        <f>'THAM_SO_MOI'!$C$15*'THAM_SO_MOI'!$C$16*F731^2</f>
        <v>42.15546726957412</v>
      </c>
      <c r="N731" s="75">
        <f>'THAM_SO_MOI'!$C$12*I731</f>
        <v>1130.112</v>
      </c>
      <c r="O731" s="75">
        <f>M731+N731</f>
        <v>1172.2674672695741</v>
      </c>
      <c r="P731" s="75">
        <f>(MIN(L731,'THAM_SO_MOI'!$C$41)-O731)/('THAM_SO_MOI'!$C$11*H731)</f>
        <v>0.953297868016971</v>
      </c>
      <c r="Q731" s="75">
        <f>IF(P731&gt;0,1/P731,NA())</f>
        <v>1.0489900728302033</v>
      </c>
      <c r="R731" s="75">
        <f>F731-F730</f>
        <v>0.0035133136094671613</v>
      </c>
      <c r="S731" s="75">
        <f>0.5*(Q730+Q731)*R731</f>
        <v>0.0036851640248911056</v>
      </c>
      <c r="T731" s="75">
        <f>0.5*(F730*Q730+F731*Q731)*R731</f>
        <v>0.013983627630053586</v>
      </c>
      <c r="U731" s="76">
        <f>U730+S731</f>
        <v>2.8374943208793733</v>
      </c>
      <c r="V731" s="76">
        <f>V730+T731</f>
        <v>7.015762175736497</v>
      </c>
    </row>
    <row r="732" spans="1:22" ht="19" customHeight="1">
      <c r="A732" s="68" t="s">
        <v>368</v>
      </c>
      <c r="B732" s="74">
        <v>1</v>
      </c>
      <c r="C732" s="68" t="s">
        <v>363</v>
      </c>
      <c r="D732" s="68" t="s">
        <v>364</v>
      </c>
      <c r="E732" s="75">
        <f>60*F732*'THAM_SO_MOI'!$C$49/(2*PI()*'THAM_SO_MOI'!$C$26)</f>
        <v>2433.5</v>
      </c>
      <c r="F732" s="75">
        <f>'THAM_SO_MOI'!$E$49+('THAM_SO_MOI'!$F$49-'THAM_SO_MOI'!$E$49)*726/'THAM_SO_MOI'!$C$42</f>
        <v>3.7998438527284684</v>
      </c>
      <c r="G732" s="75">
        <f>3.6*F732</f>
        <v>13.679437869822486</v>
      </c>
      <c r="H732" s="75">
        <f>'THAM_SO_MOI'!$D$49</f>
        <v>3.1625000000000005</v>
      </c>
      <c r="I732" s="75">
        <f>IF(F732&gt;'THAM_SO_MOI'!$C$14,'THAM_SO_MOI'!$C$13*(1+F732^2/1500),'THAM_SO_MOI'!$C$13)</f>
        <v>0.015</v>
      </c>
      <c r="J732" s="75">
        <f>'THAM_SO_MOI'!$C$40*('THAM_SO_MOI'!$C$23*(E732/'THAM_SO_MOI'!$C$22)+'THAM_SO_MOI'!$C$24*(E732/'THAM_SO_MOI'!$C$22)^2-'THAM_SO_MOI'!$C$25*(E732/'THAM_SO_MOI'!$C$22)^3)</f>
        <v>108.71161660494163</v>
      </c>
      <c r="K732" s="75">
        <f>'THAM_SO_MOI'!$C$31*J732/E732</f>
        <v>426.6757118725496</v>
      </c>
      <c r="L732" s="75">
        <f>K732*'THAM_SO_MOI'!$C$49*'THAM_SO_MOI'!$C$17/'THAM_SO_MOI'!$C$26</f>
        <v>24322.65980749088</v>
      </c>
      <c r="M732" s="75">
        <f>'THAM_SO_MOI'!$C$15*'THAM_SO_MOI'!$C$16*F732^2</f>
        <v>42.23352891747112</v>
      </c>
      <c r="N732" s="75">
        <f>'THAM_SO_MOI'!$C$12*I732</f>
        <v>1130.112</v>
      </c>
      <c r="O732" s="75">
        <f>M732+N732</f>
        <v>1172.3455289174713</v>
      </c>
      <c r="P732" s="75">
        <f>(MIN(L732,'THAM_SO_MOI'!$C$41)-O732)/('THAM_SO_MOI'!$C$11*H732)</f>
        <v>0.9531585259623437</v>
      </c>
      <c r="Q732" s="75">
        <f>IF(P732&gt;0,1/P732,NA())</f>
        <v>1.049143424479536</v>
      </c>
      <c r="R732" s="75">
        <f>F732-F731</f>
        <v>0.0035133136094680495</v>
      </c>
      <c r="S732" s="75">
        <f>0.5*(Q731+Q732)*R732</f>
        <v>0.0036857004852895504</v>
      </c>
      <c r="T732" s="75">
        <f>0.5*(F731*Q731+F732*Q732)*R732</f>
        <v>0.013998612294407272</v>
      </c>
      <c r="U732" s="76">
        <f>U731+S732</f>
        <v>2.841180021364663</v>
      </c>
      <c r="V732" s="76">
        <f>V731+T732</f>
        <v>7.029760788030904</v>
      </c>
    </row>
    <row r="733" spans="1:22" ht="19" customHeight="1">
      <c r="A733" s="68" t="s">
        <v>368</v>
      </c>
      <c r="B733" s="74">
        <v>1</v>
      </c>
      <c r="C733" s="68" t="s">
        <v>363</v>
      </c>
      <c r="D733" s="68" t="s">
        <v>364</v>
      </c>
      <c r="E733" s="75">
        <f>60*F733*'THAM_SO_MOI'!$C$49/(2*PI()*'THAM_SO_MOI'!$C$26)</f>
        <v>2435.7499999999995</v>
      </c>
      <c r="F733" s="75">
        <f>'THAM_SO_MOI'!$E$49+('THAM_SO_MOI'!$F$49-'THAM_SO_MOI'!$E$49)*727/'THAM_SO_MOI'!$C$42</f>
        <v>3.8033571663379355</v>
      </c>
      <c r="G733" s="75">
        <f>3.6*F733</f>
        <v>13.692085798816569</v>
      </c>
      <c r="H733" s="75">
        <f>'THAM_SO_MOI'!$D$49</f>
        <v>3.1625000000000005</v>
      </c>
      <c r="I733" s="75">
        <f>IF(F733&gt;'THAM_SO_MOI'!$C$14,'THAM_SO_MOI'!$C$13*(1+F733^2/1500),'THAM_SO_MOI'!$C$13)</f>
        <v>0.015</v>
      </c>
      <c r="J733" s="75">
        <f>'THAM_SO_MOI'!$C$40*('THAM_SO_MOI'!$C$23*(E733/'THAM_SO_MOI'!$C$22)+'THAM_SO_MOI'!$C$24*(E733/'THAM_SO_MOI'!$C$22)^2-'THAM_SO_MOI'!$C$25*(E733/'THAM_SO_MOI'!$C$22)^3)</f>
        <v>108.797214208304</v>
      </c>
      <c r="K733" s="75">
        <f>'THAM_SO_MOI'!$C$31*J733/E733</f>
        <v>426.6172209678088</v>
      </c>
      <c r="L733" s="75">
        <f>K733*'THAM_SO_MOI'!$C$49*'THAM_SO_MOI'!$C$17/'THAM_SO_MOI'!$C$26</f>
        <v>24319.32553197846</v>
      </c>
      <c r="M733" s="75">
        <f>'THAM_SO_MOI'!$C$15*'THAM_SO_MOI'!$C$16*F733^2</f>
        <v>42.311662774097336</v>
      </c>
      <c r="N733" s="75">
        <f>'THAM_SO_MOI'!$C$12*I733</f>
        <v>1130.112</v>
      </c>
      <c r="O733" s="75">
        <f>M733+N733</f>
        <v>1172.4236627740975</v>
      </c>
      <c r="P733" s="75">
        <f>(MIN(L733,'THAM_SO_MOI'!$C$41)-O733)/('THAM_SO_MOI'!$C$11*H733)</f>
        <v>0.9530180282116418</v>
      </c>
      <c r="Q733" s="75">
        <f>IF(P733&gt;0,1/P733,NA())</f>
        <v>1.0492980934227665</v>
      </c>
      <c r="R733" s="75">
        <f>F733-F732</f>
        <v>0.0035133136094671613</v>
      </c>
      <c r="S733" s="75">
        <f>0.5*(Q732+Q733)*R733</f>
        <v>0.003686241571758544</v>
      </c>
      <c r="T733" s="75">
        <f>0.5*(F732*Q732+F733*Q733)*R733</f>
        <v>0.014013618314743846</v>
      </c>
      <c r="U733" s="76">
        <f>U732+S733</f>
        <v>2.8448662629364216</v>
      </c>
      <c r="V733" s="76">
        <f>V732+T733</f>
        <v>7.043774406345648</v>
      </c>
    </row>
    <row r="734" spans="1:22" ht="19" customHeight="1">
      <c r="A734" s="68" t="s">
        <v>368</v>
      </c>
      <c r="B734" s="74">
        <v>1</v>
      </c>
      <c r="C734" s="68" t="s">
        <v>363</v>
      </c>
      <c r="D734" s="68" t="s">
        <v>364</v>
      </c>
      <c r="E734" s="75">
        <f>60*F734*'THAM_SO_MOI'!$C$49/(2*PI()*'THAM_SO_MOI'!$C$26)</f>
        <v>2438.0</v>
      </c>
      <c r="F734" s="75">
        <f>'THAM_SO_MOI'!$E$49+('THAM_SO_MOI'!$F$49-'THAM_SO_MOI'!$E$49)*728/'THAM_SO_MOI'!$C$42</f>
        <v>3.8068704799474036</v>
      </c>
      <c r="G734" s="75">
        <f>3.6*F734</f>
        <v>13.704733727810654</v>
      </c>
      <c r="H734" s="75">
        <f>'THAM_SO_MOI'!$D$49</f>
        <v>3.1625000000000005</v>
      </c>
      <c r="I734" s="75">
        <f>IF(F734&gt;'THAM_SO_MOI'!$C$14,'THAM_SO_MOI'!$C$13*(1+F734^2/1500),'THAM_SO_MOI'!$C$13)</f>
        <v>0.015</v>
      </c>
      <c r="J734" s="75">
        <f>'THAM_SO_MOI'!$C$40*('THAM_SO_MOI'!$C$23*(E734/'THAM_SO_MOI'!$C$22)+'THAM_SO_MOI'!$C$24*(E734/'THAM_SO_MOI'!$C$22)^2-'THAM_SO_MOI'!$C$25*(E734/'THAM_SO_MOI'!$C$22)^3)</f>
        <v>108.88265888646337</v>
      </c>
      <c r="K734" s="75">
        <f>'THAM_SO_MOI'!$C$31*J734/E734</f>
        <v>426.55823892500933</v>
      </c>
      <c r="L734" s="75">
        <f>K734*'THAM_SO_MOI'!$C$49*'THAM_SO_MOI'!$C$17/'THAM_SO_MOI'!$C$26</f>
        <v>24315.963259128508</v>
      </c>
      <c r="M734" s="75">
        <f>'THAM_SO_MOI'!$C$15*'THAM_SO_MOI'!$C$16*F734^2</f>
        <v>42.3898688394528</v>
      </c>
      <c r="N734" s="75">
        <f>'THAM_SO_MOI'!$C$12*I734</f>
        <v>1130.112</v>
      </c>
      <c r="O734" s="75">
        <f>M734+N734</f>
        <v>1172.501868839453</v>
      </c>
      <c r="P734" s="75">
        <f>(MIN(L734,'THAM_SO_MOI'!$C$41)-O734)/('THAM_SO_MOI'!$C$11*H734)</f>
        <v>0.9528763747648654</v>
      </c>
      <c r="Q734" s="75">
        <f>IF(P734&gt;0,1/P734,NA())</f>
        <v>1.049454080805354</v>
      </c>
      <c r="R734" s="75">
        <f>F734-F733</f>
        <v>0.0035133136094680495</v>
      </c>
      <c r="S734" s="75">
        <f>0.5*(Q733+Q734)*R734</f>
        <v>0.0036867872883081573</v>
      </c>
      <c r="T734" s="75">
        <f>0.5*(F733*Q733+F734*Q734)*R734</f>
        <v>0.014028645755080641</v>
      </c>
      <c r="U734" s="76">
        <f>U733+S734</f>
        <v>2.8485530502247296</v>
      </c>
      <c r="V734" s="76">
        <f>V733+T734</f>
        <v>7.057803052100728</v>
      </c>
    </row>
    <row r="735" spans="1:22" ht="19" customHeight="1">
      <c r="A735" s="68" t="s">
        <v>368</v>
      </c>
      <c r="B735" s="74">
        <v>1</v>
      </c>
      <c r="C735" s="68" t="s">
        <v>363</v>
      </c>
      <c r="D735" s="68" t="s">
        <v>364</v>
      </c>
      <c r="E735" s="75">
        <f>60*F735*'THAM_SO_MOI'!$C$49/(2*PI()*'THAM_SO_MOI'!$C$26)</f>
        <v>2440.2499999999995</v>
      </c>
      <c r="F735" s="75">
        <f>'THAM_SO_MOI'!$E$49+('THAM_SO_MOI'!$F$49-'THAM_SO_MOI'!$E$49)*729/'THAM_SO_MOI'!$C$42</f>
        <v>3.8103837935568707</v>
      </c>
      <c r="G735" s="75">
        <f>3.6*F735</f>
        <v>13.717381656804735</v>
      </c>
      <c r="H735" s="75">
        <f>'THAM_SO_MOI'!$D$49</f>
        <v>3.1625000000000005</v>
      </c>
      <c r="I735" s="75">
        <f>IF(F735&gt;'THAM_SO_MOI'!$C$14,'THAM_SO_MOI'!$C$13*(1+F735^2/1500),'THAM_SO_MOI'!$C$13)</f>
        <v>0.015</v>
      </c>
      <c r="J735" s="75">
        <f>'THAM_SO_MOI'!$C$40*('THAM_SO_MOI'!$C$23*(E735/'THAM_SO_MOI'!$C$22)+'THAM_SO_MOI'!$C$24*(E735/'THAM_SO_MOI'!$C$22)^2-'THAM_SO_MOI'!$C$25*(E735/'THAM_SO_MOI'!$C$22)^3)</f>
        <v>108.96795029232008</v>
      </c>
      <c r="K735" s="75">
        <f>'THAM_SO_MOI'!$C$31*J735/E735</f>
        <v>426.498765744151</v>
      </c>
      <c r="L735" s="75">
        <f>K735*'THAM_SO_MOI'!$C$49*'THAM_SO_MOI'!$C$17/'THAM_SO_MOI'!$C$26</f>
        <v>24312.572988941018</v>
      </c>
      <c r="M735" s="75">
        <f>'THAM_SO_MOI'!$C$15*'THAM_SO_MOI'!$C$16*F735^2</f>
        <v>42.46814711353749</v>
      </c>
      <c r="N735" s="75">
        <f>'THAM_SO_MOI'!$C$12*I735</f>
        <v>1130.112</v>
      </c>
      <c r="O735" s="75">
        <f>M735+N735</f>
        <v>1172.5801471135376</v>
      </c>
      <c r="P735" s="75">
        <f>(MIN(L735,'THAM_SO_MOI'!$C$41)-O735)/('THAM_SO_MOI'!$C$11*H735)</f>
        <v>0.952733565622014</v>
      </c>
      <c r="Q735" s="75">
        <f>IF(P735&gt;0,1/P735,NA())</f>
        <v>1.0496113877830335</v>
      </c>
      <c r="R735" s="75">
        <f>F735-F734</f>
        <v>0.0035133136094671613</v>
      </c>
      <c r="S735" s="75">
        <f>0.5*(Q734+Q735)*R735</f>
        <v>0.0036873376389770732</v>
      </c>
      <c r="T735" s="75">
        <f>0.5*(F734*Q734+F735*Q735)*R735</f>
        <v>0.014043694679600292</v>
      </c>
      <c r="U735" s="76">
        <f>U734+S735</f>
        <v>2.8522403878637066</v>
      </c>
      <c r="V735" s="76">
        <f>V734+T735</f>
        <v>7.071846746780328</v>
      </c>
    </row>
    <row r="736" spans="1:22" ht="19" customHeight="1">
      <c r="A736" s="68" t="s">
        <v>368</v>
      </c>
      <c r="B736" s="74">
        <v>1</v>
      </c>
      <c r="C736" s="68" t="s">
        <v>363</v>
      </c>
      <c r="D736" s="68" t="s">
        <v>364</v>
      </c>
      <c r="E736" s="75">
        <f>60*F736*'THAM_SO_MOI'!$C$49/(2*PI()*'THAM_SO_MOI'!$C$26)</f>
        <v>2442.4999999999995</v>
      </c>
      <c r="F736" s="75">
        <f>'THAM_SO_MOI'!$E$49+('THAM_SO_MOI'!$F$49-'THAM_SO_MOI'!$E$49)*730/'THAM_SO_MOI'!$C$42</f>
        <v>3.813897107166338</v>
      </c>
      <c r="G736" s="75">
        <f>3.6*F736</f>
        <v>13.730029585798817</v>
      </c>
      <c r="H736" s="75">
        <f>'THAM_SO_MOI'!$D$49</f>
        <v>3.1625000000000005</v>
      </c>
      <c r="I736" s="75">
        <f>IF(F736&gt;'THAM_SO_MOI'!$C$14,'THAM_SO_MOI'!$C$13*(1+F736^2/1500),'THAM_SO_MOI'!$C$13)</f>
        <v>0.015</v>
      </c>
      <c r="J736" s="75">
        <f>'THAM_SO_MOI'!$C$40*('THAM_SO_MOI'!$C$23*(E736/'THAM_SO_MOI'!$C$22)+'THAM_SO_MOI'!$C$24*(E736/'THAM_SO_MOI'!$C$22)^2-'THAM_SO_MOI'!$C$25*(E736/'THAM_SO_MOI'!$C$22)^3)</f>
        <v>109.05308807877468</v>
      </c>
      <c r="K736" s="75">
        <f>'THAM_SO_MOI'!$C$31*J736/E736</f>
        <v>426.43880142523386</v>
      </c>
      <c r="L736" s="75">
        <f>K736*'THAM_SO_MOI'!$C$49*'THAM_SO_MOI'!$C$17/'THAM_SO_MOI'!$C$26</f>
        <v>24309.154721416</v>
      </c>
      <c r="M736" s="75">
        <f>'THAM_SO_MOI'!$C$15*'THAM_SO_MOI'!$C$16*F736^2</f>
        <v>42.54649759635141</v>
      </c>
      <c r="N736" s="75">
        <f>'THAM_SO_MOI'!$C$12*I736</f>
        <v>1130.112</v>
      </c>
      <c r="O736" s="75">
        <f>M736+N736</f>
        <v>1172.6584975963515</v>
      </c>
      <c r="P736" s="75">
        <f>(MIN(L736,'THAM_SO_MOI'!$C$41)-O736)/('THAM_SO_MOI'!$C$11*H736)</f>
        <v>0.9525896007830881</v>
      </c>
      <c r="Q736" s="75">
        <f>IF(P736&gt;0,1/P736,NA())</f>
        <v>1.049770015521834</v>
      </c>
      <c r="R736" s="75">
        <f>F736-F735</f>
        <v>0.0035133136094671613</v>
      </c>
      <c r="S736" s="75">
        <f>0.5*(Q735+Q736)*R736</f>
        <v>0.003687892627846629</v>
      </c>
      <c r="T736" s="75">
        <f>0.5*(F735*Q735+F736*Q736)*R736</f>
        <v>0.014058765152704808</v>
      </c>
      <c r="U736" s="76">
        <f>U735+S736</f>
        <v>2.855928280491553</v>
      </c>
      <c r="V736" s="76">
        <f>V735+T736</f>
        <v>7.085905511933033</v>
      </c>
    </row>
    <row r="737" spans="1:22" ht="19" customHeight="1">
      <c r="A737" s="68" t="s">
        <v>368</v>
      </c>
      <c r="B737" s="74">
        <v>1</v>
      </c>
      <c r="C737" s="68" t="s">
        <v>363</v>
      </c>
      <c r="D737" s="68" t="s">
        <v>364</v>
      </c>
      <c r="E737" s="75">
        <f>60*F737*'THAM_SO_MOI'!$C$49/(2*PI()*'THAM_SO_MOI'!$C$26)</f>
        <v>2444.7499999999995</v>
      </c>
      <c r="F737" s="75">
        <f>'THAM_SO_MOI'!$E$49+('THAM_SO_MOI'!$F$49-'THAM_SO_MOI'!$E$49)*731/'THAM_SO_MOI'!$C$42</f>
        <v>3.817410420775805</v>
      </c>
      <c r="G737" s="75">
        <f>3.6*F737</f>
        <v>13.742677514792899</v>
      </c>
      <c r="H737" s="75">
        <f>'THAM_SO_MOI'!$D$49</f>
        <v>3.1625000000000005</v>
      </c>
      <c r="I737" s="75">
        <f>IF(F737&gt;'THAM_SO_MOI'!$C$14,'THAM_SO_MOI'!$C$13*(1+F737^2/1500),'THAM_SO_MOI'!$C$13)</f>
        <v>0.015</v>
      </c>
      <c r="J737" s="75">
        <f>'THAM_SO_MOI'!$C$40*('THAM_SO_MOI'!$C$23*(E737/'THAM_SO_MOI'!$C$22)+'THAM_SO_MOI'!$C$24*(E737/'THAM_SO_MOI'!$C$22)^2-'THAM_SO_MOI'!$C$25*(E737/'THAM_SO_MOI'!$C$22)^3)</f>
        <v>109.13807189872759</v>
      </c>
      <c r="K737" s="75">
        <f>'THAM_SO_MOI'!$C$31*J737/E737</f>
        <v>426.3783459682581</v>
      </c>
      <c r="L737" s="75">
        <f>K737*'THAM_SO_MOI'!$C$49*'THAM_SO_MOI'!$C$17/'THAM_SO_MOI'!$C$26</f>
        <v>24305.708456553453</v>
      </c>
      <c r="M737" s="75">
        <f>'THAM_SO_MOI'!$C$15*'THAM_SO_MOI'!$C$16*F737^2</f>
        <v>42.624920287894554</v>
      </c>
      <c r="N737" s="75">
        <f>'THAM_SO_MOI'!$C$12*I737</f>
        <v>1130.112</v>
      </c>
      <c r="O737" s="75">
        <f>M737+N737</f>
        <v>1172.7369202878947</v>
      </c>
      <c r="P737" s="75">
        <f>(MIN(L737,'THAM_SO_MOI'!$C$41)-O737)/('THAM_SO_MOI'!$C$11*H737)</f>
        <v>0.9524444802480877</v>
      </c>
      <c r="Q737" s="75">
        <f>IF(P737&gt;0,1/P737,NA())</f>
        <v>1.0499299651981029</v>
      </c>
      <c r="R737" s="75">
        <f>F737-F736</f>
        <v>0.0035133136094671613</v>
      </c>
      <c r="S737" s="75">
        <f>0.5*(Q736+Q737)*R737</f>
        <v>0.0036884522590306446</v>
      </c>
      <c r="T737" s="75">
        <f>0.5*(F736*Q736+F737*Q737)*R737</f>
        <v>0.014073857238977493</v>
      </c>
      <c r="U737" s="76">
        <f>U736+S737</f>
        <v>2.8596167327505837</v>
      </c>
      <c r="V737" s="76">
        <f>V736+T737</f>
        <v>7.099979369172011</v>
      </c>
    </row>
    <row r="738" spans="1:22" ht="19" customHeight="1">
      <c r="A738" s="68" t="s">
        <v>368</v>
      </c>
      <c r="B738" s="74">
        <v>1</v>
      </c>
      <c r="C738" s="68" t="s">
        <v>363</v>
      </c>
      <c r="D738" s="68" t="s">
        <v>364</v>
      </c>
      <c r="E738" s="75">
        <f>60*F738*'THAM_SO_MOI'!$C$49/(2*PI()*'THAM_SO_MOI'!$C$26)</f>
        <v>2446.9999999999995</v>
      </c>
      <c r="F738" s="75">
        <f>'THAM_SO_MOI'!$E$49+('THAM_SO_MOI'!$F$49-'THAM_SO_MOI'!$E$49)*732/'THAM_SO_MOI'!$C$42</f>
        <v>3.820923734385273</v>
      </c>
      <c r="G738" s="75">
        <f>3.6*F738</f>
        <v>13.755325443786983</v>
      </c>
      <c r="H738" s="75">
        <f>'THAM_SO_MOI'!$D$49</f>
        <v>3.1625000000000005</v>
      </c>
      <c r="I738" s="75">
        <f>IF(F738&gt;'THAM_SO_MOI'!$C$14,'THAM_SO_MOI'!$C$13*(1+F738^2/1500),'THAM_SO_MOI'!$C$13)</f>
        <v>0.015</v>
      </c>
      <c r="J738" s="75">
        <f>'THAM_SO_MOI'!$C$40*('THAM_SO_MOI'!$C$23*(E738/'THAM_SO_MOI'!$C$22)+'THAM_SO_MOI'!$C$24*(E738/'THAM_SO_MOI'!$C$22)^2-'THAM_SO_MOI'!$C$25*(E738/'THAM_SO_MOI'!$C$22)^3)</f>
        <v>109.22290140507924</v>
      </c>
      <c r="K738" s="75">
        <f>'THAM_SO_MOI'!$C$31*J738/E738</f>
        <v>426.31739937322345</v>
      </c>
      <c r="L738" s="75">
        <f>K738*'THAM_SO_MOI'!$C$49*'THAM_SO_MOI'!$C$17/'THAM_SO_MOI'!$C$26</f>
        <v>24302.23419435337</v>
      </c>
      <c r="M738" s="75">
        <f>'THAM_SO_MOI'!$C$15*'THAM_SO_MOI'!$C$16*F738^2</f>
        <v>42.70341518816695</v>
      </c>
      <c r="N738" s="75">
        <f>'THAM_SO_MOI'!$C$12*I738</f>
        <v>1130.112</v>
      </c>
      <c r="O738" s="75">
        <f>M738+N738</f>
        <v>1172.815415188167</v>
      </c>
      <c r="P738" s="75">
        <f>(MIN(L738,'THAM_SO_MOI'!$C$41)-O738)/('THAM_SO_MOI'!$C$11*H738)</f>
        <v>0.9522982040170124</v>
      </c>
      <c r="Q738" s="75">
        <f>IF(P738&gt;0,1/P738,NA())</f>
        <v>1.0500912379985288</v>
      </c>
      <c r="R738" s="75">
        <f>F738-F737</f>
        <v>0.0035133136094680495</v>
      </c>
      <c r="S738" s="75">
        <f>0.5*(Q737+Q738)*R738</f>
        <v>0.0036890165366810974</v>
      </c>
      <c r="T738" s="75">
        <f>0.5*(F737*Q737+F738*Q738)*R738</f>
        <v>0.01408897100320519</v>
      </c>
      <c r="U738" s="76">
        <f>U737+S738</f>
        <v>2.8633057492872647</v>
      </c>
      <c r="V738" s="76">
        <f>V737+T738</f>
        <v>7.114068340175216</v>
      </c>
    </row>
    <row r="739" spans="1:22" ht="19" customHeight="1">
      <c r="A739" s="68" t="s">
        <v>368</v>
      </c>
      <c r="B739" s="74">
        <v>1</v>
      </c>
      <c r="C739" s="68" t="s">
        <v>363</v>
      </c>
      <c r="D739" s="68" t="s">
        <v>364</v>
      </c>
      <c r="E739" s="75">
        <f>60*F739*'THAM_SO_MOI'!$C$49/(2*PI()*'THAM_SO_MOI'!$C$26)</f>
        <v>2449.2499999999995</v>
      </c>
      <c r="F739" s="75">
        <f>'THAM_SO_MOI'!$E$49+('THAM_SO_MOI'!$F$49-'THAM_SO_MOI'!$E$49)*733/'THAM_SO_MOI'!$C$42</f>
        <v>3.8244370479947403</v>
      </c>
      <c r="G739" s="75">
        <f>3.6*F739</f>
        <v>13.767973372781066</v>
      </c>
      <c r="H739" s="75">
        <f>'THAM_SO_MOI'!$D$49</f>
        <v>3.1625000000000005</v>
      </c>
      <c r="I739" s="75">
        <f>IF(F739&gt;'THAM_SO_MOI'!$C$14,'THAM_SO_MOI'!$C$13*(1+F739^2/1500),'THAM_SO_MOI'!$C$13)</f>
        <v>0.015</v>
      </c>
      <c r="J739" s="75">
        <f>'THAM_SO_MOI'!$C$40*('THAM_SO_MOI'!$C$23*(E739/'THAM_SO_MOI'!$C$22)+'THAM_SO_MOI'!$C$24*(E739/'THAM_SO_MOI'!$C$22)^2-'THAM_SO_MOI'!$C$25*(E739/'THAM_SO_MOI'!$C$22)^3)</f>
        <v>109.30757625073014</v>
      </c>
      <c r="K739" s="75">
        <f>'THAM_SO_MOI'!$C$31*J739/E739</f>
        <v>426.25596164013007</v>
      </c>
      <c r="L739" s="75">
        <f>K739*'THAM_SO_MOI'!$C$49*'THAM_SO_MOI'!$C$17/'THAM_SO_MOI'!$C$26</f>
        <v>24298.731934815754</v>
      </c>
      <c r="M739" s="75">
        <f>'THAM_SO_MOI'!$C$15*'THAM_SO_MOI'!$C$16*F739^2</f>
        <v>42.78198229716857</v>
      </c>
      <c r="N739" s="75">
        <f>'THAM_SO_MOI'!$C$12*I739</f>
        <v>1130.112</v>
      </c>
      <c r="O739" s="75">
        <f>M739+N739</f>
        <v>1172.8939822971686</v>
      </c>
      <c r="P739" s="75">
        <f>(MIN(L739,'THAM_SO_MOI'!$C$41)-O739)/('THAM_SO_MOI'!$C$11*H739)</f>
        <v>0.9521507720898625</v>
      </c>
      <c r="Q739" s="75">
        <f>IF(P739&gt;0,1/P739,NA())</f>
        <v>1.0502538351201605</v>
      </c>
      <c r="R739" s="75">
        <f>F739-F738</f>
        <v>0.0035133136094671613</v>
      </c>
      <c r="S739" s="75">
        <f>0.5*(Q738+Q739)*R739</f>
        <v>0.0036895854649825954</v>
      </c>
      <c r="T739" s="75">
        <f>0.5*(F738*Q738+F739*Q739)*R739</f>
        <v>0.014104106510357843</v>
      </c>
      <c r="U739" s="76">
        <f>U738+S739</f>
        <v>2.8669953347522474</v>
      </c>
      <c r="V739" s="76">
        <f>V738+T739</f>
        <v>7.128172446685573</v>
      </c>
    </row>
    <row r="740" spans="1:22" ht="19" customHeight="1">
      <c r="A740" s="68" t="s">
        <v>368</v>
      </c>
      <c r="B740" s="74">
        <v>1</v>
      </c>
      <c r="C740" s="68" t="s">
        <v>363</v>
      </c>
      <c r="D740" s="68" t="s">
        <v>364</v>
      </c>
      <c r="E740" s="75">
        <f>60*F740*'THAM_SO_MOI'!$C$49/(2*PI()*'THAM_SO_MOI'!$C$26)</f>
        <v>2451.4999999999995</v>
      </c>
      <c r="F740" s="75">
        <f>'THAM_SO_MOI'!$E$49+('THAM_SO_MOI'!$F$49-'THAM_SO_MOI'!$E$49)*734/'THAM_SO_MOI'!$C$42</f>
        <v>3.8279503616042074</v>
      </c>
      <c r="G740" s="75">
        <f>3.6*F740</f>
        <v>13.780621301775147</v>
      </c>
      <c r="H740" s="75">
        <f>'THAM_SO_MOI'!$D$49</f>
        <v>3.1625000000000005</v>
      </c>
      <c r="I740" s="75">
        <f>IF(F740&gt;'THAM_SO_MOI'!$C$14,'THAM_SO_MOI'!$C$13*(1+F740^2/1500),'THAM_SO_MOI'!$C$13)</f>
        <v>0.015</v>
      </c>
      <c r="J740" s="75">
        <f>'THAM_SO_MOI'!$C$40*('THAM_SO_MOI'!$C$23*(E740/'THAM_SO_MOI'!$C$22)+'THAM_SO_MOI'!$C$24*(E740/'THAM_SO_MOI'!$C$22)^2-'THAM_SO_MOI'!$C$25*(E740/'THAM_SO_MOI'!$C$22)^3)</f>
        <v>109.3920960885807</v>
      </c>
      <c r="K740" s="75">
        <f>'THAM_SO_MOI'!$C$31*J740/E740</f>
        <v>426.1940327689779</v>
      </c>
      <c r="L740" s="75">
        <f>K740*'THAM_SO_MOI'!$C$49*'THAM_SO_MOI'!$C$17/'THAM_SO_MOI'!$C$26</f>
        <v>24295.201677940608</v>
      </c>
      <c r="M740" s="75">
        <f>'THAM_SO_MOI'!$C$15*'THAM_SO_MOI'!$C$16*F740^2</f>
        <v>42.860621614899415</v>
      </c>
      <c r="N740" s="75">
        <f>'THAM_SO_MOI'!$C$12*I740</f>
        <v>1130.112</v>
      </c>
      <c r="O740" s="75">
        <f>M740+N740</f>
        <v>1172.9726216148995</v>
      </c>
      <c r="P740" s="75">
        <f>(MIN(L740,'THAM_SO_MOI'!$C$41)-O740)/('THAM_SO_MOI'!$C$11*H740)</f>
        <v>0.9520021844666381</v>
      </c>
      <c r="Q740" s="75">
        <f>IF(P740&gt;0,1/P740,NA())</f>
        <v>1.0504177577704328</v>
      </c>
      <c r="R740" s="75">
        <f>F740-F739</f>
        <v>0.0035133136094671613</v>
      </c>
      <c r="S740" s="75">
        <f>0.5*(Q739+Q740)*R740</f>
        <v>0.0036901590481617907</v>
      </c>
      <c r="T740" s="75">
        <f>0.5*(F739*Q739+F740*Q740)*R740</f>
        <v>0.014119263825625046</v>
      </c>
      <c r="U740" s="76">
        <f>U739+S740</f>
        <v>2.8706854938004094</v>
      </c>
      <c r="V740" s="76">
        <f>V739+T740</f>
        <v>7.1422917105111985</v>
      </c>
    </row>
    <row r="741" spans="1:22" ht="19" customHeight="1">
      <c r="A741" s="68" t="s">
        <v>368</v>
      </c>
      <c r="B741" s="74">
        <v>1</v>
      </c>
      <c r="C741" s="68" t="s">
        <v>363</v>
      </c>
      <c r="D741" s="68" t="s">
        <v>364</v>
      </c>
      <c r="E741" s="75">
        <f>60*F741*'THAM_SO_MOI'!$C$49/(2*PI()*'THAM_SO_MOI'!$C$26)</f>
        <v>2453.75</v>
      </c>
      <c r="F741" s="75">
        <f>'THAM_SO_MOI'!$E$49+('THAM_SO_MOI'!$F$49-'THAM_SO_MOI'!$E$49)*735/'THAM_SO_MOI'!$C$42</f>
        <v>3.8314636752136755</v>
      </c>
      <c r="G741" s="75">
        <f>3.6*F741</f>
        <v>13.793269230769232</v>
      </c>
      <c r="H741" s="75">
        <f>'THAM_SO_MOI'!$D$49</f>
        <v>3.1625000000000005</v>
      </c>
      <c r="I741" s="75">
        <f>IF(F741&gt;'THAM_SO_MOI'!$C$14,'THAM_SO_MOI'!$C$13*(1+F741^2/1500),'THAM_SO_MOI'!$C$13)</f>
        <v>0.015</v>
      </c>
      <c r="J741" s="75">
        <f>'THAM_SO_MOI'!$C$40*('THAM_SO_MOI'!$C$23*(E741/'THAM_SO_MOI'!$C$22)+'THAM_SO_MOI'!$C$24*(E741/'THAM_SO_MOI'!$C$22)^2-'THAM_SO_MOI'!$C$25*(E741/'THAM_SO_MOI'!$C$22)^3)</f>
        <v>109.4764605715314</v>
      </c>
      <c r="K741" s="75">
        <f>'THAM_SO_MOI'!$C$31*J741/E741</f>
        <v>426.13161275976694</v>
      </c>
      <c r="L741" s="75">
        <f>K741*'THAM_SO_MOI'!$C$49*'THAM_SO_MOI'!$C$17/'THAM_SO_MOI'!$C$26</f>
        <v>24291.643423727928</v>
      </c>
      <c r="M741" s="75">
        <f>'THAM_SO_MOI'!$C$15*'THAM_SO_MOI'!$C$16*F741^2</f>
        <v>42.93933314135952</v>
      </c>
      <c r="N741" s="75">
        <f>'THAM_SO_MOI'!$C$12*I741</f>
        <v>1130.112</v>
      </c>
      <c r="O741" s="75">
        <f>M741+N741</f>
        <v>1173.0513331413597</v>
      </c>
      <c r="P741" s="75">
        <f>(MIN(L741,'THAM_SO_MOI'!$C$41)-O741)/('THAM_SO_MOI'!$C$11*H741)</f>
        <v>0.9518524411473388</v>
      </c>
      <c r="Q741" s="75">
        <f>IF(P741&gt;0,1/P741,NA())</f>
        <v>1.050583007167188</v>
      </c>
      <c r="R741" s="75">
        <f>F741-F740</f>
        <v>0.0035133136094680495</v>
      </c>
      <c r="S741" s="75">
        <f>0.5*(Q740+Q741)*R741</f>
        <v>0.0036907372904790626</v>
      </c>
      <c r="T741" s="75">
        <f>0.5*(F740*Q740+F741*Q741)*R741</f>
        <v>0.014134443014384981</v>
      </c>
      <c r="U741" s="76">
        <f>U740+S741</f>
        <v>2.8743762310908885</v>
      </c>
      <c r="V741" s="76">
        <f>V740+T741</f>
        <v>7.156426153525583</v>
      </c>
    </row>
    <row r="742" spans="1:22" ht="19" customHeight="1">
      <c r="A742" s="68" t="s">
        <v>368</v>
      </c>
      <c r="B742" s="74">
        <v>1</v>
      </c>
      <c r="C742" s="68" t="s">
        <v>363</v>
      </c>
      <c r="D742" s="68" t="s">
        <v>364</v>
      </c>
      <c r="E742" s="75">
        <f>60*F742*'THAM_SO_MOI'!$C$49/(2*PI()*'THAM_SO_MOI'!$C$26)</f>
        <v>2455.9999999999995</v>
      </c>
      <c r="F742" s="75">
        <f>'THAM_SO_MOI'!$E$49+('THAM_SO_MOI'!$F$49-'THAM_SO_MOI'!$E$49)*736/'THAM_SO_MOI'!$C$42</f>
        <v>3.8349769888231426</v>
      </c>
      <c r="G742" s="75">
        <f>3.6*F742</f>
        <v>13.805917159763315</v>
      </c>
      <c r="H742" s="75">
        <f>'THAM_SO_MOI'!$D$49</f>
        <v>3.1625000000000005</v>
      </c>
      <c r="I742" s="75">
        <f>IF(F742&gt;'THAM_SO_MOI'!$C$14,'THAM_SO_MOI'!$C$13*(1+F742^2/1500),'THAM_SO_MOI'!$C$13)</f>
        <v>0.015</v>
      </c>
      <c r="J742" s="75">
        <f>'THAM_SO_MOI'!$C$40*('THAM_SO_MOI'!$C$23*(E742/'THAM_SO_MOI'!$C$22)+'THAM_SO_MOI'!$C$24*(E742/'THAM_SO_MOI'!$C$22)^2-'THAM_SO_MOI'!$C$25*(E742/'THAM_SO_MOI'!$C$22)^3)</f>
        <v>109.56066935248266</v>
      </c>
      <c r="K742" s="75">
        <f>'THAM_SO_MOI'!$C$31*J742/E742</f>
        <v>426.06870161249725</v>
      </c>
      <c r="L742" s="75">
        <f>K742*'THAM_SO_MOI'!$C$49*'THAM_SO_MOI'!$C$17/'THAM_SO_MOI'!$C$26</f>
        <v>24288.05717217772</v>
      </c>
      <c r="M742" s="75">
        <f>'THAM_SO_MOI'!$C$15*'THAM_SO_MOI'!$C$16*F742^2</f>
        <v>43.01811687654884</v>
      </c>
      <c r="N742" s="75">
        <f>'THAM_SO_MOI'!$C$12*I742</f>
        <v>1130.112</v>
      </c>
      <c r="O742" s="75">
        <f>M742+N742</f>
        <v>1173.130116876549</v>
      </c>
      <c r="P742" s="75">
        <f>(MIN(L742,'THAM_SO_MOI'!$C$41)-O742)/('THAM_SO_MOI'!$C$11*H742)</f>
        <v>0.951701542131965</v>
      </c>
      <c r="Q742" s="75">
        <f>IF(P742&gt;0,1/P742,NA())</f>
        <v>1.0507495845386976</v>
      </c>
      <c r="R742" s="75">
        <f>F742-F741</f>
        <v>0.0035133136094671613</v>
      </c>
      <c r="S742" s="75">
        <f>0.5*(Q741+Q742)*R742</f>
        <v>0.0036913201962285942</v>
      </c>
      <c r="T742" s="75">
        <f>0.5*(F741*Q741+F742*Q742)*R742</f>
        <v>0.01414964414220527</v>
      </c>
      <c r="U742" s="76">
        <f>U741+S742</f>
        <v>2.878067551287117</v>
      </c>
      <c r="V742" s="76">
        <f>V741+T742</f>
        <v>7.170575797667788</v>
      </c>
    </row>
    <row r="743" spans="1:22" ht="19" customHeight="1">
      <c r="A743" s="68" t="s">
        <v>368</v>
      </c>
      <c r="B743" s="74">
        <v>1</v>
      </c>
      <c r="C743" s="68" t="s">
        <v>363</v>
      </c>
      <c r="D743" s="68" t="s">
        <v>364</v>
      </c>
      <c r="E743" s="75">
        <f>60*F743*'THAM_SO_MOI'!$C$49/(2*PI()*'THAM_SO_MOI'!$C$26)</f>
        <v>2458.2499999999995</v>
      </c>
      <c r="F743" s="75">
        <f>'THAM_SO_MOI'!$E$49+('THAM_SO_MOI'!$F$49-'THAM_SO_MOI'!$E$49)*737/'THAM_SO_MOI'!$C$42</f>
        <v>3.83849030243261</v>
      </c>
      <c r="G743" s="75">
        <f>3.6*F743</f>
        <v>13.818565088757396</v>
      </c>
      <c r="H743" s="75">
        <f>'THAM_SO_MOI'!$D$49</f>
        <v>3.1625000000000005</v>
      </c>
      <c r="I743" s="75">
        <f>IF(F743&gt;'THAM_SO_MOI'!$C$14,'THAM_SO_MOI'!$C$13*(1+F743^2/1500),'THAM_SO_MOI'!$C$13)</f>
        <v>0.015</v>
      </c>
      <c r="J743" s="75">
        <f>'THAM_SO_MOI'!$C$40*('THAM_SO_MOI'!$C$23*(E743/'THAM_SO_MOI'!$C$22)+'THAM_SO_MOI'!$C$24*(E743/'THAM_SO_MOI'!$C$22)^2-'THAM_SO_MOI'!$C$25*(E743/'THAM_SO_MOI'!$C$22)^3)</f>
        <v>109.64472208433494</v>
      </c>
      <c r="K743" s="75">
        <f>'THAM_SO_MOI'!$C$31*J743/E743</f>
        <v>426.00529932716864</v>
      </c>
      <c r="L743" s="75">
        <f>K743*'THAM_SO_MOI'!$C$49*'THAM_SO_MOI'!$C$17/'THAM_SO_MOI'!$C$26</f>
        <v>24284.44292328997</v>
      </c>
      <c r="M743" s="75">
        <f>'THAM_SO_MOI'!$C$15*'THAM_SO_MOI'!$C$16*F743^2</f>
        <v>43.09697282046738</v>
      </c>
      <c r="N743" s="75">
        <f>'THAM_SO_MOI'!$C$12*I743</f>
        <v>1130.112</v>
      </c>
      <c r="O743" s="75">
        <f>M743+N743</f>
        <v>1173.2089728204674</v>
      </c>
      <c r="P743" s="75">
        <f>(MIN(L743,'THAM_SO_MOI'!$C$41)-O743)/('THAM_SO_MOI'!$C$11*H743)</f>
        <v>0.9515494874205161</v>
      </c>
      <c r="Q743" s="75">
        <f>IF(P743&gt;0,1/P743,NA())</f>
        <v>1.0509174911236878</v>
      </c>
      <c r="R743" s="75">
        <f>F743-F742</f>
        <v>0.0035133136094671613</v>
      </c>
      <c r="S743" s="75">
        <f>0.5*(Q742+Q743)*R743</f>
        <v>0.0036919077697468547</v>
      </c>
      <c r="T743" s="75">
        <f>0.5*(F742*Q742+F743*Q743)*R743</f>
        <v>0.01416486727487611</v>
      </c>
      <c r="U743" s="76">
        <f>U742+S743</f>
        <v>2.881759459056864</v>
      </c>
      <c r="V743" s="76">
        <f>V742+T743</f>
        <v>7.184740664942664</v>
      </c>
    </row>
    <row r="744" spans="1:22" ht="19" customHeight="1">
      <c r="A744" s="68" t="s">
        <v>368</v>
      </c>
      <c r="B744" s="74">
        <v>1</v>
      </c>
      <c r="C744" s="68" t="s">
        <v>363</v>
      </c>
      <c r="D744" s="68" t="s">
        <v>364</v>
      </c>
      <c r="E744" s="75">
        <f>60*F744*'THAM_SO_MOI'!$C$49/(2*PI()*'THAM_SO_MOI'!$C$26)</f>
        <v>2460.5</v>
      </c>
      <c r="F744" s="75">
        <f>'THAM_SO_MOI'!$E$49+('THAM_SO_MOI'!$F$49-'THAM_SO_MOI'!$E$49)*738/'THAM_SO_MOI'!$C$42</f>
        <v>3.842003616042078</v>
      </c>
      <c r="G744" s="75">
        <f>3.6*F744</f>
        <v>13.83121301775148</v>
      </c>
      <c r="H744" s="75">
        <f>'THAM_SO_MOI'!$D$49</f>
        <v>3.1625000000000005</v>
      </c>
      <c r="I744" s="75">
        <f>IF(F744&gt;'THAM_SO_MOI'!$C$14,'THAM_SO_MOI'!$C$13*(1+F744^2/1500),'THAM_SO_MOI'!$C$13)</f>
        <v>0.015</v>
      </c>
      <c r="J744" s="75">
        <f>'THAM_SO_MOI'!$C$40*('THAM_SO_MOI'!$C$23*(E744/'THAM_SO_MOI'!$C$22)+'THAM_SO_MOI'!$C$24*(E744/'THAM_SO_MOI'!$C$22)^2-'THAM_SO_MOI'!$C$25*(E744/'THAM_SO_MOI'!$C$22)^3)</f>
        <v>109.7286184199888</v>
      </c>
      <c r="K744" s="75">
        <f>'THAM_SO_MOI'!$C$31*J744/E744</f>
        <v>425.94140590378146</v>
      </c>
      <c r="L744" s="75">
        <f>K744*'THAM_SO_MOI'!$C$49*'THAM_SO_MOI'!$C$17/'THAM_SO_MOI'!$C$26</f>
        <v>24280.8006770647</v>
      </c>
      <c r="M744" s="75">
        <f>'THAM_SO_MOI'!$C$15*'THAM_SO_MOI'!$C$16*F744^2</f>
        <v>43.17590097311518</v>
      </c>
      <c r="N744" s="75">
        <f>'THAM_SO_MOI'!$C$12*I744</f>
        <v>1130.112</v>
      </c>
      <c r="O744" s="75">
        <f>M744+N744</f>
        <v>1173.2879009731153</v>
      </c>
      <c r="P744" s="75">
        <f>(MIN(L744,'THAM_SO_MOI'!$C$41)-O744)/('THAM_SO_MOI'!$C$11*H744)</f>
        <v>0.9513962770129933</v>
      </c>
      <c r="Q744" s="75">
        <f>IF(P744&gt;0,1/P744,NA())</f>
        <v>1.0510867281713598</v>
      </c>
      <c r="R744" s="75">
        <f>F744-F743</f>
        <v>0.0035133136094680495</v>
      </c>
      <c r="S744" s="75">
        <f>0.5*(Q743+Q744)*R744</f>
        <v>0.003692500015404277</v>
      </c>
      <c r="T744" s="75">
        <f>0.5*(F743*Q743+F744*Q744)*R744</f>
        <v>0.0141801124783791</v>
      </c>
      <c r="U744" s="76">
        <f>U743+S744</f>
        <v>2.885451959072268</v>
      </c>
      <c r="V744" s="76">
        <f>V743+T744</f>
        <v>7.198920777421043</v>
      </c>
    </row>
    <row r="745" spans="1:22" ht="19" customHeight="1">
      <c r="A745" s="68" t="s">
        <v>368</v>
      </c>
      <c r="B745" s="74">
        <v>1</v>
      </c>
      <c r="C745" s="68" t="s">
        <v>363</v>
      </c>
      <c r="D745" s="68" t="s">
        <v>364</v>
      </c>
      <c r="E745" s="75">
        <f>60*F745*'THAM_SO_MOI'!$C$49/(2*PI()*'THAM_SO_MOI'!$C$26)</f>
        <v>2462.75</v>
      </c>
      <c r="F745" s="75">
        <f>'THAM_SO_MOI'!$E$49+('THAM_SO_MOI'!$F$49-'THAM_SO_MOI'!$E$49)*739/'THAM_SO_MOI'!$C$42</f>
        <v>3.845516929651545</v>
      </c>
      <c r="G745" s="75">
        <f>3.6*F745</f>
        <v>13.843860946745563</v>
      </c>
      <c r="H745" s="75">
        <f>'THAM_SO_MOI'!$D$49</f>
        <v>3.1625000000000005</v>
      </c>
      <c r="I745" s="75">
        <f>IF(F745&gt;'THAM_SO_MOI'!$C$14,'THAM_SO_MOI'!$C$13*(1+F745^2/1500),'THAM_SO_MOI'!$C$13)</f>
        <v>0.015</v>
      </c>
      <c r="J745" s="75">
        <f>'THAM_SO_MOI'!$C$40*('THAM_SO_MOI'!$C$23*(E745/'THAM_SO_MOI'!$C$22)+'THAM_SO_MOI'!$C$24*(E745/'THAM_SO_MOI'!$C$22)^2-'THAM_SO_MOI'!$C$25*(E745/'THAM_SO_MOI'!$C$22)^3)</f>
        <v>109.81235801234456</v>
      </c>
      <c r="K745" s="75">
        <f>'THAM_SO_MOI'!$C$31*J745/E745</f>
        <v>425.87702134233535</v>
      </c>
      <c r="L745" s="75">
        <f>K745*'THAM_SO_MOI'!$C$49*'THAM_SO_MOI'!$C$17/'THAM_SO_MOI'!$C$26</f>
        <v>24277.13043350189</v>
      </c>
      <c r="M745" s="75">
        <f>'THAM_SO_MOI'!$C$15*'THAM_SO_MOI'!$C$16*F745^2</f>
        <v>43.25490133449219</v>
      </c>
      <c r="N745" s="75">
        <f>'THAM_SO_MOI'!$C$12*I745</f>
        <v>1130.112</v>
      </c>
      <c r="O745" s="75">
        <f>M745+N745</f>
        <v>1173.3669013344922</v>
      </c>
      <c r="P745" s="75">
        <f>(MIN(L745,'THAM_SO_MOI'!$C$41)-O745)/('THAM_SO_MOI'!$C$11*H745)</f>
        <v>0.9512419109093954</v>
      </c>
      <c r="Q745" s="75">
        <f>IF(P745&gt;0,1/P745,NA())</f>
        <v>1.0512572969414178</v>
      </c>
      <c r="R745" s="75">
        <f>F745-F744</f>
        <v>0.0035133136094671613</v>
      </c>
      <c r="S745" s="75">
        <f>0.5*(Q744+Q745)*R745</f>
        <v>0.0036930969376053465</v>
      </c>
      <c r="T745" s="75">
        <f>0.5*(F744*Q744+F745*Q745)*R745</f>
        <v>0.014195379818888116</v>
      </c>
      <c r="U745" s="76">
        <f>U744+S745</f>
        <v>2.8891450560098733</v>
      </c>
      <c r="V745" s="76">
        <f>V744+T745</f>
        <v>7.213116157239932</v>
      </c>
    </row>
    <row r="746" spans="1:22" ht="19" customHeight="1">
      <c r="A746" s="68" t="s">
        <v>368</v>
      </c>
      <c r="B746" s="74">
        <v>1</v>
      </c>
      <c r="C746" s="68" t="s">
        <v>363</v>
      </c>
      <c r="D746" s="68" t="s">
        <v>364</v>
      </c>
      <c r="E746" s="75">
        <f>60*F746*'THAM_SO_MOI'!$C$49/(2*PI()*'THAM_SO_MOI'!$C$26)</f>
        <v>2464.9999999999995</v>
      </c>
      <c r="F746" s="75">
        <f>'THAM_SO_MOI'!$E$49+('THAM_SO_MOI'!$F$49-'THAM_SO_MOI'!$E$49)*740/'THAM_SO_MOI'!$C$42</f>
        <v>3.849030243261012</v>
      </c>
      <c r="G746" s="75">
        <f>3.6*F746</f>
        <v>13.856508875739644</v>
      </c>
      <c r="H746" s="75">
        <f>'THAM_SO_MOI'!$D$49</f>
        <v>3.1625000000000005</v>
      </c>
      <c r="I746" s="75">
        <f>IF(F746&gt;'THAM_SO_MOI'!$C$14,'THAM_SO_MOI'!$C$13*(1+F746^2/1500),'THAM_SO_MOI'!$C$13)</f>
        <v>0.015</v>
      </c>
      <c r="J746" s="75">
        <f>'THAM_SO_MOI'!$C$40*('THAM_SO_MOI'!$C$23*(E746/'THAM_SO_MOI'!$C$22)+'THAM_SO_MOI'!$C$24*(E746/'THAM_SO_MOI'!$C$22)^2-'THAM_SO_MOI'!$C$25*(E746/'THAM_SO_MOI'!$C$22)^3)</f>
        <v>109.8959405143027</v>
      </c>
      <c r="K746" s="75">
        <f>'THAM_SO_MOI'!$C$31*J746/E746</f>
        <v>425.8121456428305</v>
      </c>
      <c r="L746" s="75">
        <f>K746*'THAM_SO_MOI'!$C$49*'THAM_SO_MOI'!$C$17/'THAM_SO_MOI'!$C$26</f>
        <v>24273.432192601544</v>
      </c>
      <c r="M746" s="75">
        <f>'THAM_SO_MOI'!$C$15*'THAM_SO_MOI'!$C$16*F746^2</f>
        <v>43.33397390459844</v>
      </c>
      <c r="N746" s="75">
        <f>'THAM_SO_MOI'!$C$12*I746</f>
        <v>1130.112</v>
      </c>
      <c r="O746" s="75">
        <f>M746+N746</f>
        <v>1173.4459739045985</v>
      </c>
      <c r="P746" s="75">
        <f>(MIN(L746,'THAM_SO_MOI'!$C$41)-O746)/('THAM_SO_MOI'!$C$11*H746)</f>
        <v>0.9510863891097225</v>
      </c>
      <c r="Q746" s="75">
        <f>IF(P746&gt;0,1/P746,NA())</f>
        <v>1.051429198704088</v>
      </c>
      <c r="R746" s="75">
        <f>F746-F745</f>
        <v>0.0035133136094671613</v>
      </c>
      <c r="S746" s="75">
        <f>0.5*(Q745+Q746)*R746</f>
        <v>0.0036936985407970842</v>
      </c>
      <c r="T746" s="75">
        <f>0.5*(F745*Q745+F746*Q746)*R746</f>
        <v>0.014210669362802596</v>
      </c>
      <c r="U746" s="76">
        <f>U745+S746</f>
        <v>2.89283875455067</v>
      </c>
      <c r="V746" s="76">
        <f>V745+T746</f>
        <v>7.227326826602734</v>
      </c>
    </row>
    <row r="747" spans="1:22" ht="19" customHeight="1">
      <c r="A747" s="68" t="s">
        <v>368</v>
      </c>
      <c r="B747" s="74">
        <v>1</v>
      </c>
      <c r="C747" s="68" t="s">
        <v>363</v>
      </c>
      <c r="D747" s="68" t="s">
        <v>364</v>
      </c>
      <c r="E747" s="75">
        <f>60*F747*'THAM_SO_MOI'!$C$49/(2*PI()*'THAM_SO_MOI'!$C$26)</f>
        <v>2467.25</v>
      </c>
      <c r="F747" s="75">
        <f>'THAM_SO_MOI'!$E$49+('THAM_SO_MOI'!$F$49-'THAM_SO_MOI'!$E$49)*741/'THAM_SO_MOI'!$C$42</f>
        <v>3.8525435568704802</v>
      </c>
      <c r="G747" s="75">
        <f>3.6*F747</f>
        <v>13.869156804733729</v>
      </c>
      <c r="H747" s="75">
        <f>'THAM_SO_MOI'!$D$49</f>
        <v>3.1625000000000005</v>
      </c>
      <c r="I747" s="75">
        <f>IF(F747&gt;'THAM_SO_MOI'!$C$14,'THAM_SO_MOI'!$C$13*(1+F747^2/1500),'THAM_SO_MOI'!$C$13)</f>
        <v>0.015</v>
      </c>
      <c r="J747" s="75">
        <f>'THAM_SO_MOI'!$C$40*('THAM_SO_MOI'!$C$23*(E747/'THAM_SO_MOI'!$C$22)+'THAM_SO_MOI'!$C$24*(E747/'THAM_SO_MOI'!$C$22)^2-'THAM_SO_MOI'!$C$25*(E747/'THAM_SO_MOI'!$C$22)^3)</f>
        <v>109.97936557876372</v>
      </c>
      <c r="K747" s="75">
        <f>'THAM_SO_MOI'!$C$31*J747/E747</f>
        <v>425.74677880526684</v>
      </c>
      <c r="L747" s="75">
        <f>K747*'THAM_SO_MOI'!$C$49*'THAM_SO_MOI'!$C$17/'THAM_SO_MOI'!$C$26</f>
        <v>24269.70595436367</v>
      </c>
      <c r="M747" s="75">
        <f>'THAM_SO_MOI'!$C$15*'THAM_SO_MOI'!$C$16*F747^2</f>
        <v>43.413118683433936</v>
      </c>
      <c r="N747" s="75">
        <f>'THAM_SO_MOI'!$C$12*I747</f>
        <v>1130.112</v>
      </c>
      <c r="O747" s="75">
        <f>M747+N747</f>
        <v>1173.525118683434</v>
      </c>
      <c r="P747" s="75">
        <f>(MIN(L747,'THAM_SO_MOI'!$C$41)-O747)/('THAM_SO_MOI'!$C$11*H747)</f>
        <v>0.9509297116139753</v>
      </c>
      <c r="Q747" s="75">
        <f>IF(P747&gt;0,1/P747,NA())</f>
        <v>1.0516024347401447</v>
      </c>
      <c r="R747" s="75">
        <f>F747-F746</f>
        <v>0.0035133136094680495</v>
      </c>
      <c r="S747" s="75">
        <f>0.5*(Q746+Q747)*R747</f>
        <v>0.0036943048294607226</v>
      </c>
      <c r="T747" s="75">
        <f>0.5*(F746*Q746+F747*Q747)*R747</f>
        <v>0.014225981176716205</v>
      </c>
      <c r="U747" s="76">
        <f>U746+S747</f>
        <v>2.896533059380131</v>
      </c>
      <c r="V747" s="76">
        <f>V746+T747</f>
        <v>7.241552807779451</v>
      </c>
    </row>
    <row r="748" spans="1:22" ht="19" customHeight="1">
      <c r="A748" s="68" t="s">
        <v>368</v>
      </c>
      <c r="B748" s="74">
        <v>1</v>
      </c>
      <c r="C748" s="68" t="s">
        <v>363</v>
      </c>
      <c r="D748" s="68" t="s">
        <v>364</v>
      </c>
      <c r="E748" s="75">
        <f>60*F748*'THAM_SO_MOI'!$C$49/(2*PI()*'THAM_SO_MOI'!$C$26)</f>
        <v>2469.5</v>
      </c>
      <c r="F748" s="75">
        <f>'THAM_SO_MOI'!$E$49+('THAM_SO_MOI'!$F$49-'THAM_SO_MOI'!$E$49)*742/'THAM_SO_MOI'!$C$42</f>
        <v>3.8560568704799474</v>
      </c>
      <c r="G748" s="75">
        <f>3.6*F748</f>
        <v>13.881804733727812</v>
      </c>
      <c r="H748" s="75">
        <f>'THAM_SO_MOI'!$D$49</f>
        <v>3.1625000000000005</v>
      </c>
      <c r="I748" s="75">
        <f>IF(F748&gt;'THAM_SO_MOI'!$C$14,'THAM_SO_MOI'!$C$13*(1+F748^2/1500),'THAM_SO_MOI'!$C$13)</f>
        <v>0.015</v>
      </c>
      <c r="J748" s="75">
        <f>'THAM_SO_MOI'!$C$40*('THAM_SO_MOI'!$C$23*(E748/'THAM_SO_MOI'!$C$22)+'THAM_SO_MOI'!$C$24*(E748/'THAM_SO_MOI'!$C$22)^2-'THAM_SO_MOI'!$C$25*(E748/'THAM_SO_MOI'!$C$22)^3)</f>
        <v>110.06263285862806</v>
      </c>
      <c r="K748" s="75">
        <f>'THAM_SO_MOI'!$C$31*J748/E748</f>
        <v>425.68092082964444</v>
      </c>
      <c r="L748" s="75">
        <f>K748*'THAM_SO_MOI'!$C$49*'THAM_SO_MOI'!$C$17/'THAM_SO_MOI'!$C$26</f>
        <v>24265.951718788263</v>
      </c>
      <c r="M748" s="75">
        <f>'THAM_SO_MOI'!$C$15*'THAM_SO_MOI'!$C$16*F748^2</f>
        <v>43.49233567099865</v>
      </c>
      <c r="N748" s="75">
        <f>'THAM_SO_MOI'!$C$12*I748</f>
        <v>1130.112</v>
      </c>
      <c r="O748" s="75">
        <f>M748+N748</f>
        <v>1173.6043356709988</v>
      </c>
      <c r="P748" s="75">
        <f>(MIN(L748,'THAM_SO_MOI'!$C$41)-O748)/('THAM_SO_MOI'!$C$11*H748)</f>
        <v>0.9507718784221533</v>
      </c>
      <c r="Q748" s="75">
        <f>IF(P748&gt;0,1/P748,NA())</f>
        <v>1.0517770063409353</v>
      </c>
      <c r="R748" s="75">
        <f>F748-F747</f>
        <v>0.0035133136094671613</v>
      </c>
      <c r="S748" s="75">
        <f>0.5*(Q747+Q748)*R748</f>
        <v>0.003694915808111795</v>
      </c>
      <c r="T748" s="75">
        <f>0.5*(F747*Q747+F748*Q748)*R748</f>
        <v>0.014241315327417792</v>
      </c>
      <c r="U748" s="76">
        <f>U747+S748</f>
        <v>2.9002279751882427</v>
      </c>
      <c r="V748" s="76">
        <f>V747+T748</f>
        <v>7.2557941231068686</v>
      </c>
    </row>
    <row r="749" spans="1:22" ht="19" customHeight="1">
      <c r="A749" s="68" t="s">
        <v>368</v>
      </c>
      <c r="B749" s="74">
        <v>1</v>
      </c>
      <c r="C749" s="68" t="s">
        <v>363</v>
      </c>
      <c r="D749" s="68" t="s">
        <v>364</v>
      </c>
      <c r="E749" s="75">
        <f>60*F749*'THAM_SO_MOI'!$C$49/(2*PI()*'THAM_SO_MOI'!$C$26)</f>
        <v>2471.7499999999995</v>
      </c>
      <c r="F749" s="75">
        <f>'THAM_SO_MOI'!$E$49+('THAM_SO_MOI'!$F$49-'THAM_SO_MOI'!$E$49)*743/'THAM_SO_MOI'!$C$42</f>
        <v>3.8595701840894145</v>
      </c>
      <c r="G749" s="75">
        <f>3.6*F749</f>
        <v>13.894452662721893</v>
      </c>
      <c r="H749" s="75">
        <f>'THAM_SO_MOI'!$D$49</f>
        <v>3.1625000000000005</v>
      </c>
      <c r="I749" s="75">
        <f>IF(F749&gt;'THAM_SO_MOI'!$C$14,'THAM_SO_MOI'!$C$13*(1+F749^2/1500),'THAM_SO_MOI'!$C$13)</f>
        <v>0.015</v>
      </c>
      <c r="J749" s="75">
        <f>'THAM_SO_MOI'!$C$40*('THAM_SO_MOI'!$C$23*(E749/'THAM_SO_MOI'!$C$22)+'THAM_SO_MOI'!$C$24*(E749/'THAM_SO_MOI'!$C$22)^2-'THAM_SO_MOI'!$C$25*(E749/'THAM_SO_MOI'!$C$22)^3)</f>
        <v>110.14574200679617</v>
      </c>
      <c r="K749" s="75">
        <f>'THAM_SO_MOI'!$C$31*J749/E749</f>
        <v>425.6145717159633</v>
      </c>
      <c r="L749" s="75">
        <f>K749*'THAM_SO_MOI'!$C$49*'THAM_SO_MOI'!$C$17/'THAM_SO_MOI'!$C$26</f>
        <v>24262.16948587533</v>
      </c>
      <c r="M749" s="75">
        <f>'THAM_SO_MOI'!$C$15*'THAM_SO_MOI'!$C$16*F749^2</f>
        <v>43.5716248672926</v>
      </c>
      <c r="N749" s="75">
        <f>'THAM_SO_MOI'!$C$12*I749</f>
        <v>1130.112</v>
      </c>
      <c r="O749" s="75">
        <f>M749+N749</f>
        <v>1173.6836248672926</v>
      </c>
      <c r="P749" s="75">
        <f>(MIN(L749,'THAM_SO_MOI'!$C$41)-O749)/('THAM_SO_MOI'!$C$11*H749)</f>
        <v>0.9506128895342568</v>
      </c>
      <c r="Q749" s="75">
        <f>IF(P749&gt;0,1/P749,NA())</f>
        <v>1.051952914808403</v>
      </c>
      <c r="R749" s="75">
        <f>F749-F748</f>
        <v>0.0035133136094671613</v>
      </c>
      <c r="S749" s="75">
        <f>0.5*(Q748+Q749)*R749</f>
        <v>0.0036955314813086246</v>
      </c>
      <c r="T749" s="75">
        <f>0.5*(F748*Q748+F749*Q749)*R749</f>
        <v>0.014256671881924744</v>
      </c>
      <c r="U749" s="76">
        <f>U748+S749</f>
        <v>2.9039235066695515</v>
      </c>
      <c r="V749" s="76">
        <f>V748+T749</f>
        <v>7.270050794988793</v>
      </c>
    </row>
    <row r="750" spans="1:22" ht="19" customHeight="1">
      <c r="A750" s="68" t="s">
        <v>368</v>
      </c>
      <c r="B750" s="74">
        <v>1</v>
      </c>
      <c r="C750" s="68" t="s">
        <v>363</v>
      </c>
      <c r="D750" s="68" t="s">
        <v>364</v>
      </c>
      <c r="E750" s="75">
        <f>60*F750*'THAM_SO_MOI'!$C$49/(2*PI()*'THAM_SO_MOI'!$C$26)</f>
        <v>2474.0</v>
      </c>
      <c r="F750" s="75">
        <f>'THAM_SO_MOI'!$E$49+('THAM_SO_MOI'!$F$49-'THAM_SO_MOI'!$E$49)*744/'THAM_SO_MOI'!$C$42</f>
        <v>3.8630834976988826</v>
      </c>
      <c r="G750" s="75">
        <f>3.6*F750</f>
        <v>13.907100591715977</v>
      </c>
      <c r="H750" s="75">
        <f>'THAM_SO_MOI'!$D$49</f>
        <v>3.1625000000000005</v>
      </c>
      <c r="I750" s="75">
        <f>IF(F750&gt;'THAM_SO_MOI'!$C$14,'THAM_SO_MOI'!$C$13*(1+F750^2/1500),'THAM_SO_MOI'!$C$13)</f>
        <v>0.015</v>
      </c>
      <c r="J750" s="75">
        <f>'THAM_SO_MOI'!$C$40*('THAM_SO_MOI'!$C$23*(E750/'THAM_SO_MOI'!$C$22)+'THAM_SO_MOI'!$C$24*(E750/'THAM_SO_MOI'!$C$22)^2-'THAM_SO_MOI'!$C$25*(E750/'THAM_SO_MOI'!$C$22)^3)</f>
        <v>110.2286926761685</v>
      </c>
      <c r="K750" s="75">
        <f>'THAM_SO_MOI'!$C$31*J750/E750</f>
        <v>425.54773146422326</v>
      </c>
      <c r="L750" s="75">
        <f>K750*'THAM_SO_MOI'!$C$49*'THAM_SO_MOI'!$C$17/'THAM_SO_MOI'!$C$26</f>
        <v>24258.359255624855</v>
      </c>
      <c r="M750" s="75">
        <f>'THAM_SO_MOI'!$C$15*'THAM_SO_MOI'!$C$16*F750^2</f>
        <v>43.6509862723158</v>
      </c>
      <c r="N750" s="75">
        <f>'THAM_SO_MOI'!$C$12*I750</f>
        <v>1130.112</v>
      </c>
      <c r="O750" s="75">
        <f>M750+N750</f>
        <v>1173.7629862723159</v>
      </c>
      <c r="P750" s="75">
        <f>(MIN(L750,'THAM_SO_MOI'!$C$41)-O750)/('THAM_SO_MOI'!$C$11*H750)</f>
        <v>0.9504527449502855</v>
      </c>
      <c r="Q750" s="75">
        <f>IF(P750&gt;0,1/P750,NA())</f>
        <v>1.0521301614551137</v>
      </c>
      <c r="R750" s="75">
        <f>F750-F749</f>
        <v>0.0035133136094680495</v>
      </c>
      <c r="S750" s="75">
        <f>0.5*(Q749+Q750)*R750</f>
        <v>0.003696151853644006</v>
      </c>
      <c r="T750" s="75">
        <f>0.5*(F749*Q749+F750*Q750)*R750</f>
        <v>0.01427205090745161</v>
      </c>
      <c r="U750" s="76">
        <f>U749+S750</f>
        <v>2.9076196585231955</v>
      </c>
      <c r="V750" s="76">
        <f>V749+T750</f>
        <v>7.284322845896245</v>
      </c>
    </row>
    <row r="751" spans="1:22" ht="19" customHeight="1">
      <c r="A751" s="68" t="s">
        <v>368</v>
      </c>
      <c r="B751" s="74">
        <v>1</v>
      </c>
      <c r="C751" s="68" t="s">
        <v>363</v>
      </c>
      <c r="D751" s="68" t="s">
        <v>364</v>
      </c>
      <c r="E751" s="75">
        <f>60*F751*'THAM_SO_MOI'!$C$49/(2*PI()*'THAM_SO_MOI'!$C$26)</f>
        <v>2476.2499999999995</v>
      </c>
      <c r="F751" s="75">
        <f>'THAM_SO_MOI'!$E$49+('THAM_SO_MOI'!$F$49-'THAM_SO_MOI'!$E$49)*745/'THAM_SO_MOI'!$C$42</f>
        <v>3.8665968113083498</v>
      </c>
      <c r="G751" s="75">
        <f>3.6*F751</f>
        <v>13.91974852071006</v>
      </c>
      <c r="H751" s="75">
        <f>'THAM_SO_MOI'!$D$49</f>
        <v>3.1625000000000005</v>
      </c>
      <c r="I751" s="75">
        <f>IF(F751&gt;'THAM_SO_MOI'!$C$14,'THAM_SO_MOI'!$C$13*(1+F751^2/1500),'THAM_SO_MOI'!$C$13)</f>
        <v>0.015</v>
      </c>
      <c r="J751" s="75">
        <f>'THAM_SO_MOI'!$C$40*('THAM_SO_MOI'!$C$23*(E751/'THAM_SO_MOI'!$C$22)+'THAM_SO_MOI'!$C$24*(E751/'THAM_SO_MOI'!$C$22)^2-'THAM_SO_MOI'!$C$25*(E751/'THAM_SO_MOI'!$C$22)^3)</f>
        <v>110.31148451964555</v>
      </c>
      <c r="K751" s="75">
        <f>'THAM_SO_MOI'!$C$31*J751/E751</f>
        <v>425.4804000744246</v>
      </c>
      <c r="L751" s="75">
        <f>K751*'THAM_SO_MOI'!$C$49*'THAM_SO_MOI'!$C$17/'THAM_SO_MOI'!$C$26</f>
        <v>24254.521028036852</v>
      </c>
      <c r="M751" s="75">
        <f>'THAM_SO_MOI'!$C$15*'THAM_SO_MOI'!$C$16*F751^2</f>
        <v>43.730419886068205</v>
      </c>
      <c r="N751" s="75">
        <f>'THAM_SO_MOI'!$C$12*I751</f>
        <v>1130.112</v>
      </c>
      <c r="O751" s="75">
        <f>M751+N751</f>
        <v>1173.8424198860682</v>
      </c>
      <c r="P751" s="75">
        <f>(MIN(L751,'THAM_SO_MOI'!$C$41)-O751)/('THAM_SO_MOI'!$C$11*H751)</f>
        <v>0.9502914446702395</v>
      </c>
      <c r="Q751" s="75">
        <f>IF(P751&gt;0,1/P751,NA())</f>
        <v>1.0523087476042783</v>
      </c>
      <c r="R751" s="75">
        <f>F751-F750</f>
        <v>0.0035133136094671613</v>
      </c>
      <c r="S751" s="75">
        <f>0.5*(Q750+Q751)*R751</f>
        <v>0.0036967769297452944</v>
      </c>
      <c r="T751" s="75">
        <f>0.5*(F750*Q750+F751*Q751)*R751</f>
        <v>0.014287452471411045</v>
      </c>
      <c r="U751" s="76">
        <f>U750+S751</f>
        <v>2.9113164354529406</v>
      </c>
      <c r="V751" s="76">
        <f>V750+T751</f>
        <v>7.298610298367656</v>
      </c>
    </row>
    <row r="752" spans="1:22" ht="19" customHeight="1">
      <c r="A752" s="68" t="s">
        <v>368</v>
      </c>
      <c r="B752" s="74">
        <v>1</v>
      </c>
      <c r="C752" s="68" t="s">
        <v>363</v>
      </c>
      <c r="D752" s="68" t="s">
        <v>364</v>
      </c>
      <c r="E752" s="75">
        <f>60*F752*'THAM_SO_MOI'!$C$49/(2*PI()*'THAM_SO_MOI'!$C$26)</f>
        <v>2478.4999999999995</v>
      </c>
      <c r="F752" s="75">
        <f>'THAM_SO_MOI'!$E$49+('THAM_SO_MOI'!$F$49-'THAM_SO_MOI'!$E$49)*746/'THAM_SO_MOI'!$C$42</f>
        <v>3.870110124917817</v>
      </c>
      <c r="G752" s="75">
        <f>3.6*F752</f>
        <v>13.932396449704141</v>
      </c>
      <c r="H752" s="75">
        <f>'THAM_SO_MOI'!$D$49</f>
        <v>3.1625000000000005</v>
      </c>
      <c r="I752" s="75">
        <f>IF(F752&gt;'THAM_SO_MOI'!$C$14,'THAM_SO_MOI'!$C$13*(1+F752^2/1500),'THAM_SO_MOI'!$C$13)</f>
        <v>0.015</v>
      </c>
      <c r="J752" s="75">
        <f>'THAM_SO_MOI'!$C$40*('THAM_SO_MOI'!$C$23*(E752/'THAM_SO_MOI'!$C$22)+'THAM_SO_MOI'!$C$24*(E752/'THAM_SO_MOI'!$C$22)^2-'THAM_SO_MOI'!$C$25*(E752/'THAM_SO_MOI'!$C$22)^3)</f>
        <v>110.39411719012772</v>
      </c>
      <c r="K752" s="75">
        <f>'THAM_SO_MOI'!$C$31*J752/E752</f>
        <v>425.41257754656715</v>
      </c>
      <c r="L752" s="75">
        <f>K752*'THAM_SO_MOI'!$C$49*'THAM_SO_MOI'!$C$17/'THAM_SO_MOI'!$C$26</f>
        <v>24250.65480311132</v>
      </c>
      <c r="M752" s="75">
        <f>'THAM_SO_MOI'!$C$15*'THAM_SO_MOI'!$C$16*F752^2</f>
        <v>43.80992570854985</v>
      </c>
      <c r="N752" s="75">
        <f>'THAM_SO_MOI'!$C$12*I752</f>
        <v>1130.112</v>
      </c>
      <c r="O752" s="75">
        <f>M752+N752</f>
        <v>1173.92192570855</v>
      </c>
      <c r="P752" s="75">
        <f>(MIN(L752,'THAM_SO_MOI'!$C$41)-O752)/('THAM_SO_MOI'!$C$11*H752)</f>
        <v>0.9501289886941192</v>
      </c>
      <c r="Q752" s="75">
        <f>IF(P752&gt;0,1/P752,NA())</f>
        <v>1.0524886745897784</v>
      </c>
      <c r="R752" s="75">
        <f>F752-F751</f>
        <v>0.0035133136094671613</v>
      </c>
      <c r="S752" s="75">
        <f>0.5*(Q751+Q752)*R752</f>
        <v>0.0036974067142828888</v>
      </c>
      <c r="T752" s="75">
        <f>0.5*(F751*Q751+F752*Q752)*R752</f>
        <v>0.014302876641447266</v>
      </c>
      <c r="U752" s="76">
        <f>U751+S752</f>
        <v>2.9150138421672236</v>
      </c>
      <c r="V752" s="76">
        <f>V751+T752</f>
        <v>7.312913175009103</v>
      </c>
    </row>
    <row r="753" spans="1:22" ht="19" customHeight="1">
      <c r="A753" s="68" t="s">
        <v>368</v>
      </c>
      <c r="B753" s="74">
        <v>1</v>
      </c>
      <c r="C753" s="68" t="s">
        <v>363</v>
      </c>
      <c r="D753" s="68" t="s">
        <v>364</v>
      </c>
      <c r="E753" s="75">
        <f>60*F753*'THAM_SO_MOI'!$C$49/(2*PI()*'THAM_SO_MOI'!$C$26)</f>
        <v>2480.75</v>
      </c>
      <c r="F753" s="75">
        <f>'THAM_SO_MOI'!$E$49+('THAM_SO_MOI'!$F$49-'THAM_SO_MOI'!$E$49)*747/'THAM_SO_MOI'!$C$42</f>
        <v>3.873623438527285</v>
      </c>
      <c r="G753" s="75">
        <f>3.6*F753</f>
        <v>13.945044378698226</v>
      </c>
      <c r="H753" s="75">
        <f>'THAM_SO_MOI'!$D$49</f>
        <v>3.1625000000000005</v>
      </c>
      <c r="I753" s="75">
        <f>IF(F753&gt;'THAM_SO_MOI'!$C$14,'THAM_SO_MOI'!$C$13*(1+F753^2/1500),'THAM_SO_MOI'!$C$13)</f>
        <v>0.015</v>
      </c>
      <c r="J753" s="75">
        <f>'THAM_SO_MOI'!$C$40*('THAM_SO_MOI'!$C$23*(E753/'THAM_SO_MOI'!$C$22)+'THAM_SO_MOI'!$C$24*(E753/'THAM_SO_MOI'!$C$22)^2-'THAM_SO_MOI'!$C$25*(E753/'THAM_SO_MOI'!$C$22)^3)</f>
        <v>110.47659034051544</v>
      </c>
      <c r="K753" s="75">
        <f>'THAM_SO_MOI'!$C$31*J753/E753</f>
        <v>425.34426388065066</v>
      </c>
      <c r="L753" s="75">
        <f>K753*'THAM_SO_MOI'!$C$49*'THAM_SO_MOI'!$C$17/'THAM_SO_MOI'!$C$26</f>
        <v>24246.760580848244</v>
      </c>
      <c r="M753" s="75">
        <f>'THAM_SO_MOI'!$C$15*'THAM_SO_MOI'!$C$16*F753^2</f>
        <v>43.88950373976075</v>
      </c>
      <c r="N753" s="75">
        <f>'THAM_SO_MOI'!$C$12*I753</f>
        <v>1130.112</v>
      </c>
      <c r="O753" s="75">
        <f>M753+N753</f>
        <v>1174.001503739761</v>
      </c>
      <c r="P753" s="75">
        <f>(MIN(L753,'THAM_SO_MOI'!$C$41)-O753)/('THAM_SO_MOI'!$C$11*H753)</f>
        <v>0.9499653770219236</v>
      </c>
      <c r="Q753" s="75">
        <f>IF(P753&gt;0,1/P753,NA())</f>
        <v>1.052669943756194</v>
      </c>
      <c r="R753" s="75">
        <f>F753-F752</f>
        <v>0.0035133136094680495</v>
      </c>
      <c r="S753" s="75">
        <f>0.5*(Q752+Q753)*R753</f>
        <v>0.0036980412119619298</v>
      </c>
      <c r="T753" s="75">
        <f>0.5*(F752*Q752+F753*Q753)*R753</f>
        <v>0.01431832348540461</v>
      </c>
      <c r="U753" s="76">
        <f>U752+S753</f>
        <v>2.9187118833791854</v>
      </c>
      <c r="V753" s="76">
        <f>V752+T753</f>
        <v>7.327231498494508</v>
      </c>
    </row>
    <row r="754" spans="1:22" ht="19" customHeight="1">
      <c r="A754" s="68" t="s">
        <v>368</v>
      </c>
      <c r="B754" s="74">
        <v>1</v>
      </c>
      <c r="C754" s="68" t="s">
        <v>363</v>
      </c>
      <c r="D754" s="68" t="s">
        <v>364</v>
      </c>
      <c r="E754" s="75">
        <f>60*F754*'THAM_SO_MOI'!$C$49/(2*PI()*'THAM_SO_MOI'!$C$26)</f>
        <v>2482.9999999999995</v>
      </c>
      <c r="F754" s="75">
        <f>'THAM_SO_MOI'!$E$49+('THAM_SO_MOI'!$F$49-'THAM_SO_MOI'!$E$49)*748/'THAM_SO_MOI'!$C$42</f>
        <v>3.877136752136752</v>
      </c>
      <c r="G754" s="75">
        <f>3.6*F754</f>
        <v>13.957692307692309</v>
      </c>
      <c r="H754" s="75">
        <f>'THAM_SO_MOI'!$D$49</f>
        <v>3.1625000000000005</v>
      </c>
      <c r="I754" s="75">
        <f>IF(F754&gt;'THAM_SO_MOI'!$C$14,'THAM_SO_MOI'!$C$13*(1+F754^2/1500),'THAM_SO_MOI'!$C$13)</f>
        <v>0.015</v>
      </c>
      <c r="J754" s="75">
        <f>'THAM_SO_MOI'!$C$40*('THAM_SO_MOI'!$C$23*(E754/'THAM_SO_MOI'!$C$22)+'THAM_SO_MOI'!$C$24*(E754/'THAM_SO_MOI'!$C$22)^2-'THAM_SO_MOI'!$C$25*(E754/'THAM_SO_MOI'!$C$22)^3)</f>
        <v>110.55890362370924</v>
      </c>
      <c r="K754" s="75">
        <f>'THAM_SO_MOI'!$C$31*J754/E754</f>
        <v>425.27545907667565</v>
      </c>
      <c r="L754" s="75">
        <f>K754*'THAM_SO_MOI'!$C$49*'THAM_SO_MOI'!$C$17/'THAM_SO_MOI'!$C$26</f>
        <v>24242.838361247643</v>
      </c>
      <c r="M754" s="75">
        <f>'THAM_SO_MOI'!$C$15*'THAM_SO_MOI'!$C$16*F754^2</f>
        <v>43.969153979700856</v>
      </c>
      <c r="N754" s="75">
        <f>'THAM_SO_MOI'!$C$12*I754</f>
        <v>1130.112</v>
      </c>
      <c r="O754" s="75">
        <f>M754+N754</f>
        <v>1174.081153979701</v>
      </c>
      <c r="P754" s="75">
        <f>(MIN(L754,'THAM_SO_MOI'!$C$41)-O754)/('THAM_SO_MOI'!$C$11*H754)</f>
        <v>0.9498006096536535</v>
      </c>
      <c r="Q754" s="75">
        <f>IF(P754&gt;0,1/P754,NA())</f>
        <v>1.0528525564588254</v>
      </c>
      <c r="R754" s="75">
        <f>F754-F753</f>
        <v>0.0035133136094671613</v>
      </c>
      <c r="S754" s="75">
        <f>0.5*(Q753+Q754)*R754</f>
        <v>0.0036986804275223758</v>
      </c>
      <c r="T754" s="75">
        <f>0.5*(F753*Q753+F754*Q754)*R754</f>
        <v>0.014333793071328487</v>
      </c>
      <c r="U754" s="76">
        <f>U753+S754</f>
        <v>2.9224105638067077</v>
      </c>
      <c r="V754" s="76">
        <f>V753+T754</f>
        <v>7.3415652915658365</v>
      </c>
    </row>
    <row r="755" spans="1:22" ht="19" customHeight="1">
      <c r="A755" s="68" t="s">
        <v>368</v>
      </c>
      <c r="B755" s="74">
        <v>1</v>
      </c>
      <c r="C755" s="68" t="s">
        <v>363</v>
      </c>
      <c r="D755" s="68" t="s">
        <v>364</v>
      </c>
      <c r="E755" s="75">
        <f>60*F755*'THAM_SO_MOI'!$C$49/(2*PI()*'THAM_SO_MOI'!$C$26)</f>
        <v>2485.2499999999995</v>
      </c>
      <c r="F755" s="75">
        <f>'THAM_SO_MOI'!$E$49+('THAM_SO_MOI'!$F$49-'THAM_SO_MOI'!$E$49)*749/'THAM_SO_MOI'!$C$42</f>
        <v>3.8806500657462193</v>
      </c>
      <c r="G755" s="75">
        <f>3.6*F755</f>
        <v>13.97034023668639</v>
      </c>
      <c r="H755" s="75">
        <f>'THAM_SO_MOI'!$D$49</f>
        <v>3.1625000000000005</v>
      </c>
      <c r="I755" s="75">
        <f>IF(F755&gt;'THAM_SO_MOI'!$C$14,'THAM_SO_MOI'!$C$13*(1+F755^2/1500),'THAM_SO_MOI'!$C$13)</f>
        <v>0.015</v>
      </c>
      <c r="J755" s="75">
        <f>'THAM_SO_MOI'!$C$40*('THAM_SO_MOI'!$C$23*(E755/'THAM_SO_MOI'!$C$22)+'THAM_SO_MOI'!$C$24*(E755/'THAM_SO_MOI'!$C$22)^2-'THAM_SO_MOI'!$C$25*(E755/'THAM_SO_MOI'!$C$22)^3)</f>
        <v>110.64105669260958</v>
      </c>
      <c r="K755" s="75">
        <f>'THAM_SO_MOI'!$C$31*J755/E755</f>
        <v>425.2061631346419</v>
      </c>
      <c r="L755" s="75">
        <f>K755*'THAM_SO_MOI'!$C$49*'THAM_SO_MOI'!$C$17/'THAM_SO_MOI'!$C$26</f>
        <v>24238.888144309516</v>
      </c>
      <c r="M755" s="75">
        <f>'THAM_SO_MOI'!$C$15*'THAM_SO_MOI'!$C$16*F755^2</f>
        <v>44.04887642837021</v>
      </c>
      <c r="N755" s="75">
        <f>'THAM_SO_MOI'!$C$12*I755</f>
        <v>1130.112</v>
      </c>
      <c r="O755" s="75">
        <f>M755+N755</f>
        <v>1174.1608764283703</v>
      </c>
      <c r="P755" s="75">
        <f>(MIN(L755,'THAM_SO_MOI'!$C$41)-O755)/('THAM_SO_MOI'!$C$11*H755)</f>
        <v>0.9496346865893093</v>
      </c>
      <c r="Q755" s="75">
        <f>IF(P755&gt;0,1/P755,NA())</f>
        <v>1.0530365140637206</v>
      </c>
      <c r="R755" s="75">
        <f>F755-F754</f>
        <v>0.0035133136094671613</v>
      </c>
      <c r="S755" s="75">
        <f>0.5*(Q754+Q755)*R755</f>
        <v>0.0036993243657475056</v>
      </c>
      <c r="T755" s="75">
        <f>0.5*(F754*Q754+F755*Q755)*R755</f>
        <v>0.01434928546749895</v>
      </c>
      <c r="U755" s="76">
        <f>U754+S755</f>
        <v>2.9261098881724554</v>
      </c>
      <c r="V755" s="76">
        <f>V754+T755</f>
        <v>7.355914577033335</v>
      </c>
    </row>
    <row r="756" spans="1:22" ht="19" customHeight="1">
      <c r="A756" s="68" t="s">
        <v>368</v>
      </c>
      <c r="B756" s="74">
        <v>1</v>
      </c>
      <c r="C756" s="68" t="s">
        <v>363</v>
      </c>
      <c r="D756" s="68" t="s">
        <v>364</v>
      </c>
      <c r="E756" s="75">
        <f>60*F756*'THAM_SO_MOI'!$C$49/(2*PI()*'THAM_SO_MOI'!$C$26)</f>
        <v>2487.5</v>
      </c>
      <c r="F756" s="75">
        <f>'THAM_SO_MOI'!$E$49+('THAM_SO_MOI'!$F$49-'THAM_SO_MOI'!$E$49)*750/'THAM_SO_MOI'!$C$42</f>
        <v>3.8841633793556873</v>
      </c>
      <c r="G756" s="75">
        <f>3.6*F756</f>
        <v>13.982988165680474</v>
      </c>
      <c r="H756" s="75">
        <f>'THAM_SO_MOI'!$D$49</f>
        <v>3.1625000000000005</v>
      </c>
      <c r="I756" s="75">
        <f>IF(F756&gt;'THAM_SO_MOI'!$C$14,'THAM_SO_MOI'!$C$13*(1+F756^2/1500),'THAM_SO_MOI'!$C$13)</f>
        <v>0.015</v>
      </c>
      <c r="J756" s="75">
        <f>'THAM_SO_MOI'!$C$40*('THAM_SO_MOI'!$C$23*(E756/'THAM_SO_MOI'!$C$22)+'THAM_SO_MOI'!$C$24*(E756/'THAM_SO_MOI'!$C$22)^2-'THAM_SO_MOI'!$C$25*(E756/'THAM_SO_MOI'!$C$22)^3)</f>
        <v>110.72304920011686</v>
      </c>
      <c r="K756" s="75">
        <f>'THAM_SO_MOI'!$C$31*J756/E756</f>
        <v>425.1363760545492</v>
      </c>
      <c r="L756" s="75">
        <f>K756*'THAM_SO_MOI'!$C$49*'THAM_SO_MOI'!$C$17/'THAM_SO_MOI'!$C$26</f>
        <v>24234.90993003385</v>
      </c>
      <c r="M756" s="75">
        <f>'THAM_SO_MOI'!$C$15*'THAM_SO_MOI'!$C$16*F756^2</f>
        <v>44.1286710857688</v>
      </c>
      <c r="N756" s="75">
        <f>'THAM_SO_MOI'!$C$12*I756</f>
        <v>1130.112</v>
      </c>
      <c r="O756" s="75">
        <f>M756+N756</f>
        <v>1174.2406710857688</v>
      </c>
      <c r="P756" s="75">
        <f>(MIN(L756,'THAM_SO_MOI'!$C$41)-O756)/('THAM_SO_MOI'!$C$11*H756)</f>
        <v>0.9494676078288898</v>
      </c>
      <c r="Q756" s="75">
        <f>IF(P756&gt;0,1/P756,NA())</f>
        <v>1.0532218179477029</v>
      </c>
      <c r="R756" s="75">
        <f>F756-F755</f>
        <v>0.0035133136094680495</v>
      </c>
      <c r="S756" s="75">
        <f>0.5*(Q755+Q756)*R756</f>
        <v>0.0036999730314556034</v>
      </c>
      <c r="T756" s="75">
        <f>0.5*(F755*Q755+F756*Q756)*R756</f>
        <v>0.014364800742399183</v>
      </c>
      <c r="U756" s="76">
        <f>U755+S756</f>
        <v>2.929809861203911</v>
      </c>
      <c r="V756" s="76">
        <f>V755+T756</f>
        <v>7.370279377775734</v>
      </c>
    </row>
    <row r="757" spans="1:22" ht="19" customHeight="1">
      <c r="A757" s="68" t="s">
        <v>368</v>
      </c>
      <c r="B757" s="74">
        <v>1</v>
      </c>
      <c r="C757" s="68" t="s">
        <v>363</v>
      </c>
      <c r="D757" s="68" t="s">
        <v>364</v>
      </c>
      <c r="E757" s="75">
        <f>60*F757*'THAM_SO_MOI'!$C$49/(2*PI()*'THAM_SO_MOI'!$C$26)</f>
        <v>2489.7499999999995</v>
      </c>
      <c r="F757" s="75">
        <f>'THAM_SO_MOI'!$E$49+('THAM_SO_MOI'!$F$49-'THAM_SO_MOI'!$E$49)*751/'THAM_SO_MOI'!$C$42</f>
        <v>3.8876766929651545</v>
      </c>
      <c r="G757" s="75">
        <f>3.6*F757</f>
        <v>13.995636094674557</v>
      </c>
      <c r="H757" s="75">
        <f>'THAM_SO_MOI'!$D$49</f>
        <v>3.1625000000000005</v>
      </c>
      <c r="I757" s="75">
        <f>IF(F757&gt;'THAM_SO_MOI'!$C$14,'THAM_SO_MOI'!$C$13*(1+F757^2/1500),'THAM_SO_MOI'!$C$13)</f>
        <v>0.015</v>
      </c>
      <c r="J757" s="75">
        <f>'THAM_SO_MOI'!$C$40*('THAM_SO_MOI'!$C$23*(E757/'THAM_SO_MOI'!$C$22)+'THAM_SO_MOI'!$C$24*(E757/'THAM_SO_MOI'!$C$22)^2-'THAM_SO_MOI'!$C$25*(E757/'THAM_SO_MOI'!$C$22)^3)</f>
        <v>110.80488079913154</v>
      </c>
      <c r="K757" s="75">
        <f>'THAM_SO_MOI'!$C$31*J757/E757</f>
        <v>425.06609783639783</v>
      </c>
      <c r="L757" s="75">
        <f>K757*'THAM_SO_MOI'!$C$49*'THAM_SO_MOI'!$C$17/'THAM_SO_MOI'!$C$26</f>
        <v>24230.90371842065</v>
      </c>
      <c r="M757" s="75">
        <f>'THAM_SO_MOI'!$C$15*'THAM_SO_MOI'!$C$16*F757^2</f>
        <v>44.20853795189661</v>
      </c>
      <c r="N757" s="75">
        <f>'THAM_SO_MOI'!$C$12*I757</f>
        <v>1130.112</v>
      </c>
      <c r="O757" s="75">
        <f>M757+N757</f>
        <v>1174.3205379518968</v>
      </c>
      <c r="P757" s="75">
        <f>(MIN(L757,'THAM_SO_MOI'!$C$41)-O757)/('THAM_SO_MOI'!$C$11*H757)</f>
        <v>0.9492993733723958</v>
      </c>
      <c r="Q757" s="75">
        <f>IF(P757&gt;0,1/P757,NA())</f>
        <v>1.053408469498394</v>
      </c>
      <c r="R757" s="75">
        <f>F757-F756</f>
        <v>0.0035133136094671613</v>
      </c>
      <c r="S757" s="75">
        <f>0.5*(Q756+Q757)*R757</f>
        <v>0.0037006264295000456</v>
      </c>
      <c r="T757" s="75">
        <f>0.5*(F756*Q756+F757*Q757)*R757</f>
        <v>0.01438033896471643</v>
      </c>
      <c r="U757" s="76">
        <f>U756+S757</f>
        <v>2.933510487633411</v>
      </c>
      <c r="V757" s="76">
        <f>V756+T757</f>
        <v>7.384659716740451</v>
      </c>
    </row>
    <row r="758" spans="1:22" ht="19" customHeight="1">
      <c r="A758" s="68" t="s">
        <v>368</v>
      </c>
      <c r="B758" s="74">
        <v>1</v>
      </c>
      <c r="C758" s="68" t="s">
        <v>363</v>
      </c>
      <c r="D758" s="68" t="s">
        <v>364</v>
      </c>
      <c r="E758" s="75">
        <f>60*F758*'THAM_SO_MOI'!$C$49/(2*PI()*'THAM_SO_MOI'!$C$26)</f>
        <v>2491.9999999999995</v>
      </c>
      <c r="F758" s="75">
        <f>'THAM_SO_MOI'!$E$49+('THAM_SO_MOI'!$F$49-'THAM_SO_MOI'!$E$49)*752/'THAM_SO_MOI'!$C$42</f>
        <v>3.8911900065746217</v>
      </c>
      <c r="G758" s="75">
        <f>3.6*F758</f>
        <v>14.008284023668638</v>
      </c>
      <c r="H758" s="75">
        <f>'THAM_SO_MOI'!$D$49</f>
        <v>3.1625000000000005</v>
      </c>
      <c r="I758" s="75">
        <f>IF(F758&gt;'THAM_SO_MOI'!$C$14,'THAM_SO_MOI'!$C$13*(1+F758^2/1500),'THAM_SO_MOI'!$C$13)</f>
        <v>0.015</v>
      </c>
      <c r="J758" s="75">
        <f>'THAM_SO_MOI'!$C$40*('THAM_SO_MOI'!$C$23*(E758/'THAM_SO_MOI'!$C$22)+'THAM_SO_MOI'!$C$24*(E758/'THAM_SO_MOI'!$C$22)^2-'THAM_SO_MOI'!$C$25*(E758/'THAM_SO_MOI'!$C$22)^3)</f>
        <v>110.88655114255405</v>
      </c>
      <c r="K758" s="75">
        <f>'THAM_SO_MOI'!$C$31*J758/E758</f>
        <v>424.99532848018754</v>
      </c>
      <c r="L758" s="75">
        <f>K758*'THAM_SO_MOI'!$C$49*'THAM_SO_MOI'!$C$17/'THAM_SO_MOI'!$C$26</f>
        <v>24226.869509469914</v>
      </c>
      <c r="M758" s="75">
        <f>'THAM_SO_MOI'!$C$15*'THAM_SO_MOI'!$C$16*F758^2</f>
        <v>44.28847702675365</v>
      </c>
      <c r="N758" s="75">
        <f>'THAM_SO_MOI'!$C$12*I758</f>
        <v>1130.112</v>
      </c>
      <c r="O758" s="75">
        <f>M758+N758</f>
        <v>1174.4004770267538</v>
      </c>
      <c r="P758" s="75">
        <f>(MIN(L758,'THAM_SO_MOI'!$C$41)-O758)/('THAM_SO_MOI'!$C$11*H758)</f>
        <v>0.949129983219827</v>
      </c>
      <c r="Q758" s="75">
        <f>IF(P758&gt;0,1/P758,NA())</f>
        <v>1.0535964701142426</v>
      </c>
      <c r="R758" s="75">
        <f>F758-F757</f>
        <v>0.0035133136094671613</v>
      </c>
      <c r="S758" s="75">
        <f>0.5*(Q757+Q758)*R758</f>
        <v>0.0037012845647778052</v>
      </c>
      <c r="T758" s="75">
        <f>0.5*(F757*Q757+F758*Q758)*R758</f>
        <v>0.014395900203375733</v>
      </c>
      <c r="U758" s="76">
        <f>U757+S758</f>
        <v>2.937211772198189</v>
      </c>
      <c r="V758" s="76">
        <f>V757+T758</f>
        <v>7.399055616943826</v>
      </c>
    </row>
    <row r="759" spans="1:22" ht="19" customHeight="1">
      <c r="A759" s="68" t="s">
        <v>368</v>
      </c>
      <c r="B759" s="74">
        <v>1</v>
      </c>
      <c r="C759" s="68" t="s">
        <v>363</v>
      </c>
      <c r="D759" s="68" t="s">
        <v>364</v>
      </c>
      <c r="E759" s="75">
        <f>60*F759*'THAM_SO_MOI'!$C$49/(2*PI()*'THAM_SO_MOI'!$C$26)</f>
        <v>2494.2499999999995</v>
      </c>
      <c r="F759" s="75">
        <f>'THAM_SO_MOI'!$E$49+('THAM_SO_MOI'!$F$49-'THAM_SO_MOI'!$E$49)*753/'THAM_SO_MOI'!$C$42</f>
        <v>3.8947033201840897</v>
      </c>
      <c r="G759" s="75">
        <f>3.6*F759</f>
        <v>14.020931952662723</v>
      </c>
      <c r="H759" s="75">
        <f>'THAM_SO_MOI'!$D$49</f>
        <v>3.1625000000000005</v>
      </c>
      <c r="I759" s="75">
        <f>IF(F759&gt;'THAM_SO_MOI'!$C$14,'THAM_SO_MOI'!$C$13*(1+F759^2/1500),'THAM_SO_MOI'!$C$13)</f>
        <v>0.015</v>
      </c>
      <c r="J759" s="75">
        <f>'THAM_SO_MOI'!$C$40*('THAM_SO_MOI'!$C$23*(E759/'THAM_SO_MOI'!$C$22)+'THAM_SO_MOI'!$C$24*(E759/'THAM_SO_MOI'!$C$22)^2-'THAM_SO_MOI'!$C$25*(E759/'THAM_SO_MOI'!$C$22)^3)</f>
        <v>110.96805988328497</v>
      </c>
      <c r="K759" s="75">
        <f>'THAM_SO_MOI'!$C$31*J759/E759</f>
        <v>424.9240679859187</v>
      </c>
      <c r="L759" s="75">
        <f>K759*'THAM_SO_MOI'!$C$49*'THAM_SO_MOI'!$C$17/'THAM_SO_MOI'!$C$26</f>
        <v>24222.80730318166</v>
      </c>
      <c r="M759" s="75">
        <f>'THAM_SO_MOI'!$C$15*'THAM_SO_MOI'!$C$16*F759^2</f>
        <v>44.36848831033994</v>
      </c>
      <c r="N759" s="75">
        <f>'THAM_SO_MOI'!$C$12*I759</f>
        <v>1130.112</v>
      </c>
      <c r="O759" s="75">
        <f>M759+N759</f>
        <v>1174.48048831034</v>
      </c>
      <c r="P759" s="75">
        <f>(MIN(L759,'THAM_SO_MOI'!$C$41)-O759)/('THAM_SO_MOI'!$C$11*H759)</f>
        <v>0.9489594373711839</v>
      </c>
      <c r="Q759" s="75">
        <f>IF(P759&gt;0,1/P759,NA())</f>
        <v>1.0537858212045492</v>
      </c>
      <c r="R759" s="75">
        <f>F759-F758</f>
        <v>0.0035133136094680495</v>
      </c>
      <c r="S759" s="75">
        <f>0.5*(Q758+Q759)*R759</f>
        <v>0.003701947442221136</v>
      </c>
      <c r="T759" s="75">
        <f>0.5*(F758*Q758+F759*Q759)*R759</f>
        <v>0.014411484527508275</v>
      </c>
      <c r="U759" s="76">
        <f>U758+S759</f>
        <v>2.94091371964041</v>
      </c>
      <c r="V759" s="76">
        <f>V758+T759</f>
        <v>7.413467101471334</v>
      </c>
    </row>
    <row r="760" spans="1:22" ht="19" customHeight="1">
      <c r="A760" s="68" t="s">
        <v>368</v>
      </c>
      <c r="B760" s="74">
        <v>1</v>
      </c>
      <c r="C760" s="68" t="s">
        <v>363</v>
      </c>
      <c r="D760" s="68" t="s">
        <v>364</v>
      </c>
      <c r="E760" s="75">
        <f>60*F760*'THAM_SO_MOI'!$C$49/(2*PI()*'THAM_SO_MOI'!$C$26)</f>
        <v>2496.4999999999995</v>
      </c>
      <c r="F760" s="75">
        <f>'THAM_SO_MOI'!$E$49+('THAM_SO_MOI'!$F$49-'THAM_SO_MOI'!$E$49)*754/'THAM_SO_MOI'!$C$42</f>
        <v>3.898216633793557</v>
      </c>
      <c r="G760" s="75">
        <f>3.6*F760</f>
        <v>14.033579881656806</v>
      </c>
      <c r="H760" s="75">
        <f>'THAM_SO_MOI'!$D$49</f>
        <v>3.1625000000000005</v>
      </c>
      <c r="I760" s="75">
        <f>IF(F760&gt;'THAM_SO_MOI'!$C$14,'THAM_SO_MOI'!$C$13*(1+F760^2/1500),'THAM_SO_MOI'!$C$13)</f>
        <v>0.015</v>
      </c>
      <c r="J760" s="75">
        <f>'THAM_SO_MOI'!$C$40*('THAM_SO_MOI'!$C$23*(E760/'THAM_SO_MOI'!$C$22)+'THAM_SO_MOI'!$C$24*(E760/'THAM_SO_MOI'!$C$22)^2-'THAM_SO_MOI'!$C$25*(E760/'THAM_SO_MOI'!$C$22)^3)</f>
        <v>111.04940667422463</v>
      </c>
      <c r="K760" s="75">
        <f>'THAM_SO_MOI'!$C$31*J760/E760</f>
        <v>424.85231635359094</v>
      </c>
      <c r="L760" s="75">
        <f>K760*'THAM_SO_MOI'!$C$49*'THAM_SO_MOI'!$C$17/'THAM_SO_MOI'!$C$26</f>
        <v>24218.71709955586</v>
      </c>
      <c r="M760" s="75">
        <f>'THAM_SO_MOI'!$C$15*'THAM_SO_MOI'!$C$16*F760^2</f>
        <v>44.44857180265546</v>
      </c>
      <c r="N760" s="75">
        <f>'THAM_SO_MOI'!$C$12*I760</f>
        <v>1130.112</v>
      </c>
      <c r="O760" s="75">
        <f>M760+N760</f>
        <v>1174.5605718026554</v>
      </c>
      <c r="P760" s="75">
        <f>(MIN(L760,'THAM_SO_MOI'!$C$41)-O760)/('THAM_SO_MOI'!$C$11*H760)</f>
        <v>0.9487877358264657</v>
      </c>
      <c r="Q760" s="75">
        <f>IF(P760&gt;0,1/P760,NA())</f>
        <v>1.0539765241894958</v>
      </c>
      <c r="R760" s="75">
        <f>F760-F759</f>
        <v>0.0035133136094671613</v>
      </c>
      <c r="S760" s="75">
        <f>0.5*(Q759+Q760)*R760</f>
        <v>0.003702615066797661</v>
      </c>
      <c r="T760" s="75">
        <f>0.5*(F759*Q759+F760*Q760)*R760</f>
        <v>0.014427092006452383</v>
      </c>
      <c r="U760" s="76">
        <f>U759+S760</f>
        <v>2.9446163347072076</v>
      </c>
      <c r="V760" s="76">
        <f>V759+T760</f>
        <v>7.427894193477787</v>
      </c>
    </row>
    <row r="761" spans="1:22" ht="19" customHeight="1">
      <c r="A761" s="68" t="s">
        <v>368</v>
      </c>
      <c r="B761" s="74">
        <v>1</v>
      </c>
      <c r="C761" s="68" t="s">
        <v>363</v>
      </c>
      <c r="D761" s="68" t="s">
        <v>364</v>
      </c>
      <c r="E761" s="75">
        <f>60*F761*'THAM_SO_MOI'!$C$49/(2*PI()*'THAM_SO_MOI'!$C$26)</f>
        <v>2498.7499999999995</v>
      </c>
      <c r="F761" s="75">
        <f>'THAM_SO_MOI'!$E$49+('THAM_SO_MOI'!$F$49-'THAM_SO_MOI'!$E$49)*755/'THAM_SO_MOI'!$C$42</f>
        <v>3.901729947403024</v>
      </c>
      <c r="G761" s="75">
        <f>3.6*F761</f>
        <v>14.046227810650887</v>
      </c>
      <c r="H761" s="75">
        <f>'THAM_SO_MOI'!$D$49</f>
        <v>3.1625000000000005</v>
      </c>
      <c r="I761" s="75">
        <f>IF(F761&gt;'THAM_SO_MOI'!$C$14,'THAM_SO_MOI'!$C$13*(1+F761^2/1500),'THAM_SO_MOI'!$C$13)</f>
        <v>0.015</v>
      </c>
      <c r="J761" s="75">
        <f>'THAM_SO_MOI'!$C$40*('THAM_SO_MOI'!$C$23*(E761/'THAM_SO_MOI'!$C$22)+'THAM_SO_MOI'!$C$24*(E761/'THAM_SO_MOI'!$C$22)^2-'THAM_SO_MOI'!$C$25*(E761/'THAM_SO_MOI'!$C$22)^3)</f>
        <v>111.13059116827354</v>
      </c>
      <c r="K761" s="75">
        <f>'THAM_SO_MOI'!$C$31*J761/E761</f>
        <v>424.7800735832045</v>
      </c>
      <c r="L761" s="75">
        <f>K761*'THAM_SO_MOI'!$C$49*'THAM_SO_MOI'!$C$17/'THAM_SO_MOI'!$C$26</f>
        <v>24214.59889859254</v>
      </c>
      <c r="M761" s="75">
        <f>'THAM_SO_MOI'!$C$15*'THAM_SO_MOI'!$C$16*F761^2</f>
        <v>44.528727503700196</v>
      </c>
      <c r="N761" s="75">
        <f>'THAM_SO_MOI'!$C$12*I761</f>
        <v>1130.112</v>
      </c>
      <c r="O761" s="75">
        <f>M761+N761</f>
        <v>1174.6407275037002</v>
      </c>
      <c r="P761" s="75">
        <f>(MIN(L761,'THAM_SO_MOI'!$C$41)-O761)/('THAM_SO_MOI'!$C$11*H761)</f>
        <v>0.9486148785856734</v>
      </c>
      <c r="Q761" s="75">
        <f>IF(P761&gt;0,1/P761,NA())</f>
        <v>1.0541685805001695</v>
      </c>
      <c r="R761" s="75">
        <f>F761-F760</f>
        <v>0.0035133136094671613</v>
      </c>
      <c r="S761" s="75">
        <f>0.5*(Q760+Q761)*R761</f>
        <v>0.0037032874435188874</v>
      </c>
      <c r="T761" s="75">
        <f>0.5*(F760*Q760+F761*Q761)*R761</f>
        <v>0.014442722709787333</v>
      </c>
      <c r="U761" s="76">
        <f>U760+S761</f>
        <v>2.9483196221507266</v>
      </c>
      <c r="V761" s="76">
        <f>V760+T761</f>
        <v>7.442336916187574</v>
      </c>
    </row>
    <row r="762" spans="1:22" ht="19" customHeight="1">
      <c r="A762" s="68" t="s">
        <v>368</v>
      </c>
      <c r="B762" s="74">
        <v>1</v>
      </c>
      <c r="C762" s="68" t="s">
        <v>363</v>
      </c>
      <c r="D762" s="68" t="s">
        <v>364</v>
      </c>
      <c r="E762" s="75">
        <f>60*F762*'THAM_SO_MOI'!$C$49/(2*PI()*'THAM_SO_MOI'!$C$26)</f>
        <v>2500.999999999999</v>
      </c>
      <c r="F762" s="75">
        <f>'THAM_SO_MOI'!$E$49+('THAM_SO_MOI'!$F$49-'THAM_SO_MOI'!$E$49)*756/'THAM_SO_MOI'!$C$42</f>
        <v>3.905243261012491</v>
      </c>
      <c r="G762" s="75">
        <f>3.6*F762</f>
        <v>14.058875739644968</v>
      </c>
      <c r="H762" s="75">
        <f>'THAM_SO_MOI'!$D$49</f>
        <v>3.1625000000000005</v>
      </c>
      <c r="I762" s="75">
        <f>IF(F762&gt;'THAM_SO_MOI'!$C$14,'THAM_SO_MOI'!$C$13*(1+F762^2/1500),'THAM_SO_MOI'!$C$13)</f>
        <v>0.015</v>
      </c>
      <c r="J762" s="75">
        <f>'THAM_SO_MOI'!$C$40*('THAM_SO_MOI'!$C$23*(E762/'THAM_SO_MOI'!$C$22)+'THAM_SO_MOI'!$C$24*(E762/'THAM_SO_MOI'!$C$22)^2-'THAM_SO_MOI'!$C$25*(E762/'THAM_SO_MOI'!$C$22)^3)</f>
        <v>111.21161301833212</v>
      </c>
      <c r="K762" s="75">
        <f>'THAM_SO_MOI'!$C$31*J762/E762</f>
        <v>424.7073396747592</v>
      </c>
      <c r="L762" s="75">
        <f>K762*'THAM_SO_MOI'!$C$49*'THAM_SO_MOI'!$C$17/'THAM_SO_MOI'!$C$26</f>
        <v>24210.452700291684</v>
      </c>
      <c r="M762" s="75">
        <f>'THAM_SO_MOI'!$C$15*'THAM_SO_MOI'!$C$16*F762^2</f>
        <v>44.60895541347417</v>
      </c>
      <c r="N762" s="75">
        <f>'THAM_SO_MOI'!$C$12*I762</f>
        <v>1130.112</v>
      </c>
      <c r="O762" s="75">
        <f>M762+N762</f>
        <v>1174.7209554134743</v>
      </c>
      <c r="P762" s="75">
        <f>(MIN(L762,'THAM_SO_MOI'!$C$41)-O762)/('THAM_SO_MOI'!$C$11*H762)</f>
        <v>0.9484408656488063</v>
      </c>
      <c r="Q762" s="75">
        <f>IF(P762&gt;0,1/P762,NA())</f>
        <v>1.054361991578593</v>
      </c>
      <c r="R762" s="75">
        <f>F762-F761</f>
        <v>0.0035133136094671613</v>
      </c>
      <c r="S762" s="75">
        <f>0.5*(Q761+Q762)*R762</f>
        <v>0.0037039645774309474</v>
      </c>
      <c r="T762" s="75">
        <f>0.5*(F761*Q761+F762*Q762)*R762</f>
        <v>0.014458376707297998</v>
      </c>
      <c r="U762" s="76">
        <f>U761+S762</f>
        <v>2.9520235867281577</v>
      </c>
      <c r="V762" s="76">
        <f>V761+T762</f>
        <v>7.4567952928948715</v>
      </c>
    </row>
    <row r="763" spans="1:22" ht="19" customHeight="1">
      <c r="A763" s="68" t="s">
        <v>368</v>
      </c>
      <c r="B763" s="74">
        <v>1</v>
      </c>
      <c r="C763" s="68" t="s">
        <v>363</v>
      </c>
      <c r="D763" s="68" t="s">
        <v>364</v>
      </c>
      <c r="E763" s="75">
        <f>60*F763*'THAM_SO_MOI'!$C$49/(2*PI()*'THAM_SO_MOI'!$C$26)</f>
        <v>2503.2499999999995</v>
      </c>
      <c r="F763" s="75">
        <f>'THAM_SO_MOI'!$E$49+('THAM_SO_MOI'!$F$49-'THAM_SO_MOI'!$E$49)*757/'THAM_SO_MOI'!$C$42</f>
        <v>3.9087565746219592</v>
      </c>
      <c r="G763" s="75">
        <f>3.6*F763</f>
        <v>14.071523668639054</v>
      </c>
      <c r="H763" s="75">
        <f>'THAM_SO_MOI'!$D$49</f>
        <v>3.1625000000000005</v>
      </c>
      <c r="I763" s="75">
        <f>IF(F763&gt;'THAM_SO_MOI'!$C$14,'THAM_SO_MOI'!$C$13*(1+F763^2/1500),'THAM_SO_MOI'!$C$13)</f>
        <v>0.015</v>
      </c>
      <c r="J763" s="75">
        <f>'THAM_SO_MOI'!$C$40*('THAM_SO_MOI'!$C$23*(E763/'THAM_SO_MOI'!$C$22)+'THAM_SO_MOI'!$C$24*(E763/'THAM_SO_MOI'!$C$22)^2-'THAM_SO_MOI'!$C$25*(E763/'THAM_SO_MOI'!$C$22)^3)</f>
        <v>111.29247187730085</v>
      </c>
      <c r="K763" s="75">
        <f>'THAM_SO_MOI'!$C$31*J763/E763</f>
        <v>424.634114628255</v>
      </c>
      <c r="L763" s="75">
        <f>K763*'THAM_SO_MOI'!$C$49*'THAM_SO_MOI'!$C$17/'THAM_SO_MOI'!$C$26</f>
        <v>24206.27850465328</v>
      </c>
      <c r="M763" s="75">
        <f>'THAM_SO_MOI'!$C$15*'THAM_SO_MOI'!$C$16*F763^2</f>
        <v>44.6892555319774</v>
      </c>
      <c r="N763" s="75">
        <f>'THAM_SO_MOI'!$C$12*I763</f>
        <v>1130.112</v>
      </c>
      <c r="O763" s="75">
        <f>M763+N763</f>
        <v>1174.8012555319774</v>
      </c>
      <c r="P763" s="75">
        <f>(MIN(L763,'THAM_SO_MOI'!$C$41)-O763)/('THAM_SO_MOI'!$C$11*H763)</f>
        <v>0.9482656970158637</v>
      </c>
      <c r="Q763" s="75">
        <f>IF(P763&gt;0,1/P763,NA())</f>
        <v>1.0545567588777502</v>
      </c>
      <c r="R763" s="75">
        <f>F763-F762</f>
        <v>0.0035133136094680495</v>
      </c>
      <c r="S763" s="75">
        <f>0.5*(Q762+Q763)*R763</f>
        <v>0.003704646473620312</v>
      </c>
      <c r="T763" s="75">
        <f>0.5*(F762*Q762+F763*Q763)*R763</f>
        <v>0.014474054068997764</v>
      </c>
      <c r="U763" s="76">
        <f>U762+S763</f>
        <v>2.955728233201778</v>
      </c>
      <c r="V763" s="76">
        <f>V762+T763</f>
        <v>7.47126934696387</v>
      </c>
    </row>
    <row r="764" spans="1:22" ht="19" customHeight="1">
      <c r="A764" s="68" t="s">
        <v>368</v>
      </c>
      <c r="B764" s="74">
        <v>1</v>
      </c>
      <c r="C764" s="68" t="s">
        <v>363</v>
      </c>
      <c r="D764" s="68" t="s">
        <v>364</v>
      </c>
      <c r="E764" s="75">
        <f>60*F764*'THAM_SO_MOI'!$C$49/(2*PI()*'THAM_SO_MOI'!$C$26)</f>
        <v>2505.4999999999995</v>
      </c>
      <c r="F764" s="75">
        <f>'THAM_SO_MOI'!$E$49+('THAM_SO_MOI'!$F$49-'THAM_SO_MOI'!$E$49)*758/'THAM_SO_MOI'!$C$42</f>
        <v>3.9122698882314264</v>
      </c>
      <c r="G764" s="75">
        <f>3.6*F764</f>
        <v>14.084171597633135</v>
      </c>
      <c r="H764" s="75">
        <f>'THAM_SO_MOI'!$D$49</f>
        <v>3.1625000000000005</v>
      </c>
      <c r="I764" s="75">
        <f>IF(F764&gt;'THAM_SO_MOI'!$C$14,'THAM_SO_MOI'!$C$13*(1+F764^2/1500),'THAM_SO_MOI'!$C$13)</f>
        <v>0.015</v>
      </c>
      <c r="J764" s="75">
        <f>'THAM_SO_MOI'!$C$40*('THAM_SO_MOI'!$C$23*(E764/'THAM_SO_MOI'!$C$22)+'THAM_SO_MOI'!$C$24*(E764/'THAM_SO_MOI'!$C$22)^2-'THAM_SO_MOI'!$C$25*(E764/'THAM_SO_MOI'!$C$22)^3)</f>
        <v>111.37316739808018</v>
      </c>
      <c r="K764" s="75">
        <f>'THAM_SO_MOI'!$C$31*J764/E764</f>
        <v>424.5603984436921</v>
      </c>
      <c r="L764" s="75">
        <f>K764*'THAM_SO_MOI'!$C$49*'THAM_SO_MOI'!$C$17/'THAM_SO_MOI'!$C$26</f>
        <v>24202.076311677356</v>
      </c>
      <c r="M764" s="75">
        <f>'THAM_SO_MOI'!$C$15*'THAM_SO_MOI'!$C$16*F764^2</f>
        <v>44.76962785920984</v>
      </c>
      <c r="N764" s="75">
        <f>'THAM_SO_MOI'!$C$12*I764</f>
        <v>1130.112</v>
      </c>
      <c r="O764" s="75">
        <f>M764+N764</f>
        <v>1174.8816278592099</v>
      </c>
      <c r="P764" s="75">
        <f>(MIN(L764,'THAM_SO_MOI'!$C$41)-O764)/('THAM_SO_MOI'!$C$11*H764)</f>
        <v>0.9480893726868471</v>
      </c>
      <c r="Q764" s="75">
        <f>IF(P764&gt;0,1/P764,NA())</f>
        <v>1.0547528838616134</v>
      </c>
      <c r="R764" s="75">
        <f>F764-F763</f>
        <v>0.0035133136094671613</v>
      </c>
      <c r="S764" s="75">
        <f>0.5*(Q763+Q764)*R764</f>
        <v>0.003705333137208261</v>
      </c>
      <c r="T764" s="75">
        <f>0.5*(F763*Q763+F764*Q764)*R764</f>
        <v>0.014489754865107618</v>
      </c>
      <c r="U764" s="76">
        <f>U763+S764</f>
        <v>2.959433566338986</v>
      </c>
      <c r="V764" s="76">
        <f>V763+T764</f>
        <v>7.485759101828977</v>
      </c>
    </row>
    <row r="765" spans="1:22" ht="19" customHeight="1">
      <c r="A765" s="68" t="s">
        <v>368</v>
      </c>
      <c r="B765" s="74">
        <v>1</v>
      </c>
      <c r="C765" s="68" t="s">
        <v>363</v>
      </c>
      <c r="D765" s="68" t="s">
        <v>364</v>
      </c>
      <c r="E765" s="75">
        <f>60*F765*'THAM_SO_MOI'!$C$49/(2*PI()*'THAM_SO_MOI'!$C$26)</f>
        <v>2507.749999999999</v>
      </c>
      <c r="F765" s="75">
        <f>'THAM_SO_MOI'!$E$49+('THAM_SO_MOI'!$F$49-'THAM_SO_MOI'!$E$49)*759/'THAM_SO_MOI'!$C$42</f>
        <v>3.9157832018408936</v>
      </c>
      <c r="G765" s="75">
        <f>3.6*F765</f>
        <v>14.096819526627216</v>
      </c>
      <c r="H765" s="75">
        <f>'THAM_SO_MOI'!$D$49</f>
        <v>3.1625000000000005</v>
      </c>
      <c r="I765" s="75">
        <f>IF(F765&gt;'THAM_SO_MOI'!$C$14,'THAM_SO_MOI'!$C$13*(1+F765^2/1500),'THAM_SO_MOI'!$C$13)</f>
        <v>0.015</v>
      </c>
      <c r="J765" s="75">
        <f>'THAM_SO_MOI'!$C$40*('THAM_SO_MOI'!$C$23*(E765/'THAM_SO_MOI'!$C$22)+'THAM_SO_MOI'!$C$24*(E765/'THAM_SO_MOI'!$C$22)^2-'THAM_SO_MOI'!$C$25*(E765/'THAM_SO_MOI'!$C$22)^3)</f>
        <v>111.45369923357062</v>
      </c>
      <c r="K765" s="75">
        <f>'THAM_SO_MOI'!$C$31*J765/E765</f>
        <v>424.48619112107076</v>
      </c>
      <c r="L765" s="75">
        <f>K765*'THAM_SO_MOI'!$C$49*'THAM_SO_MOI'!$C$17/'THAM_SO_MOI'!$C$26</f>
        <v>24197.846121363913</v>
      </c>
      <c r="M765" s="75">
        <f>'THAM_SO_MOI'!$C$15*'THAM_SO_MOI'!$C$16*F765^2</f>
        <v>44.850072395171516</v>
      </c>
      <c r="N765" s="75">
        <f>'THAM_SO_MOI'!$C$12*I765</f>
        <v>1130.112</v>
      </c>
      <c r="O765" s="75">
        <f>M765+N765</f>
        <v>1174.9620723951716</v>
      </c>
      <c r="P765" s="75">
        <f>(MIN(L765,'THAM_SO_MOI'!$C$41)-O765)/('THAM_SO_MOI'!$C$11*H765)</f>
        <v>0.9479118926617562</v>
      </c>
      <c r="Q765" s="75">
        <f>IF(P765&gt;0,1/P765,NA())</f>
        <v>1.0549503680051733</v>
      </c>
      <c r="R765" s="75">
        <f>F765-F764</f>
        <v>0.0035133136094671613</v>
      </c>
      <c r="S765" s="75">
        <f>0.5*(Q764+Q765)*R765</f>
        <v>0.003706024573360354</v>
      </c>
      <c r="T765" s="75">
        <f>0.5*(F764*Q764+F765*Q765)*R765</f>
        <v>0.014505479166093824</v>
      </c>
      <c r="U765" s="76">
        <f>U764+S765</f>
        <v>2.9631395909123466</v>
      </c>
      <c r="V765" s="76">
        <f>V764+T765</f>
        <v>7.500264580995071</v>
      </c>
    </row>
    <row r="766" spans="1:22" ht="19" customHeight="1">
      <c r="A766" s="68" t="s">
        <v>368</v>
      </c>
      <c r="B766" s="74">
        <v>1</v>
      </c>
      <c r="C766" s="68" t="s">
        <v>363</v>
      </c>
      <c r="D766" s="68" t="s">
        <v>364</v>
      </c>
      <c r="E766" s="75">
        <f>60*F766*'THAM_SO_MOI'!$C$49/(2*PI()*'THAM_SO_MOI'!$C$26)</f>
        <v>2509.9999999999995</v>
      </c>
      <c r="F766" s="75">
        <f>'THAM_SO_MOI'!$E$49+('THAM_SO_MOI'!$F$49-'THAM_SO_MOI'!$E$49)*760/'THAM_SO_MOI'!$C$42</f>
        <v>3.9192965154503616</v>
      </c>
      <c r="G766" s="75">
        <f>3.6*F766</f>
        <v>14.109467455621303</v>
      </c>
      <c r="H766" s="75">
        <f>'THAM_SO_MOI'!$D$49</f>
        <v>3.1625000000000005</v>
      </c>
      <c r="I766" s="75">
        <f>IF(F766&gt;'THAM_SO_MOI'!$C$14,'THAM_SO_MOI'!$C$13*(1+F766^2/1500),'THAM_SO_MOI'!$C$13)</f>
        <v>0.015</v>
      </c>
      <c r="J766" s="75">
        <f>'THAM_SO_MOI'!$C$40*('THAM_SO_MOI'!$C$23*(E766/'THAM_SO_MOI'!$C$22)+'THAM_SO_MOI'!$C$24*(E766/'THAM_SO_MOI'!$C$22)^2-'THAM_SO_MOI'!$C$25*(E766/'THAM_SO_MOI'!$C$22)^3)</f>
        <v>111.53406703667251</v>
      </c>
      <c r="K766" s="75">
        <f>'THAM_SO_MOI'!$C$31*J766/E766</f>
        <v>424.4114926603901</v>
      </c>
      <c r="L766" s="75">
        <f>K766*'THAM_SO_MOI'!$C$49*'THAM_SO_MOI'!$C$17/'THAM_SO_MOI'!$C$26</f>
        <v>24193.587933712908</v>
      </c>
      <c r="M766" s="75">
        <f>'THAM_SO_MOI'!$C$15*'THAM_SO_MOI'!$C$16*F766^2</f>
        <v>44.93058913986244</v>
      </c>
      <c r="N766" s="75">
        <f>'THAM_SO_MOI'!$C$12*I766</f>
        <v>1130.112</v>
      </c>
      <c r="O766" s="75">
        <f>M766+N766</f>
        <v>1175.0425891398625</v>
      </c>
      <c r="P766" s="75">
        <f>(MIN(L766,'THAM_SO_MOI'!$C$41)-O766)/('THAM_SO_MOI'!$C$11*H766)</f>
        <v>0.9477332569405896</v>
      </c>
      <c r="Q766" s="75">
        <f>IF(P766&gt;0,1/P766,NA())</f>
        <v>1.0551492127944675</v>
      </c>
      <c r="R766" s="75">
        <f>F766-F765</f>
        <v>0.0035133136094680495</v>
      </c>
      <c r="S766" s="75">
        <f>0.5*(Q765+Q766)*R766</f>
        <v>0.0037067207872781022</v>
      </c>
      <c r="T766" s="75">
        <f>0.5*(F765*Q765+F766*Q766)*R766</f>
        <v>0.014521227042636092</v>
      </c>
      <c r="U766" s="76">
        <f>U765+S766</f>
        <v>2.9668463116996246</v>
      </c>
      <c r="V766" s="76">
        <f>V765+T766</f>
        <v>7.514785808037708</v>
      </c>
    </row>
    <row r="767" spans="1:22" ht="19" customHeight="1">
      <c r="A767" s="68" t="s">
        <v>368</v>
      </c>
      <c r="B767" s="74">
        <v>1</v>
      </c>
      <c r="C767" s="68" t="s">
        <v>363</v>
      </c>
      <c r="D767" s="68" t="s">
        <v>364</v>
      </c>
      <c r="E767" s="75">
        <f>60*F767*'THAM_SO_MOI'!$C$49/(2*PI()*'THAM_SO_MOI'!$C$26)</f>
        <v>2512.2499999999995</v>
      </c>
      <c r="F767" s="75">
        <f>'THAM_SO_MOI'!$E$49+('THAM_SO_MOI'!$F$49-'THAM_SO_MOI'!$E$49)*761/'THAM_SO_MOI'!$C$42</f>
        <v>3.922809829059829</v>
      </c>
      <c r="G767" s="75">
        <f>3.6*F767</f>
        <v>14.122115384615384</v>
      </c>
      <c r="H767" s="75">
        <f>'THAM_SO_MOI'!$D$49</f>
        <v>3.1625000000000005</v>
      </c>
      <c r="I767" s="75">
        <f>IF(F767&gt;'THAM_SO_MOI'!$C$14,'THAM_SO_MOI'!$C$13*(1+F767^2/1500),'THAM_SO_MOI'!$C$13)</f>
        <v>0.015</v>
      </c>
      <c r="J767" s="75">
        <f>'THAM_SO_MOI'!$C$40*('THAM_SO_MOI'!$C$23*(E767/'THAM_SO_MOI'!$C$22)+'THAM_SO_MOI'!$C$24*(E767/'THAM_SO_MOI'!$C$22)^2-'THAM_SO_MOI'!$C$25*(E767/'THAM_SO_MOI'!$C$22)^3)</f>
        <v>111.6142704602864</v>
      </c>
      <c r="K767" s="75">
        <f>'THAM_SO_MOI'!$C$31*J767/E767</f>
        <v>424.336303061651</v>
      </c>
      <c r="L767" s="75">
        <f>K767*'THAM_SO_MOI'!$C$49*'THAM_SO_MOI'!$C$17/'THAM_SO_MOI'!$C$26</f>
        <v>24189.301748724392</v>
      </c>
      <c r="M767" s="75">
        <f>'THAM_SO_MOI'!$C$15*'THAM_SO_MOI'!$C$16*F767^2</f>
        <v>45.01117809328258</v>
      </c>
      <c r="N767" s="75">
        <f>'THAM_SO_MOI'!$C$12*I767</f>
        <v>1130.112</v>
      </c>
      <c r="O767" s="75">
        <f>M767+N767</f>
        <v>1175.1231780932826</v>
      </c>
      <c r="P767" s="75">
        <f>(MIN(L767,'THAM_SO_MOI'!$C$41)-O767)/('THAM_SO_MOI'!$C$11*H767)</f>
        <v>0.9475534655233492</v>
      </c>
      <c r="Q767" s="75">
        <f>IF(P767&gt;0,1/P767,NA())</f>
        <v>1.055349419726605</v>
      </c>
      <c r="R767" s="75">
        <f>F767-F766</f>
        <v>0.0035133136094671613</v>
      </c>
      <c r="S767" s="75">
        <f>0.5*(Q766+Q767)*R767</f>
        <v>0.003707421784199059</v>
      </c>
      <c r="T767" s="75">
        <f>0.5*(F766*Q766+F767*Q767)*R767</f>
        <v>0.01453699856562855</v>
      </c>
      <c r="U767" s="76">
        <f>U766+S767</f>
        <v>2.9705537334838237</v>
      </c>
      <c r="V767" s="76">
        <f>V766+T767</f>
        <v>7.529322806603337</v>
      </c>
    </row>
    <row r="768" spans="1:22" ht="19" customHeight="1">
      <c r="A768" s="68" t="s">
        <v>368</v>
      </c>
      <c r="B768" s="74">
        <v>1</v>
      </c>
      <c r="C768" s="68" t="s">
        <v>363</v>
      </c>
      <c r="D768" s="68" t="s">
        <v>364</v>
      </c>
      <c r="E768" s="75">
        <f>60*F768*'THAM_SO_MOI'!$C$49/(2*PI()*'THAM_SO_MOI'!$C$26)</f>
        <v>2514.499999999999</v>
      </c>
      <c r="F768" s="75">
        <f>'THAM_SO_MOI'!$E$49+('THAM_SO_MOI'!$F$49-'THAM_SO_MOI'!$E$49)*762/'THAM_SO_MOI'!$C$42</f>
        <v>3.926323142669296</v>
      </c>
      <c r="G768" s="75">
        <f>3.6*F768</f>
        <v>14.134763313609465</v>
      </c>
      <c r="H768" s="75">
        <f>'THAM_SO_MOI'!$D$49</f>
        <v>3.1625000000000005</v>
      </c>
      <c r="I768" s="75">
        <f>IF(F768&gt;'THAM_SO_MOI'!$C$14,'THAM_SO_MOI'!$C$13*(1+F768^2/1500),'THAM_SO_MOI'!$C$13)</f>
        <v>0.015</v>
      </c>
      <c r="J768" s="75">
        <f>'THAM_SO_MOI'!$C$40*('THAM_SO_MOI'!$C$23*(E768/'THAM_SO_MOI'!$C$22)+'THAM_SO_MOI'!$C$24*(E768/'THAM_SO_MOI'!$C$22)^2-'THAM_SO_MOI'!$C$25*(E768/'THAM_SO_MOI'!$C$22)^3)</f>
        <v>111.69430915731269</v>
      </c>
      <c r="K768" s="75">
        <f>'THAM_SO_MOI'!$C$31*J768/E768</f>
        <v>424.260622324853</v>
      </c>
      <c r="L768" s="75">
        <f>K768*'THAM_SO_MOI'!$C$49*'THAM_SO_MOI'!$C$17/'THAM_SO_MOI'!$C$26</f>
        <v>24184.987566398337</v>
      </c>
      <c r="M768" s="75">
        <f>'THAM_SO_MOI'!$C$15*'THAM_SO_MOI'!$C$16*F768^2</f>
        <v>45.09183925543196</v>
      </c>
      <c r="N768" s="75">
        <f>'THAM_SO_MOI'!$C$12*I768</f>
        <v>1130.112</v>
      </c>
      <c r="O768" s="75">
        <f>M768+N768</f>
        <v>1175.203839255432</v>
      </c>
      <c r="P768" s="75">
        <f>(MIN(L768,'THAM_SO_MOI'!$C$41)-O768)/('THAM_SO_MOI'!$C$11*H768)</f>
        <v>0.9473725184100338</v>
      </c>
      <c r="Q768" s="75">
        <f>IF(P768&gt;0,1/P768,NA())</f>
        <v>1.0555509903097995</v>
      </c>
      <c r="R768" s="75">
        <f>F768-F767</f>
        <v>0.0035133136094671613</v>
      </c>
      <c r="S768" s="75">
        <f>0.5*(Q767+Q768)*R768</f>
        <v>0.003708127569405355</v>
      </c>
      <c r="T768" s="75">
        <f>0.5*(F767*Q767+F768*Q768)*R768</f>
        <v>0.014552793806213877</v>
      </c>
      <c r="U768" s="76">
        <f>U767+S768</f>
        <v>2.974261861053229</v>
      </c>
      <c r="V768" s="76">
        <f>V767+T768</f>
        <v>7.54387560040955</v>
      </c>
    </row>
    <row r="769" spans="1:22" ht="19" customHeight="1">
      <c r="A769" s="68" t="s">
        <v>368</v>
      </c>
      <c r="B769" s="74">
        <v>1</v>
      </c>
      <c r="C769" s="68" t="s">
        <v>363</v>
      </c>
      <c r="D769" s="68" t="s">
        <v>364</v>
      </c>
      <c r="E769" s="75">
        <f>60*F769*'THAM_SO_MOI'!$C$49/(2*PI()*'THAM_SO_MOI'!$C$26)</f>
        <v>2516.75</v>
      </c>
      <c r="F769" s="75">
        <f>'THAM_SO_MOI'!$E$49+('THAM_SO_MOI'!$F$49-'THAM_SO_MOI'!$E$49)*763/'THAM_SO_MOI'!$C$42</f>
        <v>3.929836456278764</v>
      </c>
      <c r="G769" s="75">
        <f>3.6*F769</f>
        <v>14.147411242603551</v>
      </c>
      <c r="H769" s="75">
        <f>'THAM_SO_MOI'!$D$49</f>
        <v>3.1625000000000005</v>
      </c>
      <c r="I769" s="75">
        <f>IF(F769&gt;'THAM_SO_MOI'!$C$14,'THAM_SO_MOI'!$C$13*(1+F769^2/1500),'THAM_SO_MOI'!$C$13)</f>
        <v>0.015</v>
      </c>
      <c r="J769" s="75">
        <f>'THAM_SO_MOI'!$C$40*('THAM_SO_MOI'!$C$23*(E769/'THAM_SO_MOI'!$C$22)+'THAM_SO_MOI'!$C$24*(E769/'THAM_SO_MOI'!$C$22)^2-'THAM_SO_MOI'!$C$25*(E769/'THAM_SO_MOI'!$C$22)^3)</f>
        <v>111.77418278065196</v>
      </c>
      <c r="K769" s="75">
        <f>'THAM_SO_MOI'!$C$31*J769/E769</f>
        <v>424.1844504499964</v>
      </c>
      <c r="L769" s="75">
        <f>K769*'THAM_SO_MOI'!$C$49*'THAM_SO_MOI'!$C$17/'THAM_SO_MOI'!$C$26</f>
        <v>24180.645386734755</v>
      </c>
      <c r="M769" s="75">
        <f>'THAM_SO_MOI'!$C$15*'THAM_SO_MOI'!$C$16*F769^2</f>
        <v>45.17257262631058</v>
      </c>
      <c r="N769" s="75">
        <f>'THAM_SO_MOI'!$C$12*I769</f>
        <v>1130.112</v>
      </c>
      <c r="O769" s="75">
        <f>M769+N769</f>
        <v>1175.2845726263106</v>
      </c>
      <c r="P769" s="75">
        <f>(MIN(L769,'THAM_SO_MOI'!$C$41)-O769)/('THAM_SO_MOI'!$C$11*H769)</f>
        <v>0.947190415600644</v>
      </c>
      <c r="Q769" s="75">
        <f>IF(P769&gt;0,1/P769,NA())</f>
        <v>1.0557539260633964</v>
      </c>
      <c r="R769" s="75">
        <f>F769-F768</f>
        <v>0.0035133136094680495</v>
      </c>
      <c r="S769" s="75">
        <f>0.5*(Q768+Q769)*R769</f>
        <v>0.003708838148215375</v>
      </c>
      <c r="T769" s="75">
        <f>0.5*(F768*Q768+F769*Q769)*R769</f>
        <v>0.014568612835751385</v>
      </c>
      <c r="U769" s="76">
        <f>U768+S769</f>
        <v>2.9779706992014443</v>
      </c>
      <c r="V769" s="76">
        <f>V768+T769</f>
        <v>7.558444213245302</v>
      </c>
    </row>
    <row r="770" spans="1:22" ht="19" customHeight="1">
      <c r="A770" s="68" t="s">
        <v>368</v>
      </c>
      <c r="B770" s="74">
        <v>1</v>
      </c>
      <c r="C770" s="68" t="s">
        <v>363</v>
      </c>
      <c r="D770" s="68" t="s">
        <v>364</v>
      </c>
      <c r="E770" s="75">
        <f>60*F770*'THAM_SO_MOI'!$C$49/(2*PI()*'THAM_SO_MOI'!$C$26)</f>
        <v>2518.9999999999995</v>
      </c>
      <c r="F770" s="75">
        <f>'THAM_SO_MOI'!$E$49+('THAM_SO_MOI'!$F$49-'THAM_SO_MOI'!$E$49)*764/'THAM_SO_MOI'!$C$42</f>
        <v>3.933349769888231</v>
      </c>
      <c r="G770" s="75">
        <f>3.6*F770</f>
        <v>14.160059171597632</v>
      </c>
      <c r="H770" s="75">
        <f>'THAM_SO_MOI'!$D$49</f>
        <v>3.1625000000000005</v>
      </c>
      <c r="I770" s="75">
        <f>IF(F770&gt;'THAM_SO_MOI'!$C$14,'THAM_SO_MOI'!$C$13*(1+F770^2/1500),'THAM_SO_MOI'!$C$13)</f>
        <v>0.015</v>
      </c>
      <c r="J770" s="75">
        <f>'THAM_SO_MOI'!$C$40*('THAM_SO_MOI'!$C$23*(E770/'THAM_SO_MOI'!$C$22)+'THAM_SO_MOI'!$C$24*(E770/'THAM_SO_MOI'!$C$22)^2-'THAM_SO_MOI'!$C$25*(E770/'THAM_SO_MOI'!$C$22)^3)</f>
        <v>111.85389098320447</v>
      </c>
      <c r="K770" s="75">
        <f>'THAM_SO_MOI'!$C$31*J770/E770</f>
        <v>424.1077874370808</v>
      </c>
      <c r="L770" s="75">
        <f>K770*'THAM_SO_MOI'!$C$49*'THAM_SO_MOI'!$C$17/'THAM_SO_MOI'!$C$26</f>
        <v>24176.275209733634</v>
      </c>
      <c r="M770" s="75">
        <f>'THAM_SO_MOI'!$C$15*'THAM_SO_MOI'!$C$16*F770^2</f>
        <v>45.253378205918416</v>
      </c>
      <c r="N770" s="75">
        <f>'THAM_SO_MOI'!$C$12*I770</f>
        <v>1130.112</v>
      </c>
      <c r="O770" s="75">
        <f>M770+N770</f>
        <v>1175.3653782059184</v>
      </c>
      <c r="P770" s="75">
        <f>(MIN(L770,'THAM_SO_MOI'!$C$41)-O770)/('THAM_SO_MOI'!$C$11*H770)</f>
        <v>0.9470071570951791</v>
      </c>
      <c r="Q770" s="75">
        <f>IF(P770&gt;0,1/P770,NA())</f>
        <v>1.055958228517902</v>
      </c>
      <c r="R770" s="75">
        <f>F770-F769</f>
        <v>0.0035133136094671613</v>
      </c>
      <c r="S770" s="75">
        <f>0.5*(Q769+Q770)*R770</f>
        <v>0.0037095535259838493</v>
      </c>
      <c r="T770" s="75">
        <f>0.5*(F769*Q769+F770*Q770)*R770</f>
        <v>0.01458445572581803</v>
      </c>
      <c r="U770" s="76">
        <f>U769+S770</f>
        <v>2.981680252727428</v>
      </c>
      <c r="V770" s="76">
        <f>V769+T770</f>
        <v>7.57302866897112</v>
      </c>
    </row>
    <row r="771" spans="1:22" ht="19" customHeight="1">
      <c r="A771" s="68" t="s">
        <v>368</v>
      </c>
      <c r="B771" s="74">
        <v>1</v>
      </c>
      <c r="C771" s="68" t="s">
        <v>363</v>
      </c>
      <c r="D771" s="68" t="s">
        <v>364</v>
      </c>
      <c r="E771" s="75">
        <f>60*F771*'THAM_SO_MOI'!$C$49/(2*PI()*'THAM_SO_MOI'!$C$26)</f>
        <v>2521.249999999999</v>
      </c>
      <c r="F771" s="75">
        <f>'THAM_SO_MOI'!$E$49+('THAM_SO_MOI'!$F$49-'THAM_SO_MOI'!$E$49)*765/'THAM_SO_MOI'!$C$42</f>
        <v>3.9368630834976983</v>
      </c>
      <c r="G771" s="75">
        <f>3.6*F771</f>
        <v>14.172707100591714</v>
      </c>
      <c r="H771" s="75">
        <f>'THAM_SO_MOI'!$D$49</f>
        <v>3.1625000000000005</v>
      </c>
      <c r="I771" s="75">
        <f>IF(F771&gt;'THAM_SO_MOI'!$C$14,'THAM_SO_MOI'!$C$13*(1+F771^2/1500),'THAM_SO_MOI'!$C$13)</f>
        <v>0.015</v>
      </c>
      <c r="J771" s="75">
        <f>'THAM_SO_MOI'!$C$40*('THAM_SO_MOI'!$C$23*(E771/'THAM_SO_MOI'!$C$22)+'THAM_SO_MOI'!$C$24*(E771/'THAM_SO_MOI'!$C$22)^2-'THAM_SO_MOI'!$C$25*(E771/'THAM_SO_MOI'!$C$22)^3)</f>
        <v>111.93343341787076</v>
      </c>
      <c r="K771" s="75">
        <f>'THAM_SO_MOI'!$C$31*J771/E771</f>
        <v>424.03063328610654</v>
      </c>
      <c r="L771" s="75">
        <f>K771*'THAM_SO_MOI'!$C$49*'THAM_SO_MOI'!$C$17/'THAM_SO_MOI'!$C$26</f>
        <v>24171.877035394984</v>
      </c>
      <c r="M771" s="75">
        <f>'THAM_SO_MOI'!$C$15*'THAM_SO_MOI'!$C$16*F771^2</f>
        <v>45.33425599425549</v>
      </c>
      <c r="N771" s="75">
        <f>'THAM_SO_MOI'!$C$12*I771</f>
        <v>1130.112</v>
      </c>
      <c r="O771" s="75">
        <f>M771+N771</f>
        <v>1175.4462559942556</v>
      </c>
      <c r="P771" s="75">
        <f>(MIN(L771,'THAM_SO_MOI'!$C$41)-O771)/('THAM_SO_MOI'!$C$11*H771)</f>
        <v>0.9468227428936399</v>
      </c>
      <c r="Q771" s="75">
        <f>IF(P771&gt;0,1/P771,NA())</f>
        <v>1.0561638992150126</v>
      </c>
      <c r="R771" s="75">
        <f>F771-F770</f>
        <v>0.0035133136094671613</v>
      </c>
      <c r="S771" s="75">
        <f>0.5*(Q770+Q771)*R771</f>
        <v>0.0037102737081103937</v>
      </c>
      <c r="T771" s="75">
        <f>0.5*(F770*Q770+F771*Q771)*R771</f>
        <v>0.014600322548242655</v>
      </c>
      <c r="U771" s="76">
        <f>U770+S771</f>
        <v>2.9853905264355385</v>
      </c>
      <c r="V771" s="76">
        <f>V770+T771</f>
        <v>7.587628991519363</v>
      </c>
    </row>
    <row r="772" spans="1:22" ht="19" customHeight="1">
      <c r="A772" s="68" t="s">
        <v>368</v>
      </c>
      <c r="B772" s="74">
        <v>1</v>
      </c>
      <c r="C772" s="68" t="s">
        <v>363</v>
      </c>
      <c r="D772" s="68" t="s">
        <v>364</v>
      </c>
      <c r="E772" s="75">
        <f>60*F772*'THAM_SO_MOI'!$C$49/(2*PI()*'THAM_SO_MOI'!$C$26)</f>
        <v>2523.4999999999995</v>
      </c>
      <c r="F772" s="75">
        <f>'THAM_SO_MOI'!$E$49+('THAM_SO_MOI'!$F$49-'THAM_SO_MOI'!$E$49)*766/'THAM_SO_MOI'!$C$42</f>
        <v>3.9403763971071664</v>
      </c>
      <c r="G772" s="75">
        <f>3.6*F772</f>
        <v>14.1853550295858</v>
      </c>
      <c r="H772" s="75">
        <f>'THAM_SO_MOI'!$D$49</f>
        <v>3.1625000000000005</v>
      </c>
      <c r="I772" s="75">
        <f>IF(F772&gt;'THAM_SO_MOI'!$C$14,'THAM_SO_MOI'!$C$13*(1+F772^2/1500),'THAM_SO_MOI'!$C$13)</f>
        <v>0.015</v>
      </c>
      <c r="J772" s="75">
        <f>'THAM_SO_MOI'!$C$40*('THAM_SO_MOI'!$C$23*(E772/'THAM_SO_MOI'!$C$22)+'THAM_SO_MOI'!$C$24*(E772/'THAM_SO_MOI'!$C$22)^2-'THAM_SO_MOI'!$C$25*(E772/'THAM_SO_MOI'!$C$22)^3)</f>
        <v>112.01280973755135</v>
      </c>
      <c r="K772" s="75">
        <f>'THAM_SO_MOI'!$C$31*J772/E772</f>
        <v>423.9529879970734</v>
      </c>
      <c r="L772" s="75">
        <f>K772*'THAM_SO_MOI'!$C$49*'THAM_SO_MOI'!$C$17/'THAM_SO_MOI'!$C$26</f>
        <v>24167.4508637188</v>
      </c>
      <c r="M772" s="75">
        <f>'THAM_SO_MOI'!$C$15*'THAM_SO_MOI'!$C$16*F772^2</f>
        <v>45.41520599132182</v>
      </c>
      <c r="N772" s="75">
        <f>'THAM_SO_MOI'!$C$12*I772</f>
        <v>1130.112</v>
      </c>
      <c r="O772" s="75">
        <f>M772+N772</f>
        <v>1175.5272059913218</v>
      </c>
      <c r="P772" s="75">
        <f>(MIN(L772,'THAM_SO_MOI'!$C$41)-O772)/('THAM_SO_MOI'!$C$11*H772)</f>
        <v>0.9466371729960258</v>
      </c>
      <c r="Q772" s="75">
        <f>IF(P772&gt;0,1/P772,NA())</f>
        <v>1.0563709397076446</v>
      </c>
      <c r="R772" s="75">
        <f>F772-F771</f>
        <v>0.0035133136094680495</v>
      </c>
      <c r="S772" s="75">
        <f>0.5*(Q771+Q772)*R772</f>
        <v>0.003710998700031183</v>
      </c>
      <c r="T772" s="75">
        <f>0.5*(F771*Q771+F772*Q772)*R772</f>
        <v>0.014616213375073964</v>
      </c>
      <c r="U772" s="76">
        <f>U771+S772</f>
        <v>2.9891015251355695</v>
      </c>
      <c r="V772" s="76">
        <f>V771+T772</f>
        <v>7.602245204894437</v>
      </c>
    </row>
    <row r="773" spans="1:22" ht="19" customHeight="1">
      <c r="A773" s="68" t="s">
        <v>368</v>
      </c>
      <c r="B773" s="74">
        <v>1</v>
      </c>
      <c r="C773" s="68" t="s">
        <v>363</v>
      </c>
      <c r="D773" s="68" t="s">
        <v>364</v>
      </c>
      <c r="E773" s="75">
        <f>60*F773*'THAM_SO_MOI'!$C$49/(2*PI()*'THAM_SO_MOI'!$C$26)</f>
        <v>2525.7499999999995</v>
      </c>
      <c r="F773" s="75">
        <f>'THAM_SO_MOI'!$E$49+('THAM_SO_MOI'!$F$49-'THAM_SO_MOI'!$E$49)*767/'THAM_SO_MOI'!$C$42</f>
        <v>3.9438897107166335</v>
      </c>
      <c r="G773" s="75">
        <f>3.6*F773</f>
        <v>14.198002958579881</v>
      </c>
      <c r="H773" s="75">
        <f>'THAM_SO_MOI'!$D$49</f>
        <v>3.1625000000000005</v>
      </c>
      <c r="I773" s="75">
        <f>IF(F773&gt;'THAM_SO_MOI'!$C$14,'THAM_SO_MOI'!$C$13*(1+F773^2/1500),'THAM_SO_MOI'!$C$13)</f>
        <v>0.015</v>
      </c>
      <c r="J773" s="75">
        <f>'THAM_SO_MOI'!$C$40*('THAM_SO_MOI'!$C$23*(E773/'THAM_SO_MOI'!$C$22)+'THAM_SO_MOI'!$C$24*(E773/'THAM_SO_MOI'!$C$22)^2-'THAM_SO_MOI'!$C$25*(E773/'THAM_SO_MOI'!$C$22)^3)</f>
        <v>112.09201959514662</v>
      </c>
      <c r="K773" s="75">
        <f>'THAM_SO_MOI'!$C$31*J773/E773</f>
        <v>423.8748515699816</v>
      </c>
      <c r="L773" s="75">
        <f>K773*'THAM_SO_MOI'!$C$49*'THAM_SO_MOI'!$C$17/'THAM_SO_MOI'!$C$26</f>
        <v>24162.996694705085</v>
      </c>
      <c r="M773" s="75">
        <f>'THAM_SO_MOI'!$C$15*'THAM_SO_MOI'!$C$16*F773^2</f>
        <v>45.49622819711736</v>
      </c>
      <c r="N773" s="75">
        <f>'THAM_SO_MOI'!$C$12*I773</f>
        <v>1130.112</v>
      </c>
      <c r="O773" s="75">
        <f>M773+N773</f>
        <v>1175.6082281971173</v>
      </c>
      <c r="P773" s="75">
        <f>(MIN(L773,'THAM_SO_MOI'!$C$41)-O773)/('THAM_SO_MOI'!$C$11*H773)</f>
        <v>0.9464504474023371</v>
      </c>
      <c r="Q773" s="75">
        <f>IF(P773&gt;0,1/P773,NA())</f>
        <v>1.0565793515599649</v>
      </c>
      <c r="R773" s="75">
        <f>F773-F772</f>
        <v>0.0035133136094671613</v>
      </c>
      <c r="S773" s="75">
        <f>0.5*(Q772+Q773)*R773</f>
        <v>0.0037117285072190477</v>
      </c>
      <c r="T773" s="75">
        <f>0.5*(F772*Q772+F773*Q773)*R773</f>
        <v>0.014632128278581562</v>
      </c>
      <c r="U773" s="76">
        <f>U772+S773</f>
        <v>2.9928132536427885</v>
      </c>
      <c r="V773" s="76">
        <f>V772+T773</f>
        <v>7.616877333173019</v>
      </c>
    </row>
    <row r="774" spans="1:22" ht="19" customHeight="1">
      <c r="A774" s="68" t="s">
        <v>368</v>
      </c>
      <c r="B774" s="74">
        <v>1</v>
      </c>
      <c r="C774" s="68" t="s">
        <v>363</v>
      </c>
      <c r="D774" s="68" t="s">
        <v>364</v>
      </c>
      <c r="E774" s="75">
        <f>60*F774*'THAM_SO_MOI'!$C$49/(2*PI()*'THAM_SO_MOI'!$C$26)</f>
        <v>2528.0</v>
      </c>
      <c r="F774" s="75">
        <f>'THAM_SO_MOI'!$E$49+('THAM_SO_MOI'!$F$49-'THAM_SO_MOI'!$E$49)*768/'THAM_SO_MOI'!$C$42</f>
        <v>3.9474030243261016</v>
      </c>
      <c r="G774" s="75">
        <f>3.6*F774</f>
        <v>14.210650887573966</v>
      </c>
      <c r="H774" s="75">
        <f>'THAM_SO_MOI'!$D$49</f>
        <v>3.1625000000000005</v>
      </c>
      <c r="I774" s="75">
        <f>IF(F774&gt;'THAM_SO_MOI'!$C$14,'THAM_SO_MOI'!$C$13*(1+F774^2/1500),'THAM_SO_MOI'!$C$13)</f>
        <v>0.015</v>
      </c>
      <c r="J774" s="75">
        <f>'THAM_SO_MOI'!$C$40*('THAM_SO_MOI'!$C$23*(E774/'THAM_SO_MOI'!$C$22)+'THAM_SO_MOI'!$C$24*(E774/'THAM_SO_MOI'!$C$22)^2-'THAM_SO_MOI'!$C$25*(E774/'THAM_SO_MOI'!$C$22)^3)</f>
        <v>112.17106264355706</v>
      </c>
      <c r="K774" s="75">
        <f>'THAM_SO_MOI'!$C$31*J774/E774</f>
        <v>423.79622400483095</v>
      </c>
      <c r="L774" s="75">
        <f>K774*'THAM_SO_MOI'!$C$49*'THAM_SO_MOI'!$C$17/'THAM_SO_MOI'!$C$26</f>
        <v>24158.514528353833</v>
      </c>
      <c r="M774" s="75">
        <f>'THAM_SO_MOI'!$C$15*'THAM_SO_MOI'!$C$16*F774^2</f>
        <v>45.577322611642145</v>
      </c>
      <c r="N774" s="75">
        <f>'THAM_SO_MOI'!$C$12*I774</f>
        <v>1130.112</v>
      </c>
      <c r="O774" s="75">
        <f>M774+N774</f>
        <v>1175.6893226116422</v>
      </c>
      <c r="P774" s="75">
        <f>(MIN(L774,'THAM_SO_MOI'!$C$41)-O774)/('THAM_SO_MOI'!$C$11*H774)</f>
        <v>0.9462625661125735</v>
      </c>
      <c r="Q774" s="75">
        <f>IF(P774&gt;0,1/P774,NA())</f>
        <v>1.05678913634742</v>
      </c>
      <c r="R774" s="75">
        <f>F774-F773</f>
        <v>0.0035133136094680495</v>
      </c>
      <c r="S774" s="75">
        <f>0.5*(Q773+Q774)*R774</f>
        <v>0.0037124631351929645</v>
      </c>
      <c r="T774" s="75">
        <f>0.5*(F773*Q773+F774*Q774)*R774</f>
        <v>0.014648067331294052</v>
      </c>
      <c r="U774" s="76">
        <f>U773+S774</f>
        <v>2.9965257167779815</v>
      </c>
      <c r="V774" s="76">
        <f>V773+T774</f>
        <v>7.631525400504312</v>
      </c>
    </row>
    <row r="775" spans="1:22" ht="19" customHeight="1">
      <c r="A775" s="68" t="s">
        <v>368</v>
      </c>
      <c r="B775" s="74">
        <v>1</v>
      </c>
      <c r="C775" s="68" t="s">
        <v>363</v>
      </c>
      <c r="D775" s="68" t="s">
        <v>364</v>
      </c>
      <c r="E775" s="75">
        <f>60*F775*'THAM_SO_MOI'!$C$49/(2*PI()*'THAM_SO_MOI'!$C$26)</f>
        <v>2530.2499999999995</v>
      </c>
      <c r="F775" s="75">
        <f>'THAM_SO_MOI'!$E$49+('THAM_SO_MOI'!$F$49-'THAM_SO_MOI'!$E$49)*769/'THAM_SO_MOI'!$C$42</f>
        <v>3.9509163379355687</v>
      </c>
      <c r="G775" s="75">
        <f>3.6*F775</f>
        <v>14.223298816568049</v>
      </c>
      <c r="H775" s="75">
        <f>'THAM_SO_MOI'!$D$49</f>
        <v>3.1625000000000005</v>
      </c>
      <c r="I775" s="75">
        <f>IF(F775&gt;'THAM_SO_MOI'!$C$14,'THAM_SO_MOI'!$C$13*(1+F775^2/1500),'THAM_SO_MOI'!$C$13)</f>
        <v>0.015</v>
      </c>
      <c r="J775" s="75">
        <f>'THAM_SO_MOI'!$C$40*('THAM_SO_MOI'!$C$23*(E775/'THAM_SO_MOI'!$C$22)+'THAM_SO_MOI'!$C$24*(E775/'THAM_SO_MOI'!$C$22)^2-'THAM_SO_MOI'!$C$25*(E775/'THAM_SO_MOI'!$C$22)^3)</f>
        <v>112.24993853568307</v>
      </c>
      <c r="K775" s="75">
        <f>'THAM_SO_MOI'!$C$31*J775/E775</f>
        <v>423.71710530162153</v>
      </c>
      <c r="L775" s="75">
        <f>K775*'THAM_SO_MOI'!$C$49*'THAM_SO_MOI'!$C$17/'THAM_SO_MOI'!$C$26</f>
        <v>24154.004364665052</v>
      </c>
      <c r="M775" s="75">
        <f>'THAM_SO_MOI'!$C$15*'THAM_SO_MOI'!$C$16*F775^2</f>
        <v>45.65848923489615</v>
      </c>
      <c r="N775" s="75">
        <f>'THAM_SO_MOI'!$C$12*I775</f>
        <v>1130.112</v>
      </c>
      <c r="O775" s="75">
        <f>M775+N775</f>
        <v>1175.7704892348963</v>
      </c>
      <c r="P775" s="75">
        <f>(MIN(L775,'THAM_SO_MOI'!$C$41)-O775)/('THAM_SO_MOI'!$C$11*H775)</f>
        <v>0.9460735291267356</v>
      </c>
      <c r="Q775" s="75">
        <f>IF(P775&gt;0,1/P775,NA())</f>
        <v>1.0570002956567666</v>
      </c>
      <c r="R775" s="75">
        <f>F775-F774</f>
        <v>0.0035133136094671613</v>
      </c>
      <c r="S775" s="75">
        <f>0.5*(Q774+Q775)*R775</f>
        <v>0.003713202589504085</v>
      </c>
      <c r="T775" s="75">
        <f>0.5*(F774*Q774+F775*Q775)*R775</f>
        <v>0.014664030605944647</v>
      </c>
      <c r="U775" s="76">
        <f>U774+S775</f>
        <v>3.0002389193674857</v>
      </c>
      <c r="V775" s="76">
        <f>V774+T775</f>
        <v>7.6461894311102565</v>
      </c>
    </row>
    <row r="776" spans="1:22" ht="19" customHeight="1">
      <c r="A776" s="68" t="s">
        <v>368</v>
      </c>
      <c r="B776" s="74">
        <v>1</v>
      </c>
      <c r="C776" s="68" t="s">
        <v>363</v>
      </c>
      <c r="D776" s="68" t="s">
        <v>364</v>
      </c>
      <c r="E776" s="75">
        <f>60*F776*'THAM_SO_MOI'!$C$49/(2*PI()*'THAM_SO_MOI'!$C$26)</f>
        <v>2532.5000000000005</v>
      </c>
      <c r="F776" s="75">
        <f>'THAM_SO_MOI'!$E$49+('THAM_SO_MOI'!$F$49-'THAM_SO_MOI'!$E$49)*770/'THAM_SO_MOI'!$C$42</f>
        <v>3.954429651545037</v>
      </c>
      <c r="G776" s="75">
        <f>3.6*F776</f>
        <v>14.235946745562133</v>
      </c>
      <c r="H776" s="75">
        <f>'THAM_SO_MOI'!$D$49</f>
        <v>3.1625000000000005</v>
      </c>
      <c r="I776" s="75">
        <f>IF(F776&gt;'THAM_SO_MOI'!$C$14,'THAM_SO_MOI'!$C$13*(1+F776^2/1500),'THAM_SO_MOI'!$C$13)</f>
        <v>0.015</v>
      </c>
      <c r="J776" s="75">
        <f>'THAM_SO_MOI'!$C$40*('THAM_SO_MOI'!$C$23*(E776/'THAM_SO_MOI'!$C$22)+'THAM_SO_MOI'!$C$24*(E776/'THAM_SO_MOI'!$C$22)^2-'THAM_SO_MOI'!$C$25*(E776/'THAM_SO_MOI'!$C$22)^3)</f>
        <v>112.32864692442523</v>
      </c>
      <c r="K776" s="75">
        <f>'THAM_SO_MOI'!$C$31*J776/E776</f>
        <v>423.6374954603534</v>
      </c>
      <c r="L776" s="75">
        <f>K776*'THAM_SO_MOI'!$C$49*'THAM_SO_MOI'!$C$17/'THAM_SO_MOI'!$C$26</f>
        <v>24149.46620363875</v>
      </c>
      <c r="M776" s="75">
        <f>'THAM_SO_MOI'!$C$15*'THAM_SO_MOI'!$C$16*F776^2</f>
        <v>45.73972806687941</v>
      </c>
      <c r="N776" s="75">
        <f>'THAM_SO_MOI'!$C$12*I776</f>
        <v>1130.112</v>
      </c>
      <c r="O776" s="75">
        <f>M776+N776</f>
        <v>1175.8517280668796</v>
      </c>
      <c r="P776" s="75">
        <f>(MIN(L776,'THAM_SO_MOI'!$C$41)-O776)/('THAM_SO_MOI'!$C$11*H776)</f>
        <v>0.9458833364448231</v>
      </c>
      <c r="Q776" s="75">
        <f>IF(P776&gt;0,1/P776,NA())</f>
        <v>1.0572128310861026</v>
      </c>
      <c r="R776" s="75">
        <f>F776-F775</f>
        <v>0.0035133136094680495</v>
      </c>
      <c r="S776" s="75">
        <f>0.5*(Q775+Q776)*R776</f>
        <v>0.00371394687575086</v>
      </c>
      <c r="T776" s="75">
        <f>0.5*(F775*Q775+F776*Q776)*R776</f>
        <v>0.014680018175531537</v>
      </c>
      <c r="U776" s="76">
        <f>U775+S776</f>
        <v>3.0039528662432367</v>
      </c>
      <c r="V776" s="76">
        <f>V775+T776</f>
        <v>7.660869449285788</v>
      </c>
    </row>
    <row r="777" spans="1:22" ht="19" customHeight="1">
      <c r="A777" s="68" t="s">
        <v>368</v>
      </c>
      <c r="B777" s="74">
        <v>1</v>
      </c>
      <c r="C777" s="68" t="s">
        <v>363</v>
      </c>
      <c r="D777" s="68" t="s">
        <v>364</v>
      </c>
      <c r="E777" s="75">
        <f>60*F777*'THAM_SO_MOI'!$C$49/(2*PI()*'THAM_SO_MOI'!$C$26)</f>
        <v>2534.75</v>
      </c>
      <c r="F777" s="75">
        <f>'THAM_SO_MOI'!$E$49+('THAM_SO_MOI'!$F$49-'THAM_SO_MOI'!$E$49)*771/'THAM_SO_MOI'!$C$42</f>
        <v>3.957942965154504</v>
      </c>
      <c r="G777" s="75">
        <f>3.6*F777</f>
        <v>14.248594674556214</v>
      </c>
      <c r="H777" s="75">
        <f>'THAM_SO_MOI'!$D$49</f>
        <v>3.1625000000000005</v>
      </c>
      <c r="I777" s="75">
        <f>IF(F777&gt;'THAM_SO_MOI'!$C$14,'THAM_SO_MOI'!$C$13*(1+F777^2/1500),'THAM_SO_MOI'!$C$13)</f>
        <v>0.015</v>
      </c>
      <c r="J777" s="75">
        <f>'THAM_SO_MOI'!$C$40*('THAM_SO_MOI'!$C$23*(E777/'THAM_SO_MOI'!$C$22)+'THAM_SO_MOI'!$C$24*(E777/'THAM_SO_MOI'!$C$22)^2-'THAM_SO_MOI'!$C$25*(E777/'THAM_SO_MOI'!$C$22)^3)</f>
        <v>112.40718746268382</v>
      </c>
      <c r="K777" s="75">
        <f>'THAM_SO_MOI'!$C$31*J777/E777</f>
        <v>423.55739448102645</v>
      </c>
      <c r="L777" s="75">
        <f>K777*'THAM_SO_MOI'!$C$49*'THAM_SO_MOI'!$C$17/'THAM_SO_MOI'!$C$26</f>
        <v>24144.900045274895</v>
      </c>
      <c r="M777" s="75">
        <f>'THAM_SO_MOI'!$C$15*'THAM_SO_MOI'!$C$16*F777^2</f>
        <v>45.821039107591886</v>
      </c>
      <c r="N777" s="75">
        <f>'THAM_SO_MOI'!$C$12*I777</f>
        <v>1130.112</v>
      </c>
      <c r="O777" s="75">
        <f>M777+N777</f>
        <v>1175.9330391075919</v>
      </c>
      <c r="P777" s="75">
        <f>(MIN(L777,'THAM_SO_MOI'!$C$41)-O777)/('THAM_SO_MOI'!$C$11*H777)</f>
        <v>0.9456919880668354</v>
      </c>
      <c r="Q777" s="75">
        <f>IF(P777&gt;0,1/P777,NA())</f>
        <v>1.0574267442448995</v>
      </c>
      <c r="R777" s="75">
        <f>F777-F776</f>
        <v>0.0035133136094671613</v>
      </c>
      <c r="S777" s="75">
        <f>0.5*(Q776+Q777)*R777</f>
        <v>0.003714695999564134</v>
      </c>
      <c r="T777" s="75">
        <f>0.5*(F776*Q776+F777*Q777)*R777</f>
        <v>0.014696030113259746</v>
      </c>
      <c r="U777" s="76">
        <f>U776+S777</f>
        <v>3.007667562242801</v>
      </c>
      <c r="V777" s="76">
        <f>V776+T777</f>
        <v>7.675565479399048</v>
      </c>
    </row>
    <row r="778" spans="1:22" ht="19" customHeight="1">
      <c r="A778" s="68" t="s">
        <v>368</v>
      </c>
      <c r="B778" s="74">
        <v>1</v>
      </c>
      <c r="C778" s="68" t="s">
        <v>363</v>
      </c>
      <c r="D778" s="68" t="s">
        <v>364</v>
      </c>
      <c r="E778" s="75">
        <f>60*F778*'THAM_SO_MOI'!$C$49/(2*PI()*'THAM_SO_MOI'!$C$26)</f>
        <v>2536.9999999999995</v>
      </c>
      <c r="F778" s="75">
        <f>'THAM_SO_MOI'!$E$49+('THAM_SO_MOI'!$F$49-'THAM_SO_MOI'!$E$49)*772/'THAM_SO_MOI'!$C$42</f>
        <v>3.961456278763971</v>
      </c>
      <c r="G778" s="75">
        <f>3.6*F778</f>
        <v>14.261242603550297</v>
      </c>
      <c r="H778" s="75">
        <f>'THAM_SO_MOI'!$D$49</f>
        <v>3.1625000000000005</v>
      </c>
      <c r="I778" s="75">
        <f>IF(F778&gt;'THAM_SO_MOI'!$C$14,'THAM_SO_MOI'!$C$13*(1+F778^2/1500),'THAM_SO_MOI'!$C$13)</f>
        <v>0.015</v>
      </c>
      <c r="J778" s="75">
        <f>'THAM_SO_MOI'!$C$40*('THAM_SO_MOI'!$C$23*(E778/'THAM_SO_MOI'!$C$22)+'THAM_SO_MOI'!$C$24*(E778/'THAM_SO_MOI'!$C$22)^2-'THAM_SO_MOI'!$C$25*(E778/'THAM_SO_MOI'!$C$22)^3)</f>
        <v>112.48555980335945</v>
      </c>
      <c r="K778" s="75">
        <f>'THAM_SO_MOI'!$C$31*J778/E778</f>
        <v>423.4768023636408</v>
      </c>
      <c r="L778" s="75">
        <f>K778*'THAM_SO_MOI'!$C$49*'THAM_SO_MOI'!$C$17/'THAM_SO_MOI'!$C$26</f>
        <v>24140.305889573527</v>
      </c>
      <c r="M778" s="75">
        <f>'THAM_SO_MOI'!$C$15*'THAM_SO_MOI'!$C$16*F778^2</f>
        <v>45.90242235703358</v>
      </c>
      <c r="N778" s="75">
        <f>'THAM_SO_MOI'!$C$12*I778</f>
        <v>1130.112</v>
      </c>
      <c r="O778" s="75">
        <f>M778+N778</f>
        <v>1176.0144223570337</v>
      </c>
      <c r="P778" s="75">
        <f>(MIN(L778,'THAM_SO_MOI'!$C$41)-O778)/('THAM_SO_MOI'!$C$11*H778)</f>
        <v>0.9454994839927737</v>
      </c>
      <c r="Q778" s="75">
        <f>IF(P778&gt;0,1/P778,NA())</f>
        <v>1.0576420367540282</v>
      </c>
      <c r="R778" s="75">
        <f>F778-F777</f>
        <v>0.0035133136094671613</v>
      </c>
      <c r="S778" s="75">
        <f>0.5*(Q777+Q778)*R778</f>
        <v>0.003715449966621326</v>
      </c>
      <c r="T778" s="75">
        <f>0.5*(F777*Q777+F778*Q778)*R778</f>
        <v>0.014712066492597837</v>
      </c>
      <c r="U778" s="76">
        <f>U777+S778</f>
        <v>3.0113830122094223</v>
      </c>
      <c r="V778" s="76">
        <f>V777+T778</f>
        <v>7.690277545891646</v>
      </c>
    </row>
    <row r="779" spans="1:22" ht="19" customHeight="1">
      <c r="A779" s="68" t="s">
        <v>368</v>
      </c>
      <c r="B779" s="74">
        <v>1</v>
      </c>
      <c r="C779" s="68" t="s">
        <v>363</v>
      </c>
      <c r="D779" s="68" t="s">
        <v>364</v>
      </c>
      <c r="E779" s="75">
        <f>60*F779*'THAM_SO_MOI'!$C$49/(2*PI()*'THAM_SO_MOI'!$C$26)</f>
        <v>2539.2500000000005</v>
      </c>
      <c r="F779" s="75">
        <f>'THAM_SO_MOI'!$E$49+('THAM_SO_MOI'!$F$49-'THAM_SO_MOI'!$E$49)*773/'THAM_SO_MOI'!$C$42</f>
        <v>3.964969592373439</v>
      </c>
      <c r="G779" s="75">
        <f>3.6*F779</f>
        <v>14.273890532544382</v>
      </c>
      <c r="H779" s="75">
        <f>'THAM_SO_MOI'!$D$49</f>
        <v>3.1625000000000005</v>
      </c>
      <c r="I779" s="75">
        <f>IF(F779&gt;'THAM_SO_MOI'!$C$14,'THAM_SO_MOI'!$C$13*(1+F779^2/1500),'THAM_SO_MOI'!$C$13)</f>
        <v>0.015</v>
      </c>
      <c r="J779" s="75">
        <f>'THAM_SO_MOI'!$C$40*('THAM_SO_MOI'!$C$23*(E779/'THAM_SO_MOI'!$C$22)+'THAM_SO_MOI'!$C$24*(E779/'THAM_SO_MOI'!$C$22)^2-'THAM_SO_MOI'!$C$25*(E779/'THAM_SO_MOI'!$C$22)^3)</f>
        <v>112.56376359935253</v>
      </c>
      <c r="K779" s="75">
        <f>'THAM_SO_MOI'!$C$31*J779/E779</f>
        <v>423.39571910819626</v>
      </c>
      <c r="L779" s="75">
        <f>K779*'THAM_SO_MOI'!$C$49*'THAM_SO_MOI'!$C$17/'THAM_SO_MOI'!$C$26</f>
        <v>24135.683736534615</v>
      </c>
      <c r="M779" s="75">
        <f>'THAM_SO_MOI'!$C$15*'THAM_SO_MOI'!$C$16*F779^2</f>
        <v>45.98387781520454</v>
      </c>
      <c r="N779" s="75">
        <f>'THAM_SO_MOI'!$C$12*I779</f>
        <v>1130.112</v>
      </c>
      <c r="O779" s="75">
        <f>M779+N779</f>
        <v>1176.0958778152046</v>
      </c>
      <c r="P779" s="75">
        <f>(MIN(L779,'THAM_SO_MOI'!$C$41)-O779)/('THAM_SO_MOI'!$C$11*H779)</f>
        <v>0.945305824222637</v>
      </c>
      <c r="Q779" s="75">
        <f>IF(P779&gt;0,1/P779,NA())</f>
        <v>1.0578587102457981</v>
      </c>
      <c r="R779" s="75">
        <f>F779-F778</f>
        <v>0.0035133136094680495</v>
      </c>
      <c r="S779" s="75">
        <f>0.5*(Q778+Q779)*R779</f>
        <v>0.0037162087826371577</v>
      </c>
      <c r="T779" s="75">
        <f>0.5*(F778*Q778+F779*Q779)*R779</f>
        <v>0.01472812738724202</v>
      </c>
      <c r="U779" s="76">
        <f>U778+S779</f>
        <v>3.0150992209920595</v>
      </c>
      <c r="V779" s="76">
        <f>V778+T779</f>
        <v>7.705005673278888</v>
      </c>
    </row>
    <row r="780" spans="1:22" ht="19" customHeight="1">
      <c r="A780" s="68" t="s">
        <v>368</v>
      </c>
      <c r="B780" s="74">
        <v>1</v>
      </c>
      <c r="C780" s="68" t="s">
        <v>363</v>
      </c>
      <c r="D780" s="68" t="s">
        <v>364</v>
      </c>
      <c r="E780" s="75">
        <f>60*F780*'THAM_SO_MOI'!$C$49/(2*PI()*'THAM_SO_MOI'!$C$26)</f>
        <v>2541.4999999999995</v>
      </c>
      <c r="F780" s="75">
        <f>'THAM_SO_MOI'!$E$49+('THAM_SO_MOI'!$F$49-'THAM_SO_MOI'!$E$49)*774/'THAM_SO_MOI'!$C$42</f>
        <v>3.9684829059829063</v>
      </c>
      <c r="G780" s="75">
        <f>3.6*F780</f>
        <v>14.286538461538463</v>
      </c>
      <c r="H780" s="75">
        <f>'THAM_SO_MOI'!$D$49</f>
        <v>3.1625000000000005</v>
      </c>
      <c r="I780" s="75">
        <f>IF(F780&gt;'THAM_SO_MOI'!$C$14,'THAM_SO_MOI'!$C$13*(1+F780^2/1500),'THAM_SO_MOI'!$C$13)</f>
        <v>0.015</v>
      </c>
      <c r="J780" s="75">
        <f>'THAM_SO_MOI'!$C$40*('THAM_SO_MOI'!$C$23*(E780/'THAM_SO_MOI'!$C$22)+'THAM_SO_MOI'!$C$24*(E780/'THAM_SO_MOI'!$C$22)^2-'THAM_SO_MOI'!$C$25*(E780/'THAM_SO_MOI'!$C$22)^3)</f>
        <v>112.64179850356344</v>
      </c>
      <c r="K780" s="75">
        <f>'THAM_SO_MOI'!$C$31*J780/E780</f>
        <v>423.31414471469304</v>
      </c>
      <c r="L780" s="75">
        <f>K780*'THAM_SO_MOI'!$C$49*'THAM_SO_MOI'!$C$17/'THAM_SO_MOI'!$C$26</f>
        <v>24131.033586158177</v>
      </c>
      <c r="M780" s="75">
        <f>'THAM_SO_MOI'!$C$15*'THAM_SO_MOI'!$C$16*F780^2</f>
        <v>46.06540548210471</v>
      </c>
      <c r="N780" s="75">
        <f>'THAM_SO_MOI'!$C$12*I780</f>
        <v>1130.112</v>
      </c>
      <c r="O780" s="75">
        <f>M780+N780</f>
        <v>1176.1774054821049</v>
      </c>
      <c r="P780" s="75">
        <f>(MIN(L780,'THAM_SO_MOI'!$C$41)-O780)/('THAM_SO_MOI'!$C$11*H780)</f>
        <v>0.9451110087564256</v>
      </c>
      <c r="Q780" s="75">
        <f>IF(P780&gt;0,1/P780,NA())</f>
        <v>1.058076766363982</v>
      </c>
      <c r="R780" s="75">
        <f>F780-F779</f>
        <v>0.0035133136094671613</v>
      </c>
      <c r="S780" s="75">
        <f>0.5*(Q779+Q780)*R780</f>
        <v>0.003716972453363763</v>
      </c>
      <c r="T780" s="75">
        <f>0.5*(F779*Q779+F780*Q780)*R780</f>
        <v>0.014744212871117202</v>
      </c>
      <c r="U780" s="76">
        <f>U779+S780</f>
        <v>3.0188161934454234</v>
      </c>
      <c r="V780" s="76">
        <f>V779+T780</f>
        <v>7.719749886150005</v>
      </c>
    </row>
    <row r="781" spans="1:22" ht="19" customHeight="1">
      <c r="A781" s="68" t="s">
        <v>368</v>
      </c>
      <c r="B781" s="74">
        <v>1</v>
      </c>
      <c r="C781" s="68" t="s">
        <v>363</v>
      </c>
      <c r="D781" s="68" t="s">
        <v>364</v>
      </c>
      <c r="E781" s="75">
        <f>60*F781*'THAM_SO_MOI'!$C$49/(2*PI()*'THAM_SO_MOI'!$C$26)</f>
        <v>2543.75</v>
      </c>
      <c r="F781" s="75">
        <f>'THAM_SO_MOI'!$E$49+('THAM_SO_MOI'!$F$49-'THAM_SO_MOI'!$E$49)*775/'THAM_SO_MOI'!$C$42</f>
        <v>3.9719962195923735</v>
      </c>
      <c r="G781" s="75">
        <f>3.6*F781</f>
        <v>14.299186390532546</v>
      </c>
      <c r="H781" s="75">
        <f>'THAM_SO_MOI'!$D$49</f>
        <v>3.1625000000000005</v>
      </c>
      <c r="I781" s="75">
        <f>IF(F781&gt;'THAM_SO_MOI'!$C$14,'THAM_SO_MOI'!$C$13*(1+F781^2/1500),'THAM_SO_MOI'!$C$13)</f>
        <v>0.015</v>
      </c>
      <c r="J781" s="75">
        <f>'THAM_SO_MOI'!$C$40*('THAM_SO_MOI'!$C$23*(E781/'THAM_SO_MOI'!$C$22)+'THAM_SO_MOI'!$C$24*(E781/'THAM_SO_MOI'!$C$22)^2-'THAM_SO_MOI'!$C$25*(E781/'THAM_SO_MOI'!$C$22)^3)</f>
        <v>112.71966416889272</v>
      </c>
      <c r="K781" s="75">
        <f>'THAM_SO_MOI'!$C$31*J781/E781</f>
        <v>423.23207918313085</v>
      </c>
      <c r="L781" s="75">
        <f>K781*'THAM_SO_MOI'!$C$49*'THAM_SO_MOI'!$C$17/'THAM_SO_MOI'!$C$26</f>
        <v>24126.355438444196</v>
      </c>
      <c r="M781" s="75">
        <f>'THAM_SO_MOI'!$C$15*'THAM_SO_MOI'!$C$16*F781^2</f>
        <v>46.147005357734116</v>
      </c>
      <c r="N781" s="75">
        <f>'THAM_SO_MOI'!$C$12*I781</f>
        <v>1130.112</v>
      </c>
      <c r="O781" s="75">
        <f>M781+N781</f>
        <v>1176.2590053577342</v>
      </c>
      <c r="P781" s="75">
        <f>(MIN(L781,'THAM_SO_MOI'!$C$41)-O781)/('THAM_SO_MOI'!$C$11*H781)</f>
        <v>0.9449150375941393</v>
      </c>
      <c r="Q781" s="75">
        <f>IF(P781&gt;0,1/P781,NA())</f>
        <v>1.0582962067638517</v>
      </c>
      <c r="R781" s="75">
        <f>F781-F780</f>
        <v>0.0035133136094671613</v>
      </c>
      <c r="S781" s="75">
        <f>0.5*(Q780+Q781)*R781</f>
        <v>0.0037177409845992482</v>
      </c>
      <c r="T781" s="75">
        <f>0.5*(F780*Q780+F781*Q781)*R781</f>
        <v>0.014760323018411662</v>
      </c>
      <c r="U781" s="76">
        <f>U780+S781</f>
        <v>3.022533934430023</v>
      </c>
      <c r="V781" s="76">
        <f>V780+T781</f>
        <v>7.734510209168417</v>
      </c>
    </row>
    <row r="782" spans="1:22" ht="19" customHeight="1">
      <c r="A782" s="68" t="s">
        <v>368</v>
      </c>
      <c r="B782" s="74">
        <v>1</v>
      </c>
      <c r="C782" s="68" t="s">
        <v>363</v>
      </c>
      <c r="D782" s="68" t="s">
        <v>364</v>
      </c>
      <c r="E782" s="75">
        <f>60*F782*'THAM_SO_MOI'!$C$49/(2*PI()*'THAM_SO_MOI'!$C$26)</f>
        <v>2546.0</v>
      </c>
      <c r="F782" s="75">
        <f>'THAM_SO_MOI'!$E$49+('THAM_SO_MOI'!$F$49-'THAM_SO_MOI'!$E$49)*776/'THAM_SO_MOI'!$C$42</f>
        <v>3.9755095332018415</v>
      </c>
      <c r="G782" s="75">
        <f>3.6*F782</f>
        <v>14.31183431952663</v>
      </c>
      <c r="H782" s="75">
        <f>'THAM_SO_MOI'!$D$49</f>
        <v>3.1625000000000005</v>
      </c>
      <c r="I782" s="75">
        <f>IF(F782&gt;'THAM_SO_MOI'!$C$14,'THAM_SO_MOI'!$C$13*(1+F782^2/1500),'THAM_SO_MOI'!$C$13)</f>
        <v>0.015</v>
      </c>
      <c r="J782" s="75">
        <f>'THAM_SO_MOI'!$C$40*('THAM_SO_MOI'!$C$23*(E782/'THAM_SO_MOI'!$C$22)+'THAM_SO_MOI'!$C$24*(E782/'THAM_SO_MOI'!$C$22)^2-'THAM_SO_MOI'!$C$25*(E782/'THAM_SO_MOI'!$C$22)^3)</f>
        <v>112.79736024824075</v>
      </c>
      <c r="K782" s="75">
        <f>'THAM_SO_MOI'!$C$31*J782/E782</f>
        <v>423.14952251350985</v>
      </c>
      <c r="L782" s="75">
        <f>K782*'THAM_SO_MOI'!$C$49*'THAM_SO_MOI'!$C$17/'THAM_SO_MOI'!$C$26</f>
        <v>24121.64929339268</v>
      </c>
      <c r="M782" s="75">
        <f>'THAM_SO_MOI'!$C$15*'THAM_SO_MOI'!$C$16*F782^2</f>
        <v>46.22867744209277</v>
      </c>
      <c r="N782" s="75">
        <f>'THAM_SO_MOI'!$C$12*I782</f>
        <v>1130.112</v>
      </c>
      <c r="O782" s="75">
        <f>M782+N782</f>
        <v>1176.3406774420928</v>
      </c>
      <c r="P782" s="75">
        <f>(MIN(L782,'THAM_SO_MOI'!$C$41)-O782)/('THAM_SO_MOI'!$C$11*H782)</f>
        <v>0.9447179107357782</v>
      </c>
      <c r="Q782" s="75">
        <f>IF(P782&gt;0,1/P782,NA())</f>
        <v>1.0585170331122085</v>
      </c>
      <c r="R782" s="75">
        <f>F782-F781</f>
        <v>0.0035133136094680495</v>
      </c>
      <c r="S782" s="75">
        <f>0.5*(Q781+Q782)*R782</f>
        <v>0.003718514382179358</v>
      </c>
      <c r="T782" s="75">
        <f>0.5*(F781*Q781+F782*Q782)*R782</f>
        <v>0.01477645790354471</v>
      </c>
      <c r="U782" s="76">
        <f>U781+S782</f>
        <v>3.026252448812202</v>
      </c>
      <c r="V782" s="76">
        <f>V781+T782</f>
        <v>7.749286667071962</v>
      </c>
    </row>
    <row r="783" spans="1:22" ht="19" customHeight="1">
      <c r="A783" s="68" t="s">
        <v>368</v>
      </c>
      <c r="B783" s="74">
        <v>1</v>
      </c>
      <c r="C783" s="68" t="s">
        <v>363</v>
      </c>
      <c r="D783" s="68" t="s">
        <v>364</v>
      </c>
      <c r="E783" s="75">
        <f>60*F783*'THAM_SO_MOI'!$C$49/(2*PI()*'THAM_SO_MOI'!$C$26)</f>
        <v>2548.2499999999995</v>
      </c>
      <c r="F783" s="75">
        <f>'THAM_SO_MOI'!$E$49+('THAM_SO_MOI'!$F$49-'THAM_SO_MOI'!$E$49)*777/'THAM_SO_MOI'!$C$42</f>
        <v>3.9790228468113087</v>
      </c>
      <c r="G783" s="75">
        <f>3.6*F783</f>
        <v>14.324482248520711</v>
      </c>
      <c r="H783" s="75">
        <f>'THAM_SO_MOI'!$D$49</f>
        <v>3.1625000000000005</v>
      </c>
      <c r="I783" s="75">
        <f>IF(F783&gt;'THAM_SO_MOI'!$C$14,'THAM_SO_MOI'!$C$13*(1+F783^2/1500),'THAM_SO_MOI'!$C$13)</f>
        <v>0.015</v>
      </c>
      <c r="J783" s="75">
        <f>'THAM_SO_MOI'!$C$40*('THAM_SO_MOI'!$C$23*(E783/'THAM_SO_MOI'!$C$22)+'THAM_SO_MOI'!$C$24*(E783/'THAM_SO_MOI'!$C$22)^2-'THAM_SO_MOI'!$C$25*(E783/'THAM_SO_MOI'!$C$22)^3)</f>
        <v>112.8748863945081</v>
      </c>
      <c r="K783" s="75">
        <f>'THAM_SO_MOI'!$C$31*J783/E783</f>
        <v>423.06647470583033</v>
      </c>
      <c r="L783" s="75">
        <f>K783*'THAM_SO_MOI'!$C$49*'THAM_SO_MOI'!$C$17/'THAM_SO_MOI'!$C$26</f>
        <v>24116.915151003646</v>
      </c>
      <c r="M783" s="75">
        <f>'THAM_SO_MOI'!$C$15*'THAM_SO_MOI'!$C$16*F783^2</f>
        <v>46.31042173518064</v>
      </c>
      <c r="N783" s="75">
        <f>'THAM_SO_MOI'!$C$12*I783</f>
        <v>1130.112</v>
      </c>
      <c r="O783" s="75">
        <f>M783+N783</f>
        <v>1176.4224217351807</v>
      </c>
      <c r="P783" s="75">
        <f>(MIN(L783,'THAM_SO_MOI'!$C$41)-O783)/('THAM_SO_MOI'!$C$11*H783)</f>
        <v>0.9445196281813432</v>
      </c>
      <c r="Q783" s="75">
        <f>IF(P783&gt;0,1/P783,NA())</f>
        <v>1.0587392470874146</v>
      </c>
      <c r="R783" s="75">
        <f>F783-F782</f>
        <v>0.0035133136094671613</v>
      </c>
      <c r="S783" s="75">
        <f>0.5*(Q782+Q783)*R783</f>
        <v>0.0037192926519775764</v>
      </c>
      <c r="T783" s="75">
        <f>0.5*(F782*Q782+F783*Q783)*R783</f>
        <v>0.014792617601167775</v>
      </c>
      <c r="U783" s="76">
        <f>U782+S783</f>
        <v>3.0299717414641796</v>
      </c>
      <c r="V783" s="76">
        <f>V782+T783</f>
        <v>7.764079284673129</v>
      </c>
    </row>
    <row r="784" spans="1:22" ht="19" customHeight="1">
      <c r="A784" s="68" t="s">
        <v>368</v>
      </c>
      <c r="B784" s="74">
        <v>1</v>
      </c>
      <c r="C784" s="68" t="s">
        <v>363</v>
      </c>
      <c r="D784" s="68" t="s">
        <v>364</v>
      </c>
      <c r="E784" s="75">
        <f>60*F784*'THAM_SO_MOI'!$C$49/(2*PI()*'THAM_SO_MOI'!$C$26)</f>
        <v>2550.4999999999995</v>
      </c>
      <c r="F784" s="75">
        <f>'THAM_SO_MOI'!$E$49+('THAM_SO_MOI'!$F$49-'THAM_SO_MOI'!$E$49)*778/'THAM_SO_MOI'!$C$42</f>
        <v>3.982536160420776</v>
      </c>
      <c r="G784" s="75">
        <f>3.6*F784</f>
        <v>14.337130177514794</v>
      </c>
      <c r="H784" s="75">
        <f>'THAM_SO_MOI'!$D$49</f>
        <v>3.1625000000000005</v>
      </c>
      <c r="I784" s="75">
        <f>IF(F784&gt;'THAM_SO_MOI'!$C$14,'THAM_SO_MOI'!$C$13*(1+F784^2/1500),'THAM_SO_MOI'!$C$13)</f>
        <v>0.015</v>
      </c>
      <c r="J784" s="75">
        <f>'THAM_SO_MOI'!$C$40*('THAM_SO_MOI'!$C$23*(E784/'THAM_SO_MOI'!$C$22)+'THAM_SO_MOI'!$C$24*(E784/'THAM_SO_MOI'!$C$22)^2-'THAM_SO_MOI'!$C$25*(E784/'THAM_SO_MOI'!$C$22)^3)</f>
        <v>112.95224226059518</v>
      </c>
      <c r="K784" s="75">
        <f>'THAM_SO_MOI'!$C$31*J784/E784</f>
        <v>422.98293576009206</v>
      </c>
      <c r="L784" s="75">
        <f>K784*'THAM_SO_MOI'!$C$49*'THAM_SO_MOI'!$C$17/'THAM_SO_MOI'!$C$26</f>
        <v>24112.153011277078</v>
      </c>
      <c r="M784" s="75">
        <f>'THAM_SO_MOI'!$C$15*'THAM_SO_MOI'!$C$16*F784^2</f>
        <v>46.39223823699774</v>
      </c>
      <c r="N784" s="75">
        <f>'THAM_SO_MOI'!$C$12*I784</f>
        <v>1130.112</v>
      </c>
      <c r="O784" s="75">
        <f>M784+N784</f>
        <v>1176.504238236998</v>
      </c>
      <c r="P784" s="75">
        <f>(MIN(L784,'THAM_SO_MOI'!$C$41)-O784)/('THAM_SO_MOI'!$C$11*H784)</f>
        <v>0.9443201899308332</v>
      </c>
      <c r="Q784" s="75">
        <f>IF(P784&gt;0,1/P784,NA())</f>
        <v>1.0589628503794302</v>
      </c>
      <c r="R784" s="75">
        <f>F784-F783</f>
        <v>0.0035133136094671613</v>
      </c>
      <c r="S784" s="75">
        <f>0.5*(Q783+Q784)*R784</f>
        <v>0.0037200757999137093</v>
      </c>
      <c r="T784" s="75">
        <f>0.5*(F783*Q783+F784*Q784)*R784</f>
        <v>0.014808802186199229</v>
      </c>
      <c r="U784" s="76">
        <f>U783+S784</f>
        <v>3.0336918172640934</v>
      </c>
      <c r="V784" s="76">
        <f>V783+T784</f>
        <v>7.778888086859329</v>
      </c>
    </row>
    <row r="785" spans="1:22" ht="19" customHeight="1">
      <c r="A785" s="68" t="s">
        <v>368</v>
      </c>
      <c r="B785" s="74">
        <v>1</v>
      </c>
      <c r="C785" s="68" t="s">
        <v>363</v>
      </c>
      <c r="D785" s="68" t="s">
        <v>364</v>
      </c>
      <c r="E785" s="75">
        <f>60*F785*'THAM_SO_MOI'!$C$49/(2*PI()*'THAM_SO_MOI'!$C$26)</f>
        <v>2552.7499999999995</v>
      </c>
      <c r="F785" s="75">
        <f>'THAM_SO_MOI'!$E$49+('THAM_SO_MOI'!$F$49-'THAM_SO_MOI'!$E$49)*779/'THAM_SO_MOI'!$C$42</f>
        <v>3.986049474030243</v>
      </c>
      <c r="G785" s="75">
        <f>3.6*F785</f>
        <v>14.349778106508875</v>
      </c>
      <c r="H785" s="75">
        <f>'THAM_SO_MOI'!$D$49</f>
        <v>3.1625000000000005</v>
      </c>
      <c r="I785" s="75">
        <f>IF(F785&gt;'THAM_SO_MOI'!$C$14,'THAM_SO_MOI'!$C$13*(1+F785^2/1500),'THAM_SO_MOI'!$C$13)</f>
        <v>0.015</v>
      </c>
      <c r="J785" s="75">
        <f>'THAM_SO_MOI'!$C$40*('THAM_SO_MOI'!$C$23*(E785/'THAM_SO_MOI'!$C$22)+'THAM_SO_MOI'!$C$24*(E785/'THAM_SO_MOI'!$C$22)^2-'THAM_SO_MOI'!$C$25*(E785/'THAM_SO_MOI'!$C$22)^3)</f>
        <v>113.0294274994024</v>
      </c>
      <c r="K785" s="75">
        <f>'THAM_SO_MOI'!$C$31*J785/E785</f>
        <v>422.8989056762949</v>
      </c>
      <c r="L785" s="75">
        <f>K785*'THAM_SO_MOI'!$C$49*'THAM_SO_MOI'!$C$17/'THAM_SO_MOI'!$C$26</f>
        <v>24107.362874212973</v>
      </c>
      <c r="M785" s="75">
        <f>'THAM_SO_MOI'!$C$15*'THAM_SO_MOI'!$C$16*F785^2</f>
        <v>46.47412694754407</v>
      </c>
      <c r="N785" s="75">
        <f>'THAM_SO_MOI'!$C$12*I785</f>
        <v>1130.112</v>
      </c>
      <c r="O785" s="75">
        <f>M785+N785</f>
        <v>1176.5861269475442</v>
      </c>
      <c r="P785" s="75">
        <f>(MIN(L785,'THAM_SO_MOI'!$C$41)-O785)/('THAM_SO_MOI'!$C$11*H785)</f>
        <v>0.9441195959842483</v>
      </c>
      <c r="Q785" s="75">
        <f>IF(P785&gt;0,1/P785,NA())</f>
        <v>1.0591878446898415</v>
      </c>
      <c r="R785" s="75">
        <f>F785-F784</f>
        <v>0.0035133136094671613</v>
      </c>
      <c r="S785" s="75">
        <f>0.5*(Q784+Q785)*R785</f>
        <v>0.003720863831944599</v>
      </c>
      <c r="T785" s="75">
        <f>0.5*(F784*Q784+F785*Q785)*R785</f>
        <v>0.014825011733788201</v>
      </c>
      <c r="U785" s="76">
        <f>U784+S785</f>
        <v>3.037412681096038</v>
      </c>
      <c r="V785" s="76">
        <f>V784+T785</f>
        <v>7.793713098593117</v>
      </c>
    </row>
    <row r="786" spans="1:22" ht="19" customHeight="1">
      <c r="A786" s="68" t="s">
        <v>368</v>
      </c>
      <c r="B786" s="74">
        <v>1</v>
      </c>
      <c r="C786" s="68" t="s">
        <v>363</v>
      </c>
      <c r="D786" s="68" t="s">
        <v>364</v>
      </c>
      <c r="E786" s="75">
        <f>60*F786*'THAM_SO_MOI'!$C$49/(2*PI()*'THAM_SO_MOI'!$C$26)</f>
        <v>2554.9999999999995</v>
      </c>
      <c r="F786" s="75">
        <f>'THAM_SO_MOI'!$E$49+('THAM_SO_MOI'!$F$49-'THAM_SO_MOI'!$E$49)*780/'THAM_SO_MOI'!$C$42</f>
        <v>3.989562787639711</v>
      </c>
      <c r="G786" s="75">
        <f>3.6*F786</f>
        <v>14.36242603550296</v>
      </c>
      <c r="H786" s="75">
        <f>'THAM_SO_MOI'!$D$49</f>
        <v>3.1625000000000005</v>
      </c>
      <c r="I786" s="75">
        <f>IF(F786&gt;'THAM_SO_MOI'!$C$14,'THAM_SO_MOI'!$C$13*(1+F786^2/1500),'THAM_SO_MOI'!$C$13)</f>
        <v>0.015</v>
      </c>
      <c r="J786" s="75">
        <f>'THAM_SO_MOI'!$C$40*('THAM_SO_MOI'!$C$23*(E786/'THAM_SO_MOI'!$C$22)+'THAM_SO_MOI'!$C$24*(E786/'THAM_SO_MOI'!$C$22)^2-'THAM_SO_MOI'!$C$25*(E786/'THAM_SO_MOI'!$C$22)^3)</f>
        <v>113.10644176383023</v>
      </c>
      <c r="K786" s="75">
        <f>'THAM_SO_MOI'!$C$31*J786/E786</f>
        <v>422.8143844544389</v>
      </c>
      <c r="L786" s="75">
        <f>K786*'THAM_SO_MOI'!$C$49*'THAM_SO_MOI'!$C$17/'THAM_SO_MOI'!$C$26</f>
        <v>24102.54473981134</v>
      </c>
      <c r="M786" s="75">
        <f>'THAM_SO_MOI'!$C$15*'THAM_SO_MOI'!$C$16*F786^2</f>
        <v>46.55608786681966</v>
      </c>
      <c r="N786" s="75">
        <f>'THAM_SO_MOI'!$C$12*I786</f>
        <v>1130.112</v>
      </c>
      <c r="O786" s="75">
        <f>M786+N786</f>
        <v>1176.6680878668196</v>
      </c>
      <c r="P786" s="75">
        <f>(MIN(L786,'THAM_SO_MOI'!$C$41)-O786)/('THAM_SO_MOI'!$C$11*H786)</f>
        <v>0.9439178463415892</v>
      </c>
      <c r="Q786" s="75">
        <f>IF(P786&gt;0,1/P786,NA())</f>
        <v>1.0594142317318955</v>
      </c>
      <c r="R786" s="75">
        <f>F786-F785</f>
        <v>0.0035133136094680495</v>
      </c>
      <c r="S786" s="75">
        <f>0.5*(Q785+Q786)*R786</f>
        <v>0.003721656754069879</v>
      </c>
      <c r="T786" s="75">
        <f>0.5*(F785*Q785+F786*Q786)*R786</f>
        <v>0.014841246319338162</v>
      </c>
      <c r="U786" s="76">
        <f>U785+S786</f>
        <v>3.041134337850108</v>
      </c>
      <c r="V786" s="76">
        <f>V785+T786</f>
        <v>7.808554344912455</v>
      </c>
    </row>
    <row r="787" spans="1:22" ht="19" customHeight="1">
      <c r="A787" s="68" t="s">
        <v>368</v>
      </c>
      <c r="B787" s="74">
        <v>1</v>
      </c>
      <c r="C787" s="68" t="s">
        <v>363</v>
      </c>
      <c r="D787" s="68" t="s">
        <v>364</v>
      </c>
      <c r="E787" s="75">
        <f>60*F787*'THAM_SO_MOI'!$C$49/(2*PI()*'THAM_SO_MOI'!$C$26)</f>
        <v>2557.2499999999995</v>
      </c>
      <c r="F787" s="75">
        <f>'THAM_SO_MOI'!$E$49+('THAM_SO_MOI'!$F$49-'THAM_SO_MOI'!$E$49)*781/'THAM_SO_MOI'!$C$42</f>
        <v>3.9930761012491782</v>
      </c>
      <c r="G787" s="75">
        <f>3.6*F787</f>
        <v>14.375073964497043</v>
      </c>
      <c r="H787" s="75">
        <f>'THAM_SO_MOI'!$D$49</f>
        <v>3.1625000000000005</v>
      </c>
      <c r="I787" s="75">
        <f>IF(F787&gt;'THAM_SO_MOI'!$C$14,'THAM_SO_MOI'!$C$13*(1+F787^2/1500),'THAM_SO_MOI'!$C$13)</f>
        <v>0.015</v>
      </c>
      <c r="J787" s="75">
        <f>'THAM_SO_MOI'!$C$40*('THAM_SO_MOI'!$C$23*(E787/'THAM_SO_MOI'!$C$22)+'THAM_SO_MOI'!$C$24*(E787/'THAM_SO_MOI'!$C$22)^2-'THAM_SO_MOI'!$C$25*(E787/'THAM_SO_MOI'!$C$22)^3)</f>
        <v>113.18328470677916</v>
      </c>
      <c r="K787" s="75">
        <f>'THAM_SO_MOI'!$C$31*J787/E787</f>
        <v>422.72937209452425</v>
      </c>
      <c r="L787" s="75">
        <f>K787*'THAM_SO_MOI'!$C$49*'THAM_SO_MOI'!$C$17/'THAM_SO_MOI'!$C$26</f>
        <v>24097.698608072173</v>
      </c>
      <c r="M787" s="75">
        <f>'THAM_SO_MOI'!$C$15*'THAM_SO_MOI'!$C$16*F787^2</f>
        <v>46.63812099482446</v>
      </c>
      <c r="N787" s="75">
        <f>'THAM_SO_MOI'!$C$12*I787</f>
        <v>1130.112</v>
      </c>
      <c r="O787" s="75">
        <f>M787+N787</f>
        <v>1176.7501209948246</v>
      </c>
      <c r="P787" s="75">
        <f>(MIN(L787,'THAM_SO_MOI'!$C$41)-O787)/('THAM_SO_MOI'!$C$11*H787)</f>
        <v>0.9437149410028551</v>
      </c>
      <c r="Q787" s="75">
        <f>IF(P787&gt;0,1/P787,NA())</f>
        <v>1.059642013230534</v>
      </c>
      <c r="R787" s="75">
        <f>F787-F786</f>
        <v>0.0035133136094671613</v>
      </c>
      <c r="S787" s="75">
        <f>0.5*(Q786+Q787)*R787</f>
        <v>0.003722454572326441</v>
      </c>
      <c r="T787" s="75">
        <f>0.5*(F786*Q786+F787*Q787)*R787</f>
        <v>0.014857506018485627</v>
      </c>
      <c r="U787" s="76">
        <f>U786+S787</f>
        <v>3.044856792422434</v>
      </c>
      <c r="V787" s="76">
        <f>V786+T787</f>
        <v>7.823411850930941</v>
      </c>
    </row>
    <row r="788" spans="1:22" ht="19" customHeight="1">
      <c r="A788" s="68" t="s">
        <v>368</v>
      </c>
      <c r="B788" s="74">
        <v>1</v>
      </c>
      <c r="C788" s="68" t="s">
        <v>363</v>
      </c>
      <c r="D788" s="68" t="s">
        <v>364</v>
      </c>
      <c r="E788" s="75">
        <f>60*F788*'THAM_SO_MOI'!$C$49/(2*PI()*'THAM_SO_MOI'!$C$26)</f>
        <v>2559.4999999999995</v>
      </c>
      <c r="F788" s="75">
        <f>'THAM_SO_MOI'!$E$49+('THAM_SO_MOI'!$F$49-'THAM_SO_MOI'!$E$49)*782/'THAM_SO_MOI'!$C$42</f>
        <v>3.9965894148586454</v>
      </c>
      <c r="G788" s="75">
        <f>3.6*F788</f>
        <v>14.387721893491124</v>
      </c>
      <c r="H788" s="75">
        <f>'THAM_SO_MOI'!$D$49</f>
        <v>3.1625000000000005</v>
      </c>
      <c r="I788" s="75">
        <f>IF(F788&gt;'THAM_SO_MOI'!$C$14,'THAM_SO_MOI'!$C$13*(1+F788^2/1500),'THAM_SO_MOI'!$C$13)</f>
        <v>0.015</v>
      </c>
      <c r="J788" s="75">
        <f>'THAM_SO_MOI'!$C$40*('THAM_SO_MOI'!$C$23*(E788/'THAM_SO_MOI'!$C$22)+'THAM_SO_MOI'!$C$24*(E788/'THAM_SO_MOI'!$C$22)^2-'THAM_SO_MOI'!$C$25*(E788/'THAM_SO_MOI'!$C$22)^3)</f>
        <v>113.25995598114962</v>
      </c>
      <c r="K788" s="75">
        <f>'THAM_SO_MOI'!$C$31*J788/E788</f>
        <v>422.6438685965507</v>
      </c>
      <c r="L788" s="75">
        <f>K788*'THAM_SO_MOI'!$C$49*'THAM_SO_MOI'!$C$17/'THAM_SO_MOI'!$C$26</f>
        <v>24092.82447899547</v>
      </c>
      <c r="M788" s="75">
        <f>'THAM_SO_MOI'!$C$15*'THAM_SO_MOI'!$C$16*F788^2</f>
        <v>46.7202263315585</v>
      </c>
      <c r="N788" s="75">
        <f>'THAM_SO_MOI'!$C$12*I788</f>
        <v>1130.112</v>
      </c>
      <c r="O788" s="75">
        <f>M788+N788</f>
        <v>1176.8322263315586</v>
      </c>
      <c r="P788" s="75">
        <f>(MIN(L788,'THAM_SO_MOI'!$C$41)-O788)/('THAM_SO_MOI'!$C$11*H788)</f>
        <v>0.9435108799680462</v>
      </c>
      <c r="Q788" s="75">
        <f>IF(P788&gt;0,1/P788,NA())</f>
        <v>1.0598711909224268</v>
      </c>
      <c r="R788" s="75">
        <f>F788-F787</f>
        <v>0.0035133136094671613</v>
      </c>
      <c r="S788" s="75">
        <f>0.5*(Q787+Q788)*R788</f>
        <v>0.0037232572927979736</v>
      </c>
      <c r="T788" s="75">
        <f>0.5*(F787*Q787+F788*Q788)*R788</f>
        <v>0.014873790907138876</v>
      </c>
      <c r="U788" s="76">
        <f>U787+S788</f>
        <v>3.048580049715232</v>
      </c>
      <c r="V788" s="76">
        <f>V787+T788</f>
        <v>7.8382856418380795</v>
      </c>
    </row>
    <row r="789" spans="1:22" ht="19" customHeight="1">
      <c r="A789" s="68" t="s">
        <v>368</v>
      </c>
      <c r="B789" s="74">
        <v>1</v>
      </c>
      <c r="C789" s="68" t="s">
        <v>363</v>
      </c>
      <c r="D789" s="68" t="s">
        <v>364</v>
      </c>
      <c r="E789" s="75">
        <f>60*F789*'THAM_SO_MOI'!$C$49/(2*PI()*'THAM_SO_MOI'!$C$26)</f>
        <v>2561.75</v>
      </c>
      <c r="F789" s="75">
        <f>'THAM_SO_MOI'!$E$49+('THAM_SO_MOI'!$F$49-'THAM_SO_MOI'!$E$49)*783/'THAM_SO_MOI'!$C$42</f>
        <v>4.000102728468113</v>
      </c>
      <c r="G789" s="75">
        <f>3.6*F789</f>
        <v>14.400369822485208</v>
      </c>
      <c r="H789" s="75">
        <f>'THAM_SO_MOI'!$D$49</f>
        <v>3.1625000000000005</v>
      </c>
      <c r="I789" s="75">
        <f>IF(F789&gt;'THAM_SO_MOI'!$C$14,'THAM_SO_MOI'!$C$13*(1+F789^2/1500),'THAM_SO_MOI'!$C$13)</f>
        <v>0.015</v>
      </c>
      <c r="J789" s="75">
        <f>'THAM_SO_MOI'!$C$40*('THAM_SO_MOI'!$C$23*(E789/'THAM_SO_MOI'!$C$22)+'THAM_SO_MOI'!$C$24*(E789/'THAM_SO_MOI'!$C$22)^2-'THAM_SO_MOI'!$C$25*(E789/'THAM_SO_MOI'!$C$22)^3)</f>
        <v>113.33645523984205</v>
      </c>
      <c r="K789" s="75">
        <f>'THAM_SO_MOI'!$C$31*J789/E789</f>
        <v>422.55787396051835</v>
      </c>
      <c r="L789" s="75">
        <f>K789*'THAM_SO_MOI'!$C$49*'THAM_SO_MOI'!$C$17/'THAM_SO_MOI'!$C$26</f>
        <v>24087.922352581238</v>
      </c>
      <c r="M789" s="75">
        <f>'THAM_SO_MOI'!$C$15*'THAM_SO_MOI'!$C$16*F789^2</f>
        <v>46.80240387702179</v>
      </c>
      <c r="N789" s="75">
        <f>'THAM_SO_MOI'!$C$12*I789</f>
        <v>1130.112</v>
      </c>
      <c r="O789" s="75">
        <f>M789+N789</f>
        <v>1176.9144038770219</v>
      </c>
      <c r="P789" s="75">
        <f>(MIN(L789,'THAM_SO_MOI'!$C$41)-O789)/('THAM_SO_MOI'!$C$11*H789)</f>
        <v>0.9433056632371629</v>
      </c>
      <c r="Q789" s="75">
        <f>IF(P789&gt;0,1/P789,NA())</f>
        <v>1.0601017665560046</v>
      </c>
      <c r="R789" s="75">
        <f>F789-F788</f>
        <v>0.0035133136094680495</v>
      </c>
      <c r="S789" s="75">
        <f>0.5*(Q788+Q789)*R789</f>
        <v>0.003724064921606602</v>
      </c>
      <c r="T789" s="75">
        <f>0.5*(F788*Q788+F789*Q789)*R789</f>
        <v>0.01489010106144538</v>
      </c>
      <c r="U789" s="76">
        <f>U788+S789</f>
        <v>3.052304114636839</v>
      </c>
      <c r="V789" s="76">
        <f>V788+T789</f>
        <v>7.853175742899525</v>
      </c>
    </row>
    <row r="790" spans="1:22" ht="19" customHeight="1">
      <c r="A790" s="68" t="s">
        <v>368</v>
      </c>
      <c r="B790" s="74">
        <v>1</v>
      </c>
      <c r="C790" s="68" t="s">
        <v>363</v>
      </c>
      <c r="D790" s="68" t="s">
        <v>364</v>
      </c>
      <c r="E790" s="75">
        <f>60*F790*'THAM_SO_MOI'!$C$49/(2*PI()*'THAM_SO_MOI'!$C$26)</f>
        <v>2564.0</v>
      </c>
      <c r="F790" s="75">
        <f>'THAM_SO_MOI'!$E$49+('THAM_SO_MOI'!$F$49-'THAM_SO_MOI'!$E$49)*784/'THAM_SO_MOI'!$C$42</f>
        <v>4.003616042077581</v>
      </c>
      <c r="G790" s="75">
        <f>3.6*F790</f>
        <v>14.413017751479291</v>
      </c>
      <c r="H790" s="75">
        <f>'THAM_SO_MOI'!$D$49</f>
        <v>3.1625000000000005</v>
      </c>
      <c r="I790" s="75">
        <f>IF(F790&gt;'THAM_SO_MOI'!$C$14,'THAM_SO_MOI'!$C$13*(1+F790^2/1500),'THAM_SO_MOI'!$C$13)</f>
        <v>0.015</v>
      </c>
      <c r="J790" s="75">
        <f>'THAM_SO_MOI'!$C$40*('THAM_SO_MOI'!$C$23*(E790/'THAM_SO_MOI'!$C$22)+'THAM_SO_MOI'!$C$24*(E790/'THAM_SO_MOI'!$C$22)^2-'THAM_SO_MOI'!$C$25*(E790/'THAM_SO_MOI'!$C$22)^3)</f>
        <v>113.41278213575694</v>
      </c>
      <c r="K790" s="75">
        <f>'THAM_SO_MOI'!$C$31*J790/E790</f>
        <v>422.47138818642725</v>
      </c>
      <c r="L790" s="75">
        <f>K790*'THAM_SO_MOI'!$C$49*'THAM_SO_MOI'!$C$17/'THAM_SO_MOI'!$C$26</f>
        <v>24082.992228829466</v>
      </c>
      <c r="M790" s="75">
        <f>'THAM_SO_MOI'!$C$15*'THAM_SO_MOI'!$C$16*F790^2</f>
        <v>46.88465363121429</v>
      </c>
      <c r="N790" s="75">
        <f>'THAM_SO_MOI'!$C$12*I790</f>
        <v>1130.112</v>
      </c>
      <c r="O790" s="75">
        <f>M790+N790</f>
        <v>1176.9966536312145</v>
      </c>
      <c r="P790" s="75">
        <f>(MIN(L790,'THAM_SO_MOI'!$C$41)-O790)/('THAM_SO_MOI'!$C$11*H790)</f>
        <v>0.9430992908102045</v>
      </c>
      <c r="Q790" s="75">
        <f>IF(P790&gt;0,1/P790,NA())</f>
        <v>1.0603337418914958</v>
      </c>
      <c r="R790" s="75">
        <f>F790-F789</f>
        <v>0.0035133136094671613</v>
      </c>
      <c r="S790" s="75">
        <f>0.5*(Q789+Q790)*R790</f>
        <v>0.003724877464913012</v>
      </c>
      <c r="T790" s="75">
        <f>0.5*(F789*Q789+F790*Q790)*R790</f>
        <v>0.01490643655779296</v>
      </c>
      <c r="U790" s="76">
        <f>U789+S790</f>
        <v>3.056028992101752</v>
      </c>
      <c r="V790" s="76">
        <f>V789+T790</f>
        <v>7.868082179457319</v>
      </c>
    </row>
    <row r="791" spans="1:22" ht="19" customHeight="1">
      <c r="A791" s="68" t="s">
        <v>368</v>
      </c>
      <c r="B791" s="74">
        <v>1</v>
      </c>
      <c r="C791" s="68" t="s">
        <v>363</v>
      </c>
      <c r="D791" s="68" t="s">
        <v>364</v>
      </c>
      <c r="E791" s="75">
        <f>60*F791*'THAM_SO_MOI'!$C$49/(2*PI()*'THAM_SO_MOI'!$C$26)</f>
        <v>2566.2499999999995</v>
      </c>
      <c r="F791" s="75">
        <f>'THAM_SO_MOI'!$E$49+('THAM_SO_MOI'!$F$49-'THAM_SO_MOI'!$E$49)*785/'THAM_SO_MOI'!$C$42</f>
        <v>4.007129355687048</v>
      </c>
      <c r="G791" s="75">
        <f>3.6*F791</f>
        <v>14.425665680473372</v>
      </c>
      <c r="H791" s="75">
        <f>'THAM_SO_MOI'!$D$49</f>
        <v>3.1625000000000005</v>
      </c>
      <c r="I791" s="75">
        <f>IF(F791&gt;'THAM_SO_MOI'!$C$14,'THAM_SO_MOI'!$C$13*(1+F791^2/1500),'THAM_SO_MOI'!$C$13)</f>
        <v>0.015</v>
      </c>
      <c r="J791" s="75">
        <f>'THAM_SO_MOI'!$C$40*('THAM_SO_MOI'!$C$23*(E791/'THAM_SO_MOI'!$C$22)+'THAM_SO_MOI'!$C$24*(E791/'THAM_SO_MOI'!$C$22)^2-'THAM_SO_MOI'!$C$25*(E791/'THAM_SO_MOI'!$C$22)^3)</f>
        <v>113.4889363217947</v>
      </c>
      <c r="K791" s="75">
        <f>'THAM_SO_MOI'!$C$31*J791/E791</f>
        <v>422.38441127427745</v>
      </c>
      <c r="L791" s="75">
        <f>K791*'THAM_SO_MOI'!$C$49*'THAM_SO_MOI'!$C$17/'THAM_SO_MOI'!$C$26</f>
        <v>24078.034107740168</v>
      </c>
      <c r="M791" s="75">
        <f>'THAM_SO_MOI'!$C$15*'THAM_SO_MOI'!$C$16*F791^2</f>
        <v>46.96697559413602</v>
      </c>
      <c r="N791" s="75">
        <f>'THAM_SO_MOI'!$C$12*I791</f>
        <v>1130.112</v>
      </c>
      <c r="O791" s="75">
        <f>M791+N791</f>
        <v>1177.0789755941362</v>
      </c>
      <c r="P791" s="75">
        <f>(MIN(L791,'THAM_SO_MOI'!$C$41)-O791)/('THAM_SO_MOI'!$C$11*H791)</f>
        <v>0.9428917626871718</v>
      </c>
      <c r="Q791" s="75">
        <f>IF(P791&gt;0,1/P791,NA())</f>
        <v>1.0605671187009567</v>
      </c>
      <c r="R791" s="75">
        <f>F791-F790</f>
        <v>0.0035133136094671613</v>
      </c>
      <c r="S791" s="75">
        <f>0.5*(Q790+Q791)*R791</f>
        <v>0.0037256949289250383</v>
      </c>
      <c r="T791" s="75">
        <f>0.5*(F790*Q790+F791*Q791)*R791</f>
        <v>0.01492279747284486</v>
      </c>
      <c r="U791" s="76">
        <f>U790+S791</f>
        <v>3.0597546870306767</v>
      </c>
      <c r="V791" s="76">
        <f>V790+T791</f>
        <v>7.883004976930163</v>
      </c>
    </row>
    <row r="792" spans="1:22" ht="19" customHeight="1">
      <c r="A792" s="68" t="s">
        <v>368</v>
      </c>
      <c r="B792" s="74">
        <v>1</v>
      </c>
      <c r="C792" s="68" t="s">
        <v>363</v>
      </c>
      <c r="D792" s="68" t="s">
        <v>364</v>
      </c>
      <c r="E792" s="75">
        <f>60*F792*'THAM_SO_MOI'!$C$49/(2*PI()*'THAM_SO_MOI'!$C$26)</f>
        <v>2568.5</v>
      </c>
      <c r="F792" s="75">
        <f>'THAM_SO_MOI'!$E$49+('THAM_SO_MOI'!$F$49-'THAM_SO_MOI'!$E$49)*786/'THAM_SO_MOI'!$C$42</f>
        <v>4.010642669296516</v>
      </c>
      <c r="G792" s="75">
        <f>3.6*F792</f>
        <v>14.438313609467457</v>
      </c>
      <c r="H792" s="75">
        <f>'THAM_SO_MOI'!$D$49</f>
        <v>3.1625000000000005</v>
      </c>
      <c r="I792" s="75">
        <f>IF(F792&gt;'THAM_SO_MOI'!$C$14,'THAM_SO_MOI'!$C$13*(1+F792^2/1500),'THAM_SO_MOI'!$C$13)</f>
        <v>0.015</v>
      </c>
      <c r="J792" s="75">
        <f>'THAM_SO_MOI'!$C$40*('THAM_SO_MOI'!$C$23*(E792/'THAM_SO_MOI'!$C$22)+'THAM_SO_MOI'!$C$24*(E792/'THAM_SO_MOI'!$C$22)^2-'THAM_SO_MOI'!$C$25*(E792/'THAM_SO_MOI'!$C$22)^3)</f>
        <v>113.56491745085584</v>
      </c>
      <c r="K792" s="75">
        <f>'THAM_SO_MOI'!$C$31*J792/E792</f>
        <v>422.29694322406874</v>
      </c>
      <c r="L792" s="75">
        <f>K792*'THAM_SO_MOI'!$C$49*'THAM_SO_MOI'!$C$17/'THAM_SO_MOI'!$C$26</f>
        <v>24073.047989313338</v>
      </c>
      <c r="M792" s="75">
        <f>'THAM_SO_MOI'!$C$15*'THAM_SO_MOI'!$C$16*F792^2</f>
        <v>47.04936976578701</v>
      </c>
      <c r="N792" s="75">
        <f>'THAM_SO_MOI'!$C$12*I792</f>
        <v>1130.112</v>
      </c>
      <c r="O792" s="75">
        <f>M792+N792</f>
        <v>1177.1613697657872</v>
      </c>
      <c r="P792" s="75">
        <f>(MIN(L792,'THAM_SO_MOI'!$C$41)-O792)/('THAM_SO_MOI'!$C$11*H792)</f>
        <v>0.9426830788680644</v>
      </c>
      <c r="Q792" s="75">
        <f>IF(P792&gt;0,1/P792,NA())</f>
        <v>1.0608018987683108</v>
      </c>
      <c r="R792" s="75">
        <f>F792-F791</f>
        <v>0.0035133136094680495</v>
      </c>
      <c r="S792" s="75">
        <f>0.5*(Q791+Q792)*R792</f>
        <v>0.0037265173198893207</v>
      </c>
      <c r="T792" s="75">
        <f>0.5*(F791*Q791+F792*Q792)*R792</f>
        <v>0.014939183883507118</v>
      </c>
      <c r="U792" s="76">
        <f>U791+S792</f>
        <v>3.063481204350566</v>
      </c>
      <c r="V792" s="76">
        <f>V791+T792</f>
        <v>7.89794416081367</v>
      </c>
    </row>
    <row r="793" spans="1:22" ht="19" customHeight="1">
      <c r="A793" s="68" t="s">
        <v>368</v>
      </c>
      <c r="B793" s="74">
        <v>1</v>
      </c>
      <c r="C793" s="68" t="s">
        <v>363</v>
      </c>
      <c r="D793" s="68" t="s">
        <v>364</v>
      </c>
      <c r="E793" s="75">
        <f>60*F793*'THAM_SO_MOI'!$C$49/(2*PI()*'THAM_SO_MOI'!$C$26)</f>
        <v>2570.75</v>
      </c>
      <c r="F793" s="75">
        <f>'THAM_SO_MOI'!$E$49+('THAM_SO_MOI'!$F$49-'THAM_SO_MOI'!$E$49)*787/'THAM_SO_MOI'!$C$42</f>
        <v>4.014155982905983</v>
      </c>
      <c r="G793" s="75">
        <f>3.6*F793</f>
        <v>14.45096153846154</v>
      </c>
      <c r="H793" s="75">
        <f>'THAM_SO_MOI'!$D$49</f>
        <v>3.1625000000000005</v>
      </c>
      <c r="I793" s="75">
        <f>IF(F793&gt;'THAM_SO_MOI'!$C$14,'THAM_SO_MOI'!$C$13*(1+F793^2/1500),'THAM_SO_MOI'!$C$13)</f>
        <v>0.015</v>
      </c>
      <c r="J793" s="75">
        <f>'THAM_SO_MOI'!$C$40*('THAM_SO_MOI'!$C$23*(E793/'THAM_SO_MOI'!$C$22)+'THAM_SO_MOI'!$C$24*(E793/'THAM_SO_MOI'!$C$22)^2-'THAM_SO_MOI'!$C$25*(E793/'THAM_SO_MOI'!$C$22)^3)</f>
        <v>113.64072517584079</v>
      </c>
      <c r="K793" s="75">
        <f>'THAM_SO_MOI'!$C$31*J793/E793</f>
        <v>422.20898403580134</v>
      </c>
      <c r="L793" s="75">
        <f>K793*'THAM_SO_MOI'!$C$49*'THAM_SO_MOI'!$C$17/'THAM_SO_MOI'!$C$26</f>
        <v>24068.03387354897</v>
      </c>
      <c r="M793" s="75">
        <f>'THAM_SO_MOI'!$C$15*'THAM_SO_MOI'!$C$16*F793^2</f>
        <v>47.1318361461672</v>
      </c>
      <c r="N793" s="75">
        <f>'THAM_SO_MOI'!$C$12*I793</f>
        <v>1130.112</v>
      </c>
      <c r="O793" s="75">
        <f>M793+N793</f>
        <v>1177.2438361461673</v>
      </c>
      <c r="P793" s="75">
        <f>(MIN(L793,'THAM_SO_MOI'!$C$41)-O793)/('THAM_SO_MOI'!$C$11*H793)</f>
        <v>0.9424732393528821</v>
      </c>
      <c r="Q793" s="75">
        <f>IF(P793&gt;0,1/P793,NA())</f>
        <v>1.0610380838893811</v>
      </c>
      <c r="R793" s="75">
        <f>F793-F792</f>
        <v>0.0035133136094671613</v>
      </c>
      <c r="S793" s="75">
        <f>0.5*(Q792+Q793)*R793</f>
        <v>0.003727344644091417</v>
      </c>
      <c r="T793" s="75">
        <f>0.5*(F792*Q792+F793*Q793)*R793</f>
        <v>0.014955595866929738</v>
      </c>
      <c r="U793" s="76">
        <f>U792+S793</f>
        <v>3.0672085489946577</v>
      </c>
      <c r="V793" s="76">
        <f>V792+T793</f>
        <v>7.912899756680599</v>
      </c>
    </row>
    <row r="794" spans="1:22" ht="19" customHeight="1">
      <c r="A794" s="68" t="s">
        <v>368</v>
      </c>
      <c r="B794" s="74">
        <v>1</v>
      </c>
      <c r="C794" s="68" t="s">
        <v>363</v>
      </c>
      <c r="D794" s="68" t="s">
        <v>364</v>
      </c>
      <c r="E794" s="75">
        <f>60*F794*'THAM_SO_MOI'!$C$49/(2*PI()*'THAM_SO_MOI'!$C$26)</f>
        <v>2572.9999999999995</v>
      </c>
      <c r="F794" s="75">
        <f>'THAM_SO_MOI'!$E$49+('THAM_SO_MOI'!$F$49-'THAM_SO_MOI'!$E$49)*788/'THAM_SO_MOI'!$C$42</f>
        <v>4.01766929651545</v>
      </c>
      <c r="G794" s="75">
        <f>3.6*F794</f>
        <v>14.46360946745562</v>
      </c>
      <c r="H794" s="75">
        <f>'THAM_SO_MOI'!$D$49</f>
        <v>3.1625000000000005</v>
      </c>
      <c r="I794" s="75">
        <f>IF(F794&gt;'THAM_SO_MOI'!$C$14,'THAM_SO_MOI'!$C$13*(1+F794^2/1500),'THAM_SO_MOI'!$C$13)</f>
        <v>0.015</v>
      </c>
      <c r="J794" s="75">
        <f>'THAM_SO_MOI'!$C$40*('THAM_SO_MOI'!$C$23*(E794/'THAM_SO_MOI'!$C$22)+'THAM_SO_MOI'!$C$24*(E794/'THAM_SO_MOI'!$C$22)^2-'THAM_SO_MOI'!$C$25*(E794/'THAM_SO_MOI'!$C$22)^3)</f>
        <v>113.71635914964997</v>
      </c>
      <c r="K794" s="75">
        <f>'THAM_SO_MOI'!$C$31*J794/E794</f>
        <v>422.1205337094752</v>
      </c>
      <c r="L794" s="75">
        <f>K794*'THAM_SO_MOI'!$C$49*'THAM_SO_MOI'!$C$17/'THAM_SO_MOI'!$C$26</f>
        <v>24062.991760447076</v>
      </c>
      <c r="M794" s="75">
        <f>'THAM_SO_MOI'!$C$15*'THAM_SO_MOI'!$C$16*F794^2</f>
        <v>47.214374735276635</v>
      </c>
      <c r="N794" s="75">
        <f>'THAM_SO_MOI'!$C$12*I794</f>
        <v>1130.112</v>
      </c>
      <c r="O794" s="75">
        <f>M794+N794</f>
        <v>1177.3263747352767</v>
      </c>
      <c r="P794" s="75">
        <f>(MIN(L794,'THAM_SO_MOI'!$C$41)-O794)/('THAM_SO_MOI'!$C$11*H794)</f>
        <v>0.9422622441416252</v>
      </c>
      <c r="Q794" s="75">
        <f>IF(P794&gt;0,1/P794,NA())</f>
        <v>1.0612756758719248</v>
      </c>
      <c r="R794" s="75">
        <f>F794-F793</f>
        <v>0.0035133136094671613</v>
      </c>
      <c r="S794" s="75">
        <f>0.5*(Q793+Q794)*R794</f>
        <v>0.003728176907864408</v>
      </c>
      <c r="T794" s="75">
        <f>0.5*(F793*Q793+F794*Q794)*R794</f>
        <v>0.01497203350054188</v>
      </c>
      <c r="U794" s="76">
        <f>U793+S794</f>
        <v>3.070936725902522</v>
      </c>
      <c r="V794" s="76">
        <f>V793+T794</f>
        <v>7.9278717901811415</v>
      </c>
    </row>
    <row r="795" spans="1:22" ht="19" customHeight="1">
      <c r="A795" s="68" t="s">
        <v>368</v>
      </c>
      <c r="B795" s="74">
        <v>1</v>
      </c>
      <c r="C795" s="68" t="s">
        <v>363</v>
      </c>
      <c r="D795" s="68" t="s">
        <v>364</v>
      </c>
      <c r="E795" s="75">
        <f>60*F795*'THAM_SO_MOI'!$C$49/(2*PI()*'THAM_SO_MOI'!$C$26)</f>
        <v>2575.25</v>
      </c>
      <c r="F795" s="75">
        <f>'THAM_SO_MOI'!$E$49+('THAM_SO_MOI'!$F$49-'THAM_SO_MOI'!$E$49)*789/'THAM_SO_MOI'!$C$42</f>
        <v>4.021182610124918</v>
      </c>
      <c r="G795" s="75">
        <f>3.6*F795</f>
        <v>14.476257396449705</v>
      </c>
      <c r="H795" s="75">
        <f>'THAM_SO_MOI'!$D$49</f>
        <v>3.1625000000000005</v>
      </c>
      <c r="I795" s="75">
        <f>IF(F795&gt;'THAM_SO_MOI'!$C$14,'THAM_SO_MOI'!$C$13*(1+F795^2/1500),'THAM_SO_MOI'!$C$13)</f>
        <v>0.015</v>
      </c>
      <c r="J795" s="75">
        <f>'THAM_SO_MOI'!$C$40*('THAM_SO_MOI'!$C$23*(E795/'THAM_SO_MOI'!$C$22)+'THAM_SO_MOI'!$C$24*(E795/'THAM_SO_MOI'!$C$22)^2-'THAM_SO_MOI'!$C$25*(E795/'THAM_SO_MOI'!$C$22)^3)</f>
        <v>113.79181902518394</v>
      </c>
      <c r="K795" s="75">
        <f>'THAM_SO_MOI'!$C$31*J795/E795</f>
        <v>422.0315922450903</v>
      </c>
      <c r="L795" s="75">
        <f>K795*'THAM_SO_MOI'!$C$49*'THAM_SO_MOI'!$C$17/'THAM_SO_MOI'!$C$26</f>
        <v>24057.92165000765</v>
      </c>
      <c r="M795" s="75">
        <f>'THAM_SO_MOI'!$C$15*'THAM_SO_MOI'!$C$16*F795^2</f>
        <v>47.296985533115325</v>
      </c>
      <c r="N795" s="75">
        <f>'THAM_SO_MOI'!$C$12*I795</f>
        <v>1130.112</v>
      </c>
      <c r="O795" s="75">
        <f>M795+N795</f>
        <v>1177.4089855331154</v>
      </c>
      <c r="P795" s="75">
        <f>(MIN(L795,'THAM_SO_MOI'!$C$41)-O795)/('THAM_SO_MOI'!$C$11*H795)</f>
        <v>0.942050093234294</v>
      </c>
      <c r="Q795" s="75">
        <f>IF(P795&gt;0,1/P795,NA())</f>
        <v>1.0615146765356707</v>
      </c>
      <c r="R795" s="75">
        <f>F795-F794</f>
        <v>0.0035133136094680495</v>
      </c>
      <c r="S795" s="75">
        <f>0.5*(Q794+Q795)*R795</f>
        <v>0.0037290141175805413</v>
      </c>
      <c r="T795" s="75">
        <f>0.5*(F794*Q794+F795*Q795)*R795</f>
        <v>0.01498849686201915</v>
      </c>
      <c r="U795" s="76">
        <f>U794+S795</f>
        <v>3.074665740020103</v>
      </c>
      <c r="V795" s="76">
        <f>V794+T795</f>
        <v>7.94286028704316</v>
      </c>
    </row>
    <row r="796" spans="1:22" ht="19" customHeight="1">
      <c r="A796" s="68" t="s">
        <v>368</v>
      </c>
      <c r="B796" s="74">
        <v>1</v>
      </c>
      <c r="C796" s="68" t="s">
        <v>363</v>
      </c>
      <c r="D796" s="68" t="s">
        <v>364</v>
      </c>
      <c r="E796" s="75">
        <f>60*F796*'THAM_SO_MOI'!$C$49/(2*PI()*'THAM_SO_MOI'!$C$26)</f>
        <v>2577.4999999999995</v>
      </c>
      <c r="F796" s="75">
        <f>'THAM_SO_MOI'!$E$49+('THAM_SO_MOI'!$F$49-'THAM_SO_MOI'!$E$49)*790/'THAM_SO_MOI'!$C$42</f>
        <v>4.024695923734385</v>
      </c>
      <c r="G796" s="75">
        <f>3.6*F796</f>
        <v>14.488905325443788</v>
      </c>
      <c r="H796" s="75">
        <f>'THAM_SO_MOI'!$D$49</f>
        <v>3.1625000000000005</v>
      </c>
      <c r="I796" s="75">
        <f>IF(F796&gt;'THAM_SO_MOI'!$C$14,'THAM_SO_MOI'!$C$13*(1+F796^2/1500),'THAM_SO_MOI'!$C$13)</f>
        <v>0.015</v>
      </c>
      <c r="J796" s="75">
        <f>'THAM_SO_MOI'!$C$40*('THAM_SO_MOI'!$C$23*(E796/'THAM_SO_MOI'!$C$22)+'THAM_SO_MOI'!$C$24*(E796/'THAM_SO_MOI'!$C$22)^2-'THAM_SO_MOI'!$C$25*(E796/'THAM_SO_MOI'!$C$22)^3)</f>
        <v>113.86710445534302</v>
      </c>
      <c r="K796" s="75">
        <f>'THAM_SO_MOI'!$C$31*J796/E796</f>
        <v>421.9421596426465</v>
      </c>
      <c r="L796" s="75">
        <f>K796*'THAM_SO_MOI'!$C$49*'THAM_SO_MOI'!$C$17/'THAM_SO_MOI'!$C$26</f>
        <v>24052.82354223069</v>
      </c>
      <c r="M796" s="75">
        <f>'THAM_SO_MOI'!$C$15*'THAM_SO_MOI'!$C$16*F796^2</f>
        <v>47.37966853968322</v>
      </c>
      <c r="N796" s="75">
        <f>'THAM_SO_MOI'!$C$12*I796</f>
        <v>1130.112</v>
      </c>
      <c r="O796" s="75">
        <f>M796+N796</f>
        <v>1177.4916685396834</v>
      </c>
      <c r="P796" s="75">
        <f>(MIN(L796,'THAM_SO_MOI'!$C$41)-O796)/('THAM_SO_MOI'!$C$11*H796)</f>
        <v>0.9418367866308877</v>
      </c>
      <c r="Q796" s="75">
        <f>IF(P796&gt;0,1/P796,NA())</f>
        <v>1.0617550877123543</v>
      </c>
      <c r="R796" s="75">
        <f>F796-F795</f>
        <v>0.0035133136094671613</v>
      </c>
      <c r="S796" s="75">
        <f>0.5*(Q795+Q796)*R796</f>
        <v>0.0037298562796513586</v>
      </c>
      <c r="T796" s="75">
        <f>0.5*(F795*Q795+F796*Q796)*R796</f>
        <v>0.015004986029284772</v>
      </c>
      <c r="U796" s="76">
        <f>U795+S796</f>
        <v>3.0783955962997545</v>
      </c>
      <c r="V796" s="76">
        <f>V795+T796</f>
        <v>7.9578652730724455</v>
      </c>
    </row>
    <row r="797" spans="1:22" ht="19" customHeight="1">
      <c r="A797" s="68" t="s">
        <v>368</v>
      </c>
      <c r="B797" s="74">
        <v>1</v>
      </c>
      <c r="C797" s="68" t="s">
        <v>363</v>
      </c>
      <c r="D797" s="68" t="s">
        <v>364</v>
      </c>
      <c r="E797" s="75">
        <f>60*F797*'THAM_SO_MOI'!$C$49/(2*PI()*'THAM_SO_MOI'!$C$26)</f>
        <v>2579.7499999999995</v>
      </c>
      <c r="F797" s="75">
        <f>'THAM_SO_MOI'!$E$49+('THAM_SO_MOI'!$F$49-'THAM_SO_MOI'!$E$49)*791/'THAM_SO_MOI'!$C$42</f>
        <v>4.0282092373438525</v>
      </c>
      <c r="G797" s="75">
        <f>3.6*F797</f>
        <v>14.50155325443787</v>
      </c>
      <c r="H797" s="75">
        <f>'THAM_SO_MOI'!$D$49</f>
        <v>3.1625000000000005</v>
      </c>
      <c r="I797" s="75">
        <f>IF(F797&gt;'THAM_SO_MOI'!$C$14,'THAM_SO_MOI'!$C$13*(1+F797^2/1500),'THAM_SO_MOI'!$C$13)</f>
        <v>0.015</v>
      </c>
      <c r="J797" s="75">
        <f>'THAM_SO_MOI'!$C$40*('THAM_SO_MOI'!$C$23*(E797/'THAM_SO_MOI'!$C$22)+'THAM_SO_MOI'!$C$24*(E797/'THAM_SO_MOI'!$C$22)^2-'THAM_SO_MOI'!$C$25*(E797/'THAM_SO_MOI'!$C$22)^3)</f>
        <v>113.9422150930278</v>
      </c>
      <c r="K797" s="75">
        <f>'THAM_SO_MOI'!$C$31*J797/E797</f>
        <v>421.8522359021441</v>
      </c>
      <c r="L797" s="75">
        <f>K797*'THAM_SO_MOI'!$C$49*'THAM_SO_MOI'!$C$17/'THAM_SO_MOI'!$C$26</f>
        <v>24047.697437116203</v>
      </c>
      <c r="M797" s="75">
        <f>'THAM_SO_MOI'!$C$15*'THAM_SO_MOI'!$C$16*F797^2</f>
        <v>47.46242375498036</v>
      </c>
      <c r="N797" s="75">
        <f>'THAM_SO_MOI'!$C$12*I797</f>
        <v>1130.112</v>
      </c>
      <c r="O797" s="75">
        <f>M797+N797</f>
        <v>1177.5744237549804</v>
      </c>
      <c r="P797" s="75">
        <f>(MIN(L797,'THAM_SO_MOI'!$C$41)-O797)/('THAM_SO_MOI'!$C$11*H797)</f>
        <v>0.9416223243314072</v>
      </c>
      <c r="Q797" s="75">
        <f>IF(P797&gt;0,1/P797,NA())</f>
        <v>1.0619969112457517</v>
      </c>
      <c r="R797" s="75">
        <f>F797-F796</f>
        <v>0.0035133136094671613</v>
      </c>
      <c r="S797" s="75">
        <f>0.5*(Q796+Q797)*R797</f>
        <v>0.0037307034005363013</v>
      </c>
      <c r="T797" s="75">
        <f>0.5*(F796*Q796+F797*Q797)*R797</f>
        <v>0.015021501080544945</v>
      </c>
      <c r="U797" s="76">
        <f>U796+S797</f>
        <v>3.082126299700291</v>
      </c>
      <c r="V797" s="76">
        <f>V796+T797</f>
        <v>7.9728867741529905</v>
      </c>
    </row>
    <row r="798" spans="1:22" ht="19" customHeight="1">
      <c r="A798" s="68" t="s">
        <v>368</v>
      </c>
      <c r="B798" s="74">
        <v>1</v>
      </c>
      <c r="C798" s="68" t="s">
        <v>363</v>
      </c>
      <c r="D798" s="68" t="s">
        <v>364</v>
      </c>
      <c r="E798" s="75">
        <f>60*F798*'THAM_SO_MOI'!$C$49/(2*PI()*'THAM_SO_MOI'!$C$26)</f>
        <v>2582.0</v>
      </c>
      <c r="F798" s="75">
        <f>'THAM_SO_MOI'!$E$49+('THAM_SO_MOI'!$F$49-'THAM_SO_MOI'!$E$49)*792/'THAM_SO_MOI'!$C$42</f>
        <v>4.0317225509533205</v>
      </c>
      <c r="G798" s="75">
        <f>3.6*F798</f>
        <v>14.514201183431954</v>
      </c>
      <c r="H798" s="75">
        <f>'THAM_SO_MOI'!$D$49</f>
        <v>3.1625000000000005</v>
      </c>
      <c r="I798" s="75">
        <f>IF(F798&gt;'THAM_SO_MOI'!$C$14,'THAM_SO_MOI'!$C$13*(1+F798^2/1500),'THAM_SO_MOI'!$C$13)</f>
        <v>0.015</v>
      </c>
      <c r="J798" s="75">
        <f>'THAM_SO_MOI'!$C$40*('THAM_SO_MOI'!$C$23*(E798/'THAM_SO_MOI'!$C$22)+'THAM_SO_MOI'!$C$24*(E798/'THAM_SO_MOI'!$C$22)^2-'THAM_SO_MOI'!$C$25*(E798/'THAM_SO_MOI'!$C$22)^3)</f>
        <v>114.0171505911386</v>
      </c>
      <c r="K798" s="75">
        <f>'THAM_SO_MOI'!$C$31*J798/E798</f>
        <v>421.76182102358257</v>
      </c>
      <c r="L798" s="75">
        <f>K798*'THAM_SO_MOI'!$C$49*'THAM_SO_MOI'!$C$17/'THAM_SO_MOI'!$C$26</f>
        <v>24042.543334664166</v>
      </c>
      <c r="M798" s="75">
        <f>'THAM_SO_MOI'!$C$15*'THAM_SO_MOI'!$C$16*F798^2</f>
        <v>47.54525117900674</v>
      </c>
      <c r="N798" s="75">
        <f>'THAM_SO_MOI'!$C$12*I798</f>
        <v>1130.112</v>
      </c>
      <c r="O798" s="75">
        <f>M798+N798</f>
        <v>1177.6572511790068</v>
      </c>
      <c r="P798" s="75">
        <f>(MIN(L798,'THAM_SO_MOI'!$C$41)-O798)/('THAM_SO_MOI'!$C$11*H798)</f>
        <v>0.9414067063358512</v>
      </c>
      <c r="Q798" s="75">
        <f>IF(P798&gt;0,1/P798,NA())</f>
        <v>1.062240148991721</v>
      </c>
      <c r="R798" s="75">
        <f>F798-F797</f>
        <v>0.0035133136094680495</v>
      </c>
      <c r="S798" s="75">
        <f>0.5*(Q797+Q798)*R798</f>
        <v>0.003731555486734357</v>
      </c>
      <c r="T798" s="75">
        <f>0.5*(F797*Q797+F798*Q798)*R798</f>
        <v>0.015038042094256016</v>
      </c>
      <c r="U798" s="76">
        <f>U797+S798</f>
        <v>3.0858578551870255</v>
      </c>
      <c r="V798" s="76">
        <f>V797+T798</f>
        <v>7.987924816247246</v>
      </c>
    </row>
    <row r="799" spans="1:22" ht="19" customHeight="1">
      <c r="A799" s="68" t="s">
        <v>368</v>
      </c>
      <c r="B799" s="74">
        <v>1</v>
      </c>
      <c r="C799" s="68" t="s">
        <v>363</v>
      </c>
      <c r="D799" s="68" t="s">
        <v>364</v>
      </c>
      <c r="E799" s="75">
        <f>60*F799*'THAM_SO_MOI'!$C$49/(2*PI()*'THAM_SO_MOI'!$C$26)</f>
        <v>2584.2499999999995</v>
      </c>
      <c r="F799" s="75">
        <f>'THAM_SO_MOI'!$E$49+('THAM_SO_MOI'!$F$49-'THAM_SO_MOI'!$E$49)*793/'THAM_SO_MOI'!$C$42</f>
        <v>4.035235864562788</v>
      </c>
      <c r="G799" s="75">
        <f>3.6*F799</f>
        <v>14.526849112426037</v>
      </c>
      <c r="H799" s="75">
        <f>'THAM_SO_MOI'!$D$49</f>
        <v>3.1625000000000005</v>
      </c>
      <c r="I799" s="75">
        <f>IF(F799&gt;'THAM_SO_MOI'!$C$14,'THAM_SO_MOI'!$C$13*(1+F799^2/1500),'THAM_SO_MOI'!$C$13)</f>
        <v>0.015</v>
      </c>
      <c r="J799" s="75">
        <f>'THAM_SO_MOI'!$C$40*('THAM_SO_MOI'!$C$23*(E799/'THAM_SO_MOI'!$C$22)+'THAM_SO_MOI'!$C$24*(E799/'THAM_SO_MOI'!$C$22)^2-'THAM_SO_MOI'!$C$25*(E799/'THAM_SO_MOI'!$C$22)^3)</f>
        <v>114.09191060257596</v>
      </c>
      <c r="K799" s="75">
        <f>'THAM_SO_MOI'!$C$31*J799/E799</f>
        <v>421.67091500696256</v>
      </c>
      <c r="L799" s="75">
        <f>K799*'THAM_SO_MOI'!$C$49*'THAM_SO_MOI'!$C$17/'THAM_SO_MOI'!$C$26</f>
        <v>24037.36123487461</v>
      </c>
      <c r="M799" s="75">
        <f>'THAM_SO_MOI'!$C$15*'THAM_SO_MOI'!$C$16*F799^2</f>
        <v>47.62815081176233</v>
      </c>
      <c r="N799" s="75">
        <f>'THAM_SO_MOI'!$C$12*I799</f>
        <v>1130.112</v>
      </c>
      <c r="O799" s="75">
        <f>M799+N799</f>
        <v>1177.7401508117623</v>
      </c>
      <c r="P799" s="75">
        <f>(MIN(L799,'THAM_SO_MOI'!$C$41)-O799)/('THAM_SO_MOI'!$C$11*H799)</f>
        <v>0.9411899326442212</v>
      </c>
      <c r="Q799" s="75">
        <f>IF(P799&gt;0,1/P799,NA())</f>
        <v>1.0624848028182314</v>
      </c>
      <c r="R799" s="75">
        <f>F799-F798</f>
        <v>0.0035133136094671613</v>
      </c>
      <c r="S799" s="75">
        <f>0.5*(Q798+Q799)*R799</f>
        <v>0.003732412544784182</v>
      </c>
      <c r="T799" s="75">
        <f>0.5*(F798*Q798+F799*Q799)*R799</f>
        <v>0.015054609149125656</v>
      </c>
      <c r="U799" s="76">
        <f>U798+S799</f>
        <v>3.08959026773181</v>
      </c>
      <c r="V799" s="76">
        <f>V798+T799</f>
        <v>8.002979425396372</v>
      </c>
    </row>
    <row r="800" spans="1:22" ht="19" customHeight="1">
      <c r="A800" s="68" t="s">
        <v>368</v>
      </c>
      <c r="B800" s="74">
        <v>1</v>
      </c>
      <c r="C800" s="68" t="s">
        <v>363</v>
      </c>
      <c r="D800" s="68" t="s">
        <v>364</v>
      </c>
      <c r="E800" s="75">
        <f>60*F800*'THAM_SO_MOI'!$C$49/(2*PI()*'THAM_SO_MOI'!$C$26)</f>
        <v>2586.4999999999995</v>
      </c>
      <c r="F800" s="75">
        <f>'THAM_SO_MOI'!$E$49+('THAM_SO_MOI'!$F$49-'THAM_SO_MOI'!$E$49)*794/'THAM_SO_MOI'!$C$42</f>
        <v>4.038749178172255</v>
      </c>
      <c r="G800" s="75">
        <f>3.6*F800</f>
        <v>14.539497041420118</v>
      </c>
      <c r="H800" s="75">
        <f>'THAM_SO_MOI'!$D$49</f>
        <v>3.1625000000000005</v>
      </c>
      <c r="I800" s="75">
        <f>IF(F800&gt;'THAM_SO_MOI'!$C$14,'THAM_SO_MOI'!$C$13*(1+F800^2/1500),'THAM_SO_MOI'!$C$13)</f>
        <v>0.015</v>
      </c>
      <c r="J800" s="75">
        <f>'THAM_SO_MOI'!$C$40*('THAM_SO_MOI'!$C$23*(E800/'THAM_SO_MOI'!$C$22)+'THAM_SO_MOI'!$C$24*(E800/'THAM_SO_MOI'!$C$22)^2-'THAM_SO_MOI'!$C$25*(E800/'THAM_SO_MOI'!$C$22)^3)</f>
        <v>114.16649478024034</v>
      </c>
      <c r="K800" s="75">
        <f>'THAM_SO_MOI'!$C$31*J800/E800</f>
        <v>421.5795178522838</v>
      </c>
      <c r="L800" s="75">
        <f>K800*'THAM_SO_MOI'!$C$49*'THAM_SO_MOI'!$C$17/'THAM_SO_MOI'!$C$26</f>
        <v>24032.15113774753</v>
      </c>
      <c r="M800" s="75">
        <f>'THAM_SO_MOI'!$C$15*'THAM_SO_MOI'!$C$16*F800^2</f>
        <v>47.711122653247166</v>
      </c>
      <c r="N800" s="75">
        <f>'THAM_SO_MOI'!$C$12*I800</f>
        <v>1130.112</v>
      </c>
      <c r="O800" s="75">
        <f>M800+N800</f>
        <v>1177.8231226532473</v>
      </c>
      <c r="P800" s="75">
        <f>(MIN(L800,'THAM_SO_MOI'!$C$41)-O800)/('THAM_SO_MOI'!$C$11*H800)</f>
        <v>0.9409720032565168</v>
      </c>
      <c r="Q800" s="75">
        <f>IF(P800&gt;0,1/P800,NA())</f>
        <v>1.0627308746054072</v>
      </c>
      <c r="R800" s="75">
        <f>F800-F799</f>
        <v>0.0035133136094671613</v>
      </c>
      <c r="S800" s="75">
        <f>0.5*(Q799+Q800)*R800</f>
        <v>0.0037332745812727213</v>
      </c>
      <c r="T800" s="75">
        <f>0.5*(F799*Q799+F800*Q800)*R800</f>
        <v>0.015071202324148374</v>
      </c>
      <c r="U800" s="76">
        <f>U799+S800</f>
        <v>3.0933235423130827</v>
      </c>
      <c r="V800" s="76">
        <f>V799+T800</f>
        <v>8.01805062772052</v>
      </c>
    </row>
    <row r="801" spans="1:29" ht="19" customHeight="1">
      <c r="A801" s="68" t="s">
        <v>368</v>
      </c>
      <c r="B801" s="74">
        <v>1</v>
      </c>
      <c r="C801" s="68" t="s">
        <v>363</v>
      </c>
      <c r="D801" s="68" t="s">
        <v>364</v>
      </c>
      <c r="E801" s="75">
        <f>60*F801*'THAM_SO_MOI'!$C$49/(2*PI()*'THAM_SO_MOI'!$C$26)</f>
        <v>2588.75</v>
      </c>
      <c r="F801" s="75">
        <f>'THAM_SO_MOI'!$E$49+('THAM_SO_MOI'!$F$49-'THAM_SO_MOI'!$E$49)*795/'THAM_SO_MOI'!$C$42</f>
        <v>4.042262491781723</v>
      </c>
      <c r="G801" s="75">
        <f>3.6*F801</f>
        <v>14.552144970414203</v>
      </c>
      <c r="H801" s="75">
        <f>'THAM_SO_MOI'!$D$49</f>
        <v>3.1625000000000005</v>
      </c>
      <c r="I801" s="75">
        <f>IF(F801&gt;'THAM_SO_MOI'!$C$14,'THAM_SO_MOI'!$C$13*(1+F801^2/1500),'THAM_SO_MOI'!$C$13)</f>
        <v>0.015</v>
      </c>
      <c r="J801" s="75">
        <f>'THAM_SO_MOI'!$C$40*('THAM_SO_MOI'!$C$23*(E801/'THAM_SO_MOI'!$C$22)+'THAM_SO_MOI'!$C$24*(E801/'THAM_SO_MOI'!$C$22)^2-'THAM_SO_MOI'!$C$25*(E801/'THAM_SO_MOI'!$C$22)^3)</f>
        <v>114.24090277703219</v>
      </c>
      <c r="K801" s="75">
        <f>'THAM_SO_MOI'!$C$31*J801/E801</f>
        <v>421.4876295595462</v>
      </c>
      <c r="L801" s="75">
        <f>K801*'THAM_SO_MOI'!$C$49*'THAM_SO_MOI'!$C$17/'THAM_SO_MOI'!$C$26</f>
        <v>24026.9130432829</v>
      </c>
      <c r="M801" s="75">
        <f>'THAM_SO_MOI'!$C$15*'THAM_SO_MOI'!$C$16*F801^2</f>
        <v>47.79416670346125</v>
      </c>
      <c r="N801" s="75">
        <f>'THAM_SO_MOI'!$C$12*I801</f>
        <v>1130.112</v>
      </c>
      <c r="O801" s="75">
        <f>M801+N801</f>
        <v>1177.9061667034614</v>
      </c>
      <c r="P801" s="75">
        <f>(MIN(L801,'THAM_SO_MOI'!$C$41)-O801)/('THAM_SO_MOI'!$C$11*H801)</f>
        <v>0.940752918172737</v>
      </c>
      <c r="Q801" s="75">
        <f>IF(P801&gt;0,1/P801,NA())</f>
        <v>1.0629783662455612</v>
      </c>
      <c r="R801" s="75">
        <f>F801-F800</f>
        <v>0.0035133136094680495</v>
      </c>
      <c r="S801" s="75">
        <f>0.5*(Q800+Q801)*R801</f>
        <v>0.0037341416028268512</v>
      </c>
      <c r="T801" s="75">
        <f>0.5*(F800*Q800+F801*Q801)*R801</f>
        <v>0.015087821698572599</v>
      </c>
      <c r="U801" s="76">
        <f>U800+S801</f>
        <v>3.0970576839159096</v>
      </c>
      <c r="V801" s="76">
        <f>V800+T801</f>
        <v>8.033138449419093</v>
      </c>
    </row>
    <row r="802" spans="1:29" ht="19" customHeight="1">
      <c r="A802" s="68" t="s">
        <v>368</v>
      </c>
      <c r="B802" s="74">
        <v>1</v>
      </c>
      <c r="C802" s="68" t="s">
        <v>363</v>
      </c>
      <c r="D802" s="68" t="s">
        <v>364</v>
      </c>
      <c r="E802" s="75">
        <f>60*F802*'THAM_SO_MOI'!$C$49/(2*PI()*'THAM_SO_MOI'!$C$26)</f>
        <v>2591.0</v>
      </c>
      <c r="F802" s="75">
        <f>'THAM_SO_MOI'!$E$49+('THAM_SO_MOI'!$F$49-'THAM_SO_MOI'!$E$49)*796/'THAM_SO_MOI'!$C$42</f>
        <v>4.04577580539119</v>
      </c>
      <c r="G802" s="75">
        <f>3.6*F802</f>
        <v>14.564792899408285</v>
      </c>
      <c r="H802" s="75">
        <f>'THAM_SO_MOI'!$D$49</f>
        <v>3.1625000000000005</v>
      </c>
      <c r="I802" s="75">
        <f>IF(F802&gt;'THAM_SO_MOI'!$C$14,'THAM_SO_MOI'!$C$13*(1+F802^2/1500),'THAM_SO_MOI'!$C$13)</f>
        <v>0.015</v>
      </c>
      <c r="J802" s="75">
        <f>'THAM_SO_MOI'!$C$40*('THAM_SO_MOI'!$C$23*(E802/'THAM_SO_MOI'!$C$22)+'THAM_SO_MOI'!$C$24*(E802/'THAM_SO_MOI'!$C$22)^2-'THAM_SO_MOI'!$C$25*(E802/'THAM_SO_MOI'!$C$22)^3)</f>
        <v>114.31513424585192</v>
      </c>
      <c r="K802" s="75">
        <f>'THAM_SO_MOI'!$C$31*J802/E802</f>
        <v>421.3952501287497</v>
      </c>
      <c r="L802" s="75">
        <f>K802*'THAM_SO_MOI'!$C$49*'THAM_SO_MOI'!$C$17/'THAM_SO_MOI'!$C$26</f>
        <v>24021.646951480743</v>
      </c>
      <c r="M802" s="75">
        <f>'THAM_SO_MOI'!$C$15*'THAM_SO_MOI'!$C$16*F802^2</f>
        <v>47.87728296240455</v>
      </c>
      <c r="N802" s="75">
        <f>'THAM_SO_MOI'!$C$12*I802</f>
        <v>1130.112</v>
      </c>
      <c r="O802" s="75">
        <f>M802+N802</f>
        <v>1177.9892829624046</v>
      </c>
      <c r="P802" s="75">
        <f>(MIN(L802,'THAM_SO_MOI'!$C$41)-O802)/('THAM_SO_MOI'!$C$11*H802)</f>
        <v>0.9405326773928827</v>
      </c>
      <c r="Q802" s="75">
        <f>IF(P802&gt;0,1/P802,NA())</f>
        <v>1.0632272796432318</v>
      </c>
      <c r="R802" s="75">
        <f>F802-F801</f>
        <v>0.0035133136094671613</v>
      </c>
      <c r="S802" s="75">
        <f>0.5*(Q801+Q802)*R802</f>
        <v>0.003735013616113506</v>
      </c>
      <c r="T802" s="75">
        <f>0.5*(F801*Q801+F802*Q802)*R802</f>
        <v>0.01510446735190186</v>
      </c>
      <c r="U802" s="76">
        <f>U801+S802</f>
        <v>3.100792697532023</v>
      </c>
      <c r="V802" s="76">
        <f>V801+T802</f>
        <v>8.048242916770995</v>
      </c>
    </row>
    <row r="803" spans="1:29" ht="19" customHeight="1">
      <c r="A803" s="68" t="s">
        <v>368</v>
      </c>
      <c r="B803" s="74">
        <v>1</v>
      </c>
      <c r="C803" s="68" t="s">
        <v>363</v>
      </c>
      <c r="D803" s="68" t="s">
        <v>364</v>
      </c>
      <c r="E803" s="75">
        <f>60*F803*'THAM_SO_MOI'!$C$49/(2*PI()*'THAM_SO_MOI'!$C$26)</f>
        <v>2593.2499999999995</v>
      </c>
      <c r="F803" s="75">
        <f>'THAM_SO_MOI'!$E$49+('THAM_SO_MOI'!$F$49-'THAM_SO_MOI'!$E$49)*797/'THAM_SO_MOI'!$C$42</f>
        <v>4.049289119000657</v>
      </c>
      <c r="G803" s="75">
        <f>3.6*F803</f>
        <v>14.577440828402366</v>
      </c>
      <c r="H803" s="75">
        <f>'THAM_SO_MOI'!$D$49</f>
        <v>3.1625000000000005</v>
      </c>
      <c r="I803" s="75">
        <f>IF(F803&gt;'THAM_SO_MOI'!$C$14,'THAM_SO_MOI'!$C$13*(1+F803^2/1500),'THAM_SO_MOI'!$C$13)</f>
        <v>0.015</v>
      </c>
      <c r="J803" s="75">
        <f>'THAM_SO_MOI'!$C$40*('THAM_SO_MOI'!$C$23*(E803/'THAM_SO_MOI'!$C$22)+'THAM_SO_MOI'!$C$24*(E803/'THAM_SO_MOI'!$C$22)^2-'THAM_SO_MOI'!$C$25*(E803/'THAM_SO_MOI'!$C$22)^3)</f>
        <v>114.38918883960001</v>
      </c>
      <c r="K803" s="75">
        <f>'THAM_SO_MOI'!$C$31*J803/E803</f>
        <v>421.3023795598946</v>
      </c>
      <c r="L803" s="75">
        <f>K803*'THAM_SO_MOI'!$C$49*'THAM_SO_MOI'!$C$17/'THAM_SO_MOI'!$C$26</f>
        <v>24016.35286234106</v>
      </c>
      <c r="M803" s="75">
        <f>'THAM_SO_MOI'!$C$15*'THAM_SO_MOI'!$C$16*F803^2</f>
        <v>47.96047143007708</v>
      </c>
      <c r="N803" s="75">
        <f>'THAM_SO_MOI'!$C$12*I803</f>
        <v>1130.112</v>
      </c>
      <c r="O803" s="75">
        <f>M803+N803</f>
        <v>1178.0724714300773</v>
      </c>
      <c r="P803" s="75">
        <f>(MIN(L803,'THAM_SO_MOI'!$C$41)-O803)/('THAM_SO_MOI'!$C$11*H803)</f>
        <v>0.940311280916954</v>
      </c>
      <c r="Q803" s="75">
        <f>IF(P803&gt;0,1/P803,NA())</f>
        <v>1.063477616715222</v>
      </c>
      <c r="R803" s="75">
        <f>F803-F802</f>
        <v>0.0035133136094671613</v>
      </c>
      <c r="S803" s="75">
        <f>0.5*(Q802+Q803)*R803</f>
        <v>0.0037358906278483024</v>
      </c>
      <c r="T803" s="75">
        <f>0.5*(F802*Q802+F803*Q803)*R803</f>
        <v>0.015121139363930449</v>
      </c>
      <c r="U803" s="76">
        <f>U802+S803</f>
        <v>3.104528588159871</v>
      </c>
      <c r="V803" s="76">
        <f>V802+T803</f>
        <v>8.063364056134926</v>
      </c>
    </row>
    <row r="804" spans="1:29" ht="19" customHeight="1">
      <c r="A804" s="68" t="s">
        <v>368</v>
      </c>
      <c r="B804" s="74">
        <v>1</v>
      </c>
      <c r="C804" s="68" t="s">
        <v>363</v>
      </c>
      <c r="D804" s="68" t="s">
        <v>364</v>
      </c>
      <c r="E804" s="75">
        <f>60*F804*'THAM_SO_MOI'!$C$49/(2*PI()*'THAM_SO_MOI'!$C$26)</f>
        <v>2595.5</v>
      </c>
      <c r="F804" s="75">
        <f>'THAM_SO_MOI'!$E$49+('THAM_SO_MOI'!$F$49-'THAM_SO_MOI'!$E$49)*798/'THAM_SO_MOI'!$C$42</f>
        <v>4.052802432610125</v>
      </c>
      <c r="G804" s="75">
        <f>3.6*F804</f>
        <v>14.590088757396451</v>
      </c>
      <c r="H804" s="75">
        <f>'THAM_SO_MOI'!$D$49</f>
        <v>3.1625000000000005</v>
      </c>
      <c r="I804" s="75">
        <f>IF(F804&gt;'THAM_SO_MOI'!$C$14,'THAM_SO_MOI'!$C$13*(1+F804^2/1500),'THAM_SO_MOI'!$C$13)</f>
        <v>0.015</v>
      </c>
      <c r="J804" s="75">
        <f>'THAM_SO_MOI'!$C$40*('THAM_SO_MOI'!$C$23*(E804/'THAM_SO_MOI'!$C$22)+'THAM_SO_MOI'!$C$24*(E804/'THAM_SO_MOI'!$C$22)^2-'THAM_SO_MOI'!$C$25*(E804/'THAM_SO_MOI'!$C$22)^3)</f>
        <v>114.46306621117694</v>
      </c>
      <c r="K804" s="75">
        <f>'THAM_SO_MOI'!$C$31*J804/E804</f>
        <v>421.2090178529806</v>
      </c>
      <c r="L804" s="75">
        <f>K804*'THAM_SO_MOI'!$C$49*'THAM_SO_MOI'!$C$17/'THAM_SO_MOI'!$C$26</f>
        <v>24011.03077586384</v>
      </c>
      <c r="M804" s="75">
        <f>'THAM_SO_MOI'!$C$15*'THAM_SO_MOI'!$C$16*F804^2</f>
        <v>48.04373210647886</v>
      </c>
      <c r="N804" s="75">
        <f>'THAM_SO_MOI'!$C$12*I804</f>
        <v>1130.112</v>
      </c>
      <c r="O804" s="75">
        <f>M804+N804</f>
        <v>1178.155732106479</v>
      </c>
      <c r="P804" s="75">
        <f>(MIN(L804,'THAM_SO_MOI'!$C$41)-O804)/('THAM_SO_MOI'!$C$11*H804)</f>
        <v>0.9400887287449505</v>
      </c>
      <c r="Q804" s="75">
        <f>IF(P804&gt;0,1/P804,NA())</f>
        <v>1.063729379390638</v>
      </c>
      <c r="R804" s="75">
        <f>F804-F803</f>
        <v>0.0035133136094680495</v>
      </c>
      <c r="S804" s="75">
        <f>0.5*(Q803+Q804)*R804</f>
        <v>0.0037367726447871835</v>
      </c>
      <c r="T804" s="75">
        <f>0.5*(F803*Q803+F804*Q804)*R804</f>
        <v>0.01513783781471038</v>
      </c>
      <c r="U804" s="76">
        <f>U803+S804</f>
        <v>3.1082653608046584</v>
      </c>
      <c r="V804" s="76">
        <f>V803+T804</f>
        <v>8.078501893949637</v>
      </c>
    </row>
    <row r="805" spans="1:29" ht="19" customHeight="1">
      <c r="A805" s="68" t="s">
        <v>368</v>
      </c>
      <c r="B805" s="74">
        <v>1</v>
      </c>
      <c r="C805" s="68" t="s">
        <v>363</v>
      </c>
      <c r="D805" s="68" t="s">
        <v>364</v>
      </c>
      <c r="E805" s="75">
        <f>60*F805*'THAM_SO_MOI'!$C$49/(2*PI()*'THAM_SO_MOI'!$C$26)</f>
        <v>2597.7499999999995</v>
      </c>
      <c r="F805" s="75">
        <f>'THAM_SO_MOI'!$E$49+('THAM_SO_MOI'!$F$49-'THAM_SO_MOI'!$E$49)*799/'THAM_SO_MOI'!$C$42</f>
        <v>4.0563157462195925</v>
      </c>
      <c r="G805" s="75">
        <f>3.6*F805</f>
        <v>14.602736686390534</v>
      </c>
      <c r="H805" s="75">
        <f>'THAM_SO_MOI'!$D$49</f>
        <v>3.1625000000000005</v>
      </c>
      <c r="I805" s="75">
        <f>IF(F805&gt;'THAM_SO_MOI'!$C$14,'THAM_SO_MOI'!$C$13*(1+F805^2/1500),'THAM_SO_MOI'!$C$13)</f>
        <v>0.015</v>
      </c>
      <c r="J805" s="75">
        <f>'THAM_SO_MOI'!$C$40*('THAM_SO_MOI'!$C$23*(E805/'THAM_SO_MOI'!$C$22)+'THAM_SO_MOI'!$C$24*(E805/'THAM_SO_MOI'!$C$22)^2-'THAM_SO_MOI'!$C$25*(E805/'THAM_SO_MOI'!$C$22)^3)</f>
        <v>114.53676601348313</v>
      </c>
      <c r="K805" s="75">
        <f>'THAM_SO_MOI'!$C$31*J805/E805</f>
        <v>421.115165008008</v>
      </c>
      <c r="L805" s="75">
        <f>K805*'THAM_SO_MOI'!$C$49*'THAM_SO_MOI'!$C$17/'THAM_SO_MOI'!$C$26</f>
        <v>24005.680692049093</v>
      </c>
      <c r="M805" s="75">
        <f>'THAM_SO_MOI'!$C$15*'THAM_SO_MOI'!$C$16*F805^2</f>
        <v>48.127064991609856</v>
      </c>
      <c r="N805" s="75">
        <f>'THAM_SO_MOI'!$C$12*I805</f>
        <v>1130.112</v>
      </c>
      <c r="O805" s="75">
        <f>M805+N805</f>
        <v>1178.23906499161</v>
      </c>
      <c r="P805" s="75">
        <f>(MIN(L805,'THAM_SO_MOI'!$C$41)-O805)/('THAM_SO_MOI'!$C$11*H805)</f>
        <v>0.9398650208768724</v>
      </c>
      <c r="Q805" s="75">
        <f>IF(P805&gt;0,1/P805,NA())</f>
        <v>1.0639825696109246</v>
      </c>
      <c r="R805" s="75">
        <f>F805-F804</f>
        <v>0.0035133136094671613</v>
      </c>
      <c r="S805" s="75">
        <f>0.5*(Q804+Q805)*R805</f>
        <v>0.0037376596737265437</v>
      </c>
      <c r="T805" s="75">
        <f>0.5*(F804*Q804+F805*Q805)*R805</f>
        <v>0.015154562784552636</v>
      </c>
      <c r="U805" s="76">
        <f>U804+S805</f>
        <v>3.112003020478385</v>
      </c>
      <c r="V805" s="76">
        <f>V804+T805</f>
        <v>8.09365645673419</v>
      </c>
    </row>
    <row r="806" spans="1:29" ht="19" customHeight="1">
      <c r="A806" s="68" t="s">
        <v>368</v>
      </c>
      <c r="B806" s="74">
        <v>1</v>
      </c>
      <c r="C806" s="68" t="s">
        <v>363</v>
      </c>
      <c r="D806" s="68" t="s">
        <v>364</v>
      </c>
      <c r="E806" s="75">
        <f>60*F806*'THAM_SO_MOI'!$C$49/(2*PI()*'THAM_SO_MOI'!$C$26)</f>
        <v>2600.0</v>
      </c>
      <c r="F806" s="75">
        <f>'THAM_SO_MOI'!$E$49+('THAM_SO_MOI'!$F$49-'THAM_SO_MOI'!$E$49)*800/'THAM_SO_MOI'!$C$42</f>
        <v>4.05982905982906</v>
      </c>
      <c r="G806" s="75">
        <f>3.6*F806</f>
        <v>14.615384615384615</v>
      </c>
      <c r="H806" s="75">
        <f>'THAM_SO_MOI'!$D$49</f>
        <v>3.1625000000000005</v>
      </c>
      <c r="I806" s="75">
        <f>IF(F806&gt;'THAM_SO_MOI'!$C$14,'THAM_SO_MOI'!$C$13*(1+F806^2/1500),'THAM_SO_MOI'!$C$13)</f>
        <v>0.015</v>
      </c>
      <c r="J806" s="75">
        <f>'THAM_SO_MOI'!$C$40*('THAM_SO_MOI'!$C$23*(E806/'THAM_SO_MOI'!$C$22)+'THAM_SO_MOI'!$C$24*(E806/'THAM_SO_MOI'!$C$22)^2-'THAM_SO_MOI'!$C$25*(E806/'THAM_SO_MOI'!$C$22)^3)</f>
        <v>114.61028789941905</v>
      </c>
      <c r="K806" s="75">
        <f>'THAM_SO_MOI'!$C$31*J806/E806</f>
        <v>421.0208210249764</v>
      </c>
      <c r="L806" s="75">
        <f>K806*'THAM_SO_MOI'!$C$49*'THAM_SO_MOI'!$C$17/'THAM_SO_MOI'!$C$26</f>
        <v>24000.302610896808</v>
      </c>
      <c r="M806" s="75">
        <f>'THAM_SO_MOI'!$C$15*'THAM_SO_MOI'!$C$16*F806^2</f>
        <v>48.210470085470085</v>
      </c>
      <c r="N806" s="75">
        <f>'THAM_SO_MOI'!$C$12*I806</f>
        <v>1130.112</v>
      </c>
      <c r="O806" s="75">
        <f>M806+N806</f>
        <v>1178.32247008547</v>
      </c>
      <c r="P806" s="75">
        <f>(MIN(L806,'THAM_SO_MOI'!$C$41)-O806)/('THAM_SO_MOI'!$C$11*H806)</f>
        <v>0.9396401573127197</v>
      </c>
      <c r="Q806" s="75">
        <f>IF(P806&gt;0,1/P806,NA())</f>
        <v>1.0642371893299065</v>
      </c>
      <c r="R806" s="75">
        <f>F806-F805</f>
        <v>0.0035133136094671613</v>
      </c>
      <c r="S806" s="75">
        <f>0.5*(Q805+Q806)*R806</f>
        <v>0.0037385517215118716</v>
      </c>
      <c r="T806" s="75">
        <f>0.5*(F805*Q805+F806*Q806)*R806</f>
        <v>0.015171314354062921</v>
      </c>
      <c r="U806" s="76">
        <f>U805+S806</f>
        <v>3.1157415721998967</v>
      </c>
      <c r="V806" s="76">
        <f>V805+T806</f>
        <v>8.108827771088253</v>
      </c>
    </row>
    <row r="807" spans="1:29" ht="19" customHeight="1">
      <c r="A807" s="68" t="s">
        <v>369</v>
      </c>
      <c r="B807" s="74">
        <v>1</v>
      </c>
      <c r="C807" s="68" t="s">
        <v>370</v>
      </c>
      <c r="D807" s="68" t="s">
        <v>371</v>
      </c>
      <c r="F807" s="75">
        <f>F806+S807*(W807+2*Y807+2*AA807+AC807)/6</f>
        <v>4.0525235305208005</v>
      </c>
      <c r="G807" s="75">
        <f>3.6*F807</f>
        <v>14.589084709874882</v>
      </c>
      <c r="H807" s="75">
        <f>'THAM_SO_MOI'!$C$35</f>
        <v>1.05</v>
      </c>
      <c r="I807" s="75">
        <f>IF(F807&gt;'THAM_SO_MOI'!$C$14,'THAM_SO_MOI'!$C$13*(1+F807^2/1500),'THAM_SO_MOI'!$C$13)</f>
        <v>0.015</v>
      </c>
      <c r="J807" s="75">
        <f>0</f>
        <v>0.0</v>
      </c>
      <c r="K807" s="75">
        <f>0</f>
        <v>0.0</v>
      </c>
      <c r="L807" s="75">
        <f>0</f>
        <v>0.0</v>
      </c>
      <c r="M807" s="75">
        <f>'THAM_SO_MOI'!$C$15*'THAM_SO_MOI'!$C$16*F807^2</f>
        <v>48.03711987386747</v>
      </c>
      <c r="N807" s="75">
        <f>'THAM_SO_MOI'!$C$12*I807</f>
        <v>1130.112</v>
      </c>
      <c r="O807" s="75">
        <f>M807+N807</f>
        <v>1178.1491198738674</v>
      </c>
      <c r="P807" s="75">
        <f>-O807/('THAM_SO_MOI'!$C$11*H807)</f>
        <v>-0.14609984125419984</v>
      </c>
      <c r="R807" s="75">
        <f>F807-F806</f>
        <v>-0.007305529308259118</v>
      </c>
      <c r="S807" s="75">
        <f>'THAM_SO_MOI'!$C$34/'THAM_SO_MOI'!$C$43</f>
        <v>0.05</v>
      </c>
      <c r="T807" s="75">
        <f>S807*(F806+2*X807+2*Z807+AB807)/6</f>
        <v>0.2028088102802461</v>
      </c>
      <c r="U807" s="76">
        <f>U806+S807</f>
        <v>3.1657415721998965</v>
      </c>
      <c r="V807" s="76">
        <f>V806+T807</f>
        <v>8.311636581368498</v>
      </c>
      <c r="W807" s="75">
        <f>-('THAM_SO_MOI'!$C$12*IF(F806&gt;'THAM_SO_MOI'!$C$14,'THAM_SO_MOI'!$C$13*(1+F806^2/1500),'THAM_SO_MOI'!$C$13)+'THAM_SO_MOI'!$C$15*'THAM_SO_MOI'!$C$16*F806^2)/('THAM_SO_MOI'!$C$11*'THAM_SO_MOI'!$C$35)</f>
        <v>-0.1461213380562339</v>
      </c>
      <c r="X807" s="75">
        <f>F806+S807*W807/2</f>
        <v>4.056176026377654</v>
      </c>
      <c r="Y807" s="75">
        <f>-('THAM_SO_MOI'!$C$12*IF(X807&gt;'THAM_SO_MOI'!$C$14,'THAM_SO_MOI'!$C$13*(1+X807^2/1500),'THAM_SO_MOI'!$C$13)+'THAM_SO_MOI'!$C$15*'THAM_SO_MOI'!$C$16*X807^2)/('THAM_SO_MOI'!$C$11*'THAM_SO_MOI'!$C$35)</f>
        <v>-0.14611058402456728</v>
      </c>
      <c r="Z807" s="75">
        <f>F806+S807*Y807/2</f>
        <v>4.056176295228445</v>
      </c>
      <c r="AA807" s="75">
        <f>-('THAM_SO_MOI'!$C$12*IF(Z807&gt;'THAM_SO_MOI'!$C$14,'THAM_SO_MOI'!$C$13*(1+Z807^2/1500),'THAM_SO_MOI'!$C$13)+'THAM_SO_MOI'!$C$15*'THAM_SO_MOI'!$C$16*Z807^2)/('THAM_SO_MOI'!$C$11*'THAM_SO_MOI'!$C$35)</f>
        <v>-0.14611058481567107</v>
      </c>
      <c r="AB807" s="75">
        <f>F806+S807*AA807</f>
        <v>4.052523530588276</v>
      </c>
      <c r="AC807" s="75">
        <f>-('THAM_SO_MOI'!$C$12*IF(AB807&gt;'THAM_SO_MOI'!$C$14,'THAM_SO_MOI'!$C$13*(1+AB807^2/1500),'THAM_SO_MOI'!$C$13)+'THAM_SO_MOI'!$C$15*'THAM_SO_MOI'!$C$16*AB807^2)/('THAM_SO_MOI'!$C$11*'THAM_SO_MOI'!$C$35)</f>
        <v>-0.14609984125439823</v>
      </c>
    </row>
    <row r="808" spans="1:29" ht="19" customHeight="1">
      <c r="A808" s="68" t="s">
        <v>369</v>
      </c>
      <c r="B808" s="74">
        <v>1</v>
      </c>
      <c r="C808" s="68" t="s">
        <v>370</v>
      </c>
      <c r="D808" s="68" t="s">
        <v>371</v>
      </c>
      <c r="F808" s="75">
        <f>F807+S808*(W808+2*Y808+2*AA808+AC808)/6</f>
        <v>4.045219075005827</v>
      </c>
      <c r="G808" s="75">
        <f>3.6*F808</f>
        <v>14.562788670020977</v>
      </c>
      <c r="H808" s="75">
        <f>'THAM_SO_MOI'!$C$35</f>
        <v>1.05</v>
      </c>
      <c r="I808" s="75">
        <f>IF(F808&gt;'THAM_SO_MOI'!$C$14,'THAM_SO_MOI'!$C$13*(1+F808^2/1500),'THAM_SO_MOI'!$C$13)</f>
        <v>0.015</v>
      </c>
      <c r="J808" s="75">
        <f>0</f>
        <v>0.0</v>
      </c>
      <c r="K808" s="75">
        <f>0</f>
        <v>0.0</v>
      </c>
      <c r="L808" s="75">
        <f>0</f>
        <v>0.0</v>
      </c>
      <c r="M808" s="75">
        <f>'THAM_SO_MOI'!$C$15*'THAM_SO_MOI'!$C$16*F808^2</f>
        <v>47.86410729201367</v>
      </c>
      <c r="N808" s="75">
        <f>'THAM_SO_MOI'!$C$12*I808</f>
        <v>1130.112</v>
      </c>
      <c r="O808" s="75">
        <f>M808+N808</f>
        <v>1177.9761072920137</v>
      </c>
      <c r="P808" s="75">
        <f>-O808/('THAM_SO_MOI'!$C$11*H808)</f>
        <v>-0.14607838632093423</v>
      </c>
      <c r="R808" s="75">
        <f>F808-F807</f>
        <v>-0.007304455514973718</v>
      </c>
      <c r="S808" s="75">
        <f>'THAM_SO_MOI'!$C$34/'THAM_SO_MOI'!$C$43</f>
        <v>0.05</v>
      </c>
      <c r="T808" s="75">
        <f>S808*(F807+2*X808+2*Z808+AB808)/6</f>
        <v>0.20244356066838795</v>
      </c>
      <c r="U808" s="76">
        <f>U807+S808</f>
        <v>3.2157415721998963</v>
      </c>
      <c r="V808" s="76">
        <f>V807+T808</f>
        <v>8.514080142036887</v>
      </c>
      <c r="W808" s="75">
        <f>-('THAM_SO_MOI'!$C$12*IF(F807&gt;'THAM_SO_MOI'!$C$14,'THAM_SO_MOI'!$C$13*(1+F807^2/1500),'THAM_SO_MOI'!$C$13)+'THAM_SO_MOI'!$C$15*'THAM_SO_MOI'!$C$16*F807^2)/('THAM_SO_MOI'!$C$11*'THAM_SO_MOI'!$C$35)</f>
        <v>-0.14609984125419984</v>
      </c>
      <c r="X808" s="75">
        <f>F807+S808*W808/2</f>
        <v>4.048871034489445</v>
      </c>
      <c r="Y808" s="75">
        <f>-('THAM_SO_MOI'!$C$12*IF(X808&gt;'THAM_SO_MOI'!$C$14,'THAM_SO_MOI'!$C$13*(1+X808^2/1500),'THAM_SO_MOI'!$C$13)+'THAM_SO_MOI'!$C$15*'THAM_SO_MOI'!$C$16*X808^2)/('THAM_SO_MOI'!$C$11*'THAM_SO_MOI'!$C$35)</f>
        <v>-0.14608910816130188</v>
      </c>
      <c r="Z808" s="75">
        <f>F807+S808*Y808/2</f>
        <v>4.048871302816768</v>
      </c>
      <c r="AA808" s="75">
        <f>-('THAM_SO_MOI'!$C$12*IF(Z808&gt;'THAM_SO_MOI'!$C$14,'THAM_SO_MOI'!$C$13*(1+Z808^2/1500),'THAM_SO_MOI'!$C$13)+'THAM_SO_MOI'!$C$15*'THAM_SO_MOI'!$C$16*Z808^2)/('THAM_SO_MOI'!$C$11*'THAM_SO_MOI'!$C$35)</f>
        <v>-0.14608910894944338</v>
      </c>
      <c r="AB808" s="75">
        <f>F807+S808*AA808</f>
        <v>4.045219075073328</v>
      </c>
      <c r="AC808" s="75">
        <f>-('THAM_SO_MOI'!$C$12*IF(AB808&gt;'THAM_SO_MOI'!$C$14,'THAM_SO_MOI'!$C$13*(1+AB808^2/1500),'THAM_SO_MOI'!$C$13)+'THAM_SO_MOI'!$C$15*'THAM_SO_MOI'!$C$16*AB808^2)/('THAM_SO_MOI'!$C$11*'THAM_SO_MOI'!$C$35)</f>
        <v>-0.14607838632113235</v>
      </c>
    </row>
    <row r="809" spans="1:29" ht="19" customHeight="1">
      <c r="A809" s="68" t="s">
        <v>369</v>
      </c>
      <c r="B809" s="74">
        <v>1</v>
      </c>
      <c r="C809" s="68" t="s">
        <v>370</v>
      </c>
      <c r="D809" s="68" t="s">
        <v>371</v>
      </c>
      <c r="F809" s="75">
        <f>F808+S809*(W809+2*Y809+2*AA809+AC809)/6</f>
        <v>4.037915691191281</v>
      </c>
      <c r="G809" s="75">
        <f>3.6*F809</f>
        <v>14.536496488288613</v>
      </c>
      <c r="H809" s="75">
        <f>'THAM_SO_MOI'!$C$35</f>
        <v>1.05</v>
      </c>
      <c r="I809" s="75">
        <f>IF(F809&gt;'THAM_SO_MOI'!$C$14,'THAM_SO_MOI'!$C$13*(1+F809^2/1500),'THAM_SO_MOI'!$C$13)</f>
        <v>0.015</v>
      </c>
      <c r="J809" s="75">
        <f>0</f>
        <v>0.0</v>
      </c>
      <c r="K809" s="75">
        <f>0</f>
        <v>0.0</v>
      </c>
      <c r="L809" s="75">
        <f>0</f>
        <v>0.0</v>
      </c>
      <c r="M809" s="75">
        <f>'THAM_SO_MOI'!$C$15*'THAM_SO_MOI'!$C$16*F809^2</f>
        <v>47.69143215281863</v>
      </c>
      <c r="N809" s="75">
        <f>'THAM_SO_MOI'!$C$12*I809</f>
        <v>1130.112</v>
      </c>
      <c r="O809" s="75">
        <f>M809+N809</f>
        <v>1177.8034321528187</v>
      </c>
      <c r="P809" s="75">
        <f>-O809/('THAM_SO_MOI'!$C$11*H809)</f>
        <v>-0.14605697323323644</v>
      </c>
      <c r="R809" s="75">
        <f>F809-F808</f>
        <v>-0.007303383814545761</v>
      </c>
      <c r="S809" s="75">
        <f>'THAM_SO_MOI'!$C$34/'THAM_SO_MOI'!$C$43</f>
        <v>0.05</v>
      </c>
      <c r="T809" s="75">
        <f>S809*(F808+2*X809+2*Z809+AB809)/6</f>
        <v>0.20207836469386778</v>
      </c>
      <c r="U809" s="76">
        <f>U808+S809</f>
        <v>3.265741572199896</v>
      </c>
      <c r="V809" s="76">
        <f>V808+T809</f>
        <v>8.716158506730755</v>
      </c>
      <c r="W809" s="75">
        <f>-('THAM_SO_MOI'!$C$12*IF(F808&gt;'THAM_SO_MOI'!$C$14,'THAM_SO_MOI'!$C$13*(1+F808^2/1500),'THAM_SO_MOI'!$C$13)+'THAM_SO_MOI'!$C$15*'THAM_SO_MOI'!$C$16*F808^2)/('THAM_SO_MOI'!$C$11*'THAM_SO_MOI'!$C$35)</f>
        <v>-0.14607838632093423</v>
      </c>
      <c r="X809" s="75">
        <f>F808+S809*W809/2</f>
        <v>4.041567115347803</v>
      </c>
      <c r="Y809" s="75">
        <f>-('THAM_SO_MOI'!$C$12*IF(X809&gt;'THAM_SO_MOI'!$C$14,'THAM_SO_MOI'!$C$13*(1+X809^2/1500),'THAM_SO_MOI'!$C$13)+'THAM_SO_MOI'!$C$15*'THAM_SO_MOI'!$C$16*X809^2)/('THAM_SO_MOI'!$C$11*'THAM_SO_MOI'!$C$35)</f>
        <v>-0.14606767415519503</v>
      </c>
      <c r="Z809" s="75">
        <f>F808+S809*Y809/2</f>
        <v>4.041567383151947</v>
      </c>
      <c r="AA809" s="75">
        <f>-('THAM_SO_MOI'!$C$12*IF(Z809&gt;'THAM_SO_MOI'!$C$14,'THAM_SO_MOI'!$C$13*(1+Z809^2/1500),'THAM_SO_MOI'!$C$13)+'THAM_SO_MOI'!$C$15*'THAM_SO_MOI'!$C$16*Z809^2)/('THAM_SO_MOI'!$C$11*'THAM_SO_MOI'!$C$35)</f>
        <v>-0.14606767494038086</v>
      </c>
      <c r="AB809" s="75">
        <f>F808+S809*AA809</f>
        <v>4.0379156912588074</v>
      </c>
      <c r="AC809" s="75">
        <f>-('THAM_SO_MOI'!$C$12*IF(AB809&gt;'THAM_SO_MOI'!$C$14,'THAM_SO_MOI'!$C$13*(1+AB809^2/1500),'THAM_SO_MOI'!$C$13)+'THAM_SO_MOI'!$C$15*'THAM_SO_MOI'!$C$16*AB809^2)/('THAM_SO_MOI'!$C$11*'THAM_SO_MOI'!$C$35)</f>
        <v>-0.14605697323343425</v>
      </c>
    </row>
    <row r="810" spans="1:29" ht="19" customHeight="1">
      <c r="A810" s="68" t="s">
        <v>369</v>
      </c>
      <c r="B810" s="74">
        <v>1</v>
      </c>
      <c r="C810" s="68" t="s">
        <v>370</v>
      </c>
      <c r="D810" s="68" t="s">
        <v>371</v>
      </c>
      <c r="F810" s="75">
        <f>F809+S810*(W810+2*Y810+2*AA810+AC810)/6</f>
        <v>4.030613376985463</v>
      </c>
      <c r="G810" s="75">
        <f>3.6*F810</f>
        <v>14.510208157147668</v>
      </c>
      <c r="H810" s="75">
        <f>'THAM_SO_MOI'!$C$35</f>
        <v>1.05</v>
      </c>
      <c r="I810" s="75">
        <f>IF(F810&gt;'THAM_SO_MOI'!$C$14,'THAM_SO_MOI'!$C$13*(1+F810^2/1500),'THAM_SO_MOI'!$C$13)</f>
        <v>0.015</v>
      </c>
      <c r="J810" s="75">
        <f>0</f>
        <v>0.0</v>
      </c>
      <c r="K810" s="75">
        <f>0</f>
        <v>0.0</v>
      </c>
      <c r="L810" s="75">
        <f>0</f>
        <v>0.0</v>
      </c>
      <c r="M810" s="75">
        <f>'THAM_SO_MOI'!$C$15*'THAM_SO_MOI'!$C$16*F810^2</f>
        <v>47.51909426959742</v>
      </c>
      <c r="N810" s="75">
        <f>'THAM_SO_MOI'!$C$12*I810</f>
        <v>1130.112</v>
      </c>
      <c r="O810" s="75">
        <f>M810+N810</f>
        <v>1177.6310942695975</v>
      </c>
      <c r="P810" s="75">
        <f>-O810/('THAM_SO_MOI'!$C$11*H810)</f>
        <v>-0.14603560196795604</v>
      </c>
      <c r="R810" s="75">
        <f>F810-F809</f>
        <v>-0.00730231420581795</v>
      </c>
      <c r="S810" s="75">
        <f>'THAM_SO_MOI'!$C$34/'THAM_SO_MOI'!$C$43</f>
        <v>0.05</v>
      </c>
      <c r="T810" s="75">
        <f>S810*(F809+2*X810+2*Z810+AB810)/6</f>
        <v>0.20171322225207175</v>
      </c>
      <c r="U810" s="76">
        <f>U809+S810</f>
        <v>3.315741572199896</v>
      </c>
      <c r="V810" s="76">
        <f>V809+T810</f>
        <v>8.917871728982828</v>
      </c>
      <c r="W810" s="75">
        <f>-('THAM_SO_MOI'!$C$12*IF(F809&gt;'THAM_SO_MOI'!$C$14,'THAM_SO_MOI'!$C$13*(1+F809^2/1500),'THAM_SO_MOI'!$C$13)+'THAM_SO_MOI'!$C$15*'THAM_SO_MOI'!$C$16*F809^2)/('THAM_SO_MOI'!$C$11*'THAM_SO_MOI'!$C$35)</f>
        <v>-0.14605697323323644</v>
      </c>
      <c r="X810" s="75">
        <f>F809+S810*W810/2</f>
        <v>4.0342642668604505</v>
      </c>
      <c r="Y810" s="75">
        <f>-('THAM_SO_MOI'!$C$12*IF(X810&gt;'THAM_SO_MOI'!$C$14,'THAM_SO_MOI'!$C$13*(1+X810^2/1500),'THAM_SO_MOI'!$C$13)+'THAM_SO_MOI'!$C$15*'THAM_SO_MOI'!$C$16*X810^2)/('THAM_SO_MOI'!$C$11*'THAM_SO_MOI'!$C$35)</f>
        <v>-0.14604628198307124</v>
      </c>
      <c r="Z810" s="75">
        <f>F809+S810*Y810/2</f>
        <v>4.0342645341417045</v>
      </c>
      <c r="AA810" s="75">
        <f>-('THAM_SO_MOI'!$C$12*IF(Z810&gt;'THAM_SO_MOI'!$C$14,'THAM_SO_MOI'!$C$13*(1+Z810^2/1500),'THAM_SO_MOI'!$C$13)+'THAM_SO_MOI'!$C$15*'THAM_SO_MOI'!$C$16*Z810^2)/('THAM_SO_MOI'!$C$11*'THAM_SO_MOI'!$C$35)</f>
        <v>-0.14604628276530796</v>
      </c>
      <c r="AB810" s="75">
        <f>F809+S810*AA810</f>
        <v>4.030613377053015</v>
      </c>
      <c r="AC810" s="75">
        <f>-('THAM_SO_MOI'!$C$12*IF(AB810&gt;'THAM_SO_MOI'!$C$14,'THAM_SO_MOI'!$C$13*(1+AB810^2/1500),'THAM_SO_MOI'!$C$13)+'THAM_SO_MOI'!$C$15*'THAM_SO_MOI'!$C$16*AB810^2)/('THAM_SO_MOI'!$C$11*'THAM_SO_MOI'!$C$35)</f>
        <v>-0.14603560196815354</v>
      </c>
    </row>
    <row r="811" spans="1:29" ht="19" customHeight="1">
      <c r="A811" s="68" t="s">
        <v>369</v>
      </c>
      <c r="B811" s="74">
        <v>1</v>
      </c>
      <c r="C811" s="68" t="s">
        <v>370</v>
      </c>
      <c r="D811" s="68" t="s">
        <v>371</v>
      </c>
      <c r="F811" s="75">
        <f>F810+S811*(W811+2*Y811+2*AA811+AC811)/6</f>
        <v>4.02331213029783</v>
      </c>
      <c r="G811" s="75">
        <f>3.6*F811</f>
        <v>14.483923669072189</v>
      </c>
      <c r="H811" s="75">
        <f>'THAM_SO_MOI'!$C$35</f>
        <v>1.05</v>
      </c>
      <c r="I811" s="75">
        <f>IF(F811&gt;'THAM_SO_MOI'!$C$14,'THAM_SO_MOI'!$C$13*(1+F811^2/1500),'THAM_SO_MOI'!$C$13)</f>
        <v>0.015</v>
      </c>
      <c r="J811" s="75">
        <f>0</f>
        <v>0.0</v>
      </c>
      <c r="K811" s="75">
        <f>0</f>
        <v>0.0</v>
      </c>
      <c r="L811" s="75">
        <f>0</f>
        <v>0.0</v>
      </c>
      <c r="M811" s="75">
        <f>'THAM_SO_MOI'!$C$15*'THAM_SO_MOI'!$C$16*F811^2</f>
        <v>47.34709345606987</v>
      </c>
      <c r="N811" s="75">
        <f>'THAM_SO_MOI'!$C$12*I811</f>
        <v>1130.112</v>
      </c>
      <c r="O811" s="75">
        <f>M811+N811</f>
        <v>1177.45909345607</v>
      </c>
      <c r="P811" s="75">
        <f>-O811/('THAM_SO_MOI'!$C$11*H811)</f>
        <v>-0.1460142725019928</v>
      </c>
      <c r="R811" s="75">
        <f>F811-F810</f>
        <v>-0.0073012466876329896</v>
      </c>
      <c r="S811" s="75">
        <f>'THAM_SO_MOI'!$C$34/'THAM_SO_MOI'!$C$43</f>
        <v>0.05</v>
      </c>
      <c r="T811" s="75">
        <f>S811*(F810+2*X811+2*Z811+AB811)/6</f>
        <v>0.2013481332384436</v>
      </c>
      <c r="U811" s="76">
        <f>U810+S811</f>
        <v>3.365741572199896</v>
      </c>
      <c r="V811" s="76">
        <f>V810+T811</f>
        <v>9.119219862221271</v>
      </c>
      <c r="W811" s="75">
        <f>-('THAM_SO_MOI'!$C$12*IF(F810&gt;'THAM_SO_MOI'!$C$14,'THAM_SO_MOI'!$C$13*(1+F810^2/1500),'THAM_SO_MOI'!$C$13)+'THAM_SO_MOI'!$C$15*'THAM_SO_MOI'!$C$16*F810^2)/('THAM_SO_MOI'!$C$11*'THAM_SO_MOI'!$C$35)</f>
        <v>-0.14603560196795604</v>
      </c>
      <c r="X811" s="75">
        <f>F810+S811*W811/2</f>
        <v>4.026962486936264</v>
      </c>
      <c r="Y811" s="75">
        <f>-('THAM_SO_MOI'!$C$12*IF(X811&gt;'THAM_SO_MOI'!$C$14,'THAM_SO_MOI'!$C$13*(1+X811^2/1500),'THAM_SO_MOI'!$C$13)+'THAM_SO_MOI'!$C$15*'THAM_SO_MOI'!$C$16*X811^2)/('THAM_SO_MOI'!$C$11*'THAM_SO_MOI'!$C$35)</f>
        <v>-0.1460249316218051</v>
      </c>
      <c r="Z811" s="75">
        <f>F810+S811*Y811/2</f>
        <v>4.026962753694918</v>
      </c>
      <c r="AA811" s="75">
        <f>-('THAM_SO_MOI'!$C$12*IF(Z811&gt;'THAM_SO_MOI'!$C$14,'THAM_SO_MOI'!$C$13*(1+Z811^2/1500),'THAM_SO_MOI'!$C$13)+'THAM_SO_MOI'!$C$15*'THAM_SO_MOI'!$C$16*Z811^2)/('THAM_SO_MOI'!$C$11*'THAM_SO_MOI'!$C$35)</f>
        <v>-0.14602493240109934</v>
      </c>
      <c r="AB811" s="75">
        <f>F810+S811*AA811</f>
        <v>4.023312130365408</v>
      </c>
      <c r="AC811" s="75">
        <f>-('THAM_SO_MOI'!$C$12*IF(AB811&gt;'THAM_SO_MOI'!$C$14,'THAM_SO_MOI'!$C$13*(1+AB811^2/1500),'THAM_SO_MOI'!$C$13)+'THAM_SO_MOI'!$C$15*'THAM_SO_MOI'!$C$16*AB811^2)/('THAM_SO_MOI'!$C$11*'THAM_SO_MOI'!$C$35)</f>
        <v>-0.14601427250219004</v>
      </c>
    </row>
    <row r="812" spans="1:29" ht="19" customHeight="1">
      <c r="A812" s="68" t="s">
        <v>369</v>
      </c>
      <c r="B812" s="74">
        <v>1</v>
      </c>
      <c r="C812" s="68" t="s">
        <v>370</v>
      </c>
      <c r="D812" s="68" t="s">
        <v>371</v>
      </c>
      <c r="F812" s="75">
        <f>F811+S812*(W812+2*Y812+2*AA812+AC812)/6</f>
        <v>4.016011949038993</v>
      </c>
      <c r="G812" s="75">
        <f>3.6*F812</f>
        <v>14.457643016540375</v>
      </c>
      <c r="H812" s="75">
        <f>'THAM_SO_MOI'!$C$35</f>
        <v>1.05</v>
      </c>
      <c r="I812" s="75">
        <f>IF(F812&gt;'THAM_SO_MOI'!$C$14,'THAM_SO_MOI'!$C$13*(1+F812^2/1500),'THAM_SO_MOI'!$C$13)</f>
        <v>0.015</v>
      </c>
      <c r="J812" s="75">
        <f>0</f>
        <v>0.0</v>
      </c>
      <c r="K812" s="75">
        <f>0</f>
        <v>0.0</v>
      </c>
      <c r="L812" s="75">
        <f>0</f>
        <v>0.0</v>
      </c>
      <c r="M812" s="75">
        <f>'THAM_SO_MOI'!$C$15*'THAM_SO_MOI'!$C$16*F812^2</f>
        <v>47.17542952636012</v>
      </c>
      <c r="N812" s="75">
        <f>'THAM_SO_MOI'!$C$12*I812</f>
        <v>1130.112</v>
      </c>
      <c r="O812" s="75">
        <f>M812+N812</f>
        <v>1177.2874295263603</v>
      </c>
      <c r="P812" s="75">
        <f>-O812/('THAM_SO_MOI'!$C$11*H812)</f>
        <v>-0.14599298481229667</v>
      </c>
      <c r="R812" s="75">
        <f>F812-F811</f>
        <v>-0.007300181258837135</v>
      </c>
      <c r="S812" s="75">
        <f>'THAM_SO_MOI'!$C$34/'THAM_SO_MOI'!$C$43</f>
        <v>0.05</v>
      </c>
      <c r="T812" s="75">
        <f>S812*(F811+2*X812+2*Z812+AB812)/6</f>
        <v>0.20098309754848528</v>
      </c>
      <c r="U812" s="76">
        <f>U811+S812</f>
        <v>3.4157415721998956</v>
      </c>
      <c r="V812" s="76">
        <f>V811+T812</f>
        <v>9.320202959769757</v>
      </c>
      <c r="W812" s="75">
        <f>-('THAM_SO_MOI'!$C$12*IF(F811&gt;'THAM_SO_MOI'!$C$14,'THAM_SO_MOI'!$C$13*(1+F811^2/1500),'THAM_SO_MOI'!$C$13)+'THAM_SO_MOI'!$C$15*'THAM_SO_MOI'!$C$16*F811^2)/('THAM_SO_MOI'!$C$11*'THAM_SO_MOI'!$C$35)</f>
        <v>-0.1460142725019928</v>
      </c>
      <c r="X812" s="75">
        <f>F811+S812*W812/2</f>
        <v>4.01966177348528</v>
      </c>
      <c r="Y812" s="75">
        <f>-('THAM_SO_MOI'!$C$12*IF(X812&gt;'THAM_SO_MOI'!$C$14,'THAM_SO_MOI'!$C$13*(1+X812^2/1500),'THAM_SO_MOI'!$C$13)+'THAM_SO_MOI'!$C$15*'THAM_SO_MOI'!$C$16*X812^2)/('THAM_SO_MOI'!$C$11*'THAM_SO_MOI'!$C$35)</f>
        <v>-0.14600362304832157</v>
      </c>
      <c r="Z812" s="75">
        <f>F811+S812*Y812/2</f>
        <v>4.019662039721622</v>
      </c>
      <c r="AA812" s="75">
        <f>-('THAM_SO_MOI'!$C$12*IF(Z812&gt;'THAM_SO_MOI'!$C$14,'THAM_SO_MOI'!$C$13*(1+Z812^2/1500),'THAM_SO_MOI'!$C$13)+'THAM_SO_MOI'!$C$15*'THAM_SO_MOI'!$C$16*Z812^2)/('THAM_SO_MOI'!$C$11*'THAM_SO_MOI'!$C$35)</f>
        <v>-0.14600362382467988</v>
      </c>
      <c r="AB812" s="75">
        <f>F811+S812*AA812</f>
        <v>4.016011949106596</v>
      </c>
      <c r="AC812" s="75">
        <f>-('THAM_SO_MOI'!$C$12*IF(AB812&gt;'THAM_SO_MOI'!$C$14,'THAM_SO_MOI'!$C$13*(1+AB812^2/1500),'THAM_SO_MOI'!$C$13)+'THAM_SO_MOI'!$C$15*'THAM_SO_MOI'!$C$16*AB812^2)/('THAM_SO_MOI'!$C$11*'THAM_SO_MOI'!$C$35)</f>
        <v>-0.14599298481249362</v>
      </c>
    </row>
    <row r="813" spans="1:29" ht="19" customHeight="1">
      <c r="A813" s="68" t="s">
        <v>369</v>
      </c>
      <c r="B813" s="74">
        <v>1</v>
      </c>
      <c r="C813" s="68" t="s">
        <v>370</v>
      </c>
      <c r="D813" s="68" t="s">
        <v>371</v>
      </c>
      <c r="F813" s="75">
        <f>F812+S813*(W813+2*Y813+2*AA813+AC813)/6</f>
        <v>4.008712831120713</v>
      </c>
      <c r="G813" s="75">
        <f>3.6*F813</f>
        <v>14.431366192034567</v>
      </c>
      <c r="H813" s="75">
        <f>'THAM_SO_MOI'!$C$35</f>
        <v>1.05</v>
      </c>
      <c r="I813" s="75">
        <f>IF(F813&gt;'THAM_SO_MOI'!$C$14,'THAM_SO_MOI'!$C$13*(1+F813^2/1500),'THAM_SO_MOI'!$C$13)</f>
        <v>0.015</v>
      </c>
      <c r="J813" s="75">
        <f>0</f>
        <v>0.0</v>
      </c>
      <c r="K813" s="75">
        <f>0</f>
        <v>0.0</v>
      </c>
      <c r="L813" s="75">
        <f>0</f>
        <v>0.0</v>
      </c>
      <c r="M813" s="75">
        <f>'THAM_SO_MOI'!$C$15*'THAM_SO_MOI'!$C$16*F813^2</f>
        <v>47.00410229499614</v>
      </c>
      <c r="N813" s="75">
        <f>'THAM_SO_MOI'!$C$12*I813</f>
        <v>1130.112</v>
      </c>
      <c r="O813" s="75">
        <f>M813+N813</f>
        <v>1177.1161022949962</v>
      </c>
      <c r="P813" s="75">
        <f>-O813/('THAM_SO_MOI'!$C$11*H813)</f>
        <v>-0.1459717388758676</v>
      </c>
      <c r="R813" s="75">
        <f>F813-F812</f>
        <v>-0.007299117918280196</v>
      </c>
      <c r="S813" s="75">
        <f>'THAM_SO_MOI'!$C$34/'THAM_SO_MOI'!$C$43</f>
        <v>0.05</v>
      </c>
      <c r="T813" s="75">
        <f>S813*(F812+2*X813+2*Z813+AB813)/6</f>
        <v>0.20061811507775593</v>
      </c>
      <c r="U813" s="76">
        <f>U812+S813</f>
        <v>3.4657415721998954</v>
      </c>
      <c r="V813" s="76">
        <f>V812+T813</f>
        <v>9.520821074847513</v>
      </c>
      <c r="W813" s="75">
        <f>-('THAM_SO_MOI'!$C$12*IF(F812&gt;'THAM_SO_MOI'!$C$14,'THAM_SO_MOI'!$C$13*(1+F812^2/1500),'THAM_SO_MOI'!$C$13)+'THAM_SO_MOI'!$C$15*'THAM_SO_MOI'!$C$16*F812^2)/('THAM_SO_MOI'!$C$11*'THAM_SO_MOI'!$C$35)</f>
        <v>-0.14599298481229667</v>
      </c>
      <c r="X813" s="75">
        <f>F812+S813*W813/2</f>
        <v>4.012362124418686</v>
      </c>
      <c r="Y813" s="75">
        <f>-('THAM_SO_MOI'!$C$12*IF(X813&gt;'THAM_SO_MOI'!$C$14,'THAM_SO_MOI'!$C$13*(1+X813^2/1500),'THAM_SO_MOI'!$C$13)+'THAM_SO_MOI'!$C$15*'THAM_SO_MOI'!$C$16*X813^2)/('THAM_SO_MOI'!$C$11*'THAM_SO_MOI'!$C$35)</f>
        <v>-0.1459823562395956</v>
      </c>
      <c r="Z813" s="75">
        <f>F812+S813*Y813/2</f>
        <v>4.012362390133003</v>
      </c>
      <c r="AA813" s="75">
        <f>-('THAM_SO_MOI'!$C$12*IF(Z813&gt;'THAM_SO_MOI'!$C$14,'THAM_SO_MOI'!$C$13*(1+Z813^2/1500),'THAM_SO_MOI'!$C$13)+'THAM_SO_MOI'!$C$15*'THAM_SO_MOI'!$C$16*Z813^2)/('THAM_SO_MOI'!$C$11*'THAM_SO_MOI'!$C$35)</f>
        <v>-0.14598235701302456</v>
      </c>
      <c r="AB813" s="75">
        <f>F812+S813*AA813</f>
        <v>4.008712831188341</v>
      </c>
      <c r="AC813" s="75">
        <f>-('THAM_SO_MOI'!$C$12*IF(AB813&gt;'THAM_SO_MOI'!$C$14,'THAM_SO_MOI'!$C$13*(1+AB813^2/1500),'THAM_SO_MOI'!$C$13)+'THAM_SO_MOI'!$C$15*'THAM_SO_MOI'!$C$16*AB813^2)/('THAM_SO_MOI'!$C$11*'THAM_SO_MOI'!$C$35)</f>
        <v>-0.14597173887606424</v>
      </c>
    </row>
    <row r="814" spans="1:29" ht="19" customHeight="1">
      <c r="A814" s="68" t="s">
        <v>369</v>
      </c>
      <c r="B814" s="74">
        <v>1</v>
      </c>
      <c r="C814" s="68" t="s">
        <v>370</v>
      </c>
      <c r="D814" s="68" t="s">
        <v>371</v>
      </c>
      <c r="F814" s="75">
        <f>F813+S814*(W814+2*Y814+2*AA814+AC814)/6</f>
        <v>4.001414774455901</v>
      </c>
      <c r="G814" s="75">
        <f>3.6*F814</f>
        <v>14.405093188041244</v>
      </c>
      <c r="H814" s="75">
        <f>'THAM_SO_MOI'!$C$35</f>
        <v>1.05</v>
      </c>
      <c r="I814" s="75">
        <f>IF(F814&gt;'THAM_SO_MOI'!$C$14,'THAM_SO_MOI'!$C$13*(1+F814^2/1500),'THAM_SO_MOI'!$C$13)</f>
        <v>0.015</v>
      </c>
      <c r="J814" s="75">
        <f>0</f>
        <v>0.0</v>
      </c>
      <c r="K814" s="75">
        <f>0</f>
        <v>0.0</v>
      </c>
      <c r="L814" s="75">
        <f>0</f>
        <v>0.0</v>
      </c>
      <c r="M814" s="75">
        <f>'THAM_SO_MOI'!$C$15*'THAM_SO_MOI'!$C$16*F814^2</f>
        <v>46.83311157690936</v>
      </c>
      <c r="N814" s="75">
        <f>'THAM_SO_MOI'!$C$12*I814</f>
        <v>1130.112</v>
      </c>
      <c r="O814" s="75">
        <f>M814+N814</f>
        <v>1176.9451115769095</v>
      </c>
      <c r="P814" s="75">
        <f>-O814/('THAM_SO_MOI'!$C$11*H814)</f>
        <v>-0.14595053466975566</v>
      </c>
      <c r="R814" s="75">
        <f>F814-F813</f>
        <v>-0.0072980566648119805</v>
      </c>
      <c r="S814" s="75">
        <f>'THAM_SO_MOI'!$C$34/'THAM_SO_MOI'!$C$43</f>
        <v>0.05</v>
      </c>
      <c r="T814" s="75">
        <f>S814*(F813+2*X814+2*Z814+AB814)/6</f>
        <v>0.20025318572187245</v>
      </c>
      <c r="U814" s="76">
        <f>U813+S814</f>
        <v>3.5157415721998952</v>
      </c>
      <c r="V814" s="76">
        <f>V813+T814</f>
        <v>9.721074260569385</v>
      </c>
      <c r="W814" s="75">
        <f>-('THAM_SO_MOI'!$C$12*IF(F813&gt;'THAM_SO_MOI'!$C$14,'THAM_SO_MOI'!$C$13*(1+F813^2/1500),'THAM_SO_MOI'!$C$13)+'THAM_SO_MOI'!$C$15*'THAM_SO_MOI'!$C$16*F813^2)/('THAM_SO_MOI'!$C$11*'THAM_SO_MOI'!$C$35)</f>
        <v>-0.1459717388758676</v>
      </c>
      <c r="X814" s="75">
        <f>F813+S814*W814/2</f>
        <v>4.005063537648816</v>
      </c>
      <c r="Y814" s="75">
        <f>-('THAM_SO_MOI'!$C$12*IF(X814&gt;'THAM_SO_MOI'!$C$14,'THAM_SO_MOI'!$C$13*(1+X814^2/1500),'THAM_SO_MOI'!$C$13)+'THAM_SO_MOI'!$C$15*'THAM_SO_MOI'!$C$16*X814^2)/('THAM_SO_MOI'!$C$11*'THAM_SO_MOI'!$C$35)</f>
        <v>-0.14596113117265216</v>
      </c>
      <c r="Z814" s="75">
        <f>F813+S814*Y814/2</f>
        <v>4.005063802841397</v>
      </c>
      <c r="AA814" s="75">
        <f>-('THAM_SO_MOI'!$C$12*IF(Z814&gt;'THAM_SO_MOI'!$C$14,'THAM_SO_MOI'!$C$13*(1+Z814^2/1500),'THAM_SO_MOI'!$C$13)+'THAM_SO_MOI'!$C$15*'THAM_SO_MOI'!$C$16*Z814^2)/('THAM_SO_MOI'!$C$11*'THAM_SO_MOI'!$C$35)</f>
        <v>-0.14596113194315835</v>
      </c>
      <c r="AB814" s="75">
        <f>F813+S814*AA814</f>
        <v>4.001414774523555</v>
      </c>
      <c r="AC814" s="75">
        <f>-('THAM_SO_MOI'!$C$12*IF(AB814&gt;'THAM_SO_MOI'!$C$14,'THAM_SO_MOI'!$C$13*(1+AB814^2/1500),'THAM_SO_MOI'!$C$13)+'THAM_SO_MOI'!$C$15*'THAM_SO_MOI'!$C$16*AB814^2)/('THAM_SO_MOI'!$C$11*'THAM_SO_MOI'!$C$35)</f>
        <v>-0.14595053466995203</v>
      </c>
    </row>
    <row r="815" spans="1:29" ht="19" customHeight="1">
      <c r="A815" s="68" t="s">
        <v>369</v>
      </c>
      <c r="B815" s="74">
        <v>1</v>
      </c>
      <c r="C815" s="68" t="s">
        <v>370</v>
      </c>
      <c r="D815" s="68" t="s">
        <v>371</v>
      </c>
      <c r="F815" s="75">
        <f>F814+S815*(W815+2*Y815+2*AA815+AC815)/6</f>
        <v>3.9941177769586136</v>
      </c>
      <c r="G815" s="75">
        <f>3.6*F815</f>
        <v>14.37882399705101</v>
      </c>
      <c r="H815" s="75">
        <f>'THAM_SO_MOI'!$C$35</f>
        <v>1.05</v>
      </c>
      <c r="I815" s="75">
        <f>IF(F815&gt;'THAM_SO_MOI'!$C$14,'THAM_SO_MOI'!$C$13*(1+F815^2/1500),'THAM_SO_MOI'!$C$13)</f>
        <v>0.015</v>
      </c>
      <c r="J815" s="75">
        <f>0</f>
        <v>0.0</v>
      </c>
      <c r="K815" s="75">
        <f>0</f>
        <v>0.0</v>
      </c>
      <c r="L815" s="75">
        <f>0</f>
        <v>0.0</v>
      </c>
      <c r="M815" s="75">
        <f>'THAM_SO_MOI'!$C$15*'THAM_SO_MOI'!$C$16*F815^2</f>
        <v>46.66245718743419</v>
      </c>
      <c r="N815" s="75">
        <f>'THAM_SO_MOI'!$C$12*I815</f>
        <v>1130.112</v>
      </c>
      <c r="O815" s="75">
        <f>M815+N815</f>
        <v>1176.7744571874343</v>
      </c>
      <c r="P815" s="75">
        <f>-O815/('THAM_SO_MOI'!$C$11*H815)</f>
        <v>-0.1459293721710608</v>
      </c>
      <c r="R815" s="75">
        <f>F815-F814</f>
        <v>-0.007296997497287183</v>
      </c>
      <c r="S815" s="75">
        <f>'THAM_SO_MOI'!$C$34/'THAM_SO_MOI'!$C$43</f>
        <v>0.05</v>
      </c>
      <c r="T815" s="75">
        <f>S815*(F814+2*X815+2*Z815+AB815)/6</f>
        <v>0.19988830937650903</v>
      </c>
      <c r="U815" s="76">
        <f>U814+S815</f>
        <v>3.565741572199895</v>
      </c>
      <c r="V815" s="76">
        <f>V814+T815</f>
        <v>9.920962569945894</v>
      </c>
      <c r="W815" s="75">
        <f>-('THAM_SO_MOI'!$C$12*IF(F814&gt;'THAM_SO_MOI'!$C$14,'THAM_SO_MOI'!$C$13*(1+F814^2/1500),'THAM_SO_MOI'!$C$13)+'THAM_SO_MOI'!$C$15*'THAM_SO_MOI'!$C$16*F814^2)/('THAM_SO_MOI'!$C$11*'THAM_SO_MOI'!$C$35)</f>
        <v>-0.14595053466975566</v>
      </c>
      <c r="X815" s="75">
        <f>F814+S815*W815/2</f>
        <v>3.997766011089157</v>
      </c>
      <c r="Y815" s="75">
        <f>-('THAM_SO_MOI'!$C$12*IF(X815&gt;'THAM_SO_MOI'!$C$14,'THAM_SO_MOI'!$C$13*(1+X815^2/1500),'THAM_SO_MOI'!$C$13)+'THAM_SO_MOI'!$C$15*'THAM_SO_MOI'!$C$16*X815^2)/('THAM_SO_MOI'!$C$11*'THAM_SO_MOI'!$C$35)</f>
        <v>-0.1459399478245663</v>
      </c>
      <c r="Z815" s="75">
        <f>F814+S815*Y815/2</f>
        <v>3.9977662757602865</v>
      </c>
      <c r="AA815" s="75">
        <f>-('THAM_SO_MOI'!$C$12*IF(Z815&gt;'THAM_SO_MOI'!$C$14,'THAM_SO_MOI'!$C$13*(1+Z815^2/1500),'THAM_SO_MOI'!$C$13)+'THAM_SO_MOI'!$C$15*'THAM_SO_MOI'!$C$16*Z815^2)/('THAM_SO_MOI'!$C$11*'THAM_SO_MOI'!$C$35)</f>
        <v>-0.1459399485921563</v>
      </c>
      <c r="AB815" s="75">
        <f>F814+S815*AA815</f>
        <v>3.994117777026293</v>
      </c>
      <c r="AC815" s="75">
        <f>-('THAM_SO_MOI'!$C$12*IF(AB815&gt;'THAM_SO_MOI'!$C$14,'THAM_SO_MOI'!$C$13*(1+AB815^2/1500),'THAM_SO_MOI'!$C$13)+'THAM_SO_MOI'!$C$15*'THAM_SO_MOI'!$C$16*AB815^2)/('THAM_SO_MOI'!$C$11*'THAM_SO_MOI'!$C$35)</f>
        <v>-0.1459293721712569</v>
      </c>
    </row>
    <row r="816" spans="1:29" ht="19" customHeight="1">
      <c r="A816" s="68" t="s">
        <v>369</v>
      </c>
      <c r="B816" s="74">
        <v>1</v>
      </c>
      <c r="C816" s="68" t="s">
        <v>370</v>
      </c>
      <c r="D816" s="68" t="s">
        <v>371</v>
      </c>
      <c r="F816" s="75">
        <f>F815+S816*(W816+2*Y816+2*AA816+AC816)/6</f>
        <v>3.9868218365440518</v>
      </c>
      <c r="G816" s="75">
        <f>3.6*F816</f>
        <v>14.352558611558587</v>
      </c>
      <c r="H816" s="75">
        <f>'THAM_SO_MOI'!$C$35</f>
        <v>1.05</v>
      </c>
      <c r="I816" s="75">
        <f>IF(F816&gt;'THAM_SO_MOI'!$C$14,'THAM_SO_MOI'!$C$13*(1+F816^2/1500),'THAM_SO_MOI'!$C$13)</f>
        <v>0.015</v>
      </c>
      <c r="J816" s="75">
        <f>0</f>
        <v>0.0</v>
      </c>
      <c r="K816" s="75">
        <f>0</f>
        <v>0.0</v>
      </c>
      <c r="L816" s="75">
        <f>0</f>
        <v>0.0</v>
      </c>
      <c r="M816" s="75">
        <f>'THAM_SO_MOI'!$C$15*'THAM_SO_MOI'!$C$16*F816^2</f>
        <v>46.49213894230762</v>
      </c>
      <c r="N816" s="75">
        <f>'THAM_SO_MOI'!$C$12*I816</f>
        <v>1130.112</v>
      </c>
      <c r="O816" s="75">
        <f>M816+N816</f>
        <v>1176.6041389423076</v>
      </c>
      <c r="P816" s="75">
        <f>-O816/('THAM_SO_MOI'!$C$11*H816)</f>
        <v>-0.145908251356933</v>
      </c>
      <c r="R816" s="75">
        <f>F816-F815</f>
        <v>-0.00729594041456183</v>
      </c>
      <c r="S816" s="75">
        <f>'THAM_SO_MOI'!$C$34/'THAM_SO_MOI'!$C$43</f>
        <v>0.05</v>
      </c>
      <c r="T816" s="75">
        <f>S816*(F815+2*X816+2*Z816+AB816)/6</f>
        <v>0.19952348593739708</v>
      </c>
      <c r="U816" s="76">
        <f>U815+S816</f>
        <v>3.615741572199895</v>
      </c>
      <c r="V816" s="76">
        <f>V815+T816</f>
        <v>10.12048605588329</v>
      </c>
      <c r="W816" s="75">
        <f>-('THAM_SO_MOI'!$C$12*IF(F815&gt;'THAM_SO_MOI'!$C$14,'THAM_SO_MOI'!$C$13*(1+F815^2/1500),'THAM_SO_MOI'!$C$13)+'THAM_SO_MOI'!$C$15*'THAM_SO_MOI'!$C$16*F815^2)/('THAM_SO_MOI'!$C$11*'THAM_SO_MOI'!$C$35)</f>
        <v>-0.1459293721710608</v>
      </c>
      <c r="X816" s="75">
        <f>F815+S816*W816/2</f>
        <v>3.990469542654337</v>
      </c>
      <c r="Y816" s="75">
        <f>-('THAM_SO_MOI'!$C$12*IF(X816&gt;'THAM_SO_MOI'!$C$14,'THAM_SO_MOI'!$C$13*(1+X816^2/1500),'THAM_SO_MOI'!$C$13)+'THAM_SO_MOI'!$C$15*'THAM_SO_MOI'!$C$16*X816^2)/('THAM_SO_MOI'!$C$11*'THAM_SO_MOI'!$C$35)</f>
        <v>-0.14591880617246306</v>
      </c>
      <c r="Z816" s="75">
        <f>F815+S816*Y816/2</f>
        <v>3.990469806804302</v>
      </c>
      <c r="AA816" s="75">
        <f>-('THAM_SO_MOI'!$C$12*IF(Z816&gt;'THAM_SO_MOI'!$C$14,'THAM_SO_MOI'!$C$13*(1+Z816^2/1500),'THAM_SO_MOI'!$C$13)+'THAM_SO_MOI'!$C$15*'THAM_SO_MOI'!$C$16*Z816^2)/('THAM_SO_MOI'!$C$11*'THAM_SO_MOI'!$C$35)</f>
        <v>-0.14591880693714335</v>
      </c>
      <c r="AB816" s="75">
        <f>F815+S816*AA816</f>
        <v>3.9868218366117563</v>
      </c>
      <c r="AC816" s="75">
        <f>-('THAM_SO_MOI'!$C$12*IF(AB816&gt;'THAM_SO_MOI'!$C$14,'THAM_SO_MOI'!$C$13*(1+AB816^2/1500),'THAM_SO_MOI'!$C$13)+'THAM_SO_MOI'!$C$15*'THAM_SO_MOI'!$C$16*AB816^2)/('THAM_SO_MOI'!$C$11*'THAM_SO_MOI'!$C$35)</f>
        <v>-0.14590825135712882</v>
      </c>
    </row>
    <row r="817" spans="1:29" ht="19" customHeight="1">
      <c r="A817" s="68" t="s">
        <v>369</v>
      </c>
      <c r="B817" s="74">
        <v>1</v>
      </c>
      <c r="C817" s="68" t="s">
        <v>370</v>
      </c>
      <c r="D817" s="68" t="s">
        <v>371</v>
      </c>
      <c r="F817" s="75">
        <f>F816+S817*(W817+2*Y817+2*AA817+AC817)/6</f>
        <v>3.9795269511285576</v>
      </c>
      <c r="G817" s="75">
        <f>3.6*F817</f>
        <v>14.326297024062807</v>
      </c>
      <c r="H817" s="75">
        <f>'THAM_SO_MOI'!$C$35</f>
        <v>1.05</v>
      </c>
      <c r="I817" s="75">
        <f>IF(F817&gt;'THAM_SO_MOI'!$C$14,'THAM_SO_MOI'!$C$13*(1+F817^2/1500),'THAM_SO_MOI'!$C$13)</f>
        <v>0.015</v>
      </c>
      <c r="J817" s="75">
        <f>0</f>
        <v>0.0</v>
      </c>
      <c r="K817" s="75">
        <f>0</f>
        <v>0.0</v>
      </c>
      <c r="L817" s="75">
        <f>0</f>
        <v>0.0</v>
      </c>
      <c r="M817" s="75">
        <f>'THAM_SO_MOI'!$C$15*'THAM_SO_MOI'!$C$16*F817^2</f>
        <v>46.32215665766878</v>
      </c>
      <c r="N817" s="75">
        <f>'THAM_SO_MOI'!$C$12*I817</f>
        <v>1130.112</v>
      </c>
      <c r="O817" s="75">
        <f>M817+N817</f>
        <v>1176.4341566576688</v>
      </c>
      <c r="P817" s="75">
        <f>-O817/('THAM_SO_MOI'!$C$11*H817)</f>
        <v>-0.14588717220457204</v>
      </c>
      <c r="R817" s="75">
        <f>F817-F816</f>
        <v>-0.007294885415494168</v>
      </c>
      <c r="S817" s="75">
        <f>'THAM_SO_MOI'!$C$34/'THAM_SO_MOI'!$C$43</f>
        <v>0.05</v>
      </c>
      <c r="T817" s="75">
        <f>S817*(F816+2*X817+2*Z817+AB817)/6</f>
        <v>0.19915871530032522</v>
      </c>
      <c r="U817" s="76">
        <f>U816+S817</f>
        <v>3.6657415721998947</v>
      </c>
      <c r="V817" s="76">
        <f>V816+T817</f>
        <v>10.319644771183615</v>
      </c>
      <c r="W817" s="75">
        <f>-('THAM_SO_MOI'!$C$12*IF(F816&gt;'THAM_SO_MOI'!$C$14,'THAM_SO_MOI'!$C$13*(1+F816^2/1500),'THAM_SO_MOI'!$C$13)+'THAM_SO_MOI'!$C$15*'THAM_SO_MOI'!$C$16*F816^2)/('THAM_SO_MOI'!$C$11*'THAM_SO_MOI'!$C$35)</f>
        <v>-0.145908251356933</v>
      </c>
      <c r="X817" s="75">
        <f>F816+S817*W817/2</f>
        <v>3.9831741302601285</v>
      </c>
      <c r="Y817" s="75">
        <f>-('THAM_SO_MOI'!$C$12*IF(X817&gt;'THAM_SO_MOI'!$C$14,'THAM_SO_MOI'!$C$13*(1+X817^2/1500),'THAM_SO_MOI'!$C$13)+'THAM_SO_MOI'!$C$15*'THAM_SO_MOI'!$C$16*X817^2)/('THAM_SO_MOI'!$C$11*'THAM_SO_MOI'!$C$35)</f>
        <v>-0.1458977061935172</v>
      </c>
      <c r="Z817" s="75">
        <f>F816+S817*Y817/2</f>
        <v>3.9831743938892137</v>
      </c>
      <c r="AA817" s="75">
        <f>-('THAM_SO_MOI'!$C$12*IF(Z817&gt;'THAM_SO_MOI'!$C$14,'THAM_SO_MOI'!$C$13*(1+Z817^2/1500),'THAM_SO_MOI'!$C$13)+'THAM_SO_MOI'!$C$15*'THAM_SO_MOI'!$C$16*Z817^2)/('THAM_SO_MOI'!$C$11*'THAM_SO_MOI'!$C$35)</f>
        <v>-0.1458977069552944</v>
      </c>
      <c r="AB817" s="75">
        <f>F816+S817*AA817</f>
        <v>3.979526951196287</v>
      </c>
      <c r="AC817" s="75">
        <f>-('THAM_SO_MOI'!$C$12*IF(AB817&gt;'THAM_SO_MOI'!$C$14,'THAM_SO_MOI'!$C$13*(1+AB817^2/1500),'THAM_SO_MOI'!$C$13)+'THAM_SO_MOI'!$C$15*'THAM_SO_MOI'!$C$16*AB817^2)/('THAM_SO_MOI'!$C$11*'THAM_SO_MOI'!$C$35)</f>
        <v>-0.14588717220476757</v>
      </c>
    </row>
    <row r="818" spans="1:29" ht="19" customHeight="1">
      <c r="A818" s="68" t="s">
        <v>369</v>
      </c>
      <c r="B818" s="74">
        <v>1</v>
      </c>
      <c r="C818" s="68" t="s">
        <v>370</v>
      </c>
      <c r="D818" s="68" t="s">
        <v>371</v>
      </c>
      <c r="F818" s="75">
        <f>F817+S818*(W818+2*Y818+2*AA818+AC818)/6</f>
        <v>3.972233118629611</v>
      </c>
      <c r="G818" s="75">
        <f>3.6*F818</f>
        <v>14.3000392270666</v>
      </c>
      <c r="H818" s="75">
        <f>'THAM_SO_MOI'!$C$35</f>
        <v>1.05</v>
      </c>
      <c r="I818" s="75">
        <f>IF(F818&gt;'THAM_SO_MOI'!$C$14,'THAM_SO_MOI'!$C$13*(1+F818^2/1500),'THAM_SO_MOI'!$C$13)</f>
        <v>0.015</v>
      </c>
      <c r="J818" s="75">
        <f>0</f>
        <v>0.0</v>
      </c>
      <c r="K818" s="75">
        <f>0</f>
        <v>0.0</v>
      </c>
      <c r="L818" s="75">
        <f>0</f>
        <v>0.0</v>
      </c>
      <c r="M818" s="75">
        <f>'THAM_SO_MOI'!$C$15*'THAM_SO_MOI'!$C$16*F818^2</f>
        <v>46.15251015005844</v>
      </c>
      <c r="N818" s="75">
        <f>'THAM_SO_MOI'!$C$12*I818</f>
        <v>1130.112</v>
      </c>
      <c r="O818" s="75">
        <f>M818+N818</f>
        <v>1176.2645101500584</v>
      </c>
      <c r="P818" s="75">
        <f>-O818/('THAM_SO_MOI'!$C$11*H818)</f>
        <v>-0.14586613469122747</v>
      </c>
      <c r="R818" s="75">
        <f>F818-F817</f>
        <v>-0.00729383249894644</v>
      </c>
      <c r="S818" s="75">
        <f>'THAM_SO_MOI'!$C$34/'THAM_SO_MOI'!$C$43</f>
        <v>0.05</v>
      </c>
      <c r="T818" s="75">
        <f>S818*(F817+2*X818+2*Z818+AB818)/6</f>
        <v>0.19879399736113898</v>
      </c>
      <c r="U818" s="76">
        <f>U817+S818</f>
        <v>3.7157415721998945</v>
      </c>
      <c r="V818" s="76">
        <f>V817+T818</f>
        <v>10.518438768544755</v>
      </c>
      <c r="W818" s="75">
        <f>-('THAM_SO_MOI'!$C$12*IF(F817&gt;'THAM_SO_MOI'!$C$14,'THAM_SO_MOI'!$C$13*(1+F817^2/1500),'THAM_SO_MOI'!$C$13)+'THAM_SO_MOI'!$C$15*'THAM_SO_MOI'!$C$16*F817^2)/('THAM_SO_MOI'!$C$11*'THAM_SO_MOI'!$C$35)</f>
        <v>-0.14588717220457204</v>
      </c>
      <c r="X818" s="75">
        <f>F817+S818*W818/2</f>
        <v>3.9758797718234433</v>
      </c>
      <c r="Y818" s="75">
        <f>-('THAM_SO_MOI'!$C$12*IF(X818&gt;'THAM_SO_MOI'!$C$14,'THAM_SO_MOI'!$C$13*(1+X818^2/1500),'THAM_SO_MOI'!$C$13)+'THAM_SO_MOI'!$C$15*'THAM_SO_MOI'!$C$16*X818^2)/('THAM_SO_MOI'!$C$11*'THAM_SO_MOI'!$C$35)</f>
        <v>-0.1458766478649535</v>
      </c>
      <c r="Z818" s="75">
        <f>F817+S818*Y818/2</f>
        <v>3.975880034931934</v>
      </c>
      <c r="AA818" s="75">
        <f>-('THAM_SO_MOI'!$C$12*IF(Z818&gt;'THAM_SO_MOI'!$C$14,'THAM_SO_MOI'!$C$13*(1+Z818^2/1500),'THAM_SO_MOI'!$C$13)+'THAM_SO_MOI'!$C$15*'THAM_SO_MOI'!$C$16*Z818^2)/('THAM_SO_MOI'!$C$11*'THAM_SO_MOI'!$C$35)</f>
        <v>-0.14587664862383415</v>
      </c>
      <c r="AB818" s="75">
        <f>F817+S818*AA818</f>
        <v>3.972233118697366</v>
      </c>
      <c r="AC818" s="75">
        <f>-('THAM_SO_MOI'!$C$12*IF(AB818&gt;'THAM_SO_MOI'!$C$14,'THAM_SO_MOI'!$C$13*(1+AB818^2/1500),'THAM_SO_MOI'!$C$13)+'THAM_SO_MOI'!$C$15*'THAM_SO_MOI'!$C$16*AB818^2)/('THAM_SO_MOI'!$C$11*'THAM_SO_MOI'!$C$35)</f>
        <v>-0.14586613469142273</v>
      </c>
    </row>
    <row r="819" spans="1:29" ht="19" customHeight="1">
      <c r="A819" s="68" t="s">
        <v>369</v>
      </c>
      <c r="B819" s="74">
        <v>1</v>
      </c>
      <c r="C819" s="68" t="s">
        <v>370</v>
      </c>
      <c r="D819" s="68" t="s">
        <v>371</v>
      </c>
      <c r="F819" s="75">
        <f>F818+S819*(W819+2*Y819+2*AA819+AC819)/6</f>
        <v>3.9649403369658294</v>
      </c>
      <c r="G819" s="75">
        <f>3.6*F819</f>
        <v>14.273785213076986</v>
      </c>
      <c r="H819" s="75">
        <f>'THAM_SO_MOI'!$C$35</f>
        <v>1.05</v>
      </c>
      <c r="I819" s="75">
        <f>IF(F819&gt;'THAM_SO_MOI'!$C$14,'THAM_SO_MOI'!$C$13*(1+F819^2/1500),'THAM_SO_MOI'!$C$13)</f>
        <v>0.015</v>
      </c>
      <c r="J819" s="75">
        <f>0</f>
        <v>0.0</v>
      </c>
      <c r="K819" s="75">
        <f>0</f>
        <v>0.0</v>
      </c>
      <c r="L819" s="75">
        <f>0</f>
        <v>0.0</v>
      </c>
      <c r="M819" s="75">
        <f>'THAM_SO_MOI'!$C$15*'THAM_SO_MOI'!$C$16*F819^2</f>
        <v>45.98319923641871</v>
      </c>
      <c r="N819" s="75">
        <f>'THAM_SO_MOI'!$C$12*I819</f>
        <v>1130.112</v>
      </c>
      <c r="O819" s="75">
        <f>M819+N819</f>
        <v>1176.0951992364187</v>
      </c>
      <c r="P819" s="75">
        <f>-O819/('THAM_SO_MOI'!$C$11*H819)</f>
        <v>-0.14584513879419875</v>
      </c>
      <c r="R819" s="75">
        <f>F819-F818</f>
        <v>-0.007292781663781778</v>
      </c>
      <c r="S819" s="75">
        <f>'THAM_SO_MOI'!$C$34/'THAM_SO_MOI'!$C$43</f>
        <v>0.05</v>
      </c>
      <c r="T819" s="75">
        <f>S819*(F818+2*X819+2*Z819+AB819)/6</f>
        <v>0.19842933201574087</v>
      </c>
      <c r="U819" s="76">
        <f>U818+S819</f>
        <v>3.7657415721998944</v>
      </c>
      <c r="V819" s="76">
        <f>V818+T819</f>
        <v>10.716868100560495</v>
      </c>
      <c r="W819" s="75">
        <f>-('THAM_SO_MOI'!$C$12*IF(F818&gt;'THAM_SO_MOI'!$C$14,'THAM_SO_MOI'!$C$13*(1+F818^2/1500),'THAM_SO_MOI'!$C$13)+'THAM_SO_MOI'!$C$15*'THAM_SO_MOI'!$C$16*F818^2)/('THAM_SO_MOI'!$C$11*'THAM_SO_MOI'!$C$35)</f>
        <v>-0.14586613469122747</v>
      </c>
      <c r="X819" s="75">
        <f>F818+S819*W819/2</f>
        <v>3.9685864652623306</v>
      </c>
      <c r="Y819" s="75">
        <f>-('THAM_SO_MOI'!$C$12*IF(X819&gt;'THAM_SO_MOI'!$C$14,'THAM_SO_MOI'!$C$13*(1+X819^2/1500),'THAM_SO_MOI'!$C$13)+'THAM_SO_MOI'!$C$15*'THAM_SO_MOI'!$C$16*X819^2)/('THAM_SO_MOI'!$C$11*'THAM_SO_MOI'!$C$35)</f>
        <v>-0.14585563116404643</v>
      </c>
      <c r="Z819" s="75">
        <f>F818+S819*Y819/2</f>
        <v>3.96858672785051</v>
      </c>
      <c r="AA819" s="75">
        <f>-('THAM_SO_MOI'!$C$12*IF(Z819&gt;'THAM_SO_MOI'!$C$14,'THAM_SO_MOI'!$C$13*(1+Z819^2/1500),'THAM_SO_MOI'!$C$13)+'THAM_SO_MOI'!$C$15*'THAM_SO_MOI'!$C$16*Z819^2)/('THAM_SO_MOI'!$C$11*'THAM_SO_MOI'!$C$35)</f>
        <v>-0.145855631920037</v>
      </c>
      <c r="AB819" s="75">
        <f>F818+S819*AA819</f>
        <v>3.9649403370336094</v>
      </c>
      <c r="AC819" s="75">
        <f>-('THAM_SO_MOI'!$C$12*IF(AB819&gt;'THAM_SO_MOI'!$C$14,'THAM_SO_MOI'!$C$13*(1+AB819^2/1500),'THAM_SO_MOI'!$C$13)+'THAM_SO_MOI'!$C$15*'THAM_SO_MOI'!$C$16*AB819^2)/('THAM_SO_MOI'!$C$11*'THAM_SO_MOI'!$C$35)</f>
        <v>-0.14584513879439373</v>
      </c>
    </row>
    <row r="820" spans="1:29" ht="19" customHeight="1">
      <c r="A820" s="68" t="s">
        <v>369</v>
      </c>
      <c r="B820" s="74">
        <v>1</v>
      </c>
      <c r="C820" s="68" t="s">
        <v>370</v>
      </c>
      <c r="D820" s="68" t="s">
        <v>371</v>
      </c>
      <c r="F820" s="75">
        <f>F819+S820*(W820+2*Y820+2*AA820+AC820)/6</f>
        <v>3.9576486040569634</v>
      </c>
      <c r="G820" s="75">
        <f>3.6*F820</f>
        <v>14.247534974605069</v>
      </c>
      <c r="H820" s="75">
        <f>'THAM_SO_MOI'!$C$35</f>
        <v>1.05</v>
      </c>
      <c r="I820" s="75">
        <f>IF(F820&gt;'THAM_SO_MOI'!$C$14,'THAM_SO_MOI'!$C$13*(1+F820^2/1500),'THAM_SO_MOI'!$C$13)</f>
        <v>0.015</v>
      </c>
      <c r="J820" s="75">
        <f>0</f>
        <v>0.0</v>
      </c>
      <c r="K820" s="75">
        <f>0</f>
        <v>0.0</v>
      </c>
      <c r="L820" s="75">
        <f>0</f>
        <v>0.0</v>
      </c>
      <c r="M820" s="75">
        <f>'THAM_SO_MOI'!$C$15*'THAM_SO_MOI'!$C$16*F820^2</f>
        <v>45.81422373409254</v>
      </c>
      <c r="N820" s="75">
        <f>'THAM_SO_MOI'!$C$12*I820</f>
        <v>1130.112</v>
      </c>
      <c r="O820" s="75">
        <f>M820+N820</f>
        <v>1175.9262237340927</v>
      </c>
      <c r="P820" s="75">
        <f>-O820/('THAM_SO_MOI'!$C$11*H820)</f>
        <v>-0.1458241844908349</v>
      </c>
      <c r="R820" s="75">
        <f>F820-F819</f>
        <v>-0.007291732908865978</v>
      </c>
      <c r="S820" s="75">
        <f>'THAM_SO_MOI'!$C$34/'THAM_SO_MOI'!$C$43</f>
        <v>0.05</v>
      </c>
      <c r="T820" s="75">
        <f>S820*(F819+2*X820+2*Z820+AB820)/6</f>
        <v>0.19806471916008997</v>
      </c>
      <c r="U820" s="76">
        <f>U819+S820</f>
        <v>3.815741572199894</v>
      </c>
      <c r="V820" s="76">
        <f>V819+T820</f>
        <v>10.914932819720585</v>
      </c>
      <c r="W820" s="75">
        <f>-('THAM_SO_MOI'!$C$12*IF(F819&gt;'THAM_SO_MOI'!$C$14,'THAM_SO_MOI'!$C$13*(1+F819^2/1500),'THAM_SO_MOI'!$C$13)+'THAM_SO_MOI'!$C$15*'THAM_SO_MOI'!$C$16*F819^2)/('THAM_SO_MOI'!$C$11*'THAM_SO_MOI'!$C$35)</f>
        <v>-0.14584513879419875</v>
      </c>
      <c r="X820" s="75">
        <f>F819+S820*W820/2</f>
        <v>3.9612942084959744</v>
      </c>
      <c r="Y820" s="75">
        <f>-('THAM_SO_MOI'!$C$12*IF(X820&gt;'THAM_SO_MOI'!$C$14,'THAM_SO_MOI'!$C$13*(1+X820^2/1500),'THAM_SO_MOI'!$C$13)+'THAM_SO_MOI'!$C$15*'THAM_SO_MOI'!$C$16*X820^2)/('THAM_SO_MOI'!$C$11*'THAM_SO_MOI'!$C$35)</f>
        <v>-0.1458346560681202</v>
      </c>
      <c r="Z820" s="75">
        <f>F819+S820*Y820/2</f>
        <v>3.9612944705641264</v>
      </c>
      <c r="AA820" s="75">
        <f>-('THAM_SO_MOI'!$C$12*IF(Z820&gt;'THAM_SO_MOI'!$C$14,'THAM_SO_MOI'!$C$13*(1+Z820^2/1500),'THAM_SO_MOI'!$C$13)+'THAM_SO_MOI'!$C$15*'THAM_SO_MOI'!$C$16*Z820^2)/('THAM_SO_MOI'!$C$11*'THAM_SO_MOI'!$C$35)</f>
        <v>-0.14583465682122726</v>
      </c>
      <c r="AB820" s="75">
        <f>F819+S820*AA820</f>
        <v>3.957648604124768</v>
      </c>
      <c r="AC820" s="75">
        <f>-('THAM_SO_MOI'!$C$12*IF(AB820&gt;'THAM_SO_MOI'!$C$14,'THAM_SO_MOI'!$C$13*(1+AB820^2/1500),'THAM_SO_MOI'!$C$13)+'THAM_SO_MOI'!$C$15*'THAM_SO_MOI'!$C$16*AB820^2)/('THAM_SO_MOI'!$C$11*'THAM_SO_MOI'!$C$35)</f>
        <v>-0.14582418449102957</v>
      </c>
    </row>
    <row r="821" spans="1:29" ht="19" customHeight="1">
      <c r="A821" s="68" t="s">
        <v>369</v>
      </c>
      <c r="B821" s="74">
        <v>1</v>
      </c>
      <c r="C821" s="68" t="s">
        <v>370</v>
      </c>
      <c r="D821" s="68" t="s">
        <v>371</v>
      </c>
      <c r="F821" s="75">
        <f>F820+S821*(W821+2*Y821+2*AA821+AC821)/6</f>
        <v>3.950357917823895</v>
      </c>
      <c r="G821" s="75">
        <f>3.6*F821</f>
        <v>14.221288504166022</v>
      </c>
      <c r="H821" s="75">
        <f>'THAM_SO_MOI'!$C$35</f>
        <v>1.05</v>
      </c>
      <c r="I821" s="75">
        <f>IF(F821&gt;'THAM_SO_MOI'!$C$14,'THAM_SO_MOI'!$C$13*(1+F821^2/1500),'THAM_SO_MOI'!$C$13)</f>
        <v>0.015</v>
      </c>
      <c r="J821" s="75">
        <f>0</f>
        <v>0.0</v>
      </c>
      <c r="K821" s="75">
        <f>0</f>
        <v>0.0</v>
      </c>
      <c r="L821" s="75">
        <f>0</f>
        <v>0.0</v>
      </c>
      <c r="M821" s="75">
        <f>'THAM_SO_MOI'!$C$15*'THAM_SO_MOI'!$C$16*F821^2</f>
        <v>45.645583460823275</v>
      </c>
      <c r="N821" s="75">
        <f>'THAM_SO_MOI'!$C$12*I821</f>
        <v>1130.112</v>
      </c>
      <c r="O821" s="75">
        <f>M821+N821</f>
        <v>1175.7575834608233</v>
      </c>
      <c r="P821" s="75">
        <f>-O821/('THAM_SO_MOI'!$C$11*H821)</f>
        <v>-0.14580327175853464</v>
      </c>
      <c r="R821" s="75">
        <f>F821-F820</f>
        <v>-0.007290686233068389</v>
      </c>
      <c r="S821" s="75">
        <f>'THAM_SO_MOI'!$C$34/'THAM_SO_MOI'!$C$43</f>
        <v>0.05</v>
      </c>
      <c r="T821" s="75">
        <f>S821*(F820+2*X821+2*Z821+AB821)/6</f>
        <v>0.1977001586902023</v>
      </c>
      <c r="U821" s="76">
        <f>U820+S821</f>
        <v>3.865741572199894</v>
      </c>
      <c r="V821" s="76">
        <f>V820+T821</f>
        <v>11.112632978410787</v>
      </c>
      <c r="W821" s="75">
        <f>-('THAM_SO_MOI'!$C$12*IF(F820&gt;'THAM_SO_MOI'!$C$14,'THAM_SO_MOI'!$C$13*(1+F820^2/1500),'THAM_SO_MOI'!$C$13)+'THAM_SO_MOI'!$C$15*'THAM_SO_MOI'!$C$16*F820^2)/('THAM_SO_MOI'!$C$11*'THAM_SO_MOI'!$C$35)</f>
        <v>-0.1458241844908349</v>
      </c>
      <c r="X821" s="75">
        <f>F820+S821*W821/2</f>
        <v>3.9540029994446924</v>
      </c>
      <c r="Y821" s="75">
        <f>-('THAM_SO_MOI'!$C$12*IF(X821&gt;'THAM_SO_MOI'!$C$14,'THAM_SO_MOI'!$C$13*(1+X821^2/1500),'THAM_SO_MOI'!$C$13)+'THAM_SO_MOI'!$C$15*'THAM_SO_MOI'!$C$16*X821^2)/('THAM_SO_MOI'!$C$11*'THAM_SO_MOI'!$C$35)</f>
        <v>-0.1458137225545488</v>
      </c>
      <c r="Z821" s="75">
        <f>F820+S821*Y821/2</f>
        <v>3.9540032609930997</v>
      </c>
      <c r="AA821" s="75">
        <f>-('THAM_SO_MOI'!$C$12*IF(Z821&gt;'THAM_SO_MOI'!$C$14,'THAM_SO_MOI'!$C$13*(1+Z821^2/1500),'THAM_SO_MOI'!$C$13)+'THAM_SO_MOI'!$C$15*'THAM_SO_MOI'!$C$16*Z821^2)/('THAM_SO_MOI'!$C$11*'THAM_SO_MOI'!$C$35)</f>
        <v>-0.14581372330477882</v>
      </c>
      <c r="AB821" s="75">
        <f>F820+S821*AA821</f>
        <v>3.9503579178917243</v>
      </c>
      <c r="AC821" s="75">
        <f>-('THAM_SO_MOI'!$C$12*IF(AB821&gt;'THAM_SO_MOI'!$C$14,'THAM_SO_MOI'!$C$13*(1+AB821^2/1500),'THAM_SO_MOI'!$C$13)+'THAM_SO_MOI'!$C$15*'THAM_SO_MOI'!$C$16*AB821^2)/('THAM_SO_MOI'!$C$11*'THAM_SO_MOI'!$C$35)</f>
        <v>-0.145803271758729</v>
      </c>
    </row>
    <row r="822" spans="1:29" ht="19" customHeight="1">
      <c r="A822" s="68" t="s">
        <v>369</v>
      </c>
      <c r="B822" s="74">
        <v>1</v>
      </c>
      <c r="C822" s="68" t="s">
        <v>370</v>
      </c>
      <c r="D822" s="68" t="s">
        <v>371</v>
      </c>
      <c r="F822" s="75">
        <f>F821+S822*(W822+2*Y822+2*AA822+AC822)/6</f>
        <v>3.943068276188635</v>
      </c>
      <c r="G822" s="75">
        <f>3.6*F822</f>
        <v>14.195045794279086</v>
      </c>
      <c r="H822" s="75">
        <f>'THAM_SO_MOI'!$C$35</f>
        <v>1.05</v>
      </c>
      <c r="I822" s="75">
        <f>IF(F822&gt;'THAM_SO_MOI'!$C$14,'THAM_SO_MOI'!$C$13*(1+F822^2/1500),'THAM_SO_MOI'!$C$13)</f>
        <v>0.015</v>
      </c>
      <c r="J822" s="75">
        <f>0</f>
        <v>0.0</v>
      </c>
      <c r="K822" s="75">
        <f>0</f>
        <v>0.0</v>
      </c>
      <c r="L822" s="75">
        <f>0</f>
        <v>0.0</v>
      </c>
      <c r="M822" s="75">
        <f>'THAM_SO_MOI'!$C$15*'THAM_SO_MOI'!$C$16*F822^2</f>
        <v>45.47727823475425</v>
      </c>
      <c r="N822" s="75">
        <f>'THAM_SO_MOI'!$C$12*I822</f>
        <v>1130.112</v>
      </c>
      <c r="O822" s="75">
        <f>M822+N822</f>
        <v>1175.5892782347544</v>
      </c>
      <c r="P822" s="75">
        <f>-O822/('THAM_SO_MOI'!$C$11*H822)</f>
        <v>-0.1457824005747463</v>
      </c>
      <c r="R822" s="75">
        <f>F822-F821</f>
        <v>-0.007289641635260136</v>
      </c>
      <c r="S822" s="75">
        <f>'THAM_SO_MOI'!$C$34/'THAM_SO_MOI'!$C$43</f>
        <v>0.05</v>
      </c>
      <c r="T822" s="75">
        <f>S822*(F821+2*X822+2*Z822+AB822)/6</f>
        <v>0.19733565050215</v>
      </c>
      <c r="U822" s="76">
        <f>U821+S822</f>
        <v>3.915741572199894</v>
      </c>
      <c r="V822" s="76">
        <f>V821+T822</f>
        <v>11.309968628912937</v>
      </c>
      <c r="W822" s="75">
        <f>-('THAM_SO_MOI'!$C$12*IF(F821&gt;'THAM_SO_MOI'!$C$14,'THAM_SO_MOI'!$C$13*(1+F821^2/1500),'THAM_SO_MOI'!$C$13)+'THAM_SO_MOI'!$C$15*'THAM_SO_MOI'!$C$16*F821^2)/('THAM_SO_MOI'!$C$11*'THAM_SO_MOI'!$C$35)</f>
        <v>-0.14580327175853464</v>
      </c>
      <c r="X822" s="75">
        <f>F821+S822*W822/2</f>
        <v>3.9467128360299317</v>
      </c>
      <c r="Y822" s="75">
        <f>-('THAM_SO_MOI'!$C$12*IF(X822&gt;'THAM_SO_MOI'!$C$14,'THAM_SO_MOI'!$C$13*(1+X822^2/1500),'THAM_SO_MOI'!$C$13)+'THAM_SO_MOI'!$C$15*'THAM_SO_MOI'!$C$16*X822^2)/('THAM_SO_MOI'!$C$11*'THAM_SO_MOI'!$C$35)</f>
        <v>-0.14579283060075574</v>
      </c>
      <c r="Z822" s="75">
        <f>F821+S822*Y822/2</f>
        <v>3.946713097058876</v>
      </c>
      <c r="AA822" s="75">
        <f>-('THAM_SO_MOI'!$C$12*IF(Z822&gt;'THAM_SO_MOI'!$C$14,'THAM_SO_MOI'!$C$13*(1+Z822^2/1500),'THAM_SO_MOI'!$C$13)+'THAM_SO_MOI'!$C$15*'THAM_SO_MOI'!$C$16*Z822^2)/('THAM_SO_MOI'!$C$11*'THAM_SO_MOI'!$C$35)</f>
        <v>-0.14579283134811521</v>
      </c>
      <c r="AB822" s="75">
        <f>F821+S822*AA822</f>
        <v>3.943068276256489</v>
      </c>
      <c r="AC822" s="75">
        <f>-('THAM_SO_MOI'!$C$12*IF(AB822&gt;'THAM_SO_MOI'!$C$14,'THAM_SO_MOI'!$C$13*(1+AB822^2/1500),'THAM_SO_MOI'!$C$13)+'THAM_SO_MOI'!$C$15*'THAM_SO_MOI'!$C$16*AB822^2)/('THAM_SO_MOI'!$C$11*'THAM_SO_MOI'!$C$35)</f>
        <v>-0.14578240057494044</v>
      </c>
    </row>
    <row r="823" spans="1:29" ht="19" customHeight="1">
      <c r="A823" s="68" t="s">
        <v>369</v>
      </c>
      <c r="B823" s="74">
        <v>1</v>
      </c>
      <c r="C823" s="68" t="s">
        <v>370</v>
      </c>
      <c r="D823" s="68" t="s">
        <v>371</v>
      </c>
      <c r="F823" s="75">
        <f>F822+S823*(W823+2*Y823+2*AA823+AC823)/6</f>
        <v>3.9357796770743203</v>
      </c>
      <c r="G823" s="75">
        <f>3.6*F823</f>
        <v>14.168806837467553</v>
      </c>
      <c r="H823" s="75">
        <f>'THAM_SO_MOI'!$C$35</f>
        <v>1.05</v>
      </c>
      <c r="I823" s="75">
        <f>IF(F823&gt;'THAM_SO_MOI'!$C$14,'THAM_SO_MOI'!$C$13*(1+F823^2/1500),'THAM_SO_MOI'!$C$13)</f>
        <v>0.015</v>
      </c>
      <c r="J823" s="75">
        <f>0</f>
        <v>0.0</v>
      </c>
      <c r="K823" s="75">
        <f>0</f>
        <v>0.0</v>
      </c>
      <c r="L823" s="75">
        <f>0</f>
        <v>0.0</v>
      </c>
      <c r="M823" s="75">
        <f>'THAM_SO_MOI'!$C$15*'THAM_SO_MOI'!$C$16*F823^2</f>
        <v>45.309307874428384</v>
      </c>
      <c r="N823" s="75">
        <f>'THAM_SO_MOI'!$C$12*I823</f>
        <v>1130.112</v>
      </c>
      <c r="O823" s="75">
        <f>M823+N823</f>
        <v>1175.4213078744285</v>
      </c>
      <c r="P823" s="75">
        <f>-O823/('THAM_SO_MOI'!$C$11*H823)</f>
        <v>-0.14576157091696781</v>
      </c>
      <c r="R823" s="75">
        <f>F823-F822</f>
        <v>-0.0072885991143145645</v>
      </c>
      <c r="S823" s="75">
        <f>'THAM_SO_MOI'!$C$34/'THAM_SO_MOI'!$C$43</f>
        <v>0.05</v>
      </c>
      <c r="T823" s="75">
        <f>S823*(F822+2*X823+2*Z823+AB823)/6</f>
        <v>0.1969711944920619</v>
      </c>
      <c r="U823" s="76">
        <f>U822+S823</f>
        <v>3.9657415721998936</v>
      </c>
      <c r="V823" s="76">
        <f>V822+T823</f>
        <v>11.506939823404998</v>
      </c>
      <c r="W823" s="75">
        <f>-('THAM_SO_MOI'!$C$12*IF(F822&gt;'THAM_SO_MOI'!$C$14,'THAM_SO_MOI'!$C$13*(1+F822^2/1500),'THAM_SO_MOI'!$C$13)+'THAM_SO_MOI'!$C$15*'THAM_SO_MOI'!$C$16*F822^2)/('THAM_SO_MOI'!$C$11*'THAM_SO_MOI'!$C$35)</f>
        <v>-0.1457824005747463</v>
      </c>
      <c r="X823" s="75">
        <f>F822+S823*W823/2</f>
        <v>3.9394237161742662</v>
      </c>
      <c r="Y823" s="75">
        <f>-('THAM_SO_MOI'!$C$12*IF(X823&gt;'THAM_SO_MOI'!$C$14,'THAM_SO_MOI'!$C$13*(1+X823^2/1500),'THAM_SO_MOI'!$C$13)+'THAM_SO_MOI'!$C$15*'THAM_SO_MOI'!$C$16*X823^2)/('THAM_SO_MOI'!$C$11*'THAM_SO_MOI'!$C$35)</f>
        <v>-0.14577198018421406</v>
      </c>
      <c r="Z823" s="75">
        <f>F822+S823*Y823/2</f>
        <v>3.9394239766840293</v>
      </c>
      <c r="AA823" s="75">
        <f>-('THAM_SO_MOI'!$C$12*IF(Z823&gt;'THAM_SO_MOI'!$C$14,'THAM_SO_MOI'!$C$13*(1+Z823^2/1500),'THAM_SO_MOI'!$C$13)+'THAM_SO_MOI'!$C$15*'THAM_SO_MOI'!$C$16*Z823^2)/('THAM_SO_MOI'!$C$11*'THAM_SO_MOI'!$C$35)</f>
        <v>-0.14577198092870952</v>
      </c>
      <c r="AB823" s="75">
        <f>F822+S823*AA823</f>
        <v>3.9357796771421993</v>
      </c>
      <c r="AC823" s="75">
        <f>-('THAM_SO_MOI'!$C$12*IF(AB823&gt;'THAM_SO_MOI'!$C$14,'THAM_SO_MOI'!$C$13*(1+AB823^2/1500),'THAM_SO_MOI'!$C$13)+'THAM_SO_MOI'!$C$15*'THAM_SO_MOI'!$C$16*AB823^2)/('THAM_SO_MOI'!$C$11*'THAM_SO_MOI'!$C$35)</f>
        <v>-0.1457615709171616</v>
      </c>
    </row>
    <row r="824" spans="1:29" ht="19" customHeight="1">
      <c r="A824" s="68" t="s">
        <v>369</v>
      </c>
      <c r="B824" s="74">
        <v>1</v>
      </c>
      <c r="C824" s="68" t="s">
        <v>370</v>
      </c>
      <c r="D824" s="68" t="s">
        <v>371</v>
      </c>
      <c r="F824" s="75">
        <f>F823+S824*(W824+2*Y824+2*AA824+AC824)/6</f>
        <v>3.928492118405212</v>
      </c>
      <c r="G824" s="75">
        <f>3.6*F824</f>
        <v>14.142571626258764</v>
      </c>
      <c r="H824" s="75">
        <f>'THAM_SO_MOI'!$C$35</f>
        <v>1.05</v>
      </c>
      <c r="I824" s="75">
        <f>IF(F824&gt;'THAM_SO_MOI'!$C$14,'THAM_SO_MOI'!$C$13*(1+F824^2/1500),'THAM_SO_MOI'!$C$13)</f>
        <v>0.015</v>
      </c>
      <c r="J824" s="75">
        <f>0</f>
        <v>0.0</v>
      </c>
      <c r="K824" s="75">
        <f>0</f>
        <v>0.0</v>
      </c>
      <c r="L824" s="75">
        <f>0</f>
        <v>0.0</v>
      </c>
      <c r="M824" s="75">
        <f>'THAM_SO_MOI'!$C$15*'THAM_SO_MOI'!$C$16*F824^2</f>
        <v>45.14167219878773</v>
      </c>
      <c r="N824" s="75">
        <f>'THAM_SO_MOI'!$C$12*I824</f>
        <v>1130.112</v>
      </c>
      <c r="O824" s="75">
        <f>M824+N824</f>
        <v>1175.2536721987879</v>
      </c>
      <c r="P824" s="75">
        <f>-O824/('THAM_SO_MOI'!$C$11*H824)</f>
        <v>-0.14574078276274652</v>
      </c>
      <c r="R824" s="75">
        <f>F824-F823</f>
        <v>-0.0072875586691081295</v>
      </c>
      <c r="S824" s="75">
        <f>'THAM_SO_MOI'!$C$34/'THAM_SO_MOI'!$C$43</f>
        <v>0.05</v>
      </c>
      <c r="T824" s="75">
        <f>S824*(F823+2*X824+2*Z824+AB824)/6</f>
        <v>0.19660679055612293</v>
      </c>
      <c r="U824" s="76">
        <f>U823+S824</f>
        <v>4.015741572199894</v>
      </c>
      <c r="V824" s="76">
        <f>V823+T824</f>
        <v>11.703546613961121</v>
      </c>
      <c r="W824" s="75">
        <f>-('THAM_SO_MOI'!$C$12*IF(F823&gt;'THAM_SO_MOI'!$C$14,'THAM_SO_MOI'!$C$13*(1+F823^2/1500),'THAM_SO_MOI'!$C$13)+'THAM_SO_MOI'!$C$15*'THAM_SO_MOI'!$C$16*F823^2)/('THAM_SO_MOI'!$C$11*'THAM_SO_MOI'!$C$35)</f>
        <v>-0.14576157091696781</v>
      </c>
      <c r="X824" s="75">
        <f>F823+S824*W824/2</f>
        <v>3.9321356378013963</v>
      </c>
      <c r="Y824" s="75">
        <f>-('THAM_SO_MOI'!$C$12*IF(X824&gt;'THAM_SO_MOI'!$C$14,'THAM_SO_MOI'!$C$13*(1+X824^2/1500),'THAM_SO_MOI'!$C$13)+'THAM_SO_MOI'!$C$15*'THAM_SO_MOI'!$C$16*X824^2)/('THAM_SO_MOI'!$C$11*'THAM_SO_MOI'!$C$35)</f>
        <v>-0.14575117128244647</v>
      </c>
      <c r="Z824" s="75">
        <f>F823+S824*Y824/2</f>
        <v>3.9321358977922594</v>
      </c>
      <c r="AA824" s="75">
        <f>-('THAM_SO_MOI'!$C$12*IF(Z824&gt;'THAM_SO_MOI'!$C$14,'THAM_SO_MOI'!$C$13*(1+Z824^2/1500),'THAM_SO_MOI'!$C$13)+'THAM_SO_MOI'!$C$15*'THAM_SO_MOI'!$C$16*Z824^2)/('THAM_SO_MOI'!$C$11*'THAM_SO_MOI'!$C$35)</f>
        <v>-0.1457511720240844</v>
      </c>
      <c r="AB824" s="75">
        <f>F823+S824*AA824</f>
        <v>3.928492118473116</v>
      </c>
      <c r="AC824" s="75">
        <f>-('THAM_SO_MOI'!$C$12*IF(AB824&gt;'THAM_SO_MOI'!$C$14,'THAM_SO_MOI'!$C$13*(1+AB824^2/1500),'THAM_SO_MOI'!$C$13)+'THAM_SO_MOI'!$C$15*'THAM_SO_MOI'!$C$16*AB824^2)/('THAM_SO_MOI'!$C$11*'THAM_SO_MOI'!$C$35)</f>
        <v>-0.14574078276294003</v>
      </c>
    </row>
    <row r="825" spans="1:29" ht="19" customHeight="1">
      <c r="A825" s="68" t="s">
        <v>369</v>
      </c>
      <c r="B825" s="74">
        <v>1</v>
      </c>
      <c r="C825" s="68" t="s">
        <v>370</v>
      </c>
      <c r="D825" s="68" t="s">
        <v>371</v>
      </c>
      <c r="F825" s="75">
        <f>F824+S825*(W825+2*Y825+2*AA825+AC825)/6</f>
        <v>3.921205598106693</v>
      </c>
      <c r="G825" s="75">
        <f>3.6*F825</f>
        <v>14.116340153184096</v>
      </c>
      <c r="H825" s="75">
        <f>'THAM_SO_MOI'!$C$35</f>
        <v>1.05</v>
      </c>
      <c r="I825" s="75">
        <f>IF(F825&gt;'THAM_SO_MOI'!$C$14,'THAM_SO_MOI'!$C$13*(1+F825^2/1500),'THAM_SO_MOI'!$C$13)</f>
        <v>0.015</v>
      </c>
      <c r="J825" s="75">
        <f>0</f>
        <v>0.0</v>
      </c>
      <c r="K825" s="75">
        <f>0</f>
        <v>0.0</v>
      </c>
      <c r="L825" s="75">
        <f>0</f>
        <v>0.0</v>
      </c>
      <c r="M825" s="75">
        <f>'THAM_SO_MOI'!$C$15*'THAM_SO_MOI'!$C$16*F825^2</f>
        <v>44.97437102717307</v>
      </c>
      <c r="N825" s="75">
        <f>'THAM_SO_MOI'!$C$12*I825</f>
        <v>1130.112</v>
      </c>
      <c r="O825" s="75">
        <f>M825+N825</f>
        <v>1175.086371027173</v>
      </c>
      <c r="P825" s="75">
        <f>-O825/('THAM_SO_MOI'!$C$11*H825)</f>
        <v>-0.1457200360896792</v>
      </c>
      <c r="R825" s="75">
        <f>F825-F824</f>
        <v>-0.007286520298519061</v>
      </c>
      <c r="S825" s="75">
        <f>'THAM_SO_MOI'!$C$34/'THAM_SO_MOI'!$C$43</f>
        <v>0.05</v>
      </c>
      <c r="T825" s="75">
        <f>S825*(F824+2*X825+2*Z825+AB825)/6</f>
        <v>0.1962424385905741</v>
      </c>
      <c r="U825" s="76">
        <f>U824+S825</f>
        <v>4.065741572199894</v>
      </c>
      <c r="V825" s="76">
        <f>V824+T825</f>
        <v>11.899789052551695</v>
      </c>
      <c r="W825" s="75">
        <f>-('THAM_SO_MOI'!$C$12*IF(F824&gt;'THAM_SO_MOI'!$C$14,'THAM_SO_MOI'!$C$13*(1+F824^2/1500),'THAM_SO_MOI'!$C$13)+'THAM_SO_MOI'!$C$15*'THAM_SO_MOI'!$C$16*F824^2)/('THAM_SO_MOI'!$C$11*'THAM_SO_MOI'!$C$35)</f>
        <v>-0.14574078276274652</v>
      </c>
      <c r="X825" s="75">
        <f>F824+S825*W825/2</f>
        <v>3.9248485988361437</v>
      </c>
      <c r="Y825" s="75">
        <f>-('THAM_SO_MOI'!$C$12*IF(X825&gt;'THAM_SO_MOI'!$C$14,'THAM_SO_MOI'!$C$13*(1+X825^2/1500),'THAM_SO_MOI'!$C$13)+'THAM_SO_MOI'!$C$15*'THAM_SO_MOI'!$C$16*X825^2)/('THAM_SO_MOI'!$C$11*'THAM_SO_MOI'!$C$35)</f>
        <v>-0.14573040387302508</v>
      </c>
      <c r="Z825" s="75">
        <f>F824+S825*Y825/2</f>
        <v>3.9248488583083865</v>
      </c>
      <c r="AA825" s="75">
        <f>-('THAM_SO_MOI'!$C$12*IF(Z825&gt;'THAM_SO_MOI'!$C$14,'THAM_SO_MOI'!$C$13*(1+Z825^2/1500),'THAM_SO_MOI'!$C$13)+'THAM_SO_MOI'!$C$15*'THAM_SO_MOI'!$C$16*Z825^2)/('THAM_SO_MOI'!$C$11*'THAM_SO_MOI'!$C$35)</f>
        <v>-0.14573040461181194</v>
      </c>
      <c r="AB825" s="75">
        <f>F824+S825*AA825</f>
        <v>3.9212055981746214</v>
      </c>
      <c r="AC825" s="75">
        <f>-('THAM_SO_MOI'!$C$12*IF(AB825&gt;'THAM_SO_MOI'!$C$14,'THAM_SO_MOI'!$C$13*(1+AB825^2/1500),'THAM_SO_MOI'!$C$13)+'THAM_SO_MOI'!$C$15*'THAM_SO_MOI'!$C$16*AB825^2)/('THAM_SO_MOI'!$C$11*'THAM_SO_MOI'!$C$35)</f>
        <v>-0.14572003608987244</v>
      </c>
    </row>
    <row r="826" spans="1:29" ht="19" customHeight="1">
      <c r="A826" s="68" t="s">
        <v>369</v>
      </c>
      <c r="B826" s="74">
        <v>1</v>
      </c>
      <c r="C826" s="68" t="s">
        <v>370</v>
      </c>
      <c r="D826" s="68" t="s">
        <v>371</v>
      </c>
      <c r="F826" s="75">
        <f>F825+S826*(W826+2*Y826+2*AA826+AC826)/6</f>
        <v>3.9139201141052644</v>
      </c>
      <c r="G826" s="75">
        <f>3.6*F826</f>
        <v>14.090112410778952</v>
      </c>
      <c r="H826" s="75">
        <f>'THAM_SO_MOI'!$C$35</f>
        <v>1.05</v>
      </c>
      <c r="I826" s="75">
        <f>IF(F826&gt;'THAM_SO_MOI'!$C$14,'THAM_SO_MOI'!$C$13*(1+F826^2/1500),'THAM_SO_MOI'!$C$13)</f>
        <v>0.015</v>
      </c>
      <c r="J826" s="75">
        <f>0</f>
        <v>0.0</v>
      </c>
      <c r="K826" s="75">
        <f>0</f>
        <v>0.0</v>
      </c>
      <c r="L826" s="75">
        <f>0</f>
        <v>0.0</v>
      </c>
      <c r="M826" s="75">
        <f>'THAM_SO_MOI'!$C$15*'THAM_SO_MOI'!$C$16*F826^2</f>
        <v>44.80740417932347</v>
      </c>
      <c r="N826" s="75">
        <f>'THAM_SO_MOI'!$C$12*I826</f>
        <v>1130.112</v>
      </c>
      <c r="O826" s="75">
        <f>M826+N826</f>
        <v>1174.9194041793235</v>
      </c>
      <c r="P826" s="75">
        <f>-O826/('THAM_SO_MOI'!$C$11*H826)</f>
        <v>-0.14569933087541215</v>
      </c>
      <c r="R826" s="75">
        <f>F826-F825</f>
        <v>-0.007285484001428699</v>
      </c>
      <c r="S826" s="75">
        <f>'THAM_SO_MOI'!$C$34/'THAM_SO_MOI'!$C$43</f>
        <v>0.05</v>
      </c>
      <c r="T826" s="75">
        <f>S826*(F825+2*X826+2*Z826+AB826)/6</f>
        <v>0.19587813849171265</v>
      </c>
      <c r="U826" s="76">
        <f>U825+S826</f>
        <v>4.115741572199894</v>
      </c>
      <c r="V826" s="76">
        <f>V825+T826</f>
        <v>12.095667191043407</v>
      </c>
      <c r="W826" s="75">
        <f>-('THAM_SO_MOI'!$C$12*IF(F825&gt;'THAM_SO_MOI'!$C$14,'THAM_SO_MOI'!$C$13*(1+F825^2/1500),'THAM_SO_MOI'!$C$13)+'THAM_SO_MOI'!$C$15*'THAM_SO_MOI'!$C$16*F825^2)/('THAM_SO_MOI'!$C$11*'THAM_SO_MOI'!$C$35)</f>
        <v>-0.1457200360896792</v>
      </c>
      <c r="X826" s="75">
        <f>F825+S826*W826/2</f>
        <v>3.917562597204451</v>
      </c>
      <c r="Y826" s="75">
        <f>-('THAM_SO_MOI'!$C$12*IF(X826&gt;'THAM_SO_MOI'!$C$14,'THAM_SO_MOI'!$C$13*(1+X826^2/1500),'THAM_SO_MOI'!$C$13)+'THAM_SO_MOI'!$C$15*'THAM_SO_MOI'!$C$16*X826^2)/('THAM_SO_MOI'!$C$11*'THAM_SO_MOI'!$C$35)</f>
        <v>-0.1457096779335714</v>
      </c>
      <c r="Z826" s="75">
        <f>F825+S826*Y826/2</f>
        <v>3.9175628561583538</v>
      </c>
      <c r="AA826" s="75">
        <f>-('THAM_SO_MOI'!$C$12*IF(Z826&gt;'THAM_SO_MOI'!$C$14,'THAM_SO_MOI'!$C$13*(1+Z826^2/1500),'THAM_SO_MOI'!$C$13)+'THAM_SO_MOI'!$C$15*'THAM_SO_MOI'!$C$16*Z826^2)/('THAM_SO_MOI'!$C$11*'THAM_SO_MOI'!$C$35)</f>
        <v>-0.1457096786695137</v>
      </c>
      <c r="AB826" s="75">
        <f>F825+S826*AA826</f>
        <v>3.9139201141732176</v>
      </c>
      <c r="AC826" s="75">
        <f>-('THAM_SO_MOI'!$C$12*IF(AB826&gt;'THAM_SO_MOI'!$C$14,'THAM_SO_MOI'!$C$13*(1+AB826^2/1500),'THAM_SO_MOI'!$C$13)+'THAM_SO_MOI'!$C$15*'THAM_SO_MOI'!$C$16*AB826^2)/('THAM_SO_MOI'!$C$11*'THAM_SO_MOI'!$C$35)</f>
        <v>-0.14569933087560508</v>
      </c>
    </row>
    <row r="827" spans="1:29" ht="19" customHeight="1">
      <c r="A827" s="68" t="s">
        <v>372</v>
      </c>
      <c r="B827" s="74">
        <v>2</v>
      </c>
      <c r="C827" s="68" t="s">
        <v>363</v>
      </c>
      <c r="D827" s="68" t="s">
        <v>364</v>
      </c>
      <c r="E827" s="75">
        <f>60*F827*'THAM_SO_MOI'!$C$50/(2*PI()*'THAM_SO_MOI'!$C$26)</f>
        <v>1569.817687546653</v>
      </c>
      <c r="F827" s="75">
        <f>'HANH_TRINH'!$F$826+('THAM_SO_MOI'!$F$50-'HANH_TRINH'!$F$826)*0/'THAM_SO_MOI'!$C$42</f>
        <v>3.9139201141052644</v>
      </c>
      <c r="G827" s="75">
        <f>3.6*F827</f>
        <v>14.090112410778952</v>
      </c>
      <c r="H827" s="75">
        <f>'THAM_SO_MOI'!$D$50</f>
        <v>1.8785906709588276</v>
      </c>
      <c r="I827" s="75">
        <f>IF(F827&gt;'THAM_SO_MOI'!$C$14,'THAM_SO_MOI'!$C$13*(1+F827^2/1500),'THAM_SO_MOI'!$C$13)</f>
        <v>0.015</v>
      </c>
      <c r="J827" s="75">
        <f>'THAM_SO_MOI'!$C$40*('THAM_SO_MOI'!$C$23*(E827/'THAM_SO_MOI'!$C$22)+'THAM_SO_MOI'!$C$24*(E827/'THAM_SO_MOI'!$C$22)^2-'THAM_SO_MOI'!$C$25*(E827/'THAM_SO_MOI'!$C$22)^3)</f>
        <v>67.85593933267423</v>
      </c>
      <c r="K827" s="75">
        <f>'THAM_SO_MOI'!$C$31*J827/E827</f>
        <v>412.8496940280885</v>
      </c>
      <c r="L827" s="75">
        <f>K827*'THAM_SO_MOI'!$C$50*'THAM_SO_MOI'!$C$17/'THAM_SO_MOI'!$C$26</f>
        <v>14739.297054890998</v>
      </c>
      <c r="M827" s="75">
        <f>'THAM_SO_MOI'!$C$15*'THAM_SO_MOI'!$C$16*F827^2</f>
        <v>44.80740417932347</v>
      </c>
      <c r="N827" s="75">
        <f>'THAM_SO_MOI'!$C$12*I827</f>
        <v>1130.112</v>
      </c>
      <c r="O827" s="75">
        <f>M827+N827</f>
        <v>1174.9194041793235</v>
      </c>
      <c r="P827" s="75">
        <f>(MIN(L827,'THAM_SO_MOI'!$C$41)-O827)/('THAM_SO_MOI'!$C$11*H827)</f>
        <v>0.9401702211699058</v>
      </c>
      <c r="Q827" s="75">
        <f>IF(P827&gt;0,1/P827,NA())</f>
        <v>1.0636371770588997</v>
      </c>
      <c r="R827" s="75">
        <f>0</f>
        <v>0.0</v>
      </c>
      <c r="S827" s="75">
        <f>0</f>
        <v>0.0</v>
      </c>
      <c r="T827" s="75">
        <f>0</f>
        <v>0.0</v>
      </c>
      <c r="U827" s="76">
        <f>U826+S827</f>
        <v>4.115741572199894</v>
      </c>
      <c r="V827" s="76">
        <f>V826+T827</f>
        <v>12.095667191043407</v>
      </c>
    </row>
    <row r="828" spans="1:29" ht="19" customHeight="1">
      <c r="A828" s="68" t="s">
        <v>372</v>
      </c>
      <c r="B828" s="74">
        <v>2</v>
      </c>
      <c r="C828" s="68" t="s">
        <v>363</v>
      </c>
      <c r="D828" s="68" t="s">
        <v>364</v>
      </c>
      <c r="E828" s="75">
        <f>60*F828*'THAM_SO_MOI'!$C$50/(2*PI()*'THAM_SO_MOI'!$C$26)</f>
        <v>1571.1054154372196</v>
      </c>
      <c r="F828" s="75">
        <f>'HANH_TRINH'!$F$826+('THAM_SO_MOI'!$F$50-'HANH_TRINH'!$F$826)*1/'THAM_SO_MOI'!$C$42</f>
        <v>3.9171307188349513</v>
      </c>
      <c r="G828" s="75">
        <f>3.6*F828</f>
        <v>14.101670587805826</v>
      </c>
      <c r="H828" s="75">
        <f>'THAM_SO_MOI'!$D$50</f>
        <v>1.8785906709588276</v>
      </c>
      <c r="I828" s="75">
        <f>IF(F828&gt;'THAM_SO_MOI'!$C$14,'THAM_SO_MOI'!$C$13*(1+F828^2/1500),'THAM_SO_MOI'!$C$13)</f>
        <v>0.015</v>
      </c>
      <c r="J828" s="75">
        <f>'THAM_SO_MOI'!$C$40*('THAM_SO_MOI'!$C$23*(E828/'THAM_SO_MOI'!$C$22)+'THAM_SO_MOI'!$C$24*(E828/'THAM_SO_MOI'!$C$22)^2-'THAM_SO_MOI'!$C$25*(E828/'THAM_SO_MOI'!$C$22)^3)</f>
        <v>67.92385393327525</v>
      </c>
      <c r="K828" s="75">
        <f>'THAM_SO_MOI'!$C$31*J828/E828</f>
        <v>412.9241772325678</v>
      </c>
      <c r="L828" s="75">
        <f>K828*'THAM_SO_MOI'!$C$50*'THAM_SO_MOI'!$C$17/'THAM_SO_MOI'!$C$26</f>
        <v>14741.956206859139</v>
      </c>
      <c r="M828" s="75">
        <f>'THAM_SO_MOI'!$C$15*'THAM_SO_MOI'!$C$16*F828^2</f>
        <v>44.88094572518824</v>
      </c>
      <c r="N828" s="75">
        <f>'THAM_SO_MOI'!$C$12*I828</f>
        <v>1130.112</v>
      </c>
      <c r="O828" s="75">
        <f>M828+N828</f>
        <v>1174.9929457251883</v>
      </c>
      <c r="P828" s="75">
        <f>(MIN(L828,'THAM_SO_MOI'!$C$41)-O828)/('THAM_SO_MOI'!$C$11*H828)</f>
        <v>0.9403494342517861</v>
      </c>
      <c r="Q828" s="75">
        <f>IF(P828&gt;0,1/P828,NA())</f>
        <v>1.063434467630298</v>
      </c>
      <c r="R828" s="75">
        <f>F828-F827</f>
        <v>0.0032106047296869278</v>
      </c>
      <c r="S828" s="75">
        <f>0.5*(Q827+Q828)*R828</f>
        <v>0.0034145931414110457</v>
      </c>
      <c r="T828" s="75">
        <f>0.5*(F827*Q827+F828*Q828)*R828</f>
        <v>0.013369925709718136</v>
      </c>
      <c r="U828" s="76">
        <f>U827+S828</f>
        <v>4.1191561653413045</v>
      </c>
      <c r="V828" s="76">
        <f>V827+T828</f>
        <v>12.109037116753125</v>
      </c>
    </row>
    <row r="829" spans="1:29" ht="19" customHeight="1">
      <c r="A829" s="68" t="s">
        <v>372</v>
      </c>
      <c r="B829" s="74">
        <v>2</v>
      </c>
      <c r="C829" s="68" t="s">
        <v>363</v>
      </c>
      <c r="D829" s="68" t="s">
        <v>364</v>
      </c>
      <c r="E829" s="75">
        <f>60*F829*'THAM_SO_MOI'!$C$50/(2*PI()*'THAM_SO_MOI'!$C$26)</f>
        <v>1572.3931433277864</v>
      </c>
      <c r="F829" s="75">
        <f>'HANH_TRINH'!$F$826+('THAM_SO_MOI'!$F$50-'HANH_TRINH'!$F$826)*2/'THAM_SO_MOI'!$C$42</f>
        <v>3.920341323564638</v>
      </c>
      <c r="G829" s="75">
        <f>3.6*F829</f>
        <v>14.113228764832696</v>
      </c>
      <c r="H829" s="75">
        <f>'THAM_SO_MOI'!$D$50</f>
        <v>1.8785906709588276</v>
      </c>
      <c r="I829" s="75">
        <f>IF(F829&gt;'THAM_SO_MOI'!$C$14,'THAM_SO_MOI'!$C$13*(1+F829^2/1500),'THAM_SO_MOI'!$C$13)</f>
        <v>0.015</v>
      </c>
      <c r="J829" s="75">
        <f>'THAM_SO_MOI'!$C$40*('THAM_SO_MOI'!$C$23*(E829/'THAM_SO_MOI'!$C$22)+'THAM_SO_MOI'!$C$24*(E829/'THAM_SO_MOI'!$C$22)^2-'THAM_SO_MOI'!$C$25*(E829/'THAM_SO_MOI'!$C$22)^3)</f>
        <v>67.99176213361795</v>
      </c>
      <c r="K829" s="75">
        <f>'THAM_SO_MOI'!$C$31*J829/E829</f>
        <v>412.99849956271504</v>
      </c>
      <c r="L829" s="75">
        <f>K829*'THAM_SO_MOI'!$C$50*'THAM_SO_MOI'!$C$17/'THAM_SO_MOI'!$C$26</f>
        <v>14744.609615394249</v>
      </c>
      <c r="M829" s="75">
        <f>'THAM_SO_MOI'!$C$15*'THAM_SO_MOI'!$C$16*F829^2</f>
        <v>44.95454757275197</v>
      </c>
      <c r="N829" s="75">
        <f>'THAM_SO_MOI'!$C$12*I829</f>
        <v>1130.112</v>
      </c>
      <c r="O829" s="75">
        <f>M829+N829</f>
        <v>1175.0665475727521</v>
      </c>
      <c r="P829" s="75">
        <f>(MIN(L829,'THAM_SO_MOI'!$C$41)-O829)/('THAM_SO_MOI'!$C$11*H829)</f>
        <v>0.9405282450668829</v>
      </c>
      <c r="Q829" s="75">
        <f>IF(P829&gt;0,1/P829,NA())</f>
        <v>1.0632322901997355</v>
      </c>
      <c r="R829" s="75">
        <f>F829-F828</f>
        <v>0.0032106047296864837</v>
      </c>
      <c r="S829" s="75">
        <f>0.5*(Q828+Q829)*R829</f>
        <v>0.003413943175578063</v>
      </c>
      <c r="T829" s="75">
        <f>0.5*(F828*Q828+F829*Q829)*R829</f>
        <v>0.013378341575456603</v>
      </c>
      <c r="U829" s="76">
        <f>U828+S829</f>
        <v>4.122570108516882</v>
      </c>
      <c r="V829" s="76">
        <f>V828+T829</f>
        <v>12.122415458328582</v>
      </c>
    </row>
    <row r="830" spans="1:29" ht="19" customHeight="1">
      <c r="A830" s="68" t="s">
        <v>372</v>
      </c>
      <c r="B830" s="74">
        <v>2</v>
      </c>
      <c r="C830" s="68" t="s">
        <v>363</v>
      </c>
      <c r="D830" s="68" t="s">
        <v>364</v>
      </c>
      <c r="E830" s="75">
        <f>60*F830*'THAM_SO_MOI'!$C$50/(2*PI()*'THAM_SO_MOI'!$C$26)</f>
        <v>1573.680871218353</v>
      </c>
      <c r="F830" s="75">
        <f>'HANH_TRINH'!$F$826+('THAM_SO_MOI'!$F$50-'HANH_TRINH'!$F$826)*3/'THAM_SO_MOI'!$C$42</f>
        <v>3.9235519282943248</v>
      </c>
      <c r="G830" s="75">
        <f>3.6*F830</f>
        <v>14.12478694185957</v>
      </c>
      <c r="H830" s="75">
        <f>'THAM_SO_MOI'!$D$50</f>
        <v>1.8785906709588276</v>
      </c>
      <c r="I830" s="75">
        <f>IF(F830&gt;'THAM_SO_MOI'!$C$14,'THAM_SO_MOI'!$C$13*(1+F830^2/1500),'THAM_SO_MOI'!$C$13)</f>
        <v>0.015</v>
      </c>
      <c r="J830" s="75">
        <f>'THAM_SO_MOI'!$C$40*('THAM_SO_MOI'!$C$23*(E830/'THAM_SO_MOI'!$C$22)+'THAM_SO_MOI'!$C$24*(E830/'THAM_SO_MOI'!$C$22)^2-'THAM_SO_MOI'!$C$25*(E830/'THAM_SO_MOI'!$C$22)^3)</f>
        <v>68.05966386863255</v>
      </c>
      <c r="K830" s="75">
        <f>'THAM_SO_MOI'!$C$31*J830/E830</f>
        <v>413.0726610185301</v>
      </c>
      <c r="L830" s="75">
        <f>K830*'THAM_SO_MOI'!$C$50*'THAM_SO_MOI'!$C$17/'THAM_SO_MOI'!$C$26</f>
        <v>14747.257280496326</v>
      </c>
      <c r="M830" s="75">
        <f>'THAM_SO_MOI'!$C$15*'THAM_SO_MOI'!$C$16*F830^2</f>
        <v>45.02820972201469</v>
      </c>
      <c r="N830" s="75">
        <f>'THAM_SO_MOI'!$C$12*I830</f>
        <v>1130.112</v>
      </c>
      <c r="O830" s="75">
        <f>M830+N830</f>
        <v>1175.1402097220148</v>
      </c>
      <c r="P830" s="75">
        <f>(MIN(L830,'THAM_SO_MOI'!$C$41)-O830)/('THAM_SO_MOI'!$C$11*H830)</f>
        <v>0.9407066536151963</v>
      </c>
      <c r="Q830" s="75">
        <f>IF(P830&gt;0,1/P830,NA())</f>
        <v>1.063030644204477</v>
      </c>
      <c r="R830" s="75">
        <f>F830-F829</f>
        <v>0.0032106047296869278</v>
      </c>
      <c r="S830" s="75">
        <f>0.5*(Q829+Q830)*R830</f>
        <v>0.003413294916878085</v>
      </c>
      <c r="T830" s="75">
        <f>0.5*(F829*Q829+F830*Q830)*R830</f>
        <v>0.013386759962911395</v>
      </c>
      <c r="U830" s="76">
        <f>U829+S830</f>
        <v>4.12598340343376</v>
      </c>
      <c r="V830" s="76">
        <f>V829+T830</f>
        <v>12.135802218291493</v>
      </c>
    </row>
    <row r="831" spans="1:29" ht="19" customHeight="1">
      <c r="A831" s="68" t="s">
        <v>372</v>
      </c>
      <c r="B831" s="74">
        <v>2</v>
      </c>
      <c r="C831" s="68" t="s">
        <v>363</v>
      </c>
      <c r="D831" s="68" t="s">
        <v>364</v>
      </c>
      <c r="E831" s="75">
        <f>60*F831*'THAM_SO_MOI'!$C$50/(2*PI()*'THAM_SO_MOI'!$C$26)</f>
        <v>1574.9685991089198</v>
      </c>
      <c r="F831" s="75">
        <f>'HANH_TRINH'!$F$826+('THAM_SO_MOI'!$F$50-'HANH_TRINH'!$F$826)*4/'THAM_SO_MOI'!$C$42</f>
        <v>3.9267625330240117</v>
      </c>
      <c r="G831" s="75">
        <f>3.6*F831</f>
        <v>14.136345118886442</v>
      </c>
      <c r="H831" s="75">
        <f>'THAM_SO_MOI'!$D$50</f>
        <v>1.8785906709588276</v>
      </c>
      <c r="I831" s="75">
        <f>IF(F831&gt;'THAM_SO_MOI'!$C$14,'THAM_SO_MOI'!$C$13*(1+F831^2/1500),'THAM_SO_MOI'!$C$13)</f>
        <v>0.015</v>
      </c>
      <c r="J831" s="75">
        <f>'THAM_SO_MOI'!$C$40*('THAM_SO_MOI'!$C$23*(E831/'THAM_SO_MOI'!$C$22)+'THAM_SO_MOI'!$C$24*(E831/'THAM_SO_MOI'!$C$22)^2-'THAM_SO_MOI'!$C$25*(E831/'THAM_SO_MOI'!$C$22)^3)</f>
        <v>68.12755907324936</v>
      </c>
      <c r="K831" s="75">
        <f>'THAM_SO_MOI'!$C$31*J831/E831</f>
        <v>413.14666160001264</v>
      </c>
      <c r="L831" s="75">
        <f>K831*'THAM_SO_MOI'!$C$50*'THAM_SO_MOI'!$C$17/'THAM_SO_MOI'!$C$26</f>
        <v>14749.899202165356</v>
      </c>
      <c r="M831" s="75">
        <f>'THAM_SO_MOI'!$C$15*'THAM_SO_MOI'!$C$16*F831^2</f>
        <v>45.101932172976376</v>
      </c>
      <c r="N831" s="75">
        <f>'THAM_SO_MOI'!$C$12*I831</f>
        <v>1130.112</v>
      </c>
      <c r="O831" s="75">
        <f>M831+N831</f>
        <v>1175.2139321729765</v>
      </c>
      <c r="P831" s="75">
        <f>(MIN(L831,'THAM_SO_MOI'!$C$41)-O831)/('THAM_SO_MOI'!$C$11*H831)</f>
        <v>0.9408846598967255</v>
      </c>
      <c r="Q831" s="75">
        <f>IF(P831&gt;0,1/P831,NA())</f>
        <v>1.0628295290835788</v>
      </c>
      <c r="R831" s="75">
        <f>F831-F830</f>
        <v>0.0032106047296869278</v>
      </c>
      <c r="S831" s="75">
        <f>0.5*(Q830+Q831)*R831</f>
        <v>0.003412648363505852</v>
      </c>
      <c r="T831" s="75">
        <f>0.5*(F830*Q830+F831*Q831)*R831</f>
        <v>0.013395180881439376</v>
      </c>
      <c r="U831" s="76">
        <f>U830+S831</f>
        <v>4.129396051797266</v>
      </c>
      <c r="V831" s="76">
        <f>V830+T831</f>
        <v>12.149197399172932</v>
      </c>
    </row>
    <row r="832" spans="1:29" ht="19" customHeight="1">
      <c r="A832" s="68" t="s">
        <v>372</v>
      </c>
      <c r="B832" s="74">
        <v>2</v>
      </c>
      <c r="C832" s="68" t="s">
        <v>363</v>
      </c>
      <c r="D832" s="68" t="s">
        <v>364</v>
      </c>
      <c r="E832" s="75">
        <f>60*F832*'THAM_SO_MOI'!$C$50/(2*PI()*'THAM_SO_MOI'!$C$26)</f>
        <v>1576.2563269994864</v>
      </c>
      <c r="F832" s="75">
        <f>'HANH_TRINH'!$F$826+('THAM_SO_MOI'!$F$50-'HANH_TRINH'!$F$826)*5/'THAM_SO_MOI'!$C$42</f>
        <v>3.9299731377536986</v>
      </c>
      <c r="G832" s="75">
        <f>3.6*F832</f>
        <v>14.147903295913315</v>
      </c>
      <c r="H832" s="75">
        <f>'THAM_SO_MOI'!$D$50</f>
        <v>1.8785906709588276</v>
      </c>
      <c r="I832" s="75">
        <f>IF(F832&gt;'THAM_SO_MOI'!$C$14,'THAM_SO_MOI'!$C$13*(1+F832^2/1500),'THAM_SO_MOI'!$C$13)</f>
        <v>0.015</v>
      </c>
      <c r="J832" s="75">
        <f>'THAM_SO_MOI'!$C$40*('THAM_SO_MOI'!$C$23*(E832/'THAM_SO_MOI'!$C$22)+'THAM_SO_MOI'!$C$24*(E832/'THAM_SO_MOI'!$C$22)^2-'THAM_SO_MOI'!$C$25*(E832/'THAM_SO_MOI'!$C$22)^3)</f>
        <v>68.19544768239874</v>
      </c>
      <c r="K832" s="75">
        <f>'THAM_SO_MOI'!$C$31*J832/E832</f>
        <v>413.22050130716326</v>
      </c>
      <c r="L832" s="75">
        <f>K832*'THAM_SO_MOI'!$C$50*'THAM_SO_MOI'!$C$17/'THAM_SO_MOI'!$C$26</f>
        <v>14752.535380401365</v>
      </c>
      <c r="M832" s="75">
        <f>'THAM_SO_MOI'!$C$15*'THAM_SO_MOI'!$C$16*F832^2</f>
        <v>45.17571492563704</v>
      </c>
      <c r="N832" s="75">
        <f>'THAM_SO_MOI'!$C$12*I832</f>
        <v>1130.112</v>
      </c>
      <c r="O832" s="75">
        <f>M832+N832</f>
        <v>1175.2877149256371</v>
      </c>
      <c r="P832" s="75">
        <f>(MIN(L832,'THAM_SO_MOI'!$C$41)-O832)/('THAM_SO_MOI'!$C$11*H832)</f>
        <v>0.941062263911472</v>
      </c>
      <c r="Q832" s="75">
        <f>IF(P832&gt;0,1/P832,NA())</f>
        <v>1.062628944277881</v>
      </c>
      <c r="R832" s="75">
        <f>F832-F831</f>
        <v>0.0032106047296869278</v>
      </c>
      <c r="S832" s="75">
        <f>0.5*(Q831+Q832)*R832</f>
        <v>0.0034120035136637294</v>
      </c>
      <c r="T832" s="75">
        <f>0.5*(F831*Q831+F832*Q832)*R832</f>
        <v>0.013403604340404177</v>
      </c>
      <c r="U832" s="76">
        <f>U831+S832</f>
        <v>4.13280805531093</v>
      </c>
      <c r="V832" s="76">
        <f>V831+T832</f>
        <v>12.162601003513336</v>
      </c>
    </row>
    <row r="833" spans="1:22" ht="19" customHeight="1">
      <c r="A833" s="68" t="s">
        <v>372</v>
      </c>
      <c r="B833" s="74">
        <v>2</v>
      </c>
      <c r="C833" s="68" t="s">
        <v>363</v>
      </c>
      <c r="D833" s="68" t="s">
        <v>364</v>
      </c>
      <c r="E833" s="75">
        <f>60*F833*'THAM_SO_MOI'!$C$50/(2*PI()*'THAM_SO_MOI'!$C$26)</f>
        <v>1577.5440548900528</v>
      </c>
      <c r="F833" s="75">
        <f>'HANH_TRINH'!$F$826+('THAM_SO_MOI'!$F$50-'HANH_TRINH'!$F$826)*6/'THAM_SO_MOI'!$C$42</f>
        <v>3.933183742483385</v>
      </c>
      <c r="G833" s="75">
        <f>3.6*F833</f>
        <v>14.159461472940187</v>
      </c>
      <c r="H833" s="75">
        <f>'THAM_SO_MOI'!$D$50</f>
        <v>1.8785906709588276</v>
      </c>
      <c r="I833" s="75">
        <f>IF(F833&gt;'THAM_SO_MOI'!$C$14,'THAM_SO_MOI'!$C$13*(1+F833^2/1500),'THAM_SO_MOI'!$C$13)</f>
        <v>0.015</v>
      </c>
      <c r="J833" s="75">
        <f>'THAM_SO_MOI'!$C$40*('THAM_SO_MOI'!$C$23*(E833/'THAM_SO_MOI'!$C$22)+'THAM_SO_MOI'!$C$24*(E833/'THAM_SO_MOI'!$C$22)^2-'THAM_SO_MOI'!$C$25*(E833/'THAM_SO_MOI'!$C$22)^3)</f>
        <v>68.26332963101089</v>
      </c>
      <c r="K833" s="75">
        <f>'THAM_SO_MOI'!$C$31*J833/E833</f>
        <v>413.29418013998134</v>
      </c>
      <c r="L833" s="75">
        <f>K833*'THAM_SO_MOI'!$C$50*'THAM_SO_MOI'!$C$17/'THAM_SO_MOI'!$C$26</f>
        <v>14755.165815204326</v>
      </c>
      <c r="M833" s="75">
        <f>'THAM_SO_MOI'!$C$15*'THAM_SO_MOI'!$C$16*F833^2</f>
        <v>45.24955797999665</v>
      </c>
      <c r="N833" s="75">
        <f>'THAM_SO_MOI'!$C$12*I833</f>
        <v>1130.112</v>
      </c>
      <c r="O833" s="75">
        <f>M833+N833</f>
        <v>1175.3615579799966</v>
      </c>
      <c r="P833" s="75">
        <f>(MIN(L833,'THAM_SO_MOI'!$C$41)-O833)/('THAM_SO_MOI'!$C$11*H833)</f>
        <v>0.9412394656594341</v>
      </c>
      <c r="Q833" s="75">
        <f>IF(P833&gt;0,1/P833,NA())</f>
        <v>1.0624288892300093</v>
      </c>
      <c r="R833" s="75">
        <f>F833-F832</f>
        <v>0.0032106047296864837</v>
      </c>
      <c r="S833" s="75">
        <f>0.5*(Q832+Q833)*R833</f>
        <v>0.0034113603655588722</v>
      </c>
      <c r="T833" s="75">
        <f>0.5*(F832*Q832+F833*Q833)*R833</f>
        <v>0.013412030349165173</v>
      </c>
      <c r="U833" s="76">
        <f>U832+S833</f>
        <v>4.136219415676488</v>
      </c>
      <c r="V833" s="76">
        <f>V832+T833</f>
        <v>12.176013033862501</v>
      </c>
    </row>
    <row r="834" spans="1:22" ht="19" customHeight="1">
      <c r="A834" s="68" t="s">
        <v>372</v>
      </c>
      <c r="B834" s="74">
        <v>2</v>
      </c>
      <c r="C834" s="68" t="s">
        <v>363</v>
      </c>
      <c r="D834" s="68" t="s">
        <v>364</v>
      </c>
      <c r="E834" s="75">
        <f>60*F834*'THAM_SO_MOI'!$C$50/(2*PI()*'THAM_SO_MOI'!$C$26)</f>
        <v>1578.8317827806197</v>
      </c>
      <c r="F834" s="75">
        <f>'HANH_TRINH'!$F$826+('THAM_SO_MOI'!$F$50-'HANH_TRINH'!$F$826)*7/'THAM_SO_MOI'!$C$42</f>
        <v>3.936394347213072</v>
      </c>
      <c r="G834" s="75">
        <f>3.6*F834</f>
        <v>14.171019649967059</v>
      </c>
      <c r="H834" s="75">
        <f>'THAM_SO_MOI'!$D$50</f>
        <v>1.8785906709588276</v>
      </c>
      <c r="I834" s="75">
        <f>IF(F834&gt;'THAM_SO_MOI'!$C$14,'THAM_SO_MOI'!$C$13*(1+F834^2/1500),'THAM_SO_MOI'!$C$13)</f>
        <v>0.015</v>
      </c>
      <c r="J834" s="75">
        <f>'THAM_SO_MOI'!$C$40*('THAM_SO_MOI'!$C$23*(E834/'THAM_SO_MOI'!$C$22)+'THAM_SO_MOI'!$C$24*(E834/'THAM_SO_MOI'!$C$22)^2-'THAM_SO_MOI'!$C$25*(E834/'THAM_SO_MOI'!$C$22)^3)</f>
        <v>68.33120485401619</v>
      </c>
      <c r="K834" s="75">
        <f>'THAM_SO_MOI'!$C$31*J834/E834</f>
        <v>413.3676980984672</v>
      </c>
      <c r="L834" s="75">
        <f>K834*'THAM_SO_MOI'!$C$50*'THAM_SO_MOI'!$C$17/'THAM_SO_MOI'!$C$26</f>
        <v>14757.790506574253</v>
      </c>
      <c r="M834" s="75">
        <f>'THAM_SO_MOI'!$C$15*'THAM_SO_MOI'!$C$16*F834^2</f>
        <v>45.32346133605526</v>
      </c>
      <c r="N834" s="75">
        <f>'THAM_SO_MOI'!$C$12*I834</f>
        <v>1130.112</v>
      </c>
      <c r="O834" s="75">
        <f>M834+N834</f>
        <v>1175.4354613360554</v>
      </c>
      <c r="P834" s="75">
        <f>(MIN(L834,'THAM_SO_MOI'!$C$41)-O834)/('THAM_SO_MOI'!$C$11*H834)</f>
        <v>0.9414162651406126</v>
      </c>
      <c r="Q834" s="75">
        <f>IF(P834&gt;0,1/P834,NA())</f>
        <v>1.0622293633843656</v>
      </c>
      <c r="R834" s="75">
        <f>F834-F833</f>
        <v>0.0032106047296869278</v>
      </c>
      <c r="S834" s="75">
        <f>0.5*(Q833+Q834)*R834</f>
        <v>0.003410718917406038</v>
      </c>
      <c r="T834" s="75">
        <f>0.5*(F833*Q833+F834*Q834)*R834</f>
        <v>0.013420458917088643</v>
      </c>
      <c r="U834" s="76">
        <f>U833+S834</f>
        <v>4.139630134593895</v>
      </c>
      <c r="V834" s="76">
        <f>V833+T834</f>
        <v>12.18943349277959</v>
      </c>
    </row>
    <row r="835" spans="1:22" ht="19" customHeight="1">
      <c r="A835" s="68" t="s">
        <v>372</v>
      </c>
      <c r="B835" s="74">
        <v>2</v>
      </c>
      <c r="C835" s="68" t="s">
        <v>363</v>
      </c>
      <c r="D835" s="68" t="s">
        <v>364</v>
      </c>
      <c r="E835" s="75">
        <f>60*F835*'THAM_SO_MOI'!$C$50/(2*PI()*'THAM_SO_MOI'!$C$26)</f>
        <v>1580.1195106711864</v>
      </c>
      <c r="F835" s="75">
        <f>'HANH_TRINH'!$F$826+('THAM_SO_MOI'!$F$50-'HANH_TRINH'!$F$826)*8/'THAM_SO_MOI'!$C$42</f>
        <v>3.939604951942759</v>
      </c>
      <c r="G835" s="75">
        <f>3.6*F835</f>
        <v>14.182577826993933</v>
      </c>
      <c r="H835" s="75">
        <f>'THAM_SO_MOI'!$D$50</f>
        <v>1.8785906709588276</v>
      </c>
      <c r="I835" s="75">
        <f>IF(F835&gt;'THAM_SO_MOI'!$C$14,'THAM_SO_MOI'!$C$13*(1+F835^2/1500),'THAM_SO_MOI'!$C$13)</f>
        <v>0.015</v>
      </c>
      <c r="J835" s="75">
        <f>'THAM_SO_MOI'!$C$40*('THAM_SO_MOI'!$C$23*(E835/'THAM_SO_MOI'!$C$22)+'THAM_SO_MOI'!$C$24*(E835/'THAM_SO_MOI'!$C$22)^2-'THAM_SO_MOI'!$C$25*(E835/'THAM_SO_MOI'!$C$22)^3)</f>
        <v>68.39907328634494</v>
      </c>
      <c r="K835" s="75">
        <f>'THAM_SO_MOI'!$C$31*J835/E835</f>
        <v>413.44105518262097</v>
      </c>
      <c r="L835" s="75">
        <f>K835*'THAM_SO_MOI'!$C$50*'THAM_SO_MOI'!$C$17/'THAM_SO_MOI'!$C$26</f>
        <v>14760.40945451115</v>
      </c>
      <c r="M835" s="75">
        <f>'THAM_SO_MOI'!$C$15*'THAM_SO_MOI'!$C$16*F835^2</f>
        <v>45.397424993812834</v>
      </c>
      <c r="N835" s="75">
        <f>'THAM_SO_MOI'!$C$12*I835</f>
        <v>1130.112</v>
      </c>
      <c r="O835" s="75">
        <f>M835+N835</f>
        <v>1175.509424993813</v>
      </c>
      <c r="P835" s="75">
        <f>(MIN(L835,'THAM_SO_MOI'!$C$41)-O835)/('THAM_SO_MOI'!$C$11*H835)</f>
        <v>0.9415926623550079</v>
      </c>
      <c r="Q835" s="75">
        <f>IF(P835&gt;0,1/P835,NA())</f>
        <v>1.062030366187126</v>
      </c>
      <c r="R835" s="75">
        <f>F835-F834</f>
        <v>0.0032106047296869278</v>
      </c>
      <c r="S835" s="75">
        <f>0.5*(Q834+Q835)*R835</f>
        <v>0.0034100791674228524</v>
      </c>
      <c r="T835" s="75">
        <f>0.5*(F834*Q834+F835*Q835)*R835</f>
        <v>0.013428890053529225</v>
      </c>
      <c r="U835" s="76">
        <f>U834+S835</f>
        <v>4.143040213761317</v>
      </c>
      <c r="V835" s="76">
        <f>V834+T835</f>
        <v>12.20286238283312</v>
      </c>
    </row>
    <row r="836" spans="1:22" ht="19" customHeight="1">
      <c r="A836" s="68" t="s">
        <v>372</v>
      </c>
      <c r="B836" s="74">
        <v>2</v>
      </c>
      <c r="C836" s="68" t="s">
        <v>363</v>
      </c>
      <c r="D836" s="68" t="s">
        <v>364</v>
      </c>
      <c r="E836" s="75">
        <f>60*F836*'THAM_SO_MOI'!$C$50/(2*PI()*'THAM_SO_MOI'!$C$26)</f>
        <v>1581.407238561753</v>
      </c>
      <c r="F836" s="75">
        <f>'HANH_TRINH'!$F$826+('THAM_SO_MOI'!$F$50-'HANH_TRINH'!$F$826)*9/'THAM_SO_MOI'!$C$42</f>
        <v>3.9428155566724454</v>
      </c>
      <c r="G836" s="75">
        <f>3.6*F836</f>
        <v>14.194136004020804</v>
      </c>
      <c r="H836" s="75">
        <f>'THAM_SO_MOI'!$D$50</f>
        <v>1.8785906709588276</v>
      </c>
      <c r="I836" s="75">
        <f>IF(F836&gt;'THAM_SO_MOI'!$C$14,'THAM_SO_MOI'!$C$13*(1+F836^2/1500),'THAM_SO_MOI'!$C$13)</f>
        <v>0.015</v>
      </c>
      <c r="J836" s="75">
        <f>'THAM_SO_MOI'!$C$40*('THAM_SO_MOI'!$C$23*(E836/'THAM_SO_MOI'!$C$22)+'THAM_SO_MOI'!$C$24*(E836/'THAM_SO_MOI'!$C$22)^2-'THAM_SO_MOI'!$C$25*(E836/'THAM_SO_MOI'!$C$22)^3)</f>
        <v>68.4669348629274</v>
      </c>
      <c r="K836" s="75">
        <f>'THAM_SO_MOI'!$C$31*J836/E836</f>
        <v>413.51425139244236</v>
      </c>
      <c r="L836" s="75">
        <f>K836*'THAM_SO_MOI'!$C$50*'THAM_SO_MOI'!$C$17/'THAM_SO_MOI'!$C$26</f>
        <v>14763.022659015005</v>
      </c>
      <c r="M836" s="75">
        <f>'THAM_SO_MOI'!$C$15*'THAM_SO_MOI'!$C$16*F836^2</f>
        <v>45.47144895326937</v>
      </c>
      <c r="N836" s="75">
        <f>'THAM_SO_MOI'!$C$12*I836</f>
        <v>1130.112</v>
      </c>
      <c r="O836" s="75">
        <f>M836+N836</f>
        <v>1175.5834489532695</v>
      </c>
      <c r="P836" s="75">
        <f>(MIN(L836,'THAM_SO_MOI'!$C$41)-O836)/('THAM_SO_MOI'!$C$11*H836)</f>
        <v>0.9417686573026195</v>
      </c>
      <c r="Q836" s="75">
        <f>IF(P836&gt;0,1/P836,NA())</f>
        <v>1.0618318970862384</v>
      </c>
      <c r="R836" s="75">
        <f>F836-F835</f>
        <v>0.0032106047296864837</v>
      </c>
      <c r="S836" s="75">
        <f>0.5*(Q835+Q836)*R836</f>
        <v>0.0034094411138340516</v>
      </c>
      <c r="T836" s="75">
        <f>0.5*(F835*Q835+F836*Q836)*R836</f>
        <v>0.013437323767846681</v>
      </c>
      <c r="U836" s="76">
        <f>U835+S836</f>
        <v>4.146449654875151</v>
      </c>
      <c r="V836" s="76">
        <f>V835+T836</f>
        <v>12.216299706600966</v>
      </c>
    </row>
    <row r="837" spans="1:22" ht="19" customHeight="1">
      <c r="A837" s="68" t="s">
        <v>372</v>
      </c>
      <c r="B837" s="74">
        <v>2</v>
      </c>
      <c r="C837" s="68" t="s">
        <v>363</v>
      </c>
      <c r="D837" s="68" t="s">
        <v>364</v>
      </c>
      <c r="E837" s="75">
        <f>60*F837*'THAM_SO_MOI'!$C$50/(2*PI()*'THAM_SO_MOI'!$C$26)</f>
        <v>1582.6949664523197</v>
      </c>
      <c r="F837" s="75">
        <f>'HANH_TRINH'!$F$826+('THAM_SO_MOI'!$F$50-'HANH_TRINH'!$F$826)*10/'THAM_SO_MOI'!$C$42</f>
        <v>3.9460261614021324</v>
      </c>
      <c r="G837" s="75">
        <f>3.6*F837</f>
        <v>14.205694181047678</v>
      </c>
      <c r="H837" s="75">
        <f>'THAM_SO_MOI'!$D$50</f>
        <v>1.8785906709588276</v>
      </c>
      <c r="I837" s="75">
        <f>IF(F837&gt;'THAM_SO_MOI'!$C$14,'THAM_SO_MOI'!$C$13*(1+F837^2/1500),'THAM_SO_MOI'!$C$13)</f>
        <v>0.015</v>
      </c>
      <c r="J837" s="75">
        <f>'THAM_SO_MOI'!$C$40*('THAM_SO_MOI'!$C$23*(E837/'THAM_SO_MOI'!$C$22)+'THAM_SO_MOI'!$C$24*(E837/'THAM_SO_MOI'!$C$22)^2-'THAM_SO_MOI'!$C$25*(E837/'THAM_SO_MOI'!$C$22)^3)</f>
        <v>68.53478951869393</v>
      </c>
      <c r="K837" s="75">
        <f>'THAM_SO_MOI'!$C$31*J837/E837</f>
        <v>413.58728672793166</v>
      </c>
      <c r="L837" s="75">
        <f>K837*'THAM_SO_MOI'!$C$50*'THAM_SO_MOI'!$C$17/'THAM_SO_MOI'!$C$26</f>
        <v>14765.630120085829</v>
      </c>
      <c r="M837" s="75">
        <f>'THAM_SO_MOI'!$C$15*'THAM_SO_MOI'!$C$16*F837^2</f>
        <v>45.54553321442489</v>
      </c>
      <c r="N837" s="75">
        <f>'THAM_SO_MOI'!$C$12*I837</f>
        <v>1130.112</v>
      </c>
      <c r="O837" s="75">
        <f>M837+N837</f>
        <v>1175.657533214425</v>
      </c>
      <c r="P837" s="75">
        <f>(MIN(L837,'THAM_SO_MOI'!$C$41)-O837)/('THAM_SO_MOI'!$C$11*H837)</f>
        <v>0.9419442499834475</v>
      </c>
      <c r="Q837" s="75">
        <f>IF(P837&gt;0,1/P837,NA())</f>
        <v>1.0616339555314156</v>
      </c>
      <c r="R837" s="75">
        <f>F837-F836</f>
        <v>0.0032106047296869278</v>
      </c>
      <c r="S837" s="75">
        <f>0.5*(Q836+Q837)*R837</f>
        <v>0.0034088047548714627</v>
      </c>
      <c r="T837" s="75">
        <f>0.5*(F836*Q836+F837*Q837)*R837</f>
        <v>0.013445760069405954</v>
      </c>
      <c r="U837" s="76">
        <f>U836+S837</f>
        <v>4.149858459630022</v>
      </c>
      <c r="V837" s="76">
        <f>V836+T837</f>
        <v>12.229745466670371</v>
      </c>
    </row>
    <row r="838" spans="1:22" ht="19" customHeight="1">
      <c r="A838" s="68" t="s">
        <v>372</v>
      </c>
      <c r="B838" s="74">
        <v>2</v>
      </c>
      <c r="C838" s="68" t="s">
        <v>363</v>
      </c>
      <c r="D838" s="68" t="s">
        <v>364</v>
      </c>
      <c r="E838" s="75">
        <f>60*F838*'THAM_SO_MOI'!$C$50/(2*PI()*'THAM_SO_MOI'!$C$26)</f>
        <v>1583.9826943428864</v>
      </c>
      <c r="F838" s="75">
        <f>'HANH_TRINH'!$F$826+('THAM_SO_MOI'!$F$50-'HANH_TRINH'!$F$826)*11/'THAM_SO_MOI'!$C$42</f>
        <v>3.9492367661318193</v>
      </c>
      <c r="G838" s="75">
        <f>3.6*F838</f>
        <v>14.21725235807455</v>
      </c>
      <c r="H838" s="75">
        <f>'THAM_SO_MOI'!$D$50</f>
        <v>1.8785906709588276</v>
      </c>
      <c r="I838" s="75">
        <f>IF(F838&gt;'THAM_SO_MOI'!$C$14,'THAM_SO_MOI'!$C$13*(1+F838^2/1500),'THAM_SO_MOI'!$C$13)</f>
        <v>0.015</v>
      </c>
      <c r="J838" s="75">
        <f>'THAM_SO_MOI'!$C$40*('THAM_SO_MOI'!$C$23*(E838/'THAM_SO_MOI'!$C$22)+'THAM_SO_MOI'!$C$24*(E838/'THAM_SO_MOI'!$C$22)^2-'THAM_SO_MOI'!$C$25*(E838/'THAM_SO_MOI'!$C$22)^3)</f>
        <v>68.60263718857476</v>
      </c>
      <c r="K838" s="75">
        <f>'THAM_SO_MOI'!$C$31*J838/E838</f>
        <v>413.6601611890886</v>
      </c>
      <c r="L838" s="75">
        <f>K838*'THAM_SO_MOI'!$C$50*'THAM_SO_MOI'!$C$17/'THAM_SO_MOI'!$C$26</f>
        <v>14768.231837723615</v>
      </c>
      <c r="M838" s="75">
        <f>'THAM_SO_MOI'!$C$15*'THAM_SO_MOI'!$C$16*F838^2</f>
        <v>45.619677777279385</v>
      </c>
      <c r="N838" s="75">
        <f>'THAM_SO_MOI'!$C$12*I838</f>
        <v>1130.112</v>
      </c>
      <c r="O838" s="75">
        <f>M838+N838</f>
        <v>1175.7316777772794</v>
      </c>
      <c r="P838" s="75">
        <f>(MIN(L838,'THAM_SO_MOI'!$C$41)-O838)/('THAM_SO_MOI'!$C$11*H838)</f>
        <v>0.9421194403974917</v>
      </c>
      <c r="Q838" s="75">
        <f>IF(P838&gt;0,1/P838,NA())</f>
        <v>1.0614365409741335</v>
      </c>
      <c r="R838" s="75">
        <f>F838-F837</f>
        <v>0.0032106047296869278</v>
      </c>
      <c r="S838" s="75">
        <f>0.5*(Q837+Q838)*R838</f>
        <v>0.003408170088769745</v>
      </c>
      <c r="T838" s="75">
        <f>0.5*(F837*Q837+F838*Q838)*R838</f>
        <v>0.013454198967560473</v>
      </c>
      <c r="U838" s="76">
        <f>U837+S838</f>
        <v>4.153266629718792</v>
      </c>
      <c r="V838" s="76">
        <f>V837+T838</f>
        <v>12.243199665637931</v>
      </c>
    </row>
    <row r="839" spans="1:22" ht="19" customHeight="1">
      <c r="A839" s="68" t="s">
        <v>372</v>
      </c>
      <c r="B839" s="74">
        <v>2</v>
      </c>
      <c r="C839" s="68" t="s">
        <v>363</v>
      </c>
      <c r="D839" s="68" t="s">
        <v>364</v>
      </c>
      <c r="E839" s="75">
        <f>60*F839*'THAM_SO_MOI'!$C$50/(2*PI()*'THAM_SO_MOI'!$C$26)</f>
        <v>1585.2704222334532</v>
      </c>
      <c r="F839" s="75">
        <f>'HANH_TRINH'!$F$826+('THAM_SO_MOI'!$F$50-'HANH_TRINH'!$F$826)*12/'THAM_SO_MOI'!$C$42</f>
        <v>3.952447370861506</v>
      </c>
      <c r="G839" s="75">
        <f>3.6*F839</f>
        <v>14.228810535101422</v>
      </c>
      <c r="H839" s="75">
        <f>'THAM_SO_MOI'!$D$50</f>
        <v>1.8785906709588276</v>
      </c>
      <c r="I839" s="75">
        <f>IF(F839&gt;'THAM_SO_MOI'!$C$14,'THAM_SO_MOI'!$C$13*(1+F839^2/1500),'THAM_SO_MOI'!$C$13)</f>
        <v>0.015</v>
      </c>
      <c r="J839" s="75">
        <f>'THAM_SO_MOI'!$C$40*('THAM_SO_MOI'!$C$23*(E839/'THAM_SO_MOI'!$C$22)+'THAM_SO_MOI'!$C$24*(E839/'THAM_SO_MOI'!$C$22)^2-'THAM_SO_MOI'!$C$25*(E839/'THAM_SO_MOI'!$C$22)^3)</f>
        <v>68.67047780750025</v>
      </c>
      <c r="K839" s="75">
        <f>'THAM_SO_MOI'!$C$31*J839/E839</f>
        <v>413.73287477591333</v>
      </c>
      <c r="L839" s="75">
        <f>K839*'THAM_SO_MOI'!$C$50*'THAM_SO_MOI'!$C$17/'THAM_SO_MOI'!$C$26</f>
        <v>14770.827811928364</v>
      </c>
      <c r="M839" s="75">
        <f>'THAM_SO_MOI'!$C$15*'THAM_SO_MOI'!$C$16*F839^2</f>
        <v>45.69388264183285</v>
      </c>
      <c r="N839" s="75">
        <f>'THAM_SO_MOI'!$C$12*I839</f>
        <v>1130.112</v>
      </c>
      <c r="O839" s="75">
        <f>M839+N839</f>
        <v>1175.805882641833</v>
      </c>
      <c r="P839" s="75">
        <f>(MIN(L839,'THAM_SO_MOI'!$C$41)-O839)/('THAM_SO_MOI'!$C$11*H839)</f>
        <v>0.9422942285447522</v>
      </c>
      <c r="Q839" s="75">
        <f>IF(P839&gt;0,1/P839,NA())</f>
        <v>1.0612396528676258</v>
      </c>
      <c r="R839" s="75">
        <f>F839-F838</f>
        <v>0.0032106047296869278</v>
      </c>
      <c r="S839" s="75">
        <f>0.5*(Q838+Q839)*R839</f>
        <v>0.0034075371137710993</v>
      </c>
      <c r="T839" s="75">
        <f>0.5*(F838*Q838+F839*Q839)*R839</f>
        <v>0.01346264047167076</v>
      </c>
      <c r="U839" s="76">
        <f>U838+S839</f>
        <v>4.1566741668325635</v>
      </c>
      <c r="V839" s="76">
        <f>V838+T839</f>
        <v>12.256662306109602</v>
      </c>
    </row>
    <row r="840" spans="1:22" ht="19" customHeight="1">
      <c r="A840" s="68" t="s">
        <v>372</v>
      </c>
      <c r="B840" s="74">
        <v>2</v>
      </c>
      <c r="C840" s="68" t="s">
        <v>363</v>
      </c>
      <c r="D840" s="68" t="s">
        <v>364</v>
      </c>
      <c r="E840" s="75">
        <f>60*F840*'THAM_SO_MOI'!$C$50/(2*PI()*'THAM_SO_MOI'!$C$26)</f>
        <v>1586.5581501240197</v>
      </c>
      <c r="F840" s="75">
        <f>'HANH_TRINH'!$F$826+('THAM_SO_MOI'!$F$50-'HANH_TRINH'!$F$826)*13/'THAM_SO_MOI'!$C$42</f>
        <v>3.9556579755911927</v>
      </c>
      <c r="G840" s="75">
        <f>3.6*F840</f>
        <v>14.240368712128294</v>
      </c>
      <c r="H840" s="75">
        <f>'THAM_SO_MOI'!$D$50</f>
        <v>1.8785906709588276</v>
      </c>
      <c r="I840" s="75">
        <f>IF(F840&gt;'THAM_SO_MOI'!$C$14,'THAM_SO_MOI'!$C$13*(1+F840^2/1500),'THAM_SO_MOI'!$C$13)</f>
        <v>0.015</v>
      </c>
      <c r="J840" s="75">
        <f>'THAM_SO_MOI'!$C$40*('THAM_SO_MOI'!$C$23*(E840/'THAM_SO_MOI'!$C$22)+'THAM_SO_MOI'!$C$24*(E840/'THAM_SO_MOI'!$C$22)^2-'THAM_SO_MOI'!$C$25*(E840/'THAM_SO_MOI'!$C$22)^3)</f>
        <v>68.73831131040065</v>
      </c>
      <c r="K840" s="75">
        <f>'THAM_SO_MOI'!$C$31*J840/E840</f>
        <v>413.8054274884057</v>
      </c>
      <c r="L840" s="75">
        <f>K840*'THAM_SO_MOI'!$C$50*'THAM_SO_MOI'!$C$17/'THAM_SO_MOI'!$C$26</f>
        <v>14773.41804270008</v>
      </c>
      <c r="M840" s="75">
        <f>'THAM_SO_MOI'!$C$15*'THAM_SO_MOI'!$C$16*F840^2</f>
        <v>45.76814780808528</v>
      </c>
      <c r="N840" s="75">
        <f>'THAM_SO_MOI'!$C$12*I840</f>
        <v>1130.112</v>
      </c>
      <c r="O840" s="75">
        <f>M840+N840</f>
        <v>1175.8801478080854</v>
      </c>
      <c r="P840" s="75">
        <f>(MIN(L840,'THAM_SO_MOI'!$C$41)-O840)/('THAM_SO_MOI'!$C$11*H840)</f>
        <v>0.9424686144252294</v>
      </c>
      <c r="Q840" s="75">
        <f>IF(P840&gt;0,1/P840,NA())</f>
        <v>1.0610432906668796</v>
      </c>
      <c r="R840" s="75">
        <f>F840-F839</f>
        <v>0.0032106047296864837</v>
      </c>
      <c r="S840" s="75">
        <f>0.5*(Q839+Q840)*R840</f>
        <v>0.003406905828122418</v>
      </c>
      <c r="T840" s="75">
        <f>0.5*(F839*Q839+F840*Q840)*R840</f>
        <v>0.013471084591093333</v>
      </c>
      <c r="U840" s="76">
        <f>U839+S840</f>
        <v>4.160081072660686</v>
      </c>
      <c r="V840" s="76">
        <f>V839+T840</f>
        <v>12.270133390700696</v>
      </c>
    </row>
    <row r="841" spans="1:22" ht="19" customHeight="1">
      <c r="A841" s="68" t="s">
        <v>372</v>
      </c>
      <c r="B841" s="74">
        <v>2</v>
      </c>
      <c r="C841" s="68" t="s">
        <v>363</v>
      </c>
      <c r="D841" s="68" t="s">
        <v>364</v>
      </c>
      <c r="E841" s="75">
        <f>60*F841*'THAM_SO_MOI'!$C$50/(2*PI()*'THAM_SO_MOI'!$C$26)</f>
        <v>1587.8458780145866</v>
      </c>
      <c r="F841" s="75">
        <f>'HANH_TRINH'!$F$826+('THAM_SO_MOI'!$F$50-'HANH_TRINH'!$F$826)*14/'THAM_SO_MOI'!$C$42</f>
        <v>3.9588685803208796</v>
      </c>
      <c r="G841" s="75">
        <f>3.6*F841</f>
        <v>14.251926889155166</v>
      </c>
      <c r="H841" s="75">
        <f>'THAM_SO_MOI'!$D$50</f>
        <v>1.8785906709588276</v>
      </c>
      <c r="I841" s="75">
        <f>IF(F841&gt;'THAM_SO_MOI'!$C$14,'THAM_SO_MOI'!$C$13*(1+F841^2/1500),'THAM_SO_MOI'!$C$13)</f>
        <v>0.015</v>
      </c>
      <c r="J841" s="75">
        <f>'THAM_SO_MOI'!$C$40*('THAM_SO_MOI'!$C$23*(E841/'THAM_SO_MOI'!$C$22)+'THAM_SO_MOI'!$C$24*(E841/'THAM_SO_MOI'!$C$22)^2-'THAM_SO_MOI'!$C$25*(E841/'THAM_SO_MOI'!$C$22)^3)</f>
        <v>68.8061376322063</v>
      </c>
      <c r="K841" s="75">
        <f>'THAM_SO_MOI'!$C$31*J841/E841</f>
        <v>413.87781932656594</v>
      </c>
      <c r="L841" s="75">
        <f>K841*'THAM_SO_MOI'!$C$50*'THAM_SO_MOI'!$C$17/'THAM_SO_MOI'!$C$26</f>
        <v>14776.002530038759</v>
      </c>
      <c r="M841" s="75">
        <f>'THAM_SO_MOI'!$C$15*'THAM_SO_MOI'!$C$16*F841^2</f>
        <v>45.842473276036685</v>
      </c>
      <c r="N841" s="75">
        <f>'THAM_SO_MOI'!$C$12*I841</f>
        <v>1130.112</v>
      </c>
      <c r="O841" s="75">
        <f>M841+N841</f>
        <v>1175.9544732760369</v>
      </c>
      <c r="P841" s="75">
        <f>(MIN(L841,'THAM_SO_MOI'!$C$41)-O841)/('THAM_SO_MOI'!$C$11*H841)</f>
        <v>0.9426425980389231</v>
      </c>
      <c r="Q841" s="75">
        <f>IF(P841&gt;0,1/P841,NA())</f>
        <v>1.0608474538286339</v>
      </c>
      <c r="R841" s="75">
        <f>F841-F840</f>
        <v>0.0032106047296869278</v>
      </c>
      <c r="S841" s="75">
        <f>0.5*(Q840+Q841)*R841</f>
        <v>0.0034062762300781065</v>
      </c>
      <c r="T841" s="75">
        <f>0.5*(F840*Q840+F841*Q841)*R841</f>
        <v>0.013479531335191927</v>
      </c>
      <c r="U841" s="76">
        <f>U840+S841</f>
        <v>4.163487348890764</v>
      </c>
      <c r="V841" s="76">
        <f>V840+T841</f>
        <v>12.283612922035887</v>
      </c>
    </row>
    <row r="842" spans="1:22" ht="19" customHeight="1">
      <c r="A842" s="68" t="s">
        <v>372</v>
      </c>
      <c r="B842" s="74">
        <v>2</v>
      </c>
      <c r="C842" s="68" t="s">
        <v>363</v>
      </c>
      <c r="D842" s="68" t="s">
        <v>364</v>
      </c>
      <c r="E842" s="75">
        <f>60*F842*'THAM_SO_MOI'!$C$50/(2*PI()*'THAM_SO_MOI'!$C$26)</f>
        <v>1589.1336059051532</v>
      </c>
      <c r="F842" s="75">
        <f>'HANH_TRINH'!$F$826+('THAM_SO_MOI'!$F$50-'HANH_TRINH'!$F$826)*15/'THAM_SO_MOI'!$C$42</f>
        <v>3.9620791850505666</v>
      </c>
      <c r="G842" s="75">
        <f>3.6*F842</f>
        <v>14.26348506618204</v>
      </c>
      <c r="H842" s="75">
        <f>'THAM_SO_MOI'!$D$50</f>
        <v>1.8785906709588276</v>
      </c>
      <c r="I842" s="75">
        <f>IF(F842&gt;'THAM_SO_MOI'!$C$14,'THAM_SO_MOI'!$C$13*(1+F842^2/1500),'THAM_SO_MOI'!$C$13)</f>
        <v>0.015</v>
      </c>
      <c r="J842" s="75">
        <f>'THAM_SO_MOI'!$C$40*('THAM_SO_MOI'!$C$23*(E842/'THAM_SO_MOI'!$C$22)+'THAM_SO_MOI'!$C$24*(E842/'THAM_SO_MOI'!$C$22)^2-'THAM_SO_MOI'!$C$25*(E842/'THAM_SO_MOI'!$C$22)^3)</f>
        <v>68.87395670784751</v>
      </c>
      <c r="K842" s="75">
        <f>'THAM_SO_MOI'!$C$31*J842/E842</f>
        <v>413.95005029039396</v>
      </c>
      <c r="L842" s="75">
        <f>K842*'THAM_SO_MOI'!$C$50*'THAM_SO_MOI'!$C$17/'THAM_SO_MOI'!$C$26</f>
        <v>14778.581273944403</v>
      </c>
      <c r="M842" s="75">
        <f>'THAM_SO_MOI'!$C$15*'THAM_SO_MOI'!$C$16*F842^2</f>
        <v>45.91685904568707</v>
      </c>
      <c r="N842" s="75">
        <f>'THAM_SO_MOI'!$C$12*I842</f>
        <v>1130.112</v>
      </c>
      <c r="O842" s="75">
        <f>M842+N842</f>
        <v>1176.028859045687</v>
      </c>
      <c r="P842" s="75">
        <f>(MIN(L842,'THAM_SO_MOI'!$C$41)-O842)/('THAM_SO_MOI'!$C$11*H842)</f>
        <v>0.9428161793858331</v>
      </c>
      <c r="Q842" s="75">
        <f>IF(P842&gt;0,1/P842,NA())</f>
        <v>1.0606521418113735</v>
      </c>
      <c r="R842" s="75">
        <f>F842-F841</f>
        <v>0.0032106047296869278</v>
      </c>
      <c r="S842" s="75">
        <f>0.5*(Q841+Q842)*R842</f>
        <v>0.0034056483178953566</v>
      </c>
      <c r="T842" s="75">
        <f>0.5*(F841*Q841+F842*Q842)*R842</f>
        <v>0.013487980713318899</v>
      </c>
      <c r="U842" s="76">
        <f>U841+S842</f>
        <v>4.1668929972086595</v>
      </c>
      <c r="V842" s="76">
        <f>V841+T842</f>
        <v>12.297100902749206</v>
      </c>
    </row>
    <row r="843" spans="1:22" ht="19" customHeight="1">
      <c r="A843" s="68" t="s">
        <v>372</v>
      </c>
      <c r="B843" s="74">
        <v>2</v>
      </c>
      <c r="C843" s="68" t="s">
        <v>363</v>
      </c>
      <c r="D843" s="68" t="s">
        <v>364</v>
      </c>
      <c r="E843" s="75">
        <f>60*F843*'THAM_SO_MOI'!$C$50/(2*PI()*'THAM_SO_MOI'!$C$26)</f>
        <v>1590.42133379572</v>
      </c>
      <c r="F843" s="75">
        <f>'HANH_TRINH'!$F$826+('THAM_SO_MOI'!$F$50-'HANH_TRINH'!$F$826)*16/'THAM_SO_MOI'!$C$42</f>
        <v>3.9652897897802535</v>
      </c>
      <c r="G843" s="75">
        <f>3.6*F843</f>
        <v>14.275043243208913</v>
      </c>
      <c r="H843" s="75">
        <f>'THAM_SO_MOI'!$D$50</f>
        <v>1.8785906709588276</v>
      </c>
      <c r="I843" s="75">
        <f>IF(F843&gt;'THAM_SO_MOI'!$C$14,'THAM_SO_MOI'!$C$13*(1+F843^2/1500),'THAM_SO_MOI'!$C$13)</f>
        <v>0.015</v>
      </c>
      <c r="J843" s="75">
        <f>'THAM_SO_MOI'!$C$40*('THAM_SO_MOI'!$C$23*(E843/'THAM_SO_MOI'!$C$22)+'THAM_SO_MOI'!$C$24*(E843/'THAM_SO_MOI'!$C$22)^2-'THAM_SO_MOI'!$C$25*(E843/'THAM_SO_MOI'!$C$22)^3)</f>
        <v>68.94176847225454</v>
      </c>
      <c r="K843" s="75">
        <f>'THAM_SO_MOI'!$C$31*J843/E843</f>
        <v>414.0221203798896</v>
      </c>
      <c r="L843" s="75">
        <f>K843*'THAM_SO_MOI'!$C$50*'THAM_SO_MOI'!$C$17/'THAM_SO_MOI'!$C$26</f>
        <v>14781.154274417006</v>
      </c>
      <c r="M843" s="75">
        <f>'THAM_SO_MOI'!$C$15*'THAM_SO_MOI'!$C$16*F843^2</f>
        <v>45.99130511703642</v>
      </c>
      <c r="N843" s="75">
        <f>'THAM_SO_MOI'!$C$12*I843</f>
        <v>1130.112</v>
      </c>
      <c r="O843" s="75">
        <f>M843+N843</f>
        <v>1176.1033051170366</v>
      </c>
      <c r="P843" s="75">
        <f>(MIN(L843,'THAM_SO_MOI'!$C$41)-O843)/('THAM_SO_MOI'!$C$11*H843)</f>
        <v>0.942989358465959</v>
      </c>
      <c r="Q843" s="75">
        <f>IF(P843&gt;0,1/P843,NA())</f>
        <v>1.060457354075326</v>
      </c>
      <c r="R843" s="75">
        <f>F843-F842</f>
        <v>0.0032106047296869278</v>
      </c>
      <c r="S843" s="75">
        <f>0.5*(Q842+Q843)*R843</f>
        <v>0.003405022089838846</v>
      </c>
      <c r="T843" s="75">
        <f>0.5*(F842*Q842+F843*Q843)*R843</f>
        <v>0.01349643273483388</v>
      </c>
      <c r="U843" s="76">
        <f>U842+S843</f>
        <v>4.170298019298499</v>
      </c>
      <c r="V843" s="76">
        <f>V842+T843</f>
        <v>12.31059733548404</v>
      </c>
    </row>
    <row r="844" spans="1:22" ht="19" customHeight="1">
      <c r="A844" s="68" t="s">
        <v>372</v>
      </c>
      <c r="B844" s="74">
        <v>2</v>
      </c>
      <c r="C844" s="68" t="s">
        <v>363</v>
      </c>
      <c r="D844" s="68" t="s">
        <v>364</v>
      </c>
      <c r="E844" s="75">
        <f>60*F844*'THAM_SO_MOI'!$C$50/(2*PI()*'THAM_SO_MOI'!$C$26)</f>
        <v>1591.7090616862865</v>
      </c>
      <c r="F844" s="75">
        <f>'HANH_TRINH'!$F$826+('THAM_SO_MOI'!$F$50-'HANH_TRINH'!$F$826)*17/'THAM_SO_MOI'!$C$42</f>
        <v>3.96850039450994</v>
      </c>
      <c r="G844" s="75">
        <f>3.6*F844</f>
        <v>14.286601420235785</v>
      </c>
      <c r="H844" s="75">
        <f>'THAM_SO_MOI'!$D$50</f>
        <v>1.8785906709588276</v>
      </c>
      <c r="I844" s="75">
        <f>IF(F844&gt;'THAM_SO_MOI'!$C$14,'THAM_SO_MOI'!$C$13*(1+F844^2/1500),'THAM_SO_MOI'!$C$13)</f>
        <v>0.015</v>
      </c>
      <c r="J844" s="75">
        <f>'THAM_SO_MOI'!$C$40*('THAM_SO_MOI'!$C$23*(E844/'THAM_SO_MOI'!$C$22)+'THAM_SO_MOI'!$C$24*(E844/'THAM_SO_MOI'!$C$22)^2-'THAM_SO_MOI'!$C$25*(E844/'THAM_SO_MOI'!$C$22)^3)</f>
        <v>69.00957286035772</v>
      </c>
      <c r="K844" s="75">
        <f>'THAM_SO_MOI'!$C$31*J844/E844</f>
        <v>414.0940295950532</v>
      </c>
      <c r="L844" s="75">
        <f>K844*'THAM_SO_MOI'!$C$50*'THAM_SO_MOI'!$C$17/'THAM_SO_MOI'!$C$26</f>
        <v>14783.721531456582</v>
      </c>
      <c r="M844" s="75">
        <f>'THAM_SO_MOI'!$C$15*'THAM_SO_MOI'!$C$16*F844^2</f>
        <v>46.065811490084734</v>
      </c>
      <c r="N844" s="75">
        <f>'THAM_SO_MOI'!$C$12*I844</f>
        <v>1130.112</v>
      </c>
      <c r="O844" s="75">
        <f>M844+N844</f>
        <v>1176.1778114900849</v>
      </c>
      <c r="P844" s="75">
        <f>(MIN(L844,'THAM_SO_MOI'!$C$41)-O844)/('THAM_SO_MOI'!$C$11*H844)</f>
        <v>0.9431621352793018</v>
      </c>
      <c r="Q844" s="75">
        <f>IF(P844&gt;0,1/P844,NA())</f>
        <v>1.0602630900824561</v>
      </c>
      <c r="R844" s="75">
        <f>F844-F843</f>
        <v>0.0032106047296864837</v>
      </c>
      <c r="S844" s="75">
        <f>0.5*(Q843+Q844)*R844</f>
        <v>0.0034043975441778976</v>
      </c>
      <c r="T844" s="75">
        <f>0.5*(F843*Q843+F844*Q844)*R844</f>
        <v>0.013504887409092652</v>
      </c>
      <c r="U844" s="76">
        <f>U843+S844</f>
        <v>4.173702416842676</v>
      </c>
      <c r="V844" s="76">
        <f>V843+T844</f>
        <v>12.324102222893133</v>
      </c>
    </row>
    <row r="845" spans="1:22" ht="19" customHeight="1">
      <c r="A845" s="68" t="s">
        <v>372</v>
      </c>
      <c r="B845" s="74">
        <v>2</v>
      </c>
      <c r="C845" s="68" t="s">
        <v>363</v>
      </c>
      <c r="D845" s="68" t="s">
        <v>364</v>
      </c>
      <c r="E845" s="75">
        <f>60*F845*'THAM_SO_MOI'!$C$50/(2*PI()*'THAM_SO_MOI'!$C$26)</f>
        <v>1592.9967895768532</v>
      </c>
      <c r="F845" s="75">
        <f>'HANH_TRINH'!$F$826+('THAM_SO_MOI'!$F$50-'HANH_TRINH'!$F$826)*18/'THAM_SO_MOI'!$C$42</f>
        <v>3.971710999239627</v>
      </c>
      <c r="G845" s="75">
        <f>3.6*F845</f>
        <v>14.298159597262657</v>
      </c>
      <c r="H845" s="75">
        <f>'THAM_SO_MOI'!$D$50</f>
        <v>1.8785906709588276</v>
      </c>
      <c r="I845" s="75">
        <f>IF(F845&gt;'THAM_SO_MOI'!$C$14,'THAM_SO_MOI'!$C$13*(1+F845^2/1500),'THAM_SO_MOI'!$C$13)</f>
        <v>0.015</v>
      </c>
      <c r="J845" s="75">
        <f>'THAM_SO_MOI'!$C$40*('THAM_SO_MOI'!$C$23*(E845/'THAM_SO_MOI'!$C$22)+'THAM_SO_MOI'!$C$24*(E845/'THAM_SO_MOI'!$C$22)^2-'THAM_SO_MOI'!$C$25*(E845/'THAM_SO_MOI'!$C$22)^3)</f>
        <v>69.07736980708734</v>
      </c>
      <c r="K845" s="75">
        <f>'THAM_SO_MOI'!$C$31*J845/E845</f>
        <v>414.16577793588436</v>
      </c>
      <c r="L845" s="75">
        <f>K845*'THAM_SO_MOI'!$C$50*'THAM_SO_MOI'!$C$17/'THAM_SO_MOI'!$C$26</f>
        <v>14786.283045063115</v>
      </c>
      <c r="M845" s="75">
        <f>'THAM_SO_MOI'!$C$15*'THAM_SO_MOI'!$C$16*F845^2</f>
        <v>46.140378164832036</v>
      </c>
      <c r="N845" s="75">
        <f>'THAM_SO_MOI'!$C$12*I845</f>
        <v>1130.112</v>
      </c>
      <c r="O845" s="75">
        <f>M845+N845</f>
        <v>1176.2523781648322</v>
      </c>
      <c r="P845" s="75">
        <f>(MIN(L845,'THAM_SO_MOI'!$C$41)-O845)/('THAM_SO_MOI'!$C$11*H845)</f>
        <v>0.943334509825861</v>
      </c>
      <c r="Q845" s="75">
        <f>IF(P845&gt;0,1/P845,NA())</f>
        <v>1.0600693492964648</v>
      </c>
      <c r="R845" s="75">
        <f>F845-F844</f>
        <v>0.0032106047296869278</v>
      </c>
      <c r="S845" s="75">
        <f>0.5*(Q844+Q845)*R845</f>
        <v>0.0034037746791892925</v>
      </c>
      <c r="T845" s="75">
        <f>0.5*(F844*Q844+F845*Q845)*R845</f>
        <v>0.013513344745458379</v>
      </c>
      <c r="U845" s="76">
        <f>U844+S845</f>
        <v>4.177106191521866</v>
      </c>
      <c r="V845" s="76">
        <f>V844+T845</f>
        <v>12.337615567638592</v>
      </c>
    </row>
    <row r="846" spans="1:22" ht="19" customHeight="1">
      <c r="A846" s="68" t="s">
        <v>372</v>
      </c>
      <c r="B846" s="74">
        <v>2</v>
      </c>
      <c r="C846" s="68" t="s">
        <v>363</v>
      </c>
      <c r="D846" s="68" t="s">
        <v>364</v>
      </c>
      <c r="E846" s="75">
        <f>60*F846*'THAM_SO_MOI'!$C$50/(2*PI()*'THAM_SO_MOI'!$C$26)</f>
        <v>1594.2845174674198</v>
      </c>
      <c r="F846" s="75">
        <f>'HANH_TRINH'!$F$826+('THAM_SO_MOI'!$F$50-'HANH_TRINH'!$F$826)*19/'THAM_SO_MOI'!$C$42</f>
        <v>3.974921603969314</v>
      </c>
      <c r="G846" s="75">
        <f>3.6*F846</f>
        <v>14.30971777428953</v>
      </c>
      <c r="H846" s="75">
        <f>'THAM_SO_MOI'!$D$50</f>
        <v>1.8785906709588276</v>
      </c>
      <c r="I846" s="75">
        <f>IF(F846&gt;'THAM_SO_MOI'!$C$14,'THAM_SO_MOI'!$C$13*(1+F846^2/1500),'THAM_SO_MOI'!$C$13)</f>
        <v>0.015</v>
      </c>
      <c r="J846" s="75">
        <f>'THAM_SO_MOI'!$C$40*('THAM_SO_MOI'!$C$23*(E846/'THAM_SO_MOI'!$C$22)+'THAM_SO_MOI'!$C$24*(E846/'THAM_SO_MOI'!$C$22)^2-'THAM_SO_MOI'!$C$25*(E846/'THAM_SO_MOI'!$C$22)^3)</f>
        <v>69.14515924737371</v>
      </c>
      <c r="K846" s="75">
        <f>'THAM_SO_MOI'!$C$31*J846/E846</f>
        <v>414.2373654023833</v>
      </c>
      <c r="L846" s="75">
        <f>K846*'THAM_SO_MOI'!$C$50*'THAM_SO_MOI'!$C$17/'THAM_SO_MOI'!$C$26</f>
        <v>14788.838815236613</v>
      </c>
      <c r="M846" s="75">
        <f>'THAM_SO_MOI'!$C$15*'THAM_SO_MOI'!$C$16*F846^2</f>
        <v>46.215005141278304</v>
      </c>
      <c r="N846" s="75">
        <f>'THAM_SO_MOI'!$C$12*I846</f>
        <v>1130.112</v>
      </c>
      <c r="O846" s="75">
        <f>M846+N846</f>
        <v>1176.3270051412783</v>
      </c>
      <c r="P846" s="75">
        <f>(MIN(L846,'THAM_SO_MOI'!$C$41)-O846)/('THAM_SO_MOI'!$C$11*H846)</f>
        <v>0.943506482105636</v>
      </c>
      <c r="Q846" s="75">
        <f>IF(P846&gt;0,1/P846,NA())</f>
        <v>1.0598761311827838</v>
      </c>
      <c r="R846" s="75">
        <f>F846-F845</f>
        <v>0.0032106047296869278</v>
      </c>
      <c r="S846" s="75">
        <f>0.5*(Q845+Q846)*R846</f>
        <v>0.0034031534931525513</v>
      </c>
      <c r="T846" s="75">
        <f>0.5*(F845*Q845+F846*Q846)*R846</f>
        <v>0.013521804753282983</v>
      </c>
      <c r="U846" s="76">
        <f>U845+S846</f>
        <v>4.180509345015019</v>
      </c>
      <c r="V846" s="76">
        <f>V845+T846</f>
        <v>12.351137372391875</v>
      </c>
    </row>
    <row r="847" spans="1:22" ht="19" customHeight="1">
      <c r="A847" s="68" t="s">
        <v>372</v>
      </c>
      <c r="B847" s="74">
        <v>2</v>
      </c>
      <c r="C847" s="68" t="s">
        <v>363</v>
      </c>
      <c r="D847" s="68" t="s">
        <v>364</v>
      </c>
      <c r="E847" s="75">
        <f>60*F847*'THAM_SO_MOI'!$C$50/(2*PI()*'THAM_SO_MOI'!$C$26)</f>
        <v>1595.5722453579865</v>
      </c>
      <c r="F847" s="75">
        <f>'HANH_TRINH'!$F$826+('THAM_SO_MOI'!$F$50-'HANH_TRINH'!$F$826)*20/'THAM_SO_MOI'!$C$42</f>
        <v>3.9781322086990003</v>
      </c>
      <c r="G847" s="75">
        <f>3.6*F847</f>
        <v>14.321275951316402</v>
      </c>
      <c r="H847" s="75">
        <f>'THAM_SO_MOI'!$D$50</f>
        <v>1.8785906709588276</v>
      </c>
      <c r="I847" s="75">
        <f>IF(F847&gt;'THAM_SO_MOI'!$C$14,'THAM_SO_MOI'!$C$13*(1+F847^2/1500),'THAM_SO_MOI'!$C$13)</f>
        <v>0.015</v>
      </c>
      <c r="J847" s="75">
        <f>'THAM_SO_MOI'!$C$40*('THAM_SO_MOI'!$C$23*(E847/'THAM_SO_MOI'!$C$22)+'THAM_SO_MOI'!$C$24*(E847/'THAM_SO_MOI'!$C$22)^2-'THAM_SO_MOI'!$C$25*(E847/'THAM_SO_MOI'!$C$22)^3)</f>
        <v>69.2129411161471</v>
      </c>
      <c r="K847" s="75">
        <f>'THAM_SO_MOI'!$C$31*J847/E847</f>
        <v>414.30879199454995</v>
      </c>
      <c r="L847" s="75">
        <f>K847*'THAM_SO_MOI'!$C$50*'THAM_SO_MOI'!$C$17/'THAM_SO_MOI'!$C$26</f>
        <v>14791.388841977074</v>
      </c>
      <c r="M847" s="75">
        <f>'THAM_SO_MOI'!$C$15*'THAM_SO_MOI'!$C$16*F847^2</f>
        <v>46.28969241942353</v>
      </c>
      <c r="N847" s="75">
        <f>'THAM_SO_MOI'!$C$12*I847</f>
        <v>1130.112</v>
      </c>
      <c r="O847" s="75">
        <f>M847+N847</f>
        <v>1176.4016924194236</v>
      </c>
      <c r="P847" s="75">
        <f>(MIN(L847,'THAM_SO_MOI'!$C$41)-O847)/('THAM_SO_MOI'!$C$11*H847)</f>
        <v>0.9436780521186279</v>
      </c>
      <c r="Q847" s="75">
        <f>IF(P847&gt;0,1/P847,NA())</f>
        <v>1.0596834352085704</v>
      </c>
      <c r="R847" s="75">
        <f>F847-F846</f>
        <v>0.0032106047296864837</v>
      </c>
      <c r="S847" s="75">
        <f>0.5*(Q846+Q847)*R847</f>
        <v>0.003402533984354157</v>
      </c>
      <c r="T847" s="75">
        <f>0.5*(F846*Q846+F847*Q847)*R847</f>
        <v>0.013530267441923977</v>
      </c>
      <c r="U847" s="76">
        <f>U846+S847</f>
        <v>4.183911878999373</v>
      </c>
      <c r="V847" s="76">
        <f>V846+T847</f>
        <v>12.3646676398338</v>
      </c>
    </row>
    <row r="848" spans="1:22" ht="19" customHeight="1">
      <c r="A848" s="68" t="s">
        <v>372</v>
      </c>
      <c r="B848" s="74">
        <v>2</v>
      </c>
      <c r="C848" s="68" t="s">
        <v>363</v>
      </c>
      <c r="D848" s="68" t="s">
        <v>364</v>
      </c>
      <c r="E848" s="75">
        <f>60*F848*'THAM_SO_MOI'!$C$50/(2*PI()*'THAM_SO_MOI'!$C$26)</f>
        <v>1596.8599732485532</v>
      </c>
      <c r="F848" s="75">
        <f>'HANH_TRINH'!$F$826+('THAM_SO_MOI'!$F$50-'HANH_TRINH'!$F$826)*21/'THAM_SO_MOI'!$C$42</f>
        <v>3.9813428134286872</v>
      </c>
      <c r="G848" s="75">
        <f>3.6*F848</f>
        <v>14.332834128343274</v>
      </c>
      <c r="H848" s="75">
        <f>'THAM_SO_MOI'!$D$50</f>
        <v>1.8785906709588276</v>
      </c>
      <c r="I848" s="75">
        <f>IF(F848&gt;'THAM_SO_MOI'!$C$14,'THAM_SO_MOI'!$C$13*(1+F848^2/1500),'THAM_SO_MOI'!$C$13)</f>
        <v>0.015</v>
      </c>
      <c r="J848" s="75">
        <f>'THAM_SO_MOI'!$C$40*('THAM_SO_MOI'!$C$23*(E848/'THAM_SO_MOI'!$C$22)+'THAM_SO_MOI'!$C$24*(E848/'THAM_SO_MOI'!$C$22)^2-'THAM_SO_MOI'!$C$25*(E848/'THAM_SO_MOI'!$C$22)^3)</f>
        <v>69.28071534833786</v>
      </c>
      <c r="K848" s="75">
        <f>'THAM_SO_MOI'!$C$31*J848/E848</f>
        <v>414.3800577123845</v>
      </c>
      <c r="L848" s="75">
        <f>K848*'THAM_SO_MOI'!$C$50*'THAM_SO_MOI'!$C$17/'THAM_SO_MOI'!$C$26</f>
        <v>14793.933125284506</v>
      </c>
      <c r="M848" s="75">
        <f>'THAM_SO_MOI'!$C$15*'THAM_SO_MOI'!$C$16*F848^2</f>
        <v>46.364439999267745</v>
      </c>
      <c r="N848" s="75">
        <f>'THAM_SO_MOI'!$C$12*I848</f>
        <v>1130.112</v>
      </c>
      <c r="O848" s="75">
        <f>M848+N848</f>
        <v>1176.4764399992678</v>
      </c>
      <c r="P848" s="75">
        <f>(MIN(L848,'THAM_SO_MOI'!$C$41)-O848)/('THAM_SO_MOI'!$C$11*H848)</f>
        <v>0.9438492198648362</v>
      </c>
      <c r="Q848" s="75">
        <f>IF(P848&gt;0,1/P848,NA())</f>
        <v>1.0594912608427063</v>
      </c>
      <c r="R848" s="75">
        <f>F848-F847</f>
        <v>0.0032106047296869278</v>
      </c>
      <c r="S848" s="75">
        <f>0.5*(Q847+Q848)*R848</f>
        <v>0.003401916151087543</v>
      </c>
      <c r="T848" s="75">
        <f>0.5*(F847*Q847+F848*Q848)*R848</f>
        <v>0.013538732820744519</v>
      </c>
      <c r="U848" s="76">
        <f>U847+S848</f>
        <v>4.187313795150461</v>
      </c>
      <c r="V848" s="76">
        <f>V847+T848</f>
        <v>12.378206372654544</v>
      </c>
    </row>
    <row r="849" spans="1:22" ht="19" customHeight="1">
      <c r="A849" s="68" t="s">
        <v>372</v>
      </c>
      <c r="B849" s="74">
        <v>2</v>
      </c>
      <c r="C849" s="68" t="s">
        <v>363</v>
      </c>
      <c r="D849" s="68" t="s">
        <v>364</v>
      </c>
      <c r="E849" s="75">
        <f>60*F849*'THAM_SO_MOI'!$C$50/(2*PI()*'THAM_SO_MOI'!$C$26)</f>
        <v>1598.14770113912</v>
      </c>
      <c r="F849" s="75">
        <f>'HANH_TRINH'!$F$826+('THAM_SO_MOI'!$F$50-'HANH_TRINH'!$F$826)*22/'THAM_SO_MOI'!$C$42</f>
        <v>3.984553418158374</v>
      </c>
      <c r="G849" s="75">
        <f>3.6*F849</f>
        <v>14.344392305370148</v>
      </c>
      <c r="H849" s="75">
        <f>'THAM_SO_MOI'!$D$50</f>
        <v>1.8785906709588276</v>
      </c>
      <c r="I849" s="75">
        <f>IF(F849&gt;'THAM_SO_MOI'!$C$14,'THAM_SO_MOI'!$C$13*(1+F849^2/1500),'THAM_SO_MOI'!$C$13)</f>
        <v>0.015</v>
      </c>
      <c r="J849" s="75">
        <f>'THAM_SO_MOI'!$C$40*('THAM_SO_MOI'!$C$23*(E849/'THAM_SO_MOI'!$C$22)+'THAM_SO_MOI'!$C$24*(E849/'THAM_SO_MOI'!$C$22)^2-'THAM_SO_MOI'!$C$25*(E849/'THAM_SO_MOI'!$C$22)^3)</f>
        <v>69.34848187887629</v>
      </c>
      <c r="K849" s="75">
        <f>'THAM_SO_MOI'!$C$31*J849/E849</f>
        <v>414.45116255588664</v>
      </c>
      <c r="L849" s="75">
        <f>K849*'THAM_SO_MOI'!$C$50*'THAM_SO_MOI'!$C$17/'THAM_SO_MOI'!$C$26</f>
        <v>14796.471665158895</v>
      </c>
      <c r="M849" s="75">
        <f>'THAM_SO_MOI'!$C$15*'THAM_SO_MOI'!$C$16*F849^2</f>
        <v>46.43924788081093</v>
      </c>
      <c r="N849" s="75">
        <f>'THAM_SO_MOI'!$C$12*I849</f>
        <v>1130.112</v>
      </c>
      <c r="O849" s="75">
        <f>M849+N849</f>
        <v>1176.551247880811</v>
      </c>
      <c r="P849" s="75">
        <f>(MIN(L849,'THAM_SO_MOI'!$C$41)-O849)/('THAM_SO_MOI'!$C$11*H849)</f>
        <v>0.9440199853442607</v>
      </c>
      <c r="Q849" s="75">
        <f>IF(P849&gt;0,1/P849,NA())</f>
        <v>1.059299607555792</v>
      </c>
      <c r="R849" s="75">
        <f>F849-F848</f>
        <v>0.0032106047296869278</v>
      </c>
      <c r="S849" s="75">
        <f>0.5*(Q848+Q849)*R849</f>
        <v>0.0034012999916488464</v>
      </c>
      <c r="T849" s="75">
        <f>0.5*(F848*Q848+F849*Q849)*R849</f>
        <v>0.013547200899096631</v>
      </c>
      <c r="U849" s="76">
        <f>U848+S849</f>
        <v>4.190715095142109</v>
      </c>
      <c r="V849" s="76">
        <f>V848+T849</f>
        <v>12.391753573553641</v>
      </c>
    </row>
    <row r="850" spans="1:22" ht="19" customHeight="1">
      <c r="A850" s="68" t="s">
        <v>372</v>
      </c>
      <c r="B850" s="74">
        <v>2</v>
      </c>
      <c r="C850" s="68" t="s">
        <v>363</v>
      </c>
      <c r="D850" s="68" t="s">
        <v>364</v>
      </c>
      <c r="E850" s="75">
        <f>60*F850*'THAM_SO_MOI'!$C$50/(2*PI()*'THAM_SO_MOI'!$C$26)</f>
        <v>1599.435429029687</v>
      </c>
      <c r="F850" s="75">
        <f>'HANH_TRINH'!$F$826+('THAM_SO_MOI'!$F$50-'HANH_TRINH'!$F$826)*23/'THAM_SO_MOI'!$C$42</f>
        <v>3.987764022888061</v>
      </c>
      <c r="G850" s="75">
        <f>3.6*F850</f>
        <v>14.35595048239702</v>
      </c>
      <c r="H850" s="75">
        <f>'THAM_SO_MOI'!$D$50</f>
        <v>1.8785906709588276</v>
      </c>
      <c r="I850" s="75">
        <f>IF(F850&gt;'THAM_SO_MOI'!$C$14,'THAM_SO_MOI'!$C$13*(1+F850^2/1500),'THAM_SO_MOI'!$C$13)</f>
        <v>0.015</v>
      </c>
      <c r="J850" s="75">
        <f>'THAM_SO_MOI'!$C$40*('THAM_SO_MOI'!$C$23*(E850/'THAM_SO_MOI'!$C$22)+'THAM_SO_MOI'!$C$24*(E850/'THAM_SO_MOI'!$C$22)^2-'THAM_SO_MOI'!$C$25*(E850/'THAM_SO_MOI'!$C$22)^3)</f>
        <v>69.41624064269269</v>
      </c>
      <c r="K850" s="75">
        <f>'THAM_SO_MOI'!$C$31*J850/E850</f>
        <v>414.5221065250568</v>
      </c>
      <c r="L850" s="75">
        <f>K850*'THAM_SO_MOI'!$C$50*'THAM_SO_MOI'!$C$17/'THAM_SO_MOI'!$C$26</f>
        <v>14799.004461600258</v>
      </c>
      <c r="M850" s="75">
        <f>'THAM_SO_MOI'!$C$15*'THAM_SO_MOI'!$C$16*F850^2</f>
        <v>46.5141160640531</v>
      </c>
      <c r="N850" s="75">
        <f>'THAM_SO_MOI'!$C$12*I850</f>
        <v>1130.112</v>
      </c>
      <c r="O850" s="75">
        <f>M850+N850</f>
        <v>1176.6261160640531</v>
      </c>
      <c r="P850" s="75">
        <f>(MIN(L850,'THAM_SO_MOI'!$C$41)-O850)/('THAM_SO_MOI'!$C$11*H850)</f>
        <v>0.9441903485569022</v>
      </c>
      <c r="Q850" s="75">
        <f>IF(P850&gt;0,1/P850,NA())</f>
        <v>1.0591084748201431</v>
      </c>
      <c r="R850" s="75">
        <f>F850-F849</f>
        <v>0.0032106047296869278</v>
      </c>
      <c r="S850" s="75">
        <f>0.5*(Q849+Q850)*R850</f>
        <v>0.003400685504341596</v>
      </c>
      <c r="T850" s="75">
        <f>0.5*(F849*Q849+F850*Q850)*R850</f>
        <v>0.013555671686339917</v>
      </c>
      <c r="U850" s="76">
        <f>U849+S850</f>
        <v>4.194115780646451</v>
      </c>
      <c r="V850" s="76">
        <f>V849+T850</f>
        <v>12.405309245239982</v>
      </c>
    </row>
    <row r="851" spans="1:22" ht="19" customHeight="1">
      <c r="A851" s="68" t="s">
        <v>372</v>
      </c>
      <c r="B851" s="74">
        <v>2</v>
      </c>
      <c r="C851" s="68" t="s">
        <v>363</v>
      </c>
      <c r="D851" s="68" t="s">
        <v>364</v>
      </c>
      <c r="E851" s="75">
        <f>60*F851*'THAM_SO_MOI'!$C$50/(2*PI()*'THAM_SO_MOI'!$C$26)</f>
        <v>1600.7231569202534</v>
      </c>
      <c r="F851" s="75">
        <f>'HANH_TRINH'!$F$826+('THAM_SO_MOI'!$F$50-'HANH_TRINH'!$F$826)*24/'THAM_SO_MOI'!$C$42</f>
        <v>3.9909746276177476</v>
      </c>
      <c r="G851" s="75">
        <f>3.6*F851</f>
        <v>14.367508659423892</v>
      </c>
      <c r="H851" s="75">
        <f>'THAM_SO_MOI'!$D$50</f>
        <v>1.8785906709588276</v>
      </c>
      <c r="I851" s="75">
        <f>IF(F851&gt;'THAM_SO_MOI'!$C$14,'THAM_SO_MOI'!$C$13*(1+F851^2/1500),'THAM_SO_MOI'!$C$13)</f>
        <v>0.015</v>
      </c>
      <c r="J851" s="75">
        <f>'THAM_SO_MOI'!$C$40*('THAM_SO_MOI'!$C$23*(E851/'THAM_SO_MOI'!$C$22)+'THAM_SO_MOI'!$C$24*(E851/'THAM_SO_MOI'!$C$22)^2-'THAM_SO_MOI'!$C$25*(E851/'THAM_SO_MOI'!$C$22)^3)</f>
        <v>69.48399157471727</v>
      </c>
      <c r="K851" s="75">
        <f>'THAM_SO_MOI'!$C$31*J851/E851</f>
        <v>414.59288961989444</v>
      </c>
      <c r="L851" s="75">
        <f>K851*'THAM_SO_MOI'!$C$50*'THAM_SO_MOI'!$C$17/'THAM_SO_MOI'!$C$26</f>
        <v>14801.531514608576</v>
      </c>
      <c r="M851" s="75">
        <f>'THAM_SO_MOI'!$C$15*'THAM_SO_MOI'!$C$16*F851^2</f>
        <v>46.58904454899422</v>
      </c>
      <c r="N851" s="75">
        <f>'THAM_SO_MOI'!$C$12*I851</f>
        <v>1130.112</v>
      </c>
      <c r="O851" s="75">
        <f>M851+N851</f>
        <v>1176.7010445489943</v>
      </c>
      <c r="P851" s="75">
        <f>(MIN(L851,'THAM_SO_MOI'!$C$41)-O851)/('THAM_SO_MOI'!$C$11*H851)</f>
        <v>0.9443603095027593</v>
      </c>
      <c r="Q851" s="75">
        <f>IF(P851&gt;0,1/P851,NA())</f>
        <v>1.0589178621097886</v>
      </c>
      <c r="R851" s="75">
        <f>F851-F850</f>
        <v>0.0032106047296864837</v>
      </c>
      <c r="S851" s="75">
        <f>0.5*(Q850+Q851)*R851</f>
        <v>0.003400072687473888</v>
      </c>
      <c r="T851" s="75">
        <f>0.5*(F850*Q850+F851*Q851)*R851</f>
        <v>0.013564145191830404</v>
      </c>
      <c r="U851" s="76">
        <f>U850+S851</f>
        <v>4.1975158533339245</v>
      </c>
      <c r="V851" s="76">
        <f>V850+T851</f>
        <v>12.418873390431813</v>
      </c>
    </row>
    <row r="852" spans="1:22" ht="19" customHeight="1">
      <c r="A852" s="68" t="s">
        <v>372</v>
      </c>
      <c r="B852" s="74">
        <v>2</v>
      </c>
      <c r="C852" s="68" t="s">
        <v>363</v>
      </c>
      <c r="D852" s="68" t="s">
        <v>364</v>
      </c>
      <c r="E852" s="75">
        <f>60*F852*'THAM_SO_MOI'!$C$50/(2*PI()*'THAM_SO_MOI'!$C$26)</f>
        <v>1602.01088481082</v>
      </c>
      <c r="F852" s="75">
        <f>'HANH_TRINH'!$F$826+('THAM_SO_MOI'!$F$50-'HANH_TRINH'!$F$826)*25/'THAM_SO_MOI'!$C$42</f>
        <v>3.9941852323474345</v>
      </c>
      <c r="G852" s="75">
        <f>3.6*F852</f>
        <v>14.379066836450765</v>
      </c>
      <c r="H852" s="75">
        <f>'THAM_SO_MOI'!$D$50</f>
        <v>1.8785906709588276</v>
      </c>
      <c r="I852" s="75">
        <f>IF(F852&gt;'THAM_SO_MOI'!$C$14,'THAM_SO_MOI'!$C$13*(1+F852^2/1500),'THAM_SO_MOI'!$C$13)</f>
        <v>0.015</v>
      </c>
      <c r="J852" s="75">
        <f>'THAM_SO_MOI'!$C$40*('THAM_SO_MOI'!$C$23*(E852/'THAM_SO_MOI'!$C$22)+'THAM_SO_MOI'!$C$24*(E852/'THAM_SO_MOI'!$C$22)^2-'THAM_SO_MOI'!$C$25*(E852/'THAM_SO_MOI'!$C$22)^3)</f>
        <v>69.55173460988044</v>
      </c>
      <c r="K852" s="75">
        <f>'THAM_SO_MOI'!$C$31*J852/E852</f>
        <v>414.66351184039996</v>
      </c>
      <c r="L852" s="75">
        <f>K852*'THAM_SO_MOI'!$C$50*'THAM_SO_MOI'!$C$17/'THAM_SO_MOI'!$C$26</f>
        <v>14804.05282418386</v>
      </c>
      <c r="M852" s="75">
        <f>'THAM_SO_MOI'!$C$15*'THAM_SO_MOI'!$C$16*F852^2</f>
        <v>46.664033335634315</v>
      </c>
      <c r="N852" s="75">
        <f>'THAM_SO_MOI'!$C$12*I852</f>
        <v>1130.112</v>
      </c>
      <c r="O852" s="75">
        <f>M852+N852</f>
        <v>1176.7760333356343</v>
      </c>
      <c r="P852" s="75">
        <f>(MIN(L852,'THAM_SO_MOI'!$C$41)-O852)/('THAM_SO_MOI'!$C$11*H852)</f>
        <v>0.9445298681818332</v>
      </c>
      <c r="Q852" s="75">
        <f>IF(P852&gt;0,1/P852,NA())</f>
        <v>1.0587277689004624</v>
      </c>
      <c r="R852" s="75">
        <f>F852-F851</f>
        <v>0.0032106047296869278</v>
      </c>
      <c r="S852" s="75">
        <f>0.5*(Q851+Q852)*R852</f>
        <v>0.003399461539361185</v>
      </c>
      <c r="T852" s="75">
        <f>0.5*(F851*Q851+F852*Q852)*R852</f>
        <v>0.013572621424931814</v>
      </c>
      <c r="U852" s="76">
        <f>U851+S852</f>
        <v>4.200915314873286</v>
      </c>
      <c r="V852" s="76">
        <f>V851+T852</f>
        <v>12.432446011856744</v>
      </c>
    </row>
    <row r="853" spans="1:22" ht="19" customHeight="1">
      <c r="A853" s="68" t="s">
        <v>372</v>
      </c>
      <c r="B853" s="74">
        <v>2</v>
      </c>
      <c r="C853" s="68" t="s">
        <v>363</v>
      </c>
      <c r="D853" s="68" t="s">
        <v>364</v>
      </c>
      <c r="E853" s="75">
        <f>60*F853*'THAM_SO_MOI'!$C$50/(2*PI()*'THAM_SO_MOI'!$C$26)</f>
        <v>1603.2986127013867</v>
      </c>
      <c r="F853" s="75">
        <f>'HANH_TRINH'!$F$826+('THAM_SO_MOI'!$F$50-'HANH_TRINH'!$F$826)*26/'THAM_SO_MOI'!$C$42</f>
        <v>3.9973958370771214</v>
      </c>
      <c r="G853" s="75">
        <f>3.6*F853</f>
        <v>14.390625013477637</v>
      </c>
      <c r="H853" s="75">
        <f>'THAM_SO_MOI'!$D$50</f>
        <v>1.8785906709588276</v>
      </c>
      <c r="I853" s="75">
        <f>IF(F853&gt;'THAM_SO_MOI'!$C$14,'THAM_SO_MOI'!$C$13*(1+F853^2/1500),'THAM_SO_MOI'!$C$13)</f>
        <v>0.015</v>
      </c>
      <c r="J853" s="75">
        <f>'THAM_SO_MOI'!$C$40*('THAM_SO_MOI'!$C$23*(E853/'THAM_SO_MOI'!$C$22)+'THAM_SO_MOI'!$C$24*(E853/'THAM_SO_MOI'!$C$22)^2-'THAM_SO_MOI'!$C$25*(E853/'THAM_SO_MOI'!$C$22)^3)</f>
        <v>69.61946968311246</v>
      </c>
      <c r="K853" s="75">
        <f>'THAM_SO_MOI'!$C$31*J853/E853</f>
        <v>414.73397318657317</v>
      </c>
      <c r="L853" s="75">
        <f>K853*'THAM_SO_MOI'!$C$50*'THAM_SO_MOI'!$C$17/'THAM_SO_MOI'!$C$26</f>
        <v>14806.568390326109</v>
      </c>
      <c r="M853" s="75">
        <f>'THAM_SO_MOI'!$C$15*'THAM_SO_MOI'!$C$16*F853^2</f>
        <v>46.73908242397339</v>
      </c>
      <c r="N853" s="75">
        <f>'THAM_SO_MOI'!$C$12*I853</f>
        <v>1130.112</v>
      </c>
      <c r="O853" s="75">
        <f>M853+N853</f>
        <v>1176.8510824239734</v>
      </c>
      <c r="P853" s="75">
        <f>(MIN(L853,'THAM_SO_MOI'!$C$41)-O853)/('THAM_SO_MOI'!$C$11*H853)</f>
        <v>0.9446990245941231</v>
      </c>
      <c r="Q853" s="75">
        <f>IF(P853&gt;0,1/P853,NA())</f>
        <v>1.058538194669605</v>
      </c>
      <c r="R853" s="75">
        <f>F853-F852</f>
        <v>0.0032106047296869278</v>
      </c>
      <c r="S853" s="75">
        <f>0.5*(Q852+Q853)*R853</f>
        <v>0.0033988520583216044</v>
      </c>
      <c r="T853" s="75">
        <f>0.5*(F852*Q852+F853*Q853)*R853</f>
        <v>0.013581100394996834</v>
      </c>
      <c r="U853" s="76">
        <f>U852+S853</f>
        <v>4.204314166931607</v>
      </c>
      <c r="V853" s="76">
        <f>V852+T853</f>
        <v>12.446027112251741</v>
      </c>
    </row>
    <row r="854" spans="1:22" ht="19" customHeight="1">
      <c r="A854" s="68" t="s">
        <v>372</v>
      </c>
      <c r="B854" s="74">
        <v>2</v>
      </c>
      <c r="C854" s="68" t="s">
        <v>363</v>
      </c>
      <c r="D854" s="68" t="s">
        <v>364</v>
      </c>
      <c r="E854" s="75">
        <f>60*F854*'THAM_SO_MOI'!$C$50/(2*PI()*'THAM_SO_MOI'!$C$26)</f>
        <v>1604.5863405919533</v>
      </c>
      <c r="F854" s="75">
        <f>'HANH_TRINH'!$F$826+('THAM_SO_MOI'!$F$50-'HANH_TRINH'!$F$826)*27/'THAM_SO_MOI'!$C$42</f>
        <v>4.000606441806808</v>
      </c>
      <c r="G854" s="75">
        <f>3.6*F854</f>
        <v>14.40218319050451</v>
      </c>
      <c r="H854" s="75">
        <f>'THAM_SO_MOI'!$D$50</f>
        <v>1.8785906709588276</v>
      </c>
      <c r="I854" s="75">
        <f>IF(F854&gt;'THAM_SO_MOI'!$C$14,'THAM_SO_MOI'!$C$13*(1+F854^2/1500),'THAM_SO_MOI'!$C$13)</f>
        <v>0.015</v>
      </c>
      <c r="J854" s="75">
        <f>'THAM_SO_MOI'!$C$40*('THAM_SO_MOI'!$C$23*(E854/'THAM_SO_MOI'!$C$22)+'THAM_SO_MOI'!$C$24*(E854/'THAM_SO_MOI'!$C$22)^2-'THAM_SO_MOI'!$C$25*(E854/'THAM_SO_MOI'!$C$22)^3)</f>
        <v>69.68719672934363</v>
      </c>
      <c r="K854" s="75">
        <f>'THAM_SO_MOI'!$C$31*J854/E854</f>
        <v>414.80427365841405</v>
      </c>
      <c r="L854" s="75">
        <f>K854*'THAM_SO_MOI'!$C$50*'THAM_SO_MOI'!$C$17/'THAM_SO_MOI'!$C$26</f>
        <v>14809.078213035318</v>
      </c>
      <c r="M854" s="75">
        <f>'THAM_SO_MOI'!$C$15*'THAM_SO_MOI'!$C$16*F854^2</f>
        <v>46.81419181401144</v>
      </c>
      <c r="N854" s="75">
        <f>'THAM_SO_MOI'!$C$12*I854</f>
        <v>1130.112</v>
      </c>
      <c r="O854" s="75">
        <f>M854+N854</f>
        <v>1176.9261918140114</v>
      </c>
      <c r="P854" s="75">
        <f>(MIN(L854,'THAM_SO_MOI'!$C$41)-O854)/('THAM_SO_MOI'!$C$11*H854)</f>
        <v>0.9448677787396296</v>
      </c>
      <c r="Q854" s="75">
        <f>IF(P854&gt;0,1/P854,NA())</f>
        <v>1.0583491388963564</v>
      </c>
      <c r="R854" s="75">
        <f>F854-F853</f>
        <v>0.0032106047296869278</v>
      </c>
      <c r="S854" s="75">
        <f>0.5*(Q853+Q854)*R854</f>
        <v>0.003398244242680613</v>
      </c>
      <c r="T854" s="75">
        <f>0.5*(F853*Q853+F854*Q854)*R854</f>
        <v>0.013589582111385954</v>
      </c>
      <c r="U854" s="76">
        <f>U853+S854</f>
        <v>4.207712411174288</v>
      </c>
      <c r="V854" s="76">
        <f>V853+T854</f>
        <v>12.459616694363127</v>
      </c>
    </row>
    <row r="855" spans="1:22" ht="19" customHeight="1">
      <c r="A855" s="68" t="s">
        <v>372</v>
      </c>
      <c r="B855" s="74">
        <v>2</v>
      </c>
      <c r="C855" s="68" t="s">
        <v>363</v>
      </c>
      <c r="D855" s="68" t="s">
        <v>364</v>
      </c>
      <c r="E855" s="75">
        <f>60*F855*'THAM_SO_MOI'!$C$50/(2*PI()*'THAM_SO_MOI'!$C$26)</f>
        <v>1605.8740684825202</v>
      </c>
      <c r="F855" s="75">
        <f>'HANH_TRINH'!$F$826+('THAM_SO_MOI'!$F$50-'HANH_TRINH'!$F$826)*28/'THAM_SO_MOI'!$C$42</f>
        <v>4.003817046536495</v>
      </c>
      <c r="G855" s="75">
        <f>3.6*F855</f>
        <v>14.413741367531383</v>
      </c>
      <c r="H855" s="75">
        <f>'THAM_SO_MOI'!$D$50</f>
        <v>1.8785906709588276</v>
      </c>
      <c r="I855" s="75">
        <f>IF(F855&gt;'THAM_SO_MOI'!$C$14,'THAM_SO_MOI'!$C$13*(1+F855^2/1500),'THAM_SO_MOI'!$C$13)</f>
        <v>0.015</v>
      </c>
      <c r="J855" s="75">
        <f>'THAM_SO_MOI'!$C$40*('THAM_SO_MOI'!$C$23*(E855/'THAM_SO_MOI'!$C$22)+'THAM_SO_MOI'!$C$24*(E855/'THAM_SO_MOI'!$C$22)^2-'THAM_SO_MOI'!$C$25*(E855/'THAM_SO_MOI'!$C$22)^3)</f>
        <v>69.75491568350427</v>
      </c>
      <c r="K855" s="75">
        <f>'THAM_SO_MOI'!$C$31*J855/E855</f>
        <v>414.8744132559228</v>
      </c>
      <c r="L855" s="75">
        <f>K855*'THAM_SO_MOI'!$C$50*'THAM_SO_MOI'!$C$17/'THAM_SO_MOI'!$C$26</f>
        <v>14811.582292311494</v>
      </c>
      <c r="M855" s="75">
        <f>'THAM_SO_MOI'!$C$15*'THAM_SO_MOI'!$C$16*F855^2</f>
        <v>46.889361505748454</v>
      </c>
      <c r="N855" s="75">
        <f>'THAM_SO_MOI'!$C$12*I855</f>
        <v>1130.112</v>
      </c>
      <c r="O855" s="75">
        <f>M855+N855</f>
        <v>1177.0013615057485</v>
      </c>
      <c r="P855" s="75">
        <f>(MIN(L855,'THAM_SO_MOI'!$C$41)-O855)/('THAM_SO_MOI'!$C$11*H855)</f>
        <v>0.9450361306183525</v>
      </c>
      <c r="Q855" s="75">
        <f>IF(P855&gt;0,1/P855,NA())</f>
        <v>1.0581606010615527</v>
      </c>
      <c r="R855" s="75">
        <f>F855-F854</f>
        <v>0.0032106047296869278</v>
      </c>
      <c r="S855" s="75">
        <f>0.5*(Q854+Q855)*R855</f>
        <v>0.003397638090768656</v>
      </c>
      <c r="T855" s="75">
        <f>0.5*(F854*Q854+F855*Q855)*R855</f>
        <v>0.013598066583458078</v>
      </c>
      <c r="U855" s="76">
        <f>U854+S855</f>
        <v>4.211110049265057</v>
      </c>
      <c r="V855" s="76">
        <f>V854+T855</f>
        <v>12.473214760946586</v>
      </c>
    </row>
    <row r="856" spans="1:22" ht="19" customHeight="1">
      <c r="A856" s="68" t="s">
        <v>372</v>
      </c>
      <c r="B856" s="74">
        <v>2</v>
      </c>
      <c r="C856" s="68" t="s">
        <v>363</v>
      </c>
      <c r="D856" s="68" t="s">
        <v>364</v>
      </c>
      <c r="E856" s="75">
        <f>60*F856*'THAM_SO_MOI'!$C$50/(2*PI()*'THAM_SO_MOI'!$C$26)</f>
        <v>1607.1617963730864</v>
      </c>
      <c r="F856" s="75">
        <f>'HANH_TRINH'!$F$826+('THAM_SO_MOI'!$F$50-'HANH_TRINH'!$F$826)*29/'THAM_SO_MOI'!$C$42</f>
        <v>4.007027651266181</v>
      </c>
      <c r="G856" s="75">
        <f>3.6*F856</f>
        <v>14.425299544558253</v>
      </c>
      <c r="H856" s="75">
        <f>'THAM_SO_MOI'!$D$50</f>
        <v>1.8785906709588276</v>
      </c>
      <c r="I856" s="75">
        <f>IF(F856&gt;'THAM_SO_MOI'!$C$14,'THAM_SO_MOI'!$C$13*(1+F856^2/1500),'THAM_SO_MOI'!$C$13)</f>
        <v>0.015</v>
      </c>
      <c r="J856" s="75">
        <f>'THAM_SO_MOI'!$C$40*('THAM_SO_MOI'!$C$23*(E856/'THAM_SO_MOI'!$C$22)+'THAM_SO_MOI'!$C$24*(E856/'THAM_SO_MOI'!$C$22)^2-'THAM_SO_MOI'!$C$25*(E856/'THAM_SO_MOI'!$C$22)^3)</f>
        <v>69.82262648052466</v>
      </c>
      <c r="K856" s="75">
        <f>'THAM_SO_MOI'!$C$31*J856/E856</f>
        <v>414.94439197909946</v>
      </c>
      <c r="L856" s="75">
        <f>K856*'THAM_SO_MOI'!$C$50*'THAM_SO_MOI'!$C$17/'THAM_SO_MOI'!$C$26</f>
        <v>14814.080628154641</v>
      </c>
      <c r="M856" s="75">
        <f>'THAM_SO_MOI'!$C$15*'THAM_SO_MOI'!$C$16*F856^2</f>
        <v>46.96459149918443</v>
      </c>
      <c r="N856" s="75">
        <f>'THAM_SO_MOI'!$C$12*I856</f>
        <v>1130.112</v>
      </c>
      <c r="O856" s="75">
        <f>M856+N856</f>
        <v>1177.0765914991846</v>
      </c>
      <c r="P856" s="75">
        <f>(MIN(L856,'THAM_SO_MOI'!$C$41)-O856)/('THAM_SO_MOI'!$C$11*H856)</f>
        <v>0.9452040802302921</v>
      </c>
      <c r="Q856" s="75">
        <f>IF(P856&gt;0,1/P856,NA())</f>
        <v>1.0579725806477234</v>
      </c>
      <c r="R856" s="75">
        <f>F856-F855</f>
        <v>0.0032106047296860396</v>
      </c>
      <c r="S856" s="75">
        <f>0.5*(Q855+Q856)*R856</f>
        <v>0.0033970336009206846</v>
      </c>
      <c r="T856" s="75">
        <f>0.5*(F855*Q855+F856*Q856)*R856</f>
        <v>0.013606553820568704</v>
      </c>
      <c r="U856" s="76">
        <f>U855+S856</f>
        <v>4.214507082865977</v>
      </c>
      <c r="V856" s="76">
        <f>V855+T856</f>
        <v>12.486821314767155</v>
      </c>
    </row>
    <row r="857" spans="1:22" ht="19" customHeight="1">
      <c r="A857" s="68" t="s">
        <v>372</v>
      </c>
      <c r="B857" s="74">
        <v>2</v>
      </c>
      <c r="C857" s="68" t="s">
        <v>363</v>
      </c>
      <c r="D857" s="68" t="s">
        <v>364</v>
      </c>
      <c r="E857" s="75">
        <f>60*F857*'THAM_SO_MOI'!$C$50/(2*PI()*'THAM_SO_MOI'!$C$26)</f>
        <v>1608.4495242636533</v>
      </c>
      <c r="F857" s="75">
        <f>'HANH_TRINH'!$F$826+('THAM_SO_MOI'!$F$50-'HANH_TRINH'!$F$826)*30/'THAM_SO_MOI'!$C$42</f>
        <v>4.010238255995868</v>
      </c>
      <c r="G857" s="75">
        <f>3.6*F857</f>
        <v>14.436857721585126</v>
      </c>
      <c r="H857" s="75">
        <f>'THAM_SO_MOI'!$D$50</f>
        <v>1.8785906709588276</v>
      </c>
      <c r="I857" s="75">
        <f>IF(F857&gt;'THAM_SO_MOI'!$C$14,'THAM_SO_MOI'!$C$13*(1+F857^2/1500),'THAM_SO_MOI'!$C$13)</f>
        <v>0.015</v>
      </c>
      <c r="J857" s="75">
        <f>'THAM_SO_MOI'!$C$40*('THAM_SO_MOI'!$C$23*(E857/'THAM_SO_MOI'!$C$22)+'THAM_SO_MOI'!$C$24*(E857/'THAM_SO_MOI'!$C$22)^2-'THAM_SO_MOI'!$C$25*(E857/'THAM_SO_MOI'!$C$22)^3)</f>
        <v>69.8903290553351</v>
      </c>
      <c r="K857" s="75">
        <f>'THAM_SO_MOI'!$C$31*J857/E857</f>
        <v>415.01420982794355</v>
      </c>
      <c r="L857" s="75">
        <f>K857*'THAM_SO_MOI'!$C$50*'THAM_SO_MOI'!$C$17/'THAM_SO_MOI'!$C$26</f>
        <v>14816.573220564742</v>
      </c>
      <c r="M857" s="75">
        <f>'THAM_SO_MOI'!$C$15*'THAM_SO_MOI'!$C$16*F857^2</f>
        <v>47.03988179431939</v>
      </c>
      <c r="N857" s="75">
        <f>'THAM_SO_MOI'!$C$12*I857</f>
        <v>1130.112</v>
      </c>
      <c r="O857" s="75">
        <f>M857+N857</f>
        <v>1177.1518817943195</v>
      </c>
      <c r="P857" s="75">
        <f>(MIN(L857,'THAM_SO_MOI'!$C$41)-O857)/('THAM_SO_MOI'!$C$11*H857)</f>
        <v>0.9453716275754475</v>
      </c>
      <c r="Q857" s="75">
        <f>IF(P857&gt;0,1/P857,NA())</f>
        <v>1.0577850771390882</v>
      </c>
      <c r="R857" s="75">
        <f>F857-F856</f>
        <v>0.0032106047296869278</v>
      </c>
      <c r="S857" s="75">
        <f>0.5*(Q856+Q857)*R857</f>
        <v>0.003396430771480837</v>
      </c>
      <c r="T857" s="75">
        <f>0.5*(F856*Q856+F857*Q857)*R857</f>
        <v>0.013615043832088794</v>
      </c>
      <c r="U857" s="76">
        <f>U856+S857</f>
        <v>4.2179035136374585</v>
      </c>
      <c r="V857" s="76">
        <f>V856+T857</f>
        <v>12.500436358599245</v>
      </c>
    </row>
    <row r="858" spans="1:22" ht="19" customHeight="1">
      <c r="A858" s="68" t="s">
        <v>372</v>
      </c>
      <c r="B858" s="74">
        <v>2</v>
      </c>
      <c r="C858" s="68" t="s">
        <v>363</v>
      </c>
      <c r="D858" s="68" t="s">
        <v>364</v>
      </c>
      <c r="E858" s="75">
        <f>60*F858*'THAM_SO_MOI'!$C$50/(2*PI()*'THAM_SO_MOI'!$C$26)</f>
        <v>1609.7372521542202</v>
      </c>
      <c r="F858" s="75">
        <f>'HANH_TRINH'!$F$826+('THAM_SO_MOI'!$F$50-'HANH_TRINH'!$F$826)*31/'THAM_SO_MOI'!$C$42</f>
        <v>4.013448860725555</v>
      </c>
      <c r="G858" s="75">
        <f>3.6*F858</f>
        <v>14.448415898612</v>
      </c>
      <c r="H858" s="75">
        <f>'THAM_SO_MOI'!$D$50</f>
        <v>1.8785906709588276</v>
      </c>
      <c r="I858" s="75">
        <f>IF(F858&gt;'THAM_SO_MOI'!$C$14,'THAM_SO_MOI'!$C$13*(1+F858^2/1500),'THAM_SO_MOI'!$C$13)</f>
        <v>0.015</v>
      </c>
      <c r="J858" s="75">
        <f>'THAM_SO_MOI'!$C$40*('THAM_SO_MOI'!$C$23*(E858/'THAM_SO_MOI'!$C$22)+'THAM_SO_MOI'!$C$24*(E858/'THAM_SO_MOI'!$C$22)^2-'THAM_SO_MOI'!$C$25*(E858/'THAM_SO_MOI'!$C$22)^3)</f>
        <v>69.95802334286593</v>
      </c>
      <c r="K858" s="75">
        <f>'THAM_SO_MOI'!$C$31*J858/E858</f>
        <v>415.08386680245553</v>
      </c>
      <c r="L858" s="75">
        <f>K858*'THAM_SO_MOI'!$C$50*'THAM_SO_MOI'!$C$17/'THAM_SO_MOI'!$C$26</f>
        <v>14819.060069541812</v>
      </c>
      <c r="M858" s="75">
        <f>'THAM_SO_MOI'!$C$15*'THAM_SO_MOI'!$C$16*F858^2</f>
        <v>47.11523239115333</v>
      </c>
      <c r="N858" s="75">
        <f>'THAM_SO_MOI'!$C$12*I858</f>
        <v>1130.112</v>
      </c>
      <c r="O858" s="75">
        <f>M858+N858</f>
        <v>1177.2272323911534</v>
      </c>
      <c r="P858" s="75">
        <f>(MIN(L858,'THAM_SO_MOI'!$C$41)-O858)/('THAM_SO_MOI'!$C$11*H858)</f>
        <v>0.9455387726538196</v>
      </c>
      <c r="Q858" s="75">
        <f>IF(P858&gt;0,1/P858,NA())</f>
        <v>1.0575980900215498</v>
      </c>
      <c r="R858" s="75">
        <f>F858-F857</f>
        <v>0.0032106047296869278</v>
      </c>
      <c r="S858" s="75">
        <f>0.5*(Q857+Q858)*R858</f>
        <v>0.003395829600793028</v>
      </c>
      <c r="T858" s="75">
        <f>0.5*(F857*Q857+F858*Q858)*R858</f>
        <v>0.013623536627367145</v>
      </c>
      <c r="U858" s="76">
        <f>U857+S858</f>
        <v>4.221299343238251</v>
      </c>
      <c r="V858" s="76">
        <f>V857+T858</f>
        <v>12.514059895226612</v>
      </c>
    </row>
    <row r="859" spans="1:22" ht="19" customHeight="1">
      <c r="A859" s="68" t="s">
        <v>372</v>
      </c>
      <c r="B859" s="74">
        <v>2</v>
      </c>
      <c r="C859" s="68" t="s">
        <v>363</v>
      </c>
      <c r="D859" s="68" t="s">
        <v>364</v>
      </c>
      <c r="E859" s="75">
        <f>60*F859*'THAM_SO_MOI'!$C$50/(2*PI()*'THAM_SO_MOI'!$C$26)</f>
        <v>1611.0249800447868</v>
      </c>
      <c r="F859" s="75">
        <f>'HANH_TRINH'!$F$826+('THAM_SO_MOI'!$F$50-'HANH_TRINH'!$F$826)*32/'THAM_SO_MOI'!$C$42</f>
        <v>4.016659465455242</v>
      </c>
      <c r="G859" s="75">
        <f>3.6*F859</f>
        <v>14.459974075638872</v>
      </c>
      <c r="H859" s="75">
        <f>'THAM_SO_MOI'!$D$50</f>
        <v>1.8785906709588276</v>
      </c>
      <c r="I859" s="75">
        <f>IF(F859&gt;'THAM_SO_MOI'!$C$14,'THAM_SO_MOI'!$C$13*(1+F859^2/1500),'THAM_SO_MOI'!$C$13)</f>
        <v>0.015</v>
      </c>
      <c r="J859" s="75">
        <f>'THAM_SO_MOI'!$C$40*('THAM_SO_MOI'!$C$23*(E859/'THAM_SO_MOI'!$C$22)+'THAM_SO_MOI'!$C$24*(E859/'THAM_SO_MOI'!$C$22)^2-'THAM_SO_MOI'!$C$25*(E859/'THAM_SO_MOI'!$C$22)^3)</f>
        <v>70.02570927804739</v>
      </c>
      <c r="K859" s="75">
        <f>'THAM_SO_MOI'!$C$31*J859/E859</f>
        <v>415.1533629026352</v>
      </c>
      <c r="L859" s="75">
        <f>K859*'THAM_SO_MOI'!$C$50*'THAM_SO_MOI'!$C$17/'THAM_SO_MOI'!$C$26</f>
        <v>14821.54117508584</v>
      </c>
      <c r="M859" s="75">
        <f>'THAM_SO_MOI'!$C$15*'THAM_SO_MOI'!$C$16*F859^2</f>
        <v>47.19064328968624</v>
      </c>
      <c r="N859" s="75">
        <f>'THAM_SO_MOI'!$C$12*I859</f>
        <v>1130.112</v>
      </c>
      <c r="O859" s="75">
        <f>M859+N859</f>
        <v>1177.3026432896863</v>
      </c>
      <c r="P859" s="75">
        <f>(MIN(L859,'THAM_SO_MOI'!$C$41)-O859)/('THAM_SO_MOI'!$C$11*H859)</f>
        <v>0.9457055154654077</v>
      </c>
      <c r="Q859" s="75">
        <f>IF(P859&gt;0,1/P859,NA())</f>
        <v>1.0574116187826952</v>
      </c>
      <c r="R859" s="75">
        <f>F859-F858</f>
        <v>0.0032106047296869278</v>
      </c>
      <c r="S859" s="75">
        <f>0.5*(Q858+Q859)*R859</f>
        <v>0.003395230087210341</v>
      </c>
      <c r="T859" s="75">
        <f>0.5*(F858*Q858+F859*Q859)*R859</f>
        <v>0.013632032215768078</v>
      </c>
      <c r="U859" s="76">
        <f>U858+S859</f>
        <v>4.224694573325461</v>
      </c>
      <c r="V859" s="76">
        <f>V858+T859</f>
        <v>12.52769192744238</v>
      </c>
    </row>
    <row r="860" spans="1:22" ht="19" customHeight="1">
      <c r="A860" s="68" t="s">
        <v>372</v>
      </c>
      <c r="B860" s="74">
        <v>2</v>
      </c>
      <c r="C860" s="68" t="s">
        <v>363</v>
      </c>
      <c r="D860" s="68" t="s">
        <v>364</v>
      </c>
      <c r="E860" s="75">
        <f>60*F860*'THAM_SO_MOI'!$C$50/(2*PI()*'THAM_SO_MOI'!$C$26)</f>
        <v>1612.3127079353535</v>
      </c>
      <c r="F860" s="75">
        <f>'HANH_TRINH'!$F$826+('THAM_SO_MOI'!$F$50-'HANH_TRINH'!$F$826)*33/'THAM_SO_MOI'!$C$42</f>
        <v>4.019870070184929</v>
      </c>
      <c r="G860" s="75">
        <f>3.6*F860</f>
        <v>14.471532252665744</v>
      </c>
      <c r="H860" s="75">
        <f>'THAM_SO_MOI'!$D$50</f>
        <v>1.8785906709588276</v>
      </c>
      <c r="I860" s="75">
        <f>IF(F860&gt;'THAM_SO_MOI'!$C$14,'THAM_SO_MOI'!$C$13*(1+F860^2/1500),'THAM_SO_MOI'!$C$13)</f>
        <v>0.015</v>
      </c>
      <c r="J860" s="75">
        <f>'THAM_SO_MOI'!$C$40*('THAM_SO_MOI'!$C$23*(E860/'THAM_SO_MOI'!$C$22)+'THAM_SO_MOI'!$C$24*(E860/'THAM_SO_MOI'!$C$22)^2-'THAM_SO_MOI'!$C$25*(E860/'THAM_SO_MOI'!$C$22)^3)</f>
        <v>70.09338679580985</v>
      </c>
      <c r="K860" s="75">
        <f>'THAM_SO_MOI'!$C$31*J860/E860</f>
        <v>415.2226981284828</v>
      </c>
      <c r="L860" s="75">
        <f>K860*'THAM_SO_MOI'!$C$50*'THAM_SO_MOI'!$C$17/'THAM_SO_MOI'!$C$26</f>
        <v>14824.016537196845</v>
      </c>
      <c r="M860" s="75">
        <f>'THAM_SO_MOI'!$C$15*'THAM_SO_MOI'!$C$16*F860^2</f>
        <v>47.266114489918124</v>
      </c>
      <c r="N860" s="75">
        <f>'THAM_SO_MOI'!$C$12*I860</f>
        <v>1130.112</v>
      </c>
      <c r="O860" s="75">
        <f>M860+N860</f>
        <v>1177.3781144899183</v>
      </c>
      <c r="P860" s="75">
        <f>(MIN(L860,'THAM_SO_MOI'!$C$41)-O860)/('THAM_SO_MOI'!$C$11*H860)</f>
        <v>0.9458718560102133</v>
      </c>
      <c r="Q860" s="75">
        <f>IF(P860&gt;0,1/P860,NA())</f>
        <v>1.0572256629117869</v>
      </c>
      <c r="R860" s="75">
        <f>F860-F859</f>
        <v>0.0032106047296869278</v>
      </c>
      <c r="S860" s="75">
        <f>0.5*(Q859+Q860)*R860</f>
        <v>0.003394632229090306</v>
      </c>
      <c r="T860" s="75">
        <f>0.5*(F859*Q859+F860*Q860)*R860</f>
        <v>0.013640530606652664</v>
      </c>
      <c r="U860" s="76">
        <f>U859+S860</f>
        <v>4.228089205554552</v>
      </c>
      <c r="V860" s="76">
        <f>V859+T860</f>
        <v>12.541332458049032</v>
      </c>
    </row>
    <row r="861" spans="1:22" ht="19" customHeight="1">
      <c r="A861" s="68" t="s">
        <v>372</v>
      </c>
      <c r="B861" s="74">
        <v>2</v>
      </c>
      <c r="C861" s="68" t="s">
        <v>363</v>
      </c>
      <c r="D861" s="68" t="s">
        <v>364</v>
      </c>
      <c r="E861" s="75">
        <f>60*F861*'THAM_SO_MOI'!$C$50/(2*PI()*'THAM_SO_MOI'!$C$26)</f>
        <v>1613.6004358259202</v>
      </c>
      <c r="F861" s="75">
        <f>'HANH_TRINH'!$F$826+('THAM_SO_MOI'!$F$50-'HANH_TRINH'!$F$826)*34/'THAM_SO_MOI'!$C$42</f>
        <v>4.023080674914616</v>
      </c>
      <c r="G861" s="75">
        <f>3.6*F861</f>
        <v>14.483090429692618</v>
      </c>
      <c r="H861" s="75">
        <f>'THAM_SO_MOI'!$D$50</f>
        <v>1.8785906709588276</v>
      </c>
      <c r="I861" s="75">
        <f>IF(F861&gt;'THAM_SO_MOI'!$C$14,'THAM_SO_MOI'!$C$13*(1+F861^2/1500),'THAM_SO_MOI'!$C$13)</f>
        <v>0.015</v>
      </c>
      <c r="J861" s="75">
        <f>'THAM_SO_MOI'!$C$40*('THAM_SO_MOI'!$C$23*(E861/'THAM_SO_MOI'!$C$22)+'THAM_SO_MOI'!$C$24*(E861/'THAM_SO_MOI'!$C$22)^2-'THAM_SO_MOI'!$C$25*(E861/'THAM_SO_MOI'!$C$22)^3)</f>
        <v>70.16105583108354</v>
      </c>
      <c r="K861" s="75">
        <f>'THAM_SO_MOI'!$C$31*J861/E861</f>
        <v>415.291872479998</v>
      </c>
      <c r="L861" s="75">
        <f>K861*'THAM_SO_MOI'!$C$50*'THAM_SO_MOI'!$C$17/'THAM_SO_MOI'!$C$26</f>
        <v>14826.486155874807</v>
      </c>
      <c r="M861" s="75">
        <f>'THAM_SO_MOI'!$C$15*'THAM_SO_MOI'!$C$16*F861^2</f>
        <v>47.34164599184897</v>
      </c>
      <c r="N861" s="75">
        <f>'THAM_SO_MOI'!$C$12*I861</f>
        <v>1130.112</v>
      </c>
      <c r="O861" s="75">
        <f>M861+N861</f>
        <v>1177.453645991849</v>
      </c>
      <c r="P861" s="75">
        <f>(MIN(L861,'THAM_SO_MOI'!$C$41)-O861)/('THAM_SO_MOI'!$C$11*H861)</f>
        <v>0.9460377942882343</v>
      </c>
      <c r="Q861" s="75">
        <f>IF(P861&gt;0,1/P861,NA())</f>
        <v>1.0570402218997657</v>
      </c>
      <c r="R861" s="75">
        <f>F861-F860</f>
        <v>0.0032106047296869278</v>
      </c>
      <c r="S861" s="75">
        <f>0.5*(Q860+Q861)*R861</f>
        <v>0.0033940360247958438</v>
      </c>
      <c r="T861" s="75">
        <f>0.5*(F860*Q860+F861*Q861)*R861</f>
        <v>0.013649031809382527</v>
      </c>
      <c r="U861" s="76">
        <f>U860+S861</f>
        <v>4.2314832415793475</v>
      </c>
      <c r="V861" s="76">
        <f>V860+T861</f>
        <v>12.554981489858415</v>
      </c>
    </row>
    <row r="862" spans="1:22" ht="19" customHeight="1">
      <c r="A862" s="68" t="s">
        <v>372</v>
      </c>
      <c r="B862" s="74">
        <v>2</v>
      </c>
      <c r="C862" s="68" t="s">
        <v>363</v>
      </c>
      <c r="D862" s="68" t="s">
        <v>364</v>
      </c>
      <c r="E862" s="75">
        <f>60*F862*'THAM_SO_MOI'!$C$50/(2*PI()*'THAM_SO_MOI'!$C$26)</f>
        <v>1614.888163716487</v>
      </c>
      <c r="F862" s="75">
        <f>'HANH_TRINH'!$F$826+('THAM_SO_MOI'!$F$50-'HANH_TRINH'!$F$826)*35/'THAM_SO_MOI'!$C$42</f>
        <v>4.026291279644303</v>
      </c>
      <c r="G862" s="75">
        <f>3.6*F862</f>
        <v>14.49464860671949</v>
      </c>
      <c r="H862" s="75">
        <f>'THAM_SO_MOI'!$D$50</f>
        <v>1.8785906709588276</v>
      </c>
      <c r="I862" s="75">
        <f>IF(F862&gt;'THAM_SO_MOI'!$C$14,'THAM_SO_MOI'!$C$13*(1+F862^2/1500),'THAM_SO_MOI'!$C$13)</f>
        <v>0.015</v>
      </c>
      <c r="J862" s="75">
        <f>'THAM_SO_MOI'!$C$40*('THAM_SO_MOI'!$C$23*(E862/'THAM_SO_MOI'!$C$22)+'THAM_SO_MOI'!$C$24*(E862/'THAM_SO_MOI'!$C$22)^2-'THAM_SO_MOI'!$C$25*(E862/'THAM_SO_MOI'!$C$22)^3)</f>
        <v>70.22871631879882</v>
      </c>
      <c r="K862" s="75">
        <f>'THAM_SO_MOI'!$C$31*J862/E862</f>
        <v>415.3608859571809</v>
      </c>
      <c r="L862" s="75">
        <f>K862*'THAM_SO_MOI'!$C$50*'THAM_SO_MOI'!$C$17/'THAM_SO_MOI'!$C$26</f>
        <v>14828.950031119726</v>
      </c>
      <c r="M862" s="75">
        <f>'THAM_SO_MOI'!$C$15*'THAM_SO_MOI'!$C$16*F862^2</f>
        <v>47.4172377954788</v>
      </c>
      <c r="N862" s="75">
        <f>'THAM_SO_MOI'!$C$12*I862</f>
        <v>1130.112</v>
      </c>
      <c r="O862" s="75">
        <f>M862+N862</f>
        <v>1177.5292377954788</v>
      </c>
      <c r="P862" s="75">
        <f>(MIN(L862,'THAM_SO_MOI'!$C$41)-O862)/('THAM_SO_MOI'!$C$11*H862)</f>
        <v>0.9462033302994716</v>
      </c>
      <c r="Q862" s="75">
        <f>IF(P862&gt;0,1/P862,NA())</f>
        <v>1.0568552952392398</v>
      </c>
      <c r="R862" s="75">
        <f>F862-F861</f>
        <v>0.0032106047296869278</v>
      </c>
      <c r="S862" s="75">
        <f>0.5*(Q861+Q862)*R862</f>
        <v>0.003393441472695243</v>
      </c>
      <c r="T862" s="75">
        <f>0.5*(F861*Q861+F862*Q862)*R862</f>
        <v>0.013657535833319892</v>
      </c>
      <c r="U862" s="76">
        <f>U861+S862</f>
        <v>4.234876683052042</v>
      </c>
      <c r="V862" s="76">
        <f>V861+T862</f>
        <v>12.568639025691734</v>
      </c>
    </row>
    <row r="863" spans="1:22" ht="19" customHeight="1">
      <c r="A863" s="68" t="s">
        <v>372</v>
      </c>
      <c r="B863" s="74">
        <v>2</v>
      </c>
      <c r="C863" s="68" t="s">
        <v>363</v>
      </c>
      <c r="D863" s="68" t="s">
        <v>364</v>
      </c>
      <c r="E863" s="75">
        <f>60*F863*'THAM_SO_MOI'!$C$50/(2*PI()*'THAM_SO_MOI'!$C$26)</f>
        <v>1616.1758916070535</v>
      </c>
      <c r="F863" s="75">
        <f>'HANH_TRINH'!$F$826+('THAM_SO_MOI'!$F$50-'HANH_TRINH'!$F$826)*36/'THAM_SO_MOI'!$C$42</f>
        <v>4.029501884373989</v>
      </c>
      <c r="G863" s="75">
        <f>3.6*F863</f>
        <v>14.50620678374636</v>
      </c>
      <c r="H863" s="75">
        <f>'THAM_SO_MOI'!$D$50</f>
        <v>1.8785906709588276</v>
      </c>
      <c r="I863" s="75">
        <f>IF(F863&gt;'THAM_SO_MOI'!$C$14,'THAM_SO_MOI'!$C$13*(1+F863^2/1500),'THAM_SO_MOI'!$C$13)</f>
        <v>0.015</v>
      </c>
      <c r="J863" s="75">
        <f>'THAM_SO_MOI'!$C$40*('THAM_SO_MOI'!$C$23*(E863/'THAM_SO_MOI'!$C$22)+'THAM_SO_MOI'!$C$24*(E863/'THAM_SO_MOI'!$C$22)^2-'THAM_SO_MOI'!$C$25*(E863/'THAM_SO_MOI'!$C$22)^3)</f>
        <v>70.29636819388594</v>
      </c>
      <c r="K863" s="75">
        <f>'THAM_SO_MOI'!$C$31*J863/E863</f>
        <v>415.42973856003164</v>
      </c>
      <c r="L863" s="75">
        <f>K863*'THAM_SO_MOI'!$C$50*'THAM_SO_MOI'!$C$17/'THAM_SO_MOI'!$C$26</f>
        <v>14831.408162931615</v>
      </c>
      <c r="M863" s="75">
        <f>'THAM_SO_MOI'!$C$15*'THAM_SO_MOI'!$C$16*F863^2</f>
        <v>47.492889900807576</v>
      </c>
      <c r="N863" s="75">
        <f>'THAM_SO_MOI'!$C$12*I863</f>
        <v>1130.112</v>
      </c>
      <c r="O863" s="75">
        <f>M863+N863</f>
        <v>1177.6048899008076</v>
      </c>
      <c r="P863" s="75">
        <f>(MIN(L863,'THAM_SO_MOI'!$C$41)-O863)/('THAM_SO_MOI'!$C$11*H863)</f>
        <v>0.9463684640439255</v>
      </c>
      <c r="Q863" s="75">
        <f>IF(P863&gt;0,1/P863,NA())</f>
        <v>1.0566708824244857</v>
      </c>
      <c r="R863" s="75">
        <f>F863-F862</f>
        <v>0.0032106047296860396</v>
      </c>
      <c r="S863" s="75">
        <f>0.5*(Q862+Q863)*R863</f>
        <v>0.0033928485711612073</v>
      </c>
      <c r="T863" s="75">
        <f>0.5*(F862*Q862+F863*Q863)*R863</f>
        <v>0.013666042687823812</v>
      </c>
      <c r="U863" s="76">
        <f>U862+S863</f>
        <v>4.238269531623204</v>
      </c>
      <c r="V863" s="76">
        <f>V862+T863</f>
        <v>12.582305068379558</v>
      </c>
    </row>
    <row r="864" spans="1:22" ht="19" customHeight="1">
      <c r="A864" s="68" t="s">
        <v>372</v>
      </c>
      <c r="B864" s="74">
        <v>2</v>
      </c>
      <c r="C864" s="68" t="s">
        <v>363</v>
      </c>
      <c r="D864" s="68" t="s">
        <v>364</v>
      </c>
      <c r="E864" s="75">
        <f>60*F864*'THAM_SO_MOI'!$C$50/(2*PI()*'THAM_SO_MOI'!$C$26)</f>
        <v>1617.4636194976201</v>
      </c>
      <c r="F864" s="75">
        <f>'HANH_TRINH'!$F$826+('THAM_SO_MOI'!$F$50-'HANH_TRINH'!$F$826)*37/'THAM_SO_MOI'!$C$42</f>
        <v>4.032712489103676</v>
      </c>
      <c r="G864" s="75">
        <f>3.6*F864</f>
        <v>14.517764960773233</v>
      </c>
      <c r="H864" s="75">
        <f>'THAM_SO_MOI'!$D$50</f>
        <v>1.8785906709588276</v>
      </c>
      <c r="I864" s="75">
        <f>IF(F864&gt;'THAM_SO_MOI'!$C$14,'THAM_SO_MOI'!$C$13*(1+F864^2/1500),'THAM_SO_MOI'!$C$13)</f>
        <v>0.015</v>
      </c>
      <c r="J864" s="75">
        <f>'THAM_SO_MOI'!$C$40*('THAM_SO_MOI'!$C$23*(E864/'THAM_SO_MOI'!$C$22)+'THAM_SO_MOI'!$C$24*(E864/'THAM_SO_MOI'!$C$22)^2-'THAM_SO_MOI'!$C$25*(E864/'THAM_SO_MOI'!$C$22)^3)</f>
        <v>70.36401139127527</v>
      </c>
      <c r="K864" s="75">
        <f>'THAM_SO_MOI'!$C$31*J864/E864</f>
        <v>415.4984302885503</v>
      </c>
      <c r="L864" s="75">
        <f>K864*'THAM_SO_MOI'!$C$50*'THAM_SO_MOI'!$C$17/'THAM_SO_MOI'!$C$26</f>
        <v>14833.860551310476</v>
      </c>
      <c r="M864" s="75">
        <f>'THAM_SO_MOI'!$C$15*'THAM_SO_MOI'!$C$16*F864^2</f>
        <v>47.56860230783534</v>
      </c>
      <c r="N864" s="75">
        <f>'THAM_SO_MOI'!$C$12*I864</f>
        <v>1130.112</v>
      </c>
      <c r="O864" s="75">
        <f>M864+N864</f>
        <v>1177.6806023078354</v>
      </c>
      <c r="P864" s="75">
        <f>(MIN(L864,'THAM_SO_MOI'!$C$41)-O864)/('THAM_SO_MOI'!$C$11*H864)</f>
        <v>0.9465331955215963</v>
      </c>
      <c r="Q864" s="75">
        <f>IF(P864&gt;0,1/P864,NA())</f>
        <v>1.0564869829514434</v>
      </c>
      <c r="R864" s="75">
        <f>F864-F863</f>
        <v>0.0032106047296869278</v>
      </c>
      <c r="S864" s="75">
        <f>0.5*(Q863+Q864)*R864</f>
        <v>0.0033922573185755454</v>
      </c>
      <c r="T864" s="75">
        <f>0.5*(F863*Q863+F864*Q864)*R864</f>
        <v>0.013674552382269133</v>
      </c>
      <c r="U864" s="76">
        <f>U863+S864</f>
        <v>4.241661788941779</v>
      </c>
      <c r="V864" s="76">
        <f>V863+T864</f>
        <v>12.595979620761828</v>
      </c>
    </row>
    <row r="865" spans="1:22" ht="19" customHeight="1">
      <c r="A865" s="68" t="s">
        <v>372</v>
      </c>
      <c r="B865" s="74">
        <v>2</v>
      </c>
      <c r="C865" s="68" t="s">
        <v>363</v>
      </c>
      <c r="D865" s="68" t="s">
        <v>364</v>
      </c>
      <c r="E865" s="75">
        <f>60*F865*'THAM_SO_MOI'!$C$50/(2*PI()*'THAM_SO_MOI'!$C$26)</f>
        <v>1618.7513473881868</v>
      </c>
      <c r="F865" s="75">
        <f>'HANH_TRINH'!$F$826+('THAM_SO_MOI'!$F$50-'HANH_TRINH'!$F$826)*38/'THAM_SO_MOI'!$C$42</f>
        <v>4.035923093833363</v>
      </c>
      <c r="G865" s="75">
        <f>3.6*F865</f>
        <v>14.529323137800107</v>
      </c>
      <c r="H865" s="75">
        <f>'THAM_SO_MOI'!$D$50</f>
        <v>1.8785906709588276</v>
      </c>
      <c r="I865" s="75">
        <f>IF(F865&gt;'THAM_SO_MOI'!$C$14,'THAM_SO_MOI'!$C$13*(1+F865^2/1500),'THAM_SO_MOI'!$C$13)</f>
        <v>0.015</v>
      </c>
      <c r="J865" s="75">
        <f>'THAM_SO_MOI'!$C$40*('THAM_SO_MOI'!$C$23*(E865/'THAM_SO_MOI'!$C$22)+'THAM_SO_MOI'!$C$24*(E865/'THAM_SO_MOI'!$C$22)^2-'THAM_SO_MOI'!$C$25*(E865/'THAM_SO_MOI'!$C$22)^3)</f>
        <v>70.43164584589704</v>
      </c>
      <c r="K865" s="75">
        <f>'THAM_SO_MOI'!$C$31*J865/E865</f>
        <v>415.5669611427365</v>
      </c>
      <c r="L865" s="75">
        <f>K865*'THAM_SO_MOI'!$C$50*'THAM_SO_MOI'!$C$17/'THAM_SO_MOI'!$C$26</f>
        <v>14836.307196256292</v>
      </c>
      <c r="M865" s="75">
        <f>'THAM_SO_MOI'!$C$15*'THAM_SO_MOI'!$C$16*F865^2</f>
        <v>47.64437501656209</v>
      </c>
      <c r="N865" s="75">
        <f>'THAM_SO_MOI'!$C$12*I865</f>
        <v>1130.112</v>
      </c>
      <c r="O865" s="75">
        <f>M865+N865</f>
        <v>1177.756375016562</v>
      </c>
      <c r="P865" s="75">
        <f>(MIN(L865,'THAM_SO_MOI'!$C$41)-O865)/('THAM_SO_MOI'!$C$11*H865)</f>
        <v>0.9466975247324829</v>
      </c>
      <c r="Q865" s="75">
        <f>IF(P865&gt;0,1/P865,NA())</f>
        <v>1.0563035963177143</v>
      </c>
      <c r="R865" s="75">
        <f>F865-F864</f>
        <v>0.0032106047296869278</v>
      </c>
      <c r="S865" s="75">
        <f>0.5*(Q864+Q865)*R865</f>
        <v>0.0033916677133197706</v>
      </c>
      <c r="T865" s="75">
        <f>0.5*(F864*Q864+F865*Q865)*R865</f>
        <v>0.013683064926008737</v>
      </c>
      <c r="U865" s="76">
        <f>U864+S865</f>
        <v>4.245053456655099</v>
      </c>
      <c r="V865" s="76">
        <f>V864+T865</f>
        <v>12.609662685687836</v>
      </c>
    </row>
    <row r="866" spans="1:22" ht="19" customHeight="1">
      <c r="A866" s="68" t="s">
        <v>372</v>
      </c>
      <c r="B866" s="74">
        <v>2</v>
      </c>
      <c r="C866" s="68" t="s">
        <v>363</v>
      </c>
      <c r="D866" s="68" t="s">
        <v>364</v>
      </c>
      <c r="E866" s="75">
        <f>60*F866*'THAM_SO_MOI'!$C$50/(2*PI()*'THAM_SO_MOI'!$C$26)</f>
        <v>1620.0390752787534</v>
      </c>
      <c r="F866" s="75">
        <f>'HANH_TRINH'!$F$826+('THAM_SO_MOI'!$F$50-'HANH_TRINH'!$F$826)*39/'THAM_SO_MOI'!$C$42</f>
        <v>4.03913369856305</v>
      </c>
      <c r="G866" s="75">
        <f>3.6*F866</f>
        <v>14.54088131482698</v>
      </c>
      <c r="H866" s="75">
        <f>'THAM_SO_MOI'!$D$50</f>
        <v>1.8785906709588276</v>
      </c>
      <c r="I866" s="75">
        <f>IF(F866&gt;'THAM_SO_MOI'!$C$14,'THAM_SO_MOI'!$C$13*(1+F866^2/1500),'THAM_SO_MOI'!$C$13)</f>
        <v>0.015</v>
      </c>
      <c r="J866" s="75">
        <f>'THAM_SO_MOI'!$C$40*('THAM_SO_MOI'!$C$23*(E866/'THAM_SO_MOI'!$C$22)+'THAM_SO_MOI'!$C$24*(E866/'THAM_SO_MOI'!$C$22)^2-'THAM_SO_MOI'!$C$25*(E866/'THAM_SO_MOI'!$C$22)^3)</f>
        <v>70.49927149268157</v>
      </c>
      <c r="K866" s="75">
        <f>'THAM_SO_MOI'!$C$31*J866/E866</f>
        <v>415.6353311225904</v>
      </c>
      <c r="L866" s="75">
        <f>K866*'THAM_SO_MOI'!$C$50*'THAM_SO_MOI'!$C$17/'THAM_SO_MOI'!$C$26</f>
        <v>14838.748097769072</v>
      </c>
      <c r="M866" s="75">
        <f>'THAM_SO_MOI'!$C$15*'THAM_SO_MOI'!$C$16*F866^2</f>
        <v>47.7202080269878</v>
      </c>
      <c r="N866" s="75">
        <f>'THAM_SO_MOI'!$C$12*I866</f>
        <v>1130.112</v>
      </c>
      <c r="O866" s="75">
        <f>M866+N866</f>
        <v>1177.832208026988</v>
      </c>
      <c r="P866" s="75">
        <f>(MIN(L866,'THAM_SO_MOI'!$C$41)-O866)/('THAM_SO_MOI'!$C$11*H866)</f>
        <v>0.9468614516765862</v>
      </c>
      <c r="Q866" s="75">
        <f>IF(P866&gt;0,1/P866,NA())</f>
        <v>1.0561207220225541</v>
      </c>
      <c r="R866" s="75">
        <f>F866-F865</f>
        <v>0.0032106047296869278</v>
      </c>
      <c r="S866" s="75">
        <f>0.5*(Q865+Q866)*R866</f>
        <v>0.0033910797537844753</v>
      </c>
      <c r="T866" s="75">
        <f>0.5*(F865*Q865+F866*Q866)*R866</f>
        <v>0.013691580328411371</v>
      </c>
      <c r="U866" s="76">
        <f>U865+S866</f>
        <v>4.248444536408884</v>
      </c>
      <c r="V866" s="76">
        <f>V865+T866</f>
        <v>12.623354266016246</v>
      </c>
    </row>
    <row r="867" spans="1:22" ht="19" customHeight="1">
      <c r="A867" s="68" t="s">
        <v>372</v>
      </c>
      <c r="B867" s="74">
        <v>2</v>
      </c>
      <c r="C867" s="68" t="s">
        <v>363</v>
      </c>
      <c r="D867" s="68" t="s">
        <v>364</v>
      </c>
      <c r="E867" s="75">
        <f>60*F867*'THAM_SO_MOI'!$C$50/(2*PI()*'THAM_SO_MOI'!$C$26)</f>
        <v>1621.32680316932</v>
      </c>
      <c r="F867" s="75">
        <f>'HANH_TRINH'!$F$826+('THAM_SO_MOI'!$F$50-'HANH_TRINH'!$F$826)*40/'THAM_SO_MOI'!$C$42</f>
        <v>4.042344303292737</v>
      </c>
      <c r="G867" s="75">
        <f>3.6*F867</f>
        <v>14.552439491853852</v>
      </c>
      <c r="H867" s="75">
        <f>'THAM_SO_MOI'!$D$50</f>
        <v>1.8785906709588276</v>
      </c>
      <c r="I867" s="75">
        <f>IF(F867&gt;'THAM_SO_MOI'!$C$14,'THAM_SO_MOI'!$C$13*(1+F867^2/1500),'THAM_SO_MOI'!$C$13)</f>
        <v>0.015</v>
      </c>
      <c r="J867" s="75">
        <f>'THAM_SO_MOI'!$C$40*('THAM_SO_MOI'!$C$23*(E867/'THAM_SO_MOI'!$C$22)+'THAM_SO_MOI'!$C$24*(E867/'THAM_SO_MOI'!$C$22)^2-'THAM_SO_MOI'!$C$25*(E867/'THAM_SO_MOI'!$C$22)^3)</f>
        <v>70.56688826655919</v>
      </c>
      <c r="K867" s="75">
        <f>'THAM_SO_MOI'!$C$31*J867/E867</f>
        <v>415.70354022811216</v>
      </c>
      <c r="L867" s="75">
        <f>K867*'THAM_SO_MOI'!$C$50*'THAM_SO_MOI'!$C$17/'THAM_SO_MOI'!$C$26</f>
        <v>14841.183255848819</v>
      </c>
      <c r="M867" s="75">
        <f>'THAM_SO_MOI'!$C$15*'THAM_SO_MOI'!$C$16*F867^2</f>
        <v>47.79610133911248</v>
      </c>
      <c r="N867" s="75">
        <f>'THAM_SO_MOI'!$C$12*I867</f>
        <v>1130.112</v>
      </c>
      <c r="O867" s="75">
        <f>M867+N867</f>
        <v>1177.9081013391126</v>
      </c>
      <c r="P867" s="75">
        <f>(MIN(L867,'THAM_SO_MOI'!$C$41)-O867)/('THAM_SO_MOI'!$C$11*H867)</f>
        <v>0.9470249763539056</v>
      </c>
      <c r="Q867" s="75">
        <f>IF(P867&gt;0,1/P867,NA())</f>
        <v>1.0559383595668732</v>
      </c>
      <c r="R867" s="75">
        <f>F867-F866</f>
        <v>0.0032106047296869278</v>
      </c>
      <c r="S867" s="75">
        <f>0.5*(Q866+Q867)*R867</f>
        <v>0.003390493438364622</v>
      </c>
      <c r="T867" s="75">
        <f>0.5*(F866*Q866+F867*Q867)*R867</f>
        <v>0.013700098598842778</v>
      </c>
      <c r="U867" s="76">
        <f>U866+S867</f>
        <v>4.251835029847248</v>
      </c>
      <c r="V867" s="76">
        <f>V866+T867</f>
        <v>12.63705436461509</v>
      </c>
    </row>
    <row r="868" spans="1:22" ht="19" customHeight="1">
      <c r="A868" s="68" t="s">
        <v>372</v>
      </c>
      <c r="B868" s="74">
        <v>2</v>
      </c>
      <c r="C868" s="68" t="s">
        <v>363</v>
      </c>
      <c r="D868" s="68" t="s">
        <v>364</v>
      </c>
      <c r="E868" s="75">
        <f>60*F868*'THAM_SO_MOI'!$C$50/(2*PI()*'THAM_SO_MOI'!$C$26)</f>
        <v>1622.614531059887</v>
      </c>
      <c r="F868" s="75">
        <f>'HANH_TRINH'!$F$826+('THAM_SO_MOI'!$F$50-'HANH_TRINH'!$F$826)*41/'THAM_SO_MOI'!$C$42</f>
        <v>4.045554908022424</v>
      </c>
      <c r="G868" s="75">
        <f>3.6*F868</f>
        <v>14.563997668880726</v>
      </c>
      <c r="H868" s="75">
        <f>'THAM_SO_MOI'!$D$50</f>
        <v>1.8785906709588276</v>
      </c>
      <c r="I868" s="75">
        <f>IF(F868&gt;'THAM_SO_MOI'!$C$14,'THAM_SO_MOI'!$C$13*(1+F868^2/1500),'THAM_SO_MOI'!$C$13)</f>
        <v>0.015</v>
      </c>
      <c r="J868" s="75">
        <f>'THAM_SO_MOI'!$C$40*('THAM_SO_MOI'!$C$23*(E868/'THAM_SO_MOI'!$C$22)+'THAM_SO_MOI'!$C$24*(E868/'THAM_SO_MOI'!$C$22)^2-'THAM_SO_MOI'!$C$25*(E868/'THAM_SO_MOI'!$C$22)^3)</f>
        <v>70.6344961024602</v>
      </c>
      <c r="K868" s="75">
        <f>'THAM_SO_MOI'!$C$31*J868/E868</f>
        <v>415.7715884593017</v>
      </c>
      <c r="L868" s="75">
        <f>K868*'THAM_SO_MOI'!$C$50*'THAM_SO_MOI'!$C$17/'THAM_SO_MOI'!$C$26</f>
        <v>14843.612670495533</v>
      </c>
      <c r="M868" s="75">
        <f>'THAM_SO_MOI'!$C$15*'THAM_SO_MOI'!$C$16*F868^2</f>
        <v>47.87205495293614</v>
      </c>
      <c r="N868" s="75">
        <f>'THAM_SO_MOI'!$C$12*I868</f>
        <v>1130.112</v>
      </c>
      <c r="O868" s="75">
        <f>M868+N868</f>
        <v>1177.9840549529363</v>
      </c>
      <c r="P868" s="75">
        <f>(MIN(L868,'THAM_SO_MOI'!$C$41)-O868)/('THAM_SO_MOI'!$C$11*H868)</f>
        <v>0.947188098764442</v>
      </c>
      <c r="Q868" s="75">
        <f>IF(P868&gt;0,1/P868,NA())</f>
        <v>1.0557565084532294</v>
      </c>
      <c r="R868" s="75">
        <f>F868-F867</f>
        <v>0.0032106047296869278</v>
      </c>
      <c r="S868" s="75">
        <f>0.5*(Q867+Q868)*R868</f>
        <v>0.0033899087654604776</v>
      </c>
      <c r="T868" s="75">
        <f>0.5*(F867*Q867+F868*Q868)*R868</f>
        <v>0.013708619746669535</v>
      </c>
      <c r="U868" s="76">
        <f>U867+S868</f>
        <v>4.255224938612709</v>
      </c>
      <c r="V868" s="76">
        <f>V867+T868</f>
        <v>12.650762984361759</v>
      </c>
    </row>
    <row r="869" spans="1:22" ht="19" customHeight="1">
      <c r="A869" s="68" t="s">
        <v>372</v>
      </c>
      <c r="B869" s="74">
        <v>2</v>
      </c>
      <c r="C869" s="68" t="s">
        <v>363</v>
      </c>
      <c r="D869" s="68" t="s">
        <v>364</v>
      </c>
      <c r="E869" s="75">
        <f>60*F869*'THAM_SO_MOI'!$C$50/(2*PI()*'THAM_SO_MOI'!$C$26)</f>
        <v>1623.9022589504539</v>
      </c>
      <c r="F869" s="75">
        <f>'HANH_TRINH'!$F$826+('THAM_SO_MOI'!$F$50-'HANH_TRINH'!$F$826)*42/'THAM_SO_MOI'!$C$42</f>
        <v>4.0487655127521105</v>
      </c>
      <c r="G869" s="75">
        <f>3.6*F869</f>
        <v>14.575555845907598</v>
      </c>
      <c r="H869" s="75">
        <f>'THAM_SO_MOI'!$D$50</f>
        <v>1.8785906709588276</v>
      </c>
      <c r="I869" s="75">
        <f>IF(F869&gt;'THAM_SO_MOI'!$C$14,'THAM_SO_MOI'!$C$13*(1+F869^2/1500),'THAM_SO_MOI'!$C$13)</f>
        <v>0.015</v>
      </c>
      <c r="J869" s="75">
        <f>'THAM_SO_MOI'!$C$40*('THAM_SO_MOI'!$C$23*(E869/'THAM_SO_MOI'!$C$22)+'THAM_SO_MOI'!$C$24*(E869/'THAM_SO_MOI'!$C$22)^2-'THAM_SO_MOI'!$C$25*(E869/'THAM_SO_MOI'!$C$22)^3)</f>
        <v>70.70209493531488</v>
      </c>
      <c r="K869" s="75">
        <f>'THAM_SO_MOI'!$C$31*J869/E869</f>
        <v>415.8394758161589</v>
      </c>
      <c r="L869" s="75">
        <f>K869*'THAM_SO_MOI'!$C$50*'THAM_SO_MOI'!$C$17/'THAM_SO_MOI'!$C$26</f>
        <v>14846.036341709207</v>
      </c>
      <c r="M869" s="75">
        <f>'THAM_SO_MOI'!$C$15*'THAM_SO_MOI'!$C$16*F869^2</f>
        <v>47.94806886845877</v>
      </c>
      <c r="N869" s="75">
        <f>'THAM_SO_MOI'!$C$12*I869</f>
        <v>1130.112</v>
      </c>
      <c r="O869" s="75">
        <f>M869+N869</f>
        <v>1178.0600688684588</v>
      </c>
      <c r="P869" s="75">
        <f>(MIN(L869,'THAM_SO_MOI'!$C$41)-O869)/('THAM_SO_MOI'!$C$11*H869)</f>
        <v>0.9473508189081941</v>
      </c>
      <c r="Q869" s="75">
        <f>IF(P869&gt;0,1/P869,NA())</f>
        <v>1.0555751681858292</v>
      </c>
      <c r="R869" s="75">
        <f>F869-F868</f>
        <v>0.0032106047296869278</v>
      </c>
      <c r="S869" s="75">
        <f>0.5*(Q868+Q869)*R869</f>
        <v>0.0033893257334775963</v>
      </c>
      <c r="T869" s="75">
        <f>0.5*(F868*Q868+F869*Q869)*R869</f>
        <v>0.013717143781259083</v>
      </c>
      <c r="U869" s="76">
        <f>U868+S869</f>
        <v>4.258614264346186</v>
      </c>
      <c r="V869" s="76">
        <f>V868+T869</f>
        <v>12.664480128143017</v>
      </c>
    </row>
    <row r="870" spans="1:22" ht="19" customHeight="1">
      <c r="A870" s="68" t="s">
        <v>372</v>
      </c>
      <c r="B870" s="74">
        <v>2</v>
      </c>
      <c r="C870" s="68" t="s">
        <v>363</v>
      </c>
      <c r="D870" s="68" t="s">
        <v>364</v>
      </c>
      <c r="E870" s="75">
        <f>60*F870*'THAM_SO_MOI'!$C$50/(2*PI()*'THAM_SO_MOI'!$C$26)</f>
        <v>1625.18998684102</v>
      </c>
      <c r="F870" s="75">
        <f>'HANH_TRINH'!$F$826+('THAM_SO_MOI'!$F$50-'HANH_TRINH'!$F$826)*43/'THAM_SO_MOI'!$C$42</f>
        <v>4.0519761174817965</v>
      </c>
      <c r="G870" s="75">
        <f>3.6*F870</f>
        <v>14.587114022934468</v>
      </c>
      <c r="H870" s="75">
        <f>'THAM_SO_MOI'!$D$50</f>
        <v>1.8785906709588276</v>
      </c>
      <c r="I870" s="75">
        <f>IF(F870&gt;'THAM_SO_MOI'!$C$14,'THAM_SO_MOI'!$C$13*(1+F870^2/1500),'THAM_SO_MOI'!$C$13)</f>
        <v>0.015</v>
      </c>
      <c r="J870" s="75">
        <f>'THAM_SO_MOI'!$C$40*('THAM_SO_MOI'!$C$23*(E870/'THAM_SO_MOI'!$C$22)+'THAM_SO_MOI'!$C$24*(E870/'THAM_SO_MOI'!$C$22)^2-'THAM_SO_MOI'!$C$25*(E870/'THAM_SO_MOI'!$C$22)^3)</f>
        <v>70.7696847000535</v>
      </c>
      <c r="K870" s="75">
        <f>'THAM_SO_MOI'!$C$31*J870/E870</f>
        <v>415.9072022986839</v>
      </c>
      <c r="L870" s="75">
        <f>K870*'THAM_SO_MOI'!$C$50*'THAM_SO_MOI'!$C$17/'THAM_SO_MOI'!$C$26</f>
        <v>14848.454269489843</v>
      </c>
      <c r="M870" s="75">
        <f>'THAM_SO_MOI'!$C$15*'THAM_SO_MOI'!$C$16*F870^2</f>
        <v>48.02414308568035</v>
      </c>
      <c r="N870" s="75">
        <f>'THAM_SO_MOI'!$C$12*I870</f>
        <v>1130.112</v>
      </c>
      <c r="O870" s="75">
        <f>M870+N870</f>
        <v>1178.1361430856805</v>
      </c>
      <c r="P870" s="75">
        <f>(MIN(L870,'THAM_SO_MOI'!$C$41)-O870)/('THAM_SO_MOI'!$C$11*H870)</f>
        <v>0.9475131367851627</v>
      </c>
      <c r="Q870" s="75">
        <f>IF(P870&gt;0,1/P870,NA())</f>
        <v>1.0553943382705184</v>
      </c>
      <c r="R870" s="75">
        <f>F870-F869</f>
        <v>0.0032106047296860396</v>
      </c>
      <c r="S870" s="75">
        <f>0.5*(Q869+Q870)*R870</f>
        <v>0.0033887443408258775</v>
      </c>
      <c r="T870" s="75">
        <f>0.5*(F869*Q869+F870*Q870)*R870</f>
        <v>0.013725670711975961</v>
      </c>
      <c r="U870" s="76">
        <f>U869+S870</f>
        <v>4.262003008687012</v>
      </c>
      <c r="V870" s="76">
        <f>V869+T870</f>
        <v>12.678205798854993</v>
      </c>
    </row>
    <row r="871" spans="1:22" ht="19" customHeight="1">
      <c r="A871" s="68" t="s">
        <v>372</v>
      </c>
      <c r="B871" s="74">
        <v>2</v>
      </c>
      <c r="C871" s="68" t="s">
        <v>363</v>
      </c>
      <c r="D871" s="68" t="s">
        <v>364</v>
      </c>
      <c r="E871" s="75">
        <f>60*F871*'THAM_SO_MOI'!$C$50/(2*PI()*'THAM_SO_MOI'!$C$26)</f>
        <v>1626.477714731587</v>
      </c>
      <c r="F871" s="75">
        <f>'HANH_TRINH'!$F$826+('THAM_SO_MOI'!$F$50-'HANH_TRINH'!$F$826)*44/'THAM_SO_MOI'!$C$42</f>
        <v>4.0551867222114835</v>
      </c>
      <c r="G871" s="75">
        <f>3.6*F871</f>
        <v>14.59867219996134</v>
      </c>
      <c r="H871" s="75">
        <f>'THAM_SO_MOI'!$D$50</f>
        <v>1.8785906709588276</v>
      </c>
      <c r="I871" s="75">
        <f>IF(F871&gt;'THAM_SO_MOI'!$C$14,'THAM_SO_MOI'!$C$13*(1+F871^2/1500),'THAM_SO_MOI'!$C$13)</f>
        <v>0.015</v>
      </c>
      <c r="J871" s="75">
        <f>'THAM_SO_MOI'!$C$40*('THAM_SO_MOI'!$C$23*(E871/'THAM_SO_MOI'!$C$22)+'THAM_SO_MOI'!$C$24*(E871/'THAM_SO_MOI'!$C$22)^2-'THAM_SO_MOI'!$C$25*(E871/'THAM_SO_MOI'!$C$22)^3)</f>
        <v>70.83726533160645</v>
      </c>
      <c r="K871" s="75">
        <f>'THAM_SO_MOI'!$C$31*J871/E871</f>
        <v>415.9747679068767</v>
      </c>
      <c r="L871" s="75">
        <f>K871*'THAM_SO_MOI'!$C$50*'THAM_SO_MOI'!$C$17/'THAM_SO_MOI'!$C$26</f>
        <v>14850.866453837449</v>
      </c>
      <c r="M871" s="75">
        <f>'THAM_SO_MOI'!$C$15*'THAM_SO_MOI'!$C$16*F871^2</f>
        <v>48.100277604600926</v>
      </c>
      <c r="N871" s="75">
        <f>'THAM_SO_MOI'!$C$12*I871</f>
        <v>1130.112</v>
      </c>
      <c r="O871" s="75">
        <f>M871+N871</f>
        <v>1178.212277604601</v>
      </c>
      <c r="P871" s="75">
        <f>(MIN(L871,'THAM_SO_MOI'!$C$41)-O871)/('THAM_SO_MOI'!$C$11*H871)</f>
        <v>0.947675052395348</v>
      </c>
      <c r="Q871" s="75">
        <f>IF(P871&gt;0,1/P871,NA())</f>
        <v>1.055214018214783</v>
      </c>
      <c r="R871" s="75">
        <f>F871-F870</f>
        <v>0.0032106047296869278</v>
      </c>
      <c r="S871" s="75">
        <f>0.5*(Q870+Q871)*R871</f>
        <v>0.003388164585924231</v>
      </c>
      <c r="T871" s="75">
        <f>0.5*(F870*Q870+F871*Q871)*R871</f>
        <v>0.013734200548200843</v>
      </c>
      <c r="U871" s="76">
        <f>U870+S871</f>
        <v>4.265391173272937</v>
      </c>
      <c r="V871" s="76">
        <f>V870+T871</f>
        <v>12.691939999403195</v>
      </c>
    </row>
    <row r="872" spans="1:22" ht="19" customHeight="1">
      <c r="A872" s="68" t="s">
        <v>372</v>
      </c>
      <c r="B872" s="74">
        <v>2</v>
      </c>
      <c r="C872" s="68" t="s">
        <v>363</v>
      </c>
      <c r="D872" s="68" t="s">
        <v>364</v>
      </c>
      <c r="E872" s="75">
        <f>60*F872*'THAM_SO_MOI'!$C$50/(2*PI()*'THAM_SO_MOI'!$C$26)</f>
        <v>1627.7654426221536</v>
      </c>
      <c r="F872" s="75">
        <f>'HANH_TRINH'!$F$826+('THAM_SO_MOI'!$F$50-'HANH_TRINH'!$F$826)*45/'THAM_SO_MOI'!$C$42</f>
        <v>4.05839732694117</v>
      </c>
      <c r="G872" s="75">
        <f>3.6*F872</f>
        <v>14.610230376988214</v>
      </c>
      <c r="H872" s="75">
        <f>'THAM_SO_MOI'!$D$50</f>
        <v>1.8785906709588276</v>
      </c>
      <c r="I872" s="75">
        <f>IF(F872&gt;'THAM_SO_MOI'!$C$14,'THAM_SO_MOI'!$C$13*(1+F872^2/1500),'THAM_SO_MOI'!$C$13)</f>
        <v>0.015</v>
      </c>
      <c r="J872" s="75">
        <f>'THAM_SO_MOI'!$C$40*('THAM_SO_MOI'!$C$23*(E872/'THAM_SO_MOI'!$C$22)+'THAM_SO_MOI'!$C$24*(E872/'THAM_SO_MOI'!$C$22)^2-'THAM_SO_MOI'!$C$25*(E872/'THAM_SO_MOI'!$C$22)^3)</f>
        <v>70.90483676490395</v>
      </c>
      <c r="K872" s="75">
        <f>'THAM_SO_MOI'!$C$31*J872/E872</f>
        <v>416.0421726407372</v>
      </c>
      <c r="L872" s="75">
        <f>K872*'THAM_SO_MOI'!$C$50*'THAM_SO_MOI'!$C$17/'THAM_SO_MOI'!$C$26</f>
        <v>14853.272894752017</v>
      </c>
      <c r="M872" s="75">
        <f>'THAM_SO_MOI'!$C$15*'THAM_SO_MOI'!$C$16*F872^2</f>
        <v>48.17647242522047</v>
      </c>
      <c r="N872" s="75">
        <f>'THAM_SO_MOI'!$C$12*I872</f>
        <v>1130.112</v>
      </c>
      <c r="O872" s="75">
        <f>M872+N872</f>
        <v>1178.2884724252206</v>
      </c>
      <c r="P872" s="75">
        <f>(MIN(L872,'THAM_SO_MOI'!$C$41)-O872)/('THAM_SO_MOI'!$C$11*H872)</f>
        <v>0.9478365657387496</v>
      </c>
      <c r="Q872" s="75">
        <f>IF(P872&gt;0,1/P872,NA())</f>
        <v>1.055034207527744</v>
      </c>
      <c r="R872" s="75">
        <f>F872-F871</f>
        <v>0.0032106047296869278</v>
      </c>
      <c r="S872" s="75">
        <f>0.5*(Q871+Q872)*R872</f>
        <v>0.003387586467191202</v>
      </c>
      <c r="T872" s="75">
        <f>0.5*(F871*Q871+F872*Q872)*R872</f>
        <v>0.0137427332992926</v>
      </c>
      <c r="U872" s="76">
        <f>U871+S872</f>
        <v>4.268778759740128</v>
      </c>
      <c r="V872" s="76">
        <f>V871+T872</f>
        <v>12.705682732702487</v>
      </c>
    </row>
    <row r="873" spans="1:22" ht="19" customHeight="1">
      <c r="A873" s="68" t="s">
        <v>372</v>
      </c>
      <c r="B873" s="74">
        <v>2</v>
      </c>
      <c r="C873" s="68" t="s">
        <v>363</v>
      </c>
      <c r="D873" s="68" t="s">
        <v>364</v>
      </c>
      <c r="E873" s="75">
        <f>60*F873*'THAM_SO_MOI'!$C$50/(2*PI()*'THAM_SO_MOI'!$C$26)</f>
        <v>1629.0531705127203</v>
      </c>
      <c r="F873" s="75">
        <f>'HANH_TRINH'!$F$826+('THAM_SO_MOI'!$F$50-'HANH_TRINH'!$F$826)*46/'THAM_SO_MOI'!$C$42</f>
        <v>4.061607931670857</v>
      </c>
      <c r="G873" s="75">
        <f>3.6*F873</f>
        <v>14.621788554015087</v>
      </c>
      <c r="H873" s="75">
        <f>'THAM_SO_MOI'!$D$50</f>
        <v>1.8785906709588276</v>
      </c>
      <c r="I873" s="75">
        <f>IF(F873&gt;'THAM_SO_MOI'!$C$14,'THAM_SO_MOI'!$C$13*(1+F873^2/1500),'THAM_SO_MOI'!$C$13)</f>
        <v>0.015</v>
      </c>
      <c r="J873" s="75">
        <f>'THAM_SO_MOI'!$C$40*('THAM_SO_MOI'!$C$23*(E873/'THAM_SO_MOI'!$C$22)+'THAM_SO_MOI'!$C$24*(E873/'THAM_SO_MOI'!$C$22)^2-'THAM_SO_MOI'!$C$25*(E873/'THAM_SO_MOI'!$C$22)^3)</f>
        <v>70.97239893487632</v>
      </c>
      <c r="K873" s="75">
        <f>'THAM_SO_MOI'!$C$31*J873/E873</f>
        <v>416.10941650026547</v>
      </c>
      <c r="L873" s="75">
        <f>K873*'THAM_SO_MOI'!$C$50*'THAM_SO_MOI'!$C$17/'THAM_SO_MOI'!$C$26</f>
        <v>14855.67359223355</v>
      </c>
      <c r="M873" s="75">
        <f>'THAM_SO_MOI'!$C$15*'THAM_SO_MOI'!$C$16*F873^2</f>
        <v>48.252727547538996</v>
      </c>
      <c r="N873" s="75">
        <f>'THAM_SO_MOI'!$C$12*I873</f>
        <v>1130.112</v>
      </c>
      <c r="O873" s="75">
        <f>M873+N873</f>
        <v>1178.3647275475391</v>
      </c>
      <c r="P873" s="75">
        <f>(MIN(L873,'THAM_SO_MOI'!$C$41)-O873)/('THAM_SO_MOI'!$C$11*H873)</f>
        <v>0.9479976768153676</v>
      </c>
      <c r="Q873" s="75">
        <f>IF(P873&gt;0,1/P873,NA())</f>
        <v>1.0548549057201544</v>
      </c>
      <c r="R873" s="75">
        <f>F873-F872</f>
        <v>0.0032106047296869278</v>
      </c>
      <c r="S873" s="75">
        <f>0.5*(Q872+Q873)*R873</f>
        <v>0.0033870099830543296</v>
      </c>
      <c r="T873" s="75">
        <f>0.5*(F872*Q872+F873*Q873)*R873</f>
        <v>0.013751268974626314</v>
      </c>
      <c r="U873" s="76">
        <f>U872+S873</f>
        <v>4.272165769723182</v>
      </c>
      <c r="V873" s="76">
        <f>V872+T873</f>
        <v>12.719434001677113</v>
      </c>
    </row>
    <row r="874" spans="1:22" ht="19" customHeight="1">
      <c r="A874" s="68" t="s">
        <v>372</v>
      </c>
      <c r="B874" s="74">
        <v>2</v>
      </c>
      <c r="C874" s="68" t="s">
        <v>363</v>
      </c>
      <c r="D874" s="68" t="s">
        <v>364</v>
      </c>
      <c r="E874" s="75">
        <f>60*F874*'THAM_SO_MOI'!$C$50/(2*PI()*'THAM_SO_MOI'!$C$26)</f>
        <v>1630.340898403287</v>
      </c>
      <c r="F874" s="75">
        <f>'HANH_TRINH'!$F$826+('THAM_SO_MOI'!$F$50-'HANH_TRINH'!$F$826)*47/'THAM_SO_MOI'!$C$42</f>
        <v>4.064818536400544</v>
      </c>
      <c r="G874" s="75">
        <f>3.6*F874</f>
        <v>14.633346731041959</v>
      </c>
      <c r="H874" s="75">
        <f>'THAM_SO_MOI'!$D$50</f>
        <v>1.8785906709588276</v>
      </c>
      <c r="I874" s="75">
        <f>IF(F874&gt;'THAM_SO_MOI'!$C$14,'THAM_SO_MOI'!$C$13*(1+F874^2/1500),'THAM_SO_MOI'!$C$13)</f>
        <v>0.015</v>
      </c>
      <c r="J874" s="75">
        <f>'THAM_SO_MOI'!$C$40*('THAM_SO_MOI'!$C$23*(E874/'THAM_SO_MOI'!$C$22)+'THAM_SO_MOI'!$C$24*(E874/'THAM_SO_MOI'!$C$22)^2-'THAM_SO_MOI'!$C$25*(E874/'THAM_SO_MOI'!$C$22)^3)</f>
        <v>71.03995177645389</v>
      </c>
      <c r="K874" s="75">
        <f>'THAM_SO_MOI'!$C$31*J874/E874</f>
        <v>416.1764994854614</v>
      </c>
      <c r="L874" s="75">
        <f>K874*'THAM_SO_MOI'!$C$50*'THAM_SO_MOI'!$C$17/'THAM_SO_MOI'!$C$26</f>
        <v>14858.068546282042</v>
      </c>
      <c r="M874" s="75">
        <f>'THAM_SO_MOI'!$C$15*'THAM_SO_MOI'!$C$16*F874^2</f>
        <v>48.32904297155648</v>
      </c>
      <c r="N874" s="75">
        <f>'THAM_SO_MOI'!$C$12*I874</f>
        <v>1130.112</v>
      </c>
      <c r="O874" s="75">
        <f>M874+N874</f>
        <v>1178.4410429715565</v>
      </c>
      <c r="P874" s="75">
        <f>(MIN(L874,'THAM_SO_MOI'!$C$41)-O874)/('THAM_SO_MOI'!$C$11*H874)</f>
        <v>0.9481583856252016</v>
      </c>
      <c r="Q874" s="75">
        <f>IF(P874&gt;0,1/P874,NA())</f>
        <v>1.0546761123043962</v>
      </c>
      <c r="R874" s="75">
        <f>F874-F873</f>
        <v>0.0032106047296869278</v>
      </c>
      <c r="S874" s="75">
        <f>0.5*(Q873+Q874)*R874</f>
        <v>0.0033864351319454504</v>
      </c>
      <c r="T874" s="75">
        <f>0.5*(F873*Q873+F874*Q874)*R874</f>
        <v>0.01375980758357433</v>
      </c>
      <c r="U874" s="76">
        <f>U873+S874</f>
        <v>4.275552204855128</v>
      </c>
      <c r="V874" s="76">
        <f>V873+T874</f>
        <v>12.733193809260687</v>
      </c>
    </row>
    <row r="875" spans="1:22" ht="19" customHeight="1">
      <c r="A875" s="68" t="s">
        <v>372</v>
      </c>
      <c r="B875" s="74">
        <v>2</v>
      </c>
      <c r="C875" s="68" t="s">
        <v>363</v>
      </c>
      <c r="D875" s="68" t="s">
        <v>364</v>
      </c>
      <c r="E875" s="75">
        <f>60*F875*'THAM_SO_MOI'!$C$50/(2*PI()*'THAM_SO_MOI'!$C$26)</f>
        <v>1631.6286262938538</v>
      </c>
      <c r="F875" s="75">
        <f>'HANH_TRINH'!$F$826+('THAM_SO_MOI'!$F$50-'HANH_TRINH'!$F$826)*48/'THAM_SO_MOI'!$C$42</f>
        <v>4.068029141130231</v>
      </c>
      <c r="G875" s="75">
        <f>3.6*F875</f>
        <v>14.644904908068833</v>
      </c>
      <c r="H875" s="75">
        <f>'THAM_SO_MOI'!$D$50</f>
        <v>1.8785906709588276</v>
      </c>
      <c r="I875" s="75">
        <f>IF(F875&gt;'THAM_SO_MOI'!$C$14,'THAM_SO_MOI'!$C$13*(1+F875^2/1500),'THAM_SO_MOI'!$C$13)</f>
        <v>0.015</v>
      </c>
      <c r="J875" s="75">
        <f>'THAM_SO_MOI'!$C$40*('THAM_SO_MOI'!$C$23*(E875/'THAM_SO_MOI'!$C$22)+'THAM_SO_MOI'!$C$24*(E875/'THAM_SO_MOI'!$C$22)^2-'THAM_SO_MOI'!$C$25*(E875/'THAM_SO_MOI'!$C$22)^3)</f>
        <v>71.10749522456695</v>
      </c>
      <c r="K875" s="75">
        <f>'THAM_SO_MOI'!$C$31*J875/E875</f>
        <v>416.24342159632516</v>
      </c>
      <c r="L875" s="75">
        <f>K875*'THAM_SO_MOI'!$C$50*'THAM_SO_MOI'!$C$17/'THAM_SO_MOI'!$C$26</f>
        <v>14860.457756897504</v>
      </c>
      <c r="M875" s="75">
        <f>'THAM_SO_MOI'!$C$15*'THAM_SO_MOI'!$C$16*F875^2</f>
        <v>48.40541869727295</v>
      </c>
      <c r="N875" s="75">
        <f>'THAM_SO_MOI'!$C$12*I875</f>
        <v>1130.112</v>
      </c>
      <c r="O875" s="75">
        <f>M875+N875</f>
        <v>1178.5174186972731</v>
      </c>
      <c r="P875" s="75">
        <f>(MIN(L875,'THAM_SO_MOI'!$C$41)-O875)/('THAM_SO_MOI'!$C$11*H875)</f>
        <v>0.9483186921682524</v>
      </c>
      <c r="Q875" s="75">
        <f>IF(P875&gt;0,1/P875,NA())</f>
        <v>1.054497826794474</v>
      </c>
      <c r="R875" s="75">
        <f>F875-F874</f>
        <v>0.0032106047296869278</v>
      </c>
      <c r="S875" s="75">
        <f>0.5*(Q874+Q875)*R875</f>
        <v>0.00338586191230162</v>
      </c>
      <c r="T875" s="75">
        <f>0.5*(F874*Q874+F875*Q875)*R875</f>
        <v>0.013768349135510085</v>
      </c>
      <c r="U875" s="76">
        <f>U874+S875</f>
        <v>4.278938066767429</v>
      </c>
      <c r="V875" s="76">
        <f>V874+T875</f>
        <v>12.746962158396197</v>
      </c>
    </row>
    <row r="876" spans="1:22" ht="19" customHeight="1">
      <c r="A876" s="68" t="s">
        <v>372</v>
      </c>
      <c r="B876" s="74">
        <v>2</v>
      </c>
      <c r="C876" s="68" t="s">
        <v>363</v>
      </c>
      <c r="D876" s="68" t="s">
        <v>364</v>
      </c>
      <c r="E876" s="75">
        <f>60*F876*'THAM_SO_MOI'!$C$50/(2*PI()*'THAM_SO_MOI'!$C$26)</f>
        <v>1632.9163541844205</v>
      </c>
      <c r="F876" s="75">
        <f>'HANH_TRINH'!$F$826+('THAM_SO_MOI'!$F$50-'HANH_TRINH'!$F$826)*49/'THAM_SO_MOI'!$C$42</f>
        <v>4.071239745859918</v>
      </c>
      <c r="G876" s="75">
        <f>3.6*F876</f>
        <v>14.656463085095705</v>
      </c>
      <c r="H876" s="75">
        <f>'THAM_SO_MOI'!$D$50</f>
        <v>1.8785906709588276</v>
      </c>
      <c r="I876" s="75">
        <f>IF(F876&gt;'THAM_SO_MOI'!$C$14,'THAM_SO_MOI'!$C$13*(1+F876^2/1500),'THAM_SO_MOI'!$C$13)</f>
        <v>0.015</v>
      </c>
      <c r="J876" s="75">
        <f>'THAM_SO_MOI'!$C$40*('THAM_SO_MOI'!$C$23*(E876/'THAM_SO_MOI'!$C$22)+'THAM_SO_MOI'!$C$24*(E876/'THAM_SO_MOI'!$C$22)^2-'THAM_SO_MOI'!$C$25*(E876/'THAM_SO_MOI'!$C$22)^3)</f>
        <v>71.17502921414581</v>
      </c>
      <c r="K876" s="75">
        <f>'THAM_SO_MOI'!$C$31*J876/E876</f>
        <v>416.3101828328568</v>
      </c>
      <c r="L876" s="75">
        <f>K876*'THAM_SO_MOI'!$C$50*'THAM_SO_MOI'!$C$17/'THAM_SO_MOI'!$C$26</f>
        <v>14862.841224079932</v>
      </c>
      <c r="M876" s="75">
        <f>'THAM_SO_MOI'!$C$15*'THAM_SO_MOI'!$C$16*F876^2</f>
        <v>48.48185472468838</v>
      </c>
      <c r="N876" s="75">
        <f>'THAM_SO_MOI'!$C$12*I876</f>
        <v>1130.112</v>
      </c>
      <c r="O876" s="75">
        <f>M876+N876</f>
        <v>1178.5938547246885</v>
      </c>
      <c r="P876" s="75">
        <f>(MIN(L876,'THAM_SO_MOI'!$C$41)-O876)/('THAM_SO_MOI'!$C$11*H876)</f>
        <v>0.9484785964445196</v>
      </c>
      <c r="Q876" s="75">
        <f>IF(P876&gt;0,1/P876,NA())</f>
        <v>1.0543200487060165</v>
      </c>
      <c r="R876" s="75">
        <f>F876-F875</f>
        <v>0.0032106047296869278</v>
      </c>
      <c r="S876" s="75">
        <f>0.5*(Q875+Q876)*R876</f>
        <v>0.003385290322565107</v>
      </c>
      <c r="T876" s="75">
        <f>0.5*(F875*Q875+F876*Q876)*R876</f>
        <v>0.013776893639808144</v>
      </c>
      <c r="U876" s="76">
        <f>U875+S876</f>
        <v>4.282323357089994</v>
      </c>
      <c r="V876" s="76">
        <f>V875+T876</f>
        <v>12.760739052036005</v>
      </c>
    </row>
    <row r="877" spans="1:22" ht="19" customHeight="1">
      <c r="A877" s="68" t="s">
        <v>372</v>
      </c>
      <c r="B877" s="74">
        <v>2</v>
      </c>
      <c r="C877" s="68" t="s">
        <v>363</v>
      </c>
      <c r="D877" s="68" t="s">
        <v>364</v>
      </c>
      <c r="E877" s="75">
        <f>60*F877*'THAM_SO_MOI'!$C$50/(2*PI()*'THAM_SO_MOI'!$C$26)</f>
        <v>1634.2040820749871</v>
      </c>
      <c r="F877" s="75">
        <f>'HANH_TRINH'!$F$826+('THAM_SO_MOI'!$F$50-'HANH_TRINH'!$F$826)*50/'THAM_SO_MOI'!$C$42</f>
        <v>4.074450350589605</v>
      </c>
      <c r="G877" s="75">
        <f>3.6*F877</f>
        <v>14.66802126212258</v>
      </c>
      <c r="H877" s="75">
        <f>'THAM_SO_MOI'!$D$50</f>
        <v>1.8785906709588276</v>
      </c>
      <c r="I877" s="75">
        <f>IF(F877&gt;'THAM_SO_MOI'!$C$14,'THAM_SO_MOI'!$C$13*(1+F877^2/1500),'THAM_SO_MOI'!$C$13)</f>
        <v>0.015</v>
      </c>
      <c r="J877" s="75">
        <f>'THAM_SO_MOI'!$C$40*('THAM_SO_MOI'!$C$23*(E877/'THAM_SO_MOI'!$C$22)+'THAM_SO_MOI'!$C$24*(E877/'THAM_SO_MOI'!$C$22)^2-'THAM_SO_MOI'!$C$25*(E877/'THAM_SO_MOI'!$C$22)^3)</f>
        <v>71.2425536801207</v>
      </c>
      <c r="K877" s="75">
        <f>'THAM_SO_MOI'!$C$31*J877/E877</f>
        <v>416.3767831950559</v>
      </c>
      <c r="L877" s="75">
        <f>K877*'THAM_SO_MOI'!$C$50*'THAM_SO_MOI'!$C$17/'THAM_SO_MOI'!$C$26</f>
        <v>14865.218947829313</v>
      </c>
      <c r="M877" s="75">
        <f>'THAM_SO_MOI'!$C$15*'THAM_SO_MOI'!$C$16*F877^2</f>
        <v>48.55835105380279</v>
      </c>
      <c r="N877" s="75">
        <f>'THAM_SO_MOI'!$C$12*I877</f>
        <v>1130.112</v>
      </c>
      <c r="O877" s="75">
        <f>M877+N877</f>
        <v>1178.670351053803</v>
      </c>
      <c r="P877" s="75">
        <f>(MIN(L877,'THAM_SO_MOI'!$C$41)-O877)/('THAM_SO_MOI'!$C$11*H877)</f>
        <v>0.9486380984540026</v>
      </c>
      <c r="Q877" s="75">
        <f>IF(P877&gt;0,1/P877,NA())</f>
        <v>1.0541427775562693</v>
      </c>
      <c r="R877" s="75">
        <f>F877-F876</f>
        <v>0.0032106047296869278</v>
      </c>
      <c r="S877" s="75">
        <f>0.5*(Q876+Q877)*R877</f>
        <v>0.0033847203611833804</v>
      </c>
      <c r="T877" s="75">
        <f>0.5*(F876*Q876+F877*Q877)*R877</f>
        <v>0.01378544110584427</v>
      </c>
      <c r="U877" s="76">
        <f>U876+S877</f>
        <v>4.2857080774511775</v>
      </c>
      <c r="V877" s="76">
        <f>V876+T877</f>
        <v>12.774524493141849</v>
      </c>
    </row>
    <row r="878" spans="1:22" ht="19" customHeight="1">
      <c r="A878" s="68" t="s">
        <v>372</v>
      </c>
      <c r="B878" s="74">
        <v>2</v>
      </c>
      <c r="C878" s="68" t="s">
        <v>363</v>
      </c>
      <c r="D878" s="68" t="s">
        <v>364</v>
      </c>
      <c r="E878" s="75">
        <f>60*F878*'THAM_SO_MOI'!$C$50/(2*PI()*'THAM_SO_MOI'!$C$26)</f>
        <v>1635.4918099655538</v>
      </c>
      <c r="F878" s="75">
        <f>'HANH_TRINH'!$F$826+('THAM_SO_MOI'!$F$50-'HANH_TRINH'!$F$826)*51/'THAM_SO_MOI'!$C$42</f>
        <v>4.077660955319291</v>
      </c>
      <c r="G878" s="75">
        <f>3.6*F878</f>
        <v>14.679579439149448</v>
      </c>
      <c r="H878" s="75">
        <f>'THAM_SO_MOI'!$D$50</f>
        <v>1.8785906709588276</v>
      </c>
      <c r="I878" s="75">
        <f>IF(F878&gt;'THAM_SO_MOI'!$C$14,'THAM_SO_MOI'!$C$13*(1+F878^2/1500),'THAM_SO_MOI'!$C$13)</f>
        <v>0.015</v>
      </c>
      <c r="J878" s="75">
        <f>'THAM_SO_MOI'!$C$40*('THAM_SO_MOI'!$C$23*(E878/'THAM_SO_MOI'!$C$22)+'THAM_SO_MOI'!$C$24*(E878/'THAM_SO_MOI'!$C$22)^2-'THAM_SO_MOI'!$C$25*(E878/'THAM_SO_MOI'!$C$22)^3)</f>
        <v>71.31006855742201</v>
      </c>
      <c r="K878" s="75">
        <f>'THAM_SO_MOI'!$C$31*J878/E878</f>
        <v>416.443222682923</v>
      </c>
      <c r="L878" s="75">
        <f>K878*'THAM_SO_MOI'!$C$50*'THAM_SO_MOI'!$C$17/'THAM_SO_MOI'!$C$26</f>
        <v>14867.59092814567</v>
      </c>
      <c r="M878" s="75">
        <f>'THAM_SO_MOI'!$C$15*'THAM_SO_MOI'!$C$16*F878^2</f>
        <v>48.63490768461615</v>
      </c>
      <c r="N878" s="75">
        <f>'THAM_SO_MOI'!$C$12*I878</f>
        <v>1130.112</v>
      </c>
      <c r="O878" s="75">
        <f>M878+N878</f>
        <v>1178.7469076846162</v>
      </c>
      <c r="P878" s="75">
        <f>(MIN(L878,'THAM_SO_MOI'!$C$41)-O878)/('THAM_SO_MOI'!$C$11*H878)</f>
        <v>0.9487971981967028</v>
      </c>
      <c r="Q878" s="75">
        <f>IF(P878&gt;0,1/P878,NA())</f>
        <v>1.0539660128640915</v>
      </c>
      <c r="R878" s="75">
        <f>F878-F877</f>
        <v>0.0032106047296860396</v>
      </c>
      <c r="S878" s="75">
        <f>0.5*(Q877+Q878)*R878</f>
        <v>0.0033841520266081632</v>
      </c>
      <c r="T878" s="75">
        <f>0.5*(F877*Q877+F878*Q878)*R878</f>
        <v>0.013793991542991605</v>
      </c>
      <c r="U878" s="76">
        <f>U877+S878</f>
        <v>4.289092229477785</v>
      </c>
      <c r="V878" s="76">
        <f>V877+T878</f>
        <v>12.78831848468484</v>
      </c>
    </row>
    <row r="879" spans="1:22" ht="19" customHeight="1">
      <c r="A879" s="68" t="s">
        <v>372</v>
      </c>
      <c r="B879" s="74">
        <v>2</v>
      </c>
      <c r="C879" s="68" t="s">
        <v>363</v>
      </c>
      <c r="D879" s="68" t="s">
        <v>364</v>
      </c>
      <c r="E879" s="75">
        <f>60*F879*'THAM_SO_MOI'!$C$50/(2*PI()*'THAM_SO_MOI'!$C$26)</f>
        <v>1636.7795378561204</v>
      </c>
      <c r="F879" s="75">
        <f>'HANH_TRINH'!$F$826+('THAM_SO_MOI'!$F$50-'HANH_TRINH'!$F$826)*52/'THAM_SO_MOI'!$C$42</f>
        <v>4.080871560048978</v>
      </c>
      <c r="G879" s="75">
        <f>3.6*F879</f>
        <v>14.691137616176322</v>
      </c>
      <c r="H879" s="75">
        <f>'THAM_SO_MOI'!$D$50</f>
        <v>1.8785906709588276</v>
      </c>
      <c r="I879" s="75">
        <f>IF(F879&gt;'THAM_SO_MOI'!$C$14,'THAM_SO_MOI'!$C$13*(1+F879^2/1500),'THAM_SO_MOI'!$C$13)</f>
        <v>0.015</v>
      </c>
      <c r="J879" s="75">
        <f>'THAM_SO_MOI'!$C$40*('THAM_SO_MOI'!$C$23*(E879/'THAM_SO_MOI'!$C$22)+'THAM_SO_MOI'!$C$24*(E879/'THAM_SO_MOI'!$C$22)^2-'THAM_SO_MOI'!$C$25*(E879/'THAM_SO_MOI'!$C$22)^3)</f>
        <v>71.37757378098001</v>
      </c>
      <c r="K879" s="75">
        <f>'THAM_SO_MOI'!$C$31*J879/E879</f>
        <v>416.50950129645776</v>
      </c>
      <c r="L879" s="75">
        <f>K879*'THAM_SO_MOI'!$C$50*'THAM_SO_MOI'!$C$17/'THAM_SO_MOI'!$C$26</f>
        <v>14869.957165028984</v>
      </c>
      <c r="M879" s="75">
        <f>'THAM_SO_MOI'!$C$15*'THAM_SO_MOI'!$C$16*F879^2</f>
        <v>48.7115246171285</v>
      </c>
      <c r="N879" s="75">
        <f>'THAM_SO_MOI'!$C$12*I879</f>
        <v>1130.112</v>
      </c>
      <c r="O879" s="75">
        <f>M879+N879</f>
        <v>1178.8235246171287</v>
      </c>
      <c r="P879" s="75">
        <f>(MIN(L879,'THAM_SO_MOI'!$C$41)-O879)/('THAM_SO_MOI'!$C$11*H879)</f>
        <v>0.948955895672619</v>
      </c>
      <c r="Q879" s="75">
        <f>IF(P879&gt;0,1/P879,NA())</f>
        <v>1.0537897541499555</v>
      </c>
      <c r="R879" s="75">
        <f>F879-F878</f>
        <v>0.0032106047296869278</v>
      </c>
      <c r="S879" s="75">
        <f>0.5*(Q878+Q879)*R879</f>
        <v>0.0033835853173000987</v>
      </c>
      <c r="T879" s="75">
        <f>0.5*(F878*Q878+F879*Q879)*R879</f>
        <v>0.013802544960639814</v>
      </c>
      <c r="U879" s="76">
        <f>U878+S879</f>
        <v>4.292475814795085</v>
      </c>
      <c r="V879" s="76">
        <f>V878+T879</f>
        <v>12.80212102964548</v>
      </c>
    </row>
    <row r="880" spans="1:22" ht="19" customHeight="1">
      <c r="A880" s="68" t="s">
        <v>372</v>
      </c>
      <c r="B880" s="74">
        <v>2</v>
      </c>
      <c r="C880" s="68" t="s">
        <v>363</v>
      </c>
      <c r="D880" s="68" t="s">
        <v>364</v>
      </c>
      <c r="E880" s="75">
        <f>60*F880*'THAM_SO_MOI'!$C$50/(2*PI()*'THAM_SO_MOI'!$C$26)</f>
        <v>1638.067265746687</v>
      </c>
      <c r="F880" s="75">
        <f>'HANH_TRINH'!$F$826+('THAM_SO_MOI'!$F$50-'HANH_TRINH'!$F$826)*53/'THAM_SO_MOI'!$C$42</f>
        <v>4.084082164778665</v>
      </c>
      <c r="G880" s="75">
        <f>3.6*F880</f>
        <v>14.702695793203194</v>
      </c>
      <c r="H880" s="75">
        <f>'THAM_SO_MOI'!$D$50</f>
        <v>1.8785906709588276</v>
      </c>
      <c r="I880" s="75">
        <f>IF(F880&gt;'THAM_SO_MOI'!$C$14,'THAM_SO_MOI'!$C$13*(1+F880^2/1500),'THAM_SO_MOI'!$C$13)</f>
        <v>0.015</v>
      </c>
      <c r="J880" s="75">
        <f>'THAM_SO_MOI'!$C$40*('THAM_SO_MOI'!$C$23*(E880/'THAM_SO_MOI'!$C$22)+'THAM_SO_MOI'!$C$24*(E880/'THAM_SO_MOI'!$C$22)^2-'THAM_SO_MOI'!$C$25*(E880/'THAM_SO_MOI'!$C$22)^3)</f>
        <v>71.44506928572498</v>
      </c>
      <c r="K880" s="75">
        <f>'THAM_SO_MOI'!$C$31*J880/E880</f>
        <v>416.57561903566017</v>
      </c>
      <c r="L880" s="75">
        <f>K880*'THAM_SO_MOI'!$C$50*'THAM_SO_MOI'!$C$17/'THAM_SO_MOI'!$C$26</f>
        <v>14872.317658479264</v>
      </c>
      <c r="M880" s="75">
        <f>'THAM_SO_MOI'!$C$15*'THAM_SO_MOI'!$C$16*F880^2</f>
        <v>48.78820185133982</v>
      </c>
      <c r="N880" s="75">
        <f>'THAM_SO_MOI'!$C$12*I880</f>
        <v>1130.112</v>
      </c>
      <c r="O880" s="75">
        <f>M880+N880</f>
        <v>1178.90020185134</v>
      </c>
      <c r="P880" s="75">
        <f>(MIN(L880,'THAM_SO_MOI'!$C$41)-O880)/('THAM_SO_MOI'!$C$11*H880)</f>
        <v>0.9491141908817516</v>
      </c>
      <c r="Q880" s="75">
        <f>IF(P880&gt;0,1/P880,NA())</f>
        <v>1.0536140009359403</v>
      </c>
      <c r="R880" s="75">
        <f>F880-F879</f>
        <v>0.0032106047296869278</v>
      </c>
      <c r="S880" s="75">
        <f>0.5*(Q879+Q880)*R880</f>
        <v>0.0033830202317193846</v>
      </c>
      <c r="T880" s="75">
        <f>0.5*(F879*Q879+F880*Q880)*R880</f>
        <v>0.013811101368156959</v>
      </c>
      <c r="U880" s="76">
        <f>U879+S880</f>
        <v>4.295858835026805</v>
      </c>
      <c r="V880" s="76">
        <f>V879+T880</f>
        <v>12.815932131013637</v>
      </c>
    </row>
    <row r="881" spans="1:22" ht="19" customHeight="1">
      <c r="A881" s="68" t="s">
        <v>372</v>
      </c>
      <c r="B881" s="74">
        <v>2</v>
      </c>
      <c r="C881" s="68" t="s">
        <v>363</v>
      </c>
      <c r="D881" s="68" t="s">
        <v>364</v>
      </c>
      <c r="E881" s="75">
        <f>60*F881*'THAM_SO_MOI'!$C$50/(2*PI()*'THAM_SO_MOI'!$C$26)</f>
        <v>1639.354993637254</v>
      </c>
      <c r="F881" s="75">
        <f>'HANH_TRINH'!$F$826+('THAM_SO_MOI'!$F$50-'HANH_TRINH'!$F$826)*54/'THAM_SO_MOI'!$C$42</f>
        <v>4.087292769508352</v>
      </c>
      <c r="G881" s="75">
        <f>3.6*F881</f>
        <v>14.714253970230066</v>
      </c>
      <c r="H881" s="75">
        <f>'THAM_SO_MOI'!$D$50</f>
        <v>1.8785906709588276</v>
      </c>
      <c r="I881" s="75">
        <f>IF(F881&gt;'THAM_SO_MOI'!$C$14,'THAM_SO_MOI'!$C$13*(1+F881^2/1500),'THAM_SO_MOI'!$C$13)</f>
        <v>0.015</v>
      </c>
      <c r="J881" s="75">
        <f>'THAM_SO_MOI'!$C$40*('THAM_SO_MOI'!$C$23*(E881/'THAM_SO_MOI'!$C$22)+'THAM_SO_MOI'!$C$24*(E881/'THAM_SO_MOI'!$C$22)^2-'THAM_SO_MOI'!$C$25*(E881/'THAM_SO_MOI'!$C$22)^3)</f>
        <v>71.51255500658728</v>
      </c>
      <c r="K881" s="75">
        <f>'THAM_SO_MOI'!$C$31*J881/E881</f>
        <v>416.6415759005305</v>
      </c>
      <c r="L881" s="75">
        <f>K881*'THAM_SO_MOI'!$C$50*'THAM_SO_MOI'!$C$17/'THAM_SO_MOI'!$C$26</f>
        <v>14874.672408496508</v>
      </c>
      <c r="M881" s="75">
        <f>'THAM_SO_MOI'!$C$15*'THAM_SO_MOI'!$C$16*F881^2</f>
        <v>48.86493938725012</v>
      </c>
      <c r="N881" s="75">
        <f>'THAM_SO_MOI'!$C$12*I881</f>
        <v>1130.112</v>
      </c>
      <c r="O881" s="75">
        <f>M881+N881</f>
        <v>1178.9769393872502</v>
      </c>
      <c r="P881" s="75">
        <f>(MIN(L881,'THAM_SO_MOI'!$C$41)-O881)/('THAM_SO_MOI'!$C$11*H881)</f>
        <v>0.9492720838241004</v>
      </c>
      <c r="Q881" s="75">
        <f>IF(P881&gt;0,1/P881,NA())</f>
        <v>1.0534387527457296</v>
      </c>
      <c r="R881" s="75">
        <f>F881-F880</f>
        <v>0.0032106047296869278</v>
      </c>
      <c r="S881" s="75">
        <f>0.5*(Q880+Q881)*R881</f>
        <v>0.003382456768335117</v>
      </c>
      <c r="T881" s="75">
        <f>0.5*(F880*Q880+F881*Q881)*R881</f>
        <v>0.013819660774927694</v>
      </c>
      <c r="U881" s="76">
        <f>U880+S881</f>
        <v>4.29924129179514</v>
      </c>
      <c r="V881" s="76">
        <f>V880+T881</f>
        <v>12.829751791788565</v>
      </c>
    </row>
    <row r="882" spans="1:22" ht="19" customHeight="1">
      <c r="A882" s="68" t="s">
        <v>372</v>
      </c>
      <c r="B882" s="74">
        <v>2</v>
      </c>
      <c r="C882" s="68" t="s">
        <v>363</v>
      </c>
      <c r="D882" s="68" t="s">
        <v>364</v>
      </c>
      <c r="E882" s="75">
        <f>60*F882*'THAM_SO_MOI'!$C$50/(2*PI()*'THAM_SO_MOI'!$C$26)</f>
        <v>1640.6427215278206</v>
      </c>
      <c r="F882" s="75">
        <f>'HANH_TRINH'!$F$826+('THAM_SO_MOI'!$F$50-'HANH_TRINH'!$F$826)*55/'THAM_SO_MOI'!$C$42</f>
        <v>4.090503374238039</v>
      </c>
      <c r="G882" s="75">
        <f>3.6*F882</f>
        <v>14.72581214725694</v>
      </c>
      <c r="H882" s="75">
        <f>'THAM_SO_MOI'!$D$50</f>
        <v>1.8785906709588276</v>
      </c>
      <c r="I882" s="75">
        <f>IF(F882&gt;'THAM_SO_MOI'!$C$14,'THAM_SO_MOI'!$C$13*(1+F882^2/1500),'THAM_SO_MOI'!$C$13)</f>
        <v>0.015</v>
      </c>
      <c r="J882" s="75">
        <f>'THAM_SO_MOI'!$C$40*('THAM_SO_MOI'!$C$23*(E882/'THAM_SO_MOI'!$C$22)+'THAM_SO_MOI'!$C$24*(E882/'THAM_SO_MOI'!$C$22)^2-'THAM_SO_MOI'!$C$25*(E882/'THAM_SO_MOI'!$C$22)^3)</f>
        <v>71.58003087849714</v>
      </c>
      <c r="K882" s="75">
        <f>'THAM_SO_MOI'!$C$31*J882/E882</f>
        <v>416.7073718910685</v>
      </c>
      <c r="L882" s="75">
        <f>K882*'THAM_SO_MOI'!$C$50*'THAM_SO_MOI'!$C$17/'THAM_SO_MOI'!$C$26</f>
        <v>14877.021415080715</v>
      </c>
      <c r="M882" s="75">
        <f>'THAM_SO_MOI'!$C$15*'THAM_SO_MOI'!$C$16*F882^2</f>
        <v>48.94173722485939</v>
      </c>
      <c r="N882" s="75">
        <f>'THAM_SO_MOI'!$C$12*I882</f>
        <v>1130.112</v>
      </c>
      <c r="O882" s="75">
        <f>M882+N882</f>
        <v>1179.0537372248596</v>
      </c>
      <c r="P882" s="75">
        <f>(MIN(L882,'THAM_SO_MOI'!$C$41)-O882)/('THAM_SO_MOI'!$C$11*H882)</f>
        <v>0.9494295744996658</v>
      </c>
      <c r="Q882" s="75">
        <f>IF(P882&gt;0,1/P882,NA())</f>
        <v>1.053264009104608</v>
      </c>
      <c r="R882" s="75">
        <f>F882-F881</f>
        <v>0.0032106047296869278</v>
      </c>
      <c r="S882" s="75">
        <f>0.5*(Q881+Q882)*R882</f>
        <v>0.003381894925620604</v>
      </c>
      <c r="T882" s="75">
        <f>0.5*(F881*Q881+F882*Q882)*R882</f>
        <v>0.01382822319033422</v>
      </c>
      <c r="U882" s="76">
        <f>U881+S882</f>
        <v>4.302623186720761</v>
      </c>
      <c r="V882" s="76">
        <f>V881+T882</f>
        <v>12.8435800149789</v>
      </c>
    </row>
    <row r="883" spans="1:22" ht="19" customHeight="1">
      <c r="A883" s="68" t="s">
        <v>372</v>
      </c>
      <c r="B883" s="74">
        <v>2</v>
      </c>
      <c r="C883" s="68" t="s">
        <v>363</v>
      </c>
      <c r="D883" s="68" t="s">
        <v>364</v>
      </c>
      <c r="E883" s="75">
        <f>60*F883*'THAM_SO_MOI'!$C$50/(2*PI()*'THAM_SO_MOI'!$C$26)</f>
        <v>1641.9304494183873</v>
      </c>
      <c r="F883" s="75">
        <f>'HANH_TRINH'!$F$826+('THAM_SO_MOI'!$F$50-'HANH_TRINH'!$F$826)*56/'THAM_SO_MOI'!$C$42</f>
        <v>4.093713978967726</v>
      </c>
      <c r="G883" s="75">
        <f>3.6*F883</f>
        <v>14.737370324283813</v>
      </c>
      <c r="H883" s="75">
        <f>'THAM_SO_MOI'!$D$50</f>
        <v>1.8785906709588276</v>
      </c>
      <c r="I883" s="75">
        <f>IF(F883&gt;'THAM_SO_MOI'!$C$14,'THAM_SO_MOI'!$C$13*(1+F883^2/1500),'THAM_SO_MOI'!$C$13)</f>
        <v>0.015</v>
      </c>
      <c r="J883" s="75">
        <f>'THAM_SO_MOI'!$C$40*('THAM_SO_MOI'!$C$23*(E883/'THAM_SO_MOI'!$C$22)+'THAM_SO_MOI'!$C$24*(E883/'THAM_SO_MOI'!$C$22)^2-'THAM_SO_MOI'!$C$25*(E883/'THAM_SO_MOI'!$C$22)^3)</f>
        <v>71.6474968363849</v>
      </c>
      <c r="K883" s="75">
        <f>'THAM_SO_MOI'!$C$31*J883/E883</f>
        <v>416.77300700727426</v>
      </c>
      <c r="L883" s="75">
        <f>K883*'THAM_SO_MOI'!$C$50*'THAM_SO_MOI'!$C$17/'THAM_SO_MOI'!$C$26</f>
        <v>14879.364678231888</v>
      </c>
      <c r="M883" s="75">
        <f>'THAM_SO_MOI'!$C$15*'THAM_SO_MOI'!$C$16*F883^2</f>
        <v>49.01859536416762</v>
      </c>
      <c r="N883" s="75">
        <f>'THAM_SO_MOI'!$C$12*I883</f>
        <v>1130.112</v>
      </c>
      <c r="O883" s="75">
        <f>M883+N883</f>
        <v>1179.1305953641677</v>
      </c>
      <c r="P883" s="75">
        <f>(MIN(L883,'THAM_SO_MOI'!$C$41)-O883)/('THAM_SO_MOI'!$C$11*H883)</f>
        <v>0.9495866629084474</v>
      </c>
      <c r="Q883" s="75">
        <f>IF(P883&gt;0,1/P883,NA())</f>
        <v>1.053089769539458</v>
      </c>
      <c r="R883" s="75">
        <f>F883-F882</f>
        <v>0.0032106047296869278</v>
      </c>
      <c r="S883" s="75">
        <f>0.5*(Q882+Q883)*R883</f>
        <v>0.003381334702054285</v>
      </c>
      <c r="T883" s="75">
        <f>0.5*(F882*Q882+F883*Q883)*R883</f>
        <v>0.013836788623760156</v>
      </c>
      <c r="U883" s="76">
        <f>U882+S883</f>
        <v>4.306004521422816</v>
      </c>
      <c r="V883" s="76">
        <f>V882+T883</f>
        <v>12.857416803602659</v>
      </c>
    </row>
    <row r="884" spans="1:22" ht="19" customHeight="1">
      <c r="A884" s="68" t="s">
        <v>372</v>
      </c>
      <c r="B884" s="74">
        <v>2</v>
      </c>
      <c r="C884" s="68" t="s">
        <v>363</v>
      </c>
      <c r="D884" s="68" t="s">
        <v>364</v>
      </c>
      <c r="E884" s="75">
        <f>60*F884*'THAM_SO_MOI'!$C$50/(2*PI()*'THAM_SO_MOI'!$C$26)</f>
        <v>1643.218177308954</v>
      </c>
      <c r="F884" s="75">
        <f>'HANH_TRINH'!$F$826+('THAM_SO_MOI'!$F$50-'HANH_TRINH'!$F$826)*57/'THAM_SO_MOI'!$C$42</f>
        <v>4.096924583697413</v>
      </c>
      <c r="G884" s="75">
        <f>3.6*F884</f>
        <v>14.748928501310687</v>
      </c>
      <c r="H884" s="75">
        <f>'THAM_SO_MOI'!$D$50</f>
        <v>1.8785906709588276</v>
      </c>
      <c r="I884" s="75">
        <f>IF(F884&gt;'THAM_SO_MOI'!$C$14,'THAM_SO_MOI'!$C$13*(1+F884^2/1500),'THAM_SO_MOI'!$C$13)</f>
        <v>0.015</v>
      </c>
      <c r="J884" s="75">
        <f>'THAM_SO_MOI'!$C$40*('THAM_SO_MOI'!$C$23*(E884/'THAM_SO_MOI'!$C$22)+'THAM_SO_MOI'!$C$24*(E884/'THAM_SO_MOI'!$C$22)^2-'THAM_SO_MOI'!$C$25*(E884/'THAM_SO_MOI'!$C$22)^3)</f>
        <v>71.71495281518087</v>
      </c>
      <c r="K884" s="75">
        <f>'THAM_SO_MOI'!$C$31*J884/E884</f>
        <v>416.83848124914783</v>
      </c>
      <c r="L884" s="75">
        <f>K884*'THAM_SO_MOI'!$C$50*'THAM_SO_MOI'!$C$17/'THAM_SO_MOI'!$C$26</f>
        <v>14881.70219795003</v>
      </c>
      <c r="M884" s="75">
        <f>'THAM_SO_MOI'!$C$15*'THAM_SO_MOI'!$C$16*F884^2</f>
        <v>49.095513805174846</v>
      </c>
      <c r="N884" s="75">
        <f>'THAM_SO_MOI'!$C$12*I884</f>
        <v>1130.112</v>
      </c>
      <c r="O884" s="75">
        <f>M884+N884</f>
        <v>1179.207513805175</v>
      </c>
      <c r="P884" s="75">
        <f>(MIN(L884,'THAM_SO_MOI'!$C$41)-O884)/('THAM_SO_MOI'!$C$11*H884)</f>
        <v>0.949743349050446</v>
      </c>
      <c r="Q884" s="75">
        <f>IF(P884&gt;0,1/P884,NA())</f>
        <v>1.0529160335787564</v>
      </c>
      <c r="R884" s="75">
        <f>F884-F883</f>
        <v>0.0032106047296869278</v>
      </c>
      <c r="S884" s="75">
        <f>0.5*(Q883+Q884)*R884</f>
        <v>0.003380776096119728</v>
      </c>
      <c r="T884" s="75">
        <f>0.5*(F883*Q883+F884*Q884)*R884</f>
        <v>0.013845357084590554</v>
      </c>
      <c r="U884" s="76">
        <f>U883+S884</f>
        <v>4.3093852975189355</v>
      </c>
      <c r="V884" s="76">
        <f>V883+T884</f>
        <v>12.87126216068725</v>
      </c>
    </row>
    <row r="885" spans="1:22" ht="19" customHeight="1">
      <c r="A885" s="68" t="s">
        <v>372</v>
      </c>
      <c r="B885" s="74">
        <v>2</v>
      </c>
      <c r="C885" s="68" t="s">
        <v>363</v>
      </c>
      <c r="D885" s="68" t="s">
        <v>364</v>
      </c>
      <c r="E885" s="75">
        <f>60*F885*'THAM_SO_MOI'!$C$50/(2*PI()*'THAM_SO_MOI'!$C$26)</f>
        <v>1644.5059051995204</v>
      </c>
      <c r="F885" s="75">
        <f>'HANH_TRINH'!$F$826+('THAM_SO_MOI'!$F$50-'HANH_TRINH'!$F$826)*58/'THAM_SO_MOI'!$C$42</f>
        <v>4.100135188427099</v>
      </c>
      <c r="G885" s="75">
        <f>3.6*F885</f>
        <v>14.760486678337555</v>
      </c>
      <c r="H885" s="75">
        <f>'THAM_SO_MOI'!$D$50</f>
        <v>1.8785906709588276</v>
      </c>
      <c r="I885" s="75">
        <f>IF(F885&gt;'THAM_SO_MOI'!$C$14,'THAM_SO_MOI'!$C$13*(1+F885^2/1500),'THAM_SO_MOI'!$C$13)</f>
        <v>0.015</v>
      </c>
      <c r="J885" s="75">
        <f>'THAM_SO_MOI'!$C$40*('THAM_SO_MOI'!$C$23*(E885/'THAM_SO_MOI'!$C$22)+'THAM_SO_MOI'!$C$24*(E885/'THAM_SO_MOI'!$C$22)^2-'THAM_SO_MOI'!$C$25*(E885/'THAM_SO_MOI'!$C$22)^3)</f>
        <v>71.7823987498153</v>
      </c>
      <c r="K885" s="75">
        <f>'THAM_SO_MOI'!$C$31*J885/E885</f>
        <v>416.903794616689</v>
      </c>
      <c r="L885" s="75">
        <f>K885*'THAM_SO_MOI'!$C$50*'THAM_SO_MOI'!$C$17/'THAM_SO_MOI'!$C$26</f>
        <v>14884.033974235126</v>
      </c>
      <c r="M885" s="75">
        <f>'THAM_SO_MOI'!$C$15*'THAM_SO_MOI'!$C$16*F885^2</f>
        <v>49.172492547881006</v>
      </c>
      <c r="N885" s="75">
        <f>'THAM_SO_MOI'!$C$12*I885</f>
        <v>1130.112</v>
      </c>
      <c r="O885" s="75">
        <f>M885+N885</f>
        <v>1179.2844925478812</v>
      </c>
      <c r="P885" s="75">
        <f>(MIN(L885,'THAM_SO_MOI'!$C$41)-O885)/('THAM_SO_MOI'!$C$11*H885)</f>
        <v>0.9498996329256603</v>
      </c>
      <c r="Q885" s="75">
        <f>IF(P885&gt;0,1/P885,NA())</f>
        <v>1.0527428007525723</v>
      </c>
      <c r="R885" s="75">
        <f>F885-F884</f>
        <v>0.0032106047296860396</v>
      </c>
      <c r="S885" s="75">
        <f>0.5*(Q884+Q885)*R885</f>
        <v>0.003380219106304678</v>
      </c>
      <c r="T885" s="75">
        <f>0.5*(F884*Q884+F885*Q885)*R885</f>
        <v>0.013853928582208129</v>
      </c>
      <c r="U885" s="76">
        <f>U884+S885</f>
        <v>4.31276551662524</v>
      </c>
      <c r="V885" s="76">
        <f>V884+T885</f>
        <v>12.885116089269458</v>
      </c>
    </row>
    <row r="886" spans="1:22" ht="19" customHeight="1">
      <c r="A886" s="68" t="s">
        <v>372</v>
      </c>
      <c r="B886" s="74">
        <v>2</v>
      </c>
      <c r="C886" s="68" t="s">
        <v>363</v>
      </c>
      <c r="D886" s="68" t="s">
        <v>364</v>
      </c>
      <c r="E886" s="75">
        <f>60*F886*'THAM_SO_MOI'!$C$50/(2*PI()*'THAM_SO_MOI'!$C$26)</f>
        <v>1645.793633090087</v>
      </c>
      <c r="F886" s="75">
        <f>'HANH_TRINH'!$F$826+('THAM_SO_MOI'!$F$50-'HANH_TRINH'!$F$826)*59/'THAM_SO_MOI'!$C$42</f>
        <v>4.103345793156786</v>
      </c>
      <c r="G886" s="75">
        <f>3.6*F886</f>
        <v>14.77204485536443</v>
      </c>
      <c r="H886" s="75">
        <f>'THAM_SO_MOI'!$D$50</f>
        <v>1.8785906709588276</v>
      </c>
      <c r="I886" s="75">
        <f>IF(F886&gt;'THAM_SO_MOI'!$C$14,'THAM_SO_MOI'!$C$13*(1+F886^2/1500),'THAM_SO_MOI'!$C$13)</f>
        <v>0.015</v>
      </c>
      <c r="J886" s="75">
        <f>'THAM_SO_MOI'!$C$40*('THAM_SO_MOI'!$C$23*(E886/'THAM_SO_MOI'!$C$22)+'THAM_SO_MOI'!$C$24*(E886/'THAM_SO_MOI'!$C$22)^2-'THAM_SO_MOI'!$C$25*(E886/'THAM_SO_MOI'!$C$22)^3)</f>
        <v>71.84983457521857</v>
      </c>
      <c r="K886" s="75">
        <f>'THAM_SO_MOI'!$C$31*J886/E886</f>
        <v>416.9689471098981</v>
      </c>
      <c r="L886" s="75">
        <f>K886*'THAM_SO_MOI'!$C$50*'THAM_SO_MOI'!$C$17/'THAM_SO_MOI'!$C$26</f>
        <v>14886.360007087196</v>
      </c>
      <c r="M886" s="75">
        <f>'THAM_SO_MOI'!$C$15*'THAM_SO_MOI'!$C$16*F886^2</f>
        <v>49.24953159228616</v>
      </c>
      <c r="N886" s="75">
        <f>'THAM_SO_MOI'!$C$12*I886</f>
        <v>1130.112</v>
      </c>
      <c r="O886" s="75">
        <f>M886+N886</f>
        <v>1179.3615315922862</v>
      </c>
      <c r="P886" s="75">
        <f>(MIN(L886,'THAM_SO_MOI'!$C$41)-O886)/('THAM_SO_MOI'!$C$11*H886)</f>
        <v>0.9500555145340915</v>
      </c>
      <c r="Q886" s="75">
        <f>IF(P886&gt;0,1/P886,NA())</f>
        <v>1.0525700705925605</v>
      </c>
      <c r="R886" s="75">
        <f>F886-F885</f>
        <v>0.0032106047296869278</v>
      </c>
      <c r="S886" s="75">
        <f>0.5*(Q885+Q886)*R886</f>
        <v>0.0033796637311057243</v>
      </c>
      <c r="T886" s="75">
        <f>0.5*(F885*Q885+F886*Q886)*R886</f>
        <v>0.013862503126012447</v>
      </c>
      <c r="U886" s="76">
        <f>U885+S886</f>
        <v>4.3161451803563455</v>
      </c>
      <c r="V886" s="76">
        <f>V885+T886</f>
        <v>12.89897859239547</v>
      </c>
    </row>
    <row r="887" spans="1:22" ht="19" customHeight="1">
      <c r="A887" s="68" t="s">
        <v>372</v>
      </c>
      <c r="B887" s="74">
        <v>2</v>
      </c>
      <c r="C887" s="68" t="s">
        <v>363</v>
      </c>
      <c r="D887" s="68" t="s">
        <v>364</v>
      </c>
      <c r="E887" s="75">
        <f>60*F887*'THAM_SO_MOI'!$C$50/(2*PI()*'THAM_SO_MOI'!$C$26)</f>
        <v>1647.081360980654</v>
      </c>
      <c r="F887" s="75">
        <f>'HANH_TRINH'!$F$826+('THAM_SO_MOI'!$F$50-'HANH_TRINH'!$F$826)*60/'THAM_SO_MOI'!$C$42</f>
        <v>4.1065563978864725</v>
      </c>
      <c r="G887" s="75">
        <f>3.6*F887</f>
        <v>14.783603032391301</v>
      </c>
      <c r="H887" s="75">
        <f>'THAM_SO_MOI'!$D$50</f>
        <v>1.8785906709588276</v>
      </c>
      <c r="I887" s="75">
        <f>IF(F887&gt;'THAM_SO_MOI'!$C$14,'THAM_SO_MOI'!$C$13*(1+F887^2/1500),'THAM_SO_MOI'!$C$13)</f>
        <v>0.015</v>
      </c>
      <c r="J887" s="75">
        <f>'THAM_SO_MOI'!$C$40*('THAM_SO_MOI'!$C$23*(E887/'THAM_SO_MOI'!$C$22)+'THAM_SO_MOI'!$C$24*(E887/'THAM_SO_MOI'!$C$22)^2-'THAM_SO_MOI'!$C$25*(E887/'THAM_SO_MOI'!$C$22)^3)</f>
        <v>71.91726022632093</v>
      </c>
      <c r="K887" s="75">
        <f>'THAM_SO_MOI'!$C$31*J887/E887</f>
        <v>417.03393872877496</v>
      </c>
      <c r="L887" s="75">
        <f>K887*'THAM_SO_MOI'!$C$50*'THAM_SO_MOI'!$C$17/'THAM_SO_MOI'!$C$26</f>
        <v>14888.680296506229</v>
      </c>
      <c r="M887" s="75">
        <f>'THAM_SO_MOI'!$C$15*'THAM_SO_MOI'!$C$16*F887^2</f>
        <v>49.326630938390295</v>
      </c>
      <c r="N887" s="75">
        <f>'THAM_SO_MOI'!$C$12*I887</f>
        <v>1130.112</v>
      </c>
      <c r="O887" s="75">
        <f>M887+N887</f>
        <v>1179.4386309383904</v>
      </c>
      <c r="P887" s="75">
        <f>(MIN(L887,'THAM_SO_MOI'!$C$41)-O887)/('THAM_SO_MOI'!$C$11*H887)</f>
        <v>0.950210993875739</v>
      </c>
      <c r="Q887" s="75">
        <f>IF(P887&gt;0,1/P887,NA())</f>
        <v>1.0523978426319618</v>
      </c>
      <c r="R887" s="75">
        <f>F887-F886</f>
        <v>0.0032106047296869278</v>
      </c>
      <c r="S887" s="75">
        <f>0.5*(Q886+Q887)*R887</f>
        <v>0.0033791099690189366</v>
      </c>
      <c r="T887" s="75">
        <f>0.5*(F886*Q886+F887*Q887)*R887</f>
        <v>0.01387108072538163</v>
      </c>
      <c r="U887" s="76">
        <f>U886+S887</f>
        <v>4.319524290325364</v>
      </c>
      <c r="V887" s="76">
        <f>V886+T887</f>
        <v>12.912849673120851</v>
      </c>
    </row>
    <row r="888" spans="1:22" ht="19" customHeight="1">
      <c r="A888" s="68" t="s">
        <v>372</v>
      </c>
      <c r="B888" s="74">
        <v>2</v>
      </c>
      <c r="C888" s="68" t="s">
        <v>363</v>
      </c>
      <c r="D888" s="68" t="s">
        <v>364</v>
      </c>
      <c r="E888" s="75">
        <f>60*F888*'THAM_SO_MOI'!$C$50/(2*PI()*'THAM_SO_MOI'!$C$26)</f>
        <v>1648.3690888712208</v>
      </c>
      <c r="F888" s="75">
        <f>'HANH_TRINH'!$F$826+('THAM_SO_MOI'!$F$50-'HANH_TRINH'!$F$826)*61/'THAM_SO_MOI'!$C$42</f>
        <v>4.1097670026161595</v>
      </c>
      <c r="G888" s="75">
        <f>3.6*F888</f>
        <v>14.795161209418174</v>
      </c>
      <c r="H888" s="75">
        <f>'THAM_SO_MOI'!$D$50</f>
        <v>1.8785906709588276</v>
      </c>
      <c r="I888" s="75">
        <f>IF(F888&gt;'THAM_SO_MOI'!$C$14,'THAM_SO_MOI'!$C$13*(1+F888^2/1500),'THAM_SO_MOI'!$C$13)</f>
        <v>0.015</v>
      </c>
      <c r="J888" s="75">
        <f>'THAM_SO_MOI'!$C$40*('THAM_SO_MOI'!$C$23*(E888/'THAM_SO_MOI'!$C$22)+'THAM_SO_MOI'!$C$24*(E888/'THAM_SO_MOI'!$C$22)^2-'THAM_SO_MOI'!$C$25*(E888/'THAM_SO_MOI'!$C$22)^3)</f>
        <v>71.98467563805268</v>
      </c>
      <c r="K888" s="75">
        <f>'THAM_SO_MOI'!$C$31*J888/E888</f>
        <v>417.0987694733194</v>
      </c>
      <c r="L888" s="75">
        <f>K888*'THAM_SO_MOI'!$C$50*'THAM_SO_MOI'!$C$17/'THAM_SO_MOI'!$C$26</f>
        <v>14890.994842492217</v>
      </c>
      <c r="M888" s="75">
        <f>'THAM_SO_MOI'!$C$15*'THAM_SO_MOI'!$C$16*F888^2</f>
        <v>49.403790586193395</v>
      </c>
      <c r="N888" s="75">
        <f>'THAM_SO_MOI'!$C$12*I888</f>
        <v>1130.112</v>
      </c>
      <c r="O888" s="75">
        <f>M888+N888</f>
        <v>1179.5157905861934</v>
      </c>
      <c r="P888" s="75">
        <f>(MIN(L888,'THAM_SO_MOI'!$C$41)-O888)/('THAM_SO_MOI'!$C$11*H888)</f>
        <v>0.9503660709506023</v>
      </c>
      <c r="Q888" s="75">
        <f>IF(P888&gt;0,1/P888,NA())</f>
        <v>1.0522261164055988</v>
      </c>
      <c r="R888" s="75">
        <f>F888-F887</f>
        <v>0.0032106047296869278</v>
      </c>
      <c r="S888" s="75">
        <f>0.5*(Q887+Q888)*R888</f>
        <v>0.0033785578185492097</v>
      </c>
      <c r="T888" s="75">
        <f>0.5*(F887*Q887+F888*Q888)*R888</f>
        <v>0.013879661389710755</v>
      </c>
      <c r="U888" s="76">
        <f>U887+S888</f>
        <v>4.322902848143913</v>
      </c>
      <c r="V888" s="76">
        <f>V887+T888</f>
        <v>12.926729334510561</v>
      </c>
    </row>
    <row r="889" spans="1:22" ht="19" customHeight="1">
      <c r="A889" s="68" t="s">
        <v>372</v>
      </c>
      <c r="B889" s="74">
        <v>2</v>
      </c>
      <c r="C889" s="68" t="s">
        <v>363</v>
      </c>
      <c r="D889" s="68" t="s">
        <v>364</v>
      </c>
      <c r="E889" s="75">
        <f>60*F889*'THAM_SO_MOI'!$C$50/(2*PI()*'THAM_SO_MOI'!$C$26)</f>
        <v>1649.6568167617875</v>
      </c>
      <c r="F889" s="75">
        <f>'HANH_TRINH'!$F$826+('THAM_SO_MOI'!$F$50-'HANH_TRINH'!$F$826)*62/'THAM_SO_MOI'!$C$42</f>
        <v>4.112977607345846</v>
      </c>
      <c r="G889" s="75">
        <f>3.6*F889</f>
        <v>14.806719386445048</v>
      </c>
      <c r="H889" s="75">
        <f>'THAM_SO_MOI'!$D$50</f>
        <v>1.8785906709588276</v>
      </c>
      <c r="I889" s="75">
        <f>IF(F889&gt;'THAM_SO_MOI'!$C$14,'THAM_SO_MOI'!$C$13*(1+F889^2/1500),'THAM_SO_MOI'!$C$13)</f>
        <v>0.015</v>
      </c>
      <c r="J889" s="75">
        <f>'THAM_SO_MOI'!$C$40*('THAM_SO_MOI'!$C$23*(E889/'THAM_SO_MOI'!$C$22)+'THAM_SO_MOI'!$C$24*(E889/'THAM_SO_MOI'!$C$22)^2-'THAM_SO_MOI'!$C$25*(E889/'THAM_SO_MOI'!$C$22)^3)</f>
        <v>72.05208074534413</v>
      </c>
      <c r="K889" s="75">
        <f>'THAM_SO_MOI'!$C$31*J889/E889</f>
        <v>417.16343934353165</v>
      </c>
      <c r="L889" s="75">
        <f>K889*'THAM_SO_MOI'!$C$50*'THAM_SO_MOI'!$C$17/'THAM_SO_MOI'!$C$26</f>
        <v>14893.303645045176</v>
      </c>
      <c r="M889" s="75">
        <f>'THAM_SO_MOI'!$C$15*'THAM_SO_MOI'!$C$16*F889^2</f>
        <v>49.48101053569547</v>
      </c>
      <c r="N889" s="75">
        <f>'THAM_SO_MOI'!$C$12*I889</f>
        <v>1130.112</v>
      </c>
      <c r="O889" s="75">
        <f>M889+N889</f>
        <v>1179.5930105356956</v>
      </c>
      <c r="P889" s="75">
        <f>(MIN(L889,'THAM_SO_MOI'!$C$41)-O889)/('THAM_SO_MOI'!$C$11*H889)</f>
        <v>0.9505207457586825</v>
      </c>
      <c r="Q889" s="75">
        <f>IF(P889&gt;0,1/P889,NA())</f>
        <v>1.0520548914498697</v>
      </c>
      <c r="R889" s="75">
        <f>F889-F888</f>
        <v>0.0032106047296869278</v>
      </c>
      <c r="S889" s="75">
        <f>0.5*(Q888+Q889)*R889</f>
        <v>0.003378007278205571</v>
      </c>
      <c r="T889" s="75">
        <f>0.5*(F888*Q888+F889*Q889)*R889</f>
        <v>0.013888245128392672</v>
      </c>
      <c r="U889" s="76">
        <f>U888+S889</f>
        <v>4.326280855422119</v>
      </c>
      <c r="V889" s="76">
        <f>V888+T889</f>
        <v>12.940617579638953</v>
      </c>
    </row>
    <row r="890" spans="1:22" ht="19" customHeight="1">
      <c r="A890" s="68" t="s">
        <v>372</v>
      </c>
      <c r="B890" s="74">
        <v>2</v>
      </c>
      <c r="C890" s="68" t="s">
        <v>363</v>
      </c>
      <c r="D890" s="68" t="s">
        <v>364</v>
      </c>
      <c r="E890" s="75">
        <f>60*F890*'THAM_SO_MOI'!$C$50/(2*PI()*'THAM_SO_MOI'!$C$26)</f>
        <v>1650.9445446523541</v>
      </c>
      <c r="F890" s="75">
        <f>'HANH_TRINH'!$F$826+('THAM_SO_MOI'!$F$50-'HANH_TRINH'!$F$826)*63/'THAM_SO_MOI'!$C$42</f>
        <v>4.116188212075533</v>
      </c>
      <c r="G890" s="75">
        <f>3.6*F890</f>
        <v>14.81827756347192</v>
      </c>
      <c r="H890" s="75">
        <f>'THAM_SO_MOI'!$D$50</f>
        <v>1.8785906709588276</v>
      </c>
      <c r="I890" s="75">
        <f>IF(F890&gt;'THAM_SO_MOI'!$C$14,'THAM_SO_MOI'!$C$13*(1+F890^2/1500),'THAM_SO_MOI'!$C$13)</f>
        <v>0.015</v>
      </c>
      <c r="J890" s="75">
        <f>'THAM_SO_MOI'!$C$40*('THAM_SO_MOI'!$C$23*(E890/'THAM_SO_MOI'!$C$22)+'THAM_SO_MOI'!$C$24*(E890/'THAM_SO_MOI'!$C$22)^2-'THAM_SO_MOI'!$C$25*(E890/'THAM_SO_MOI'!$C$22)^3)</f>
        <v>72.11947548312558</v>
      </c>
      <c r="K890" s="75">
        <f>'THAM_SO_MOI'!$C$31*J890/E890</f>
        <v>417.2279483394117</v>
      </c>
      <c r="L890" s="75">
        <f>K890*'THAM_SO_MOI'!$C$50*'THAM_SO_MOI'!$C$17/'THAM_SO_MOI'!$C$26</f>
        <v>14895.606704165097</v>
      </c>
      <c r="M890" s="75">
        <f>'THAM_SO_MOI'!$C$15*'THAM_SO_MOI'!$C$16*F890^2</f>
        <v>49.558290786896514</v>
      </c>
      <c r="N890" s="75">
        <f>'THAM_SO_MOI'!$C$12*I890</f>
        <v>1130.112</v>
      </c>
      <c r="O890" s="75">
        <f>M890+N890</f>
        <v>1179.6702907868967</v>
      </c>
      <c r="P890" s="75">
        <f>(MIN(L890,'THAM_SO_MOI'!$C$41)-O890)/('THAM_SO_MOI'!$C$11*H890)</f>
        <v>0.950675018299979</v>
      </c>
      <c r="Q890" s="75">
        <f>IF(P890&gt;0,1/P890,NA())</f>
        <v>1.05188416730275</v>
      </c>
      <c r="R890" s="75">
        <f>F890-F889</f>
        <v>0.0032106047296869278</v>
      </c>
      <c r="S890" s="75">
        <f>0.5*(Q889+Q890)*R890</f>
        <v>0.003377458346502112</v>
      </c>
      <c r="T890" s="75">
        <f>0.5*(F889*Q889+F890*Q890)*R890</f>
        <v>0.013896831950821925</v>
      </c>
      <c r="U890" s="76">
        <f>U889+S890</f>
        <v>4.329658313768621</v>
      </c>
      <c r="V890" s="76">
        <f>V889+T890</f>
        <v>12.954514411589775</v>
      </c>
    </row>
    <row r="891" spans="1:22" ht="19" customHeight="1">
      <c r="A891" s="68" t="s">
        <v>372</v>
      </c>
      <c r="B891" s="74">
        <v>2</v>
      </c>
      <c r="C891" s="68" t="s">
        <v>363</v>
      </c>
      <c r="D891" s="68" t="s">
        <v>364</v>
      </c>
      <c r="E891" s="75">
        <f>60*F891*'THAM_SO_MOI'!$C$50/(2*PI()*'THAM_SO_MOI'!$C$26)</f>
        <v>1652.2322725429208</v>
      </c>
      <c r="F891" s="75">
        <f>'HANH_TRINH'!$F$826+('THAM_SO_MOI'!$F$50-'HANH_TRINH'!$F$826)*64/'THAM_SO_MOI'!$C$42</f>
        <v>4.11939881680522</v>
      </c>
      <c r="G891" s="75">
        <f>3.6*F891</f>
        <v>14.829835740498794</v>
      </c>
      <c r="H891" s="75">
        <f>'THAM_SO_MOI'!$D$50</f>
        <v>1.8785906709588276</v>
      </c>
      <c r="I891" s="75">
        <f>IF(F891&gt;'THAM_SO_MOI'!$C$14,'THAM_SO_MOI'!$C$13*(1+F891^2/1500),'THAM_SO_MOI'!$C$13)</f>
        <v>0.015</v>
      </c>
      <c r="J891" s="75">
        <f>'THAM_SO_MOI'!$C$40*('THAM_SO_MOI'!$C$23*(E891/'THAM_SO_MOI'!$C$22)+'THAM_SO_MOI'!$C$24*(E891/'THAM_SO_MOI'!$C$22)^2-'THAM_SO_MOI'!$C$25*(E891/'THAM_SO_MOI'!$C$22)^3)</f>
        <v>72.18685978632735</v>
      </c>
      <c r="K891" s="75">
        <f>'THAM_SO_MOI'!$C$31*J891/E891</f>
        <v>417.2922964609595</v>
      </c>
      <c r="L891" s="75">
        <f>K891*'THAM_SO_MOI'!$C$50*'THAM_SO_MOI'!$C$17/'THAM_SO_MOI'!$C$26</f>
        <v>14897.904019851985</v>
      </c>
      <c r="M891" s="75">
        <f>'THAM_SO_MOI'!$C$15*'THAM_SO_MOI'!$C$16*F891^2</f>
        <v>49.63563133979653</v>
      </c>
      <c r="N891" s="75">
        <f>'THAM_SO_MOI'!$C$12*I891</f>
        <v>1130.112</v>
      </c>
      <c r="O891" s="75">
        <f>M891+N891</f>
        <v>1179.7476313397965</v>
      </c>
      <c r="P891" s="75">
        <f>(MIN(L891,'THAM_SO_MOI'!$C$41)-O891)/('THAM_SO_MOI'!$C$11*H891)</f>
        <v>0.9508288885744919</v>
      </c>
      <c r="Q891" s="75">
        <f>IF(P891&gt;0,1/P891,NA())</f>
        <v>1.0517139435037852</v>
      </c>
      <c r="R891" s="75">
        <f>F891-F890</f>
        <v>0.0032106047296869278</v>
      </c>
      <c r="S891" s="75">
        <f>0.5*(Q890+Q891)*R891</f>
        <v>0.0033769110219579743</v>
      </c>
      <c r="T891" s="75">
        <f>0.5*(F890*Q890+F891*Q891)*R891</f>
        <v>0.013905421866394773</v>
      </c>
      <c r="U891" s="76">
        <f>U890+S891</f>
        <v>4.333035224790579</v>
      </c>
      <c r="V891" s="76">
        <f>V890+T891</f>
        <v>12.96841983345617</v>
      </c>
    </row>
    <row r="892" spans="1:22" ht="19" customHeight="1">
      <c r="A892" s="68" t="s">
        <v>372</v>
      </c>
      <c r="B892" s="74">
        <v>2</v>
      </c>
      <c r="C892" s="68" t="s">
        <v>363</v>
      </c>
      <c r="D892" s="68" t="s">
        <v>364</v>
      </c>
      <c r="E892" s="75">
        <f>60*F892*'THAM_SO_MOI'!$C$50/(2*PI()*'THAM_SO_MOI'!$C$26)</f>
        <v>1653.5200004334872</v>
      </c>
      <c r="F892" s="75">
        <f>'HANH_TRINH'!$F$826+('THAM_SO_MOI'!$F$50-'HANH_TRINH'!$F$826)*65/'THAM_SO_MOI'!$C$42</f>
        <v>4.122609421534906</v>
      </c>
      <c r="G892" s="75">
        <f>3.6*F892</f>
        <v>14.841393917525663</v>
      </c>
      <c r="H892" s="75">
        <f>'THAM_SO_MOI'!$D$50</f>
        <v>1.8785906709588276</v>
      </c>
      <c r="I892" s="75">
        <f>IF(F892&gt;'THAM_SO_MOI'!$C$14,'THAM_SO_MOI'!$C$13*(1+F892^2/1500),'THAM_SO_MOI'!$C$13)</f>
        <v>0.015</v>
      </c>
      <c r="J892" s="75">
        <f>'THAM_SO_MOI'!$C$40*('THAM_SO_MOI'!$C$23*(E892/'THAM_SO_MOI'!$C$22)+'THAM_SO_MOI'!$C$24*(E892/'THAM_SO_MOI'!$C$22)^2-'THAM_SO_MOI'!$C$25*(E892/'THAM_SO_MOI'!$C$22)^3)</f>
        <v>72.2542335898797</v>
      </c>
      <c r="K892" s="75">
        <f>'THAM_SO_MOI'!$C$31*J892/E892</f>
        <v>417.356483708175</v>
      </c>
      <c r="L892" s="75">
        <f>K892*'THAM_SO_MOI'!$C$50*'THAM_SO_MOI'!$C$17/'THAM_SO_MOI'!$C$26</f>
        <v>14900.195592105834</v>
      </c>
      <c r="M892" s="75">
        <f>'THAM_SO_MOI'!$C$15*'THAM_SO_MOI'!$C$16*F892^2</f>
        <v>49.7130321943955</v>
      </c>
      <c r="N892" s="75">
        <f>'THAM_SO_MOI'!$C$12*I892</f>
        <v>1130.112</v>
      </c>
      <c r="O892" s="75">
        <f>M892+N892</f>
        <v>1179.8250321943956</v>
      </c>
      <c r="P892" s="75">
        <f>(MIN(L892,'THAM_SO_MOI'!$C$41)-O892)/('THAM_SO_MOI'!$C$11*H892)</f>
        <v>0.9509823565822213</v>
      </c>
      <c r="Q892" s="75">
        <f>IF(P892&gt;0,1/P892,NA())</f>
        <v>1.0515442195940894</v>
      </c>
      <c r="R892" s="75">
        <f>F892-F891</f>
        <v>0.0032106047296860396</v>
      </c>
      <c r="S892" s="75">
        <f>0.5*(Q891+Q892)*R892</f>
        <v>0.003376365303096404</v>
      </c>
      <c r="T892" s="75">
        <f>0.5*(F891*Q891+F892*Q892)*R892</f>
        <v>0.013914014884505376</v>
      </c>
      <c r="U892" s="76">
        <f>U891+S892</f>
        <v>4.336411590093675</v>
      </c>
      <c r="V892" s="76">
        <f>V891+T892</f>
        <v>12.982333848340676</v>
      </c>
    </row>
    <row r="893" spans="1:22" ht="19" customHeight="1">
      <c r="A893" s="68" t="s">
        <v>372</v>
      </c>
      <c r="B893" s="74">
        <v>2</v>
      </c>
      <c r="C893" s="68" t="s">
        <v>363</v>
      </c>
      <c r="D893" s="68" t="s">
        <v>364</v>
      </c>
      <c r="E893" s="75">
        <f>60*F893*'THAM_SO_MOI'!$C$50/(2*PI()*'THAM_SO_MOI'!$C$26)</f>
        <v>1654.8077283240539</v>
      </c>
      <c r="F893" s="75">
        <f>'HANH_TRINH'!$F$826+('THAM_SO_MOI'!$F$50-'HANH_TRINH'!$F$826)*66/'THAM_SO_MOI'!$C$42</f>
        <v>4.125820026264593</v>
      </c>
      <c r="G893" s="75">
        <f>3.6*F893</f>
        <v>14.852952094552537</v>
      </c>
      <c r="H893" s="75">
        <f>'THAM_SO_MOI'!$D$50</f>
        <v>1.8785906709588276</v>
      </c>
      <c r="I893" s="75">
        <f>IF(F893&gt;'THAM_SO_MOI'!$C$14,'THAM_SO_MOI'!$C$13*(1+F893^2/1500),'THAM_SO_MOI'!$C$13)</f>
        <v>0.015</v>
      </c>
      <c r="J893" s="75">
        <f>'THAM_SO_MOI'!$C$40*('THAM_SO_MOI'!$C$23*(E893/'THAM_SO_MOI'!$C$22)+'THAM_SO_MOI'!$C$24*(E893/'THAM_SO_MOI'!$C$22)^2-'THAM_SO_MOI'!$C$25*(E893/'THAM_SO_MOI'!$C$22)^3)</f>
        <v>72.32159682871296</v>
      </c>
      <c r="K893" s="75">
        <f>'THAM_SO_MOI'!$C$31*J893/E893</f>
        <v>417.42051008105824</v>
      </c>
      <c r="L893" s="75">
        <f>K893*'THAM_SO_MOI'!$C$50*'THAM_SO_MOI'!$C$17/'THAM_SO_MOI'!$C$26</f>
        <v>14902.481420926648</v>
      </c>
      <c r="M893" s="75">
        <f>'THAM_SO_MOI'!$C$15*'THAM_SO_MOI'!$C$16*F893^2</f>
        <v>49.79049335069346</v>
      </c>
      <c r="N893" s="75">
        <f>'THAM_SO_MOI'!$C$12*I893</f>
        <v>1130.112</v>
      </c>
      <c r="O893" s="75">
        <f>M893+N893</f>
        <v>1179.9024933506935</v>
      </c>
      <c r="P893" s="75">
        <f>(MIN(L893,'THAM_SO_MOI'!$C$41)-O893)/('THAM_SO_MOI'!$C$11*H893)</f>
        <v>0.9511354223231667</v>
      </c>
      <c r="Q893" s="75">
        <f>IF(P893&gt;0,1/P893,NA())</f>
        <v>1.0513749951163427</v>
      </c>
      <c r="R893" s="75">
        <f>F893-F892</f>
        <v>0.0032106047296869278</v>
      </c>
      <c r="S893" s="75">
        <f>0.5*(Q892+Q893)*R893</f>
        <v>0.0033758211884494164</v>
      </c>
      <c r="T893" s="75">
        <f>0.5*(F892*Q892+F893*Q893)*R893</f>
        <v>0.013922611014565087</v>
      </c>
      <c r="U893" s="76">
        <f>U892+S893</f>
        <v>4.339787411282125</v>
      </c>
      <c r="V893" s="76">
        <f>V892+T893</f>
        <v>12.99625645935524</v>
      </c>
    </row>
    <row r="894" spans="1:22" ht="19" customHeight="1">
      <c r="A894" s="68" t="s">
        <v>372</v>
      </c>
      <c r="B894" s="74">
        <v>2</v>
      </c>
      <c r="C894" s="68" t="s">
        <v>363</v>
      </c>
      <c r="D894" s="68" t="s">
        <v>364</v>
      </c>
      <c r="E894" s="75">
        <f>60*F894*'THAM_SO_MOI'!$C$50/(2*PI()*'THAM_SO_MOI'!$C$26)</f>
        <v>1656.0954562146208</v>
      </c>
      <c r="F894" s="75">
        <f>'HANH_TRINH'!$F$826+('THAM_SO_MOI'!$F$50-'HANH_TRINH'!$F$826)*67/'THAM_SO_MOI'!$C$42</f>
        <v>4.12903063099428</v>
      </c>
      <c r="G894" s="75">
        <f>3.6*F894</f>
        <v>14.864510271579409</v>
      </c>
      <c r="H894" s="75">
        <f>'THAM_SO_MOI'!$D$50</f>
        <v>1.8785906709588276</v>
      </c>
      <c r="I894" s="75">
        <f>IF(F894&gt;'THAM_SO_MOI'!$C$14,'THAM_SO_MOI'!$C$13*(1+F894^2/1500),'THAM_SO_MOI'!$C$13)</f>
        <v>0.015</v>
      </c>
      <c r="J894" s="75">
        <f>'THAM_SO_MOI'!$C$40*('THAM_SO_MOI'!$C$23*(E894/'THAM_SO_MOI'!$C$22)+'THAM_SO_MOI'!$C$24*(E894/'THAM_SO_MOI'!$C$22)^2-'THAM_SO_MOI'!$C$25*(E894/'THAM_SO_MOI'!$C$22)^3)</f>
        <v>72.38894943775746</v>
      </c>
      <c r="K894" s="75">
        <f>'THAM_SO_MOI'!$C$31*J894/E894</f>
        <v>417.4843755796093</v>
      </c>
      <c r="L894" s="75">
        <f>K894*'THAM_SO_MOI'!$C$50*'THAM_SO_MOI'!$C$17/'THAM_SO_MOI'!$C$26</f>
        <v>14904.76150631443</v>
      </c>
      <c r="M894" s="75">
        <f>'THAM_SO_MOI'!$C$15*'THAM_SO_MOI'!$C$16*F894^2</f>
        <v>49.8680148086904</v>
      </c>
      <c r="N894" s="75">
        <f>'THAM_SO_MOI'!$C$12*I894</f>
        <v>1130.112</v>
      </c>
      <c r="O894" s="75">
        <f>M894+N894</f>
        <v>1179.9800148086904</v>
      </c>
      <c r="P894" s="75">
        <f>(MIN(L894,'THAM_SO_MOI'!$C$41)-O894)/('THAM_SO_MOI'!$C$11*H894)</f>
        <v>0.951288085797329</v>
      </c>
      <c r="Q894" s="75">
        <f>IF(P894&gt;0,1/P894,NA())</f>
        <v>1.0512062696147852</v>
      </c>
      <c r="R894" s="75">
        <f>F894-F893</f>
        <v>0.0032106047296869278</v>
      </c>
      <c r="S894" s="75">
        <f>0.5*(Q893+Q894)*R894</f>
        <v>0.0033752786765484408</v>
      </c>
      <c r="T894" s="75">
        <f>0.5*(F893*Q893+F894*Q894)*R894</f>
        <v>0.013931210265963992</v>
      </c>
      <c r="U894" s="76">
        <f>U893+S894</f>
        <v>4.343162689958674</v>
      </c>
      <c r="V894" s="76">
        <f>V893+T894</f>
        <v>13.010187669621205</v>
      </c>
    </row>
    <row r="895" spans="1:22" ht="19" customHeight="1">
      <c r="A895" s="68" t="s">
        <v>372</v>
      </c>
      <c r="B895" s="74">
        <v>2</v>
      </c>
      <c r="C895" s="68" t="s">
        <v>363</v>
      </c>
      <c r="D895" s="68" t="s">
        <v>364</v>
      </c>
      <c r="E895" s="75">
        <f>60*F895*'THAM_SO_MOI'!$C$50/(2*PI()*'THAM_SO_MOI'!$C$26)</f>
        <v>1657.3831841051874</v>
      </c>
      <c r="F895" s="75">
        <f>'HANH_TRINH'!$F$826+('THAM_SO_MOI'!$F$50-'HANH_TRINH'!$F$826)*68/'THAM_SO_MOI'!$C$42</f>
        <v>4.132241235723967</v>
      </c>
      <c r="G895" s="75">
        <f>3.6*F895</f>
        <v>14.876068448606281</v>
      </c>
      <c r="H895" s="75">
        <f>'THAM_SO_MOI'!$D$50</f>
        <v>1.8785906709588276</v>
      </c>
      <c r="I895" s="75">
        <f>IF(F895&gt;'THAM_SO_MOI'!$C$14,'THAM_SO_MOI'!$C$13*(1+F895^2/1500),'THAM_SO_MOI'!$C$13)</f>
        <v>0.015</v>
      </c>
      <c r="J895" s="75">
        <f>'THAM_SO_MOI'!$C$40*('THAM_SO_MOI'!$C$23*(E895/'THAM_SO_MOI'!$C$22)+'THAM_SO_MOI'!$C$24*(E895/'THAM_SO_MOI'!$C$22)^2-'THAM_SO_MOI'!$C$25*(E895/'THAM_SO_MOI'!$C$22)^3)</f>
        <v>72.45629135194343</v>
      </c>
      <c r="K895" s="75">
        <f>'THAM_SO_MOI'!$C$31*J895/E895</f>
        <v>417.548080203828</v>
      </c>
      <c r="L895" s="75">
        <f>K895*'THAM_SO_MOI'!$C$50*'THAM_SO_MOI'!$C$17/'THAM_SO_MOI'!$C$26</f>
        <v>14907.035848269168</v>
      </c>
      <c r="M895" s="75">
        <f>'THAM_SO_MOI'!$C$15*'THAM_SO_MOI'!$C$16*F895^2</f>
        <v>49.9455965683863</v>
      </c>
      <c r="N895" s="75">
        <f>'THAM_SO_MOI'!$C$12*I895</f>
        <v>1130.112</v>
      </c>
      <c r="O895" s="75">
        <f>M895+N895</f>
        <v>1180.0575965683863</v>
      </c>
      <c r="P895" s="75">
        <f>(MIN(L895,'THAM_SO_MOI'!$C$41)-O895)/('THAM_SO_MOI'!$C$11*H895)</f>
        <v>0.9514403470047071</v>
      </c>
      <c r="Q895" s="75">
        <f>IF(P895&gt;0,1/P895,NA())</f>
        <v>1.051038042635218</v>
      </c>
      <c r="R895" s="75">
        <f>F895-F894</f>
        <v>0.0032106047296869278</v>
      </c>
      <c r="S895" s="75">
        <f>0.5*(Q894+Q895)*R895</f>
        <v>0.0033747377659336516</v>
      </c>
      <c r="T895" s="75">
        <f>0.5*(F894*Q894+F895*Q895)*R895</f>
        <v>0.013939812648109434</v>
      </c>
      <c r="U895" s="76">
        <f>U894+S895</f>
        <v>4.346537427724607</v>
      </c>
      <c r="V895" s="76">
        <f>V894+T895</f>
        <v>13.024127482269314</v>
      </c>
    </row>
    <row r="896" spans="1:22" ht="19" customHeight="1">
      <c r="A896" s="68" t="s">
        <v>372</v>
      </c>
      <c r="B896" s="74">
        <v>2</v>
      </c>
      <c r="C896" s="68" t="s">
        <v>363</v>
      </c>
      <c r="D896" s="68" t="s">
        <v>364</v>
      </c>
      <c r="E896" s="75">
        <f>60*F896*'THAM_SO_MOI'!$C$50/(2*PI()*'THAM_SO_MOI'!$C$26)</f>
        <v>1658.670911995754</v>
      </c>
      <c r="F896" s="75">
        <f>'HANH_TRINH'!$F$826+('THAM_SO_MOI'!$F$50-'HANH_TRINH'!$F$826)*69/'THAM_SO_MOI'!$C$42</f>
        <v>4.135451840453654</v>
      </c>
      <c r="G896" s="75">
        <f>3.6*F896</f>
        <v>14.887626625633155</v>
      </c>
      <c r="H896" s="75">
        <f>'THAM_SO_MOI'!$D$50</f>
        <v>1.8785906709588276</v>
      </c>
      <c r="I896" s="75">
        <f>IF(F896&gt;'THAM_SO_MOI'!$C$14,'THAM_SO_MOI'!$C$13*(1+F896^2/1500),'THAM_SO_MOI'!$C$13)</f>
        <v>0.015</v>
      </c>
      <c r="J896" s="75">
        <f>'THAM_SO_MOI'!$C$40*('THAM_SO_MOI'!$C$23*(E896/'THAM_SO_MOI'!$C$22)+'THAM_SO_MOI'!$C$24*(E896/'THAM_SO_MOI'!$C$22)^2-'THAM_SO_MOI'!$C$25*(E896/'THAM_SO_MOI'!$C$22)^3)</f>
        <v>72.52362250620125</v>
      </c>
      <c r="K896" s="75">
        <f>'THAM_SO_MOI'!$C$31*J896/E896</f>
        <v>417.6116239537147</v>
      </c>
      <c r="L896" s="75">
        <f>K896*'THAM_SO_MOI'!$C$50*'THAM_SO_MOI'!$C$17/'THAM_SO_MOI'!$C$26</f>
        <v>14909.30444679088</v>
      </c>
      <c r="M896" s="75">
        <f>'THAM_SO_MOI'!$C$15*'THAM_SO_MOI'!$C$16*F896^2</f>
        <v>50.02323862978118</v>
      </c>
      <c r="N896" s="75">
        <f>'THAM_SO_MOI'!$C$12*I896</f>
        <v>1130.112</v>
      </c>
      <c r="O896" s="75">
        <f>M896+N896</f>
        <v>1180.1352386297813</v>
      </c>
      <c r="P896" s="75">
        <f>(MIN(L896,'THAM_SO_MOI'!$C$41)-O896)/('THAM_SO_MOI'!$C$11*H896)</f>
        <v>0.9515922059453025</v>
      </c>
      <c r="Q896" s="75">
        <f>IF(P896&gt;0,1/P896,NA())</f>
        <v>1.0508703137249948</v>
      </c>
      <c r="R896" s="75">
        <f>F896-F895</f>
        <v>0.0032106047296869278</v>
      </c>
      <c r="S896" s="75">
        <f>0.5*(Q895+Q896)*R896</f>
        <v>0.0033741984551492877</v>
      </c>
      <c r="T896" s="75">
        <f>0.5*(F895*Q895+F896*Q896)*R896</f>
        <v>0.01394841817040682</v>
      </c>
      <c r="U896" s="76">
        <f>U895+S896</f>
        <v>4.349911626179757</v>
      </c>
      <c r="V896" s="76">
        <f>V895+T896</f>
        <v>13.038075900439722</v>
      </c>
    </row>
    <row r="897" spans="1:22" ht="19" customHeight="1">
      <c r="A897" s="68" t="s">
        <v>372</v>
      </c>
      <c r="B897" s="74">
        <v>2</v>
      </c>
      <c r="C897" s="68" t="s">
        <v>363</v>
      </c>
      <c r="D897" s="68" t="s">
        <v>364</v>
      </c>
      <c r="E897" s="75">
        <f>60*F897*'THAM_SO_MOI'!$C$50/(2*PI()*'THAM_SO_MOI'!$C$26)</f>
        <v>1659.958639886321</v>
      </c>
      <c r="F897" s="75">
        <f>'HANH_TRINH'!$F$826+('THAM_SO_MOI'!$F$50-'HANH_TRINH'!$F$826)*70/'THAM_SO_MOI'!$C$42</f>
        <v>4.138662445183341</v>
      </c>
      <c r="G897" s="75">
        <f>3.6*F897</f>
        <v>14.899184802660027</v>
      </c>
      <c r="H897" s="75">
        <f>'THAM_SO_MOI'!$D$50</f>
        <v>1.8785906709588276</v>
      </c>
      <c r="I897" s="75">
        <f>IF(F897&gt;'THAM_SO_MOI'!$C$14,'THAM_SO_MOI'!$C$13*(1+F897^2/1500),'THAM_SO_MOI'!$C$13)</f>
        <v>0.015</v>
      </c>
      <c r="J897" s="75">
        <f>'THAM_SO_MOI'!$C$40*('THAM_SO_MOI'!$C$23*(E897/'THAM_SO_MOI'!$C$22)+'THAM_SO_MOI'!$C$24*(E897/'THAM_SO_MOI'!$C$22)^2-'THAM_SO_MOI'!$C$25*(E897/'THAM_SO_MOI'!$C$22)^3)</f>
        <v>72.59094283546116</v>
      </c>
      <c r="K897" s="75">
        <f>'THAM_SO_MOI'!$C$31*J897/E897</f>
        <v>417.6750068292689</v>
      </c>
      <c r="L897" s="75">
        <f>K897*'THAM_SO_MOI'!$C$50*'THAM_SO_MOI'!$C$17/'THAM_SO_MOI'!$C$26</f>
        <v>14911.56730187955</v>
      </c>
      <c r="M897" s="75">
        <f>'THAM_SO_MOI'!$C$15*'THAM_SO_MOI'!$C$16*F897^2</f>
        <v>50.10094099287503</v>
      </c>
      <c r="N897" s="75">
        <f>'THAM_SO_MOI'!$C$12*I897</f>
        <v>1130.112</v>
      </c>
      <c r="O897" s="75">
        <f>M897+N897</f>
        <v>1180.212940992875</v>
      </c>
      <c r="P897" s="75">
        <f>(MIN(L897,'THAM_SO_MOI'!$C$41)-O897)/('THAM_SO_MOI'!$C$11*H897)</f>
        <v>0.9517436626191136</v>
      </c>
      <c r="Q897" s="75">
        <f>IF(P897&gt;0,1/P897,NA())</f>
        <v>1.0507030824330255</v>
      </c>
      <c r="R897" s="75">
        <f>F897-F896</f>
        <v>0.0032106047296869278</v>
      </c>
      <c r="S897" s="75">
        <f>0.5*(Q896+Q897)*R897</f>
        <v>0.00337366074274458</v>
      </c>
      <c r="T897" s="75">
        <f>0.5*(F896*Q896+F897*Q897)*R897</f>
        <v>0.013957026842263505</v>
      </c>
      <c r="U897" s="76">
        <f>U896+S897</f>
        <v>4.353285286922501</v>
      </c>
      <c r="V897" s="76">
        <f>V896+T897</f>
        <v>13.052032927281985</v>
      </c>
    </row>
    <row r="898" spans="1:22" ht="19" customHeight="1">
      <c r="A898" s="68" t="s">
        <v>372</v>
      </c>
      <c r="B898" s="74">
        <v>2</v>
      </c>
      <c r="C898" s="68" t="s">
        <v>363</v>
      </c>
      <c r="D898" s="68" t="s">
        <v>364</v>
      </c>
      <c r="E898" s="75">
        <f>60*F898*'THAM_SO_MOI'!$C$50/(2*PI()*'THAM_SO_MOI'!$C$26)</f>
        <v>1661.2463677768876</v>
      </c>
      <c r="F898" s="75">
        <f>'HANH_TRINH'!$F$826+('THAM_SO_MOI'!$F$50-'HANH_TRINH'!$F$826)*71/'THAM_SO_MOI'!$C$42</f>
        <v>4.141873049913028</v>
      </c>
      <c r="G898" s="75">
        <f>3.6*F898</f>
        <v>14.910742979686901</v>
      </c>
      <c r="H898" s="75">
        <f>'THAM_SO_MOI'!$D$50</f>
        <v>1.8785906709588276</v>
      </c>
      <c r="I898" s="75">
        <f>IF(F898&gt;'THAM_SO_MOI'!$C$14,'THAM_SO_MOI'!$C$13*(1+F898^2/1500),'THAM_SO_MOI'!$C$13)</f>
        <v>0.015</v>
      </c>
      <c r="J898" s="75">
        <f>'THAM_SO_MOI'!$C$40*('THAM_SO_MOI'!$C$23*(E898/'THAM_SO_MOI'!$C$22)+'THAM_SO_MOI'!$C$24*(E898/'THAM_SO_MOI'!$C$22)^2-'THAM_SO_MOI'!$C$25*(E898/'THAM_SO_MOI'!$C$22)^3)</f>
        <v>72.65825227465348</v>
      </c>
      <c r="K898" s="75">
        <f>'THAM_SO_MOI'!$C$31*J898/E898</f>
        <v>417.73822883049087</v>
      </c>
      <c r="L898" s="75">
        <f>K898*'THAM_SO_MOI'!$C$50*'THAM_SO_MOI'!$C$17/'THAM_SO_MOI'!$C$26</f>
        <v>14913.824413535182</v>
      </c>
      <c r="M898" s="75">
        <f>'THAM_SO_MOI'!$C$15*'THAM_SO_MOI'!$C$16*F898^2</f>
        <v>50.17870365766786</v>
      </c>
      <c r="N898" s="75">
        <f>'THAM_SO_MOI'!$C$12*I898</f>
        <v>1130.112</v>
      </c>
      <c r="O898" s="75">
        <f>M898+N898</f>
        <v>1180.290703657668</v>
      </c>
      <c r="P898" s="75">
        <f>(MIN(L898,'THAM_SO_MOI'!$C$41)-O898)/('THAM_SO_MOI'!$C$11*H898)</f>
        <v>0.9518947170261408</v>
      </c>
      <c r="Q898" s="75">
        <f>IF(P898&gt;0,1/P898,NA())</f>
        <v>1.050536348309766</v>
      </c>
      <c r="R898" s="75">
        <f>F898-F897</f>
        <v>0.0032106047296869278</v>
      </c>
      <c r="S898" s="75">
        <f>0.5*(Q897+Q898)*R898</f>
        <v>0.0033731246272737368</v>
      </c>
      <c r="T898" s="75">
        <f>0.5*(F897*Q897+F898*Q898)*R898</f>
        <v>0.013965638673088828</v>
      </c>
      <c r="U898" s="76">
        <f>U897+S898</f>
        <v>4.356658411549775</v>
      </c>
      <c r="V898" s="76">
        <f>V897+T898</f>
        <v>13.065998565955073</v>
      </c>
    </row>
    <row r="899" spans="1:22" ht="19" customHeight="1">
      <c r="A899" s="68" t="s">
        <v>372</v>
      </c>
      <c r="B899" s="74">
        <v>2</v>
      </c>
      <c r="C899" s="68" t="s">
        <v>363</v>
      </c>
      <c r="D899" s="68" t="s">
        <v>364</v>
      </c>
      <c r="E899" s="75">
        <f>60*F899*'THAM_SO_MOI'!$C$50/(2*PI()*'THAM_SO_MOI'!$C$26)</f>
        <v>1662.534095667454</v>
      </c>
      <c r="F899" s="75">
        <f>'HANH_TRINH'!$F$826+('THAM_SO_MOI'!$F$50-'HANH_TRINH'!$F$826)*72/'THAM_SO_MOI'!$C$42</f>
        <v>4.145083654642714</v>
      </c>
      <c r="G899" s="75">
        <f>3.6*F899</f>
        <v>14.92230115671377</v>
      </c>
      <c r="H899" s="75">
        <f>'THAM_SO_MOI'!$D$50</f>
        <v>1.8785906709588276</v>
      </c>
      <c r="I899" s="75">
        <f>IF(F899&gt;'THAM_SO_MOI'!$C$14,'THAM_SO_MOI'!$C$13*(1+F899^2/1500),'THAM_SO_MOI'!$C$13)</f>
        <v>0.015</v>
      </c>
      <c r="J899" s="75">
        <f>'THAM_SO_MOI'!$C$40*('THAM_SO_MOI'!$C$23*(E899/'THAM_SO_MOI'!$C$22)+'THAM_SO_MOI'!$C$24*(E899/'THAM_SO_MOI'!$C$22)^2-'THAM_SO_MOI'!$C$25*(E899/'THAM_SO_MOI'!$C$22)^3)</f>
        <v>72.72555075870851</v>
      </c>
      <c r="K899" s="75">
        <f>'THAM_SO_MOI'!$C$31*J899/E899</f>
        <v>417.8012899573807</v>
      </c>
      <c r="L899" s="75">
        <f>K899*'THAM_SO_MOI'!$C$50*'THAM_SO_MOI'!$C$17/'THAM_SO_MOI'!$C$26</f>
        <v>14916.075781757781</v>
      </c>
      <c r="M899" s="75">
        <f>'THAM_SO_MOI'!$C$15*'THAM_SO_MOI'!$C$16*F899^2</f>
        <v>50.256526624159626</v>
      </c>
      <c r="N899" s="75">
        <f>'THAM_SO_MOI'!$C$12*I899</f>
        <v>1130.112</v>
      </c>
      <c r="O899" s="75">
        <f>M899+N899</f>
        <v>1180.3685266241598</v>
      </c>
      <c r="P899" s="75">
        <f>(MIN(L899,'THAM_SO_MOI'!$C$41)-O899)/('THAM_SO_MOI'!$C$11*H899)</f>
        <v>0.9520453691663848</v>
      </c>
      <c r="Q899" s="75">
        <f>IF(P899&gt;0,1/P899,NA())</f>
        <v>1.0503701109072192</v>
      </c>
      <c r="R899" s="75">
        <f>F899-F898</f>
        <v>0.0032106047296860396</v>
      </c>
      <c r="S899" s="75">
        <f>0.5*(Q898+Q899)*R899</f>
        <v>0.0033725901072950023</v>
      </c>
      <c r="T899" s="75">
        <f>0.5*(F898*Q898+F899*Q899)*R899</f>
        <v>0.013974253672290275</v>
      </c>
      <c r="U899" s="76">
        <f>U898+S899</f>
        <v>4.36003100165707</v>
      </c>
      <c r="V899" s="76">
        <f>V898+T899</f>
        <v>13.079972819627363</v>
      </c>
    </row>
    <row r="900" spans="1:22" ht="19" customHeight="1">
      <c r="A900" s="68" t="s">
        <v>372</v>
      </c>
      <c r="B900" s="74">
        <v>2</v>
      </c>
      <c r="C900" s="68" t="s">
        <v>363</v>
      </c>
      <c r="D900" s="68" t="s">
        <v>364</v>
      </c>
      <c r="E900" s="75">
        <f>60*F900*'THAM_SO_MOI'!$C$50/(2*PI()*'THAM_SO_MOI'!$C$26)</f>
        <v>1663.8218235580207</v>
      </c>
      <c r="F900" s="75">
        <f>'HANH_TRINH'!$F$826+('THAM_SO_MOI'!$F$50-'HANH_TRINH'!$F$826)*73/'THAM_SO_MOI'!$C$42</f>
        <v>4.148294259372401</v>
      </c>
      <c r="G900" s="75">
        <f>3.6*F900</f>
        <v>14.933859333740644</v>
      </c>
      <c r="H900" s="75">
        <f>'THAM_SO_MOI'!$D$50</f>
        <v>1.8785906709588276</v>
      </c>
      <c r="I900" s="75">
        <f>IF(F900&gt;'THAM_SO_MOI'!$C$14,'THAM_SO_MOI'!$C$13*(1+F900^2/1500),'THAM_SO_MOI'!$C$13)</f>
        <v>0.015</v>
      </c>
      <c r="J900" s="75">
        <f>'THAM_SO_MOI'!$C$40*('THAM_SO_MOI'!$C$23*(E900/'THAM_SO_MOI'!$C$22)+'THAM_SO_MOI'!$C$24*(E900/'THAM_SO_MOI'!$C$22)^2-'THAM_SO_MOI'!$C$25*(E900/'THAM_SO_MOI'!$C$22)^3)</f>
        <v>72.79283822255657</v>
      </c>
      <c r="K900" s="75">
        <f>'THAM_SO_MOI'!$C$31*J900/E900</f>
        <v>417.8641902099383</v>
      </c>
      <c r="L900" s="75">
        <f>K900*'THAM_SO_MOI'!$C$50*'THAM_SO_MOI'!$C$17/'THAM_SO_MOI'!$C$26</f>
        <v>14918.32140654735</v>
      </c>
      <c r="M900" s="75">
        <f>'THAM_SO_MOI'!$C$15*'THAM_SO_MOI'!$C$16*F900^2</f>
        <v>50.33440989235039</v>
      </c>
      <c r="N900" s="75">
        <f>'THAM_SO_MOI'!$C$12*I900</f>
        <v>1130.112</v>
      </c>
      <c r="O900" s="75">
        <f>M900+N900</f>
        <v>1180.4464098923504</v>
      </c>
      <c r="P900" s="75">
        <f>(MIN(L900,'THAM_SO_MOI'!$C$41)-O900)/('THAM_SO_MOI'!$C$11*H900)</f>
        <v>0.9521956190398456</v>
      </c>
      <c r="Q900" s="75">
        <f>IF(P900&gt;0,1/P900,NA())</f>
        <v>1.050204369778931</v>
      </c>
      <c r="R900" s="75">
        <f>F900-F899</f>
        <v>0.0032106047296869278</v>
      </c>
      <c r="S900" s="75">
        <f>0.5*(Q899+Q900)*R900</f>
        <v>0.0033720571813753084</v>
      </c>
      <c r="T900" s="75">
        <f>0.5*(F899*Q899+F900*Q900)*R900</f>
        <v>0.013982871849292847</v>
      </c>
      <c r="U900" s="76">
        <f>U899+S900</f>
        <v>4.363403058838445</v>
      </c>
      <c r="V900" s="76">
        <f>V899+T900</f>
        <v>13.093955691476657</v>
      </c>
    </row>
    <row r="901" spans="1:22" ht="19" customHeight="1">
      <c r="A901" s="68" t="s">
        <v>372</v>
      </c>
      <c r="B901" s="74">
        <v>2</v>
      </c>
      <c r="C901" s="68" t="s">
        <v>363</v>
      </c>
      <c r="D901" s="68" t="s">
        <v>364</v>
      </c>
      <c r="E901" s="75">
        <f>60*F901*'THAM_SO_MOI'!$C$50/(2*PI()*'THAM_SO_MOI'!$C$26)</f>
        <v>1665.1095514485876</v>
      </c>
      <c r="F901" s="75">
        <f>'HANH_TRINH'!$F$826+('THAM_SO_MOI'!$F$50-'HANH_TRINH'!$F$826)*74/'THAM_SO_MOI'!$C$42</f>
        <v>4.151504864102088</v>
      </c>
      <c r="G901" s="75">
        <f>3.6*F901</f>
        <v>14.945417510767516</v>
      </c>
      <c r="H901" s="75">
        <f>'THAM_SO_MOI'!$D$50</f>
        <v>1.8785906709588276</v>
      </c>
      <c r="I901" s="75">
        <f>IF(F901&gt;'THAM_SO_MOI'!$C$14,'THAM_SO_MOI'!$C$13*(1+F901^2/1500),'THAM_SO_MOI'!$C$13)</f>
        <v>0.015</v>
      </c>
      <c r="J901" s="75">
        <f>'THAM_SO_MOI'!$C$40*('THAM_SO_MOI'!$C$23*(E901/'THAM_SO_MOI'!$C$22)+'THAM_SO_MOI'!$C$24*(E901/'THAM_SO_MOI'!$C$22)^2-'THAM_SO_MOI'!$C$25*(E901/'THAM_SO_MOI'!$C$22)^3)</f>
        <v>72.86011460112795</v>
      </c>
      <c r="K901" s="75">
        <f>'THAM_SO_MOI'!$C$31*J901/E901</f>
        <v>417.9269295881635</v>
      </c>
      <c r="L901" s="75">
        <f>K901*'THAM_SO_MOI'!$C$50*'THAM_SO_MOI'!$C$17/'THAM_SO_MOI'!$C$26</f>
        <v>14920.56128790387</v>
      </c>
      <c r="M901" s="75">
        <f>'THAM_SO_MOI'!$C$15*'THAM_SO_MOI'!$C$16*F901^2</f>
        <v>50.41235346224014</v>
      </c>
      <c r="N901" s="75">
        <f>'THAM_SO_MOI'!$C$12*I901</f>
        <v>1130.112</v>
      </c>
      <c r="O901" s="75">
        <f>M901+N901</f>
        <v>1180.5243534622402</v>
      </c>
      <c r="P901" s="75">
        <f>(MIN(L901,'THAM_SO_MOI'!$C$41)-O901)/('THAM_SO_MOI'!$C$11*H901)</f>
        <v>0.9523454666465221</v>
      </c>
      <c r="Q901" s="75">
        <f>IF(P901&gt;0,1/P901,NA())</f>
        <v>1.0500391244799883</v>
      </c>
      <c r="R901" s="75">
        <f>F901-F900</f>
        <v>0.0032106047296869278</v>
      </c>
      <c r="S901" s="75">
        <f>0.5*(Q900+Q901)*R901</f>
        <v>0.0033715258480809425</v>
      </c>
      <c r="T901" s="75">
        <f>0.5*(F900*Q900+F901*Q901)*R901</f>
        <v>0.013991493213500477</v>
      </c>
      <c r="U901" s="76">
        <f>U900+S901</f>
        <v>4.366774584686526</v>
      </c>
      <c r="V901" s="76">
        <f>V900+T901</f>
        <v>13.107947184690158</v>
      </c>
    </row>
    <row r="902" spans="1:22" ht="19" customHeight="1">
      <c r="A902" s="68" t="s">
        <v>372</v>
      </c>
      <c r="B902" s="74">
        <v>2</v>
      </c>
      <c r="C902" s="68" t="s">
        <v>363</v>
      </c>
      <c r="D902" s="68" t="s">
        <v>364</v>
      </c>
      <c r="E902" s="75">
        <f>60*F902*'THAM_SO_MOI'!$C$50/(2*PI()*'THAM_SO_MOI'!$C$26)</f>
        <v>1666.3972793391542</v>
      </c>
      <c r="F902" s="75">
        <f>'HANH_TRINH'!$F$826+('THAM_SO_MOI'!$F$50-'HANH_TRINH'!$F$826)*75/'THAM_SO_MOI'!$C$42</f>
        <v>4.154715468831775</v>
      </c>
      <c r="G902" s="75">
        <f>3.6*F902</f>
        <v>14.956975687794388</v>
      </c>
      <c r="H902" s="75">
        <f>'THAM_SO_MOI'!$D$50</f>
        <v>1.8785906709588276</v>
      </c>
      <c r="I902" s="75">
        <f>IF(F902&gt;'THAM_SO_MOI'!$C$14,'THAM_SO_MOI'!$C$13*(1+F902^2/1500),'THAM_SO_MOI'!$C$13)</f>
        <v>0.015</v>
      </c>
      <c r="J902" s="75">
        <f>'THAM_SO_MOI'!$C$40*('THAM_SO_MOI'!$C$23*(E902/'THAM_SO_MOI'!$C$22)+'THAM_SO_MOI'!$C$24*(E902/'THAM_SO_MOI'!$C$22)^2-'THAM_SO_MOI'!$C$25*(E902/'THAM_SO_MOI'!$C$22)^3)</f>
        <v>72.92737982935294</v>
      </c>
      <c r="K902" s="75">
        <f>'THAM_SO_MOI'!$C$31*J902/E902</f>
        <v>417.98950809205667</v>
      </c>
      <c r="L902" s="75">
        <f>K902*'THAM_SO_MOI'!$C$50*'THAM_SO_MOI'!$C$17/'THAM_SO_MOI'!$C$26</f>
        <v>14922.795425827371</v>
      </c>
      <c r="M902" s="75">
        <f>'THAM_SO_MOI'!$C$15*'THAM_SO_MOI'!$C$16*F902^2</f>
        <v>50.490357333828854</v>
      </c>
      <c r="N902" s="75">
        <f>'THAM_SO_MOI'!$C$12*I902</f>
        <v>1130.112</v>
      </c>
      <c r="O902" s="75">
        <f>M902+N902</f>
        <v>1180.6023573338289</v>
      </c>
      <c r="P902" s="75">
        <f>(MIN(L902,'THAM_SO_MOI'!$C$41)-O902)/('THAM_SO_MOI'!$C$11*H902)</f>
        <v>0.9524949119864158</v>
      </c>
      <c r="Q902" s="75">
        <f>IF(P902&gt;0,1/P902,NA())</f>
        <v>1.0498743745670127</v>
      </c>
      <c r="R902" s="75">
        <f>F902-F901</f>
        <v>0.0032106047296869278</v>
      </c>
      <c r="S902" s="75">
        <f>0.5*(Q901+Q902)*R902</f>
        <v>0.0033709961059868636</v>
      </c>
      <c r="T902" s="75">
        <f>0.5*(F901*Q901+F902*Q902)*R902</f>
        <v>0.014000117774334667</v>
      </c>
      <c r="U902" s="76">
        <f>U901+S902</f>
        <v>4.370145580792513</v>
      </c>
      <c r="V902" s="76">
        <f>V901+T902</f>
        <v>13.121947302464493</v>
      </c>
    </row>
    <row r="903" spans="1:22" ht="19" customHeight="1">
      <c r="A903" s="68" t="s">
        <v>372</v>
      </c>
      <c r="B903" s="74">
        <v>2</v>
      </c>
      <c r="C903" s="68" t="s">
        <v>363</v>
      </c>
      <c r="D903" s="68" t="s">
        <v>364</v>
      </c>
      <c r="E903" s="75">
        <f>60*F903*'THAM_SO_MOI'!$C$50/(2*PI()*'THAM_SO_MOI'!$C$26)</f>
        <v>1667.685007229721</v>
      </c>
      <c r="F903" s="75">
        <f>'HANH_TRINH'!$F$826+('THAM_SO_MOI'!$F$50-'HANH_TRINH'!$F$826)*76/'THAM_SO_MOI'!$C$42</f>
        <v>4.157926073561462</v>
      </c>
      <c r="G903" s="75">
        <f>3.6*F903</f>
        <v>14.968533864821262</v>
      </c>
      <c r="H903" s="75">
        <f>'THAM_SO_MOI'!$D$50</f>
        <v>1.8785906709588276</v>
      </c>
      <c r="I903" s="75">
        <f>IF(F903&gt;'THAM_SO_MOI'!$C$14,'THAM_SO_MOI'!$C$13*(1+F903^2/1500),'THAM_SO_MOI'!$C$13)</f>
        <v>0.015</v>
      </c>
      <c r="J903" s="75">
        <f>'THAM_SO_MOI'!$C$40*('THAM_SO_MOI'!$C$23*(E903/'THAM_SO_MOI'!$C$22)+'THAM_SO_MOI'!$C$24*(E903/'THAM_SO_MOI'!$C$22)^2-'THAM_SO_MOI'!$C$25*(E903/'THAM_SO_MOI'!$C$22)^3)</f>
        <v>72.99463384216186</v>
      </c>
      <c r="K903" s="75">
        <f>'THAM_SO_MOI'!$C$31*J903/E903</f>
        <v>418.05192572161747</v>
      </c>
      <c r="L903" s="75">
        <f>K903*'THAM_SO_MOI'!$C$50*'THAM_SO_MOI'!$C$17/'THAM_SO_MOI'!$C$26</f>
        <v>14925.023820317827</v>
      </c>
      <c r="M903" s="75">
        <f>'THAM_SO_MOI'!$C$15*'THAM_SO_MOI'!$C$16*F903^2</f>
        <v>50.56842150711654</v>
      </c>
      <c r="N903" s="75">
        <f>'THAM_SO_MOI'!$C$12*I903</f>
        <v>1130.112</v>
      </c>
      <c r="O903" s="75">
        <f>M903+N903</f>
        <v>1180.6804215071165</v>
      </c>
      <c r="P903" s="75">
        <f>(MIN(L903,'THAM_SO_MOI'!$C$41)-O903)/('THAM_SO_MOI'!$C$11*H903)</f>
        <v>0.9526439550595251</v>
      </c>
      <c r="Q903" s="75">
        <f>IF(P903&gt;0,1/P903,NA())</f>
        <v>1.0497101195981617</v>
      </c>
      <c r="R903" s="75">
        <f>F903-F902</f>
        <v>0.0032106047296869278</v>
      </c>
      <c r="S903" s="75">
        <f>0.5*(Q902+Q903)*R903</f>
        <v>0.0033704679536720227</v>
      </c>
      <c r="T903" s="75">
        <f>0.5*(F902*Q902+F903*Q903)*R903</f>
        <v>0.014008745541215242</v>
      </c>
      <c r="U903" s="76">
        <f>U902+S903</f>
        <v>4.373516048746184</v>
      </c>
      <c r="V903" s="76">
        <f>V902+T903</f>
        <v>13.135956048005708</v>
      </c>
    </row>
    <row r="904" spans="1:22" ht="19" customHeight="1">
      <c r="A904" s="68" t="s">
        <v>372</v>
      </c>
      <c r="B904" s="74">
        <v>2</v>
      </c>
      <c r="C904" s="68" t="s">
        <v>363</v>
      </c>
      <c r="D904" s="68" t="s">
        <v>364</v>
      </c>
      <c r="E904" s="75">
        <f>60*F904*'THAM_SO_MOI'!$C$50/(2*PI()*'THAM_SO_MOI'!$C$26)</f>
        <v>1668.9727351202876</v>
      </c>
      <c r="F904" s="75">
        <f>'HANH_TRINH'!$F$826+('THAM_SO_MOI'!$F$50-'HANH_TRINH'!$F$826)*77/'THAM_SO_MOI'!$C$42</f>
        <v>4.1611366782911485</v>
      </c>
      <c r="G904" s="75">
        <f>3.6*F904</f>
        <v>14.980092041848135</v>
      </c>
      <c r="H904" s="75">
        <f>'THAM_SO_MOI'!$D$50</f>
        <v>1.8785906709588276</v>
      </c>
      <c r="I904" s="75">
        <f>IF(F904&gt;'THAM_SO_MOI'!$C$14,'THAM_SO_MOI'!$C$13*(1+F904^2/1500),'THAM_SO_MOI'!$C$13)</f>
        <v>0.015</v>
      </c>
      <c r="J904" s="75">
        <f>'THAM_SO_MOI'!$C$40*('THAM_SO_MOI'!$C$23*(E904/'THAM_SO_MOI'!$C$22)+'THAM_SO_MOI'!$C$24*(E904/'THAM_SO_MOI'!$C$22)^2-'THAM_SO_MOI'!$C$25*(E904/'THAM_SO_MOI'!$C$22)^3)</f>
        <v>73.06187657448498</v>
      </c>
      <c r="K904" s="75">
        <f>'THAM_SO_MOI'!$C$31*J904/E904</f>
        <v>418.11418247684594</v>
      </c>
      <c r="L904" s="75">
        <f>K904*'THAM_SO_MOI'!$C$50*'THAM_SO_MOI'!$C$17/'THAM_SO_MOI'!$C$26</f>
        <v>14927.246471375245</v>
      </c>
      <c r="M904" s="75">
        <f>'THAM_SO_MOI'!$C$15*'THAM_SO_MOI'!$C$16*F904^2</f>
        <v>50.64654598210319</v>
      </c>
      <c r="N904" s="75">
        <f>'THAM_SO_MOI'!$C$12*I904</f>
        <v>1130.112</v>
      </c>
      <c r="O904" s="75">
        <f>M904+N904</f>
        <v>1180.7585459821032</v>
      </c>
      <c r="P904" s="75">
        <f>(MIN(L904,'THAM_SO_MOI'!$C$41)-O904)/('THAM_SO_MOI'!$C$11*H904)</f>
        <v>0.9527925958658511</v>
      </c>
      <c r="Q904" s="75">
        <f>IF(P904&gt;0,1/P904,NA())</f>
        <v>1.049546359133122</v>
      </c>
      <c r="R904" s="75">
        <f>F904-F903</f>
        <v>0.0032106047296869278</v>
      </c>
      <c r="S904" s="75">
        <f>0.5*(Q903+Q904)*R904</f>
        <v>0.003369941389720292</v>
      </c>
      <c r="T904" s="75">
        <f>0.5*(F903*Q903+F904*Q904)*R904</f>
        <v>0.014017376523564242</v>
      </c>
      <c r="U904" s="76">
        <f>U903+S904</f>
        <v>4.3768859901359045</v>
      </c>
      <c r="V904" s="76">
        <f>V903+T904</f>
        <v>13.149973424529271</v>
      </c>
    </row>
    <row r="905" spans="1:22" ht="19" customHeight="1">
      <c r="A905" s="68" t="s">
        <v>372</v>
      </c>
      <c r="B905" s="74">
        <v>2</v>
      </c>
      <c r="C905" s="68" t="s">
        <v>363</v>
      </c>
      <c r="D905" s="68" t="s">
        <v>364</v>
      </c>
      <c r="E905" s="75">
        <f>60*F905*'THAM_SO_MOI'!$C$50/(2*PI()*'THAM_SO_MOI'!$C$26)</f>
        <v>1670.2604630108542</v>
      </c>
      <c r="F905" s="75">
        <f>'HANH_TRINH'!$F$826+('THAM_SO_MOI'!$F$50-'HANH_TRINH'!$F$826)*78/'THAM_SO_MOI'!$C$42</f>
        <v>4.1643472830208355</v>
      </c>
      <c r="G905" s="75">
        <f>3.6*F905</f>
        <v>14.991650218875009</v>
      </c>
      <c r="H905" s="75">
        <f>'THAM_SO_MOI'!$D$50</f>
        <v>1.8785906709588276</v>
      </c>
      <c r="I905" s="75">
        <f>IF(F905&gt;'THAM_SO_MOI'!$C$14,'THAM_SO_MOI'!$C$13*(1+F905^2/1500),'THAM_SO_MOI'!$C$13)</f>
        <v>0.015</v>
      </c>
      <c r="J905" s="75">
        <f>'THAM_SO_MOI'!$C$40*('THAM_SO_MOI'!$C$23*(E905/'THAM_SO_MOI'!$C$22)+'THAM_SO_MOI'!$C$24*(E905/'THAM_SO_MOI'!$C$22)^2-'THAM_SO_MOI'!$C$25*(E905/'THAM_SO_MOI'!$C$22)^3)</f>
        <v>73.12910796125263</v>
      </c>
      <c r="K905" s="75">
        <f>'THAM_SO_MOI'!$C$31*J905/E905</f>
        <v>418.1762783577422</v>
      </c>
      <c r="L905" s="75">
        <f>K905*'THAM_SO_MOI'!$C$50*'THAM_SO_MOI'!$C$17/'THAM_SO_MOI'!$C$26</f>
        <v>14929.463378999628</v>
      </c>
      <c r="M905" s="75">
        <f>'THAM_SO_MOI'!$C$15*'THAM_SO_MOI'!$C$16*F905^2</f>
        <v>50.72473075878882</v>
      </c>
      <c r="N905" s="75">
        <f>'THAM_SO_MOI'!$C$12*I905</f>
        <v>1130.112</v>
      </c>
      <c r="O905" s="75">
        <f>M905+N905</f>
        <v>1180.836730758789</v>
      </c>
      <c r="P905" s="75">
        <f>(MIN(L905,'THAM_SO_MOI'!$C$41)-O905)/('THAM_SO_MOI'!$C$11*H905)</f>
        <v>0.9529408344053932</v>
      </c>
      <c r="Q905" s="75">
        <f>IF(P905&gt;0,1/P905,NA())</f>
        <v>1.0493830927331078</v>
      </c>
      <c r="R905" s="75">
        <f>F905-F904</f>
        <v>0.0032106047296869278</v>
      </c>
      <c r="S905" s="75">
        <f>0.5*(Q904+Q905)*R905</f>
        <v>0.0033694164127204542</v>
      </c>
      <c r="T905" s="75">
        <f>0.5*(F904*Q904+F905*Q905)*R905</f>
        <v>0.014026010730805942</v>
      </c>
      <c r="U905" s="76">
        <f>U904+S905</f>
        <v>4.380255406548625</v>
      </c>
      <c r="V905" s="76">
        <f>V904+T905</f>
        <v>13.163999435260077</v>
      </c>
    </row>
    <row r="906" spans="1:22" ht="19" customHeight="1">
      <c r="A906" s="68" t="s">
        <v>372</v>
      </c>
      <c r="B906" s="74">
        <v>2</v>
      </c>
      <c r="C906" s="68" t="s">
        <v>363</v>
      </c>
      <c r="D906" s="68" t="s">
        <v>364</v>
      </c>
      <c r="E906" s="75">
        <f>60*F906*'THAM_SO_MOI'!$C$50/(2*PI()*'THAM_SO_MOI'!$C$26)</f>
        <v>1671.5481909014213</v>
      </c>
      <c r="F906" s="75">
        <f>'HANH_TRINH'!$F$826+('THAM_SO_MOI'!$F$50-'HANH_TRINH'!$F$826)*79/'THAM_SO_MOI'!$C$42</f>
        <v>4.167557887750522</v>
      </c>
      <c r="G906" s="75">
        <f>3.6*F906</f>
        <v>15.003208395901881</v>
      </c>
      <c r="H906" s="75">
        <f>'THAM_SO_MOI'!$D$50</f>
        <v>1.8785906709588276</v>
      </c>
      <c r="I906" s="75">
        <f>IF(F906&gt;'THAM_SO_MOI'!$C$14,'THAM_SO_MOI'!$C$13*(1+F906^2/1500),'THAM_SO_MOI'!$C$13)</f>
        <v>0.015</v>
      </c>
      <c r="J906" s="75">
        <f>'THAM_SO_MOI'!$C$40*('THAM_SO_MOI'!$C$23*(E906/'THAM_SO_MOI'!$C$22)+'THAM_SO_MOI'!$C$24*(E906/'THAM_SO_MOI'!$C$22)^2-'THAM_SO_MOI'!$C$25*(E906/'THAM_SO_MOI'!$C$22)^3)</f>
        <v>73.19632793739514</v>
      </c>
      <c r="K906" s="75">
        <f>'THAM_SO_MOI'!$C$31*J906/E906</f>
        <v>418.2382133643063</v>
      </c>
      <c r="L906" s="75">
        <f>K906*'THAM_SO_MOI'!$C$50*'THAM_SO_MOI'!$C$17/'THAM_SO_MOI'!$C$26</f>
        <v>14931.674543190979</v>
      </c>
      <c r="M906" s="75">
        <f>'THAM_SO_MOI'!$C$15*'THAM_SO_MOI'!$C$16*F906^2</f>
        <v>50.80297583717342</v>
      </c>
      <c r="N906" s="75">
        <f>'THAM_SO_MOI'!$C$12*I906</f>
        <v>1130.112</v>
      </c>
      <c r="O906" s="75">
        <f>M906+N906</f>
        <v>1180.9149758371734</v>
      </c>
      <c r="P906" s="75">
        <f>(MIN(L906,'THAM_SO_MOI'!$C$41)-O906)/('THAM_SO_MOI'!$C$11*H906)</f>
        <v>0.9530886706781521</v>
      </c>
      <c r="Q906" s="75">
        <f>IF(P906&gt;0,1/P906,NA())</f>
        <v>1.0492203199608585</v>
      </c>
      <c r="R906" s="75">
        <f>F906-F905</f>
        <v>0.0032106047296869278</v>
      </c>
      <c r="S906" s="75">
        <f>0.5*(Q905+Q906)*R906</f>
        <v>0.003368893021266188</v>
      </c>
      <c r="T906" s="75">
        <f>0.5*(F905*Q905+F906*Q906)*R906</f>
        <v>0.014034648172366918</v>
      </c>
      <c r="U906" s="76">
        <f>U905+S906</f>
        <v>4.383624299569891</v>
      </c>
      <c r="V906" s="76">
        <f>V905+T906</f>
        <v>13.178034083432443</v>
      </c>
    </row>
    <row r="907" spans="1:22" ht="19" customHeight="1">
      <c r="A907" s="68" t="s">
        <v>372</v>
      </c>
      <c r="B907" s="74">
        <v>2</v>
      </c>
      <c r="C907" s="68" t="s">
        <v>363</v>
      </c>
      <c r="D907" s="68" t="s">
        <v>364</v>
      </c>
      <c r="E907" s="75">
        <f>60*F907*'THAM_SO_MOI'!$C$50/(2*PI()*'THAM_SO_MOI'!$C$26)</f>
        <v>1672.8359187919875</v>
      </c>
      <c r="F907" s="75">
        <f>'HANH_TRINH'!$F$826+('THAM_SO_MOI'!$F$50-'HANH_TRINH'!$F$826)*80/'THAM_SO_MOI'!$C$42</f>
        <v>4.170768492480208</v>
      </c>
      <c r="G907" s="75">
        <f>3.6*F907</f>
        <v>15.014766572928751</v>
      </c>
      <c r="H907" s="75">
        <f>'THAM_SO_MOI'!$D$50</f>
        <v>1.8785906709588276</v>
      </c>
      <c r="I907" s="75">
        <f>IF(F907&gt;'THAM_SO_MOI'!$C$14,'THAM_SO_MOI'!$C$13*(1+F907^2/1500),'THAM_SO_MOI'!$C$13)</f>
        <v>0.015</v>
      </c>
      <c r="J907" s="75">
        <f>'THAM_SO_MOI'!$C$40*('THAM_SO_MOI'!$C$23*(E907/'THAM_SO_MOI'!$C$22)+'THAM_SO_MOI'!$C$24*(E907/'THAM_SO_MOI'!$C$22)^2-'THAM_SO_MOI'!$C$25*(E907/'THAM_SO_MOI'!$C$22)^3)</f>
        <v>73.26353643784273</v>
      </c>
      <c r="K907" s="75">
        <f>'THAM_SO_MOI'!$C$31*J907/E907</f>
        <v>418.29998749653817</v>
      </c>
      <c r="L907" s="75">
        <f>K907*'THAM_SO_MOI'!$C$50*'THAM_SO_MOI'!$C$17/'THAM_SO_MOI'!$C$26</f>
        <v>14933.879963949292</v>
      </c>
      <c r="M907" s="75">
        <f>'THAM_SO_MOI'!$C$15*'THAM_SO_MOI'!$C$16*F907^2</f>
        <v>50.881281217256976</v>
      </c>
      <c r="N907" s="75">
        <f>'THAM_SO_MOI'!$C$12*I907</f>
        <v>1130.112</v>
      </c>
      <c r="O907" s="75">
        <f>M907+N907</f>
        <v>1180.9932812172572</v>
      </c>
      <c r="P907" s="75">
        <f>(MIN(L907,'THAM_SO_MOI'!$C$41)-O907)/('THAM_SO_MOI'!$C$11*H907)</f>
        <v>0.9532361046841272</v>
      </c>
      <c r="Q907" s="75">
        <f>IF(P907&gt;0,1/P907,NA())</f>
        <v>1.0490580403806347</v>
      </c>
      <c r="R907" s="75">
        <f>F907-F906</f>
        <v>0.0032106047296860396</v>
      </c>
      <c r="S907" s="75">
        <f>0.5*(Q906+Q907)*R907</f>
        <v>0.003368371213955133</v>
      </c>
      <c r="T907" s="75">
        <f>0.5*(F906*Q906+F907*Q907)*R907</f>
        <v>0.01404328885767217</v>
      </c>
      <c r="U907" s="76">
        <f>U906+S907</f>
        <v>4.386992670783846</v>
      </c>
      <c r="V907" s="76">
        <f>V906+T907</f>
        <v>13.192077372290116</v>
      </c>
    </row>
    <row r="908" spans="1:22" ht="19" customHeight="1">
      <c r="A908" s="68" t="s">
        <v>372</v>
      </c>
      <c r="B908" s="74">
        <v>2</v>
      </c>
      <c r="C908" s="68" t="s">
        <v>363</v>
      </c>
      <c r="D908" s="68" t="s">
        <v>364</v>
      </c>
      <c r="E908" s="75">
        <f>60*F908*'THAM_SO_MOI'!$C$50/(2*PI()*'THAM_SO_MOI'!$C$26)</f>
        <v>1674.1236466825544</v>
      </c>
      <c r="F908" s="75">
        <f>'HANH_TRINH'!$F$826+('THAM_SO_MOI'!$F$50-'HANH_TRINH'!$F$826)*81/'THAM_SO_MOI'!$C$42</f>
        <v>4.173979097209895</v>
      </c>
      <c r="G908" s="75">
        <f>3.6*F908</f>
        <v>15.026324749955624</v>
      </c>
      <c r="H908" s="75">
        <f>'THAM_SO_MOI'!$D$50</f>
        <v>1.8785906709588276</v>
      </c>
      <c r="I908" s="75">
        <f>IF(F908&gt;'THAM_SO_MOI'!$C$14,'THAM_SO_MOI'!$C$13*(1+F908^2/1500),'THAM_SO_MOI'!$C$13)</f>
        <v>0.015</v>
      </c>
      <c r="J908" s="75">
        <f>'THAM_SO_MOI'!$C$40*('THAM_SO_MOI'!$C$23*(E908/'THAM_SO_MOI'!$C$22)+'THAM_SO_MOI'!$C$24*(E908/'THAM_SO_MOI'!$C$22)^2-'THAM_SO_MOI'!$C$25*(E908/'THAM_SO_MOI'!$C$22)^3)</f>
        <v>73.33073339752576</v>
      </c>
      <c r="K908" s="75">
        <f>'THAM_SO_MOI'!$C$31*J908/E908</f>
        <v>418.3616007544377</v>
      </c>
      <c r="L908" s="75">
        <f>K908*'THAM_SO_MOI'!$C$50*'THAM_SO_MOI'!$C$17/'THAM_SO_MOI'!$C$26</f>
        <v>14936.07964127457</v>
      </c>
      <c r="M908" s="75">
        <f>'THAM_SO_MOI'!$C$15*'THAM_SO_MOI'!$C$16*F908^2</f>
        <v>50.95964689903952</v>
      </c>
      <c r="N908" s="75">
        <f>'THAM_SO_MOI'!$C$12*I908</f>
        <v>1130.112</v>
      </c>
      <c r="O908" s="75">
        <f>M908+N908</f>
        <v>1181.0716468990397</v>
      </c>
      <c r="P908" s="75">
        <f>(MIN(L908,'THAM_SO_MOI'!$C$41)-O908)/('THAM_SO_MOI'!$C$11*H908)</f>
        <v>0.9533831364233187</v>
      </c>
      <c r="Q908" s="75">
        <f>IF(P908&gt;0,1/P908,NA())</f>
        <v>1.0488962535582154</v>
      </c>
      <c r="R908" s="75">
        <f>F908-F907</f>
        <v>0.0032106047296869278</v>
      </c>
      <c r="S908" s="75">
        <f>0.5*(Q907+Q908)*R908</f>
        <v>0.0033678509893935353</v>
      </c>
      <c r="T908" s="75">
        <f>0.5*(F907*Q907+F908*Q908)*R908</f>
        <v>0.014051932796164625</v>
      </c>
      <c r="U908" s="76">
        <f>U907+S908</f>
        <v>4.390360521773239</v>
      </c>
      <c r="V908" s="76">
        <f>V907+T908</f>
        <v>13.20612930508628</v>
      </c>
    </row>
    <row r="909" spans="1:22" ht="19" customHeight="1">
      <c r="A909" s="68" t="s">
        <v>372</v>
      </c>
      <c r="B909" s="74">
        <v>2</v>
      </c>
      <c r="C909" s="68" t="s">
        <v>363</v>
      </c>
      <c r="D909" s="68" t="s">
        <v>364</v>
      </c>
      <c r="E909" s="75">
        <f>60*F909*'THAM_SO_MOI'!$C$50/(2*PI()*'THAM_SO_MOI'!$C$26)</f>
        <v>1675.411374573121</v>
      </c>
      <c r="F909" s="75">
        <f>'HANH_TRINH'!$F$826+('THAM_SO_MOI'!$F$50-'HANH_TRINH'!$F$826)*82/'THAM_SO_MOI'!$C$42</f>
        <v>4.177189701939582</v>
      </c>
      <c r="G909" s="75">
        <f>3.6*F909</f>
        <v>15.037882926982496</v>
      </c>
      <c r="H909" s="75">
        <f>'THAM_SO_MOI'!$D$50</f>
        <v>1.8785906709588276</v>
      </c>
      <c r="I909" s="75">
        <f>IF(F909&gt;'THAM_SO_MOI'!$C$14,'THAM_SO_MOI'!$C$13*(1+F909^2/1500),'THAM_SO_MOI'!$C$13)</f>
        <v>0.015</v>
      </c>
      <c r="J909" s="75">
        <f>'THAM_SO_MOI'!$C$40*('THAM_SO_MOI'!$C$23*(E909/'THAM_SO_MOI'!$C$22)+'THAM_SO_MOI'!$C$24*(E909/'THAM_SO_MOI'!$C$22)^2-'THAM_SO_MOI'!$C$25*(E909/'THAM_SO_MOI'!$C$22)^3)</f>
        <v>73.39791875137453</v>
      </c>
      <c r="K909" s="75">
        <f>'THAM_SO_MOI'!$C$31*J909/E909</f>
        <v>418.42305313800506</v>
      </c>
      <c r="L909" s="75">
        <f>K909*'THAM_SO_MOI'!$C$50*'THAM_SO_MOI'!$C$17/'THAM_SO_MOI'!$C$26</f>
        <v>14938.273575166811</v>
      </c>
      <c r="M909" s="75">
        <f>'THAM_SO_MOI'!$C$15*'THAM_SO_MOI'!$C$16*F909^2</f>
        <v>51.038072882521035</v>
      </c>
      <c r="N909" s="75">
        <f>'THAM_SO_MOI'!$C$12*I909</f>
        <v>1130.112</v>
      </c>
      <c r="O909" s="75">
        <f>M909+N909</f>
        <v>1181.150072882521</v>
      </c>
      <c r="P909" s="75">
        <f>(MIN(L909,'THAM_SO_MOI'!$C$41)-O909)/('THAM_SO_MOI'!$C$11*H909)</f>
        <v>0.9535297658957268</v>
      </c>
      <c r="Q909" s="75">
        <f>IF(P909&gt;0,1/P909,NA())</f>
        <v>1.0487349590608952</v>
      </c>
      <c r="R909" s="75">
        <f>F909-F908</f>
        <v>0.0032106047296869278</v>
      </c>
      <c r="S909" s="75">
        <f>0.5*(Q908+Q909)*R909</f>
        <v>0.003367332346186921</v>
      </c>
      <c r="T909" s="75">
        <f>0.5*(F908*Q908+F909*Q909)*R909</f>
        <v>0.01406057999726629</v>
      </c>
      <c r="U909" s="76">
        <f>U908+S909</f>
        <v>4.393727854119426</v>
      </c>
      <c r="V909" s="76">
        <f>V908+T909</f>
        <v>13.220189885083547</v>
      </c>
    </row>
    <row r="910" spans="1:22" ht="19" customHeight="1">
      <c r="A910" s="68" t="s">
        <v>372</v>
      </c>
      <c r="B910" s="74">
        <v>2</v>
      </c>
      <c r="C910" s="68" t="s">
        <v>363</v>
      </c>
      <c r="D910" s="68" t="s">
        <v>364</v>
      </c>
      <c r="E910" s="75">
        <f>60*F910*'THAM_SO_MOI'!$C$50/(2*PI()*'THAM_SO_MOI'!$C$26)</f>
        <v>1676.6991024636877</v>
      </c>
      <c r="F910" s="75">
        <f>'HANH_TRINH'!$F$826+('THAM_SO_MOI'!$F$50-'HANH_TRINH'!$F$826)*83/'THAM_SO_MOI'!$C$42</f>
        <v>4.180400306669269</v>
      </c>
      <c r="G910" s="75">
        <f>3.6*F910</f>
        <v>15.04944110400937</v>
      </c>
      <c r="H910" s="75">
        <f>'THAM_SO_MOI'!$D$50</f>
        <v>1.8785906709588276</v>
      </c>
      <c r="I910" s="75">
        <f>IF(F910&gt;'THAM_SO_MOI'!$C$14,'THAM_SO_MOI'!$C$13*(1+F910^2/1500),'THAM_SO_MOI'!$C$13)</f>
        <v>0.015</v>
      </c>
      <c r="J910" s="75">
        <f>'THAM_SO_MOI'!$C$40*('THAM_SO_MOI'!$C$23*(E910/'THAM_SO_MOI'!$C$22)+'THAM_SO_MOI'!$C$24*(E910/'THAM_SO_MOI'!$C$22)^2-'THAM_SO_MOI'!$C$25*(E910/'THAM_SO_MOI'!$C$22)^3)</f>
        <v>73.4650924343193</v>
      </c>
      <c r="K910" s="75">
        <f>'THAM_SO_MOI'!$C$31*J910/E910</f>
        <v>418.48434464724</v>
      </c>
      <c r="L910" s="75">
        <f>K910*'THAM_SO_MOI'!$C$50*'THAM_SO_MOI'!$C$17/'THAM_SO_MOI'!$C$26</f>
        <v>14940.461765626012</v>
      </c>
      <c r="M910" s="75">
        <f>'THAM_SO_MOI'!$C$15*'THAM_SO_MOI'!$C$16*F910^2</f>
        <v>51.116559167701524</v>
      </c>
      <c r="N910" s="75">
        <f>'THAM_SO_MOI'!$C$12*I910</f>
        <v>1130.112</v>
      </c>
      <c r="O910" s="75">
        <f>M910+N910</f>
        <v>1181.2285591677016</v>
      </c>
      <c r="P910" s="75">
        <f>(MIN(L910,'THAM_SO_MOI'!$C$41)-O910)/('THAM_SO_MOI'!$C$11*H910)</f>
        <v>0.9536759931013506</v>
      </c>
      <c r="Q910" s="75">
        <f>IF(P910&gt;0,1/P910,NA())</f>
        <v>1.0485741564574818</v>
      </c>
      <c r="R910" s="75">
        <f>F910-F909</f>
        <v>0.0032106047296869278</v>
      </c>
      <c r="S910" s="75">
        <f>0.5*(Q909+Q910)*R910</f>
        <v>0.0033668152829494044</v>
      </c>
      <c r="T910" s="75">
        <f>0.5*(F909*Q909+F910*Q910)*R910</f>
        <v>0.014069230470417148</v>
      </c>
      <c r="U910" s="76">
        <f>U909+S910</f>
        <v>4.397094669402375</v>
      </c>
      <c r="V910" s="76">
        <f>V909+T910</f>
        <v>13.234259115553964</v>
      </c>
    </row>
    <row r="911" spans="1:22" ht="19" customHeight="1">
      <c r="A911" s="68" t="s">
        <v>372</v>
      </c>
      <c r="B911" s="74">
        <v>2</v>
      </c>
      <c r="C911" s="68" t="s">
        <v>363</v>
      </c>
      <c r="D911" s="68" t="s">
        <v>364</v>
      </c>
      <c r="E911" s="75">
        <f>60*F911*'THAM_SO_MOI'!$C$50/(2*PI()*'THAM_SO_MOI'!$C$26)</f>
        <v>1677.9868303542544</v>
      </c>
      <c r="F911" s="75">
        <f>'HANH_TRINH'!$F$826+('THAM_SO_MOI'!$F$50-'HANH_TRINH'!$F$826)*84/'THAM_SO_MOI'!$C$42</f>
        <v>4.183610911398956</v>
      </c>
      <c r="G911" s="75">
        <f>3.6*F911</f>
        <v>15.060999281036242</v>
      </c>
      <c r="H911" s="75">
        <f>'THAM_SO_MOI'!$D$50</f>
        <v>1.8785906709588276</v>
      </c>
      <c r="I911" s="75">
        <f>IF(F911&gt;'THAM_SO_MOI'!$C$14,'THAM_SO_MOI'!$C$13*(1+F911^2/1500),'THAM_SO_MOI'!$C$13)</f>
        <v>0.015</v>
      </c>
      <c r="J911" s="75">
        <f>'THAM_SO_MOI'!$C$40*('THAM_SO_MOI'!$C$23*(E911/'THAM_SO_MOI'!$C$22)+'THAM_SO_MOI'!$C$24*(E911/'THAM_SO_MOI'!$C$22)^2-'THAM_SO_MOI'!$C$25*(E911/'THAM_SO_MOI'!$C$22)^3)</f>
        <v>73.53225438129041</v>
      </c>
      <c r="K911" s="75">
        <f>'THAM_SO_MOI'!$C$31*J911/E911</f>
        <v>418.5454752821428</v>
      </c>
      <c r="L911" s="75">
        <f>K911*'THAM_SO_MOI'!$C$50*'THAM_SO_MOI'!$C$17/'THAM_SO_MOI'!$C$26</f>
        <v>14942.644212652183</v>
      </c>
      <c r="M911" s="75">
        <f>'THAM_SO_MOI'!$C$15*'THAM_SO_MOI'!$C$16*F911^2</f>
        <v>51.19510575458099</v>
      </c>
      <c r="N911" s="75">
        <f>'THAM_SO_MOI'!$C$12*I911</f>
        <v>1130.112</v>
      </c>
      <c r="O911" s="75">
        <f>M911+N911</f>
        <v>1181.307105754581</v>
      </c>
      <c r="P911" s="75">
        <f>(MIN(L911,'THAM_SO_MOI'!$C$41)-O911)/('THAM_SO_MOI'!$C$11*H911)</f>
        <v>0.9538218180401914</v>
      </c>
      <c r="Q911" s="75">
        <f>IF(P911&gt;0,1/P911,NA())</f>
        <v>1.0484138453182907</v>
      </c>
      <c r="R911" s="75">
        <f>F911-F910</f>
        <v>0.0032106047296869278</v>
      </c>
      <c r="S911" s="75">
        <f>0.5*(Q910+Q911)*R911</f>
        <v>0.0033662997982990173</v>
      </c>
      <c r="T911" s="75">
        <f>0.5*(F910*Q910+F911*Q911)*R911</f>
        <v>0.01407788422505578</v>
      </c>
      <c r="U911" s="76">
        <f>U910+S911</f>
        <v>4.400460969200674</v>
      </c>
      <c r="V911" s="76">
        <f>V910+T911</f>
        <v>13.24833699977902</v>
      </c>
    </row>
    <row r="912" spans="1:22" ht="19" customHeight="1">
      <c r="A912" s="68" t="s">
        <v>372</v>
      </c>
      <c r="B912" s="74">
        <v>2</v>
      </c>
      <c r="C912" s="68" t="s">
        <v>363</v>
      </c>
      <c r="D912" s="68" t="s">
        <v>364</v>
      </c>
      <c r="E912" s="75">
        <f>60*F912*'THAM_SO_MOI'!$C$50/(2*PI()*'THAM_SO_MOI'!$C$26)</f>
        <v>1679.274558244821</v>
      </c>
      <c r="F912" s="75">
        <f>'HANH_TRINH'!$F$826+('THAM_SO_MOI'!$F$50-'HANH_TRINH'!$F$826)*85/'THAM_SO_MOI'!$C$42</f>
        <v>4.186821516128643</v>
      </c>
      <c r="G912" s="75">
        <f>3.6*F912</f>
        <v>15.072557458063116</v>
      </c>
      <c r="H912" s="75">
        <f>'THAM_SO_MOI'!$D$50</f>
        <v>1.8785906709588276</v>
      </c>
      <c r="I912" s="75">
        <f>IF(F912&gt;'THAM_SO_MOI'!$C$14,'THAM_SO_MOI'!$C$13*(1+F912^2/1500),'THAM_SO_MOI'!$C$13)</f>
        <v>0.015</v>
      </c>
      <c r="J912" s="75">
        <f>'THAM_SO_MOI'!$C$40*('THAM_SO_MOI'!$C$23*(E912/'THAM_SO_MOI'!$C$22)+'THAM_SO_MOI'!$C$24*(E912/'THAM_SO_MOI'!$C$22)^2-'THAM_SO_MOI'!$C$25*(E912/'THAM_SO_MOI'!$C$22)^3)</f>
        <v>73.59940452721817</v>
      </c>
      <c r="K912" s="75">
        <f>'THAM_SO_MOI'!$C$31*J912/E912</f>
        <v>418.6064450427134</v>
      </c>
      <c r="L912" s="75">
        <f>K912*'THAM_SO_MOI'!$C$50*'THAM_SO_MOI'!$C$17/'THAM_SO_MOI'!$C$26</f>
        <v>14944.820916245317</v>
      </c>
      <c r="M912" s="75">
        <f>'THAM_SO_MOI'!$C$15*'THAM_SO_MOI'!$C$16*F912^2</f>
        <v>51.27371264315943</v>
      </c>
      <c r="N912" s="75">
        <f>'THAM_SO_MOI'!$C$12*I912</f>
        <v>1130.112</v>
      </c>
      <c r="O912" s="75">
        <f>M912+N912</f>
        <v>1181.3857126431594</v>
      </c>
      <c r="P912" s="75">
        <f>(MIN(L912,'THAM_SO_MOI'!$C$41)-O912)/('THAM_SO_MOI'!$C$11*H912)</f>
        <v>0.9539672407122484</v>
      </c>
      <c r="Q912" s="75">
        <f>IF(P912&gt;0,1/P912,NA())</f>
        <v>1.0482540252151455</v>
      </c>
      <c r="R912" s="75">
        <f>F912-F911</f>
        <v>0.0032106047296869278</v>
      </c>
      <c r="S912" s="75">
        <f>0.5*(Q911+Q912)*R912</f>
        <v>0.003365785890858635</v>
      </c>
      <c r="T912" s="75">
        <f>0.5*(F911*Q911+F912*Q912)*R912</f>
        <v>0.014086541270623275</v>
      </c>
      <c r="U912" s="76">
        <f>U911+S912</f>
        <v>4.403826755091533</v>
      </c>
      <c r="V912" s="76">
        <f>V911+T912</f>
        <v>13.262423541049644</v>
      </c>
    </row>
    <row r="913" spans="1:22" ht="19" customHeight="1">
      <c r="A913" s="68" t="s">
        <v>372</v>
      </c>
      <c r="B913" s="74">
        <v>2</v>
      </c>
      <c r="C913" s="68" t="s">
        <v>363</v>
      </c>
      <c r="D913" s="68" t="s">
        <v>364</v>
      </c>
      <c r="E913" s="75">
        <f>60*F913*'THAM_SO_MOI'!$C$50/(2*PI()*'THAM_SO_MOI'!$C$26)</f>
        <v>1680.5622861353877</v>
      </c>
      <c r="F913" s="75">
        <f>'HANH_TRINH'!$F$826+('THAM_SO_MOI'!$F$50-'HANH_TRINH'!$F$826)*86/'THAM_SO_MOI'!$C$42</f>
        <v>4.19003212085833</v>
      </c>
      <c r="G913" s="75">
        <f>3.6*F913</f>
        <v>15.084115635089988</v>
      </c>
      <c r="H913" s="75">
        <f>'THAM_SO_MOI'!$D$50</f>
        <v>1.8785906709588276</v>
      </c>
      <c r="I913" s="75">
        <f>IF(F913&gt;'THAM_SO_MOI'!$C$14,'THAM_SO_MOI'!$C$13*(1+F913^2/1500),'THAM_SO_MOI'!$C$13)</f>
        <v>0.015</v>
      </c>
      <c r="J913" s="75">
        <f>'THAM_SO_MOI'!$C$40*('THAM_SO_MOI'!$C$23*(E913/'THAM_SO_MOI'!$C$22)+'THAM_SO_MOI'!$C$24*(E913/'THAM_SO_MOI'!$C$22)^2-'THAM_SO_MOI'!$C$25*(E913/'THAM_SO_MOI'!$C$22)^3)</f>
        <v>73.66654280703284</v>
      </c>
      <c r="K913" s="75">
        <f>'THAM_SO_MOI'!$C$31*J913/E913</f>
        <v>418.66725392895165</v>
      </c>
      <c r="L913" s="75">
        <f>K913*'THAM_SO_MOI'!$C$50*'THAM_SO_MOI'!$C$17/'THAM_SO_MOI'!$C$26</f>
        <v>14946.991876405413</v>
      </c>
      <c r="M913" s="75">
        <f>'THAM_SO_MOI'!$C$15*'THAM_SO_MOI'!$C$16*F913^2</f>
        <v>51.35237983343683</v>
      </c>
      <c r="N913" s="75">
        <f>'THAM_SO_MOI'!$C$12*I913</f>
        <v>1130.112</v>
      </c>
      <c r="O913" s="75">
        <f>M913+N913</f>
        <v>1181.4643798334369</v>
      </c>
      <c r="P913" s="75">
        <f>(MIN(L913,'THAM_SO_MOI'!$C$41)-O913)/('THAM_SO_MOI'!$C$11*H913)</f>
        <v>0.9541122611175219</v>
      </c>
      <c r="Q913" s="75">
        <f>IF(P913&gt;0,1/P913,NA())</f>
        <v>1.0480946957213726</v>
      </c>
      <c r="R913" s="75">
        <f>F913-F912</f>
        <v>0.0032106047296869278</v>
      </c>
      <c r="S913" s="75">
        <f>0.5*(Q912+Q913)*R913</f>
        <v>0.003365273559255964</v>
      </c>
      <c r="T913" s="75">
        <f>0.5*(F912*Q912+F913*Q913)*R913</f>
        <v>0.01409520161656329</v>
      </c>
      <c r="U913" s="76">
        <f>U912+S913</f>
        <v>4.407192028650789</v>
      </c>
      <c r="V913" s="76">
        <f>V912+T913</f>
        <v>13.276518742666207</v>
      </c>
    </row>
    <row r="914" spans="1:22" ht="19" customHeight="1">
      <c r="A914" s="68" t="s">
        <v>372</v>
      </c>
      <c r="B914" s="74">
        <v>2</v>
      </c>
      <c r="C914" s="68" t="s">
        <v>363</v>
      </c>
      <c r="D914" s="68" t="s">
        <v>364</v>
      </c>
      <c r="E914" s="75">
        <f>60*F914*'THAM_SO_MOI'!$C$50/(2*PI()*'THAM_SO_MOI'!$C$26)</f>
        <v>1681.8500140259544</v>
      </c>
      <c r="F914" s="75">
        <f>'HANH_TRINH'!$F$826+('THAM_SO_MOI'!$F$50-'HANH_TRINH'!$F$826)*87/'THAM_SO_MOI'!$C$42</f>
        <v>4.193242725588016</v>
      </c>
      <c r="G914" s="75">
        <f>3.6*F914</f>
        <v>15.095673812116859</v>
      </c>
      <c r="H914" s="75">
        <f>'THAM_SO_MOI'!$D$50</f>
        <v>1.8785906709588276</v>
      </c>
      <c r="I914" s="75">
        <f>IF(F914&gt;'THAM_SO_MOI'!$C$14,'THAM_SO_MOI'!$C$13*(1+F914^2/1500),'THAM_SO_MOI'!$C$13)</f>
        <v>0.015</v>
      </c>
      <c r="J914" s="75">
        <f>'THAM_SO_MOI'!$C$40*('THAM_SO_MOI'!$C$23*(E914/'THAM_SO_MOI'!$C$22)+'THAM_SO_MOI'!$C$24*(E914/'THAM_SO_MOI'!$C$22)^2-'THAM_SO_MOI'!$C$25*(E914/'THAM_SO_MOI'!$C$22)^3)</f>
        <v>73.73366915566477</v>
      </c>
      <c r="K914" s="75">
        <f>'THAM_SO_MOI'!$C$31*J914/E914</f>
        <v>418.7279019408578</v>
      </c>
      <c r="L914" s="75">
        <f>K914*'THAM_SO_MOI'!$C$50*'THAM_SO_MOI'!$C$17/'THAM_SO_MOI'!$C$26</f>
        <v>14949.157093132477</v>
      </c>
      <c r="M914" s="75">
        <f>'THAM_SO_MOI'!$C$15*'THAM_SO_MOI'!$C$16*F914^2</f>
        <v>51.43110732541318</v>
      </c>
      <c r="N914" s="75">
        <f>'THAM_SO_MOI'!$C$12*I914</f>
        <v>1130.112</v>
      </c>
      <c r="O914" s="75">
        <f>M914+N914</f>
        <v>1181.5431073254133</v>
      </c>
      <c r="P914" s="75">
        <f>(MIN(L914,'THAM_SO_MOI'!$C$41)-O914)/('THAM_SO_MOI'!$C$11*H914)</f>
        <v>0.9542568792560118</v>
      </c>
      <c r="Q914" s="75">
        <f>IF(P914&gt;0,1/P914,NA())</f>
        <v>1.0479358564117998</v>
      </c>
      <c r="R914" s="75">
        <f>F914-F913</f>
        <v>0.0032106047296860396</v>
      </c>
      <c r="S914" s="75">
        <f>0.5*(Q913+Q914)*R914</f>
        <v>0.003364762802122602</v>
      </c>
      <c r="T914" s="75">
        <f>0.5*(F913*Q913+F914*Q914)*R914</f>
        <v>0.014103865272318154</v>
      </c>
      <c r="U914" s="76">
        <f>U913+S914</f>
        <v>4.410556791452911</v>
      </c>
      <c r="V914" s="76">
        <f>V913+T914</f>
        <v>13.290622607938525</v>
      </c>
    </row>
    <row r="915" spans="1:22" ht="19" customHeight="1">
      <c r="A915" s="68" t="s">
        <v>372</v>
      </c>
      <c r="B915" s="74">
        <v>2</v>
      </c>
      <c r="C915" s="68" t="s">
        <v>363</v>
      </c>
      <c r="D915" s="68" t="s">
        <v>364</v>
      </c>
      <c r="E915" s="75">
        <f>60*F915*'THAM_SO_MOI'!$C$50/(2*PI()*'THAM_SO_MOI'!$C$26)</f>
        <v>1683.1377419165212</v>
      </c>
      <c r="F915" s="75">
        <f>'HANH_TRINH'!$F$826+('THAM_SO_MOI'!$F$50-'HANH_TRINH'!$F$826)*88/'THAM_SO_MOI'!$C$42</f>
        <v>4.196453330317703</v>
      </c>
      <c r="G915" s="75">
        <f>3.6*F915</f>
        <v>15.107231989143731</v>
      </c>
      <c r="H915" s="75">
        <f>'THAM_SO_MOI'!$D$50</f>
        <v>1.8785906709588276</v>
      </c>
      <c r="I915" s="75">
        <f>IF(F915&gt;'THAM_SO_MOI'!$C$14,'THAM_SO_MOI'!$C$13*(1+F915^2/1500),'THAM_SO_MOI'!$C$13)</f>
        <v>0.015</v>
      </c>
      <c r="J915" s="75">
        <f>'THAM_SO_MOI'!$C$40*('THAM_SO_MOI'!$C$23*(E915/'THAM_SO_MOI'!$C$22)+'THAM_SO_MOI'!$C$24*(E915/'THAM_SO_MOI'!$C$22)^2-'THAM_SO_MOI'!$C$25*(E915/'THAM_SO_MOI'!$C$22)^3)</f>
        <v>73.80078350804423</v>
      </c>
      <c r="K915" s="75">
        <f>'THAM_SO_MOI'!$C$31*J915/E915</f>
        <v>418.78838907843163</v>
      </c>
      <c r="L915" s="75">
        <f>K915*'THAM_SO_MOI'!$C$50*'THAM_SO_MOI'!$C$17/'THAM_SO_MOI'!$C$26</f>
        <v>14951.316566426505</v>
      </c>
      <c r="M915" s="75">
        <f>'THAM_SO_MOI'!$C$15*'THAM_SO_MOI'!$C$16*F915^2</f>
        <v>51.50989511908854</v>
      </c>
      <c r="N915" s="75">
        <f>'THAM_SO_MOI'!$C$12*I915</f>
        <v>1130.112</v>
      </c>
      <c r="O915" s="75">
        <f>M915+N915</f>
        <v>1181.6218951190885</v>
      </c>
      <c r="P915" s="75">
        <f>(MIN(L915,'THAM_SO_MOI'!$C$41)-O915)/('THAM_SO_MOI'!$C$11*H915)</f>
        <v>0.9544010951277183</v>
      </c>
      <c r="Q915" s="75">
        <f>IF(P915&gt;0,1/P915,NA())</f>
        <v>1.047777506862751</v>
      </c>
      <c r="R915" s="75">
        <f>F915-F914</f>
        <v>0.0032106047296869278</v>
      </c>
      <c r="S915" s="75">
        <f>0.5*(Q914+Q915)*R915</f>
        <v>0.0033642536180986857</v>
      </c>
      <c r="T915" s="75">
        <f>0.5*(F914*Q914+F915*Q915)*R915</f>
        <v>0.014112532247348441</v>
      </c>
      <c r="U915" s="76">
        <f>U914+S915</f>
        <v>4.413921045071009</v>
      </c>
      <c r="V915" s="76">
        <f>V914+T915</f>
        <v>13.304735140185874</v>
      </c>
    </row>
    <row r="916" spans="1:22" ht="19" customHeight="1">
      <c r="A916" s="68" t="s">
        <v>372</v>
      </c>
      <c r="B916" s="74">
        <v>2</v>
      </c>
      <c r="C916" s="68" t="s">
        <v>363</v>
      </c>
      <c r="D916" s="68" t="s">
        <v>364</v>
      </c>
      <c r="E916" s="75">
        <f>60*F916*'THAM_SO_MOI'!$C$50/(2*PI()*'THAM_SO_MOI'!$C$26)</f>
        <v>1684.425469807088</v>
      </c>
      <c r="F916" s="75">
        <f>'HANH_TRINH'!$F$826+('THAM_SO_MOI'!$F$50-'HANH_TRINH'!$F$826)*89/'THAM_SO_MOI'!$C$42</f>
        <v>4.19966393504739</v>
      </c>
      <c r="G916" s="75">
        <f>3.6*F916</f>
        <v>15.118790166170603</v>
      </c>
      <c r="H916" s="75">
        <f>'THAM_SO_MOI'!$D$50</f>
        <v>1.8785906709588276</v>
      </c>
      <c r="I916" s="75">
        <f>IF(F916&gt;'THAM_SO_MOI'!$C$14,'THAM_SO_MOI'!$C$13*(1+F916^2/1500),'THAM_SO_MOI'!$C$13)</f>
        <v>0.015</v>
      </c>
      <c r="J916" s="75">
        <f>'THAM_SO_MOI'!$C$40*('THAM_SO_MOI'!$C$23*(E916/'THAM_SO_MOI'!$C$22)+'THAM_SO_MOI'!$C$24*(E916/'THAM_SO_MOI'!$C$22)^2-'THAM_SO_MOI'!$C$25*(E916/'THAM_SO_MOI'!$C$22)^3)</f>
        <v>73.86788579910151</v>
      </c>
      <c r="K916" s="75">
        <f>'THAM_SO_MOI'!$C$31*J916/E916</f>
        <v>418.8487153416732</v>
      </c>
      <c r="L916" s="75">
        <f>K916*'THAM_SO_MOI'!$C$50*'THAM_SO_MOI'!$C$17/'THAM_SO_MOI'!$C$26</f>
        <v>14953.470296287493</v>
      </c>
      <c r="M916" s="75">
        <f>'THAM_SO_MOI'!$C$15*'THAM_SO_MOI'!$C$16*F916^2</f>
        <v>51.58874321446286</v>
      </c>
      <c r="N916" s="75">
        <f>'THAM_SO_MOI'!$C$12*I916</f>
        <v>1130.112</v>
      </c>
      <c r="O916" s="75">
        <f>M916+N916</f>
        <v>1181.700743214463</v>
      </c>
      <c r="P916" s="75">
        <f>(MIN(L916,'THAM_SO_MOI'!$C$41)-O916)/('THAM_SO_MOI'!$C$11*H916)</f>
        <v>0.9545449087326406</v>
      </c>
      <c r="Q916" s="75">
        <f>IF(P916&gt;0,1/P916,NA())</f>
        <v>1.0476196466520475</v>
      </c>
      <c r="R916" s="75">
        <f>F916-F915</f>
        <v>0.0032106047296869278</v>
      </c>
      <c r="S916" s="75">
        <f>0.5*(Q915+Q916)*R916</f>
        <v>0.0033637460058235685</v>
      </c>
      <c r="T916" s="75">
        <f>0.5*(F915*Q915+F916*Q916)*R916</f>
        <v>0.014121202551093986</v>
      </c>
      <c r="U916" s="76">
        <f>U915+S916</f>
        <v>4.417284791076833</v>
      </c>
      <c r="V916" s="76">
        <f>V915+T916</f>
        <v>13.318856342736968</v>
      </c>
    </row>
    <row r="917" spans="1:22" ht="19" customHeight="1">
      <c r="A917" s="68" t="s">
        <v>372</v>
      </c>
      <c r="B917" s="74">
        <v>2</v>
      </c>
      <c r="C917" s="68" t="s">
        <v>363</v>
      </c>
      <c r="D917" s="68" t="s">
        <v>364</v>
      </c>
      <c r="E917" s="75">
        <f>60*F917*'THAM_SO_MOI'!$C$50/(2*PI()*'THAM_SO_MOI'!$C$26)</f>
        <v>1685.7131976976546</v>
      </c>
      <c r="F917" s="75">
        <f>'HANH_TRINH'!$F$826+('THAM_SO_MOI'!$F$50-'HANH_TRINH'!$F$826)*90/'THAM_SO_MOI'!$C$42</f>
        <v>4.202874539777077</v>
      </c>
      <c r="G917" s="75">
        <f>3.6*F917</f>
        <v>15.130348343197477</v>
      </c>
      <c r="H917" s="75">
        <f>'THAM_SO_MOI'!$D$50</f>
        <v>1.8785906709588276</v>
      </c>
      <c r="I917" s="75">
        <f>IF(F917&gt;'THAM_SO_MOI'!$C$14,'THAM_SO_MOI'!$C$13*(1+F917^2/1500),'THAM_SO_MOI'!$C$13)</f>
        <v>0.015</v>
      </c>
      <c r="J917" s="75">
        <f>'THAM_SO_MOI'!$C$40*('THAM_SO_MOI'!$C$23*(E917/'THAM_SO_MOI'!$C$22)+'THAM_SO_MOI'!$C$24*(E917/'THAM_SO_MOI'!$C$22)^2-'THAM_SO_MOI'!$C$25*(E917/'THAM_SO_MOI'!$C$22)^3)</f>
        <v>73.93497596376692</v>
      </c>
      <c r="K917" s="75">
        <f>'THAM_SO_MOI'!$C$31*J917/E917</f>
        <v>418.9088807305824</v>
      </c>
      <c r="L917" s="75">
        <f>K917*'THAM_SO_MOI'!$C$50*'THAM_SO_MOI'!$C$17/'THAM_SO_MOI'!$C$26</f>
        <v>14955.618282715444</v>
      </c>
      <c r="M917" s="75">
        <f>'THAM_SO_MOI'!$C$15*'THAM_SO_MOI'!$C$16*F917^2</f>
        <v>51.66765161153615</v>
      </c>
      <c r="N917" s="75">
        <f>'THAM_SO_MOI'!$C$12*I917</f>
        <v>1130.112</v>
      </c>
      <c r="O917" s="75">
        <f>M917+N917</f>
        <v>1181.7796516115363</v>
      </c>
      <c r="P917" s="75">
        <f>(MIN(L917,'THAM_SO_MOI'!$C$41)-O917)/('THAM_SO_MOI'!$C$11*H917)</f>
        <v>0.9546883200707793</v>
      </c>
      <c r="Q917" s="75">
        <f>IF(P917&gt;0,1/P917,NA())</f>
        <v>1.0474622753590002</v>
      </c>
      <c r="R917" s="75">
        <f>F917-F916</f>
        <v>0.0032106047296869278</v>
      </c>
      <c r="S917" s="75">
        <f>0.5*(Q916+Q917)*R917</f>
        <v>0.0033632399639451243</v>
      </c>
      <c r="T917" s="75">
        <f>0.5*(F916*Q916+F917*Q917)*R917</f>
        <v>0.014129876193012935</v>
      </c>
      <c r="U917" s="76">
        <f>U916+S917</f>
        <v>4.420648031040778</v>
      </c>
      <c r="V917" s="76">
        <f>V916+T917</f>
        <v>13.332986218929982</v>
      </c>
    </row>
    <row r="918" spans="1:22" ht="19" customHeight="1">
      <c r="A918" s="68" t="s">
        <v>372</v>
      </c>
      <c r="B918" s="74">
        <v>2</v>
      </c>
      <c r="C918" s="68" t="s">
        <v>363</v>
      </c>
      <c r="D918" s="68" t="s">
        <v>364</v>
      </c>
      <c r="E918" s="75">
        <f>60*F918*'THAM_SO_MOI'!$C$50/(2*PI()*'THAM_SO_MOI'!$C$26)</f>
        <v>1687.0009255882212</v>
      </c>
      <c r="F918" s="75">
        <f>'HANH_TRINH'!$F$826+('THAM_SO_MOI'!$F$50-'HANH_TRINH'!$F$826)*91/'THAM_SO_MOI'!$C$42</f>
        <v>4.206085144506764</v>
      </c>
      <c r="G918" s="75">
        <f>3.6*F918</f>
        <v>15.14190652022435</v>
      </c>
      <c r="H918" s="75">
        <f>'THAM_SO_MOI'!$D$50</f>
        <v>1.8785906709588276</v>
      </c>
      <c r="I918" s="75">
        <f>IF(F918&gt;'THAM_SO_MOI'!$C$14,'THAM_SO_MOI'!$C$13*(1+F918^2/1500),'THAM_SO_MOI'!$C$13)</f>
        <v>0.015</v>
      </c>
      <c r="J918" s="75">
        <f>'THAM_SO_MOI'!$C$40*('THAM_SO_MOI'!$C$23*(E918/'THAM_SO_MOI'!$C$22)+'THAM_SO_MOI'!$C$24*(E918/'THAM_SO_MOI'!$C$22)^2-'THAM_SO_MOI'!$C$25*(E918/'THAM_SO_MOI'!$C$22)^3)</f>
        <v>74.0020539369708</v>
      </c>
      <c r="K918" s="75">
        <f>'THAM_SO_MOI'!$C$31*J918/E918</f>
        <v>418.9688852451595</v>
      </c>
      <c r="L918" s="75">
        <f>K918*'THAM_SO_MOI'!$C$50*'THAM_SO_MOI'!$C$17/'THAM_SO_MOI'!$C$26</f>
        <v>14957.760525710366</v>
      </c>
      <c r="M918" s="75">
        <f>'THAM_SO_MOI'!$C$15*'THAM_SO_MOI'!$C$16*F918^2</f>
        <v>51.74662031030842</v>
      </c>
      <c r="N918" s="75">
        <f>'THAM_SO_MOI'!$C$12*I918</f>
        <v>1130.112</v>
      </c>
      <c r="O918" s="75">
        <f>M918+N918</f>
        <v>1181.8586203103084</v>
      </c>
      <c r="P918" s="75">
        <f>(MIN(L918,'THAM_SO_MOI'!$C$41)-O918)/('THAM_SO_MOI'!$C$11*H918)</f>
        <v>0.954831329142135</v>
      </c>
      <c r="Q918" s="75">
        <f>IF(P918&gt;0,1/P918,NA())</f>
        <v>1.047305392564409</v>
      </c>
      <c r="R918" s="75">
        <f>F918-F917</f>
        <v>0.0032106047296869278</v>
      </c>
      <c r="S918" s="75">
        <f>0.5*(Q917+Q918)*R918</f>
        <v>0.0033627354911150765</v>
      </c>
      <c r="T918" s="75">
        <f>0.5*(F917*Q917+F918*Q918)*R918</f>
        <v>0.014138553182562264</v>
      </c>
      <c r="U918" s="76">
        <f>U917+S918</f>
        <v>4.424010766531893</v>
      </c>
      <c r="V918" s="76">
        <f>V917+T918</f>
        <v>13.347124772112544</v>
      </c>
    </row>
    <row r="919" spans="1:22" ht="19" customHeight="1">
      <c r="A919" s="68" t="s">
        <v>372</v>
      </c>
      <c r="B919" s="74">
        <v>2</v>
      </c>
      <c r="C919" s="68" t="s">
        <v>363</v>
      </c>
      <c r="D919" s="68" t="s">
        <v>364</v>
      </c>
      <c r="E919" s="75">
        <f>60*F919*'THAM_SO_MOI'!$C$50/(2*PI()*'THAM_SO_MOI'!$C$26)</f>
        <v>1688.2886534787879</v>
      </c>
      <c r="F919" s="75">
        <f>'HANH_TRINH'!$F$826+('THAM_SO_MOI'!$F$50-'HANH_TRINH'!$F$826)*92/'THAM_SO_MOI'!$C$42</f>
        <v>4.209295749236451</v>
      </c>
      <c r="G919" s="75">
        <f>3.6*F919</f>
        <v>15.153464697251223</v>
      </c>
      <c r="H919" s="75">
        <f>'THAM_SO_MOI'!$D$50</f>
        <v>1.8785906709588276</v>
      </c>
      <c r="I919" s="75">
        <f>IF(F919&gt;'THAM_SO_MOI'!$C$14,'THAM_SO_MOI'!$C$13*(1+F919^2/1500),'THAM_SO_MOI'!$C$13)</f>
        <v>0.015</v>
      </c>
      <c r="J919" s="75">
        <f>'THAM_SO_MOI'!$C$40*('THAM_SO_MOI'!$C$23*(E919/'THAM_SO_MOI'!$C$22)+'THAM_SO_MOI'!$C$24*(E919/'THAM_SO_MOI'!$C$22)^2-'THAM_SO_MOI'!$C$25*(E919/'THAM_SO_MOI'!$C$22)^3)</f>
        <v>74.06911965364341</v>
      </c>
      <c r="K919" s="75">
        <f>'THAM_SO_MOI'!$C$31*J919/E919</f>
        <v>419.0287288854044</v>
      </c>
      <c r="L919" s="75">
        <f>K919*'THAM_SO_MOI'!$C$50*'THAM_SO_MOI'!$C$17/'THAM_SO_MOI'!$C$26</f>
        <v>14959.89702527225</v>
      </c>
      <c r="M919" s="75">
        <f>'THAM_SO_MOI'!$C$15*'THAM_SO_MOI'!$C$16*F919^2</f>
        <v>51.82564931077966</v>
      </c>
      <c r="N919" s="75">
        <f>'THAM_SO_MOI'!$C$12*I919</f>
        <v>1130.112</v>
      </c>
      <c r="O919" s="75">
        <f>M919+N919</f>
        <v>1181.9376493107798</v>
      </c>
      <c r="P919" s="75">
        <f>(MIN(L919,'THAM_SO_MOI'!$C$41)-O919)/('THAM_SO_MOI'!$C$11*H919)</f>
        <v>0.9549739359467068</v>
      </c>
      <c r="Q919" s="75">
        <f>IF(P919&gt;0,1/P919,NA())</f>
        <v>1.0471489978505613</v>
      </c>
      <c r="R919" s="75">
        <f>F919-F918</f>
        <v>0.0032106047296869278</v>
      </c>
      <c r="S919" s="75">
        <f>0.5*(Q918+Q919)*R919</f>
        <v>0.0033622325859899277</v>
      </c>
      <c r="T919" s="75">
        <f>0.5*(F918*Q918+F919*Q919)*R919</f>
        <v>0.014147233529201731</v>
      </c>
      <c r="U919" s="76">
        <f>U918+S919</f>
        <v>4.427372999117883</v>
      </c>
      <c r="V919" s="76">
        <f>V918+T919</f>
        <v>13.361272005641746</v>
      </c>
    </row>
    <row r="920" spans="1:22" ht="19" customHeight="1">
      <c r="A920" s="68" t="s">
        <v>372</v>
      </c>
      <c r="B920" s="74">
        <v>2</v>
      </c>
      <c r="C920" s="68" t="s">
        <v>363</v>
      </c>
      <c r="D920" s="68" t="s">
        <v>364</v>
      </c>
      <c r="E920" s="75">
        <f>60*F920*'THAM_SO_MOI'!$C$50/(2*PI()*'THAM_SO_MOI'!$C$26)</f>
        <v>1689.5763813693545</v>
      </c>
      <c r="F920" s="75">
        <f>'HANH_TRINH'!$F$826+('THAM_SO_MOI'!$F$50-'HANH_TRINH'!$F$826)*93/'THAM_SO_MOI'!$C$42</f>
        <v>4.212506353966138</v>
      </c>
      <c r="G920" s="75">
        <f>3.6*F920</f>
        <v>15.165022874278096</v>
      </c>
      <c r="H920" s="75">
        <f>'THAM_SO_MOI'!$D$50</f>
        <v>1.8785906709588276</v>
      </c>
      <c r="I920" s="75">
        <f>IF(F920&gt;'THAM_SO_MOI'!$C$14,'THAM_SO_MOI'!$C$13*(1+F920^2/1500),'THAM_SO_MOI'!$C$13)</f>
        <v>0.015</v>
      </c>
      <c r="J920" s="75">
        <f>'THAM_SO_MOI'!$C$40*('THAM_SO_MOI'!$C$23*(E920/'THAM_SO_MOI'!$C$22)+'THAM_SO_MOI'!$C$24*(E920/'THAM_SO_MOI'!$C$22)^2-'THAM_SO_MOI'!$C$25*(E920/'THAM_SO_MOI'!$C$22)^3)</f>
        <v>74.13617304871504</v>
      </c>
      <c r="K920" s="75">
        <f>'THAM_SO_MOI'!$C$31*J920/E920</f>
        <v>419.0884116513168</v>
      </c>
      <c r="L920" s="75">
        <f>K920*'THAM_SO_MOI'!$C$50*'THAM_SO_MOI'!$C$17/'THAM_SO_MOI'!$C$26</f>
        <v>14962.02778140109</v>
      </c>
      <c r="M920" s="75">
        <f>'THAM_SO_MOI'!$C$15*'THAM_SO_MOI'!$C$16*F920^2</f>
        <v>51.90473861294987</v>
      </c>
      <c r="N920" s="75">
        <f>'THAM_SO_MOI'!$C$12*I920</f>
        <v>1130.112</v>
      </c>
      <c r="O920" s="75">
        <f>M920+N920</f>
        <v>1182.01673861295</v>
      </c>
      <c r="P920" s="75">
        <f>(MIN(L920,'THAM_SO_MOI'!$C$41)-O920)/('THAM_SO_MOI'!$C$11*H920)</f>
        <v>0.9551161404844947</v>
      </c>
      <c r="Q920" s="75">
        <f>IF(P920&gt;0,1/P920,NA())</f>
        <v>1.046993090801227</v>
      </c>
      <c r="R920" s="75">
        <f>F920-F919</f>
        <v>0.0032106047296869278</v>
      </c>
      <c r="S920" s="75">
        <f>0.5*(Q919+Q920)*R920</f>
        <v>0.0033617312472309464</v>
      </c>
      <c r="T920" s="75">
        <f>0.5*(F919*Q919+F920*Q920)*R920</f>
        <v>0.014155917242393932</v>
      </c>
      <c r="U920" s="76">
        <f>U919+S920</f>
        <v>4.4307347303651134</v>
      </c>
      <c r="V920" s="76">
        <f>V919+T920</f>
        <v>13.37542792288414</v>
      </c>
    </row>
    <row r="921" spans="1:22" ht="19" customHeight="1">
      <c r="A921" s="68" t="s">
        <v>372</v>
      </c>
      <c r="B921" s="74">
        <v>2</v>
      </c>
      <c r="C921" s="68" t="s">
        <v>363</v>
      </c>
      <c r="D921" s="68" t="s">
        <v>364</v>
      </c>
      <c r="E921" s="75">
        <f>60*F921*'THAM_SO_MOI'!$C$50/(2*PI()*'THAM_SO_MOI'!$C$26)</f>
        <v>1690.864109259921</v>
      </c>
      <c r="F921" s="75">
        <f>'HANH_TRINH'!$F$826+('THAM_SO_MOI'!$F$50-'HANH_TRINH'!$F$826)*94/'THAM_SO_MOI'!$C$42</f>
        <v>4.215716958695824</v>
      </c>
      <c r="G921" s="75">
        <f>3.6*F921</f>
        <v>15.176581051304966</v>
      </c>
      <c r="H921" s="75">
        <f>'THAM_SO_MOI'!$D$50</f>
        <v>1.8785906709588276</v>
      </c>
      <c r="I921" s="75">
        <f>IF(F921&gt;'THAM_SO_MOI'!$C$14,'THAM_SO_MOI'!$C$13*(1+F921^2/1500),'THAM_SO_MOI'!$C$13)</f>
        <v>0.015</v>
      </c>
      <c r="J921" s="75">
        <f>'THAM_SO_MOI'!$C$40*('THAM_SO_MOI'!$C$23*(E921/'THAM_SO_MOI'!$C$22)+'THAM_SO_MOI'!$C$24*(E921/'THAM_SO_MOI'!$C$22)^2-'THAM_SO_MOI'!$C$25*(E921/'THAM_SO_MOI'!$C$22)^3)</f>
        <v>74.20321405711603</v>
      </c>
      <c r="K921" s="75">
        <f>'THAM_SO_MOI'!$C$31*J921/E921</f>
        <v>419.14793354289725</v>
      </c>
      <c r="L921" s="75">
        <f>K921*'THAM_SO_MOI'!$C$50*'THAM_SO_MOI'!$C$17/'THAM_SO_MOI'!$C$26</f>
        <v>14964.152794096906</v>
      </c>
      <c r="M921" s="75">
        <f>'THAM_SO_MOI'!$C$15*'THAM_SO_MOI'!$C$16*F921^2</f>
        <v>51.98388821681903</v>
      </c>
      <c r="N921" s="75">
        <f>'THAM_SO_MOI'!$C$12*I921</f>
        <v>1130.112</v>
      </c>
      <c r="O921" s="75">
        <f>M921+N921</f>
        <v>1182.095888216819</v>
      </c>
      <c r="P921" s="75">
        <f>(MIN(L921,'THAM_SO_MOI'!$C$41)-O921)/('THAM_SO_MOI'!$C$11*H921)</f>
        <v>0.9552579427554995</v>
      </c>
      <c r="Q921" s="75">
        <f>IF(P921&gt;0,1/P921,NA())</f>
        <v>1.0468376710016556</v>
      </c>
      <c r="R921" s="75">
        <f>F921-F920</f>
        <v>0.0032106047296860396</v>
      </c>
      <c r="S921" s="75">
        <f>0.5*(Q920+Q921)*R921</f>
        <v>0.0033612314735032294</v>
      </c>
      <c r="T921" s="75">
        <f>0.5*(F920*Q920+F921*Q921)*R921</f>
        <v>0.014164604331600363</v>
      </c>
      <c r="U921" s="76">
        <f>U920+S921</f>
        <v>4.434095961838617</v>
      </c>
      <c r="V921" s="76">
        <f>V920+T921</f>
        <v>13.389592527215742</v>
      </c>
    </row>
    <row r="922" spans="1:22" ht="19" customHeight="1">
      <c r="A922" s="68" t="s">
        <v>372</v>
      </c>
      <c r="B922" s="74">
        <v>2</v>
      </c>
      <c r="C922" s="68" t="s">
        <v>363</v>
      </c>
      <c r="D922" s="68" t="s">
        <v>364</v>
      </c>
      <c r="E922" s="75">
        <f>60*F922*'THAM_SO_MOI'!$C$50/(2*PI()*'THAM_SO_MOI'!$C$26)</f>
        <v>1692.151837150488</v>
      </c>
      <c r="F922" s="75">
        <f>'HANH_TRINH'!$F$826+('THAM_SO_MOI'!$F$50-'HANH_TRINH'!$F$826)*95/'THAM_SO_MOI'!$C$42</f>
        <v>4.218927563425511</v>
      </c>
      <c r="G922" s="75">
        <f>3.6*F922</f>
        <v>15.188139228331838</v>
      </c>
      <c r="H922" s="75">
        <f>'THAM_SO_MOI'!$D$50</f>
        <v>1.8785906709588276</v>
      </c>
      <c r="I922" s="75">
        <f>IF(F922&gt;'THAM_SO_MOI'!$C$14,'THAM_SO_MOI'!$C$13*(1+F922^2/1500),'THAM_SO_MOI'!$C$13)</f>
        <v>0.015</v>
      </c>
      <c r="J922" s="75">
        <f>'THAM_SO_MOI'!$C$40*('THAM_SO_MOI'!$C$23*(E922/'THAM_SO_MOI'!$C$22)+'THAM_SO_MOI'!$C$24*(E922/'THAM_SO_MOI'!$C$22)^2-'THAM_SO_MOI'!$C$25*(E922/'THAM_SO_MOI'!$C$22)^3)</f>
        <v>74.27024261377666</v>
      </c>
      <c r="K922" s="75">
        <f>'THAM_SO_MOI'!$C$31*J922/E922</f>
        <v>419.20729456014516</v>
      </c>
      <c r="L922" s="75">
        <f>K922*'THAM_SO_MOI'!$C$50*'THAM_SO_MOI'!$C$17/'THAM_SO_MOI'!$C$26</f>
        <v>14966.272063359676</v>
      </c>
      <c r="M922" s="75">
        <f>'THAM_SO_MOI'!$C$15*'THAM_SO_MOI'!$C$16*F922^2</f>
        <v>52.06309812238719</v>
      </c>
      <c r="N922" s="75">
        <f>'THAM_SO_MOI'!$C$12*I922</f>
        <v>1130.112</v>
      </c>
      <c r="O922" s="75">
        <f>M922+N922</f>
        <v>1182.1750981223872</v>
      </c>
      <c r="P922" s="75">
        <f>(MIN(L922,'THAM_SO_MOI'!$C$41)-O922)/('THAM_SO_MOI'!$C$11*H922)</f>
        <v>0.9553993427597199</v>
      </c>
      <c r="Q922" s="75">
        <f>IF(P922&gt;0,1/P922,NA())</f>
        <v>1.0466827380385764</v>
      </c>
      <c r="R922" s="75">
        <f>F922-F921</f>
        <v>0.0032106047296869278</v>
      </c>
      <c r="S922" s="75">
        <f>0.5*(Q921+Q922)*R922</f>
        <v>0.00336073326348034</v>
      </c>
      <c r="T922" s="75">
        <f>0.5*(F921*Q921+F922*Q922)*R922</f>
        <v>0.014173294806301124</v>
      </c>
      <c r="U922" s="76">
        <f>U921+S922</f>
        <v>4.437456695102097</v>
      </c>
      <c r="V922" s="76">
        <f>V921+T922</f>
        <v>13.403765822022043</v>
      </c>
    </row>
    <row r="923" spans="1:22" ht="19" customHeight="1">
      <c r="A923" s="68" t="s">
        <v>372</v>
      </c>
      <c r="B923" s="74">
        <v>2</v>
      </c>
      <c r="C923" s="68" t="s">
        <v>363</v>
      </c>
      <c r="D923" s="68" t="s">
        <v>364</v>
      </c>
      <c r="E923" s="75">
        <f>60*F923*'THAM_SO_MOI'!$C$50/(2*PI()*'THAM_SO_MOI'!$C$26)</f>
        <v>1693.4395650410547</v>
      </c>
      <c r="F923" s="75">
        <f>'HANH_TRINH'!$F$826+('THAM_SO_MOI'!$F$50-'HANH_TRINH'!$F$826)*96/'THAM_SO_MOI'!$C$42</f>
        <v>4.2221381681551975</v>
      </c>
      <c r="G923" s="75">
        <f>3.6*F923</f>
        <v>15.19969740535871</v>
      </c>
      <c r="H923" s="75">
        <f>'THAM_SO_MOI'!$D$50</f>
        <v>1.8785906709588276</v>
      </c>
      <c r="I923" s="75">
        <f>IF(F923&gt;'THAM_SO_MOI'!$C$14,'THAM_SO_MOI'!$C$13*(1+F923^2/1500),'THAM_SO_MOI'!$C$13)</f>
        <v>0.015</v>
      </c>
      <c r="J923" s="75">
        <f>'THAM_SO_MOI'!$C$40*('THAM_SO_MOI'!$C$23*(E923/'THAM_SO_MOI'!$C$22)+'THAM_SO_MOI'!$C$24*(E923/'THAM_SO_MOI'!$C$22)^2-'THAM_SO_MOI'!$C$25*(E923/'THAM_SO_MOI'!$C$22)^3)</f>
        <v>74.33725865362726</v>
      </c>
      <c r="K923" s="75">
        <f>'THAM_SO_MOI'!$C$31*J923/E923</f>
        <v>419.2664947030611</v>
      </c>
      <c r="L923" s="75">
        <f>K923*'THAM_SO_MOI'!$C$50*'THAM_SO_MOI'!$C$17/'THAM_SO_MOI'!$C$26</f>
        <v>14968.38558918942</v>
      </c>
      <c r="M923" s="75">
        <f>'THAM_SO_MOI'!$C$15*'THAM_SO_MOI'!$C$16*F923^2</f>
        <v>52.14236832965431</v>
      </c>
      <c r="N923" s="75">
        <f>'THAM_SO_MOI'!$C$12*I923</f>
        <v>1130.112</v>
      </c>
      <c r="O923" s="75">
        <f>M923+N923</f>
        <v>1182.2543683296544</v>
      </c>
      <c r="P923" s="75">
        <f>(MIN(L923,'THAM_SO_MOI'!$C$41)-O923)/('THAM_SO_MOI'!$C$11*H923)</f>
        <v>0.9555403404971577</v>
      </c>
      <c r="Q923" s="75">
        <f>IF(P923&gt;0,1/P923,NA())</f>
        <v>1.0465282915001897</v>
      </c>
      <c r="R923" s="75">
        <f>F923-F922</f>
        <v>0.0032106047296869278</v>
      </c>
      <c r="S923" s="75">
        <f>0.5*(Q922+Q923)*R923</f>
        <v>0.003360236615835003</v>
      </c>
      <c r="T923" s="75">
        <f>0.5*(F922*Q922+F923*Q923)*R923</f>
        <v>0.014181988675955721</v>
      </c>
      <c r="U923" s="76">
        <f>U922+S923</f>
        <v>4.440816931717932</v>
      </c>
      <c r="V923" s="76">
        <f>V922+T923</f>
        <v>13.417947810698</v>
      </c>
    </row>
    <row r="924" spans="1:22" ht="19" customHeight="1">
      <c r="A924" s="68" t="s">
        <v>372</v>
      </c>
      <c r="B924" s="74">
        <v>2</v>
      </c>
      <c r="C924" s="68" t="s">
        <v>363</v>
      </c>
      <c r="D924" s="68" t="s">
        <v>364</v>
      </c>
      <c r="E924" s="75">
        <f>60*F924*'THAM_SO_MOI'!$C$50/(2*PI()*'THAM_SO_MOI'!$C$26)</f>
        <v>1694.7272929316214</v>
      </c>
      <c r="F924" s="75">
        <f>'HANH_TRINH'!$F$826+('THAM_SO_MOI'!$F$50-'HANH_TRINH'!$F$826)*97/'THAM_SO_MOI'!$C$42</f>
        <v>4.225348772884884</v>
      </c>
      <c r="G924" s="75">
        <f>3.6*F924</f>
        <v>15.211255582385585</v>
      </c>
      <c r="H924" s="75">
        <f>'THAM_SO_MOI'!$D$50</f>
        <v>1.8785906709588276</v>
      </c>
      <c r="I924" s="75">
        <f>IF(F924&gt;'THAM_SO_MOI'!$C$14,'THAM_SO_MOI'!$C$13*(1+F924^2/1500),'THAM_SO_MOI'!$C$13)</f>
        <v>0.015</v>
      </c>
      <c r="J924" s="75">
        <f>'THAM_SO_MOI'!$C$40*('THAM_SO_MOI'!$C$23*(E924/'THAM_SO_MOI'!$C$22)+'THAM_SO_MOI'!$C$24*(E924/'THAM_SO_MOI'!$C$22)^2-'THAM_SO_MOI'!$C$25*(E924/'THAM_SO_MOI'!$C$22)^3)</f>
        <v>74.40426211159809</v>
      </c>
      <c r="K924" s="75">
        <f>'THAM_SO_MOI'!$C$31*J924/E924</f>
        <v>419.32553397164463</v>
      </c>
      <c r="L924" s="75">
        <f>K924*'THAM_SO_MOI'!$C$50*'THAM_SO_MOI'!$C$17/'THAM_SO_MOI'!$C$26</f>
        <v>14970.49337158612</v>
      </c>
      <c r="M924" s="75">
        <f>'THAM_SO_MOI'!$C$15*'THAM_SO_MOI'!$C$16*F924^2</f>
        <v>52.22169883862041</v>
      </c>
      <c r="N924" s="75">
        <f>'THAM_SO_MOI'!$C$12*I924</f>
        <v>1130.112</v>
      </c>
      <c r="O924" s="75">
        <f>M924+N924</f>
        <v>1182.3336988386204</v>
      </c>
      <c r="P924" s="75">
        <f>(MIN(L924,'THAM_SO_MOI'!$C$41)-O924)/('THAM_SO_MOI'!$C$11*H924)</f>
        <v>0.9556809359678112</v>
      </c>
      <c r="Q924" s="75">
        <f>IF(P924&gt;0,1/P924,NA())</f>
        <v>1.0463743309761717</v>
      </c>
      <c r="R924" s="75">
        <f>F924-F923</f>
        <v>0.0032106047296869278</v>
      </c>
      <c r="S924" s="75">
        <f>0.5*(Q923+Q924)*R924</f>
        <v>0.0033597415292483906</v>
      </c>
      <c r="T924" s="75">
        <f>0.5*(F923*Q923+F924*Q924)*R924</f>
        <v>0.0141906859500423</v>
      </c>
      <c r="U924" s="76">
        <f>U923+S924</f>
        <v>4.44417667324718</v>
      </c>
      <c r="V924" s="76">
        <f>V923+T924</f>
        <v>13.432138496648042</v>
      </c>
    </row>
    <row r="925" spans="1:22" ht="19" customHeight="1">
      <c r="A925" s="68" t="s">
        <v>372</v>
      </c>
      <c r="B925" s="74">
        <v>2</v>
      </c>
      <c r="C925" s="68" t="s">
        <v>363</v>
      </c>
      <c r="D925" s="68" t="s">
        <v>364</v>
      </c>
      <c r="E925" s="75">
        <f>60*F925*'THAM_SO_MOI'!$C$50/(2*PI()*'THAM_SO_MOI'!$C$26)</f>
        <v>1696.015020822188</v>
      </c>
      <c r="F925" s="75">
        <f>'HANH_TRINH'!$F$826+('THAM_SO_MOI'!$F$50-'HANH_TRINH'!$F$826)*98/'THAM_SO_MOI'!$C$42</f>
        <v>4.228559377614571</v>
      </c>
      <c r="G925" s="75">
        <f>3.6*F925</f>
        <v>15.222813759412457</v>
      </c>
      <c r="H925" s="75">
        <f>'THAM_SO_MOI'!$D$50</f>
        <v>1.8785906709588276</v>
      </c>
      <c r="I925" s="75">
        <f>IF(F925&gt;'THAM_SO_MOI'!$C$14,'THAM_SO_MOI'!$C$13*(1+F925^2/1500),'THAM_SO_MOI'!$C$13)</f>
        <v>0.015</v>
      </c>
      <c r="J925" s="75">
        <f>'THAM_SO_MOI'!$C$40*('THAM_SO_MOI'!$C$23*(E925/'THAM_SO_MOI'!$C$22)+'THAM_SO_MOI'!$C$24*(E925/'THAM_SO_MOI'!$C$22)^2-'THAM_SO_MOI'!$C$25*(E925/'THAM_SO_MOI'!$C$22)^3)</f>
        <v>74.47125292261946</v>
      </c>
      <c r="K925" s="75">
        <f>'THAM_SO_MOI'!$C$31*J925/E925</f>
        <v>419.3844123658959</v>
      </c>
      <c r="L925" s="75">
        <f>K925*'THAM_SO_MOI'!$C$50*'THAM_SO_MOI'!$C$17/'THAM_SO_MOI'!$C$26</f>
        <v>14972.595410549786</v>
      </c>
      <c r="M925" s="75">
        <f>'THAM_SO_MOI'!$C$15*'THAM_SO_MOI'!$C$16*F925^2</f>
        <v>52.301089649285494</v>
      </c>
      <c r="N925" s="75">
        <f>'THAM_SO_MOI'!$C$12*I925</f>
        <v>1130.112</v>
      </c>
      <c r="O925" s="75">
        <f>M925+N925</f>
        <v>1182.4130896492857</v>
      </c>
      <c r="P925" s="75">
        <f>(MIN(L925,'THAM_SO_MOI'!$C$41)-O925)/('THAM_SO_MOI'!$C$11*H925)</f>
        <v>0.9558211291716813</v>
      </c>
      <c r="Q925" s="75">
        <f>IF(P925&gt;0,1/P925,NA())</f>
        <v>1.0462208560576647</v>
      </c>
      <c r="R925" s="75">
        <f>F925-F924</f>
        <v>0.0032106047296869278</v>
      </c>
      <c r="S925" s="75">
        <f>0.5*(Q924+Q925)*R925</f>
        <v>0.0033592480024054686</v>
      </c>
      <c r="T925" s="75">
        <f>0.5*(F924*Q924+F925*Q925)*R925</f>
        <v>0.0141993866380381</v>
      </c>
      <c r="U925" s="76">
        <f>U924+S925</f>
        <v>4.447535921249586</v>
      </c>
      <c r="V925" s="76">
        <f>V924+T925</f>
        <v>13.44633788328608</v>
      </c>
    </row>
    <row r="926" spans="1:22" ht="19" customHeight="1">
      <c r="A926" s="68" t="s">
        <v>372</v>
      </c>
      <c r="B926" s="74">
        <v>2</v>
      </c>
      <c r="C926" s="68" t="s">
        <v>363</v>
      </c>
      <c r="D926" s="68" t="s">
        <v>364</v>
      </c>
      <c r="E926" s="75">
        <f>60*F926*'THAM_SO_MOI'!$C$50/(2*PI()*'THAM_SO_MOI'!$C$26)</f>
        <v>1697.3027487127547</v>
      </c>
      <c r="F926" s="75">
        <f>'HANH_TRINH'!$F$826+('THAM_SO_MOI'!$F$50-'HANH_TRINH'!$F$826)*99/'THAM_SO_MOI'!$C$42</f>
        <v>4.231769982344258</v>
      </c>
      <c r="G926" s="75">
        <f>3.6*F926</f>
        <v>15.23437193643933</v>
      </c>
      <c r="H926" s="75">
        <f>'THAM_SO_MOI'!$D$50</f>
        <v>1.8785906709588276</v>
      </c>
      <c r="I926" s="75">
        <f>IF(F926&gt;'THAM_SO_MOI'!$C$14,'THAM_SO_MOI'!$C$13*(1+F926^2/1500),'THAM_SO_MOI'!$C$13)</f>
        <v>0.015</v>
      </c>
      <c r="J926" s="75">
        <f>'THAM_SO_MOI'!$C$40*('THAM_SO_MOI'!$C$23*(E926/'THAM_SO_MOI'!$C$22)+'THAM_SO_MOI'!$C$24*(E926/'THAM_SO_MOI'!$C$22)^2-'THAM_SO_MOI'!$C$25*(E926/'THAM_SO_MOI'!$C$22)^3)</f>
        <v>74.53823102162168</v>
      </c>
      <c r="K926" s="75">
        <f>'THAM_SO_MOI'!$C$31*J926/E926</f>
        <v>419.443129885815</v>
      </c>
      <c r="L926" s="75">
        <f>K926*'THAM_SO_MOI'!$C$50*'THAM_SO_MOI'!$C$17/'THAM_SO_MOI'!$C$26</f>
        <v>14974.691706080419</v>
      </c>
      <c r="M926" s="75">
        <f>'THAM_SO_MOI'!$C$15*'THAM_SO_MOI'!$C$16*F926^2</f>
        <v>52.380540761649534</v>
      </c>
      <c r="N926" s="75">
        <f>'THAM_SO_MOI'!$C$12*I926</f>
        <v>1130.112</v>
      </c>
      <c r="O926" s="75">
        <f>M926+N926</f>
        <v>1182.4925407616497</v>
      </c>
      <c r="P926" s="75">
        <f>(MIN(L926,'THAM_SO_MOI'!$C$41)-O926)/('THAM_SO_MOI'!$C$11*H926)</f>
        <v>0.9559609201087677</v>
      </c>
      <c r="Q926" s="75">
        <f>IF(P926&gt;0,1/P926,NA())</f>
        <v>1.0460678663372784</v>
      </c>
      <c r="R926" s="75">
        <f>F926-F925</f>
        <v>0.0032106047296869278</v>
      </c>
      <c r="S926" s="75">
        <f>0.5*(Q925+Q926)*R926</f>
        <v>0.0033587560339959116</v>
      </c>
      <c r="T926" s="75">
        <f>0.5*(F925*Q925+F926*Q926)*R926</f>
        <v>0.014208090749423396</v>
      </c>
      <c r="U926" s="76">
        <f>U925+S926</f>
        <v>4.450894677283582</v>
      </c>
      <c r="V926" s="76">
        <f>V925+T926</f>
        <v>13.460545974035504</v>
      </c>
    </row>
    <row r="927" spans="1:22" ht="19" customHeight="1">
      <c r="A927" s="68" t="s">
        <v>372</v>
      </c>
      <c r="B927" s="74">
        <v>2</v>
      </c>
      <c r="C927" s="68" t="s">
        <v>363</v>
      </c>
      <c r="D927" s="68" t="s">
        <v>364</v>
      </c>
      <c r="E927" s="75">
        <f>60*F927*'THAM_SO_MOI'!$C$50/(2*PI()*'THAM_SO_MOI'!$C$26)</f>
        <v>1698.5904766033213</v>
      </c>
      <c r="F927" s="75">
        <f>'HANH_TRINH'!$F$826+('THAM_SO_MOI'!$F$50-'HANH_TRINH'!$F$826)*100/'THAM_SO_MOI'!$C$42</f>
        <v>4.234980587073945</v>
      </c>
      <c r="G927" s="75">
        <f>3.6*F927</f>
        <v>15.245930113466203</v>
      </c>
      <c r="H927" s="75">
        <f>'THAM_SO_MOI'!$D$50</f>
        <v>1.8785906709588276</v>
      </c>
      <c r="I927" s="75">
        <f>IF(F927&gt;'THAM_SO_MOI'!$C$14,'THAM_SO_MOI'!$C$13*(1+F927^2/1500),'THAM_SO_MOI'!$C$13)</f>
        <v>0.015</v>
      </c>
      <c r="J927" s="75">
        <f>'THAM_SO_MOI'!$C$40*('THAM_SO_MOI'!$C$23*(E927/'THAM_SO_MOI'!$C$22)+'THAM_SO_MOI'!$C$24*(E927/'THAM_SO_MOI'!$C$22)^2-'THAM_SO_MOI'!$C$25*(E927/'THAM_SO_MOI'!$C$22)^3)</f>
        <v>74.60519634353507</v>
      </c>
      <c r="K927" s="75">
        <f>'THAM_SO_MOI'!$C$31*J927/E927</f>
        <v>419.5016865314019</v>
      </c>
      <c r="L927" s="75">
        <f>K927*'THAM_SO_MOI'!$C$50*'THAM_SO_MOI'!$C$17/'THAM_SO_MOI'!$C$26</f>
        <v>14976.782258178018</v>
      </c>
      <c r="M927" s="75">
        <f>'THAM_SO_MOI'!$C$15*'THAM_SO_MOI'!$C$16*F927^2</f>
        <v>52.46005217571255</v>
      </c>
      <c r="N927" s="75">
        <f>'THAM_SO_MOI'!$C$12*I927</f>
        <v>1130.112</v>
      </c>
      <c r="O927" s="75">
        <f>M927+N927</f>
        <v>1182.5720521757125</v>
      </c>
      <c r="P927" s="75">
        <f>(MIN(L927,'THAM_SO_MOI'!$C$41)-O927)/('THAM_SO_MOI'!$C$11*H927)</f>
        <v>0.9561003087790709</v>
      </c>
      <c r="Q927" s="75">
        <f>IF(P927&gt;0,1/P927,NA())</f>
        <v>1.0459153614090853</v>
      </c>
      <c r="R927" s="75">
        <f>F927-F926</f>
        <v>0.0032106047296869278</v>
      </c>
      <c r="S927" s="75">
        <f>0.5*(Q926+Q927)*R927</f>
        <v>0.003358265622714101</v>
      </c>
      <c r="T927" s="75">
        <f>0.5*(F926*Q926+F927*Q927)*R927</f>
        <v>0.014216798293681552</v>
      </c>
      <c r="U927" s="76">
        <f>U926+S927</f>
        <v>4.4542529429062965</v>
      </c>
      <c r="V927" s="76">
        <f>V926+T927</f>
        <v>13.474762772329186</v>
      </c>
    </row>
    <row r="928" spans="1:22" ht="19" customHeight="1">
      <c r="A928" s="68" t="s">
        <v>372</v>
      </c>
      <c r="B928" s="74">
        <v>2</v>
      </c>
      <c r="C928" s="68" t="s">
        <v>363</v>
      </c>
      <c r="D928" s="68" t="s">
        <v>364</v>
      </c>
      <c r="E928" s="75">
        <f>60*F928*'THAM_SO_MOI'!$C$50/(2*PI()*'THAM_SO_MOI'!$C$26)</f>
        <v>1699.8782044938878</v>
      </c>
      <c r="F928" s="75">
        <f>'HANH_TRINH'!$F$826+('THAM_SO_MOI'!$F$50-'HANH_TRINH'!$F$826)*101/'THAM_SO_MOI'!$C$42</f>
        <v>4.238191191803631</v>
      </c>
      <c r="G928" s="75">
        <f>3.6*F928</f>
        <v>15.257488290493074</v>
      </c>
      <c r="H928" s="75">
        <f>'THAM_SO_MOI'!$D$50</f>
        <v>1.8785906709588276</v>
      </c>
      <c r="I928" s="75">
        <f>IF(F928&gt;'THAM_SO_MOI'!$C$14,'THAM_SO_MOI'!$C$13*(1+F928^2/1500),'THAM_SO_MOI'!$C$13)</f>
        <v>0.015</v>
      </c>
      <c r="J928" s="75">
        <f>'THAM_SO_MOI'!$C$40*('THAM_SO_MOI'!$C$23*(E928/'THAM_SO_MOI'!$C$22)+'THAM_SO_MOI'!$C$24*(E928/'THAM_SO_MOI'!$C$22)^2-'THAM_SO_MOI'!$C$25*(E928/'THAM_SO_MOI'!$C$22)^3)</f>
        <v>74.67214882328989</v>
      </c>
      <c r="K928" s="75">
        <f>'THAM_SO_MOI'!$C$31*J928/E928</f>
        <v>419.5600823026565</v>
      </c>
      <c r="L928" s="75">
        <f>K928*'THAM_SO_MOI'!$C$50*'THAM_SO_MOI'!$C$17/'THAM_SO_MOI'!$C$26</f>
        <v>14978.867066842578</v>
      </c>
      <c r="M928" s="75">
        <f>'THAM_SO_MOI'!$C$15*'THAM_SO_MOI'!$C$16*F928^2</f>
        <v>52.53962389147451</v>
      </c>
      <c r="N928" s="75">
        <f>'THAM_SO_MOI'!$C$12*I928</f>
        <v>1130.112</v>
      </c>
      <c r="O928" s="75">
        <f>M928+N928</f>
        <v>1182.6516238914746</v>
      </c>
      <c r="P928" s="75">
        <f>(MIN(L928,'THAM_SO_MOI'!$C$41)-O928)/('THAM_SO_MOI'!$C$11*H928)</f>
        <v>0.9562392951825901</v>
      </c>
      <c r="Q928" s="75">
        <f>IF(P928&gt;0,1/P928,NA())</f>
        <v>1.04576334086862</v>
      </c>
      <c r="R928" s="75">
        <f>F928-F927</f>
        <v>0.0032106047296860396</v>
      </c>
      <c r="S928" s="75">
        <f>0.5*(Q927+Q928)*R928</f>
        <v>0.003357776767258179</v>
      </c>
      <c r="T928" s="75">
        <f>0.5*(F927*Q927+F928*Q928)*R928</f>
        <v>0.014225509280295116</v>
      </c>
      <c r="U928" s="76">
        <f>U927+S928</f>
        <v>4.457610719673554</v>
      </c>
      <c r="V928" s="76">
        <f>V927+T928</f>
        <v>13.488988281609481</v>
      </c>
    </row>
    <row r="929" spans="1:22" ht="19" customHeight="1">
      <c r="A929" s="68" t="s">
        <v>372</v>
      </c>
      <c r="B929" s="74">
        <v>2</v>
      </c>
      <c r="C929" s="68" t="s">
        <v>363</v>
      </c>
      <c r="D929" s="68" t="s">
        <v>364</v>
      </c>
      <c r="E929" s="75">
        <f>60*F929*'THAM_SO_MOI'!$C$50/(2*PI()*'THAM_SO_MOI'!$C$26)</f>
        <v>1701.1659323844544</v>
      </c>
      <c r="F929" s="75">
        <f>'HANH_TRINH'!$F$826+('THAM_SO_MOI'!$F$50-'HANH_TRINH'!$F$826)*102/'THAM_SO_MOI'!$C$42</f>
        <v>4.241401796533318</v>
      </c>
      <c r="G929" s="75">
        <f>3.6*F929</f>
        <v>15.269046467519946</v>
      </c>
      <c r="H929" s="75">
        <f>'THAM_SO_MOI'!$D$50</f>
        <v>1.8785906709588276</v>
      </c>
      <c r="I929" s="75">
        <f>IF(F929&gt;'THAM_SO_MOI'!$C$14,'THAM_SO_MOI'!$C$13*(1+F929^2/1500),'THAM_SO_MOI'!$C$13)</f>
        <v>0.015</v>
      </c>
      <c r="J929" s="75">
        <f>'THAM_SO_MOI'!$C$40*('THAM_SO_MOI'!$C$23*(E929/'THAM_SO_MOI'!$C$22)+'THAM_SO_MOI'!$C$24*(E929/'THAM_SO_MOI'!$C$22)^2-'THAM_SO_MOI'!$C$25*(E929/'THAM_SO_MOI'!$C$22)^3)</f>
        <v>74.73908839581648</v>
      </c>
      <c r="K929" s="75">
        <f>'THAM_SO_MOI'!$C$31*J929/E929</f>
        <v>419.6183171995788</v>
      </c>
      <c r="L929" s="75">
        <f>K929*'THAM_SO_MOI'!$C$50*'THAM_SO_MOI'!$C$17/'THAM_SO_MOI'!$C$26</f>
        <v>14980.946132074105</v>
      </c>
      <c r="M929" s="75">
        <f>'THAM_SO_MOI'!$C$15*'THAM_SO_MOI'!$C$16*F929^2</f>
        <v>52.61925590893548</v>
      </c>
      <c r="N929" s="75">
        <f>'THAM_SO_MOI'!$C$12*I929</f>
        <v>1130.112</v>
      </c>
      <c r="O929" s="75">
        <f>M929+N929</f>
        <v>1182.7312559089355</v>
      </c>
      <c r="P929" s="75">
        <f>(MIN(L929,'THAM_SO_MOI'!$C$41)-O929)/('THAM_SO_MOI'!$C$11*H929)</f>
        <v>0.9563778793193259</v>
      </c>
      <c r="Q929" s="75">
        <f>IF(P929&gt;0,1/P929,NA())</f>
        <v>1.0456118043128735</v>
      </c>
      <c r="R929" s="75">
        <f>F929-F928</f>
        <v>0.0032106047296869278</v>
      </c>
      <c r="S929" s="75">
        <f>0.5*(Q928+Q929)*R929</f>
        <v>0.0033572894663346947</v>
      </c>
      <c r="T929" s="75">
        <f>0.5*(F928*Q928+F929*Q929)*R929</f>
        <v>0.014234223718765536</v>
      </c>
      <c r="U929" s="76">
        <f>U928+S929</f>
        <v>4.460968009139889</v>
      </c>
      <c r="V929" s="76">
        <f>V928+T929</f>
        <v>13.503222505328248</v>
      </c>
    </row>
    <row r="930" spans="1:22" ht="19" customHeight="1">
      <c r="A930" s="68" t="s">
        <v>372</v>
      </c>
      <c r="B930" s="74">
        <v>2</v>
      </c>
      <c r="C930" s="68" t="s">
        <v>363</v>
      </c>
      <c r="D930" s="68" t="s">
        <v>364</v>
      </c>
      <c r="E930" s="75">
        <f>60*F930*'THAM_SO_MOI'!$C$50/(2*PI()*'THAM_SO_MOI'!$C$26)</f>
        <v>1702.453660275021</v>
      </c>
      <c r="F930" s="75">
        <f>'HANH_TRINH'!$F$826+('THAM_SO_MOI'!$F$50-'HANH_TRINH'!$F$826)*103/'THAM_SO_MOI'!$C$42</f>
        <v>4.244612401263005</v>
      </c>
      <c r="G930" s="75">
        <f>3.6*F930</f>
        <v>15.280604644546818</v>
      </c>
      <c r="H930" s="75">
        <f>'THAM_SO_MOI'!$D$50</f>
        <v>1.8785906709588276</v>
      </c>
      <c r="I930" s="75">
        <f>IF(F930&gt;'THAM_SO_MOI'!$C$14,'THAM_SO_MOI'!$C$13*(1+F930^2/1500),'THAM_SO_MOI'!$C$13)</f>
        <v>0.015</v>
      </c>
      <c r="J930" s="75">
        <f>'THAM_SO_MOI'!$C$40*('THAM_SO_MOI'!$C$23*(E930/'THAM_SO_MOI'!$C$22)+'THAM_SO_MOI'!$C$24*(E930/'THAM_SO_MOI'!$C$22)^2-'THAM_SO_MOI'!$C$25*(E930/'THAM_SO_MOI'!$C$22)^3)</f>
        <v>74.80601499604512</v>
      </c>
      <c r="K930" s="75">
        <f>'THAM_SO_MOI'!$C$31*J930/E930</f>
        <v>419.67639122216895</v>
      </c>
      <c r="L930" s="75">
        <f>K930*'THAM_SO_MOI'!$C$50*'THAM_SO_MOI'!$C$17/'THAM_SO_MOI'!$C$26</f>
        <v>14983.019453872594</v>
      </c>
      <c r="M930" s="75">
        <f>'THAM_SO_MOI'!$C$15*'THAM_SO_MOI'!$C$16*F930^2</f>
        <v>52.69894822809541</v>
      </c>
      <c r="N930" s="75">
        <f>'THAM_SO_MOI'!$C$12*I930</f>
        <v>1130.112</v>
      </c>
      <c r="O930" s="75">
        <f>M930+N930</f>
        <v>1182.8109482280954</v>
      </c>
      <c r="P930" s="75">
        <f>(MIN(L930,'THAM_SO_MOI'!$C$41)-O930)/('THAM_SO_MOI'!$C$11*H930)</f>
        <v>0.9565160611892781</v>
      </c>
      <c r="Q930" s="75">
        <f>IF(P930&gt;0,1/P930,NA())</f>
        <v>1.0454607513402927</v>
      </c>
      <c r="R930" s="75">
        <f>F930-F929</f>
        <v>0.0032106047296869278</v>
      </c>
      <c r="S930" s="75">
        <f>0.5*(Q929+Q930)*R930</f>
        <v>0.0033568037186492935</v>
      </c>
      <c r="T930" s="75">
        <f>0.5*(F929*Q929+F930*Q930)*R930</f>
        <v>0.014242941618573842</v>
      </c>
      <c r="U930" s="76">
        <f>U929+S930</f>
        <v>4.464324812858538</v>
      </c>
      <c r="V930" s="76">
        <f>V929+T930</f>
        <v>13.517465446946822</v>
      </c>
    </row>
    <row r="931" spans="1:22" ht="19" customHeight="1">
      <c r="A931" s="68" t="s">
        <v>372</v>
      </c>
      <c r="B931" s="74">
        <v>2</v>
      </c>
      <c r="C931" s="68" t="s">
        <v>363</v>
      </c>
      <c r="D931" s="68" t="s">
        <v>364</v>
      </c>
      <c r="E931" s="75">
        <f>60*F931*'THAM_SO_MOI'!$C$50/(2*PI()*'THAM_SO_MOI'!$C$26)</f>
        <v>1703.7413881655878</v>
      </c>
      <c r="F931" s="75">
        <f>'HANH_TRINH'!$F$826+('THAM_SO_MOI'!$F$50-'HANH_TRINH'!$F$826)*104/'THAM_SO_MOI'!$C$42</f>
        <v>4.247823005992692</v>
      </c>
      <c r="G931" s="75">
        <f>3.6*F931</f>
        <v>15.292162821573692</v>
      </c>
      <c r="H931" s="75">
        <f>'THAM_SO_MOI'!$D$50</f>
        <v>1.8785906709588276</v>
      </c>
      <c r="I931" s="75">
        <f>IF(F931&gt;'THAM_SO_MOI'!$C$14,'THAM_SO_MOI'!$C$13*(1+F931^2/1500),'THAM_SO_MOI'!$C$13)</f>
        <v>0.015</v>
      </c>
      <c r="J931" s="75">
        <f>'THAM_SO_MOI'!$C$40*('THAM_SO_MOI'!$C$23*(E931/'THAM_SO_MOI'!$C$22)+'THAM_SO_MOI'!$C$24*(E931/'THAM_SO_MOI'!$C$22)^2-'THAM_SO_MOI'!$C$25*(E931/'THAM_SO_MOI'!$C$22)^3)</f>
        <v>74.8729285589061</v>
      </c>
      <c r="K931" s="75">
        <f>'THAM_SO_MOI'!$C$31*J931/E931</f>
        <v>419.7343043704267</v>
      </c>
      <c r="L931" s="75">
        <f>K931*'THAM_SO_MOI'!$C$50*'THAM_SO_MOI'!$C$17/'THAM_SO_MOI'!$C$26</f>
        <v>14985.087032238042</v>
      </c>
      <c r="M931" s="75">
        <f>'THAM_SO_MOI'!$C$15*'THAM_SO_MOI'!$C$16*F931^2</f>
        <v>52.778700848954315</v>
      </c>
      <c r="N931" s="75">
        <f>'THAM_SO_MOI'!$C$12*I931</f>
        <v>1130.112</v>
      </c>
      <c r="O931" s="75">
        <f>M931+N931</f>
        <v>1182.8907008489543</v>
      </c>
      <c r="P931" s="75">
        <f>(MIN(L931,'THAM_SO_MOI'!$C$41)-O931)/('THAM_SO_MOI'!$C$11*H931)</f>
        <v>0.9566538407924462</v>
      </c>
      <c r="Q931" s="75">
        <f>IF(P931&gt;0,1/P931,NA())</f>
        <v>1.045310181550777</v>
      </c>
      <c r="R931" s="75">
        <f>F931-F930</f>
        <v>0.0032106047296869278</v>
      </c>
      <c r="S931" s="75">
        <f>0.5*(Q930+Q931)*R931</f>
        <v>0.0033563195229160095</v>
      </c>
      <c r="T931" s="75">
        <f>0.5*(F930*Q930+F931*Q931)*R931</f>
        <v>0.014251662989220036</v>
      </c>
      <c r="U931" s="76">
        <f>U930+S931</f>
        <v>4.467681132381454</v>
      </c>
      <c r="V931" s="76">
        <f>V930+T931</f>
        <v>13.531717109936043</v>
      </c>
    </row>
    <row r="932" spans="1:22" ht="19" customHeight="1">
      <c r="A932" s="68" t="s">
        <v>372</v>
      </c>
      <c r="B932" s="74">
        <v>2</v>
      </c>
      <c r="C932" s="68" t="s">
        <v>363</v>
      </c>
      <c r="D932" s="68" t="s">
        <v>364</v>
      </c>
      <c r="E932" s="75">
        <f>60*F932*'THAM_SO_MOI'!$C$50/(2*PI()*'THAM_SO_MOI'!$C$26)</f>
        <v>1705.0291160561549</v>
      </c>
      <c r="F932" s="75">
        <f>'HANH_TRINH'!$F$826+('THAM_SO_MOI'!$F$50-'HANH_TRINH'!$F$826)*105/'THAM_SO_MOI'!$C$42</f>
        <v>4.251033610722379</v>
      </c>
      <c r="G932" s="75">
        <f>3.6*F932</f>
        <v>15.303720998600564</v>
      </c>
      <c r="H932" s="75">
        <f>'THAM_SO_MOI'!$D$50</f>
        <v>1.8785906709588276</v>
      </c>
      <c r="I932" s="75">
        <f>IF(F932&gt;'THAM_SO_MOI'!$C$14,'THAM_SO_MOI'!$C$13*(1+F932^2/1500),'THAM_SO_MOI'!$C$13)</f>
        <v>0.015</v>
      </c>
      <c r="J932" s="75">
        <f>'THAM_SO_MOI'!$C$40*('THAM_SO_MOI'!$C$23*(E932/'THAM_SO_MOI'!$C$22)+'THAM_SO_MOI'!$C$24*(E932/'THAM_SO_MOI'!$C$22)^2-'THAM_SO_MOI'!$C$25*(E932/'THAM_SO_MOI'!$C$22)^3)</f>
        <v>74.93982901932979</v>
      </c>
      <c r="K932" s="75">
        <f>'THAM_SO_MOI'!$C$31*J932/E932</f>
        <v>419.7920566443524</v>
      </c>
      <c r="L932" s="75">
        <f>K932*'THAM_SO_MOI'!$C$50*'THAM_SO_MOI'!$C$17/'THAM_SO_MOI'!$C$26</f>
        <v>14987.148867170463</v>
      </c>
      <c r="M932" s="75">
        <f>'THAM_SO_MOI'!$C$15*'THAM_SO_MOI'!$C$16*F932^2</f>
        <v>52.85851377151219</v>
      </c>
      <c r="N932" s="75">
        <f>'THAM_SO_MOI'!$C$12*I932</f>
        <v>1130.112</v>
      </c>
      <c r="O932" s="75">
        <f>M932+N932</f>
        <v>1182.9705137715123</v>
      </c>
      <c r="P932" s="75">
        <f>(MIN(L932,'THAM_SO_MOI'!$C$41)-O932)/('THAM_SO_MOI'!$C$11*H932)</f>
        <v>0.9567912181288313</v>
      </c>
      <c r="Q932" s="75">
        <f>IF(P932&gt;0,1/P932,NA())</f>
        <v>1.045160094545674</v>
      </c>
      <c r="R932" s="75">
        <f>F932-F931</f>
        <v>0.0032106047296869278</v>
      </c>
      <c r="S932" s="75">
        <f>0.5*(Q931+Q932)*R932</f>
        <v>0.0033558368778526023</v>
      </c>
      <c r="T932" s="75">
        <f>0.5*(F931*Q931+F932*Q932)*R932</f>
        <v>0.014260387840203451</v>
      </c>
      <c r="U932" s="76">
        <f>U931+S932</f>
        <v>4.471036969259306</v>
      </c>
      <c r="V932" s="76">
        <f>V931+T932</f>
        <v>13.545977497776246</v>
      </c>
    </row>
    <row r="933" spans="1:22" ht="19" customHeight="1">
      <c r="A933" s="68" t="s">
        <v>372</v>
      </c>
      <c r="B933" s="74">
        <v>2</v>
      </c>
      <c r="C933" s="68" t="s">
        <v>363</v>
      </c>
      <c r="D933" s="68" t="s">
        <v>364</v>
      </c>
      <c r="E933" s="75">
        <f>60*F933*'THAM_SO_MOI'!$C$50/(2*PI()*'THAM_SO_MOI'!$C$26)</f>
        <v>1706.3168439467215</v>
      </c>
      <c r="F933" s="75">
        <f>'HANH_TRINH'!$F$826+('THAM_SO_MOI'!$F$50-'HANH_TRINH'!$F$826)*106/'THAM_SO_MOI'!$C$42</f>
        <v>4.254244215452066</v>
      </c>
      <c r="G933" s="75">
        <f>3.6*F933</f>
        <v>15.315279175627438</v>
      </c>
      <c r="H933" s="75">
        <f>'THAM_SO_MOI'!$D$50</f>
        <v>1.8785906709588276</v>
      </c>
      <c r="I933" s="75">
        <f>IF(F933&gt;'THAM_SO_MOI'!$C$14,'THAM_SO_MOI'!$C$13*(1+F933^2/1500),'THAM_SO_MOI'!$C$13)</f>
        <v>0.015</v>
      </c>
      <c r="J933" s="75">
        <f>'THAM_SO_MOI'!$C$40*('THAM_SO_MOI'!$C$23*(E933/'THAM_SO_MOI'!$C$22)+'THAM_SO_MOI'!$C$24*(E933/'THAM_SO_MOI'!$C$22)^2-'THAM_SO_MOI'!$C$25*(E933/'THAM_SO_MOI'!$C$22)^3)</f>
        <v>75.0067163122464</v>
      </c>
      <c r="K933" s="75">
        <f>'THAM_SO_MOI'!$C$31*J933/E933</f>
        <v>419.84964804394565</v>
      </c>
      <c r="L933" s="75">
        <f>K933*'THAM_SO_MOI'!$C$50*'THAM_SO_MOI'!$C$17/'THAM_SO_MOI'!$C$26</f>
        <v>14989.204958669841</v>
      </c>
      <c r="M933" s="75">
        <f>'THAM_SO_MOI'!$C$15*'THAM_SO_MOI'!$C$16*F933^2</f>
        <v>52.938386995769044</v>
      </c>
      <c r="N933" s="75">
        <f>'THAM_SO_MOI'!$C$12*I933</f>
        <v>1130.112</v>
      </c>
      <c r="O933" s="75">
        <f>M933+N933</f>
        <v>1183.050386995769</v>
      </c>
      <c r="P933" s="75">
        <f>(MIN(L933,'THAM_SO_MOI'!$C$41)-O933)/('THAM_SO_MOI'!$C$11*H933)</f>
        <v>0.9569281931984324</v>
      </c>
      <c r="Q933" s="75">
        <f>IF(P933&gt;0,1/P933,NA())</f>
        <v>1.045010489927781</v>
      </c>
      <c r="R933" s="75">
        <f>F933-F932</f>
        <v>0.0032106047296869278</v>
      </c>
      <c r="S933" s="75">
        <f>0.5*(Q932+Q933)*R933</f>
        <v>0.0033553557821814823</v>
      </c>
      <c r="T933" s="75">
        <f>0.5*(F932*Q932+F933*Q933)*R933</f>
        <v>0.014269116181026732</v>
      </c>
      <c r="U933" s="76">
        <f>U932+S933</f>
        <v>4.474392325041488</v>
      </c>
      <c r="V933" s="76">
        <f>V932+T933</f>
        <v>13.560246613957272</v>
      </c>
    </row>
    <row r="934" spans="1:22" ht="19" customHeight="1">
      <c r="A934" s="68" t="s">
        <v>372</v>
      </c>
      <c r="B934" s="74">
        <v>2</v>
      </c>
      <c r="C934" s="68" t="s">
        <v>363</v>
      </c>
      <c r="D934" s="68" t="s">
        <v>364</v>
      </c>
      <c r="E934" s="75">
        <f>60*F934*'THAM_SO_MOI'!$C$50/(2*PI()*'THAM_SO_MOI'!$C$26)</f>
        <v>1707.6045718372882</v>
      </c>
      <c r="F934" s="75">
        <f>'HANH_TRINH'!$F$826+('THAM_SO_MOI'!$F$50-'HANH_TRINH'!$F$826)*107/'THAM_SO_MOI'!$C$42</f>
        <v>4.257454820181753</v>
      </c>
      <c r="G934" s="75">
        <f>3.6*F934</f>
        <v>15.32683735265431</v>
      </c>
      <c r="H934" s="75">
        <f>'THAM_SO_MOI'!$D$50</f>
        <v>1.8785906709588276</v>
      </c>
      <c r="I934" s="75">
        <f>IF(F934&gt;'THAM_SO_MOI'!$C$14,'THAM_SO_MOI'!$C$13*(1+F934^2/1500),'THAM_SO_MOI'!$C$13)</f>
        <v>0.015</v>
      </c>
      <c r="J934" s="75">
        <f>'THAM_SO_MOI'!$C$40*('THAM_SO_MOI'!$C$23*(E934/'THAM_SO_MOI'!$C$22)+'THAM_SO_MOI'!$C$24*(E934/'THAM_SO_MOI'!$C$22)^2-'THAM_SO_MOI'!$C$25*(E934/'THAM_SO_MOI'!$C$22)^3)</f>
        <v>75.07359037258627</v>
      </c>
      <c r="K934" s="75">
        <f>'THAM_SO_MOI'!$C$31*J934/E934</f>
        <v>419.9070785692067</v>
      </c>
      <c r="L934" s="75">
        <f>K934*'THAM_SO_MOI'!$C$50*'THAM_SO_MOI'!$C$17/'THAM_SO_MOI'!$C$26</f>
        <v>14991.255306736186</v>
      </c>
      <c r="M934" s="75">
        <f>'THAM_SO_MOI'!$C$15*'THAM_SO_MOI'!$C$16*F934^2</f>
        <v>53.01832052172486</v>
      </c>
      <c r="N934" s="75">
        <f>'THAM_SO_MOI'!$C$12*I934</f>
        <v>1130.112</v>
      </c>
      <c r="O934" s="75">
        <f>M934+N934</f>
        <v>1183.130320521725</v>
      </c>
      <c r="P934" s="75">
        <f>(MIN(L934,'THAM_SO_MOI'!$C$41)-O934)/('THAM_SO_MOI'!$C$11*H934)</f>
        <v>0.9570647660012499</v>
      </c>
      <c r="Q934" s="75">
        <f>IF(P934&gt;0,1/P934,NA())</f>
        <v>1.044861367301337</v>
      </c>
      <c r="R934" s="75">
        <f>F934-F933</f>
        <v>0.0032106047296869278</v>
      </c>
      <c r="S934" s="75">
        <f>0.5*(Q933+Q934)*R934</f>
        <v>0.003354876234629705</v>
      </c>
      <c r="T934" s="75">
        <f>0.5*(F933*Q933+F934*Q934)*R934</f>
        <v>0.014277848021195876</v>
      </c>
      <c r="U934" s="76">
        <f>U933+S934</f>
        <v>4.4777472012761175</v>
      </c>
      <c r="V934" s="76">
        <f>V933+T934</f>
        <v>13.574524461978468</v>
      </c>
    </row>
    <row r="935" spans="1:22" ht="19" customHeight="1">
      <c r="A935" s="68" t="s">
        <v>372</v>
      </c>
      <c r="B935" s="74">
        <v>2</v>
      </c>
      <c r="C935" s="68" t="s">
        <v>363</v>
      </c>
      <c r="D935" s="68" t="s">
        <v>364</v>
      </c>
      <c r="E935" s="75">
        <f>60*F935*'THAM_SO_MOI'!$C$50/(2*PI()*'THAM_SO_MOI'!$C$26)</f>
        <v>1708.8922997278546</v>
      </c>
      <c r="F935" s="75">
        <f>'HANH_TRINH'!$F$826+('THAM_SO_MOI'!$F$50-'HANH_TRINH'!$F$826)*108/'THAM_SO_MOI'!$C$42</f>
        <v>4.260665424911439</v>
      </c>
      <c r="G935" s="75">
        <f>3.6*F935</f>
        <v>15.338395529681181</v>
      </c>
      <c r="H935" s="75">
        <f>'THAM_SO_MOI'!$D$50</f>
        <v>1.8785906709588276</v>
      </c>
      <c r="I935" s="75">
        <f>IF(F935&gt;'THAM_SO_MOI'!$C$14,'THAM_SO_MOI'!$C$13*(1+F935^2/1500),'THAM_SO_MOI'!$C$13)</f>
        <v>0.015</v>
      </c>
      <c r="J935" s="75">
        <f>'THAM_SO_MOI'!$C$40*('THAM_SO_MOI'!$C$23*(E935/'THAM_SO_MOI'!$C$22)+'THAM_SO_MOI'!$C$24*(E935/'THAM_SO_MOI'!$C$22)^2-'THAM_SO_MOI'!$C$25*(E935/'THAM_SO_MOI'!$C$22)^3)</f>
        <v>75.14045113527969</v>
      </c>
      <c r="K935" s="75">
        <f>'THAM_SO_MOI'!$C$31*J935/E935</f>
        <v>419.96434822013555</v>
      </c>
      <c r="L935" s="75">
        <f>K935*'THAM_SO_MOI'!$C$50*'THAM_SO_MOI'!$C$17/'THAM_SO_MOI'!$C$26</f>
        <v>14993.299911369493</v>
      </c>
      <c r="M935" s="75">
        <f>'THAM_SO_MOI'!$C$15*'THAM_SO_MOI'!$C$16*F935^2</f>
        <v>53.098314349379635</v>
      </c>
      <c r="N935" s="75">
        <f>'THAM_SO_MOI'!$C$12*I935</f>
        <v>1130.112</v>
      </c>
      <c r="O935" s="75">
        <f>M935+N935</f>
        <v>1183.2103143493798</v>
      </c>
      <c r="P935" s="75">
        <f>(MIN(L935,'THAM_SO_MOI'!$C$41)-O935)/('THAM_SO_MOI'!$C$11*H935)</f>
        <v>0.9572009365372837</v>
      </c>
      <c r="Q935" s="75">
        <f>IF(P935&gt;0,1/P935,NA())</f>
        <v>1.0447127262720237</v>
      </c>
      <c r="R935" s="75">
        <f>F935-F934</f>
        <v>0.0032106047296860396</v>
      </c>
      <c r="S935" s="75">
        <f>0.5*(Q934+Q935)*R935</f>
        <v>0.003354398233928025</v>
      </c>
      <c r="T935" s="75">
        <f>0.5*(F934*Q934+F935*Q935)*R935</f>
        <v>0.01428658337021629</v>
      </c>
      <c r="U935" s="76">
        <f>U934+S935</f>
        <v>4.481101599510046</v>
      </c>
      <c r="V935" s="76">
        <f>V934+T935</f>
        <v>13.588811045348685</v>
      </c>
    </row>
    <row r="936" spans="1:22" ht="19" customHeight="1">
      <c r="A936" s="68" t="s">
        <v>372</v>
      </c>
      <c r="B936" s="74">
        <v>2</v>
      </c>
      <c r="C936" s="68" t="s">
        <v>363</v>
      </c>
      <c r="D936" s="68" t="s">
        <v>364</v>
      </c>
      <c r="E936" s="75">
        <f>60*F936*'THAM_SO_MOI'!$C$50/(2*PI()*'THAM_SO_MOI'!$C$26)</f>
        <v>1710.1800276184213</v>
      </c>
      <c r="F936" s="75">
        <f>'HANH_TRINH'!$F$826+('THAM_SO_MOI'!$F$50-'HANH_TRINH'!$F$826)*109/'THAM_SO_MOI'!$C$42</f>
        <v>4.263876029641126</v>
      </c>
      <c r="G936" s="75">
        <f>3.6*F936</f>
        <v>15.349953706708053</v>
      </c>
      <c r="H936" s="75">
        <f>'THAM_SO_MOI'!$D$50</f>
        <v>1.8785906709588276</v>
      </c>
      <c r="I936" s="75">
        <f>IF(F936&gt;'THAM_SO_MOI'!$C$14,'THAM_SO_MOI'!$C$13*(1+F936^2/1500),'THAM_SO_MOI'!$C$13)</f>
        <v>0.015</v>
      </c>
      <c r="J936" s="75">
        <f>'THAM_SO_MOI'!$C$40*('THAM_SO_MOI'!$C$23*(E936/'THAM_SO_MOI'!$C$22)+'THAM_SO_MOI'!$C$24*(E936/'THAM_SO_MOI'!$C$22)^2-'THAM_SO_MOI'!$C$25*(E936/'THAM_SO_MOI'!$C$22)^3)</f>
        <v>75.20729853525697</v>
      </c>
      <c r="K936" s="75">
        <f>'THAM_SO_MOI'!$C$31*J936/E936</f>
        <v>420.02145699673207</v>
      </c>
      <c r="L936" s="75">
        <f>K936*'THAM_SO_MOI'!$C$50*'THAM_SO_MOI'!$C$17/'THAM_SO_MOI'!$C$26</f>
        <v>14995.338772569763</v>
      </c>
      <c r="M936" s="75">
        <f>'THAM_SO_MOI'!$C$15*'THAM_SO_MOI'!$C$16*F936^2</f>
        <v>53.178368478733404</v>
      </c>
      <c r="N936" s="75">
        <f>'THAM_SO_MOI'!$C$12*I936</f>
        <v>1130.112</v>
      </c>
      <c r="O936" s="75">
        <f>M936+N936</f>
        <v>1183.2903684787334</v>
      </c>
      <c r="P936" s="75">
        <f>(MIN(L936,'THAM_SO_MOI'!$C$41)-O936)/('THAM_SO_MOI'!$C$11*H936)</f>
        <v>0.957336704806534</v>
      </c>
      <c r="Q936" s="75">
        <f>IF(P936&gt;0,1/P936,NA())</f>
        <v>1.0445645664469616</v>
      </c>
      <c r="R936" s="75">
        <f>F936-F935</f>
        <v>0.0032106047296869278</v>
      </c>
      <c r="S936" s="75">
        <f>0.5*(Q935+Q936)*R936</f>
        <v>0.0033539217788155365</v>
      </c>
      <c r="T936" s="75">
        <f>0.5*(F935*Q935+F936*Q936)*R936</f>
        <v>0.014295322237612632</v>
      </c>
      <c r="U936" s="76">
        <f>U935+S936</f>
        <v>4.4844555212888615</v>
      </c>
      <c r="V936" s="76">
        <f>V935+T936</f>
        <v>13.603106367586298</v>
      </c>
    </row>
    <row r="937" spans="1:22" ht="19" customHeight="1">
      <c r="A937" s="68" t="s">
        <v>372</v>
      </c>
      <c r="B937" s="74">
        <v>2</v>
      </c>
      <c r="C937" s="68" t="s">
        <v>363</v>
      </c>
      <c r="D937" s="68" t="s">
        <v>364</v>
      </c>
      <c r="E937" s="75">
        <f>60*F937*'THAM_SO_MOI'!$C$50/(2*PI()*'THAM_SO_MOI'!$C$26)</f>
        <v>1711.467755508988</v>
      </c>
      <c r="F937" s="75">
        <f>'HANH_TRINH'!$F$826+('THAM_SO_MOI'!$F$50-'HANH_TRINH'!$F$826)*110/'THAM_SO_MOI'!$C$42</f>
        <v>4.267086634370813</v>
      </c>
      <c r="G937" s="75">
        <f>3.6*F937</f>
        <v>15.361511883734925</v>
      </c>
      <c r="H937" s="75">
        <f>'THAM_SO_MOI'!$D$50</f>
        <v>1.8785906709588276</v>
      </c>
      <c r="I937" s="75">
        <f>IF(F937&gt;'THAM_SO_MOI'!$C$14,'THAM_SO_MOI'!$C$13*(1+F937^2/1500),'THAM_SO_MOI'!$C$13)</f>
        <v>0.015</v>
      </c>
      <c r="J937" s="75">
        <f>'THAM_SO_MOI'!$C$40*('THAM_SO_MOI'!$C$23*(E937/'THAM_SO_MOI'!$C$22)+'THAM_SO_MOI'!$C$24*(E937/'THAM_SO_MOI'!$C$22)^2-'THAM_SO_MOI'!$C$25*(E937/'THAM_SO_MOI'!$C$22)^3)</f>
        <v>75.27413250744843</v>
      </c>
      <c r="K937" s="75">
        <f>'THAM_SO_MOI'!$C$31*J937/E937</f>
        <v>420.0784048989964</v>
      </c>
      <c r="L937" s="75">
        <f>K937*'THAM_SO_MOI'!$C$50*'THAM_SO_MOI'!$C$17/'THAM_SO_MOI'!$C$26</f>
        <v>14997.371890337</v>
      </c>
      <c r="M937" s="75">
        <f>'THAM_SO_MOI'!$C$15*'THAM_SO_MOI'!$C$16*F937^2</f>
        <v>53.25848290978614</v>
      </c>
      <c r="N937" s="75">
        <f>'THAM_SO_MOI'!$C$12*I937</f>
        <v>1130.112</v>
      </c>
      <c r="O937" s="75">
        <f>M937+N937</f>
        <v>1183.3704829097862</v>
      </c>
      <c r="P937" s="75">
        <f>(MIN(L937,'THAM_SO_MOI'!$C$41)-O937)/('THAM_SO_MOI'!$C$11*H937)</f>
        <v>0.9574720708090007</v>
      </c>
      <c r="Q937" s="75">
        <f>IF(P937&gt;0,1/P937,NA())</f>
        <v>1.044416887434707</v>
      </c>
      <c r="R937" s="75">
        <f>F937-F936</f>
        <v>0.0032106047296869278</v>
      </c>
      <c r="S937" s="75">
        <f>0.5*(Q936+Q937)*R937</f>
        <v>0.00335344686803038</v>
      </c>
      <c r="T937" s="75">
        <f>0.5*(F936*Q936+F937*Q937)*R937</f>
        <v>0.014304064632889295</v>
      </c>
      <c r="U937" s="76">
        <f>U936+S937</f>
        <v>4.487808968156892</v>
      </c>
      <c r="V937" s="76">
        <f>V936+T937</f>
        <v>13.617410432219186</v>
      </c>
    </row>
    <row r="938" spans="1:22" ht="19" customHeight="1">
      <c r="A938" s="68" t="s">
        <v>372</v>
      </c>
      <c r="B938" s="74">
        <v>2</v>
      </c>
      <c r="C938" s="68" t="s">
        <v>363</v>
      </c>
      <c r="D938" s="68" t="s">
        <v>364</v>
      </c>
      <c r="E938" s="75">
        <f>60*F938*'THAM_SO_MOI'!$C$50/(2*PI()*'THAM_SO_MOI'!$C$26)</f>
        <v>1712.7554833995546</v>
      </c>
      <c r="F938" s="75">
        <f>'HANH_TRINH'!$F$826+('THAM_SO_MOI'!$F$50-'HANH_TRINH'!$F$826)*111/'THAM_SO_MOI'!$C$42</f>
        <v>4.2702972391005</v>
      </c>
      <c r="G938" s="75">
        <f>3.6*F938</f>
        <v>15.3730700607618</v>
      </c>
      <c r="H938" s="75">
        <f>'THAM_SO_MOI'!$D$50</f>
        <v>1.8785906709588276</v>
      </c>
      <c r="I938" s="75">
        <f>IF(F938&gt;'THAM_SO_MOI'!$C$14,'THAM_SO_MOI'!$C$13*(1+F938^2/1500),'THAM_SO_MOI'!$C$13)</f>
        <v>0.015</v>
      </c>
      <c r="J938" s="75">
        <f>'THAM_SO_MOI'!$C$40*('THAM_SO_MOI'!$C$23*(E938/'THAM_SO_MOI'!$C$22)+'THAM_SO_MOI'!$C$24*(E938/'THAM_SO_MOI'!$C$22)^2-'THAM_SO_MOI'!$C$25*(E938/'THAM_SO_MOI'!$C$22)^3)</f>
        <v>75.34095298678437</v>
      </c>
      <c r="K938" s="75">
        <f>'THAM_SO_MOI'!$C$31*J938/E938</f>
        <v>420.1351919269286</v>
      </c>
      <c r="L938" s="75">
        <f>K938*'THAM_SO_MOI'!$C$50*'THAM_SO_MOI'!$C$17/'THAM_SO_MOI'!$C$26</f>
        <v>14999.399264671209</v>
      </c>
      <c r="M938" s="75">
        <f>'THAM_SO_MOI'!$C$15*'THAM_SO_MOI'!$C$16*F938^2</f>
        <v>53.33865764253785</v>
      </c>
      <c r="N938" s="75">
        <f>'THAM_SO_MOI'!$C$12*I938</f>
        <v>1130.112</v>
      </c>
      <c r="O938" s="75">
        <f>M938+N938</f>
        <v>1183.4506576425379</v>
      </c>
      <c r="P938" s="75">
        <f>(MIN(L938,'THAM_SO_MOI'!$C$41)-O938)/('THAM_SO_MOI'!$C$11*H938)</f>
        <v>0.9576070345446842</v>
      </c>
      <c r="Q938" s="75">
        <f>IF(P938&gt;0,1/P938,NA())</f>
        <v>1.04426968884525</v>
      </c>
      <c r="R938" s="75">
        <f>F938-F937</f>
        <v>0.0032106047296869278</v>
      </c>
      <c r="S938" s="75">
        <f>0.5*(Q937+Q938)*R938</f>
        <v>0.003352973500319013</v>
      </c>
      <c r="T938" s="75">
        <f>0.5*(F937*Q937+F938*Q938)*R938</f>
        <v>0.014312810565569972</v>
      </c>
      <c r="U938" s="76">
        <f>U937+S938</f>
        <v>4.491161941657211</v>
      </c>
      <c r="V938" s="76">
        <f>V937+T938</f>
        <v>13.631723242784757</v>
      </c>
    </row>
    <row r="939" spans="1:22" ht="19" customHeight="1">
      <c r="A939" s="68" t="s">
        <v>372</v>
      </c>
      <c r="B939" s="74">
        <v>2</v>
      </c>
      <c r="C939" s="68" t="s">
        <v>363</v>
      </c>
      <c r="D939" s="68" t="s">
        <v>364</v>
      </c>
      <c r="E939" s="75">
        <f>60*F939*'THAM_SO_MOI'!$C$50/(2*PI()*'THAM_SO_MOI'!$C$26)</f>
        <v>1714.0432112901212</v>
      </c>
      <c r="F939" s="75">
        <f>'HANH_TRINH'!$F$826+('THAM_SO_MOI'!$F$50-'HANH_TRINH'!$F$826)*112/'THAM_SO_MOI'!$C$42</f>
        <v>4.273507843830187</v>
      </c>
      <c r="G939" s="75">
        <f>3.6*F939</f>
        <v>15.384628237788672</v>
      </c>
      <c r="H939" s="75">
        <f>'THAM_SO_MOI'!$D$50</f>
        <v>1.8785906709588276</v>
      </c>
      <c r="I939" s="75">
        <f>IF(F939&gt;'THAM_SO_MOI'!$C$14,'THAM_SO_MOI'!$C$13*(1+F939^2/1500),'THAM_SO_MOI'!$C$13)</f>
        <v>0.015</v>
      </c>
      <c r="J939" s="75">
        <f>'THAM_SO_MOI'!$C$40*('THAM_SO_MOI'!$C$23*(E939/'THAM_SO_MOI'!$C$22)+'THAM_SO_MOI'!$C$24*(E939/'THAM_SO_MOI'!$C$22)^2-'THAM_SO_MOI'!$C$25*(E939/'THAM_SO_MOI'!$C$22)^3)</f>
        <v>75.40775990819506</v>
      </c>
      <c r="K939" s="75">
        <f>'THAM_SO_MOI'!$C$31*J939/E939</f>
        <v>420.1918180805284</v>
      </c>
      <c r="L939" s="75">
        <f>K939*'THAM_SO_MOI'!$C$50*'THAM_SO_MOI'!$C$17/'THAM_SO_MOI'!$C$26</f>
        <v>15001.42089557237</v>
      </c>
      <c r="M939" s="75">
        <f>'THAM_SO_MOI'!$C$15*'THAM_SO_MOI'!$C$16*F939^2</f>
        <v>53.41889267698854</v>
      </c>
      <c r="N939" s="75">
        <f>'THAM_SO_MOI'!$C$12*I939</f>
        <v>1130.112</v>
      </c>
      <c r="O939" s="75">
        <f>M939+N939</f>
        <v>1183.5308926769885</v>
      </c>
      <c r="P939" s="75">
        <f>(MIN(L939,'THAM_SO_MOI'!$C$41)-O939)/('THAM_SO_MOI'!$C$11*H939)</f>
        <v>0.9577415960135833</v>
      </c>
      <c r="Q939" s="75">
        <f>IF(P939&gt;0,1/P939,NA())</f>
        <v>1.0441229702900128</v>
      </c>
      <c r="R939" s="75">
        <f>F939-F938</f>
        <v>0.0032106047296869278</v>
      </c>
      <c r="S939" s="75">
        <f>0.5*(Q938+Q939)*R939</f>
        <v>0.003352501674431567</v>
      </c>
      <c r="T939" s="75">
        <f>0.5*(F938*Q938+F939*Q939)*R939</f>
        <v>0.014321560045177947</v>
      </c>
      <c r="U939" s="76">
        <f>U938+S939</f>
        <v>4.494514443331642</v>
      </c>
      <c r="V939" s="76">
        <f>V938+T939</f>
        <v>13.646044802829934</v>
      </c>
    </row>
    <row r="940" spans="1:22" ht="19" customHeight="1">
      <c r="A940" s="68" t="s">
        <v>372</v>
      </c>
      <c r="B940" s="74">
        <v>2</v>
      </c>
      <c r="C940" s="68" t="s">
        <v>363</v>
      </c>
      <c r="D940" s="68" t="s">
        <v>364</v>
      </c>
      <c r="E940" s="75">
        <f>60*F940*'THAM_SO_MOI'!$C$50/(2*PI()*'THAM_SO_MOI'!$C$26)</f>
        <v>1715.3309391806881</v>
      </c>
      <c r="F940" s="75">
        <f>'HANH_TRINH'!$F$826+('THAM_SO_MOI'!$F$50-'HANH_TRINH'!$F$826)*113/'THAM_SO_MOI'!$C$42</f>
        <v>4.2767184485598735</v>
      </c>
      <c r="G940" s="75">
        <f>3.6*F940</f>
        <v>15.396186414815546</v>
      </c>
      <c r="H940" s="75">
        <f>'THAM_SO_MOI'!$D$50</f>
        <v>1.8785906709588276</v>
      </c>
      <c r="I940" s="75">
        <f>IF(F940&gt;'THAM_SO_MOI'!$C$14,'THAM_SO_MOI'!$C$13*(1+F940^2/1500),'THAM_SO_MOI'!$C$13)</f>
        <v>0.015</v>
      </c>
      <c r="J940" s="75">
        <f>'THAM_SO_MOI'!$C$40*('THAM_SO_MOI'!$C$23*(E940/'THAM_SO_MOI'!$C$22)+'THAM_SO_MOI'!$C$24*(E940/'THAM_SO_MOI'!$C$22)^2-'THAM_SO_MOI'!$C$25*(E940/'THAM_SO_MOI'!$C$22)^3)</f>
        <v>75.47455320661085</v>
      </c>
      <c r="K940" s="75">
        <f>'THAM_SO_MOI'!$C$31*J940/E940</f>
        <v>420.2482833597961</v>
      </c>
      <c r="L940" s="75">
        <f>K940*'THAM_SO_MOI'!$C$50*'THAM_SO_MOI'!$C$17/'THAM_SO_MOI'!$C$26</f>
        <v>15003.436783040506</v>
      </c>
      <c r="M940" s="75">
        <f>'THAM_SO_MOI'!$C$15*'THAM_SO_MOI'!$C$16*F940^2</f>
        <v>53.499188013138195</v>
      </c>
      <c r="N940" s="75">
        <f>'THAM_SO_MOI'!$C$12*I940</f>
        <v>1130.112</v>
      </c>
      <c r="O940" s="75">
        <f>M940+N940</f>
        <v>1183.6111880131382</v>
      </c>
      <c r="P940" s="75">
        <f>(MIN(L940,'THAM_SO_MOI'!$C$41)-O940)/('THAM_SO_MOI'!$C$11*H940)</f>
        <v>0.9578757552156998</v>
      </c>
      <c r="Q940" s="75">
        <f>IF(P940&gt;0,1/P940,NA())</f>
        <v>1.0439767313818424</v>
      </c>
      <c r="R940" s="75">
        <f>F940-F939</f>
        <v>0.0032106047296869278</v>
      </c>
      <c r="S940" s="75">
        <f>0.5*(Q939+Q940)*R940</f>
        <v>0.003352031389122761</v>
      </c>
      <c r="T940" s="75">
        <f>0.5*(F939*Q939+F940*Q940)*R940</f>
        <v>0.014330313081240068</v>
      </c>
      <c r="U940" s="76">
        <f>U939+S940</f>
        <v>4.497866474720765</v>
      </c>
      <c r="V940" s="76">
        <f>V939+T940</f>
        <v>13.660375115911174</v>
      </c>
    </row>
    <row r="941" spans="1:22" ht="19" customHeight="1">
      <c r="A941" s="68" t="s">
        <v>372</v>
      </c>
      <c r="B941" s="74">
        <v>2</v>
      </c>
      <c r="C941" s="68" t="s">
        <v>363</v>
      </c>
      <c r="D941" s="68" t="s">
        <v>364</v>
      </c>
      <c r="E941" s="75">
        <f>60*F941*'THAM_SO_MOI'!$C$50/(2*PI()*'THAM_SO_MOI'!$C$26)</f>
        <v>1716.618667071255</v>
      </c>
      <c r="F941" s="75">
        <f>'HANH_TRINH'!$F$826+('THAM_SO_MOI'!$F$50-'HANH_TRINH'!$F$826)*114/'THAM_SO_MOI'!$C$42</f>
        <v>4.27992905328956</v>
      </c>
      <c r="G941" s="75">
        <f>3.6*F941</f>
        <v>15.407744591842418</v>
      </c>
      <c r="H941" s="75">
        <f>'THAM_SO_MOI'!$D$50</f>
        <v>1.8785906709588276</v>
      </c>
      <c r="I941" s="75">
        <f>IF(F941&gt;'THAM_SO_MOI'!$C$14,'THAM_SO_MOI'!$C$13*(1+F941^2/1500),'THAM_SO_MOI'!$C$13)</f>
        <v>0.015</v>
      </c>
      <c r="J941" s="75">
        <f>'THAM_SO_MOI'!$C$40*('THAM_SO_MOI'!$C$23*(E941/'THAM_SO_MOI'!$C$22)+'THAM_SO_MOI'!$C$24*(E941/'THAM_SO_MOI'!$C$22)^2-'THAM_SO_MOI'!$C$25*(E941/'THAM_SO_MOI'!$C$22)^3)</f>
        <v>75.54133281696197</v>
      </c>
      <c r="K941" s="75">
        <f>'THAM_SO_MOI'!$C$31*J941/E941</f>
        <v>420.30458776473125</v>
      </c>
      <c r="L941" s="75">
        <f>K941*'THAM_SO_MOI'!$C$50*'THAM_SO_MOI'!$C$17/'THAM_SO_MOI'!$C$26</f>
        <v>15005.44692707559</v>
      </c>
      <c r="M941" s="75">
        <f>'THAM_SO_MOI'!$C$15*'THAM_SO_MOI'!$C$16*F941^2</f>
        <v>53.57954365098682</v>
      </c>
      <c r="N941" s="75">
        <f>'THAM_SO_MOI'!$C$12*I941</f>
        <v>1130.112</v>
      </c>
      <c r="O941" s="75">
        <f>M941+N941</f>
        <v>1183.691543650987</v>
      </c>
      <c r="P941" s="75">
        <f>(MIN(L941,'THAM_SO_MOI'!$C$41)-O941)/('THAM_SO_MOI'!$C$11*H941)</f>
        <v>0.9580095121510315</v>
      </c>
      <c r="Q941" s="75">
        <f>IF(P941&gt;0,1/P941,NA())</f>
        <v>1.0438309717350163</v>
      </c>
      <c r="R941" s="75">
        <f>F941-F940</f>
        <v>0.0032106047296869278</v>
      </c>
      <c r="S941" s="75">
        <f>0.5*(Q940+Q941)*R941</f>
        <v>0.003351562643151894</v>
      </c>
      <c r="T941" s="75">
        <f>0.5*(F940*Q940+F941*Q941)*R941</f>
        <v>0.01433906968328679</v>
      </c>
      <c r="U941" s="76">
        <f>U940+S941</f>
        <v>4.501218037363917</v>
      </c>
      <c r="V941" s="76">
        <f>V940+T941</f>
        <v>13.67471418559446</v>
      </c>
    </row>
    <row r="942" spans="1:22" ht="19" customHeight="1">
      <c r="A942" s="68" t="s">
        <v>372</v>
      </c>
      <c r="B942" s="74">
        <v>2</v>
      </c>
      <c r="C942" s="68" t="s">
        <v>363</v>
      </c>
      <c r="D942" s="68" t="s">
        <v>364</v>
      </c>
      <c r="E942" s="75">
        <f>60*F942*'THAM_SO_MOI'!$C$50/(2*PI()*'THAM_SO_MOI'!$C$26)</f>
        <v>1717.9063949618214</v>
      </c>
      <c r="F942" s="75">
        <f>'HANH_TRINH'!$F$826+('THAM_SO_MOI'!$F$50-'HANH_TRINH'!$F$826)*115/'THAM_SO_MOI'!$C$42</f>
        <v>4.2831396580192465</v>
      </c>
      <c r="G942" s="75">
        <f>3.6*F942</f>
        <v>15.419302768869288</v>
      </c>
      <c r="H942" s="75">
        <f>'THAM_SO_MOI'!$D$50</f>
        <v>1.8785906709588276</v>
      </c>
      <c r="I942" s="75">
        <f>IF(F942&gt;'THAM_SO_MOI'!$C$14,'THAM_SO_MOI'!$C$13*(1+F942^2/1500),'THAM_SO_MOI'!$C$13)</f>
        <v>0.015</v>
      </c>
      <c r="J942" s="75">
        <f>'THAM_SO_MOI'!$C$40*('THAM_SO_MOI'!$C$23*(E942/'THAM_SO_MOI'!$C$22)+'THAM_SO_MOI'!$C$24*(E942/'THAM_SO_MOI'!$C$22)^2-'THAM_SO_MOI'!$C$25*(E942/'THAM_SO_MOI'!$C$22)^3)</f>
        <v>75.60809867417878</v>
      </c>
      <c r="K942" s="75">
        <f>'THAM_SO_MOI'!$C$31*J942/E942</f>
        <v>420.3607312953345</v>
      </c>
      <c r="L942" s="75">
        <f>K942*'THAM_SO_MOI'!$C$50*'THAM_SO_MOI'!$C$17/'THAM_SO_MOI'!$C$26</f>
        <v>15007.451327677656</v>
      </c>
      <c r="M942" s="75">
        <f>'THAM_SO_MOI'!$C$15*'THAM_SO_MOI'!$C$16*F942^2</f>
        <v>53.65995959053439</v>
      </c>
      <c r="N942" s="75">
        <f>'THAM_SO_MOI'!$C$12*I942</f>
        <v>1130.112</v>
      </c>
      <c r="O942" s="75">
        <f>M942+N942</f>
        <v>1183.7719595905344</v>
      </c>
      <c r="P942" s="75">
        <f>(MIN(L942,'THAM_SO_MOI'!$C$41)-O942)/('THAM_SO_MOI'!$C$11*H942)</f>
        <v>0.9581428668195808</v>
      </c>
      <c r="Q942" s="75">
        <f>IF(P942&gt;0,1/P942,NA())</f>
        <v>1.0436856909652295</v>
      </c>
      <c r="R942" s="75">
        <f>F942-F941</f>
        <v>0.0032106047296860396</v>
      </c>
      <c r="S942" s="75">
        <f>0.5*(Q941+Q942)*R942</f>
        <v>0.003351095435281913</v>
      </c>
      <c r="T942" s="75">
        <f>0.5*(F941*Q941+F942*Q942)*R942</f>
        <v>0.014347829860848243</v>
      </c>
      <c r="U942" s="76">
        <f>U941+S942</f>
        <v>4.504569132799199</v>
      </c>
      <c r="V942" s="76">
        <f>V941+T942</f>
        <v>13.689062015455308</v>
      </c>
    </row>
    <row r="943" spans="1:22" ht="19" customHeight="1">
      <c r="A943" s="68" t="s">
        <v>372</v>
      </c>
      <c r="B943" s="74">
        <v>2</v>
      </c>
      <c r="C943" s="68" t="s">
        <v>363</v>
      </c>
      <c r="D943" s="68" t="s">
        <v>364</v>
      </c>
      <c r="E943" s="75">
        <f>60*F943*'THAM_SO_MOI'!$C$50/(2*PI()*'THAM_SO_MOI'!$C$26)</f>
        <v>1719.194122852388</v>
      </c>
      <c r="F943" s="75">
        <f>'HANH_TRINH'!$F$826+('THAM_SO_MOI'!$F$50-'HANH_TRINH'!$F$826)*116/'THAM_SO_MOI'!$C$42</f>
        <v>4.286350262748933</v>
      </c>
      <c r="G943" s="75">
        <f>3.6*F943</f>
        <v>15.43086094589616</v>
      </c>
      <c r="H943" s="75">
        <f>'THAM_SO_MOI'!$D$50</f>
        <v>1.8785906709588276</v>
      </c>
      <c r="I943" s="75">
        <f>IF(F943&gt;'THAM_SO_MOI'!$C$14,'THAM_SO_MOI'!$C$13*(1+F943^2/1500),'THAM_SO_MOI'!$C$13)</f>
        <v>0.015</v>
      </c>
      <c r="J943" s="75">
        <f>'THAM_SO_MOI'!$C$40*('THAM_SO_MOI'!$C$23*(E943/'THAM_SO_MOI'!$C$22)+'THAM_SO_MOI'!$C$24*(E943/'THAM_SO_MOI'!$C$22)^2-'THAM_SO_MOI'!$C$25*(E943/'THAM_SO_MOI'!$C$22)^3)</f>
        <v>75.67485071319156</v>
      </c>
      <c r="K943" s="75">
        <f>'THAM_SO_MOI'!$C$31*J943/E943</f>
        <v>420.41671395160535</v>
      </c>
      <c r="L943" s="75">
        <f>K943*'THAM_SO_MOI'!$C$50*'THAM_SO_MOI'!$C$17/'THAM_SO_MOI'!$C$26</f>
        <v>15009.449984846677</v>
      </c>
      <c r="M943" s="75">
        <f>'THAM_SO_MOI'!$C$15*'THAM_SO_MOI'!$C$16*F943^2</f>
        <v>53.74043583178097</v>
      </c>
      <c r="N943" s="75">
        <f>'THAM_SO_MOI'!$C$12*I943</f>
        <v>1130.112</v>
      </c>
      <c r="O943" s="75">
        <f>M943+N943</f>
        <v>1183.8524358317811</v>
      </c>
      <c r="P943" s="75">
        <f>(MIN(L943,'THAM_SO_MOI'!$C$41)-O943)/('THAM_SO_MOI'!$C$11*H943)</f>
        <v>0.9582758192213456</v>
      </c>
      <c r="Q943" s="75">
        <f>IF(P943&gt;0,1/P943,NA())</f>
        <v>1.0435408886896027</v>
      </c>
      <c r="R943" s="75">
        <f>F943-F942</f>
        <v>0.0032106047296869278</v>
      </c>
      <c r="S943" s="75">
        <f>0.5*(Q942+Q943)*R943</f>
        <v>0.003350629764284036</v>
      </c>
      <c r="T943" s="75">
        <f>0.5*(F942*Q942+F943*Q943)*R943</f>
        <v>0.014356593623474117</v>
      </c>
      <c r="U943" s="76">
        <f>U942+S943</f>
        <v>4.507919762563484</v>
      </c>
      <c r="V943" s="76">
        <f>V942+T943</f>
        <v>13.703418609078781</v>
      </c>
    </row>
    <row r="944" spans="1:22" ht="19" customHeight="1">
      <c r="A944" s="68" t="s">
        <v>372</v>
      </c>
      <c r="B944" s="74">
        <v>2</v>
      </c>
      <c r="C944" s="68" t="s">
        <v>363</v>
      </c>
      <c r="D944" s="68" t="s">
        <v>364</v>
      </c>
      <c r="E944" s="75">
        <f>60*F944*'THAM_SO_MOI'!$C$50/(2*PI()*'THAM_SO_MOI'!$C$26)</f>
        <v>1720.4818507429547</v>
      </c>
      <c r="F944" s="75">
        <f>'HANH_TRINH'!$F$826+('THAM_SO_MOI'!$F$50-'HANH_TRINH'!$F$826)*117/'THAM_SO_MOI'!$C$42</f>
        <v>4.28956086747862</v>
      </c>
      <c r="G944" s="75">
        <f>3.6*F944</f>
        <v>15.442419122923033</v>
      </c>
      <c r="H944" s="75">
        <f>'THAM_SO_MOI'!$D$50</f>
        <v>1.8785906709588276</v>
      </c>
      <c r="I944" s="75">
        <f>IF(F944&gt;'THAM_SO_MOI'!$C$14,'THAM_SO_MOI'!$C$13*(1+F944^2/1500),'THAM_SO_MOI'!$C$13)</f>
        <v>0.015</v>
      </c>
      <c r="J944" s="75">
        <f>'THAM_SO_MOI'!$C$40*('THAM_SO_MOI'!$C$23*(E944/'THAM_SO_MOI'!$C$22)+'THAM_SO_MOI'!$C$24*(E944/'THAM_SO_MOI'!$C$22)^2-'THAM_SO_MOI'!$C$25*(E944/'THAM_SO_MOI'!$C$22)^3)</f>
        <v>75.74158886893058</v>
      </c>
      <c r="K944" s="75">
        <f>'THAM_SO_MOI'!$C$31*J944/E944</f>
        <v>420.4725357335438</v>
      </c>
      <c r="L944" s="75">
        <f>K944*'THAM_SO_MOI'!$C$50*'THAM_SO_MOI'!$C$17/'THAM_SO_MOI'!$C$26</f>
        <v>15011.442898582658</v>
      </c>
      <c r="M944" s="75">
        <f>'THAM_SO_MOI'!$C$15*'THAM_SO_MOI'!$C$16*F944^2</f>
        <v>53.820972374726516</v>
      </c>
      <c r="N944" s="75">
        <f>'THAM_SO_MOI'!$C$12*I944</f>
        <v>1130.112</v>
      </c>
      <c r="O944" s="75">
        <f>M944+N944</f>
        <v>1183.9329723747267</v>
      </c>
      <c r="P944" s="75">
        <f>(MIN(L944,'THAM_SO_MOI'!$C$41)-O944)/('THAM_SO_MOI'!$C$11*H944)</f>
        <v>0.9584083693563268</v>
      </c>
      <c r="Q944" s="75">
        <f>IF(P944&gt;0,1/P944,NA())</f>
        <v>1.0433965645266707</v>
      </c>
      <c r="R944" s="75">
        <f>F944-F943</f>
        <v>0.0032106047296869278</v>
      </c>
      <c r="S944" s="75">
        <f>0.5*(Q943+Q944)*R944</f>
        <v>0.003350165628928479</v>
      </c>
      <c r="T944" s="75">
        <f>0.5*(F943*Q943+F944*Q944)*R944</f>
        <v>0.014365360980694025</v>
      </c>
      <c r="U944" s="76">
        <f>U943+S944</f>
        <v>4.511269928192412</v>
      </c>
      <c r="V944" s="76">
        <f>V943+T944</f>
        <v>13.717783970059475</v>
      </c>
    </row>
    <row r="945" spans="1:22" ht="19" customHeight="1">
      <c r="A945" s="68" t="s">
        <v>372</v>
      </c>
      <c r="B945" s="74">
        <v>2</v>
      </c>
      <c r="C945" s="68" t="s">
        <v>363</v>
      </c>
      <c r="D945" s="68" t="s">
        <v>364</v>
      </c>
      <c r="E945" s="75">
        <f>60*F945*'THAM_SO_MOI'!$C$50/(2*PI()*'THAM_SO_MOI'!$C$26)</f>
        <v>1721.7695786335219</v>
      </c>
      <c r="F945" s="75">
        <f>'HANH_TRINH'!$F$826+('THAM_SO_MOI'!$F$50-'HANH_TRINH'!$F$826)*118/'THAM_SO_MOI'!$C$42</f>
        <v>4.292771472208307</v>
      </c>
      <c r="G945" s="75">
        <f>3.6*F945</f>
        <v>15.453977299949907</v>
      </c>
      <c r="H945" s="75">
        <f>'THAM_SO_MOI'!$D$50</f>
        <v>1.8785906709588276</v>
      </c>
      <c r="I945" s="75">
        <f>IF(F945&gt;'THAM_SO_MOI'!$C$14,'THAM_SO_MOI'!$C$13*(1+F945^2/1500),'THAM_SO_MOI'!$C$13)</f>
        <v>0.015</v>
      </c>
      <c r="J945" s="75">
        <f>'THAM_SO_MOI'!$C$40*('THAM_SO_MOI'!$C$23*(E945/'THAM_SO_MOI'!$C$22)+'THAM_SO_MOI'!$C$24*(E945/'THAM_SO_MOI'!$C$22)^2-'THAM_SO_MOI'!$C$25*(E945/'THAM_SO_MOI'!$C$22)^3)</f>
        <v>75.80831307632623</v>
      </c>
      <c r="K945" s="75">
        <f>'THAM_SO_MOI'!$C$31*J945/E945</f>
        <v>420.5281966411502</v>
      </c>
      <c r="L945" s="75">
        <f>K945*'THAM_SO_MOI'!$C$50*'THAM_SO_MOI'!$C$17/'THAM_SO_MOI'!$C$26</f>
        <v>15013.430068885611</v>
      </c>
      <c r="M945" s="75">
        <f>'THAM_SO_MOI'!$C$15*'THAM_SO_MOI'!$C$16*F945^2</f>
        <v>53.90156921937103</v>
      </c>
      <c r="N945" s="75">
        <f>'THAM_SO_MOI'!$C$12*I945</f>
        <v>1130.112</v>
      </c>
      <c r="O945" s="75">
        <f>M945+N945</f>
        <v>1184.0135692193712</v>
      </c>
      <c r="P945" s="75">
        <f>(MIN(L945,'THAM_SO_MOI'!$C$41)-O945)/('THAM_SO_MOI'!$C$11*H945)</f>
        <v>0.9585405172245248</v>
      </c>
      <c r="Q945" s="75">
        <f>IF(P945&gt;0,1/P945,NA())</f>
        <v>1.0432527180963846</v>
      </c>
      <c r="R945" s="75">
        <f>F945-F944</f>
        <v>0.0032106047296869278</v>
      </c>
      <c r="S945" s="75">
        <f>0.5*(Q944+Q945)*R945</f>
        <v>0.003349703027993708</v>
      </c>
      <c r="T945" s="75">
        <f>0.5*(F944*Q944+F945*Q945)*R945</f>
        <v>0.014374131942057186</v>
      </c>
      <c r="U945" s="76">
        <f>U944+S945</f>
        <v>4.514619631220406</v>
      </c>
      <c r="V945" s="76">
        <f>V944+T945</f>
        <v>13.732158102001533</v>
      </c>
    </row>
    <row r="946" spans="1:22" ht="19" customHeight="1">
      <c r="A946" s="68" t="s">
        <v>372</v>
      </c>
      <c r="B946" s="74">
        <v>2</v>
      </c>
      <c r="C946" s="68" t="s">
        <v>363</v>
      </c>
      <c r="D946" s="68" t="s">
        <v>364</v>
      </c>
      <c r="E946" s="75">
        <f>60*F946*'THAM_SO_MOI'!$C$50/(2*PI()*'THAM_SO_MOI'!$C$26)</f>
        <v>1723.0573065240885</v>
      </c>
      <c r="F946" s="75">
        <f>'HANH_TRINH'!$F$826+('THAM_SO_MOI'!$F$50-'HANH_TRINH'!$F$826)*119/'THAM_SO_MOI'!$C$42</f>
        <v>4.295982076937994</v>
      </c>
      <c r="G946" s="75">
        <f>3.6*F946</f>
        <v>15.465535476976779</v>
      </c>
      <c r="H946" s="75">
        <f>'THAM_SO_MOI'!$D$50</f>
        <v>1.8785906709588276</v>
      </c>
      <c r="I946" s="75">
        <f>IF(F946&gt;'THAM_SO_MOI'!$C$14,'THAM_SO_MOI'!$C$13*(1+F946^2/1500),'THAM_SO_MOI'!$C$13)</f>
        <v>0.015</v>
      </c>
      <c r="J946" s="75">
        <f>'THAM_SO_MOI'!$C$40*('THAM_SO_MOI'!$C$23*(E946/'THAM_SO_MOI'!$C$22)+'THAM_SO_MOI'!$C$24*(E946/'THAM_SO_MOI'!$C$22)^2-'THAM_SO_MOI'!$C$25*(E946/'THAM_SO_MOI'!$C$22)^3)</f>
        <v>75.87502327030873</v>
      </c>
      <c r="K946" s="75">
        <f>'THAM_SO_MOI'!$C$31*J946/E946</f>
        <v>420.58369667442435</v>
      </c>
      <c r="L946" s="75">
        <f>K946*'THAM_SO_MOI'!$C$50*'THAM_SO_MOI'!$C$17/'THAM_SO_MOI'!$C$26</f>
        <v>15015.411495755527</v>
      </c>
      <c r="M946" s="75">
        <f>'THAM_SO_MOI'!$C$15*'THAM_SO_MOI'!$C$16*F946^2</f>
        <v>53.98222636571452</v>
      </c>
      <c r="N946" s="75">
        <f>'THAM_SO_MOI'!$C$12*I946</f>
        <v>1130.112</v>
      </c>
      <c r="O946" s="75">
        <f>M946+N946</f>
        <v>1184.0942263657146</v>
      </c>
      <c r="P946" s="75">
        <f>(MIN(L946,'THAM_SO_MOI'!$C$41)-O946)/('THAM_SO_MOI'!$C$11*H946)</f>
        <v>0.9586722628259392</v>
      </c>
      <c r="Q946" s="75">
        <f>IF(P946&gt;0,1/P946,NA())</f>
        <v>1.0431093490201087</v>
      </c>
      <c r="R946" s="75">
        <f>F946-F945</f>
        <v>0.0032106047296869278</v>
      </c>
      <c r="S946" s="75">
        <f>0.5*(Q945+Q946)*R946</f>
        <v>0.003349241960261804</v>
      </c>
      <c r="T946" s="75">
        <f>0.5*(F945*Q945+F946*Q946)*R946</f>
        <v>0.014382906517112652</v>
      </c>
      <c r="U946" s="76">
        <f>U945+S946</f>
        <v>4.517968873180668</v>
      </c>
      <c r="V946" s="76">
        <f>V945+T946</f>
        <v>13.746541008518646</v>
      </c>
    </row>
    <row r="947" spans="1:22" ht="19" customHeight="1">
      <c r="A947" s="68" t="s">
        <v>372</v>
      </c>
      <c r="B947" s="74">
        <v>2</v>
      </c>
      <c r="C947" s="68" t="s">
        <v>363</v>
      </c>
      <c r="D947" s="68" t="s">
        <v>364</v>
      </c>
      <c r="E947" s="75">
        <f>60*F947*'THAM_SO_MOI'!$C$50/(2*PI()*'THAM_SO_MOI'!$C$26)</f>
        <v>1724.3450344146552</v>
      </c>
      <c r="F947" s="75">
        <f>'HANH_TRINH'!$F$826+('THAM_SO_MOI'!$F$50-'HANH_TRINH'!$F$826)*120/'THAM_SO_MOI'!$C$42</f>
        <v>4.299192681667681</v>
      </c>
      <c r="G947" s="75">
        <f>3.6*F947</f>
        <v>15.477093654003653</v>
      </c>
      <c r="H947" s="75">
        <f>'THAM_SO_MOI'!$D$50</f>
        <v>1.8785906709588276</v>
      </c>
      <c r="I947" s="75">
        <f>IF(F947&gt;'THAM_SO_MOI'!$C$14,'THAM_SO_MOI'!$C$13*(1+F947^2/1500),'THAM_SO_MOI'!$C$13)</f>
        <v>0.015</v>
      </c>
      <c r="J947" s="75">
        <f>'THAM_SO_MOI'!$C$40*('THAM_SO_MOI'!$C$23*(E947/'THAM_SO_MOI'!$C$22)+'THAM_SO_MOI'!$C$24*(E947/'THAM_SO_MOI'!$C$22)^2-'THAM_SO_MOI'!$C$25*(E947/'THAM_SO_MOI'!$C$22)^3)</f>
        <v>75.94171938580843</v>
      </c>
      <c r="K947" s="75">
        <f>'THAM_SO_MOI'!$C$31*J947/E947</f>
        <v>420.6390358333663</v>
      </c>
      <c r="L947" s="75">
        <f>K947*'THAM_SO_MOI'!$C$50*'THAM_SO_MOI'!$C$17/'THAM_SO_MOI'!$C$26</f>
        <v>15017.387179192407</v>
      </c>
      <c r="M947" s="75">
        <f>'THAM_SO_MOI'!$C$15*'THAM_SO_MOI'!$C$16*F947^2</f>
        <v>54.062943813756974</v>
      </c>
      <c r="N947" s="75">
        <f>'THAM_SO_MOI'!$C$12*I947</f>
        <v>1130.112</v>
      </c>
      <c r="O947" s="75">
        <f>M947+N947</f>
        <v>1184.174943813757</v>
      </c>
      <c r="P947" s="75">
        <f>(MIN(L947,'THAM_SO_MOI'!$C$41)-O947)/('THAM_SO_MOI'!$C$11*H947)</f>
        <v>0.9588036061605699</v>
      </c>
      <c r="Q947" s="75">
        <f>IF(P947&gt;0,1/P947,NA())</f>
        <v>1.0429664569206167</v>
      </c>
      <c r="R947" s="75">
        <f>F947-F946</f>
        <v>0.0032106047296869278</v>
      </c>
      <c r="S947" s="75">
        <f>0.5*(Q946+Q947)*R947</f>
        <v>0.0033487824245193813</v>
      </c>
      <c r="T947" s="75">
        <f>0.5*(F946*Q946+F947*Q947)*R947</f>
        <v>0.014391684715413328</v>
      </c>
      <c r="U947" s="76">
        <f>U946+S947</f>
        <v>4.521317655605188</v>
      </c>
      <c r="V947" s="76">
        <f>V946+T947</f>
        <v>13.760932693234059</v>
      </c>
    </row>
    <row r="948" spans="1:22" ht="19" customHeight="1">
      <c r="A948" s="68" t="s">
        <v>372</v>
      </c>
      <c r="B948" s="74">
        <v>2</v>
      </c>
      <c r="C948" s="68" t="s">
        <v>363</v>
      </c>
      <c r="D948" s="68" t="s">
        <v>364</v>
      </c>
      <c r="E948" s="75">
        <f>60*F948*'THAM_SO_MOI'!$C$50/(2*PI()*'THAM_SO_MOI'!$C$26)</f>
        <v>1725.6327623052218</v>
      </c>
      <c r="F948" s="75">
        <f>'HANH_TRINH'!$F$826+('THAM_SO_MOI'!$F$50-'HANH_TRINH'!$F$826)*121/'THAM_SO_MOI'!$C$42</f>
        <v>4.302403286397368</v>
      </c>
      <c r="G948" s="75">
        <f>3.6*F948</f>
        <v>15.488651831030525</v>
      </c>
      <c r="H948" s="75">
        <f>'THAM_SO_MOI'!$D$50</f>
        <v>1.8785906709588276</v>
      </c>
      <c r="I948" s="75">
        <f>IF(F948&gt;'THAM_SO_MOI'!$C$14,'THAM_SO_MOI'!$C$13*(1+F948^2/1500),'THAM_SO_MOI'!$C$13)</f>
        <v>0.015</v>
      </c>
      <c r="J948" s="75">
        <f>'THAM_SO_MOI'!$C$40*('THAM_SO_MOI'!$C$23*(E948/'THAM_SO_MOI'!$C$22)+'THAM_SO_MOI'!$C$24*(E948/'THAM_SO_MOI'!$C$22)^2-'THAM_SO_MOI'!$C$25*(E948/'THAM_SO_MOI'!$C$22)^3)</f>
        <v>76.00840135775557</v>
      </c>
      <c r="K948" s="75">
        <f>'THAM_SO_MOI'!$C$31*J948/E948</f>
        <v>420.69421411797583</v>
      </c>
      <c r="L948" s="75">
        <f>K948*'THAM_SO_MOI'!$C$50*'THAM_SO_MOI'!$C$17/'THAM_SO_MOI'!$C$26</f>
        <v>15019.357119196251</v>
      </c>
      <c r="M948" s="75">
        <f>'THAM_SO_MOI'!$C$15*'THAM_SO_MOI'!$C$16*F948^2</f>
        <v>54.1437215634984</v>
      </c>
      <c r="N948" s="75">
        <f>'THAM_SO_MOI'!$C$12*I948</f>
        <v>1130.112</v>
      </c>
      <c r="O948" s="75">
        <f>M948+N948</f>
        <v>1184.2557215634986</v>
      </c>
      <c r="P948" s="75">
        <f>(MIN(L948,'THAM_SO_MOI'!$C$41)-O948)/('THAM_SO_MOI'!$C$11*H948)</f>
        <v>0.958934547228417</v>
      </c>
      <c r="Q948" s="75">
        <f>IF(P948&gt;0,1/P948,NA())</f>
        <v>1.0428240414220902</v>
      </c>
      <c r="R948" s="75">
        <f>F948-F947</f>
        <v>0.0032106047296869278</v>
      </c>
      <c r="S948" s="75">
        <f>0.5*(Q947+Q948)*R948</f>
        <v>0.0033483244195575746</v>
      </c>
      <c r="T948" s="75">
        <f>0.5*(F947*Q947+F948*Q948)*R948</f>
        <v>0.014400466546515965</v>
      </c>
      <c r="U948" s="76">
        <f>U947+S948</f>
        <v>4.5246659800247455</v>
      </c>
      <c r="V948" s="76">
        <f>V947+T948</f>
        <v>13.775333159780574</v>
      </c>
    </row>
    <row r="949" spans="1:22" ht="19" customHeight="1">
      <c r="A949" s="68" t="s">
        <v>372</v>
      </c>
      <c r="B949" s="74">
        <v>2</v>
      </c>
      <c r="C949" s="68" t="s">
        <v>363</v>
      </c>
      <c r="D949" s="68" t="s">
        <v>364</v>
      </c>
      <c r="E949" s="75">
        <f>60*F949*'THAM_SO_MOI'!$C$50/(2*PI()*'THAM_SO_MOI'!$C$26)</f>
        <v>1726.9204901957883</v>
      </c>
      <c r="F949" s="75">
        <f>'HANH_TRINH'!$F$826+('THAM_SO_MOI'!$F$50-'HANH_TRINH'!$F$826)*122/'THAM_SO_MOI'!$C$42</f>
        <v>4.305613891127054</v>
      </c>
      <c r="G949" s="75">
        <f>3.6*F949</f>
        <v>15.500210008057396</v>
      </c>
      <c r="H949" s="75">
        <f>'THAM_SO_MOI'!$D$50</f>
        <v>1.8785906709588276</v>
      </c>
      <c r="I949" s="75">
        <f>IF(F949&gt;'THAM_SO_MOI'!$C$14,'THAM_SO_MOI'!$C$13*(1+F949^2/1500),'THAM_SO_MOI'!$C$13)</f>
        <v>0.015</v>
      </c>
      <c r="J949" s="75">
        <f>'THAM_SO_MOI'!$C$40*('THAM_SO_MOI'!$C$23*(E949/'THAM_SO_MOI'!$C$22)+'THAM_SO_MOI'!$C$24*(E949/'THAM_SO_MOI'!$C$22)^2-'THAM_SO_MOI'!$C$25*(E949/'THAM_SO_MOI'!$C$22)^3)</f>
        <v>76.07506912108049</v>
      </c>
      <c r="K949" s="75">
        <f>'THAM_SO_MOI'!$C$31*J949/E949</f>
        <v>420.7492315282532</v>
      </c>
      <c r="L949" s="75">
        <f>K949*'THAM_SO_MOI'!$C$50*'THAM_SO_MOI'!$C$17/'THAM_SO_MOI'!$C$26</f>
        <v>15021.321315767058</v>
      </c>
      <c r="M949" s="75">
        <f>'THAM_SO_MOI'!$C$15*'THAM_SO_MOI'!$C$16*F949^2</f>
        <v>54.22455961493879</v>
      </c>
      <c r="N949" s="75">
        <f>'THAM_SO_MOI'!$C$12*I949</f>
        <v>1130.112</v>
      </c>
      <c r="O949" s="75">
        <f>M949+N949</f>
        <v>1184.3365596149388</v>
      </c>
      <c r="P949" s="75">
        <f>(MIN(L949,'THAM_SO_MOI'!$C$41)-O949)/('THAM_SO_MOI'!$C$11*H949)</f>
        <v>0.9590650860294805</v>
      </c>
      <c r="Q949" s="75">
        <f>IF(P949&gt;0,1/P949,NA())</f>
        <v>1.0426821021501154</v>
      </c>
      <c r="R949" s="75">
        <f>F949-F948</f>
        <v>0.0032106047296860396</v>
      </c>
      <c r="S949" s="75">
        <f>0.5*(Q948+Q949)*R949</f>
        <v>0.0033478679441711076</v>
      </c>
      <c r="T949" s="75">
        <f>0.5*(F948*Q948+F949*Q949)*R949</f>
        <v>0.014409252019977243</v>
      </c>
      <c r="U949" s="76">
        <f>U948+S949</f>
        <v>4.528013847968917</v>
      </c>
      <c r="V949" s="76">
        <f>V948+T949</f>
        <v>13.789742411800551</v>
      </c>
    </row>
    <row r="950" spans="1:22" ht="19" customHeight="1">
      <c r="A950" s="68" t="s">
        <v>372</v>
      </c>
      <c r="B950" s="74">
        <v>2</v>
      </c>
      <c r="C950" s="68" t="s">
        <v>363</v>
      </c>
      <c r="D950" s="68" t="s">
        <v>364</v>
      </c>
      <c r="E950" s="75">
        <f>60*F950*'THAM_SO_MOI'!$C$50/(2*PI()*'THAM_SO_MOI'!$C$26)</f>
        <v>1728.208218086355</v>
      </c>
      <c r="F950" s="75">
        <f>'HANH_TRINH'!$F$826+('THAM_SO_MOI'!$F$50-'HANH_TRINH'!$F$826)*123/'THAM_SO_MOI'!$C$42</f>
        <v>4.308824495856741</v>
      </c>
      <c r="G950" s="75">
        <f>3.6*F950</f>
        <v>15.511768185084268</v>
      </c>
      <c r="H950" s="75">
        <f>'THAM_SO_MOI'!$D$50</f>
        <v>1.8785906709588276</v>
      </c>
      <c r="I950" s="75">
        <f>IF(F950&gt;'THAM_SO_MOI'!$C$14,'THAM_SO_MOI'!$C$13*(1+F950^2/1500),'THAM_SO_MOI'!$C$13)</f>
        <v>0.015</v>
      </c>
      <c r="J950" s="75">
        <f>'THAM_SO_MOI'!$C$40*('THAM_SO_MOI'!$C$23*(E950/'THAM_SO_MOI'!$C$22)+'THAM_SO_MOI'!$C$24*(E950/'THAM_SO_MOI'!$C$22)^2-'THAM_SO_MOI'!$C$25*(E950/'THAM_SO_MOI'!$C$22)^3)</f>
        <v>76.14172261071351</v>
      </c>
      <c r="K950" s="75">
        <f>'THAM_SO_MOI'!$C$31*J950/E950</f>
        <v>420.80408806419837</v>
      </c>
      <c r="L950" s="75">
        <f>K950*'THAM_SO_MOI'!$C$50*'THAM_SO_MOI'!$C$17/'THAM_SO_MOI'!$C$26</f>
        <v>15023.279768904831</v>
      </c>
      <c r="M950" s="75">
        <f>'THAM_SO_MOI'!$C$15*'THAM_SO_MOI'!$C$16*F950^2</f>
        <v>54.305457968078166</v>
      </c>
      <c r="N950" s="75">
        <f>'THAM_SO_MOI'!$C$12*I950</f>
        <v>1130.112</v>
      </c>
      <c r="O950" s="75">
        <f>M950+N950</f>
        <v>1184.4174579680782</v>
      </c>
      <c r="P950" s="75">
        <f>(MIN(L950,'THAM_SO_MOI'!$C$41)-O950)/('THAM_SO_MOI'!$C$11*H950)</f>
        <v>0.9591952225637604</v>
      </c>
      <c r="Q950" s="75">
        <f>IF(P950&gt;0,1/P950,NA())</f>
        <v>1.0425406387316813</v>
      </c>
      <c r="R950" s="75">
        <f>F950-F949</f>
        <v>0.0032106047296869278</v>
      </c>
      <c r="S950" s="75">
        <f>0.5*(Q949+Q950)*R950</f>
        <v>0.003347412997162918</v>
      </c>
      <c r="T950" s="75">
        <f>0.5*(F949*Q949+F950*Q950)*R950</f>
        <v>0.014418041145373739</v>
      </c>
      <c r="U950" s="76">
        <f>U949+S950</f>
        <v>4.53136126096608</v>
      </c>
      <c r="V950" s="76">
        <f>V949+T950</f>
        <v>13.804160452945926</v>
      </c>
    </row>
    <row r="951" spans="1:22" ht="19" customHeight="1">
      <c r="A951" s="68" t="s">
        <v>372</v>
      </c>
      <c r="B951" s="74">
        <v>2</v>
      </c>
      <c r="C951" s="68" t="s">
        <v>363</v>
      </c>
      <c r="D951" s="68" t="s">
        <v>364</v>
      </c>
      <c r="E951" s="75">
        <f>60*F951*'THAM_SO_MOI'!$C$50/(2*PI()*'THAM_SO_MOI'!$C$26)</f>
        <v>1729.4959459769216</v>
      </c>
      <c r="F951" s="75">
        <f>'HANH_TRINH'!$F$826+('THAM_SO_MOI'!$F$50-'HANH_TRINH'!$F$826)*124/'THAM_SO_MOI'!$C$42</f>
        <v>4.312035100586428</v>
      </c>
      <c r="G951" s="75">
        <f>3.6*F951</f>
        <v>15.52332636211114</v>
      </c>
      <c r="H951" s="75">
        <f>'THAM_SO_MOI'!$D$50</f>
        <v>1.8785906709588276</v>
      </c>
      <c r="I951" s="75">
        <f>IF(F951&gt;'THAM_SO_MOI'!$C$14,'THAM_SO_MOI'!$C$13*(1+F951^2/1500),'THAM_SO_MOI'!$C$13)</f>
        <v>0.015</v>
      </c>
      <c r="J951" s="75">
        <f>'THAM_SO_MOI'!$C$40*('THAM_SO_MOI'!$C$23*(E951/'THAM_SO_MOI'!$C$22)+'THAM_SO_MOI'!$C$24*(E951/'THAM_SO_MOI'!$C$22)^2-'THAM_SO_MOI'!$C$25*(E951/'THAM_SO_MOI'!$C$22)^3)</f>
        <v>76.20836176158488</v>
      </c>
      <c r="K951" s="75">
        <f>'THAM_SO_MOI'!$C$31*J951/E951</f>
        <v>420.85878372581107</v>
      </c>
      <c r="L951" s="75">
        <f>K951*'THAM_SO_MOI'!$C$50*'THAM_SO_MOI'!$C$17/'THAM_SO_MOI'!$C$26</f>
        <v>15025.232478609561</v>
      </c>
      <c r="M951" s="75">
        <f>'THAM_SO_MOI'!$C$15*'THAM_SO_MOI'!$C$16*F951^2</f>
        <v>54.386416622916514</v>
      </c>
      <c r="N951" s="75">
        <f>'THAM_SO_MOI'!$C$12*I951</f>
        <v>1130.112</v>
      </c>
      <c r="O951" s="75">
        <f>M951+N951</f>
        <v>1184.4984166229167</v>
      </c>
      <c r="P951" s="75">
        <f>(MIN(L951,'THAM_SO_MOI'!$C$41)-O951)/('THAM_SO_MOI'!$C$11*H951)</f>
        <v>0.9593249568312561</v>
      </c>
      <c r="Q951" s="75">
        <f>IF(P951&gt;0,1/P951,NA())</f>
        <v>1.0423996507951774</v>
      </c>
      <c r="R951" s="75">
        <f>F951-F950</f>
        <v>0.0032106047296869278</v>
      </c>
      <c r="S951" s="75">
        <f>0.5*(Q950+Q951)*R951</f>
        <v>0.003346959577334883</v>
      </c>
      <c r="T951" s="75">
        <f>0.5*(F950*Q950+F951*Q951)*R951</f>
        <v>0.014426833932262094</v>
      </c>
      <c r="U951" s="76">
        <f>U950+S951</f>
        <v>4.534708220543415</v>
      </c>
      <c r="V951" s="76">
        <f>V950+T951</f>
        <v>13.818587286878188</v>
      </c>
    </row>
    <row r="952" spans="1:22" ht="19" customHeight="1">
      <c r="A952" s="68" t="s">
        <v>372</v>
      </c>
      <c r="B952" s="74">
        <v>2</v>
      </c>
      <c r="C952" s="68" t="s">
        <v>363</v>
      </c>
      <c r="D952" s="68" t="s">
        <v>364</v>
      </c>
      <c r="E952" s="75">
        <f>60*F952*'THAM_SO_MOI'!$C$50/(2*PI()*'THAM_SO_MOI'!$C$26)</f>
        <v>1730.7836738674882</v>
      </c>
      <c r="F952" s="75">
        <f>'HANH_TRINH'!$F$826+('THAM_SO_MOI'!$F$50-'HANH_TRINH'!$F$826)*125/'THAM_SO_MOI'!$C$42</f>
        <v>4.315245705316115</v>
      </c>
      <c r="G952" s="75">
        <f>3.6*F952</f>
        <v>15.534884539138014</v>
      </c>
      <c r="H952" s="75">
        <f>'THAM_SO_MOI'!$D$50</f>
        <v>1.8785906709588276</v>
      </c>
      <c r="I952" s="75">
        <f>IF(F952&gt;'THAM_SO_MOI'!$C$14,'THAM_SO_MOI'!$C$13*(1+F952^2/1500),'THAM_SO_MOI'!$C$13)</f>
        <v>0.015</v>
      </c>
      <c r="J952" s="75">
        <f>'THAM_SO_MOI'!$C$40*('THAM_SO_MOI'!$C$23*(E952/'THAM_SO_MOI'!$C$22)+'THAM_SO_MOI'!$C$24*(E952/'THAM_SO_MOI'!$C$22)^2-'THAM_SO_MOI'!$C$25*(E952/'THAM_SO_MOI'!$C$22)^3)</f>
        <v>76.27498650862498</v>
      </c>
      <c r="K952" s="75">
        <f>'THAM_SO_MOI'!$C$31*J952/E952</f>
        <v>420.9133185130917</v>
      </c>
      <c r="L952" s="75">
        <f>K952*'THAM_SO_MOI'!$C$50*'THAM_SO_MOI'!$C$17/'THAM_SO_MOI'!$C$26</f>
        <v>15027.179444881262</v>
      </c>
      <c r="M952" s="75">
        <f>'THAM_SO_MOI'!$C$15*'THAM_SO_MOI'!$C$16*F952^2</f>
        <v>54.467435579453834</v>
      </c>
      <c r="N952" s="75">
        <f>'THAM_SO_MOI'!$C$12*I952</f>
        <v>1130.112</v>
      </c>
      <c r="O952" s="75">
        <f>M952+N952</f>
        <v>1184.579435579454</v>
      </c>
      <c r="P952" s="75">
        <f>(MIN(L952,'THAM_SO_MOI'!$C$41)-O952)/('THAM_SO_MOI'!$C$11*H952)</f>
        <v>0.9594542888319688</v>
      </c>
      <c r="Q952" s="75">
        <f>IF(P952&gt;0,1/P952,NA())</f>
        <v>1.0422591379703885</v>
      </c>
      <c r="R952" s="75">
        <f>F952-F951</f>
        <v>0.0032106047296869278</v>
      </c>
      <c r="S952" s="75">
        <f>0.5*(Q951+Q952)*R952</f>
        <v>0.003346507683497074</v>
      </c>
      <c r="T952" s="75">
        <f>0.5*(F951*Q951+F952*Q952)*R952</f>
        <v>0.0144356303902189</v>
      </c>
      <c r="U952" s="76">
        <f>U951+S952</f>
        <v>4.5380547282269115</v>
      </c>
      <c r="V952" s="76">
        <f>V951+T952</f>
        <v>13.833022917268407</v>
      </c>
    </row>
    <row r="953" spans="1:22" ht="19" customHeight="1">
      <c r="A953" s="68" t="s">
        <v>372</v>
      </c>
      <c r="B953" s="74">
        <v>2</v>
      </c>
      <c r="C953" s="68" t="s">
        <v>363</v>
      </c>
      <c r="D953" s="68" t="s">
        <v>364</v>
      </c>
      <c r="E953" s="75">
        <f>60*F953*'THAM_SO_MOI'!$C$50/(2*PI()*'THAM_SO_MOI'!$C$26)</f>
        <v>1732.071401758055</v>
      </c>
      <c r="F953" s="75">
        <f>'HANH_TRINH'!$F$826+('THAM_SO_MOI'!$F$50-'HANH_TRINH'!$F$826)*126/'THAM_SO_MOI'!$C$42</f>
        <v>4.318456310045802</v>
      </c>
      <c r="G953" s="75">
        <f>3.6*F953</f>
        <v>15.546442716164886</v>
      </c>
      <c r="H953" s="75">
        <f>'THAM_SO_MOI'!$D$50</f>
        <v>1.8785906709588276</v>
      </c>
      <c r="I953" s="75">
        <f>IF(F953&gt;'THAM_SO_MOI'!$C$14,'THAM_SO_MOI'!$C$13*(1+F953^2/1500),'THAM_SO_MOI'!$C$13)</f>
        <v>0.015</v>
      </c>
      <c r="J953" s="75">
        <f>'THAM_SO_MOI'!$C$40*('THAM_SO_MOI'!$C$23*(E953/'THAM_SO_MOI'!$C$22)+'THAM_SO_MOI'!$C$24*(E953/'THAM_SO_MOI'!$C$22)^2-'THAM_SO_MOI'!$C$25*(E953/'THAM_SO_MOI'!$C$22)^3)</f>
        <v>76.34159678676404</v>
      </c>
      <c r="K953" s="75">
        <f>'THAM_SO_MOI'!$C$31*J953/E953</f>
        <v>420.9676924260401</v>
      </c>
      <c r="L953" s="75">
        <f>K953*'THAM_SO_MOI'!$C$50*'THAM_SO_MOI'!$C$17/'THAM_SO_MOI'!$C$26</f>
        <v>15029.120667719928</v>
      </c>
      <c r="M953" s="75">
        <f>'THAM_SO_MOI'!$C$15*'THAM_SO_MOI'!$C$16*F953^2</f>
        <v>54.548514837690135</v>
      </c>
      <c r="N953" s="75">
        <f>'THAM_SO_MOI'!$C$12*I953</f>
        <v>1130.112</v>
      </c>
      <c r="O953" s="75">
        <f>M953+N953</f>
        <v>1184.6605148376902</v>
      </c>
      <c r="P953" s="75">
        <f>(MIN(L953,'THAM_SO_MOI'!$C$41)-O953)/('THAM_SO_MOI'!$C$11*H953)</f>
        <v>0.959583218565898</v>
      </c>
      <c r="Q953" s="75">
        <f>IF(P953&gt;0,1/P953,NA())</f>
        <v>1.0421190998884964</v>
      </c>
      <c r="R953" s="75">
        <f>F953-F952</f>
        <v>0.0032106047296869278</v>
      </c>
      <c r="S953" s="75">
        <f>0.5*(Q952+Q953)*R953</f>
        <v>0.0033460573144631195</v>
      </c>
      <c r="T953" s="75">
        <f>0.5*(F952*Q952+F953*Q953)*R953</f>
        <v>0.01444443052882083</v>
      </c>
      <c r="U953" s="76">
        <f>U952+S953</f>
        <v>4.5414007855413745</v>
      </c>
      <c r="V953" s="76">
        <f>V952+T953</f>
        <v>13.847467347797227</v>
      </c>
    </row>
    <row r="954" spans="1:22" ht="19" customHeight="1">
      <c r="A954" s="68" t="s">
        <v>372</v>
      </c>
      <c r="B954" s="74">
        <v>2</v>
      </c>
      <c r="C954" s="68" t="s">
        <v>363</v>
      </c>
      <c r="D954" s="68" t="s">
        <v>364</v>
      </c>
      <c r="E954" s="75">
        <f>60*F954*'THAM_SO_MOI'!$C$50/(2*PI()*'THAM_SO_MOI'!$C$26)</f>
        <v>1733.3591296486218</v>
      </c>
      <c r="F954" s="75">
        <f>'HANH_TRINH'!$F$826+('THAM_SO_MOI'!$F$50-'HANH_TRINH'!$F$826)*127/'THAM_SO_MOI'!$C$42</f>
        <v>4.321666914775489</v>
      </c>
      <c r="G954" s="75">
        <f>3.6*F954</f>
        <v>15.55800089319176</v>
      </c>
      <c r="H954" s="75">
        <f>'THAM_SO_MOI'!$D$50</f>
        <v>1.8785906709588276</v>
      </c>
      <c r="I954" s="75">
        <f>IF(F954&gt;'THAM_SO_MOI'!$C$14,'THAM_SO_MOI'!$C$13*(1+F954^2/1500),'THAM_SO_MOI'!$C$13)</f>
        <v>0.015</v>
      </c>
      <c r="J954" s="75">
        <f>'THAM_SO_MOI'!$C$40*('THAM_SO_MOI'!$C$23*(E954/'THAM_SO_MOI'!$C$22)+'THAM_SO_MOI'!$C$24*(E954/'THAM_SO_MOI'!$C$22)^2-'THAM_SO_MOI'!$C$25*(E954/'THAM_SO_MOI'!$C$22)^3)</f>
        <v>76.40819253093238</v>
      </c>
      <c r="K954" s="75">
        <f>'THAM_SO_MOI'!$C$31*J954/E954</f>
        <v>421.0219054646561</v>
      </c>
      <c r="L954" s="75">
        <f>K954*'THAM_SO_MOI'!$C$50*'THAM_SO_MOI'!$C$17/'THAM_SO_MOI'!$C$26</f>
        <v>15031.05614712555</v>
      </c>
      <c r="M954" s="75">
        <f>'THAM_SO_MOI'!$C$15*'THAM_SO_MOI'!$C$16*F954^2</f>
        <v>54.6296543976254</v>
      </c>
      <c r="N954" s="75">
        <f>'THAM_SO_MOI'!$C$12*I954</f>
        <v>1130.112</v>
      </c>
      <c r="O954" s="75">
        <f>M954+N954</f>
        <v>1184.7416543976256</v>
      </c>
      <c r="P954" s="75">
        <f>(MIN(L954,'THAM_SO_MOI'!$C$41)-O954)/('THAM_SO_MOI'!$C$11*H954)</f>
        <v>0.9597117460330429</v>
      </c>
      <c r="Q954" s="75">
        <f>IF(P954&gt;0,1/P954,NA())</f>
        <v>1.0419795361820756</v>
      </c>
      <c r="R954" s="75">
        <f>F954-F953</f>
        <v>0.0032106047296869278</v>
      </c>
      <c r="S954" s="75">
        <f>0.5*(Q953+Q954)*R954</f>
        <v>0.0033456084690511273</v>
      </c>
      <c r="T954" s="75">
        <f>0.5*(F953*Q953+F954*Q954)*R954</f>
        <v>0.01445323435764865</v>
      </c>
      <c r="U954" s="76">
        <f>U953+S954</f>
        <v>4.544746394010426</v>
      </c>
      <c r="V954" s="76">
        <f>V953+T954</f>
        <v>13.861920582154877</v>
      </c>
    </row>
    <row r="955" spans="1:22" ht="19" customHeight="1">
      <c r="A955" s="68" t="s">
        <v>372</v>
      </c>
      <c r="B955" s="74">
        <v>2</v>
      </c>
      <c r="C955" s="68" t="s">
        <v>363</v>
      </c>
      <c r="D955" s="68" t="s">
        <v>364</v>
      </c>
      <c r="E955" s="75">
        <f>60*F955*'THAM_SO_MOI'!$C$50/(2*PI()*'THAM_SO_MOI'!$C$26)</f>
        <v>1734.6468575391884</v>
      </c>
      <c r="F955" s="75">
        <f>'HANH_TRINH'!$F$826+('THAM_SO_MOI'!$F$50-'HANH_TRINH'!$F$826)*128/'THAM_SO_MOI'!$C$42</f>
        <v>4.324877519505176</v>
      </c>
      <c r="G955" s="75">
        <f>3.6*F955</f>
        <v>15.569559070218633</v>
      </c>
      <c r="H955" s="75">
        <f>'THAM_SO_MOI'!$D$50</f>
        <v>1.8785906709588276</v>
      </c>
      <c r="I955" s="75">
        <f>IF(F955&gt;'THAM_SO_MOI'!$C$14,'THAM_SO_MOI'!$C$13*(1+F955^2/1500),'THAM_SO_MOI'!$C$13)</f>
        <v>0.015</v>
      </c>
      <c r="J955" s="75">
        <f>'THAM_SO_MOI'!$C$40*('THAM_SO_MOI'!$C$23*(E955/'THAM_SO_MOI'!$C$22)+'THAM_SO_MOI'!$C$24*(E955/'THAM_SO_MOI'!$C$22)^2-'THAM_SO_MOI'!$C$25*(E955/'THAM_SO_MOI'!$C$22)^3)</f>
        <v>76.47477367606035</v>
      </c>
      <c r="K955" s="75">
        <f>'THAM_SO_MOI'!$C$31*J955/E955</f>
        <v>421.0759576289401</v>
      </c>
      <c r="L955" s="75">
        <f>K955*'THAM_SO_MOI'!$C$50*'THAM_SO_MOI'!$C$17/'THAM_SO_MOI'!$C$26</f>
        <v>15032.985883098148</v>
      </c>
      <c r="M955" s="75">
        <f>'THAM_SO_MOI'!$C$15*'THAM_SO_MOI'!$C$16*F955^2</f>
        <v>54.710854259259634</v>
      </c>
      <c r="N955" s="75">
        <f>'THAM_SO_MOI'!$C$12*I955</f>
        <v>1130.112</v>
      </c>
      <c r="O955" s="75">
        <f>M955+N955</f>
        <v>1184.8228542592597</v>
      </c>
      <c r="P955" s="75">
        <f>(MIN(L955,'THAM_SO_MOI'!$C$41)-O955)/('THAM_SO_MOI'!$C$11*H955)</f>
        <v>0.959839871233405</v>
      </c>
      <c r="Q955" s="75">
        <f>IF(P955&gt;0,1/P955,NA())</f>
        <v>1.041840446485088</v>
      </c>
      <c r="R955" s="75">
        <f>F955-F954</f>
        <v>0.0032106047296869278</v>
      </c>
      <c r="S955" s="75">
        <f>0.5*(Q954+Q955)*R955</f>
        <v>0.003345161146083664</v>
      </c>
      <c r="T955" s="75">
        <f>0.5*(F954*Q954+F955*Q955)*R955</f>
        <v>0.014462041886287264</v>
      </c>
      <c r="U955" s="76">
        <f>U954+S955</f>
        <v>4.5480915551565095</v>
      </c>
      <c r="V955" s="76">
        <f>V954+T955</f>
        <v>13.876382624041163</v>
      </c>
    </row>
    <row r="956" spans="1:22" ht="19" customHeight="1">
      <c r="A956" s="68" t="s">
        <v>372</v>
      </c>
      <c r="B956" s="74">
        <v>2</v>
      </c>
      <c r="C956" s="68" t="s">
        <v>363</v>
      </c>
      <c r="D956" s="68" t="s">
        <v>364</v>
      </c>
      <c r="E956" s="75">
        <f>60*F956*'THAM_SO_MOI'!$C$50/(2*PI()*'THAM_SO_MOI'!$C$26)</f>
        <v>1735.934585429755</v>
      </c>
      <c r="F956" s="75">
        <f>'HANH_TRINH'!$F$826+('THAM_SO_MOI'!$F$50-'HANH_TRINH'!$F$826)*129/'THAM_SO_MOI'!$C$42</f>
        <v>4.3280881242348626</v>
      </c>
      <c r="G956" s="75">
        <f>3.6*F956</f>
        <v>15.581117247245505</v>
      </c>
      <c r="H956" s="75">
        <f>'THAM_SO_MOI'!$D$50</f>
        <v>1.8785906709588276</v>
      </c>
      <c r="I956" s="75">
        <f>IF(F956&gt;'THAM_SO_MOI'!$C$14,'THAM_SO_MOI'!$C$13*(1+F956^2/1500),'THAM_SO_MOI'!$C$13)</f>
        <v>0.015</v>
      </c>
      <c r="J956" s="75">
        <f>'THAM_SO_MOI'!$C$40*('THAM_SO_MOI'!$C$23*(E956/'THAM_SO_MOI'!$C$22)+'THAM_SO_MOI'!$C$24*(E956/'THAM_SO_MOI'!$C$22)^2-'THAM_SO_MOI'!$C$25*(E956/'THAM_SO_MOI'!$C$22)^3)</f>
        <v>76.54134015707818</v>
      </c>
      <c r="K956" s="75">
        <f>'THAM_SO_MOI'!$C$31*J956/E956</f>
        <v>421.1298489188917</v>
      </c>
      <c r="L956" s="75">
        <f>K956*'THAM_SO_MOI'!$C$50*'THAM_SO_MOI'!$C$17/'THAM_SO_MOI'!$C$26</f>
        <v>15034.909875637702</v>
      </c>
      <c r="M956" s="75">
        <f>'THAM_SO_MOI'!$C$15*'THAM_SO_MOI'!$C$16*F956^2</f>
        <v>54.792114422592846</v>
      </c>
      <c r="N956" s="75">
        <f>'THAM_SO_MOI'!$C$12*I956</f>
        <v>1130.112</v>
      </c>
      <c r="O956" s="75">
        <f>M956+N956</f>
        <v>1184.904114422593</v>
      </c>
      <c r="P956" s="75">
        <f>(MIN(L956,'THAM_SO_MOI'!$C$41)-O956)/('THAM_SO_MOI'!$C$11*H956)</f>
        <v>0.9599675941669831</v>
      </c>
      <c r="Q956" s="75">
        <f>IF(P956&gt;0,1/P956,NA())</f>
        <v>1.0417018304328858</v>
      </c>
      <c r="R956" s="75">
        <f>F956-F955</f>
        <v>0.0032106047296869278</v>
      </c>
      <c r="S956" s="75">
        <f>0.5*(Q955+Q956)*R956</f>
        <v>0.003344715344387758</v>
      </c>
      <c r="T956" s="75">
        <f>0.5*(F955*Q955+F956*Q956)*R956</f>
        <v>0.014470853124325733</v>
      </c>
      <c r="U956" s="76">
        <f>U955+S956</f>
        <v>4.551436270500897</v>
      </c>
      <c r="V956" s="76">
        <f>V955+T956</f>
        <v>13.89085347716549</v>
      </c>
    </row>
    <row r="957" spans="1:22" ht="19" customHeight="1">
      <c r="A957" s="68" t="s">
        <v>372</v>
      </c>
      <c r="B957" s="74">
        <v>2</v>
      </c>
      <c r="C957" s="68" t="s">
        <v>363</v>
      </c>
      <c r="D957" s="68" t="s">
        <v>364</v>
      </c>
      <c r="E957" s="75">
        <f>60*F957*'THAM_SO_MOI'!$C$50/(2*PI()*'THAM_SO_MOI'!$C$26)</f>
        <v>1737.2223133203213</v>
      </c>
      <c r="F957" s="75">
        <f>'HANH_TRINH'!$F$826+('THAM_SO_MOI'!$F$50-'HANH_TRINH'!$F$826)*130/'THAM_SO_MOI'!$C$42</f>
        <v>4.331298728964549</v>
      </c>
      <c r="G957" s="75">
        <f>3.6*F957</f>
        <v>15.592675424272375</v>
      </c>
      <c r="H957" s="75">
        <f>'THAM_SO_MOI'!$D$50</f>
        <v>1.8785906709588276</v>
      </c>
      <c r="I957" s="75">
        <f>IF(F957&gt;'THAM_SO_MOI'!$C$14,'THAM_SO_MOI'!$C$13*(1+F957^2/1500),'THAM_SO_MOI'!$C$13)</f>
        <v>0.015</v>
      </c>
      <c r="J957" s="75">
        <f>'THAM_SO_MOI'!$C$40*('THAM_SO_MOI'!$C$23*(E957/'THAM_SO_MOI'!$C$22)+'THAM_SO_MOI'!$C$24*(E957/'THAM_SO_MOI'!$C$22)^2-'THAM_SO_MOI'!$C$25*(E957/'THAM_SO_MOI'!$C$22)^3)</f>
        <v>76.60789190891617</v>
      </c>
      <c r="K957" s="75">
        <f>'THAM_SO_MOI'!$C$31*J957/E957</f>
        <v>421.183579334511</v>
      </c>
      <c r="L957" s="75">
        <f>K957*'THAM_SO_MOI'!$C$50*'THAM_SO_MOI'!$C$17/'THAM_SO_MOI'!$C$26</f>
        <v>15036.828124744223</v>
      </c>
      <c r="M957" s="75">
        <f>'THAM_SO_MOI'!$C$15*'THAM_SO_MOI'!$C$16*F957^2</f>
        <v>54.87343488762501</v>
      </c>
      <c r="N957" s="75">
        <f>'THAM_SO_MOI'!$C$12*I957</f>
        <v>1130.112</v>
      </c>
      <c r="O957" s="75">
        <f>M957+N957</f>
        <v>1184.9854348876252</v>
      </c>
      <c r="P957" s="75">
        <f>(MIN(L957,'THAM_SO_MOI'!$C$41)-O957)/('THAM_SO_MOI'!$C$11*H957)</f>
        <v>0.9600949148337776</v>
      </c>
      <c r="Q957" s="75">
        <f>IF(P957&gt;0,1/P957,NA())</f>
        <v>1.041563687662205</v>
      </c>
      <c r="R957" s="75">
        <f>F957-F956</f>
        <v>0.0032106047296860396</v>
      </c>
      <c r="S957" s="75">
        <f>0.5*(Q956+Q957)*R957</f>
        <v>0.003344271062793968</v>
      </c>
      <c r="T957" s="75">
        <f>0.5*(F956*Q956+F957*Q957)*R957</f>
        <v>0.01447966808135333</v>
      </c>
      <c r="U957" s="76">
        <f>U956+S957</f>
        <v>4.554780541563691</v>
      </c>
      <c r="V957" s="76">
        <f>V956+T957</f>
        <v>13.905333145246843</v>
      </c>
    </row>
    <row r="958" spans="1:22" ht="19" customHeight="1">
      <c r="A958" s="68" t="s">
        <v>372</v>
      </c>
      <c r="B958" s="74">
        <v>2</v>
      </c>
      <c r="C958" s="68" t="s">
        <v>363</v>
      </c>
      <c r="D958" s="68" t="s">
        <v>364</v>
      </c>
      <c r="E958" s="75">
        <f>60*F958*'THAM_SO_MOI'!$C$50/(2*PI()*'THAM_SO_MOI'!$C$26)</f>
        <v>1738.5100412108884</v>
      </c>
      <c r="F958" s="75">
        <f>'HANH_TRINH'!$F$826+('THAM_SO_MOI'!$F$50-'HANH_TRINH'!$F$826)*131/'THAM_SO_MOI'!$C$42</f>
        <v>4.3345093336942355</v>
      </c>
      <c r="G958" s="75">
        <f>3.6*F958</f>
        <v>15.604233601299248</v>
      </c>
      <c r="H958" s="75">
        <f>'THAM_SO_MOI'!$D$50</f>
        <v>1.8785906709588276</v>
      </c>
      <c r="I958" s="75">
        <f>IF(F958&gt;'THAM_SO_MOI'!$C$14,'THAM_SO_MOI'!$C$13*(1+F958^2/1500),'THAM_SO_MOI'!$C$13)</f>
        <v>0.015</v>
      </c>
      <c r="J958" s="75">
        <f>'THAM_SO_MOI'!$C$40*('THAM_SO_MOI'!$C$23*(E958/'THAM_SO_MOI'!$C$22)+'THAM_SO_MOI'!$C$24*(E958/'THAM_SO_MOI'!$C$22)^2-'THAM_SO_MOI'!$C$25*(E958/'THAM_SO_MOI'!$C$22)^3)</f>
        <v>76.67442886650473</v>
      </c>
      <c r="K958" s="75">
        <f>'THAM_SO_MOI'!$C$31*J958/E958</f>
        <v>421.23714887579825</v>
      </c>
      <c r="L958" s="75">
        <f>K958*'THAM_SO_MOI'!$C$50*'THAM_SO_MOI'!$C$17/'THAM_SO_MOI'!$C$26</f>
        <v>15038.740630417711</v>
      </c>
      <c r="M958" s="75">
        <f>'THAM_SO_MOI'!$C$15*'THAM_SO_MOI'!$C$16*F958^2</f>
        <v>54.95481565435616</v>
      </c>
      <c r="N958" s="75">
        <f>'THAM_SO_MOI'!$C$12*I958</f>
        <v>1130.112</v>
      </c>
      <c r="O958" s="75">
        <f>M958+N958</f>
        <v>1185.0668156543563</v>
      </c>
      <c r="P958" s="75">
        <f>(MIN(L958,'THAM_SO_MOI'!$C$41)-O958)/('THAM_SO_MOI'!$C$11*H958)</f>
        <v>0.9602218332337887</v>
      </c>
      <c r="Q958" s="75">
        <f>IF(P958&gt;0,1/P958,NA())</f>
        <v>1.0414260178111638</v>
      </c>
      <c r="R958" s="75">
        <f>F958-F957</f>
        <v>0.0032106047296869278</v>
      </c>
      <c r="S958" s="75">
        <f>0.5*(Q957+Q958)*R958</f>
        <v>0.00334382830014099</v>
      </c>
      <c r="T958" s="75">
        <f>0.5*(F957*Q957+F958*Q958)*R958</f>
        <v>0.014488486766979588</v>
      </c>
      <c r="U958" s="76">
        <f>U957+S958</f>
        <v>4.558124369863831</v>
      </c>
      <c r="V958" s="76">
        <f>V957+T958</f>
        <v>13.919821632013821</v>
      </c>
    </row>
    <row r="959" spans="1:22" ht="19" customHeight="1">
      <c r="A959" s="68" t="s">
        <v>372</v>
      </c>
      <c r="B959" s="74">
        <v>2</v>
      </c>
      <c r="C959" s="68" t="s">
        <v>363</v>
      </c>
      <c r="D959" s="68" t="s">
        <v>364</v>
      </c>
      <c r="E959" s="75">
        <f>60*F959*'THAM_SO_MOI'!$C$50/(2*PI()*'THAM_SO_MOI'!$C$26)</f>
        <v>1739.797769101455</v>
      </c>
      <c r="F959" s="75">
        <f>'HANH_TRINH'!$F$826+('THAM_SO_MOI'!$F$50-'HANH_TRINH'!$F$826)*132/'THAM_SO_MOI'!$C$42</f>
        <v>4.3377199384239224</v>
      </c>
      <c r="G959" s="75">
        <f>3.6*F959</f>
        <v>15.615791778326122</v>
      </c>
      <c r="H959" s="75">
        <f>'THAM_SO_MOI'!$D$50</f>
        <v>1.8785906709588276</v>
      </c>
      <c r="I959" s="75">
        <f>IF(F959&gt;'THAM_SO_MOI'!$C$14,'THAM_SO_MOI'!$C$13*(1+F959^2/1500),'THAM_SO_MOI'!$C$13)</f>
        <v>0.015</v>
      </c>
      <c r="J959" s="75">
        <f>'THAM_SO_MOI'!$C$40*('THAM_SO_MOI'!$C$23*(E959/'THAM_SO_MOI'!$C$22)+'THAM_SO_MOI'!$C$24*(E959/'THAM_SO_MOI'!$C$22)^2-'THAM_SO_MOI'!$C$25*(E959/'THAM_SO_MOI'!$C$22)^3)</f>
        <v>76.740950964774</v>
      </c>
      <c r="K959" s="75">
        <f>'THAM_SO_MOI'!$C$31*J959/E959</f>
        <v>421.29055754275294</v>
      </c>
      <c r="L959" s="75">
        <f>K959*'THAM_SO_MOI'!$C$50*'THAM_SO_MOI'!$C$17/'THAM_SO_MOI'!$C$26</f>
        <v>15040.647392658153</v>
      </c>
      <c r="M959" s="75">
        <f>'THAM_SO_MOI'!$C$15*'THAM_SO_MOI'!$C$16*F959^2</f>
        <v>55.036256722786284</v>
      </c>
      <c r="N959" s="75">
        <f>'THAM_SO_MOI'!$C$12*I959</f>
        <v>1130.112</v>
      </c>
      <c r="O959" s="75">
        <f>M959+N959</f>
        <v>1185.1482567227863</v>
      </c>
      <c r="P959" s="75">
        <f>(MIN(L959,'THAM_SO_MOI'!$C$41)-O959)/('THAM_SO_MOI'!$C$11*H959)</f>
        <v>0.9603483493670155</v>
      </c>
      <c r="Q959" s="75">
        <f>IF(P959&gt;0,1/P959,NA())</f>
        <v>1.0412888205192623</v>
      </c>
      <c r="R959" s="75">
        <f>F959-F958</f>
        <v>0.0032106047296869278</v>
      </c>
      <c r="S959" s="75">
        <f>0.5*(Q958+Q959)*R959</f>
        <v>0.0033433870552664058</v>
      </c>
      <c r="T959" s="75">
        <f>0.5*(F958*Q958+F959*Q959)*R959</f>
        <v>0.014497309190794297</v>
      </c>
      <c r="U959" s="76">
        <f>U958+S959</f>
        <v>4.561467756919098</v>
      </c>
      <c r="V959" s="76">
        <f>V958+T959</f>
        <v>13.934318941204616</v>
      </c>
    </row>
    <row r="960" spans="1:22" ht="19" customHeight="1">
      <c r="A960" s="68" t="s">
        <v>372</v>
      </c>
      <c r="B960" s="74">
        <v>2</v>
      </c>
      <c r="C960" s="68" t="s">
        <v>363</v>
      </c>
      <c r="D960" s="68" t="s">
        <v>364</v>
      </c>
      <c r="E960" s="75">
        <f>60*F960*'THAM_SO_MOI'!$C$50/(2*PI()*'THAM_SO_MOI'!$C$26)</f>
        <v>1741.0854969920217</v>
      </c>
      <c r="F960" s="75">
        <f>'HANH_TRINH'!$F$826+('THAM_SO_MOI'!$F$50-'HANH_TRINH'!$F$826)*133/'THAM_SO_MOI'!$C$42</f>
        <v>4.340930543153609</v>
      </c>
      <c r="G960" s="75">
        <f>3.6*F960</f>
        <v>15.627349955352994</v>
      </c>
      <c r="H960" s="75">
        <f>'THAM_SO_MOI'!$D$50</f>
        <v>1.8785906709588276</v>
      </c>
      <c r="I960" s="75">
        <f>IF(F960&gt;'THAM_SO_MOI'!$C$14,'THAM_SO_MOI'!$C$13*(1+F960^2/1500),'THAM_SO_MOI'!$C$13)</f>
        <v>0.015</v>
      </c>
      <c r="J960" s="75">
        <f>'THAM_SO_MOI'!$C$40*('THAM_SO_MOI'!$C$23*(E960/'THAM_SO_MOI'!$C$22)+'THAM_SO_MOI'!$C$24*(E960/'THAM_SO_MOI'!$C$22)^2-'THAM_SO_MOI'!$C$25*(E960/'THAM_SO_MOI'!$C$22)^3)</f>
        <v>76.80745813865441</v>
      </c>
      <c r="K960" s="75">
        <f>'THAM_SO_MOI'!$C$31*J960/E960</f>
        <v>421.34380533537563</v>
      </c>
      <c r="L960" s="75">
        <f>K960*'THAM_SO_MOI'!$C$50*'THAM_SO_MOI'!$C$17/'THAM_SO_MOI'!$C$26</f>
        <v>15042.548411465568</v>
      </c>
      <c r="M960" s="75">
        <f>'THAM_SO_MOI'!$C$15*'THAM_SO_MOI'!$C$16*F960^2</f>
        <v>55.11775809291538</v>
      </c>
      <c r="N960" s="75">
        <f>'THAM_SO_MOI'!$C$12*I960</f>
        <v>1130.112</v>
      </c>
      <c r="O960" s="75">
        <f>M960+N960</f>
        <v>1185.2297580929155</v>
      </c>
      <c r="P960" s="75">
        <f>(MIN(L960,'THAM_SO_MOI'!$C$41)-O960)/('THAM_SO_MOI'!$C$11*H960)</f>
        <v>0.9604744632334593</v>
      </c>
      <c r="Q960" s="75">
        <f>IF(P960&gt;0,1/P960,NA())</f>
        <v>1.0411520954273756</v>
      </c>
      <c r="R960" s="75">
        <f>F960-F959</f>
        <v>0.0032106047296869278</v>
      </c>
      <c r="S960" s="75">
        <f>0.5*(Q959+Q960)*R960</f>
        <v>0.0033429473270159267</v>
      </c>
      <c r="T960" s="75">
        <f>0.5*(F959*Q959+F960*Q960)*R960</f>
        <v>0.014506135362407578</v>
      </c>
      <c r="U960" s="76">
        <f>U959+S960</f>
        <v>4.5648107042461135</v>
      </c>
      <c r="V960" s="76">
        <f>V959+T960</f>
        <v>13.948825076567024</v>
      </c>
    </row>
    <row r="961" spans="1:22" ht="19" customHeight="1">
      <c r="A961" s="68" t="s">
        <v>372</v>
      </c>
      <c r="B961" s="74">
        <v>2</v>
      </c>
      <c r="C961" s="68" t="s">
        <v>363</v>
      </c>
      <c r="D961" s="68" t="s">
        <v>364</v>
      </c>
      <c r="E961" s="75">
        <f>60*F961*'THAM_SO_MOI'!$C$50/(2*PI()*'THAM_SO_MOI'!$C$26)</f>
        <v>1742.3732248825888</v>
      </c>
      <c r="F961" s="75">
        <f>'HANH_TRINH'!$F$826+('THAM_SO_MOI'!$F$50-'HANH_TRINH'!$F$826)*134/'THAM_SO_MOI'!$C$42</f>
        <v>4.344141147883296</v>
      </c>
      <c r="G961" s="75">
        <f>3.6*F961</f>
        <v>15.638908132379868</v>
      </c>
      <c r="H961" s="75">
        <f>'THAM_SO_MOI'!$D$50</f>
        <v>1.8785906709588276</v>
      </c>
      <c r="I961" s="75">
        <f>IF(F961&gt;'THAM_SO_MOI'!$C$14,'THAM_SO_MOI'!$C$13*(1+F961^2/1500),'THAM_SO_MOI'!$C$13)</f>
        <v>0.015</v>
      </c>
      <c r="J961" s="75">
        <f>'THAM_SO_MOI'!$C$40*('THAM_SO_MOI'!$C$23*(E961/'THAM_SO_MOI'!$C$22)+'THAM_SO_MOI'!$C$24*(E961/'THAM_SO_MOI'!$C$22)^2-'THAM_SO_MOI'!$C$25*(E961/'THAM_SO_MOI'!$C$22)^3)</f>
        <v>76.87395032307623</v>
      </c>
      <c r="K961" s="75">
        <f>'THAM_SO_MOI'!$C$31*J961/E961</f>
        <v>421.396892253666</v>
      </c>
      <c r="L961" s="75">
        <f>K961*'THAM_SO_MOI'!$C$50*'THAM_SO_MOI'!$C$17/'THAM_SO_MOI'!$C$26</f>
        <v>15044.443686839946</v>
      </c>
      <c r="M961" s="75">
        <f>'THAM_SO_MOI'!$C$15*'THAM_SO_MOI'!$C$16*F961^2</f>
        <v>55.19931976474345</v>
      </c>
      <c r="N961" s="75">
        <f>'THAM_SO_MOI'!$C$12*I961</f>
        <v>1130.112</v>
      </c>
      <c r="O961" s="75">
        <f>M961+N961</f>
        <v>1185.3113197647435</v>
      </c>
      <c r="P961" s="75">
        <f>(MIN(L961,'THAM_SO_MOI'!$C$41)-O961)/('THAM_SO_MOI'!$C$11*H961)</f>
        <v>0.9606001748331195</v>
      </c>
      <c r="Q961" s="75">
        <f>IF(P961&gt;0,1/P961,NA())</f>
        <v>1.0410158421777564</v>
      </c>
      <c r="R961" s="75">
        <f>F961-F960</f>
        <v>0.0032106047296869278</v>
      </c>
      <c r="S961" s="75">
        <f>0.5*(Q960+Q961)*R961</f>
        <v>0.003342509114238757</v>
      </c>
      <c r="T961" s="75">
        <f>0.5*(F960*Q960+F961*Q961)*R961</f>
        <v>0.014514965291429899</v>
      </c>
      <c r="U961" s="76">
        <f>U960+S961</f>
        <v>4.568153213360352</v>
      </c>
      <c r="V961" s="76">
        <f>V960+T961</f>
        <v>13.963340041858453</v>
      </c>
    </row>
    <row r="962" spans="1:22" ht="19" customHeight="1">
      <c r="A962" s="68" t="s">
        <v>372</v>
      </c>
      <c r="B962" s="74">
        <v>2</v>
      </c>
      <c r="C962" s="68" t="s">
        <v>363</v>
      </c>
      <c r="D962" s="68" t="s">
        <v>364</v>
      </c>
      <c r="E962" s="75">
        <f>60*F962*'THAM_SO_MOI'!$C$50/(2*PI()*'THAM_SO_MOI'!$C$26)</f>
        <v>1743.6609527731555</v>
      </c>
      <c r="F962" s="75">
        <f>'HANH_TRINH'!$F$826+('THAM_SO_MOI'!$F$50-'HANH_TRINH'!$F$826)*135/'THAM_SO_MOI'!$C$42</f>
        <v>4.347351752612983</v>
      </c>
      <c r="G962" s="75">
        <f>3.6*F962</f>
        <v>15.65046630940674</v>
      </c>
      <c r="H962" s="75">
        <f>'THAM_SO_MOI'!$D$50</f>
        <v>1.8785906709588276</v>
      </c>
      <c r="I962" s="75">
        <f>IF(F962&gt;'THAM_SO_MOI'!$C$14,'THAM_SO_MOI'!$C$13*(1+F962^2/1500),'THAM_SO_MOI'!$C$13)</f>
        <v>0.015</v>
      </c>
      <c r="J962" s="75">
        <f>'THAM_SO_MOI'!$C$40*('THAM_SO_MOI'!$C$23*(E962/'THAM_SO_MOI'!$C$22)+'THAM_SO_MOI'!$C$24*(E962/'THAM_SO_MOI'!$C$22)^2-'THAM_SO_MOI'!$C$25*(E962/'THAM_SO_MOI'!$C$22)^3)</f>
        <v>76.94042745296973</v>
      </c>
      <c r="K962" s="75">
        <f>'THAM_SO_MOI'!$C$31*J962/E962</f>
        <v>421.4498182976242</v>
      </c>
      <c r="L962" s="75">
        <f>K962*'THAM_SO_MOI'!$C$50*'THAM_SO_MOI'!$C$17/'THAM_SO_MOI'!$C$26</f>
        <v>15046.333218781288</v>
      </c>
      <c r="M962" s="75">
        <f>'THAM_SO_MOI'!$C$15*'THAM_SO_MOI'!$C$16*F962^2</f>
        <v>55.28094173827049</v>
      </c>
      <c r="N962" s="75">
        <f>'THAM_SO_MOI'!$C$12*I962</f>
        <v>1130.112</v>
      </c>
      <c r="O962" s="75">
        <f>M962+N962</f>
        <v>1185.3929417382706</v>
      </c>
      <c r="P962" s="75">
        <f>(MIN(L962,'THAM_SO_MOI'!$C$41)-O962)/('THAM_SO_MOI'!$C$11*H962)</f>
        <v>0.960725484165996</v>
      </c>
      <c r="Q962" s="75">
        <f>IF(P962&gt;0,1/P962,NA())</f>
        <v>1.0408800604140298</v>
      </c>
      <c r="R962" s="75">
        <f>F962-F961</f>
        <v>0.0032106047296869278</v>
      </c>
      <c r="S962" s="75">
        <f>0.5*(Q961+Q962)*R962</f>
        <v>0.0033420724157885127</v>
      </c>
      <c r="T962" s="75">
        <f>0.5*(F961*Q961+F962*Q962)*R962</f>
        <v>0.014523798987476133</v>
      </c>
      <c r="U962" s="76">
        <f>U961+S962</f>
        <v>4.571495285776141</v>
      </c>
      <c r="V962" s="76">
        <f>V961+T962</f>
        <v>13.977863840845929</v>
      </c>
    </row>
    <row r="963" spans="1:22" ht="19" customHeight="1">
      <c r="A963" s="68" t="s">
        <v>372</v>
      </c>
      <c r="B963" s="74">
        <v>2</v>
      </c>
      <c r="C963" s="68" t="s">
        <v>363</v>
      </c>
      <c r="D963" s="68" t="s">
        <v>364</v>
      </c>
      <c r="E963" s="75">
        <f>60*F963*'THAM_SO_MOI'!$C$50/(2*PI()*'THAM_SO_MOI'!$C$26)</f>
        <v>1744.9486806637221</v>
      </c>
      <c r="F963" s="75">
        <f>'HANH_TRINH'!$F$826+('THAM_SO_MOI'!$F$50-'HANH_TRINH'!$F$826)*136/'THAM_SO_MOI'!$C$42</f>
        <v>4.35056235734267</v>
      </c>
      <c r="G963" s="75">
        <f>3.6*F963</f>
        <v>15.662024486433612</v>
      </c>
      <c r="H963" s="75">
        <f>'THAM_SO_MOI'!$D$50</f>
        <v>1.8785906709588276</v>
      </c>
      <c r="I963" s="75">
        <f>IF(F963&gt;'THAM_SO_MOI'!$C$14,'THAM_SO_MOI'!$C$13*(1+F963^2/1500),'THAM_SO_MOI'!$C$13)</f>
        <v>0.015</v>
      </c>
      <c r="J963" s="75">
        <f>'THAM_SO_MOI'!$C$40*('THAM_SO_MOI'!$C$23*(E963/'THAM_SO_MOI'!$C$22)+'THAM_SO_MOI'!$C$24*(E963/'THAM_SO_MOI'!$C$22)^2-'THAM_SO_MOI'!$C$25*(E963/'THAM_SO_MOI'!$C$22)^3)</f>
        <v>77.00688946326521</v>
      </c>
      <c r="K963" s="75">
        <f>'THAM_SO_MOI'!$C$31*J963/E963</f>
        <v>421.50258346725</v>
      </c>
      <c r="L963" s="75">
        <f>K963*'THAM_SO_MOI'!$C$50*'THAM_SO_MOI'!$C$17/'THAM_SO_MOI'!$C$26</f>
        <v>15048.217007289593</v>
      </c>
      <c r="M963" s="75">
        <f>'THAM_SO_MOI'!$C$15*'THAM_SO_MOI'!$C$16*F963^2</f>
        <v>55.36262401349651</v>
      </c>
      <c r="N963" s="75">
        <f>'THAM_SO_MOI'!$C$12*I963</f>
        <v>1130.112</v>
      </c>
      <c r="O963" s="75">
        <f>M963+N963</f>
        <v>1185.4746240134966</v>
      </c>
      <c r="P963" s="75">
        <f>(MIN(L963,'THAM_SO_MOI'!$C$41)-O963)/('THAM_SO_MOI'!$C$11*H963)</f>
        <v>0.9608503912320889</v>
      </c>
      <c r="Q963" s="75">
        <f>IF(P963&gt;0,1/P963,NA())</f>
        <v>1.040744749781191</v>
      </c>
      <c r="R963" s="75">
        <f>F963-F962</f>
        <v>0.0032106047296869278</v>
      </c>
      <c r="S963" s="75">
        <f>0.5*(Q962+Q963)*R963</f>
        <v>0.003341637230523215</v>
      </c>
      <c r="T963" s="75">
        <f>0.5*(F962*Q962+F963*Q963)*R963</f>
        <v>0.01453263646016558</v>
      </c>
      <c r="U963" s="76">
        <f>U962+S963</f>
        <v>4.574836923006664</v>
      </c>
      <c r="V963" s="76">
        <f>V962+T963</f>
        <v>13.992396477306094</v>
      </c>
    </row>
    <row r="964" spans="1:22" ht="19" customHeight="1">
      <c r="A964" s="68" t="s">
        <v>372</v>
      </c>
      <c r="B964" s="74">
        <v>2</v>
      </c>
      <c r="C964" s="68" t="s">
        <v>363</v>
      </c>
      <c r="D964" s="68" t="s">
        <v>364</v>
      </c>
      <c r="E964" s="75">
        <f>60*F964*'THAM_SO_MOI'!$C$50/(2*PI()*'THAM_SO_MOI'!$C$26)</f>
        <v>1746.2364085542886</v>
      </c>
      <c r="F964" s="75">
        <f>'HANH_TRINH'!$F$826+('THAM_SO_MOI'!$F$50-'HANH_TRINH'!$F$826)*137/'THAM_SO_MOI'!$C$42</f>
        <v>4.353772962072356</v>
      </c>
      <c r="G964" s="75">
        <f>3.6*F964</f>
        <v>15.673582663460483</v>
      </c>
      <c r="H964" s="75">
        <f>'THAM_SO_MOI'!$D$50</f>
        <v>1.8785906709588276</v>
      </c>
      <c r="I964" s="75">
        <f>IF(F964&gt;'THAM_SO_MOI'!$C$14,'THAM_SO_MOI'!$C$13*(1+F964^2/1500),'THAM_SO_MOI'!$C$13)</f>
        <v>0.015</v>
      </c>
      <c r="J964" s="75">
        <f>'THAM_SO_MOI'!$C$40*('THAM_SO_MOI'!$C$23*(E964/'THAM_SO_MOI'!$C$22)+'THAM_SO_MOI'!$C$24*(E964/'THAM_SO_MOI'!$C$22)^2-'THAM_SO_MOI'!$C$25*(E964/'THAM_SO_MOI'!$C$22)^3)</f>
        <v>77.07333628889299</v>
      </c>
      <c r="K964" s="75">
        <f>'THAM_SO_MOI'!$C$31*J964/E964</f>
        <v>421.55518776254365</v>
      </c>
      <c r="L964" s="75">
        <f>K964*'THAM_SO_MOI'!$C$50*'THAM_SO_MOI'!$C$17/'THAM_SO_MOI'!$C$26</f>
        <v>15050.095052364864</v>
      </c>
      <c r="M964" s="75">
        <f>'THAM_SO_MOI'!$C$15*'THAM_SO_MOI'!$C$16*F964^2</f>
        <v>55.444366590421474</v>
      </c>
      <c r="N964" s="75">
        <f>'THAM_SO_MOI'!$C$12*I964</f>
        <v>1130.112</v>
      </c>
      <c r="O964" s="75">
        <f>M964+N964</f>
        <v>1185.5563665904215</v>
      </c>
      <c r="P964" s="75">
        <f>(MIN(L964,'THAM_SO_MOI'!$C$41)-O964)/('THAM_SO_MOI'!$C$11*H964)</f>
        <v>0.9609748960313982</v>
      </c>
      <c r="Q964" s="75">
        <f>IF(P964&gt;0,1/P964,NA())</f>
        <v>1.040609909925604</v>
      </c>
      <c r="R964" s="75">
        <f>F964-F963</f>
        <v>0.0032106047296860396</v>
      </c>
      <c r="S964" s="75">
        <f>0.5*(Q963+Q964)*R964</f>
        <v>0.003341203557304357</v>
      </c>
      <c r="T964" s="75">
        <f>0.5*(F963*Q963+F964*Q964)*R964</f>
        <v>0.014541477719117995</v>
      </c>
      <c r="U964" s="76">
        <f>U963+S964</f>
        <v>4.5781781265639685</v>
      </c>
      <c r="V964" s="76">
        <f>V963+T964</f>
        <v>14.006937955025213</v>
      </c>
    </row>
    <row r="965" spans="1:22" ht="19" customHeight="1">
      <c r="A965" s="68" t="s">
        <v>372</v>
      </c>
      <c r="B965" s="74">
        <v>2</v>
      </c>
      <c r="C965" s="68" t="s">
        <v>363</v>
      </c>
      <c r="D965" s="68" t="s">
        <v>364</v>
      </c>
      <c r="E965" s="75">
        <f>60*F965*'THAM_SO_MOI'!$C$50/(2*PI()*'THAM_SO_MOI'!$C$26)</f>
        <v>1747.5241364448552</v>
      </c>
      <c r="F965" s="75">
        <f>'HANH_TRINH'!$F$826+('THAM_SO_MOI'!$F$50-'HANH_TRINH'!$F$826)*138/'THAM_SO_MOI'!$C$42</f>
        <v>4.356983566802043</v>
      </c>
      <c r="G965" s="75">
        <f>3.6*F965</f>
        <v>15.685140840487355</v>
      </c>
      <c r="H965" s="75">
        <f>'THAM_SO_MOI'!$D$50</f>
        <v>1.8785906709588276</v>
      </c>
      <c r="I965" s="75">
        <f>IF(F965&gt;'THAM_SO_MOI'!$C$14,'THAM_SO_MOI'!$C$13*(1+F965^2/1500),'THAM_SO_MOI'!$C$13)</f>
        <v>0.015</v>
      </c>
      <c r="J965" s="75">
        <f>'THAM_SO_MOI'!$C$40*('THAM_SO_MOI'!$C$23*(E965/'THAM_SO_MOI'!$C$22)+'THAM_SO_MOI'!$C$24*(E965/'THAM_SO_MOI'!$C$22)^2-'THAM_SO_MOI'!$C$25*(E965/'THAM_SO_MOI'!$C$22)^3)</f>
        <v>77.1397678647834</v>
      </c>
      <c r="K965" s="75">
        <f>'THAM_SO_MOI'!$C$31*J965/E965</f>
        <v>421.60763118350513</v>
      </c>
      <c r="L965" s="75">
        <f>K965*'THAM_SO_MOI'!$C$50*'THAM_SO_MOI'!$C$17/'THAM_SO_MOI'!$C$26</f>
        <v>15051.967354007098</v>
      </c>
      <c r="M965" s="75">
        <f>'THAM_SO_MOI'!$C$15*'THAM_SO_MOI'!$C$16*F965^2</f>
        <v>55.526169469045435</v>
      </c>
      <c r="N965" s="75">
        <f>'THAM_SO_MOI'!$C$12*I965</f>
        <v>1130.112</v>
      </c>
      <c r="O965" s="75">
        <f>M965+N965</f>
        <v>1185.6381694690456</v>
      </c>
      <c r="P965" s="75">
        <f>(MIN(L965,'THAM_SO_MOI'!$C$41)-O965)/('THAM_SO_MOI'!$C$11*H965)</f>
        <v>0.9610989985639238</v>
      </c>
      <c r="Q965" s="75">
        <f>IF(P965&gt;0,1/P965,NA())</f>
        <v>1.0404755404949981</v>
      </c>
      <c r="R965" s="75">
        <f>F965-F964</f>
        <v>0.0032106047296869278</v>
      </c>
      <c r="S965" s="75">
        <f>0.5*(Q964+Q965)*R965</f>
        <v>0.003340771395001518</v>
      </c>
      <c r="T965" s="75">
        <f>0.5*(F964*Q964+F965*Q965)*R965</f>
        <v>0.01455032277397371</v>
      </c>
      <c r="U965" s="76">
        <f>U964+S965</f>
        <v>4.58151889795897</v>
      </c>
      <c r="V965" s="76">
        <f>V964+T965</f>
        <v>14.021488277799188</v>
      </c>
    </row>
    <row r="966" spans="1:22" ht="19" customHeight="1">
      <c r="A966" s="68" t="s">
        <v>372</v>
      </c>
      <c r="B966" s="74">
        <v>2</v>
      </c>
      <c r="C966" s="68" t="s">
        <v>363</v>
      </c>
      <c r="D966" s="68" t="s">
        <v>364</v>
      </c>
      <c r="E966" s="75">
        <f>60*F966*'THAM_SO_MOI'!$C$50/(2*PI()*'THAM_SO_MOI'!$C$26)</f>
        <v>1748.811864335422</v>
      </c>
      <c r="F966" s="75">
        <f>'HANH_TRINH'!$F$826+('THAM_SO_MOI'!$F$50-'HANH_TRINH'!$F$826)*139/'THAM_SO_MOI'!$C$42</f>
        <v>4.36019417153173</v>
      </c>
      <c r="G966" s="75">
        <f>3.6*F966</f>
        <v>15.696699017514229</v>
      </c>
      <c r="H966" s="75">
        <f>'THAM_SO_MOI'!$D$50</f>
        <v>1.8785906709588276</v>
      </c>
      <c r="I966" s="75">
        <f>IF(F966&gt;'THAM_SO_MOI'!$C$14,'THAM_SO_MOI'!$C$13*(1+F966^2/1500),'THAM_SO_MOI'!$C$13)</f>
        <v>0.015</v>
      </c>
      <c r="J966" s="75">
        <f>'THAM_SO_MOI'!$C$40*('THAM_SO_MOI'!$C$23*(E966/'THAM_SO_MOI'!$C$22)+'THAM_SO_MOI'!$C$24*(E966/'THAM_SO_MOI'!$C$22)^2-'THAM_SO_MOI'!$C$25*(E966/'THAM_SO_MOI'!$C$22)^3)</f>
        <v>77.20618412586667</v>
      </c>
      <c r="K966" s="75">
        <f>'THAM_SO_MOI'!$C$31*J966/E966</f>
        <v>421.6599137301341</v>
      </c>
      <c r="L966" s="75">
        <f>K966*'THAM_SO_MOI'!$C$50*'THAM_SO_MOI'!$C$17/'THAM_SO_MOI'!$C$26</f>
        <v>15053.833912216292</v>
      </c>
      <c r="M966" s="75">
        <f>'THAM_SO_MOI'!$C$15*'THAM_SO_MOI'!$C$16*F966^2</f>
        <v>55.60803264936837</v>
      </c>
      <c r="N966" s="75">
        <f>'THAM_SO_MOI'!$C$12*I966</f>
        <v>1130.112</v>
      </c>
      <c r="O966" s="75">
        <f>M966+N966</f>
        <v>1185.7200326493685</v>
      </c>
      <c r="P966" s="75">
        <f>(MIN(L966,'THAM_SO_MOI'!$C$41)-O966)/('THAM_SO_MOI'!$C$11*H966)</f>
        <v>0.9612226988296657</v>
      </c>
      <c r="Q966" s="75">
        <f>IF(P966&gt;0,1/P966,NA())</f>
        <v>1.040341641138466</v>
      </c>
      <c r="R966" s="75">
        <f>F966-F965</f>
        <v>0.0032106047296869278</v>
      </c>
      <c r="S966" s="75">
        <f>0.5*(Q965+Q966)*R966</f>
        <v>0.003340340742483112</v>
      </c>
      <c r="T966" s="75">
        <f>0.5*(F965*Q965+F966*Q966)*R966</f>
        <v>0.01455917163435348</v>
      </c>
      <c r="U966" s="76">
        <f>U965+S966</f>
        <v>4.584859238701453</v>
      </c>
      <c r="V966" s="76">
        <f>V965+T966</f>
        <v>14.036047449433541</v>
      </c>
    </row>
    <row r="967" spans="1:22" ht="19" customHeight="1">
      <c r="A967" s="68" t="s">
        <v>372</v>
      </c>
      <c r="B967" s="74">
        <v>2</v>
      </c>
      <c r="C967" s="68" t="s">
        <v>363</v>
      </c>
      <c r="D967" s="68" t="s">
        <v>364</v>
      </c>
      <c r="E967" s="75">
        <f>60*F967*'THAM_SO_MOI'!$C$50/(2*PI()*'THAM_SO_MOI'!$C$26)</f>
        <v>1750.0995922259885</v>
      </c>
      <c r="F967" s="75">
        <f>'HANH_TRINH'!$F$826+('THAM_SO_MOI'!$F$50-'HANH_TRINH'!$F$826)*140/'THAM_SO_MOI'!$C$42</f>
        <v>4.363404776261417</v>
      </c>
      <c r="G967" s="75">
        <f>3.6*F967</f>
        <v>15.708257194541101</v>
      </c>
      <c r="H967" s="75">
        <f>'THAM_SO_MOI'!$D$50</f>
        <v>1.8785906709588276</v>
      </c>
      <c r="I967" s="75">
        <f>IF(F967&gt;'THAM_SO_MOI'!$C$14,'THAM_SO_MOI'!$C$13*(1+F967^2/1500),'THAM_SO_MOI'!$C$13)</f>
        <v>0.015</v>
      </c>
      <c r="J967" s="75">
        <f>'THAM_SO_MOI'!$C$40*('THAM_SO_MOI'!$C$23*(E967/'THAM_SO_MOI'!$C$22)+'THAM_SO_MOI'!$C$24*(E967/'THAM_SO_MOI'!$C$22)^2-'THAM_SO_MOI'!$C$25*(E967/'THAM_SO_MOI'!$C$22)^3)</f>
        <v>77.27258500707316</v>
      </c>
      <c r="K967" s="75">
        <f>'THAM_SO_MOI'!$C$31*J967/E967</f>
        <v>421.71203540243096</v>
      </c>
      <c r="L967" s="75">
        <f>K967*'THAM_SO_MOI'!$C$50*'THAM_SO_MOI'!$C$17/'THAM_SO_MOI'!$C$26</f>
        <v>15055.694726992453</v>
      </c>
      <c r="M967" s="75">
        <f>'THAM_SO_MOI'!$C$15*'THAM_SO_MOI'!$C$16*F967^2</f>
        <v>55.689956131390275</v>
      </c>
      <c r="N967" s="75">
        <f>'THAM_SO_MOI'!$C$12*I967</f>
        <v>1130.112</v>
      </c>
      <c r="O967" s="75">
        <f>M967+N967</f>
        <v>1185.8019561313904</v>
      </c>
      <c r="P967" s="75">
        <f>(MIN(L967,'THAM_SO_MOI'!$C$41)-O967)/('THAM_SO_MOI'!$C$11*H967)</f>
        <v>0.9613459968286241</v>
      </c>
      <c r="Q967" s="75">
        <f>IF(P967&gt;0,1/P967,NA())</f>
        <v>1.0402082115064621</v>
      </c>
      <c r="R967" s="75">
        <f>F967-F966</f>
        <v>0.0032106047296869278</v>
      </c>
      <c r="S967" s="75">
        <f>0.5*(Q966+Q967)*R967</f>
        <v>0.003339911598625624</v>
      </c>
      <c r="T967" s="75">
        <f>0.5*(F966*Q966+F967*Q967)*R967</f>
        <v>0.014568024309898725</v>
      </c>
      <c r="U967" s="76">
        <f>U966+S967</f>
        <v>4.5881991503000785</v>
      </c>
      <c r="V967" s="76">
        <f>V966+T967</f>
        <v>14.05061547374344</v>
      </c>
    </row>
    <row r="968" spans="1:22" ht="19" customHeight="1">
      <c r="A968" s="68" t="s">
        <v>372</v>
      </c>
      <c r="B968" s="74">
        <v>2</v>
      </c>
      <c r="C968" s="68" t="s">
        <v>363</v>
      </c>
      <c r="D968" s="68" t="s">
        <v>364</v>
      </c>
      <c r="E968" s="75">
        <f>60*F968*'THAM_SO_MOI'!$C$50/(2*PI()*'THAM_SO_MOI'!$C$26)</f>
        <v>1751.3873201165554</v>
      </c>
      <c r="F968" s="75">
        <f>'HANH_TRINH'!$F$826+('THAM_SO_MOI'!$F$50-'HANH_TRINH'!$F$826)*141/'THAM_SO_MOI'!$C$42</f>
        <v>4.366615380991104</v>
      </c>
      <c r="G968" s="75">
        <f>3.6*F968</f>
        <v>15.719815371567975</v>
      </c>
      <c r="H968" s="75">
        <f>'THAM_SO_MOI'!$D$50</f>
        <v>1.8785906709588276</v>
      </c>
      <c r="I968" s="75">
        <f>IF(F968&gt;'THAM_SO_MOI'!$C$14,'THAM_SO_MOI'!$C$13*(1+F968^2/1500),'THAM_SO_MOI'!$C$13)</f>
        <v>0.015</v>
      </c>
      <c r="J968" s="75">
        <f>'THAM_SO_MOI'!$C$40*('THAM_SO_MOI'!$C$23*(E968/'THAM_SO_MOI'!$C$22)+'THAM_SO_MOI'!$C$24*(E968/'THAM_SO_MOI'!$C$22)^2-'THAM_SO_MOI'!$C$25*(E968/'THAM_SO_MOI'!$C$22)^3)</f>
        <v>77.33897044333317</v>
      </c>
      <c r="K968" s="75">
        <f>'THAM_SO_MOI'!$C$31*J968/E968</f>
        <v>421.7639962003956</v>
      </c>
      <c r="L968" s="75">
        <f>K968*'THAM_SO_MOI'!$C$50*'THAM_SO_MOI'!$C$17/'THAM_SO_MOI'!$C$26</f>
        <v>15057.54979833558</v>
      </c>
      <c r="M968" s="75">
        <f>'THAM_SO_MOI'!$C$15*'THAM_SO_MOI'!$C$16*F968^2</f>
        <v>55.771939915111155</v>
      </c>
      <c r="N968" s="75">
        <f>'THAM_SO_MOI'!$C$12*I968</f>
        <v>1130.112</v>
      </c>
      <c r="O968" s="75">
        <f>M968+N968</f>
        <v>1185.8839399151113</v>
      </c>
      <c r="P968" s="75">
        <f>(MIN(L968,'THAM_SO_MOI'!$C$41)-O968)/('THAM_SO_MOI'!$C$11*H968)</f>
        <v>0.9614688925607987</v>
      </c>
      <c r="Q968" s="75">
        <f>IF(P968&gt;0,1/P968,NA())</f>
        <v>1.040075251250799</v>
      </c>
      <c r="R968" s="75">
        <f>F968-F967</f>
        <v>0.0032106047296869278</v>
      </c>
      <c r="S968" s="75">
        <f>0.5*(Q967+Q968)*R968</f>
        <v>0.003339483962308981</v>
      </c>
      <c r="T968" s="75">
        <f>0.5*(F967*Q967+F968*Q968)*R968</f>
        <v>0.014576880810251457</v>
      </c>
      <c r="U968" s="76">
        <f>U967+S968</f>
        <v>4.591538634262387</v>
      </c>
      <c r="V968" s="76">
        <f>V967+T968</f>
        <v>14.065192354553691</v>
      </c>
    </row>
    <row r="969" spans="1:22" ht="19" customHeight="1">
      <c r="A969" s="68" t="s">
        <v>372</v>
      </c>
      <c r="B969" s="74">
        <v>2</v>
      </c>
      <c r="C969" s="68" t="s">
        <v>363</v>
      </c>
      <c r="D969" s="68" t="s">
        <v>364</v>
      </c>
      <c r="E969" s="75">
        <f>60*F969*'THAM_SO_MOI'!$C$50/(2*PI()*'THAM_SO_MOI'!$C$26)</f>
        <v>1752.675048007122</v>
      </c>
      <c r="F969" s="75">
        <f>'HANH_TRINH'!$F$826+('THAM_SO_MOI'!$F$50-'HANH_TRINH'!$F$826)*142/'THAM_SO_MOI'!$C$42</f>
        <v>4.369825985720791</v>
      </c>
      <c r="G969" s="75">
        <f>3.6*F969</f>
        <v>15.731373548594847</v>
      </c>
      <c r="H969" s="75">
        <f>'THAM_SO_MOI'!$D$50</f>
        <v>1.8785906709588276</v>
      </c>
      <c r="I969" s="75">
        <f>IF(F969&gt;'THAM_SO_MOI'!$C$14,'THAM_SO_MOI'!$C$13*(1+F969^2/1500),'THAM_SO_MOI'!$C$13)</f>
        <v>0.015</v>
      </c>
      <c r="J969" s="75">
        <f>'THAM_SO_MOI'!$C$40*('THAM_SO_MOI'!$C$23*(E969/'THAM_SO_MOI'!$C$22)+'THAM_SO_MOI'!$C$24*(E969/'THAM_SO_MOI'!$C$22)^2-'THAM_SO_MOI'!$C$25*(E969/'THAM_SO_MOI'!$C$22)^3)</f>
        <v>77.40534036957696</v>
      </c>
      <c r="K969" s="75">
        <f>'THAM_SO_MOI'!$C$31*J969/E969</f>
        <v>421.81579612402794</v>
      </c>
      <c r="L969" s="75">
        <f>K969*'THAM_SO_MOI'!$C$50*'THAM_SO_MOI'!$C$17/'THAM_SO_MOI'!$C$26</f>
        <v>15059.399126245668</v>
      </c>
      <c r="M969" s="75">
        <f>'THAM_SO_MOI'!$C$15*'THAM_SO_MOI'!$C$16*F969^2</f>
        <v>55.853984000531</v>
      </c>
      <c r="N969" s="75">
        <f>'THAM_SO_MOI'!$C$12*I969</f>
        <v>1130.112</v>
      </c>
      <c r="O969" s="75">
        <f>M969+N969</f>
        <v>1185.965984000531</v>
      </c>
      <c r="P969" s="75">
        <f>(MIN(L969,'THAM_SO_MOI'!$C$41)-O969)/('THAM_SO_MOI'!$C$11*H969)</f>
        <v>0.9615913860261898</v>
      </c>
      <c r="Q969" s="75">
        <f>IF(P969&gt;0,1/P969,NA())</f>
        <v>1.0399427600246454</v>
      </c>
      <c r="R969" s="75">
        <f>F969-F968</f>
        <v>0.0032106047296869278</v>
      </c>
      <c r="S969" s="75">
        <f>0.5*(Q968+Q969)*R969</f>
        <v>0.00333905783241747</v>
      </c>
      <c r="T969" s="75">
        <f>0.5*(F968*Q968+F969*Q969)*R969</f>
        <v>0.014585741145058348</v>
      </c>
      <c r="U969" s="76">
        <f>U968+S969</f>
        <v>4.594877692094805</v>
      </c>
      <c r="V969" s="76">
        <f>V968+T969</f>
        <v>14.07977809569875</v>
      </c>
    </row>
    <row r="970" spans="1:22" ht="19" customHeight="1">
      <c r="A970" s="68" t="s">
        <v>372</v>
      </c>
      <c r="B970" s="74">
        <v>2</v>
      </c>
      <c r="C970" s="68" t="s">
        <v>363</v>
      </c>
      <c r="D970" s="68" t="s">
        <v>364</v>
      </c>
      <c r="E970" s="75">
        <f>60*F970*'THAM_SO_MOI'!$C$50/(2*PI()*'THAM_SO_MOI'!$C$26)</f>
        <v>1753.9627758976887</v>
      </c>
      <c r="F970" s="75">
        <f>'HANH_TRINH'!$F$826+('THAM_SO_MOI'!$F$50-'HANH_TRINH'!$F$826)*143/'THAM_SO_MOI'!$C$42</f>
        <v>4.373036590450478</v>
      </c>
      <c r="G970" s="75">
        <f>3.6*F970</f>
        <v>15.74293172562172</v>
      </c>
      <c r="H970" s="75">
        <f>'THAM_SO_MOI'!$D$50</f>
        <v>1.8785906709588276</v>
      </c>
      <c r="I970" s="75">
        <f>IF(F970&gt;'THAM_SO_MOI'!$C$14,'THAM_SO_MOI'!$C$13*(1+F970^2/1500),'THAM_SO_MOI'!$C$13)</f>
        <v>0.015</v>
      </c>
      <c r="J970" s="75">
        <f>'THAM_SO_MOI'!$C$40*('THAM_SO_MOI'!$C$23*(E970/'THAM_SO_MOI'!$C$22)+'THAM_SO_MOI'!$C$24*(E970/'THAM_SO_MOI'!$C$22)^2-'THAM_SO_MOI'!$C$25*(E970/'THAM_SO_MOI'!$C$22)^3)</f>
        <v>77.4716947207349</v>
      </c>
      <c r="K970" s="75">
        <f>'THAM_SO_MOI'!$C$31*J970/E970</f>
        <v>421.8674351733282</v>
      </c>
      <c r="L970" s="75">
        <f>K970*'THAM_SO_MOI'!$C$50*'THAM_SO_MOI'!$C$17/'THAM_SO_MOI'!$C$26</f>
        <v>15061.242710722727</v>
      </c>
      <c r="M970" s="75">
        <f>'THAM_SO_MOI'!$C$15*'THAM_SO_MOI'!$C$16*F970^2</f>
        <v>55.93608838764982</v>
      </c>
      <c r="N970" s="75">
        <f>'THAM_SO_MOI'!$C$12*I970</f>
        <v>1130.112</v>
      </c>
      <c r="O970" s="75">
        <f>M970+N970</f>
        <v>1186.0480883876498</v>
      </c>
      <c r="P970" s="75">
        <f>(MIN(L970,'THAM_SO_MOI'!$C$41)-O970)/('THAM_SO_MOI'!$C$11*H970)</f>
        <v>0.9617134772247976</v>
      </c>
      <c r="Q970" s="75">
        <f>IF(P970&gt;0,1/P970,NA())</f>
        <v>1.0398107374825247</v>
      </c>
      <c r="R970" s="75">
        <f>F970-F969</f>
        <v>0.0032106047296869278</v>
      </c>
      <c r="S970" s="75">
        <f>0.5*(Q969+Q970)*R970</f>
        <v>0.0033386332078397247</v>
      </c>
      <c r="T970" s="75">
        <f>0.5*(F969*Q969+F970*Q970)*R970</f>
        <v>0.014594605323970763</v>
      </c>
      <c r="U970" s="76">
        <f>U969+S970</f>
        <v>4.598216325302644</v>
      </c>
      <c r="V970" s="76">
        <f>V969+T970</f>
        <v>14.09437270102272</v>
      </c>
    </row>
    <row r="971" spans="1:22" ht="19" customHeight="1">
      <c r="A971" s="68" t="s">
        <v>372</v>
      </c>
      <c r="B971" s="74">
        <v>2</v>
      </c>
      <c r="C971" s="68" t="s">
        <v>363</v>
      </c>
      <c r="D971" s="68" t="s">
        <v>364</v>
      </c>
      <c r="E971" s="75">
        <f>60*F971*'THAM_SO_MOI'!$C$50/(2*PI()*'THAM_SO_MOI'!$C$26)</f>
        <v>1755.250503788255</v>
      </c>
      <c r="F971" s="75">
        <f>'HANH_TRINH'!$F$826+('THAM_SO_MOI'!$F$50-'HANH_TRINH'!$F$826)*144/'THAM_SO_MOI'!$C$42</f>
        <v>4.376247195180164</v>
      </c>
      <c r="G971" s="75">
        <f>3.6*F971</f>
        <v>15.75448990264859</v>
      </c>
      <c r="H971" s="75">
        <f>'THAM_SO_MOI'!$D$50</f>
        <v>1.8785906709588276</v>
      </c>
      <c r="I971" s="75">
        <f>IF(F971&gt;'THAM_SO_MOI'!$C$14,'THAM_SO_MOI'!$C$13*(1+F971^2/1500),'THAM_SO_MOI'!$C$13)</f>
        <v>0.015</v>
      </c>
      <c r="J971" s="75">
        <f>'THAM_SO_MOI'!$C$40*('THAM_SO_MOI'!$C$23*(E971/'THAM_SO_MOI'!$C$22)+'THAM_SO_MOI'!$C$24*(E971/'THAM_SO_MOI'!$C$22)^2-'THAM_SO_MOI'!$C$25*(E971/'THAM_SO_MOI'!$C$22)^3)</f>
        <v>77.53803343173719</v>
      </c>
      <c r="K971" s="75">
        <f>'THAM_SO_MOI'!$C$31*J971/E971</f>
        <v>421.918913348296</v>
      </c>
      <c r="L971" s="75">
        <f>K971*'THAM_SO_MOI'!$C$50*'THAM_SO_MOI'!$C$17/'THAM_SO_MOI'!$C$26</f>
        <v>15063.080551766741</v>
      </c>
      <c r="M971" s="75">
        <f>'THAM_SO_MOI'!$C$15*'THAM_SO_MOI'!$C$16*F971^2</f>
        <v>56.018253076467595</v>
      </c>
      <c r="N971" s="75">
        <f>'THAM_SO_MOI'!$C$12*I971</f>
        <v>1130.112</v>
      </c>
      <c r="O971" s="75">
        <f>M971+N971</f>
        <v>1186.1302530764676</v>
      </c>
      <c r="P971" s="75">
        <f>(MIN(L971,'THAM_SO_MOI'!$C$41)-O971)/('THAM_SO_MOI'!$C$11*H971)</f>
        <v>0.9618351661566213</v>
      </c>
      <c r="Q971" s="75">
        <f>IF(P971&gt;0,1/P971,NA())</f>
        <v>1.0396791832803127</v>
      </c>
      <c r="R971" s="75">
        <f>F971-F970</f>
        <v>0.0032106047296860396</v>
      </c>
      <c r="S971" s="75">
        <f>0.5*(Q970+Q971)*R971</f>
        <v>0.0033382100874678063</v>
      </c>
      <c r="T971" s="75">
        <f>0.5*(F970*Q970+F971*Q971)*R971</f>
        <v>0.014603473356640752</v>
      </c>
      <c r="U971" s="76">
        <f>U970+S971</f>
        <v>4.601554535390112</v>
      </c>
      <c r="V971" s="76">
        <f>V970+T971</f>
        <v>14.108976174379361</v>
      </c>
    </row>
    <row r="972" spans="1:22" ht="19" customHeight="1">
      <c r="A972" s="68" t="s">
        <v>372</v>
      </c>
      <c r="B972" s="74">
        <v>2</v>
      </c>
      <c r="C972" s="68" t="s">
        <v>363</v>
      </c>
      <c r="D972" s="68" t="s">
        <v>364</v>
      </c>
      <c r="E972" s="75">
        <f>60*F972*'THAM_SO_MOI'!$C$50/(2*PI()*'THAM_SO_MOI'!$C$26)</f>
        <v>1756.5382316788218</v>
      </c>
      <c r="F972" s="75">
        <f>'HANH_TRINH'!$F$826+('THAM_SO_MOI'!$F$50-'HANH_TRINH'!$F$826)*145/'THAM_SO_MOI'!$C$42</f>
        <v>4.379457799909851</v>
      </c>
      <c r="G972" s="75">
        <f>3.6*F972</f>
        <v>15.766048079675462</v>
      </c>
      <c r="H972" s="75">
        <f>'THAM_SO_MOI'!$D$50</f>
        <v>1.8785906709588276</v>
      </c>
      <c r="I972" s="75">
        <f>IF(F972&gt;'THAM_SO_MOI'!$C$14,'THAM_SO_MOI'!$C$13*(1+F972^2/1500),'THAM_SO_MOI'!$C$13)</f>
        <v>0.015</v>
      </c>
      <c r="J972" s="75">
        <f>'THAM_SO_MOI'!$C$40*('THAM_SO_MOI'!$C$23*(E972/'THAM_SO_MOI'!$C$22)+'THAM_SO_MOI'!$C$24*(E972/'THAM_SO_MOI'!$C$22)^2-'THAM_SO_MOI'!$C$25*(E972/'THAM_SO_MOI'!$C$22)^3)</f>
        <v>77.60435643751424</v>
      </c>
      <c r="K972" s="75">
        <f>'THAM_SO_MOI'!$C$31*J972/E972</f>
        <v>421.9702306489317</v>
      </c>
      <c r="L972" s="75">
        <f>K972*'THAM_SO_MOI'!$C$50*'THAM_SO_MOI'!$C$17/'THAM_SO_MOI'!$C$26</f>
        <v>15064.912649377728</v>
      </c>
      <c r="M972" s="75">
        <f>'THAM_SO_MOI'!$C$15*'THAM_SO_MOI'!$C$16*F972^2</f>
        <v>56.10047806698436</v>
      </c>
      <c r="N972" s="75">
        <f>'THAM_SO_MOI'!$C$12*I972</f>
        <v>1130.112</v>
      </c>
      <c r="O972" s="75">
        <f>M972+N972</f>
        <v>1186.2124780669844</v>
      </c>
      <c r="P972" s="75">
        <f>(MIN(L972,'THAM_SO_MOI'!$C$41)-O972)/('THAM_SO_MOI'!$C$11*H972)</f>
        <v>0.9619564528216619</v>
      </c>
      <c r="Q972" s="75">
        <f>IF(P972&gt;0,1/P972,NA())</f>
        <v>1.0395480970752333</v>
      </c>
      <c r="R972" s="75">
        <f>F972-F971</f>
        <v>0.0032106047296869278</v>
      </c>
      <c r="S972" s="75">
        <f>0.5*(Q971+Q972)*R972</f>
        <v>0.0033377884702018024</v>
      </c>
      <c r="T972" s="75">
        <f>0.5*(F971*Q971+F972*Q972)*R972</f>
        <v>0.014612345252741304</v>
      </c>
      <c r="U972" s="76">
        <f>U971+S972</f>
        <v>4.604892323860314</v>
      </c>
      <c r="V972" s="76">
        <f>V971+T972</f>
        <v>14.123588519632102</v>
      </c>
    </row>
    <row r="973" spans="1:22" ht="19" customHeight="1">
      <c r="A973" s="68" t="s">
        <v>372</v>
      </c>
      <c r="B973" s="74">
        <v>2</v>
      </c>
      <c r="C973" s="68" t="s">
        <v>363</v>
      </c>
      <c r="D973" s="68" t="s">
        <v>364</v>
      </c>
      <c r="E973" s="75">
        <f>60*F973*'THAM_SO_MOI'!$C$50/(2*PI()*'THAM_SO_MOI'!$C$26)</f>
        <v>1757.8259595693887</v>
      </c>
      <c r="F973" s="75">
        <f>'HANH_TRINH'!$F$826+('THAM_SO_MOI'!$F$50-'HANH_TRINH'!$F$826)*146/'THAM_SO_MOI'!$C$42</f>
        <v>4.382668404639538</v>
      </c>
      <c r="G973" s="75">
        <f>3.6*F973</f>
        <v>15.777606256702336</v>
      </c>
      <c r="H973" s="75">
        <f>'THAM_SO_MOI'!$D$50</f>
        <v>1.8785906709588276</v>
      </c>
      <c r="I973" s="75">
        <f>IF(F973&gt;'THAM_SO_MOI'!$C$14,'THAM_SO_MOI'!$C$13*(1+F973^2/1500),'THAM_SO_MOI'!$C$13)</f>
        <v>0.015</v>
      </c>
      <c r="J973" s="75">
        <f>'THAM_SO_MOI'!$C$40*('THAM_SO_MOI'!$C$23*(E973/'THAM_SO_MOI'!$C$22)+'THAM_SO_MOI'!$C$24*(E973/'THAM_SO_MOI'!$C$22)^2-'THAM_SO_MOI'!$C$25*(E973/'THAM_SO_MOI'!$C$22)^3)</f>
        <v>77.67066367299631</v>
      </c>
      <c r="K973" s="75">
        <f>'THAM_SO_MOI'!$C$31*J973/E973</f>
        <v>422.02138707523517</v>
      </c>
      <c r="L973" s="75">
        <f>K973*'THAM_SO_MOI'!$C$50*'THAM_SO_MOI'!$C$17/'THAM_SO_MOI'!$C$26</f>
        <v>15066.739003555675</v>
      </c>
      <c r="M973" s="75">
        <f>'THAM_SO_MOI'!$C$15*'THAM_SO_MOI'!$C$16*F973^2</f>
        <v>56.18276335920009</v>
      </c>
      <c r="N973" s="75">
        <f>'THAM_SO_MOI'!$C$12*I973</f>
        <v>1130.112</v>
      </c>
      <c r="O973" s="75">
        <f>M973+N973</f>
        <v>1186.2947633592003</v>
      </c>
      <c r="P973" s="75">
        <f>(MIN(L973,'THAM_SO_MOI'!$C$41)-O973)/('THAM_SO_MOI'!$C$11*H973)</f>
        <v>0.9620773372199186</v>
      </c>
      <c r="Q973" s="75">
        <f>IF(P973&gt;0,1/P973,NA())</f>
        <v>1.0394174785258585</v>
      </c>
      <c r="R973" s="75">
        <f>F973-F972</f>
        <v>0.0032106047296869278</v>
      </c>
      <c r="S973" s="75">
        <f>0.5*(Q972+Q973)*R973</f>
        <v>0.003337368354940586</v>
      </c>
      <c r="T973" s="75">
        <f>0.5*(F972*Q972+F973*Q973)*R973</f>
        <v>0.014621221021925958</v>
      </c>
      <c r="U973" s="76">
        <f>U972+S973</f>
        <v>4.608229692215255</v>
      </c>
      <c r="V973" s="76">
        <f>V972+T973</f>
        <v>14.138209740654029</v>
      </c>
    </row>
    <row r="974" spans="1:22" ht="19" customHeight="1">
      <c r="A974" s="68" t="s">
        <v>372</v>
      </c>
      <c r="B974" s="74">
        <v>2</v>
      </c>
      <c r="C974" s="68" t="s">
        <v>363</v>
      </c>
      <c r="D974" s="68" t="s">
        <v>364</v>
      </c>
      <c r="E974" s="75">
        <f>60*F974*'THAM_SO_MOI'!$C$50/(2*PI()*'THAM_SO_MOI'!$C$26)</f>
        <v>1759.1136874599554</v>
      </c>
      <c r="F974" s="75">
        <f>'HANH_TRINH'!$F$826+('THAM_SO_MOI'!$F$50-'HANH_TRINH'!$F$826)*147/'THAM_SO_MOI'!$C$42</f>
        <v>4.385879009369225</v>
      </c>
      <c r="G974" s="75">
        <f>3.6*F974</f>
        <v>15.789164433729209</v>
      </c>
      <c r="H974" s="75">
        <f>'THAM_SO_MOI'!$D$50</f>
        <v>1.8785906709588276</v>
      </c>
      <c r="I974" s="75">
        <f>IF(F974&gt;'THAM_SO_MOI'!$C$14,'THAM_SO_MOI'!$C$13*(1+F974^2/1500),'THAM_SO_MOI'!$C$13)</f>
        <v>0.015</v>
      </c>
      <c r="J974" s="75">
        <f>'THAM_SO_MOI'!$C$40*('THAM_SO_MOI'!$C$23*(E974/'THAM_SO_MOI'!$C$22)+'THAM_SO_MOI'!$C$24*(E974/'THAM_SO_MOI'!$C$22)^2-'THAM_SO_MOI'!$C$25*(E974/'THAM_SO_MOI'!$C$22)^3)</f>
        <v>77.73695507311366</v>
      </c>
      <c r="K974" s="75">
        <f>'THAM_SO_MOI'!$C$31*J974/E974</f>
        <v>422.07238262720625</v>
      </c>
      <c r="L974" s="75">
        <f>K974*'THAM_SO_MOI'!$C$50*'THAM_SO_MOI'!$C$17/'THAM_SO_MOI'!$C$26</f>
        <v>15068.559614300584</v>
      </c>
      <c r="M974" s="75">
        <f>'THAM_SO_MOI'!$C$15*'THAM_SO_MOI'!$C$16*F974^2</f>
        <v>56.2651089531148</v>
      </c>
      <c r="N974" s="75">
        <f>'THAM_SO_MOI'!$C$12*I974</f>
        <v>1130.112</v>
      </c>
      <c r="O974" s="75">
        <f>M974+N974</f>
        <v>1186.3771089531149</v>
      </c>
      <c r="P974" s="75">
        <f>(MIN(L974,'THAM_SO_MOI'!$C$41)-O974)/('THAM_SO_MOI'!$C$11*H974)</f>
        <v>0.9621978193513916</v>
      </c>
      <c r="Q974" s="75">
        <f>IF(P974&gt;0,1/P974,NA())</f>
        <v>1.0392873272921055</v>
      </c>
      <c r="R974" s="75">
        <f>F974-F973</f>
        <v>0.0032106047296869278</v>
      </c>
      <c r="S974" s="75">
        <f>0.5*(Q973+Q974)*R974</f>
        <v>0.0033369497405910512</v>
      </c>
      <c r="T974" s="75">
        <f>0.5*(F973*Q973+F974*Q974)*R974</f>
        <v>0.014630100673869268</v>
      </c>
      <c r="U974" s="76">
        <f>U973+S974</f>
        <v>4.611566641955846</v>
      </c>
      <c r="V974" s="76">
        <f>V973+T974</f>
        <v>14.152839841327898</v>
      </c>
    </row>
    <row r="975" spans="1:22" ht="19" customHeight="1">
      <c r="A975" s="68" t="s">
        <v>372</v>
      </c>
      <c r="B975" s="74">
        <v>2</v>
      </c>
      <c r="C975" s="68" t="s">
        <v>363</v>
      </c>
      <c r="D975" s="68" t="s">
        <v>364</v>
      </c>
      <c r="E975" s="75">
        <f>60*F975*'THAM_SO_MOI'!$C$50/(2*PI()*'THAM_SO_MOI'!$C$26)</f>
        <v>1760.4014153505223</v>
      </c>
      <c r="F975" s="75">
        <f>'HANH_TRINH'!$F$826+('THAM_SO_MOI'!$F$50-'HANH_TRINH'!$F$826)*148/'THAM_SO_MOI'!$C$42</f>
        <v>4.3890896140989115</v>
      </c>
      <c r="G975" s="75">
        <f>3.6*F975</f>
        <v>15.800722610756083</v>
      </c>
      <c r="H975" s="75">
        <f>'THAM_SO_MOI'!$D$50</f>
        <v>1.8785906709588276</v>
      </c>
      <c r="I975" s="75">
        <f>IF(F975&gt;'THAM_SO_MOI'!$C$14,'THAM_SO_MOI'!$C$13*(1+F975^2/1500),'THAM_SO_MOI'!$C$13)</f>
        <v>0.015</v>
      </c>
      <c r="J975" s="75">
        <f>'THAM_SO_MOI'!$C$40*('THAM_SO_MOI'!$C$23*(E975/'THAM_SO_MOI'!$C$22)+'THAM_SO_MOI'!$C$24*(E975/'THAM_SO_MOI'!$C$22)^2-'THAM_SO_MOI'!$C$25*(E975/'THAM_SO_MOI'!$C$22)^3)</f>
        <v>77.80323057279665</v>
      </c>
      <c r="K975" s="75">
        <f>'THAM_SO_MOI'!$C$31*J975/E975</f>
        <v>422.12321730484524</v>
      </c>
      <c r="L975" s="75">
        <f>K975*'THAM_SO_MOI'!$C$50*'THAM_SO_MOI'!$C$17/'THAM_SO_MOI'!$C$26</f>
        <v>15070.374481612464</v>
      </c>
      <c r="M975" s="75">
        <f>'THAM_SO_MOI'!$C$15*'THAM_SO_MOI'!$C$16*F975^2</f>
        <v>56.34751484872848</v>
      </c>
      <c r="N975" s="75">
        <f>'THAM_SO_MOI'!$C$12*I975</f>
        <v>1130.112</v>
      </c>
      <c r="O975" s="75">
        <f>M975+N975</f>
        <v>1186.4595148487285</v>
      </c>
      <c r="P975" s="75">
        <f>(MIN(L975,'THAM_SO_MOI'!$C$41)-O975)/('THAM_SO_MOI'!$C$11*H975)</f>
        <v>0.9623178992160816</v>
      </c>
      <c r="Q975" s="75">
        <f>IF(P975&gt;0,1/P975,NA())</f>
        <v>1.0391576430352327</v>
      </c>
      <c r="R975" s="75">
        <f>F975-F974</f>
        <v>0.0032106047296869278</v>
      </c>
      <c r="S975" s="75">
        <f>0.5*(Q974+Q975)*R975</f>
        <v>0.003336532626063479</v>
      </c>
      <c r="T975" s="75">
        <f>0.5*(F974*Q974+F975*Q975)*R975</f>
        <v>0.014638984218246618</v>
      </c>
      <c r="U975" s="76">
        <f>U974+S975</f>
        <v>4.614903174581909</v>
      </c>
      <c r="V975" s="76">
        <f>V974+T975</f>
        <v>14.167478825546144</v>
      </c>
    </row>
    <row r="976" spans="1:22" ht="19" customHeight="1">
      <c r="A976" s="68" t="s">
        <v>372</v>
      </c>
      <c r="B976" s="74">
        <v>2</v>
      </c>
      <c r="C976" s="68" t="s">
        <v>363</v>
      </c>
      <c r="D976" s="68" t="s">
        <v>364</v>
      </c>
      <c r="E976" s="75">
        <f>60*F976*'THAM_SO_MOI'!$C$50/(2*PI()*'THAM_SO_MOI'!$C$26)</f>
        <v>1761.689143241089</v>
      </c>
      <c r="F976" s="75">
        <f>'HANH_TRINH'!$F$826+('THAM_SO_MOI'!$F$50-'HANH_TRINH'!$F$826)*149/'THAM_SO_MOI'!$C$42</f>
        <v>4.3923002188285984</v>
      </c>
      <c r="G976" s="75">
        <f>3.6*F976</f>
        <v>15.812280787782955</v>
      </c>
      <c r="H976" s="75">
        <f>'THAM_SO_MOI'!$D$50</f>
        <v>1.8785906709588276</v>
      </c>
      <c r="I976" s="75">
        <f>IF(F976&gt;'THAM_SO_MOI'!$C$14,'THAM_SO_MOI'!$C$13*(1+F976^2/1500),'THAM_SO_MOI'!$C$13)</f>
        <v>0.015</v>
      </c>
      <c r="J976" s="75">
        <f>'THAM_SO_MOI'!$C$40*('THAM_SO_MOI'!$C$23*(E976/'THAM_SO_MOI'!$C$22)+'THAM_SO_MOI'!$C$24*(E976/'THAM_SO_MOI'!$C$22)^2-'THAM_SO_MOI'!$C$25*(E976/'THAM_SO_MOI'!$C$22)^3)</f>
        <v>77.86949010697552</v>
      </c>
      <c r="K976" s="75">
        <f>'THAM_SO_MOI'!$C$31*J976/E976</f>
        <v>422.1738911081518</v>
      </c>
      <c r="L976" s="75">
        <f>K976*'THAM_SO_MOI'!$C$50*'THAM_SO_MOI'!$C$17/'THAM_SO_MOI'!$C$26</f>
        <v>15072.1836054913</v>
      </c>
      <c r="M976" s="75">
        <f>'THAM_SO_MOI'!$C$15*'THAM_SO_MOI'!$C$16*F976^2</f>
        <v>56.429981046041135</v>
      </c>
      <c r="N976" s="75">
        <f>'THAM_SO_MOI'!$C$12*I976</f>
        <v>1130.112</v>
      </c>
      <c r="O976" s="75">
        <f>M976+N976</f>
        <v>1186.5419810460412</v>
      </c>
      <c r="P976" s="75">
        <f>(MIN(L976,'THAM_SO_MOI'!$C$41)-O976)/('THAM_SO_MOI'!$C$11*H976)</f>
        <v>0.9624375768139873</v>
      </c>
      <c r="Q976" s="75">
        <f>IF(P976&gt;0,1/P976,NA())</f>
        <v>1.0390284254178415</v>
      </c>
      <c r="R976" s="75">
        <f>F976-F975</f>
        <v>0.0032106047296869278</v>
      </c>
      <c r="S976" s="75">
        <f>0.5*(Q975+Q976)*R976</f>
        <v>0.0033361170102724604</v>
      </c>
      <c r="T976" s="75">
        <f>0.5*(F975*Q975+F976*Q976)*R976</f>
        <v>0.014647871664738311</v>
      </c>
      <c r="U976" s="76">
        <f>U975+S976</f>
        <v>4.6182392915921815</v>
      </c>
      <c r="V976" s="76">
        <f>V975+T976</f>
        <v>14.182126697210883</v>
      </c>
    </row>
    <row r="977" spans="1:22" ht="19" customHeight="1">
      <c r="A977" s="68" t="s">
        <v>372</v>
      </c>
      <c r="B977" s="74">
        <v>2</v>
      </c>
      <c r="C977" s="68" t="s">
        <v>363</v>
      </c>
      <c r="D977" s="68" t="s">
        <v>364</v>
      </c>
      <c r="E977" s="75">
        <f>60*F977*'THAM_SO_MOI'!$C$50/(2*PI()*'THAM_SO_MOI'!$C$26)</f>
        <v>1762.9768711316556</v>
      </c>
      <c r="F977" s="75">
        <f>'HANH_TRINH'!$F$826+('THAM_SO_MOI'!$F$50-'HANH_TRINH'!$F$826)*150/'THAM_SO_MOI'!$C$42</f>
        <v>4.395510823558285</v>
      </c>
      <c r="G977" s="75">
        <f>3.6*F977</f>
        <v>15.823838964809827</v>
      </c>
      <c r="H977" s="75">
        <f>'THAM_SO_MOI'!$D$50</f>
        <v>1.8785906709588276</v>
      </c>
      <c r="I977" s="75">
        <f>IF(F977&gt;'THAM_SO_MOI'!$C$14,'THAM_SO_MOI'!$C$13*(1+F977^2/1500),'THAM_SO_MOI'!$C$13)</f>
        <v>0.015</v>
      </c>
      <c r="J977" s="75">
        <f>'THAM_SO_MOI'!$C$40*('THAM_SO_MOI'!$C$23*(E977/'THAM_SO_MOI'!$C$22)+'THAM_SO_MOI'!$C$24*(E977/'THAM_SO_MOI'!$C$22)^2-'THAM_SO_MOI'!$C$25*(E977/'THAM_SO_MOI'!$C$22)^3)</f>
        <v>77.93573361058063</v>
      </c>
      <c r="K977" s="75">
        <f>'THAM_SO_MOI'!$C$31*J977/E977</f>
        <v>422.2244040371262</v>
      </c>
      <c r="L977" s="75">
        <f>K977*'THAM_SO_MOI'!$C$50*'THAM_SO_MOI'!$C$17/'THAM_SO_MOI'!$C$26</f>
        <v>15073.986985937105</v>
      </c>
      <c r="M977" s="75">
        <f>'THAM_SO_MOI'!$C$15*'THAM_SO_MOI'!$C$16*F977^2</f>
        <v>56.512507545052756</v>
      </c>
      <c r="N977" s="75">
        <f>'THAM_SO_MOI'!$C$12*I977</f>
        <v>1130.112</v>
      </c>
      <c r="O977" s="75">
        <f>M977+N977</f>
        <v>1186.624507545053</v>
      </c>
      <c r="P977" s="75">
        <f>(MIN(L977,'THAM_SO_MOI'!$C$41)-O977)/('THAM_SO_MOI'!$C$11*H977)</f>
        <v>0.9625568521451097</v>
      </c>
      <c r="Q977" s="75">
        <f>IF(P977&gt;0,1/P977,NA())</f>
        <v>1.0388996741038685</v>
      </c>
      <c r="R977" s="75">
        <f>F977-F976</f>
        <v>0.0032106047296869278</v>
      </c>
      <c r="S977" s="75">
        <f>0.5*(Q976+Q977)*R977</f>
        <v>0.0033357028921368855</v>
      </c>
      <c r="T977" s="75">
        <f>0.5*(F976*Q976+F977*Q977)*R977</f>
        <v>0.014656763023029613</v>
      </c>
      <c r="U977" s="76">
        <f>U976+S977</f>
        <v>4.621574994484319</v>
      </c>
      <c r="V977" s="76">
        <f>V976+T977</f>
        <v>14.196783460233913</v>
      </c>
    </row>
    <row r="978" spans="1:22" ht="19" customHeight="1">
      <c r="A978" s="68" t="s">
        <v>372</v>
      </c>
      <c r="B978" s="74">
        <v>2</v>
      </c>
      <c r="C978" s="68" t="s">
        <v>363</v>
      </c>
      <c r="D978" s="68" t="s">
        <v>364</v>
      </c>
      <c r="E978" s="75">
        <f>60*F978*'THAM_SO_MOI'!$C$50/(2*PI()*'THAM_SO_MOI'!$C$26)</f>
        <v>1764.2645990222218</v>
      </c>
      <c r="F978" s="75">
        <f>'HANH_TRINH'!$F$826+('THAM_SO_MOI'!$F$50-'HANH_TRINH'!$F$826)*151/'THAM_SO_MOI'!$C$42</f>
        <v>4.398721428287971</v>
      </c>
      <c r="G978" s="75">
        <f>3.6*F978</f>
        <v>15.835397141836697</v>
      </c>
      <c r="H978" s="75">
        <f>'THAM_SO_MOI'!$D$50</f>
        <v>1.8785906709588276</v>
      </c>
      <c r="I978" s="75">
        <f>IF(F978&gt;'THAM_SO_MOI'!$C$14,'THAM_SO_MOI'!$C$13*(1+F978^2/1500),'THAM_SO_MOI'!$C$13)</f>
        <v>0.015</v>
      </c>
      <c r="J978" s="75">
        <f>'THAM_SO_MOI'!$C$40*('THAM_SO_MOI'!$C$23*(E978/'THAM_SO_MOI'!$C$22)+'THAM_SO_MOI'!$C$24*(E978/'THAM_SO_MOI'!$C$22)^2-'THAM_SO_MOI'!$C$25*(E978/'THAM_SO_MOI'!$C$22)^3)</f>
        <v>78.0019610185422</v>
      </c>
      <c r="K978" s="75">
        <f>'THAM_SO_MOI'!$C$31*J978/E978</f>
        <v>422.27475609176827</v>
      </c>
      <c r="L978" s="75">
        <f>K978*'THAM_SO_MOI'!$C$50*'THAM_SO_MOI'!$C$17/'THAM_SO_MOI'!$C$26</f>
        <v>15075.78462294987</v>
      </c>
      <c r="M978" s="75">
        <f>'THAM_SO_MOI'!$C$15*'THAM_SO_MOI'!$C$16*F978^2</f>
        <v>56.595094345763336</v>
      </c>
      <c r="N978" s="75">
        <f>'THAM_SO_MOI'!$C$12*I978</f>
        <v>1130.112</v>
      </c>
      <c r="O978" s="75">
        <f>M978+N978</f>
        <v>1186.7070943457634</v>
      </c>
      <c r="P978" s="75">
        <f>(MIN(L978,'THAM_SO_MOI'!$C$41)-O978)/('THAM_SO_MOI'!$C$11*H978)</f>
        <v>0.9626757252094481</v>
      </c>
      <c r="Q978" s="75">
        <f>IF(P978&gt;0,1/P978,NA())</f>
        <v>1.0387713887585888</v>
      </c>
      <c r="R978" s="75">
        <f>F978-F977</f>
        <v>0.0032106047296860396</v>
      </c>
      <c r="S978" s="75">
        <f>0.5*(Q977+Q978)*R978</f>
        <v>0.0033352902705790126</v>
      </c>
      <c r="T978" s="75">
        <f>0.5*(F977*Q977+F978*Q978)*R978</f>
        <v>0.01466565830280671</v>
      </c>
      <c r="U978" s="76">
        <f>U977+S978</f>
        <v>4.624910284754898</v>
      </c>
      <c r="V978" s="76">
        <f>V977+T978</f>
        <v>14.21144911853672</v>
      </c>
    </row>
    <row r="979" spans="1:22" ht="19" customHeight="1">
      <c r="A979" s="68" t="s">
        <v>372</v>
      </c>
      <c r="B979" s="74">
        <v>2</v>
      </c>
      <c r="C979" s="68" t="s">
        <v>363</v>
      </c>
      <c r="D979" s="68" t="s">
        <v>364</v>
      </c>
      <c r="E979" s="75">
        <f>60*F979*'THAM_SO_MOI'!$C$50/(2*PI()*'THAM_SO_MOI'!$C$26)</f>
        <v>1765.5523269127887</v>
      </c>
      <c r="F979" s="75">
        <f>'HANH_TRINH'!$F$826+('THAM_SO_MOI'!$F$50-'HANH_TRINH'!$F$826)*152/'THAM_SO_MOI'!$C$42</f>
        <v>4.401932033017658</v>
      </c>
      <c r="G979" s="75">
        <f>3.6*F979</f>
        <v>15.84695531886357</v>
      </c>
      <c r="H979" s="75">
        <f>'THAM_SO_MOI'!$D$50</f>
        <v>1.8785906709588276</v>
      </c>
      <c r="I979" s="75">
        <f>IF(F979&gt;'THAM_SO_MOI'!$C$14,'THAM_SO_MOI'!$C$13*(1+F979^2/1500),'THAM_SO_MOI'!$C$13)</f>
        <v>0.015</v>
      </c>
      <c r="J979" s="75">
        <f>'THAM_SO_MOI'!$C$40*('THAM_SO_MOI'!$C$23*(E979/'THAM_SO_MOI'!$C$22)+'THAM_SO_MOI'!$C$24*(E979/'THAM_SO_MOI'!$C$22)^2-'THAM_SO_MOI'!$C$25*(E979/'THAM_SO_MOI'!$C$22)^3)</f>
        <v>78.06817226579066</v>
      </c>
      <c r="K979" s="75">
        <f>'THAM_SO_MOI'!$C$31*J979/E979</f>
        <v>422.3249472720782</v>
      </c>
      <c r="L979" s="75">
        <f>K979*'THAM_SO_MOI'!$C$50*'THAM_SO_MOI'!$C$17/'THAM_SO_MOI'!$C$26</f>
        <v>15077.576516529602</v>
      </c>
      <c r="M979" s="75">
        <f>'THAM_SO_MOI'!$C$15*'THAM_SO_MOI'!$C$16*F979^2</f>
        <v>56.6777414481729</v>
      </c>
      <c r="N979" s="75">
        <f>'THAM_SO_MOI'!$C$12*I979</f>
        <v>1130.112</v>
      </c>
      <c r="O979" s="75">
        <f>M979+N979</f>
        <v>1186.789741448173</v>
      </c>
      <c r="P979" s="75">
        <f>(MIN(L979,'THAM_SO_MOI'!$C$41)-O979)/('THAM_SO_MOI'!$C$11*H979)</f>
        <v>0.9627941960070032</v>
      </c>
      <c r="Q979" s="75">
        <f>IF(P979&gt;0,1/P979,NA())</f>
        <v>1.038643569048609</v>
      </c>
      <c r="R979" s="75">
        <f>F979-F978</f>
        <v>0.0032106047296869278</v>
      </c>
      <c r="S979" s="75">
        <f>0.5*(Q978+Q979)*R979</f>
        <v>0.00333487914452908</v>
      </c>
      <c r="T979" s="75">
        <f>0.5*(F978*Q978+F979*Q979)*R979</f>
        <v>0.01467455751377706</v>
      </c>
      <c r="U979" s="76">
        <f>U978+S979</f>
        <v>4.628245163899427</v>
      </c>
      <c r="V979" s="76">
        <f>V978+T979</f>
        <v>14.226123676050497</v>
      </c>
    </row>
    <row r="980" spans="1:22" ht="19" customHeight="1">
      <c r="A980" s="68" t="s">
        <v>372</v>
      </c>
      <c r="B980" s="74">
        <v>2</v>
      </c>
      <c r="C980" s="68" t="s">
        <v>363</v>
      </c>
      <c r="D980" s="68" t="s">
        <v>364</v>
      </c>
      <c r="E980" s="75">
        <f>60*F980*'THAM_SO_MOI'!$C$50/(2*PI()*'THAM_SO_MOI'!$C$26)</f>
        <v>1766.8400548033553</v>
      </c>
      <c r="F980" s="75">
        <f>'HANH_TRINH'!$F$826+('THAM_SO_MOI'!$F$50-'HANH_TRINH'!$F$826)*153/'THAM_SO_MOI'!$C$42</f>
        <v>4.405142637747345</v>
      </c>
      <c r="G980" s="75">
        <f>3.6*F980</f>
        <v>15.858513495890444</v>
      </c>
      <c r="H980" s="75">
        <f>'THAM_SO_MOI'!$D$50</f>
        <v>1.8785906709588276</v>
      </c>
      <c r="I980" s="75">
        <f>IF(F980&gt;'THAM_SO_MOI'!$C$14,'THAM_SO_MOI'!$C$13*(1+F980^2/1500),'THAM_SO_MOI'!$C$13)</f>
        <v>0.015</v>
      </c>
      <c r="J980" s="75">
        <f>'THAM_SO_MOI'!$C$40*('THAM_SO_MOI'!$C$23*(E980/'THAM_SO_MOI'!$C$22)+'THAM_SO_MOI'!$C$24*(E980/'THAM_SO_MOI'!$C$22)^2-'THAM_SO_MOI'!$C$25*(E980/'THAM_SO_MOI'!$C$22)^3)</f>
        <v>78.13436728725624</v>
      </c>
      <c r="K980" s="75">
        <f>'THAM_SO_MOI'!$C$31*J980/E980</f>
        <v>422.3749775780559</v>
      </c>
      <c r="L980" s="75">
        <f>K980*'THAM_SO_MOI'!$C$50*'THAM_SO_MOI'!$C$17/'THAM_SO_MOI'!$C$26</f>
        <v>15079.3626666763</v>
      </c>
      <c r="M980" s="75">
        <f>'THAM_SO_MOI'!$C$15*'THAM_SO_MOI'!$C$16*F980^2</f>
        <v>56.76044885228144</v>
      </c>
      <c r="N980" s="75">
        <f>'THAM_SO_MOI'!$C$12*I980</f>
        <v>1130.112</v>
      </c>
      <c r="O980" s="75">
        <f>M980+N980</f>
        <v>1186.8724488522814</v>
      </c>
      <c r="P980" s="75">
        <f>(MIN(L980,'THAM_SO_MOI'!$C$41)-O980)/('THAM_SO_MOI'!$C$11*H980)</f>
        <v>0.9629122645377749</v>
      </c>
      <c r="Q980" s="75">
        <f>IF(P980&gt;0,1/P980,NA())</f>
        <v>1.038516214641869</v>
      </c>
      <c r="R980" s="75">
        <f>F980-F979</f>
        <v>0.0032106047296869278</v>
      </c>
      <c r="S980" s="75">
        <f>0.5*(Q979+Q980)*R980</f>
        <v>0.003334469512916062</v>
      </c>
      <c r="T980" s="75">
        <f>0.5*(F979*Q979+F980*Q980)*R980</f>
        <v>0.01468346066562883</v>
      </c>
      <c r="U980" s="76">
        <f>U979+S980</f>
        <v>4.631579633412343</v>
      </c>
      <c r="V980" s="76">
        <f>V979+T980</f>
        <v>14.240807136716125</v>
      </c>
    </row>
    <row r="981" spans="1:22" ht="19" customHeight="1">
      <c r="A981" s="68" t="s">
        <v>372</v>
      </c>
      <c r="B981" s="74">
        <v>2</v>
      </c>
      <c r="C981" s="68" t="s">
        <v>363</v>
      </c>
      <c r="D981" s="68" t="s">
        <v>364</v>
      </c>
      <c r="E981" s="75">
        <f>60*F981*'THAM_SO_MOI'!$C$50/(2*PI()*'THAM_SO_MOI'!$C$26)</f>
        <v>1768.1277826939222</v>
      </c>
      <c r="F981" s="75">
        <f>'HANH_TRINH'!$F$826+('THAM_SO_MOI'!$F$50-'HANH_TRINH'!$F$826)*154/'THAM_SO_MOI'!$C$42</f>
        <v>4.408353242477032</v>
      </c>
      <c r="G981" s="75">
        <f>3.6*F981</f>
        <v>15.870071672917316</v>
      </c>
      <c r="H981" s="75">
        <f>'THAM_SO_MOI'!$D$50</f>
        <v>1.8785906709588276</v>
      </c>
      <c r="I981" s="75">
        <f>IF(F981&gt;'THAM_SO_MOI'!$C$14,'THAM_SO_MOI'!$C$13*(1+F981^2/1500),'THAM_SO_MOI'!$C$13)</f>
        <v>0.015</v>
      </c>
      <c r="J981" s="75">
        <f>'THAM_SO_MOI'!$C$40*('THAM_SO_MOI'!$C$23*(E981/'THAM_SO_MOI'!$C$22)+'THAM_SO_MOI'!$C$24*(E981/'THAM_SO_MOI'!$C$22)^2-'THAM_SO_MOI'!$C$25*(E981/'THAM_SO_MOI'!$C$22)^3)</f>
        <v>78.20054601786921</v>
      </c>
      <c r="K981" s="75">
        <f>'THAM_SO_MOI'!$C$31*J981/E981</f>
        <v>422.42484700970124</v>
      </c>
      <c r="L981" s="75">
        <f>K981*'THAM_SO_MOI'!$C$50*'THAM_SO_MOI'!$C$17/'THAM_SO_MOI'!$C$26</f>
        <v>15081.143073389958</v>
      </c>
      <c r="M981" s="75">
        <f>'THAM_SO_MOI'!$C$15*'THAM_SO_MOI'!$C$16*F981^2</f>
        <v>56.84321655808897</v>
      </c>
      <c r="N981" s="75">
        <f>'THAM_SO_MOI'!$C$12*I981</f>
        <v>1130.112</v>
      </c>
      <c r="O981" s="75">
        <f>M981+N981</f>
        <v>1186.955216558089</v>
      </c>
      <c r="P981" s="75">
        <f>(MIN(L981,'THAM_SO_MOI'!$C$41)-O981)/('THAM_SO_MOI'!$C$11*H981)</f>
        <v>0.9630299308017625</v>
      </c>
      <c r="Q981" s="75">
        <f>IF(P981&gt;0,1/P981,NA())</f>
        <v>1.0383893252076375</v>
      </c>
      <c r="R981" s="75">
        <f>F981-F980</f>
        <v>0.0032106047296869278</v>
      </c>
      <c r="S981" s="75">
        <f>0.5*(Q980+Q981)*R981</f>
        <v>0.003334061374676904</v>
      </c>
      <c r="T981" s="75">
        <f>0.5*(F980*Q980+F981*Q981)*R981</f>
        <v>0.014692367768071531</v>
      </c>
      <c r="U981" s="76">
        <f>U980+S981</f>
        <v>4.63491369478702</v>
      </c>
      <c r="V981" s="76">
        <f>V980+T981</f>
        <v>14.255499504484197</v>
      </c>
    </row>
    <row r="982" spans="1:22" ht="19" customHeight="1">
      <c r="A982" s="68" t="s">
        <v>372</v>
      </c>
      <c r="B982" s="74">
        <v>2</v>
      </c>
      <c r="C982" s="68" t="s">
        <v>363</v>
      </c>
      <c r="D982" s="68" t="s">
        <v>364</v>
      </c>
      <c r="E982" s="75">
        <f>60*F982*'THAM_SO_MOI'!$C$50/(2*PI()*'THAM_SO_MOI'!$C$26)</f>
        <v>1769.415510584489</v>
      </c>
      <c r="F982" s="75">
        <f>'HANH_TRINH'!$F$826+('THAM_SO_MOI'!$F$50-'HANH_TRINH'!$F$826)*155/'THAM_SO_MOI'!$C$42</f>
        <v>4.411563847206719</v>
      </c>
      <c r="G982" s="75">
        <f>3.6*F982</f>
        <v>15.88162984994419</v>
      </c>
      <c r="H982" s="75">
        <f>'THAM_SO_MOI'!$D$50</f>
        <v>1.8785906709588276</v>
      </c>
      <c r="I982" s="75">
        <f>IF(F982&gt;'THAM_SO_MOI'!$C$14,'THAM_SO_MOI'!$C$13*(1+F982^2/1500),'THAM_SO_MOI'!$C$13)</f>
        <v>0.015</v>
      </c>
      <c r="J982" s="75">
        <f>'THAM_SO_MOI'!$C$40*('THAM_SO_MOI'!$C$23*(E982/'THAM_SO_MOI'!$C$22)+'THAM_SO_MOI'!$C$24*(E982/'THAM_SO_MOI'!$C$22)^2-'THAM_SO_MOI'!$C$25*(E982/'THAM_SO_MOI'!$C$22)^3)</f>
        <v>78.26670839255995</v>
      </c>
      <c r="K982" s="75">
        <f>'THAM_SO_MOI'!$C$31*J982/E982</f>
        <v>422.4745555670145</v>
      </c>
      <c r="L982" s="75">
        <f>K982*'THAM_SO_MOI'!$C$50*'THAM_SO_MOI'!$C$17/'THAM_SO_MOI'!$C$26</f>
        <v>15082.917736670584</v>
      </c>
      <c r="M982" s="75">
        <f>'THAM_SO_MOI'!$C$15*'THAM_SO_MOI'!$C$16*F982^2</f>
        <v>56.926044565595454</v>
      </c>
      <c r="N982" s="75">
        <f>'THAM_SO_MOI'!$C$12*I982</f>
        <v>1130.112</v>
      </c>
      <c r="O982" s="75">
        <f>M982+N982</f>
        <v>1187.0380445655956</v>
      </c>
      <c r="P982" s="75">
        <f>(MIN(L982,'THAM_SO_MOI'!$C$41)-O982)/('THAM_SO_MOI'!$C$11*H982)</f>
        <v>0.963147194798967</v>
      </c>
      <c r="Q982" s="75">
        <f>IF(P982&gt;0,1/P982,NA())</f>
        <v>1.0382629004165091</v>
      </c>
      <c r="R982" s="75">
        <f>F982-F981</f>
        <v>0.0032106047296869278</v>
      </c>
      <c r="S982" s="75">
        <f>0.5*(Q981+Q982)*R982</f>
        <v>0.0033336547287518854</v>
      </c>
      <c r="T982" s="75">
        <f>0.5*(F981*Q981+F982*Q982)*R982</f>
        <v>0.01470127883081576</v>
      </c>
      <c r="U982" s="76">
        <f>U981+S982</f>
        <v>4.638247349515772</v>
      </c>
      <c r="V982" s="76">
        <f>V981+T982</f>
        <v>14.270200783315012</v>
      </c>
    </row>
    <row r="983" spans="1:22" ht="19" customHeight="1">
      <c r="A983" s="68" t="s">
        <v>372</v>
      </c>
      <c r="B983" s="74">
        <v>2</v>
      </c>
      <c r="C983" s="68" t="s">
        <v>363</v>
      </c>
      <c r="D983" s="68" t="s">
        <v>364</v>
      </c>
      <c r="E983" s="75">
        <f>60*F983*'THAM_SO_MOI'!$C$50/(2*PI()*'THAM_SO_MOI'!$C$26)</f>
        <v>1770.7032384750557</v>
      </c>
      <c r="F983" s="75">
        <f>'HANH_TRINH'!$F$826+('THAM_SO_MOI'!$F$50-'HANH_TRINH'!$F$826)*156/'THAM_SO_MOI'!$C$42</f>
        <v>4.414774451936406</v>
      </c>
      <c r="G983" s="75">
        <f>3.6*F983</f>
        <v>15.893188026971062</v>
      </c>
      <c r="H983" s="75">
        <f>'THAM_SO_MOI'!$D$50</f>
        <v>1.8785906709588276</v>
      </c>
      <c r="I983" s="75">
        <f>IF(F983&gt;'THAM_SO_MOI'!$C$14,'THAM_SO_MOI'!$C$13*(1+F983^2/1500),'THAM_SO_MOI'!$C$13)</f>
        <v>0.015</v>
      </c>
      <c r="J983" s="75">
        <f>'THAM_SO_MOI'!$C$40*('THAM_SO_MOI'!$C$23*(E983/'THAM_SO_MOI'!$C$22)+'THAM_SO_MOI'!$C$24*(E983/'THAM_SO_MOI'!$C$22)^2-'THAM_SO_MOI'!$C$25*(E983/'THAM_SO_MOI'!$C$22)^3)</f>
        <v>78.33285434625867</v>
      </c>
      <c r="K983" s="75">
        <f>'THAM_SO_MOI'!$C$31*J983/E983</f>
        <v>422.52410324999533</v>
      </c>
      <c r="L983" s="75">
        <f>K983*'THAM_SO_MOI'!$C$50*'THAM_SO_MOI'!$C$17/'THAM_SO_MOI'!$C$26</f>
        <v>15084.686656518174</v>
      </c>
      <c r="M983" s="75">
        <f>'THAM_SO_MOI'!$C$15*'THAM_SO_MOI'!$C$16*F983^2</f>
        <v>57.00893287480091</v>
      </c>
      <c r="N983" s="75">
        <f>'THAM_SO_MOI'!$C$12*I983</f>
        <v>1130.112</v>
      </c>
      <c r="O983" s="75">
        <f>M983+N983</f>
        <v>1187.120932874801</v>
      </c>
      <c r="P983" s="75">
        <f>(MIN(L983,'THAM_SO_MOI'!$C$41)-O983)/('THAM_SO_MOI'!$C$11*H983)</f>
        <v>0.9632640565293876</v>
      </c>
      <c r="Q983" s="75">
        <f>IF(P983&gt;0,1/P983,NA())</f>
        <v>1.0381369399404052</v>
      </c>
      <c r="R983" s="75">
        <f>F983-F982</f>
        <v>0.0032106047296869278</v>
      </c>
      <c r="S983" s="75">
        <f>0.5*(Q982+Q983)*R983</f>
        <v>0.003333249574085545</v>
      </c>
      <c r="T983" s="75">
        <f>0.5*(F982*Q982+F983*Q983)*R983</f>
        <v>0.014710193863577279</v>
      </c>
      <c r="U983" s="76">
        <f>U982+S983</f>
        <v>4.641580599089857</v>
      </c>
      <c r="V983" s="76">
        <f>V982+T983</f>
        <v>14.284910977178589</v>
      </c>
    </row>
    <row r="984" spans="1:22" ht="19" customHeight="1">
      <c r="A984" s="68" t="s">
        <v>372</v>
      </c>
      <c r="B984" s="74">
        <v>2</v>
      </c>
      <c r="C984" s="68" t="s">
        <v>363</v>
      </c>
      <c r="D984" s="68" t="s">
        <v>364</v>
      </c>
      <c r="E984" s="75">
        <f>60*F984*'THAM_SO_MOI'!$C$50/(2*PI()*'THAM_SO_MOI'!$C$26)</f>
        <v>1771.9909663656224</v>
      </c>
      <c r="F984" s="75">
        <f>'HANH_TRINH'!$F$826+('THAM_SO_MOI'!$F$50-'HANH_TRINH'!$F$826)*157/'THAM_SO_MOI'!$C$42</f>
        <v>4.417985056666093</v>
      </c>
      <c r="G984" s="75">
        <f>3.6*F984</f>
        <v>15.904746203997934</v>
      </c>
      <c r="H984" s="75">
        <f>'THAM_SO_MOI'!$D$50</f>
        <v>1.8785906709588276</v>
      </c>
      <c r="I984" s="75">
        <f>IF(F984&gt;'THAM_SO_MOI'!$C$14,'THAM_SO_MOI'!$C$13*(1+F984^2/1500),'THAM_SO_MOI'!$C$13)</f>
        <v>0.015</v>
      </c>
      <c r="J984" s="75">
        <f>'THAM_SO_MOI'!$C$40*('THAM_SO_MOI'!$C$23*(E984/'THAM_SO_MOI'!$C$22)+'THAM_SO_MOI'!$C$24*(E984/'THAM_SO_MOI'!$C$22)^2-'THAM_SO_MOI'!$C$25*(E984/'THAM_SO_MOI'!$C$22)^3)</f>
        <v>78.39898381389573</v>
      </c>
      <c r="K984" s="75">
        <f>'THAM_SO_MOI'!$C$31*J984/E984</f>
        <v>422.573490058644</v>
      </c>
      <c r="L984" s="75">
        <f>K984*'THAM_SO_MOI'!$C$50*'THAM_SO_MOI'!$C$17/'THAM_SO_MOI'!$C$26</f>
        <v>15086.449832932725</v>
      </c>
      <c r="M984" s="75">
        <f>'THAM_SO_MOI'!$C$15*'THAM_SO_MOI'!$C$16*F984^2</f>
        <v>57.09188148570534</v>
      </c>
      <c r="N984" s="75">
        <f>'THAM_SO_MOI'!$C$12*I984</f>
        <v>1130.112</v>
      </c>
      <c r="O984" s="75">
        <f>M984+N984</f>
        <v>1187.2038814857053</v>
      </c>
      <c r="P984" s="75">
        <f>(MIN(L984,'THAM_SO_MOI'!$C$41)-O984)/('THAM_SO_MOI'!$C$11*H984)</f>
        <v>0.9633805159930247</v>
      </c>
      <c r="Q984" s="75">
        <f>IF(P984&gt;0,1/P984,NA())</f>
        <v>1.0380114434525687</v>
      </c>
      <c r="R984" s="75">
        <f>F984-F983</f>
        <v>0.0032106047296869278</v>
      </c>
      <c r="S984" s="75">
        <f>0.5*(Q983+Q984)*R984</f>
        <v>0.0033328459096266757</v>
      </c>
      <c r="T984" s="75">
        <f>0.5*(F983*Q983+F984*Q984)*R984</f>
        <v>0.014719112876077075</v>
      </c>
      <c r="U984" s="76">
        <f>U983+S984</f>
        <v>4.644913444999483</v>
      </c>
      <c r="V984" s="76">
        <f>V983+T984</f>
        <v>14.299630090054666</v>
      </c>
    </row>
    <row r="985" spans="1:22" ht="19" customHeight="1">
      <c r="A985" s="68" t="s">
        <v>372</v>
      </c>
      <c r="B985" s="74">
        <v>2</v>
      </c>
      <c r="C985" s="68" t="s">
        <v>363</v>
      </c>
      <c r="D985" s="68" t="s">
        <v>364</v>
      </c>
      <c r="E985" s="75">
        <f>60*F985*'THAM_SO_MOI'!$C$50/(2*PI()*'THAM_SO_MOI'!$C$26)</f>
        <v>1773.278694256189</v>
      </c>
      <c r="F985" s="75">
        <f>'HANH_TRINH'!$F$826+('THAM_SO_MOI'!$F$50-'HANH_TRINH'!$F$826)*158/'THAM_SO_MOI'!$C$42</f>
        <v>4.42119566139578</v>
      </c>
      <c r="G985" s="75">
        <f>3.6*F985</f>
        <v>15.916304381024808</v>
      </c>
      <c r="H985" s="75">
        <f>'THAM_SO_MOI'!$D$50</f>
        <v>1.8785906709588276</v>
      </c>
      <c r="I985" s="75">
        <f>IF(F985&gt;'THAM_SO_MOI'!$C$14,'THAM_SO_MOI'!$C$13*(1+F985^2/1500),'THAM_SO_MOI'!$C$13)</f>
        <v>0.015</v>
      </c>
      <c r="J985" s="75">
        <f>'THAM_SO_MOI'!$C$40*('THAM_SO_MOI'!$C$23*(E985/'THAM_SO_MOI'!$C$22)+'THAM_SO_MOI'!$C$24*(E985/'THAM_SO_MOI'!$C$22)^2-'THAM_SO_MOI'!$C$25*(E985/'THAM_SO_MOI'!$C$22)^3)</f>
        <v>78.46509673040141</v>
      </c>
      <c r="K985" s="75">
        <f>'THAM_SO_MOI'!$C$31*J985/E985</f>
        <v>422.6227159929604</v>
      </c>
      <c r="L985" s="75">
        <f>K985*'THAM_SO_MOI'!$C$50*'THAM_SO_MOI'!$C$17/'THAM_SO_MOI'!$C$26</f>
        <v>15088.207265914245</v>
      </c>
      <c r="M985" s="75">
        <f>'THAM_SO_MOI'!$C$15*'THAM_SO_MOI'!$C$16*F985^2</f>
        <v>57.17489039830874</v>
      </c>
      <c r="N985" s="75">
        <f>'THAM_SO_MOI'!$C$12*I985</f>
        <v>1130.112</v>
      </c>
      <c r="O985" s="75">
        <f>M985+N985</f>
        <v>1187.2868903983087</v>
      </c>
      <c r="P985" s="75">
        <f>(MIN(L985,'THAM_SO_MOI'!$C$41)-O985)/('THAM_SO_MOI'!$C$11*H985)</f>
        <v>0.9634965731898781</v>
      </c>
      <c r="Q985" s="75">
        <f>IF(P985&gt;0,1/P985,NA())</f>
        <v>1.0378864106275634</v>
      </c>
      <c r="R985" s="75">
        <f>F985-F984</f>
        <v>0.0032106047296869278</v>
      </c>
      <c r="S985" s="75">
        <f>0.5*(Q984+Q985)*R985</f>
        <v>0.0033324437343283083</v>
      </c>
      <c r="T985" s="75">
        <f>0.5*(F984*Q984+F985*Q985)*R985</f>
        <v>0.01472803587804139</v>
      </c>
      <c r="U985" s="76">
        <f>U984+S985</f>
        <v>4.648245888733812</v>
      </c>
      <c r="V985" s="76">
        <f>V984+T985</f>
        <v>14.314358125932708</v>
      </c>
    </row>
    <row r="986" spans="1:22" ht="19" customHeight="1">
      <c r="A986" s="68" t="s">
        <v>372</v>
      </c>
      <c r="B986" s="74">
        <v>2</v>
      </c>
      <c r="C986" s="68" t="s">
        <v>363</v>
      </c>
      <c r="D986" s="68" t="s">
        <v>364</v>
      </c>
      <c r="E986" s="75">
        <f>60*F986*'THAM_SO_MOI'!$C$50/(2*PI()*'THAM_SO_MOI'!$C$26)</f>
        <v>1774.5664221467557</v>
      </c>
      <c r="F986" s="75">
        <f>'HANH_TRINH'!$F$826+('THAM_SO_MOI'!$F$50-'HANH_TRINH'!$F$826)*159/'THAM_SO_MOI'!$C$42</f>
        <v>4.424406266125466</v>
      </c>
      <c r="G986" s="75">
        <f>3.6*F986</f>
        <v>15.927862558051677</v>
      </c>
      <c r="H986" s="75">
        <f>'THAM_SO_MOI'!$D$50</f>
        <v>1.8785906709588276</v>
      </c>
      <c r="I986" s="75">
        <f>IF(F986&gt;'THAM_SO_MOI'!$C$14,'THAM_SO_MOI'!$C$13*(1+F986^2/1500),'THAM_SO_MOI'!$C$13)</f>
        <v>0.015</v>
      </c>
      <c r="J986" s="75">
        <f>'THAM_SO_MOI'!$C$40*('THAM_SO_MOI'!$C$23*(E986/'THAM_SO_MOI'!$C$22)+'THAM_SO_MOI'!$C$24*(E986/'THAM_SO_MOI'!$C$22)^2-'THAM_SO_MOI'!$C$25*(E986/'THAM_SO_MOI'!$C$22)^3)</f>
        <v>78.531193030706</v>
      </c>
      <c r="K986" s="75">
        <f>'THAM_SO_MOI'!$C$31*J986/E986</f>
        <v>422.67178105294454</v>
      </c>
      <c r="L986" s="75">
        <f>K986*'THAM_SO_MOI'!$C$50*'THAM_SO_MOI'!$C$17/'THAM_SO_MOI'!$C$26</f>
        <v>15089.958955462722</v>
      </c>
      <c r="M986" s="75">
        <f>'THAM_SO_MOI'!$C$15*'THAM_SO_MOI'!$C$16*F986^2</f>
        <v>57.257959612611096</v>
      </c>
      <c r="N986" s="75">
        <f>'THAM_SO_MOI'!$C$12*I986</f>
        <v>1130.112</v>
      </c>
      <c r="O986" s="75">
        <f>M986+N986</f>
        <v>1187.3699596126112</v>
      </c>
      <c r="P986" s="75">
        <f>(MIN(L986,'THAM_SO_MOI'!$C$41)-O986)/('THAM_SO_MOI'!$C$11*H986)</f>
        <v>0.9636122281199476</v>
      </c>
      <c r="Q986" s="75">
        <f>IF(P986&gt;0,1/P986,NA())</f>
        <v>1.0377618411412717</v>
      </c>
      <c r="R986" s="75">
        <f>F986-F985</f>
        <v>0.0032106047296860396</v>
      </c>
      <c r="S986" s="75">
        <f>0.5*(Q985+Q986)*R986</f>
        <v>0.003332043047146791</v>
      </c>
      <c r="T986" s="75">
        <f>0.5*(F985*Q985+F986*Q986)*R986</f>
        <v>0.014736962879197681</v>
      </c>
      <c r="U986" s="76">
        <f>U985+S986</f>
        <v>4.651577931780959</v>
      </c>
      <c r="V986" s="76">
        <f>V985+T986</f>
        <v>14.329095088811906</v>
      </c>
    </row>
    <row r="987" spans="1:22" ht="19" customHeight="1">
      <c r="A987" s="68" t="s">
        <v>372</v>
      </c>
      <c r="B987" s="74">
        <v>2</v>
      </c>
      <c r="C987" s="68" t="s">
        <v>363</v>
      </c>
      <c r="D987" s="68" t="s">
        <v>364</v>
      </c>
      <c r="E987" s="75">
        <f>60*F987*'THAM_SO_MOI'!$C$50/(2*PI()*'THAM_SO_MOI'!$C$26)</f>
        <v>1775.8541500373224</v>
      </c>
      <c r="F987" s="75">
        <f>'HANH_TRINH'!$F$826+('THAM_SO_MOI'!$F$50-'HANH_TRINH'!$F$826)*160/'THAM_SO_MOI'!$C$42</f>
        <v>4.427616870855153</v>
      </c>
      <c r="G987" s="75">
        <f>3.6*F987</f>
        <v>15.939420735078551</v>
      </c>
      <c r="H987" s="75">
        <f>'THAM_SO_MOI'!$D$50</f>
        <v>1.8785906709588276</v>
      </c>
      <c r="I987" s="75">
        <f>IF(F987&gt;'THAM_SO_MOI'!$C$14,'THAM_SO_MOI'!$C$13*(1+F987^2/1500),'THAM_SO_MOI'!$C$13)</f>
        <v>0.015</v>
      </c>
      <c r="J987" s="75">
        <f>'THAM_SO_MOI'!$C$40*('THAM_SO_MOI'!$C$23*(E987/'THAM_SO_MOI'!$C$22)+'THAM_SO_MOI'!$C$24*(E987/'THAM_SO_MOI'!$C$22)^2-'THAM_SO_MOI'!$C$25*(E987/'THAM_SO_MOI'!$C$22)^3)</f>
        <v>78.59727264973985</v>
      </c>
      <c r="K987" s="75">
        <f>'THAM_SO_MOI'!$C$31*J987/E987</f>
        <v>422.7206852385965</v>
      </c>
      <c r="L987" s="75">
        <f>K987*'THAM_SO_MOI'!$C$50*'THAM_SO_MOI'!$C$17/'THAM_SO_MOI'!$C$26</f>
        <v>15091.704901578169</v>
      </c>
      <c r="M987" s="75">
        <f>'THAM_SO_MOI'!$C$15*'THAM_SO_MOI'!$C$16*F987^2</f>
        <v>57.341089128612445</v>
      </c>
      <c r="N987" s="75">
        <f>'THAM_SO_MOI'!$C$12*I987</f>
        <v>1130.112</v>
      </c>
      <c r="O987" s="75">
        <f>M987+N987</f>
        <v>1187.4530891286124</v>
      </c>
      <c r="P987" s="75">
        <f>(MIN(L987,'THAM_SO_MOI'!$C$41)-O987)/('THAM_SO_MOI'!$C$11*H987)</f>
        <v>0.9637274807832338</v>
      </c>
      <c r="Q987" s="75">
        <f>IF(P987&gt;0,1/P987,NA())</f>
        <v>1.0376377346708916</v>
      </c>
      <c r="R987" s="75">
        <f>F987-F986</f>
        <v>0.0032106047296869278</v>
      </c>
      <c r="S987" s="75">
        <f>0.5*(Q986+Q987)*R987</f>
        <v>0.0033316438470463875</v>
      </c>
      <c r="T987" s="75">
        <f>0.5*(F986*Q986+F987*Q987)*R987</f>
        <v>0.014745893889295035</v>
      </c>
      <c r="U987" s="76">
        <f>U986+S987</f>
        <v>4.654909575628005</v>
      </c>
      <c r="V987" s="76">
        <f>V986+T987</f>
        <v>14.3438409827012</v>
      </c>
    </row>
    <row r="988" spans="1:22" ht="19" customHeight="1">
      <c r="A988" s="68" t="s">
        <v>372</v>
      </c>
      <c r="B988" s="74">
        <v>2</v>
      </c>
      <c r="C988" s="68" t="s">
        <v>363</v>
      </c>
      <c r="D988" s="68" t="s">
        <v>364</v>
      </c>
      <c r="E988" s="75">
        <f>60*F988*'THAM_SO_MOI'!$C$50/(2*PI()*'THAM_SO_MOI'!$C$26)</f>
        <v>1777.141877927889</v>
      </c>
      <c r="F988" s="75">
        <f>'HANH_TRINH'!$F$826+('THAM_SO_MOI'!$F$50-'HANH_TRINH'!$F$826)*161/'THAM_SO_MOI'!$C$42</f>
        <v>4.43082747558484</v>
      </c>
      <c r="G988" s="75">
        <f>3.6*F988</f>
        <v>15.950978912105423</v>
      </c>
      <c r="H988" s="75">
        <f>'THAM_SO_MOI'!$D$50</f>
        <v>1.8785906709588276</v>
      </c>
      <c r="I988" s="75">
        <f>IF(F988&gt;'THAM_SO_MOI'!$C$14,'THAM_SO_MOI'!$C$13*(1+F988^2/1500),'THAM_SO_MOI'!$C$13)</f>
        <v>0.015</v>
      </c>
      <c r="J988" s="75">
        <f>'THAM_SO_MOI'!$C$40*('THAM_SO_MOI'!$C$23*(E988/'THAM_SO_MOI'!$C$22)+'THAM_SO_MOI'!$C$24*(E988/'THAM_SO_MOI'!$C$22)^2-'THAM_SO_MOI'!$C$25*(E988/'THAM_SO_MOI'!$C$22)^3)</f>
        <v>78.66333552243323</v>
      </c>
      <c r="K988" s="75">
        <f>'THAM_SO_MOI'!$C$31*J988/E988</f>
        <v>422.7694285499162</v>
      </c>
      <c r="L988" s="75">
        <f>K988*'THAM_SO_MOI'!$C$50*'THAM_SO_MOI'!$C$17/'THAM_SO_MOI'!$C$26</f>
        <v>15093.44510426058</v>
      </c>
      <c r="M988" s="75">
        <f>'THAM_SO_MOI'!$C$15*'THAM_SO_MOI'!$C$16*F988^2</f>
        <v>57.42427894631276</v>
      </c>
      <c r="N988" s="75">
        <f>'THAM_SO_MOI'!$C$12*I988</f>
        <v>1130.112</v>
      </c>
      <c r="O988" s="75">
        <f>M988+N988</f>
        <v>1187.536278946313</v>
      </c>
      <c r="P988" s="75">
        <f>(MIN(L988,'THAM_SO_MOI'!$C$41)-O988)/('THAM_SO_MOI'!$C$11*H988)</f>
        <v>0.9638423311797365</v>
      </c>
      <c r="Q988" s="75">
        <f>IF(P988&gt;0,1/P988,NA())</f>
        <v>1.0375140908949358</v>
      </c>
      <c r="R988" s="75">
        <f>F988-F987</f>
        <v>0.0032106047296869278</v>
      </c>
      <c r="S988" s="75">
        <f>0.5*(Q987+Q988)*R988</f>
        <v>0.003331246132990054</v>
      </c>
      <c r="T988" s="75">
        <f>0.5*(F987*Q987+F988*Q988)*R988</f>
        <v>0.014754828918063439</v>
      </c>
      <c r="U988" s="76">
        <f>U987+S988</f>
        <v>4.6582408217609945</v>
      </c>
      <c r="V988" s="76">
        <f>V987+T988</f>
        <v>14.358595811619264</v>
      </c>
    </row>
    <row r="989" spans="1:22" ht="19" customHeight="1">
      <c r="A989" s="68" t="s">
        <v>372</v>
      </c>
      <c r="B989" s="74">
        <v>2</v>
      </c>
      <c r="C989" s="68" t="s">
        <v>363</v>
      </c>
      <c r="D989" s="68" t="s">
        <v>364</v>
      </c>
      <c r="E989" s="75">
        <f>60*F989*'THAM_SO_MOI'!$C$50/(2*PI()*'THAM_SO_MOI'!$C$26)</f>
        <v>1778.429605818456</v>
      </c>
      <c r="F989" s="75">
        <f>'HANH_TRINH'!$F$826+('THAM_SO_MOI'!$F$50-'HANH_TRINH'!$F$826)*162/'THAM_SO_MOI'!$C$42</f>
        <v>4.434038080314527</v>
      </c>
      <c r="G989" s="75">
        <f>3.6*F989</f>
        <v>15.962537089132297</v>
      </c>
      <c r="H989" s="75">
        <f>'THAM_SO_MOI'!$D$50</f>
        <v>1.8785906709588276</v>
      </c>
      <c r="I989" s="75">
        <f>IF(F989&gt;'THAM_SO_MOI'!$C$14,'THAM_SO_MOI'!$C$13*(1+F989^2/1500),'THAM_SO_MOI'!$C$13)</f>
        <v>0.015</v>
      </c>
      <c r="J989" s="75">
        <f>'THAM_SO_MOI'!$C$40*('THAM_SO_MOI'!$C$23*(E989/'THAM_SO_MOI'!$C$22)+'THAM_SO_MOI'!$C$24*(E989/'THAM_SO_MOI'!$C$22)^2-'THAM_SO_MOI'!$C$25*(E989/'THAM_SO_MOI'!$C$22)^3)</f>
        <v>78.72938158371643</v>
      </c>
      <c r="K989" s="75">
        <f>'THAM_SO_MOI'!$C$31*J989/E989</f>
        <v>422.8180109869035</v>
      </c>
      <c r="L989" s="75">
        <f>K989*'THAM_SO_MOI'!$C$50*'THAM_SO_MOI'!$C$17/'THAM_SO_MOI'!$C$26</f>
        <v>15095.17956350995</v>
      </c>
      <c r="M989" s="75">
        <f>'THAM_SO_MOI'!$C$15*'THAM_SO_MOI'!$C$16*F989^2</f>
        <v>57.507529065712056</v>
      </c>
      <c r="N989" s="75">
        <f>'THAM_SO_MOI'!$C$12*I989</f>
        <v>1130.112</v>
      </c>
      <c r="O989" s="75">
        <f>M989+N989</f>
        <v>1187.6195290657122</v>
      </c>
      <c r="P989" s="75">
        <f>(MIN(L989,'THAM_SO_MOI'!$C$41)-O989)/('THAM_SO_MOI'!$C$11*H989)</f>
        <v>0.9639567793094554</v>
      </c>
      <c r="Q989" s="75">
        <f>IF(P989&gt;0,1/P989,NA())</f>
        <v>1.0373909094932292</v>
      </c>
      <c r="R989" s="75">
        <f>F989-F988</f>
        <v>0.0032106047296869278</v>
      </c>
      <c r="S989" s="75">
        <f>0.5*(Q988+Q989)*R989</f>
        <v>0.00333084990394865</v>
      </c>
      <c r="T989" s="75">
        <f>0.5*(F988*Q988+F989*Q989)*R989</f>
        <v>0.014763767975254609</v>
      </c>
      <c r="U989" s="76">
        <f>U988+S989</f>
        <v>4.661571671664944</v>
      </c>
      <c r="V989" s="76">
        <f>V988+T989</f>
        <v>14.373359579594519</v>
      </c>
    </row>
    <row r="990" spans="1:22" ht="19" customHeight="1">
      <c r="A990" s="68" t="s">
        <v>372</v>
      </c>
      <c r="B990" s="74">
        <v>2</v>
      </c>
      <c r="C990" s="68" t="s">
        <v>363</v>
      </c>
      <c r="D990" s="68" t="s">
        <v>364</v>
      </c>
      <c r="E990" s="75">
        <f>60*F990*'THAM_SO_MOI'!$C$50/(2*PI()*'THAM_SO_MOI'!$C$26)</f>
        <v>1779.7173337090226</v>
      </c>
      <c r="F990" s="75">
        <f>'HANH_TRINH'!$F$826+('THAM_SO_MOI'!$F$50-'HANH_TRINH'!$F$826)*163/'THAM_SO_MOI'!$C$42</f>
        <v>4.437248685044214</v>
      </c>
      <c r="G990" s="75">
        <f>3.6*F990</f>
        <v>15.97409526615917</v>
      </c>
      <c r="H990" s="75">
        <f>'THAM_SO_MOI'!$D$50</f>
        <v>1.8785906709588276</v>
      </c>
      <c r="I990" s="75">
        <f>IF(F990&gt;'THAM_SO_MOI'!$C$14,'THAM_SO_MOI'!$C$13*(1+F990^2/1500),'THAM_SO_MOI'!$C$13)</f>
        <v>0.015</v>
      </c>
      <c r="J990" s="75">
        <f>'THAM_SO_MOI'!$C$40*('THAM_SO_MOI'!$C$23*(E990/'THAM_SO_MOI'!$C$22)+'THAM_SO_MOI'!$C$24*(E990/'THAM_SO_MOI'!$C$22)^2-'THAM_SO_MOI'!$C$25*(E990/'THAM_SO_MOI'!$C$22)^3)</f>
        <v>78.79541076851977</v>
      </c>
      <c r="K990" s="75">
        <f>'THAM_SO_MOI'!$C$31*J990/E990</f>
        <v>422.86643254955874</v>
      </c>
      <c r="L990" s="75">
        <f>K990*'THAM_SO_MOI'!$C$50*'THAM_SO_MOI'!$C$17/'THAM_SO_MOI'!$C$26</f>
        <v>15096.908279326288</v>
      </c>
      <c r="M990" s="75">
        <f>'THAM_SO_MOI'!$C$15*'THAM_SO_MOI'!$C$16*F990^2</f>
        <v>57.59083948681032</v>
      </c>
      <c r="N990" s="75">
        <f>'THAM_SO_MOI'!$C$12*I990</f>
        <v>1130.112</v>
      </c>
      <c r="O990" s="75">
        <f>M990+N990</f>
        <v>1187.7028394868105</v>
      </c>
      <c r="P990" s="75">
        <f>(MIN(L990,'THAM_SO_MOI'!$C$41)-O990)/('THAM_SO_MOI'!$C$11*H990)</f>
        <v>0.9640708251723906</v>
      </c>
      <c r="Q990" s="75">
        <f>IF(P990&gt;0,1/P990,NA())</f>
        <v>1.037268190146906</v>
      </c>
      <c r="R990" s="75">
        <f>F990-F989</f>
        <v>0.0032106047296869278</v>
      </c>
      <c r="S990" s="75">
        <f>0.5*(Q989+Q990)*R990</f>
        <v>0.003330455158896321</v>
      </c>
      <c r="T990" s="75">
        <f>0.5*(F989*Q989+F990*Q990)*R990</f>
        <v>0.014772711070621612</v>
      </c>
      <c r="U990" s="76">
        <f>U989+S990</f>
        <v>4.66490212682384</v>
      </c>
      <c r="V990" s="76">
        <f>V989+T990</f>
        <v>14.38813229066514</v>
      </c>
    </row>
    <row r="991" spans="1:22" ht="19" customHeight="1">
      <c r="A991" s="68" t="s">
        <v>372</v>
      </c>
      <c r="B991" s="74">
        <v>2</v>
      </c>
      <c r="C991" s="68" t="s">
        <v>363</v>
      </c>
      <c r="D991" s="68" t="s">
        <v>364</v>
      </c>
      <c r="E991" s="75">
        <f>60*F991*'THAM_SO_MOI'!$C$50/(2*PI()*'THAM_SO_MOI'!$C$26)</f>
        <v>1781.0050615995892</v>
      </c>
      <c r="F991" s="75">
        <f>'HANH_TRINH'!$F$826+('THAM_SO_MOI'!$F$50-'HANH_TRINH'!$F$826)*164/'THAM_SO_MOI'!$C$42</f>
        <v>4.440459289773901</v>
      </c>
      <c r="G991" s="75">
        <f>3.6*F991</f>
        <v>15.985653443186042</v>
      </c>
      <c r="H991" s="75">
        <f>'THAM_SO_MOI'!$D$50</f>
        <v>1.8785906709588276</v>
      </c>
      <c r="I991" s="75">
        <f>IF(F991&gt;'THAM_SO_MOI'!$C$14,'THAM_SO_MOI'!$C$13*(1+F991^2/1500),'THAM_SO_MOI'!$C$13)</f>
        <v>0.015</v>
      </c>
      <c r="J991" s="75">
        <f>'THAM_SO_MOI'!$C$40*('THAM_SO_MOI'!$C$23*(E991/'THAM_SO_MOI'!$C$22)+'THAM_SO_MOI'!$C$24*(E991/'THAM_SO_MOI'!$C$22)^2-'THAM_SO_MOI'!$C$25*(E991/'THAM_SO_MOI'!$C$22)^3)</f>
        <v>78.86142301177354</v>
      </c>
      <c r="K991" s="75">
        <f>'THAM_SO_MOI'!$C$31*J991/E991</f>
        <v>422.91469323788164</v>
      </c>
      <c r="L991" s="75">
        <f>K991*'THAM_SO_MOI'!$C$50*'THAM_SO_MOI'!$C$17/'THAM_SO_MOI'!$C$26</f>
        <v>15098.631251709588</v>
      </c>
      <c r="M991" s="75">
        <f>'THAM_SO_MOI'!$C$15*'THAM_SO_MOI'!$C$16*F991^2</f>
        <v>57.67421020960755</v>
      </c>
      <c r="N991" s="75">
        <f>'THAM_SO_MOI'!$C$12*I991</f>
        <v>1130.112</v>
      </c>
      <c r="O991" s="75">
        <f>M991+N991</f>
        <v>1187.7862102096076</v>
      </c>
      <c r="P991" s="75">
        <f>(MIN(L991,'THAM_SO_MOI'!$C$41)-O991)/('THAM_SO_MOI'!$C$11*H991)</f>
        <v>0.9641844687685425</v>
      </c>
      <c r="Q991" s="75">
        <f>IF(P991&gt;0,1/P991,NA())</f>
        <v>1.0371459325384085</v>
      </c>
      <c r="R991" s="75">
        <f>F991-F990</f>
        <v>0.0032106047296869278</v>
      </c>
      <c r="S991" s="75">
        <f>0.5*(Q990+Q991)*R991</f>
        <v>0.0033300618968114147</v>
      </c>
      <c r="T991" s="75">
        <f>0.5*(F990*Q990+F991*Q991)*R991</f>
        <v>0.01478165821392299</v>
      </c>
      <c r="U991" s="76">
        <f>U990+S991</f>
        <v>4.668232188720651</v>
      </c>
      <c r="V991" s="76">
        <f>V990+T991</f>
        <v>14.402913948879064</v>
      </c>
    </row>
    <row r="992" spans="1:22" ht="19" customHeight="1">
      <c r="A992" s="68" t="s">
        <v>372</v>
      </c>
      <c r="B992" s="74">
        <v>2</v>
      </c>
      <c r="C992" s="68" t="s">
        <v>363</v>
      </c>
      <c r="D992" s="68" t="s">
        <v>364</v>
      </c>
      <c r="E992" s="75">
        <f>60*F992*'THAM_SO_MOI'!$C$50/(2*PI()*'THAM_SO_MOI'!$C$26)</f>
        <v>1782.2927894901559</v>
      </c>
      <c r="F992" s="75">
        <f>'HANH_TRINH'!$F$826+('THAM_SO_MOI'!$F$50-'HANH_TRINH'!$F$826)*165/'THAM_SO_MOI'!$C$42</f>
        <v>4.4436698945035875</v>
      </c>
      <c r="G992" s="75">
        <f>3.6*F992</f>
        <v>15.997211620212916</v>
      </c>
      <c r="H992" s="75">
        <f>'THAM_SO_MOI'!$D$50</f>
        <v>1.8785906709588276</v>
      </c>
      <c r="I992" s="75">
        <f>IF(F992&gt;'THAM_SO_MOI'!$C$14,'THAM_SO_MOI'!$C$13*(1+F992^2/1500),'THAM_SO_MOI'!$C$13)</f>
        <v>0.015</v>
      </c>
      <c r="J992" s="75">
        <f>'THAM_SO_MOI'!$C$40*('THAM_SO_MOI'!$C$23*(E992/'THAM_SO_MOI'!$C$22)+'THAM_SO_MOI'!$C$24*(E992/'THAM_SO_MOI'!$C$22)^2-'THAM_SO_MOI'!$C$25*(E992/'THAM_SO_MOI'!$C$22)^3)</f>
        <v>78.92741824840805</v>
      </c>
      <c r="K992" s="75">
        <f>'THAM_SO_MOI'!$C$31*J992/E992</f>
        <v>422.9627930518723</v>
      </c>
      <c r="L992" s="75">
        <f>K992*'THAM_SO_MOI'!$C$50*'THAM_SO_MOI'!$C$17/'THAM_SO_MOI'!$C$26</f>
        <v>15100.348480659859</v>
      </c>
      <c r="M992" s="75">
        <f>'THAM_SO_MOI'!$C$15*'THAM_SO_MOI'!$C$16*F992^2</f>
        <v>57.757641234103765</v>
      </c>
      <c r="N992" s="75">
        <f>'THAM_SO_MOI'!$C$12*I992</f>
        <v>1130.112</v>
      </c>
      <c r="O992" s="75">
        <f>M992+N992</f>
        <v>1187.869641234104</v>
      </c>
      <c r="P992" s="75">
        <f>(MIN(L992,'THAM_SO_MOI'!$C$41)-O992)/('THAM_SO_MOI'!$C$11*H992)</f>
        <v>0.9642977100979109</v>
      </c>
      <c r="Q992" s="75">
        <f>IF(P992&gt;0,1/P992,NA())</f>
        <v>1.0370241363514843</v>
      </c>
      <c r="R992" s="75">
        <f>F992-F991</f>
        <v>0.0032106047296869278</v>
      </c>
      <c r="S992" s="75">
        <f>0.5*(Q991+Q992)*R992</f>
        <v>0.0033296701166764748</v>
      </c>
      <c r="T992" s="75">
        <f>0.5*(F991*Q991+F992*Q992)*R992</f>
        <v>0.014790609414922804</v>
      </c>
      <c r="U992" s="76">
        <f>U991+S992</f>
        <v>4.671561858837328</v>
      </c>
      <c r="V992" s="76">
        <f>V991+T992</f>
        <v>14.417704558293988</v>
      </c>
    </row>
    <row r="993" spans="1:22" ht="19" customHeight="1">
      <c r="A993" s="68" t="s">
        <v>372</v>
      </c>
      <c r="B993" s="74">
        <v>2</v>
      </c>
      <c r="C993" s="68" t="s">
        <v>363</v>
      </c>
      <c r="D993" s="68" t="s">
        <v>364</v>
      </c>
      <c r="E993" s="75">
        <f>60*F993*'THAM_SO_MOI'!$C$50/(2*PI()*'THAM_SO_MOI'!$C$26)</f>
        <v>1783.5805173807223</v>
      </c>
      <c r="F993" s="75">
        <f>'HANH_TRINH'!$F$826+('THAM_SO_MOI'!$F$50-'HANH_TRINH'!$F$826)*166/'THAM_SO_MOI'!$C$42</f>
        <v>4.4468804992332736</v>
      </c>
      <c r="G993" s="75">
        <f>3.6*F993</f>
        <v>16.008769797239786</v>
      </c>
      <c r="H993" s="75">
        <f>'THAM_SO_MOI'!$D$50</f>
        <v>1.8785906709588276</v>
      </c>
      <c r="I993" s="75">
        <f>IF(F993&gt;'THAM_SO_MOI'!$C$14,'THAM_SO_MOI'!$C$13*(1+F993^2/1500),'THAM_SO_MOI'!$C$13)</f>
        <v>0.015</v>
      </c>
      <c r="J993" s="75">
        <f>'THAM_SO_MOI'!$C$40*('THAM_SO_MOI'!$C$23*(E993/'THAM_SO_MOI'!$C$22)+'THAM_SO_MOI'!$C$24*(E993/'THAM_SO_MOI'!$C$22)^2-'THAM_SO_MOI'!$C$25*(E993/'THAM_SO_MOI'!$C$22)^3)</f>
        <v>78.99339641335358</v>
      </c>
      <c r="K993" s="75">
        <f>'THAM_SO_MOI'!$C$31*J993/E993</f>
        <v>423.0107319915307</v>
      </c>
      <c r="L993" s="75">
        <f>K993*'THAM_SO_MOI'!$C$50*'THAM_SO_MOI'!$C$17/'THAM_SO_MOI'!$C$26</f>
        <v>15102.059966177087</v>
      </c>
      <c r="M993" s="75">
        <f>'THAM_SO_MOI'!$C$15*'THAM_SO_MOI'!$C$16*F993^2</f>
        <v>57.841132560298924</v>
      </c>
      <c r="N993" s="75">
        <f>'THAM_SO_MOI'!$C$12*I993</f>
        <v>1130.112</v>
      </c>
      <c r="O993" s="75">
        <f>M993+N993</f>
        <v>1187.953132560299</v>
      </c>
      <c r="P993" s="75">
        <f>(MIN(L993,'THAM_SO_MOI'!$C$41)-O993)/('THAM_SO_MOI'!$C$11*H993)</f>
        <v>0.9644105491604952</v>
      </c>
      <c r="Q993" s="75">
        <f>IF(P993&gt;0,1/P993,NA())</f>
        <v>1.0369028012711856</v>
      </c>
      <c r="R993" s="75">
        <f>F993-F992</f>
        <v>0.0032106047296860396</v>
      </c>
      <c r="S993" s="75">
        <f>0.5*(Q992+Q993)*R993</f>
        <v>0.003329279817477314</v>
      </c>
      <c r="T993" s="75">
        <f>0.5*(F992*Q992+F993*Q993)*R993</f>
        <v>0.014799564683386583</v>
      </c>
      <c r="U993" s="76">
        <f>U992+S993</f>
        <v>4.6748911386548055</v>
      </c>
      <c r="V993" s="76">
        <f>V992+T993</f>
        <v>14.432504122977374</v>
      </c>
    </row>
    <row r="994" spans="1:22" ht="19" customHeight="1">
      <c r="A994" s="68" t="s">
        <v>372</v>
      </c>
      <c r="B994" s="74">
        <v>2</v>
      </c>
      <c r="C994" s="68" t="s">
        <v>363</v>
      </c>
      <c r="D994" s="68" t="s">
        <v>364</v>
      </c>
      <c r="E994" s="75">
        <f>60*F994*'THAM_SO_MOI'!$C$50/(2*PI()*'THAM_SO_MOI'!$C$26)</f>
        <v>1784.868245271289</v>
      </c>
      <c r="F994" s="75">
        <f>'HANH_TRINH'!$F$826+('THAM_SO_MOI'!$F$50-'HANH_TRINH'!$F$826)*167/'THAM_SO_MOI'!$C$42</f>
        <v>4.4500911039629605</v>
      </c>
      <c r="G994" s="75">
        <f>3.6*F994</f>
        <v>16.020327974266657</v>
      </c>
      <c r="H994" s="75">
        <f>'THAM_SO_MOI'!$D$50</f>
        <v>1.8785906709588276</v>
      </c>
      <c r="I994" s="75">
        <f>IF(F994&gt;'THAM_SO_MOI'!$C$14,'THAM_SO_MOI'!$C$13*(1+F994^2/1500),'THAM_SO_MOI'!$C$13)</f>
        <v>0.015</v>
      </c>
      <c r="J994" s="75">
        <f>'THAM_SO_MOI'!$C$40*('THAM_SO_MOI'!$C$23*(E994/'THAM_SO_MOI'!$C$22)+'THAM_SO_MOI'!$C$24*(E994/'THAM_SO_MOI'!$C$22)^2-'THAM_SO_MOI'!$C$25*(E994/'THAM_SO_MOI'!$C$22)^3)</f>
        <v>79.05935744154046</v>
      </c>
      <c r="K994" s="75">
        <f>'THAM_SO_MOI'!$C$31*J994/E994</f>
        <v>423.05851005685685</v>
      </c>
      <c r="L994" s="75">
        <f>K994*'THAM_SO_MOI'!$C$50*'THAM_SO_MOI'!$C$17/'THAM_SO_MOI'!$C$26</f>
        <v>15103.765708261279</v>
      </c>
      <c r="M994" s="75">
        <f>'THAM_SO_MOI'!$C$15*'THAM_SO_MOI'!$C$16*F994^2</f>
        <v>57.92468418819307</v>
      </c>
      <c r="N994" s="75">
        <f>'THAM_SO_MOI'!$C$12*I994</f>
        <v>1130.112</v>
      </c>
      <c r="O994" s="75">
        <f>M994+N994</f>
        <v>1188.0366841881932</v>
      </c>
      <c r="P994" s="75">
        <f>(MIN(L994,'THAM_SO_MOI'!$C$41)-O994)/('THAM_SO_MOI'!$C$11*H994)</f>
        <v>0.964522985956296</v>
      </c>
      <c r="Q994" s="75">
        <f>IF(P994&gt;0,1/P994,NA())</f>
        <v>1.036781926983865</v>
      </c>
      <c r="R994" s="75">
        <f>F994-F993</f>
        <v>0.0032106047296869278</v>
      </c>
      <c r="S994" s="75">
        <f>0.5*(Q993+Q994)*R994</f>
        <v>0.0033288909982076083</v>
      </c>
      <c r="T994" s="75">
        <f>0.5*(F993*Q993+F994*Q994)*R994</f>
        <v>0.014808524029101813</v>
      </c>
      <c r="U994" s="76">
        <f>U993+S994</f>
        <v>4.678220029653013</v>
      </c>
      <c r="V994" s="76">
        <f>V993+T994</f>
        <v>14.447312647006475</v>
      </c>
    </row>
    <row r="995" spans="1:22" ht="19" customHeight="1">
      <c r="A995" s="68" t="s">
        <v>372</v>
      </c>
      <c r="B995" s="74">
        <v>2</v>
      </c>
      <c r="C995" s="68" t="s">
        <v>363</v>
      </c>
      <c r="D995" s="68" t="s">
        <v>364</v>
      </c>
      <c r="E995" s="75">
        <f>60*F995*'THAM_SO_MOI'!$C$50/(2*PI()*'THAM_SO_MOI'!$C$26)</f>
        <v>1786.1559731618556</v>
      </c>
      <c r="F995" s="75">
        <f>'HANH_TRINH'!$F$826+('THAM_SO_MOI'!$F$50-'HANH_TRINH'!$F$826)*168/'THAM_SO_MOI'!$C$42</f>
        <v>4.453301708692647</v>
      </c>
      <c r="G995" s="75">
        <f>3.6*F995</f>
        <v>16.03188615129353</v>
      </c>
      <c r="H995" s="75">
        <f>'THAM_SO_MOI'!$D$50</f>
        <v>1.8785906709588276</v>
      </c>
      <c r="I995" s="75">
        <f>IF(F995&gt;'THAM_SO_MOI'!$C$14,'THAM_SO_MOI'!$C$13*(1+F995^2/1500),'THAM_SO_MOI'!$C$13)</f>
        <v>0.015</v>
      </c>
      <c r="J995" s="75">
        <f>'THAM_SO_MOI'!$C$40*('THAM_SO_MOI'!$C$23*(E995/'THAM_SO_MOI'!$C$22)+'THAM_SO_MOI'!$C$24*(E995/'THAM_SO_MOI'!$C$22)^2-'THAM_SO_MOI'!$C$25*(E995/'THAM_SO_MOI'!$C$22)^3)</f>
        <v>79.12530126789896</v>
      </c>
      <c r="K995" s="75">
        <f>'THAM_SO_MOI'!$C$31*J995/E995</f>
        <v>423.1061272478507</v>
      </c>
      <c r="L995" s="75">
        <f>K995*'THAM_SO_MOI'!$C$50*'THAM_SO_MOI'!$C$17/'THAM_SO_MOI'!$C$26</f>
        <v>15105.465706912433</v>
      </c>
      <c r="M995" s="75">
        <f>'THAM_SO_MOI'!$C$15*'THAM_SO_MOI'!$C$16*F995^2</f>
        <v>58.0082961177862</v>
      </c>
      <c r="N995" s="75">
        <f>'THAM_SO_MOI'!$C$12*I995</f>
        <v>1130.112</v>
      </c>
      <c r="O995" s="75">
        <f>M995+N995</f>
        <v>1188.1202961177862</v>
      </c>
      <c r="P995" s="75">
        <f>(MIN(L995,'THAM_SO_MOI'!$C$41)-O995)/('THAM_SO_MOI'!$C$11*H995)</f>
        <v>0.9646350204853128</v>
      </c>
      <c r="Q995" s="75">
        <f>IF(P995&gt;0,1/P995,NA())</f>
        <v>1.0366615131771755</v>
      </c>
      <c r="R995" s="75">
        <f>F995-F994</f>
        <v>0.0032106047296869278</v>
      </c>
      <c r="S995" s="75">
        <f>0.5*(Q994+Q995)*R995</f>
        <v>0.003328503657859685</v>
      </c>
      <c r="T995" s="75">
        <f>0.5*(F994*Q994+F995*Q995)*R995</f>
        <v>0.014817487461837052</v>
      </c>
      <c r="U995" s="76">
        <f>U994+S995</f>
        <v>4.681548533310873</v>
      </c>
      <c r="V995" s="76">
        <f>V994+T995</f>
        <v>14.462130134468312</v>
      </c>
    </row>
    <row r="996" spans="1:22" ht="19" customHeight="1">
      <c r="A996" s="68" t="s">
        <v>372</v>
      </c>
      <c r="B996" s="74">
        <v>2</v>
      </c>
      <c r="C996" s="68" t="s">
        <v>363</v>
      </c>
      <c r="D996" s="68" t="s">
        <v>364</v>
      </c>
      <c r="E996" s="75">
        <f>60*F996*'THAM_SO_MOI'!$C$50/(2*PI()*'THAM_SO_MOI'!$C$26)</f>
        <v>1787.4437010524223</v>
      </c>
      <c r="F996" s="75">
        <f>'HANH_TRINH'!$F$826+('THAM_SO_MOI'!$F$50-'HANH_TRINH'!$F$826)*169/'THAM_SO_MOI'!$C$42</f>
        <v>4.456512313422334</v>
      </c>
      <c r="G996" s="75">
        <f>3.6*F996</f>
        <v>16.043444328320405</v>
      </c>
      <c r="H996" s="75">
        <f>'THAM_SO_MOI'!$D$50</f>
        <v>1.8785906709588276</v>
      </c>
      <c r="I996" s="75">
        <f>IF(F996&gt;'THAM_SO_MOI'!$C$14,'THAM_SO_MOI'!$C$13*(1+F996^2/1500),'THAM_SO_MOI'!$C$13)</f>
        <v>0.015</v>
      </c>
      <c r="J996" s="75">
        <f>'THAM_SO_MOI'!$C$40*('THAM_SO_MOI'!$C$23*(E996/'THAM_SO_MOI'!$C$22)+'THAM_SO_MOI'!$C$24*(E996/'THAM_SO_MOI'!$C$22)^2-'THAM_SO_MOI'!$C$25*(E996/'THAM_SO_MOI'!$C$22)^3)</f>
        <v>79.19122782735944</v>
      </c>
      <c r="K996" s="75">
        <f>'THAM_SO_MOI'!$C$31*J996/E996</f>
        <v>423.1535835645124</v>
      </c>
      <c r="L996" s="75">
        <f>K996*'THAM_SO_MOI'!$C$50*'THAM_SO_MOI'!$C$17/'THAM_SO_MOI'!$C$26</f>
        <v>15107.159962130558</v>
      </c>
      <c r="M996" s="75">
        <f>'THAM_SO_MOI'!$C$15*'THAM_SO_MOI'!$C$16*F996^2</f>
        <v>58.0919683490783</v>
      </c>
      <c r="N996" s="75">
        <f>'THAM_SO_MOI'!$C$12*I996</f>
        <v>1130.112</v>
      </c>
      <c r="O996" s="75">
        <f>M996+N996</f>
        <v>1188.2039683490784</v>
      </c>
      <c r="P996" s="75">
        <f>(MIN(L996,'THAM_SO_MOI'!$C$41)-O996)/('THAM_SO_MOI'!$C$11*H996)</f>
        <v>0.9647466527475469</v>
      </c>
      <c r="Q996" s="75">
        <f>IF(P996&gt;0,1/P996,NA())</f>
        <v>1.036541559540065</v>
      </c>
      <c r="R996" s="75">
        <f>F996-F995</f>
        <v>0.0032106047296869278</v>
      </c>
      <c r="S996" s="75">
        <f>0.5*(Q995+Q996)*R996</f>
        <v>0.003328117795433722</v>
      </c>
      <c r="T996" s="75">
        <f>0.5*(F995*Q995+F996*Q996)*R996</f>
        <v>0.014826454991382883</v>
      </c>
      <c r="U996" s="76">
        <f>U995+S996</f>
        <v>4.684876651106307</v>
      </c>
      <c r="V996" s="76">
        <f>V995+T996</f>
        <v>14.476956589459695</v>
      </c>
    </row>
    <row r="997" spans="1:22" ht="19" customHeight="1">
      <c r="A997" s="68" t="s">
        <v>372</v>
      </c>
      <c r="B997" s="74">
        <v>2</v>
      </c>
      <c r="C997" s="68" t="s">
        <v>363</v>
      </c>
      <c r="D997" s="68" t="s">
        <v>364</v>
      </c>
      <c r="E997" s="75">
        <f>60*F997*'THAM_SO_MOI'!$C$50/(2*PI()*'THAM_SO_MOI'!$C$26)</f>
        <v>1788.731428942989</v>
      </c>
      <c r="F997" s="75">
        <f>'HANH_TRINH'!$F$826+('THAM_SO_MOI'!$F$50-'HANH_TRINH'!$F$826)*170/'THAM_SO_MOI'!$C$42</f>
        <v>4.459722918152021</v>
      </c>
      <c r="G997" s="75">
        <f>3.6*F997</f>
        <v>16.05500250534728</v>
      </c>
      <c r="H997" s="75">
        <f>'THAM_SO_MOI'!$D$50</f>
        <v>1.8785906709588276</v>
      </c>
      <c r="I997" s="75">
        <f>IF(F997&gt;'THAM_SO_MOI'!$C$14,'THAM_SO_MOI'!$C$13*(1+F997^2/1500),'THAM_SO_MOI'!$C$13)</f>
        <v>0.015</v>
      </c>
      <c r="J997" s="75">
        <f>'THAM_SO_MOI'!$C$40*('THAM_SO_MOI'!$C$23*(E997/'THAM_SO_MOI'!$C$22)+'THAM_SO_MOI'!$C$24*(E997/'THAM_SO_MOI'!$C$22)^2-'THAM_SO_MOI'!$C$25*(E997/'THAM_SO_MOI'!$C$22)^3)</f>
        <v>79.25713705485212</v>
      </c>
      <c r="K997" s="75">
        <f>'THAM_SO_MOI'!$C$31*J997/E997</f>
        <v>423.2008790068417</v>
      </c>
      <c r="L997" s="75">
        <f>K997*'THAM_SO_MOI'!$C$50*'THAM_SO_MOI'!$C$17/'THAM_SO_MOI'!$C$26</f>
        <v>15108.848473915641</v>
      </c>
      <c r="M997" s="75">
        <f>'THAM_SO_MOI'!$C$15*'THAM_SO_MOI'!$C$16*F997^2</f>
        <v>58.17570088206937</v>
      </c>
      <c r="N997" s="75">
        <f>'THAM_SO_MOI'!$C$12*I997</f>
        <v>1130.112</v>
      </c>
      <c r="O997" s="75">
        <f>M997+N997</f>
        <v>1188.2877008820694</v>
      </c>
      <c r="P997" s="75">
        <f>(MIN(L997,'THAM_SO_MOI'!$C$41)-O997)/('THAM_SO_MOI'!$C$11*H997)</f>
        <v>0.9648578827429967</v>
      </c>
      <c r="Q997" s="75">
        <f>IF(P997&gt;0,1/P997,NA())</f>
        <v>1.0364220657627812</v>
      </c>
      <c r="R997" s="75">
        <f>F997-F996</f>
        <v>0.0032106047296869278</v>
      </c>
      <c r="S997" s="75">
        <f>0.5*(Q996+Q997)*R997</f>
        <v>0.0033277334099331398</v>
      </c>
      <c r="T997" s="75">
        <f>0.5*(F996*Q996+F997*Q997)*R997</f>
        <v>0.014835426627531517</v>
      </c>
      <c r="U997" s="76">
        <f>U996+S997</f>
        <v>4.68820438451624</v>
      </c>
      <c r="V997" s="76">
        <f>V996+T997</f>
        <v>14.491792016087226</v>
      </c>
    </row>
    <row r="998" spans="1:22" ht="19" customHeight="1">
      <c r="A998" s="68" t="s">
        <v>372</v>
      </c>
      <c r="B998" s="74">
        <v>2</v>
      </c>
      <c r="C998" s="68" t="s">
        <v>363</v>
      </c>
      <c r="D998" s="68" t="s">
        <v>364</v>
      </c>
      <c r="E998" s="75">
        <f>60*F998*'THAM_SO_MOI'!$C$50/(2*PI()*'THAM_SO_MOI'!$C$26)</f>
        <v>1790.0191568335556</v>
      </c>
      <c r="F998" s="75">
        <f>'HANH_TRINH'!$F$826+('THAM_SO_MOI'!$F$50-'HANH_TRINH'!$F$826)*171/'THAM_SO_MOI'!$C$42</f>
        <v>4.462933522881708</v>
      </c>
      <c r="G998" s="75">
        <f>3.6*F998</f>
        <v>16.06656068237415</v>
      </c>
      <c r="H998" s="75">
        <f>'THAM_SO_MOI'!$D$50</f>
        <v>1.8785906709588276</v>
      </c>
      <c r="I998" s="75">
        <f>IF(F998&gt;'THAM_SO_MOI'!$C$14,'THAM_SO_MOI'!$C$13*(1+F998^2/1500),'THAM_SO_MOI'!$C$13)</f>
        <v>0.015</v>
      </c>
      <c r="J998" s="75">
        <f>'THAM_SO_MOI'!$C$40*('THAM_SO_MOI'!$C$23*(E998/'THAM_SO_MOI'!$C$22)+'THAM_SO_MOI'!$C$24*(E998/'THAM_SO_MOI'!$C$22)^2-'THAM_SO_MOI'!$C$25*(E998/'THAM_SO_MOI'!$C$22)^3)</f>
        <v>79.3230288853074</v>
      </c>
      <c r="K998" s="75">
        <f>'THAM_SO_MOI'!$C$31*J998/E998</f>
        <v>423.24801357483904</v>
      </c>
      <c r="L998" s="75">
        <f>K998*'THAM_SO_MOI'!$C$50*'THAM_SO_MOI'!$C$17/'THAM_SO_MOI'!$C$26</f>
        <v>15110.531242267696</v>
      </c>
      <c r="M998" s="75">
        <f>'THAM_SO_MOI'!$C$15*'THAM_SO_MOI'!$C$16*F998^2</f>
        <v>58.25949371675941</v>
      </c>
      <c r="N998" s="75">
        <f>'THAM_SO_MOI'!$C$12*I998</f>
        <v>1130.112</v>
      </c>
      <c r="O998" s="75">
        <f>M998+N998</f>
        <v>1188.3714937167595</v>
      </c>
      <c r="P998" s="75">
        <f>(MIN(L998,'THAM_SO_MOI'!$C$41)-O998)/('THAM_SO_MOI'!$C$11*H998)</f>
        <v>0.9649687104716633</v>
      </c>
      <c r="Q998" s="75">
        <f>IF(P998&gt;0,1/P998,NA())</f>
        <v>1.0363030315368609</v>
      </c>
      <c r="R998" s="75">
        <f>F998-F997</f>
        <v>0.0032106047296869278</v>
      </c>
      <c r="S998" s="75">
        <f>0.5*(Q997+Q998)*R998</f>
        <v>0.0033273505003655144</v>
      </c>
      <c r="T998" s="75">
        <f>0.5*(F997*Q997+F998*Q998)*R998</f>
        <v>0.014844402380080892</v>
      </c>
      <c r="U998" s="76">
        <f>U997+S998</f>
        <v>4.691531735016605</v>
      </c>
      <c r="V998" s="76">
        <f>V997+T998</f>
        <v>14.506636418467307</v>
      </c>
    </row>
    <row r="999" spans="1:22" ht="19" customHeight="1">
      <c r="A999" s="68" t="s">
        <v>372</v>
      </c>
      <c r="B999" s="74">
        <v>2</v>
      </c>
      <c r="C999" s="68" t="s">
        <v>363</v>
      </c>
      <c r="D999" s="68" t="s">
        <v>364</v>
      </c>
      <c r="E999" s="75">
        <f>60*F999*'THAM_SO_MOI'!$C$50/(2*PI()*'THAM_SO_MOI'!$C$26)</f>
        <v>1791.3068847241223</v>
      </c>
      <c r="F999" s="75">
        <f>'HANH_TRINH'!$F$826+('THAM_SO_MOI'!$F$50-'HANH_TRINH'!$F$826)*172/'THAM_SO_MOI'!$C$42</f>
        <v>4.466144127611395</v>
      </c>
      <c r="G999" s="75">
        <f>3.6*F999</f>
        <v>16.078118859401023</v>
      </c>
      <c r="H999" s="75">
        <f>'THAM_SO_MOI'!$D$50</f>
        <v>1.8785906709588276</v>
      </c>
      <c r="I999" s="75">
        <f>IF(F999&gt;'THAM_SO_MOI'!$C$14,'THAM_SO_MOI'!$C$13*(1+F999^2/1500),'THAM_SO_MOI'!$C$13)</f>
        <v>0.015</v>
      </c>
      <c r="J999" s="75">
        <f>'THAM_SO_MOI'!$C$40*('THAM_SO_MOI'!$C$23*(E999/'THAM_SO_MOI'!$C$22)+'THAM_SO_MOI'!$C$24*(E999/'THAM_SO_MOI'!$C$22)^2-'THAM_SO_MOI'!$C$25*(E999/'THAM_SO_MOI'!$C$22)^3)</f>
        <v>79.3889032536555</v>
      </c>
      <c r="K999" s="75">
        <f>'THAM_SO_MOI'!$C$31*J999/E999</f>
        <v>423.294987268504</v>
      </c>
      <c r="L999" s="75">
        <f>K999*'THAM_SO_MOI'!$C$50*'THAM_SO_MOI'!$C$17/'THAM_SO_MOI'!$C$26</f>
        <v>15112.208267186712</v>
      </c>
      <c r="M999" s="75">
        <f>'THAM_SO_MOI'!$C$15*'THAM_SO_MOI'!$C$16*F999^2</f>
        <v>58.343346853148425</v>
      </c>
      <c r="N999" s="75">
        <f>'THAM_SO_MOI'!$C$12*I999</f>
        <v>1130.112</v>
      </c>
      <c r="O999" s="75">
        <f>M999+N999</f>
        <v>1188.4553468531485</v>
      </c>
      <c r="P999" s="75">
        <f>(MIN(L999,'THAM_SO_MOI'!$C$41)-O999)/('THAM_SO_MOI'!$C$11*H999)</f>
        <v>0.9650791359335463</v>
      </c>
      <c r="Q999" s="75">
        <f>IF(P999&gt;0,1/P999,NA())</f>
        <v>1.036184456555134</v>
      </c>
      <c r="R999" s="75">
        <f>F999-F998</f>
        <v>0.0032106047296869278</v>
      </c>
      <c r="S999" s="75">
        <f>0.5*(Q998+Q999)*R999</f>
        <v>0.0033269690657425697</v>
      </c>
      <c r="T999" s="75">
        <f>0.5*(F998*Q998+F999*Q999)*R999</f>
        <v>0.014853382258834733</v>
      </c>
      <c r="U999" s="76">
        <f>U998+S999</f>
        <v>4.694858704082348</v>
      </c>
      <c r="V999" s="76">
        <f>V998+T999</f>
        <v>14.521489800726142</v>
      </c>
    </row>
    <row r="1000" spans="1:22" ht="19" customHeight="1">
      <c r="A1000" s="68" t="s">
        <v>372</v>
      </c>
      <c r="B1000" s="74">
        <v>2</v>
      </c>
      <c r="C1000" s="68" t="s">
        <v>363</v>
      </c>
      <c r="D1000" s="68" t="s">
        <v>364</v>
      </c>
      <c r="E1000" s="75">
        <f>60*F1000*'THAM_SO_MOI'!$C$50/(2*PI()*'THAM_SO_MOI'!$C$26)</f>
        <v>1792.5946126146887</v>
      </c>
      <c r="F1000" s="75">
        <f>'HANH_TRINH'!$F$826+('THAM_SO_MOI'!$F$50-'HANH_TRINH'!$F$826)*173/'THAM_SO_MOI'!$C$42</f>
        <v>4.469354732341081</v>
      </c>
      <c r="G1000" s="75">
        <f>3.6*F1000</f>
        <v>16.089677036427894</v>
      </c>
      <c r="H1000" s="75">
        <f>'THAM_SO_MOI'!$D$50</f>
        <v>1.8785906709588276</v>
      </c>
      <c r="I1000" s="75">
        <f>IF(F1000&gt;'THAM_SO_MOI'!$C$14,'THAM_SO_MOI'!$C$13*(1+F1000^2/1500),'THAM_SO_MOI'!$C$13)</f>
        <v>0.015</v>
      </c>
      <c r="J1000" s="75">
        <f>'THAM_SO_MOI'!$C$40*('THAM_SO_MOI'!$C$23*(E1000/'THAM_SO_MOI'!$C$22)+'THAM_SO_MOI'!$C$24*(E1000/'THAM_SO_MOI'!$C$22)^2-'THAM_SO_MOI'!$C$25*(E1000/'THAM_SO_MOI'!$C$22)^3)</f>
        <v>79.45476009482674</v>
      </c>
      <c r="K1000" s="75">
        <f>'THAM_SO_MOI'!$C$31*J1000/E1000</f>
        <v>423.3418000878367</v>
      </c>
      <c r="L1000" s="75">
        <f>K1000*'THAM_SO_MOI'!$C$50*'THAM_SO_MOI'!$C$17/'THAM_SO_MOI'!$C$26</f>
        <v>15113.879548672694</v>
      </c>
      <c r="M1000" s="75">
        <f>'THAM_SO_MOI'!$C$15*'THAM_SO_MOI'!$C$16*F1000^2</f>
        <v>58.42726029123639</v>
      </c>
      <c r="N1000" s="75">
        <f>'THAM_SO_MOI'!$C$12*I1000</f>
        <v>1130.112</v>
      </c>
      <c r="O1000" s="75">
        <f>M1000+N1000</f>
        <v>1188.5392602912364</v>
      </c>
      <c r="P1000" s="75">
        <f>(MIN(L1000,'THAM_SO_MOI'!$C$41)-O1000)/('THAM_SO_MOI'!$C$11*H1000)</f>
        <v>0.9651891591286456</v>
      </c>
      <c r="Q1000" s="75">
        <f>IF(P1000&gt;0,1/P1000,NA())</f>
        <v>1.03606634051172</v>
      </c>
      <c r="R1000" s="75">
        <f>F1000-F999</f>
        <v>0.0032106047296860396</v>
      </c>
      <c r="S1000" s="75">
        <f>0.5*(Q999+Q1000)*R1000</f>
        <v>0.003326589105079253</v>
      </c>
      <c r="T1000" s="75">
        <f>0.5*(F999*Q999+F1000*Q1000)*R1000</f>
        <v>0.014862366273598465</v>
      </c>
      <c r="U1000" s="76">
        <f>U999+S1000</f>
        <v>4.698185293187427</v>
      </c>
      <c r="V1000" s="76">
        <f>V999+T1000</f>
        <v>14.536352166999741</v>
      </c>
    </row>
    <row r="1001" spans="1:22" ht="19" customHeight="1">
      <c r="A1001" s="68" t="s">
        <v>372</v>
      </c>
      <c r="B1001" s="74">
        <v>2</v>
      </c>
      <c r="C1001" s="68" t="s">
        <v>363</v>
      </c>
      <c r="D1001" s="68" t="s">
        <v>364</v>
      </c>
      <c r="E1001" s="75">
        <f>60*F1001*'THAM_SO_MOI'!$C$50/(2*PI()*'THAM_SO_MOI'!$C$26)</f>
        <v>1793.882340505256</v>
      </c>
      <c r="F1001" s="75">
        <f>'HANH_TRINH'!$F$826+('THAM_SO_MOI'!$F$50-'HANH_TRINH'!$F$826)*174/'THAM_SO_MOI'!$C$42</f>
        <v>4.472565337070768</v>
      </c>
      <c r="G1001" s="75">
        <f>3.6*F1001</f>
        <v>16.101235213454764</v>
      </c>
      <c r="H1001" s="75">
        <f>'THAM_SO_MOI'!$D$50</f>
        <v>1.8785906709588276</v>
      </c>
      <c r="I1001" s="75">
        <f>IF(F1001&gt;'THAM_SO_MOI'!$C$14,'THAM_SO_MOI'!$C$13*(1+F1001^2/1500),'THAM_SO_MOI'!$C$13)</f>
        <v>0.015</v>
      </c>
      <c r="J1001" s="75">
        <f>'THAM_SO_MOI'!$C$40*('THAM_SO_MOI'!$C$23*(E1001/'THAM_SO_MOI'!$C$22)+'THAM_SO_MOI'!$C$24*(E1001/'THAM_SO_MOI'!$C$22)^2-'THAM_SO_MOI'!$C$25*(E1001/'THAM_SO_MOI'!$C$22)^3)</f>
        <v>79.52059934375144</v>
      </c>
      <c r="K1001" s="75">
        <f>'THAM_SO_MOI'!$C$31*J1001/E1001</f>
        <v>423.38845203283705</v>
      </c>
      <c r="L1001" s="75">
        <f>K1001*'THAM_SO_MOI'!$C$50*'THAM_SO_MOI'!$C$17/'THAM_SO_MOI'!$C$26</f>
        <v>15115.545086725635</v>
      </c>
      <c r="M1001" s="75">
        <f>'THAM_SO_MOI'!$C$15*'THAM_SO_MOI'!$C$16*F1001^2</f>
        <v>58.51123403102334</v>
      </c>
      <c r="N1001" s="75">
        <f>'THAM_SO_MOI'!$C$12*I1001</f>
        <v>1130.112</v>
      </c>
      <c r="O1001" s="75">
        <f>M1001+N1001</f>
        <v>1188.6232340310235</v>
      </c>
      <c r="P1001" s="75">
        <f>(MIN(L1001,'THAM_SO_MOI'!$C$41)-O1001)/('THAM_SO_MOI'!$C$11*H1001)</f>
        <v>0.9652987800569612</v>
      </c>
      <c r="Q1001" s="75">
        <f>IF(P1001&gt;0,1/P1001,NA())</f>
        <v>1.0359486831020248</v>
      </c>
      <c r="R1001" s="75">
        <f>F1001-F1000</f>
        <v>0.0032106047296869278</v>
      </c>
      <c r="S1001" s="75">
        <f>0.5*(Q1000+Q1001)*R1001</f>
        <v>0.003326210617398331</v>
      </c>
      <c r="T1001" s="75">
        <f>0.5*(F1000*Q1000+F1001*Q1001)*R1001</f>
        <v>0.014871354434199817</v>
      </c>
      <c r="U1001" s="76">
        <f>U1000+S1001</f>
        <v>4.701511503804825</v>
      </c>
      <c r="V1001" s="76">
        <f>V1000+T1001</f>
        <v>14.551223521433942</v>
      </c>
    </row>
    <row r="1002" spans="1:22" ht="19" customHeight="1">
      <c r="A1002" s="68" t="s">
        <v>372</v>
      </c>
      <c r="B1002" s="74">
        <v>2</v>
      </c>
      <c r="C1002" s="68" t="s">
        <v>363</v>
      </c>
      <c r="D1002" s="68" t="s">
        <v>364</v>
      </c>
      <c r="E1002" s="75">
        <f>60*F1002*'THAM_SO_MOI'!$C$50/(2*PI()*'THAM_SO_MOI'!$C$26)</f>
        <v>1795.1700683958227</v>
      </c>
      <c r="F1002" s="75">
        <f>'HANH_TRINH'!$F$826+('THAM_SO_MOI'!$F$50-'HANH_TRINH'!$F$826)*175/'THAM_SO_MOI'!$C$42</f>
        <v>4.475775941800455</v>
      </c>
      <c r="G1002" s="75">
        <f>3.6*F1002</f>
        <v>16.112793390481638</v>
      </c>
      <c r="H1002" s="75">
        <f>'THAM_SO_MOI'!$D$50</f>
        <v>1.8785906709588276</v>
      </c>
      <c r="I1002" s="75">
        <f>IF(F1002&gt;'THAM_SO_MOI'!$C$14,'THAM_SO_MOI'!$C$13*(1+F1002^2/1500),'THAM_SO_MOI'!$C$13)</f>
        <v>0.015</v>
      </c>
      <c r="J1002" s="75">
        <f>'THAM_SO_MOI'!$C$40*('THAM_SO_MOI'!$C$23*(E1002/'THAM_SO_MOI'!$C$22)+'THAM_SO_MOI'!$C$24*(E1002/'THAM_SO_MOI'!$C$22)^2-'THAM_SO_MOI'!$C$25*(E1002/'THAM_SO_MOI'!$C$22)^3)</f>
        <v>79.58642093535988</v>
      </c>
      <c r="K1002" s="75">
        <f>'THAM_SO_MOI'!$C$31*J1002/E1002</f>
        <v>423.4349431035052</v>
      </c>
      <c r="L1002" s="75">
        <f>K1002*'THAM_SO_MOI'!$C$50*'THAM_SO_MOI'!$C$17/'THAM_SO_MOI'!$C$26</f>
        <v>15117.20488134554</v>
      </c>
      <c r="M1002" s="75">
        <f>'THAM_SO_MOI'!$C$15*'THAM_SO_MOI'!$C$16*F1002^2</f>
        <v>58.59526807250927</v>
      </c>
      <c r="N1002" s="75">
        <f>'THAM_SO_MOI'!$C$12*I1002</f>
        <v>1130.112</v>
      </c>
      <c r="O1002" s="75">
        <f>M1002+N1002</f>
        <v>1188.7072680725094</v>
      </c>
      <c r="P1002" s="75">
        <f>(MIN(L1002,'THAM_SO_MOI'!$C$41)-O1002)/('THAM_SO_MOI'!$C$11*H1002)</f>
        <v>0.9654079987184929</v>
      </c>
      <c r="Q1002" s="75">
        <f>IF(P1002&gt;0,1/P1002,NA())</f>
        <v>1.03583148402274</v>
      </c>
      <c r="R1002" s="75">
        <f>F1002-F1001</f>
        <v>0.0032106047296869278</v>
      </c>
      <c r="S1002" s="75">
        <f>0.5*(Q1001+Q1002)*R1002</f>
        <v>0.0033258336017211723</v>
      </c>
      <c r="T1002" s="75">
        <f>0.5*(F1001*Q1001+F1002*Q1002)*R1002</f>
        <v>0.014880346750447736</v>
      </c>
      <c r="U1002" s="76">
        <f>U1001+S1002</f>
        <v>4.704837337406547</v>
      </c>
      <c r="V1002" s="76">
        <f>V1001+T1002</f>
        <v>14.56610386818439</v>
      </c>
    </row>
    <row r="1003" spans="1:22" ht="19" customHeight="1">
      <c r="A1003" s="68" t="s">
        <v>372</v>
      </c>
      <c r="B1003" s="74">
        <v>2</v>
      </c>
      <c r="C1003" s="68" t="s">
        <v>363</v>
      </c>
      <c r="D1003" s="68" t="s">
        <v>364</v>
      </c>
      <c r="E1003" s="75">
        <f>60*F1003*'THAM_SO_MOI'!$C$50/(2*PI()*'THAM_SO_MOI'!$C$26)</f>
        <v>1796.4577962863896</v>
      </c>
      <c r="F1003" s="75">
        <f>'HANH_TRINH'!$F$826+('THAM_SO_MOI'!$F$50-'HANH_TRINH'!$F$826)*176/'THAM_SO_MOI'!$C$42</f>
        <v>4.478986546530142</v>
      </c>
      <c r="G1003" s="75">
        <f>3.6*F1003</f>
        <v>16.124351567508512</v>
      </c>
      <c r="H1003" s="75">
        <f>'THAM_SO_MOI'!$D$50</f>
        <v>1.8785906709588276</v>
      </c>
      <c r="I1003" s="75">
        <f>IF(F1003&gt;'THAM_SO_MOI'!$C$14,'THAM_SO_MOI'!$C$13*(1+F1003^2/1500),'THAM_SO_MOI'!$C$13)</f>
        <v>0.015</v>
      </c>
      <c r="J1003" s="75">
        <f>'THAM_SO_MOI'!$C$40*('THAM_SO_MOI'!$C$23*(E1003/'THAM_SO_MOI'!$C$22)+'THAM_SO_MOI'!$C$24*(E1003/'THAM_SO_MOI'!$C$22)^2-'THAM_SO_MOI'!$C$25*(E1003/'THAM_SO_MOI'!$C$22)^3)</f>
        <v>79.65222480458237</v>
      </c>
      <c r="K1003" s="75">
        <f>'THAM_SO_MOI'!$C$31*J1003/E1003</f>
        <v>423.4812732998411</v>
      </c>
      <c r="L1003" s="75">
        <f>K1003*'THAM_SO_MOI'!$C$50*'THAM_SO_MOI'!$C$17/'THAM_SO_MOI'!$C$26</f>
        <v>15118.858932532412</v>
      </c>
      <c r="M1003" s="75">
        <f>'THAM_SO_MOI'!$C$15*'THAM_SO_MOI'!$C$16*F1003^2</f>
        <v>58.67936241569418</v>
      </c>
      <c r="N1003" s="75">
        <f>'THAM_SO_MOI'!$C$12*I1003</f>
        <v>1130.112</v>
      </c>
      <c r="O1003" s="75">
        <f>M1003+N1003</f>
        <v>1188.7913624156943</v>
      </c>
      <c r="P1003" s="75">
        <f>(MIN(L1003,'THAM_SO_MOI'!$C$41)-O1003)/('THAM_SO_MOI'!$C$11*H1003)</f>
        <v>0.9655168151132413</v>
      </c>
      <c r="Q1003" s="75">
        <f>IF(P1003&gt;0,1/P1003,NA())</f>
        <v>1.0357147429718396</v>
      </c>
      <c r="R1003" s="75">
        <f>F1003-F1002</f>
        <v>0.0032106047296869278</v>
      </c>
      <c r="S1003" s="75">
        <f>0.5*(Q1002+Q1003)*R1003</f>
        <v>0.0033254580570769537</v>
      </c>
      <c r="T1003" s="75">
        <f>0.5*(F1002*Q1002+F1003*Q1003)*R1003</f>
        <v>0.014889343232173542</v>
      </c>
      <c r="U1003" s="76">
        <f>U1002+S1003</f>
        <v>4.708162795463624</v>
      </c>
      <c r="V1003" s="76">
        <f>V1002+T1003</f>
        <v>14.580993211416564</v>
      </c>
    </row>
    <row r="1004" spans="1:22" ht="19" customHeight="1">
      <c r="A1004" s="68" t="s">
        <v>372</v>
      </c>
      <c r="B1004" s="74">
        <v>2</v>
      </c>
      <c r="C1004" s="68" t="s">
        <v>363</v>
      </c>
      <c r="D1004" s="68" t="s">
        <v>364</v>
      </c>
      <c r="E1004" s="75">
        <f>60*F1004*'THAM_SO_MOI'!$C$50/(2*PI()*'THAM_SO_MOI'!$C$26)</f>
        <v>1797.7455241769562</v>
      </c>
      <c r="F1004" s="75">
        <f>'HANH_TRINH'!$F$826+('THAM_SO_MOI'!$F$50-'HANH_TRINH'!$F$826)*177/'THAM_SO_MOI'!$C$42</f>
        <v>4.482197151259829</v>
      </c>
      <c r="G1004" s="75">
        <f>3.6*F1004</f>
        <v>16.135909744535386</v>
      </c>
      <c r="H1004" s="75">
        <f>'THAM_SO_MOI'!$D$50</f>
        <v>1.8785906709588276</v>
      </c>
      <c r="I1004" s="75">
        <f>IF(F1004&gt;'THAM_SO_MOI'!$C$14,'THAM_SO_MOI'!$C$13*(1+F1004^2/1500),'THAM_SO_MOI'!$C$13)</f>
        <v>0.015</v>
      </c>
      <c r="J1004" s="75">
        <f>'THAM_SO_MOI'!$C$40*('THAM_SO_MOI'!$C$23*(E1004/'THAM_SO_MOI'!$C$22)+'THAM_SO_MOI'!$C$24*(E1004/'THAM_SO_MOI'!$C$22)^2-'THAM_SO_MOI'!$C$25*(E1004/'THAM_SO_MOI'!$C$22)^3)</f>
        <v>79.71801088634923</v>
      </c>
      <c r="K1004" s="75">
        <f>'THAM_SO_MOI'!$C$31*J1004/E1004</f>
        <v>423.5274426218449</v>
      </c>
      <c r="L1004" s="75">
        <f>K1004*'THAM_SO_MOI'!$C$50*'THAM_SO_MOI'!$C$17/'THAM_SO_MOI'!$C$26</f>
        <v>15120.50724028625</v>
      </c>
      <c r="M1004" s="75">
        <f>'THAM_SO_MOI'!$C$15*'THAM_SO_MOI'!$C$16*F1004^2</f>
        <v>58.763517060578046</v>
      </c>
      <c r="N1004" s="75">
        <f>'THAM_SO_MOI'!$C$12*I1004</f>
        <v>1130.112</v>
      </c>
      <c r="O1004" s="75">
        <f>M1004+N1004</f>
        <v>1188.8755170605782</v>
      </c>
      <c r="P1004" s="75">
        <f>(MIN(L1004,'THAM_SO_MOI'!$C$41)-O1004)/('THAM_SO_MOI'!$C$11*H1004)</f>
        <v>0.9656252292412064</v>
      </c>
      <c r="Q1004" s="75">
        <f>IF(P1004&gt;0,1/P1004,NA())</f>
        <v>1.0355984596485797</v>
      </c>
      <c r="R1004" s="75">
        <f>F1004-F1003</f>
        <v>0.0032106047296869278</v>
      </c>
      <c r="S1004" s="75">
        <f>0.5*(Q1003+Q1004)*R1004</f>
        <v>0.0033250839824980477</v>
      </c>
      <c r="T1004" s="75">
        <f>0.5*(F1003*Q1003+F1004*Q1004)*R1004</f>
        <v>0.014898343889210408</v>
      </c>
      <c r="U1004" s="76">
        <f>U1003+S1004</f>
        <v>4.711487879446121</v>
      </c>
      <c r="V1004" s="76">
        <f>V1003+T1004</f>
        <v>14.595891555305775</v>
      </c>
    </row>
    <row r="1005" spans="1:22" ht="19" customHeight="1">
      <c r="A1005" s="68" t="s">
        <v>372</v>
      </c>
      <c r="B1005" s="74">
        <v>2</v>
      </c>
      <c r="C1005" s="68" t="s">
        <v>363</v>
      </c>
      <c r="D1005" s="68" t="s">
        <v>364</v>
      </c>
      <c r="E1005" s="75">
        <f>60*F1005*'THAM_SO_MOI'!$C$50/(2*PI()*'THAM_SO_MOI'!$C$26)</f>
        <v>1799.0332520675229</v>
      </c>
      <c r="F1005" s="75">
        <f>'HANH_TRINH'!$F$826+('THAM_SO_MOI'!$F$50-'HANH_TRINH'!$F$826)*178/'THAM_SO_MOI'!$C$42</f>
        <v>4.485407755989516</v>
      </c>
      <c r="G1005" s="75">
        <f>3.6*F1005</f>
        <v>16.147467921562257</v>
      </c>
      <c r="H1005" s="75">
        <f>'THAM_SO_MOI'!$D$50</f>
        <v>1.8785906709588276</v>
      </c>
      <c r="I1005" s="75">
        <f>IF(F1005&gt;'THAM_SO_MOI'!$C$14,'THAM_SO_MOI'!$C$13*(1+F1005^2/1500),'THAM_SO_MOI'!$C$13)</f>
        <v>0.015</v>
      </c>
      <c r="J1005" s="75">
        <f>'THAM_SO_MOI'!$C$40*('THAM_SO_MOI'!$C$23*(E1005/'THAM_SO_MOI'!$C$22)+'THAM_SO_MOI'!$C$24*(E1005/'THAM_SO_MOI'!$C$22)^2-'THAM_SO_MOI'!$C$25*(E1005/'THAM_SO_MOI'!$C$22)^3)</f>
        <v>79.78377911559073</v>
      </c>
      <c r="K1005" s="75">
        <f>'THAM_SO_MOI'!$C$31*J1005/E1005</f>
        <v>423.57345106951635</v>
      </c>
      <c r="L1005" s="75">
        <f>K1005*'THAM_SO_MOI'!$C$50*'THAM_SO_MOI'!$C$17/'THAM_SO_MOI'!$C$26</f>
        <v>15122.149804607052</v>
      </c>
      <c r="M1005" s="75">
        <f>'THAM_SO_MOI'!$C$15*'THAM_SO_MOI'!$C$16*F1005^2</f>
        <v>58.84773200716089</v>
      </c>
      <c r="N1005" s="75">
        <f>'THAM_SO_MOI'!$C$12*I1005</f>
        <v>1130.112</v>
      </c>
      <c r="O1005" s="75">
        <f>M1005+N1005</f>
        <v>1188.959732007161</v>
      </c>
      <c r="P1005" s="75">
        <f>(MIN(L1005,'THAM_SO_MOI'!$C$41)-O1005)/('THAM_SO_MOI'!$C$11*H1005)</f>
        <v>0.9657332411023875</v>
      </c>
      <c r="Q1005" s="75">
        <f>IF(P1005&gt;0,1/P1005,NA())</f>
        <v>1.035482633753496</v>
      </c>
      <c r="R1005" s="75">
        <f>F1005-F1004</f>
        <v>0.0032106047296869278</v>
      </c>
      <c r="S1005" s="75">
        <f>0.5*(Q1004+Q1005)*R1005</f>
        <v>0.0033247113770209394</v>
      </c>
      <c r="T1005" s="75">
        <f>0.5*(F1004*Q1004+F1005*Q1005)*R1005</f>
        <v>0.014907348731397516</v>
      </c>
      <c r="U1005" s="76">
        <f>U1004+S1005</f>
        <v>4.714812590823142</v>
      </c>
      <c r="V1005" s="76">
        <f>V1004+T1005</f>
        <v>14.610798904037171</v>
      </c>
    </row>
    <row r="1006" spans="1:22" ht="19" customHeight="1">
      <c r="A1006" s="68" t="s">
        <v>372</v>
      </c>
      <c r="B1006" s="74">
        <v>2</v>
      </c>
      <c r="C1006" s="68" t="s">
        <v>363</v>
      </c>
      <c r="D1006" s="68" t="s">
        <v>364</v>
      </c>
      <c r="E1006" s="75">
        <f>60*F1006*'THAM_SO_MOI'!$C$50/(2*PI()*'THAM_SO_MOI'!$C$26)</f>
        <v>1800.3209799580895</v>
      </c>
      <c r="F1006" s="75">
        <f>'HANH_TRINH'!$F$826+('THAM_SO_MOI'!$F$50-'HANH_TRINH'!$F$826)*179/'THAM_SO_MOI'!$C$42</f>
        <v>4.488618360719203</v>
      </c>
      <c r="G1006" s="75">
        <f>3.6*F1006</f>
        <v>16.15902609858913</v>
      </c>
      <c r="H1006" s="75">
        <f>'THAM_SO_MOI'!$D$50</f>
        <v>1.8785906709588276</v>
      </c>
      <c r="I1006" s="75">
        <f>IF(F1006&gt;'THAM_SO_MOI'!$C$14,'THAM_SO_MOI'!$C$13*(1+F1006^2/1500),'THAM_SO_MOI'!$C$13)</f>
        <v>0.015</v>
      </c>
      <c r="J1006" s="75">
        <f>'THAM_SO_MOI'!$C$40*('THAM_SO_MOI'!$C$23*(E1006/'THAM_SO_MOI'!$C$22)+'THAM_SO_MOI'!$C$24*(E1006/'THAM_SO_MOI'!$C$22)^2-'THAM_SO_MOI'!$C$25*(E1006/'THAM_SO_MOI'!$C$22)^3)</f>
        <v>79.84952942723717</v>
      </c>
      <c r="K1006" s="75">
        <f>'THAM_SO_MOI'!$C$31*J1006/E1006</f>
        <v>423.6192986428555</v>
      </c>
      <c r="L1006" s="75">
        <f>K1006*'THAM_SO_MOI'!$C$50*'THAM_SO_MOI'!$C$17/'THAM_SO_MOI'!$C$26</f>
        <v>15123.786625494811</v>
      </c>
      <c r="M1006" s="75">
        <f>'THAM_SO_MOI'!$C$15*'THAM_SO_MOI'!$C$16*F1006^2</f>
        <v>58.93200725544272</v>
      </c>
      <c r="N1006" s="75">
        <f>'THAM_SO_MOI'!$C$12*I1006</f>
        <v>1130.112</v>
      </c>
      <c r="O1006" s="75">
        <f>M1006+N1006</f>
        <v>1189.0440072554427</v>
      </c>
      <c r="P1006" s="75">
        <f>(MIN(L1006,'THAM_SO_MOI'!$C$41)-O1006)/('THAM_SO_MOI'!$C$11*H1006)</f>
        <v>0.9658408506967848</v>
      </c>
      <c r="Q1006" s="75">
        <f>IF(P1006&gt;0,1/P1006,NA())</f>
        <v>1.0353672649884003</v>
      </c>
      <c r="R1006" s="75">
        <f>F1006-F1005</f>
        <v>0.0032106047296869278</v>
      </c>
      <c r="S1006" s="75">
        <f>0.5*(Q1005+Q1006)*R1006</f>
        <v>0.0033243402396862134</v>
      </c>
      <c r="T1006" s="75">
        <f>0.5*(F1005*Q1005+F1006*Q1006)*R1006</f>
        <v>0.01491635776858009</v>
      </c>
      <c r="U1006" s="76">
        <f>U1005+S1006</f>
        <v>4.718136931062828</v>
      </c>
      <c r="V1006" s="76">
        <f>V1005+T1006</f>
        <v>14.625715261805752</v>
      </c>
    </row>
    <row r="1007" spans="1:22" ht="19" customHeight="1">
      <c r="A1007" s="68" t="s">
        <v>372</v>
      </c>
      <c r="B1007" s="74">
        <v>2</v>
      </c>
      <c r="C1007" s="68" t="s">
        <v>363</v>
      </c>
      <c r="D1007" s="68" t="s">
        <v>364</v>
      </c>
      <c r="E1007" s="75">
        <f>60*F1007*'THAM_SO_MOI'!$C$50/(2*PI()*'THAM_SO_MOI'!$C$26)</f>
        <v>1801.608707848656</v>
      </c>
      <c r="F1007" s="75">
        <f>'HANH_TRINH'!$F$826+('THAM_SO_MOI'!$F$50-'HANH_TRINH'!$F$826)*180/'THAM_SO_MOI'!$C$42</f>
        <v>4.491828965448889</v>
      </c>
      <c r="G1007" s="75">
        <f>3.6*F1007</f>
        <v>16.170584275616</v>
      </c>
      <c r="H1007" s="75">
        <f>'THAM_SO_MOI'!$D$50</f>
        <v>1.8785906709588276</v>
      </c>
      <c r="I1007" s="75">
        <f>IF(F1007&gt;'THAM_SO_MOI'!$C$14,'THAM_SO_MOI'!$C$13*(1+F1007^2/1500),'THAM_SO_MOI'!$C$13)</f>
        <v>0.015</v>
      </c>
      <c r="J1007" s="75">
        <f>'THAM_SO_MOI'!$C$40*('THAM_SO_MOI'!$C$23*(E1007/'THAM_SO_MOI'!$C$22)+'THAM_SO_MOI'!$C$24*(E1007/'THAM_SO_MOI'!$C$22)^2-'THAM_SO_MOI'!$C$25*(E1007/'THAM_SO_MOI'!$C$22)^3)</f>
        <v>79.91526175621887</v>
      </c>
      <c r="K1007" s="75">
        <f>'THAM_SO_MOI'!$C$31*J1007/E1007</f>
        <v>423.6649853418624</v>
      </c>
      <c r="L1007" s="75">
        <f>K1007*'THAM_SO_MOI'!$C$50*'THAM_SO_MOI'!$C$17/'THAM_SO_MOI'!$C$26</f>
        <v>15125.417702949539</v>
      </c>
      <c r="M1007" s="75">
        <f>'THAM_SO_MOI'!$C$15*'THAM_SO_MOI'!$C$16*F1007^2</f>
        <v>59.016342805423484</v>
      </c>
      <c r="N1007" s="75">
        <f>'THAM_SO_MOI'!$C$12*I1007</f>
        <v>1130.112</v>
      </c>
      <c r="O1007" s="75">
        <f>M1007+N1007</f>
        <v>1189.1283428054235</v>
      </c>
      <c r="P1007" s="75">
        <f>(MIN(L1007,'THAM_SO_MOI'!$C$41)-O1007)/('THAM_SO_MOI'!$C$11*H1007)</f>
        <v>0.9659480580243986</v>
      </c>
      <c r="Q1007" s="75">
        <f>IF(P1007&gt;0,1/P1007,NA())</f>
        <v>1.0352523530563806</v>
      </c>
      <c r="R1007" s="75">
        <f>F1007-F1006</f>
        <v>0.0032106047296860396</v>
      </c>
      <c r="S1007" s="75">
        <f>0.5*(Q1006+Q1007)*R1007</f>
        <v>0.003323970569537637</v>
      </c>
      <c r="T1007" s="75">
        <f>0.5*(F1006*Q1006+F1007*Q1007)*R1007</f>
        <v>0.0149253710106053</v>
      </c>
      <c r="U1007" s="76">
        <f>U1006+S1007</f>
        <v>4.721460901632366</v>
      </c>
      <c r="V1007" s="76">
        <f>V1006+T1007</f>
        <v>14.640640632816357</v>
      </c>
    </row>
    <row r="1008" spans="1:22" ht="19" customHeight="1">
      <c r="A1008" s="68" t="s">
        <v>372</v>
      </c>
      <c r="B1008" s="74">
        <v>2</v>
      </c>
      <c r="C1008" s="68" t="s">
        <v>363</v>
      </c>
      <c r="D1008" s="68" t="s">
        <v>364</v>
      </c>
      <c r="E1008" s="75">
        <f>60*F1008*'THAM_SO_MOI'!$C$50/(2*PI()*'THAM_SO_MOI'!$C$26)</f>
        <v>1802.8964357392226</v>
      </c>
      <c r="F1008" s="75">
        <f>'HANH_TRINH'!$F$826+('THAM_SO_MOI'!$F$50-'HANH_TRINH'!$F$826)*181/'THAM_SO_MOI'!$C$42</f>
        <v>4.495039570178576</v>
      </c>
      <c r="G1008" s="75">
        <f>3.6*F1008</f>
        <v>16.18214245264287</v>
      </c>
      <c r="H1008" s="75">
        <f>'THAM_SO_MOI'!$D$50</f>
        <v>1.8785906709588276</v>
      </c>
      <c r="I1008" s="75">
        <f>IF(F1008&gt;'THAM_SO_MOI'!$C$14,'THAM_SO_MOI'!$C$13*(1+F1008^2/1500),'THAM_SO_MOI'!$C$13)</f>
        <v>0.015</v>
      </c>
      <c r="J1008" s="75">
        <f>'THAM_SO_MOI'!$C$40*('THAM_SO_MOI'!$C$23*(E1008/'THAM_SO_MOI'!$C$22)+'THAM_SO_MOI'!$C$24*(E1008/'THAM_SO_MOI'!$C$22)^2-'THAM_SO_MOI'!$C$25*(E1008/'THAM_SO_MOI'!$C$22)^3)</f>
        <v>79.98097603746614</v>
      </c>
      <c r="K1008" s="75">
        <f>'THAM_SO_MOI'!$C$31*J1008/E1008</f>
        <v>423.7105111665371</v>
      </c>
      <c r="L1008" s="75">
        <f>K1008*'THAM_SO_MOI'!$C$50*'THAM_SO_MOI'!$C$17/'THAM_SO_MOI'!$C$26</f>
        <v>15127.043036971236</v>
      </c>
      <c r="M1008" s="75">
        <f>'THAM_SO_MOI'!$C$15*'THAM_SO_MOI'!$C$16*F1008^2</f>
        <v>59.10073865710324</v>
      </c>
      <c r="N1008" s="75">
        <f>'THAM_SO_MOI'!$C$12*I1008</f>
        <v>1130.112</v>
      </c>
      <c r="O1008" s="75">
        <f>M1008+N1008</f>
        <v>1189.2127386571033</v>
      </c>
      <c r="P1008" s="75">
        <f>(MIN(L1008,'THAM_SO_MOI'!$C$41)-O1008)/('THAM_SO_MOI'!$C$11*H1008)</f>
        <v>0.9660548630852295</v>
      </c>
      <c r="Q1008" s="75">
        <f>IF(P1008&gt;0,1/P1008,NA())</f>
        <v>1.0351378976617975</v>
      </c>
      <c r="R1008" s="75">
        <f>F1008-F1007</f>
        <v>0.0032106047296869278</v>
      </c>
      <c r="S1008" s="75">
        <f>0.5*(Q1007+Q1008)*R1008</f>
        <v>0.003323602365626744</v>
      </c>
      <c r="T1008" s="75">
        <f>0.5*(F1007*Q1007+F1008*Q1008)*R1008</f>
        <v>0.014934388467342935</v>
      </c>
      <c r="U1008" s="76">
        <f>U1007+S1008</f>
        <v>4.724784503997992</v>
      </c>
      <c r="V1008" s="76">
        <f>V1007+T1008</f>
        <v>14.655575021283699</v>
      </c>
    </row>
    <row r="1009" spans="1:22" ht="19" customHeight="1">
      <c r="A1009" s="68" t="s">
        <v>372</v>
      </c>
      <c r="B1009" s="74">
        <v>2</v>
      </c>
      <c r="C1009" s="68" t="s">
        <v>363</v>
      </c>
      <c r="D1009" s="68" t="s">
        <v>364</v>
      </c>
      <c r="E1009" s="75">
        <f>60*F1009*'THAM_SO_MOI'!$C$50/(2*PI()*'THAM_SO_MOI'!$C$26)</f>
        <v>1804.1841636297893</v>
      </c>
      <c r="F1009" s="75">
        <f>'HANH_TRINH'!$F$826+('THAM_SO_MOI'!$F$50-'HANH_TRINH'!$F$826)*182/'THAM_SO_MOI'!$C$42</f>
        <v>4.498250174908263</v>
      </c>
      <c r="G1009" s="75">
        <f>3.6*F1009</f>
        <v>16.193700629669745</v>
      </c>
      <c r="H1009" s="75">
        <f>'THAM_SO_MOI'!$D$50</f>
        <v>1.8785906709588276</v>
      </c>
      <c r="I1009" s="75">
        <f>IF(F1009&gt;'THAM_SO_MOI'!$C$14,'THAM_SO_MOI'!$C$13*(1+F1009^2/1500),'THAM_SO_MOI'!$C$13)</f>
        <v>0.015</v>
      </c>
      <c r="J1009" s="75">
        <f>'THAM_SO_MOI'!$C$40*('THAM_SO_MOI'!$C$23*(E1009/'THAM_SO_MOI'!$C$22)+'THAM_SO_MOI'!$C$24*(E1009/'THAM_SO_MOI'!$C$22)^2-'THAM_SO_MOI'!$C$25*(E1009/'THAM_SO_MOI'!$C$22)^3)</f>
        <v>80.04667220590925</v>
      </c>
      <c r="K1009" s="75">
        <f>'THAM_SO_MOI'!$C$31*J1009/E1009</f>
        <v>423.7558761168795</v>
      </c>
      <c r="L1009" s="75">
        <f>K1009*'THAM_SO_MOI'!$C$50*'THAM_SO_MOI'!$C$17/'THAM_SO_MOI'!$C$26</f>
        <v>15128.662627559888</v>
      </c>
      <c r="M1009" s="75">
        <f>'THAM_SO_MOI'!$C$15*'THAM_SO_MOI'!$C$16*F1009^2</f>
        <v>59.18519481048199</v>
      </c>
      <c r="N1009" s="75">
        <f>'THAM_SO_MOI'!$C$12*I1009</f>
        <v>1130.112</v>
      </c>
      <c r="O1009" s="75">
        <f>M1009+N1009</f>
        <v>1189.297194810482</v>
      </c>
      <c r="P1009" s="75">
        <f>(MIN(L1009,'THAM_SO_MOI'!$C$41)-O1009)/('THAM_SO_MOI'!$C$11*H1009)</f>
        <v>0.966161265879276</v>
      </c>
      <c r="Q1009" s="75">
        <f>IF(P1009&gt;0,1/P1009,NA())</f>
        <v>1.0350238985102849</v>
      </c>
      <c r="R1009" s="75">
        <f>F1009-F1008</f>
        <v>0.0032106047296869278</v>
      </c>
      <c r="S1009" s="75">
        <f>0.5*(Q1008+Q1009)*R1009</f>
        <v>0.0033232356270036373</v>
      </c>
      <c r="T1009" s="75">
        <f>0.5*(F1008*Q1008+F1009*Q1009)*R1009</f>
        <v>0.014943410148644195</v>
      </c>
      <c r="U1009" s="76">
        <f>U1008+S1009</f>
        <v>4.7281077396249955</v>
      </c>
      <c r="V1009" s="76">
        <f>V1008+T1009</f>
        <v>14.670518431432344</v>
      </c>
    </row>
    <row r="1010" spans="1:22" ht="19" customHeight="1">
      <c r="A1010" s="68" t="s">
        <v>372</v>
      </c>
      <c r="B1010" s="74">
        <v>2</v>
      </c>
      <c r="C1010" s="68" t="s">
        <v>363</v>
      </c>
      <c r="D1010" s="68" t="s">
        <v>364</v>
      </c>
      <c r="E1010" s="75">
        <f>60*F1010*'THAM_SO_MOI'!$C$50/(2*PI()*'THAM_SO_MOI'!$C$26)</f>
        <v>1805.471891520356</v>
      </c>
      <c r="F1010" s="75">
        <f>'HANH_TRINH'!$F$826+('THAM_SO_MOI'!$F$50-'HANH_TRINH'!$F$826)*183/'THAM_SO_MOI'!$C$42</f>
        <v>4.5014607796379495</v>
      </c>
      <c r="G1010" s="75">
        <f>3.6*F1010</f>
        <v>16.20525880669662</v>
      </c>
      <c r="H1010" s="75">
        <f>'THAM_SO_MOI'!$D$50</f>
        <v>1.8785906709588276</v>
      </c>
      <c r="I1010" s="75">
        <f>IF(F1010&gt;'THAM_SO_MOI'!$C$14,'THAM_SO_MOI'!$C$13*(1+F1010^2/1500),'THAM_SO_MOI'!$C$13)</f>
        <v>0.015</v>
      </c>
      <c r="J1010" s="75">
        <f>'THAM_SO_MOI'!$C$40*('THAM_SO_MOI'!$C$23*(E1010/'THAM_SO_MOI'!$C$22)+'THAM_SO_MOI'!$C$24*(E1010/'THAM_SO_MOI'!$C$22)^2-'THAM_SO_MOI'!$C$25*(E1010/'THAM_SO_MOI'!$C$22)^3)</f>
        <v>80.1123501964785</v>
      </c>
      <c r="K1010" s="75">
        <f>'THAM_SO_MOI'!$C$31*J1010/E1010</f>
        <v>423.80108019288963</v>
      </c>
      <c r="L1010" s="75">
        <f>K1010*'THAM_SO_MOI'!$C$50*'THAM_SO_MOI'!$C$17/'THAM_SO_MOI'!$C$26</f>
        <v>15130.276474715507</v>
      </c>
      <c r="M1010" s="75">
        <f>'THAM_SO_MOI'!$C$15*'THAM_SO_MOI'!$C$16*F1010^2</f>
        <v>59.26971126555969</v>
      </c>
      <c r="N1010" s="75">
        <f>'THAM_SO_MOI'!$C$12*I1010</f>
        <v>1130.112</v>
      </c>
      <c r="O1010" s="75">
        <f>M1010+N1010</f>
        <v>1189.3817112655597</v>
      </c>
      <c r="P1010" s="75">
        <f>(MIN(L1010,'THAM_SO_MOI'!$C$41)-O1010)/('THAM_SO_MOI'!$C$11*H1010)</f>
        <v>0.9662672664065387</v>
      </c>
      <c r="Q1010" s="75">
        <f>IF(P1010&gt;0,1/P1010,NA())</f>
        <v>1.0349103553087442</v>
      </c>
      <c r="R1010" s="75">
        <f>F1010-F1009</f>
        <v>0.0032106047296869278</v>
      </c>
      <c r="S1010" s="75">
        <f>0.5*(Q1009+Q1010)*R1010</f>
        <v>0.003322870352726178</v>
      </c>
      <c r="T1010" s="75">
        <f>0.5*(F1009*Q1009+F1010*Q1010)*R1010</f>
        <v>0.01495243606438297</v>
      </c>
      <c r="U1010" s="76">
        <f>U1009+S1010</f>
        <v>4.731430609977722</v>
      </c>
      <c r="V1010" s="76">
        <f>V1009+T1010</f>
        <v>14.685470867496727</v>
      </c>
    </row>
    <row r="1011" spans="1:22" ht="19" customHeight="1">
      <c r="A1011" s="68" t="s">
        <v>372</v>
      </c>
      <c r="B1011" s="74">
        <v>2</v>
      </c>
      <c r="C1011" s="68" t="s">
        <v>363</v>
      </c>
      <c r="D1011" s="68" t="s">
        <v>364</v>
      </c>
      <c r="E1011" s="75">
        <f>60*F1011*'THAM_SO_MOI'!$C$50/(2*PI()*'THAM_SO_MOI'!$C$26)</f>
        <v>1806.7596194109226</v>
      </c>
      <c r="F1011" s="75">
        <f>'HANH_TRINH'!$F$826+('THAM_SO_MOI'!$F$50-'HANH_TRINH'!$F$826)*184/'THAM_SO_MOI'!$C$42</f>
        <v>4.5046713843676365</v>
      </c>
      <c r="G1011" s="75">
        <f>3.6*F1011</f>
        <v>16.216816983723493</v>
      </c>
      <c r="H1011" s="75">
        <f>'THAM_SO_MOI'!$D$50</f>
        <v>1.8785906709588276</v>
      </c>
      <c r="I1011" s="75">
        <f>IF(F1011&gt;'THAM_SO_MOI'!$C$14,'THAM_SO_MOI'!$C$13*(1+F1011^2/1500),'THAM_SO_MOI'!$C$13)</f>
        <v>0.015</v>
      </c>
      <c r="J1011" s="75">
        <f>'THAM_SO_MOI'!$C$40*('THAM_SO_MOI'!$C$23*(E1011/'THAM_SO_MOI'!$C$22)+'THAM_SO_MOI'!$C$24*(E1011/'THAM_SO_MOI'!$C$22)^2-'THAM_SO_MOI'!$C$25*(E1011/'THAM_SO_MOI'!$C$22)^3)</f>
        <v>80.17800994410428</v>
      </c>
      <c r="K1011" s="75">
        <f>'THAM_SO_MOI'!$C$31*J1011/E1011</f>
        <v>423.84612339456777</v>
      </c>
      <c r="L1011" s="75">
        <f>K1011*'THAM_SO_MOI'!$C$50*'THAM_SO_MOI'!$C$17/'THAM_SO_MOI'!$C$26</f>
        <v>15131.884578438097</v>
      </c>
      <c r="M1011" s="75">
        <f>'THAM_SO_MOI'!$C$15*'THAM_SO_MOI'!$C$16*F1011^2</f>
        <v>59.35428802233638</v>
      </c>
      <c r="N1011" s="75">
        <f>'THAM_SO_MOI'!$C$12*I1011</f>
        <v>1130.112</v>
      </c>
      <c r="O1011" s="75">
        <f>M1011+N1011</f>
        <v>1189.4662880223364</v>
      </c>
      <c r="P1011" s="75">
        <f>(MIN(L1011,'THAM_SO_MOI'!$C$41)-O1011)/('THAM_SO_MOI'!$C$11*H1011)</f>
        <v>0.9663728646670187</v>
      </c>
      <c r="Q1011" s="75">
        <f>IF(P1011&gt;0,1/P1011,NA())</f>
        <v>1.0347972677653445</v>
      </c>
      <c r="R1011" s="75">
        <f>F1011-F1010</f>
        <v>0.0032106047296869278</v>
      </c>
      <c r="S1011" s="75">
        <f>0.5*(Q1010+Q1011)*R1011</f>
        <v>0.003322506541855379</v>
      </c>
      <c r="T1011" s="75">
        <f>0.5*(F1010*Q1010+F1011*Q1011)*R1011</f>
        <v>0.014961466224435241</v>
      </c>
      <c r="U1011" s="76">
        <f>U1010+S1011</f>
        <v>4.7347531165195775</v>
      </c>
      <c r="V1011" s="76">
        <f>V1010+T1011</f>
        <v>14.700432333721162</v>
      </c>
    </row>
    <row r="1012" spans="1:22" ht="19" customHeight="1">
      <c r="A1012" s="68" t="s">
        <v>372</v>
      </c>
      <c r="B1012" s="74">
        <v>2</v>
      </c>
      <c r="C1012" s="68" t="s">
        <v>363</v>
      </c>
      <c r="D1012" s="68" t="s">
        <v>364</v>
      </c>
      <c r="E1012" s="75">
        <f>60*F1012*'THAM_SO_MOI'!$C$50/(2*PI()*'THAM_SO_MOI'!$C$26)</f>
        <v>1808.0473473014893</v>
      </c>
      <c r="F1012" s="75">
        <f>'HANH_TRINH'!$F$826+('THAM_SO_MOI'!$F$50-'HANH_TRINH'!$F$826)*185/'THAM_SO_MOI'!$C$42</f>
        <v>4.507881989097323</v>
      </c>
      <c r="G1012" s="75">
        <f>3.6*F1012</f>
        <v>16.228375160750364</v>
      </c>
      <c r="H1012" s="75">
        <f>'THAM_SO_MOI'!$D$50</f>
        <v>1.8785906709588276</v>
      </c>
      <c r="I1012" s="75">
        <f>IF(F1012&gt;'THAM_SO_MOI'!$C$14,'THAM_SO_MOI'!$C$13*(1+F1012^2/1500),'THAM_SO_MOI'!$C$13)</f>
        <v>0.015</v>
      </c>
      <c r="J1012" s="75">
        <f>'THAM_SO_MOI'!$C$40*('THAM_SO_MOI'!$C$23*(E1012/'THAM_SO_MOI'!$C$22)+'THAM_SO_MOI'!$C$24*(E1012/'THAM_SO_MOI'!$C$22)^2-'THAM_SO_MOI'!$C$25*(E1012/'THAM_SO_MOI'!$C$22)^3)</f>
        <v>80.24365138371675</v>
      </c>
      <c r="K1012" s="75">
        <f>'THAM_SO_MOI'!$C$31*J1012/E1012</f>
        <v>423.8910057219133</v>
      </c>
      <c r="L1012" s="75">
        <f>K1012*'THAM_SO_MOI'!$C$50*'THAM_SO_MOI'!$C$17/'THAM_SO_MOI'!$C$26</f>
        <v>15133.486938727641</v>
      </c>
      <c r="M1012" s="75">
        <f>'THAM_SO_MOI'!$C$15*'THAM_SO_MOI'!$C$16*F1012^2</f>
        <v>59.43892508081203</v>
      </c>
      <c r="N1012" s="75">
        <f>'THAM_SO_MOI'!$C$12*I1012</f>
        <v>1130.112</v>
      </c>
      <c r="O1012" s="75">
        <f>M1012+N1012</f>
        <v>1189.550925080812</v>
      </c>
      <c r="P1012" s="75">
        <f>(MIN(L1012,'THAM_SO_MOI'!$C$41)-O1012)/('THAM_SO_MOI'!$C$11*H1012)</f>
        <v>0.9664780606607142</v>
      </c>
      <c r="Q1012" s="75">
        <f>IF(P1012&gt;0,1/P1012,NA())</f>
        <v>1.034684635589523</v>
      </c>
      <c r="R1012" s="75">
        <f>F1012-F1011</f>
        <v>0.0032106047296869278</v>
      </c>
      <c r="S1012" s="75">
        <f>0.5*(Q1011+Q1012)*R1012</f>
        <v>0.0033221441934563217</v>
      </c>
      <c r="T1012" s="75">
        <f>0.5*(F1011*Q1011+F1012*Q1012)*R1012</f>
        <v>0.014970500638683269</v>
      </c>
      <c r="U1012" s="76">
        <f>U1011+S1012</f>
        <v>4.738075260713034</v>
      </c>
      <c r="V1012" s="76">
        <f>V1011+T1012</f>
        <v>14.715402834359844</v>
      </c>
    </row>
    <row r="1013" spans="1:22" ht="19" customHeight="1">
      <c r="A1013" s="68" t="s">
        <v>372</v>
      </c>
      <c r="B1013" s="74">
        <v>2</v>
      </c>
      <c r="C1013" s="68" t="s">
        <v>363</v>
      </c>
      <c r="D1013" s="68" t="s">
        <v>364</v>
      </c>
      <c r="E1013" s="75">
        <f>60*F1013*'THAM_SO_MOI'!$C$50/(2*PI()*'THAM_SO_MOI'!$C$26)</f>
        <v>1809.335075192056</v>
      </c>
      <c r="F1013" s="75">
        <f>'HANH_TRINH'!$F$826+('THAM_SO_MOI'!$F$50-'HANH_TRINH'!$F$826)*186/'THAM_SO_MOI'!$C$42</f>
        <v>4.51109259382701</v>
      </c>
      <c r="G1013" s="75">
        <f>3.6*F1013</f>
        <v>16.239933337777238</v>
      </c>
      <c r="H1013" s="75">
        <f>'THAM_SO_MOI'!$D$50</f>
        <v>1.8785906709588276</v>
      </c>
      <c r="I1013" s="75">
        <f>IF(F1013&gt;'THAM_SO_MOI'!$C$14,'THAM_SO_MOI'!$C$13*(1+F1013^2/1500),'THAM_SO_MOI'!$C$13)</f>
        <v>0.015</v>
      </c>
      <c r="J1013" s="75">
        <f>'THAM_SO_MOI'!$C$40*('THAM_SO_MOI'!$C$23*(E1013/'THAM_SO_MOI'!$C$22)+'THAM_SO_MOI'!$C$24*(E1013/'THAM_SO_MOI'!$C$22)^2-'THAM_SO_MOI'!$C$25*(E1013/'THAM_SO_MOI'!$C$22)^3)</f>
        <v>80.30927445024632</v>
      </c>
      <c r="K1013" s="75">
        <f>'THAM_SO_MOI'!$C$31*J1013/E1013</f>
        <v>423.9357271749268</v>
      </c>
      <c r="L1013" s="75">
        <f>K1013*'THAM_SO_MOI'!$C$50*'THAM_SO_MOI'!$C$17/'THAM_SO_MOI'!$C$26</f>
        <v>15135.083555584157</v>
      </c>
      <c r="M1013" s="75">
        <f>'THAM_SO_MOI'!$C$15*'THAM_SO_MOI'!$C$16*F1013^2</f>
        <v>59.52362244098665</v>
      </c>
      <c r="N1013" s="75">
        <f>'THAM_SO_MOI'!$C$12*I1013</f>
        <v>1130.112</v>
      </c>
      <c r="O1013" s="75">
        <f>M1013+N1013</f>
        <v>1189.6356224409867</v>
      </c>
      <c r="P1013" s="75">
        <f>(MIN(L1013,'THAM_SO_MOI'!$C$41)-O1013)/('THAM_SO_MOI'!$C$11*H1013)</f>
        <v>0.9665828543876266</v>
      </c>
      <c r="Q1013" s="75">
        <f>IF(P1013&gt;0,1/P1013,NA())</f>
        <v>1.0345724584919775</v>
      </c>
      <c r="R1013" s="75">
        <f>F1013-F1012</f>
        <v>0.0032106047296869278</v>
      </c>
      <c r="S1013" s="75">
        <f>0.5*(Q1012+Q1013)*R1013</f>
        <v>0.0033217833065981466</v>
      </c>
      <c r="T1013" s="75">
        <f>0.5*(F1012*Q1012+F1013*Q1013)*R1013</f>
        <v>0.014979539317015622</v>
      </c>
      <c r="U1013" s="76">
        <f>U1012+S1013</f>
        <v>4.741397044019632</v>
      </c>
      <c r="V1013" s="76">
        <f>V1012+T1013</f>
        <v>14.73038237367686</v>
      </c>
    </row>
    <row r="1014" spans="1:22" ht="19" customHeight="1">
      <c r="A1014" s="68" t="s">
        <v>372</v>
      </c>
      <c r="B1014" s="74">
        <v>2</v>
      </c>
      <c r="C1014" s="68" t="s">
        <v>363</v>
      </c>
      <c r="D1014" s="68" t="s">
        <v>364</v>
      </c>
      <c r="E1014" s="75">
        <f>60*F1014*'THAM_SO_MOI'!$C$50/(2*PI()*'THAM_SO_MOI'!$C$26)</f>
        <v>1810.6228030826228</v>
      </c>
      <c r="F1014" s="75">
        <f>'HANH_TRINH'!$F$826+('THAM_SO_MOI'!$F$50-'HANH_TRINH'!$F$826)*187/'THAM_SO_MOI'!$C$42</f>
        <v>4.514303198556696</v>
      </c>
      <c r="G1014" s="75">
        <f>3.6*F1014</f>
        <v>16.25149151480411</v>
      </c>
      <c r="H1014" s="75">
        <f>'THAM_SO_MOI'!$D$50</f>
        <v>1.8785906709588276</v>
      </c>
      <c r="I1014" s="75">
        <f>IF(F1014&gt;'THAM_SO_MOI'!$C$14,'THAM_SO_MOI'!$C$13*(1+F1014^2/1500),'THAM_SO_MOI'!$C$13)</f>
        <v>0.015</v>
      </c>
      <c r="J1014" s="75">
        <f>'THAM_SO_MOI'!$C$40*('THAM_SO_MOI'!$C$23*(E1014/'THAM_SO_MOI'!$C$22)+'THAM_SO_MOI'!$C$24*(E1014/'THAM_SO_MOI'!$C$22)^2-'THAM_SO_MOI'!$C$25*(E1014/'THAM_SO_MOI'!$C$22)^3)</f>
        <v>80.37487907862327</v>
      </c>
      <c r="K1014" s="75">
        <f>'THAM_SO_MOI'!$C$31*J1014/E1014</f>
        <v>423.98028775360797</v>
      </c>
      <c r="L1014" s="75">
        <f>K1014*'THAM_SO_MOI'!$C$50*'THAM_SO_MOI'!$C$17/'THAM_SO_MOI'!$C$26</f>
        <v>15136.674429007631</v>
      </c>
      <c r="M1014" s="75">
        <f>'THAM_SO_MOI'!$C$15*'THAM_SO_MOI'!$C$16*F1014^2</f>
        <v>59.608380102860224</v>
      </c>
      <c r="N1014" s="75">
        <f>'THAM_SO_MOI'!$C$12*I1014</f>
        <v>1130.112</v>
      </c>
      <c r="O1014" s="75">
        <f>M1014+N1014</f>
        <v>1189.7203801028604</v>
      </c>
      <c r="P1014" s="75">
        <f>(MIN(L1014,'THAM_SO_MOI'!$C$41)-O1014)/('THAM_SO_MOI'!$C$11*H1014)</f>
        <v>0.9666872458477552</v>
      </c>
      <c r="Q1014" s="75">
        <f>IF(P1014&gt;0,1/P1014,NA())</f>
        <v>1.03446073618467</v>
      </c>
      <c r="R1014" s="75">
        <f>F1014-F1013</f>
        <v>0.0032106047296860396</v>
      </c>
      <c r="S1014" s="75">
        <f>0.5*(Q1013+Q1014)*R1014</f>
        <v>0.0033214238803531302</v>
      </c>
      <c r="T1014" s="75">
        <f>0.5*(F1013*Q1013+F1014*Q1014)*R1014</f>
        <v>0.01498858226932305</v>
      </c>
      <c r="U1014" s="76">
        <f>U1013+S1014</f>
        <v>4.744718467899984</v>
      </c>
      <c r="V1014" s="76">
        <f>V1013+T1014</f>
        <v>14.745370955946184</v>
      </c>
    </row>
    <row r="1015" spans="1:22" ht="19" customHeight="1">
      <c r="A1015" s="68" t="s">
        <v>372</v>
      </c>
      <c r="B1015" s="74">
        <v>2</v>
      </c>
      <c r="C1015" s="68" t="s">
        <v>363</v>
      </c>
      <c r="D1015" s="68" t="s">
        <v>364</v>
      </c>
      <c r="E1015" s="75">
        <f>60*F1015*'THAM_SO_MOI'!$C$50/(2*PI()*'THAM_SO_MOI'!$C$26)</f>
        <v>1811.9105309731895</v>
      </c>
      <c r="F1015" s="75">
        <f>'HANH_TRINH'!$F$826+('THAM_SO_MOI'!$F$50-'HANH_TRINH'!$F$826)*188/'THAM_SO_MOI'!$C$42</f>
        <v>4.517513803286383</v>
      </c>
      <c r="G1015" s="75">
        <f>3.6*F1015</f>
        <v>16.26304969183098</v>
      </c>
      <c r="H1015" s="75">
        <f>'THAM_SO_MOI'!$D$50</f>
        <v>1.8785906709588276</v>
      </c>
      <c r="I1015" s="75">
        <f>IF(F1015&gt;'THAM_SO_MOI'!$C$14,'THAM_SO_MOI'!$C$13*(1+F1015^2/1500),'THAM_SO_MOI'!$C$13)</f>
        <v>0.015</v>
      </c>
      <c r="J1015" s="75">
        <f>'THAM_SO_MOI'!$C$40*('THAM_SO_MOI'!$C$23*(E1015/'THAM_SO_MOI'!$C$22)+'THAM_SO_MOI'!$C$24*(E1015/'THAM_SO_MOI'!$C$22)^2-'THAM_SO_MOI'!$C$25*(E1015/'THAM_SO_MOI'!$C$22)^3)</f>
        <v>80.44046520377788</v>
      </c>
      <c r="K1015" s="75">
        <f>'THAM_SO_MOI'!$C$31*J1015/E1015</f>
        <v>424.024687457957</v>
      </c>
      <c r="L1015" s="75">
        <f>K1015*'THAM_SO_MOI'!$C$50*'THAM_SO_MOI'!$C$17/'THAM_SO_MOI'!$C$26</f>
        <v>15138.259558998076</v>
      </c>
      <c r="M1015" s="75">
        <f>'THAM_SO_MOI'!$C$15*'THAM_SO_MOI'!$C$16*F1015^2</f>
        <v>59.69319806643279</v>
      </c>
      <c r="N1015" s="75">
        <f>'THAM_SO_MOI'!$C$12*I1015</f>
        <v>1130.112</v>
      </c>
      <c r="O1015" s="75">
        <f>M1015+N1015</f>
        <v>1189.805198066433</v>
      </c>
      <c r="P1015" s="75">
        <f>(MIN(L1015,'THAM_SO_MOI'!$C$41)-O1015)/('THAM_SO_MOI'!$C$11*H1015)</f>
        <v>0.9667912350411004</v>
      </c>
      <c r="Q1015" s="75">
        <f>IF(P1015&gt;0,1/P1015,NA())</f>
        <v>1.0343494683808214</v>
      </c>
      <c r="R1015" s="75">
        <f>F1015-F1014</f>
        <v>0.0032106047296869278</v>
      </c>
      <c r="S1015" s="75">
        <f>0.5*(Q1014+Q1015)*R1015</f>
        <v>0.003321065913801274</v>
      </c>
      <c r="T1015" s="75">
        <f>0.5*(F1014*Q1014+F1015*Q1015)*R1015</f>
        <v>0.014997629505519281</v>
      </c>
      <c r="U1015" s="76">
        <f>U1014+S1015</f>
        <v>4.7480395338137855</v>
      </c>
      <c r="V1015" s="76">
        <f>V1014+T1015</f>
        <v>14.760368585451703</v>
      </c>
    </row>
    <row r="1016" spans="1:22" ht="19" customHeight="1">
      <c r="A1016" s="68" t="s">
        <v>372</v>
      </c>
      <c r="B1016" s="74">
        <v>2</v>
      </c>
      <c r="C1016" s="68" t="s">
        <v>363</v>
      </c>
      <c r="D1016" s="68" t="s">
        <v>364</v>
      </c>
      <c r="E1016" s="75">
        <f>60*F1016*'THAM_SO_MOI'!$C$50/(2*PI()*'THAM_SO_MOI'!$C$26)</f>
        <v>1813.198258863756</v>
      </c>
      <c r="F1016" s="75">
        <f>'HANH_TRINH'!$F$826+('THAM_SO_MOI'!$F$50-'HANH_TRINH'!$F$826)*189/'THAM_SO_MOI'!$C$42</f>
        <v>4.52072440801607</v>
      </c>
      <c r="G1016" s="75">
        <f>3.6*F1016</f>
        <v>16.274607868857853</v>
      </c>
      <c r="H1016" s="75">
        <f>'THAM_SO_MOI'!$D$50</f>
        <v>1.8785906709588276</v>
      </c>
      <c r="I1016" s="75">
        <f>IF(F1016&gt;'THAM_SO_MOI'!$C$14,'THAM_SO_MOI'!$C$13*(1+F1016^2/1500),'THAM_SO_MOI'!$C$13)</f>
        <v>0.015</v>
      </c>
      <c r="J1016" s="75">
        <f>'THAM_SO_MOI'!$C$40*('THAM_SO_MOI'!$C$23*(E1016/'THAM_SO_MOI'!$C$22)+'THAM_SO_MOI'!$C$24*(E1016/'THAM_SO_MOI'!$C$22)^2-'THAM_SO_MOI'!$C$25*(E1016/'THAM_SO_MOI'!$C$22)^3)</f>
        <v>80.50603276064044</v>
      </c>
      <c r="K1016" s="75">
        <f>'THAM_SO_MOI'!$C$31*J1016/E1016</f>
        <v>424.0689262879736</v>
      </c>
      <c r="L1016" s="75">
        <f>K1016*'THAM_SO_MOI'!$C$50*'THAM_SO_MOI'!$C$17/'THAM_SO_MOI'!$C$26</f>
        <v>15139.83894555548</v>
      </c>
      <c r="M1016" s="75">
        <f>'THAM_SO_MOI'!$C$15*'THAM_SO_MOI'!$C$16*F1016^2</f>
        <v>59.778076331704334</v>
      </c>
      <c r="N1016" s="75">
        <f>'THAM_SO_MOI'!$C$12*I1016</f>
        <v>1130.112</v>
      </c>
      <c r="O1016" s="75">
        <f>M1016+N1016</f>
        <v>1189.8900763317044</v>
      </c>
      <c r="P1016" s="75">
        <f>(MIN(L1016,'THAM_SO_MOI'!$C$41)-O1016)/('THAM_SO_MOI'!$C$11*H1016)</f>
        <v>0.9668948219676617</v>
      </c>
      <c r="Q1016" s="75">
        <f>IF(P1016&gt;0,1/P1016,NA())</f>
        <v>1.0342386547949116</v>
      </c>
      <c r="R1016" s="75">
        <f>F1016-F1015</f>
        <v>0.0032106047296869278</v>
      </c>
      <c r="S1016" s="75">
        <f>0.5*(Q1015+Q1016)*R1016</f>
        <v>0.0033207094060211063</v>
      </c>
      <c r="T1016" s="75">
        <f>0.5*(F1015*Q1015+F1016*Q1016)*R1016</f>
        <v>0.015006681035499587</v>
      </c>
      <c r="U1016" s="76">
        <f>U1015+S1016</f>
        <v>4.751360243219807</v>
      </c>
      <c r="V1016" s="76">
        <f>V1015+T1016</f>
        <v>14.775375266487202</v>
      </c>
    </row>
    <row r="1017" spans="1:22" ht="19" customHeight="1">
      <c r="A1017" s="68" t="s">
        <v>372</v>
      </c>
      <c r="B1017" s="74">
        <v>2</v>
      </c>
      <c r="C1017" s="68" t="s">
        <v>363</v>
      </c>
      <c r="D1017" s="68" t="s">
        <v>364</v>
      </c>
      <c r="E1017" s="75">
        <f>60*F1017*'THAM_SO_MOI'!$C$50/(2*PI()*'THAM_SO_MOI'!$C$26)</f>
        <v>1814.4859867543228</v>
      </c>
      <c r="F1017" s="75">
        <f>'HANH_TRINH'!$F$826+('THAM_SO_MOI'!$F$50-'HANH_TRINH'!$F$826)*190/'THAM_SO_MOI'!$C$42</f>
        <v>4.523935012745757</v>
      </c>
      <c r="G1017" s="75">
        <f>3.6*F1017</f>
        <v>16.286166045884727</v>
      </c>
      <c r="H1017" s="75">
        <f>'THAM_SO_MOI'!$D$50</f>
        <v>1.8785906709588276</v>
      </c>
      <c r="I1017" s="75">
        <f>IF(F1017&gt;'THAM_SO_MOI'!$C$14,'THAM_SO_MOI'!$C$13*(1+F1017^2/1500),'THAM_SO_MOI'!$C$13)</f>
        <v>0.015</v>
      </c>
      <c r="J1017" s="75">
        <f>'THAM_SO_MOI'!$C$40*('THAM_SO_MOI'!$C$23*(E1017/'THAM_SO_MOI'!$C$22)+'THAM_SO_MOI'!$C$24*(E1017/'THAM_SO_MOI'!$C$22)^2-'THAM_SO_MOI'!$C$25*(E1017/'THAM_SO_MOI'!$C$22)^3)</f>
        <v>80.57158168414128</v>
      </c>
      <c r="K1017" s="75">
        <f>'THAM_SO_MOI'!$C$31*J1017/E1017</f>
        <v>424.1130042436581</v>
      </c>
      <c r="L1017" s="75">
        <f>K1017*'THAM_SO_MOI'!$C$50*'THAM_SO_MOI'!$C$17/'THAM_SO_MOI'!$C$26</f>
        <v>15141.41258867985</v>
      </c>
      <c r="M1017" s="75">
        <f>'THAM_SO_MOI'!$C$15*'THAM_SO_MOI'!$C$16*F1017^2</f>
        <v>59.86301489867484</v>
      </c>
      <c r="N1017" s="75">
        <f>'THAM_SO_MOI'!$C$12*I1017</f>
        <v>1130.112</v>
      </c>
      <c r="O1017" s="75">
        <f>M1017+N1017</f>
        <v>1189.975014898675</v>
      </c>
      <c r="P1017" s="75">
        <f>(MIN(L1017,'THAM_SO_MOI'!$C$41)-O1017)/('THAM_SO_MOI'!$C$11*H1017)</f>
        <v>0.9669980066274396</v>
      </c>
      <c r="Q1017" s="75">
        <f>IF(P1017&gt;0,1/P1017,NA())</f>
        <v>1.0341282951426758</v>
      </c>
      <c r="R1017" s="75">
        <f>F1017-F1016</f>
        <v>0.0032106047296869278</v>
      </c>
      <c r="S1017" s="75">
        <f>0.5*(Q1016+Q1017)*R1017</f>
        <v>0.0033203543560988715</v>
      </c>
      <c r="T1017" s="75">
        <f>0.5*(F1016*Q1016+F1017*Q1017)*R1017</f>
        <v>0.01501573686918227</v>
      </c>
      <c r="U1017" s="76">
        <f>U1016+S1017</f>
        <v>4.754680597575906</v>
      </c>
      <c r="V1017" s="76">
        <f>V1016+T1017</f>
        <v>14.790391003356385</v>
      </c>
    </row>
    <row r="1018" spans="1:22" ht="19" customHeight="1">
      <c r="A1018" s="68" t="s">
        <v>372</v>
      </c>
      <c r="B1018" s="74">
        <v>2</v>
      </c>
      <c r="C1018" s="68" t="s">
        <v>363</v>
      </c>
      <c r="D1018" s="68" t="s">
        <v>364</v>
      </c>
      <c r="E1018" s="75">
        <f>60*F1018*'THAM_SO_MOI'!$C$50/(2*PI()*'THAM_SO_MOI'!$C$26)</f>
        <v>1815.7737146448894</v>
      </c>
      <c r="F1018" s="75">
        <f>'HANH_TRINH'!$F$826+('THAM_SO_MOI'!$F$50-'HANH_TRINH'!$F$826)*191/'THAM_SO_MOI'!$C$42</f>
        <v>4.527145617475444</v>
      </c>
      <c r="G1018" s="75">
        <f>3.6*F1018</f>
        <v>16.2977242229116</v>
      </c>
      <c r="H1018" s="75">
        <f>'THAM_SO_MOI'!$D$50</f>
        <v>1.8785906709588276</v>
      </c>
      <c r="I1018" s="75">
        <f>IF(F1018&gt;'THAM_SO_MOI'!$C$14,'THAM_SO_MOI'!$C$13*(1+F1018^2/1500),'THAM_SO_MOI'!$C$13)</f>
        <v>0.015</v>
      </c>
      <c r="J1018" s="75">
        <f>'THAM_SO_MOI'!$C$40*('THAM_SO_MOI'!$C$23*(E1018/'THAM_SO_MOI'!$C$22)+'THAM_SO_MOI'!$C$24*(E1018/'THAM_SO_MOI'!$C$22)^2-'THAM_SO_MOI'!$C$25*(E1018/'THAM_SO_MOI'!$C$22)^3)</f>
        <v>80.63711190921066</v>
      </c>
      <c r="K1018" s="75">
        <f>'THAM_SO_MOI'!$C$31*J1018/E1018</f>
        <v>424.1569213250102</v>
      </c>
      <c r="L1018" s="75">
        <f>K1018*'THAM_SO_MOI'!$C$50*'THAM_SO_MOI'!$C$17/'THAM_SO_MOI'!$C$26</f>
        <v>15142.980488371182</v>
      </c>
      <c r="M1018" s="75">
        <f>'THAM_SO_MOI'!$C$15*'THAM_SO_MOI'!$C$16*F1018^2</f>
        <v>59.94801376734433</v>
      </c>
      <c r="N1018" s="75">
        <f>'THAM_SO_MOI'!$C$12*I1018</f>
        <v>1130.112</v>
      </c>
      <c r="O1018" s="75">
        <f>M1018+N1018</f>
        <v>1190.0600137673443</v>
      </c>
      <c r="P1018" s="75">
        <f>(MIN(L1018,'THAM_SO_MOI'!$C$41)-O1018)/('THAM_SO_MOI'!$C$11*H1018)</f>
        <v>0.9671007890204337</v>
      </c>
      <c r="Q1018" s="75">
        <f>IF(P1018&gt;0,1/P1018,NA())</f>
        <v>1.0340183891411046</v>
      </c>
      <c r="R1018" s="75">
        <f>F1018-F1017</f>
        <v>0.0032106047296869278</v>
      </c>
      <c r="S1018" s="75">
        <f>0.5*(Q1017+Q1018)*R1018</f>
        <v>0.0033200007631239213</v>
      </c>
      <c r="T1018" s="75">
        <f>0.5*(F1017*Q1017+F1018*Q1018)*R1018</f>
        <v>0.015024797016487974</v>
      </c>
      <c r="U1018" s="76">
        <f>U1017+S1018</f>
        <v>4.75800059833903</v>
      </c>
      <c r="V1018" s="76">
        <f>V1017+T1018</f>
        <v>14.805415800372874</v>
      </c>
    </row>
    <row r="1019" spans="1:22" ht="19" customHeight="1">
      <c r="A1019" s="68" t="s">
        <v>372</v>
      </c>
      <c r="B1019" s="74">
        <v>2</v>
      </c>
      <c r="C1019" s="68" t="s">
        <v>363</v>
      </c>
      <c r="D1019" s="68" t="s">
        <v>364</v>
      </c>
      <c r="E1019" s="75">
        <f>60*F1019*'THAM_SO_MOI'!$C$50/(2*PI()*'THAM_SO_MOI'!$C$26)</f>
        <v>1817.0614425354565</v>
      </c>
      <c r="F1019" s="75">
        <f>'HANH_TRINH'!$F$826+('THAM_SO_MOI'!$F$50-'HANH_TRINH'!$F$826)*192/'THAM_SO_MOI'!$C$42</f>
        <v>4.530356222205131</v>
      </c>
      <c r="G1019" s="75">
        <f>3.6*F1019</f>
        <v>16.30928239993847</v>
      </c>
      <c r="H1019" s="75">
        <f>'THAM_SO_MOI'!$D$50</f>
        <v>1.8785906709588276</v>
      </c>
      <c r="I1019" s="75">
        <f>IF(F1019&gt;'THAM_SO_MOI'!$C$14,'THAM_SO_MOI'!$C$13*(1+F1019^2/1500),'THAM_SO_MOI'!$C$13)</f>
        <v>0.015</v>
      </c>
      <c r="J1019" s="75">
        <f>'THAM_SO_MOI'!$C$40*('THAM_SO_MOI'!$C$23*(E1019/'THAM_SO_MOI'!$C$22)+'THAM_SO_MOI'!$C$24*(E1019/'THAM_SO_MOI'!$C$22)^2-'THAM_SO_MOI'!$C$25*(E1019/'THAM_SO_MOI'!$C$22)^3)</f>
        <v>80.70262337077897</v>
      </c>
      <c r="K1019" s="75">
        <f>'THAM_SO_MOI'!$C$31*J1019/E1019</f>
        <v>424.2006775320303</v>
      </c>
      <c r="L1019" s="75">
        <f>K1019*'THAM_SO_MOI'!$C$50*'THAM_SO_MOI'!$C$17/'THAM_SO_MOI'!$C$26</f>
        <v>15144.542644629482</v>
      </c>
      <c r="M1019" s="75">
        <f>'THAM_SO_MOI'!$C$15*'THAM_SO_MOI'!$C$16*F1019^2</f>
        <v>60.03307293771279</v>
      </c>
      <c r="N1019" s="75">
        <f>'THAM_SO_MOI'!$C$12*I1019</f>
        <v>1130.112</v>
      </c>
      <c r="O1019" s="75">
        <f>M1019+N1019</f>
        <v>1190.145072937713</v>
      </c>
      <c r="P1019" s="75">
        <f>(MIN(L1019,'THAM_SO_MOI'!$C$41)-O1019)/('THAM_SO_MOI'!$C$11*H1019)</f>
        <v>0.9672031691466445</v>
      </c>
      <c r="Q1019" s="75">
        <f>IF(P1019&gt;0,1/P1019,NA())</f>
        <v>1.03390893650844</v>
      </c>
      <c r="R1019" s="75">
        <f>F1019-F1018</f>
        <v>0.0032106047296869278</v>
      </c>
      <c r="S1019" s="75">
        <f>0.5*(Q1018+Q1019)*R1019</f>
        <v>0.003319648626189634</v>
      </c>
      <c r="T1019" s="75">
        <f>0.5*(F1018*Q1018+F1019*Q1019)*R1019</f>
        <v>0.015033861487343888</v>
      </c>
      <c r="U1019" s="76">
        <f>U1018+S1019</f>
        <v>4.761320246965219</v>
      </c>
      <c r="V1019" s="76">
        <f>V1018+T1019</f>
        <v>14.820449661860218</v>
      </c>
    </row>
    <row r="1020" spans="1:22" ht="19" customHeight="1">
      <c r="A1020" s="68" t="s">
        <v>372</v>
      </c>
      <c r="B1020" s="74">
        <v>2</v>
      </c>
      <c r="C1020" s="68" t="s">
        <v>363</v>
      </c>
      <c r="D1020" s="68" t="s">
        <v>364</v>
      </c>
      <c r="E1020" s="75">
        <f>60*F1020*'THAM_SO_MOI'!$C$50/(2*PI()*'THAM_SO_MOI'!$C$26)</f>
        <v>1818.3491704260232</v>
      </c>
      <c r="F1020" s="75">
        <f>'HANH_TRINH'!$F$826+('THAM_SO_MOI'!$F$50-'HANH_TRINH'!$F$826)*193/'THAM_SO_MOI'!$C$42</f>
        <v>4.533566826934818</v>
      </c>
      <c r="G1020" s="75">
        <f>3.6*F1020</f>
        <v>16.320840576965345</v>
      </c>
      <c r="H1020" s="75">
        <f>'THAM_SO_MOI'!$D$50</f>
        <v>1.8785906709588276</v>
      </c>
      <c r="I1020" s="75">
        <f>IF(F1020&gt;'THAM_SO_MOI'!$C$14,'THAM_SO_MOI'!$C$13*(1+F1020^2/1500),'THAM_SO_MOI'!$C$13)</f>
        <v>0.015</v>
      </c>
      <c r="J1020" s="75">
        <f>'THAM_SO_MOI'!$C$40*('THAM_SO_MOI'!$C$23*(E1020/'THAM_SO_MOI'!$C$22)+'THAM_SO_MOI'!$C$24*(E1020/'THAM_SO_MOI'!$C$22)^2-'THAM_SO_MOI'!$C$25*(E1020/'THAM_SO_MOI'!$C$22)^3)</f>
        <v>80.76811600377643</v>
      </c>
      <c r="K1020" s="75">
        <f>'THAM_SO_MOI'!$C$31*J1020/E1020</f>
        <v>424.244272864718</v>
      </c>
      <c r="L1020" s="75">
        <f>K1020*'THAM_SO_MOI'!$C$50*'THAM_SO_MOI'!$C$17/'THAM_SO_MOI'!$C$26</f>
        <v>15146.099057454747</v>
      </c>
      <c r="M1020" s="75">
        <f>'THAM_SO_MOI'!$C$15*'THAM_SO_MOI'!$C$16*F1020^2</f>
        <v>60.11819240978022</v>
      </c>
      <c r="N1020" s="75">
        <f>'THAM_SO_MOI'!$C$12*I1020</f>
        <v>1130.112</v>
      </c>
      <c r="O1020" s="75">
        <f>M1020+N1020</f>
        <v>1190.2301924097803</v>
      </c>
      <c r="P1020" s="75">
        <f>(MIN(L1020,'THAM_SO_MOI'!$C$41)-O1020)/('THAM_SO_MOI'!$C$11*H1020)</f>
        <v>0.9673051470060716</v>
      </c>
      <c r="Q1020" s="75">
        <f>IF(P1020&gt;0,1/P1020,NA())</f>
        <v>1.0337999369641762</v>
      </c>
      <c r="R1020" s="75">
        <f>F1020-F1019</f>
        <v>0.0032106047296869278</v>
      </c>
      <c r="S1020" s="75">
        <f>0.5*(Q1019+Q1020)*R1020</f>
        <v>0.003319297944393405</v>
      </c>
      <c r="T1020" s="75">
        <f>0.5*(F1019*Q1019+F1020*Q1020)*R1020</f>
        <v>0.015042930291683765</v>
      </c>
      <c r="U1020" s="76">
        <f>U1019+S1020</f>
        <v>4.764639544909612</v>
      </c>
      <c r="V1020" s="76">
        <f>V1019+T1020</f>
        <v>14.835492592151901</v>
      </c>
    </row>
    <row r="1021" spans="1:22" ht="19" customHeight="1">
      <c r="A1021" s="68" t="s">
        <v>372</v>
      </c>
      <c r="B1021" s="74">
        <v>2</v>
      </c>
      <c r="C1021" s="68" t="s">
        <v>363</v>
      </c>
      <c r="D1021" s="68" t="s">
        <v>364</v>
      </c>
      <c r="E1021" s="75">
        <f>60*F1021*'THAM_SO_MOI'!$C$50/(2*PI()*'THAM_SO_MOI'!$C$26)</f>
        <v>1819.6368983165896</v>
      </c>
      <c r="F1021" s="75">
        <f>'HANH_TRINH'!$F$826+('THAM_SO_MOI'!$F$50-'HANH_TRINH'!$F$826)*194/'THAM_SO_MOI'!$C$42</f>
        <v>4.536777431664504</v>
      </c>
      <c r="G1021" s="75">
        <f>3.6*F1021</f>
        <v>16.332398753992216</v>
      </c>
      <c r="H1021" s="75">
        <f>'THAM_SO_MOI'!$D$50</f>
        <v>1.8785906709588276</v>
      </c>
      <c r="I1021" s="75">
        <f>IF(F1021&gt;'THAM_SO_MOI'!$C$14,'THAM_SO_MOI'!$C$13*(1+F1021^2/1500),'THAM_SO_MOI'!$C$13)</f>
        <v>0.015</v>
      </c>
      <c r="J1021" s="75">
        <f>'THAM_SO_MOI'!$C$40*('THAM_SO_MOI'!$C$23*(E1021/'THAM_SO_MOI'!$C$22)+'THAM_SO_MOI'!$C$24*(E1021/'THAM_SO_MOI'!$C$22)^2-'THAM_SO_MOI'!$C$25*(E1021/'THAM_SO_MOI'!$C$22)^3)</f>
        <v>80.83358974313333</v>
      </c>
      <c r="K1021" s="75">
        <f>'THAM_SO_MOI'!$C$31*J1021/E1021</f>
        <v>424.28770732307345</v>
      </c>
      <c r="L1021" s="75">
        <f>K1021*'THAM_SO_MOI'!$C$50*'THAM_SO_MOI'!$C$17/'THAM_SO_MOI'!$C$26</f>
        <v>15147.649726846972</v>
      </c>
      <c r="M1021" s="75">
        <f>'THAM_SO_MOI'!$C$15*'THAM_SO_MOI'!$C$16*F1021^2</f>
        <v>60.20337218354659</v>
      </c>
      <c r="N1021" s="75">
        <f>'THAM_SO_MOI'!$C$12*I1021</f>
        <v>1130.112</v>
      </c>
      <c r="O1021" s="75">
        <f>M1021+N1021</f>
        <v>1190.3153721835467</v>
      </c>
      <c r="P1021" s="75">
        <f>(MIN(L1021,'THAM_SO_MOI'!$C$41)-O1021)/('THAM_SO_MOI'!$C$11*H1021)</f>
        <v>0.9674067225987149</v>
      </c>
      <c r="Q1021" s="75">
        <f>IF(P1021&gt;0,1/P1021,NA())</f>
        <v>1.0336913902290557</v>
      </c>
      <c r="R1021" s="75">
        <f>F1021-F1020</f>
        <v>0.0032106047296860396</v>
      </c>
      <c r="S1021" s="75">
        <f>0.5*(Q1020+Q1021)*R1021</f>
        <v>0.003318948716835729</v>
      </c>
      <c r="T1021" s="75">
        <f>0.5*(F1020*Q1020+F1021*Q1021)*R1021</f>
        <v>0.015052003439443802</v>
      </c>
      <c r="U1021" s="76">
        <f>U1020+S1021</f>
        <v>4.767958493626448</v>
      </c>
      <c r="V1021" s="76">
        <f>V1020+T1021</f>
        <v>14.850544595591344</v>
      </c>
    </row>
    <row r="1022" spans="1:22" ht="19" customHeight="1">
      <c r="A1022" s="68" t="s">
        <v>372</v>
      </c>
      <c r="B1022" s="74">
        <v>2</v>
      </c>
      <c r="C1022" s="68" t="s">
        <v>363</v>
      </c>
      <c r="D1022" s="68" t="s">
        <v>364</v>
      </c>
      <c r="E1022" s="75">
        <f>60*F1022*'THAM_SO_MOI'!$C$50/(2*PI()*'THAM_SO_MOI'!$C$26)</f>
        <v>1820.9246262071563</v>
      </c>
      <c r="F1022" s="75">
        <f>'HANH_TRINH'!$F$826+('THAM_SO_MOI'!$F$50-'HANH_TRINH'!$F$826)*195/'THAM_SO_MOI'!$C$42</f>
        <v>4.539988036394191</v>
      </c>
      <c r="G1022" s="75">
        <f>3.6*F1022</f>
        <v>16.343956931019086</v>
      </c>
      <c r="H1022" s="75">
        <f>'THAM_SO_MOI'!$D$50</f>
        <v>1.8785906709588276</v>
      </c>
      <c r="I1022" s="75">
        <f>IF(F1022&gt;'THAM_SO_MOI'!$C$14,'THAM_SO_MOI'!$C$13*(1+F1022^2/1500),'THAM_SO_MOI'!$C$13)</f>
        <v>0.015</v>
      </c>
      <c r="J1022" s="75">
        <f>'THAM_SO_MOI'!$C$40*('THAM_SO_MOI'!$C$23*(E1022/'THAM_SO_MOI'!$C$22)+'THAM_SO_MOI'!$C$24*(E1022/'THAM_SO_MOI'!$C$22)^2-'THAM_SO_MOI'!$C$25*(E1022/'THAM_SO_MOI'!$C$22)^3)</f>
        <v>80.89904452378002</v>
      </c>
      <c r="K1022" s="75">
        <f>'THAM_SO_MOI'!$C$31*J1022/E1022</f>
        <v>424.3309809070966</v>
      </c>
      <c r="L1022" s="75">
        <f>K1022*'THAM_SO_MOI'!$C$50*'THAM_SO_MOI'!$C$17/'THAM_SO_MOI'!$C$26</f>
        <v>15149.19465280616</v>
      </c>
      <c r="M1022" s="75">
        <f>'THAM_SO_MOI'!$C$15*'THAM_SO_MOI'!$C$16*F1022^2</f>
        <v>60.28861225901197</v>
      </c>
      <c r="N1022" s="75">
        <f>'THAM_SO_MOI'!$C$12*I1022</f>
        <v>1130.112</v>
      </c>
      <c r="O1022" s="75">
        <f>M1022+N1022</f>
        <v>1190.400612259012</v>
      </c>
      <c r="P1022" s="75">
        <f>(MIN(L1022,'THAM_SO_MOI'!$C$41)-O1022)/('THAM_SO_MOI'!$C$11*H1022)</f>
        <v>0.9675078959245746</v>
      </c>
      <c r="Q1022" s="75">
        <f>IF(P1022&gt;0,1/P1022,NA())</f>
        <v>1.0335832960250677</v>
      </c>
      <c r="R1022" s="75">
        <f>F1022-F1021</f>
        <v>0.0032106047296869278</v>
      </c>
      <c r="S1022" s="75">
        <f>0.5*(Q1021+Q1022)*R1022</f>
        <v>0.003318600942624774</v>
      </c>
      <c r="T1022" s="75">
        <f>0.5*(F1021*Q1021+F1022*Q1022)*R1022</f>
        <v>0.015061080940583496</v>
      </c>
      <c r="U1022" s="76">
        <f>U1021+S1022</f>
        <v>4.771277094569073</v>
      </c>
      <c r="V1022" s="76">
        <f>V1021+T1022</f>
        <v>14.865605676531928</v>
      </c>
    </row>
    <row r="1023" spans="1:22" ht="19" customHeight="1">
      <c r="A1023" s="68" t="s">
        <v>372</v>
      </c>
      <c r="B1023" s="74">
        <v>2</v>
      </c>
      <c r="C1023" s="68" t="s">
        <v>363</v>
      </c>
      <c r="D1023" s="68" t="s">
        <v>364</v>
      </c>
      <c r="E1023" s="75">
        <f>60*F1023*'THAM_SO_MOI'!$C$50/(2*PI()*'THAM_SO_MOI'!$C$26)</f>
        <v>1822.212354097723</v>
      </c>
      <c r="F1023" s="75">
        <f>'HANH_TRINH'!$F$826+('THAM_SO_MOI'!$F$50-'HANH_TRINH'!$F$826)*196/'THAM_SO_MOI'!$C$42</f>
        <v>4.543198641123878</v>
      </c>
      <c r="G1023" s="75">
        <f>3.6*F1023</f>
        <v>16.35551510804596</v>
      </c>
      <c r="H1023" s="75">
        <f>'THAM_SO_MOI'!$D$50</f>
        <v>1.8785906709588276</v>
      </c>
      <c r="I1023" s="75">
        <f>IF(F1023&gt;'THAM_SO_MOI'!$C$14,'THAM_SO_MOI'!$C$13*(1+F1023^2/1500),'THAM_SO_MOI'!$C$13)</f>
        <v>0.015</v>
      </c>
      <c r="J1023" s="75">
        <f>'THAM_SO_MOI'!$C$40*('THAM_SO_MOI'!$C$23*(E1023/'THAM_SO_MOI'!$C$22)+'THAM_SO_MOI'!$C$24*(E1023/'THAM_SO_MOI'!$C$22)^2-'THAM_SO_MOI'!$C$25*(E1023/'THAM_SO_MOI'!$C$22)^3)</f>
        <v>80.9644802806468</v>
      </c>
      <c r="K1023" s="75">
        <f>'THAM_SO_MOI'!$C$31*J1023/E1023</f>
        <v>424.3740936167876</v>
      </c>
      <c r="L1023" s="75">
        <f>K1023*'THAM_SO_MOI'!$C$50*'THAM_SO_MOI'!$C$17/'THAM_SO_MOI'!$C$26</f>
        <v>15150.733835332316</v>
      </c>
      <c r="M1023" s="75">
        <f>'THAM_SO_MOI'!$C$15*'THAM_SO_MOI'!$C$16*F1023^2</f>
        <v>60.37391263617632</v>
      </c>
      <c r="N1023" s="75">
        <f>'THAM_SO_MOI'!$C$12*I1023</f>
        <v>1130.112</v>
      </c>
      <c r="O1023" s="75">
        <f>M1023+N1023</f>
        <v>1190.4859126361764</v>
      </c>
      <c r="P1023" s="75">
        <f>(MIN(L1023,'THAM_SO_MOI'!$C$41)-O1023)/('THAM_SO_MOI'!$C$11*H1023)</f>
        <v>0.9676086669836508</v>
      </c>
      <c r="Q1023" s="75">
        <f>IF(P1023&gt;0,1/P1023,NA())</f>
        <v>1.033475654075447</v>
      </c>
      <c r="R1023" s="75">
        <f>F1023-F1022</f>
        <v>0.0032106047296869278</v>
      </c>
      <c r="S1023" s="75">
        <f>0.5*(Q1022+Q1023)*R1023</f>
        <v>0.0033182546208672045</v>
      </c>
      <c r="T1023" s="75">
        <f>0.5*(F1022*Q1022+F1023*Q1023)*R1023</f>
        <v>0.015070162805044038</v>
      </c>
      <c r="U1023" s="76">
        <f>U1022+S1023</f>
        <v>4.77459534918994</v>
      </c>
      <c r="V1023" s="76">
        <f>V1022+T1023</f>
        <v>14.880675839336972</v>
      </c>
    </row>
    <row r="1024" spans="1:22" ht="19" customHeight="1">
      <c r="A1024" s="68" t="s">
        <v>372</v>
      </c>
      <c r="B1024" s="74">
        <v>2</v>
      </c>
      <c r="C1024" s="68" t="s">
        <v>363</v>
      </c>
      <c r="D1024" s="68" t="s">
        <v>364</v>
      </c>
      <c r="E1024" s="75">
        <f>60*F1024*'THAM_SO_MOI'!$C$50/(2*PI()*'THAM_SO_MOI'!$C$26)</f>
        <v>1823.5000819882896</v>
      </c>
      <c r="F1024" s="75">
        <f>'HANH_TRINH'!$F$826+('THAM_SO_MOI'!$F$50-'HANH_TRINH'!$F$826)*197/'THAM_SO_MOI'!$C$42</f>
        <v>4.546409245853565</v>
      </c>
      <c r="G1024" s="75">
        <f>3.6*F1024</f>
        <v>16.367073285072834</v>
      </c>
      <c r="H1024" s="75">
        <f>'THAM_SO_MOI'!$D$50</f>
        <v>1.8785906709588276</v>
      </c>
      <c r="I1024" s="75">
        <f>IF(F1024&gt;'THAM_SO_MOI'!$C$14,'THAM_SO_MOI'!$C$13*(1+F1024^2/1500),'THAM_SO_MOI'!$C$13)</f>
        <v>0.015</v>
      </c>
      <c r="J1024" s="75">
        <f>'THAM_SO_MOI'!$C$40*('THAM_SO_MOI'!$C$23*(E1024/'THAM_SO_MOI'!$C$22)+'THAM_SO_MOI'!$C$24*(E1024/'THAM_SO_MOI'!$C$22)^2-'THAM_SO_MOI'!$C$25*(E1024/'THAM_SO_MOI'!$C$22)^3)</f>
        <v>81.02989694866395</v>
      </c>
      <c r="K1024" s="75">
        <f>'THAM_SO_MOI'!$C$31*J1024/E1024</f>
        <v>424.4170454521463</v>
      </c>
      <c r="L1024" s="75">
        <f>K1024*'THAM_SO_MOI'!$C$50*'THAM_SO_MOI'!$C$17/'THAM_SO_MOI'!$C$26</f>
        <v>15152.267274425436</v>
      </c>
      <c r="M1024" s="75">
        <f>'THAM_SO_MOI'!$C$15*'THAM_SO_MOI'!$C$16*F1024^2</f>
        <v>60.45927331503964</v>
      </c>
      <c r="N1024" s="75">
        <f>'THAM_SO_MOI'!$C$12*I1024</f>
        <v>1130.112</v>
      </c>
      <c r="O1024" s="75">
        <f>M1024+N1024</f>
        <v>1190.5712733150397</v>
      </c>
      <c r="P1024" s="75">
        <f>(MIN(L1024,'THAM_SO_MOI'!$C$41)-O1024)/('THAM_SO_MOI'!$C$11*H1024)</f>
        <v>0.9677090357759432</v>
      </c>
      <c r="Q1024" s="75">
        <f>IF(P1024&gt;0,1/P1024,NA())</f>
        <v>1.0333684641046725</v>
      </c>
      <c r="R1024" s="75">
        <f>F1024-F1023</f>
        <v>0.0032106047296869278</v>
      </c>
      <c r="S1024" s="75">
        <f>0.5*(Q1023+Q1024)*R1024</f>
        <v>0.0033179097506773497</v>
      </c>
      <c r="T1024" s="75">
        <f>0.5*(F1023*Q1023+F1024*Q1024)*R1024</f>
        <v>0.015079249042790007</v>
      </c>
      <c r="U1024" s="76">
        <f>U1023+S1024</f>
        <v>4.777913258940617</v>
      </c>
      <c r="V1024" s="76">
        <f>V1023+T1024</f>
        <v>14.895755088379762</v>
      </c>
    </row>
    <row r="1025" spans="1:22" ht="19" customHeight="1">
      <c r="A1025" s="68" t="s">
        <v>372</v>
      </c>
      <c r="B1025" s="74">
        <v>2</v>
      </c>
      <c r="C1025" s="68" t="s">
        <v>363</v>
      </c>
      <c r="D1025" s="68" t="s">
        <v>364</v>
      </c>
      <c r="E1025" s="75">
        <f>60*F1025*'THAM_SO_MOI'!$C$50/(2*PI()*'THAM_SO_MOI'!$C$26)</f>
        <v>1824.7878098788563</v>
      </c>
      <c r="F1025" s="75">
        <f>'HANH_TRINH'!$F$826+('THAM_SO_MOI'!$F$50-'HANH_TRINH'!$F$826)*198/'THAM_SO_MOI'!$C$42</f>
        <v>4.549619850583252</v>
      </c>
      <c r="G1025" s="75">
        <f>3.6*F1025</f>
        <v>16.378631462099708</v>
      </c>
      <c r="H1025" s="75">
        <f>'THAM_SO_MOI'!$D$50</f>
        <v>1.8785906709588276</v>
      </c>
      <c r="I1025" s="75">
        <f>IF(F1025&gt;'THAM_SO_MOI'!$C$14,'THAM_SO_MOI'!$C$13*(1+F1025^2/1500),'THAM_SO_MOI'!$C$13)</f>
        <v>0.015</v>
      </c>
      <c r="J1025" s="75">
        <f>'THAM_SO_MOI'!$C$40*('THAM_SO_MOI'!$C$23*(E1025/'THAM_SO_MOI'!$C$22)+'THAM_SO_MOI'!$C$24*(E1025/'THAM_SO_MOI'!$C$22)^2-'THAM_SO_MOI'!$C$25*(E1025/'THAM_SO_MOI'!$C$22)^3)</f>
        <v>81.09529446276177</v>
      </c>
      <c r="K1025" s="75">
        <f>'THAM_SO_MOI'!$C$31*J1025/E1025</f>
        <v>424.4598364131727</v>
      </c>
      <c r="L1025" s="75">
        <f>K1025*'THAM_SO_MOI'!$C$50*'THAM_SO_MOI'!$C$17/'THAM_SO_MOI'!$C$26</f>
        <v>15153.794970085517</v>
      </c>
      <c r="M1025" s="75">
        <f>'THAM_SO_MOI'!$C$15*'THAM_SO_MOI'!$C$16*F1025^2</f>
        <v>60.54469429560193</v>
      </c>
      <c r="N1025" s="75">
        <f>'THAM_SO_MOI'!$C$12*I1025</f>
        <v>1130.112</v>
      </c>
      <c r="O1025" s="75">
        <f>M1025+N1025</f>
        <v>1190.656694295602</v>
      </c>
      <c r="P1025" s="75">
        <f>(MIN(L1025,'THAM_SO_MOI'!$C$41)-O1025)/('THAM_SO_MOI'!$C$11*H1025)</f>
        <v>0.9678090023014523</v>
      </c>
      <c r="Q1025" s="75">
        <f>IF(P1025&gt;0,1/P1025,NA())</f>
        <v>1.0332617258384633</v>
      </c>
      <c r="R1025" s="75">
        <f>F1025-F1024</f>
        <v>0.0032106047296869278</v>
      </c>
      <c r="S1025" s="75">
        <f>0.5*(Q1024+Q1025)*R1025</f>
        <v>0.003317566331172613</v>
      </c>
      <c r="T1025" s="75">
        <f>0.5*(F1024*Q1024+F1025*Q1025)*R1025</f>
        <v>0.015088339663788562</v>
      </c>
      <c r="U1025" s="76">
        <f>U1024+S1025</f>
        <v>4.781230825271789</v>
      </c>
      <c r="V1025" s="76">
        <f>V1024+T1025</f>
        <v>14.91084342804355</v>
      </c>
    </row>
    <row r="1026" spans="1:22" ht="19" customHeight="1">
      <c r="A1026" s="68" t="s">
        <v>372</v>
      </c>
      <c r="B1026" s="74">
        <v>2</v>
      </c>
      <c r="C1026" s="68" t="s">
        <v>363</v>
      </c>
      <c r="D1026" s="68" t="s">
        <v>364</v>
      </c>
      <c r="E1026" s="75">
        <f>60*F1026*'THAM_SO_MOI'!$C$50/(2*PI()*'THAM_SO_MOI'!$C$26)</f>
        <v>1826.075537769423</v>
      </c>
      <c r="F1026" s="75">
        <f>'HANH_TRINH'!$F$826+('THAM_SO_MOI'!$F$50-'HANH_TRINH'!$F$826)*199/'THAM_SO_MOI'!$C$42</f>
        <v>4.552830455312939</v>
      </c>
      <c r="G1026" s="75">
        <f>3.6*F1026</f>
        <v>16.39018963912658</v>
      </c>
      <c r="H1026" s="75">
        <f>'THAM_SO_MOI'!$D$50</f>
        <v>1.8785906709588276</v>
      </c>
      <c r="I1026" s="75">
        <f>IF(F1026&gt;'THAM_SO_MOI'!$C$14,'THAM_SO_MOI'!$C$13*(1+F1026^2/1500),'THAM_SO_MOI'!$C$13)</f>
        <v>0.015</v>
      </c>
      <c r="J1026" s="75">
        <f>'THAM_SO_MOI'!$C$40*('THAM_SO_MOI'!$C$23*(E1026/'THAM_SO_MOI'!$C$22)+'THAM_SO_MOI'!$C$24*(E1026/'THAM_SO_MOI'!$C$22)^2-'THAM_SO_MOI'!$C$25*(E1026/'THAM_SO_MOI'!$C$22)^3)</f>
        <v>81.16067275787059</v>
      </c>
      <c r="K1026" s="75">
        <f>'THAM_SO_MOI'!$C$31*J1026/E1026</f>
        <v>424.50246649986696</v>
      </c>
      <c r="L1026" s="75">
        <f>K1026*'THAM_SO_MOI'!$C$50*'THAM_SO_MOI'!$C$17/'THAM_SO_MOI'!$C$26</f>
        <v>15155.316922312564</v>
      </c>
      <c r="M1026" s="75">
        <f>'THAM_SO_MOI'!$C$15*'THAM_SO_MOI'!$C$16*F1026^2</f>
        <v>60.63017557786319</v>
      </c>
      <c r="N1026" s="75">
        <f>'THAM_SO_MOI'!$C$12*I1026</f>
        <v>1130.112</v>
      </c>
      <c r="O1026" s="75">
        <f>M1026+N1026</f>
        <v>1190.7421755778632</v>
      </c>
      <c r="P1026" s="75">
        <f>(MIN(L1026,'THAM_SO_MOI'!$C$41)-O1026)/('THAM_SO_MOI'!$C$11*H1026)</f>
        <v>0.9679085665601774</v>
      </c>
      <c r="Q1026" s="75">
        <f>IF(P1026&gt;0,1/P1026,NA())</f>
        <v>1.0331554390037805</v>
      </c>
      <c r="R1026" s="75">
        <f>F1026-F1025</f>
        <v>0.0032106047296869278</v>
      </c>
      <c r="S1026" s="75">
        <f>0.5*(Q1025+Q1026)*R1026</f>
        <v>0.00331722436147438</v>
      </c>
      <c r="T1026" s="75">
        <f>0.5*(F1025*Q1025+F1026*Q1026)*R1026</f>
        <v>0.015097434678013666</v>
      </c>
      <c r="U1026" s="76">
        <f>U1025+S1026</f>
        <v>4.784548049633264</v>
      </c>
      <c r="V1026" s="76">
        <f>V1025+T1026</f>
        <v>14.925940862721564</v>
      </c>
    </row>
    <row r="1027" spans="1:22" ht="19" customHeight="1">
      <c r="A1027" s="68" t="s">
        <v>372</v>
      </c>
      <c r="B1027" s="74">
        <v>2</v>
      </c>
      <c r="C1027" s="68" t="s">
        <v>363</v>
      </c>
      <c r="D1027" s="68" t="s">
        <v>364</v>
      </c>
      <c r="E1027" s="75">
        <f>60*F1027*'THAM_SO_MOI'!$C$50/(2*PI()*'THAM_SO_MOI'!$C$26)</f>
        <v>1827.3632656599896</v>
      </c>
      <c r="F1027" s="75">
        <f>'HANH_TRINH'!$F$826+('THAM_SO_MOI'!$F$50-'HANH_TRINH'!$F$826)*200/'THAM_SO_MOI'!$C$42</f>
        <v>4.5560410600426255</v>
      </c>
      <c r="G1027" s="75">
        <f>3.6*F1027</f>
        <v>16.401747816153453</v>
      </c>
      <c r="H1027" s="75">
        <f>'THAM_SO_MOI'!$D$50</f>
        <v>1.8785906709588276</v>
      </c>
      <c r="I1027" s="75">
        <f>IF(F1027&gt;'THAM_SO_MOI'!$C$14,'THAM_SO_MOI'!$C$13*(1+F1027^2/1500),'THAM_SO_MOI'!$C$13)</f>
        <v>0.015</v>
      </c>
      <c r="J1027" s="75">
        <f>'THAM_SO_MOI'!$C$40*('THAM_SO_MOI'!$C$23*(E1027/'THAM_SO_MOI'!$C$22)+'THAM_SO_MOI'!$C$24*(E1027/'THAM_SO_MOI'!$C$22)^2-'THAM_SO_MOI'!$C$25*(E1027/'THAM_SO_MOI'!$C$22)^3)</f>
        <v>81.22603176892066</v>
      </c>
      <c r="K1027" s="75">
        <f>'THAM_SO_MOI'!$C$31*J1027/E1027</f>
        <v>424.54493571222883</v>
      </c>
      <c r="L1027" s="75">
        <f>K1027*'THAM_SO_MOI'!$C$50*'THAM_SO_MOI'!$C$17/'THAM_SO_MOI'!$C$26</f>
        <v>15156.833131106572</v>
      </c>
      <c r="M1027" s="75">
        <f>'THAM_SO_MOI'!$C$15*'THAM_SO_MOI'!$C$16*F1027^2</f>
        <v>60.71571716182342</v>
      </c>
      <c r="N1027" s="75">
        <f>'THAM_SO_MOI'!$C$12*I1027</f>
        <v>1130.112</v>
      </c>
      <c r="O1027" s="75">
        <f>M1027+N1027</f>
        <v>1190.8277171618236</v>
      </c>
      <c r="P1027" s="75">
        <f>(MIN(L1027,'THAM_SO_MOI'!$C$41)-O1027)/('THAM_SO_MOI'!$C$11*H1027)</f>
        <v>0.968007728552119</v>
      </c>
      <c r="Q1027" s="75">
        <f>IF(P1027&gt;0,1/P1027,NA())</f>
        <v>1.0330496033288215</v>
      </c>
      <c r="R1027" s="75">
        <f>F1027-F1026</f>
        <v>0.0032106047296869278</v>
      </c>
      <c r="S1027" s="75">
        <f>0.5*(Q1026+Q1027)*R1027</f>
        <v>0.0033168838407080154</v>
      </c>
      <c r="T1027" s="75">
        <f>0.5*(F1026*Q1026+F1027*Q1027)*R1027</f>
        <v>0.015106534095446125</v>
      </c>
      <c r="U1027" s="76">
        <f>U1026+S1027</f>
        <v>4.787864933473972</v>
      </c>
      <c r="V1027" s="76">
        <f>V1026+T1027</f>
        <v>14.94104739681701</v>
      </c>
    </row>
    <row r="1028" spans="1:22" ht="19" customHeight="1">
      <c r="A1028" s="68" t="s">
        <v>372</v>
      </c>
      <c r="B1028" s="74">
        <v>2</v>
      </c>
      <c r="C1028" s="68" t="s">
        <v>363</v>
      </c>
      <c r="D1028" s="68" t="s">
        <v>364</v>
      </c>
      <c r="E1028" s="75">
        <f>60*F1028*'THAM_SO_MOI'!$C$50/(2*PI()*'THAM_SO_MOI'!$C$26)</f>
        <v>1828.650993550556</v>
      </c>
      <c r="F1028" s="75">
        <f>'HANH_TRINH'!$F$826+('THAM_SO_MOI'!$F$50-'HANH_TRINH'!$F$826)*201/'THAM_SO_MOI'!$C$42</f>
        <v>4.559251664772312</v>
      </c>
      <c r="G1028" s="75">
        <f>3.6*F1028</f>
        <v>16.413305993180323</v>
      </c>
      <c r="H1028" s="75">
        <f>'THAM_SO_MOI'!$D$50</f>
        <v>1.8785906709588276</v>
      </c>
      <c r="I1028" s="75">
        <f>IF(F1028&gt;'THAM_SO_MOI'!$C$14,'THAM_SO_MOI'!$C$13*(1+F1028^2/1500),'THAM_SO_MOI'!$C$13)</f>
        <v>0.015</v>
      </c>
      <c r="J1028" s="75">
        <f>'THAM_SO_MOI'!$C$40*('THAM_SO_MOI'!$C$23*(E1028/'THAM_SO_MOI'!$C$22)+'THAM_SO_MOI'!$C$24*(E1028/'THAM_SO_MOI'!$C$22)^2-'THAM_SO_MOI'!$C$25*(E1028/'THAM_SO_MOI'!$C$22)^3)</f>
        <v>81.29137143084235</v>
      </c>
      <c r="K1028" s="75">
        <f>'THAM_SO_MOI'!$C$31*J1028/E1028</f>
        <v>424.5872440502586</v>
      </c>
      <c r="L1028" s="75">
        <f>K1028*'THAM_SO_MOI'!$C$50*'THAM_SO_MOI'!$C$17/'THAM_SO_MOI'!$C$26</f>
        <v>15158.343596467552</v>
      </c>
      <c r="M1028" s="75">
        <f>'THAM_SO_MOI'!$C$15*'THAM_SO_MOI'!$C$16*F1028^2</f>
        <v>60.80131904748261</v>
      </c>
      <c r="N1028" s="75">
        <f>'THAM_SO_MOI'!$C$12*I1028</f>
        <v>1130.112</v>
      </c>
      <c r="O1028" s="75">
        <f>M1028+N1028</f>
        <v>1190.9133190474827</v>
      </c>
      <c r="P1028" s="75">
        <f>(MIN(L1028,'THAM_SO_MOI'!$C$41)-O1028)/('THAM_SO_MOI'!$C$11*H1028)</f>
        <v>0.9681064882772774</v>
      </c>
      <c r="Q1028" s="75">
        <f>IF(P1028&gt;0,1/P1028,NA())</f>
        <v>1.0329442185430204</v>
      </c>
      <c r="R1028" s="75">
        <f>F1028-F1027</f>
        <v>0.0032106047296860396</v>
      </c>
      <c r="S1028" s="75">
        <f>0.5*(Q1027+Q1028)*R1028</f>
        <v>0.003316544768001936</v>
      </c>
      <c r="T1028" s="75">
        <f>0.5*(F1027*Q1027+F1028*Q1028)*R1028</f>
        <v>0.01511563792606941</v>
      </c>
      <c r="U1028" s="76">
        <f>U1027+S1028</f>
        <v>4.791181478241974</v>
      </c>
      <c r="V1028" s="76">
        <f>V1027+T1028</f>
        <v>14.95616303474308</v>
      </c>
    </row>
    <row r="1029" spans="1:22" ht="19" customHeight="1">
      <c r="A1029" s="68" t="s">
        <v>372</v>
      </c>
      <c r="B1029" s="74">
        <v>2</v>
      </c>
      <c r="C1029" s="68" t="s">
        <v>363</v>
      </c>
      <c r="D1029" s="68" t="s">
        <v>364</v>
      </c>
      <c r="E1029" s="75">
        <f>60*F1029*'THAM_SO_MOI'!$C$50/(2*PI()*'THAM_SO_MOI'!$C$26)</f>
        <v>1829.938721441123</v>
      </c>
      <c r="F1029" s="75">
        <f>'HANH_TRINH'!$F$826+('THAM_SO_MOI'!$F$50-'HANH_TRINH'!$F$826)*202/'THAM_SO_MOI'!$C$42</f>
        <v>4.5624622695019985</v>
      </c>
      <c r="G1029" s="75">
        <f>3.6*F1029</f>
        <v>16.424864170207194</v>
      </c>
      <c r="H1029" s="75">
        <f>'THAM_SO_MOI'!$D$50</f>
        <v>1.8785906709588276</v>
      </c>
      <c r="I1029" s="75">
        <f>IF(F1029&gt;'THAM_SO_MOI'!$C$14,'THAM_SO_MOI'!$C$13*(1+F1029^2/1500),'THAM_SO_MOI'!$C$13)</f>
        <v>0.015</v>
      </c>
      <c r="J1029" s="75">
        <f>'THAM_SO_MOI'!$C$40*('THAM_SO_MOI'!$C$23*(E1029/'THAM_SO_MOI'!$C$22)+'THAM_SO_MOI'!$C$24*(E1029/'THAM_SO_MOI'!$C$22)^2-'THAM_SO_MOI'!$C$25*(E1029/'THAM_SO_MOI'!$C$22)^3)</f>
        <v>81.35669167856594</v>
      </c>
      <c r="K1029" s="75">
        <f>'THAM_SO_MOI'!$C$31*J1029/E1029</f>
        <v>424.62939151395614</v>
      </c>
      <c r="L1029" s="75">
        <f>K1029*'THAM_SO_MOI'!$C$50*'THAM_SO_MOI'!$C$17/'THAM_SO_MOI'!$C$26</f>
        <v>15159.848318395492</v>
      </c>
      <c r="M1029" s="75">
        <f>'THAM_SO_MOI'!$C$15*'THAM_SO_MOI'!$C$16*F1029^2</f>
        <v>60.88698123484079</v>
      </c>
      <c r="N1029" s="75">
        <f>'THAM_SO_MOI'!$C$12*I1029</f>
        <v>1130.112</v>
      </c>
      <c r="O1029" s="75">
        <f>M1029+N1029</f>
        <v>1190.9989812348408</v>
      </c>
      <c r="P1029" s="75">
        <f>(MIN(L1029,'THAM_SO_MOI'!$C$41)-O1029)/('THAM_SO_MOI'!$C$11*H1029)</f>
        <v>0.968204845735652</v>
      </c>
      <c r="Q1029" s="75">
        <f>IF(P1029&gt;0,1/P1029,NA())</f>
        <v>1.032839284377047</v>
      </c>
      <c r="R1029" s="75">
        <f>F1029-F1028</f>
        <v>0.0032106047296869278</v>
      </c>
      <c r="S1029" s="75">
        <f>0.5*(Q1028+Q1029)*R1029</f>
        <v>0.003316207142492199</v>
      </c>
      <c r="T1029" s="75">
        <f>0.5*(F1028*Q1028+F1029*Q1029)*R1029</f>
        <v>0.01512474617989065</v>
      </c>
      <c r="U1029" s="76">
        <f>U1028+S1029</f>
        <v>4.794497685384466</v>
      </c>
      <c r="V1029" s="76">
        <f>V1028+T1029</f>
        <v>14.971287780922971</v>
      </c>
    </row>
    <row r="1030" spans="1:22" ht="19" customHeight="1">
      <c r="A1030" s="68" t="s">
        <v>372</v>
      </c>
      <c r="B1030" s="74">
        <v>2</v>
      </c>
      <c r="C1030" s="68" t="s">
        <v>363</v>
      </c>
      <c r="D1030" s="68" t="s">
        <v>364</v>
      </c>
      <c r="E1030" s="75">
        <f>60*F1030*'THAM_SO_MOI'!$C$50/(2*PI()*'THAM_SO_MOI'!$C$26)</f>
        <v>1831.2264493316898</v>
      </c>
      <c r="F1030" s="75">
        <f>'HANH_TRINH'!$F$826+('THAM_SO_MOI'!$F$50-'HANH_TRINH'!$F$826)*203/'THAM_SO_MOI'!$C$42</f>
        <v>4.565672874231685</v>
      </c>
      <c r="G1030" s="75">
        <f>3.6*F1030</f>
        <v>16.436422347234068</v>
      </c>
      <c r="H1030" s="75">
        <f>'THAM_SO_MOI'!$D$50</f>
        <v>1.8785906709588276</v>
      </c>
      <c r="I1030" s="75">
        <f>IF(F1030&gt;'THAM_SO_MOI'!$C$14,'THAM_SO_MOI'!$C$13*(1+F1030^2/1500),'THAM_SO_MOI'!$C$13)</f>
        <v>0.015</v>
      </c>
      <c r="J1030" s="75">
        <f>'THAM_SO_MOI'!$C$40*('THAM_SO_MOI'!$C$23*(E1030/'THAM_SO_MOI'!$C$22)+'THAM_SO_MOI'!$C$24*(E1030/'THAM_SO_MOI'!$C$22)^2-'THAM_SO_MOI'!$C$25*(E1030/'THAM_SO_MOI'!$C$22)^3)</f>
        <v>81.42199244702167</v>
      </c>
      <c r="K1030" s="75">
        <f>'THAM_SO_MOI'!$C$31*J1030/E1030</f>
        <v>424.6713781033213</v>
      </c>
      <c r="L1030" s="75">
        <f>K1030*'THAM_SO_MOI'!$C$50*'THAM_SO_MOI'!$C$17/'THAM_SO_MOI'!$C$26</f>
        <v>15161.347296890392</v>
      </c>
      <c r="M1030" s="75">
        <f>'THAM_SO_MOI'!$C$15*'THAM_SO_MOI'!$C$16*F1030^2</f>
        <v>60.972703723897936</v>
      </c>
      <c r="N1030" s="75">
        <f>'THAM_SO_MOI'!$C$12*I1030</f>
        <v>1130.112</v>
      </c>
      <c r="O1030" s="75">
        <f>M1030+N1030</f>
        <v>1191.084703723898</v>
      </c>
      <c r="P1030" s="75">
        <f>(MIN(L1030,'THAM_SO_MOI'!$C$41)-O1030)/('THAM_SO_MOI'!$C$11*H1030)</f>
        <v>0.9683028009272426</v>
      </c>
      <c r="Q1030" s="75">
        <f>IF(P1030&gt;0,1/P1030,NA())</f>
        <v>1.0327348005628036</v>
      </c>
      <c r="R1030" s="75">
        <f>F1030-F1029</f>
        <v>0.0032106047296869278</v>
      </c>
      <c r="S1030" s="75">
        <f>0.5*(Q1029+Q1030)*R1030</f>
        <v>0.003315870963313316</v>
      </c>
      <c r="T1030" s="75">
        <f>0.5*(F1029*Q1029+F1030*Q1030)*R1030</f>
        <v>0.015133858866898836</v>
      </c>
      <c r="U1030" s="76">
        <f>U1029+S1030</f>
        <v>4.79781355634778</v>
      </c>
      <c r="V1030" s="76">
        <f>V1029+T1030</f>
        <v>14.986421639789869</v>
      </c>
    </row>
    <row r="1031" spans="1:22" ht="19" customHeight="1">
      <c r="A1031" s="68" t="s">
        <v>372</v>
      </c>
      <c r="B1031" s="74">
        <v>2</v>
      </c>
      <c r="C1031" s="68" t="s">
        <v>363</v>
      </c>
      <c r="D1031" s="68" t="s">
        <v>364</v>
      </c>
      <c r="E1031" s="75">
        <f>60*F1031*'THAM_SO_MOI'!$C$50/(2*PI()*'THAM_SO_MOI'!$C$26)</f>
        <v>1832.5141772222564</v>
      </c>
      <c r="F1031" s="75">
        <f>'HANH_TRINH'!$F$826+('THAM_SO_MOI'!$F$50-'HANH_TRINH'!$F$826)*204/'THAM_SO_MOI'!$C$42</f>
        <v>4.568883478961372</v>
      </c>
      <c r="G1031" s="75">
        <f>3.6*F1031</f>
        <v>16.44798052426094</v>
      </c>
      <c r="H1031" s="75">
        <f>'THAM_SO_MOI'!$D$50</f>
        <v>1.8785906709588276</v>
      </c>
      <c r="I1031" s="75">
        <f>IF(F1031&gt;'THAM_SO_MOI'!$C$14,'THAM_SO_MOI'!$C$13*(1+F1031^2/1500),'THAM_SO_MOI'!$C$13)</f>
        <v>0.015</v>
      </c>
      <c r="J1031" s="75">
        <f>'THAM_SO_MOI'!$C$40*('THAM_SO_MOI'!$C$23*(E1031/'THAM_SO_MOI'!$C$22)+'THAM_SO_MOI'!$C$24*(E1031/'THAM_SO_MOI'!$C$22)^2-'THAM_SO_MOI'!$C$25*(E1031/'THAM_SO_MOI'!$C$22)^3)</f>
        <v>81.4872736711399</v>
      </c>
      <c r="K1031" s="75">
        <f>'THAM_SO_MOI'!$C$31*J1031/E1031</f>
        <v>424.7132038183543</v>
      </c>
      <c r="L1031" s="75">
        <f>K1031*'THAM_SO_MOI'!$C$50*'THAM_SO_MOI'!$C$17/'THAM_SO_MOI'!$C$26</f>
        <v>15162.840531952264</v>
      </c>
      <c r="M1031" s="75">
        <f>'THAM_SO_MOI'!$C$15*'THAM_SO_MOI'!$C$16*F1031^2</f>
        <v>61.058486514654064</v>
      </c>
      <c r="N1031" s="75">
        <f>'THAM_SO_MOI'!$C$12*I1031</f>
        <v>1130.112</v>
      </c>
      <c r="O1031" s="75">
        <f>M1031+N1031</f>
        <v>1191.1704865146542</v>
      </c>
      <c r="P1031" s="75">
        <f>(MIN(L1031,'THAM_SO_MOI'!$C$41)-O1031)/('THAM_SO_MOI'!$C$11*H1031)</f>
        <v>0.9684003538520503</v>
      </c>
      <c r="Q1031" s="75">
        <f>IF(P1031&gt;0,1/P1031,NA())</f>
        <v>1.032630766833422</v>
      </c>
      <c r="R1031" s="75">
        <f>F1031-F1030</f>
        <v>0.0032106047296869278</v>
      </c>
      <c r="S1031" s="75">
        <f>0.5*(Q1030+Q1031)*R1031</f>
        <v>0.0033155362296074242</v>
      </c>
      <c r="T1031" s="75">
        <f>0.5*(F1030*Q1030+F1031*Q1031)*R1031</f>
        <v>0.015142975997106654</v>
      </c>
      <c r="U1031" s="76">
        <f>U1030+S1031</f>
        <v>4.801129092577387</v>
      </c>
      <c r="V1031" s="76">
        <f>V1030+T1031</f>
        <v>15.001564615786975</v>
      </c>
    </row>
    <row r="1032" spans="1:22" ht="19" customHeight="1">
      <c r="A1032" s="68" t="s">
        <v>372</v>
      </c>
      <c r="B1032" s="74">
        <v>2</v>
      </c>
      <c r="C1032" s="68" t="s">
        <v>363</v>
      </c>
      <c r="D1032" s="68" t="s">
        <v>364</v>
      </c>
      <c r="E1032" s="75">
        <f>60*F1032*'THAM_SO_MOI'!$C$50/(2*PI()*'THAM_SO_MOI'!$C$26)</f>
        <v>1833.801905112823</v>
      </c>
      <c r="F1032" s="75">
        <f>'HANH_TRINH'!$F$826+('THAM_SO_MOI'!$F$50-'HANH_TRINH'!$F$826)*205/'THAM_SO_MOI'!$C$42</f>
        <v>4.572094083691059</v>
      </c>
      <c r="G1032" s="75">
        <f>3.6*F1032</f>
        <v>16.459538701287816</v>
      </c>
      <c r="H1032" s="75">
        <f>'THAM_SO_MOI'!$D$50</f>
        <v>1.8785906709588276</v>
      </c>
      <c r="I1032" s="75">
        <f>IF(F1032&gt;'THAM_SO_MOI'!$C$14,'THAM_SO_MOI'!$C$13*(1+F1032^2/1500),'THAM_SO_MOI'!$C$13)</f>
        <v>0.015</v>
      </c>
      <c r="J1032" s="75">
        <f>'THAM_SO_MOI'!$C$40*('THAM_SO_MOI'!$C$23*(E1032/'THAM_SO_MOI'!$C$22)+'THAM_SO_MOI'!$C$24*(E1032/'THAM_SO_MOI'!$C$22)^2-'THAM_SO_MOI'!$C$25*(E1032/'THAM_SO_MOI'!$C$22)^3)</f>
        <v>81.55253528585094</v>
      </c>
      <c r="K1032" s="75">
        <f>'THAM_SO_MOI'!$C$31*J1032/E1032</f>
        <v>424.7548686590551</v>
      </c>
      <c r="L1032" s="75">
        <f>K1032*'THAM_SO_MOI'!$C$50*'THAM_SO_MOI'!$C$17/'THAM_SO_MOI'!$C$26</f>
        <v>15164.328023581096</v>
      </c>
      <c r="M1032" s="75">
        <f>'THAM_SO_MOI'!$C$15*'THAM_SO_MOI'!$C$16*F1032^2</f>
        <v>61.14432960710916</v>
      </c>
      <c r="N1032" s="75">
        <f>'THAM_SO_MOI'!$C$12*I1032</f>
        <v>1130.112</v>
      </c>
      <c r="O1032" s="75">
        <f>M1032+N1032</f>
        <v>1191.2563296071091</v>
      </c>
      <c r="P1032" s="75">
        <f>(MIN(L1032,'THAM_SO_MOI'!$C$41)-O1032)/('THAM_SO_MOI'!$C$11*H1032)</f>
        <v>0.9684975045100738</v>
      </c>
      <c r="Q1032" s="75">
        <f>IF(P1032&gt;0,1/P1032,NA())</f>
        <v>1.0325271829232665</v>
      </c>
      <c r="R1032" s="75">
        <f>F1032-F1031</f>
        <v>0.0032106047296869278</v>
      </c>
      <c r="S1032" s="75">
        <f>0.5*(Q1031+Q1032)*R1032</f>
        <v>0.0033152029405196914</v>
      </c>
      <c r="T1032" s="75">
        <f>0.5*(F1031*Q1031+F1032*Q1032)*R1032</f>
        <v>0.015152097580529643</v>
      </c>
      <c r="U1032" s="76">
        <f>U1031+S1032</f>
        <v>4.804444295517907</v>
      </c>
      <c r="V1032" s="76">
        <f>V1031+T1032</f>
        <v>15.016716713367504</v>
      </c>
    </row>
    <row r="1033" spans="1:22" ht="19" customHeight="1">
      <c r="A1033" s="68" t="s">
        <v>372</v>
      </c>
      <c r="B1033" s="74">
        <v>2</v>
      </c>
      <c r="C1033" s="68" t="s">
        <v>363</v>
      </c>
      <c r="D1033" s="68" t="s">
        <v>364</v>
      </c>
      <c r="E1033" s="75">
        <f>60*F1033*'THAM_SO_MOI'!$C$50/(2*PI()*'THAM_SO_MOI'!$C$26)</f>
        <v>1835.0896330033897</v>
      </c>
      <c r="F1033" s="75">
        <f>'HANH_TRINH'!$F$826+('THAM_SO_MOI'!$F$50-'HANH_TRINH'!$F$826)*206/'THAM_SO_MOI'!$C$42</f>
        <v>4.575304688420746</v>
      </c>
      <c r="G1033" s="75">
        <f>3.6*F1033</f>
        <v>16.471096878314686</v>
      </c>
      <c r="H1033" s="75">
        <f>'THAM_SO_MOI'!$D$50</f>
        <v>1.8785906709588276</v>
      </c>
      <c r="I1033" s="75">
        <f>IF(F1033&gt;'THAM_SO_MOI'!$C$14,'THAM_SO_MOI'!$C$13*(1+F1033^2/1500),'THAM_SO_MOI'!$C$13)</f>
        <v>0.015</v>
      </c>
      <c r="J1033" s="75">
        <f>'THAM_SO_MOI'!$C$40*('THAM_SO_MOI'!$C$23*(E1033/'THAM_SO_MOI'!$C$22)+'THAM_SO_MOI'!$C$24*(E1033/'THAM_SO_MOI'!$C$22)^2-'THAM_SO_MOI'!$C$25*(E1033/'THAM_SO_MOI'!$C$22)^3)</f>
        <v>81.61777722608505</v>
      </c>
      <c r="K1033" s="75">
        <f>'THAM_SO_MOI'!$C$31*J1033/E1033</f>
        <v>424.7963726254236</v>
      </c>
      <c r="L1033" s="75">
        <f>K1033*'THAM_SO_MOI'!$C$50*'THAM_SO_MOI'!$C$17/'THAM_SO_MOI'!$C$26</f>
        <v>15165.809771776892</v>
      </c>
      <c r="M1033" s="75">
        <f>'THAM_SO_MOI'!$C$15*'THAM_SO_MOI'!$C$16*F1033^2</f>
        <v>61.23023300126322</v>
      </c>
      <c r="N1033" s="75">
        <f>'THAM_SO_MOI'!$C$12*I1033</f>
        <v>1130.112</v>
      </c>
      <c r="O1033" s="75">
        <f>M1033+N1033</f>
        <v>1191.3422330012634</v>
      </c>
      <c r="P1033" s="75">
        <f>(MIN(L1033,'THAM_SO_MOI'!$C$41)-O1033)/('THAM_SO_MOI'!$C$11*H1033)</f>
        <v>0.9685942529013138</v>
      </c>
      <c r="Q1033" s="75">
        <f>IF(P1033&gt;0,1/P1033,NA())</f>
        <v>1.032424048567926</v>
      </c>
      <c r="R1033" s="75">
        <f>F1033-F1032</f>
        <v>0.0032106047296869278</v>
      </c>
      <c r="S1033" s="75">
        <f>0.5*(Q1032+Q1033)*R1033</f>
        <v>0.003314871095199234</v>
      </c>
      <c r="T1033" s="75">
        <f>0.5*(F1032*Q1032+F1033*Q1033)*R1033</f>
        <v>0.015161223627190407</v>
      </c>
      <c r="U1033" s="76">
        <f>U1032+S1033</f>
        <v>4.807759166613106</v>
      </c>
      <c r="V1033" s="76">
        <f>V1032+T1033</f>
        <v>15.031877936994695</v>
      </c>
    </row>
    <row r="1034" spans="1:22" ht="19" customHeight="1">
      <c r="A1034" s="68" t="s">
        <v>372</v>
      </c>
      <c r="B1034" s="74">
        <v>2</v>
      </c>
      <c r="C1034" s="68" t="s">
        <v>363</v>
      </c>
      <c r="D1034" s="68" t="s">
        <v>364</v>
      </c>
      <c r="E1034" s="75">
        <f>60*F1034*'THAM_SO_MOI'!$C$50/(2*PI()*'THAM_SO_MOI'!$C$26)</f>
        <v>1836.3773608939564</v>
      </c>
      <c r="F1034" s="75">
        <f>'HANH_TRINH'!$F$826+('THAM_SO_MOI'!$F$50-'HANH_TRINH'!$F$826)*207/'THAM_SO_MOI'!$C$42</f>
        <v>4.578515293150433</v>
      </c>
      <c r="G1034" s="75">
        <f>3.6*F1034</f>
        <v>16.48265505534156</v>
      </c>
      <c r="H1034" s="75">
        <f>'THAM_SO_MOI'!$D$50</f>
        <v>1.8785906709588276</v>
      </c>
      <c r="I1034" s="75">
        <f>IF(F1034&gt;'THAM_SO_MOI'!$C$14,'THAM_SO_MOI'!$C$13*(1+F1034^2/1500),'THAM_SO_MOI'!$C$13)</f>
        <v>0.015</v>
      </c>
      <c r="J1034" s="75">
        <f>'THAM_SO_MOI'!$C$40*('THAM_SO_MOI'!$C$23*(E1034/'THAM_SO_MOI'!$C$22)+'THAM_SO_MOI'!$C$24*(E1034/'THAM_SO_MOI'!$C$22)^2-'THAM_SO_MOI'!$C$25*(E1034/'THAM_SO_MOI'!$C$22)^3)</f>
        <v>81.68299942677255</v>
      </c>
      <c r="K1034" s="75">
        <f>'THAM_SO_MOI'!$C$31*J1034/E1034</f>
        <v>424.83771571745973</v>
      </c>
      <c r="L1034" s="75">
        <f>K1034*'THAM_SO_MOI'!$C$50*'THAM_SO_MOI'!$C$17/'THAM_SO_MOI'!$C$26</f>
        <v>15167.28577653965</v>
      </c>
      <c r="M1034" s="75">
        <f>'THAM_SO_MOI'!$C$15*'THAM_SO_MOI'!$C$16*F1034^2</f>
        <v>61.31619669711627</v>
      </c>
      <c r="N1034" s="75">
        <f>'THAM_SO_MOI'!$C$12*I1034</f>
        <v>1130.112</v>
      </c>
      <c r="O1034" s="75">
        <f>M1034+N1034</f>
        <v>1191.4281966971164</v>
      </c>
      <c r="P1034" s="75">
        <f>(MIN(L1034,'THAM_SO_MOI'!$C$41)-O1034)/('THAM_SO_MOI'!$C$11*H1034)</f>
        <v>0.96869059902577</v>
      </c>
      <c r="Q1034" s="75">
        <f>IF(P1034&gt;0,1/P1034,NA())</f>
        <v>1.0323213635042174</v>
      </c>
      <c r="R1034" s="75">
        <f>F1034-F1033</f>
        <v>0.0032106047296869278</v>
      </c>
      <c r="S1034" s="75">
        <f>0.5*(Q1033+Q1034)*R1034</f>
        <v>0.003314540692799104</v>
      </c>
      <c r="T1034" s="75">
        <f>0.5*(F1033*Q1033+F1034*Q1034)*R1034</f>
        <v>0.015170354147118642</v>
      </c>
      <c r="U1034" s="76">
        <f>U1033+S1034</f>
        <v>4.811073707305906</v>
      </c>
      <c r="V1034" s="76">
        <f>V1033+T1034</f>
        <v>15.047048291141813</v>
      </c>
    </row>
    <row r="1035" spans="1:22" ht="19" customHeight="1">
      <c r="A1035" s="68" t="s">
        <v>372</v>
      </c>
      <c r="B1035" s="74">
        <v>2</v>
      </c>
      <c r="C1035" s="68" t="s">
        <v>363</v>
      </c>
      <c r="D1035" s="68" t="s">
        <v>364</v>
      </c>
      <c r="E1035" s="75">
        <f>60*F1035*'THAM_SO_MOI'!$C$50/(2*PI()*'THAM_SO_MOI'!$C$26)</f>
        <v>1837.6650887845228</v>
      </c>
      <c r="F1035" s="75">
        <f>'HANH_TRINH'!$F$826+('THAM_SO_MOI'!$F$50-'HANH_TRINH'!$F$826)*208/'THAM_SO_MOI'!$C$42</f>
        <v>4.581725897880119</v>
      </c>
      <c r="G1035" s="75">
        <f>3.6*F1035</f>
        <v>16.49421323236843</v>
      </c>
      <c r="H1035" s="75">
        <f>'THAM_SO_MOI'!$D$50</f>
        <v>1.8785906709588276</v>
      </c>
      <c r="I1035" s="75">
        <f>IF(F1035&gt;'THAM_SO_MOI'!$C$14,'THAM_SO_MOI'!$C$13*(1+F1035^2/1500),'THAM_SO_MOI'!$C$13)</f>
        <v>0.015</v>
      </c>
      <c r="J1035" s="75">
        <f>'THAM_SO_MOI'!$C$40*('THAM_SO_MOI'!$C$23*(E1035/'THAM_SO_MOI'!$C$22)+'THAM_SO_MOI'!$C$24*(E1035/'THAM_SO_MOI'!$C$22)^2-'THAM_SO_MOI'!$C$25*(E1035/'THAM_SO_MOI'!$C$22)^3)</f>
        <v>81.74820182284373</v>
      </c>
      <c r="K1035" s="75">
        <f>'THAM_SO_MOI'!$C$31*J1035/E1035</f>
        <v>424.8788979351637</v>
      </c>
      <c r="L1035" s="75">
        <f>K1035*'THAM_SO_MOI'!$C$50*'THAM_SO_MOI'!$C$17/'THAM_SO_MOI'!$C$26</f>
        <v>15168.756037869376</v>
      </c>
      <c r="M1035" s="75">
        <f>'THAM_SO_MOI'!$C$15*'THAM_SO_MOI'!$C$16*F1035^2</f>
        <v>61.40222069466825</v>
      </c>
      <c r="N1035" s="75">
        <f>'THAM_SO_MOI'!$C$12*I1035</f>
        <v>1130.112</v>
      </c>
      <c r="O1035" s="75">
        <f>M1035+N1035</f>
        <v>1191.5142206946684</v>
      </c>
      <c r="P1035" s="75">
        <f>(MIN(L1035,'THAM_SO_MOI'!$C$41)-O1035)/('THAM_SO_MOI'!$C$11*H1035)</f>
        <v>0.968786542883443</v>
      </c>
      <c r="Q1035" s="75">
        <f>IF(P1035&gt;0,1/P1035,NA())</f>
        <v>1.0322191274701804</v>
      </c>
      <c r="R1035" s="75">
        <f>F1035-F1034</f>
        <v>0.0032106047296860396</v>
      </c>
      <c r="S1035" s="75">
        <f>0.5*(Q1034+Q1035)*R1035</f>
        <v>0.0033142117324753704</v>
      </c>
      <c r="T1035" s="75">
        <f>0.5*(F1034*Q1034+F1035*Q1035)*R1035</f>
        <v>0.01517948915034699</v>
      </c>
      <c r="U1035" s="76">
        <f>U1034+S1035</f>
        <v>4.814387919038381</v>
      </c>
      <c r="V1035" s="76">
        <f>V1034+T1035</f>
        <v>15.06222778029216</v>
      </c>
    </row>
    <row r="1036" spans="1:22" ht="19" customHeight="1">
      <c r="A1036" s="68" t="s">
        <v>372</v>
      </c>
      <c r="B1036" s="74">
        <v>2</v>
      </c>
      <c r="C1036" s="68" t="s">
        <v>363</v>
      </c>
      <c r="D1036" s="68" t="s">
        <v>364</v>
      </c>
      <c r="E1036" s="75">
        <f>60*F1036*'THAM_SO_MOI'!$C$50/(2*PI()*'THAM_SO_MOI'!$C$26)</f>
        <v>1838.9528166750895</v>
      </c>
      <c r="F1036" s="75">
        <f>'HANH_TRINH'!$F$826+('THAM_SO_MOI'!$F$50-'HANH_TRINH'!$F$826)*209/'THAM_SO_MOI'!$C$42</f>
        <v>4.584936502609806</v>
      </c>
      <c r="G1036" s="75">
        <f>3.6*F1036</f>
        <v>16.5057714093953</v>
      </c>
      <c r="H1036" s="75">
        <f>'THAM_SO_MOI'!$D$50</f>
        <v>1.8785906709588276</v>
      </c>
      <c r="I1036" s="75">
        <f>IF(F1036&gt;'THAM_SO_MOI'!$C$14,'THAM_SO_MOI'!$C$13*(1+F1036^2/1500),'THAM_SO_MOI'!$C$13)</f>
        <v>0.015</v>
      </c>
      <c r="J1036" s="75">
        <f>'THAM_SO_MOI'!$C$40*('THAM_SO_MOI'!$C$23*(E1036/'THAM_SO_MOI'!$C$22)+'THAM_SO_MOI'!$C$24*(E1036/'THAM_SO_MOI'!$C$22)^2-'THAM_SO_MOI'!$C$25*(E1036/'THAM_SO_MOI'!$C$22)^3)</f>
        <v>81.8133843492289</v>
      </c>
      <c r="K1036" s="75">
        <f>'THAM_SO_MOI'!$C$31*J1036/E1036</f>
        <v>424.9199192785353</v>
      </c>
      <c r="L1036" s="75">
        <f>K1036*'THAM_SO_MOI'!$C$50*'THAM_SO_MOI'!$C$17/'THAM_SO_MOI'!$C$26</f>
        <v>15170.22055576606</v>
      </c>
      <c r="M1036" s="75">
        <f>'THAM_SO_MOI'!$C$15*'THAM_SO_MOI'!$C$16*F1036^2</f>
        <v>61.488304993919236</v>
      </c>
      <c r="N1036" s="75">
        <f>'THAM_SO_MOI'!$C$12*I1036</f>
        <v>1130.112</v>
      </c>
      <c r="O1036" s="75">
        <f>M1036+N1036</f>
        <v>1191.6003049939193</v>
      </c>
      <c r="P1036" s="75">
        <f>(MIN(L1036,'THAM_SO_MOI'!$C$41)-O1036)/('THAM_SO_MOI'!$C$11*H1036)</f>
        <v>0.9688820844743318</v>
      </c>
      <c r="Q1036" s="75">
        <f>IF(P1036&gt;0,1/P1036,NA())</f>
        <v>1.032117340205079</v>
      </c>
      <c r="R1036" s="75">
        <f>F1036-F1035</f>
        <v>0.0032106047296869278</v>
      </c>
      <c r="S1036" s="75">
        <f>0.5*(Q1035+Q1036)*R1036</f>
        <v>0.0033138842133916967</v>
      </c>
      <c r="T1036" s="75">
        <f>0.5*(F1035*Q1035+F1036*Q1036)*R1036</f>
        <v>0.015188628646932057</v>
      </c>
      <c r="U1036" s="76">
        <f>U1035+S1036</f>
        <v>4.817701803251773</v>
      </c>
      <c r="V1036" s="76">
        <f>V1035+T1036</f>
        <v>15.077416408939092</v>
      </c>
    </row>
    <row r="1037" spans="1:22" ht="19" customHeight="1">
      <c r="A1037" s="68" t="s">
        <v>372</v>
      </c>
      <c r="B1037" s="74">
        <v>2</v>
      </c>
      <c r="C1037" s="68" t="s">
        <v>363</v>
      </c>
      <c r="D1037" s="68" t="s">
        <v>364</v>
      </c>
      <c r="E1037" s="75">
        <f>60*F1037*'THAM_SO_MOI'!$C$50/(2*PI()*'THAM_SO_MOI'!$C$26)</f>
        <v>1840.2405445656561</v>
      </c>
      <c r="F1037" s="75">
        <f>'HANH_TRINH'!$F$826+('THAM_SO_MOI'!$F$50-'HANH_TRINH'!$F$826)*210/'THAM_SO_MOI'!$C$42</f>
        <v>4.588147107339493</v>
      </c>
      <c r="G1037" s="75">
        <f>3.6*F1037</f>
        <v>16.517329586422175</v>
      </c>
      <c r="H1037" s="75">
        <f>'THAM_SO_MOI'!$D$50</f>
        <v>1.8785906709588276</v>
      </c>
      <c r="I1037" s="75">
        <f>IF(F1037&gt;'THAM_SO_MOI'!$C$14,'THAM_SO_MOI'!$C$13*(1+F1037^2/1500),'THAM_SO_MOI'!$C$13)</f>
        <v>0.015</v>
      </c>
      <c r="J1037" s="75">
        <f>'THAM_SO_MOI'!$C$40*('THAM_SO_MOI'!$C$23*(E1037/'THAM_SO_MOI'!$C$22)+'THAM_SO_MOI'!$C$24*(E1037/'THAM_SO_MOI'!$C$22)^2-'THAM_SO_MOI'!$C$25*(E1037/'THAM_SO_MOI'!$C$22)^3)</f>
        <v>81.87854694085839</v>
      </c>
      <c r="K1037" s="75">
        <f>'THAM_SO_MOI'!$C$31*J1037/E1037</f>
        <v>424.96077974757486</v>
      </c>
      <c r="L1037" s="75">
        <f>K1037*'THAM_SO_MOI'!$C$50*'THAM_SO_MOI'!$C$17/'THAM_SO_MOI'!$C$26</f>
        <v>15171.679330229714</v>
      </c>
      <c r="M1037" s="75">
        <f>'THAM_SO_MOI'!$C$15*'THAM_SO_MOI'!$C$16*F1037^2</f>
        <v>61.5744495948692</v>
      </c>
      <c r="N1037" s="75">
        <f>'THAM_SO_MOI'!$C$12*I1037</f>
        <v>1130.112</v>
      </c>
      <c r="O1037" s="75">
        <f>M1037+N1037</f>
        <v>1191.6864495948694</v>
      </c>
      <c r="P1037" s="75">
        <f>(MIN(L1037,'THAM_SO_MOI'!$C$41)-O1037)/('THAM_SO_MOI'!$C$11*H1037)</f>
        <v>0.9689772237984374</v>
      </c>
      <c r="Q1037" s="75">
        <f>IF(P1037&gt;0,1/P1037,NA())</f>
        <v>1.0320160014493962</v>
      </c>
      <c r="R1037" s="75">
        <f>F1037-F1036</f>
        <v>0.0032106047296869278</v>
      </c>
      <c r="S1037" s="75">
        <f>0.5*(Q1036+Q1037)*R1037</f>
        <v>0.003313558134710171</v>
      </c>
      <c r="T1037" s="75">
        <f>0.5*(F1036*Q1036+F1037*Q1037)*R1037</f>
        <v>0.015197772646912482</v>
      </c>
      <c r="U1037" s="76">
        <f>U1036+S1037</f>
        <v>4.8210153613864835</v>
      </c>
      <c r="V1037" s="76">
        <f>V1036+T1037</f>
        <v>15.092614181586004</v>
      </c>
    </row>
    <row r="1038" spans="1:22" ht="19" customHeight="1">
      <c r="A1038" s="68" t="s">
        <v>372</v>
      </c>
      <c r="B1038" s="74">
        <v>2</v>
      </c>
      <c r="C1038" s="68" t="s">
        <v>363</v>
      </c>
      <c r="D1038" s="68" t="s">
        <v>364</v>
      </c>
      <c r="E1038" s="75">
        <f>60*F1038*'THAM_SO_MOI'!$C$50/(2*PI()*'THAM_SO_MOI'!$C$26)</f>
        <v>1841.5282724562228</v>
      </c>
      <c r="F1038" s="75">
        <f>'HANH_TRINH'!$F$826+('THAM_SO_MOI'!$F$50-'HANH_TRINH'!$F$826)*211/'THAM_SO_MOI'!$C$42</f>
        <v>4.59135771206918</v>
      </c>
      <c r="G1038" s="75">
        <f>3.6*F1038</f>
        <v>16.52888776344905</v>
      </c>
      <c r="H1038" s="75">
        <f>'THAM_SO_MOI'!$D$50</f>
        <v>1.8785906709588276</v>
      </c>
      <c r="I1038" s="75">
        <f>IF(F1038&gt;'THAM_SO_MOI'!$C$14,'THAM_SO_MOI'!$C$13*(1+F1038^2/1500),'THAM_SO_MOI'!$C$13)</f>
        <v>0.015</v>
      </c>
      <c r="J1038" s="75">
        <f>'THAM_SO_MOI'!$C$40*('THAM_SO_MOI'!$C$23*(E1038/'THAM_SO_MOI'!$C$22)+'THAM_SO_MOI'!$C$24*(E1038/'THAM_SO_MOI'!$C$22)^2-'THAM_SO_MOI'!$C$25*(E1038/'THAM_SO_MOI'!$C$22)^3)</f>
        <v>81.94368953266246</v>
      </c>
      <c r="K1038" s="75">
        <f>'THAM_SO_MOI'!$C$31*J1038/E1038</f>
        <v>425.0014793422821</v>
      </c>
      <c r="L1038" s="75">
        <f>K1038*'THAM_SO_MOI'!$C$50*'THAM_SO_MOI'!$C$17/'THAM_SO_MOI'!$C$26</f>
        <v>15173.132361260334</v>
      </c>
      <c r="M1038" s="75">
        <f>'THAM_SO_MOI'!$C$15*'THAM_SO_MOI'!$C$16*F1038^2</f>
        <v>61.66065449751813</v>
      </c>
      <c r="N1038" s="75">
        <f>'THAM_SO_MOI'!$C$12*I1038</f>
        <v>1130.112</v>
      </c>
      <c r="O1038" s="75">
        <f>M1038+N1038</f>
        <v>1191.7726544975183</v>
      </c>
      <c r="P1038" s="75">
        <f>(MIN(L1038,'THAM_SO_MOI'!$C$41)-O1038)/('THAM_SO_MOI'!$C$11*H1038)</f>
        <v>0.9690719608557596</v>
      </c>
      <c r="Q1038" s="75">
        <f>IF(P1038&gt;0,1/P1038,NA())</f>
        <v>1.031915110944835</v>
      </c>
      <c r="R1038" s="75">
        <f>F1038-F1037</f>
        <v>0.0032106047296869278</v>
      </c>
      <c r="S1038" s="75">
        <f>0.5*(Q1037+Q1038)*R1038</f>
        <v>0.00331323349560046</v>
      </c>
      <c r="T1038" s="75">
        <f>0.5*(F1037*Q1037+F1038*Q1038)*R1038</f>
        <v>0.01520692116035094</v>
      </c>
      <c r="U1038" s="76">
        <f>U1037+S1038</f>
        <v>4.8243285948820835</v>
      </c>
      <c r="V1038" s="76">
        <f>V1037+T1038</f>
        <v>15.107821102746355</v>
      </c>
    </row>
    <row r="1039" spans="1:22" ht="19" customHeight="1">
      <c r="A1039" s="68" t="s">
        <v>372</v>
      </c>
      <c r="B1039" s="74">
        <v>2</v>
      </c>
      <c r="C1039" s="68" t="s">
        <v>363</v>
      </c>
      <c r="D1039" s="68" t="s">
        <v>364</v>
      </c>
      <c r="E1039" s="75">
        <f>60*F1039*'THAM_SO_MOI'!$C$50/(2*PI()*'THAM_SO_MOI'!$C$26)</f>
        <v>1842.81600034679</v>
      </c>
      <c r="F1039" s="75">
        <f>'HANH_TRINH'!$F$826+('THAM_SO_MOI'!$F$50-'HANH_TRINH'!$F$826)*212/'THAM_SO_MOI'!$C$42</f>
        <v>4.594568316798867</v>
      </c>
      <c r="G1039" s="75">
        <f>3.6*F1039</f>
        <v>16.540445940475923</v>
      </c>
      <c r="H1039" s="75">
        <f>'THAM_SO_MOI'!$D$50</f>
        <v>1.8785906709588276</v>
      </c>
      <c r="I1039" s="75">
        <f>IF(F1039&gt;'THAM_SO_MOI'!$C$14,'THAM_SO_MOI'!$C$13*(1+F1039^2/1500),'THAM_SO_MOI'!$C$13)</f>
        <v>0.015</v>
      </c>
      <c r="J1039" s="75">
        <f>'THAM_SO_MOI'!$C$40*('THAM_SO_MOI'!$C$23*(E1039/'THAM_SO_MOI'!$C$22)+'THAM_SO_MOI'!$C$24*(E1039/'THAM_SO_MOI'!$C$22)^2-'THAM_SO_MOI'!$C$25*(E1039/'THAM_SO_MOI'!$C$22)^3)</f>
        <v>82.00881205957148</v>
      </c>
      <c r="K1039" s="75">
        <f>'THAM_SO_MOI'!$C$31*J1039/E1039</f>
        <v>425.0420180626572</v>
      </c>
      <c r="L1039" s="75">
        <f>K1039*'THAM_SO_MOI'!$C$50*'THAM_SO_MOI'!$C$17/'THAM_SO_MOI'!$C$26</f>
        <v>15174.579648857916</v>
      </c>
      <c r="M1039" s="75">
        <f>'THAM_SO_MOI'!$C$15*'THAM_SO_MOI'!$C$16*F1039^2</f>
        <v>61.74691970186603</v>
      </c>
      <c r="N1039" s="75">
        <f>'THAM_SO_MOI'!$C$12*I1039</f>
        <v>1130.112</v>
      </c>
      <c r="O1039" s="75">
        <f>M1039+N1039</f>
        <v>1191.8589197018662</v>
      </c>
      <c r="P1039" s="75">
        <f>(MIN(L1039,'THAM_SO_MOI'!$C$41)-O1039)/('THAM_SO_MOI'!$C$11*H1039)</f>
        <v>0.9691662956462983</v>
      </c>
      <c r="Q1039" s="75">
        <f>IF(P1039&gt;0,1/P1039,NA())</f>
        <v>1.0318146684343164</v>
      </c>
      <c r="R1039" s="75">
        <f>F1039-F1038</f>
        <v>0.0032106047296869278</v>
      </c>
      <c r="S1039" s="75">
        <f>0.5*(Q1038+Q1039)*R1039</f>
        <v>0.0033129102952352317</v>
      </c>
      <c r="T1039" s="75">
        <f>0.5*(F1038*Q1038+F1039*Q1039)*R1039</f>
        <v>0.015216074197313205</v>
      </c>
      <c r="U1039" s="76">
        <f>U1038+S1039</f>
        <v>4.8276415051773185</v>
      </c>
      <c r="V1039" s="76">
        <f>V1038+T1039</f>
        <v>15.123037176943669</v>
      </c>
    </row>
    <row r="1040" spans="1:22" ht="19" customHeight="1">
      <c r="A1040" s="68" t="s">
        <v>372</v>
      </c>
      <c r="B1040" s="74">
        <v>2</v>
      </c>
      <c r="C1040" s="68" t="s">
        <v>363</v>
      </c>
      <c r="D1040" s="68" t="s">
        <v>364</v>
      </c>
      <c r="E1040" s="75">
        <f>60*F1040*'THAM_SO_MOI'!$C$50/(2*PI()*'THAM_SO_MOI'!$C$26)</f>
        <v>1844.1037282373566</v>
      </c>
      <c r="F1040" s="75">
        <f>'HANH_TRINH'!$F$826+('THAM_SO_MOI'!$F$50-'HANH_TRINH'!$F$826)*213/'THAM_SO_MOI'!$C$42</f>
        <v>4.597778921528554</v>
      </c>
      <c r="G1040" s="75">
        <f>3.6*F1040</f>
        <v>16.552004117502793</v>
      </c>
      <c r="H1040" s="75">
        <f>'THAM_SO_MOI'!$D$50</f>
        <v>1.8785906709588276</v>
      </c>
      <c r="I1040" s="75">
        <f>IF(F1040&gt;'THAM_SO_MOI'!$C$14,'THAM_SO_MOI'!$C$13*(1+F1040^2/1500),'THAM_SO_MOI'!$C$13)</f>
        <v>0.015</v>
      </c>
      <c r="J1040" s="75">
        <f>'THAM_SO_MOI'!$C$40*('THAM_SO_MOI'!$C$23*(E1040/'THAM_SO_MOI'!$C$22)+'THAM_SO_MOI'!$C$24*(E1040/'THAM_SO_MOI'!$C$22)^2-'THAM_SO_MOI'!$C$25*(E1040/'THAM_SO_MOI'!$C$22)^3)</f>
        <v>82.07391445651564</v>
      </c>
      <c r="K1040" s="75">
        <f>'THAM_SO_MOI'!$C$31*J1040/E1040</f>
        <v>425.08239590869977</v>
      </c>
      <c r="L1040" s="75">
        <f>K1040*'THAM_SO_MOI'!$C$50*'THAM_SO_MOI'!$C$17/'THAM_SO_MOI'!$C$26</f>
        <v>15176.021193022456</v>
      </c>
      <c r="M1040" s="75">
        <f>'THAM_SO_MOI'!$C$15*'THAM_SO_MOI'!$C$16*F1040^2</f>
        <v>61.8332452079129</v>
      </c>
      <c r="N1040" s="75">
        <f>'THAM_SO_MOI'!$C$12*I1040</f>
        <v>1130.112</v>
      </c>
      <c r="O1040" s="75">
        <f>M1040+N1040</f>
        <v>1191.9452452079129</v>
      </c>
      <c r="P1040" s="75">
        <f>(MIN(L1040,'THAM_SO_MOI'!$C$41)-O1040)/('THAM_SO_MOI'!$C$11*H1040)</f>
        <v>0.9692602281700526</v>
      </c>
      <c r="Q1040" s="75">
        <f>IF(P1040&gt;0,1/P1040,NA())</f>
        <v>1.0317146736619778</v>
      </c>
      <c r="R1040" s="75">
        <f>F1040-F1039</f>
        <v>0.0032106047296869278</v>
      </c>
      <c r="S1040" s="75">
        <f>0.5*(Q1039+Q1040)*R1040</f>
        <v>0.0033125885327910587</v>
      </c>
      <c r="T1040" s="75">
        <f>0.5*(F1039*Q1039+F1040*Q1040)*R1040</f>
        <v>0.015225231767872388</v>
      </c>
      <c r="U1040" s="76">
        <f>U1039+S1040</f>
        <v>4.830954093710109</v>
      </c>
      <c r="V1040" s="76">
        <f>V1039+T1040</f>
        <v>15.13826240871154</v>
      </c>
    </row>
    <row r="1041" spans="1:22" ht="19" customHeight="1">
      <c r="A1041" s="68" t="s">
        <v>372</v>
      </c>
      <c r="B1041" s="74">
        <v>2</v>
      </c>
      <c r="C1041" s="68" t="s">
        <v>363</v>
      </c>
      <c r="D1041" s="68" t="s">
        <v>364</v>
      </c>
      <c r="E1041" s="75">
        <f>60*F1041*'THAM_SO_MOI'!$C$50/(2*PI()*'THAM_SO_MOI'!$C$26)</f>
        <v>1845.3914561279232</v>
      </c>
      <c r="F1041" s="75">
        <f>'HANH_TRINH'!$F$826+('THAM_SO_MOI'!$F$50-'HANH_TRINH'!$F$826)*214/'THAM_SO_MOI'!$C$42</f>
        <v>4.600989526258241</v>
      </c>
      <c r="G1041" s="75">
        <f>3.6*F1041</f>
        <v>16.563562294529667</v>
      </c>
      <c r="H1041" s="75">
        <f>'THAM_SO_MOI'!$D$50</f>
        <v>1.8785906709588276</v>
      </c>
      <c r="I1041" s="75">
        <f>IF(F1041&gt;'THAM_SO_MOI'!$C$14,'THAM_SO_MOI'!$C$13*(1+F1041^2/1500),'THAM_SO_MOI'!$C$13)</f>
        <v>0.015</v>
      </c>
      <c r="J1041" s="75">
        <f>'THAM_SO_MOI'!$C$40*('THAM_SO_MOI'!$C$23*(E1041/'THAM_SO_MOI'!$C$22)+'THAM_SO_MOI'!$C$24*(E1041/'THAM_SO_MOI'!$C$22)^2-'THAM_SO_MOI'!$C$25*(E1041/'THAM_SO_MOI'!$C$22)^3)</f>
        <v>82.13899665842531</v>
      </c>
      <c r="K1041" s="75">
        <f>'THAM_SO_MOI'!$C$31*J1041/E1041</f>
        <v>425.12261288041026</v>
      </c>
      <c r="L1041" s="75">
        <f>K1041*'THAM_SO_MOI'!$C$50*'THAM_SO_MOI'!$C$17/'THAM_SO_MOI'!$C$26</f>
        <v>15177.456993753967</v>
      </c>
      <c r="M1041" s="75">
        <f>'THAM_SO_MOI'!$C$15*'THAM_SO_MOI'!$C$16*F1041^2</f>
        <v>61.919631015658744</v>
      </c>
      <c r="N1041" s="75">
        <f>'THAM_SO_MOI'!$C$12*I1041</f>
        <v>1130.112</v>
      </c>
      <c r="O1041" s="75">
        <f>M1041+N1041</f>
        <v>1192.0316310156588</v>
      </c>
      <c r="P1041" s="75">
        <f>(MIN(L1041,'THAM_SO_MOI'!$C$41)-O1041)/('THAM_SO_MOI'!$C$11*H1041)</f>
        <v>0.9693537584270238</v>
      </c>
      <c r="Q1041" s="75">
        <f>IF(P1041&gt;0,1/P1041,NA())</f>
        <v>1.0316151263731685</v>
      </c>
      <c r="R1041" s="75">
        <f>F1041-F1040</f>
        <v>0.0032106047296869278</v>
      </c>
      <c r="S1041" s="75">
        <f>0.5*(Q1040+Q1041)*R1041</f>
        <v>0.0033122682074484115</v>
      </c>
      <c r="T1041" s="75">
        <f>0.5*(F1040*Q1040+F1041*Q1041)*R1041</f>
        <v>0.015234393882108952</v>
      </c>
      <c r="U1041" s="76">
        <f>U1040+S1041</f>
        <v>4.834266361917558</v>
      </c>
      <c r="V1041" s="76">
        <f>V1040+T1041</f>
        <v>15.153496802593649</v>
      </c>
    </row>
    <row r="1042" spans="1:22" ht="19" customHeight="1">
      <c r="A1042" s="68" t="s">
        <v>372</v>
      </c>
      <c r="B1042" s="74">
        <v>2</v>
      </c>
      <c r="C1042" s="68" t="s">
        <v>363</v>
      </c>
      <c r="D1042" s="68" t="s">
        <v>364</v>
      </c>
      <c r="E1042" s="75">
        <f>60*F1042*'THAM_SO_MOI'!$C$50/(2*PI()*'THAM_SO_MOI'!$C$26)</f>
        <v>1846.67918401849</v>
      </c>
      <c r="F1042" s="75">
        <f>'HANH_TRINH'!$F$826+('THAM_SO_MOI'!$F$50-'HANH_TRINH'!$F$826)*215/'THAM_SO_MOI'!$C$42</f>
        <v>4.604200130987927</v>
      </c>
      <c r="G1042" s="75">
        <f>3.6*F1042</f>
        <v>16.575120471556538</v>
      </c>
      <c r="H1042" s="75">
        <f>'THAM_SO_MOI'!$D$50</f>
        <v>1.8785906709588276</v>
      </c>
      <c r="I1042" s="75">
        <f>IF(F1042&gt;'THAM_SO_MOI'!$C$14,'THAM_SO_MOI'!$C$13*(1+F1042^2/1500),'THAM_SO_MOI'!$C$13)</f>
        <v>0.015</v>
      </c>
      <c r="J1042" s="75">
        <f>'THAM_SO_MOI'!$C$40*('THAM_SO_MOI'!$C$23*(E1042/'THAM_SO_MOI'!$C$22)+'THAM_SO_MOI'!$C$24*(E1042/'THAM_SO_MOI'!$C$22)^2-'THAM_SO_MOI'!$C$25*(E1042/'THAM_SO_MOI'!$C$22)^3)</f>
        <v>82.2040586002308</v>
      </c>
      <c r="K1042" s="75">
        <f>'THAM_SO_MOI'!$C$31*J1042/E1042</f>
        <v>425.1626689777885</v>
      </c>
      <c r="L1042" s="75">
        <f>K1042*'THAM_SO_MOI'!$C$50*'THAM_SO_MOI'!$C$17/'THAM_SO_MOI'!$C$26</f>
        <v>15178.88705105244</v>
      </c>
      <c r="M1042" s="75">
        <f>'THAM_SO_MOI'!$C$15*'THAM_SO_MOI'!$C$16*F1042^2</f>
        <v>62.00607712510354</v>
      </c>
      <c r="N1042" s="75">
        <f>'THAM_SO_MOI'!$C$12*I1042</f>
        <v>1130.112</v>
      </c>
      <c r="O1042" s="75">
        <f>M1042+N1042</f>
        <v>1192.1180771251036</v>
      </c>
      <c r="P1042" s="75">
        <f>(MIN(L1042,'THAM_SO_MOI'!$C$41)-O1042)/('THAM_SO_MOI'!$C$11*H1042)</f>
        <v>0.9694468864172114</v>
      </c>
      <c r="Q1042" s="75">
        <f>IF(P1042&gt;0,1/P1042,NA())</f>
        <v>1.0315160263144523</v>
      </c>
      <c r="R1042" s="75">
        <f>F1042-F1041</f>
        <v>0.0032106047296860396</v>
      </c>
      <c r="S1042" s="75">
        <f>0.5*(Q1041+Q1042)*R1042</f>
        <v>0.0033119493183907433</v>
      </c>
      <c r="T1042" s="75">
        <f>0.5*(F1041*Q1041+F1042*Q1042)*R1042</f>
        <v>0.015243560550106557</v>
      </c>
      <c r="U1042" s="76">
        <f>U1041+S1042</f>
        <v>4.837578311235949</v>
      </c>
      <c r="V1042" s="76">
        <f>V1041+T1042</f>
        <v>15.168740363143755</v>
      </c>
    </row>
    <row r="1043" spans="1:22" ht="19" customHeight="1">
      <c r="A1043" s="68" t="s">
        <v>372</v>
      </c>
      <c r="B1043" s="74">
        <v>2</v>
      </c>
      <c r="C1043" s="68" t="s">
        <v>363</v>
      </c>
      <c r="D1043" s="68" t="s">
        <v>364</v>
      </c>
      <c r="E1043" s="75">
        <f>60*F1043*'THAM_SO_MOI'!$C$50/(2*PI()*'THAM_SO_MOI'!$C$26)</f>
        <v>1847.9669119090568</v>
      </c>
      <c r="F1043" s="75">
        <f>'HANH_TRINH'!$F$826+('THAM_SO_MOI'!$F$50-'HANH_TRINH'!$F$826)*216/'THAM_SO_MOI'!$C$42</f>
        <v>4.607410735717614</v>
      </c>
      <c r="G1043" s="75">
        <f>3.6*F1043</f>
        <v>16.58667864858341</v>
      </c>
      <c r="H1043" s="75">
        <f>'THAM_SO_MOI'!$D$50</f>
        <v>1.8785906709588276</v>
      </c>
      <c r="I1043" s="75">
        <f>IF(F1043&gt;'THAM_SO_MOI'!$C$14,'THAM_SO_MOI'!$C$13*(1+F1043^2/1500),'THAM_SO_MOI'!$C$13)</f>
        <v>0.015</v>
      </c>
      <c r="J1043" s="75">
        <f>'THAM_SO_MOI'!$C$40*('THAM_SO_MOI'!$C$23*(E1043/'THAM_SO_MOI'!$C$22)+'THAM_SO_MOI'!$C$24*(E1043/'THAM_SO_MOI'!$C$22)^2-'THAM_SO_MOI'!$C$25*(E1043/'THAM_SO_MOI'!$C$22)^3)</f>
        <v>82.26910021686236</v>
      </c>
      <c r="K1043" s="75">
        <f>'THAM_SO_MOI'!$C$31*J1043/E1043</f>
        <v>425.2025642008344</v>
      </c>
      <c r="L1043" s="75">
        <f>K1043*'THAM_SO_MOI'!$C$50*'THAM_SO_MOI'!$C$17/'THAM_SO_MOI'!$C$26</f>
        <v>15180.311364917876</v>
      </c>
      <c r="M1043" s="75">
        <f>'THAM_SO_MOI'!$C$15*'THAM_SO_MOI'!$C$16*F1043^2</f>
        <v>62.09258353624733</v>
      </c>
      <c r="N1043" s="75">
        <f>'THAM_SO_MOI'!$C$12*I1043</f>
        <v>1130.112</v>
      </c>
      <c r="O1043" s="75">
        <f>M1043+N1043</f>
        <v>1192.2045835362474</v>
      </c>
      <c r="P1043" s="75">
        <f>(MIN(L1043,'THAM_SO_MOI'!$C$41)-O1043)/('THAM_SO_MOI'!$C$11*H1043)</f>
        <v>0.9695396121406152</v>
      </c>
      <c r="Q1043" s="75">
        <f>IF(P1043&gt;0,1/P1043,NA())</f>
        <v>1.0314173732336034</v>
      </c>
      <c r="R1043" s="75">
        <f>F1043-F1042</f>
        <v>0.0032106047296869278</v>
      </c>
      <c r="S1043" s="75">
        <f>0.5*(Q1042+Q1043)*R1043</f>
        <v>0.00331163186480906</v>
      </c>
      <c r="T1043" s="75">
        <f>0.5*(F1042*Q1042+F1043*Q1043)*R1043</f>
        <v>0.015252731781973172</v>
      </c>
      <c r="U1043" s="76">
        <f>U1042+S1043</f>
        <v>4.840889943100758</v>
      </c>
      <c r="V1043" s="76">
        <f>V1042+T1043</f>
        <v>15.183993094925729</v>
      </c>
    </row>
    <row r="1044" spans="1:22" ht="19" customHeight="1">
      <c r="A1044" s="68" t="s">
        <v>372</v>
      </c>
      <c r="B1044" s="74">
        <v>2</v>
      </c>
      <c r="C1044" s="68" t="s">
        <v>363</v>
      </c>
      <c r="D1044" s="68" t="s">
        <v>364</v>
      </c>
      <c r="E1044" s="75">
        <f>60*F1044*'THAM_SO_MOI'!$C$50/(2*PI()*'THAM_SO_MOI'!$C$26)</f>
        <v>1849.2546397996234</v>
      </c>
      <c r="F1044" s="75">
        <f>'HANH_TRINH'!$F$826+('THAM_SO_MOI'!$F$50-'HANH_TRINH'!$F$826)*217/'THAM_SO_MOI'!$C$42</f>
        <v>4.610621340447301</v>
      </c>
      <c r="G1044" s="75">
        <f>3.6*F1044</f>
        <v>16.598236825610282</v>
      </c>
      <c r="H1044" s="75">
        <f>'THAM_SO_MOI'!$D$50</f>
        <v>1.8785906709588276</v>
      </c>
      <c r="I1044" s="75">
        <f>IF(F1044&gt;'THAM_SO_MOI'!$C$14,'THAM_SO_MOI'!$C$13*(1+F1044^2/1500),'THAM_SO_MOI'!$C$13)</f>
        <v>0.015</v>
      </c>
      <c r="J1044" s="75">
        <f>'THAM_SO_MOI'!$C$40*('THAM_SO_MOI'!$C$23*(E1044/'THAM_SO_MOI'!$C$22)+'THAM_SO_MOI'!$C$24*(E1044/'THAM_SO_MOI'!$C$22)^2-'THAM_SO_MOI'!$C$25*(E1044/'THAM_SO_MOI'!$C$22)^3)</f>
        <v>82.33412144325037</v>
      </c>
      <c r="K1044" s="75">
        <f>'THAM_SO_MOI'!$C$31*J1044/E1044</f>
        <v>425.2422985495482</v>
      </c>
      <c r="L1044" s="75">
        <f>K1044*'THAM_SO_MOI'!$C$50*'THAM_SO_MOI'!$C$17/'THAM_SO_MOI'!$C$26</f>
        <v>15181.729935350279</v>
      </c>
      <c r="M1044" s="75">
        <f>'THAM_SO_MOI'!$C$15*'THAM_SO_MOI'!$C$16*F1044^2</f>
        <v>62.17915024909009</v>
      </c>
      <c r="N1044" s="75">
        <f>'THAM_SO_MOI'!$C$12*I1044</f>
        <v>1130.112</v>
      </c>
      <c r="O1044" s="75">
        <f>M1044+N1044</f>
        <v>1192.2911502490902</v>
      </c>
      <c r="P1044" s="75">
        <f>(MIN(L1044,'THAM_SO_MOI'!$C$41)-O1044)/('THAM_SO_MOI'!$C$11*H1044)</f>
        <v>0.9696319355972355</v>
      </c>
      <c r="Q1044" s="75">
        <f>IF(P1044&gt;0,1/P1044,NA())</f>
        <v>1.0313191668796053</v>
      </c>
      <c r="R1044" s="75">
        <f>F1044-F1043</f>
        <v>0.0032106047296869278</v>
      </c>
      <c r="S1044" s="75">
        <f>0.5*(Q1043+Q1044)*R1044</f>
        <v>0.003311315845892758</v>
      </c>
      <c r="T1044" s="75">
        <f>0.5*(F1043*Q1043+F1044*Q1044)*R1044</f>
        <v>0.015261907587798952</v>
      </c>
      <c r="U1044" s="76">
        <f>U1043+S1044</f>
        <v>4.844201258946651</v>
      </c>
      <c r="V1044" s="76">
        <f>V1043+T1044</f>
        <v>15.199255002513528</v>
      </c>
    </row>
    <row r="1045" spans="1:22" ht="19" customHeight="1">
      <c r="A1045" s="68" t="s">
        <v>372</v>
      </c>
      <c r="B1045" s="74">
        <v>2</v>
      </c>
      <c r="C1045" s="68" t="s">
        <v>363</v>
      </c>
      <c r="D1045" s="68" t="s">
        <v>364</v>
      </c>
      <c r="E1045" s="75">
        <f>60*F1045*'THAM_SO_MOI'!$C$50/(2*PI()*'THAM_SO_MOI'!$C$26)</f>
        <v>1850.54236769019</v>
      </c>
      <c r="F1045" s="75">
        <f>'HANH_TRINH'!$F$826+('THAM_SO_MOI'!$F$50-'HANH_TRINH'!$F$826)*218/'THAM_SO_MOI'!$C$42</f>
        <v>4.613831945176988</v>
      </c>
      <c r="G1045" s="75">
        <f>3.6*F1045</f>
        <v>16.609795002637156</v>
      </c>
      <c r="H1045" s="75">
        <f>'THAM_SO_MOI'!$D$50</f>
        <v>1.8785906709588276</v>
      </c>
      <c r="I1045" s="75">
        <f>IF(F1045&gt;'THAM_SO_MOI'!$C$14,'THAM_SO_MOI'!$C$13*(1+F1045^2/1500),'THAM_SO_MOI'!$C$13)</f>
        <v>0.015</v>
      </c>
      <c r="J1045" s="75">
        <f>'THAM_SO_MOI'!$C$40*('THAM_SO_MOI'!$C$23*(E1045/'THAM_SO_MOI'!$C$22)+'THAM_SO_MOI'!$C$24*(E1045/'THAM_SO_MOI'!$C$22)^2-'THAM_SO_MOI'!$C$25*(E1045/'THAM_SO_MOI'!$C$22)^3)</f>
        <v>82.39912221432506</v>
      </c>
      <c r="K1045" s="75">
        <f>'THAM_SO_MOI'!$C$31*J1045/E1045</f>
        <v>425.2818720239298</v>
      </c>
      <c r="L1045" s="75">
        <f>K1045*'THAM_SO_MOI'!$C$50*'THAM_SO_MOI'!$C$17/'THAM_SO_MOI'!$C$26</f>
        <v>15183.14276234965</v>
      </c>
      <c r="M1045" s="75">
        <f>'THAM_SO_MOI'!$C$15*'THAM_SO_MOI'!$C$16*F1045^2</f>
        <v>62.265777263631826</v>
      </c>
      <c r="N1045" s="75">
        <f>'THAM_SO_MOI'!$C$12*I1045</f>
        <v>1130.112</v>
      </c>
      <c r="O1045" s="75">
        <f>M1045+N1045</f>
        <v>1192.377777263632</v>
      </c>
      <c r="P1045" s="75">
        <f>(MIN(L1045,'THAM_SO_MOI'!$C$41)-O1045)/('THAM_SO_MOI'!$C$11*H1045)</f>
        <v>0.9697238567870725</v>
      </c>
      <c r="Q1045" s="75">
        <f>IF(P1045&gt;0,1/P1045,NA())</f>
        <v>1.0312214070026489</v>
      </c>
      <c r="R1045" s="75">
        <f>F1045-F1044</f>
        <v>0.0032106047296869278</v>
      </c>
      <c r="S1045" s="75">
        <f>0.5*(Q1044+Q1045)*R1045</f>
        <v>0.0033110012608387773</v>
      </c>
      <c r="T1045" s="75">
        <f>0.5*(F1044*Q1044+F1045*Q1045)*R1045</f>
        <v>0.015271087977698432</v>
      </c>
      <c r="U1045" s="76">
        <f>U1044+S1045</f>
        <v>4.847512260207489</v>
      </c>
      <c r="V1045" s="76">
        <f>V1044+T1045</f>
        <v>15.214526090491226</v>
      </c>
    </row>
    <row r="1046" spans="1:22" ht="19" customHeight="1">
      <c r="A1046" s="68" t="s">
        <v>372</v>
      </c>
      <c r="B1046" s="74">
        <v>2</v>
      </c>
      <c r="C1046" s="68" t="s">
        <v>363</v>
      </c>
      <c r="D1046" s="68" t="s">
        <v>364</v>
      </c>
      <c r="E1046" s="75">
        <f>60*F1046*'THAM_SO_MOI'!$C$50/(2*PI()*'THAM_SO_MOI'!$C$26)</f>
        <v>1851.8300955807567</v>
      </c>
      <c r="F1046" s="75">
        <f>'HANH_TRINH'!$F$826+('THAM_SO_MOI'!$F$50-'HANH_TRINH'!$F$826)*219/'THAM_SO_MOI'!$C$42</f>
        <v>4.6170425499066745</v>
      </c>
      <c r="G1046" s="75">
        <f>3.6*F1046</f>
        <v>16.62135317966403</v>
      </c>
      <c r="H1046" s="75">
        <f>'THAM_SO_MOI'!$D$50</f>
        <v>1.8785906709588276</v>
      </c>
      <c r="I1046" s="75">
        <f>IF(F1046&gt;'THAM_SO_MOI'!$C$14,'THAM_SO_MOI'!$C$13*(1+F1046^2/1500),'THAM_SO_MOI'!$C$13)</f>
        <v>0.015</v>
      </c>
      <c r="J1046" s="75">
        <f>'THAM_SO_MOI'!$C$40*('THAM_SO_MOI'!$C$23*(E1046/'THAM_SO_MOI'!$C$22)+'THAM_SO_MOI'!$C$24*(E1046/'THAM_SO_MOI'!$C$22)^2-'THAM_SO_MOI'!$C$25*(E1046/'THAM_SO_MOI'!$C$22)^3)</f>
        <v>82.46410246501675</v>
      </c>
      <c r="K1046" s="75">
        <f>'THAM_SO_MOI'!$C$31*J1046/E1046</f>
        <v>425.321284623979</v>
      </c>
      <c r="L1046" s="75">
        <f>K1046*'THAM_SO_MOI'!$C$50*'THAM_SO_MOI'!$C$17/'THAM_SO_MOI'!$C$26</f>
        <v>15184.549845915979</v>
      </c>
      <c r="M1046" s="75">
        <f>'THAM_SO_MOI'!$C$15*'THAM_SO_MOI'!$C$16*F1046^2</f>
        <v>62.35246457987253</v>
      </c>
      <c r="N1046" s="75">
        <f>'THAM_SO_MOI'!$C$12*I1046</f>
        <v>1130.112</v>
      </c>
      <c r="O1046" s="75">
        <f>M1046+N1046</f>
        <v>1192.4644645798726</v>
      </c>
      <c r="P1046" s="75">
        <f>(MIN(L1046,'THAM_SO_MOI'!$C$41)-O1046)/('THAM_SO_MOI'!$C$11*H1046)</f>
        <v>0.9698153757101255</v>
      </c>
      <c r="Q1046" s="75">
        <f>IF(P1046&gt;0,1/P1046,NA())</f>
        <v>1.031124093354132</v>
      </c>
      <c r="R1046" s="75">
        <f>F1046-F1045</f>
        <v>0.0032106047296869278</v>
      </c>
      <c r="S1046" s="75">
        <f>0.5*(Q1045+Q1046)*R1046</f>
        <v>0.0033106881088470165</v>
      </c>
      <c r="T1046" s="75">
        <f>0.5*(F1045*Q1045+F1046*Q1046)*R1046</f>
        <v>0.015280272961789495</v>
      </c>
      <c r="U1046" s="76">
        <f>U1045+S1046</f>
        <v>4.8508229483163365</v>
      </c>
      <c r="V1046" s="76">
        <f>V1045+T1046</f>
        <v>15.229806363453015</v>
      </c>
    </row>
    <row r="1047" spans="1:22" ht="19" customHeight="1">
      <c r="A1047" s="68" t="s">
        <v>372</v>
      </c>
      <c r="B1047" s="74">
        <v>2</v>
      </c>
      <c r="C1047" s="68" t="s">
        <v>363</v>
      </c>
      <c r="D1047" s="68" t="s">
        <v>364</v>
      </c>
      <c r="E1047" s="75">
        <f>60*F1047*'THAM_SO_MOI'!$C$50/(2*PI()*'THAM_SO_MOI'!$C$26)</f>
        <v>1853.1178234713234</v>
      </c>
      <c r="F1047" s="75">
        <f>'HANH_TRINH'!$F$826+('THAM_SO_MOI'!$F$50-'HANH_TRINH'!$F$826)*220/'THAM_SO_MOI'!$C$42</f>
        <v>4.620253154636361</v>
      </c>
      <c r="G1047" s="75">
        <f>3.6*F1047</f>
        <v>16.6329113566909</v>
      </c>
      <c r="H1047" s="75">
        <f>'THAM_SO_MOI'!$D$50</f>
        <v>1.8785906709588276</v>
      </c>
      <c r="I1047" s="75">
        <f>IF(F1047&gt;'THAM_SO_MOI'!$C$14,'THAM_SO_MOI'!$C$13*(1+F1047^2/1500),'THAM_SO_MOI'!$C$13)</f>
        <v>0.015</v>
      </c>
      <c r="J1047" s="75">
        <f>'THAM_SO_MOI'!$C$40*('THAM_SO_MOI'!$C$23*(E1047/'THAM_SO_MOI'!$C$22)+'THAM_SO_MOI'!$C$24*(E1047/'THAM_SO_MOI'!$C$22)^2-'THAM_SO_MOI'!$C$25*(E1047/'THAM_SO_MOI'!$C$22)^3)</f>
        <v>82.52906213025575</v>
      </c>
      <c r="K1047" s="75">
        <f>'THAM_SO_MOI'!$C$31*J1047/E1047</f>
        <v>425.36053634969596</v>
      </c>
      <c r="L1047" s="75">
        <f>K1047*'THAM_SO_MOI'!$C$50*'THAM_SO_MOI'!$C$17/'THAM_SO_MOI'!$C$26</f>
        <v>15185.951186049271</v>
      </c>
      <c r="M1047" s="75">
        <f>'THAM_SO_MOI'!$C$15*'THAM_SO_MOI'!$C$16*F1047^2</f>
        <v>62.4392121978122</v>
      </c>
      <c r="N1047" s="75">
        <f>'THAM_SO_MOI'!$C$12*I1047</f>
        <v>1130.112</v>
      </c>
      <c r="O1047" s="75">
        <f>M1047+N1047</f>
        <v>1192.5512121978122</v>
      </c>
      <c r="P1047" s="75">
        <f>(MIN(L1047,'THAM_SO_MOI'!$C$41)-O1047)/('THAM_SO_MOI'!$C$11*H1047)</f>
        <v>0.9699064923663948</v>
      </c>
      <c r="Q1047" s="75">
        <f>IF(P1047&gt;0,1/P1047,NA())</f>
        <v>1.0310272256866562</v>
      </c>
      <c r="R1047" s="75">
        <f>F1047-F1046</f>
        <v>0.0032106047296869278</v>
      </c>
      <c r="S1047" s="75">
        <f>0.5*(Q1046+Q1047)*R1047</f>
        <v>0.0033103763891212455</v>
      </c>
      <c r="T1047" s="75">
        <f>0.5*(F1046*Q1046+F1047*Q1047)*R1047</f>
        <v>0.015289462550197624</v>
      </c>
      <c r="U1047" s="76">
        <f>U1046+S1047</f>
        <v>4.854133324705458</v>
      </c>
      <c r="V1047" s="76">
        <f>V1046+T1047</f>
        <v>15.245095826003213</v>
      </c>
    </row>
    <row r="1048" spans="1:22" ht="19" customHeight="1">
      <c r="A1048" s="68" t="s">
        <v>372</v>
      </c>
      <c r="B1048" s="74">
        <v>2</v>
      </c>
      <c r="C1048" s="68" t="s">
        <v>363</v>
      </c>
      <c r="D1048" s="68" t="s">
        <v>364</v>
      </c>
      <c r="E1048" s="75">
        <f>60*F1048*'THAM_SO_MOI'!$C$50/(2*PI()*'THAM_SO_MOI'!$C$26)</f>
        <v>1854.40555136189</v>
      </c>
      <c r="F1048" s="75">
        <f>'HANH_TRINH'!$F$826+('THAM_SO_MOI'!$F$50-'HANH_TRINH'!$F$826)*221/'THAM_SO_MOI'!$C$42</f>
        <v>4.623463759366048</v>
      </c>
      <c r="G1048" s="75">
        <f>3.6*F1048</f>
        <v>16.644469533717775</v>
      </c>
      <c r="H1048" s="75">
        <f>'THAM_SO_MOI'!$D$50</f>
        <v>1.8785906709588276</v>
      </c>
      <c r="I1048" s="75">
        <f>IF(F1048&gt;'THAM_SO_MOI'!$C$14,'THAM_SO_MOI'!$C$13*(1+F1048^2/1500),'THAM_SO_MOI'!$C$13)</f>
        <v>0.015</v>
      </c>
      <c r="J1048" s="75">
        <f>'THAM_SO_MOI'!$C$40*('THAM_SO_MOI'!$C$23*(E1048/'THAM_SO_MOI'!$C$22)+'THAM_SO_MOI'!$C$24*(E1048/'THAM_SO_MOI'!$C$22)^2-'THAM_SO_MOI'!$C$25*(E1048/'THAM_SO_MOI'!$C$22)^3)</f>
        <v>82.59400114497238</v>
      </c>
      <c r="K1048" s="75">
        <f>'THAM_SO_MOI'!$C$31*J1048/E1048</f>
        <v>425.39962720108076</v>
      </c>
      <c r="L1048" s="75">
        <f>K1048*'THAM_SO_MOI'!$C$50*'THAM_SO_MOI'!$C$17/'THAM_SO_MOI'!$C$26</f>
        <v>15187.346782749533</v>
      </c>
      <c r="M1048" s="75">
        <f>'THAM_SO_MOI'!$C$15*'THAM_SO_MOI'!$C$16*F1048^2</f>
        <v>62.52602011745086</v>
      </c>
      <c r="N1048" s="75">
        <f>'THAM_SO_MOI'!$C$12*I1048</f>
        <v>1130.112</v>
      </c>
      <c r="O1048" s="75">
        <f>M1048+N1048</f>
        <v>1192.6380201174509</v>
      </c>
      <c r="P1048" s="75">
        <f>(MIN(L1048,'THAM_SO_MOI'!$C$41)-O1048)/('THAM_SO_MOI'!$C$11*H1048)</f>
        <v>0.9699972067558811</v>
      </c>
      <c r="Q1048" s="75">
        <f>IF(P1048&gt;0,1/P1048,NA())</f>
        <v>1.0309308037540255</v>
      </c>
      <c r="R1048" s="75">
        <f>F1048-F1047</f>
        <v>0.0032106047296869278</v>
      </c>
      <c r="S1048" s="75">
        <f>0.5*(Q1047+Q1048)*R1048</f>
        <v>0.003310066100869095</v>
      </c>
      <c r="T1048" s="75">
        <f>0.5*(F1047*Q1047+F1048*Q1048)*R1048</f>
        <v>0.015298656753055927</v>
      </c>
      <c r="U1048" s="76">
        <f>U1047+S1048</f>
        <v>4.857443390806327</v>
      </c>
      <c r="V1048" s="76">
        <f>V1047+T1048</f>
        <v>15.260394482756269</v>
      </c>
    </row>
    <row r="1049" spans="1:22" ht="19" customHeight="1">
      <c r="A1049" s="68" t="s">
        <v>372</v>
      </c>
      <c r="B1049" s="74">
        <v>2</v>
      </c>
      <c r="C1049" s="68" t="s">
        <v>363</v>
      </c>
      <c r="D1049" s="68" t="s">
        <v>364</v>
      </c>
      <c r="E1049" s="75">
        <f>60*F1049*'THAM_SO_MOI'!$C$50/(2*PI()*'THAM_SO_MOI'!$C$26)</f>
        <v>1855.6932792524565</v>
      </c>
      <c r="F1049" s="75">
        <f>'HANH_TRINH'!$F$826+('THAM_SO_MOI'!$F$50-'HANH_TRINH'!$F$826)*222/'THAM_SO_MOI'!$C$42</f>
        <v>4.626674364095734</v>
      </c>
      <c r="G1049" s="75">
        <f>3.6*F1049</f>
        <v>16.656027710744645</v>
      </c>
      <c r="H1049" s="75">
        <f>'THAM_SO_MOI'!$D$50</f>
        <v>1.8785906709588276</v>
      </c>
      <c r="I1049" s="75">
        <f>IF(F1049&gt;'THAM_SO_MOI'!$C$14,'THAM_SO_MOI'!$C$13*(1+F1049^2/1500),'THAM_SO_MOI'!$C$13)</f>
        <v>0.015</v>
      </c>
      <c r="J1049" s="75">
        <f>'THAM_SO_MOI'!$C$40*('THAM_SO_MOI'!$C$23*(E1049/'THAM_SO_MOI'!$C$22)+'THAM_SO_MOI'!$C$24*(E1049/'THAM_SO_MOI'!$C$22)^2-'THAM_SO_MOI'!$C$25*(E1049/'THAM_SO_MOI'!$C$22)^3)</f>
        <v>82.65891944409687</v>
      </c>
      <c r="K1049" s="75">
        <f>'THAM_SO_MOI'!$C$31*J1049/E1049</f>
        <v>425.4385571781331</v>
      </c>
      <c r="L1049" s="75">
        <f>K1049*'THAM_SO_MOI'!$C$50*'THAM_SO_MOI'!$C$17/'THAM_SO_MOI'!$C$26</f>
        <v>15188.736636016749</v>
      </c>
      <c r="M1049" s="75">
        <f>'THAM_SO_MOI'!$C$15*'THAM_SO_MOI'!$C$16*F1049^2</f>
        <v>62.61288833878846</v>
      </c>
      <c r="N1049" s="75">
        <f>'THAM_SO_MOI'!$C$12*I1049</f>
        <v>1130.112</v>
      </c>
      <c r="O1049" s="75">
        <f>M1049+N1049</f>
        <v>1192.7248883387886</v>
      </c>
      <c r="P1049" s="75">
        <f>(MIN(L1049,'THAM_SO_MOI'!$C$41)-O1049)/('THAM_SO_MOI'!$C$11*H1049)</f>
        <v>0.9700875188785827</v>
      </c>
      <c r="Q1049" s="75">
        <f>IF(P1049&gt;0,1/P1049,NA())</f>
        <v>1.030834827311247</v>
      </c>
      <c r="R1049" s="75">
        <f>F1049-F1048</f>
        <v>0.0032106047296860396</v>
      </c>
      <c r="S1049" s="75">
        <f>0.5*(Q1048+Q1049)*R1049</f>
        <v>0.0033097572433011427</v>
      </c>
      <c r="T1049" s="75">
        <f>0.5*(F1048*Q1048+F1049*Q1049)*R1049</f>
        <v>0.015307855580500962</v>
      </c>
      <c r="U1049" s="76">
        <f>U1048+S1049</f>
        <v>4.8607531480496275</v>
      </c>
      <c r="V1049" s="76">
        <f>V1048+T1049</f>
        <v>15.27570233833677</v>
      </c>
    </row>
    <row r="1050" spans="1:22" ht="19" customHeight="1">
      <c r="A1050" s="68" t="s">
        <v>372</v>
      </c>
      <c r="B1050" s="74">
        <v>2</v>
      </c>
      <c r="C1050" s="68" t="s">
        <v>363</v>
      </c>
      <c r="D1050" s="68" t="s">
        <v>364</v>
      </c>
      <c r="E1050" s="75">
        <f>60*F1050*'THAM_SO_MOI'!$C$50/(2*PI()*'THAM_SO_MOI'!$C$26)</f>
        <v>1856.9810071430231</v>
      </c>
      <c r="F1050" s="75">
        <f>'HANH_TRINH'!$F$826+('THAM_SO_MOI'!$F$50-'HANH_TRINH'!$F$826)*223/'THAM_SO_MOI'!$C$42</f>
        <v>4.629884968825421</v>
      </c>
      <c r="G1050" s="75">
        <f>3.6*F1050</f>
        <v>16.667585887771516</v>
      </c>
      <c r="H1050" s="75">
        <f>'THAM_SO_MOI'!$D$50</f>
        <v>1.8785906709588276</v>
      </c>
      <c r="I1050" s="75">
        <f>IF(F1050&gt;'THAM_SO_MOI'!$C$14,'THAM_SO_MOI'!$C$13*(1+F1050^2/1500),'THAM_SO_MOI'!$C$13)</f>
        <v>0.015</v>
      </c>
      <c r="J1050" s="75">
        <f>'THAM_SO_MOI'!$C$40*('THAM_SO_MOI'!$C$23*(E1050/'THAM_SO_MOI'!$C$22)+'THAM_SO_MOI'!$C$24*(E1050/'THAM_SO_MOI'!$C$22)^2-'THAM_SO_MOI'!$C$25*(E1050/'THAM_SO_MOI'!$C$22)^3)</f>
        <v>82.72381696255964</v>
      </c>
      <c r="K1050" s="75">
        <f>'THAM_SO_MOI'!$C$31*J1050/E1050</f>
        <v>425.47732628085356</v>
      </c>
      <c r="L1050" s="75">
        <f>K1050*'THAM_SO_MOI'!$C$50*'THAM_SO_MOI'!$C$17/'THAM_SO_MOI'!$C$26</f>
        <v>15190.120745850943</v>
      </c>
      <c r="M1050" s="75">
        <f>'THAM_SO_MOI'!$C$15*'THAM_SO_MOI'!$C$16*F1050^2</f>
        <v>62.69981686182505</v>
      </c>
      <c r="N1050" s="75">
        <f>'THAM_SO_MOI'!$C$12*I1050</f>
        <v>1130.112</v>
      </c>
      <c r="O1050" s="75">
        <f>M1050+N1050</f>
        <v>1192.811816861825</v>
      </c>
      <c r="P1050" s="75">
        <f>(MIN(L1050,'THAM_SO_MOI'!$C$41)-O1050)/('THAM_SO_MOI'!$C$11*H1050)</f>
        <v>0.970177428734502</v>
      </c>
      <c r="Q1050" s="75">
        <f>IF(P1050&gt;0,1/P1050,NA())</f>
        <v>1.0307392961145248</v>
      </c>
      <c r="R1050" s="75">
        <f>F1050-F1049</f>
        <v>0.0032106047296869278</v>
      </c>
      <c r="S1050" s="75">
        <f>0.5*(Q1049+Q1050)*R1050</f>
        <v>0.003309449815635483</v>
      </c>
      <c r="T1050" s="75">
        <f>0.5*(F1049*Q1049+F1050*Q1050)*R1050</f>
        <v>0.015317059042693931</v>
      </c>
      <c r="U1050" s="76">
        <f>U1049+S1050</f>
        <v>4.864062597865263</v>
      </c>
      <c r="V1050" s="76">
        <f>V1049+T1050</f>
        <v>15.291019397379463</v>
      </c>
    </row>
    <row r="1051" spans="1:22" ht="19" customHeight="1">
      <c r="A1051" s="68" t="s">
        <v>372</v>
      </c>
      <c r="B1051" s="74">
        <v>2</v>
      </c>
      <c r="C1051" s="68" t="s">
        <v>363</v>
      </c>
      <c r="D1051" s="68" t="s">
        <v>364</v>
      </c>
      <c r="E1051" s="75">
        <f>60*F1051*'THAM_SO_MOI'!$C$50/(2*PI()*'THAM_SO_MOI'!$C$26)</f>
        <v>1858.2687350335898</v>
      </c>
      <c r="F1051" s="75">
        <f>'HANH_TRINH'!$F$826+('THAM_SO_MOI'!$F$50-'HANH_TRINH'!$F$826)*224/'THAM_SO_MOI'!$C$42</f>
        <v>4.633095573555108</v>
      </c>
      <c r="G1051" s="75">
        <f>3.6*F1051</f>
        <v>16.67914406479839</v>
      </c>
      <c r="H1051" s="75">
        <f>'THAM_SO_MOI'!$D$50</f>
        <v>1.8785906709588276</v>
      </c>
      <c r="I1051" s="75">
        <f>IF(F1051&gt;'THAM_SO_MOI'!$C$14,'THAM_SO_MOI'!$C$13*(1+F1051^2/1500),'THAM_SO_MOI'!$C$13)</f>
        <v>0.015</v>
      </c>
      <c r="J1051" s="75">
        <f>'THAM_SO_MOI'!$C$40*('THAM_SO_MOI'!$C$23*(E1051/'THAM_SO_MOI'!$C$22)+'THAM_SO_MOI'!$C$24*(E1051/'THAM_SO_MOI'!$C$22)^2-'THAM_SO_MOI'!$C$25*(E1051/'THAM_SO_MOI'!$C$22)^3)</f>
        <v>82.78869363529084</v>
      </c>
      <c r="K1051" s="75">
        <f>'THAM_SO_MOI'!$C$31*J1051/E1051</f>
        <v>425.51593450924133</v>
      </c>
      <c r="L1051" s="75">
        <f>K1051*'THAM_SO_MOI'!$C$50*'THAM_SO_MOI'!$C$17/'THAM_SO_MOI'!$C$26</f>
        <v>15191.499112252088</v>
      </c>
      <c r="M1051" s="75">
        <f>'THAM_SO_MOI'!$C$15*'THAM_SO_MOI'!$C$16*F1051^2</f>
        <v>62.786805686560626</v>
      </c>
      <c r="N1051" s="75">
        <f>'THAM_SO_MOI'!$C$12*I1051</f>
        <v>1130.112</v>
      </c>
      <c r="O1051" s="75">
        <f>M1051+N1051</f>
        <v>1192.8988056865608</v>
      </c>
      <c r="P1051" s="75">
        <f>(MIN(L1051,'THAM_SO_MOI'!$C$41)-O1051)/('THAM_SO_MOI'!$C$11*H1051)</f>
        <v>0.9702669363236366</v>
      </c>
      <c r="Q1051" s="75">
        <f>IF(P1051&gt;0,1/P1051,NA())</f>
        <v>1.0306442099212643</v>
      </c>
      <c r="R1051" s="75">
        <f>F1051-F1050</f>
        <v>0.0032106047296869278</v>
      </c>
      <c r="S1051" s="75">
        <f>0.5*(Q1050+Q1051)*R1051</f>
        <v>0.003309143817088563</v>
      </c>
      <c r="T1051" s="75">
        <f>0.5*(F1050*Q1050+F1051*Q1051)*R1051</f>
        <v>0.015326267149778389</v>
      </c>
      <c r="U1051" s="76">
        <f>U1050+S1051</f>
        <v>4.867371741682351</v>
      </c>
      <c r="V1051" s="76">
        <f>V1050+T1051</f>
        <v>15.30634566452924</v>
      </c>
    </row>
    <row r="1052" spans="1:22" ht="19" customHeight="1">
      <c r="A1052" s="68" t="s">
        <v>372</v>
      </c>
      <c r="B1052" s="74">
        <v>2</v>
      </c>
      <c r="C1052" s="68" t="s">
        <v>363</v>
      </c>
      <c r="D1052" s="68" t="s">
        <v>364</v>
      </c>
      <c r="E1052" s="75">
        <f>60*F1052*'THAM_SO_MOI'!$C$50/(2*PI()*'THAM_SO_MOI'!$C$26)</f>
        <v>1859.5564629241564</v>
      </c>
      <c r="F1052" s="75">
        <f>'HANH_TRINH'!$F$826+('THAM_SO_MOI'!$F$50-'HANH_TRINH'!$F$826)*225/'THAM_SO_MOI'!$C$42</f>
        <v>4.636306178284795</v>
      </c>
      <c r="G1052" s="75">
        <f>3.6*F1052</f>
        <v>16.690702241825264</v>
      </c>
      <c r="H1052" s="75">
        <f>'THAM_SO_MOI'!$D$50</f>
        <v>1.8785906709588276</v>
      </c>
      <c r="I1052" s="75">
        <f>IF(F1052&gt;'THAM_SO_MOI'!$C$14,'THAM_SO_MOI'!$C$13*(1+F1052^2/1500),'THAM_SO_MOI'!$C$13)</f>
        <v>0.015</v>
      </c>
      <c r="J1052" s="75">
        <f>'THAM_SO_MOI'!$C$40*('THAM_SO_MOI'!$C$23*(E1052/'THAM_SO_MOI'!$C$22)+'THAM_SO_MOI'!$C$24*(E1052/'THAM_SO_MOI'!$C$22)^2-'THAM_SO_MOI'!$C$25*(E1052/'THAM_SO_MOI'!$C$22)^3)</f>
        <v>82.85354939722092</v>
      </c>
      <c r="K1052" s="75">
        <f>'THAM_SO_MOI'!$C$31*J1052/E1052</f>
        <v>425.5543818632971</v>
      </c>
      <c r="L1052" s="75">
        <f>K1052*'THAM_SO_MOI'!$C$50*'THAM_SO_MOI'!$C$17/'THAM_SO_MOI'!$C$26</f>
        <v>15192.871735220202</v>
      </c>
      <c r="M1052" s="75">
        <f>'THAM_SO_MOI'!$C$15*'THAM_SO_MOI'!$C$16*F1052^2</f>
        <v>62.87385481299516</v>
      </c>
      <c r="N1052" s="75">
        <f>'THAM_SO_MOI'!$C$12*I1052</f>
        <v>1130.112</v>
      </c>
      <c r="O1052" s="75">
        <f>M1052+N1052</f>
        <v>1192.9858548129953</v>
      </c>
      <c r="P1052" s="75">
        <f>(MIN(L1052,'THAM_SO_MOI'!$C$41)-O1052)/('THAM_SO_MOI'!$C$11*H1052)</f>
        <v>0.970356041645988</v>
      </c>
      <c r="Q1052" s="75">
        <f>IF(P1052&gt;0,1/P1052,NA())</f>
        <v>1.0305495684900645</v>
      </c>
      <c r="R1052" s="75">
        <f>F1052-F1051</f>
        <v>0.0032106047296869278</v>
      </c>
      <c r="S1052" s="75">
        <f>0.5*(Q1051+Q1052)*R1052</f>
        <v>0.0033088392468843403</v>
      </c>
      <c r="T1052" s="75">
        <f>0.5*(F1051*Q1051+F1052*Q1052)*R1052</f>
        <v>0.015335479911922611</v>
      </c>
      <c r="U1052" s="76">
        <f>U1051+S1052</f>
        <v>4.8706805809292355</v>
      </c>
      <c r="V1052" s="76">
        <f>V1051+T1052</f>
        <v>15.321681144441163</v>
      </c>
    </row>
    <row r="1053" spans="1:22" ht="19" customHeight="1">
      <c r="A1053" s="68" t="s">
        <v>372</v>
      </c>
      <c r="B1053" s="74">
        <v>2</v>
      </c>
      <c r="C1053" s="68" t="s">
        <v>363</v>
      </c>
      <c r="D1053" s="68" t="s">
        <v>364</v>
      </c>
      <c r="E1053" s="75">
        <f>60*F1053*'THAM_SO_MOI'!$C$50/(2*PI()*'THAM_SO_MOI'!$C$26)</f>
        <v>1860.8441908147233</v>
      </c>
      <c r="F1053" s="75">
        <f>'HANH_TRINH'!$F$826+('THAM_SO_MOI'!$F$50-'HANH_TRINH'!$F$826)*226/'THAM_SO_MOI'!$C$42</f>
        <v>4.639516783014482</v>
      </c>
      <c r="G1053" s="75">
        <f>3.6*F1053</f>
        <v>16.702260418852138</v>
      </c>
      <c r="H1053" s="75">
        <f>'THAM_SO_MOI'!$D$50</f>
        <v>1.8785906709588276</v>
      </c>
      <c r="I1053" s="75">
        <f>IF(F1053&gt;'THAM_SO_MOI'!$C$14,'THAM_SO_MOI'!$C$13*(1+F1053^2/1500),'THAM_SO_MOI'!$C$13)</f>
        <v>0.015</v>
      </c>
      <c r="J1053" s="75">
        <f>'THAM_SO_MOI'!$C$40*('THAM_SO_MOI'!$C$23*(E1053/'THAM_SO_MOI'!$C$22)+'THAM_SO_MOI'!$C$24*(E1053/'THAM_SO_MOI'!$C$22)^2-'THAM_SO_MOI'!$C$25*(E1053/'THAM_SO_MOI'!$C$22)^3)</f>
        <v>82.91838418328011</v>
      </c>
      <c r="K1053" s="75">
        <f>'THAM_SO_MOI'!$C$31*J1053/E1053</f>
        <v>425.59266834302065</v>
      </c>
      <c r="L1053" s="75">
        <f>K1053*'THAM_SO_MOI'!$C$50*'THAM_SO_MOI'!$C$17/'THAM_SO_MOI'!$C$26</f>
        <v>15194.238614755284</v>
      </c>
      <c r="M1053" s="75">
        <f>'THAM_SO_MOI'!$C$15*'THAM_SO_MOI'!$C$16*F1053^2</f>
        <v>62.96096424112868</v>
      </c>
      <c r="N1053" s="75">
        <f>'THAM_SO_MOI'!$C$12*I1053</f>
        <v>1130.112</v>
      </c>
      <c r="O1053" s="75">
        <f>M1053+N1053</f>
        <v>1193.0729642411288</v>
      </c>
      <c r="P1053" s="75">
        <f>(MIN(L1053,'THAM_SO_MOI'!$C$41)-O1053)/('THAM_SO_MOI'!$C$11*H1053)</f>
        <v>0.9704447447015558</v>
      </c>
      <c r="Q1053" s="75">
        <f>IF(P1053&gt;0,1/P1053,NA())</f>
        <v>1.0304553715807214</v>
      </c>
      <c r="R1053" s="75">
        <f>F1053-F1052</f>
        <v>0.0032106047296869278</v>
      </c>
      <c r="S1053" s="75">
        <f>0.5*(Q1052+Q1053)*R1053</f>
        <v>0.0033085361042496948</v>
      </c>
      <c r="T1053" s="75">
        <f>0.5*(F1052*Q1052+F1053*Q1053)*R1053</f>
        <v>0.015344697339298457</v>
      </c>
      <c r="U1053" s="76">
        <f>U1052+S1053</f>
        <v>4.873989117033485</v>
      </c>
      <c r="V1053" s="76">
        <f>V1052+T1053</f>
        <v>15.337025841780461</v>
      </c>
    </row>
    <row r="1054" spans="1:22" ht="19" customHeight="1">
      <c r="A1054" s="68" t="s">
        <v>372</v>
      </c>
      <c r="B1054" s="74">
        <v>2</v>
      </c>
      <c r="C1054" s="68" t="s">
        <v>363</v>
      </c>
      <c r="D1054" s="68" t="s">
        <v>364</v>
      </c>
      <c r="E1054" s="75">
        <f>60*F1054*'THAM_SO_MOI'!$C$50/(2*PI()*'THAM_SO_MOI'!$C$26)</f>
        <v>1862.13191870529</v>
      </c>
      <c r="F1054" s="75">
        <f>'HANH_TRINH'!$F$826+('THAM_SO_MOI'!$F$50-'HANH_TRINH'!$F$826)*227/'THAM_SO_MOI'!$C$42</f>
        <v>4.642727387744169</v>
      </c>
      <c r="G1054" s="75">
        <f>3.6*F1054</f>
        <v>16.713818595879008</v>
      </c>
      <c r="H1054" s="75">
        <f>'THAM_SO_MOI'!$D$50</f>
        <v>1.8785906709588276</v>
      </c>
      <c r="I1054" s="75">
        <f>IF(F1054&gt;'THAM_SO_MOI'!$C$14,'THAM_SO_MOI'!$C$13*(1+F1054^2/1500),'THAM_SO_MOI'!$C$13)</f>
        <v>0.015</v>
      </c>
      <c r="J1054" s="75">
        <f>'THAM_SO_MOI'!$C$40*('THAM_SO_MOI'!$C$23*(E1054/'THAM_SO_MOI'!$C$22)+'THAM_SO_MOI'!$C$24*(E1054/'THAM_SO_MOI'!$C$22)^2-'THAM_SO_MOI'!$C$25*(E1054/'THAM_SO_MOI'!$C$22)^3)</f>
        <v>82.98319792839871</v>
      </c>
      <c r="K1054" s="75">
        <f>'THAM_SO_MOI'!$C$31*J1054/E1054</f>
        <v>425.6307939484119</v>
      </c>
      <c r="L1054" s="75">
        <f>K1054*'THAM_SO_MOI'!$C$50*'THAM_SO_MOI'!$C$17/'THAM_SO_MOI'!$C$26</f>
        <v>15195.599750857327</v>
      </c>
      <c r="M1054" s="75">
        <f>'THAM_SO_MOI'!$C$15*'THAM_SO_MOI'!$C$16*F1054^2</f>
        <v>63.04813397096116</v>
      </c>
      <c r="N1054" s="75">
        <f>'THAM_SO_MOI'!$C$12*I1054</f>
        <v>1130.112</v>
      </c>
      <c r="O1054" s="75">
        <f>M1054+N1054</f>
        <v>1193.1601339709612</v>
      </c>
      <c r="P1054" s="75">
        <f>(MIN(L1054,'THAM_SO_MOI'!$C$41)-O1054)/('THAM_SO_MOI'!$C$11*H1054)</f>
        <v>0.9705330454903403</v>
      </c>
      <c r="Q1054" s="75">
        <f>IF(P1054&gt;0,1/P1054,NA())</f>
        <v>1.0303616189542235</v>
      </c>
      <c r="R1054" s="75">
        <f>F1054-F1053</f>
        <v>0.0032106047296869278</v>
      </c>
      <c r="S1054" s="75">
        <f>0.5*(Q1053+Q1054)*R1054</f>
        <v>0.003308234388415337</v>
      </c>
      <c r="T1054" s="75">
        <f>0.5*(F1053*Q1053+F1054*Q1054)*R1054</f>
        <v>0.015353919442085676</v>
      </c>
      <c r="U1054" s="76">
        <f>U1053+S1054</f>
        <v>4.8772973514219</v>
      </c>
      <c r="V1054" s="76">
        <f>V1053+T1054</f>
        <v>15.352379761222547</v>
      </c>
    </row>
    <row r="1055" spans="1:22" ht="19" customHeight="1">
      <c r="A1055" s="68" t="s">
        <v>372</v>
      </c>
      <c r="B1055" s="74">
        <v>2</v>
      </c>
      <c r="C1055" s="68" t="s">
        <v>363</v>
      </c>
      <c r="D1055" s="68" t="s">
        <v>364</v>
      </c>
      <c r="E1055" s="75">
        <f>60*F1055*'THAM_SO_MOI'!$C$50/(2*PI()*'THAM_SO_MOI'!$C$26)</f>
        <v>1863.4196465958566</v>
      </c>
      <c r="F1055" s="75">
        <f>'HANH_TRINH'!$F$826+('THAM_SO_MOI'!$F$50-'HANH_TRINH'!$F$826)*228/'THAM_SO_MOI'!$C$42</f>
        <v>4.645937992473856</v>
      </c>
      <c r="G1055" s="75">
        <f>3.6*F1055</f>
        <v>16.725376772905882</v>
      </c>
      <c r="H1055" s="75">
        <f>'THAM_SO_MOI'!$D$50</f>
        <v>1.8785906709588276</v>
      </c>
      <c r="I1055" s="75">
        <f>IF(F1055&gt;'THAM_SO_MOI'!$C$14,'THAM_SO_MOI'!$C$13*(1+F1055^2/1500),'THAM_SO_MOI'!$C$13)</f>
        <v>0.015</v>
      </c>
      <c r="J1055" s="75">
        <f>'THAM_SO_MOI'!$C$40*('THAM_SO_MOI'!$C$23*(E1055/'THAM_SO_MOI'!$C$22)+'THAM_SO_MOI'!$C$24*(E1055/'THAM_SO_MOI'!$C$22)^2-'THAM_SO_MOI'!$C$25*(E1055/'THAM_SO_MOI'!$C$22)^3)</f>
        <v>83.04799056750703</v>
      </c>
      <c r="K1055" s="75">
        <f>'THAM_SO_MOI'!$C$31*J1055/E1055</f>
        <v>425.6687586794709</v>
      </c>
      <c r="L1055" s="75">
        <f>K1055*'THAM_SO_MOI'!$C$50*'THAM_SO_MOI'!$C$17/'THAM_SO_MOI'!$C$26</f>
        <v>15196.955143526337</v>
      </c>
      <c r="M1055" s="75">
        <f>'THAM_SO_MOI'!$C$15*'THAM_SO_MOI'!$C$16*F1055^2</f>
        <v>63.135364002492615</v>
      </c>
      <c r="N1055" s="75">
        <f>'THAM_SO_MOI'!$C$12*I1055</f>
        <v>1130.112</v>
      </c>
      <c r="O1055" s="75">
        <f>M1055+N1055</f>
        <v>1193.2473640024928</v>
      </c>
      <c r="P1055" s="75">
        <f>(MIN(L1055,'THAM_SO_MOI'!$C$41)-O1055)/('THAM_SO_MOI'!$C$11*H1055)</f>
        <v>0.9706209440123408</v>
      </c>
      <c r="Q1055" s="75">
        <f>IF(P1055&gt;0,1/P1055,NA())</f>
        <v>1.0302683103727521</v>
      </c>
      <c r="R1055" s="75">
        <f>F1055-F1054</f>
        <v>0.0032106047296869278</v>
      </c>
      <c r="S1055" s="75">
        <f>0.5*(Q1054+Q1055)*R1055</f>
        <v>0.003307934098615814</v>
      </c>
      <c r="T1055" s="75">
        <f>0.5*(F1054*Q1054+F1055*Q1055)*R1055</f>
        <v>0.015363146230471905</v>
      </c>
      <c r="U1055" s="76">
        <f>U1054+S1055</f>
        <v>4.880605285520516</v>
      </c>
      <c r="V1055" s="76">
        <f>V1054+T1055</f>
        <v>15.36774290745302</v>
      </c>
    </row>
    <row r="1056" spans="1:22" ht="19" customHeight="1">
      <c r="A1056" s="68" t="s">
        <v>372</v>
      </c>
      <c r="B1056" s="74">
        <v>2</v>
      </c>
      <c r="C1056" s="68" t="s">
        <v>363</v>
      </c>
      <c r="D1056" s="68" t="s">
        <v>364</v>
      </c>
      <c r="E1056" s="75">
        <f>60*F1056*'THAM_SO_MOI'!$C$50/(2*PI()*'THAM_SO_MOI'!$C$26)</f>
        <v>1864.7073744864229</v>
      </c>
      <c r="F1056" s="75">
        <f>'HANH_TRINH'!$F$826+('THAM_SO_MOI'!$F$50-'HANH_TRINH'!$F$826)*229/'THAM_SO_MOI'!$C$42</f>
        <v>4.649148597203542</v>
      </c>
      <c r="G1056" s="75">
        <f>3.6*F1056</f>
        <v>16.736934949932753</v>
      </c>
      <c r="H1056" s="75">
        <f>'THAM_SO_MOI'!$D$50</f>
        <v>1.8785906709588276</v>
      </c>
      <c r="I1056" s="75">
        <f>IF(F1056&gt;'THAM_SO_MOI'!$C$14,'THAM_SO_MOI'!$C$13*(1+F1056^2/1500),'THAM_SO_MOI'!$C$13)</f>
        <v>0.015</v>
      </c>
      <c r="J1056" s="75">
        <f>'THAM_SO_MOI'!$C$40*('THAM_SO_MOI'!$C$23*(E1056/'THAM_SO_MOI'!$C$22)+'THAM_SO_MOI'!$C$24*(E1056/'THAM_SO_MOI'!$C$22)^2-'THAM_SO_MOI'!$C$25*(E1056/'THAM_SO_MOI'!$C$22)^3)</f>
        <v>83.11276203553533</v>
      </c>
      <c r="K1056" s="75">
        <f>'THAM_SO_MOI'!$C$31*J1056/E1056</f>
        <v>425.70656253619757</v>
      </c>
      <c r="L1056" s="75">
        <f>K1056*'THAM_SO_MOI'!$C$50*'THAM_SO_MOI'!$C$17/'THAM_SO_MOI'!$C$26</f>
        <v>15198.304792762303</v>
      </c>
      <c r="M1056" s="75">
        <f>'THAM_SO_MOI'!$C$15*'THAM_SO_MOI'!$C$16*F1056^2</f>
        <v>63.22265433572302</v>
      </c>
      <c r="N1056" s="75">
        <f>'THAM_SO_MOI'!$C$12*I1056</f>
        <v>1130.112</v>
      </c>
      <c r="O1056" s="75">
        <f>M1056+N1056</f>
        <v>1193.3346543357231</v>
      </c>
      <c r="P1056" s="75">
        <f>(MIN(L1056,'THAM_SO_MOI'!$C$41)-O1056)/('THAM_SO_MOI'!$C$11*H1056)</f>
        <v>0.9707084402675573</v>
      </c>
      <c r="Q1056" s="75">
        <f>IF(P1056&gt;0,1/P1056,NA())</f>
        <v>1.0301754455996788</v>
      </c>
      <c r="R1056" s="75">
        <f>F1056-F1055</f>
        <v>0.0032106047296860396</v>
      </c>
      <c r="S1056" s="75">
        <f>0.5*(Q1055+Q1056)*R1056</f>
        <v>0.003307635234088577</v>
      </c>
      <c r="T1056" s="75">
        <f>0.5*(F1055*Q1055+F1056*Q1056)*R1056</f>
        <v>0.015372377714648479</v>
      </c>
      <c r="U1056" s="76">
        <f>U1055+S1056</f>
        <v>4.883912920754605</v>
      </c>
      <c r="V1056" s="76">
        <f>V1055+T1056</f>
        <v>15.383115285167667</v>
      </c>
    </row>
    <row r="1057" spans="1:22" ht="19" customHeight="1">
      <c r="A1057" s="68" t="s">
        <v>372</v>
      </c>
      <c r="B1057" s="74">
        <v>2</v>
      </c>
      <c r="C1057" s="68" t="s">
        <v>363</v>
      </c>
      <c r="D1057" s="68" t="s">
        <v>364</v>
      </c>
      <c r="E1057" s="75">
        <f>60*F1057*'THAM_SO_MOI'!$C$50/(2*PI()*'THAM_SO_MOI'!$C$26)</f>
        <v>1865.99510237699</v>
      </c>
      <c r="F1057" s="75">
        <f>'HANH_TRINH'!$F$826+('THAM_SO_MOI'!$F$50-'HANH_TRINH'!$F$826)*230/'THAM_SO_MOI'!$C$42</f>
        <v>4.652359201933229</v>
      </c>
      <c r="G1057" s="75">
        <f>3.6*F1057</f>
        <v>16.748493126959623</v>
      </c>
      <c r="H1057" s="75">
        <f>'THAM_SO_MOI'!$D$50</f>
        <v>1.8785906709588276</v>
      </c>
      <c r="I1057" s="75">
        <f>IF(F1057&gt;'THAM_SO_MOI'!$C$14,'THAM_SO_MOI'!$C$13*(1+F1057^2/1500),'THAM_SO_MOI'!$C$13)</f>
        <v>0.015</v>
      </c>
      <c r="J1057" s="75">
        <f>'THAM_SO_MOI'!$C$40*('THAM_SO_MOI'!$C$23*(E1057/'THAM_SO_MOI'!$C$22)+'THAM_SO_MOI'!$C$24*(E1057/'THAM_SO_MOI'!$C$22)^2-'THAM_SO_MOI'!$C$25*(E1057/'THAM_SO_MOI'!$C$22)^3)</f>
        <v>83.17751226741402</v>
      </c>
      <c r="K1057" s="75">
        <f>'THAM_SO_MOI'!$C$31*J1057/E1057</f>
        <v>425.7442055185922</v>
      </c>
      <c r="L1057" s="75">
        <f>K1057*'THAM_SO_MOI'!$C$50*'THAM_SO_MOI'!$C$17/'THAM_SO_MOI'!$C$26</f>
        <v>15199.648698565245</v>
      </c>
      <c r="M1057" s="75">
        <f>'THAM_SO_MOI'!$C$15*'THAM_SO_MOI'!$C$16*F1057^2</f>
        <v>63.31000497065242</v>
      </c>
      <c r="N1057" s="75">
        <f>'THAM_SO_MOI'!$C$12*I1057</f>
        <v>1130.112</v>
      </c>
      <c r="O1057" s="75">
        <f>M1057+N1057</f>
        <v>1193.4220049706526</v>
      </c>
      <c r="P1057" s="75">
        <f>(MIN(L1057,'THAM_SO_MOI'!$C$41)-O1057)/('THAM_SO_MOI'!$C$11*H1057)</f>
        <v>0.9707955342559912</v>
      </c>
      <c r="Q1057" s="75">
        <f>IF(P1057&gt;0,1/P1057,NA())</f>
        <v>1.030083024399562</v>
      </c>
      <c r="R1057" s="75">
        <f>F1057-F1056</f>
        <v>0.0032106047296869278</v>
      </c>
      <c r="S1057" s="75">
        <f>0.5*(Q1056+Q1057)*R1057</f>
        <v>0.0033073377940785577</v>
      </c>
      <c r="T1057" s="75">
        <f>0.5*(F1056*Q1056+F1057*Q1057)*R1057</f>
        <v>0.015381613904831722</v>
      </c>
      <c r="U1057" s="76">
        <f>U1056+S1057</f>
        <v>4.887220258548683</v>
      </c>
      <c r="V1057" s="76">
        <f>V1056+T1057</f>
        <v>15.3984968990725</v>
      </c>
    </row>
    <row r="1058" spans="1:22" ht="19" customHeight="1">
      <c r="A1058" s="68" t="s">
        <v>372</v>
      </c>
      <c r="B1058" s="74">
        <v>2</v>
      </c>
      <c r="C1058" s="68" t="s">
        <v>363</v>
      </c>
      <c r="D1058" s="68" t="s">
        <v>364</v>
      </c>
      <c r="E1058" s="75">
        <f>60*F1058*'THAM_SO_MOI'!$C$50/(2*PI()*'THAM_SO_MOI'!$C$26)</f>
        <v>1867.2828302675566</v>
      </c>
      <c r="F1058" s="75">
        <f>'HANH_TRINH'!$F$826+('THAM_SO_MOI'!$F$50-'HANH_TRINH'!$F$826)*231/'THAM_SO_MOI'!$C$42</f>
        <v>4.655569806662916</v>
      </c>
      <c r="G1058" s="75">
        <f>3.6*F1058</f>
        <v>16.760051303986497</v>
      </c>
      <c r="H1058" s="75">
        <f>'THAM_SO_MOI'!$D$50</f>
        <v>1.8785906709588276</v>
      </c>
      <c r="I1058" s="75">
        <f>IF(F1058&gt;'THAM_SO_MOI'!$C$14,'THAM_SO_MOI'!$C$13*(1+F1058^2/1500),'THAM_SO_MOI'!$C$13)</f>
        <v>0.015</v>
      </c>
      <c r="J1058" s="75">
        <f>'THAM_SO_MOI'!$C$40*('THAM_SO_MOI'!$C$23*(E1058/'THAM_SO_MOI'!$C$22)+'THAM_SO_MOI'!$C$24*(E1058/'THAM_SO_MOI'!$C$22)^2-'THAM_SO_MOI'!$C$25*(E1058/'THAM_SO_MOI'!$C$22)^3)</f>
        <v>83.24224119807329</v>
      </c>
      <c r="K1058" s="75">
        <f>'THAM_SO_MOI'!$C$31*J1058/E1058</f>
        <v>425.7816876266544</v>
      </c>
      <c r="L1058" s="75">
        <f>K1058*'THAM_SO_MOI'!$C$50*'THAM_SO_MOI'!$C$17/'THAM_SO_MOI'!$C$26</f>
        <v>15200.986860935143</v>
      </c>
      <c r="M1058" s="75">
        <f>'THAM_SO_MOI'!$C$15*'THAM_SO_MOI'!$C$16*F1058^2</f>
        <v>63.39741590728079</v>
      </c>
      <c r="N1058" s="75">
        <f>'THAM_SO_MOI'!$C$12*I1058</f>
        <v>1130.112</v>
      </c>
      <c r="O1058" s="75">
        <f>M1058+N1058</f>
        <v>1193.509415907281</v>
      </c>
      <c r="P1058" s="75">
        <f>(MIN(L1058,'THAM_SO_MOI'!$C$41)-O1058)/('THAM_SO_MOI'!$C$11*H1058)</f>
        <v>0.970882225977641</v>
      </c>
      <c r="Q1058" s="75">
        <f>IF(P1058&gt;0,1/P1058,NA())</f>
        <v>1.029991046538151</v>
      </c>
      <c r="R1058" s="75">
        <f>F1058-F1057</f>
        <v>0.0032106047296869278</v>
      </c>
      <c r="S1058" s="75">
        <f>0.5*(Q1057+Q1058)*R1058</f>
        <v>0.0033070417778290123</v>
      </c>
      <c r="T1058" s="75">
        <f>0.5*(F1057*Q1057+F1058*Q1058)*R1058</f>
        <v>0.015390854811220465</v>
      </c>
      <c r="U1058" s="76">
        <f>U1057+S1058</f>
        <v>4.890527300326512</v>
      </c>
      <c r="V1058" s="76">
        <f>V1057+T1058</f>
        <v>15.41388775388372</v>
      </c>
    </row>
    <row r="1059" spans="1:22" ht="19" customHeight="1">
      <c r="A1059" s="68" t="s">
        <v>372</v>
      </c>
      <c r="B1059" s="74">
        <v>2</v>
      </c>
      <c r="C1059" s="68" t="s">
        <v>363</v>
      </c>
      <c r="D1059" s="68" t="s">
        <v>364</v>
      </c>
      <c r="E1059" s="75">
        <f>60*F1059*'THAM_SO_MOI'!$C$50/(2*PI()*'THAM_SO_MOI'!$C$26)</f>
        <v>1868.5705581581237</v>
      </c>
      <c r="F1059" s="75">
        <f>'HANH_TRINH'!$F$826+('THAM_SO_MOI'!$F$50-'HANH_TRINH'!$F$826)*232/'THAM_SO_MOI'!$C$42</f>
        <v>4.658780411392603</v>
      </c>
      <c r="G1059" s="75">
        <f>3.6*F1059</f>
        <v>16.77160948101337</v>
      </c>
      <c r="H1059" s="75">
        <f>'THAM_SO_MOI'!$D$50</f>
        <v>1.8785906709588276</v>
      </c>
      <c r="I1059" s="75">
        <f>IF(F1059&gt;'THAM_SO_MOI'!$C$14,'THAM_SO_MOI'!$C$13*(1+F1059^2/1500),'THAM_SO_MOI'!$C$13)</f>
        <v>0.015</v>
      </c>
      <c r="J1059" s="75">
        <f>'THAM_SO_MOI'!$C$40*('THAM_SO_MOI'!$C$23*(E1059/'THAM_SO_MOI'!$C$22)+'THAM_SO_MOI'!$C$24*(E1059/'THAM_SO_MOI'!$C$22)^2-'THAM_SO_MOI'!$C$25*(E1059/'THAM_SO_MOI'!$C$22)^3)</f>
        <v>83.30694876244351</v>
      </c>
      <c r="K1059" s="75">
        <f>'THAM_SO_MOI'!$C$31*J1059/E1059</f>
        <v>425.81900886038443</v>
      </c>
      <c r="L1059" s="75">
        <f>K1059*'THAM_SO_MOI'!$C$50*'THAM_SO_MOI'!$C$17/'THAM_SO_MOI'!$C$26</f>
        <v>15202.319279872007</v>
      </c>
      <c r="M1059" s="75">
        <f>'THAM_SO_MOI'!$C$15*'THAM_SO_MOI'!$C$16*F1059^2</f>
        <v>63.484887145608134</v>
      </c>
      <c r="N1059" s="75">
        <f>'THAM_SO_MOI'!$C$12*I1059</f>
        <v>1130.112</v>
      </c>
      <c r="O1059" s="75">
        <f>M1059+N1059</f>
        <v>1193.5968871456082</v>
      </c>
      <c r="P1059" s="75">
        <f>(MIN(L1059,'THAM_SO_MOI'!$C$41)-O1059)/('THAM_SO_MOI'!$C$11*H1059)</f>
        <v>0.970968515432507</v>
      </c>
      <c r="Q1059" s="75">
        <f>IF(P1059&gt;0,1/P1059,NA())</f>
        <v>1.0298995117823788</v>
      </c>
      <c r="R1059" s="75">
        <f>F1059-F1058</f>
        <v>0.0032106047296869278</v>
      </c>
      <c r="S1059" s="75">
        <f>0.5*(Q1058+Q1059)*R1059</f>
        <v>0.003306747184590669</v>
      </c>
      <c r="T1059" s="75">
        <f>0.5*(F1058*Q1058+F1059*Q1059)*R1059</f>
        <v>0.015400100444038618</v>
      </c>
      <c r="U1059" s="76">
        <f>U1058+S1059</f>
        <v>4.893834047511103</v>
      </c>
      <c r="V1059" s="76">
        <f>V1058+T1059</f>
        <v>15.42928785432776</v>
      </c>
    </row>
    <row r="1060" spans="1:22" ht="19" customHeight="1">
      <c r="A1060" s="68" t="s">
        <v>372</v>
      </c>
      <c r="B1060" s="74">
        <v>2</v>
      </c>
      <c r="C1060" s="68" t="s">
        <v>363</v>
      </c>
      <c r="D1060" s="68" t="s">
        <v>364</v>
      </c>
      <c r="E1060" s="75">
        <f>60*F1060*'THAM_SO_MOI'!$C$50/(2*PI()*'THAM_SO_MOI'!$C$26)</f>
        <v>1869.8582860486904</v>
      </c>
      <c r="F1060" s="75">
        <f>'HANH_TRINH'!$F$826+('THAM_SO_MOI'!$F$50-'HANH_TRINH'!$F$826)*233/'THAM_SO_MOI'!$C$42</f>
        <v>4.66199101612229</v>
      </c>
      <c r="G1060" s="75">
        <f>3.6*F1060</f>
        <v>16.783167658040245</v>
      </c>
      <c r="H1060" s="75">
        <f>'THAM_SO_MOI'!$D$50</f>
        <v>1.8785906709588276</v>
      </c>
      <c r="I1060" s="75">
        <f>IF(F1060&gt;'THAM_SO_MOI'!$C$14,'THAM_SO_MOI'!$C$13*(1+F1060^2/1500),'THAM_SO_MOI'!$C$13)</f>
        <v>0.015</v>
      </c>
      <c r="J1060" s="75">
        <f>'THAM_SO_MOI'!$C$40*('THAM_SO_MOI'!$C$23*(E1060/'THAM_SO_MOI'!$C$22)+'THAM_SO_MOI'!$C$24*(E1060/'THAM_SO_MOI'!$C$22)^2-'THAM_SO_MOI'!$C$25*(E1060/'THAM_SO_MOI'!$C$22)^3)</f>
        <v>83.37163489545493</v>
      </c>
      <c r="K1060" s="75">
        <f>'THAM_SO_MOI'!$C$31*J1060/E1060</f>
        <v>425.85616921978215</v>
      </c>
      <c r="L1060" s="75">
        <f>K1060*'THAM_SO_MOI'!$C$50*'THAM_SO_MOI'!$C$17/'THAM_SO_MOI'!$C$26</f>
        <v>15203.645955375834</v>
      </c>
      <c r="M1060" s="75">
        <f>'THAM_SO_MOI'!$C$15*'THAM_SO_MOI'!$C$16*F1060^2</f>
        <v>63.57241868563445</v>
      </c>
      <c r="N1060" s="75">
        <f>'THAM_SO_MOI'!$C$12*I1060</f>
        <v>1130.112</v>
      </c>
      <c r="O1060" s="75">
        <f>M1060+N1060</f>
        <v>1193.6844186856345</v>
      </c>
      <c r="P1060" s="75">
        <f>(MIN(L1060,'THAM_SO_MOI'!$C$41)-O1060)/('THAM_SO_MOI'!$C$11*H1060)</f>
        <v>0.9710544026205894</v>
      </c>
      <c r="Q1060" s="75">
        <f>IF(P1060&gt;0,1/P1060,NA())</f>
        <v>1.029808419900363</v>
      </c>
      <c r="R1060" s="75">
        <f>F1060-F1059</f>
        <v>0.0032106047296869278</v>
      </c>
      <c r="S1060" s="75">
        <f>0.5*(Q1059+Q1060)*R1060</f>
        <v>0.0033064540136171455</v>
      </c>
      <c r="T1060" s="75">
        <f>0.5*(F1059*Q1059+F1060*Q1060)*R1060</f>
        <v>0.015409350813513925</v>
      </c>
      <c r="U1060" s="76">
        <f>U1059+S1060</f>
        <v>4.89714050152472</v>
      </c>
      <c r="V1060" s="76">
        <f>V1059+T1060</f>
        <v>15.444697205141273</v>
      </c>
    </row>
    <row r="1061" spans="1:22" ht="19" customHeight="1">
      <c r="A1061" s="68" t="s">
        <v>372</v>
      </c>
      <c r="B1061" s="74">
        <v>2</v>
      </c>
      <c r="C1061" s="68" t="s">
        <v>363</v>
      </c>
      <c r="D1061" s="68" t="s">
        <v>364</v>
      </c>
      <c r="E1061" s="75">
        <f>60*F1061*'THAM_SO_MOI'!$C$50/(2*PI()*'THAM_SO_MOI'!$C$26)</f>
        <v>1871.146013939257</v>
      </c>
      <c r="F1061" s="75">
        <f>'HANH_TRINH'!$F$826+('THAM_SO_MOI'!$F$50-'HANH_TRINH'!$F$826)*234/'THAM_SO_MOI'!$C$42</f>
        <v>4.665201620851977</v>
      </c>
      <c r="G1061" s="75">
        <f>3.6*F1061</f>
        <v>16.794725835067116</v>
      </c>
      <c r="H1061" s="75">
        <f>'THAM_SO_MOI'!$D$50</f>
        <v>1.8785906709588276</v>
      </c>
      <c r="I1061" s="75">
        <f>IF(F1061&gt;'THAM_SO_MOI'!$C$14,'THAM_SO_MOI'!$C$13*(1+F1061^2/1500),'THAM_SO_MOI'!$C$13)</f>
        <v>0.015</v>
      </c>
      <c r="J1061" s="75">
        <f>'THAM_SO_MOI'!$C$40*('THAM_SO_MOI'!$C$23*(E1061/'THAM_SO_MOI'!$C$22)+'THAM_SO_MOI'!$C$24*(E1061/'THAM_SO_MOI'!$C$22)^2-'THAM_SO_MOI'!$C$25*(E1061/'THAM_SO_MOI'!$C$22)^3)</f>
        <v>83.43629953203789</v>
      </c>
      <c r="K1061" s="75">
        <f>'THAM_SO_MOI'!$C$31*J1061/E1061</f>
        <v>425.8931687048477</v>
      </c>
      <c r="L1061" s="75">
        <f>K1061*'THAM_SO_MOI'!$C$50*'THAM_SO_MOI'!$C$17/'THAM_SO_MOI'!$C$26</f>
        <v>15204.966887446626</v>
      </c>
      <c r="M1061" s="75">
        <f>'THAM_SO_MOI'!$C$15*'THAM_SO_MOI'!$C$16*F1061^2</f>
        <v>63.66001052735974</v>
      </c>
      <c r="N1061" s="75">
        <f>'THAM_SO_MOI'!$C$12*I1061</f>
        <v>1130.112</v>
      </c>
      <c r="O1061" s="75">
        <f>M1061+N1061</f>
        <v>1193.7720105273597</v>
      </c>
      <c r="P1061" s="75">
        <f>(MIN(L1061,'THAM_SO_MOI'!$C$41)-O1061)/('THAM_SO_MOI'!$C$11*H1061)</f>
        <v>0.9711398875418883</v>
      </c>
      <c r="Q1061" s="75">
        <f>IF(P1061&gt;0,1/P1061,NA())</f>
        <v>1.0297177706614042</v>
      </c>
      <c r="R1061" s="75">
        <f>F1061-F1060</f>
        <v>0.0032106047296869278</v>
      </c>
      <c r="S1061" s="75">
        <f>0.5*(Q1060+Q1061)*R1061</f>
        <v>0.0033061622641658555</v>
      </c>
      <c r="T1061" s="75">
        <f>0.5*(F1060*Q1060+F1061*Q1061)*R1061</f>
        <v>0.01541860592988227</v>
      </c>
      <c r="U1061" s="76">
        <f>U1060+S1061</f>
        <v>4.900446663788886</v>
      </c>
      <c r="V1061" s="76">
        <f>V1060+T1061</f>
        <v>15.460115811071155</v>
      </c>
    </row>
    <row r="1062" spans="1:22" ht="19" customHeight="1">
      <c r="A1062" s="68" t="s">
        <v>372</v>
      </c>
      <c r="B1062" s="74">
        <v>2</v>
      </c>
      <c r="C1062" s="68" t="s">
        <v>363</v>
      </c>
      <c r="D1062" s="68" t="s">
        <v>364</v>
      </c>
      <c r="E1062" s="75">
        <f>60*F1062*'THAM_SO_MOI'!$C$50/(2*PI()*'THAM_SO_MOI'!$C$26)</f>
        <v>1872.4337418298237</v>
      </c>
      <c r="F1062" s="75">
        <f>'HANH_TRINH'!$F$826+('THAM_SO_MOI'!$F$50-'HANH_TRINH'!$F$826)*235/'THAM_SO_MOI'!$C$42</f>
        <v>4.668412225581664</v>
      </c>
      <c r="G1062" s="75">
        <f>3.6*F1062</f>
        <v>16.80628401209399</v>
      </c>
      <c r="H1062" s="75">
        <f>'THAM_SO_MOI'!$D$50</f>
        <v>1.8785906709588276</v>
      </c>
      <c r="I1062" s="75">
        <f>IF(F1062&gt;'THAM_SO_MOI'!$C$14,'THAM_SO_MOI'!$C$13*(1+F1062^2/1500),'THAM_SO_MOI'!$C$13)</f>
        <v>0.015</v>
      </c>
      <c r="J1062" s="75">
        <f>'THAM_SO_MOI'!$C$40*('THAM_SO_MOI'!$C$23*(E1062/'THAM_SO_MOI'!$C$22)+'THAM_SO_MOI'!$C$24*(E1062/'THAM_SO_MOI'!$C$22)^2-'THAM_SO_MOI'!$C$25*(E1062/'THAM_SO_MOI'!$C$22)^3)</f>
        <v>83.50094260712267</v>
      </c>
      <c r="K1062" s="75">
        <f>'THAM_SO_MOI'!$C$31*J1062/E1062</f>
        <v>425.93000731558095</v>
      </c>
      <c r="L1062" s="75">
        <f>K1062*'THAM_SO_MOI'!$C$50*'THAM_SO_MOI'!$C$17/'THAM_SO_MOI'!$C$26</f>
        <v>15206.282076084384</v>
      </c>
      <c r="M1062" s="75">
        <f>'THAM_SO_MOI'!$C$15*'THAM_SO_MOI'!$C$16*F1062^2</f>
        <v>63.74766267078401</v>
      </c>
      <c r="N1062" s="75">
        <f>'THAM_SO_MOI'!$C$12*I1062</f>
        <v>1130.112</v>
      </c>
      <c r="O1062" s="75">
        <f>M1062+N1062</f>
        <v>1193.859662670784</v>
      </c>
      <c r="P1062" s="75">
        <f>(MIN(L1062,'THAM_SO_MOI'!$C$41)-O1062)/('THAM_SO_MOI'!$C$11*H1062)</f>
        <v>0.9712249701964035</v>
      </c>
      <c r="Q1062" s="75">
        <f>IF(P1062&gt;0,1/P1062,NA())</f>
        <v>1.0296275638359849</v>
      </c>
      <c r="R1062" s="75">
        <f>F1062-F1061</f>
        <v>0.0032106047296869278</v>
      </c>
      <c r="S1062" s="75">
        <f>0.5*(Q1061+Q1062)*R1062</f>
        <v>0.0033058719354980134</v>
      </c>
      <c r="T1062" s="75">
        <f>0.5*(F1061*Q1061+F1062*Q1062)*R1062</f>
        <v>0.015427865803387716</v>
      </c>
      <c r="U1062" s="76">
        <f>U1061+S1062</f>
        <v>4.903752535724384</v>
      </c>
      <c r="V1062" s="76">
        <f>V1061+T1062</f>
        <v>15.475543676874542</v>
      </c>
    </row>
    <row r="1063" spans="1:22" ht="19" customHeight="1">
      <c r="A1063" s="68" t="s">
        <v>372</v>
      </c>
      <c r="B1063" s="74">
        <v>2</v>
      </c>
      <c r="C1063" s="68" t="s">
        <v>363</v>
      </c>
      <c r="D1063" s="68" t="s">
        <v>364</v>
      </c>
      <c r="E1063" s="75">
        <f>60*F1063*'THAM_SO_MOI'!$C$50/(2*PI()*'THAM_SO_MOI'!$C$26)</f>
        <v>1873.7214697203901</v>
      </c>
      <c r="F1063" s="75">
        <f>'HANH_TRINH'!$F$826+('THAM_SO_MOI'!$F$50-'HANH_TRINH'!$F$826)*236/'THAM_SO_MOI'!$C$42</f>
        <v>4.67162283031135</v>
      </c>
      <c r="G1063" s="75">
        <f>3.6*F1063</f>
        <v>16.81784218912086</v>
      </c>
      <c r="H1063" s="75">
        <f>'THAM_SO_MOI'!$D$50</f>
        <v>1.8785906709588276</v>
      </c>
      <c r="I1063" s="75">
        <f>IF(F1063&gt;'THAM_SO_MOI'!$C$14,'THAM_SO_MOI'!$C$13*(1+F1063^2/1500),'THAM_SO_MOI'!$C$13)</f>
        <v>0.015</v>
      </c>
      <c r="J1063" s="75">
        <f>'THAM_SO_MOI'!$C$40*('THAM_SO_MOI'!$C$23*(E1063/'THAM_SO_MOI'!$C$22)+'THAM_SO_MOI'!$C$24*(E1063/'THAM_SO_MOI'!$C$22)^2-'THAM_SO_MOI'!$C$25*(E1063/'THAM_SO_MOI'!$C$22)^3)</f>
        <v>83.56556405563956</v>
      </c>
      <c r="K1063" s="75">
        <f>'THAM_SO_MOI'!$C$31*J1063/E1063</f>
        <v>425.9666850519819</v>
      </c>
      <c r="L1063" s="75">
        <f>K1063*'THAM_SO_MOI'!$C$50*'THAM_SO_MOI'!$C$17/'THAM_SO_MOI'!$C$26</f>
        <v>15207.591521289103</v>
      </c>
      <c r="M1063" s="75">
        <f>'THAM_SO_MOI'!$C$15*'THAM_SO_MOI'!$C$16*F1063^2</f>
        <v>63.83537511590721</v>
      </c>
      <c r="N1063" s="75">
        <f>'THAM_SO_MOI'!$C$12*I1063</f>
        <v>1130.112</v>
      </c>
      <c r="O1063" s="75">
        <f>M1063+N1063</f>
        <v>1193.9473751159073</v>
      </c>
      <c r="P1063" s="75">
        <f>(MIN(L1063,'THAM_SO_MOI'!$C$41)-O1063)/('THAM_SO_MOI'!$C$11*H1063)</f>
        <v>0.9713096505841352</v>
      </c>
      <c r="Q1063" s="75">
        <f>IF(P1063&gt;0,1/P1063,NA())</f>
        <v>1.029537799195767</v>
      </c>
      <c r="R1063" s="75">
        <f>F1063-F1062</f>
        <v>0.0032106047296860396</v>
      </c>
      <c r="S1063" s="75">
        <f>0.5*(Q1062+Q1063)*R1063</f>
        <v>0.0033055830268777066</v>
      </c>
      <c r="T1063" s="75">
        <f>0.5*(F1062*Q1062+F1063*Q1063)*R1063</f>
        <v>0.015437130444278267</v>
      </c>
      <c r="U1063" s="76">
        <f>U1062+S1063</f>
        <v>4.907058118751261</v>
      </c>
      <c r="V1063" s="76">
        <f>V1062+T1063</f>
        <v>15.49098080731882</v>
      </c>
    </row>
    <row r="1064" spans="1:22" ht="19" customHeight="1">
      <c r="A1064" s="68" t="s">
        <v>372</v>
      </c>
      <c r="B1064" s="74">
        <v>2</v>
      </c>
      <c r="C1064" s="68" t="s">
        <v>363</v>
      </c>
      <c r="D1064" s="68" t="s">
        <v>364</v>
      </c>
      <c r="E1064" s="75">
        <f>60*F1064*'THAM_SO_MOI'!$C$50/(2*PI()*'THAM_SO_MOI'!$C$26)</f>
        <v>1875.0091976109568</v>
      </c>
      <c r="F1064" s="75">
        <f>'HANH_TRINH'!$F$826+('THAM_SO_MOI'!$F$50-'HANH_TRINH'!$F$826)*237/'THAM_SO_MOI'!$C$42</f>
        <v>4.6748334350410365</v>
      </c>
      <c r="G1064" s="75">
        <f>3.6*F1064</f>
        <v>16.82940036614773</v>
      </c>
      <c r="H1064" s="75">
        <f>'THAM_SO_MOI'!$D$50</f>
        <v>1.8785906709588276</v>
      </c>
      <c r="I1064" s="75">
        <f>IF(F1064&gt;'THAM_SO_MOI'!$C$14,'THAM_SO_MOI'!$C$13*(1+F1064^2/1500),'THAM_SO_MOI'!$C$13)</f>
        <v>0.015</v>
      </c>
      <c r="J1064" s="75">
        <f>'THAM_SO_MOI'!$C$40*('THAM_SO_MOI'!$C$23*(E1064/'THAM_SO_MOI'!$C$22)+'THAM_SO_MOI'!$C$24*(E1064/'THAM_SO_MOI'!$C$22)^2-'THAM_SO_MOI'!$C$25*(E1064/'THAM_SO_MOI'!$C$22)^3)</f>
        <v>83.6301638125189</v>
      </c>
      <c r="K1064" s="75">
        <f>'THAM_SO_MOI'!$C$31*J1064/E1064</f>
        <v>426.0032019140507</v>
      </c>
      <c r="L1064" s="75">
        <f>K1064*'THAM_SO_MOI'!$C$50*'THAM_SO_MOI'!$C$17/'THAM_SO_MOI'!$C$26</f>
        <v>15208.895223060787</v>
      </c>
      <c r="M1064" s="75">
        <f>'THAM_SO_MOI'!$C$15*'THAM_SO_MOI'!$C$16*F1064^2</f>
        <v>63.923147862729415</v>
      </c>
      <c r="N1064" s="75">
        <f>'THAM_SO_MOI'!$C$12*I1064</f>
        <v>1130.112</v>
      </c>
      <c r="O1064" s="75">
        <f>M1064+N1064</f>
        <v>1194.0351478627294</v>
      </c>
      <c r="P1064" s="75">
        <f>(MIN(L1064,'THAM_SO_MOI'!$C$41)-O1064)/('THAM_SO_MOI'!$C$11*H1064)</f>
        <v>0.9713939287050831</v>
      </c>
      <c r="Q1064" s="75">
        <f>IF(P1064&gt;0,1/P1064,NA())</f>
        <v>1.0294484765135914</v>
      </c>
      <c r="R1064" s="75">
        <f>F1064-F1063</f>
        <v>0.0032106047296869278</v>
      </c>
      <c r="S1064" s="75">
        <f>0.5*(Q1063+Q1064)*R1064</f>
        <v>0.0033052955375764696</v>
      </c>
      <c r="T1064" s="75">
        <f>0.5*(F1063*Q1063+F1064*Q1064)*R1064</f>
        <v>0.015446399862827271</v>
      </c>
      <c r="U1064" s="76">
        <f>U1063+S1064</f>
        <v>4.910363414288838</v>
      </c>
      <c r="V1064" s="76">
        <f>V1063+T1064</f>
        <v>15.506427207181648</v>
      </c>
    </row>
    <row r="1065" spans="1:22" ht="19" customHeight="1">
      <c r="A1065" s="68" t="s">
        <v>372</v>
      </c>
      <c r="B1065" s="74">
        <v>2</v>
      </c>
      <c r="C1065" s="68" t="s">
        <v>363</v>
      </c>
      <c r="D1065" s="68" t="s">
        <v>364</v>
      </c>
      <c r="E1065" s="75">
        <f>60*F1065*'THAM_SO_MOI'!$C$50/(2*PI()*'THAM_SO_MOI'!$C$26)</f>
        <v>1876.2969255015234</v>
      </c>
      <c r="F1065" s="75">
        <f>'HANH_TRINH'!$F$826+('THAM_SO_MOI'!$F$50-'HANH_TRINH'!$F$826)*238/'THAM_SO_MOI'!$C$42</f>
        <v>4.6780440397707235</v>
      </c>
      <c r="G1065" s="75">
        <f>3.6*F1065</f>
        <v>16.840958543174605</v>
      </c>
      <c r="H1065" s="75">
        <f>'THAM_SO_MOI'!$D$50</f>
        <v>1.8785906709588276</v>
      </c>
      <c r="I1065" s="75">
        <f>IF(F1065&gt;'THAM_SO_MOI'!$C$14,'THAM_SO_MOI'!$C$13*(1+F1065^2/1500),'THAM_SO_MOI'!$C$13)</f>
        <v>0.015</v>
      </c>
      <c r="J1065" s="75">
        <f>'THAM_SO_MOI'!$C$40*('THAM_SO_MOI'!$C$23*(E1065/'THAM_SO_MOI'!$C$22)+'THAM_SO_MOI'!$C$24*(E1065/'THAM_SO_MOI'!$C$22)^2-'THAM_SO_MOI'!$C$25*(E1065/'THAM_SO_MOI'!$C$22)^3)</f>
        <v>83.69474181269098</v>
      </c>
      <c r="K1065" s="75">
        <f>'THAM_SO_MOI'!$C$31*J1065/E1065</f>
        <v>426.0395579017873</v>
      </c>
      <c r="L1065" s="75">
        <f>K1065*'THAM_SO_MOI'!$C$50*'THAM_SO_MOI'!$C$17/'THAM_SO_MOI'!$C$26</f>
        <v>15210.193181399442</v>
      </c>
      <c r="M1065" s="75">
        <f>'THAM_SO_MOI'!$C$15*'THAM_SO_MOI'!$C$16*F1065^2</f>
        <v>64.0109809112506</v>
      </c>
      <c r="N1065" s="75">
        <f>'THAM_SO_MOI'!$C$12*I1065</f>
        <v>1130.112</v>
      </c>
      <c r="O1065" s="75">
        <f>M1065+N1065</f>
        <v>1194.1229809112506</v>
      </c>
      <c r="P1065" s="75">
        <f>(MIN(L1065,'THAM_SO_MOI'!$C$41)-O1065)/('THAM_SO_MOI'!$C$11*H1065)</f>
        <v>0.9714778045592479</v>
      </c>
      <c r="Q1065" s="75">
        <f>IF(P1065&gt;0,1/P1065,NA())</f>
        <v>1.029359595563475</v>
      </c>
      <c r="R1065" s="75">
        <f>F1065-F1064</f>
        <v>0.0032106047296869278</v>
      </c>
      <c r="S1065" s="75">
        <f>0.5*(Q1064+Q1065)*R1065</f>
        <v>0.0033050094668641266</v>
      </c>
      <c r="T1065" s="75">
        <f>0.5*(F1064*Q1064+F1065*Q1065)*R1065</f>
        <v>0.015455674069290734</v>
      </c>
      <c r="U1065" s="76">
        <f>U1064+S1065</f>
        <v>4.913668423755702</v>
      </c>
      <c r="V1065" s="76">
        <f>V1064+T1065</f>
        <v>15.521882881250939</v>
      </c>
    </row>
    <row r="1066" spans="1:22" ht="19" customHeight="1">
      <c r="A1066" s="68" t="s">
        <v>372</v>
      </c>
      <c r="B1066" s="74">
        <v>2</v>
      </c>
      <c r="C1066" s="68" t="s">
        <v>363</v>
      </c>
      <c r="D1066" s="68" t="s">
        <v>364</v>
      </c>
      <c r="E1066" s="75">
        <f>60*F1066*'THAM_SO_MOI'!$C$50/(2*PI()*'THAM_SO_MOI'!$C$26)</f>
        <v>1877.58465339209</v>
      </c>
      <c r="F1066" s="75">
        <f>'HANH_TRINH'!$F$826+('THAM_SO_MOI'!$F$50-'HANH_TRINH'!$F$826)*239/'THAM_SO_MOI'!$C$42</f>
        <v>4.68125464450041</v>
      </c>
      <c r="G1066" s="75">
        <f>3.6*F1066</f>
        <v>16.85251672020148</v>
      </c>
      <c r="H1066" s="75">
        <f>'THAM_SO_MOI'!$D$50</f>
        <v>1.8785906709588276</v>
      </c>
      <c r="I1066" s="75">
        <f>IF(F1066&gt;'THAM_SO_MOI'!$C$14,'THAM_SO_MOI'!$C$13*(1+F1066^2/1500),'THAM_SO_MOI'!$C$13)</f>
        <v>0.015</v>
      </c>
      <c r="J1066" s="75">
        <f>'THAM_SO_MOI'!$C$40*('THAM_SO_MOI'!$C$23*(E1066/'THAM_SO_MOI'!$C$22)+'THAM_SO_MOI'!$C$24*(E1066/'THAM_SO_MOI'!$C$22)^2-'THAM_SO_MOI'!$C$25*(E1066/'THAM_SO_MOI'!$C$22)^3)</f>
        <v>83.75929799108607</v>
      </c>
      <c r="K1066" s="75">
        <f>'THAM_SO_MOI'!$C$31*J1066/E1066</f>
        <v>426.0757530151915</v>
      </c>
      <c r="L1066" s="75">
        <f>K1066*'THAM_SO_MOI'!$C$50*'THAM_SO_MOI'!$C$17/'THAM_SO_MOI'!$C$26</f>
        <v>15211.485396305052</v>
      </c>
      <c r="M1066" s="75">
        <f>'THAM_SO_MOI'!$C$15*'THAM_SO_MOI'!$C$16*F1066^2</f>
        <v>64.09887426147075</v>
      </c>
      <c r="N1066" s="75">
        <f>'THAM_SO_MOI'!$C$12*I1066</f>
        <v>1130.112</v>
      </c>
      <c r="O1066" s="75">
        <f>M1066+N1066</f>
        <v>1194.2108742614707</v>
      </c>
      <c r="P1066" s="75">
        <f>(MIN(L1066,'THAM_SO_MOI'!$C$41)-O1066)/('THAM_SO_MOI'!$C$11*H1066)</f>
        <v>0.9715612781466288</v>
      </c>
      <c r="Q1066" s="75">
        <f>IF(P1066&gt;0,1/P1066,NA())</f>
        <v>1.0292711561206118</v>
      </c>
      <c r="R1066" s="75">
        <f>F1066-F1065</f>
        <v>0.0032106047296869278</v>
      </c>
      <c r="S1066" s="75">
        <f>0.5*(Q1065+Q1066)*R1066</f>
        <v>0.003304724814017942</v>
      </c>
      <c r="T1066" s="75">
        <f>0.5*(F1065*Q1065+F1066*Q1066)*R1066</f>
        <v>0.015464953073950084</v>
      </c>
      <c r="U1066" s="76">
        <f>U1065+S1066</f>
        <v>4.91697314856972</v>
      </c>
      <c r="V1066" s="76">
        <f>V1065+T1066</f>
        <v>15.537347834324889</v>
      </c>
    </row>
    <row r="1067" spans="1:22" ht="19" customHeight="1">
      <c r="A1067" s="68" t="s">
        <v>372</v>
      </c>
      <c r="B1067" s="74">
        <v>2</v>
      </c>
      <c r="C1067" s="68" t="s">
        <v>363</v>
      </c>
      <c r="D1067" s="68" t="s">
        <v>364</v>
      </c>
      <c r="E1067" s="75">
        <f>60*F1067*'THAM_SO_MOI'!$C$50/(2*PI()*'THAM_SO_MOI'!$C$26)</f>
        <v>1878.872381282657</v>
      </c>
      <c r="F1067" s="75">
        <f>'HANH_TRINH'!$F$826+('THAM_SO_MOI'!$F$50-'HANH_TRINH'!$F$826)*240/'THAM_SO_MOI'!$C$42</f>
        <v>4.684465249230097</v>
      </c>
      <c r="G1067" s="75">
        <f>3.6*F1067</f>
        <v>16.864074897228353</v>
      </c>
      <c r="H1067" s="75">
        <f>'THAM_SO_MOI'!$D$50</f>
        <v>1.8785906709588276</v>
      </c>
      <c r="I1067" s="75">
        <f>IF(F1067&gt;'THAM_SO_MOI'!$C$14,'THAM_SO_MOI'!$C$13*(1+F1067^2/1500),'THAM_SO_MOI'!$C$13)</f>
        <v>0.015</v>
      </c>
      <c r="J1067" s="75">
        <f>'THAM_SO_MOI'!$C$40*('THAM_SO_MOI'!$C$23*(E1067/'THAM_SO_MOI'!$C$22)+'THAM_SO_MOI'!$C$24*(E1067/'THAM_SO_MOI'!$C$22)^2-'THAM_SO_MOI'!$C$25*(E1067/'THAM_SO_MOI'!$C$22)^3)</f>
        <v>83.82383228263453</v>
      </c>
      <c r="K1067" s="75">
        <f>'THAM_SO_MOI'!$C$31*J1067/E1067</f>
        <v>426.11178725426356</v>
      </c>
      <c r="L1067" s="75">
        <f>K1067*'THAM_SO_MOI'!$C$50*'THAM_SO_MOI'!$C$17/'THAM_SO_MOI'!$C$26</f>
        <v>15212.771867777628</v>
      </c>
      <c r="M1067" s="75">
        <f>'THAM_SO_MOI'!$C$15*'THAM_SO_MOI'!$C$16*F1067^2</f>
        <v>64.18682791338988</v>
      </c>
      <c r="N1067" s="75">
        <f>'THAM_SO_MOI'!$C$12*I1067</f>
        <v>1130.112</v>
      </c>
      <c r="O1067" s="75">
        <f>M1067+N1067</f>
        <v>1194.29882791339</v>
      </c>
      <c r="P1067" s="75">
        <f>(MIN(L1067,'THAM_SO_MOI'!$C$41)-O1067)/('THAM_SO_MOI'!$C$11*H1067)</f>
        <v>0.9716443494672259</v>
      </c>
      <c r="Q1067" s="75">
        <f>IF(P1067&gt;0,1/P1067,NA())</f>
        <v>1.0291831579613695</v>
      </c>
      <c r="R1067" s="75">
        <f>F1067-F1066</f>
        <v>0.0032106047296869278</v>
      </c>
      <c r="S1067" s="75">
        <f>0.5*(Q1066+Q1067)*R1067</f>
        <v>0.0033044415783180345</v>
      </c>
      <c r="T1067" s="75">
        <f>0.5*(F1066*Q1066+F1067*Q1067)*R1067</f>
        <v>0.015474236887090853</v>
      </c>
      <c r="U1067" s="76">
        <f>U1066+S1067</f>
        <v>4.920277590148038</v>
      </c>
      <c r="V1067" s="76">
        <f>V1066+T1067</f>
        <v>15.55282207121198</v>
      </c>
    </row>
    <row r="1068" spans="1:22" ht="19" customHeight="1">
      <c r="A1068" s="68" t="s">
        <v>372</v>
      </c>
      <c r="B1068" s="74">
        <v>2</v>
      </c>
      <c r="C1068" s="68" t="s">
        <v>363</v>
      </c>
      <c r="D1068" s="68" t="s">
        <v>364</v>
      </c>
      <c r="E1068" s="75">
        <f>60*F1068*'THAM_SO_MOI'!$C$50/(2*PI()*'THAM_SO_MOI'!$C$26)</f>
        <v>1880.1601091732236</v>
      </c>
      <c r="F1068" s="75">
        <f>'HANH_TRINH'!$F$826+('THAM_SO_MOI'!$F$50-'HANH_TRINH'!$F$826)*241/'THAM_SO_MOI'!$C$42</f>
        <v>4.687675853959784</v>
      </c>
      <c r="G1068" s="75">
        <f>3.6*F1068</f>
        <v>16.875633074255223</v>
      </c>
      <c r="H1068" s="75">
        <f>'THAM_SO_MOI'!$D$50</f>
        <v>1.8785906709588276</v>
      </c>
      <c r="I1068" s="75">
        <f>IF(F1068&gt;'THAM_SO_MOI'!$C$14,'THAM_SO_MOI'!$C$13*(1+F1068^2/1500),'THAM_SO_MOI'!$C$13)</f>
        <v>0.015</v>
      </c>
      <c r="J1068" s="75">
        <f>'THAM_SO_MOI'!$C$40*('THAM_SO_MOI'!$C$23*(E1068/'THAM_SO_MOI'!$C$22)+'THAM_SO_MOI'!$C$24*(E1068/'THAM_SO_MOI'!$C$22)^2-'THAM_SO_MOI'!$C$25*(E1068/'THAM_SO_MOI'!$C$22)^3)</f>
        <v>83.88834462226659</v>
      </c>
      <c r="K1068" s="75">
        <f>'THAM_SO_MOI'!$C$31*J1068/E1068</f>
        <v>426.14766061900326</v>
      </c>
      <c r="L1068" s="75">
        <f>K1068*'THAM_SO_MOI'!$C$50*'THAM_SO_MOI'!$C$17/'THAM_SO_MOI'!$C$26</f>
        <v>15214.05259581717</v>
      </c>
      <c r="M1068" s="75">
        <f>'THAM_SO_MOI'!$C$15*'THAM_SO_MOI'!$C$16*F1068^2</f>
        <v>64.27484186700796</v>
      </c>
      <c r="N1068" s="75">
        <f>'THAM_SO_MOI'!$C$12*I1068</f>
        <v>1130.112</v>
      </c>
      <c r="O1068" s="75">
        <f>M1068+N1068</f>
        <v>1194.3868418670081</v>
      </c>
      <c r="P1068" s="75">
        <f>(MIN(L1068,'THAM_SO_MOI'!$C$41)-O1068)/('THAM_SO_MOI'!$C$11*H1068)</f>
        <v>0.9717270185210395</v>
      </c>
      <c r="Q1068" s="75">
        <f>IF(P1068&gt;0,1/P1068,NA())</f>
        <v>1.0290956008632874</v>
      </c>
      <c r="R1068" s="75">
        <f>F1068-F1067</f>
        <v>0.0032106047296869278</v>
      </c>
      <c r="S1068" s="75">
        <f>0.5*(Q1067+Q1068)*R1068</f>
        <v>0.0033041597590482913</v>
      </c>
      <c r="T1068" s="75">
        <f>0.5*(F1067*Q1067+F1068*Q1068)*R1068</f>
        <v>0.015483525519006969</v>
      </c>
      <c r="U1068" s="76">
        <f>U1067+S1068</f>
        <v>4.923581749907086</v>
      </c>
      <c r="V1068" s="76">
        <f>V1067+T1068</f>
        <v>15.568305596730987</v>
      </c>
    </row>
    <row r="1069" spans="1:22" ht="19" customHeight="1">
      <c r="A1069" s="68" t="s">
        <v>372</v>
      </c>
      <c r="B1069" s="74">
        <v>2</v>
      </c>
      <c r="C1069" s="68" t="s">
        <v>363</v>
      </c>
      <c r="D1069" s="68" t="s">
        <v>364</v>
      </c>
      <c r="E1069" s="75">
        <f>60*F1069*'THAM_SO_MOI'!$C$50/(2*PI()*'THAM_SO_MOI'!$C$26)</f>
        <v>1881.4478370637903</v>
      </c>
      <c r="F1069" s="75">
        <f>'HANH_TRINH'!$F$826+('THAM_SO_MOI'!$F$50-'HANH_TRINH'!$F$826)*242/'THAM_SO_MOI'!$C$42</f>
        <v>4.690886458689471</v>
      </c>
      <c r="G1069" s="75">
        <f>3.6*F1069</f>
        <v>16.887191251282097</v>
      </c>
      <c r="H1069" s="75">
        <f>'THAM_SO_MOI'!$D$50</f>
        <v>1.8785906709588276</v>
      </c>
      <c r="I1069" s="75">
        <f>IF(F1069&gt;'THAM_SO_MOI'!$C$14,'THAM_SO_MOI'!$C$13*(1+F1069^2/1500),'THAM_SO_MOI'!$C$13)</f>
        <v>0.015</v>
      </c>
      <c r="J1069" s="75">
        <f>'THAM_SO_MOI'!$C$40*('THAM_SO_MOI'!$C$23*(E1069/'THAM_SO_MOI'!$C$22)+'THAM_SO_MOI'!$C$24*(E1069/'THAM_SO_MOI'!$C$22)^2-'THAM_SO_MOI'!$C$25*(E1069/'THAM_SO_MOI'!$C$22)^3)</f>
        <v>83.9528349449126</v>
      </c>
      <c r="K1069" s="75">
        <f>'THAM_SO_MOI'!$C$31*J1069/E1069</f>
        <v>426.18337310941075</v>
      </c>
      <c r="L1069" s="75">
        <f>K1069*'THAM_SO_MOI'!$C$50*'THAM_SO_MOI'!$C$17/'THAM_SO_MOI'!$C$26</f>
        <v>15215.327580423675</v>
      </c>
      <c r="M1069" s="75">
        <f>'THAM_SO_MOI'!$C$15*'THAM_SO_MOI'!$C$16*F1069^2</f>
        <v>64.36291612232503</v>
      </c>
      <c r="N1069" s="75">
        <f>'THAM_SO_MOI'!$C$12*I1069</f>
        <v>1130.112</v>
      </c>
      <c r="O1069" s="75">
        <f>M1069+N1069</f>
        <v>1194.474916122325</v>
      </c>
      <c r="P1069" s="75">
        <f>(MIN(L1069,'THAM_SO_MOI'!$C$41)-O1069)/('THAM_SO_MOI'!$C$11*H1069)</f>
        <v>0.9718092853080695</v>
      </c>
      <c r="Q1069" s="75">
        <f>IF(P1069&gt;0,1/P1069,NA())</f>
        <v>1.0290084846050775</v>
      </c>
      <c r="R1069" s="75">
        <f>F1069-F1068</f>
        <v>0.0032106047296869278</v>
      </c>
      <c r="S1069" s="75">
        <f>0.5*(Q1068+Q1069)*R1069</f>
        <v>0.0033038793554963607</v>
      </c>
      <c r="T1069" s="75">
        <f>0.5*(F1068*Q1068+F1069*Q1069)*R1069</f>
        <v>0.01549281898000082</v>
      </c>
      <c r="U1069" s="76">
        <f>U1068+S1069</f>
        <v>4.926885629262583</v>
      </c>
      <c r="V1069" s="76">
        <f>V1068+T1069</f>
        <v>15.583798415710987</v>
      </c>
    </row>
    <row r="1070" spans="1:22" ht="19" customHeight="1">
      <c r="A1070" s="68" t="s">
        <v>372</v>
      </c>
      <c r="B1070" s="74">
        <v>2</v>
      </c>
      <c r="C1070" s="68" t="s">
        <v>363</v>
      </c>
      <c r="D1070" s="68" t="s">
        <v>364</v>
      </c>
      <c r="E1070" s="75">
        <f>60*F1070*'THAM_SO_MOI'!$C$50/(2*PI()*'THAM_SO_MOI'!$C$26)</f>
        <v>1882.735564954357</v>
      </c>
      <c r="F1070" s="75">
        <f>'HANH_TRINH'!$F$826+('THAM_SO_MOI'!$F$50-'HANH_TRINH'!$F$826)*243/'THAM_SO_MOI'!$C$42</f>
        <v>4.694097063419158</v>
      </c>
      <c r="G1070" s="75">
        <f>3.6*F1070</f>
        <v>16.89874942830897</v>
      </c>
      <c r="H1070" s="75">
        <f>'THAM_SO_MOI'!$D$50</f>
        <v>1.8785906709588276</v>
      </c>
      <c r="I1070" s="75">
        <f>IF(F1070&gt;'THAM_SO_MOI'!$C$14,'THAM_SO_MOI'!$C$13*(1+F1070^2/1500),'THAM_SO_MOI'!$C$13)</f>
        <v>0.015</v>
      </c>
      <c r="J1070" s="75">
        <f>'THAM_SO_MOI'!$C$40*('THAM_SO_MOI'!$C$23*(E1070/'THAM_SO_MOI'!$C$22)+'THAM_SO_MOI'!$C$24*(E1070/'THAM_SO_MOI'!$C$22)^2-'THAM_SO_MOI'!$C$25*(E1070/'THAM_SO_MOI'!$C$22)^3)</f>
        <v>84.01730318550285</v>
      </c>
      <c r="K1070" s="75">
        <f>'THAM_SO_MOI'!$C$31*J1070/E1070</f>
        <v>426.2189247254861</v>
      </c>
      <c r="L1070" s="75">
        <f>K1070*'THAM_SO_MOI'!$C$50*'THAM_SO_MOI'!$C$17/'THAM_SO_MOI'!$C$26</f>
        <v>15216.596821597146</v>
      </c>
      <c r="M1070" s="75">
        <f>'THAM_SO_MOI'!$C$15*'THAM_SO_MOI'!$C$16*F1070^2</f>
        <v>64.45105067934107</v>
      </c>
      <c r="N1070" s="75">
        <f>'THAM_SO_MOI'!$C$12*I1070</f>
        <v>1130.112</v>
      </c>
      <c r="O1070" s="75">
        <f>M1070+N1070</f>
        <v>1194.5630506793411</v>
      </c>
      <c r="P1070" s="75">
        <f>(MIN(L1070,'THAM_SO_MOI'!$C$41)-O1070)/('THAM_SO_MOI'!$C$11*H1070)</f>
        <v>0.971891149828316</v>
      </c>
      <c r="Q1070" s="75">
        <f>IF(P1070&gt;0,1/P1070,NA())</f>
        <v>1.0289218089666208</v>
      </c>
      <c r="R1070" s="75">
        <f>F1070-F1069</f>
        <v>0.0032106047296869278</v>
      </c>
      <c r="S1070" s="75">
        <f>0.5*(Q1069+Q1070)*R1070</f>
        <v>0.0033036003669536513</v>
      </c>
      <c r="T1070" s="75">
        <f>0.5*(F1069*Q1069+F1070*Q1070)*R1070</f>
        <v>0.015502117280383275</v>
      </c>
      <c r="U1070" s="76">
        <f>U1069+S1070</f>
        <v>4.930189229629536</v>
      </c>
      <c r="V1070" s="76">
        <f>V1069+T1070</f>
        <v>15.59930053299137</v>
      </c>
    </row>
    <row r="1071" spans="1:22" ht="19" customHeight="1">
      <c r="A1071" s="68" t="s">
        <v>372</v>
      </c>
      <c r="B1071" s="74">
        <v>2</v>
      </c>
      <c r="C1071" s="68" t="s">
        <v>363</v>
      </c>
      <c r="D1071" s="68" t="s">
        <v>364</v>
      </c>
      <c r="E1071" s="75">
        <f>60*F1071*'THAM_SO_MOI'!$C$50/(2*PI()*'THAM_SO_MOI'!$C$26)</f>
        <v>1884.0232928449236</v>
      </c>
      <c r="F1071" s="75">
        <f>'HANH_TRINH'!$F$826+('THAM_SO_MOI'!$F$50-'HANH_TRINH'!$F$826)*244/'THAM_SO_MOI'!$C$42</f>
        <v>4.697307668148844</v>
      </c>
      <c r="G1071" s="75">
        <f>3.6*F1071</f>
        <v>16.910307605335838</v>
      </c>
      <c r="H1071" s="75">
        <f>'THAM_SO_MOI'!$D$50</f>
        <v>1.8785906709588276</v>
      </c>
      <c r="I1071" s="75">
        <f>IF(F1071&gt;'THAM_SO_MOI'!$C$14,'THAM_SO_MOI'!$C$13*(1+F1071^2/1500),'THAM_SO_MOI'!$C$13)</f>
        <v>0.015</v>
      </c>
      <c r="J1071" s="75">
        <f>'THAM_SO_MOI'!$C$40*('THAM_SO_MOI'!$C$23*(E1071/'THAM_SO_MOI'!$C$22)+'THAM_SO_MOI'!$C$24*(E1071/'THAM_SO_MOI'!$C$22)^2-'THAM_SO_MOI'!$C$25*(E1071/'THAM_SO_MOI'!$C$22)^3)</f>
        <v>84.08174927896764</v>
      </c>
      <c r="K1071" s="75">
        <f>'THAM_SO_MOI'!$C$31*J1071/E1071</f>
        <v>426.2543154672291</v>
      </c>
      <c r="L1071" s="75">
        <f>K1071*'THAM_SO_MOI'!$C$50*'THAM_SO_MOI'!$C$17/'THAM_SO_MOI'!$C$26</f>
        <v>15217.86031933758</v>
      </c>
      <c r="M1071" s="75">
        <f>'THAM_SO_MOI'!$C$15*'THAM_SO_MOI'!$C$16*F1071^2</f>
        <v>64.53924553805605</v>
      </c>
      <c r="N1071" s="75">
        <f>'THAM_SO_MOI'!$C$12*I1071</f>
        <v>1130.112</v>
      </c>
      <c r="O1071" s="75">
        <f>M1071+N1071</f>
        <v>1194.6512455380562</v>
      </c>
      <c r="P1071" s="75">
        <f>(MIN(L1071,'THAM_SO_MOI'!$C$41)-O1071)/('THAM_SO_MOI'!$C$11*H1071)</f>
        <v>0.9719726120817788</v>
      </c>
      <c r="Q1071" s="75">
        <f>IF(P1071&gt;0,1/P1071,NA())</f>
        <v>1.0288355737289674</v>
      </c>
      <c r="R1071" s="75">
        <f>F1071-F1070</f>
        <v>0.0032106047296860396</v>
      </c>
      <c r="S1071" s="75">
        <f>0.5*(Q1070+Q1071)*R1071</f>
        <v>0.0033033227927144106</v>
      </c>
      <c r="T1071" s="75">
        <f>0.5*(F1070*Q1070+F1071*Q1071)*R1071</f>
        <v>0.015511420430469436</v>
      </c>
      <c r="U1071" s="76">
        <f>U1070+S1071</f>
        <v>4.93349255242225</v>
      </c>
      <c r="V1071" s="76">
        <f>V1070+T1071</f>
        <v>15.614811953421839</v>
      </c>
    </row>
    <row r="1072" spans="1:22" ht="19" customHeight="1">
      <c r="A1072" s="68" t="s">
        <v>372</v>
      </c>
      <c r="B1072" s="74">
        <v>2</v>
      </c>
      <c r="C1072" s="68" t="s">
        <v>363</v>
      </c>
      <c r="D1072" s="68" t="s">
        <v>364</v>
      </c>
      <c r="E1072" s="75">
        <f>60*F1072*'THAM_SO_MOI'!$C$50/(2*PI()*'THAM_SO_MOI'!$C$26)</f>
        <v>1885.3110207354903</v>
      </c>
      <c r="F1072" s="75">
        <f>'HANH_TRINH'!$F$826+('THAM_SO_MOI'!$F$50-'HANH_TRINH'!$F$826)*245/'THAM_SO_MOI'!$C$42</f>
        <v>4.700518272878531</v>
      </c>
      <c r="G1072" s="75">
        <f>3.6*F1072</f>
        <v>16.921865782362712</v>
      </c>
      <c r="H1072" s="75">
        <f>'THAM_SO_MOI'!$D$50</f>
        <v>1.8785906709588276</v>
      </c>
      <c r="I1072" s="75">
        <f>IF(F1072&gt;'THAM_SO_MOI'!$C$14,'THAM_SO_MOI'!$C$13*(1+F1072^2/1500),'THAM_SO_MOI'!$C$13)</f>
        <v>0.015</v>
      </c>
      <c r="J1072" s="75">
        <f>'THAM_SO_MOI'!$C$40*('THAM_SO_MOI'!$C$23*(E1072/'THAM_SO_MOI'!$C$22)+'THAM_SO_MOI'!$C$24*(E1072/'THAM_SO_MOI'!$C$22)^2-'THAM_SO_MOI'!$C$25*(E1072/'THAM_SO_MOI'!$C$22)^3)</f>
        <v>84.14617316023725</v>
      </c>
      <c r="K1072" s="75">
        <f>'THAM_SO_MOI'!$C$31*J1072/E1072</f>
        <v>426.28954533463985</v>
      </c>
      <c r="L1072" s="75">
        <f>K1072*'THAM_SO_MOI'!$C$50*'THAM_SO_MOI'!$C$17/'THAM_SO_MOI'!$C$26</f>
        <v>15219.118073644977</v>
      </c>
      <c r="M1072" s="75">
        <f>'THAM_SO_MOI'!$C$15*'THAM_SO_MOI'!$C$16*F1072^2</f>
        <v>64.62750069847004</v>
      </c>
      <c r="N1072" s="75">
        <f>'THAM_SO_MOI'!$C$12*I1072</f>
        <v>1130.112</v>
      </c>
      <c r="O1072" s="75">
        <f>M1072+N1072</f>
        <v>1194.7395006984702</v>
      </c>
      <c r="P1072" s="75">
        <f>(MIN(L1072,'THAM_SO_MOI'!$C$41)-O1072)/('THAM_SO_MOI'!$C$11*H1072)</f>
        <v>0.9720536720684578</v>
      </c>
      <c r="Q1072" s="75">
        <f>IF(P1072&gt;0,1/P1072,NA())</f>
        <v>1.0287497786743345</v>
      </c>
      <c r="R1072" s="75">
        <f>F1072-F1071</f>
        <v>0.0032106047296869278</v>
      </c>
      <c r="S1072" s="75">
        <f>0.5*(Q1071+Q1072)*R1072</f>
        <v>0.003303046632080292</v>
      </c>
      <c r="T1072" s="75">
        <f>0.5*(F1071*Q1071+F1072*Q1072)*R1072</f>
        <v>0.015520728440600153</v>
      </c>
      <c r="U1072" s="76">
        <f>U1071+S1072</f>
        <v>4.936795599054331</v>
      </c>
      <c r="V1072" s="76">
        <f>V1071+T1072</f>
        <v>15.63033268186244</v>
      </c>
    </row>
    <row r="1073" spans="1:22" ht="19" customHeight="1">
      <c r="A1073" s="68" t="s">
        <v>372</v>
      </c>
      <c r="B1073" s="74">
        <v>2</v>
      </c>
      <c r="C1073" s="68" t="s">
        <v>363</v>
      </c>
      <c r="D1073" s="68" t="s">
        <v>364</v>
      </c>
      <c r="E1073" s="75">
        <f>60*F1073*'THAM_SO_MOI'!$C$50/(2*PI()*'THAM_SO_MOI'!$C$26)</f>
        <v>1886.598748626057</v>
      </c>
      <c r="F1073" s="75">
        <f>'HANH_TRINH'!$F$826+('THAM_SO_MOI'!$F$50-'HANH_TRINH'!$F$826)*246/'THAM_SO_MOI'!$C$42</f>
        <v>4.703728877608218</v>
      </c>
      <c r="G1073" s="75">
        <f>3.6*F1073</f>
        <v>16.933423959389586</v>
      </c>
      <c r="H1073" s="75">
        <f>'THAM_SO_MOI'!$D$50</f>
        <v>1.8785906709588276</v>
      </c>
      <c r="I1073" s="75">
        <f>IF(F1073&gt;'THAM_SO_MOI'!$C$14,'THAM_SO_MOI'!$C$13*(1+F1073^2/1500),'THAM_SO_MOI'!$C$13)</f>
        <v>0.015</v>
      </c>
      <c r="J1073" s="75">
        <f>'THAM_SO_MOI'!$C$40*('THAM_SO_MOI'!$C$23*(E1073/'THAM_SO_MOI'!$C$22)+'THAM_SO_MOI'!$C$24*(E1073/'THAM_SO_MOI'!$C$22)^2-'THAM_SO_MOI'!$C$25*(E1073/'THAM_SO_MOI'!$C$22)^3)</f>
        <v>84.21057476424204</v>
      </c>
      <c r="K1073" s="75">
        <f>'THAM_SO_MOI'!$C$31*J1073/E1073</f>
        <v>426.32461432771845</v>
      </c>
      <c r="L1073" s="75">
        <f>K1073*'THAM_SO_MOI'!$C$50*'THAM_SO_MOI'!$C$17/'THAM_SO_MOI'!$C$26</f>
        <v>15220.370084519343</v>
      </c>
      <c r="M1073" s="75">
        <f>'THAM_SO_MOI'!$C$15*'THAM_SO_MOI'!$C$16*F1073^2</f>
        <v>64.71581616058299</v>
      </c>
      <c r="N1073" s="75">
        <f>'THAM_SO_MOI'!$C$12*I1073</f>
        <v>1130.112</v>
      </c>
      <c r="O1073" s="75">
        <f>M1073+N1073</f>
        <v>1194.827816160583</v>
      </c>
      <c r="P1073" s="75">
        <f>(MIN(L1073,'THAM_SO_MOI'!$C$41)-O1073)/('THAM_SO_MOI'!$C$11*H1073)</f>
        <v>0.9721343297883538</v>
      </c>
      <c r="Q1073" s="75">
        <f>IF(P1073&gt;0,1/P1073,NA())</f>
        <v>1.0286644235861035</v>
      </c>
      <c r="R1073" s="75">
        <f>F1073-F1072</f>
        <v>0.0032106047296869278</v>
      </c>
      <c r="S1073" s="75">
        <f>0.5*(Q1072+Q1073)*R1073</f>
        <v>0.0033027718843512102</v>
      </c>
      <c r="T1073" s="75">
        <f>0.5*(F1072*Q1072+F1073*Q1073)*R1073</f>
        <v>0.015530041321099114</v>
      </c>
      <c r="U1073" s="76">
        <f>U1072+S1073</f>
        <v>4.940098370938681</v>
      </c>
      <c r="V1073" s="76">
        <f>V1072+T1073</f>
        <v>15.645862723183539</v>
      </c>
    </row>
    <row r="1074" spans="1:22" ht="19" customHeight="1">
      <c r="A1074" s="68" t="s">
        <v>372</v>
      </c>
      <c r="B1074" s="74">
        <v>2</v>
      </c>
      <c r="C1074" s="68" t="s">
        <v>363</v>
      </c>
      <c r="D1074" s="68" t="s">
        <v>364</v>
      </c>
      <c r="E1074" s="75">
        <f>60*F1074*'THAM_SO_MOI'!$C$50/(2*PI()*'THAM_SO_MOI'!$C$26)</f>
        <v>1887.8864765166238</v>
      </c>
      <c r="F1074" s="75">
        <f>'HANH_TRINH'!$F$826+('THAM_SO_MOI'!$F$50-'HANH_TRINH'!$F$826)*247/'THAM_SO_MOI'!$C$42</f>
        <v>4.706939482337905</v>
      </c>
      <c r="G1074" s="75">
        <f>3.6*F1074</f>
        <v>16.94498213641646</v>
      </c>
      <c r="H1074" s="75">
        <f>'THAM_SO_MOI'!$D$50</f>
        <v>1.8785906709588276</v>
      </c>
      <c r="I1074" s="75">
        <f>IF(F1074&gt;'THAM_SO_MOI'!$C$14,'THAM_SO_MOI'!$C$13*(1+F1074^2/1500),'THAM_SO_MOI'!$C$13)</f>
        <v>0.015</v>
      </c>
      <c r="J1074" s="75">
        <f>'THAM_SO_MOI'!$C$40*('THAM_SO_MOI'!$C$23*(E1074/'THAM_SO_MOI'!$C$22)+'THAM_SO_MOI'!$C$24*(E1074/'THAM_SO_MOI'!$C$22)^2-'THAM_SO_MOI'!$C$25*(E1074/'THAM_SO_MOI'!$C$22)^3)</f>
        <v>84.27495402591227</v>
      </c>
      <c r="K1074" s="75">
        <f>'THAM_SO_MOI'!$C$31*J1074/E1074</f>
        <v>426.3595224464647</v>
      </c>
      <c r="L1074" s="75">
        <f>K1074*'THAM_SO_MOI'!$C$50*'THAM_SO_MOI'!$C$17/'THAM_SO_MOI'!$C$26</f>
        <v>15221.616351960669</v>
      </c>
      <c r="M1074" s="75">
        <f>'THAM_SO_MOI'!$C$15*'THAM_SO_MOI'!$C$16*F1074^2</f>
        <v>64.80419192439491</v>
      </c>
      <c r="N1074" s="75">
        <f>'THAM_SO_MOI'!$C$12*I1074</f>
        <v>1130.112</v>
      </c>
      <c r="O1074" s="75">
        <f>M1074+N1074</f>
        <v>1194.916191924395</v>
      </c>
      <c r="P1074" s="75">
        <f>(MIN(L1074,'THAM_SO_MOI'!$C$41)-O1074)/('THAM_SO_MOI'!$C$11*H1074)</f>
        <v>0.9722145852414658</v>
      </c>
      <c r="Q1074" s="75">
        <f>IF(P1074&gt;0,1/P1074,NA())</f>
        <v>1.0285795082488227</v>
      </c>
      <c r="R1074" s="75">
        <f>F1074-F1073</f>
        <v>0.0032106047296869278</v>
      </c>
      <c r="S1074" s="75">
        <f>0.5*(Q1073+Q1074)*R1074</f>
        <v>0.003302498548834473</v>
      </c>
      <c r="T1074" s="75">
        <f>0.5*(F1073*Q1073+F1074*Q1074)*R1074</f>
        <v>0.015539359082315823</v>
      </c>
      <c r="U1074" s="76">
        <f>U1073+S1074</f>
        <v>4.943400869487516</v>
      </c>
      <c r="V1074" s="76">
        <f>V1073+T1074</f>
        <v>15.661402082265855</v>
      </c>
    </row>
    <row r="1075" spans="1:22" ht="19" customHeight="1">
      <c r="A1075" s="68" t="s">
        <v>372</v>
      </c>
      <c r="B1075" s="74">
        <v>2</v>
      </c>
      <c r="C1075" s="68" t="s">
        <v>363</v>
      </c>
      <c r="D1075" s="68" t="s">
        <v>364</v>
      </c>
      <c r="E1075" s="75">
        <f>60*F1075*'THAM_SO_MOI'!$C$50/(2*PI()*'THAM_SO_MOI'!$C$26)</f>
        <v>1889.1742044071905</v>
      </c>
      <c r="F1075" s="75">
        <f>'HANH_TRINH'!$F$826+('THAM_SO_MOI'!$F$50-'HANH_TRINH'!$F$826)*248/'THAM_SO_MOI'!$C$42</f>
        <v>4.710150087067592</v>
      </c>
      <c r="G1075" s="75">
        <f>3.6*F1075</f>
        <v>16.95654031344333</v>
      </c>
      <c r="H1075" s="75">
        <f>'THAM_SO_MOI'!$D$50</f>
        <v>1.8785906709588276</v>
      </c>
      <c r="I1075" s="75">
        <f>IF(F1075&gt;'THAM_SO_MOI'!$C$14,'THAM_SO_MOI'!$C$13*(1+F1075^2/1500),'THAM_SO_MOI'!$C$13)</f>
        <v>0.015</v>
      </c>
      <c r="J1075" s="75">
        <f>'THAM_SO_MOI'!$C$40*('THAM_SO_MOI'!$C$23*(E1075/'THAM_SO_MOI'!$C$22)+'THAM_SO_MOI'!$C$24*(E1075/'THAM_SO_MOI'!$C$22)^2-'THAM_SO_MOI'!$C$25*(E1075/'THAM_SO_MOI'!$C$22)^3)</f>
        <v>84.33931088017822</v>
      </c>
      <c r="K1075" s="75">
        <f>'THAM_SO_MOI'!$C$31*J1075/E1075</f>
        <v>426.39426969087873</v>
      </c>
      <c r="L1075" s="75">
        <f>K1075*'THAM_SO_MOI'!$C$50*'THAM_SO_MOI'!$C$17/'THAM_SO_MOI'!$C$26</f>
        <v>15222.856875968957</v>
      </c>
      <c r="M1075" s="75">
        <f>'THAM_SO_MOI'!$C$15*'THAM_SO_MOI'!$C$16*F1075^2</f>
        <v>64.89262798990582</v>
      </c>
      <c r="N1075" s="75">
        <f>'THAM_SO_MOI'!$C$12*I1075</f>
        <v>1130.112</v>
      </c>
      <c r="O1075" s="75">
        <f>M1075+N1075</f>
        <v>1195.0046279899059</v>
      </c>
      <c r="P1075" s="75">
        <f>(MIN(L1075,'THAM_SO_MOI'!$C$41)-O1075)/('THAM_SO_MOI'!$C$11*H1075)</f>
        <v>0.9722944384277938</v>
      </c>
      <c r="Q1075" s="75">
        <f>IF(P1075&gt;0,1/P1075,NA())</f>
        <v>1.0284950324482018</v>
      </c>
      <c r="R1075" s="75">
        <f>F1075-F1074</f>
        <v>0.0032106047296869278</v>
      </c>
      <c r="S1075" s="75">
        <f>0.5*(Q1074+Q1075)*R1075</f>
        <v>0.0033022266248402157</v>
      </c>
      <c r="T1075" s="75">
        <f>0.5*(F1074*Q1074+F1075*Q1075)*R1075</f>
        <v>0.015548681734604185</v>
      </c>
      <c r="U1075" s="76">
        <f>U1074+S1075</f>
        <v>4.946703096112357</v>
      </c>
      <c r="V1075" s="76">
        <f>V1074+T1075</f>
        <v>15.676950764000459</v>
      </c>
    </row>
    <row r="1076" spans="1:22" ht="19" customHeight="1">
      <c r="A1076" s="68" t="s">
        <v>372</v>
      </c>
      <c r="B1076" s="74">
        <v>2</v>
      </c>
      <c r="C1076" s="68" t="s">
        <v>363</v>
      </c>
      <c r="D1076" s="68" t="s">
        <v>364</v>
      </c>
      <c r="E1076" s="75">
        <f>60*F1076*'THAM_SO_MOI'!$C$50/(2*PI()*'THAM_SO_MOI'!$C$26)</f>
        <v>1890.4619322977571</v>
      </c>
      <c r="F1076" s="75">
        <f>'HANH_TRINH'!$F$826+('THAM_SO_MOI'!$F$50-'HANH_TRINH'!$F$826)*249/'THAM_SO_MOI'!$C$42</f>
        <v>4.713360691797279</v>
      </c>
      <c r="G1076" s="75">
        <f>3.6*F1076</f>
        <v>16.968098490470204</v>
      </c>
      <c r="H1076" s="75">
        <f>'THAM_SO_MOI'!$D$50</f>
        <v>1.8785906709588276</v>
      </c>
      <c r="I1076" s="75">
        <f>IF(F1076&gt;'THAM_SO_MOI'!$C$14,'THAM_SO_MOI'!$C$13*(1+F1076^2/1500),'THAM_SO_MOI'!$C$13)</f>
        <v>0.015</v>
      </c>
      <c r="J1076" s="75">
        <f>'THAM_SO_MOI'!$C$40*('THAM_SO_MOI'!$C$23*(E1076/'THAM_SO_MOI'!$C$22)+'THAM_SO_MOI'!$C$24*(E1076/'THAM_SO_MOI'!$C$22)^2-'THAM_SO_MOI'!$C$25*(E1076/'THAM_SO_MOI'!$C$22)^3)</f>
        <v>84.40364526197021</v>
      </c>
      <c r="K1076" s="75">
        <f>'THAM_SO_MOI'!$C$31*J1076/E1076</f>
        <v>426.42885606096047</v>
      </c>
      <c r="L1076" s="75">
        <f>K1076*'THAM_SO_MOI'!$C$50*'THAM_SO_MOI'!$C$17/'THAM_SO_MOI'!$C$26</f>
        <v>15224.091656544211</v>
      </c>
      <c r="M1076" s="75">
        <f>'THAM_SO_MOI'!$C$15*'THAM_SO_MOI'!$C$16*F1076^2</f>
        <v>64.9811243571157</v>
      </c>
      <c r="N1076" s="75">
        <f>'THAM_SO_MOI'!$C$12*I1076</f>
        <v>1130.112</v>
      </c>
      <c r="O1076" s="75">
        <f>M1076+N1076</f>
        <v>1195.0931243571158</v>
      </c>
      <c r="P1076" s="75">
        <f>(MIN(L1076,'THAM_SO_MOI'!$C$41)-O1076)/('THAM_SO_MOI'!$C$11*H1076)</f>
        <v>0.9723738893473385</v>
      </c>
      <c r="Q1076" s="75">
        <f>IF(P1076&gt;0,1/P1076,NA())</f>
        <v>1.0284109959711119</v>
      </c>
      <c r="R1076" s="75">
        <f>F1076-F1075</f>
        <v>0.0032106047296869278</v>
      </c>
      <c r="S1076" s="75">
        <f>0.5*(Q1075+Q1076)*R1076</f>
        <v>0.0033019561116823014</v>
      </c>
      <c r="T1076" s="75">
        <f>0.5*(F1075*Q1075+F1076*Q1076)*R1076</f>
        <v>0.015558009288326813</v>
      </c>
      <c r="U1076" s="76">
        <f>U1075+S1076</f>
        <v>4.950005052224039</v>
      </c>
      <c r="V1076" s="76">
        <f>V1075+T1076</f>
        <v>15.692508773288786</v>
      </c>
    </row>
    <row r="1077" spans="1:22" ht="19" customHeight="1">
      <c r="A1077" s="68" t="s">
        <v>372</v>
      </c>
      <c r="B1077" s="74">
        <v>2</v>
      </c>
      <c r="C1077" s="68" t="s">
        <v>363</v>
      </c>
      <c r="D1077" s="68" t="s">
        <v>364</v>
      </c>
      <c r="E1077" s="75">
        <f>60*F1077*'THAM_SO_MOI'!$C$50/(2*PI()*'THAM_SO_MOI'!$C$26)</f>
        <v>1891.7496601883238</v>
      </c>
      <c r="F1077" s="75">
        <f>'HANH_TRINH'!$F$826+('THAM_SO_MOI'!$F$50-'HANH_TRINH'!$F$826)*250/'THAM_SO_MOI'!$C$42</f>
        <v>4.716571296526966</v>
      </c>
      <c r="G1077" s="75">
        <f>3.6*F1077</f>
        <v>16.97965666749708</v>
      </c>
      <c r="H1077" s="75">
        <f>'THAM_SO_MOI'!$D$50</f>
        <v>1.8785906709588276</v>
      </c>
      <c r="I1077" s="75">
        <f>IF(F1077&gt;'THAM_SO_MOI'!$C$14,'THAM_SO_MOI'!$C$13*(1+F1077^2/1500),'THAM_SO_MOI'!$C$13)</f>
        <v>0.015</v>
      </c>
      <c r="J1077" s="75">
        <f>'THAM_SO_MOI'!$C$40*('THAM_SO_MOI'!$C$23*(E1077/'THAM_SO_MOI'!$C$22)+'THAM_SO_MOI'!$C$24*(E1077/'THAM_SO_MOI'!$C$22)^2-'THAM_SO_MOI'!$C$25*(E1077/'THAM_SO_MOI'!$C$22)^3)</f>
        <v>84.46795710621858</v>
      </c>
      <c r="K1077" s="75">
        <f>'THAM_SO_MOI'!$C$31*J1077/E1077</f>
        <v>426.46328155671006</v>
      </c>
      <c r="L1077" s="75">
        <f>K1077*'THAM_SO_MOI'!$C$50*'THAM_SO_MOI'!$C$17/'THAM_SO_MOI'!$C$26</f>
        <v>15225.320693686432</v>
      </c>
      <c r="M1077" s="75">
        <f>'THAM_SO_MOI'!$C$15*'THAM_SO_MOI'!$C$16*F1077^2</f>
        <v>65.06968102602454</v>
      </c>
      <c r="N1077" s="75">
        <f>'THAM_SO_MOI'!$C$12*I1077</f>
        <v>1130.112</v>
      </c>
      <c r="O1077" s="75">
        <f>M1077+N1077</f>
        <v>1195.1816810260245</v>
      </c>
      <c r="P1077" s="75">
        <f>(MIN(L1077,'THAM_SO_MOI'!$C$41)-O1077)/('THAM_SO_MOI'!$C$11*H1077)</f>
        <v>0.9724529380000997</v>
      </c>
      <c r="Q1077" s="75">
        <f>IF(P1077&gt;0,1/P1077,NA())</f>
        <v>1.0283273986055843</v>
      </c>
      <c r="R1077" s="75">
        <f>F1077-F1076</f>
        <v>0.0032106047296869278</v>
      </c>
      <c r="S1077" s="75">
        <f>0.5*(Q1076+Q1077)*R1077</f>
        <v>0.0033016870086783195</v>
      </c>
      <c r="T1077" s="75">
        <f>0.5*(F1076*Q1076+F1077*Q1077)*R1077</f>
        <v>0.01556734175385509</v>
      </c>
      <c r="U1077" s="76">
        <f>U1076+S1077</f>
        <v>4.953306739232717</v>
      </c>
      <c r="V1077" s="76">
        <f>V1076+T1077</f>
        <v>15.70807611504264</v>
      </c>
    </row>
    <row r="1078" spans="1:22" ht="19" customHeight="1">
      <c r="A1078" s="68" t="s">
        <v>372</v>
      </c>
      <c r="B1078" s="74">
        <v>2</v>
      </c>
      <c r="C1078" s="68" t="s">
        <v>363</v>
      </c>
      <c r="D1078" s="68" t="s">
        <v>364</v>
      </c>
      <c r="E1078" s="75">
        <f>60*F1078*'THAM_SO_MOI'!$C$50/(2*PI()*'THAM_SO_MOI'!$C$26)</f>
        <v>1893.037388078891</v>
      </c>
      <c r="F1078" s="75">
        <f>'HANH_TRINH'!$F$826+('THAM_SO_MOI'!$F$50-'HANH_TRINH'!$F$826)*251/'THAM_SO_MOI'!$C$42</f>
        <v>4.719781901256653</v>
      </c>
      <c r="G1078" s="75">
        <f>3.6*F1078</f>
        <v>16.99121484452395</v>
      </c>
      <c r="H1078" s="75">
        <f>'THAM_SO_MOI'!$D$50</f>
        <v>1.8785906709588276</v>
      </c>
      <c r="I1078" s="75">
        <f>IF(F1078&gt;'THAM_SO_MOI'!$C$14,'THAM_SO_MOI'!$C$13*(1+F1078^2/1500),'THAM_SO_MOI'!$C$13)</f>
        <v>0.015</v>
      </c>
      <c r="J1078" s="75">
        <f>'THAM_SO_MOI'!$C$40*('THAM_SO_MOI'!$C$23*(E1078/'THAM_SO_MOI'!$C$22)+'THAM_SO_MOI'!$C$24*(E1078/'THAM_SO_MOI'!$C$22)^2-'THAM_SO_MOI'!$C$25*(E1078/'THAM_SO_MOI'!$C$22)^3)</f>
        <v>84.53224634785359</v>
      </c>
      <c r="K1078" s="75">
        <f>'THAM_SO_MOI'!$C$31*J1078/E1078</f>
        <v>426.4975461781274</v>
      </c>
      <c r="L1078" s="75">
        <f>K1078*'THAM_SO_MOI'!$C$50*'THAM_SO_MOI'!$C$17/'THAM_SO_MOI'!$C$26</f>
        <v>15226.543987395618</v>
      </c>
      <c r="M1078" s="75">
        <f>'THAM_SO_MOI'!$C$15*'THAM_SO_MOI'!$C$16*F1078^2</f>
        <v>65.15829799663236</v>
      </c>
      <c r="N1078" s="75">
        <f>'THAM_SO_MOI'!$C$12*I1078</f>
        <v>1130.112</v>
      </c>
      <c r="O1078" s="75">
        <f>M1078+N1078</f>
        <v>1195.2702979966325</v>
      </c>
      <c r="P1078" s="75">
        <f>(MIN(L1078,'THAM_SO_MOI'!$C$41)-O1078)/('THAM_SO_MOI'!$C$11*H1078)</f>
        <v>0.9725315843860776</v>
      </c>
      <c r="Q1078" s="75">
        <f>IF(P1078&gt;0,1/P1078,NA())</f>
        <v>1.0282442401408096</v>
      </c>
      <c r="R1078" s="75">
        <f>F1078-F1077</f>
        <v>0.0032106047296869278</v>
      </c>
      <c r="S1078" s="75">
        <f>0.5*(Q1077+Q1078)*R1078</f>
        <v>0.0033014193151495843</v>
      </c>
      <c r="T1078" s="75">
        <f>0.5*(F1077*Q1077+F1078*Q1078)*R1078</f>
        <v>0.015576679141569186</v>
      </c>
      <c r="U1078" s="76">
        <f>U1077+S1078</f>
        <v>4.9566081585478665</v>
      </c>
      <c r="V1078" s="76">
        <f>V1077+T1078</f>
        <v>15.72365279418421</v>
      </c>
    </row>
    <row r="1079" spans="1:22" ht="19" customHeight="1">
      <c r="A1079" s="68" t="s">
        <v>372</v>
      </c>
      <c r="B1079" s="74">
        <v>2</v>
      </c>
      <c r="C1079" s="68" t="s">
        <v>363</v>
      </c>
      <c r="D1079" s="68" t="s">
        <v>364</v>
      </c>
      <c r="E1079" s="75">
        <f>60*F1079*'THAM_SO_MOI'!$C$50/(2*PI()*'THAM_SO_MOI'!$C$26)</f>
        <v>1894.325115969457</v>
      </c>
      <c r="F1079" s="75">
        <f>'HANH_TRINH'!$F$826+('THAM_SO_MOI'!$F$50-'HANH_TRINH'!$F$826)*252/'THAM_SO_MOI'!$C$42</f>
        <v>4.722992505986339</v>
      </c>
      <c r="G1079" s="75">
        <f>3.6*F1079</f>
        <v>17.00277302155082</v>
      </c>
      <c r="H1079" s="75">
        <f>'THAM_SO_MOI'!$D$50</f>
        <v>1.8785906709588276</v>
      </c>
      <c r="I1079" s="75">
        <f>IF(F1079&gt;'THAM_SO_MOI'!$C$14,'THAM_SO_MOI'!$C$13*(1+F1079^2/1500),'THAM_SO_MOI'!$C$13)</f>
        <v>0.015</v>
      </c>
      <c r="J1079" s="75">
        <f>'THAM_SO_MOI'!$C$40*('THAM_SO_MOI'!$C$23*(E1079/'THAM_SO_MOI'!$C$22)+'THAM_SO_MOI'!$C$24*(E1079/'THAM_SO_MOI'!$C$22)^2-'THAM_SO_MOI'!$C$25*(E1079/'THAM_SO_MOI'!$C$22)^3)</f>
        <v>84.59651292180553</v>
      </c>
      <c r="K1079" s="75">
        <f>'THAM_SO_MOI'!$C$31*J1079/E1079</f>
        <v>426.53164992521243</v>
      </c>
      <c r="L1079" s="75">
        <f>K1079*'THAM_SO_MOI'!$C$50*'THAM_SO_MOI'!$C$17/'THAM_SO_MOI'!$C$26</f>
        <v>15227.761537671764</v>
      </c>
      <c r="M1079" s="75">
        <f>'THAM_SO_MOI'!$C$15*'THAM_SO_MOI'!$C$16*F1079^2</f>
        <v>65.24697526893912</v>
      </c>
      <c r="N1079" s="75">
        <f>'THAM_SO_MOI'!$C$12*I1079</f>
        <v>1130.112</v>
      </c>
      <c r="O1079" s="75">
        <f>M1079+N1079</f>
        <v>1195.3589752689393</v>
      </c>
      <c r="P1079" s="75">
        <f>(MIN(L1079,'THAM_SO_MOI'!$C$41)-O1079)/('THAM_SO_MOI'!$C$11*H1079)</f>
        <v>0.9726098285052713</v>
      </c>
      <c r="Q1079" s="75">
        <f>IF(P1079&gt;0,1/P1079,NA())</f>
        <v>1.0281615203671368</v>
      </c>
      <c r="R1079" s="75">
        <f>F1079-F1078</f>
        <v>0.0032106047296860396</v>
      </c>
      <c r="S1079" s="75">
        <f>0.5*(Q1078+Q1079)*R1079</f>
        <v>0.0033011530304202148</v>
      </c>
      <c r="T1079" s="75">
        <f>0.5*(F1078*Q1078+F1079*Q1079)*R1079</f>
        <v>0.015586021461853828</v>
      </c>
      <c r="U1079" s="76">
        <f>U1078+S1079</f>
        <v>4.959909311578286</v>
      </c>
      <c r="V1079" s="76">
        <f>V1078+T1079</f>
        <v>15.739238815646063</v>
      </c>
    </row>
    <row r="1080" spans="1:22" ht="19" customHeight="1">
      <c r="A1080" s="68" t="s">
        <v>372</v>
      </c>
      <c r="B1080" s="74">
        <v>2</v>
      </c>
      <c r="C1080" s="68" t="s">
        <v>363</v>
      </c>
      <c r="D1080" s="68" t="s">
        <v>364</v>
      </c>
      <c r="E1080" s="75">
        <f>60*F1080*'THAM_SO_MOI'!$C$50/(2*PI()*'THAM_SO_MOI'!$C$26)</f>
        <v>1895.6128438600238</v>
      </c>
      <c r="F1080" s="75">
        <f>'HANH_TRINH'!$F$826+('THAM_SO_MOI'!$F$50-'HANH_TRINH'!$F$826)*253/'THAM_SO_MOI'!$C$42</f>
        <v>4.726203110716026</v>
      </c>
      <c r="G1080" s="75">
        <f>3.6*F1080</f>
        <v>17.014331198577693</v>
      </c>
      <c r="H1080" s="75">
        <f>'THAM_SO_MOI'!$D$50</f>
        <v>1.8785906709588276</v>
      </c>
      <c r="I1080" s="75">
        <f>IF(F1080&gt;'THAM_SO_MOI'!$C$14,'THAM_SO_MOI'!$C$13*(1+F1080^2/1500),'THAM_SO_MOI'!$C$13)</f>
        <v>0.015</v>
      </c>
      <c r="J1080" s="75">
        <f>'THAM_SO_MOI'!$C$40*('THAM_SO_MOI'!$C$23*(E1080/'THAM_SO_MOI'!$C$22)+'THAM_SO_MOI'!$C$24*(E1080/'THAM_SO_MOI'!$C$22)^2-'THAM_SO_MOI'!$C$25*(E1080/'THAM_SO_MOI'!$C$22)^3)</f>
        <v>84.66075676300473</v>
      </c>
      <c r="K1080" s="75">
        <f>'THAM_SO_MOI'!$C$31*J1080/E1080</f>
        <v>426.5655927979652</v>
      </c>
      <c r="L1080" s="75">
        <f>K1080*'THAM_SO_MOI'!$C$50*'THAM_SO_MOI'!$C$17/'THAM_SO_MOI'!$C$26</f>
        <v>15228.973344514876</v>
      </c>
      <c r="M1080" s="75">
        <f>'THAM_SO_MOI'!$C$15*'THAM_SO_MOI'!$C$16*F1080^2</f>
        <v>65.33571284294489</v>
      </c>
      <c r="N1080" s="75">
        <f>'THAM_SO_MOI'!$C$12*I1080</f>
        <v>1130.112</v>
      </c>
      <c r="O1080" s="75">
        <f>M1080+N1080</f>
        <v>1195.447712842945</v>
      </c>
      <c r="P1080" s="75">
        <f>(MIN(L1080,'THAM_SO_MOI'!$C$41)-O1080)/('THAM_SO_MOI'!$C$11*H1080)</f>
        <v>0.9726876703576817</v>
      </c>
      <c r="Q1080" s="75">
        <f>IF(P1080&gt;0,1/P1080,NA())</f>
        <v>1.0280792390760694</v>
      </c>
      <c r="R1080" s="75">
        <f>F1080-F1079</f>
        <v>0.0032106047296869278</v>
      </c>
      <c r="S1080" s="75">
        <f>0.5*(Q1079+Q1080)*R1080</f>
        <v>0.0033008881538216985</v>
      </c>
      <c r="T1080" s="75">
        <f>0.5*(F1079*Q1079+F1080*Q1080)*R1080</f>
        <v>0.01559536872511985</v>
      </c>
      <c r="U1080" s="76">
        <f>U1079+S1080</f>
        <v>4.963210199732108</v>
      </c>
      <c r="V1080" s="76">
        <f>V1079+T1080</f>
        <v>15.754834184371182</v>
      </c>
    </row>
    <row r="1081" spans="1:22" ht="19" customHeight="1">
      <c r="A1081" s="68" t="s">
        <v>372</v>
      </c>
      <c r="B1081" s="74">
        <v>2</v>
      </c>
      <c r="C1081" s="68" t="s">
        <v>363</v>
      </c>
      <c r="D1081" s="68" t="s">
        <v>364</v>
      </c>
      <c r="E1081" s="75">
        <f>60*F1081*'THAM_SO_MOI'!$C$50/(2*PI()*'THAM_SO_MOI'!$C$26)</f>
        <v>1896.9005717505906</v>
      </c>
      <c r="F1081" s="75">
        <f>'HANH_TRINH'!$F$826+('THAM_SO_MOI'!$F$50-'HANH_TRINH'!$F$826)*254/'THAM_SO_MOI'!$C$42</f>
        <v>4.7294137154457125</v>
      </c>
      <c r="G1081" s="75">
        <f>3.6*F1081</f>
        <v>17.025889375604567</v>
      </c>
      <c r="H1081" s="75">
        <f>'THAM_SO_MOI'!$D$50</f>
        <v>1.8785906709588276</v>
      </c>
      <c r="I1081" s="75">
        <f>IF(F1081&gt;'THAM_SO_MOI'!$C$14,'THAM_SO_MOI'!$C$13*(1+F1081^2/1500),'THAM_SO_MOI'!$C$13)</f>
        <v>0.015</v>
      </c>
      <c r="J1081" s="75">
        <f>'THAM_SO_MOI'!$C$40*('THAM_SO_MOI'!$C$23*(E1081/'THAM_SO_MOI'!$C$22)+'THAM_SO_MOI'!$C$24*(E1081/'THAM_SO_MOI'!$C$22)^2-'THAM_SO_MOI'!$C$25*(E1081/'THAM_SO_MOI'!$C$22)^3)</f>
        <v>84.72497780638147</v>
      </c>
      <c r="K1081" s="75">
        <f>'THAM_SO_MOI'!$C$31*J1081/E1081</f>
        <v>426.5993747963857</v>
      </c>
      <c r="L1081" s="75">
        <f>K1081*'THAM_SO_MOI'!$C$50*'THAM_SO_MOI'!$C$17/'THAM_SO_MOI'!$C$26</f>
        <v>15230.179407924948</v>
      </c>
      <c r="M1081" s="75">
        <f>'THAM_SO_MOI'!$C$15*'THAM_SO_MOI'!$C$16*F1081^2</f>
        <v>65.42451071864961</v>
      </c>
      <c r="N1081" s="75">
        <f>'THAM_SO_MOI'!$C$12*I1081</f>
        <v>1130.112</v>
      </c>
      <c r="O1081" s="75">
        <f>M1081+N1081</f>
        <v>1195.5365107186497</v>
      </c>
      <c r="P1081" s="75">
        <f>(MIN(L1081,'THAM_SO_MOI'!$C$41)-O1081)/('THAM_SO_MOI'!$C$11*H1081)</f>
        <v>0.9727651099433082</v>
      </c>
      <c r="Q1081" s="75">
        <f>IF(P1081&gt;0,1/P1081,NA())</f>
        <v>1.0279973960602669</v>
      </c>
      <c r="R1081" s="75">
        <f>F1081-F1080</f>
        <v>0.0032106047296869278</v>
      </c>
      <c r="S1081" s="75">
        <f>0.5*(Q1080+Q1081)*R1081</f>
        <v>0.0033006246846837527</v>
      </c>
      <c r="T1081" s="75">
        <f>0.5*(F1080*Q1080+F1081*Q1081)*R1081</f>
        <v>0.015604720941761135</v>
      </c>
      <c r="U1081" s="76">
        <f>U1080+S1081</f>
        <v>4.966510824416792</v>
      </c>
      <c r="V1081" s="76">
        <f>V1080+T1081</f>
        <v>15.770438905312943</v>
      </c>
    </row>
    <row r="1082" spans="1:22" ht="19" customHeight="1">
      <c r="A1082" s="68" t="s">
        <v>372</v>
      </c>
      <c r="B1082" s="74">
        <v>2</v>
      </c>
      <c r="C1082" s="68" t="s">
        <v>363</v>
      </c>
      <c r="D1082" s="68" t="s">
        <v>364</v>
      </c>
      <c r="E1082" s="75">
        <f>60*F1082*'THAM_SO_MOI'!$C$50/(2*PI()*'THAM_SO_MOI'!$C$26)</f>
        <v>1898.1882996411573</v>
      </c>
      <c r="F1082" s="75">
        <f>'HANH_TRINH'!$F$826+('THAM_SO_MOI'!$F$50-'HANH_TRINH'!$F$826)*255/'THAM_SO_MOI'!$C$42</f>
        <v>4.7326243201753995</v>
      </c>
      <c r="G1082" s="75">
        <f>3.6*F1082</f>
        <v>17.037447552631438</v>
      </c>
      <c r="H1082" s="75">
        <f>'THAM_SO_MOI'!$D$50</f>
        <v>1.8785906709588276</v>
      </c>
      <c r="I1082" s="75">
        <f>IF(F1082&gt;'THAM_SO_MOI'!$C$14,'THAM_SO_MOI'!$C$13*(1+F1082^2/1500),'THAM_SO_MOI'!$C$13)</f>
        <v>0.015</v>
      </c>
      <c r="J1082" s="75">
        <f>'THAM_SO_MOI'!$C$40*('THAM_SO_MOI'!$C$23*(E1082/'THAM_SO_MOI'!$C$22)+'THAM_SO_MOI'!$C$24*(E1082/'THAM_SO_MOI'!$C$22)^2-'THAM_SO_MOI'!$C$25*(E1082/'THAM_SO_MOI'!$C$22)^3)</f>
        <v>84.78917598686607</v>
      </c>
      <c r="K1082" s="75">
        <f>'THAM_SO_MOI'!$C$31*J1082/E1082</f>
        <v>426.63299592047395</v>
      </c>
      <c r="L1082" s="75">
        <f>K1082*'THAM_SO_MOI'!$C$50*'THAM_SO_MOI'!$C$17/'THAM_SO_MOI'!$C$26</f>
        <v>15231.379727901987</v>
      </c>
      <c r="M1082" s="75">
        <f>'THAM_SO_MOI'!$C$15*'THAM_SO_MOI'!$C$16*F1082^2</f>
        <v>65.51336889605332</v>
      </c>
      <c r="N1082" s="75">
        <f>'THAM_SO_MOI'!$C$12*I1082</f>
        <v>1130.112</v>
      </c>
      <c r="O1082" s="75">
        <f>M1082+N1082</f>
        <v>1195.6253688960535</v>
      </c>
      <c r="P1082" s="75">
        <f>(MIN(L1082,'THAM_SO_MOI'!$C$41)-O1082)/('THAM_SO_MOI'!$C$11*H1082)</f>
        <v>0.972842147262151</v>
      </c>
      <c r="Q1082" s="75">
        <f>IF(P1082&gt;0,1/P1082,NA())</f>
        <v>1.0279159911135416</v>
      </c>
      <c r="R1082" s="75">
        <f>F1082-F1081</f>
        <v>0.0032106047296869278</v>
      </c>
      <c r="S1082" s="75">
        <f>0.5*(Q1081+Q1082)*R1082</f>
        <v>0.0033003626223434505</v>
      </c>
      <c r="T1082" s="75">
        <f>0.5*(F1081*Q1081+F1082*Q1082)*R1082</f>
        <v>0.015614078122197787</v>
      </c>
      <c r="U1082" s="76">
        <f>U1081+S1082</f>
        <v>4.969811187039135</v>
      </c>
      <c r="V1082" s="76">
        <f>V1081+T1082</f>
        <v>15.786052983435141</v>
      </c>
    </row>
    <row r="1083" spans="1:22" ht="19" customHeight="1">
      <c r="A1083" s="68" t="s">
        <v>372</v>
      </c>
      <c r="B1083" s="74">
        <v>2</v>
      </c>
      <c r="C1083" s="68" t="s">
        <v>363</v>
      </c>
      <c r="D1083" s="68" t="s">
        <v>364</v>
      </c>
      <c r="E1083" s="75">
        <f>60*F1083*'THAM_SO_MOI'!$C$50/(2*PI()*'THAM_SO_MOI'!$C$26)</f>
        <v>1899.476027531724</v>
      </c>
      <c r="F1083" s="75">
        <f>'HANH_TRINH'!$F$826+('THAM_SO_MOI'!$F$50-'HANH_TRINH'!$F$826)*256/'THAM_SO_MOI'!$C$42</f>
        <v>4.735834924905086</v>
      </c>
      <c r="G1083" s="75">
        <f>3.6*F1083</f>
        <v>17.04900572965831</v>
      </c>
      <c r="H1083" s="75">
        <f>'THAM_SO_MOI'!$D$50</f>
        <v>1.8785906709588276</v>
      </c>
      <c r="I1083" s="75">
        <f>IF(F1083&gt;'THAM_SO_MOI'!$C$14,'THAM_SO_MOI'!$C$13*(1+F1083^2/1500),'THAM_SO_MOI'!$C$13)</f>
        <v>0.015</v>
      </c>
      <c r="J1083" s="75">
        <f>'THAM_SO_MOI'!$C$40*('THAM_SO_MOI'!$C$23*(E1083/'THAM_SO_MOI'!$C$22)+'THAM_SO_MOI'!$C$24*(E1083/'THAM_SO_MOI'!$C$22)^2-'THAM_SO_MOI'!$C$25*(E1083/'THAM_SO_MOI'!$C$22)^3)</f>
        <v>84.85335123938883</v>
      </c>
      <c r="K1083" s="75">
        <f>'THAM_SO_MOI'!$C$31*J1083/E1083</f>
        <v>426.66645617022994</v>
      </c>
      <c r="L1083" s="75">
        <f>K1083*'THAM_SO_MOI'!$C$50*'THAM_SO_MOI'!$C$17/'THAM_SO_MOI'!$C$26</f>
        <v>15232.574304445989</v>
      </c>
      <c r="M1083" s="75">
        <f>'THAM_SO_MOI'!$C$15*'THAM_SO_MOI'!$C$16*F1083^2</f>
        <v>65.602287375156</v>
      </c>
      <c r="N1083" s="75">
        <f>'THAM_SO_MOI'!$C$12*I1083</f>
        <v>1130.112</v>
      </c>
      <c r="O1083" s="75">
        <f>M1083+N1083</f>
        <v>1195.7142873751561</v>
      </c>
      <c r="P1083" s="75">
        <f>(MIN(L1083,'THAM_SO_MOI'!$C$41)-O1083)/('THAM_SO_MOI'!$C$11*H1083)</f>
        <v>0.9729187823142106</v>
      </c>
      <c r="Q1083" s="75">
        <f>IF(P1083&gt;0,1/P1083,NA())</f>
        <v>1.0278350240308582</v>
      </c>
      <c r="R1083" s="75">
        <f>F1083-F1082</f>
        <v>0.0032106047296869278</v>
      </c>
      <c r="S1083" s="75">
        <f>0.5*(Q1082+Q1083)*R1083</f>
        <v>0.003300101966140657</v>
      </c>
      <c r="T1083" s="75">
        <f>0.5*(F1082*Q1082+F1083*Q1083)*R1083</f>
        <v>0.015623440276854571</v>
      </c>
      <c r="U1083" s="76">
        <f>U1082+S1083</f>
        <v>4.973111289005276</v>
      </c>
      <c r="V1083" s="76">
        <f>V1082+T1083</f>
        <v>15.801676423711996</v>
      </c>
    </row>
    <row r="1084" spans="1:22" ht="19" customHeight="1">
      <c r="A1084" s="68" t="s">
        <v>372</v>
      </c>
      <c r="B1084" s="74">
        <v>2</v>
      </c>
      <c r="C1084" s="68" t="s">
        <v>363</v>
      </c>
      <c r="D1084" s="68" t="s">
        <v>364</v>
      </c>
      <c r="E1084" s="75">
        <f>60*F1084*'THAM_SO_MOI'!$C$50/(2*PI()*'THAM_SO_MOI'!$C$26)</f>
        <v>1900.7637554222906</v>
      </c>
      <c r="F1084" s="75">
        <f>'HANH_TRINH'!$F$826+('THAM_SO_MOI'!$F$50-'HANH_TRINH'!$F$826)*257/'THAM_SO_MOI'!$C$42</f>
        <v>4.739045529634773</v>
      </c>
      <c r="G1084" s="75">
        <f>3.6*F1084</f>
        <v>17.060563906685186</v>
      </c>
      <c r="H1084" s="75">
        <f>'THAM_SO_MOI'!$D$50</f>
        <v>1.8785906709588276</v>
      </c>
      <c r="I1084" s="75">
        <f>IF(F1084&gt;'THAM_SO_MOI'!$C$14,'THAM_SO_MOI'!$C$13*(1+F1084^2/1500),'THAM_SO_MOI'!$C$13)</f>
        <v>0.015</v>
      </c>
      <c r="J1084" s="75">
        <f>'THAM_SO_MOI'!$C$40*('THAM_SO_MOI'!$C$23*(E1084/'THAM_SO_MOI'!$C$22)+'THAM_SO_MOI'!$C$24*(E1084/'THAM_SO_MOI'!$C$22)^2-'THAM_SO_MOI'!$C$25*(E1084/'THAM_SO_MOI'!$C$22)^3)</f>
        <v>84.91750349888005</v>
      </c>
      <c r="K1084" s="75">
        <f>'THAM_SO_MOI'!$C$31*J1084/E1084</f>
        <v>426.69975554565383</v>
      </c>
      <c r="L1084" s="75">
        <f>K1084*'THAM_SO_MOI'!$C$50*'THAM_SO_MOI'!$C$17/'THAM_SO_MOI'!$C$26</f>
        <v>15233.76313755696</v>
      </c>
      <c r="M1084" s="75">
        <f>'THAM_SO_MOI'!$C$15*'THAM_SO_MOI'!$C$16*F1084^2</f>
        <v>65.69126615595763</v>
      </c>
      <c r="N1084" s="75">
        <f>'THAM_SO_MOI'!$C$12*I1084</f>
        <v>1130.112</v>
      </c>
      <c r="O1084" s="75">
        <f>M1084+N1084</f>
        <v>1195.8032661559578</v>
      </c>
      <c r="P1084" s="75">
        <f>(MIN(L1084,'THAM_SO_MOI'!$C$41)-O1084)/('THAM_SO_MOI'!$C$11*H1084)</f>
        <v>0.9729950150994865</v>
      </c>
      <c r="Q1084" s="75">
        <f>IF(P1084&gt;0,1/P1084,NA())</f>
        <v>1.027754494608333</v>
      </c>
      <c r="R1084" s="75">
        <f>F1084-F1083</f>
        <v>0.0032106047296869278</v>
      </c>
      <c r="S1084" s="75">
        <f>0.5*(Q1083+Q1084)*R1084</f>
        <v>0.003299842715418932</v>
      </c>
      <c r="T1084" s="75">
        <f>0.5*(F1083*Q1083+F1084*Q1084)*R1084</f>
        <v>0.01563280741616531</v>
      </c>
      <c r="U1084" s="76">
        <f>U1083+S1084</f>
        <v>4.9764111317206945</v>
      </c>
      <c r="V1084" s="76">
        <f>V1083+T1084</f>
        <v>15.817309231128162</v>
      </c>
    </row>
    <row r="1085" spans="1:22" ht="19" customHeight="1">
      <c r="A1085" s="68" t="s">
        <v>372</v>
      </c>
      <c r="B1085" s="74">
        <v>2</v>
      </c>
      <c r="C1085" s="68" t="s">
        <v>363</v>
      </c>
      <c r="D1085" s="68" t="s">
        <v>364</v>
      </c>
      <c r="E1085" s="75">
        <f>60*F1085*'THAM_SO_MOI'!$C$50/(2*PI()*'THAM_SO_MOI'!$C$26)</f>
        <v>1902.0514833128577</v>
      </c>
      <c r="F1085" s="75">
        <f>'HANH_TRINH'!$F$826+('THAM_SO_MOI'!$F$50-'HANH_TRINH'!$F$826)*258/'THAM_SO_MOI'!$C$42</f>
        <v>4.74225613436446</v>
      </c>
      <c r="G1085" s="75">
        <f>3.6*F1085</f>
        <v>17.072122083712056</v>
      </c>
      <c r="H1085" s="75">
        <f>'THAM_SO_MOI'!$D$50</f>
        <v>1.8785906709588276</v>
      </c>
      <c r="I1085" s="75">
        <f>IF(F1085&gt;'THAM_SO_MOI'!$C$14,'THAM_SO_MOI'!$C$13*(1+F1085^2/1500),'THAM_SO_MOI'!$C$13)</f>
        <v>0.015</v>
      </c>
      <c r="J1085" s="75">
        <f>'THAM_SO_MOI'!$C$40*('THAM_SO_MOI'!$C$23*(E1085/'THAM_SO_MOI'!$C$22)+'THAM_SO_MOI'!$C$24*(E1085/'THAM_SO_MOI'!$C$22)^2-'THAM_SO_MOI'!$C$25*(E1085/'THAM_SO_MOI'!$C$22)^3)</f>
        <v>84.98163270027004</v>
      </c>
      <c r="K1085" s="75">
        <f>'THAM_SO_MOI'!$C$31*J1085/E1085</f>
        <v>426.73289404674534</v>
      </c>
      <c r="L1085" s="75">
        <f>K1085*'THAM_SO_MOI'!$C$50*'THAM_SO_MOI'!$C$17/'THAM_SO_MOI'!$C$26</f>
        <v>15234.946227234892</v>
      </c>
      <c r="M1085" s="75">
        <f>'THAM_SO_MOI'!$C$15*'THAM_SO_MOI'!$C$16*F1085^2</f>
        <v>65.78030523845827</v>
      </c>
      <c r="N1085" s="75">
        <f>'THAM_SO_MOI'!$C$12*I1085</f>
        <v>1130.112</v>
      </c>
      <c r="O1085" s="75">
        <f>M1085+N1085</f>
        <v>1195.8923052384584</v>
      </c>
      <c r="P1085" s="75">
        <f>(MIN(L1085,'THAM_SO_MOI'!$C$41)-O1085)/('THAM_SO_MOI'!$C$11*H1085)</f>
        <v>0.9730708456179787</v>
      </c>
      <c r="Q1085" s="75">
        <f>IF(P1085&gt;0,1/P1085,NA())</f>
        <v>1.027674402643231</v>
      </c>
      <c r="R1085" s="75">
        <f>F1085-F1084</f>
        <v>0.0032106047296869278</v>
      </c>
      <c r="S1085" s="75">
        <f>0.5*(Q1084+Q1085)*R1085</f>
        <v>0.0032995848695255283</v>
      </c>
      <c r="T1085" s="75">
        <f>0.5*(F1084*Q1084+F1085*Q1085)*R1085</f>
        <v>0.015642179550572895</v>
      </c>
      <c r="U1085" s="76">
        <f>U1084+S1085</f>
        <v>4.97971071659022</v>
      </c>
      <c r="V1085" s="76">
        <f>V1084+T1085</f>
        <v>15.832951410678735</v>
      </c>
    </row>
    <row r="1086" spans="1:22" ht="19" customHeight="1">
      <c r="A1086" s="68" t="s">
        <v>372</v>
      </c>
      <c r="B1086" s="74">
        <v>2</v>
      </c>
      <c r="C1086" s="68" t="s">
        <v>363</v>
      </c>
      <c r="D1086" s="68" t="s">
        <v>364</v>
      </c>
      <c r="E1086" s="75">
        <f>60*F1086*'THAM_SO_MOI'!$C$50/(2*PI()*'THAM_SO_MOI'!$C$26)</f>
        <v>1903.339211203424</v>
      </c>
      <c r="F1086" s="75">
        <f>'HANH_TRINH'!$F$826+('THAM_SO_MOI'!$F$50-'HANH_TRINH'!$F$826)*259/'THAM_SO_MOI'!$C$42</f>
        <v>4.745466739094146</v>
      </c>
      <c r="G1086" s="75">
        <f>3.6*F1086</f>
        <v>17.083680260738927</v>
      </c>
      <c r="H1086" s="75">
        <f>'THAM_SO_MOI'!$D$50</f>
        <v>1.8785906709588276</v>
      </c>
      <c r="I1086" s="75">
        <f>IF(F1086&gt;'THAM_SO_MOI'!$C$14,'THAM_SO_MOI'!$C$13*(1+F1086^2/1500),'THAM_SO_MOI'!$C$13)</f>
        <v>0.015</v>
      </c>
      <c r="J1086" s="75">
        <f>'THAM_SO_MOI'!$C$40*('THAM_SO_MOI'!$C$23*(E1086/'THAM_SO_MOI'!$C$22)+'THAM_SO_MOI'!$C$24*(E1086/'THAM_SO_MOI'!$C$22)^2-'THAM_SO_MOI'!$C$25*(E1086/'THAM_SO_MOI'!$C$22)^3)</f>
        <v>85.04573877848905</v>
      </c>
      <c r="K1086" s="75">
        <f>'THAM_SO_MOI'!$C$31*J1086/E1086</f>
        <v>426.7658716735046</v>
      </c>
      <c r="L1086" s="75">
        <f>K1086*'THAM_SO_MOI'!$C$50*'THAM_SO_MOI'!$C$17/'THAM_SO_MOI'!$C$26</f>
        <v>15236.123573479787</v>
      </c>
      <c r="M1086" s="75">
        <f>'THAM_SO_MOI'!$C$15*'THAM_SO_MOI'!$C$16*F1086^2</f>
        <v>65.86940462265784</v>
      </c>
      <c r="N1086" s="75">
        <f>'THAM_SO_MOI'!$C$12*I1086</f>
        <v>1130.112</v>
      </c>
      <c r="O1086" s="75">
        <f>M1086+N1086</f>
        <v>1195.981404622658</v>
      </c>
      <c r="P1086" s="75">
        <f>(MIN(L1086,'THAM_SO_MOI'!$C$41)-O1086)/('THAM_SO_MOI'!$C$11*H1086)</f>
        <v>0.9731462738696872</v>
      </c>
      <c r="Q1086" s="75">
        <f>IF(P1086&gt;0,1/P1086,NA())</f>
        <v>1.0275947479339664</v>
      </c>
      <c r="R1086" s="75">
        <f>F1086-F1085</f>
        <v>0.0032106047296860396</v>
      </c>
      <c r="S1086" s="75">
        <f>0.5*(Q1085+Q1086)*R1086</f>
        <v>0.0032993284278104796</v>
      </c>
      <c r="T1086" s="75">
        <f>0.5*(F1085*Q1085+F1086*Q1086)*R1086</f>
        <v>0.015651556690525013</v>
      </c>
      <c r="U1086" s="76">
        <f>U1085+S1086</f>
        <v>4.98301004501803</v>
      </c>
      <c r="V1086" s="76">
        <f>V1085+T1086</f>
        <v>15.84860296736926</v>
      </c>
    </row>
    <row r="1087" spans="1:22" ht="19" customHeight="1">
      <c r="A1087" s="68" t="s">
        <v>372</v>
      </c>
      <c r="B1087" s="74">
        <v>2</v>
      </c>
      <c r="C1087" s="68" t="s">
        <v>363</v>
      </c>
      <c r="D1087" s="68" t="s">
        <v>364</v>
      </c>
      <c r="E1087" s="75">
        <f>60*F1087*'THAM_SO_MOI'!$C$50/(2*PI()*'THAM_SO_MOI'!$C$26)</f>
        <v>1904.6269390939906</v>
      </c>
      <c r="F1087" s="75">
        <f>'HANH_TRINH'!$F$826+('THAM_SO_MOI'!$F$50-'HANH_TRINH'!$F$826)*260/'THAM_SO_MOI'!$C$42</f>
        <v>4.748677343823833</v>
      </c>
      <c r="G1087" s="75">
        <f>3.6*F1087</f>
        <v>17.0952384377658</v>
      </c>
      <c r="H1087" s="75">
        <f>'THAM_SO_MOI'!$D$50</f>
        <v>1.8785906709588276</v>
      </c>
      <c r="I1087" s="75">
        <f>IF(F1087&gt;'THAM_SO_MOI'!$C$14,'THAM_SO_MOI'!$C$13*(1+F1087^2/1500),'THAM_SO_MOI'!$C$13)</f>
        <v>0.015</v>
      </c>
      <c r="J1087" s="75">
        <f>'THAM_SO_MOI'!$C$40*('THAM_SO_MOI'!$C$23*(E1087/'THAM_SO_MOI'!$C$22)+'THAM_SO_MOI'!$C$24*(E1087/'THAM_SO_MOI'!$C$22)^2-'THAM_SO_MOI'!$C$25*(E1087/'THAM_SO_MOI'!$C$22)^3)</f>
        <v>85.10982166846745</v>
      </c>
      <c r="K1087" s="75">
        <f>'THAM_SO_MOI'!$C$31*J1087/E1087</f>
        <v>426.7986884259317</v>
      </c>
      <c r="L1087" s="75">
        <f>K1087*'THAM_SO_MOI'!$C$50*'THAM_SO_MOI'!$C$17/'THAM_SO_MOI'!$C$26</f>
        <v>15237.295176291647</v>
      </c>
      <c r="M1087" s="75">
        <f>'THAM_SO_MOI'!$C$15*'THAM_SO_MOI'!$C$16*F1087^2</f>
        <v>65.9585643085564</v>
      </c>
      <c r="N1087" s="75">
        <f>'THAM_SO_MOI'!$C$12*I1087</f>
        <v>1130.112</v>
      </c>
      <c r="O1087" s="75">
        <f>M1087+N1087</f>
        <v>1196.0705643085564</v>
      </c>
      <c r="P1087" s="75">
        <f>(MIN(L1087,'THAM_SO_MOI'!$C$41)-O1087)/('THAM_SO_MOI'!$C$11*H1087)</f>
        <v>0.9732212998546124</v>
      </c>
      <c r="Q1087" s="75">
        <f>IF(P1087&gt;0,1/P1087,NA())</f>
        <v>1.0275155302800998</v>
      </c>
      <c r="R1087" s="75">
        <f>F1087-F1086</f>
        <v>0.0032106047296869278</v>
      </c>
      <c r="S1087" s="75">
        <f>0.5*(Q1086+Q1087)*R1087</f>
        <v>0.003299073389631149</v>
      </c>
      <c r="T1087" s="75">
        <f>0.5*(F1086*Q1086+F1087*Q1087)*R1087</f>
        <v>0.015660938846495817</v>
      </c>
      <c r="U1087" s="76">
        <f>U1086+S1087</f>
        <v>4.986309118407662</v>
      </c>
      <c r="V1087" s="76">
        <f>V1086+T1087</f>
        <v>15.864263906215756</v>
      </c>
    </row>
    <row r="1088" spans="1:22" ht="19" customHeight="1">
      <c r="A1088" s="68" t="s">
        <v>372</v>
      </c>
      <c r="B1088" s="74">
        <v>2</v>
      </c>
      <c r="C1088" s="68" t="s">
        <v>363</v>
      </c>
      <c r="D1088" s="68" t="s">
        <v>364</v>
      </c>
      <c r="E1088" s="75">
        <f>60*F1088*'THAM_SO_MOI'!$C$50/(2*PI()*'THAM_SO_MOI'!$C$26)</f>
        <v>1905.9146669845575</v>
      </c>
      <c r="F1088" s="75">
        <f>'HANH_TRINH'!$F$826+('THAM_SO_MOI'!$F$50-'HANH_TRINH'!$F$826)*261/'THAM_SO_MOI'!$C$42</f>
        <v>4.75188794855352</v>
      </c>
      <c r="G1088" s="75">
        <f>3.6*F1088</f>
        <v>17.106796614792675</v>
      </c>
      <c r="H1088" s="75">
        <f>'THAM_SO_MOI'!$D$50</f>
        <v>1.8785906709588276</v>
      </c>
      <c r="I1088" s="75">
        <f>IF(F1088&gt;'THAM_SO_MOI'!$C$14,'THAM_SO_MOI'!$C$13*(1+F1088^2/1500),'THAM_SO_MOI'!$C$13)</f>
        <v>0.015</v>
      </c>
      <c r="J1088" s="75">
        <f>'THAM_SO_MOI'!$C$40*('THAM_SO_MOI'!$C$23*(E1088/'THAM_SO_MOI'!$C$22)+'THAM_SO_MOI'!$C$24*(E1088/'THAM_SO_MOI'!$C$22)^2-'THAM_SO_MOI'!$C$25*(E1088/'THAM_SO_MOI'!$C$22)^3)</f>
        <v>85.17388130513551</v>
      </c>
      <c r="K1088" s="75">
        <f>'THAM_SO_MOI'!$C$31*J1088/E1088</f>
        <v>426.83134430402646</v>
      </c>
      <c r="L1088" s="75">
        <f>K1088*'THAM_SO_MOI'!$C$50*'THAM_SO_MOI'!$C$17/'THAM_SO_MOI'!$C$26</f>
        <v>15238.461035670474</v>
      </c>
      <c r="M1088" s="75">
        <f>'THAM_SO_MOI'!$C$15*'THAM_SO_MOI'!$C$16*F1088^2</f>
        <v>66.04778429615394</v>
      </c>
      <c r="N1088" s="75">
        <f>'THAM_SO_MOI'!$C$12*I1088</f>
        <v>1130.112</v>
      </c>
      <c r="O1088" s="75">
        <f>M1088+N1088</f>
        <v>1196.159784296154</v>
      </c>
      <c r="P1088" s="75">
        <f>(MIN(L1088,'THAM_SO_MOI'!$C$41)-O1088)/('THAM_SO_MOI'!$C$11*H1088)</f>
        <v>0.9732959235727537</v>
      </c>
      <c r="Q1088" s="75">
        <f>IF(P1088&gt;0,1/P1088,NA())</f>
        <v>1.0274367494823378</v>
      </c>
      <c r="R1088" s="75">
        <f>F1088-F1087</f>
        <v>0.0032106047296869278</v>
      </c>
      <c r="S1088" s="75">
        <f>0.5*(Q1087+Q1088)*R1088</f>
        <v>0.003298819754343108</v>
      </c>
      <c r="T1088" s="75">
        <f>0.5*(F1087*Q1087+F1088*Q1088)*R1088</f>
        <v>0.015670326028942687</v>
      </c>
      <c r="U1088" s="76">
        <f>U1087+S1088</f>
        <v>4.989607938162005</v>
      </c>
      <c r="V1088" s="76">
        <f>V1087+T1088</f>
        <v>15.879934232244699</v>
      </c>
    </row>
    <row r="1089" spans="1:22" ht="19" customHeight="1">
      <c r="A1089" s="68" t="s">
        <v>372</v>
      </c>
      <c r="B1089" s="74">
        <v>2</v>
      </c>
      <c r="C1089" s="68" t="s">
        <v>363</v>
      </c>
      <c r="D1089" s="68" t="s">
        <v>364</v>
      </c>
      <c r="E1089" s="75">
        <f>60*F1089*'THAM_SO_MOI'!$C$50/(2*PI()*'THAM_SO_MOI'!$C$26)</f>
        <v>1907.2023948751241</v>
      </c>
      <c r="F1089" s="75">
        <f>'HANH_TRINH'!$F$826+('THAM_SO_MOI'!$F$50-'HANH_TRINH'!$F$826)*262/'THAM_SO_MOI'!$C$42</f>
        <v>4.755098553283207</v>
      </c>
      <c r="G1089" s="75">
        <f>3.6*F1089</f>
        <v>17.118354791819545</v>
      </c>
      <c r="H1089" s="75">
        <f>'THAM_SO_MOI'!$D$50</f>
        <v>1.8785906709588276</v>
      </c>
      <c r="I1089" s="75">
        <f>IF(F1089&gt;'THAM_SO_MOI'!$C$14,'THAM_SO_MOI'!$C$13*(1+F1089^2/1500),'THAM_SO_MOI'!$C$13)</f>
        <v>0.015</v>
      </c>
      <c r="J1089" s="75">
        <f>'THAM_SO_MOI'!$C$40*('THAM_SO_MOI'!$C$23*(E1089/'THAM_SO_MOI'!$C$22)+'THAM_SO_MOI'!$C$24*(E1089/'THAM_SO_MOI'!$C$22)^2-'THAM_SO_MOI'!$C$25*(E1089/'THAM_SO_MOI'!$C$22)^3)</f>
        <v>85.23791762342353</v>
      </c>
      <c r="K1089" s="75">
        <f>'THAM_SO_MOI'!$C$31*J1089/E1089</f>
        <v>426.86383930778896</v>
      </c>
      <c r="L1089" s="75">
        <f>K1089*'THAM_SO_MOI'!$C$50*'THAM_SO_MOI'!$C$17/'THAM_SO_MOI'!$C$26</f>
        <v>15239.62115161626</v>
      </c>
      <c r="M1089" s="75">
        <f>'THAM_SO_MOI'!$C$15*'THAM_SO_MOI'!$C$16*F1089^2</f>
        <v>66.13706458545046</v>
      </c>
      <c r="N1089" s="75">
        <f>'THAM_SO_MOI'!$C$12*I1089</f>
        <v>1130.112</v>
      </c>
      <c r="O1089" s="75">
        <f>M1089+N1089</f>
        <v>1196.2490645854505</v>
      </c>
      <c r="P1089" s="75">
        <f>(MIN(L1089,'THAM_SO_MOI'!$C$41)-O1089)/('THAM_SO_MOI'!$C$11*H1089)</f>
        <v>0.9733701450241115</v>
      </c>
      <c r="Q1089" s="75">
        <f>IF(P1089&gt;0,1/P1089,NA())</f>
        <v>1.0273584053425318</v>
      </c>
      <c r="R1089" s="75">
        <f>F1089-F1088</f>
        <v>0.0032106047296869278</v>
      </c>
      <c r="S1089" s="75">
        <f>0.5*(Q1088+Q1089)*R1089</f>
        <v>0.003298567521309255</v>
      </c>
      <c r="T1089" s="75">
        <f>0.5*(F1088*Q1088+F1089*Q1089)*R1089</f>
        <v>0.015679718248349545</v>
      </c>
      <c r="U1089" s="76">
        <f>U1088+S1089</f>
        <v>4.992906505683314</v>
      </c>
      <c r="V1089" s="76">
        <f>V1088+T1089</f>
        <v>15.895613950493049</v>
      </c>
    </row>
    <row r="1090" spans="1:22" ht="19" customHeight="1">
      <c r="A1090" s="68" t="s">
        <v>372</v>
      </c>
      <c r="B1090" s="74">
        <v>2</v>
      </c>
      <c r="C1090" s="68" t="s">
        <v>363</v>
      </c>
      <c r="D1090" s="68" t="s">
        <v>364</v>
      </c>
      <c r="E1090" s="75">
        <f>60*F1090*'THAM_SO_MOI'!$C$50/(2*PI()*'THAM_SO_MOI'!$C$26)</f>
        <v>1908.4901227656908</v>
      </c>
      <c r="F1090" s="75">
        <f>'HANH_TRINH'!$F$826+('THAM_SO_MOI'!$F$50-'HANH_TRINH'!$F$826)*263/'THAM_SO_MOI'!$C$42</f>
        <v>4.758309158012894</v>
      </c>
      <c r="G1090" s="75">
        <f>3.6*F1090</f>
        <v>17.12991296884642</v>
      </c>
      <c r="H1090" s="75">
        <f>'THAM_SO_MOI'!$D$50</f>
        <v>1.8785906709588276</v>
      </c>
      <c r="I1090" s="75">
        <f>IF(F1090&gt;'THAM_SO_MOI'!$C$14,'THAM_SO_MOI'!$C$13*(1+F1090^2/1500),'THAM_SO_MOI'!$C$13)</f>
        <v>0.015</v>
      </c>
      <c r="J1090" s="75">
        <f>'THAM_SO_MOI'!$C$40*('THAM_SO_MOI'!$C$23*(E1090/'THAM_SO_MOI'!$C$22)+'THAM_SO_MOI'!$C$24*(E1090/'THAM_SO_MOI'!$C$22)^2-'THAM_SO_MOI'!$C$25*(E1090/'THAM_SO_MOI'!$C$22)^3)</f>
        <v>85.30193055826182</v>
      </c>
      <c r="K1090" s="75">
        <f>'THAM_SO_MOI'!$C$31*J1090/E1090</f>
        <v>426.8961734372194</v>
      </c>
      <c r="L1090" s="75">
        <f>K1090*'THAM_SO_MOI'!$C$50*'THAM_SO_MOI'!$C$17/'THAM_SO_MOI'!$C$26</f>
        <v>15240.775524129016</v>
      </c>
      <c r="M1090" s="75">
        <f>'THAM_SO_MOI'!$C$15*'THAM_SO_MOI'!$C$16*F1090^2</f>
        <v>66.22640517644594</v>
      </c>
      <c r="N1090" s="75">
        <f>'THAM_SO_MOI'!$C$12*I1090</f>
        <v>1130.112</v>
      </c>
      <c r="O1090" s="75">
        <f>M1090+N1090</f>
        <v>1196.338405176446</v>
      </c>
      <c r="P1090" s="75">
        <f>(MIN(L1090,'THAM_SO_MOI'!$C$41)-O1090)/('THAM_SO_MOI'!$C$11*H1090)</f>
        <v>0.9734439642086857</v>
      </c>
      <c r="Q1090" s="75">
        <f>IF(P1090&gt;0,1/P1090,NA())</f>
        <v>1.0272804976636758</v>
      </c>
      <c r="R1090" s="75">
        <f>F1090-F1089</f>
        <v>0.0032106047296869278</v>
      </c>
      <c r="S1090" s="75">
        <f>0.5*(Q1089+Q1090)*R1090</f>
        <v>0.003298316689895245</v>
      </c>
      <c r="T1090" s="75">
        <f>0.5*(F1089*Q1089+F1090*Q1090)*R1090</f>
        <v>0.015689115515205278</v>
      </c>
      <c r="U1090" s="76">
        <f>U1089+S1090</f>
        <v>4.99620482237321</v>
      </c>
      <c r="V1090" s="76">
        <f>V1089+T1090</f>
        <v>15.911303066008253</v>
      </c>
    </row>
    <row r="1091" spans="1:22" ht="19" customHeight="1">
      <c r="A1091" s="68" t="s">
        <v>372</v>
      </c>
      <c r="B1091" s="74">
        <v>2</v>
      </c>
      <c r="C1091" s="68" t="s">
        <v>363</v>
      </c>
      <c r="D1091" s="68" t="s">
        <v>364</v>
      </c>
      <c r="E1091" s="75">
        <f>60*F1091*'THAM_SO_MOI'!$C$50/(2*PI()*'THAM_SO_MOI'!$C$26)</f>
        <v>1909.7778506562574</v>
      </c>
      <c r="F1091" s="75">
        <f>'HANH_TRINH'!$F$826+('THAM_SO_MOI'!$F$50-'HANH_TRINH'!$F$826)*264/'THAM_SO_MOI'!$C$42</f>
        <v>4.761519762742581</v>
      </c>
      <c r="G1091" s="75">
        <f>3.6*F1091</f>
        <v>17.141471145873293</v>
      </c>
      <c r="H1091" s="75">
        <f>'THAM_SO_MOI'!$D$50</f>
        <v>1.8785906709588276</v>
      </c>
      <c r="I1091" s="75">
        <f>IF(F1091&gt;'THAM_SO_MOI'!$C$14,'THAM_SO_MOI'!$C$13*(1+F1091^2/1500),'THAM_SO_MOI'!$C$13)</f>
        <v>0.015</v>
      </c>
      <c r="J1091" s="75">
        <f>'THAM_SO_MOI'!$C$40*('THAM_SO_MOI'!$C$23*(E1091/'THAM_SO_MOI'!$C$22)+'THAM_SO_MOI'!$C$24*(E1091/'THAM_SO_MOI'!$C$22)^2-'THAM_SO_MOI'!$C$25*(E1091/'THAM_SO_MOI'!$C$22)^3)</f>
        <v>85.36592004458065</v>
      </c>
      <c r="K1091" s="75">
        <f>'THAM_SO_MOI'!$C$31*J1091/E1091</f>
        <v>426.9283466923173</v>
      </c>
      <c r="L1091" s="75">
        <f>K1091*'THAM_SO_MOI'!$C$50*'THAM_SO_MOI'!$C$17/'THAM_SO_MOI'!$C$26</f>
        <v>15241.924153208729</v>
      </c>
      <c r="M1091" s="75">
        <f>'THAM_SO_MOI'!$C$15*'THAM_SO_MOI'!$C$16*F1091^2</f>
        <v>66.3158060691404</v>
      </c>
      <c r="N1091" s="75">
        <f>'THAM_SO_MOI'!$C$12*I1091</f>
        <v>1130.112</v>
      </c>
      <c r="O1091" s="75">
        <f>M1091+N1091</f>
        <v>1196.4278060691404</v>
      </c>
      <c r="P1091" s="75">
        <f>(MIN(L1091,'THAM_SO_MOI'!$C$41)-O1091)/('THAM_SO_MOI'!$C$11*H1091)</f>
        <v>0.9735173811264761</v>
      </c>
      <c r="Q1091" s="75">
        <f>IF(P1091&gt;0,1/P1091,NA())</f>
        <v>1.0272030262499066</v>
      </c>
      <c r="R1091" s="75">
        <f>F1091-F1090</f>
        <v>0.0032106047296869278</v>
      </c>
      <c r="S1091" s="75">
        <f>0.5*(Q1090+Q1091)*R1091</f>
        <v>0.0032980672594704065</v>
      </c>
      <c r="T1091" s="75">
        <f>0.5*(F1090*Q1090+F1091*Q1091)*R1091</f>
        <v>0.015698517840008065</v>
      </c>
      <c r="U1091" s="76">
        <f>U1090+S1091</f>
        <v>4.99950288963268</v>
      </c>
      <c r="V1091" s="76">
        <f>V1090+T1091</f>
        <v>15.927001583848261</v>
      </c>
    </row>
    <row r="1092" spans="1:22" ht="19" customHeight="1">
      <c r="A1092" s="68" t="s">
        <v>372</v>
      </c>
      <c r="B1092" s="74">
        <v>2</v>
      </c>
      <c r="C1092" s="68" t="s">
        <v>363</v>
      </c>
      <c r="D1092" s="68" t="s">
        <v>364</v>
      </c>
      <c r="E1092" s="75">
        <f>60*F1092*'THAM_SO_MOI'!$C$50/(2*PI()*'THAM_SO_MOI'!$C$26)</f>
        <v>1911.065578546824</v>
      </c>
      <c r="F1092" s="75">
        <f>'HANH_TRINH'!$F$826+('THAM_SO_MOI'!$F$50-'HANH_TRINH'!$F$826)*265/'THAM_SO_MOI'!$C$42</f>
        <v>4.764730367472268</v>
      </c>
      <c r="G1092" s="75">
        <f>3.6*F1092</f>
        <v>17.153029322900164</v>
      </c>
      <c r="H1092" s="75">
        <f>'THAM_SO_MOI'!$D$50</f>
        <v>1.8785906709588276</v>
      </c>
      <c r="I1092" s="75">
        <f>IF(F1092&gt;'THAM_SO_MOI'!$C$14,'THAM_SO_MOI'!$C$13*(1+F1092^2/1500),'THAM_SO_MOI'!$C$13)</f>
        <v>0.015</v>
      </c>
      <c r="J1092" s="75">
        <f>'THAM_SO_MOI'!$C$40*('THAM_SO_MOI'!$C$23*(E1092/'THAM_SO_MOI'!$C$22)+'THAM_SO_MOI'!$C$24*(E1092/'THAM_SO_MOI'!$C$22)^2-'THAM_SO_MOI'!$C$25*(E1092/'THAM_SO_MOI'!$C$22)^3)</f>
        <v>85.42988601731038</v>
      </c>
      <c r="K1092" s="75">
        <f>'THAM_SO_MOI'!$C$31*J1092/E1092</f>
        <v>426.96035907308317</v>
      </c>
      <c r="L1092" s="75">
        <f>K1092*'THAM_SO_MOI'!$C$50*'THAM_SO_MOI'!$C$17/'THAM_SO_MOI'!$C$26</f>
        <v>15243.067038855414</v>
      </c>
      <c r="M1092" s="75">
        <f>'THAM_SO_MOI'!$C$15*'THAM_SO_MOI'!$C$16*F1092^2</f>
        <v>66.40526726353382</v>
      </c>
      <c r="N1092" s="75">
        <f>'THAM_SO_MOI'!$C$12*I1092</f>
        <v>1130.112</v>
      </c>
      <c r="O1092" s="75">
        <f>M1092+N1092</f>
        <v>1196.517267263534</v>
      </c>
      <c r="P1092" s="75">
        <f>(MIN(L1092,'THAM_SO_MOI'!$C$41)-O1092)/('THAM_SO_MOI'!$C$11*H1092)</f>
        <v>0.9735903957774832</v>
      </c>
      <c r="Q1092" s="75">
        <f>IF(P1092&gt;0,1/P1092,NA())</f>
        <v>1.0271259909065011</v>
      </c>
      <c r="R1092" s="75">
        <f>F1092-F1091</f>
        <v>0.0032106047296869278</v>
      </c>
      <c r="S1092" s="75">
        <f>0.5*(Q1091+Q1092)*R1092</f>
        <v>0.0032978192294077307</v>
      </c>
      <c r="T1092" s="75">
        <f>0.5*(F1091*Q1091+F1092*Q1092)*R1092</f>
        <v>0.015707925233265464</v>
      </c>
      <c r="U1092" s="76">
        <f>U1091+S1092</f>
        <v>5.002800708862088</v>
      </c>
      <c r="V1092" s="76">
        <f>V1091+T1092</f>
        <v>15.942709509081526</v>
      </c>
    </row>
    <row r="1093" spans="1:22" ht="19" customHeight="1">
      <c r="A1093" s="68" t="s">
        <v>372</v>
      </c>
      <c r="B1093" s="74">
        <v>2</v>
      </c>
      <c r="C1093" s="68" t="s">
        <v>363</v>
      </c>
      <c r="D1093" s="68" t="s">
        <v>364</v>
      </c>
      <c r="E1093" s="75">
        <f>60*F1093*'THAM_SO_MOI'!$C$50/(2*PI()*'THAM_SO_MOI'!$C$26)</f>
        <v>1912.3533064373905</v>
      </c>
      <c r="F1093" s="75">
        <f>'HANH_TRINH'!$F$826+('THAM_SO_MOI'!$F$50-'HANH_TRINH'!$F$826)*266/'THAM_SO_MOI'!$C$42</f>
        <v>4.767940972201954</v>
      </c>
      <c r="G1093" s="75">
        <f>3.6*F1093</f>
        <v>17.164587499927034</v>
      </c>
      <c r="H1093" s="75">
        <f>'THAM_SO_MOI'!$D$50</f>
        <v>1.8785906709588276</v>
      </c>
      <c r="I1093" s="75">
        <f>IF(F1093&gt;'THAM_SO_MOI'!$C$14,'THAM_SO_MOI'!$C$13*(1+F1093^2/1500),'THAM_SO_MOI'!$C$13)</f>
        <v>0.015</v>
      </c>
      <c r="J1093" s="75">
        <f>'THAM_SO_MOI'!$C$40*('THAM_SO_MOI'!$C$23*(E1093/'THAM_SO_MOI'!$C$22)+'THAM_SO_MOI'!$C$24*(E1093/'THAM_SO_MOI'!$C$22)^2-'THAM_SO_MOI'!$C$25*(E1093/'THAM_SO_MOI'!$C$22)^3)</f>
        <v>85.49382841138126</v>
      </c>
      <c r="K1093" s="75">
        <f>'THAM_SO_MOI'!$C$31*J1093/E1093</f>
        <v>426.9922105795168</v>
      </c>
      <c r="L1093" s="75">
        <f>K1093*'THAM_SO_MOI'!$C$50*'THAM_SO_MOI'!$C$17/'THAM_SO_MOI'!$C$26</f>
        <v>15244.20418106906</v>
      </c>
      <c r="M1093" s="75">
        <f>'THAM_SO_MOI'!$C$15*'THAM_SO_MOI'!$C$16*F1093^2</f>
        <v>66.49478875962619</v>
      </c>
      <c r="N1093" s="75">
        <f>'THAM_SO_MOI'!$C$12*I1093</f>
        <v>1130.112</v>
      </c>
      <c r="O1093" s="75">
        <f>M1093+N1093</f>
        <v>1196.6067887596262</v>
      </c>
      <c r="P1093" s="75">
        <f>(MIN(L1093,'THAM_SO_MOI'!$C$41)-O1093)/('THAM_SO_MOI'!$C$11*H1093)</f>
        <v>0.9736630081617068</v>
      </c>
      <c r="Q1093" s="75">
        <f>IF(P1093&gt;0,1/P1093,NA())</f>
        <v>1.027049391439876</v>
      </c>
      <c r="R1093" s="75">
        <f>F1093-F1092</f>
        <v>0.0032106047296860396</v>
      </c>
      <c r="S1093" s="75">
        <f>0.5*(Q1092+Q1093)*R1093</f>
        <v>0.0032975725990829537</v>
      </c>
      <c r="T1093" s="75">
        <f>0.5*(F1092*Q1092+F1093*Q1093)*R1093</f>
        <v>0.015717337705490057</v>
      </c>
      <c r="U1093" s="76">
        <f>U1092+S1093</f>
        <v>5.0060982814611705</v>
      </c>
      <c r="V1093" s="76">
        <f>V1092+T1093</f>
        <v>15.958426846787017</v>
      </c>
    </row>
    <row r="1094" spans="1:22" ht="19" customHeight="1">
      <c r="A1094" s="68" t="s">
        <v>372</v>
      </c>
      <c r="B1094" s="74">
        <v>2</v>
      </c>
      <c r="C1094" s="68" t="s">
        <v>363</v>
      </c>
      <c r="D1094" s="68" t="s">
        <v>364</v>
      </c>
      <c r="E1094" s="75">
        <f>60*F1094*'THAM_SO_MOI'!$C$50/(2*PI()*'THAM_SO_MOI'!$C$26)</f>
        <v>1913.6410343279572</v>
      </c>
      <c r="F1094" s="75">
        <f>'HANH_TRINH'!$F$826+('THAM_SO_MOI'!$F$50-'HANH_TRINH'!$F$826)*267/'THAM_SO_MOI'!$C$42</f>
        <v>4.771151576931641</v>
      </c>
      <c r="G1094" s="75">
        <f>3.6*F1094</f>
        <v>17.176145676953908</v>
      </c>
      <c r="H1094" s="75">
        <f>'THAM_SO_MOI'!$D$50</f>
        <v>1.8785906709588276</v>
      </c>
      <c r="I1094" s="75">
        <f>IF(F1094&gt;'THAM_SO_MOI'!$C$14,'THAM_SO_MOI'!$C$13*(1+F1094^2/1500),'THAM_SO_MOI'!$C$13)</f>
        <v>0.015</v>
      </c>
      <c r="J1094" s="75">
        <f>'THAM_SO_MOI'!$C$40*('THAM_SO_MOI'!$C$23*(E1094/'THAM_SO_MOI'!$C$22)+'THAM_SO_MOI'!$C$24*(E1094/'THAM_SO_MOI'!$C$22)^2-'THAM_SO_MOI'!$C$25*(E1094/'THAM_SO_MOI'!$C$22)^3)</f>
        <v>85.55774716172358</v>
      </c>
      <c r="K1094" s="75">
        <f>'THAM_SO_MOI'!$C$31*J1094/E1094</f>
        <v>427.02390121161795</v>
      </c>
      <c r="L1094" s="75">
        <f>K1094*'THAM_SO_MOI'!$C$50*'THAM_SO_MOI'!$C$17/'THAM_SO_MOI'!$C$26</f>
        <v>15245.335579849665</v>
      </c>
      <c r="M1094" s="75">
        <f>'THAM_SO_MOI'!$C$15*'THAM_SO_MOI'!$C$16*F1094^2</f>
        <v>66.58437055741756</v>
      </c>
      <c r="N1094" s="75">
        <f>'THAM_SO_MOI'!$C$12*I1094</f>
        <v>1130.112</v>
      </c>
      <c r="O1094" s="75">
        <f>M1094+N1094</f>
        <v>1196.6963705574176</v>
      </c>
      <c r="P1094" s="75">
        <f>(MIN(L1094,'THAM_SO_MOI'!$C$41)-O1094)/('THAM_SO_MOI'!$C$11*H1094)</f>
        <v>0.973735218279146</v>
      </c>
      <c r="Q1094" s="75">
        <f>IF(P1094&gt;0,1/P1094,NA())</f>
        <v>1.0269732276575874</v>
      </c>
      <c r="R1094" s="75">
        <f>F1094-F1093</f>
        <v>0.0032106047296869278</v>
      </c>
      <c r="S1094" s="75">
        <f>0.5*(Q1093+Q1094)*R1094</f>
        <v>0.0032973273678791235</v>
      </c>
      <c r="T1094" s="75">
        <f>0.5*(F1093*Q1093+F1094*Q1094)*R1094</f>
        <v>0.01572675526722128</v>
      </c>
      <c r="U1094" s="76">
        <f>U1093+S1094</f>
        <v>5.00939560882905</v>
      </c>
      <c r="V1094" s="76">
        <f>V1093+T1094</f>
        <v>15.974153602054239</v>
      </c>
    </row>
    <row r="1095" spans="1:22" ht="19" customHeight="1">
      <c r="A1095" s="68" t="s">
        <v>372</v>
      </c>
      <c r="B1095" s="74">
        <v>2</v>
      </c>
      <c r="C1095" s="68" t="s">
        <v>363</v>
      </c>
      <c r="D1095" s="68" t="s">
        <v>364</v>
      </c>
      <c r="E1095" s="75">
        <f>60*F1095*'THAM_SO_MOI'!$C$50/(2*PI()*'THAM_SO_MOI'!$C$26)</f>
        <v>1914.9287622185238</v>
      </c>
      <c r="F1095" s="75">
        <f>'HANH_TRINH'!$F$826+('THAM_SO_MOI'!$F$50-'HANH_TRINH'!$F$826)*268/'THAM_SO_MOI'!$C$42</f>
        <v>4.774362181661328</v>
      </c>
      <c r="G1095" s="75">
        <f>3.6*F1095</f>
        <v>17.187703853980782</v>
      </c>
      <c r="H1095" s="75">
        <f>'THAM_SO_MOI'!$D$50</f>
        <v>1.8785906709588276</v>
      </c>
      <c r="I1095" s="75">
        <f>IF(F1095&gt;'THAM_SO_MOI'!$C$14,'THAM_SO_MOI'!$C$13*(1+F1095^2/1500),'THAM_SO_MOI'!$C$13)</f>
        <v>0.015</v>
      </c>
      <c r="J1095" s="75">
        <f>'THAM_SO_MOI'!$C$40*('THAM_SO_MOI'!$C$23*(E1095/'THAM_SO_MOI'!$C$22)+'THAM_SO_MOI'!$C$24*(E1095/'THAM_SO_MOI'!$C$22)^2-'THAM_SO_MOI'!$C$25*(E1095/'THAM_SO_MOI'!$C$22)^3)</f>
        <v>85.62164220326773</v>
      </c>
      <c r="K1095" s="75">
        <f>'THAM_SO_MOI'!$C$31*J1095/E1095</f>
        <v>427.0554309693871</v>
      </c>
      <c r="L1095" s="75">
        <f>K1095*'THAM_SO_MOI'!$C$50*'THAM_SO_MOI'!$C$17/'THAM_SO_MOI'!$C$26</f>
        <v>15246.461235197243</v>
      </c>
      <c r="M1095" s="75">
        <f>'THAM_SO_MOI'!$C$15*'THAM_SO_MOI'!$C$16*F1095^2</f>
        <v>66.6740126569079</v>
      </c>
      <c r="N1095" s="75">
        <f>'THAM_SO_MOI'!$C$12*I1095</f>
        <v>1130.112</v>
      </c>
      <c r="O1095" s="75">
        <f>M1095+N1095</f>
        <v>1196.786012656908</v>
      </c>
      <c r="P1095" s="75">
        <f>(MIN(L1095,'THAM_SO_MOI'!$C$41)-O1095)/('THAM_SO_MOI'!$C$11*H1095)</f>
        <v>0.9738070261298025</v>
      </c>
      <c r="Q1095" s="75">
        <f>IF(P1095&gt;0,1/P1095,NA())</f>
        <v>1.0268974993683258</v>
      </c>
      <c r="R1095" s="75">
        <f>F1095-F1094</f>
        <v>0.0032106047296869278</v>
      </c>
      <c r="S1095" s="75">
        <f>0.5*(Q1094+Q1095)*R1095</f>
        <v>0.003297083535177463</v>
      </c>
      <c r="T1095" s="75">
        <f>0.5*(F1094*Q1094+F1095*Q1095)*R1095</f>
        <v>0.015736177928981934</v>
      </c>
      <c r="U1095" s="76">
        <f>U1094+S1095</f>
        <v>5.012692692364228</v>
      </c>
      <c r="V1095" s="76">
        <f>V1094+T1095</f>
        <v>15.989889779983221</v>
      </c>
    </row>
    <row r="1096" spans="1:22" ht="19" customHeight="1">
      <c r="A1096" s="68" t="s">
        <v>372</v>
      </c>
      <c r="B1096" s="74">
        <v>2</v>
      </c>
      <c r="C1096" s="68" t="s">
        <v>363</v>
      </c>
      <c r="D1096" s="68" t="s">
        <v>364</v>
      </c>
      <c r="E1096" s="75">
        <f>60*F1096*'THAM_SO_MOI'!$C$50/(2*PI()*'THAM_SO_MOI'!$C$26)</f>
        <v>1916.2164901090905</v>
      </c>
      <c r="F1096" s="75">
        <f>'HANH_TRINH'!$F$826+('THAM_SO_MOI'!$F$50-'HANH_TRINH'!$F$826)*269/'THAM_SO_MOI'!$C$42</f>
        <v>4.777572786391015</v>
      </c>
      <c r="G1096" s="75">
        <f>3.6*F1096</f>
        <v>17.199262031007652</v>
      </c>
      <c r="H1096" s="75">
        <f>'THAM_SO_MOI'!$D$50</f>
        <v>1.8785906709588276</v>
      </c>
      <c r="I1096" s="75">
        <f>IF(F1096&gt;'THAM_SO_MOI'!$C$14,'THAM_SO_MOI'!$C$13*(1+F1096^2/1500),'THAM_SO_MOI'!$C$13)</f>
        <v>0.015</v>
      </c>
      <c r="J1096" s="75">
        <f>'THAM_SO_MOI'!$C$40*('THAM_SO_MOI'!$C$23*(E1096/'THAM_SO_MOI'!$C$22)+'THAM_SO_MOI'!$C$24*(E1096/'THAM_SO_MOI'!$C$22)^2-'THAM_SO_MOI'!$C$25*(E1096/'THAM_SO_MOI'!$C$22)^3)</f>
        <v>85.6855134709439</v>
      </c>
      <c r="K1096" s="75">
        <f>'THAM_SO_MOI'!$C$31*J1096/E1096</f>
        <v>427.08679985282384</v>
      </c>
      <c r="L1096" s="75">
        <f>K1096*'THAM_SO_MOI'!$C$50*'THAM_SO_MOI'!$C$17/'THAM_SO_MOI'!$C$26</f>
        <v>15247.581147111778</v>
      </c>
      <c r="M1096" s="75">
        <f>'THAM_SO_MOI'!$C$15*'THAM_SO_MOI'!$C$16*F1096^2</f>
        <v>66.76371505809722</v>
      </c>
      <c r="N1096" s="75">
        <f>'THAM_SO_MOI'!$C$12*I1096</f>
        <v>1130.112</v>
      </c>
      <c r="O1096" s="75">
        <f>M1096+N1096</f>
        <v>1196.8757150580973</v>
      </c>
      <c r="P1096" s="75">
        <f>(MIN(L1096,'THAM_SO_MOI'!$C$41)-O1096)/('THAM_SO_MOI'!$C$11*H1096)</f>
        <v>0.9738784317136748</v>
      </c>
      <c r="Q1096" s="75">
        <f>IF(P1096&gt;0,1/P1096,NA())</f>
        <v>1.0268222063819203</v>
      </c>
      <c r="R1096" s="75">
        <f>F1096-F1095</f>
        <v>0.0032106047296869278</v>
      </c>
      <c r="S1096" s="75">
        <f>0.5*(Q1095+Q1096)*R1096</f>
        <v>0.0032968411003664925</v>
      </c>
      <c r="T1096" s="75">
        <f>0.5*(F1095*Q1095+F1096*Q1096)*R1096</f>
        <v>0.01574560570132173</v>
      </c>
      <c r="U1096" s="76">
        <f>U1095+S1096</f>
        <v>5.0159895334645945</v>
      </c>
      <c r="V1096" s="76">
        <f>V1095+T1096</f>
        <v>16.005635385684542</v>
      </c>
    </row>
    <row r="1097" spans="1:22" ht="19" customHeight="1">
      <c r="A1097" s="68" t="s">
        <v>372</v>
      </c>
      <c r="B1097" s="74">
        <v>2</v>
      </c>
      <c r="C1097" s="68" t="s">
        <v>363</v>
      </c>
      <c r="D1097" s="68" t="s">
        <v>364</v>
      </c>
      <c r="E1097" s="75">
        <f>60*F1097*'THAM_SO_MOI'!$C$50/(2*PI()*'THAM_SO_MOI'!$C$26)</f>
        <v>1917.5042179996572</v>
      </c>
      <c r="F1097" s="75">
        <f>'HANH_TRINH'!$F$826+('THAM_SO_MOI'!$F$50-'HANH_TRINH'!$F$826)*270/'THAM_SO_MOI'!$C$42</f>
        <v>4.780783391120702</v>
      </c>
      <c r="G1097" s="75">
        <f>3.6*F1097</f>
        <v>17.210820208034527</v>
      </c>
      <c r="H1097" s="75">
        <f>'THAM_SO_MOI'!$D$50</f>
        <v>1.8785906709588276</v>
      </c>
      <c r="I1097" s="75">
        <f>IF(F1097&gt;'THAM_SO_MOI'!$C$14,'THAM_SO_MOI'!$C$13*(1+F1097^2/1500),'THAM_SO_MOI'!$C$13)</f>
        <v>0.015</v>
      </c>
      <c r="J1097" s="75">
        <f>'THAM_SO_MOI'!$C$40*('THAM_SO_MOI'!$C$23*(E1097/'THAM_SO_MOI'!$C$22)+'THAM_SO_MOI'!$C$24*(E1097/'THAM_SO_MOI'!$C$22)^2-'THAM_SO_MOI'!$C$25*(E1097/'THAM_SO_MOI'!$C$22)^3)</f>
        <v>85.74936089968247</v>
      </c>
      <c r="K1097" s="75">
        <f>'THAM_SO_MOI'!$C$31*J1097/E1097</f>
        <v>427.1180078619284</v>
      </c>
      <c r="L1097" s="75">
        <f>K1097*'THAM_SO_MOI'!$C$50*'THAM_SO_MOI'!$C$17/'THAM_SO_MOI'!$C$26</f>
        <v>15248.69531559328</v>
      </c>
      <c r="M1097" s="75">
        <f>'THAM_SO_MOI'!$C$15*'THAM_SO_MOI'!$C$16*F1097^2</f>
        <v>66.8534777609855</v>
      </c>
      <c r="N1097" s="75">
        <f>'THAM_SO_MOI'!$C$12*I1097</f>
        <v>1130.112</v>
      </c>
      <c r="O1097" s="75">
        <f>M1097+N1097</f>
        <v>1196.9654777609856</v>
      </c>
      <c r="P1097" s="75">
        <f>(MIN(L1097,'THAM_SO_MOI'!$C$41)-O1097)/('THAM_SO_MOI'!$C$11*H1097)</f>
        <v>0.9739494350307638</v>
      </c>
      <c r="Q1097" s="75">
        <f>IF(P1097&gt;0,1/P1097,NA())</f>
        <v>1.0267473485093335</v>
      </c>
      <c r="R1097" s="75">
        <f>F1097-F1096</f>
        <v>0.0032106047296869278</v>
      </c>
      <c r="S1097" s="75">
        <f>0.5*(Q1096+Q1097)*R1097</f>
        <v>0.0032966000628374694</v>
      </c>
      <c r="T1097" s="75">
        <f>0.5*(F1096*Q1096+F1097*Q1097)*R1097</f>
        <v>0.015755038594795604</v>
      </c>
      <c r="U1097" s="76">
        <f>U1096+S1097</f>
        <v>5.019286133527432</v>
      </c>
      <c r="V1097" s="76">
        <f>V1096+T1097</f>
        <v>16.02139042427934</v>
      </c>
    </row>
    <row r="1098" spans="1:22" ht="19" customHeight="1">
      <c r="A1098" s="68" t="s">
        <v>372</v>
      </c>
      <c r="B1098" s="74">
        <v>2</v>
      </c>
      <c r="C1098" s="68" t="s">
        <v>363</v>
      </c>
      <c r="D1098" s="68" t="s">
        <v>364</v>
      </c>
      <c r="E1098" s="75">
        <f>60*F1098*'THAM_SO_MOI'!$C$50/(2*PI()*'THAM_SO_MOI'!$C$26)</f>
        <v>1918.7919458902243</v>
      </c>
      <c r="F1098" s="75">
        <f>'HANH_TRINH'!$F$826+('THAM_SO_MOI'!$F$50-'HANH_TRINH'!$F$826)*271/'THAM_SO_MOI'!$C$42</f>
        <v>4.7839939958503885</v>
      </c>
      <c r="G1098" s="75">
        <f>3.6*F1098</f>
        <v>17.2223783850614</v>
      </c>
      <c r="H1098" s="75">
        <f>'THAM_SO_MOI'!$D$50</f>
        <v>1.8785906709588276</v>
      </c>
      <c r="I1098" s="75">
        <f>IF(F1098&gt;'THAM_SO_MOI'!$C$14,'THAM_SO_MOI'!$C$13*(1+F1098^2/1500),'THAM_SO_MOI'!$C$13)</f>
        <v>0.015</v>
      </c>
      <c r="J1098" s="75">
        <f>'THAM_SO_MOI'!$C$40*('THAM_SO_MOI'!$C$23*(E1098/'THAM_SO_MOI'!$C$22)+'THAM_SO_MOI'!$C$24*(E1098/'THAM_SO_MOI'!$C$22)^2-'THAM_SO_MOI'!$C$25*(E1098/'THAM_SO_MOI'!$C$22)^3)</f>
        <v>85.8131844244137</v>
      </c>
      <c r="K1098" s="75">
        <f>'THAM_SO_MOI'!$C$31*J1098/E1098</f>
        <v>427.1490549967006</v>
      </c>
      <c r="L1098" s="75">
        <f>K1098*'THAM_SO_MOI'!$C$50*'THAM_SO_MOI'!$C$17/'THAM_SO_MOI'!$C$26</f>
        <v>15249.803740641742</v>
      </c>
      <c r="M1098" s="75">
        <f>'THAM_SO_MOI'!$C$15*'THAM_SO_MOI'!$C$16*F1098^2</f>
        <v>66.94330076557276</v>
      </c>
      <c r="N1098" s="75">
        <f>'THAM_SO_MOI'!$C$12*I1098</f>
        <v>1130.112</v>
      </c>
      <c r="O1098" s="75">
        <f>M1098+N1098</f>
        <v>1197.0553007655728</v>
      </c>
      <c r="P1098" s="75">
        <f>(MIN(L1098,'THAM_SO_MOI'!$C$41)-O1098)/('THAM_SO_MOI'!$C$11*H1098)</f>
        <v>0.9740200360810687</v>
      </c>
      <c r="Q1098" s="75">
        <f>IF(P1098&gt;0,1/P1098,NA())</f>
        <v>1.0266729255626617</v>
      </c>
      <c r="R1098" s="75">
        <f>F1098-F1097</f>
        <v>0.0032106047296869278</v>
      </c>
      <c r="S1098" s="75">
        <f>0.5*(Q1097+Q1098)*R1098</f>
        <v>0.0032963604219852878</v>
      </c>
      <c r="T1098" s="75">
        <f>0.5*(F1097*Q1097+F1098*Q1098)*R1098</f>
        <v>0.01576447661996807</v>
      </c>
      <c r="U1098" s="76">
        <f>U1097+S1098</f>
        <v>5.022582493949417</v>
      </c>
      <c r="V1098" s="76">
        <f>V1097+T1098</f>
        <v>16.037154900899306</v>
      </c>
    </row>
    <row r="1099" spans="1:22" ht="19" customHeight="1">
      <c r="A1099" s="68" t="s">
        <v>372</v>
      </c>
      <c r="B1099" s="74">
        <v>2</v>
      </c>
      <c r="C1099" s="68" t="s">
        <v>363</v>
      </c>
      <c r="D1099" s="68" t="s">
        <v>364</v>
      </c>
      <c r="E1099" s="75">
        <f>60*F1099*'THAM_SO_MOI'!$C$50/(2*PI()*'THAM_SO_MOI'!$C$26)</f>
        <v>1920.079673780791</v>
      </c>
      <c r="F1099" s="75">
        <f>'HANH_TRINH'!$F$826+('THAM_SO_MOI'!$F$50-'HANH_TRINH'!$F$826)*272/'THAM_SO_MOI'!$C$42</f>
        <v>4.7872046005800755</v>
      </c>
      <c r="G1099" s="75">
        <f>3.6*F1099</f>
        <v>17.23393656208827</v>
      </c>
      <c r="H1099" s="75">
        <f>'THAM_SO_MOI'!$D$50</f>
        <v>1.8785906709588276</v>
      </c>
      <c r="I1099" s="75">
        <f>IF(F1099&gt;'THAM_SO_MOI'!$C$14,'THAM_SO_MOI'!$C$13*(1+F1099^2/1500),'THAM_SO_MOI'!$C$13)</f>
        <v>0.015</v>
      </c>
      <c r="J1099" s="75">
        <f>'THAM_SO_MOI'!$C$40*('THAM_SO_MOI'!$C$23*(E1099/'THAM_SO_MOI'!$C$22)+'THAM_SO_MOI'!$C$24*(E1099/'THAM_SO_MOI'!$C$22)^2-'THAM_SO_MOI'!$C$25*(E1099/'THAM_SO_MOI'!$C$22)^3)</f>
        <v>85.87698398006793</v>
      </c>
      <c r="K1099" s="75">
        <f>'THAM_SO_MOI'!$C$31*J1099/E1099</f>
        <v>427.1799412571407</v>
      </c>
      <c r="L1099" s="75">
        <f>K1099*'THAM_SO_MOI'!$C$50*'THAM_SO_MOI'!$C$17/'THAM_SO_MOI'!$C$26</f>
        <v>15250.906422257174</v>
      </c>
      <c r="M1099" s="75">
        <f>'THAM_SO_MOI'!$C$15*'THAM_SO_MOI'!$C$16*F1099^2</f>
        <v>67.033184071859</v>
      </c>
      <c r="N1099" s="75">
        <f>'THAM_SO_MOI'!$C$12*I1099</f>
        <v>1130.112</v>
      </c>
      <c r="O1099" s="75">
        <f>M1099+N1099</f>
        <v>1197.1451840718591</v>
      </c>
      <c r="P1099" s="75">
        <f>(MIN(L1099,'THAM_SO_MOI'!$C$41)-O1099)/('THAM_SO_MOI'!$C$11*H1099)</f>
        <v>0.9740902348645905</v>
      </c>
      <c r="Q1099" s="75">
        <f>IF(P1099&gt;0,1/P1099,NA())</f>
        <v>1.0265989373551325</v>
      </c>
      <c r="R1099" s="75">
        <f>F1099-F1098</f>
        <v>0.0032106047296869278</v>
      </c>
      <c r="S1099" s="75">
        <f>0.5*(Q1098+Q1099)*R1099</f>
        <v>0.0032961221772084795</v>
      </c>
      <c r="T1099" s="75">
        <f>0.5*(F1098*Q1098+F1099*Q1099)*R1099</f>
        <v>0.01577391978741327</v>
      </c>
      <c r="U1099" s="76">
        <f>U1098+S1099</f>
        <v>5.025878616126626</v>
      </c>
      <c r="V1099" s="76">
        <f>V1098+T1099</f>
        <v>16.05292882068672</v>
      </c>
    </row>
    <row r="1100" spans="1:22" ht="19" customHeight="1">
      <c r="A1100" s="68" t="s">
        <v>372</v>
      </c>
      <c r="B1100" s="74">
        <v>2</v>
      </c>
      <c r="C1100" s="68" t="s">
        <v>363</v>
      </c>
      <c r="D1100" s="68" t="s">
        <v>364</v>
      </c>
      <c r="E1100" s="75">
        <f>60*F1100*'THAM_SO_MOI'!$C$50/(2*PI()*'THAM_SO_MOI'!$C$26)</f>
        <v>1921.3674016713576</v>
      </c>
      <c r="F1100" s="75">
        <f>'HANH_TRINH'!$F$826+('THAM_SO_MOI'!$F$50-'HANH_TRINH'!$F$826)*273/'THAM_SO_MOI'!$C$42</f>
        <v>4.7904152053097615</v>
      </c>
      <c r="G1100" s="75">
        <f>3.6*F1100</f>
        <v>17.24549473911514</v>
      </c>
      <c r="H1100" s="75">
        <f>'THAM_SO_MOI'!$D$50</f>
        <v>1.8785906709588276</v>
      </c>
      <c r="I1100" s="75">
        <f>IF(F1100&gt;'THAM_SO_MOI'!$C$14,'THAM_SO_MOI'!$C$13*(1+F1100^2/1500),'THAM_SO_MOI'!$C$13)</f>
        <v>0.015</v>
      </c>
      <c r="J1100" s="75">
        <f>'THAM_SO_MOI'!$C$40*('THAM_SO_MOI'!$C$23*(E1100/'THAM_SO_MOI'!$C$22)+'THAM_SO_MOI'!$C$24*(E1100/'THAM_SO_MOI'!$C$22)^2-'THAM_SO_MOI'!$C$25*(E1100/'THAM_SO_MOI'!$C$22)^3)</f>
        <v>85.94075950157546</v>
      </c>
      <c r="K1100" s="75">
        <f>'THAM_SO_MOI'!$C$31*J1100/E1100</f>
        <v>427.21066664324866</v>
      </c>
      <c r="L1100" s="75">
        <f>K1100*'THAM_SO_MOI'!$C$50*'THAM_SO_MOI'!$C$17/'THAM_SO_MOI'!$C$26</f>
        <v>15252.003360439572</v>
      </c>
      <c r="M1100" s="75">
        <f>'THAM_SO_MOI'!$C$15*'THAM_SO_MOI'!$C$16*F1100^2</f>
        <v>67.12312767984417</v>
      </c>
      <c r="N1100" s="75">
        <f>'THAM_SO_MOI'!$C$12*I1100</f>
        <v>1130.112</v>
      </c>
      <c r="O1100" s="75">
        <f>M1100+N1100</f>
        <v>1197.2351276798443</v>
      </c>
      <c r="P1100" s="75">
        <f>(MIN(L1100,'THAM_SO_MOI'!$C$41)-O1100)/('THAM_SO_MOI'!$C$11*H1100)</f>
        <v>0.9741600313813288</v>
      </c>
      <c r="Q1100" s="75">
        <f>IF(P1100&gt;0,1/P1100,NA())</f>
        <v>1.026525383701106</v>
      </c>
      <c r="R1100" s="75">
        <f>F1100-F1099</f>
        <v>0.0032106047296860396</v>
      </c>
      <c r="S1100" s="75">
        <f>0.5*(Q1099+Q1100)*R1100</f>
        <v>0.003295885327908299</v>
      </c>
      <c r="T1100" s="75">
        <f>0.5*(F1099*Q1099+F1100*Q1100)*R1100</f>
        <v>0.015783368107710673</v>
      </c>
      <c r="U1100" s="76">
        <f>U1099+S1100</f>
        <v>5.029174501454534</v>
      </c>
      <c r="V1100" s="76">
        <f>V1099+T1100</f>
        <v>16.068712188794432</v>
      </c>
    </row>
    <row r="1101" spans="1:22" ht="19" customHeight="1">
      <c r="A1101" s="68" t="s">
        <v>372</v>
      </c>
      <c r="B1101" s="74">
        <v>2</v>
      </c>
      <c r="C1101" s="68" t="s">
        <v>363</v>
      </c>
      <c r="D1101" s="68" t="s">
        <v>364</v>
      </c>
      <c r="E1101" s="75">
        <f>60*F1101*'THAM_SO_MOI'!$C$50/(2*PI()*'THAM_SO_MOI'!$C$26)</f>
        <v>1922.6551295619242</v>
      </c>
      <c r="F1101" s="75">
        <f>'HANH_TRINH'!$F$826+('THAM_SO_MOI'!$F$50-'HANH_TRINH'!$F$826)*274/'THAM_SO_MOI'!$C$42</f>
        <v>4.793625810039448</v>
      </c>
      <c r="G1101" s="75">
        <f>3.6*F1101</f>
        <v>17.257052916142015</v>
      </c>
      <c r="H1101" s="75">
        <f>'THAM_SO_MOI'!$D$50</f>
        <v>1.8785906709588276</v>
      </c>
      <c r="I1101" s="75">
        <f>IF(F1101&gt;'THAM_SO_MOI'!$C$14,'THAM_SO_MOI'!$C$13*(1+F1101^2/1500),'THAM_SO_MOI'!$C$13)</f>
        <v>0.015</v>
      </c>
      <c r="J1101" s="75">
        <f>'THAM_SO_MOI'!$C$40*('THAM_SO_MOI'!$C$23*(E1101/'THAM_SO_MOI'!$C$22)+'THAM_SO_MOI'!$C$24*(E1101/'THAM_SO_MOI'!$C$22)^2-'THAM_SO_MOI'!$C$25*(E1101/'THAM_SO_MOI'!$C$22)^3)</f>
        <v>86.00451092386652</v>
      </c>
      <c r="K1101" s="75">
        <f>'THAM_SO_MOI'!$C$31*J1101/E1101</f>
        <v>427.24123115502414</v>
      </c>
      <c r="L1101" s="75">
        <f>K1101*'THAM_SO_MOI'!$C$50*'THAM_SO_MOI'!$C$17/'THAM_SO_MOI'!$C$26</f>
        <v>15253.094555188929</v>
      </c>
      <c r="M1101" s="75">
        <f>'THAM_SO_MOI'!$C$15*'THAM_SO_MOI'!$C$16*F1101^2</f>
        <v>67.21313158952834</v>
      </c>
      <c r="N1101" s="75">
        <f>'THAM_SO_MOI'!$C$12*I1101</f>
        <v>1130.112</v>
      </c>
      <c r="O1101" s="75">
        <f>M1101+N1101</f>
        <v>1197.3251315895284</v>
      </c>
      <c r="P1101" s="75">
        <f>(MIN(L1101,'THAM_SO_MOI'!$C$41)-O1101)/('THAM_SO_MOI'!$C$11*H1101)</f>
        <v>0.9742294256312832</v>
      </c>
      <c r="Q1101" s="75">
        <f>IF(P1101&gt;0,1/P1101,NA())</f>
        <v>1.026452264416072</v>
      </c>
      <c r="R1101" s="75">
        <f>F1101-F1100</f>
        <v>0.0032106047296869278</v>
      </c>
      <c r="S1101" s="75">
        <f>0.5*(Q1100+Q1101)*R1101</f>
        <v>0.0032956498734932785</v>
      </c>
      <c r="T1101" s="75">
        <f>0.5*(F1100*Q1100+F1101*Q1101)*R1101</f>
        <v>0.015792821591466926</v>
      </c>
      <c r="U1101" s="76">
        <f>U1100+S1101</f>
        <v>5.032470151328027</v>
      </c>
      <c r="V1101" s="76">
        <f>V1100+T1101</f>
        <v>16.0845050103859</v>
      </c>
    </row>
    <row r="1102" spans="1:22" ht="19" customHeight="1">
      <c r="A1102" s="68" t="s">
        <v>372</v>
      </c>
      <c r="B1102" s="74">
        <v>2</v>
      </c>
      <c r="C1102" s="68" t="s">
        <v>363</v>
      </c>
      <c r="D1102" s="68" t="s">
        <v>364</v>
      </c>
      <c r="E1102" s="75">
        <f>60*F1102*'THAM_SO_MOI'!$C$50/(2*PI()*'THAM_SO_MOI'!$C$26)</f>
        <v>1923.9428574524911</v>
      </c>
      <c r="F1102" s="75">
        <f>'HANH_TRINH'!$F$826+('THAM_SO_MOI'!$F$50-'HANH_TRINH'!$F$826)*275/'THAM_SO_MOI'!$C$42</f>
        <v>4.796836414769135</v>
      </c>
      <c r="G1102" s="75">
        <f>3.6*F1102</f>
        <v>17.26861109316889</v>
      </c>
      <c r="H1102" s="75">
        <f>'THAM_SO_MOI'!$D$50</f>
        <v>1.8785906709588276</v>
      </c>
      <c r="I1102" s="75">
        <f>IF(F1102&gt;'THAM_SO_MOI'!$C$14,'THAM_SO_MOI'!$C$13*(1+F1102^2/1500),'THAM_SO_MOI'!$C$13)</f>
        <v>0.015</v>
      </c>
      <c r="J1102" s="75">
        <f>'THAM_SO_MOI'!$C$40*('THAM_SO_MOI'!$C$23*(E1102/'THAM_SO_MOI'!$C$22)+'THAM_SO_MOI'!$C$24*(E1102/'THAM_SO_MOI'!$C$22)^2-'THAM_SO_MOI'!$C$25*(E1102/'THAM_SO_MOI'!$C$22)^3)</f>
        <v>86.06823818187148</v>
      </c>
      <c r="K1102" s="75">
        <f>'THAM_SO_MOI'!$C$31*J1102/E1102</f>
        <v>427.27163479246747</v>
      </c>
      <c r="L1102" s="75">
        <f>K1102*'THAM_SO_MOI'!$C$50*'THAM_SO_MOI'!$C$17/'THAM_SO_MOI'!$C$26</f>
        <v>15254.180006505252</v>
      </c>
      <c r="M1102" s="75">
        <f>'THAM_SO_MOI'!$C$15*'THAM_SO_MOI'!$C$16*F1102^2</f>
        <v>67.3031958009115</v>
      </c>
      <c r="N1102" s="75">
        <f>'THAM_SO_MOI'!$C$12*I1102</f>
        <v>1130.112</v>
      </c>
      <c r="O1102" s="75">
        <f>M1102+N1102</f>
        <v>1197.4151958009115</v>
      </c>
      <c r="P1102" s="75">
        <f>(MIN(L1102,'THAM_SO_MOI'!$C$41)-O1102)/('THAM_SO_MOI'!$C$11*H1102)</f>
        <v>0.9742984176144538</v>
      </c>
      <c r="Q1102" s="75">
        <f>IF(P1102&gt;0,1/P1102,NA())</f>
        <v>1.026379579316649</v>
      </c>
      <c r="R1102" s="75">
        <f>F1102-F1101</f>
        <v>0.0032106047296869278</v>
      </c>
      <c r="S1102" s="75">
        <f>0.5*(Q1101+Q1102)*R1102</f>
        <v>0.0032954158133701055</v>
      </c>
      <c r="T1102" s="75">
        <f>0.5*(F1101*Q1101+F1102*Q1102)*R1102</f>
        <v>0.015802280249272237</v>
      </c>
      <c r="U1102" s="76">
        <f>U1101+S1102</f>
        <v>5.0357655671413974</v>
      </c>
      <c r="V1102" s="76">
        <f>V1101+T1102</f>
        <v>16.100307290635172</v>
      </c>
    </row>
    <row r="1103" spans="1:22" ht="19" customHeight="1">
      <c r="A1103" s="68" t="s">
        <v>372</v>
      </c>
      <c r="B1103" s="74">
        <v>2</v>
      </c>
      <c r="C1103" s="68" t="s">
        <v>363</v>
      </c>
      <c r="D1103" s="68" t="s">
        <v>364</v>
      </c>
      <c r="E1103" s="75">
        <f>60*F1103*'THAM_SO_MOI'!$C$50/(2*PI()*'THAM_SO_MOI'!$C$26)</f>
        <v>1925.2305853430578</v>
      </c>
      <c r="F1103" s="75">
        <f>'HANH_TRINH'!$F$826+('THAM_SO_MOI'!$F$50-'HANH_TRINH'!$F$826)*276/'THAM_SO_MOI'!$C$42</f>
        <v>4.800047019498822</v>
      </c>
      <c r="G1103" s="75">
        <f>3.6*F1103</f>
        <v>17.28016927019576</v>
      </c>
      <c r="H1103" s="75">
        <f>'THAM_SO_MOI'!$D$50</f>
        <v>1.8785906709588276</v>
      </c>
      <c r="I1103" s="75">
        <f>IF(F1103&gt;'THAM_SO_MOI'!$C$14,'THAM_SO_MOI'!$C$13*(1+F1103^2/1500),'THAM_SO_MOI'!$C$13)</f>
        <v>0.015</v>
      </c>
      <c r="J1103" s="75">
        <f>'THAM_SO_MOI'!$C$40*('THAM_SO_MOI'!$C$23*(E1103/'THAM_SO_MOI'!$C$22)+'THAM_SO_MOI'!$C$24*(E1103/'THAM_SO_MOI'!$C$22)^2-'THAM_SO_MOI'!$C$25*(E1103/'THAM_SO_MOI'!$C$22)^3)</f>
        <v>86.13194121052062</v>
      </c>
      <c r="K1103" s="75">
        <f>'THAM_SO_MOI'!$C$31*J1103/E1103</f>
        <v>427.3018775555786</v>
      </c>
      <c r="L1103" s="75">
        <f>K1103*'THAM_SO_MOI'!$C$50*'THAM_SO_MOI'!$C$17/'THAM_SO_MOI'!$C$26</f>
        <v>15255.25971438854</v>
      </c>
      <c r="M1103" s="75">
        <f>'THAM_SO_MOI'!$C$15*'THAM_SO_MOI'!$C$16*F1103^2</f>
        <v>67.39332031399363</v>
      </c>
      <c r="N1103" s="75">
        <f>'THAM_SO_MOI'!$C$12*I1103</f>
        <v>1130.112</v>
      </c>
      <c r="O1103" s="75">
        <f>M1103+N1103</f>
        <v>1197.5053203139937</v>
      </c>
      <c r="P1103" s="75">
        <f>(MIN(L1103,'THAM_SO_MOI'!$C$41)-O1103)/('THAM_SO_MOI'!$C$11*H1103)</f>
        <v>0.9743670073308413</v>
      </c>
      <c r="Q1103" s="75">
        <f>IF(P1103&gt;0,1/P1103,NA())</f>
        <v>1.0263073282205821</v>
      </c>
      <c r="R1103" s="75">
        <f>F1103-F1102</f>
        <v>0.0032106047296869278</v>
      </c>
      <c r="S1103" s="75">
        <f>0.5*(Q1102+Q1103)*R1103</f>
        <v>0.003295183146952734</v>
      </c>
      <c r="T1103" s="75">
        <f>0.5*(F1102*Q1102+F1103*Q1103)*R1103</f>
        <v>0.015811744091744063</v>
      </c>
      <c r="U1103" s="76">
        <f>U1102+S1103</f>
        <v>5.03906075028835</v>
      </c>
      <c r="V1103" s="76">
        <f>V1102+T1103</f>
        <v>16.116119034726918</v>
      </c>
    </row>
    <row r="1104" spans="1:22" ht="19" customHeight="1">
      <c r="A1104" s="68" t="s">
        <v>372</v>
      </c>
      <c r="B1104" s="74">
        <v>2</v>
      </c>
      <c r="C1104" s="68" t="s">
        <v>363</v>
      </c>
      <c r="D1104" s="68" t="s">
        <v>364</v>
      </c>
      <c r="E1104" s="75">
        <f>60*F1104*'THAM_SO_MOI'!$C$50/(2*PI()*'THAM_SO_MOI'!$C$26)</f>
        <v>1926.5183132336244</v>
      </c>
      <c r="F1104" s="75">
        <f>'HANH_TRINH'!$F$826+('THAM_SO_MOI'!$F$50-'HANH_TRINH'!$F$826)*277/'THAM_SO_MOI'!$C$42</f>
        <v>4.803257624228509</v>
      </c>
      <c r="G1104" s="75">
        <f>3.6*F1104</f>
        <v>17.291727447222634</v>
      </c>
      <c r="H1104" s="75">
        <f>'THAM_SO_MOI'!$D$50</f>
        <v>1.8785906709588276</v>
      </c>
      <c r="I1104" s="75">
        <f>IF(F1104&gt;'THAM_SO_MOI'!$C$14,'THAM_SO_MOI'!$C$13*(1+F1104^2/1500),'THAM_SO_MOI'!$C$13)</f>
        <v>0.015</v>
      </c>
      <c r="J1104" s="75">
        <f>'THAM_SO_MOI'!$C$40*('THAM_SO_MOI'!$C$23*(E1104/'THAM_SO_MOI'!$C$22)+'THAM_SO_MOI'!$C$24*(E1104/'THAM_SO_MOI'!$C$22)^2-'THAM_SO_MOI'!$C$25*(E1104/'THAM_SO_MOI'!$C$22)^3)</f>
        <v>86.19561994474424</v>
      </c>
      <c r="K1104" s="75">
        <f>'THAM_SO_MOI'!$C$31*J1104/E1104</f>
        <v>427.3319594443574</v>
      </c>
      <c r="L1104" s="75">
        <f>K1104*'THAM_SO_MOI'!$C$50*'THAM_SO_MOI'!$C$17/'THAM_SO_MOI'!$C$26</f>
        <v>15256.333678838791</v>
      </c>
      <c r="M1104" s="75">
        <f>'THAM_SO_MOI'!$C$15*'THAM_SO_MOI'!$C$16*F1104^2</f>
        <v>67.48350512877472</v>
      </c>
      <c r="N1104" s="75">
        <f>'THAM_SO_MOI'!$C$12*I1104</f>
        <v>1130.112</v>
      </c>
      <c r="O1104" s="75">
        <f>M1104+N1104</f>
        <v>1197.595505128775</v>
      </c>
      <c r="P1104" s="75">
        <f>(MIN(L1104,'THAM_SO_MOI'!$C$41)-O1104)/('THAM_SO_MOI'!$C$11*H1104)</f>
        <v>0.9744351947804448</v>
      </c>
      <c r="Q1104" s="75">
        <f>IF(P1104&gt;0,1/P1104,NA())</f>
        <v>1.0262355109467443</v>
      </c>
      <c r="R1104" s="75">
        <f>F1104-F1103</f>
        <v>0.0032106047296869278</v>
      </c>
      <c r="S1104" s="75">
        <f>0.5*(Q1103+Q1104)*R1104</f>
        <v>0.003294951873657827</v>
      </c>
      <c r="T1104" s="75">
        <f>0.5*(F1103*Q1103+F1104*Q1104)*R1104</f>
        <v>0.015821213129505334</v>
      </c>
      <c r="U1104" s="76">
        <f>U1103+S1104</f>
        <v>5.042355702162007</v>
      </c>
      <c r="V1104" s="76">
        <f>V1103+T1104</f>
        <v>16.131940247856424</v>
      </c>
    </row>
    <row r="1105" spans="1:22" ht="19" customHeight="1">
      <c r="A1105" s="68" t="s">
        <v>372</v>
      </c>
      <c r="B1105" s="74">
        <v>2</v>
      </c>
      <c r="C1105" s="68" t="s">
        <v>363</v>
      </c>
      <c r="D1105" s="68" t="s">
        <v>364</v>
      </c>
      <c r="E1105" s="75">
        <f>60*F1105*'THAM_SO_MOI'!$C$50/(2*PI()*'THAM_SO_MOI'!$C$26)</f>
        <v>1927.806041124191</v>
      </c>
      <c r="F1105" s="75">
        <f>'HANH_TRINH'!$F$826+('THAM_SO_MOI'!$F$50-'HANH_TRINH'!$F$826)*278/'THAM_SO_MOI'!$C$42</f>
        <v>4.806468228958196</v>
      </c>
      <c r="G1105" s="75">
        <f>3.6*F1105</f>
        <v>17.303285624249508</v>
      </c>
      <c r="H1105" s="75">
        <f>'THAM_SO_MOI'!$D$50</f>
        <v>1.8785906709588276</v>
      </c>
      <c r="I1105" s="75">
        <f>IF(F1105&gt;'THAM_SO_MOI'!$C$14,'THAM_SO_MOI'!$C$13*(1+F1105^2/1500),'THAM_SO_MOI'!$C$13)</f>
        <v>0.015</v>
      </c>
      <c r="J1105" s="75">
        <f>'THAM_SO_MOI'!$C$40*('THAM_SO_MOI'!$C$23*(E1105/'THAM_SO_MOI'!$C$22)+'THAM_SO_MOI'!$C$24*(E1105/'THAM_SO_MOI'!$C$22)^2-'THAM_SO_MOI'!$C$25*(E1105/'THAM_SO_MOI'!$C$22)^3)</f>
        <v>86.25927431947264</v>
      </c>
      <c r="K1105" s="75">
        <f>'THAM_SO_MOI'!$C$31*J1105/E1105</f>
        <v>427.36188045880397</v>
      </c>
      <c r="L1105" s="75">
        <f>K1105*'THAM_SO_MOI'!$C$50*'THAM_SO_MOI'!$C$17/'THAM_SO_MOI'!$C$26</f>
        <v>15257.401899856008</v>
      </c>
      <c r="M1105" s="75">
        <f>'THAM_SO_MOI'!$C$15*'THAM_SO_MOI'!$C$16*F1105^2</f>
        <v>67.57375024525479</v>
      </c>
      <c r="N1105" s="75">
        <f>'THAM_SO_MOI'!$C$12*I1105</f>
        <v>1130.112</v>
      </c>
      <c r="O1105" s="75">
        <f>M1105+N1105</f>
        <v>1197.685750245255</v>
      </c>
      <c r="P1105" s="75">
        <f>(MIN(L1105,'THAM_SO_MOI'!$C$41)-O1105)/('THAM_SO_MOI'!$C$11*H1105)</f>
        <v>0.9745029799632651</v>
      </c>
      <c r="Q1105" s="75">
        <f>IF(P1105&gt;0,1/P1105,NA())</f>
        <v>1.0261641273151325</v>
      </c>
      <c r="R1105" s="75">
        <f>F1105-F1104</f>
        <v>0.0032106047296869278</v>
      </c>
      <c r="S1105" s="75">
        <f>0.5*(Q1104+Q1105)*R1105</f>
        <v>0.00329472199290566</v>
      </c>
      <c r="T1105" s="75">
        <f>0.5*(F1104*Q1104+F1105*Q1105)*R1105</f>
        <v>0.015830687373188865</v>
      </c>
      <c r="U1105" s="76">
        <f>U1104+S1105</f>
        <v>5.045650424154913</v>
      </c>
      <c r="V1105" s="76">
        <f>V1104+T1105</f>
        <v>16.147770935229612</v>
      </c>
    </row>
    <row r="1106" spans="1:22" ht="19" customHeight="1">
      <c r="A1106" s="68" t="s">
        <v>372</v>
      </c>
      <c r="B1106" s="74">
        <v>2</v>
      </c>
      <c r="C1106" s="68" t="s">
        <v>363</v>
      </c>
      <c r="D1106" s="68" t="s">
        <v>364</v>
      </c>
      <c r="E1106" s="75">
        <f>60*F1106*'THAM_SO_MOI'!$C$50/(2*PI()*'THAM_SO_MOI'!$C$26)</f>
        <v>1929.0937690147578</v>
      </c>
      <c r="F1106" s="75">
        <f>'HANH_TRINH'!$F$826+('THAM_SO_MOI'!$F$50-'HANH_TRINH'!$F$826)*279/'THAM_SO_MOI'!$C$42</f>
        <v>4.809678833687883</v>
      </c>
      <c r="G1106" s="75">
        <f>3.6*F1106</f>
        <v>17.31484380127638</v>
      </c>
      <c r="H1106" s="75">
        <f>'THAM_SO_MOI'!$D$50</f>
        <v>1.8785906709588276</v>
      </c>
      <c r="I1106" s="75">
        <f>IF(F1106&gt;'THAM_SO_MOI'!$C$14,'THAM_SO_MOI'!$C$13*(1+F1106^2/1500),'THAM_SO_MOI'!$C$13)</f>
        <v>0.015</v>
      </c>
      <c r="J1106" s="75">
        <f>'THAM_SO_MOI'!$C$40*('THAM_SO_MOI'!$C$23*(E1106/'THAM_SO_MOI'!$C$22)+'THAM_SO_MOI'!$C$24*(E1106/'THAM_SO_MOI'!$C$22)^2-'THAM_SO_MOI'!$C$25*(E1106/'THAM_SO_MOI'!$C$22)^3)</f>
        <v>86.32290426963613</v>
      </c>
      <c r="K1106" s="75">
        <f>'THAM_SO_MOI'!$C$31*J1106/E1106</f>
        <v>427.3916405989183</v>
      </c>
      <c r="L1106" s="75">
        <f>K1106*'THAM_SO_MOI'!$C$50*'THAM_SO_MOI'!$C$17/'THAM_SO_MOI'!$C$26</f>
        <v>15258.464377440187</v>
      </c>
      <c r="M1106" s="75">
        <f>'THAM_SO_MOI'!$C$15*'THAM_SO_MOI'!$C$16*F1106^2</f>
        <v>67.66405566343381</v>
      </c>
      <c r="N1106" s="75">
        <f>'THAM_SO_MOI'!$C$12*I1106</f>
        <v>1130.112</v>
      </c>
      <c r="O1106" s="75">
        <f>M1106+N1106</f>
        <v>1197.776055663434</v>
      </c>
      <c r="P1106" s="75">
        <f>(MIN(L1106,'THAM_SO_MOI'!$C$41)-O1106)/('THAM_SO_MOI'!$C$11*H1106)</f>
        <v>0.9745703628793014</v>
      </c>
      <c r="Q1106" s="75">
        <f>IF(P1106&gt;0,1/P1106,NA())</f>
        <v>1.0260931771468695</v>
      </c>
      <c r="R1106" s="75">
        <f>F1106-F1105</f>
        <v>0.0032106047296869278</v>
      </c>
      <c r="S1106" s="75">
        <f>0.5*(Q1105+Q1106)*R1106</f>
        <v>0.003294493504120125</v>
      </c>
      <c r="T1106" s="75">
        <f>0.5*(F1105*Q1105+F1106*Q1106)*R1106</f>
        <v>0.015840166833437384</v>
      </c>
      <c r="U1106" s="76">
        <f>U1105+S1106</f>
        <v>5.048944917659033</v>
      </c>
      <c r="V1106" s="76">
        <f>V1105+T1106</f>
        <v>16.16361110206305</v>
      </c>
    </row>
    <row r="1107" spans="1:22" ht="19" customHeight="1">
      <c r="A1107" s="68" t="s">
        <v>372</v>
      </c>
      <c r="B1107" s="74">
        <v>2</v>
      </c>
      <c r="C1107" s="68" t="s">
        <v>363</v>
      </c>
      <c r="D1107" s="68" t="s">
        <v>364</v>
      </c>
      <c r="E1107" s="75">
        <f>60*F1107*'THAM_SO_MOI'!$C$50/(2*PI()*'THAM_SO_MOI'!$C$26)</f>
        <v>1930.3814969053242</v>
      </c>
      <c r="F1107" s="75">
        <f>'HANH_TRINH'!$F$826+('THAM_SO_MOI'!$F$50-'HANH_TRINH'!$F$826)*280/'THAM_SO_MOI'!$C$42</f>
        <v>4.812889438417569</v>
      </c>
      <c r="G1107" s="75">
        <f>3.6*F1107</f>
        <v>17.32640197830325</v>
      </c>
      <c r="H1107" s="75">
        <f>'THAM_SO_MOI'!$D$50</f>
        <v>1.8785906709588276</v>
      </c>
      <c r="I1107" s="75">
        <f>IF(F1107&gt;'THAM_SO_MOI'!$C$14,'THAM_SO_MOI'!$C$13*(1+F1107^2/1500),'THAM_SO_MOI'!$C$13)</f>
        <v>0.015</v>
      </c>
      <c r="J1107" s="75">
        <f>'THAM_SO_MOI'!$C$40*('THAM_SO_MOI'!$C$23*(E1107/'THAM_SO_MOI'!$C$22)+'THAM_SO_MOI'!$C$24*(E1107/'THAM_SO_MOI'!$C$22)^2-'THAM_SO_MOI'!$C$25*(E1107/'THAM_SO_MOI'!$C$22)^3)</f>
        <v>86.38650973016495</v>
      </c>
      <c r="K1107" s="75">
        <f>'THAM_SO_MOI'!$C$31*J1107/E1107</f>
        <v>427.42123986470017</v>
      </c>
      <c r="L1107" s="75">
        <f>K1107*'THAM_SO_MOI'!$C$50*'THAM_SO_MOI'!$C$17/'THAM_SO_MOI'!$C$26</f>
        <v>15259.521111591323</v>
      </c>
      <c r="M1107" s="75">
        <f>'THAM_SO_MOI'!$C$15*'THAM_SO_MOI'!$C$16*F1107^2</f>
        <v>67.75442138331181</v>
      </c>
      <c r="N1107" s="75">
        <f>'THAM_SO_MOI'!$C$12*I1107</f>
        <v>1130.112</v>
      </c>
      <c r="O1107" s="75">
        <f>M1107+N1107</f>
        <v>1197.866421383312</v>
      </c>
      <c r="P1107" s="75">
        <f>(MIN(L1107,'THAM_SO_MOI'!$C$41)-O1107)/('THAM_SO_MOI'!$C$11*H1107)</f>
        <v>0.9746373435285537</v>
      </c>
      <c r="Q1107" s="75">
        <f>IF(P1107&gt;0,1/P1107,NA())</f>
        <v>1.0260226602642004</v>
      </c>
      <c r="R1107" s="75">
        <f>F1107-F1106</f>
        <v>0.0032106047296860396</v>
      </c>
      <c r="S1107" s="75">
        <f>0.5*(Q1106+Q1107)*R1107</f>
        <v>0.0032942664067278043</v>
      </c>
      <c r="T1107" s="75">
        <f>0.5*(F1106*Q1106+F1107*Q1107)*R1107</f>
        <v>0.0158496515208992</v>
      </c>
      <c r="U1107" s="76">
        <f>U1106+S1107</f>
        <v>5.052239184065761</v>
      </c>
      <c r="V1107" s="76">
        <f>V1106+T1107</f>
        <v>16.17946075358395</v>
      </c>
    </row>
    <row r="1108" spans="1:22" ht="19" customHeight="1">
      <c r="A1108" s="68" t="s">
        <v>372</v>
      </c>
      <c r="B1108" s="74">
        <v>2</v>
      </c>
      <c r="C1108" s="68" t="s">
        <v>363</v>
      </c>
      <c r="D1108" s="68" t="s">
        <v>364</v>
      </c>
      <c r="E1108" s="75">
        <f>60*F1108*'THAM_SO_MOI'!$C$50/(2*PI()*'THAM_SO_MOI'!$C$26)</f>
        <v>1931.6692247958908</v>
      </c>
      <c r="F1108" s="75">
        <f>'HANH_TRINH'!$F$826+('THAM_SO_MOI'!$F$50-'HANH_TRINH'!$F$826)*281/'THAM_SO_MOI'!$C$42</f>
        <v>4.816100043147256</v>
      </c>
      <c r="G1108" s="75">
        <f>3.6*F1108</f>
        <v>17.337960155330123</v>
      </c>
      <c r="H1108" s="75">
        <f>'THAM_SO_MOI'!$D$50</f>
        <v>1.8785906709588276</v>
      </c>
      <c r="I1108" s="75">
        <f>IF(F1108&gt;'THAM_SO_MOI'!$C$14,'THAM_SO_MOI'!$C$13*(1+F1108^2/1500),'THAM_SO_MOI'!$C$13)</f>
        <v>0.015</v>
      </c>
      <c r="J1108" s="75">
        <f>'THAM_SO_MOI'!$C$40*('THAM_SO_MOI'!$C$23*(E1108/'THAM_SO_MOI'!$C$22)+'THAM_SO_MOI'!$C$24*(E1108/'THAM_SO_MOI'!$C$22)^2-'THAM_SO_MOI'!$C$25*(E1108/'THAM_SO_MOI'!$C$22)^3)</f>
        <v>86.45009063598954</v>
      </c>
      <c r="K1108" s="75">
        <f>'THAM_SO_MOI'!$C$31*J1108/E1108</f>
        <v>427.4506782561502</v>
      </c>
      <c r="L1108" s="75">
        <f>K1108*'THAM_SO_MOI'!$C$50*'THAM_SO_MOI'!$C$17/'THAM_SO_MOI'!$C$26</f>
        <v>15260.572102309437</v>
      </c>
      <c r="M1108" s="75">
        <f>'THAM_SO_MOI'!$C$15*'THAM_SO_MOI'!$C$16*F1108^2</f>
        <v>67.84484740488878</v>
      </c>
      <c r="N1108" s="75">
        <f>'THAM_SO_MOI'!$C$12*I1108</f>
        <v>1130.112</v>
      </c>
      <c r="O1108" s="75">
        <f>M1108+N1108</f>
        <v>1197.9568474048888</v>
      </c>
      <c r="P1108" s="75">
        <f>(MIN(L1108,'THAM_SO_MOI'!$C$41)-O1108)/('THAM_SO_MOI'!$C$11*H1108)</f>
        <v>0.9747039219110232</v>
      </c>
      <c r="Q1108" s="75">
        <f>IF(P1108&gt;0,1/P1108,NA())</f>
        <v>1.0259525764904904</v>
      </c>
      <c r="R1108" s="75">
        <f>F1108-F1107</f>
        <v>0.0032106047296869278</v>
      </c>
      <c r="S1108" s="75">
        <f>0.5*(Q1107+Q1108)*R1108</f>
        <v>0.0032940407001625324</v>
      </c>
      <c r="T1108" s="75">
        <f>0.5*(F1107*Q1107+F1108*Q1108)*R1108</f>
        <v>0.015859141446250145</v>
      </c>
      <c r="U1108" s="76">
        <f>U1107+S1108</f>
        <v>5.055533224765924</v>
      </c>
      <c r="V1108" s="76">
        <f>V1107+T1108</f>
        <v>16.1953198950302</v>
      </c>
    </row>
    <row r="1109" spans="1:22" ht="19" customHeight="1">
      <c r="A1109" s="68" t="s">
        <v>372</v>
      </c>
      <c r="B1109" s="74">
        <v>2</v>
      </c>
      <c r="C1109" s="68" t="s">
        <v>363</v>
      </c>
      <c r="D1109" s="68" t="s">
        <v>364</v>
      </c>
      <c r="E1109" s="75">
        <f>60*F1109*'THAM_SO_MOI'!$C$50/(2*PI()*'THAM_SO_MOI'!$C$26)</f>
        <v>1932.9569526864575</v>
      </c>
      <c r="F1109" s="75">
        <f>'HANH_TRINH'!$F$826+('THAM_SO_MOI'!$F$50-'HANH_TRINH'!$F$826)*282/'THAM_SO_MOI'!$C$42</f>
        <v>4.819310647876943</v>
      </c>
      <c r="G1109" s="75">
        <f>3.6*F1109</f>
        <v>17.349518332356997</v>
      </c>
      <c r="H1109" s="75">
        <f>'THAM_SO_MOI'!$D$50</f>
        <v>1.8785906709588276</v>
      </c>
      <c r="I1109" s="75">
        <f>IF(F1109&gt;'THAM_SO_MOI'!$C$14,'THAM_SO_MOI'!$C$13*(1+F1109^2/1500),'THAM_SO_MOI'!$C$13)</f>
        <v>0.015</v>
      </c>
      <c r="J1109" s="75">
        <f>'THAM_SO_MOI'!$C$40*('THAM_SO_MOI'!$C$23*(E1109/'THAM_SO_MOI'!$C$22)+'THAM_SO_MOI'!$C$24*(E1109/'THAM_SO_MOI'!$C$22)^2-'THAM_SO_MOI'!$C$25*(E1109/'THAM_SO_MOI'!$C$22)^3)</f>
        <v>86.51364692204007</v>
      </c>
      <c r="K1109" s="75">
        <f>'THAM_SO_MOI'!$C$31*J1109/E1109</f>
        <v>427.47995577326765</v>
      </c>
      <c r="L1109" s="75">
        <f>K1109*'THAM_SO_MOI'!$C$50*'THAM_SO_MOI'!$C$17/'THAM_SO_MOI'!$C$26</f>
        <v>15261.617349594504</v>
      </c>
      <c r="M1109" s="75">
        <f>'THAM_SO_MOI'!$C$15*'THAM_SO_MOI'!$C$16*F1109^2</f>
        <v>67.93533372816474</v>
      </c>
      <c r="N1109" s="75">
        <f>'THAM_SO_MOI'!$C$12*I1109</f>
        <v>1130.112</v>
      </c>
      <c r="O1109" s="75">
        <f>M1109+N1109</f>
        <v>1198.0473337281649</v>
      </c>
      <c r="P1109" s="75">
        <f>(MIN(L1109,'THAM_SO_MOI'!$C$41)-O1109)/('THAM_SO_MOI'!$C$11*H1109)</f>
        <v>0.9747700980267083</v>
      </c>
      <c r="Q1109" s="75">
        <f>IF(P1109&gt;0,1/P1109,NA())</f>
        <v>1.0258829256502289</v>
      </c>
      <c r="R1109" s="75">
        <f>F1109-F1108</f>
        <v>0.0032106047296869278</v>
      </c>
      <c r="S1109" s="75">
        <f>0.5*(Q1108+Q1109)*R1109</f>
        <v>0.003293816383856273</v>
      </c>
      <c r="T1109" s="75">
        <f>0.5*(F1108*Q1108+F1109*Q1109)*R1109</f>
        <v>0.015868636620149788</v>
      </c>
      <c r="U1109" s="76">
        <f>U1108+S1109</f>
        <v>5.0588270411497795</v>
      </c>
      <c r="V1109" s="76">
        <f>V1108+T1109</f>
        <v>16.21118853165035</v>
      </c>
    </row>
    <row r="1110" spans="1:22" ht="19" customHeight="1">
      <c r="A1110" s="68" t="s">
        <v>372</v>
      </c>
      <c r="B1110" s="74">
        <v>2</v>
      </c>
      <c r="C1110" s="68" t="s">
        <v>363</v>
      </c>
      <c r="D1110" s="68" t="s">
        <v>364</v>
      </c>
      <c r="E1110" s="75">
        <f>60*F1110*'THAM_SO_MOI'!$C$50/(2*PI()*'THAM_SO_MOI'!$C$26)</f>
        <v>1934.2446805770242</v>
      </c>
      <c r="F1110" s="75">
        <f>'HANH_TRINH'!$F$826+('THAM_SO_MOI'!$F$50-'HANH_TRINH'!$F$826)*283/'THAM_SO_MOI'!$C$42</f>
        <v>4.82252125260663</v>
      </c>
      <c r="G1110" s="75">
        <f>3.6*F1110</f>
        <v>17.361076509383867</v>
      </c>
      <c r="H1110" s="75">
        <f>'THAM_SO_MOI'!$D$50</f>
        <v>1.8785906709588276</v>
      </c>
      <c r="I1110" s="75">
        <f>IF(F1110&gt;'THAM_SO_MOI'!$C$14,'THAM_SO_MOI'!$C$13*(1+F1110^2/1500),'THAM_SO_MOI'!$C$13)</f>
        <v>0.015</v>
      </c>
      <c r="J1110" s="75">
        <f>'THAM_SO_MOI'!$C$40*('THAM_SO_MOI'!$C$23*(E1110/'THAM_SO_MOI'!$C$22)+'THAM_SO_MOI'!$C$24*(E1110/'THAM_SO_MOI'!$C$22)^2-'THAM_SO_MOI'!$C$25*(E1110/'THAM_SO_MOI'!$C$22)^3)</f>
        <v>86.57717852324693</v>
      </c>
      <c r="K1110" s="75">
        <f>'THAM_SO_MOI'!$C$31*J1110/E1110</f>
        <v>427.5090724160531</v>
      </c>
      <c r="L1110" s="75">
        <f>K1110*'THAM_SO_MOI'!$C$50*'THAM_SO_MOI'!$C$17/'THAM_SO_MOI'!$C$26</f>
        <v>15262.656853446546</v>
      </c>
      <c r="M1110" s="75">
        <f>'THAM_SO_MOI'!$C$15*'THAM_SO_MOI'!$C$16*F1110^2</f>
        <v>68.02588035313967</v>
      </c>
      <c r="N1110" s="75">
        <f>'THAM_SO_MOI'!$C$12*I1110</f>
        <v>1130.112</v>
      </c>
      <c r="O1110" s="75">
        <f>M1110+N1110</f>
        <v>1198.1378803531397</v>
      </c>
      <c r="P1110" s="75">
        <f>(MIN(L1110,'THAM_SO_MOI'!$C$41)-O1110)/('THAM_SO_MOI'!$C$11*H1110)</f>
        <v>0.9748358718756108</v>
      </c>
      <c r="Q1110" s="75">
        <f>IF(P1110&gt;0,1/P1110,NA())</f>
        <v>1.0258137075690215</v>
      </c>
      <c r="R1110" s="75">
        <f>F1110-F1109</f>
        <v>0.0032106047296869278</v>
      </c>
      <c r="S1110" s="75">
        <f>0.5*(Q1109+Q1110)*R1110</f>
        <v>0.003293593457248235</v>
      </c>
      <c r="T1110" s="75">
        <f>0.5*(F1109*Q1109+F1110*Q1110)*R1110</f>
        <v>0.01587813705328531</v>
      </c>
      <c r="U1110" s="76">
        <f>U1109+S1110</f>
        <v>5.0621206346070275</v>
      </c>
      <c r="V1110" s="76">
        <f>V1109+T1110</f>
        <v>16.227066668703635</v>
      </c>
    </row>
    <row r="1111" spans="1:22" ht="19" customHeight="1">
      <c r="A1111" s="68" t="s">
        <v>372</v>
      </c>
      <c r="B1111" s="74">
        <v>2</v>
      </c>
      <c r="C1111" s="68" t="s">
        <v>363</v>
      </c>
      <c r="D1111" s="68" t="s">
        <v>364</v>
      </c>
      <c r="E1111" s="75">
        <f>60*F1111*'THAM_SO_MOI'!$C$50/(2*PI()*'THAM_SO_MOI'!$C$26)</f>
        <v>1935.5324084675908</v>
      </c>
      <c r="F1111" s="75">
        <f>'HANH_TRINH'!$F$826+('THAM_SO_MOI'!$F$50-'HANH_TRINH'!$F$826)*284/'THAM_SO_MOI'!$C$42</f>
        <v>4.825731857336317</v>
      </c>
      <c r="G1111" s="75">
        <f>3.6*F1111</f>
        <v>17.37263468641074</v>
      </c>
      <c r="H1111" s="75">
        <f>'THAM_SO_MOI'!$D$50</f>
        <v>1.8785906709588276</v>
      </c>
      <c r="I1111" s="75">
        <f>IF(F1111&gt;'THAM_SO_MOI'!$C$14,'THAM_SO_MOI'!$C$13*(1+F1111^2/1500),'THAM_SO_MOI'!$C$13)</f>
        <v>0.015</v>
      </c>
      <c r="J1111" s="75">
        <f>'THAM_SO_MOI'!$C$40*('THAM_SO_MOI'!$C$23*(E1111/'THAM_SO_MOI'!$C$22)+'THAM_SO_MOI'!$C$24*(E1111/'THAM_SO_MOI'!$C$22)^2-'THAM_SO_MOI'!$C$25*(E1111/'THAM_SO_MOI'!$C$22)^3)</f>
        <v>86.64068537454037</v>
      </c>
      <c r="K1111" s="75">
        <f>'THAM_SO_MOI'!$C$31*J1111/E1111</f>
        <v>427.5380281845062</v>
      </c>
      <c r="L1111" s="75">
        <f>K1111*'THAM_SO_MOI'!$C$50*'THAM_SO_MOI'!$C$17/'THAM_SO_MOI'!$C$26</f>
        <v>15263.690613865545</v>
      </c>
      <c r="M1111" s="75">
        <f>'THAM_SO_MOI'!$C$15*'THAM_SO_MOI'!$C$16*F1111^2</f>
        <v>68.11648727981357</v>
      </c>
      <c r="N1111" s="75">
        <f>'THAM_SO_MOI'!$C$12*I1111</f>
        <v>1130.112</v>
      </c>
      <c r="O1111" s="75">
        <f>M1111+N1111</f>
        <v>1198.2284872798136</v>
      </c>
      <c r="P1111" s="75">
        <f>(MIN(L1111,'THAM_SO_MOI'!$C$41)-O1111)/('THAM_SO_MOI'!$C$11*H1111)</f>
        <v>0.974901243457729</v>
      </c>
      <c r="Q1111" s="75">
        <f>IF(P1111&gt;0,1/P1111,NA())</f>
        <v>1.025744922073596</v>
      </c>
      <c r="R1111" s="75">
        <f>F1111-F1110</f>
        <v>0.0032106047296869278</v>
      </c>
      <c r="S1111" s="75">
        <f>0.5*(Q1110+Q1111)*R1111</f>
        <v>0.0032933719197803094</v>
      </c>
      <c r="T1111" s="75">
        <f>0.5*(F1110*Q1110+F1111*Q1111)*R1111</f>
        <v>0.015887642756349647</v>
      </c>
      <c r="U1111" s="76">
        <f>U1110+S1111</f>
        <v>5.065414006526808</v>
      </c>
      <c r="V1111" s="76">
        <f>V1110+T1111</f>
        <v>16.242954311459986</v>
      </c>
    </row>
    <row r="1112" spans="1:22" ht="19" customHeight="1">
      <c r="A1112" s="68" t="s">
        <v>372</v>
      </c>
      <c r="B1112" s="74">
        <v>2</v>
      </c>
      <c r="C1112" s="68" t="s">
        <v>363</v>
      </c>
      <c r="D1112" s="68" t="s">
        <v>364</v>
      </c>
      <c r="E1112" s="75">
        <f>60*F1112*'THAM_SO_MOI'!$C$50/(2*PI()*'THAM_SO_MOI'!$C$26)</f>
        <v>1936.8201363581575</v>
      </c>
      <c r="F1112" s="75">
        <f>'HANH_TRINH'!$F$826+('THAM_SO_MOI'!$F$50-'HANH_TRINH'!$F$826)*285/'THAM_SO_MOI'!$C$42</f>
        <v>4.828942462066004</v>
      </c>
      <c r="G1112" s="75">
        <f>3.6*F1112</f>
        <v>17.384192863437615</v>
      </c>
      <c r="H1112" s="75">
        <f>'THAM_SO_MOI'!$D$50</f>
        <v>1.8785906709588276</v>
      </c>
      <c r="I1112" s="75">
        <f>IF(F1112&gt;'THAM_SO_MOI'!$C$14,'THAM_SO_MOI'!$C$13*(1+F1112^2/1500),'THAM_SO_MOI'!$C$13)</f>
        <v>0.015</v>
      </c>
      <c r="J1112" s="75">
        <f>'THAM_SO_MOI'!$C$40*('THAM_SO_MOI'!$C$23*(E1112/'THAM_SO_MOI'!$C$22)+'THAM_SO_MOI'!$C$24*(E1112/'THAM_SO_MOI'!$C$22)^2-'THAM_SO_MOI'!$C$25*(E1112/'THAM_SO_MOI'!$C$22)^3)</f>
        <v>86.70416741085067</v>
      </c>
      <c r="K1112" s="75">
        <f>'THAM_SO_MOI'!$C$31*J1112/E1112</f>
        <v>427.56682307862695</v>
      </c>
      <c r="L1112" s="75">
        <f>K1112*'THAM_SO_MOI'!$C$50*'THAM_SO_MOI'!$C$17/'THAM_SO_MOI'!$C$26</f>
        <v>15264.71863085151</v>
      </c>
      <c r="M1112" s="75">
        <f>'THAM_SO_MOI'!$C$15*'THAM_SO_MOI'!$C$16*F1112^2</f>
        <v>68.20715450818643</v>
      </c>
      <c r="N1112" s="75">
        <f>'THAM_SO_MOI'!$C$12*I1112</f>
        <v>1130.112</v>
      </c>
      <c r="O1112" s="75">
        <f>M1112+N1112</f>
        <v>1198.3191545081866</v>
      </c>
      <c r="P1112" s="75">
        <f>(MIN(L1112,'THAM_SO_MOI'!$C$41)-O1112)/('THAM_SO_MOI'!$C$11*H1112)</f>
        <v>0.9749662127730637</v>
      </c>
      <c r="Q1112" s="75">
        <f>IF(P1112&gt;0,1/P1112,NA())</f>
        <v>1.0256765689917946</v>
      </c>
      <c r="R1112" s="75">
        <f>F1112-F1111</f>
        <v>0.0032106047296869278</v>
      </c>
      <c r="S1112" s="75">
        <f>0.5*(Q1111+Q1112)*R1112</f>
        <v>0.0032931517708979763</v>
      </c>
      <c r="T1112" s="75">
        <f>0.5*(F1111*Q1111+F1112*Q1112)*R1112</f>
        <v>0.015897153740045883</v>
      </c>
      <c r="U1112" s="76">
        <f>U1111+S1112</f>
        <v>5.068707158297706</v>
      </c>
      <c r="V1112" s="76">
        <f>V1111+T1112</f>
        <v>16.25885146520003</v>
      </c>
    </row>
    <row r="1113" spans="1:22" ht="19" customHeight="1">
      <c r="A1113" s="68" t="s">
        <v>372</v>
      </c>
      <c r="B1113" s="74">
        <v>2</v>
      </c>
      <c r="C1113" s="68" t="s">
        <v>363</v>
      </c>
      <c r="D1113" s="68" t="s">
        <v>364</v>
      </c>
      <c r="E1113" s="75">
        <f>60*F1113*'THAM_SO_MOI'!$C$50/(2*PI()*'THAM_SO_MOI'!$C$26)</f>
        <v>1938.1078642487246</v>
      </c>
      <c r="F1113" s="75">
        <f>'HANH_TRINH'!$F$826+('THAM_SO_MOI'!$F$50-'HANH_TRINH'!$F$826)*286/'THAM_SO_MOI'!$C$42</f>
        <v>4.832153066795691</v>
      </c>
      <c r="G1113" s="75">
        <f>3.6*F1113</f>
        <v>17.395751040464486</v>
      </c>
      <c r="H1113" s="75">
        <f>'THAM_SO_MOI'!$D$50</f>
        <v>1.8785906709588276</v>
      </c>
      <c r="I1113" s="75">
        <f>IF(F1113&gt;'THAM_SO_MOI'!$C$14,'THAM_SO_MOI'!$C$13*(1+F1113^2/1500),'THAM_SO_MOI'!$C$13)</f>
        <v>0.015</v>
      </c>
      <c r="J1113" s="75">
        <f>'THAM_SO_MOI'!$C$40*('THAM_SO_MOI'!$C$23*(E1113/'THAM_SO_MOI'!$C$22)+'THAM_SO_MOI'!$C$24*(E1113/'THAM_SO_MOI'!$C$22)^2-'THAM_SO_MOI'!$C$25*(E1113/'THAM_SO_MOI'!$C$22)^3)</f>
        <v>86.76762456710821</v>
      </c>
      <c r="K1113" s="75">
        <f>'THAM_SO_MOI'!$C$31*J1113/E1113</f>
        <v>427.5954570984155</v>
      </c>
      <c r="L1113" s="75">
        <f>K1113*'THAM_SO_MOI'!$C$50*'THAM_SO_MOI'!$C$17/'THAM_SO_MOI'!$C$26</f>
        <v>15265.740904404436</v>
      </c>
      <c r="M1113" s="75">
        <f>'THAM_SO_MOI'!$C$15*'THAM_SO_MOI'!$C$16*F1113^2</f>
        <v>68.29788203825828</v>
      </c>
      <c r="N1113" s="75">
        <f>'THAM_SO_MOI'!$C$12*I1113</f>
        <v>1130.112</v>
      </c>
      <c r="O1113" s="75">
        <f>M1113+N1113</f>
        <v>1198.4098820382583</v>
      </c>
      <c r="P1113" s="75">
        <f>(MIN(L1113,'THAM_SO_MOI'!$C$41)-O1113)/('THAM_SO_MOI'!$C$11*H1113)</f>
        <v>0.9750307798216149</v>
      </c>
      <c r="Q1113" s="75">
        <f>IF(P1113&gt;0,1/P1113,NA())</f>
        <v>1.0256086481525777</v>
      </c>
      <c r="R1113" s="75">
        <f>F1113-F1112</f>
        <v>0.0032106047296869278</v>
      </c>
      <c r="S1113" s="75">
        <f>0.5*(Q1112+Q1113)*R1113</f>
        <v>0.003292933010050299</v>
      </c>
      <c r="T1113" s="75">
        <f>0.5*(F1112*Q1112+F1113*Q1113)*R1113</f>
        <v>0.015906670015087304</v>
      </c>
      <c r="U1113" s="76">
        <f>U1112+S1113</f>
        <v>5.072000091307757</v>
      </c>
      <c r="V1113" s="76">
        <f>V1112+T1113</f>
        <v>16.27475813521512</v>
      </c>
    </row>
    <row r="1114" spans="1:22" ht="19" customHeight="1">
      <c r="A1114" s="68" t="s">
        <v>372</v>
      </c>
      <c r="B1114" s="74">
        <v>2</v>
      </c>
      <c r="C1114" s="68" t="s">
        <v>363</v>
      </c>
      <c r="D1114" s="68" t="s">
        <v>364</v>
      </c>
      <c r="E1114" s="75">
        <f>60*F1114*'THAM_SO_MOI'!$C$50/(2*PI()*'THAM_SO_MOI'!$C$26)</f>
        <v>1939.395592139291</v>
      </c>
      <c r="F1114" s="75">
        <f>'HANH_TRINH'!$F$826+('THAM_SO_MOI'!$F$50-'HANH_TRINH'!$F$826)*287/'THAM_SO_MOI'!$C$42</f>
        <v>4.835363671525377</v>
      </c>
      <c r="G1114" s="75">
        <f>3.6*F1114</f>
        <v>17.407309217491356</v>
      </c>
      <c r="H1114" s="75">
        <f>'THAM_SO_MOI'!$D$50</f>
        <v>1.8785906709588276</v>
      </c>
      <c r="I1114" s="75">
        <f>IF(F1114&gt;'THAM_SO_MOI'!$C$14,'THAM_SO_MOI'!$C$13*(1+F1114^2/1500),'THAM_SO_MOI'!$C$13)</f>
        <v>0.015</v>
      </c>
      <c r="J1114" s="75">
        <f>'THAM_SO_MOI'!$C$40*('THAM_SO_MOI'!$C$23*(E1114/'THAM_SO_MOI'!$C$22)+'THAM_SO_MOI'!$C$24*(E1114/'THAM_SO_MOI'!$C$22)^2-'THAM_SO_MOI'!$C$25*(E1114/'THAM_SO_MOI'!$C$22)^3)</f>
        <v>86.83105677824322</v>
      </c>
      <c r="K1114" s="75">
        <f>'THAM_SO_MOI'!$C$31*J1114/E1114</f>
        <v>427.62393024387194</v>
      </c>
      <c r="L1114" s="75">
        <f>K1114*'THAM_SO_MOI'!$C$50*'THAM_SO_MOI'!$C$17/'THAM_SO_MOI'!$C$26</f>
        <v>15266.757434524332</v>
      </c>
      <c r="M1114" s="75">
        <f>'THAM_SO_MOI'!$C$15*'THAM_SO_MOI'!$C$16*F1114^2</f>
        <v>68.38866987002906</v>
      </c>
      <c r="N1114" s="75">
        <f>'THAM_SO_MOI'!$C$12*I1114</f>
        <v>1130.112</v>
      </c>
      <c r="O1114" s="75">
        <f>M1114+N1114</f>
        <v>1198.5006698700292</v>
      </c>
      <c r="P1114" s="75">
        <f>(MIN(L1114,'THAM_SO_MOI'!$C$41)-O1114)/('THAM_SO_MOI'!$C$11*H1114)</f>
        <v>0.9750949446033825</v>
      </c>
      <c r="Q1114" s="75">
        <f>IF(P1114&gt;0,1/P1114,NA())</f>
        <v>1.0255411593860202</v>
      </c>
      <c r="R1114" s="75">
        <f>F1114-F1113</f>
        <v>0.0032106047296860396</v>
      </c>
      <c r="S1114" s="75">
        <f>0.5*(Q1113+Q1114)*R1114</f>
        <v>0.003292715636689016</v>
      </c>
      <c r="T1114" s="75">
        <f>0.5*(F1113*Q1113+F1114*Q1114)*R1114</f>
        <v>0.015916191592193027</v>
      </c>
      <c r="U1114" s="76">
        <f>U1113+S1114</f>
        <v>5.075292806944446</v>
      </c>
      <c r="V1114" s="76">
        <f>V1113+T1114</f>
        <v>16.290674326807313</v>
      </c>
    </row>
    <row r="1115" spans="1:22" ht="19" customHeight="1">
      <c r="A1115" s="68" t="s">
        <v>372</v>
      </c>
      <c r="B1115" s="74">
        <v>2</v>
      </c>
      <c r="C1115" s="68" t="s">
        <v>363</v>
      </c>
      <c r="D1115" s="68" t="s">
        <v>364</v>
      </c>
      <c r="E1115" s="75">
        <f>60*F1115*'THAM_SO_MOI'!$C$50/(2*PI()*'THAM_SO_MOI'!$C$26)</f>
        <v>1940.6833200298577</v>
      </c>
      <c r="F1115" s="75">
        <f>'HANH_TRINH'!$F$826+('THAM_SO_MOI'!$F$50-'HANH_TRINH'!$F$826)*288/'THAM_SO_MOI'!$C$42</f>
        <v>4.838574276255064</v>
      </c>
      <c r="G1115" s="75">
        <f>3.6*F1115</f>
        <v>17.41886739451823</v>
      </c>
      <c r="H1115" s="75">
        <f>'THAM_SO_MOI'!$D$50</f>
        <v>1.8785906709588276</v>
      </c>
      <c r="I1115" s="75">
        <f>IF(F1115&gt;'THAM_SO_MOI'!$C$14,'THAM_SO_MOI'!$C$13*(1+F1115^2/1500),'THAM_SO_MOI'!$C$13)</f>
        <v>0.015</v>
      </c>
      <c r="J1115" s="75">
        <f>'THAM_SO_MOI'!$C$40*('THAM_SO_MOI'!$C$23*(E1115/'THAM_SO_MOI'!$C$22)+'THAM_SO_MOI'!$C$24*(E1115/'THAM_SO_MOI'!$C$22)^2-'THAM_SO_MOI'!$C$25*(E1115/'THAM_SO_MOI'!$C$22)^3)</f>
        <v>86.89446397918603</v>
      </c>
      <c r="K1115" s="75">
        <f>'THAM_SO_MOI'!$C$31*J1115/E1115</f>
        <v>427.652242514996</v>
      </c>
      <c r="L1115" s="75">
        <f>K1115*'THAM_SO_MOI'!$C$50*'THAM_SO_MOI'!$C$17/'THAM_SO_MOI'!$C$26</f>
        <v>15267.768221211187</v>
      </c>
      <c r="M1115" s="75">
        <f>'THAM_SO_MOI'!$C$15*'THAM_SO_MOI'!$C$16*F1115^2</f>
        <v>68.47951800349885</v>
      </c>
      <c r="N1115" s="75">
        <f>'THAM_SO_MOI'!$C$12*I1115</f>
        <v>1130.112</v>
      </c>
      <c r="O1115" s="75">
        <f>M1115+N1115</f>
        <v>1198.591518003499</v>
      </c>
      <c r="P1115" s="75">
        <f>(MIN(L1115,'THAM_SO_MOI'!$C$41)-O1115)/('THAM_SO_MOI'!$C$11*H1115)</f>
        <v>0.9751587071183664</v>
      </c>
      <c r="Q1115" s="75">
        <f>IF(P1115&gt;0,1/P1115,NA())</f>
        <v>1.025474102523312</v>
      </c>
      <c r="R1115" s="75">
        <f>F1115-F1114</f>
        <v>0.0032106047296869278</v>
      </c>
      <c r="S1115" s="75">
        <f>0.5*(Q1114+Q1115)*R1115</f>
        <v>0.003292499650273087</v>
      </c>
      <c r="T1115" s="75">
        <f>0.5*(F1114*Q1114+F1115*Q1115)*R1115</f>
        <v>0.015925718482110076</v>
      </c>
      <c r="U1115" s="76">
        <f>U1114+S1115</f>
        <v>5.078585306594719</v>
      </c>
      <c r="V1115" s="76">
        <f>V1114+T1115</f>
        <v>16.30660004528942</v>
      </c>
    </row>
    <row r="1116" spans="1:22" ht="19" customHeight="1">
      <c r="A1116" s="68" t="s">
        <v>372</v>
      </c>
      <c r="B1116" s="74">
        <v>2</v>
      </c>
      <c r="C1116" s="68" t="s">
        <v>363</v>
      </c>
      <c r="D1116" s="68" t="s">
        <v>364</v>
      </c>
      <c r="E1116" s="75">
        <f>60*F1116*'THAM_SO_MOI'!$C$50/(2*PI()*'THAM_SO_MOI'!$C$26)</f>
        <v>1941.9710479204243</v>
      </c>
      <c r="F1116" s="75">
        <f>'HANH_TRINH'!$F$826+('THAM_SO_MOI'!$F$50-'HANH_TRINH'!$F$826)*289/'THAM_SO_MOI'!$C$42</f>
        <v>4.841784880984751</v>
      </c>
      <c r="G1116" s="75">
        <f>3.6*F1116</f>
        <v>17.430425571545104</v>
      </c>
      <c r="H1116" s="75">
        <f>'THAM_SO_MOI'!$D$50</f>
        <v>1.8785906709588276</v>
      </c>
      <c r="I1116" s="75">
        <f>IF(F1116&gt;'THAM_SO_MOI'!$C$14,'THAM_SO_MOI'!$C$13*(1+F1116^2/1500),'THAM_SO_MOI'!$C$13)</f>
        <v>0.015</v>
      </c>
      <c r="J1116" s="75">
        <f>'THAM_SO_MOI'!$C$40*('THAM_SO_MOI'!$C$23*(E1116/'THAM_SO_MOI'!$C$22)+'THAM_SO_MOI'!$C$24*(E1116/'THAM_SO_MOI'!$C$22)^2-'THAM_SO_MOI'!$C$25*(E1116/'THAM_SO_MOI'!$C$22)^3)</f>
        <v>86.95784610486695</v>
      </c>
      <c r="K1116" s="75">
        <f>'THAM_SO_MOI'!$C$31*J1116/E1116</f>
        <v>427.68039391178786</v>
      </c>
      <c r="L1116" s="75">
        <f>K1116*'THAM_SO_MOI'!$C$50*'THAM_SO_MOI'!$C$17/'THAM_SO_MOI'!$C$26</f>
        <v>15268.77326446501</v>
      </c>
      <c r="M1116" s="75">
        <f>'THAM_SO_MOI'!$C$15*'THAM_SO_MOI'!$C$16*F1116^2</f>
        <v>68.57042643866761</v>
      </c>
      <c r="N1116" s="75">
        <f>'THAM_SO_MOI'!$C$12*I1116</f>
        <v>1130.112</v>
      </c>
      <c r="O1116" s="75">
        <f>M1116+N1116</f>
        <v>1198.6824264386678</v>
      </c>
      <c r="P1116" s="75">
        <f>(MIN(L1116,'THAM_SO_MOI'!$C$41)-O1116)/('THAM_SO_MOI'!$C$11*H1116)</f>
        <v>0.9752220673665667</v>
      </c>
      <c r="Q1116" s="75">
        <f>IF(P1116&gt;0,1/P1116,NA())</f>
        <v>1.0254074773967556</v>
      </c>
      <c r="R1116" s="75">
        <f>F1116-F1115</f>
        <v>0.0032106047296869278</v>
      </c>
      <c r="S1116" s="75">
        <f>0.5*(Q1115+Q1116)*R1116</f>
        <v>0.0032922850502595845</v>
      </c>
      <c r="T1116" s="75">
        <f>0.5*(F1115*Q1115+F1116*Q1116)*R1116</f>
        <v>0.015935250695569392</v>
      </c>
      <c r="U1116" s="76">
        <f>U1115+S1116</f>
        <v>5.081877591644979</v>
      </c>
      <c r="V1116" s="76">
        <f>V1115+T1116</f>
        <v>16.32253529598499</v>
      </c>
    </row>
    <row r="1117" spans="1:22" ht="19" customHeight="1">
      <c r="A1117" s="68" t="s">
        <v>372</v>
      </c>
      <c r="B1117" s="74">
        <v>2</v>
      </c>
      <c r="C1117" s="68" t="s">
        <v>363</v>
      </c>
      <c r="D1117" s="68" t="s">
        <v>364</v>
      </c>
      <c r="E1117" s="75">
        <f>60*F1117*'THAM_SO_MOI'!$C$50/(2*PI()*'THAM_SO_MOI'!$C$26)</f>
        <v>1943.2587758109914</v>
      </c>
      <c r="F1117" s="75">
        <f>'HANH_TRINH'!$F$826+('THAM_SO_MOI'!$F$50-'HANH_TRINH'!$F$826)*290/'THAM_SO_MOI'!$C$42</f>
        <v>4.8449954857144375</v>
      </c>
      <c r="G1117" s="75">
        <f>3.6*F1117</f>
        <v>17.441983748571975</v>
      </c>
      <c r="H1117" s="75">
        <f>'THAM_SO_MOI'!$D$50</f>
        <v>1.8785906709588276</v>
      </c>
      <c r="I1117" s="75">
        <f>IF(F1117&gt;'THAM_SO_MOI'!$C$14,'THAM_SO_MOI'!$C$13*(1+F1117^2/1500),'THAM_SO_MOI'!$C$13)</f>
        <v>0.015</v>
      </c>
      <c r="J1117" s="75">
        <f>'THAM_SO_MOI'!$C$40*('THAM_SO_MOI'!$C$23*(E1117/'THAM_SO_MOI'!$C$22)+'THAM_SO_MOI'!$C$24*(E1117/'THAM_SO_MOI'!$C$22)^2-'THAM_SO_MOI'!$C$25*(E1117/'THAM_SO_MOI'!$C$22)^3)</f>
        <v>87.02120309021625</v>
      </c>
      <c r="K1117" s="75">
        <f>'THAM_SO_MOI'!$C$31*J1117/E1117</f>
        <v>427.7083844342473</v>
      </c>
      <c r="L1117" s="75">
        <f>K1117*'THAM_SO_MOI'!$C$50*'THAM_SO_MOI'!$C$17/'THAM_SO_MOI'!$C$26</f>
        <v>15269.772564285791</v>
      </c>
      <c r="M1117" s="75">
        <f>'THAM_SO_MOI'!$C$15*'THAM_SO_MOI'!$C$16*F1117^2</f>
        <v>68.66139517553535</v>
      </c>
      <c r="N1117" s="75">
        <f>'THAM_SO_MOI'!$C$12*I1117</f>
        <v>1130.112</v>
      </c>
      <c r="O1117" s="75">
        <f>M1117+N1117</f>
        <v>1198.7733951755354</v>
      </c>
      <c r="P1117" s="75">
        <f>(MIN(L1117,'THAM_SO_MOI'!$C$41)-O1117)/('THAM_SO_MOI'!$C$11*H1117)</f>
        <v>0.975285025347983</v>
      </c>
      <c r="Q1117" s="75">
        <f>IF(P1117&gt;0,1/P1117,NA())</f>
        <v>1.0253412838397664</v>
      </c>
      <c r="R1117" s="75">
        <f>F1117-F1116</f>
        <v>0.0032106047296869278</v>
      </c>
      <c r="S1117" s="75">
        <f>0.5*(Q1116+Q1117)*R1117</f>
        <v>0.0032920718361127933</v>
      </c>
      <c r="T1117" s="75">
        <f>0.5*(F1116*Q1116+F1117*Q1117)*R1117</f>
        <v>0.01594478824332986</v>
      </c>
      <c r="U1117" s="76">
        <f>U1116+S1117</f>
        <v>5.085169663481092</v>
      </c>
      <c r="V1117" s="76">
        <f>V1116+T1117</f>
        <v>16.338480084228323</v>
      </c>
    </row>
    <row r="1118" spans="1:22" ht="19" customHeight="1">
      <c r="A1118" s="68" t="s">
        <v>372</v>
      </c>
      <c r="B1118" s="74">
        <v>2</v>
      </c>
      <c r="C1118" s="68" t="s">
        <v>363</v>
      </c>
      <c r="D1118" s="68" t="s">
        <v>364</v>
      </c>
      <c r="E1118" s="75">
        <f>60*F1118*'THAM_SO_MOI'!$C$50/(2*PI()*'THAM_SO_MOI'!$C$26)</f>
        <v>1944.546503701558</v>
      </c>
      <c r="F1118" s="75">
        <f>'HANH_TRINH'!$F$826+('THAM_SO_MOI'!$F$50-'HANH_TRINH'!$F$826)*291/'THAM_SO_MOI'!$C$42</f>
        <v>4.848206090444124</v>
      </c>
      <c r="G1118" s="75">
        <f>3.6*F1118</f>
        <v>17.45354192559885</v>
      </c>
      <c r="H1118" s="75">
        <f>'THAM_SO_MOI'!$D$50</f>
        <v>1.8785906709588276</v>
      </c>
      <c r="I1118" s="75">
        <f>IF(F1118&gt;'THAM_SO_MOI'!$C$14,'THAM_SO_MOI'!$C$13*(1+F1118^2/1500),'THAM_SO_MOI'!$C$13)</f>
        <v>0.015</v>
      </c>
      <c r="J1118" s="75">
        <f>'THAM_SO_MOI'!$C$40*('THAM_SO_MOI'!$C$23*(E1118/'THAM_SO_MOI'!$C$22)+'THAM_SO_MOI'!$C$24*(E1118/'THAM_SO_MOI'!$C$22)^2-'THAM_SO_MOI'!$C$25*(E1118/'THAM_SO_MOI'!$C$22)^3)</f>
        <v>87.08453487016429</v>
      </c>
      <c r="K1118" s="75">
        <f>'THAM_SO_MOI'!$C$31*J1118/E1118</f>
        <v>427.73621408237483</v>
      </c>
      <c r="L1118" s="75">
        <f>K1118*'THAM_SO_MOI'!$C$50*'THAM_SO_MOI'!$C$17/'THAM_SO_MOI'!$C$26</f>
        <v>15270.766120673543</v>
      </c>
      <c r="M1118" s="75">
        <f>'THAM_SO_MOI'!$C$15*'THAM_SO_MOI'!$C$16*F1118^2</f>
        <v>68.75242421410205</v>
      </c>
      <c r="N1118" s="75">
        <f>'THAM_SO_MOI'!$C$12*I1118</f>
        <v>1130.112</v>
      </c>
      <c r="O1118" s="75">
        <f>M1118+N1118</f>
        <v>1198.8644242141022</v>
      </c>
      <c r="P1118" s="75">
        <f>(MIN(L1118,'THAM_SO_MOI'!$C$41)-O1118)/('THAM_SO_MOI'!$C$11*H1118)</f>
        <v>0.9753475810626163</v>
      </c>
      <c r="Q1118" s="75">
        <f>IF(P1118&gt;0,1/P1118,NA())</f>
        <v>1.0252755216868694</v>
      </c>
      <c r="R1118" s="75">
        <f>F1118-F1117</f>
        <v>0.0032106047296869278</v>
      </c>
      <c r="S1118" s="75">
        <f>0.5*(Q1117+Q1118)*R1118</f>
        <v>0.003291860007299658</v>
      </c>
      <c r="T1118" s="75">
        <f>0.5*(F1117*Q1117+F1118*Q1118)*R1118</f>
        <v>0.015954331136156404</v>
      </c>
      <c r="U1118" s="76">
        <f>U1117+S1118</f>
        <v>5.088461523488392</v>
      </c>
      <c r="V1118" s="76">
        <f>V1117+T1118</f>
        <v>16.35443441536448</v>
      </c>
    </row>
    <row r="1119" spans="1:22" ht="19" customHeight="1">
      <c r="A1119" s="68" t="s">
        <v>372</v>
      </c>
      <c r="B1119" s="74">
        <v>2</v>
      </c>
      <c r="C1119" s="68" t="s">
        <v>363</v>
      </c>
      <c r="D1119" s="68" t="s">
        <v>364</v>
      </c>
      <c r="E1119" s="75">
        <f>60*F1119*'THAM_SO_MOI'!$C$50/(2*PI()*'THAM_SO_MOI'!$C$26)</f>
        <v>1945.8342315921248</v>
      </c>
      <c r="F1119" s="75">
        <f>'HANH_TRINH'!$F$826+('THAM_SO_MOI'!$F$50-'HANH_TRINH'!$F$826)*292/'THAM_SO_MOI'!$C$42</f>
        <v>4.851416695173811</v>
      </c>
      <c r="G1119" s="75">
        <f>3.6*F1119</f>
        <v>17.465100102625723</v>
      </c>
      <c r="H1119" s="75">
        <f>'THAM_SO_MOI'!$D$50</f>
        <v>1.8785906709588276</v>
      </c>
      <c r="I1119" s="75">
        <f>IF(F1119&gt;'THAM_SO_MOI'!$C$14,'THAM_SO_MOI'!$C$13*(1+F1119^2/1500),'THAM_SO_MOI'!$C$13)</f>
        <v>0.015</v>
      </c>
      <c r="J1119" s="75">
        <f>'THAM_SO_MOI'!$C$40*('THAM_SO_MOI'!$C$23*(E1119/'THAM_SO_MOI'!$C$22)+'THAM_SO_MOI'!$C$24*(E1119/'THAM_SO_MOI'!$C$22)^2-'THAM_SO_MOI'!$C$25*(E1119/'THAM_SO_MOI'!$C$22)^3)</f>
        <v>87.14784137964126</v>
      </c>
      <c r="K1119" s="75">
        <f>'THAM_SO_MOI'!$C$31*J1119/E1119</f>
        <v>427.76388285616974</v>
      </c>
      <c r="L1119" s="75">
        <f>K1119*'THAM_SO_MOI'!$C$50*'THAM_SO_MOI'!$C$17/'THAM_SO_MOI'!$C$26</f>
        <v>15271.753933628253</v>
      </c>
      <c r="M1119" s="75">
        <f>'THAM_SO_MOI'!$C$15*'THAM_SO_MOI'!$C$16*F1119^2</f>
        <v>68.84351355436773</v>
      </c>
      <c r="N1119" s="75">
        <f>'THAM_SO_MOI'!$C$12*I1119</f>
        <v>1130.112</v>
      </c>
      <c r="O1119" s="75">
        <f>M1119+N1119</f>
        <v>1198.9555135543678</v>
      </c>
      <c r="P1119" s="75">
        <f>(MIN(L1119,'THAM_SO_MOI'!$C$41)-O1119)/('THAM_SO_MOI'!$C$11*H1119)</f>
        <v>0.9754097345104655</v>
      </c>
      <c r="Q1119" s="75">
        <f>IF(P1119&gt;0,1/P1119,NA())</f>
        <v>1.0252101907737017</v>
      </c>
      <c r="R1119" s="75">
        <f>F1119-F1118</f>
        <v>0.0032106047296869278</v>
      </c>
      <c r="S1119" s="75">
        <f>0.5*(Q1118+Q1119)*R1119</f>
        <v>0.0032916495632906895</v>
      </c>
      <c r="T1119" s="75">
        <f>0.5*(F1118*Q1118+F1119*Q1119)*R1119</f>
        <v>0.01596387938482437</v>
      </c>
      <c r="U1119" s="76">
        <f>U1118+S1119</f>
        <v>5.091753173051683</v>
      </c>
      <c r="V1119" s="76">
        <f>V1118+T1119</f>
        <v>16.370398294749304</v>
      </c>
    </row>
    <row r="1120" spans="1:22" ht="19" customHeight="1">
      <c r="A1120" s="68" t="s">
        <v>372</v>
      </c>
      <c r="B1120" s="74">
        <v>2</v>
      </c>
      <c r="C1120" s="68" t="s">
        <v>363</v>
      </c>
      <c r="D1120" s="68" t="s">
        <v>364</v>
      </c>
      <c r="E1120" s="75">
        <f>60*F1120*'THAM_SO_MOI'!$C$50/(2*PI()*'THAM_SO_MOI'!$C$26)</f>
        <v>1947.1219594826914</v>
      </c>
      <c r="F1120" s="75">
        <f>'HANH_TRINH'!$F$826+('THAM_SO_MOI'!$F$50-'HANH_TRINH'!$F$826)*293/'THAM_SO_MOI'!$C$42</f>
        <v>4.854627299903498</v>
      </c>
      <c r="G1120" s="75">
        <f>3.6*F1120</f>
        <v>17.476658279652593</v>
      </c>
      <c r="H1120" s="75">
        <f>'THAM_SO_MOI'!$D$50</f>
        <v>1.8785906709588276</v>
      </c>
      <c r="I1120" s="75">
        <f>IF(F1120&gt;'THAM_SO_MOI'!$C$14,'THAM_SO_MOI'!$C$13*(1+F1120^2/1500),'THAM_SO_MOI'!$C$13)</f>
        <v>0.015</v>
      </c>
      <c r="J1120" s="75">
        <f>'THAM_SO_MOI'!$C$40*('THAM_SO_MOI'!$C$23*(E1120/'THAM_SO_MOI'!$C$22)+'THAM_SO_MOI'!$C$24*(E1120/'THAM_SO_MOI'!$C$22)^2-'THAM_SO_MOI'!$C$25*(E1120/'THAM_SO_MOI'!$C$22)^3)</f>
        <v>87.21112255357761</v>
      </c>
      <c r="K1120" s="75">
        <f>'THAM_SO_MOI'!$C$31*J1120/E1120</f>
        <v>427.79139075563273</v>
      </c>
      <c r="L1120" s="75">
        <f>K1120*'THAM_SO_MOI'!$C$50*'THAM_SO_MOI'!$C$17/'THAM_SO_MOI'!$C$26</f>
        <v>15272.736003149936</v>
      </c>
      <c r="M1120" s="75">
        <f>'THAM_SO_MOI'!$C$15*'THAM_SO_MOI'!$C$16*F1120^2</f>
        <v>68.93466319633237</v>
      </c>
      <c r="N1120" s="75">
        <f>'THAM_SO_MOI'!$C$12*I1120</f>
        <v>1130.112</v>
      </c>
      <c r="O1120" s="75">
        <f>M1120+N1120</f>
        <v>1199.0466631963325</v>
      </c>
      <c r="P1120" s="75">
        <f>(MIN(L1120,'THAM_SO_MOI'!$C$41)-O1120)/('THAM_SO_MOI'!$C$11*H1120)</f>
        <v>0.9754714856915315</v>
      </c>
      <c r="Q1120" s="75">
        <f>IF(P1120&gt;0,1/P1120,NA())</f>
        <v>1.0251452909370076</v>
      </c>
      <c r="R1120" s="75">
        <f>F1120-F1119</f>
        <v>0.0032106047296869278</v>
      </c>
      <c r="S1120" s="75">
        <f>0.5*(Q1119+Q1120)*R1120</f>
        <v>0.003291440503559961</v>
      </c>
      <c r="T1120" s="75">
        <f>0.5*(F1119*Q1119+F1120*Q1120)*R1120</f>
        <v>0.015973433000119597</v>
      </c>
      <c r="U1120" s="76">
        <f>U1119+S1120</f>
        <v>5.095044613555243</v>
      </c>
      <c r="V1120" s="76">
        <f>V1119+T1120</f>
        <v>16.386371727749424</v>
      </c>
    </row>
    <row r="1121" spans="1:22" ht="19" customHeight="1">
      <c r="A1121" s="68" t="s">
        <v>372</v>
      </c>
      <c r="B1121" s="74">
        <v>2</v>
      </c>
      <c r="C1121" s="68" t="s">
        <v>363</v>
      </c>
      <c r="D1121" s="68" t="s">
        <v>364</v>
      </c>
      <c r="E1121" s="75">
        <f>60*F1121*'THAM_SO_MOI'!$C$50/(2*PI()*'THAM_SO_MOI'!$C$26)</f>
        <v>1948.4096873732578</v>
      </c>
      <c r="F1121" s="75">
        <f>'HANH_TRINH'!$F$826+('THAM_SO_MOI'!$F$50-'HANH_TRINH'!$F$826)*294/'THAM_SO_MOI'!$C$42</f>
        <v>4.857837904633184</v>
      </c>
      <c r="G1121" s="75">
        <f>3.6*F1121</f>
        <v>17.488216456679464</v>
      </c>
      <c r="H1121" s="75">
        <f>'THAM_SO_MOI'!$D$50</f>
        <v>1.8785906709588276</v>
      </c>
      <c r="I1121" s="75">
        <f>IF(F1121&gt;'THAM_SO_MOI'!$C$14,'THAM_SO_MOI'!$C$13*(1+F1121^2/1500),'THAM_SO_MOI'!$C$13)</f>
        <v>0.015</v>
      </c>
      <c r="J1121" s="75">
        <f>'THAM_SO_MOI'!$C$40*('THAM_SO_MOI'!$C$23*(E1121/'THAM_SO_MOI'!$C$22)+'THAM_SO_MOI'!$C$24*(E1121/'THAM_SO_MOI'!$C$22)^2-'THAM_SO_MOI'!$C$25*(E1121/'THAM_SO_MOI'!$C$22)^3)</f>
        <v>87.27437832690352</v>
      </c>
      <c r="K1121" s="75">
        <f>'THAM_SO_MOI'!$C$31*J1121/E1121</f>
        <v>427.8187377807633</v>
      </c>
      <c r="L1121" s="75">
        <f>K1121*'THAM_SO_MOI'!$C$50*'THAM_SO_MOI'!$C$17/'THAM_SO_MOI'!$C$26</f>
        <v>15273.712329238575</v>
      </c>
      <c r="M1121" s="75">
        <f>'THAM_SO_MOI'!$C$15*'THAM_SO_MOI'!$C$16*F1121^2</f>
        <v>69.02587313999597</v>
      </c>
      <c r="N1121" s="75">
        <f>'THAM_SO_MOI'!$C$12*I1121</f>
        <v>1130.112</v>
      </c>
      <c r="O1121" s="75">
        <f>M1121+N1121</f>
        <v>1199.1378731399961</v>
      </c>
      <c r="P1121" s="75">
        <f>(MIN(L1121,'THAM_SO_MOI'!$C$41)-O1121)/('THAM_SO_MOI'!$C$11*H1121)</f>
        <v>0.9755328346058139</v>
      </c>
      <c r="Q1121" s="75">
        <f>IF(P1121&gt;0,1/P1121,NA())</f>
        <v>1.0250808220146406</v>
      </c>
      <c r="R1121" s="75">
        <f>F1121-F1120</f>
        <v>0.0032106047296860396</v>
      </c>
      <c r="S1121" s="75">
        <f>0.5*(Q1120+Q1121)*R1121</f>
        <v>0.0032912328275841933</v>
      </c>
      <c r="T1121" s="75">
        <f>0.5*(F1120*Q1120+F1121*Q1121)*R1121</f>
        <v>0.015982991992834043</v>
      </c>
      <c r="U1121" s="76">
        <f>U1120+S1121</f>
        <v>5.0983358463828266</v>
      </c>
      <c r="V1121" s="76">
        <f>V1120+T1121</f>
        <v>16.40235471974226</v>
      </c>
    </row>
    <row r="1122" spans="1:22" ht="19" customHeight="1">
      <c r="A1122" s="68" t="s">
        <v>372</v>
      </c>
      <c r="B1122" s="74">
        <v>2</v>
      </c>
      <c r="C1122" s="68" t="s">
        <v>363</v>
      </c>
      <c r="D1122" s="68" t="s">
        <v>364</v>
      </c>
      <c r="E1122" s="75">
        <f>60*F1122*'THAM_SO_MOI'!$C$50/(2*PI()*'THAM_SO_MOI'!$C$26)</f>
        <v>1949.6974152638245</v>
      </c>
      <c r="F1122" s="75">
        <f>'HANH_TRINH'!$F$826+('THAM_SO_MOI'!$F$50-'HANH_TRINH'!$F$826)*295/'THAM_SO_MOI'!$C$42</f>
        <v>4.861048509362871</v>
      </c>
      <c r="G1122" s="75">
        <f>3.6*F1122</f>
        <v>17.499774633706338</v>
      </c>
      <c r="H1122" s="75">
        <f>'THAM_SO_MOI'!$D$50</f>
        <v>1.8785906709588276</v>
      </c>
      <c r="I1122" s="75">
        <f>IF(F1122&gt;'THAM_SO_MOI'!$C$14,'THAM_SO_MOI'!$C$13*(1+F1122^2/1500),'THAM_SO_MOI'!$C$13)</f>
        <v>0.015</v>
      </c>
      <c r="J1122" s="75">
        <f>'THAM_SO_MOI'!$C$40*('THAM_SO_MOI'!$C$23*(E1122/'THAM_SO_MOI'!$C$22)+'THAM_SO_MOI'!$C$24*(E1122/'THAM_SO_MOI'!$C$22)^2-'THAM_SO_MOI'!$C$25*(E1122/'THAM_SO_MOI'!$C$22)^3)</f>
        <v>87.33760863454931</v>
      </c>
      <c r="K1122" s="75">
        <f>'THAM_SO_MOI'!$C$31*J1122/E1122</f>
        <v>427.8459239315615</v>
      </c>
      <c r="L1122" s="75">
        <f>K1122*'THAM_SO_MOI'!$C$50*'THAM_SO_MOI'!$C$17/'THAM_SO_MOI'!$C$26</f>
        <v>15274.682911894179</v>
      </c>
      <c r="M1122" s="75">
        <f>'THAM_SO_MOI'!$C$15*'THAM_SO_MOI'!$C$16*F1122^2</f>
        <v>69.11714338535856</v>
      </c>
      <c r="N1122" s="75">
        <f>'THAM_SO_MOI'!$C$12*I1122</f>
        <v>1130.112</v>
      </c>
      <c r="O1122" s="75">
        <f>M1122+N1122</f>
        <v>1199.2291433853586</v>
      </c>
      <c r="P1122" s="75">
        <f>(MIN(L1122,'THAM_SO_MOI'!$C$41)-O1122)/('THAM_SO_MOI'!$C$11*H1122)</f>
        <v>0.9755937812533123</v>
      </c>
      <c r="Q1122" s="75">
        <f>IF(P1122&gt;0,1/P1122,NA())</f>
        <v>1.025016783845561</v>
      </c>
      <c r="R1122" s="75">
        <f>F1122-F1121</f>
        <v>0.0032106047296869278</v>
      </c>
      <c r="S1122" s="75">
        <f>0.5*(Q1121+Q1122)*R1122</f>
        <v>0.003291026534847305</v>
      </c>
      <c r="T1122" s="75">
        <f>0.5*(F1121*Q1121+F1122*Q1122)*R1122</f>
        <v>0.01599255637378791</v>
      </c>
      <c r="U1122" s="76">
        <f>U1121+S1122</f>
        <v>5.101626872917674</v>
      </c>
      <c r="V1122" s="76">
        <f>V1121+T1122</f>
        <v>16.418347276116048</v>
      </c>
    </row>
    <row r="1123" spans="1:22" ht="19" customHeight="1">
      <c r="A1123" s="68" t="s">
        <v>372</v>
      </c>
      <c r="B1123" s="74">
        <v>2</v>
      </c>
      <c r="C1123" s="68" t="s">
        <v>363</v>
      </c>
      <c r="D1123" s="68" t="s">
        <v>364</v>
      </c>
      <c r="E1123" s="75">
        <f>60*F1123*'THAM_SO_MOI'!$C$50/(2*PI()*'THAM_SO_MOI'!$C$26)</f>
        <v>1950.9851431543912</v>
      </c>
      <c r="F1123" s="75">
        <f>'HANH_TRINH'!$F$826+('THAM_SO_MOI'!$F$50-'HANH_TRINH'!$F$826)*296/'THAM_SO_MOI'!$C$42</f>
        <v>4.864259114092558</v>
      </c>
      <c r="G1123" s="75">
        <f>3.6*F1123</f>
        <v>17.51133281073321</v>
      </c>
      <c r="H1123" s="75">
        <f>'THAM_SO_MOI'!$D$50</f>
        <v>1.8785906709588276</v>
      </c>
      <c r="I1123" s="75">
        <f>IF(F1123&gt;'THAM_SO_MOI'!$C$14,'THAM_SO_MOI'!$C$13*(1+F1123^2/1500),'THAM_SO_MOI'!$C$13)</f>
        <v>0.015</v>
      </c>
      <c r="J1123" s="75">
        <f>'THAM_SO_MOI'!$C$40*('THAM_SO_MOI'!$C$23*(E1123/'THAM_SO_MOI'!$C$22)+'THAM_SO_MOI'!$C$24*(E1123/'THAM_SO_MOI'!$C$22)^2-'THAM_SO_MOI'!$C$25*(E1123/'THAM_SO_MOI'!$C$22)^3)</f>
        <v>87.40081341144534</v>
      </c>
      <c r="K1123" s="75">
        <f>'THAM_SO_MOI'!$C$31*J1123/E1123</f>
        <v>427.8729492080276</v>
      </c>
      <c r="L1123" s="75">
        <f>K1123*'THAM_SO_MOI'!$C$50*'THAM_SO_MOI'!$C$17/'THAM_SO_MOI'!$C$26</f>
        <v>15275.647751116747</v>
      </c>
      <c r="M1123" s="75">
        <f>'THAM_SO_MOI'!$C$15*'THAM_SO_MOI'!$C$16*F1123^2</f>
        <v>69.20847393242012</v>
      </c>
      <c r="N1123" s="75">
        <f>'THAM_SO_MOI'!$C$12*I1123</f>
        <v>1130.112</v>
      </c>
      <c r="O1123" s="75">
        <f>M1123+N1123</f>
        <v>1199.32047393242</v>
      </c>
      <c r="P1123" s="75">
        <f>(MIN(L1123,'THAM_SO_MOI'!$C$41)-O1123)/('THAM_SO_MOI'!$C$11*H1123)</f>
        <v>0.975654325634027</v>
      </c>
      <c r="Q1123" s="75">
        <f>IF(P1123&gt;0,1/P1123,NA())</f>
        <v>1.0249531762698352</v>
      </c>
      <c r="R1123" s="75">
        <f>F1123-F1122</f>
        <v>0.0032106047296869278</v>
      </c>
      <c r="S1123" s="75">
        <f>0.5*(Q1122+Q1123)*R1123</f>
        <v>0.0032908216248313067</v>
      </c>
      <c r="T1123" s="75">
        <f>0.5*(F1122*Q1122+F1123*Q1123)*R1123</f>
        <v>0.016002126153785497</v>
      </c>
      <c r="U1123" s="76">
        <f>U1122+S1123</f>
        <v>5.104917694542505</v>
      </c>
      <c r="V1123" s="76">
        <f>V1122+T1123</f>
        <v>16.434349402269834</v>
      </c>
    </row>
    <row r="1124" spans="1:22" ht="19" customHeight="1">
      <c r="A1124" s="68" t="s">
        <v>372</v>
      </c>
      <c r="B1124" s="74">
        <v>2</v>
      </c>
      <c r="C1124" s="68" t="s">
        <v>363</v>
      </c>
      <c r="D1124" s="68" t="s">
        <v>364</v>
      </c>
      <c r="E1124" s="75">
        <f>60*F1124*'THAM_SO_MOI'!$C$50/(2*PI()*'THAM_SO_MOI'!$C$26)</f>
        <v>1952.2728710449578</v>
      </c>
      <c r="F1124" s="75">
        <f>'HANH_TRINH'!$F$826+('THAM_SO_MOI'!$F$50-'HANH_TRINH'!$F$826)*297/'THAM_SO_MOI'!$C$42</f>
        <v>4.867469718822245</v>
      </c>
      <c r="G1124" s="75">
        <f>3.6*F1124</f>
        <v>17.522890987760082</v>
      </c>
      <c r="H1124" s="75">
        <f>'THAM_SO_MOI'!$D$50</f>
        <v>1.8785906709588276</v>
      </c>
      <c r="I1124" s="75">
        <f>IF(F1124&gt;'THAM_SO_MOI'!$C$14,'THAM_SO_MOI'!$C$13*(1+F1124^2/1500),'THAM_SO_MOI'!$C$13)</f>
        <v>0.015</v>
      </c>
      <c r="J1124" s="75">
        <f>'THAM_SO_MOI'!$C$40*('THAM_SO_MOI'!$C$23*(E1124/'THAM_SO_MOI'!$C$22)+'THAM_SO_MOI'!$C$24*(E1124/'THAM_SO_MOI'!$C$22)^2-'THAM_SO_MOI'!$C$25*(E1124/'THAM_SO_MOI'!$C$22)^3)</f>
        <v>87.46399259252188</v>
      </c>
      <c r="K1124" s="75">
        <f>'THAM_SO_MOI'!$C$31*J1124/E1124</f>
        <v>427.89981361016146</v>
      </c>
      <c r="L1124" s="75">
        <f>K1124*'THAM_SO_MOI'!$C$50*'THAM_SO_MOI'!$C$17/'THAM_SO_MOI'!$C$26</f>
        <v>15276.606846906281</v>
      </c>
      <c r="M1124" s="75">
        <f>'THAM_SO_MOI'!$C$15*'THAM_SO_MOI'!$C$16*F1124^2</f>
        <v>69.29986478118066</v>
      </c>
      <c r="N1124" s="75">
        <f>'THAM_SO_MOI'!$C$12*I1124</f>
        <v>1130.112</v>
      </c>
      <c r="O1124" s="75">
        <f>M1124+N1124</f>
        <v>1199.4118647811808</v>
      </c>
      <c r="P1124" s="75">
        <f>(MIN(L1124,'THAM_SO_MOI'!$C$41)-O1124)/('THAM_SO_MOI'!$C$11*H1124)</f>
        <v>0.9757144677479583</v>
      </c>
      <c r="Q1124" s="75">
        <f>IF(P1124&gt;0,1/P1124,NA())</f>
        <v>1.0248899991286333</v>
      </c>
      <c r="R1124" s="75">
        <f>F1124-F1123</f>
        <v>0.0032106047296869278</v>
      </c>
      <c r="S1124" s="75">
        <f>0.5*(Q1123+Q1124)*R1124</f>
        <v>0.0032906180970253963</v>
      </c>
      <c r="T1124" s="75">
        <f>0.5*(F1123*Q1123+F1124*Q1124)*R1124</f>
        <v>0.01601170134365943</v>
      </c>
      <c r="U1124" s="76">
        <f>U1123+S1124</f>
        <v>5.108208312639531</v>
      </c>
      <c r="V1124" s="76">
        <f>V1123+T1124</f>
        <v>16.450361103613496</v>
      </c>
    </row>
    <row r="1125" spans="1:22" ht="19" customHeight="1">
      <c r="A1125" s="68" t="s">
        <v>372</v>
      </c>
      <c r="B1125" s="74">
        <v>2</v>
      </c>
      <c r="C1125" s="68" t="s">
        <v>363</v>
      </c>
      <c r="D1125" s="68" t="s">
        <v>364</v>
      </c>
      <c r="E1125" s="75">
        <f>60*F1125*'THAM_SO_MOI'!$C$50/(2*PI()*'THAM_SO_MOI'!$C$26)</f>
        <v>1953.5605989355245</v>
      </c>
      <c r="F1125" s="75">
        <f>'HANH_TRINH'!$F$826+('THAM_SO_MOI'!$F$50-'HANH_TRINH'!$F$826)*298/'THAM_SO_MOI'!$C$42</f>
        <v>4.870680323551932</v>
      </c>
      <c r="G1125" s="75">
        <f>3.6*F1125</f>
        <v>17.534449164786956</v>
      </c>
      <c r="H1125" s="75">
        <f>'THAM_SO_MOI'!$D$50</f>
        <v>1.8785906709588276</v>
      </c>
      <c r="I1125" s="75">
        <f>IF(F1125&gt;'THAM_SO_MOI'!$C$14,'THAM_SO_MOI'!$C$13*(1+F1125^2/1500),'THAM_SO_MOI'!$C$13)</f>
        <v>0.015</v>
      </c>
      <c r="J1125" s="75">
        <f>'THAM_SO_MOI'!$C$40*('THAM_SO_MOI'!$C$23*(E1125/'THAM_SO_MOI'!$C$22)+'THAM_SO_MOI'!$C$24*(E1125/'THAM_SO_MOI'!$C$22)^2-'THAM_SO_MOI'!$C$25*(E1125/'THAM_SO_MOI'!$C$22)^3)</f>
        <v>87.52714611270923</v>
      </c>
      <c r="K1125" s="75">
        <f>'THAM_SO_MOI'!$C$31*J1125/E1125</f>
        <v>427.9265171379631</v>
      </c>
      <c r="L1125" s="75">
        <f>K1125*'THAM_SO_MOI'!$C$50*'THAM_SO_MOI'!$C$17/'THAM_SO_MOI'!$C$26</f>
        <v>15277.560199262783</v>
      </c>
      <c r="M1125" s="75">
        <f>'THAM_SO_MOI'!$C$15*'THAM_SO_MOI'!$C$16*F1125^2</f>
        <v>69.39131593164016</v>
      </c>
      <c r="N1125" s="75">
        <f>'THAM_SO_MOI'!$C$12*I1125</f>
        <v>1130.112</v>
      </c>
      <c r="O1125" s="75">
        <f>M1125+N1125</f>
        <v>1199.5033159316401</v>
      </c>
      <c r="P1125" s="75">
        <f>(MIN(L1125,'THAM_SO_MOI'!$C$41)-O1125)/('THAM_SO_MOI'!$C$11*H1125)</f>
        <v>0.9757742075951066</v>
      </c>
      <c r="Q1125" s="75">
        <f>IF(P1125&gt;0,1/P1125,NA())</f>
        <v>1.0248272522642305</v>
      </c>
      <c r="R1125" s="75">
        <f>F1125-F1124</f>
        <v>0.0032106047296869278</v>
      </c>
      <c r="S1125" s="75">
        <f>0.5*(Q1124+Q1125)*R1125</f>
        <v>0.0032904159509214094</v>
      </c>
      <c r="T1125" s="75">
        <f>0.5*(F1124*Q1124+F1125*Q1125)*R1125</f>
        <v>0.016021281954248595</v>
      </c>
      <c r="U1125" s="76">
        <f>U1124+S1125</f>
        <v>5.111498728590452</v>
      </c>
      <c r="V1125" s="76">
        <f>V1124+T1125</f>
        <v>16.466382385567744</v>
      </c>
    </row>
    <row r="1126" spans="1:22" ht="19" customHeight="1">
      <c r="A1126" s="68" t="s">
        <v>372</v>
      </c>
      <c r="B1126" s="74">
        <v>2</v>
      </c>
      <c r="C1126" s="68" t="s">
        <v>363</v>
      </c>
      <c r="D1126" s="68" t="s">
        <v>364</v>
      </c>
      <c r="E1126" s="75">
        <f>60*F1126*'THAM_SO_MOI'!$C$50/(2*PI()*'THAM_SO_MOI'!$C$26)</f>
        <v>1954.8483268260911</v>
      </c>
      <c r="F1126" s="75">
        <f>'HANH_TRINH'!$F$826+('THAM_SO_MOI'!$F$50-'HANH_TRINH'!$F$826)*299/'THAM_SO_MOI'!$C$42</f>
        <v>4.873890928281619</v>
      </c>
      <c r="G1126" s="75">
        <f>3.6*F1126</f>
        <v>17.54600734181383</v>
      </c>
      <c r="H1126" s="75">
        <f>'THAM_SO_MOI'!$D$50</f>
        <v>1.8785906709588276</v>
      </c>
      <c r="I1126" s="75">
        <f>IF(F1126&gt;'THAM_SO_MOI'!$C$14,'THAM_SO_MOI'!$C$13*(1+F1126^2/1500),'THAM_SO_MOI'!$C$13)</f>
        <v>0.015</v>
      </c>
      <c r="J1126" s="75">
        <f>'THAM_SO_MOI'!$C$40*('THAM_SO_MOI'!$C$23*(E1126/'THAM_SO_MOI'!$C$22)+'THAM_SO_MOI'!$C$24*(E1126/'THAM_SO_MOI'!$C$22)^2-'THAM_SO_MOI'!$C$25*(E1126/'THAM_SO_MOI'!$C$22)^3)</f>
        <v>87.5902739069377</v>
      </c>
      <c r="K1126" s="75">
        <f>'THAM_SO_MOI'!$C$31*J1126/E1126</f>
        <v>427.95305979143245</v>
      </c>
      <c r="L1126" s="75">
        <f>K1126*'THAM_SO_MOI'!$C$50*'THAM_SO_MOI'!$C$17/'THAM_SO_MOI'!$C$26</f>
        <v>15278.507808186243</v>
      </c>
      <c r="M1126" s="75">
        <f>'THAM_SO_MOI'!$C$15*'THAM_SO_MOI'!$C$16*F1126^2</f>
        <v>69.48282738379865</v>
      </c>
      <c r="N1126" s="75">
        <f>'THAM_SO_MOI'!$C$12*I1126</f>
        <v>1130.112</v>
      </c>
      <c r="O1126" s="75">
        <f>M1126+N1126</f>
        <v>1199.5948273837987</v>
      </c>
      <c r="P1126" s="75">
        <f>(MIN(L1126,'THAM_SO_MOI'!$C$41)-O1126)/('THAM_SO_MOI'!$C$11*H1126)</f>
        <v>0.9758335451754704</v>
      </c>
      <c r="Q1126" s="75">
        <f>IF(P1126&gt;0,1/P1126,NA())</f>
        <v>1.0247649355200061</v>
      </c>
      <c r="R1126" s="75">
        <f>F1126-F1125</f>
        <v>0.0032106047296869278</v>
      </c>
      <c r="S1126" s="75">
        <f>0.5*(Q1125+Q1126)*R1126</f>
        <v>0.003290215186014724</v>
      </c>
      <c r="T1126" s="75">
        <f>0.5*(F1125*Q1125+F1126*Q1126)*R1126</f>
        <v>0.01603086799640265</v>
      </c>
      <c r="U1126" s="76">
        <f>U1125+S1126</f>
        <v>5.114788943776467</v>
      </c>
      <c r="V1126" s="76">
        <f>V1125+T1126</f>
        <v>16.482413253564147</v>
      </c>
    </row>
    <row r="1127" spans="1:22" ht="19" customHeight="1">
      <c r="A1127" s="68" t="s">
        <v>372</v>
      </c>
      <c r="B1127" s="74">
        <v>2</v>
      </c>
      <c r="C1127" s="68" t="s">
        <v>363</v>
      </c>
      <c r="D1127" s="68" t="s">
        <v>364</v>
      </c>
      <c r="E1127" s="75">
        <f>60*F1127*'THAM_SO_MOI'!$C$50/(2*PI()*'THAM_SO_MOI'!$C$26)</f>
        <v>1956.136054716658</v>
      </c>
      <c r="F1127" s="75">
        <f>'HANH_TRINH'!$F$826+('THAM_SO_MOI'!$F$50-'HANH_TRINH'!$F$826)*300/'THAM_SO_MOI'!$C$42</f>
        <v>4.877101533011306</v>
      </c>
      <c r="G1127" s="75">
        <f>3.6*F1127</f>
        <v>17.5575655188407</v>
      </c>
      <c r="H1127" s="75">
        <f>'THAM_SO_MOI'!$D$50</f>
        <v>1.8785906709588276</v>
      </c>
      <c r="I1127" s="75">
        <f>IF(F1127&gt;'THAM_SO_MOI'!$C$14,'THAM_SO_MOI'!$C$13*(1+F1127^2/1500),'THAM_SO_MOI'!$C$13)</f>
        <v>0.015</v>
      </c>
      <c r="J1127" s="75">
        <f>'THAM_SO_MOI'!$C$40*('THAM_SO_MOI'!$C$23*(E1127/'THAM_SO_MOI'!$C$22)+'THAM_SO_MOI'!$C$24*(E1127/'THAM_SO_MOI'!$C$22)^2-'THAM_SO_MOI'!$C$25*(E1127/'THAM_SO_MOI'!$C$22)^3)</f>
        <v>87.65337591013757</v>
      </c>
      <c r="K1127" s="75">
        <f>'THAM_SO_MOI'!$C$31*J1127/E1127</f>
        <v>427.97944157056946</v>
      </c>
      <c r="L1127" s="75">
        <f>K1127*'THAM_SO_MOI'!$C$50*'THAM_SO_MOI'!$C$17/'THAM_SO_MOI'!$C$26</f>
        <v>15279.449673676667</v>
      </c>
      <c r="M1127" s="75">
        <f>'THAM_SO_MOI'!$C$15*'THAM_SO_MOI'!$C$16*F1127^2</f>
        <v>69.5743991376561</v>
      </c>
      <c r="N1127" s="75">
        <f>'THAM_SO_MOI'!$C$12*I1127</f>
        <v>1130.112</v>
      </c>
      <c r="O1127" s="75">
        <f>M1127+N1127</f>
        <v>1199.6863991376563</v>
      </c>
      <c r="P1127" s="75">
        <f>(MIN(L1127,'THAM_SO_MOI'!$C$41)-O1127)/('THAM_SO_MOI'!$C$11*H1127)</f>
        <v>0.9758924804890508</v>
      </c>
      <c r="Q1127" s="75">
        <f>IF(P1127&gt;0,1/P1127,NA())</f>
        <v>1.0247030487404394</v>
      </c>
      <c r="R1127" s="75">
        <f>F1127-F1126</f>
        <v>0.0032106047296869278</v>
      </c>
      <c r="S1127" s="75">
        <f>0.5*(Q1126+Q1127)*R1127</f>
        <v>0.0032900158018042604</v>
      </c>
      <c r="T1127" s="75">
        <f>0.5*(F1126*Q1126+F1127*Q1127)*R1127</f>
        <v>0.016040459480982008</v>
      </c>
      <c r="U1127" s="76">
        <f>U1126+S1127</f>
        <v>5.118078959578271</v>
      </c>
      <c r="V1127" s="76">
        <f>V1126+T1127</f>
        <v>16.49845371304513</v>
      </c>
    </row>
    <row r="1128" spans="1:22" ht="19" customHeight="1">
      <c r="A1128" s="68" t="s">
        <v>372</v>
      </c>
      <c r="B1128" s="74">
        <v>2</v>
      </c>
      <c r="C1128" s="68" t="s">
        <v>363</v>
      </c>
      <c r="D1128" s="68" t="s">
        <v>364</v>
      </c>
      <c r="E1128" s="75">
        <f>60*F1128*'THAM_SO_MOI'!$C$50/(2*PI()*'THAM_SO_MOI'!$C$26)</f>
        <v>1957.423782607225</v>
      </c>
      <c r="F1128" s="75">
        <f>'HANH_TRINH'!$F$826+('THAM_SO_MOI'!$F$50-'HANH_TRINH'!$F$826)*301/'THAM_SO_MOI'!$C$42</f>
        <v>4.880312137740993</v>
      </c>
      <c r="G1128" s="75">
        <f>3.6*F1128</f>
        <v>17.569123695867574</v>
      </c>
      <c r="H1128" s="75">
        <f>'THAM_SO_MOI'!$D$50</f>
        <v>1.8785906709588276</v>
      </c>
      <c r="I1128" s="75">
        <f>IF(F1128&gt;'THAM_SO_MOI'!$C$14,'THAM_SO_MOI'!$C$13*(1+F1128^2/1500),'THAM_SO_MOI'!$C$13)</f>
        <v>0.015</v>
      </c>
      <c r="J1128" s="75">
        <f>'THAM_SO_MOI'!$C$40*('THAM_SO_MOI'!$C$23*(E1128/'THAM_SO_MOI'!$C$22)+'THAM_SO_MOI'!$C$24*(E1128/'THAM_SO_MOI'!$C$22)^2-'THAM_SO_MOI'!$C$25*(E1128/'THAM_SO_MOI'!$C$22)^3)</f>
        <v>87.71645205723914</v>
      </c>
      <c r="K1128" s="75">
        <f>'THAM_SO_MOI'!$C$31*J1128/E1128</f>
        <v>428.0056624753742</v>
      </c>
      <c r="L1128" s="75">
        <f>K1128*'THAM_SO_MOI'!$C$50*'THAM_SO_MOI'!$C$17/'THAM_SO_MOI'!$C$26</f>
        <v>15280.385795734055</v>
      </c>
      <c r="M1128" s="75">
        <f>'THAM_SO_MOI'!$C$15*'THAM_SO_MOI'!$C$16*F1128^2</f>
        <v>69.66603119321253</v>
      </c>
      <c r="N1128" s="75">
        <f>'THAM_SO_MOI'!$C$12*I1128</f>
        <v>1130.112</v>
      </c>
      <c r="O1128" s="75">
        <f>M1128+N1128</f>
        <v>1199.7780311932127</v>
      </c>
      <c r="P1128" s="75">
        <f>(MIN(L1128,'THAM_SO_MOI'!$C$41)-O1128)/('THAM_SO_MOI'!$C$11*H1128)</f>
        <v>0.9759510135358477</v>
      </c>
      <c r="Q1128" s="75">
        <f>IF(P1128&gt;0,1/P1128,NA())</f>
        <v>1.024641591771111</v>
      </c>
      <c r="R1128" s="75">
        <f>F1128-F1127</f>
        <v>0.0032106047296869278</v>
      </c>
      <c r="S1128" s="75">
        <f>0.5*(Q1127+Q1128)*R1128</f>
        <v>0.0032898177977924697</v>
      </c>
      <c r="T1128" s="75">
        <f>0.5*(F1127*Q1127+F1128*Q1128)*R1128</f>
        <v>0.016050056418857893</v>
      </c>
      <c r="U1128" s="76">
        <f>U1127+S1128</f>
        <v>5.121368777376063</v>
      </c>
      <c r="V1128" s="76">
        <f>V1127+T1128</f>
        <v>16.51450376946399</v>
      </c>
    </row>
    <row r="1129" spans="1:22" ht="19" customHeight="1">
      <c r="A1129" s="68" t="s">
        <v>372</v>
      </c>
      <c r="B1129" s="74">
        <v>2</v>
      </c>
      <c r="C1129" s="68" t="s">
        <v>363</v>
      </c>
      <c r="D1129" s="68" t="s">
        <v>364</v>
      </c>
      <c r="E1129" s="75">
        <f>60*F1129*'THAM_SO_MOI'!$C$50/(2*PI()*'THAM_SO_MOI'!$C$26)</f>
        <v>1958.7115104977913</v>
      </c>
      <c r="F1129" s="75">
        <f>'HANH_TRINH'!$F$826+('THAM_SO_MOI'!$F$50-'HANH_TRINH'!$F$826)*302/'THAM_SO_MOI'!$C$42</f>
        <v>4.883522742470679</v>
      </c>
      <c r="G1129" s="75">
        <f>3.6*F1129</f>
        <v>17.580681872894445</v>
      </c>
      <c r="H1129" s="75">
        <f>'THAM_SO_MOI'!$D$50</f>
        <v>1.8785906709588276</v>
      </c>
      <c r="I1129" s="75">
        <f>IF(F1129&gt;'THAM_SO_MOI'!$C$14,'THAM_SO_MOI'!$C$13*(1+F1129^2/1500),'THAM_SO_MOI'!$C$13)</f>
        <v>0.015</v>
      </c>
      <c r="J1129" s="75">
        <f>'THAM_SO_MOI'!$C$40*('THAM_SO_MOI'!$C$23*(E1129/'THAM_SO_MOI'!$C$22)+'THAM_SO_MOI'!$C$24*(E1129/'THAM_SO_MOI'!$C$22)^2-'THAM_SO_MOI'!$C$25*(E1129/'THAM_SO_MOI'!$C$22)^3)</f>
        <v>87.77950228317275</v>
      </c>
      <c r="K1129" s="75">
        <f>'THAM_SO_MOI'!$C$31*J1129/E1129</f>
        <v>428.03172250584686</v>
      </c>
      <c r="L1129" s="75">
        <f>K1129*'THAM_SO_MOI'!$C$50*'THAM_SO_MOI'!$C$17/'THAM_SO_MOI'!$C$26</f>
        <v>15281.31617435841</v>
      </c>
      <c r="M1129" s="75">
        <f>'THAM_SO_MOI'!$C$15*'THAM_SO_MOI'!$C$16*F1129^2</f>
        <v>69.7577235504679</v>
      </c>
      <c r="N1129" s="75">
        <f>'THAM_SO_MOI'!$C$12*I1129</f>
        <v>1130.112</v>
      </c>
      <c r="O1129" s="75">
        <f>M1129+N1129</f>
        <v>1199.869723550468</v>
      </c>
      <c r="P1129" s="75">
        <f>(MIN(L1129,'THAM_SO_MOI'!$C$41)-O1129)/('THAM_SO_MOI'!$C$11*H1129)</f>
        <v>0.9760091443158607</v>
      </c>
      <c r="Q1129" s="75">
        <f>IF(P1129&gt;0,1/P1129,NA())</f>
        <v>1.0245805644587027</v>
      </c>
      <c r="R1129" s="75">
        <f>F1129-F1128</f>
        <v>0.0032106047296860396</v>
      </c>
      <c r="S1129" s="75">
        <f>0.5*(Q1128+Q1129)*R1129</f>
        <v>0.0032896211734844316</v>
      </c>
      <c r="T1129" s="75">
        <f>0.5*(F1128*Q1128+F1129*Q1129)*R1129</f>
        <v>0.016059658820907954</v>
      </c>
      <c r="U1129" s="76">
        <f>U1128+S1129</f>
        <v>5.124658398549548</v>
      </c>
      <c r="V1129" s="76">
        <f>V1128+T1129</f>
        <v>16.530563428284896</v>
      </c>
    </row>
    <row r="1130" spans="1:22" ht="19" customHeight="1">
      <c r="A1130" s="68" t="s">
        <v>372</v>
      </c>
      <c r="B1130" s="74">
        <v>2</v>
      </c>
      <c r="C1130" s="68" t="s">
        <v>363</v>
      </c>
      <c r="D1130" s="68" t="s">
        <v>364</v>
      </c>
      <c r="E1130" s="75">
        <f>60*F1130*'THAM_SO_MOI'!$C$50/(2*PI()*'THAM_SO_MOI'!$C$26)</f>
        <v>1959.999238388358</v>
      </c>
      <c r="F1130" s="75">
        <f>'HANH_TRINH'!$F$826+('THAM_SO_MOI'!$F$50-'HANH_TRINH'!$F$826)*303/'THAM_SO_MOI'!$C$42</f>
        <v>4.886733347200366</v>
      </c>
      <c r="G1130" s="75">
        <f>3.6*F1130</f>
        <v>17.59224004992132</v>
      </c>
      <c r="H1130" s="75">
        <f>'THAM_SO_MOI'!$D$50</f>
        <v>1.8785906709588276</v>
      </c>
      <c r="I1130" s="75">
        <f>IF(F1130&gt;'THAM_SO_MOI'!$C$14,'THAM_SO_MOI'!$C$13*(1+F1130^2/1500),'THAM_SO_MOI'!$C$13)</f>
        <v>0.015</v>
      </c>
      <c r="J1130" s="75">
        <f>'THAM_SO_MOI'!$C$40*('THAM_SO_MOI'!$C$23*(E1130/'THAM_SO_MOI'!$C$22)+'THAM_SO_MOI'!$C$24*(E1130/'THAM_SO_MOI'!$C$22)^2-'THAM_SO_MOI'!$C$25*(E1130/'THAM_SO_MOI'!$C$22)^3)</f>
        <v>87.84252652286867</v>
      </c>
      <c r="K1130" s="75">
        <f>'THAM_SO_MOI'!$C$31*J1130/E1130</f>
        <v>428.05762166198724</v>
      </c>
      <c r="L1130" s="75">
        <f>K1130*'THAM_SO_MOI'!$C$50*'THAM_SO_MOI'!$C$17/'THAM_SO_MOI'!$C$26</f>
        <v>15282.240809549732</v>
      </c>
      <c r="M1130" s="75">
        <f>'THAM_SO_MOI'!$C$15*'THAM_SO_MOI'!$C$16*F1130^2</f>
        <v>69.84947620942226</v>
      </c>
      <c r="N1130" s="75">
        <f>'THAM_SO_MOI'!$C$12*I1130</f>
        <v>1130.112</v>
      </c>
      <c r="O1130" s="75">
        <f>M1130+N1130</f>
        <v>1199.9614762094222</v>
      </c>
      <c r="P1130" s="75">
        <f>(MIN(L1130,'THAM_SO_MOI'!$C$41)-O1130)/('THAM_SO_MOI'!$C$11*H1130)</f>
        <v>0.9760668728290908</v>
      </c>
      <c r="Q1130" s="75">
        <f>IF(P1130&gt;0,1/P1130,NA())</f>
        <v>1.0245199666509939</v>
      </c>
      <c r="R1130" s="75">
        <f>F1130-F1129</f>
        <v>0.0032106047296869278</v>
      </c>
      <c r="S1130" s="75">
        <f>0.5*(Q1129+Q1130)*R1130</f>
        <v>0.003289425928392394</v>
      </c>
      <c r="T1130" s="75">
        <f>0.5*(F1129*Q1129+F1130*Q1130)*R1130</f>
        <v>0.016069266698038518</v>
      </c>
      <c r="U1130" s="76">
        <f>U1129+S1130</f>
        <v>5.127947824477941</v>
      </c>
      <c r="V1130" s="76">
        <f>V1129+T1130</f>
        <v>16.546632694982936</v>
      </c>
    </row>
    <row r="1131" spans="1:22" ht="19" customHeight="1">
      <c r="A1131" s="68" t="s">
        <v>372</v>
      </c>
      <c r="B1131" s="74">
        <v>2</v>
      </c>
      <c r="C1131" s="68" t="s">
        <v>363</v>
      </c>
      <c r="D1131" s="68" t="s">
        <v>364</v>
      </c>
      <c r="E1131" s="75">
        <f>60*F1131*'THAM_SO_MOI'!$C$50/(2*PI()*'THAM_SO_MOI'!$C$26)</f>
        <v>1961.2869662789246</v>
      </c>
      <c r="F1131" s="75">
        <f>'HANH_TRINH'!$F$826+('THAM_SO_MOI'!$F$50-'HANH_TRINH'!$F$826)*304/'THAM_SO_MOI'!$C$42</f>
        <v>4.889943951930053</v>
      </c>
      <c r="G1131" s="75">
        <f>3.6*F1131</f>
        <v>17.60379822694819</v>
      </c>
      <c r="H1131" s="75">
        <f>'THAM_SO_MOI'!$D$50</f>
        <v>1.8785906709588276</v>
      </c>
      <c r="I1131" s="75">
        <f>IF(F1131&gt;'THAM_SO_MOI'!$C$14,'THAM_SO_MOI'!$C$13*(1+F1131^2/1500),'THAM_SO_MOI'!$C$13)</f>
        <v>0.015</v>
      </c>
      <c r="J1131" s="75">
        <f>'THAM_SO_MOI'!$C$40*('THAM_SO_MOI'!$C$23*(E1131/'THAM_SO_MOI'!$C$22)+'THAM_SO_MOI'!$C$24*(E1131/'THAM_SO_MOI'!$C$22)^2-'THAM_SO_MOI'!$C$25*(E1131/'THAM_SO_MOI'!$C$22)^3)</f>
        <v>87.9055247112572</v>
      </c>
      <c r="K1131" s="75">
        <f>'THAM_SO_MOI'!$C$31*J1131/E1131</f>
        <v>428.08335994379536</v>
      </c>
      <c r="L1131" s="75">
        <f>K1131*'THAM_SO_MOI'!$C$50*'THAM_SO_MOI'!$C$17/'THAM_SO_MOI'!$C$26</f>
        <v>15283.159701308015</v>
      </c>
      <c r="M1131" s="75">
        <f>'THAM_SO_MOI'!$C$15*'THAM_SO_MOI'!$C$16*F1131^2</f>
        <v>69.94128917007562</v>
      </c>
      <c r="N1131" s="75">
        <f>'THAM_SO_MOI'!$C$12*I1131</f>
        <v>1130.112</v>
      </c>
      <c r="O1131" s="75">
        <f>M1131+N1131</f>
        <v>1200.0532891700757</v>
      </c>
      <c r="P1131" s="75">
        <f>(MIN(L1131,'THAM_SO_MOI'!$C$41)-O1131)/('THAM_SO_MOI'!$C$11*H1131)</f>
        <v>0.9761241990755368</v>
      </c>
      <c r="Q1131" s="75">
        <f>IF(P1131&gt;0,1/P1131,NA())</f>
        <v>1.024459798196864</v>
      </c>
      <c r="R1131" s="75">
        <f>F1131-F1130</f>
        <v>0.0032106047296869278</v>
      </c>
      <c r="S1131" s="75">
        <f>0.5*(Q1130+Q1131)*R1131</f>
        <v>0.003289232062026671</v>
      </c>
      <c r="T1131" s="75">
        <f>0.5*(F1130*Q1130+F1131*Q1131)*R1131</f>
        <v>0.016078880061140197</v>
      </c>
      <c r="U1131" s="76">
        <f>U1130+S1131</f>
        <v>5.131237056539968</v>
      </c>
      <c r="V1131" s="76">
        <f>V1130+T1131</f>
        <v>16.562711575044077</v>
      </c>
    </row>
    <row r="1132" spans="1:22" ht="19" customHeight="1">
      <c r="A1132" s="68" t="s">
        <v>372</v>
      </c>
      <c r="B1132" s="74">
        <v>2</v>
      </c>
      <c r="C1132" s="68" t="s">
        <v>363</v>
      </c>
      <c r="D1132" s="68" t="s">
        <v>364</v>
      </c>
      <c r="E1132" s="75">
        <f>60*F1132*'THAM_SO_MOI'!$C$50/(2*PI()*'THAM_SO_MOI'!$C$26)</f>
        <v>1962.5746941694913</v>
      </c>
      <c r="F1132" s="75">
        <f>'HANH_TRINH'!$F$826+('THAM_SO_MOI'!$F$50-'HANH_TRINH'!$F$826)*305/'THAM_SO_MOI'!$C$42</f>
        <v>4.89315455665974</v>
      </c>
      <c r="G1132" s="75">
        <f>3.6*F1132</f>
        <v>17.615356403975063</v>
      </c>
      <c r="H1132" s="75">
        <f>'THAM_SO_MOI'!$D$50</f>
        <v>1.8785906709588276</v>
      </c>
      <c r="I1132" s="75">
        <f>IF(F1132&gt;'THAM_SO_MOI'!$C$14,'THAM_SO_MOI'!$C$13*(1+F1132^2/1500),'THAM_SO_MOI'!$C$13)</f>
        <v>0.015</v>
      </c>
      <c r="J1132" s="75">
        <f>'THAM_SO_MOI'!$C$40*('THAM_SO_MOI'!$C$23*(E1132/'THAM_SO_MOI'!$C$22)+'THAM_SO_MOI'!$C$24*(E1132/'THAM_SO_MOI'!$C$22)^2-'THAM_SO_MOI'!$C$25*(E1132/'THAM_SO_MOI'!$C$22)^3)</f>
        <v>87.96849678326868</v>
      </c>
      <c r="K1132" s="75">
        <f>'THAM_SO_MOI'!$C$31*J1132/E1132</f>
        <v>428.1089373512713</v>
      </c>
      <c r="L1132" s="75">
        <f>K1132*'THAM_SO_MOI'!$C$50*'THAM_SO_MOI'!$C$17/'THAM_SO_MOI'!$C$26</f>
        <v>15284.072849633265</v>
      </c>
      <c r="M1132" s="75">
        <f>'THAM_SO_MOI'!$C$15*'THAM_SO_MOI'!$C$16*F1132^2</f>
        <v>70.03316243242793</v>
      </c>
      <c r="N1132" s="75">
        <f>'THAM_SO_MOI'!$C$12*I1132</f>
        <v>1130.112</v>
      </c>
      <c r="O1132" s="75">
        <f>M1132+N1132</f>
        <v>1200.145162432428</v>
      </c>
      <c r="P1132" s="75">
        <f>(MIN(L1132,'THAM_SO_MOI'!$C$41)-O1132)/('THAM_SO_MOI'!$C$11*H1132)</f>
        <v>0.9761811230551996</v>
      </c>
      <c r="Q1132" s="75">
        <f>IF(P1132&gt;0,1/P1132,NA())</f>
        <v>1.024400058946288</v>
      </c>
      <c r="R1132" s="75">
        <f>F1132-F1131</f>
        <v>0.0032106047296869278</v>
      </c>
      <c r="S1132" s="75">
        <f>0.5*(Q1131+Q1132)*R1132</f>
        <v>0.0032890395739047437</v>
      </c>
      <c r="T1132" s="75">
        <f>0.5*(F1131*Q1131+F1132*Q1132)*R1132</f>
        <v>0.016088498921132365</v>
      </c>
      <c r="U1132" s="76">
        <f>U1131+S1132</f>
        <v>5.134526096113873</v>
      </c>
      <c r="V1132" s="76">
        <f>V1131+T1132</f>
        <v>16.57880007396521</v>
      </c>
    </row>
    <row r="1133" spans="1:22" ht="19" customHeight="1">
      <c r="A1133" s="68" t="s">
        <v>372</v>
      </c>
      <c r="B1133" s="74">
        <v>2</v>
      </c>
      <c r="C1133" s="68" t="s">
        <v>363</v>
      </c>
      <c r="D1133" s="68" t="s">
        <v>364</v>
      </c>
      <c r="E1133" s="75">
        <f>60*F1133*'THAM_SO_MOI'!$C$50/(2*PI()*'THAM_SO_MOI'!$C$26)</f>
        <v>1963.862422060058</v>
      </c>
      <c r="F1133" s="75">
        <f>'HANH_TRINH'!$F$826+('THAM_SO_MOI'!$F$50-'HANH_TRINH'!$F$826)*306/'THAM_SO_MOI'!$C$42</f>
        <v>4.896365161389427</v>
      </c>
      <c r="G1133" s="75">
        <f>3.6*F1133</f>
        <v>17.626914581001937</v>
      </c>
      <c r="H1133" s="75">
        <f>'THAM_SO_MOI'!$D$50</f>
        <v>1.8785906709588276</v>
      </c>
      <c r="I1133" s="75">
        <f>IF(F1133&gt;'THAM_SO_MOI'!$C$14,'THAM_SO_MOI'!$C$13*(1+F1133^2/1500),'THAM_SO_MOI'!$C$13)</f>
        <v>0.015</v>
      </c>
      <c r="J1133" s="75">
        <f>'THAM_SO_MOI'!$C$40*('THAM_SO_MOI'!$C$23*(E1133/'THAM_SO_MOI'!$C$22)+'THAM_SO_MOI'!$C$24*(E1133/'THAM_SO_MOI'!$C$22)^2-'THAM_SO_MOI'!$C$25*(E1133/'THAM_SO_MOI'!$C$22)^3)</f>
        <v>88.03144267383335</v>
      </c>
      <c r="K1133" s="75">
        <f>'THAM_SO_MOI'!$C$31*J1133/E1133</f>
        <v>428.13435388441496</v>
      </c>
      <c r="L1133" s="75">
        <f>K1133*'THAM_SO_MOI'!$C$50*'THAM_SO_MOI'!$C$17/'THAM_SO_MOI'!$C$26</f>
        <v>15284.980254525479</v>
      </c>
      <c r="M1133" s="75">
        <f>'THAM_SO_MOI'!$C$15*'THAM_SO_MOI'!$C$16*F1133^2</f>
        <v>70.12509599647922</v>
      </c>
      <c r="N1133" s="75">
        <f>'THAM_SO_MOI'!$C$12*I1133</f>
        <v>1130.112</v>
      </c>
      <c r="O1133" s="75">
        <f>M1133+N1133</f>
        <v>1200.2370959964792</v>
      </c>
      <c r="P1133" s="75">
        <f>(MIN(L1133,'THAM_SO_MOI'!$C$41)-O1133)/('THAM_SO_MOI'!$C$11*H1133)</f>
        <v>0.9762376447680785</v>
      </c>
      <c r="Q1133" s="75">
        <f>IF(P1133&gt;0,1/P1133,NA())</f>
        <v>1.024340748750338</v>
      </c>
      <c r="R1133" s="75">
        <f>F1133-F1132</f>
        <v>0.0032106047296869278</v>
      </c>
      <c r="S1133" s="75">
        <f>0.5*(Q1132+Q1133)*R1133</f>
        <v>0.003288848463546702</v>
      </c>
      <c r="T1133" s="75">
        <f>0.5*(F1132*Q1132+F1133*Q1133)*R1133</f>
        <v>0.016098123288940953</v>
      </c>
      <c r="U1133" s="76">
        <f>U1132+S1133</f>
        <v>5.1378149445774195</v>
      </c>
      <c r="V1133" s="76">
        <f>V1132+T1133</f>
        <v>16.59489819725415</v>
      </c>
    </row>
    <row r="1134" spans="1:22" ht="19" customHeight="1">
      <c r="A1134" s="68" t="s">
        <v>372</v>
      </c>
      <c r="B1134" s="74">
        <v>2</v>
      </c>
      <c r="C1134" s="68" t="s">
        <v>363</v>
      </c>
      <c r="D1134" s="68" t="s">
        <v>364</v>
      </c>
      <c r="E1134" s="75">
        <f>60*F1134*'THAM_SO_MOI'!$C$50/(2*PI()*'THAM_SO_MOI'!$C$26)</f>
        <v>1965.1501499506248</v>
      </c>
      <c r="F1134" s="75">
        <f>'HANH_TRINH'!$F$826+('THAM_SO_MOI'!$F$50-'HANH_TRINH'!$F$826)*307/'THAM_SO_MOI'!$C$42</f>
        <v>4.8995757661191135</v>
      </c>
      <c r="G1134" s="75">
        <f>3.6*F1134</f>
        <v>17.638472758028808</v>
      </c>
      <c r="H1134" s="75">
        <f>'THAM_SO_MOI'!$D$50</f>
        <v>1.8785906709588276</v>
      </c>
      <c r="I1134" s="75">
        <f>IF(F1134&gt;'THAM_SO_MOI'!$C$14,'THAM_SO_MOI'!$C$13*(1+F1134^2/1500),'THAM_SO_MOI'!$C$13)</f>
        <v>0.015</v>
      </c>
      <c r="J1134" s="75">
        <f>'THAM_SO_MOI'!$C$40*('THAM_SO_MOI'!$C$23*(E1134/'THAM_SO_MOI'!$C$22)+'THAM_SO_MOI'!$C$24*(E1134/'THAM_SO_MOI'!$C$22)^2-'THAM_SO_MOI'!$C$25*(E1134/'THAM_SO_MOI'!$C$22)^3)</f>
        <v>88.09436231788158</v>
      </c>
      <c r="K1134" s="75">
        <f>'THAM_SO_MOI'!$C$31*J1134/E1134</f>
        <v>428.1596095432264</v>
      </c>
      <c r="L1134" s="75">
        <f>K1134*'THAM_SO_MOI'!$C$50*'THAM_SO_MOI'!$C$17/'THAM_SO_MOI'!$C$26</f>
        <v>15285.881915984657</v>
      </c>
      <c r="M1134" s="75">
        <f>'THAM_SO_MOI'!$C$15*'THAM_SO_MOI'!$C$16*F1134^2</f>
        <v>70.21708986222947</v>
      </c>
      <c r="N1134" s="75">
        <f>'THAM_SO_MOI'!$C$12*I1134</f>
        <v>1130.112</v>
      </c>
      <c r="O1134" s="75">
        <f>M1134+N1134</f>
        <v>1200.3290898622295</v>
      </c>
      <c r="P1134" s="75">
        <f>(MIN(L1134,'THAM_SO_MOI'!$C$41)-O1134)/('THAM_SO_MOI'!$C$11*H1134)</f>
        <v>0.976293764214174</v>
      </c>
      <c r="Q1134" s="75">
        <f>IF(P1134&gt;0,1/P1134,NA())</f>
        <v>1.0242818674611809</v>
      </c>
      <c r="R1134" s="75">
        <f>F1134-F1133</f>
        <v>0.0032106047296869278</v>
      </c>
      <c r="S1134" s="75">
        <f>0.5*(Q1133+Q1134)*R1134</f>
        <v>0.0032886587304761556</v>
      </c>
      <c r="T1134" s="75">
        <f>0.5*(F1133*Q1133+F1134*Q1134)*R1134</f>
        <v>0.016107753175502997</v>
      </c>
      <c r="U1134" s="76">
        <f>U1133+S1134</f>
        <v>5.141103603307895</v>
      </c>
      <c r="V1134" s="76">
        <f>V1133+T1134</f>
        <v>16.611005950429654</v>
      </c>
    </row>
    <row r="1135" spans="1:22" ht="19" customHeight="1">
      <c r="A1135" s="68" t="s">
        <v>372</v>
      </c>
      <c r="B1135" s="74">
        <v>2</v>
      </c>
      <c r="C1135" s="68" t="s">
        <v>363</v>
      </c>
      <c r="D1135" s="68" t="s">
        <v>364</v>
      </c>
      <c r="E1135" s="75">
        <f>60*F1135*'THAM_SO_MOI'!$C$50/(2*PI()*'THAM_SO_MOI'!$C$26)</f>
        <v>1966.4378778411915</v>
      </c>
      <c r="F1135" s="75">
        <f>'HANH_TRINH'!$F$826+('THAM_SO_MOI'!$F$50-'HANH_TRINH'!$F$826)*308/'THAM_SO_MOI'!$C$42</f>
        <v>4.9027863708488</v>
      </c>
      <c r="G1135" s="75">
        <f>3.6*F1135</f>
        <v>17.650030935055682</v>
      </c>
      <c r="H1135" s="75">
        <f>'THAM_SO_MOI'!$D$50</f>
        <v>1.8785906709588276</v>
      </c>
      <c r="I1135" s="75">
        <f>IF(F1135&gt;'THAM_SO_MOI'!$C$14,'THAM_SO_MOI'!$C$13*(1+F1135^2/1500),'THAM_SO_MOI'!$C$13)</f>
        <v>0.015</v>
      </c>
      <c r="J1135" s="75">
        <f>'THAM_SO_MOI'!$C$40*('THAM_SO_MOI'!$C$23*(E1135/'THAM_SO_MOI'!$C$22)+'THAM_SO_MOI'!$C$24*(E1135/'THAM_SO_MOI'!$C$22)^2-'THAM_SO_MOI'!$C$25*(E1135/'THAM_SO_MOI'!$C$22)^3)</f>
        <v>88.15725565034359</v>
      </c>
      <c r="K1135" s="75">
        <f>'THAM_SO_MOI'!$C$31*J1135/E1135</f>
        <v>428.18470432770545</v>
      </c>
      <c r="L1135" s="75">
        <f>K1135*'THAM_SO_MOI'!$C$50*'THAM_SO_MOI'!$C$17/'THAM_SO_MOI'!$C$26</f>
        <v>15286.777834010794</v>
      </c>
      <c r="M1135" s="75">
        <f>'THAM_SO_MOI'!$C$15*'THAM_SO_MOI'!$C$16*F1135^2</f>
        <v>70.3091440296787</v>
      </c>
      <c r="N1135" s="75">
        <f>'THAM_SO_MOI'!$C$12*I1135</f>
        <v>1130.112</v>
      </c>
      <c r="O1135" s="75">
        <f>M1135+N1135</f>
        <v>1200.4211440296788</v>
      </c>
      <c r="P1135" s="75">
        <f>(MIN(L1135,'THAM_SO_MOI'!$C$41)-O1135)/('THAM_SO_MOI'!$C$11*H1135)</f>
        <v>0.9763494813934854</v>
      </c>
      <c r="Q1135" s="75">
        <f>IF(P1135&gt;0,1/P1135,NA())</f>
        <v>1.024223414932079</v>
      </c>
      <c r="R1135" s="75">
        <f>F1135-F1134</f>
        <v>0.0032106047296869278</v>
      </c>
      <c r="S1135" s="75">
        <f>0.5*(Q1134+Q1135)*R1135</f>
        <v>0.003288470374220228</v>
      </c>
      <c r="T1135" s="75">
        <f>0.5*(F1134*Q1134+F1135*Q1135)*R1135</f>
        <v>0.016117388591766618</v>
      </c>
      <c r="U1135" s="76">
        <f>U1134+S1135</f>
        <v>5.144392073682115</v>
      </c>
      <c r="V1135" s="76">
        <f>V1134+T1135</f>
        <v>16.62712333902142</v>
      </c>
    </row>
    <row r="1136" spans="1:22" ht="19" customHeight="1">
      <c r="A1136" s="68" t="s">
        <v>372</v>
      </c>
      <c r="B1136" s="74">
        <v>2</v>
      </c>
      <c r="C1136" s="68" t="s">
        <v>363</v>
      </c>
      <c r="D1136" s="68" t="s">
        <v>364</v>
      </c>
      <c r="E1136" s="75">
        <f>60*F1136*'THAM_SO_MOI'!$C$50/(2*PI()*'THAM_SO_MOI'!$C$26)</f>
        <v>1967.7256057317582</v>
      </c>
      <c r="F1136" s="75">
        <f>'HANH_TRINH'!$F$826+('THAM_SO_MOI'!$F$50-'HANH_TRINH'!$F$826)*309/'THAM_SO_MOI'!$C$42</f>
        <v>4.905996975578487</v>
      </c>
      <c r="G1136" s="75">
        <f>3.6*F1136</f>
        <v>17.661589112082556</v>
      </c>
      <c r="H1136" s="75">
        <f>'THAM_SO_MOI'!$D$50</f>
        <v>1.8785906709588276</v>
      </c>
      <c r="I1136" s="75">
        <f>IF(F1136&gt;'THAM_SO_MOI'!$C$14,'THAM_SO_MOI'!$C$13*(1+F1136^2/1500),'THAM_SO_MOI'!$C$13)</f>
        <v>0.015</v>
      </c>
      <c r="J1136" s="75">
        <f>'THAM_SO_MOI'!$C$40*('THAM_SO_MOI'!$C$23*(E1136/'THAM_SO_MOI'!$C$22)+'THAM_SO_MOI'!$C$24*(E1136/'THAM_SO_MOI'!$C$22)^2-'THAM_SO_MOI'!$C$25*(E1136/'THAM_SO_MOI'!$C$22)^3)</f>
        <v>88.22012260614973</v>
      </c>
      <c r="K1136" s="75">
        <f>'THAM_SO_MOI'!$C$31*J1136/E1136</f>
        <v>428.20963823785223</v>
      </c>
      <c r="L1136" s="75">
        <f>K1136*'THAM_SO_MOI'!$C$50*'THAM_SO_MOI'!$C$17/'THAM_SO_MOI'!$C$26</f>
        <v>15287.668008603896</v>
      </c>
      <c r="M1136" s="75">
        <f>'THAM_SO_MOI'!$C$15*'THAM_SO_MOI'!$C$16*F1136^2</f>
        <v>70.4012584988269</v>
      </c>
      <c r="N1136" s="75">
        <f>'THAM_SO_MOI'!$C$12*I1136</f>
        <v>1130.112</v>
      </c>
      <c r="O1136" s="75">
        <f>M1136+N1136</f>
        <v>1200.5132584988269</v>
      </c>
      <c r="P1136" s="75">
        <f>(MIN(L1136,'THAM_SO_MOI'!$C$41)-O1136)/('THAM_SO_MOI'!$C$11*H1136)</f>
        <v>0.9764047963060134</v>
      </c>
      <c r="Q1136" s="75">
        <f>IF(P1136&gt;0,1/P1136,NA())</f>
        <v>1.0241653910173867</v>
      </c>
      <c r="R1136" s="75">
        <f>F1136-F1135</f>
        <v>0.0032106047296869278</v>
      </c>
      <c r="S1136" s="75">
        <f>0.5*(Q1135+Q1136)*R1136</f>
        <v>0.0032882833943095563</v>
      </c>
      <c r="T1136" s="75">
        <f>0.5*(F1135*Q1135+F1136*Q1136)*R1136</f>
        <v>0.016127029548691107</v>
      </c>
      <c r="U1136" s="76">
        <f>U1135+S1136</f>
        <v>5.147680357076425</v>
      </c>
      <c r="V1136" s="76">
        <f>V1135+T1136</f>
        <v>16.64325036857011</v>
      </c>
    </row>
    <row r="1137" spans="1:22" ht="19" customHeight="1">
      <c r="A1137" s="68" t="s">
        <v>372</v>
      </c>
      <c r="B1137" s="74">
        <v>2</v>
      </c>
      <c r="C1137" s="68" t="s">
        <v>363</v>
      </c>
      <c r="D1137" s="68" t="s">
        <v>364</v>
      </c>
      <c r="E1137" s="75">
        <f>60*F1137*'THAM_SO_MOI'!$C$50/(2*PI()*'THAM_SO_MOI'!$C$26)</f>
        <v>1969.0133336223248</v>
      </c>
      <c r="F1137" s="75">
        <f>'HANH_TRINH'!$F$826+('THAM_SO_MOI'!$F$50-'HANH_TRINH'!$F$826)*310/'THAM_SO_MOI'!$C$42</f>
        <v>4.909207580308173</v>
      </c>
      <c r="G1137" s="75">
        <f>3.6*F1137</f>
        <v>17.673147289109426</v>
      </c>
      <c r="H1137" s="75">
        <f>'THAM_SO_MOI'!$D$50</f>
        <v>1.8785906709588276</v>
      </c>
      <c r="I1137" s="75">
        <f>IF(F1137&gt;'THAM_SO_MOI'!$C$14,'THAM_SO_MOI'!$C$13*(1+F1137^2/1500),'THAM_SO_MOI'!$C$13)</f>
        <v>0.015</v>
      </c>
      <c r="J1137" s="75">
        <f>'THAM_SO_MOI'!$C$40*('THAM_SO_MOI'!$C$23*(E1137/'THAM_SO_MOI'!$C$22)+'THAM_SO_MOI'!$C$24*(E1137/'THAM_SO_MOI'!$C$22)^2-'THAM_SO_MOI'!$C$25*(E1137/'THAM_SO_MOI'!$C$22)^3)</f>
        <v>88.28296312023028</v>
      </c>
      <c r="K1137" s="75">
        <f>'THAM_SO_MOI'!$C$31*J1137/E1137</f>
        <v>428.2344112736668</v>
      </c>
      <c r="L1137" s="75">
        <f>K1137*'THAM_SO_MOI'!$C$50*'THAM_SO_MOI'!$C$17/'THAM_SO_MOI'!$C$26</f>
        <v>15288.552439763964</v>
      </c>
      <c r="M1137" s="75">
        <f>'THAM_SO_MOI'!$C$15*'THAM_SO_MOI'!$C$16*F1137^2</f>
        <v>70.49343326967406</v>
      </c>
      <c r="N1137" s="75">
        <f>'THAM_SO_MOI'!$C$12*I1137</f>
        <v>1130.112</v>
      </c>
      <c r="O1137" s="75">
        <f>M1137+N1137</f>
        <v>1200.6054332696742</v>
      </c>
      <c r="P1137" s="75">
        <f>(MIN(L1137,'THAM_SO_MOI'!$C$41)-O1137)/('THAM_SO_MOI'!$C$11*H1137)</f>
        <v>0.9764597089517578</v>
      </c>
      <c r="Q1137" s="75">
        <f>IF(P1137&gt;0,1/P1137,NA())</f>
        <v>1.0241077955725515</v>
      </c>
      <c r="R1137" s="75">
        <f>F1137-F1136</f>
        <v>0.0032106047296860396</v>
      </c>
      <c r="S1137" s="75">
        <f>0.5*(Q1136+Q1137)*R1137</f>
        <v>0.003288097790277376</v>
      </c>
      <c r="T1137" s="75">
        <f>0.5*(F1136*Q1136+F1137*Q1137)*R1137</f>
        <v>0.016136676057242467</v>
      </c>
      <c r="U1137" s="76">
        <f>U1136+S1137</f>
        <v>5.150968454866702</v>
      </c>
      <c r="V1137" s="76">
        <f>V1136+T1137</f>
        <v>16.659387044627355</v>
      </c>
    </row>
    <row r="1138" spans="1:22" ht="19" customHeight="1">
      <c r="A1138" s="68" t="s">
        <v>372</v>
      </c>
      <c r="B1138" s="74">
        <v>2</v>
      </c>
      <c r="C1138" s="68" t="s">
        <v>363</v>
      </c>
      <c r="D1138" s="68" t="s">
        <v>364</v>
      </c>
      <c r="E1138" s="75">
        <f>60*F1138*'THAM_SO_MOI'!$C$50/(2*PI()*'THAM_SO_MOI'!$C$26)</f>
        <v>1970.3010615128915</v>
      </c>
      <c r="F1138" s="75">
        <f>'HANH_TRINH'!$F$826+('THAM_SO_MOI'!$F$50-'HANH_TRINH'!$F$826)*311/'THAM_SO_MOI'!$C$42</f>
        <v>4.91241818503786</v>
      </c>
      <c r="G1138" s="75">
        <f>3.6*F1138</f>
        <v>17.684705466136297</v>
      </c>
      <c r="H1138" s="75">
        <f>'THAM_SO_MOI'!$D$50</f>
        <v>1.8785906709588276</v>
      </c>
      <c r="I1138" s="75">
        <f>IF(F1138&gt;'THAM_SO_MOI'!$C$14,'THAM_SO_MOI'!$C$13*(1+F1138^2/1500),'THAM_SO_MOI'!$C$13)</f>
        <v>0.015</v>
      </c>
      <c r="J1138" s="75">
        <f>'THAM_SO_MOI'!$C$40*('THAM_SO_MOI'!$C$23*(E1138/'THAM_SO_MOI'!$C$22)+'THAM_SO_MOI'!$C$24*(E1138/'THAM_SO_MOI'!$C$22)^2-'THAM_SO_MOI'!$C$25*(E1138/'THAM_SO_MOI'!$C$22)^3)</f>
        <v>88.34577712751557</v>
      </c>
      <c r="K1138" s="75">
        <f>'THAM_SO_MOI'!$C$31*J1138/E1138</f>
        <v>428.2590234351492</v>
      </c>
      <c r="L1138" s="75">
        <f>K1138*'THAM_SO_MOI'!$C$50*'THAM_SO_MOI'!$C$17/'THAM_SO_MOI'!$C$26</f>
        <v>15289.431127490994</v>
      </c>
      <c r="M1138" s="75">
        <f>'THAM_SO_MOI'!$C$15*'THAM_SO_MOI'!$C$16*F1138^2</f>
        <v>70.5856683422202</v>
      </c>
      <c r="N1138" s="75">
        <f>'THAM_SO_MOI'!$C$12*I1138</f>
        <v>1130.112</v>
      </c>
      <c r="O1138" s="75">
        <f>M1138+N1138</f>
        <v>1200.6976683422204</v>
      </c>
      <c r="P1138" s="75">
        <f>(MIN(L1138,'THAM_SO_MOI'!$C$41)-O1138)/('THAM_SO_MOI'!$C$11*H1138)</f>
        <v>0.9765142193307185</v>
      </c>
      <c r="Q1138" s="75">
        <f>IF(P1138&gt;0,1/P1138,NA())</f>
        <v>1.0240506284541133</v>
      </c>
      <c r="R1138" s="75">
        <f>F1138-F1137</f>
        <v>0.0032106047296869278</v>
      </c>
      <c r="S1138" s="75">
        <f>0.5*(Q1137+Q1138)*R1138</f>
        <v>0.003287913561664067</v>
      </c>
      <c r="T1138" s="75">
        <f>0.5*(F1137*Q1137+F1138*Q1138)*R1138</f>
        <v>0.016146328128415807</v>
      </c>
      <c r="U1138" s="76">
        <f>U1137+S1138</f>
        <v>5.154256368428366</v>
      </c>
      <c r="V1138" s="76">
        <f>V1137+T1138</f>
        <v>16.67553337275577</v>
      </c>
    </row>
    <row r="1139" spans="1:22" ht="19" customHeight="1">
      <c r="A1139" s="68" t="s">
        <v>372</v>
      </c>
      <c r="B1139" s="74">
        <v>2</v>
      </c>
      <c r="C1139" s="68" t="s">
        <v>363</v>
      </c>
      <c r="D1139" s="68" t="s">
        <v>364</v>
      </c>
      <c r="E1139" s="75">
        <f>60*F1139*'THAM_SO_MOI'!$C$50/(2*PI()*'THAM_SO_MOI'!$C$26)</f>
        <v>1971.5887894034581</v>
      </c>
      <c r="F1139" s="75">
        <f>'HANH_TRINH'!$F$826+('THAM_SO_MOI'!$F$50-'HANH_TRINH'!$F$826)*312/'THAM_SO_MOI'!$C$42</f>
        <v>4.915628789767547</v>
      </c>
      <c r="G1139" s="75">
        <f>3.6*F1139</f>
        <v>17.69626364316317</v>
      </c>
      <c r="H1139" s="75">
        <f>'THAM_SO_MOI'!$D$50</f>
        <v>1.8785906709588276</v>
      </c>
      <c r="I1139" s="75">
        <f>IF(F1139&gt;'THAM_SO_MOI'!$C$14,'THAM_SO_MOI'!$C$13*(1+F1139^2/1500),'THAM_SO_MOI'!$C$13)</f>
        <v>0.015</v>
      </c>
      <c r="J1139" s="75">
        <f>'THAM_SO_MOI'!$C$40*('THAM_SO_MOI'!$C$23*(E1139/'THAM_SO_MOI'!$C$22)+'THAM_SO_MOI'!$C$24*(E1139/'THAM_SO_MOI'!$C$22)^2-'THAM_SO_MOI'!$C$25*(E1139/'THAM_SO_MOI'!$C$22)^3)</f>
        <v>88.4085645629359</v>
      </c>
      <c r="K1139" s="75">
        <f>'THAM_SO_MOI'!$C$31*J1139/E1139</f>
        <v>428.2834747222992</v>
      </c>
      <c r="L1139" s="75">
        <f>K1139*'THAM_SO_MOI'!$C$50*'THAM_SO_MOI'!$C$17/'THAM_SO_MOI'!$C$26</f>
        <v>15290.304071784989</v>
      </c>
      <c r="M1139" s="75">
        <f>'THAM_SO_MOI'!$C$15*'THAM_SO_MOI'!$C$16*F1139^2</f>
        <v>70.67796371646533</v>
      </c>
      <c r="N1139" s="75">
        <f>'THAM_SO_MOI'!$C$12*I1139</f>
        <v>1130.112</v>
      </c>
      <c r="O1139" s="75">
        <f>M1139+N1139</f>
        <v>1200.7899637164653</v>
      </c>
      <c r="P1139" s="75">
        <f>(MIN(L1139,'THAM_SO_MOI'!$C$41)-O1139)/('THAM_SO_MOI'!$C$11*H1139)</f>
        <v>0.9765683274428956</v>
      </c>
      <c r="Q1139" s="75">
        <f>IF(P1139&gt;0,1/P1139,NA())</f>
        <v>1.0239938895197014</v>
      </c>
      <c r="R1139" s="75">
        <f>F1139-F1138</f>
        <v>0.0032106047296869278</v>
      </c>
      <c r="S1139" s="75">
        <f>0.5*(Q1138+Q1139)*R1139</f>
        <v>0.003287730708008057</v>
      </c>
      <c r="T1139" s="75">
        <f>0.5*(F1138*Q1138+F1139*Q1139)*R1139</f>
        <v>0.016155985773190724</v>
      </c>
      <c r="U1139" s="76">
        <f>U1138+S1139</f>
        <v>5.157544099136374</v>
      </c>
      <c r="V1139" s="76">
        <f>V1138+T1139</f>
        <v>16.69168935852896</v>
      </c>
    </row>
    <row r="1140" spans="1:22" ht="19" customHeight="1">
      <c r="A1140" s="68" t="s">
        <v>372</v>
      </c>
      <c r="B1140" s="74">
        <v>2</v>
      </c>
      <c r="C1140" s="68" t="s">
        <v>363</v>
      </c>
      <c r="D1140" s="68" t="s">
        <v>364</v>
      </c>
      <c r="E1140" s="75">
        <f>60*F1140*'THAM_SO_MOI'!$C$50/(2*PI()*'THAM_SO_MOI'!$C$26)</f>
        <v>1972.8765172940248</v>
      </c>
      <c r="F1140" s="75">
        <f>'HANH_TRINH'!$F$826+('THAM_SO_MOI'!$F$50-'HANH_TRINH'!$F$826)*313/'THAM_SO_MOI'!$C$42</f>
        <v>4.918839394497234</v>
      </c>
      <c r="G1140" s="75">
        <f>3.6*F1140</f>
        <v>17.707821820190045</v>
      </c>
      <c r="H1140" s="75">
        <f>'THAM_SO_MOI'!$D$50</f>
        <v>1.8785906709588276</v>
      </c>
      <c r="I1140" s="75">
        <f>IF(F1140&gt;'THAM_SO_MOI'!$C$14,'THAM_SO_MOI'!$C$13*(1+F1140^2/1500),'THAM_SO_MOI'!$C$13)</f>
        <v>0.015</v>
      </c>
      <c r="J1140" s="75">
        <f>'THAM_SO_MOI'!$C$40*('THAM_SO_MOI'!$C$23*(E1140/'THAM_SO_MOI'!$C$22)+'THAM_SO_MOI'!$C$24*(E1140/'THAM_SO_MOI'!$C$22)^2-'THAM_SO_MOI'!$C$25*(E1140/'THAM_SO_MOI'!$C$22)^3)</f>
        <v>88.47132536142155</v>
      </c>
      <c r="K1140" s="75">
        <f>'THAM_SO_MOI'!$C$31*J1140/E1140</f>
        <v>428.30776513511717</v>
      </c>
      <c r="L1140" s="75">
        <f>K1140*'THAM_SO_MOI'!$C$50*'THAM_SO_MOI'!$C$17/'THAM_SO_MOI'!$C$26</f>
        <v>15291.171272645954</v>
      </c>
      <c r="M1140" s="75">
        <f>'THAM_SO_MOI'!$C$15*'THAM_SO_MOI'!$C$16*F1140^2</f>
        <v>70.7703193924094</v>
      </c>
      <c r="N1140" s="75">
        <f>'THAM_SO_MOI'!$C$12*I1140</f>
        <v>1130.112</v>
      </c>
      <c r="O1140" s="75">
        <f>M1140+N1140</f>
        <v>1200.8823193924095</v>
      </c>
      <c r="P1140" s="75">
        <f>(MIN(L1140,'THAM_SO_MOI'!$C$41)-O1140)/('THAM_SO_MOI'!$C$11*H1140)</f>
        <v>0.9766220332882894</v>
      </c>
      <c r="Q1140" s="75">
        <f>IF(P1140&gt;0,1/P1140,NA())</f>
        <v>1.0239375786280358</v>
      </c>
      <c r="R1140" s="75">
        <f>F1140-F1139</f>
        <v>0.0032106047296869278</v>
      </c>
      <c r="S1140" s="75">
        <f>0.5*(Q1139+Q1140)*R1140</f>
        <v>0.0032875492288549093</v>
      </c>
      <c r="T1140" s="75">
        <f>0.5*(F1139*Q1139+F1140*Q1140)*R1140</f>
        <v>0.01616564900257599</v>
      </c>
      <c r="U1140" s="76">
        <f>U1139+S1140</f>
        <v>5.160831648365229</v>
      </c>
      <c r="V1140" s="76">
        <f>V1139+T1140</f>
        <v>16.70785500753154</v>
      </c>
    </row>
    <row r="1141" spans="1:22" ht="19" customHeight="1">
      <c r="A1141" s="68" t="s">
        <v>372</v>
      </c>
      <c r="B1141" s="74">
        <v>2</v>
      </c>
      <c r="C1141" s="68" t="s">
        <v>363</v>
      </c>
      <c r="D1141" s="68" t="s">
        <v>364</v>
      </c>
      <c r="E1141" s="75">
        <f>60*F1141*'THAM_SO_MOI'!$C$50/(2*PI()*'THAM_SO_MOI'!$C$26)</f>
        <v>1974.164245184592</v>
      </c>
      <c r="F1141" s="75">
        <f>'HANH_TRINH'!$F$826+('THAM_SO_MOI'!$F$50-'HANH_TRINH'!$F$826)*314/'THAM_SO_MOI'!$C$42</f>
        <v>4.922049999226921</v>
      </c>
      <c r="G1141" s="75">
        <f>3.6*F1141</f>
        <v>17.719379997216915</v>
      </c>
      <c r="H1141" s="75">
        <f>'THAM_SO_MOI'!$D$50</f>
        <v>1.8785906709588276</v>
      </c>
      <c r="I1141" s="75">
        <f>IF(F1141&gt;'THAM_SO_MOI'!$C$14,'THAM_SO_MOI'!$C$13*(1+F1141^2/1500),'THAM_SO_MOI'!$C$13)</f>
        <v>0.015</v>
      </c>
      <c r="J1141" s="75">
        <f>'THAM_SO_MOI'!$C$40*('THAM_SO_MOI'!$C$23*(E1141/'THAM_SO_MOI'!$C$22)+'THAM_SO_MOI'!$C$24*(E1141/'THAM_SO_MOI'!$C$22)^2-'THAM_SO_MOI'!$C$25*(E1141/'THAM_SO_MOI'!$C$22)^3)</f>
        <v>88.53405945790288</v>
      </c>
      <c r="K1141" s="75">
        <f>'THAM_SO_MOI'!$C$31*J1141/E1141</f>
        <v>428.3318946736029</v>
      </c>
      <c r="L1141" s="75">
        <f>K1141*'THAM_SO_MOI'!$C$50*'THAM_SO_MOI'!$C$17/'THAM_SO_MOI'!$C$26</f>
        <v>15292.03273007388</v>
      </c>
      <c r="M1141" s="75">
        <f>'THAM_SO_MOI'!$C$15*'THAM_SO_MOI'!$C$16*F1141^2</f>
        <v>70.86273537005248</v>
      </c>
      <c r="N1141" s="75">
        <f>'THAM_SO_MOI'!$C$12*I1141</f>
        <v>1130.112</v>
      </c>
      <c r="O1141" s="75">
        <f>M1141+N1141</f>
        <v>1200.9747353700525</v>
      </c>
      <c r="P1141" s="75">
        <f>(MIN(L1141,'THAM_SO_MOI'!$C$41)-O1141)/('THAM_SO_MOI'!$C$11*H1141)</f>
        <v>0.9766753368668994</v>
      </c>
      <c r="Q1141" s="75">
        <f>IF(P1141&gt;0,1/P1141,NA())</f>
        <v>1.0238816956389258</v>
      </c>
      <c r="R1141" s="75">
        <f>F1141-F1140</f>
        <v>0.0032106047296869278</v>
      </c>
      <c r="S1141" s="75">
        <f>0.5*(Q1140+Q1141)*R1141</f>
        <v>0.0032873691237527793</v>
      </c>
      <c r="T1141" s="75">
        <f>0.5*(F1140*Q1140+F1141*Q1141)*R1141</f>
        <v>0.016175317827587278</v>
      </c>
      <c r="U1141" s="76">
        <f>U1140+S1141</f>
        <v>5.164119017488982</v>
      </c>
      <c r="V1141" s="76">
        <f>V1140+T1141</f>
        <v>16.724030325359127</v>
      </c>
    </row>
    <row r="1142" spans="1:22" ht="19" customHeight="1">
      <c r="A1142" s="68" t="s">
        <v>372</v>
      </c>
      <c r="B1142" s="74">
        <v>2</v>
      </c>
      <c r="C1142" s="68" t="s">
        <v>363</v>
      </c>
      <c r="D1142" s="68" t="s">
        <v>364</v>
      </c>
      <c r="E1142" s="75">
        <f>60*F1142*'THAM_SO_MOI'!$C$50/(2*PI()*'THAM_SO_MOI'!$C$26)</f>
        <v>1975.4519730751583</v>
      </c>
      <c r="F1142" s="75">
        <f>'HANH_TRINH'!$F$826+('THAM_SO_MOI'!$F$50-'HANH_TRINH'!$F$826)*315/'THAM_SO_MOI'!$C$42</f>
        <v>4.925260603956607</v>
      </c>
      <c r="G1142" s="75">
        <f>3.6*F1142</f>
        <v>17.730938174243786</v>
      </c>
      <c r="H1142" s="75">
        <f>'THAM_SO_MOI'!$D$50</f>
        <v>1.8785906709588276</v>
      </c>
      <c r="I1142" s="75">
        <f>IF(F1142&gt;'THAM_SO_MOI'!$C$14,'THAM_SO_MOI'!$C$13*(1+F1142^2/1500),'THAM_SO_MOI'!$C$13)</f>
        <v>0.015</v>
      </c>
      <c r="J1142" s="75">
        <f>'THAM_SO_MOI'!$C$40*('THAM_SO_MOI'!$C$23*(E1142/'THAM_SO_MOI'!$C$22)+'THAM_SO_MOI'!$C$24*(E1142/'THAM_SO_MOI'!$C$22)^2-'THAM_SO_MOI'!$C$25*(E1142/'THAM_SO_MOI'!$C$22)^3)</f>
        <v>88.59676678731007</v>
      </c>
      <c r="K1142" s="75">
        <f>'THAM_SO_MOI'!$C$31*J1142/E1142</f>
        <v>428.3558633377562</v>
      </c>
      <c r="L1142" s="75">
        <f>K1142*'THAM_SO_MOI'!$C$50*'THAM_SO_MOI'!$C$17/'THAM_SO_MOI'!$C$26</f>
        <v>15292.888444068769</v>
      </c>
      <c r="M1142" s="75">
        <f>'THAM_SO_MOI'!$C$15*'THAM_SO_MOI'!$C$16*F1142^2</f>
        <v>70.95521164939449</v>
      </c>
      <c r="N1142" s="75">
        <f>'THAM_SO_MOI'!$C$12*I1142</f>
        <v>1130.112</v>
      </c>
      <c r="O1142" s="75">
        <f>M1142+N1142</f>
        <v>1201.0672116493945</v>
      </c>
      <c r="P1142" s="75">
        <f>(MIN(L1142,'THAM_SO_MOI'!$C$41)-O1142)/('THAM_SO_MOI'!$C$11*H1142)</f>
        <v>0.9767282381787258</v>
      </c>
      <c r="Q1142" s="75">
        <f>IF(P1142&gt;0,1/P1142,NA())</f>
        <v>1.0238262404132683</v>
      </c>
      <c r="R1142" s="75">
        <f>F1142-F1141</f>
        <v>0.0032106047296860396</v>
      </c>
      <c r="S1142" s="75">
        <f>0.5*(Q1141+Q1142)*R1142</f>
        <v>0.003287190392252406</v>
      </c>
      <c r="T1142" s="75">
        <f>0.5*(F1141*Q1141+F1142*Q1142)*R1142</f>
        <v>0.016184992259247195</v>
      </c>
      <c r="U1142" s="76">
        <f>U1141+S1142</f>
        <v>5.167406207881235</v>
      </c>
      <c r="V1142" s="76">
        <f>V1141+T1142</f>
        <v>16.740215317618375</v>
      </c>
    </row>
    <row r="1143" spans="1:22" ht="19" customHeight="1">
      <c r="A1143" s="68" t="s">
        <v>372</v>
      </c>
      <c r="B1143" s="74">
        <v>2</v>
      </c>
      <c r="C1143" s="68" t="s">
        <v>363</v>
      </c>
      <c r="D1143" s="68" t="s">
        <v>364</v>
      </c>
      <c r="E1143" s="75">
        <f>60*F1143*'THAM_SO_MOI'!$C$50/(2*PI()*'THAM_SO_MOI'!$C$26)</f>
        <v>1976.7397009657252</v>
      </c>
      <c r="F1143" s="75">
        <f>'HANH_TRINH'!$F$826+('THAM_SO_MOI'!$F$50-'HANH_TRINH'!$F$826)*316/'THAM_SO_MOI'!$C$42</f>
        <v>4.928471208686295</v>
      </c>
      <c r="G1143" s="75">
        <f>3.6*F1143</f>
        <v>17.742496351270663</v>
      </c>
      <c r="H1143" s="75">
        <f>'THAM_SO_MOI'!$D$50</f>
        <v>1.8785906709588276</v>
      </c>
      <c r="I1143" s="75">
        <f>IF(F1143&gt;'THAM_SO_MOI'!$C$14,'THAM_SO_MOI'!$C$13*(1+F1143^2/1500),'THAM_SO_MOI'!$C$13)</f>
        <v>0.015</v>
      </c>
      <c r="J1143" s="75">
        <f>'THAM_SO_MOI'!$C$40*('THAM_SO_MOI'!$C$23*(E1143/'THAM_SO_MOI'!$C$22)+'THAM_SO_MOI'!$C$24*(E1143/'THAM_SO_MOI'!$C$22)^2-'THAM_SO_MOI'!$C$25*(E1143/'THAM_SO_MOI'!$C$22)^3)</f>
        <v>88.6594472845735</v>
      </c>
      <c r="K1143" s="75">
        <f>'THAM_SO_MOI'!$C$31*J1143/E1143</f>
        <v>428.3796711275772</v>
      </c>
      <c r="L1143" s="75">
        <f>K1143*'THAM_SO_MOI'!$C$50*'THAM_SO_MOI'!$C$17/'THAM_SO_MOI'!$C$26</f>
        <v>15293.738414630616</v>
      </c>
      <c r="M1143" s="75">
        <f>'THAM_SO_MOI'!$C$15*'THAM_SO_MOI'!$C$16*F1143^2</f>
        <v>71.04774823043553</v>
      </c>
      <c r="N1143" s="75">
        <f>'THAM_SO_MOI'!$C$12*I1143</f>
        <v>1130.112</v>
      </c>
      <c r="O1143" s="75">
        <f>M1143+N1143</f>
        <v>1201.1597482304355</v>
      </c>
      <c r="P1143" s="75">
        <f>(MIN(L1143,'THAM_SO_MOI'!$C$41)-O1143)/('THAM_SO_MOI'!$C$11*H1143)</f>
        <v>0.976780737223768</v>
      </c>
      <c r="Q1143" s="75">
        <f>IF(P1143&gt;0,1/P1143,NA())</f>
        <v>1.0237712128130478</v>
      </c>
      <c r="R1143" s="75">
        <f>F1143-F1142</f>
        <v>0.003210604729687816</v>
      </c>
      <c r="S1143" s="75">
        <f>0.5*(Q1142+Q1143)*R1143</f>
        <v>0.0032870130339125686</v>
      </c>
      <c r="T1143" s="75">
        <f>0.5*(F1142*Q1142+F1143*Q1143)*R1143</f>
        <v>0.01619467230861218</v>
      </c>
      <c r="U1143" s="76">
        <f>U1142+S1143</f>
        <v>5.1706932209151475</v>
      </c>
      <c r="V1143" s="76">
        <f>V1142+T1143</f>
        <v>16.756409989926986</v>
      </c>
    </row>
    <row r="1144" spans="1:22" ht="19" customHeight="1">
      <c r="A1144" s="68" t="s">
        <v>372</v>
      </c>
      <c r="B1144" s="74">
        <v>2</v>
      </c>
      <c r="C1144" s="68" t="s">
        <v>363</v>
      </c>
      <c r="D1144" s="68" t="s">
        <v>364</v>
      </c>
      <c r="E1144" s="75">
        <f>60*F1144*'THAM_SO_MOI'!$C$50/(2*PI()*'THAM_SO_MOI'!$C$26)</f>
        <v>1978.0274288562916</v>
      </c>
      <c r="F1144" s="75">
        <f>'HANH_TRINH'!$F$826+('THAM_SO_MOI'!$F$50-'HANH_TRINH'!$F$826)*317/'THAM_SO_MOI'!$C$42</f>
        <v>4.931681813415981</v>
      </c>
      <c r="G1144" s="75">
        <f>3.6*F1144</f>
        <v>17.754054528297534</v>
      </c>
      <c r="H1144" s="75">
        <f>'THAM_SO_MOI'!$D$50</f>
        <v>1.8785906709588276</v>
      </c>
      <c r="I1144" s="75">
        <f>IF(F1144&gt;'THAM_SO_MOI'!$C$14,'THAM_SO_MOI'!$C$13*(1+F1144^2/1500),'THAM_SO_MOI'!$C$13)</f>
        <v>0.015</v>
      </c>
      <c r="J1144" s="75">
        <f>'THAM_SO_MOI'!$C$40*('THAM_SO_MOI'!$C$23*(E1144/'THAM_SO_MOI'!$C$22)+'THAM_SO_MOI'!$C$24*(E1144/'THAM_SO_MOI'!$C$22)^2-'THAM_SO_MOI'!$C$25*(E1144/'THAM_SO_MOI'!$C$22)^3)</f>
        <v>88.72210088462352</v>
      </c>
      <c r="K1144" s="75">
        <f>'THAM_SO_MOI'!$C$31*J1144/E1144</f>
        <v>428.4033180430662</v>
      </c>
      <c r="L1144" s="75">
        <f>K1144*'THAM_SO_MOI'!$C$50*'THAM_SO_MOI'!$C$17/'THAM_SO_MOI'!$C$26</f>
        <v>15294.582641759438</v>
      </c>
      <c r="M1144" s="75">
        <f>'THAM_SO_MOI'!$C$15*'THAM_SO_MOI'!$C$16*F1144^2</f>
        <v>71.14034511317547</v>
      </c>
      <c r="N1144" s="75">
        <f>'THAM_SO_MOI'!$C$12*I1144</f>
        <v>1130.112</v>
      </c>
      <c r="O1144" s="75">
        <f>M1144+N1144</f>
        <v>1201.2523451131756</v>
      </c>
      <c r="P1144" s="75">
        <f>(MIN(L1144,'THAM_SO_MOI'!$C$41)-O1144)/('THAM_SO_MOI'!$C$11*H1144)</f>
        <v>0.9768328340020276</v>
      </c>
      <c r="Q1144" s="75">
        <f>IF(P1144&gt;0,1/P1144,NA())</f>
        <v>1.0237166127013337</v>
      </c>
      <c r="R1144" s="75">
        <f>F1144-F1143</f>
        <v>0.0032106047296860396</v>
      </c>
      <c r="S1144" s="75">
        <f>0.5*(Q1143+Q1144)*R1144</f>
        <v>0.003286837048285529</v>
      </c>
      <c r="T1144" s="75">
        <f>0.5*(F1143*Q1143+F1144*Q1144)*R1144</f>
        <v>0.01620435798670089</v>
      </c>
      <c r="U1144" s="76">
        <f>U1143+S1144</f>
        <v>5.173980057963433</v>
      </c>
      <c r="V1144" s="76">
        <f>V1143+T1144</f>
        <v>16.772614347913688</v>
      </c>
    </row>
    <row r="1145" spans="1:22" ht="19" customHeight="1">
      <c r="A1145" s="68" t="s">
        <v>372</v>
      </c>
      <c r="B1145" s="74">
        <v>2</v>
      </c>
      <c r="C1145" s="68" t="s">
        <v>363</v>
      </c>
      <c r="D1145" s="68" t="s">
        <v>364</v>
      </c>
      <c r="E1145" s="75">
        <f>60*F1145*'THAM_SO_MOI'!$C$50/(2*PI()*'THAM_SO_MOI'!$C$26)</f>
        <v>1979.3151567468583</v>
      </c>
      <c r="F1145" s="75">
        <f>'HANH_TRINH'!$F$826+('THAM_SO_MOI'!$F$50-'HANH_TRINH'!$F$826)*318/'THAM_SO_MOI'!$C$42</f>
        <v>4.934892418145668</v>
      </c>
      <c r="G1145" s="75">
        <f>3.6*F1145</f>
        <v>17.765612705324404</v>
      </c>
      <c r="H1145" s="75">
        <f>'THAM_SO_MOI'!$D$50</f>
        <v>1.8785906709588276</v>
      </c>
      <c r="I1145" s="75">
        <f>IF(F1145&gt;'THAM_SO_MOI'!$C$14,'THAM_SO_MOI'!$C$13*(1+F1145^2/1500),'THAM_SO_MOI'!$C$13)</f>
        <v>0.015</v>
      </c>
      <c r="J1145" s="75">
        <f>'THAM_SO_MOI'!$C$40*('THAM_SO_MOI'!$C$23*(E1145/'THAM_SO_MOI'!$C$22)+'THAM_SO_MOI'!$C$24*(E1145/'THAM_SO_MOI'!$C$22)^2-'THAM_SO_MOI'!$C$25*(E1145/'THAM_SO_MOI'!$C$22)^3)</f>
        <v>88.78472752239037</v>
      </c>
      <c r="K1145" s="75">
        <f>'THAM_SO_MOI'!$C$31*J1145/E1145</f>
        <v>428.42680408422297</v>
      </c>
      <c r="L1145" s="75">
        <f>K1145*'THAM_SO_MOI'!$C$50*'THAM_SO_MOI'!$C$17/'THAM_SO_MOI'!$C$26</f>
        <v>15295.421125455227</v>
      </c>
      <c r="M1145" s="75">
        <f>'THAM_SO_MOI'!$C$15*'THAM_SO_MOI'!$C$16*F1145^2</f>
        <v>71.23300229761443</v>
      </c>
      <c r="N1145" s="75">
        <f>'THAM_SO_MOI'!$C$12*I1145</f>
        <v>1130.112</v>
      </c>
      <c r="O1145" s="75">
        <f>M1145+N1145</f>
        <v>1201.3450022976144</v>
      </c>
      <c r="P1145" s="75">
        <f>(MIN(L1145,'THAM_SO_MOI'!$C$41)-O1145)/('THAM_SO_MOI'!$C$11*H1145)</f>
        <v>0.9768845285135036</v>
      </c>
      <c r="Q1145" s="75">
        <f>IF(P1145&gt;0,1/P1145,NA())</f>
        <v>1.0236624399422831</v>
      </c>
      <c r="R1145" s="75">
        <f>F1145-F1144</f>
        <v>0.0032106047296869278</v>
      </c>
      <c r="S1145" s="75">
        <f>0.5*(Q1144+Q1145)*R1145</f>
        <v>0.0032866624349397688</v>
      </c>
      <c r="T1145" s="75">
        <f>0.5*(F1144*Q1144+F1145*Q1145)*R1145</f>
        <v>0.016214049304606227</v>
      </c>
      <c r="U1145" s="76">
        <f>U1144+S1145</f>
        <v>5.177266720398373</v>
      </c>
      <c r="V1145" s="76">
        <f>V1144+T1145</f>
        <v>16.788828397218293</v>
      </c>
    </row>
    <row r="1146" spans="1:22" ht="19" customHeight="1">
      <c r="A1146" s="68" t="s">
        <v>372</v>
      </c>
      <c r="B1146" s="74">
        <v>2</v>
      </c>
      <c r="C1146" s="68" t="s">
        <v>363</v>
      </c>
      <c r="D1146" s="68" t="s">
        <v>364</v>
      </c>
      <c r="E1146" s="75">
        <f>60*F1146*'THAM_SO_MOI'!$C$50/(2*PI()*'THAM_SO_MOI'!$C$26)</f>
        <v>1980.602884637425</v>
      </c>
      <c r="F1146" s="75">
        <f>'HANH_TRINH'!$F$826+('THAM_SO_MOI'!$F$50-'HANH_TRINH'!$F$826)*319/'THAM_SO_MOI'!$C$42</f>
        <v>4.938103022875355</v>
      </c>
      <c r="G1146" s="75">
        <f>3.6*F1146</f>
        <v>17.777170882351278</v>
      </c>
      <c r="H1146" s="75">
        <f>'THAM_SO_MOI'!$D$50</f>
        <v>1.8785906709588276</v>
      </c>
      <c r="I1146" s="75">
        <f>IF(F1146&gt;'THAM_SO_MOI'!$C$14,'THAM_SO_MOI'!$C$13*(1+F1146^2/1500),'THAM_SO_MOI'!$C$13)</f>
        <v>0.015</v>
      </c>
      <c r="J1146" s="75">
        <f>'THAM_SO_MOI'!$C$40*('THAM_SO_MOI'!$C$23*(E1146/'THAM_SO_MOI'!$C$22)+'THAM_SO_MOI'!$C$24*(E1146/'THAM_SO_MOI'!$C$22)^2-'THAM_SO_MOI'!$C$25*(E1146/'THAM_SO_MOI'!$C$22)^3)</f>
        <v>88.84732713280431</v>
      </c>
      <c r="K1146" s="75">
        <f>'THAM_SO_MOI'!$C$31*J1146/E1146</f>
        <v>428.4501292510473</v>
      </c>
      <c r="L1146" s="75">
        <f>K1146*'THAM_SO_MOI'!$C$50*'THAM_SO_MOI'!$C$17/'THAM_SO_MOI'!$C$26</f>
        <v>15296.253865717968</v>
      </c>
      <c r="M1146" s="75">
        <f>'THAM_SO_MOI'!$C$15*'THAM_SO_MOI'!$C$16*F1146^2</f>
        <v>71.32571978375236</v>
      </c>
      <c r="N1146" s="75">
        <f>'THAM_SO_MOI'!$C$12*I1146</f>
        <v>1130.112</v>
      </c>
      <c r="O1146" s="75">
        <f>M1146+N1146</f>
        <v>1201.4377197837525</v>
      </c>
      <c r="P1146" s="75">
        <f>(MIN(L1146,'THAM_SO_MOI'!$C$41)-O1146)/('THAM_SO_MOI'!$C$11*H1146)</f>
        <v>0.9769358207581953</v>
      </c>
      <c r="Q1146" s="75">
        <f>IF(P1146&gt;0,1/P1146,NA())</f>
        <v>1.0236086944011376</v>
      </c>
      <c r="R1146" s="75">
        <f>F1146-F1145</f>
        <v>0.0032106047296869278</v>
      </c>
      <c r="S1146" s="75">
        <f>0.5*(Q1145+Q1146)*R1146</f>
        <v>0.003286489193437254</v>
      </c>
      <c r="T1146" s="75">
        <f>0.5*(F1145*Q1145+F1146*Q1146)*R1146</f>
        <v>0.016223746273383407</v>
      </c>
      <c r="U1146" s="76">
        <f>U1145+S1146</f>
        <v>5.18055320959181</v>
      </c>
      <c r="V1146" s="76">
        <f>V1145+T1146</f>
        <v>16.805052143491675</v>
      </c>
    </row>
    <row r="1147" spans="1:22" ht="19" customHeight="1">
      <c r="A1147" s="68" t="s">
        <v>372</v>
      </c>
      <c r="B1147" s="74">
        <v>2</v>
      </c>
      <c r="C1147" s="68" t="s">
        <v>363</v>
      </c>
      <c r="D1147" s="68" t="s">
        <v>364</v>
      </c>
      <c r="E1147" s="75">
        <f>60*F1147*'THAM_SO_MOI'!$C$50/(2*PI()*'THAM_SO_MOI'!$C$26)</f>
        <v>1981.8906125279916</v>
      </c>
      <c r="F1147" s="75">
        <f>'HANH_TRINH'!$F$826+('THAM_SO_MOI'!$F$50-'HANH_TRINH'!$F$826)*320/'THAM_SO_MOI'!$C$42</f>
        <v>4.941313627605042</v>
      </c>
      <c r="G1147" s="75">
        <f>3.6*F1147</f>
        <v>17.788729059378152</v>
      </c>
      <c r="H1147" s="75">
        <f>'THAM_SO_MOI'!$D$50</f>
        <v>1.8785906709588276</v>
      </c>
      <c r="I1147" s="75">
        <f>IF(F1147&gt;'THAM_SO_MOI'!$C$14,'THAM_SO_MOI'!$C$13*(1+F1147^2/1500),'THAM_SO_MOI'!$C$13)</f>
        <v>0.015</v>
      </c>
      <c r="J1147" s="75">
        <f>'THAM_SO_MOI'!$C$40*('THAM_SO_MOI'!$C$23*(E1147/'THAM_SO_MOI'!$C$22)+'THAM_SO_MOI'!$C$24*(E1147/'THAM_SO_MOI'!$C$22)^2-'THAM_SO_MOI'!$C$25*(E1147/'THAM_SO_MOI'!$C$22)^3)</f>
        <v>88.90989965079568</v>
      </c>
      <c r="K1147" s="75">
        <f>'THAM_SO_MOI'!$C$31*J1147/E1147</f>
        <v>428.47329354353934</v>
      </c>
      <c r="L1147" s="75">
        <f>K1147*'THAM_SO_MOI'!$C$50*'THAM_SO_MOI'!$C$17/'THAM_SO_MOI'!$C$26</f>
        <v>15297.080862547675</v>
      </c>
      <c r="M1147" s="75">
        <f>'THAM_SO_MOI'!$C$15*'THAM_SO_MOI'!$C$16*F1147^2</f>
        <v>71.41849757158926</v>
      </c>
      <c r="N1147" s="75">
        <f>'THAM_SO_MOI'!$C$12*I1147</f>
        <v>1130.112</v>
      </c>
      <c r="O1147" s="75">
        <f>M1147+N1147</f>
        <v>1201.5304975715894</v>
      </c>
      <c r="P1147" s="75">
        <f>(MIN(L1147,'THAM_SO_MOI'!$C$41)-O1147)/('THAM_SO_MOI'!$C$11*H1147)</f>
        <v>0.9769867107361035</v>
      </c>
      <c r="Q1147" s="75">
        <f>IF(P1147&gt;0,1/P1147,NA())</f>
        <v>1.0235553759442206</v>
      </c>
      <c r="R1147" s="75">
        <f>F1147-F1146</f>
        <v>0.0032106047296869278</v>
      </c>
      <c r="S1147" s="75">
        <f>0.5*(Q1146+Q1147)*R1147</f>
        <v>0.003286317323347975</v>
      </c>
      <c r="T1147" s="75">
        <f>0.5*(F1146*Q1146+F1147*Q1147)*R1147</f>
        <v>0.016233448904121643</v>
      </c>
      <c r="U1147" s="76">
        <f>U1146+S1147</f>
        <v>5.1838395269151585</v>
      </c>
      <c r="V1147" s="76">
        <f>V1146+T1147</f>
        <v>16.821285592395796</v>
      </c>
    </row>
    <row r="1148" spans="1:22" ht="19" customHeight="1">
      <c r="A1148" s="68" t="s">
        <v>372</v>
      </c>
      <c r="B1148" s="74">
        <v>2</v>
      </c>
      <c r="C1148" s="68" t="s">
        <v>363</v>
      </c>
      <c r="D1148" s="68" t="s">
        <v>364</v>
      </c>
      <c r="E1148" s="75">
        <f>60*F1148*'THAM_SO_MOI'!$C$50/(2*PI()*'THAM_SO_MOI'!$C$26)</f>
        <v>1983.1783404185585</v>
      </c>
      <c r="F1148" s="75">
        <f>'HANH_TRINH'!$F$826+('THAM_SO_MOI'!$F$50-'HANH_TRINH'!$F$826)*321/'THAM_SO_MOI'!$C$42</f>
        <v>4.944524232334729</v>
      </c>
      <c r="G1148" s="75">
        <f>3.6*F1148</f>
        <v>17.800287236405023</v>
      </c>
      <c r="H1148" s="75">
        <f>'THAM_SO_MOI'!$D$50</f>
        <v>1.8785906709588276</v>
      </c>
      <c r="I1148" s="75">
        <f>IF(F1148&gt;'THAM_SO_MOI'!$C$14,'THAM_SO_MOI'!$C$13*(1+F1148^2/1500),'THAM_SO_MOI'!$C$13)</f>
        <v>0.015</v>
      </c>
      <c r="J1148" s="75">
        <f>'THAM_SO_MOI'!$C$40*('THAM_SO_MOI'!$C$23*(E1148/'THAM_SO_MOI'!$C$22)+'THAM_SO_MOI'!$C$24*(E1148/'THAM_SO_MOI'!$C$22)^2-'THAM_SO_MOI'!$C$25*(E1148/'THAM_SO_MOI'!$C$22)^3)</f>
        <v>88.97244501129485</v>
      </c>
      <c r="K1148" s="75">
        <f>'THAM_SO_MOI'!$C$31*J1148/E1148</f>
        <v>428.4962969616993</v>
      </c>
      <c r="L1148" s="75">
        <f>K1148*'THAM_SO_MOI'!$C$50*'THAM_SO_MOI'!$C$17/'THAM_SO_MOI'!$C$26</f>
        <v>15297.902115944351</v>
      </c>
      <c r="M1148" s="75">
        <f>'THAM_SO_MOI'!$C$15*'THAM_SO_MOI'!$C$16*F1148^2</f>
        <v>71.51133566112512</v>
      </c>
      <c r="N1148" s="75">
        <f>'THAM_SO_MOI'!$C$12*I1148</f>
        <v>1130.112</v>
      </c>
      <c r="O1148" s="75">
        <f>M1148+N1148</f>
        <v>1201.623335661125</v>
      </c>
      <c r="P1148" s="75">
        <f>(MIN(L1148,'THAM_SO_MOI'!$C$41)-O1148)/('THAM_SO_MOI'!$C$11*H1148)</f>
        <v>0.9770371984472283</v>
      </c>
      <c r="Q1148" s="75">
        <f>IF(P1148&gt;0,1/P1148,NA())</f>
        <v>1.0235024844389402</v>
      </c>
      <c r="R1148" s="75">
        <f>F1148-F1147</f>
        <v>0.0032106047296869278</v>
      </c>
      <c r="S1148" s="75">
        <f>0.5*(Q1147+Q1148)*R1148</f>
        <v>0.0032861468242444893</v>
      </c>
      <c r="T1148" s="75">
        <f>0.5*(F1147*Q1147+F1148*Q1148)*R1148</f>
        <v>0.016243157207917327</v>
      </c>
      <c r="U1148" s="76">
        <f>U1147+S1148</f>
        <v>5.187125673739403</v>
      </c>
      <c r="V1148" s="76">
        <f>V1147+T1148</f>
        <v>16.837528749603713</v>
      </c>
    </row>
    <row r="1149" spans="1:22" ht="19" customHeight="1">
      <c r="A1149" s="68" t="s">
        <v>372</v>
      </c>
      <c r="B1149" s="74">
        <v>2</v>
      </c>
      <c r="C1149" s="68" t="s">
        <v>363</v>
      </c>
      <c r="D1149" s="68" t="s">
        <v>364</v>
      </c>
      <c r="E1149" s="75">
        <f>60*F1149*'THAM_SO_MOI'!$C$50/(2*PI()*'THAM_SO_MOI'!$C$26)</f>
        <v>1984.4660683091247</v>
      </c>
      <c r="F1149" s="75">
        <f>'HANH_TRINH'!$F$826+('THAM_SO_MOI'!$F$50-'HANH_TRINH'!$F$826)*322/'THAM_SO_MOI'!$C$42</f>
        <v>4.947734837064415</v>
      </c>
      <c r="G1149" s="75">
        <f>3.6*F1149</f>
        <v>17.811845413431893</v>
      </c>
      <c r="H1149" s="75">
        <f>'THAM_SO_MOI'!$D$50</f>
        <v>1.8785906709588276</v>
      </c>
      <c r="I1149" s="75">
        <f>IF(F1149&gt;'THAM_SO_MOI'!$C$14,'THAM_SO_MOI'!$C$13*(1+F1149^2/1500),'THAM_SO_MOI'!$C$13)</f>
        <v>0.015</v>
      </c>
      <c r="J1149" s="75">
        <f>'THAM_SO_MOI'!$C$40*('THAM_SO_MOI'!$C$23*(E1149/'THAM_SO_MOI'!$C$22)+'THAM_SO_MOI'!$C$24*(E1149/'THAM_SO_MOI'!$C$22)^2-'THAM_SO_MOI'!$C$25*(E1149/'THAM_SO_MOI'!$C$22)^3)</f>
        <v>89.03496314923198</v>
      </c>
      <c r="K1149" s="75">
        <f>'THAM_SO_MOI'!$C$31*J1149/E1149</f>
        <v>428.51913950552677</v>
      </c>
      <c r="L1149" s="75">
        <f>K1149*'THAM_SO_MOI'!$C$50*'THAM_SO_MOI'!$C$17/'THAM_SO_MOI'!$C$26</f>
        <v>15298.717625907982</v>
      </c>
      <c r="M1149" s="75">
        <f>'THAM_SO_MOI'!$C$15*'THAM_SO_MOI'!$C$16*F1149^2</f>
        <v>71.60423405235994</v>
      </c>
      <c r="N1149" s="75">
        <f>'THAM_SO_MOI'!$C$12*I1149</f>
        <v>1130.112</v>
      </c>
      <c r="O1149" s="75">
        <f>M1149+N1149</f>
        <v>1201.71623405236</v>
      </c>
      <c r="P1149" s="75">
        <f>(MIN(L1149,'THAM_SO_MOI'!$C$41)-O1149)/('THAM_SO_MOI'!$C$11*H1149)</f>
        <v>0.9770872838915688</v>
      </c>
      <c r="Q1149" s="75">
        <f>IF(P1149&gt;0,1/P1149,NA())</f>
        <v>1.0234500197537868</v>
      </c>
      <c r="R1149" s="75">
        <f>F1149-F1148</f>
        <v>0.0032106047296860396</v>
      </c>
      <c r="S1149" s="75">
        <f>0.5*(Q1148+Q1149)*R1149</f>
        <v>0.0032859776957019256</v>
      </c>
      <c r="T1149" s="75">
        <f>0.5*(F1148*Q1148+F1149*Q1149)*R1149</f>
        <v>0.016252871195874073</v>
      </c>
      <c r="U1149" s="76">
        <f>U1148+S1149</f>
        <v>5.190411651435105</v>
      </c>
      <c r="V1149" s="76">
        <f>V1148+T1149</f>
        <v>16.853781620799587</v>
      </c>
    </row>
    <row r="1150" spans="1:22" ht="19" customHeight="1">
      <c r="A1150" s="68" t="s">
        <v>372</v>
      </c>
      <c r="B1150" s="74">
        <v>2</v>
      </c>
      <c r="C1150" s="68" t="s">
        <v>363</v>
      </c>
      <c r="D1150" s="68" t="s">
        <v>364</v>
      </c>
      <c r="E1150" s="75">
        <f>60*F1150*'THAM_SO_MOI'!$C$50/(2*PI()*'THAM_SO_MOI'!$C$26)</f>
        <v>1985.7537961996918</v>
      </c>
      <c r="F1150" s="75">
        <f>'HANH_TRINH'!$F$826+('THAM_SO_MOI'!$F$50-'HANH_TRINH'!$F$826)*323/'THAM_SO_MOI'!$C$42</f>
        <v>4.950945441794103</v>
      </c>
      <c r="G1150" s="75">
        <f>3.6*F1150</f>
        <v>17.82340359045877</v>
      </c>
      <c r="H1150" s="75">
        <f>'THAM_SO_MOI'!$D$50</f>
        <v>1.8785906709588276</v>
      </c>
      <c r="I1150" s="75">
        <f>IF(F1150&gt;'THAM_SO_MOI'!$C$14,'THAM_SO_MOI'!$C$13*(1+F1150^2/1500),'THAM_SO_MOI'!$C$13)</f>
        <v>0.015</v>
      </c>
      <c r="J1150" s="75">
        <f>'THAM_SO_MOI'!$C$40*('THAM_SO_MOI'!$C$23*(E1150/'THAM_SO_MOI'!$C$22)+'THAM_SO_MOI'!$C$24*(E1150/'THAM_SO_MOI'!$C$22)^2-'THAM_SO_MOI'!$C$25*(E1150/'THAM_SO_MOI'!$C$22)^3)</f>
        <v>89.09745399953754</v>
      </c>
      <c r="K1150" s="75">
        <f>'THAM_SO_MOI'!$C$31*J1150/E1150</f>
        <v>428.5418211750222</v>
      </c>
      <c r="L1150" s="75">
        <f>K1150*'THAM_SO_MOI'!$C$50*'THAM_SO_MOI'!$C$17/'THAM_SO_MOI'!$C$26</f>
        <v>15299.527392438587</v>
      </c>
      <c r="M1150" s="75">
        <f>'THAM_SO_MOI'!$C$15*'THAM_SO_MOI'!$C$16*F1150^2</f>
        <v>71.69719274529378</v>
      </c>
      <c r="N1150" s="75">
        <f>'THAM_SO_MOI'!$C$12*I1150</f>
        <v>1130.112</v>
      </c>
      <c r="O1150" s="75">
        <f>M1150+N1150</f>
        <v>1201.8091927452938</v>
      </c>
      <c r="P1150" s="75">
        <f>(MIN(L1150,'THAM_SO_MOI'!$C$41)-O1150)/('THAM_SO_MOI'!$C$11*H1150)</f>
        <v>0.9771369670691266</v>
      </c>
      <c r="Q1150" s="75">
        <f>IF(P1150&gt;0,1/P1150,NA())</f>
        <v>1.02339798175833</v>
      </c>
      <c r="R1150" s="75">
        <f>F1150-F1149</f>
        <v>0.003210604729687816</v>
      </c>
      <c r="S1150" s="75">
        <f>0.5*(Q1149+Q1150)*R1150</f>
        <v>0.0032858099373034282</v>
      </c>
      <c r="T1150" s="75">
        <f>0.5*(F1149*Q1149+F1150*Q1150)*R1150</f>
        <v>0.0162625908791297</v>
      </c>
      <c r="U1150" s="76">
        <f>U1149+S1150</f>
        <v>5.193697461372408</v>
      </c>
      <c r="V1150" s="76">
        <f>V1149+T1150</f>
        <v>16.870044211678717</v>
      </c>
    </row>
    <row r="1151" spans="1:22" ht="19" customHeight="1">
      <c r="A1151" s="68" t="s">
        <v>372</v>
      </c>
      <c r="B1151" s="74">
        <v>2</v>
      </c>
      <c r="C1151" s="68" t="s">
        <v>363</v>
      </c>
      <c r="D1151" s="68" t="s">
        <v>364</v>
      </c>
      <c r="E1151" s="75">
        <f>60*F1151*'THAM_SO_MOI'!$C$50/(2*PI()*'THAM_SO_MOI'!$C$26)</f>
        <v>1987.041524090258</v>
      </c>
      <c r="F1151" s="75">
        <f>'HANH_TRINH'!$F$826+('THAM_SO_MOI'!$F$50-'HANH_TRINH'!$F$826)*324/'THAM_SO_MOI'!$C$42</f>
        <v>4.954156046523789</v>
      </c>
      <c r="G1151" s="75">
        <f>3.6*F1151</f>
        <v>17.83496176748564</v>
      </c>
      <c r="H1151" s="75">
        <f>'THAM_SO_MOI'!$D$50</f>
        <v>1.8785906709588276</v>
      </c>
      <c r="I1151" s="75">
        <f>IF(F1151&gt;'THAM_SO_MOI'!$C$14,'THAM_SO_MOI'!$C$13*(1+F1151^2/1500),'THAM_SO_MOI'!$C$13)</f>
        <v>0.015</v>
      </c>
      <c r="J1151" s="75">
        <f>'THAM_SO_MOI'!$C$40*('THAM_SO_MOI'!$C$23*(E1151/'THAM_SO_MOI'!$C$22)+'THAM_SO_MOI'!$C$24*(E1151/'THAM_SO_MOI'!$C$22)^2-'THAM_SO_MOI'!$C$25*(E1151/'THAM_SO_MOI'!$C$22)^3)</f>
        <v>89.15991749714166</v>
      </c>
      <c r="K1151" s="75">
        <f>'THAM_SO_MOI'!$C$31*J1151/E1151</f>
        <v>428.56434197018524</v>
      </c>
      <c r="L1151" s="75">
        <f>K1151*'THAM_SO_MOI'!$C$50*'THAM_SO_MOI'!$C$17/'THAM_SO_MOI'!$C$26</f>
        <v>15300.331415536153</v>
      </c>
      <c r="M1151" s="75">
        <f>'THAM_SO_MOI'!$C$15*'THAM_SO_MOI'!$C$16*F1151^2</f>
        <v>71.79021173992653</v>
      </c>
      <c r="N1151" s="75">
        <f>'THAM_SO_MOI'!$C$12*I1151</f>
        <v>1130.112</v>
      </c>
      <c r="O1151" s="75">
        <f>M1151+N1151</f>
        <v>1201.9022117399265</v>
      </c>
      <c r="P1151" s="75">
        <f>(MIN(L1151,'THAM_SO_MOI'!$C$41)-O1151)/('THAM_SO_MOI'!$C$11*H1151)</f>
        <v>0.9771862479799004</v>
      </c>
      <c r="Q1151" s="75">
        <f>IF(P1151&gt;0,1/P1151,NA())</f>
        <v>1.023346370323223</v>
      </c>
      <c r="R1151" s="75">
        <f>F1151-F1150</f>
        <v>0.0032106047296860396</v>
      </c>
      <c r="S1151" s="75">
        <f>0.5*(Q1150+Q1151)*R1151</f>
        <v>0.0032856435486256115</v>
      </c>
      <c r="T1151" s="75">
        <f>0.5*(F1150*Q1150+F1151*Q1151)*R1151</f>
        <v>0.016272316268784368</v>
      </c>
      <c r="U1151" s="76">
        <f>U1150+S1151</f>
        <v>5.196983104921034</v>
      </c>
      <c r="V1151" s="76">
        <f>V1150+T1151</f>
        <v>16.886316527947503</v>
      </c>
    </row>
    <row r="1152" spans="1:22" ht="19" customHeight="1">
      <c r="A1152" s="68" t="s">
        <v>372</v>
      </c>
      <c r="B1152" s="74">
        <v>2</v>
      </c>
      <c r="C1152" s="68" t="s">
        <v>363</v>
      </c>
      <c r="D1152" s="68" t="s">
        <v>364</v>
      </c>
      <c r="E1152" s="75">
        <f>60*F1152*'THAM_SO_MOI'!$C$50/(2*PI()*'THAM_SO_MOI'!$C$26)</f>
        <v>1988.3292519808247</v>
      </c>
      <c r="F1152" s="75">
        <f>'HANH_TRINH'!$F$826+('THAM_SO_MOI'!$F$50-'HANH_TRINH'!$F$826)*325/'THAM_SO_MOI'!$C$42</f>
        <v>4.9573666512534755</v>
      </c>
      <c r="G1152" s="75">
        <f>3.6*F1152</f>
        <v>17.84651994451251</v>
      </c>
      <c r="H1152" s="75">
        <f>'THAM_SO_MOI'!$D$50</f>
        <v>1.8785906709588276</v>
      </c>
      <c r="I1152" s="75">
        <f>IF(F1152&gt;'THAM_SO_MOI'!$C$14,'THAM_SO_MOI'!$C$13*(1+F1152^2/1500),'THAM_SO_MOI'!$C$13)</f>
        <v>0.015</v>
      </c>
      <c r="J1152" s="75">
        <f>'THAM_SO_MOI'!$C$40*('THAM_SO_MOI'!$C$23*(E1152/'THAM_SO_MOI'!$C$22)+'THAM_SO_MOI'!$C$24*(E1152/'THAM_SO_MOI'!$C$22)^2-'THAM_SO_MOI'!$C$25*(E1152/'THAM_SO_MOI'!$C$22)^3)</f>
        <v>89.22235357697478</v>
      </c>
      <c r="K1152" s="75">
        <f>'THAM_SO_MOI'!$C$31*J1152/E1152</f>
        <v>428.5867018910162</v>
      </c>
      <c r="L1152" s="75">
        <f>K1152*'THAM_SO_MOI'!$C$50*'THAM_SO_MOI'!$C$17/'THAM_SO_MOI'!$C$26</f>
        <v>15301.129695200687</v>
      </c>
      <c r="M1152" s="75">
        <f>'THAM_SO_MOI'!$C$15*'THAM_SO_MOI'!$C$16*F1152^2</f>
        <v>71.8832910362583</v>
      </c>
      <c r="N1152" s="75">
        <f>'THAM_SO_MOI'!$C$12*I1152</f>
        <v>1130.112</v>
      </c>
      <c r="O1152" s="75">
        <f>M1152+N1152</f>
        <v>1201.9952910362583</v>
      </c>
      <c r="P1152" s="75">
        <f>(MIN(L1152,'THAM_SO_MOI'!$C$41)-O1152)/('THAM_SO_MOI'!$C$11*H1152)</f>
        <v>0.977235126623891</v>
      </c>
      <c r="Q1152" s="75">
        <f>IF(P1152&gt;0,1/P1152,NA())</f>
        <v>1.0232951853201964</v>
      </c>
      <c r="R1152" s="75">
        <f>F1152-F1151</f>
        <v>0.0032106047296869278</v>
      </c>
      <c r="S1152" s="75">
        <f>0.5*(Q1151+Q1152)*R1152</f>
        <v>0.003285478529261287</v>
      </c>
      <c r="T1152" s="75">
        <f>0.5*(F1151*Q1151+F1152*Q1152)*R1152</f>
        <v>0.016282047376013024</v>
      </c>
      <c r="U1152" s="76">
        <f>U1151+S1152</f>
        <v>5.2002685834502955</v>
      </c>
      <c r="V1152" s="76">
        <f>V1151+T1152</f>
        <v>16.902598575323516</v>
      </c>
    </row>
    <row r="1153" spans="1:22" ht="19" customHeight="1">
      <c r="A1153" s="68" t="s">
        <v>372</v>
      </c>
      <c r="B1153" s="74">
        <v>2</v>
      </c>
      <c r="C1153" s="68" t="s">
        <v>363</v>
      </c>
      <c r="D1153" s="68" t="s">
        <v>364</v>
      </c>
      <c r="E1153" s="75">
        <f>60*F1153*'THAM_SO_MOI'!$C$50/(2*PI()*'THAM_SO_MOI'!$C$26)</f>
        <v>1989.6169798713915</v>
      </c>
      <c r="F1153" s="75">
        <f>'HANH_TRINH'!$F$826+('THAM_SO_MOI'!$F$50-'HANH_TRINH'!$F$826)*326/'THAM_SO_MOI'!$C$42</f>
        <v>4.9605772559831625</v>
      </c>
      <c r="G1153" s="75">
        <f>3.6*F1153</f>
        <v>17.858078121539386</v>
      </c>
      <c r="H1153" s="75">
        <f>'THAM_SO_MOI'!$D$50</f>
        <v>1.8785906709588276</v>
      </c>
      <c r="I1153" s="75">
        <f>IF(F1153&gt;'THAM_SO_MOI'!$C$14,'THAM_SO_MOI'!$C$13*(1+F1153^2/1500),'THAM_SO_MOI'!$C$13)</f>
        <v>0.015</v>
      </c>
      <c r="J1153" s="75">
        <f>'THAM_SO_MOI'!$C$40*('THAM_SO_MOI'!$C$23*(E1153/'THAM_SO_MOI'!$C$22)+'THAM_SO_MOI'!$C$24*(E1153/'THAM_SO_MOI'!$C$22)^2-'THAM_SO_MOI'!$C$25*(E1153/'THAM_SO_MOI'!$C$22)^3)</f>
        <v>89.28476217396714</v>
      </c>
      <c r="K1153" s="75">
        <f>'THAM_SO_MOI'!$C$31*J1153/E1153</f>
        <v>428.6089009375148</v>
      </c>
      <c r="L1153" s="75">
        <f>K1153*'THAM_SO_MOI'!$C$50*'THAM_SO_MOI'!$C$17/'THAM_SO_MOI'!$C$26</f>
        <v>15301.922231432178</v>
      </c>
      <c r="M1153" s="75">
        <f>'THAM_SO_MOI'!$C$15*'THAM_SO_MOI'!$C$16*F1153^2</f>
        <v>71.97643063428902</v>
      </c>
      <c r="N1153" s="75">
        <f>'THAM_SO_MOI'!$C$12*I1153</f>
        <v>1130.112</v>
      </c>
      <c r="O1153" s="75">
        <f>M1153+N1153</f>
        <v>1202.0884306342891</v>
      </c>
      <c r="P1153" s="75">
        <f>(MIN(L1153,'THAM_SO_MOI'!$C$41)-O1153)/('THAM_SO_MOI'!$C$11*H1153)</f>
        <v>0.9772836030010973</v>
      </c>
      <c r="Q1153" s="75">
        <f>IF(P1153&gt;0,1/P1153,NA())</f>
        <v>1.0232444266220613</v>
      </c>
      <c r="R1153" s="75">
        <f>F1153-F1152</f>
        <v>0.0032106047296869278</v>
      </c>
      <c r="S1153" s="75">
        <f>0.5*(Q1152+Q1153)*R1153</f>
        <v>0.0032853148787967312</v>
      </c>
      <c r="T1153" s="75">
        <f>0.5*(F1152*Q1152+F1153*Q1153)*R1153</f>
        <v>0.016291784211953014</v>
      </c>
      <c r="U1153" s="76">
        <f>U1152+S1153</f>
        <v>5.203553898329092</v>
      </c>
      <c r="V1153" s="76">
        <f>V1152+T1153</f>
        <v>16.91889035953547</v>
      </c>
    </row>
    <row r="1154" spans="1:22" ht="19" customHeight="1">
      <c r="A1154" s="68" t="s">
        <v>372</v>
      </c>
      <c r="B1154" s="74">
        <v>2</v>
      </c>
      <c r="C1154" s="68" t="s">
        <v>363</v>
      </c>
      <c r="D1154" s="68" t="s">
        <v>364</v>
      </c>
      <c r="E1154" s="75">
        <f>60*F1154*'THAM_SO_MOI'!$C$50/(2*PI()*'THAM_SO_MOI'!$C$26)</f>
        <v>1990.9047077619582</v>
      </c>
      <c r="F1154" s="75">
        <f>'HANH_TRINH'!$F$826+('THAM_SO_MOI'!$F$50-'HANH_TRINH'!$F$826)*327/'THAM_SO_MOI'!$C$42</f>
        <v>4.963787860712849</v>
      </c>
      <c r="G1154" s="75">
        <f>3.6*F1154</f>
        <v>17.86963629856626</v>
      </c>
      <c r="H1154" s="75">
        <f>'THAM_SO_MOI'!$D$50</f>
        <v>1.8785906709588276</v>
      </c>
      <c r="I1154" s="75">
        <f>IF(F1154&gt;'THAM_SO_MOI'!$C$14,'THAM_SO_MOI'!$C$13*(1+F1154^2/1500),'THAM_SO_MOI'!$C$13)</f>
        <v>0.015</v>
      </c>
      <c r="J1154" s="75">
        <f>'THAM_SO_MOI'!$C$40*('THAM_SO_MOI'!$C$23*(E1154/'THAM_SO_MOI'!$C$22)+'THAM_SO_MOI'!$C$24*(E1154/'THAM_SO_MOI'!$C$22)^2-'THAM_SO_MOI'!$C$25*(E1154/'THAM_SO_MOI'!$C$22)^3)</f>
        <v>89.34714322304906</v>
      </c>
      <c r="K1154" s="75">
        <f>'THAM_SO_MOI'!$C$31*J1154/E1154</f>
        <v>428.63093910968126</v>
      </c>
      <c r="L1154" s="75">
        <f>K1154*'THAM_SO_MOI'!$C$50*'THAM_SO_MOI'!$C$17/'THAM_SO_MOI'!$C$26</f>
        <v>15302.709024230639</v>
      </c>
      <c r="M1154" s="75">
        <f>'THAM_SO_MOI'!$C$15*'THAM_SO_MOI'!$C$16*F1154^2</f>
        <v>72.06963053401873</v>
      </c>
      <c r="N1154" s="75">
        <f>'THAM_SO_MOI'!$C$12*I1154</f>
        <v>1130.112</v>
      </c>
      <c r="O1154" s="75">
        <f>M1154+N1154</f>
        <v>1202.1816305340187</v>
      </c>
      <c r="P1154" s="75">
        <f>(MIN(L1154,'THAM_SO_MOI'!$C$41)-O1154)/('THAM_SO_MOI'!$C$11*H1154)</f>
        <v>0.9773316771115204</v>
      </c>
      <c r="Q1154" s="75">
        <f>IF(P1154&gt;0,1/P1154,NA())</f>
        <v>1.0231940941027056</v>
      </c>
      <c r="R1154" s="75">
        <f>F1154-F1153</f>
        <v>0.0032106047296869278</v>
      </c>
      <c r="S1154" s="75">
        <f>0.5*(Q1153+Q1154)*R1154</f>
        <v>0.0032851525968262277</v>
      </c>
      <c r="T1154" s="75">
        <f>0.5*(F1153*Q1153+F1154*Q1154)*R1154</f>
        <v>0.016301526787776084</v>
      </c>
      <c r="U1154" s="76">
        <f>U1153+S1154</f>
        <v>5.206839050925918</v>
      </c>
      <c r="V1154" s="76">
        <f>V1153+T1154</f>
        <v>16.935191886323246</v>
      </c>
    </row>
    <row r="1155" spans="1:22" ht="19" customHeight="1">
      <c r="A1155" s="68" t="s">
        <v>372</v>
      </c>
      <c r="B1155" s="74">
        <v>2</v>
      </c>
      <c r="C1155" s="68" t="s">
        <v>363</v>
      </c>
      <c r="D1155" s="68" t="s">
        <v>364</v>
      </c>
      <c r="E1155" s="75">
        <f>60*F1155*'THAM_SO_MOI'!$C$50/(2*PI()*'THAM_SO_MOI'!$C$26)</f>
        <v>1992.1924356525249</v>
      </c>
      <c r="F1155" s="75">
        <f>'HANH_TRINH'!$F$826+('THAM_SO_MOI'!$F$50-'HANH_TRINH'!$F$826)*328/'THAM_SO_MOI'!$C$42</f>
        <v>4.966998465442536</v>
      </c>
      <c r="G1155" s="75">
        <f>3.6*F1155</f>
        <v>17.88119447559313</v>
      </c>
      <c r="H1155" s="75">
        <f>'THAM_SO_MOI'!$D$50</f>
        <v>1.8785906709588276</v>
      </c>
      <c r="I1155" s="75">
        <f>IF(F1155&gt;'THAM_SO_MOI'!$C$14,'THAM_SO_MOI'!$C$13*(1+F1155^2/1500),'THAM_SO_MOI'!$C$13)</f>
        <v>0.015</v>
      </c>
      <c r="J1155" s="75">
        <f>'THAM_SO_MOI'!$C$40*('THAM_SO_MOI'!$C$23*(E1155/'THAM_SO_MOI'!$C$22)+'THAM_SO_MOI'!$C$24*(E1155/'THAM_SO_MOI'!$C$22)^2-'THAM_SO_MOI'!$C$25*(E1155/'THAM_SO_MOI'!$C$22)^3)</f>
        <v>89.40949665915078</v>
      </c>
      <c r="K1155" s="75">
        <f>'THAM_SO_MOI'!$C$31*J1155/E1155</f>
        <v>428.6528164075153</v>
      </c>
      <c r="L1155" s="75">
        <f>K1155*'THAM_SO_MOI'!$C$50*'THAM_SO_MOI'!$C$17/'THAM_SO_MOI'!$C$26</f>
        <v>15303.490073596058</v>
      </c>
      <c r="M1155" s="75">
        <f>'THAM_SO_MOI'!$C$15*'THAM_SO_MOI'!$C$16*F1155^2</f>
        <v>72.16289073544739</v>
      </c>
      <c r="N1155" s="75">
        <f>'THAM_SO_MOI'!$C$12*I1155</f>
        <v>1130.112</v>
      </c>
      <c r="O1155" s="75">
        <f>M1155+N1155</f>
        <v>1202.2748907354476</v>
      </c>
      <c r="P1155" s="75">
        <f>(MIN(L1155,'THAM_SO_MOI'!$C$41)-O1155)/('THAM_SO_MOI'!$C$11*H1155)</f>
        <v>0.9773793489551597</v>
      </c>
      <c r="Q1155" s="75">
        <f>IF(P1155&gt;0,1/P1155,NA())</f>
        <v>1.0231441876370955</v>
      </c>
      <c r="R1155" s="75">
        <f>F1155-F1154</f>
        <v>0.0032106047296869278</v>
      </c>
      <c r="S1155" s="75">
        <f>0.5*(Q1154+Q1155)*R1155</f>
        <v>0.0032849916829466126</v>
      </c>
      <c r="T1155" s="75">
        <f>0.5*(F1154*Q1154+F1155*Q1155)*R1155</f>
        <v>0.01631127511466145</v>
      </c>
      <c r="U1155" s="76">
        <f>U1154+S1155</f>
        <v>5.210124042608864</v>
      </c>
      <c r="V1155" s="76">
        <f>V1154+T1155</f>
        <v>16.951503161437905</v>
      </c>
    </row>
    <row r="1156" spans="1:22" ht="19" customHeight="1">
      <c r="A1156" s="68" t="s">
        <v>372</v>
      </c>
      <c r="B1156" s="74">
        <v>2</v>
      </c>
      <c r="C1156" s="68" t="s">
        <v>363</v>
      </c>
      <c r="D1156" s="68" t="s">
        <v>364</v>
      </c>
      <c r="E1156" s="75">
        <f>60*F1156*'THAM_SO_MOI'!$C$50/(2*PI()*'THAM_SO_MOI'!$C$26)</f>
        <v>1993.4801635430915</v>
      </c>
      <c r="F1156" s="75">
        <f>'HANH_TRINH'!$F$826+('THAM_SO_MOI'!$F$50-'HANH_TRINH'!$F$826)*329/'THAM_SO_MOI'!$C$42</f>
        <v>4.970209070172222</v>
      </c>
      <c r="G1156" s="75">
        <f>3.6*F1156</f>
        <v>17.89275265262</v>
      </c>
      <c r="H1156" s="75">
        <f>'THAM_SO_MOI'!$D$50</f>
        <v>1.8785906709588276</v>
      </c>
      <c r="I1156" s="75">
        <f>IF(F1156&gt;'THAM_SO_MOI'!$C$14,'THAM_SO_MOI'!$C$13*(1+F1156^2/1500),'THAM_SO_MOI'!$C$13)</f>
        <v>0.015</v>
      </c>
      <c r="J1156" s="75">
        <f>'THAM_SO_MOI'!$C$40*('THAM_SO_MOI'!$C$23*(E1156/'THAM_SO_MOI'!$C$22)+'THAM_SO_MOI'!$C$24*(E1156/'THAM_SO_MOI'!$C$22)^2-'THAM_SO_MOI'!$C$25*(E1156/'THAM_SO_MOI'!$C$22)^3)</f>
        <v>89.47182241720269</v>
      </c>
      <c r="K1156" s="75">
        <f>'THAM_SO_MOI'!$C$31*J1156/E1156</f>
        <v>428.6745328310172</v>
      </c>
      <c r="L1156" s="75">
        <f>K1156*'THAM_SO_MOI'!$C$50*'THAM_SO_MOI'!$C$17/'THAM_SO_MOI'!$C$26</f>
        <v>15304.265379528446</v>
      </c>
      <c r="M1156" s="75">
        <f>'THAM_SO_MOI'!$C$15*'THAM_SO_MOI'!$C$16*F1156^2</f>
        <v>72.25621123857502</v>
      </c>
      <c r="N1156" s="75">
        <f>'THAM_SO_MOI'!$C$12*I1156</f>
        <v>1130.112</v>
      </c>
      <c r="O1156" s="75">
        <f>M1156+N1156</f>
        <v>1202.368211238575</v>
      </c>
      <c r="P1156" s="75">
        <f>(MIN(L1156,'THAM_SO_MOI'!$C$41)-O1156)/('THAM_SO_MOI'!$C$11*H1156)</f>
        <v>0.9774266185320154</v>
      </c>
      <c r="Q1156" s="75">
        <f>IF(P1156&gt;0,1/P1156,NA())</f>
        <v>1.023094707101273</v>
      </c>
      <c r="R1156" s="75">
        <f>F1156-F1155</f>
        <v>0.0032106047296860396</v>
      </c>
      <c r="S1156" s="75">
        <f>0.5*(Q1155+Q1156)*R1156</f>
        <v>0.00328483213675727</v>
      </c>
      <c r="T1156" s="75">
        <f>0.5*(F1155*Q1155+F1156*Q1156)*R1156</f>
        <v>0.01632102920379581</v>
      </c>
      <c r="U1156" s="76">
        <f>U1155+S1156</f>
        <v>5.213408874745622</v>
      </c>
      <c r="V1156" s="76">
        <f>V1155+T1156</f>
        <v>16.9678241906417</v>
      </c>
    </row>
    <row r="1157" spans="1:22" ht="19" customHeight="1">
      <c r="A1157" s="68" t="s">
        <v>372</v>
      </c>
      <c r="B1157" s="74">
        <v>2</v>
      </c>
      <c r="C1157" s="68" t="s">
        <v>363</v>
      </c>
      <c r="D1157" s="68" t="s">
        <v>364</v>
      </c>
      <c r="E1157" s="75">
        <f>60*F1157*'THAM_SO_MOI'!$C$50/(2*PI()*'THAM_SO_MOI'!$C$26)</f>
        <v>1994.7678914336589</v>
      </c>
      <c r="F1157" s="75">
        <f>'HANH_TRINH'!$F$826+('THAM_SO_MOI'!$F$50-'HANH_TRINH'!$F$826)*330/'THAM_SO_MOI'!$C$42</f>
        <v>4.97341967490191</v>
      </c>
      <c r="G1157" s="75">
        <f>3.6*F1157</f>
        <v>17.904310829646878</v>
      </c>
      <c r="H1157" s="75">
        <f>'THAM_SO_MOI'!$D$50</f>
        <v>1.8785906709588276</v>
      </c>
      <c r="I1157" s="75">
        <f>IF(F1157&gt;'THAM_SO_MOI'!$C$14,'THAM_SO_MOI'!$C$13*(1+F1157^2/1500),'THAM_SO_MOI'!$C$13)</f>
        <v>0.015</v>
      </c>
      <c r="J1157" s="75">
        <f>'THAM_SO_MOI'!$C$40*('THAM_SO_MOI'!$C$23*(E1157/'THAM_SO_MOI'!$C$22)+'THAM_SO_MOI'!$C$24*(E1157/'THAM_SO_MOI'!$C$22)^2-'THAM_SO_MOI'!$C$25*(E1157/'THAM_SO_MOI'!$C$22)^3)</f>
        <v>89.53412043213508</v>
      </c>
      <c r="K1157" s="75">
        <f>'THAM_SO_MOI'!$C$31*J1157/E1157</f>
        <v>428.69608838018684</v>
      </c>
      <c r="L1157" s="75">
        <f>K1157*'THAM_SO_MOI'!$C$50*'THAM_SO_MOI'!$C$17/'THAM_SO_MOI'!$C$26</f>
        <v>15305.034942027798</v>
      </c>
      <c r="M1157" s="75">
        <f>'THAM_SO_MOI'!$C$15*'THAM_SO_MOI'!$C$16*F1157^2</f>
        <v>72.34959204340167</v>
      </c>
      <c r="N1157" s="75">
        <f>'THAM_SO_MOI'!$C$12*I1157</f>
        <v>1130.112</v>
      </c>
      <c r="O1157" s="75">
        <f>M1157+N1157</f>
        <v>1202.4615920434017</v>
      </c>
      <c r="P1157" s="75">
        <f>(MIN(L1157,'THAM_SO_MOI'!$C$41)-O1157)/('THAM_SO_MOI'!$C$11*H1157)</f>
        <v>0.9774734858420877</v>
      </c>
      <c r="Q1157" s="75">
        <f>IF(P1157&gt;0,1/P1157,NA())</f>
        <v>1.0230456523723566</v>
      </c>
      <c r="R1157" s="75">
        <f>F1157-F1156</f>
        <v>0.003210604729687816</v>
      </c>
      <c r="S1157" s="75">
        <f>0.5*(Q1156+Q1157)*R1157</f>
        <v>0.003284673957865582</v>
      </c>
      <c r="T1157" s="75">
        <f>0.5*(F1156*Q1156+F1157*Q1157)*R1157</f>
        <v>0.016330789066400484</v>
      </c>
      <c r="U1157" s="76">
        <f>U1156+S1157</f>
        <v>5.216693548703487</v>
      </c>
      <c r="V1157" s="76">
        <f>V1156+T1157</f>
        <v>16.9841549797081</v>
      </c>
    </row>
    <row r="1158" spans="1:22" ht="19" customHeight="1">
      <c r="A1158" s="68" t="s">
        <v>372</v>
      </c>
      <c r="B1158" s="74">
        <v>2</v>
      </c>
      <c r="C1158" s="68" t="s">
        <v>363</v>
      </c>
      <c r="D1158" s="68" t="s">
        <v>364</v>
      </c>
      <c r="E1158" s="75">
        <f>60*F1158*'THAM_SO_MOI'!$C$50/(2*PI()*'THAM_SO_MOI'!$C$26)</f>
        <v>1996.0556193242253</v>
      </c>
      <c r="F1158" s="75">
        <f>'HANH_TRINH'!$F$826+('THAM_SO_MOI'!$F$50-'HANH_TRINH'!$F$826)*331/'THAM_SO_MOI'!$C$42</f>
        <v>4.976630279631596</v>
      </c>
      <c r="G1158" s="75">
        <f>3.6*F1158</f>
        <v>17.91586900667375</v>
      </c>
      <c r="H1158" s="75">
        <f>'THAM_SO_MOI'!$D$50</f>
        <v>1.8785906709588276</v>
      </c>
      <c r="I1158" s="75">
        <f>IF(F1158&gt;'THAM_SO_MOI'!$C$14,'THAM_SO_MOI'!$C$13*(1+F1158^2/1500),'THAM_SO_MOI'!$C$13)</f>
        <v>0.015</v>
      </c>
      <c r="J1158" s="75">
        <f>'THAM_SO_MOI'!$C$40*('THAM_SO_MOI'!$C$23*(E1158/'THAM_SO_MOI'!$C$22)+'THAM_SO_MOI'!$C$24*(E1158/'THAM_SO_MOI'!$C$22)^2-'THAM_SO_MOI'!$C$25*(E1158/'THAM_SO_MOI'!$C$22)^3)</f>
        <v>89.59639063887819</v>
      </c>
      <c r="K1158" s="75">
        <f>'THAM_SO_MOI'!$C$31*J1158/E1158</f>
        <v>428.7174830550243</v>
      </c>
      <c r="L1158" s="75">
        <f>K1158*'THAM_SO_MOI'!$C$50*'THAM_SO_MOI'!$C$17/'THAM_SO_MOI'!$C$26</f>
        <v>15305.798761094116</v>
      </c>
      <c r="M1158" s="75">
        <f>'THAM_SO_MOI'!$C$15*'THAM_SO_MOI'!$C$16*F1158^2</f>
        <v>72.44303314992723</v>
      </c>
      <c r="N1158" s="75">
        <f>'THAM_SO_MOI'!$C$12*I1158</f>
        <v>1130.112</v>
      </c>
      <c r="O1158" s="75">
        <f>M1158+N1158</f>
        <v>1202.5550331499273</v>
      </c>
      <c r="P1158" s="75">
        <f>(MIN(L1158,'THAM_SO_MOI'!$C$41)-O1158)/('THAM_SO_MOI'!$C$11*H1158)</f>
        <v>0.9775199508853765</v>
      </c>
      <c r="Q1158" s="75">
        <f>IF(P1158&gt;0,1/P1158,NA())</f>
        <v>1.0229970233285393</v>
      </c>
      <c r="R1158" s="75">
        <f>F1158-F1157</f>
        <v>0.0032106047296860396</v>
      </c>
      <c r="S1158" s="75">
        <f>0.5*(Q1157+Q1158)*R1158</f>
        <v>0.003284517145872388</v>
      </c>
      <c r="T1158" s="75">
        <f>0.5*(F1157*Q1157+F1158*Q1158)*R1158</f>
        <v>0.016340554713659205</v>
      </c>
      <c r="U1158" s="76">
        <f>U1157+S1158</f>
        <v>5.21997806584936</v>
      </c>
      <c r="V1158" s="76">
        <f>V1157+T1158</f>
        <v>17.00049553442176</v>
      </c>
    </row>
    <row r="1159" spans="1:22" ht="19" customHeight="1">
      <c r="A1159" s="68" t="s">
        <v>372</v>
      </c>
      <c r="B1159" s="74">
        <v>2</v>
      </c>
      <c r="C1159" s="68" t="s">
        <v>363</v>
      </c>
      <c r="D1159" s="68" t="s">
        <v>364</v>
      </c>
      <c r="E1159" s="75">
        <f>60*F1159*'THAM_SO_MOI'!$C$50/(2*PI()*'THAM_SO_MOI'!$C$26)</f>
        <v>1997.343347214792</v>
      </c>
      <c r="F1159" s="75">
        <f>'HANH_TRINH'!$F$826+('THAM_SO_MOI'!$F$50-'HANH_TRINH'!$F$826)*332/'THAM_SO_MOI'!$C$42</f>
        <v>4.979840884361283</v>
      </c>
      <c r="G1159" s="75">
        <f>3.6*F1159</f>
        <v>17.92742718370062</v>
      </c>
      <c r="H1159" s="75">
        <f>'THAM_SO_MOI'!$D$50</f>
        <v>1.8785906709588276</v>
      </c>
      <c r="I1159" s="75">
        <f>IF(F1159&gt;'THAM_SO_MOI'!$C$14,'THAM_SO_MOI'!$C$13*(1+F1159^2/1500),'THAM_SO_MOI'!$C$13)</f>
        <v>0.015</v>
      </c>
      <c r="J1159" s="75">
        <f>'THAM_SO_MOI'!$C$40*('THAM_SO_MOI'!$C$23*(E1159/'THAM_SO_MOI'!$C$22)+'THAM_SO_MOI'!$C$24*(E1159/'THAM_SO_MOI'!$C$22)^2-'THAM_SO_MOI'!$C$25*(E1159/'THAM_SO_MOI'!$C$22)^3)</f>
        <v>89.65863297236233</v>
      </c>
      <c r="K1159" s="75">
        <f>'THAM_SO_MOI'!$C$31*J1159/E1159</f>
        <v>428.73871685552933</v>
      </c>
      <c r="L1159" s="75">
        <f>K1159*'THAM_SO_MOI'!$C$50*'THAM_SO_MOI'!$C$17/'THAM_SO_MOI'!$C$26</f>
        <v>15306.55683672739</v>
      </c>
      <c r="M1159" s="75">
        <f>'THAM_SO_MOI'!$C$15*'THAM_SO_MOI'!$C$16*F1159^2</f>
        <v>72.5365345581518</v>
      </c>
      <c r="N1159" s="75">
        <f>'THAM_SO_MOI'!$C$12*I1159</f>
        <v>1130.112</v>
      </c>
      <c r="O1159" s="75">
        <f>M1159+N1159</f>
        <v>1202.6485345581518</v>
      </c>
      <c r="P1159" s="75">
        <f>(MIN(L1159,'THAM_SO_MOI'!$C$41)-O1159)/('THAM_SO_MOI'!$C$11*H1159)</f>
        <v>0.9775660136618811</v>
      </c>
      <c r="Q1159" s="75">
        <f>IF(P1159&gt;0,1/P1159,NA())</f>
        <v>1.0229488198490893</v>
      </c>
      <c r="R1159" s="75">
        <f>F1159-F1158</f>
        <v>0.0032106047296869278</v>
      </c>
      <c r="S1159" s="75">
        <f>0.5*(Q1158+Q1159)*R1159</f>
        <v>0.0032843617003947023</v>
      </c>
      <c r="T1159" s="75">
        <f>0.5*(F1158*Q1158+F1159*Q1159)*R1159</f>
        <v>0.016350326156831078</v>
      </c>
      <c r="U1159" s="76">
        <f>U1158+S1159</f>
        <v>5.223262427549755</v>
      </c>
      <c r="V1159" s="76">
        <f>V1158+T1159</f>
        <v>17.01684586057859</v>
      </c>
    </row>
    <row r="1160" spans="1:22" ht="19" customHeight="1">
      <c r="A1160" s="68" t="s">
        <v>372</v>
      </c>
      <c r="B1160" s="74">
        <v>2</v>
      </c>
      <c r="C1160" s="68" t="s">
        <v>363</v>
      </c>
      <c r="D1160" s="68" t="s">
        <v>364</v>
      </c>
      <c r="E1160" s="75">
        <f>60*F1160*'THAM_SO_MOI'!$C$50/(2*PI()*'THAM_SO_MOI'!$C$26)</f>
        <v>1998.6310751053586</v>
      </c>
      <c r="F1160" s="75">
        <f>'HANH_TRINH'!$F$826+('THAM_SO_MOI'!$F$50-'HANH_TRINH'!$F$826)*333/'THAM_SO_MOI'!$C$42</f>
        <v>4.98305148909097</v>
      </c>
      <c r="G1160" s="75">
        <f>3.6*F1160</f>
        <v>17.938985360727493</v>
      </c>
      <c r="H1160" s="75">
        <f>'THAM_SO_MOI'!$D$50</f>
        <v>1.8785906709588276</v>
      </c>
      <c r="I1160" s="75">
        <f>IF(F1160&gt;'THAM_SO_MOI'!$C$14,'THAM_SO_MOI'!$C$13*(1+F1160^2/1500),'THAM_SO_MOI'!$C$13)</f>
        <v>0.015</v>
      </c>
      <c r="J1160" s="75">
        <f>'THAM_SO_MOI'!$C$40*('THAM_SO_MOI'!$C$23*(E1160/'THAM_SO_MOI'!$C$22)+'THAM_SO_MOI'!$C$24*(E1160/'THAM_SO_MOI'!$C$22)^2-'THAM_SO_MOI'!$C$25*(E1160/'THAM_SO_MOI'!$C$22)^3)</f>
        <v>89.72084736751786</v>
      </c>
      <c r="K1160" s="75">
        <f>'THAM_SO_MOI'!$C$31*J1160/E1160</f>
        <v>428.7597897817023</v>
      </c>
      <c r="L1160" s="75">
        <f>K1160*'THAM_SO_MOI'!$C$50*'THAM_SO_MOI'!$C$17/'THAM_SO_MOI'!$C$26</f>
        <v>15307.309168927637</v>
      </c>
      <c r="M1160" s="75">
        <f>'THAM_SO_MOI'!$C$15*'THAM_SO_MOI'!$C$16*F1160^2</f>
        <v>72.63009626807533</v>
      </c>
      <c r="N1160" s="75">
        <f>'THAM_SO_MOI'!$C$12*I1160</f>
        <v>1130.112</v>
      </c>
      <c r="O1160" s="75">
        <f>M1160+N1160</f>
        <v>1202.7420962680753</v>
      </c>
      <c r="P1160" s="75">
        <f>(MIN(L1160,'THAM_SO_MOI'!$C$41)-O1160)/('THAM_SO_MOI'!$C$11*H1160)</f>
        <v>0.9776116741716026</v>
      </c>
      <c r="Q1160" s="75">
        <f>IF(P1160&gt;0,1/P1160,NA())</f>
        <v>1.0229010418143467</v>
      </c>
      <c r="R1160" s="75">
        <f>F1160-F1159</f>
        <v>0.0032106047296869278</v>
      </c>
      <c r="S1160" s="75">
        <f>0.5*(Q1159+Q1160)*R1160</f>
        <v>0.0032842076210429874</v>
      </c>
      <c r="T1160" s="75">
        <f>0.5*(F1159*Q1159+F1160*Q1160)*R1160</f>
        <v>0.016360103407137686</v>
      </c>
      <c r="U1160" s="76">
        <f>U1159+S1160</f>
        <v>5.226546635170798</v>
      </c>
      <c r="V1160" s="76">
        <f>V1159+T1160</f>
        <v>17.03320596398573</v>
      </c>
    </row>
    <row r="1161" spans="1:22" ht="19" customHeight="1">
      <c r="A1161" s="68" t="s">
        <v>372</v>
      </c>
      <c r="B1161" s="74">
        <v>2</v>
      </c>
      <c r="C1161" s="68" t="s">
        <v>363</v>
      </c>
      <c r="D1161" s="68" t="s">
        <v>364</v>
      </c>
      <c r="E1161" s="75">
        <f>60*F1161*'THAM_SO_MOI'!$C$50/(2*PI()*'THAM_SO_MOI'!$C$26)</f>
        <v>1999.9188029959253</v>
      </c>
      <c r="F1161" s="75">
        <f>'HANH_TRINH'!$F$826+('THAM_SO_MOI'!$F$50-'HANH_TRINH'!$F$826)*334/'THAM_SO_MOI'!$C$42</f>
        <v>4.986262093820657</v>
      </c>
      <c r="G1161" s="75">
        <f>3.6*F1161</f>
        <v>17.950543537754367</v>
      </c>
      <c r="H1161" s="75">
        <f>'THAM_SO_MOI'!$D$50</f>
        <v>1.8785906709588276</v>
      </c>
      <c r="I1161" s="75">
        <f>IF(F1161&gt;'THAM_SO_MOI'!$C$14,'THAM_SO_MOI'!$C$13*(1+F1161^2/1500),'THAM_SO_MOI'!$C$13)</f>
        <v>0.015</v>
      </c>
      <c r="J1161" s="75">
        <f>'THAM_SO_MOI'!$C$40*('THAM_SO_MOI'!$C$23*(E1161/'THAM_SO_MOI'!$C$22)+'THAM_SO_MOI'!$C$24*(E1161/'THAM_SO_MOI'!$C$22)^2-'THAM_SO_MOI'!$C$25*(E1161/'THAM_SO_MOI'!$C$22)^3)</f>
        <v>89.78303375927506</v>
      </c>
      <c r="K1161" s="75">
        <f>'THAM_SO_MOI'!$C$31*J1161/E1161</f>
        <v>428.78070183354305</v>
      </c>
      <c r="L1161" s="75">
        <f>K1161*'THAM_SO_MOI'!$C$50*'THAM_SO_MOI'!$C$17/'THAM_SO_MOI'!$C$26</f>
        <v>15308.05575769485</v>
      </c>
      <c r="M1161" s="75">
        <f>'THAM_SO_MOI'!$C$15*'THAM_SO_MOI'!$C$16*F1161^2</f>
        <v>72.72371827969783</v>
      </c>
      <c r="N1161" s="75">
        <f>'THAM_SO_MOI'!$C$12*I1161</f>
        <v>1130.112</v>
      </c>
      <c r="O1161" s="75">
        <f>M1161+N1161</f>
        <v>1202.8357182796979</v>
      </c>
      <c r="P1161" s="75">
        <f>(MIN(L1161,'THAM_SO_MOI'!$C$41)-O1161)/('THAM_SO_MOI'!$C$11*H1161)</f>
        <v>0.9776569324145408</v>
      </c>
      <c r="Q1161" s="75">
        <f>IF(P1161&gt;0,1/P1161,NA())</f>
        <v>1.0228536891057256</v>
      </c>
      <c r="R1161" s="75">
        <f>F1161-F1160</f>
        <v>0.0032106047296869278</v>
      </c>
      <c r="S1161" s="75">
        <f>0.5*(Q1160+Q1161)*R1161</f>
        <v>0.0032840549074356967</v>
      </c>
      <c r="T1161" s="75">
        <f>0.5*(F1160*Q1160+F1161*Q1161)*R1161</f>
        <v>0.016369886475835413</v>
      </c>
      <c r="U1161" s="76">
        <f>U1160+S1161</f>
        <v>5.229830690078233</v>
      </c>
      <c r="V1161" s="76">
        <f>V1160+T1161</f>
        <v>17.049575850461565</v>
      </c>
    </row>
    <row r="1162" spans="1:22" ht="19" customHeight="1">
      <c r="A1162" s="68" t="s">
        <v>372</v>
      </c>
      <c r="B1162" s="74">
        <v>2</v>
      </c>
      <c r="C1162" s="68" t="s">
        <v>363</v>
      </c>
      <c r="D1162" s="68" t="s">
        <v>364</v>
      </c>
      <c r="E1162" s="75">
        <f>60*F1162*'THAM_SO_MOI'!$C$50/(2*PI()*'THAM_SO_MOI'!$C$26)</f>
        <v>2001.2065308864921</v>
      </c>
      <c r="F1162" s="75">
        <f>'HANH_TRINH'!$F$826+('THAM_SO_MOI'!$F$50-'HANH_TRINH'!$F$826)*335/'THAM_SO_MOI'!$C$42</f>
        <v>4.989472698550344</v>
      </c>
      <c r="G1162" s="75">
        <f>3.6*F1162</f>
        <v>17.962101714781237</v>
      </c>
      <c r="H1162" s="75">
        <f>'THAM_SO_MOI'!$D$50</f>
        <v>1.8785906709588276</v>
      </c>
      <c r="I1162" s="75">
        <f>IF(F1162&gt;'THAM_SO_MOI'!$C$14,'THAM_SO_MOI'!$C$13*(1+F1162^2/1500),'THAM_SO_MOI'!$C$13)</f>
        <v>0.015</v>
      </c>
      <c r="J1162" s="75">
        <f>'THAM_SO_MOI'!$C$40*('THAM_SO_MOI'!$C$23*(E1162/'THAM_SO_MOI'!$C$22)+'THAM_SO_MOI'!$C$24*(E1162/'THAM_SO_MOI'!$C$22)^2-'THAM_SO_MOI'!$C$25*(E1162/'THAM_SO_MOI'!$C$22)^3)</f>
        <v>89.84519208256417</v>
      </c>
      <c r="K1162" s="75">
        <f>'THAM_SO_MOI'!$C$31*J1162/E1162</f>
        <v>428.8014530110513</v>
      </c>
      <c r="L1162" s="75">
        <f>K1162*'THAM_SO_MOI'!$C$50*'THAM_SO_MOI'!$C$17/'THAM_SO_MOI'!$C$26</f>
        <v>15308.796603029015</v>
      </c>
      <c r="M1162" s="75">
        <f>'THAM_SO_MOI'!$C$15*'THAM_SO_MOI'!$C$16*F1162^2</f>
        <v>72.81740059301931</v>
      </c>
      <c r="N1162" s="75">
        <f>'THAM_SO_MOI'!$C$12*I1162</f>
        <v>1130.112</v>
      </c>
      <c r="O1162" s="75">
        <f>M1162+N1162</f>
        <v>1202.9294005930194</v>
      </c>
      <c r="P1162" s="75">
        <f>(MIN(L1162,'THAM_SO_MOI'!$C$41)-O1162)/('THAM_SO_MOI'!$C$11*H1162)</f>
        <v>0.9777017883906944</v>
      </c>
      <c r="Q1162" s="75">
        <f>IF(P1162&gt;0,1/P1162,NA())</f>
        <v>1.0228067616057128</v>
      </c>
      <c r="R1162" s="75">
        <f>F1162-F1161</f>
        <v>0.0032106047296869278</v>
      </c>
      <c r="S1162" s="75">
        <f>0.5*(Q1161+Q1162)*R1162</f>
        <v>0.0032839035591938188</v>
      </c>
      <c r="T1162" s="75">
        <f>0.5*(F1161*Q1161+F1162*Q1162)*R1162</f>
        <v>0.016379675374188402</v>
      </c>
      <c r="U1162" s="76">
        <f>U1161+S1162</f>
        <v>5.233114593637427</v>
      </c>
      <c r="V1162" s="76">
        <f>V1161+T1162</f>
        <v>17.065955525835754</v>
      </c>
    </row>
    <row r="1163" spans="1:22" ht="19" customHeight="1">
      <c r="A1163" s="68" t="s">
        <v>372</v>
      </c>
      <c r="B1163" s="74">
        <v>2</v>
      </c>
      <c r="C1163" s="68" t="s">
        <v>363</v>
      </c>
      <c r="D1163" s="68" t="s">
        <v>364</v>
      </c>
      <c r="E1163" s="75">
        <f>60*F1163*'THAM_SO_MOI'!$C$50/(2*PI()*'THAM_SO_MOI'!$C$26)</f>
        <v>2002.4942587770583</v>
      </c>
      <c r="F1163" s="75">
        <f>'HANH_TRINH'!$F$826+('THAM_SO_MOI'!$F$50-'HANH_TRINH'!$F$826)*336/'THAM_SO_MOI'!$C$42</f>
        <v>4.99268330328003</v>
      </c>
      <c r="G1163" s="75">
        <f>3.6*F1163</f>
        <v>17.973659891808108</v>
      </c>
      <c r="H1163" s="75">
        <f>'THAM_SO_MOI'!$D$50</f>
        <v>1.8785906709588276</v>
      </c>
      <c r="I1163" s="75">
        <f>IF(F1163&gt;'THAM_SO_MOI'!$C$14,'THAM_SO_MOI'!$C$13*(1+F1163^2/1500),'THAM_SO_MOI'!$C$13)</f>
        <v>0.015</v>
      </c>
      <c r="J1163" s="75">
        <f>'THAM_SO_MOI'!$C$40*('THAM_SO_MOI'!$C$23*(E1163/'THAM_SO_MOI'!$C$22)+'THAM_SO_MOI'!$C$24*(E1163/'THAM_SO_MOI'!$C$22)^2-'THAM_SO_MOI'!$C$25*(E1163/'THAM_SO_MOI'!$C$22)^3)</f>
        <v>89.90732227231553</v>
      </c>
      <c r="K1163" s="75">
        <f>'THAM_SO_MOI'!$C$31*J1163/E1163</f>
        <v>428.8220433142274</v>
      </c>
      <c r="L1163" s="75">
        <f>K1163*'THAM_SO_MOI'!$C$50*'THAM_SO_MOI'!$C$17/'THAM_SO_MOI'!$C$26</f>
        <v>15309.53170493015</v>
      </c>
      <c r="M1163" s="75">
        <f>'THAM_SO_MOI'!$C$15*'THAM_SO_MOI'!$C$16*F1163^2</f>
        <v>72.91114320803975</v>
      </c>
      <c r="N1163" s="75">
        <f>'THAM_SO_MOI'!$C$12*I1163</f>
        <v>1130.112</v>
      </c>
      <c r="O1163" s="75">
        <f>M1163+N1163</f>
        <v>1203.0231432080398</v>
      </c>
      <c r="P1163" s="75">
        <f>(MIN(L1163,'THAM_SO_MOI'!$C$41)-O1163)/('THAM_SO_MOI'!$C$11*H1163)</f>
        <v>0.977746242100065</v>
      </c>
      <c r="Q1163" s="75">
        <f>IF(P1163&gt;0,1/P1163,NA())</f>
        <v>1.022760259197864</v>
      </c>
      <c r="R1163" s="75">
        <f>F1163-F1162</f>
        <v>0.0032106047296860396</v>
      </c>
      <c r="S1163" s="75">
        <f>0.5*(Q1162+Q1163)*R1163</f>
        <v>0.0032837535759408726</v>
      </c>
      <c r="T1163" s="75">
        <f>0.5*(F1162*Q1162+F1163*Q1163)*R1163</f>
        <v>0.016389470113468564</v>
      </c>
      <c r="U1163" s="76">
        <f>U1162+S1163</f>
        <v>5.236398347213368</v>
      </c>
      <c r="V1163" s="76">
        <f>V1162+T1163</f>
        <v>17.082344995949224</v>
      </c>
    </row>
    <row r="1164" spans="1:22" ht="19" customHeight="1">
      <c r="A1164" s="68" t="s">
        <v>372</v>
      </c>
      <c r="B1164" s="74">
        <v>2</v>
      </c>
      <c r="C1164" s="68" t="s">
        <v>363</v>
      </c>
      <c r="D1164" s="68" t="s">
        <v>364</v>
      </c>
      <c r="E1164" s="75">
        <f>60*F1164*'THAM_SO_MOI'!$C$50/(2*PI()*'THAM_SO_MOI'!$C$26)</f>
        <v>2003.7819866676255</v>
      </c>
      <c r="F1164" s="75">
        <f>'HANH_TRINH'!$F$826+('THAM_SO_MOI'!$F$50-'HANH_TRINH'!$F$826)*337/'THAM_SO_MOI'!$C$42</f>
        <v>4.995893908009718</v>
      </c>
      <c r="G1164" s="75">
        <f>3.6*F1164</f>
        <v>17.985218068834985</v>
      </c>
      <c r="H1164" s="75">
        <f>'THAM_SO_MOI'!$D$50</f>
        <v>1.8785906709588276</v>
      </c>
      <c r="I1164" s="75">
        <f>IF(F1164&gt;'THAM_SO_MOI'!$C$14,'THAM_SO_MOI'!$C$13*(1+F1164^2/1500),'THAM_SO_MOI'!$C$13)</f>
        <v>0.015</v>
      </c>
      <c r="J1164" s="75">
        <f>'THAM_SO_MOI'!$C$40*('THAM_SO_MOI'!$C$23*(E1164/'THAM_SO_MOI'!$C$22)+'THAM_SO_MOI'!$C$24*(E1164/'THAM_SO_MOI'!$C$22)^2-'THAM_SO_MOI'!$C$25*(E1164/'THAM_SO_MOI'!$C$22)^3)</f>
        <v>89.9694242634595</v>
      </c>
      <c r="K1164" s="75">
        <f>'THAM_SO_MOI'!$C$31*J1164/E1164</f>
        <v>428.84247274307126</v>
      </c>
      <c r="L1164" s="75">
        <f>K1164*'THAM_SO_MOI'!$C$50*'THAM_SO_MOI'!$C$17/'THAM_SO_MOI'!$C$26</f>
        <v>15310.26106339825</v>
      </c>
      <c r="M1164" s="75">
        <f>'THAM_SO_MOI'!$C$15*'THAM_SO_MOI'!$C$16*F1164^2</f>
        <v>73.00494612475919</v>
      </c>
      <c r="N1164" s="75">
        <f>'THAM_SO_MOI'!$C$12*I1164</f>
        <v>1130.112</v>
      </c>
      <c r="O1164" s="75">
        <f>M1164+N1164</f>
        <v>1203.1169461247594</v>
      </c>
      <c r="P1164" s="75">
        <f>(MIN(L1164,'THAM_SO_MOI'!$C$41)-O1164)/('THAM_SO_MOI'!$C$11*H1164)</f>
        <v>0.9777902935426517</v>
      </c>
      <c r="Q1164" s="75">
        <f>IF(P1164&gt;0,1/P1164,NA())</f>
        <v>1.022714181766808</v>
      </c>
      <c r="R1164" s="75">
        <f>F1164-F1163</f>
        <v>0.003210604729687816</v>
      </c>
      <c r="S1164" s="75">
        <f>0.5*(Q1163+Q1164)*R1164</f>
        <v>0.0032836049573083583</v>
      </c>
      <c r="T1164" s="75">
        <f>0.5*(F1163*Q1163+F1164*Q1164)*R1164</f>
        <v>0.016399270704982816</v>
      </c>
      <c r="U1164" s="76">
        <f>U1163+S1164</f>
        <v>5.239681952170676</v>
      </c>
      <c r="V1164" s="76">
        <f>V1163+T1164</f>
        <v>17.098744266654208</v>
      </c>
    </row>
    <row r="1165" spans="1:22" ht="19" customHeight="1">
      <c r="A1165" s="68" t="s">
        <v>372</v>
      </c>
      <c r="B1165" s="74">
        <v>2</v>
      </c>
      <c r="C1165" s="68" t="s">
        <v>363</v>
      </c>
      <c r="D1165" s="68" t="s">
        <v>364</v>
      </c>
      <c r="E1165" s="75">
        <f>60*F1165*'THAM_SO_MOI'!$C$50/(2*PI()*'THAM_SO_MOI'!$C$26)</f>
        <v>2005.0697145581917</v>
      </c>
      <c r="F1165" s="75">
        <f>'HANH_TRINH'!$F$826+('THAM_SO_MOI'!$F$50-'HANH_TRINH'!$F$826)*338/'THAM_SO_MOI'!$C$42</f>
        <v>4.999104512739404</v>
      </c>
      <c r="G1165" s="75">
        <f>3.6*F1165</f>
        <v>17.996776245861856</v>
      </c>
      <c r="H1165" s="75">
        <f>'THAM_SO_MOI'!$D$50</f>
        <v>1.8785906709588276</v>
      </c>
      <c r="I1165" s="75">
        <f>IF(F1165&gt;'THAM_SO_MOI'!$C$14,'THAM_SO_MOI'!$C$13*(1+F1165^2/1500),'THAM_SO_MOI'!$C$13)</f>
        <v>0.015</v>
      </c>
      <c r="J1165" s="75">
        <f>'THAM_SO_MOI'!$C$40*('THAM_SO_MOI'!$C$23*(E1165/'THAM_SO_MOI'!$C$22)+'THAM_SO_MOI'!$C$24*(E1165/'THAM_SO_MOI'!$C$22)^2-'THAM_SO_MOI'!$C$25*(E1165/'THAM_SO_MOI'!$C$22)^3)</f>
        <v>90.03149799092631</v>
      </c>
      <c r="K1165" s="75">
        <f>'THAM_SO_MOI'!$C$31*J1165/E1165</f>
        <v>428.86274129758306</v>
      </c>
      <c r="L1165" s="75">
        <f>K1165*'THAM_SO_MOI'!$C$50*'THAM_SO_MOI'!$C$17/'THAM_SO_MOI'!$C$26</f>
        <v>15310.984678433319</v>
      </c>
      <c r="M1165" s="75">
        <f>'THAM_SO_MOI'!$C$15*'THAM_SO_MOI'!$C$16*F1165^2</f>
        <v>73.09880934317756</v>
      </c>
      <c r="N1165" s="75">
        <f>'THAM_SO_MOI'!$C$12*I1165</f>
        <v>1130.112</v>
      </c>
      <c r="O1165" s="75">
        <f>M1165+N1165</f>
        <v>1203.2108093431777</v>
      </c>
      <c r="P1165" s="75">
        <f>(MIN(L1165,'THAM_SO_MOI'!$C$41)-O1165)/('THAM_SO_MOI'!$C$11*H1165)</f>
        <v>0.9778339427184555</v>
      </c>
      <c r="Q1165" s="75">
        <f>IF(P1165&gt;0,1/P1165,NA())</f>
        <v>1.0226685291982411</v>
      </c>
      <c r="R1165" s="75">
        <f>F1165-F1164</f>
        <v>0.0032106047296860396</v>
      </c>
      <c r="S1165" s="75">
        <f>0.5*(Q1164+Q1165)*R1165</f>
        <v>0.00328345770292122</v>
      </c>
      <c r="T1165" s="75">
        <f>0.5*(F1164*Q1164+F1165*Q1165)*R1165</f>
        <v>0.016409077160000594</v>
      </c>
      <c r="U1165" s="76">
        <f>U1164+S1165</f>
        <v>5.242965409873597</v>
      </c>
      <c r="V1165" s="76">
        <f>V1164+T1165</f>
        <v>17.11515334381421</v>
      </c>
    </row>
    <row r="1166" spans="1:22" ht="19" customHeight="1">
      <c r="A1166" s="68" t="s">
        <v>372</v>
      </c>
      <c r="B1166" s="74">
        <v>2</v>
      </c>
      <c r="C1166" s="68" t="s">
        <v>363</v>
      </c>
      <c r="D1166" s="68" t="s">
        <v>364</v>
      </c>
      <c r="E1166" s="75">
        <f>60*F1166*'THAM_SO_MOI'!$C$50/(2*PI()*'THAM_SO_MOI'!$C$26)</f>
        <v>2006.3574424487583</v>
      </c>
      <c r="F1166" s="75">
        <f>'HANH_TRINH'!$F$826+('THAM_SO_MOI'!$F$50-'HANH_TRINH'!$F$826)*339/'THAM_SO_MOI'!$C$42</f>
        <v>5.002315117469091</v>
      </c>
      <c r="G1166" s="75">
        <f>3.6*F1166</f>
        <v>18.008334422888726</v>
      </c>
      <c r="H1166" s="75">
        <f>'THAM_SO_MOI'!$D$50</f>
        <v>1.8785906709588276</v>
      </c>
      <c r="I1166" s="75">
        <f>IF(F1166&gt;'THAM_SO_MOI'!$C$14,'THAM_SO_MOI'!$C$13*(1+F1166^2/1500),'THAM_SO_MOI'!$C$13)</f>
        <v>0.015</v>
      </c>
      <c r="J1166" s="75">
        <f>'THAM_SO_MOI'!$C$40*('THAM_SO_MOI'!$C$23*(E1166/'THAM_SO_MOI'!$C$22)+'THAM_SO_MOI'!$C$24*(E1166/'THAM_SO_MOI'!$C$22)^2-'THAM_SO_MOI'!$C$25*(E1166/'THAM_SO_MOI'!$C$22)^3)</f>
        <v>90.09354338964629</v>
      </c>
      <c r="K1166" s="75">
        <f>'THAM_SO_MOI'!$C$31*J1166/E1166</f>
        <v>428.88284897776236</v>
      </c>
      <c r="L1166" s="75">
        <f>K1166*'THAM_SO_MOI'!$C$50*'THAM_SO_MOI'!$C$17/'THAM_SO_MOI'!$C$26</f>
        <v>15311.702550035341</v>
      </c>
      <c r="M1166" s="75">
        <f>'THAM_SO_MOI'!$C$15*'THAM_SO_MOI'!$C$16*F1166^2</f>
        <v>73.19273286329494</v>
      </c>
      <c r="N1166" s="75">
        <f>'THAM_SO_MOI'!$C$12*I1166</f>
        <v>1130.112</v>
      </c>
      <c r="O1166" s="75">
        <f>M1166+N1166</f>
        <v>1203.304732863295</v>
      </c>
      <c r="P1166" s="75">
        <f>(MIN(L1166,'THAM_SO_MOI'!$C$41)-O1166)/('THAM_SO_MOI'!$C$11*H1166)</f>
        <v>0.9778771896274745</v>
      </c>
      <c r="Q1166" s="75">
        <f>IF(P1166&gt;0,1/P1166,NA())</f>
        <v>1.022623301378932</v>
      </c>
      <c r="R1166" s="75">
        <f>F1166-F1165</f>
        <v>0.0032106047296869278</v>
      </c>
      <c r="S1166" s="75">
        <f>0.5*(Q1165+Q1166)*R1166</f>
        <v>0.0032833118124205533</v>
      </c>
      <c r="T1166" s="75">
        <f>0.5*(F1165*Q1165+F1166*Q1166)*R1166</f>
        <v>0.016418889489867285</v>
      </c>
      <c r="U1166" s="76">
        <f>U1165+S1166</f>
        <v>5.246248721686018</v>
      </c>
      <c r="V1166" s="76">
        <f>V1165+T1166</f>
        <v>17.131572233304077</v>
      </c>
    </row>
    <row r="1167" spans="1:22" ht="19" customHeight="1">
      <c r="A1167" s="68" t="s">
        <v>372</v>
      </c>
      <c r="B1167" s="74">
        <v>2</v>
      </c>
      <c r="C1167" s="68" t="s">
        <v>363</v>
      </c>
      <c r="D1167" s="68" t="s">
        <v>364</v>
      </c>
      <c r="E1167" s="75">
        <f>60*F1167*'THAM_SO_MOI'!$C$50/(2*PI()*'THAM_SO_MOI'!$C$26)</f>
        <v>2007.6451703393252</v>
      </c>
      <c r="F1167" s="75">
        <f>'HANH_TRINH'!$F$826+('THAM_SO_MOI'!$F$50-'HANH_TRINH'!$F$826)*340/'THAM_SO_MOI'!$C$42</f>
        <v>5.005525722198778</v>
      </c>
      <c r="G1167" s="75">
        <f>3.6*F1167</f>
        <v>18.0198925999156</v>
      </c>
      <c r="H1167" s="75">
        <f>'THAM_SO_MOI'!$D$50</f>
        <v>1.8785906709588276</v>
      </c>
      <c r="I1167" s="75">
        <f>IF(F1167&gt;'THAM_SO_MOI'!$C$14,'THAM_SO_MOI'!$C$13*(1+F1167^2/1500),'THAM_SO_MOI'!$C$13)</f>
        <v>0.015</v>
      </c>
      <c r="J1167" s="75">
        <f>'THAM_SO_MOI'!$C$40*('THAM_SO_MOI'!$C$23*(E1167/'THAM_SO_MOI'!$C$22)+'THAM_SO_MOI'!$C$24*(E1167/'THAM_SO_MOI'!$C$22)^2-'THAM_SO_MOI'!$C$25*(E1167/'THAM_SO_MOI'!$C$22)^3)</f>
        <v>90.15556039454974</v>
      </c>
      <c r="K1167" s="75">
        <f>'THAM_SO_MOI'!$C$31*J1167/E1167</f>
        <v>428.9027957836095</v>
      </c>
      <c r="L1167" s="75">
        <f>K1167*'THAM_SO_MOI'!$C$50*'THAM_SO_MOI'!$C$17/'THAM_SO_MOI'!$C$26</f>
        <v>15312.414678204335</v>
      </c>
      <c r="M1167" s="75">
        <f>'THAM_SO_MOI'!$C$15*'THAM_SO_MOI'!$C$16*F1167^2</f>
        <v>73.28671668511127</v>
      </c>
      <c r="N1167" s="75">
        <f>'THAM_SO_MOI'!$C$12*I1167</f>
        <v>1130.112</v>
      </c>
      <c r="O1167" s="75">
        <f>M1167+N1167</f>
        <v>1203.3987166851114</v>
      </c>
      <c r="P1167" s="75">
        <f>(MIN(L1167,'THAM_SO_MOI'!$C$41)-O1167)/('THAM_SO_MOI'!$C$11*H1167)</f>
        <v>0.9779200342697109</v>
      </c>
      <c r="Q1167" s="75">
        <f>IF(P1167&gt;0,1/P1167,NA())</f>
        <v>1.022578498196714</v>
      </c>
      <c r="R1167" s="75">
        <f>F1167-F1166</f>
        <v>0.0032106047296869278</v>
      </c>
      <c r="S1167" s="75">
        <f>0.5*(Q1166+Q1167)*R1167</f>
        <v>0.0032831672854408927</v>
      </c>
      <c r="T1167" s="75">
        <f>0.5*(F1166*Q1166+F1167*Q1167)*R1167</f>
        <v>0.016428707705890822</v>
      </c>
      <c r="U1167" s="76">
        <f>U1166+S1167</f>
        <v>5.249531888971459</v>
      </c>
      <c r="V1167" s="76">
        <f>V1166+T1167</f>
        <v>17.14800094100997</v>
      </c>
    </row>
    <row r="1168" spans="1:22" ht="19" customHeight="1">
      <c r="A1168" s="68" t="s">
        <v>372</v>
      </c>
      <c r="B1168" s="74">
        <v>2</v>
      </c>
      <c r="C1168" s="68" t="s">
        <v>363</v>
      </c>
      <c r="D1168" s="68" t="s">
        <v>364</v>
      </c>
      <c r="E1168" s="75">
        <f>60*F1168*'THAM_SO_MOI'!$C$50/(2*PI()*'THAM_SO_MOI'!$C$26)</f>
        <v>2008.9328982298919</v>
      </c>
      <c r="F1168" s="75">
        <f>'HANH_TRINH'!$F$826+('THAM_SO_MOI'!$F$50-'HANH_TRINH'!$F$826)*341/'THAM_SO_MOI'!$C$42</f>
        <v>5.008736326928465</v>
      </c>
      <c r="G1168" s="75">
        <f>3.6*F1168</f>
        <v>18.031450776942474</v>
      </c>
      <c r="H1168" s="75">
        <f>'THAM_SO_MOI'!$D$50</f>
        <v>1.8785906709588276</v>
      </c>
      <c r="I1168" s="75">
        <f>IF(F1168&gt;'THAM_SO_MOI'!$C$14,'THAM_SO_MOI'!$C$13*(1+F1168^2/1500),'THAM_SO_MOI'!$C$13)</f>
        <v>0.015</v>
      </c>
      <c r="J1168" s="75">
        <f>'THAM_SO_MOI'!$C$40*('THAM_SO_MOI'!$C$23*(E1168/'THAM_SO_MOI'!$C$22)+'THAM_SO_MOI'!$C$24*(E1168/'THAM_SO_MOI'!$C$22)^2-'THAM_SO_MOI'!$C$25*(E1168/'THAM_SO_MOI'!$C$22)^3)</f>
        <v>90.21754894056694</v>
      </c>
      <c r="K1168" s="75">
        <f>'THAM_SO_MOI'!$C$31*J1168/E1168</f>
        <v>428.9225817151244</v>
      </c>
      <c r="L1168" s="75">
        <f>K1168*'THAM_SO_MOI'!$C$50*'THAM_SO_MOI'!$C$17/'THAM_SO_MOI'!$C$26</f>
        <v>15313.121062940294</v>
      </c>
      <c r="M1168" s="75">
        <f>'THAM_SO_MOI'!$C$15*'THAM_SO_MOI'!$C$16*F1168^2</f>
        <v>73.38076080862658</v>
      </c>
      <c r="N1168" s="75">
        <f>'THAM_SO_MOI'!$C$12*I1168</f>
        <v>1130.112</v>
      </c>
      <c r="O1168" s="75">
        <f>M1168+N1168</f>
        <v>1203.4927608086266</v>
      </c>
      <c r="P1168" s="75">
        <f>(MIN(L1168,'THAM_SO_MOI'!$C$41)-O1168)/('THAM_SO_MOI'!$C$11*H1168)</f>
        <v>0.9779624766451633</v>
      </c>
      <c r="Q1168" s="75">
        <f>IF(P1168&gt;0,1/P1168,NA())</f>
        <v>1.022534119540491</v>
      </c>
      <c r="R1168" s="75">
        <f>F1168-F1167</f>
        <v>0.0032106047296869278</v>
      </c>
      <c r="S1168" s="75">
        <f>0.5*(Q1167+Q1168)*R1168</f>
        <v>0.0032830241216247422</v>
      </c>
      <c r="T1168" s="75">
        <f>0.5*(F1167*Q1167+F1168*Q1168)*R1168</f>
        <v>0.016438531819414372</v>
      </c>
      <c r="U1168" s="76">
        <f>U1167+S1168</f>
        <v>5.252814913093084</v>
      </c>
      <c r="V1168" s="76">
        <f>V1167+T1168</f>
        <v>17.164439472829383</v>
      </c>
    </row>
    <row r="1169" spans="1:22" ht="19" customHeight="1">
      <c r="A1169" s="68" t="s">
        <v>372</v>
      </c>
      <c r="B1169" s="74">
        <v>2</v>
      </c>
      <c r="C1169" s="68" t="s">
        <v>363</v>
      </c>
      <c r="D1169" s="68" t="s">
        <v>364</v>
      </c>
      <c r="E1169" s="75">
        <f>60*F1169*'THAM_SO_MOI'!$C$50/(2*PI()*'THAM_SO_MOI'!$C$26)</f>
        <v>2010.220626120459</v>
      </c>
      <c r="F1169" s="75">
        <f>'HANH_TRINH'!$F$826+('THAM_SO_MOI'!$F$50-'HANH_TRINH'!$F$826)*342/'THAM_SO_MOI'!$C$42</f>
        <v>5.0119469316581515</v>
      </c>
      <c r="G1169" s="75">
        <f>3.6*F1169</f>
        <v>18.043008953969345</v>
      </c>
      <c r="H1169" s="75">
        <f>'THAM_SO_MOI'!$D$50</f>
        <v>1.8785906709588276</v>
      </c>
      <c r="I1169" s="75">
        <f>IF(F1169&gt;'THAM_SO_MOI'!$C$14,'THAM_SO_MOI'!$C$13*(1+F1169^2/1500),'THAM_SO_MOI'!$C$13)</f>
        <v>0.015</v>
      </c>
      <c r="J1169" s="75">
        <f>'THAM_SO_MOI'!$C$40*('THAM_SO_MOI'!$C$23*(E1169/'THAM_SO_MOI'!$C$22)+'THAM_SO_MOI'!$C$24*(E1169/'THAM_SO_MOI'!$C$22)^2-'THAM_SO_MOI'!$C$25*(E1169/'THAM_SO_MOI'!$C$22)^3)</f>
        <v>90.27950896262826</v>
      </c>
      <c r="K1169" s="75">
        <f>'THAM_SO_MOI'!$C$31*J1169/E1169</f>
        <v>428.9422067723072</v>
      </c>
      <c r="L1169" s="75">
        <f>K1169*'THAM_SO_MOI'!$C$50*'THAM_SO_MOI'!$C$17/'THAM_SO_MOI'!$C$26</f>
        <v>15313.82170424322</v>
      </c>
      <c r="M1169" s="75">
        <f>'THAM_SO_MOI'!$C$15*'THAM_SO_MOI'!$C$16*F1169^2</f>
        <v>73.47486523384086</v>
      </c>
      <c r="N1169" s="75">
        <f>'THAM_SO_MOI'!$C$12*I1169</f>
        <v>1130.112</v>
      </c>
      <c r="O1169" s="75">
        <f>M1169+N1169</f>
        <v>1203.5868652338409</v>
      </c>
      <c r="P1169" s="75">
        <f>(MIN(L1169,'THAM_SO_MOI'!$C$41)-O1169)/('THAM_SO_MOI'!$C$11*H1169)</f>
        <v>0.9780045167538326</v>
      </c>
      <c r="Q1169" s="75">
        <f>IF(P1169&gt;0,1/P1169,NA())</f>
        <v>1.0224901653002323</v>
      </c>
      <c r="R1169" s="75">
        <f>F1169-F1168</f>
        <v>0.0032106047296869278</v>
      </c>
      <c r="S1169" s="75">
        <f>0.5*(Q1168+Q1169)*R1169</f>
        <v>0.0032828823206171266</v>
      </c>
      <c r="T1169" s="75">
        <f>0.5*(F1168*Q1168+F1169*Q1169)*R1169</f>
        <v>0.016448361841789123</v>
      </c>
      <c r="U1169" s="76">
        <f>U1168+S1169</f>
        <v>5.256097795413701</v>
      </c>
      <c r="V1169" s="76">
        <f>V1168+T1169</f>
        <v>17.18088783467117</v>
      </c>
    </row>
    <row r="1170" spans="1:22" ht="19" customHeight="1">
      <c r="A1170" s="68" t="s">
        <v>372</v>
      </c>
      <c r="B1170" s="74">
        <v>2</v>
      </c>
      <c r="C1170" s="68" t="s">
        <v>363</v>
      </c>
      <c r="D1170" s="68" t="s">
        <v>364</v>
      </c>
      <c r="E1170" s="75">
        <f>60*F1170*'THAM_SO_MOI'!$C$50/(2*PI()*'THAM_SO_MOI'!$C$26)</f>
        <v>2011.5083540110252</v>
      </c>
      <c r="F1170" s="75">
        <f>'HANH_TRINH'!$F$826+('THAM_SO_MOI'!$F$50-'HANH_TRINH'!$F$826)*343/'THAM_SO_MOI'!$C$42</f>
        <v>5.015157536387838</v>
      </c>
      <c r="G1170" s="75">
        <f>3.6*F1170</f>
        <v>18.054567130996215</v>
      </c>
      <c r="H1170" s="75">
        <f>'THAM_SO_MOI'!$D$50</f>
        <v>1.8785906709588276</v>
      </c>
      <c r="I1170" s="75">
        <f>IF(F1170&gt;'THAM_SO_MOI'!$C$14,'THAM_SO_MOI'!$C$13*(1+F1170^2/1500),'THAM_SO_MOI'!$C$13)</f>
        <v>0.015</v>
      </c>
      <c r="J1170" s="75">
        <f>'THAM_SO_MOI'!$C$40*('THAM_SO_MOI'!$C$23*(E1170/'THAM_SO_MOI'!$C$22)+'THAM_SO_MOI'!$C$24*(E1170/'THAM_SO_MOI'!$C$22)^2-'THAM_SO_MOI'!$C$25*(E1170/'THAM_SO_MOI'!$C$22)^3)</f>
        <v>90.34144039566387</v>
      </c>
      <c r="K1170" s="75">
        <f>'THAM_SO_MOI'!$C$31*J1170/E1170</f>
        <v>428.96167095515756</v>
      </c>
      <c r="L1170" s="75">
        <f>K1170*'THAM_SO_MOI'!$C$50*'THAM_SO_MOI'!$C$17/'THAM_SO_MOI'!$C$26</f>
        <v>15314.516602113103</v>
      </c>
      <c r="M1170" s="75">
        <f>'THAM_SO_MOI'!$C$15*'THAM_SO_MOI'!$C$16*F1170^2</f>
        <v>73.5690299607541</v>
      </c>
      <c r="N1170" s="75">
        <f>'THAM_SO_MOI'!$C$12*I1170</f>
        <v>1130.112</v>
      </c>
      <c r="O1170" s="75">
        <f>M1170+N1170</f>
        <v>1203.6810299607541</v>
      </c>
      <c r="P1170" s="75">
        <f>(MIN(L1170,'THAM_SO_MOI'!$C$41)-O1170)/('THAM_SO_MOI'!$C$11*H1170)</f>
        <v>0.9780461545957176</v>
      </c>
      <c r="Q1170" s="75">
        <f>IF(P1170&gt;0,1/P1170,NA())</f>
        <v>1.0224466353669752</v>
      </c>
      <c r="R1170" s="75">
        <f>F1170-F1169</f>
        <v>0.0032106047296860396</v>
      </c>
      <c r="S1170" s="75">
        <f>0.5*(Q1169+Q1170)*R1170</f>
        <v>0.0032827418820655873</v>
      </c>
      <c r="T1170" s="75">
        <f>0.5*(F1169*Q1169+F1170*Q1170)*R1170</f>
        <v>0.016458197784374327</v>
      </c>
      <c r="U1170" s="76">
        <f>U1169+S1170</f>
        <v>5.259380537295766</v>
      </c>
      <c r="V1170" s="76">
        <f>V1169+T1170</f>
        <v>17.197346032455545</v>
      </c>
    </row>
    <row r="1171" spans="1:22" ht="19" customHeight="1">
      <c r="A1171" s="68" t="s">
        <v>372</v>
      </c>
      <c r="B1171" s="74">
        <v>2</v>
      </c>
      <c r="C1171" s="68" t="s">
        <v>363</v>
      </c>
      <c r="D1171" s="68" t="s">
        <v>364</v>
      </c>
      <c r="E1171" s="75">
        <f>60*F1171*'THAM_SO_MOI'!$C$50/(2*PI()*'THAM_SO_MOI'!$C$26)</f>
        <v>2012.7960819015923</v>
      </c>
      <c r="F1171" s="75">
        <f>'HANH_TRINH'!$F$826+('THAM_SO_MOI'!$F$50-'HANH_TRINH'!$F$826)*344/'THAM_SO_MOI'!$C$42</f>
        <v>5.018368141117525</v>
      </c>
      <c r="G1171" s="75">
        <f>3.6*F1171</f>
        <v>18.066125308023093</v>
      </c>
      <c r="H1171" s="75">
        <f>'THAM_SO_MOI'!$D$50</f>
        <v>1.8785906709588276</v>
      </c>
      <c r="I1171" s="75">
        <f>IF(F1171&gt;'THAM_SO_MOI'!$C$14,'THAM_SO_MOI'!$C$13*(1+F1171^2/1500),'THAM_SO_MOI'!$C$13)</f>
        <v>0.015</v>
      </c>
      <c r="J1171" s="75">
        <f>'THAM_SO_MOI'!$C$40*('THAM_SO_MOI'!$C$23*(E1171/'THAM_SO_MOI'!$C$22)+'THAM_SO_MOI'!$C$24*(E1171/'THAM_SO_MOI'!$C$22)^2-'THAM_SO_MOI'!$C$25*(E1171/'THAM_SO_MOI'!$C$22)^3)</f>
        <v>90.4033431746042</v>
      </c>
      <c r="K1171" s="75">
        <f>'THAM_SO_MOI'!$C$31*J1171/E1171</f>
        <v>428.98097426367565</v>
      </c>
      <c r="L1171" s="75">
        <f>K1171*'THAM_SO_MOI'!$C$50*'THAM_SO_MOI'!$C$17/'THAM_SO_MOI'!$C$26</f>
        <v>15315.20575654995</v>
      </c>
      <c r="M1171" s="75">
        <f>'THAM_SO_MOI'!$C$15*'THAM_SO_MOI'!$C$16*F1171^2</f>
        <v>73.66325498936637</v>
      </c>
      <c r="N1171" s="75">
        <f>'THAM_SO_MOI'!$C$12*I1171</f>
        <v>1130.112</v>
      </c>
      <c r="O1171" s="75">
        <f>M1171+N1171</f>
        <v>1203.7752549893664</v>
      </c>
      <c r="P1171" s="75">
        <f>(MIN(L1171,'THAM_SO_MOI'!$C$41)-O1171)/('THAM_SO_MOI'!$C$11*H1171)</f>
        <v>0.9780873901708194</v>
      </c>
      <c r="Q1171" s="75">
        <f>IF(P1171&gt;0,1/P1171,NA())</f>
        <v>1.022403529632821</v>
      </c>
      <c r="R1171" s="75">
        <f>F1171-F1170</f>
        <v>0.003210604729687816</v>
      </c>
      <c r="S1171" s="75">
        <f>0.5*(Q1170+Q1171)*R1171</f>
        <v>0.0032826028056256286</v>
      </c>
      <c r="T1171" s="75">
        <f>0.5*(F1170*Q1170+F1171*Q1171)*R1171</f>
        <v>0.01646803965856465</v>
      </c>
      <c r="U1171" s="76">
        <f>U1170+S1171</f>
        <v>5.262663140101392</v>
      </c>
      <c r="V1171" s="76">
        <f>V1170+T1171</f>
        <v>17.21381407211411</v>
      </c>
    </row>
    <row r="1172" spans="1:22" ht="19" customHeight="1">
      <c r="A1172" s="68" t="s">
        <v>372</v>
      </c>
      <c r="B1172" s="74">
        <v>2</v>
      </c>
      <c r="C1172" s="68" t="s">
        <v>363</v>
      </c>
      <c r="D1172" s="68" t="s">
        <v>364</v>
      </c>
      <c r="E1172" s="75">
        <f>60*F1172*'THAM_SO_MOI'!$C$50/(2*PI()*'THAM_SO_MOI'!$C$26)</f>
        <v>2014.0838097921585</v>
      </c>
      <c r="F1172" s="75">
        <f>'HANH_TRINH'!$F$826+('THAM_SO_MOI'!$F$50-'HANH_TRINH'!$F$826)*345/'THAM_SO_MOI'!$C$42</f>
        <v>5.021578745847211</v>
      </c>
      <c r="G1172" s="75">
        <f>3.6*F1172</f>
        <v>18.077683485049963</v>
      </c>
      <c r="H1172" s="75">
        <f>'THAM_SO_MOI'!$D$50</f>
        <v>1.8785906709588276</v>
      </c>
      <c r="I1172" s="75">
        <f>IF(F1172&gt;'THAM_SO_MOI'!$C$14,'THAM_SO_MOI'!$C$13*(1+F1172^2/1500),'THAM_SO_MOI'!$C$13)</f>
        <v>0.015</v>
      </c>
      <c r="J1172" s="75">
        <f>'THAM_SO_MOI'!$C$40*('THAM_SO_MOI'!$C$23*(E1172/'THAM_SO_MOI'!$C$22)+'THAM_SO_MOI'!$C$24*(E1172/'THAM_SO_MOI'!$C$22)^2-'THAM_SO_MOI'!$C$25*(E1172/'THAM_SO_MOI'!$C$22)^3)</f>
        <v>90.46521723437948</v>
      </c>
      <c r="K1172" s="75">
        <f>'THAM_SO_MOI'!$C$31*J1172/E1172</f>
        <v>429.00011669786164</v>
      </c>
      <c r="L1172" s="75">
        <f>K1172*'THAM_SO_MOI'!$C$50*'THAM_SO_MOI'!$C$17/'THAM_SO_MOI'!$C$26</f>
        <v>15315.889167553765</v>
      </c>
      <c r="M1172" s="75">
        <f>'THAM_SO_MOI'!$C$15*'THAM_SO_MOI'!$C$16*F1172^2</f>
        <v>73.75754031967753</v>
      </c>
      <c r="N1172" s="75">
        <f>'THAM_SO_MOI'!$C$12*I1172</f>
        <v>1130.112</v>
      </c>
      <c r="O1172" s="75">
        <f>M1172+N1172</f>
        <v>1203.8695403196775</v>
      </c>
      <c r="P1172" s="75">
        <f>(MIN(L1172,'THAM_SO_MOI'!$C$41)-O1172)/('THAM_SO_MOI'!$C$11*H1172)</f>
        <v>0.9781282234791373</v>
      </c>
      <c r="Q1172" s="75">
        <f>IF(P1172&gt;0,1/P1172,NA())</f>
        <v>1.0223608479909374</v>
      </c>
      <c r="R1172" s="75">
        <f>F1172-F1171</f>
        <v>0.0032106047296860396</v>
      </c>
      <c r="S1172" s="75">
        <f>0.5*(Q1171+Q1172)*R1172</f>
        <v>0.0032824650909461855</v>
      </c>
      <c r="T1172" s="75">
        <f>0.5*(F1171*Q1171+F1172*Q1172)*R1172</f>
        <v>0.016477887475717382</v>
      </c>
      <c r="U1172" s="76">
        <f>U1171+S1172</f>
        <v>5.2659456051923375</v>
      </c>
      <c r="V1172" s="76">
        <f>V1171+T1172</f>
        <v>17.230291959589827</v>
      </c>
    </row>
    <row r="1173" spans="1:22" ht="19" customHeight="1">
      <c r="A1173" s="68" t="s">
        <v>372</v>
      </c>
      <c r="B1173" s="74">
        <v>2</v>
      </c>
      <c r="C1173" s="68" t="s">
        <v>363</v>
      </c>
      <c r="D1173" s="68" t="s">
        <v>364</v>
      </c>
      <c r="E1173" s="75">
        <f>60*F1173*'THAM_SO_MOI'!$C$50/(2*PI()*'THAM_SO_MOI'!$C$26)</f>
        <v>2015.3715376827251</v>
      </c>
      <c r="F1173" s="75">
        <f>'HANH_TRINH'!$F$826+('THAM_SO_MOI'!$F$50-'HANH_TRINH'!$F$826)*346/'THAM_SO_MOI'!$C$42</f>
        <v>5.024789350576898</v>
      </c>
      <c r="G1173" s="75">
        <f>3.6*F1173</f>
        <v>18.089241662076834</v>
      </c>
      <c r="H1173" s="75">
        <f>'THAM_SO_MOI'!$D$50</f>
        <v>1.8785906709588276</v>
      </c>
      <c r="I1173" s="75">
        <f>IF(F1173&gt;'THAM_SO_MOI'!$C$14,'THAM_SO_MOI'!$C$13*(1+F1173^2/1500),'THAM_SO_MOI'!$C$13)</f>
        <v>0.015</v>
      </c>
      <c r="J1173" s="75">
        <f>'THAM_SO_MOI'!$C$40*('THAM_SO_MOI'!$C$23*(E1173/'THAM_SO_MOI'!$C$22)+'THAM_SO_MOI'!$C$24*(E1173/'THAM_SO_MOI'!$C$22)^2-'THAM_SO_MOI'!$C$25*(E1173/'THAM_SO_MOI'!$C$22)^3)</f>
        <v>90.52706250992004</v>
      </c>
      <c r="K1173" s="75">
        <f>'THAM_SO_MOI'!$C$31*J1173/E1173</f>
        <v>429.0190982577153</v>
      </c>
      <c r="L1173" s="75">
        <f>K1173*'THAM_SO_MOI'!$C$50*'THAM_SO_MOI'!$C$17/'THAM_SO_MOI'!$C$26</f>
        <v>15316.566835124542</v>
      </c>
      <c r="M1173" s="75">
        <f>'THAM_SO_MOI'!$C$15*'THAM_SO_MOI'!$C$16*F1173^2</f>
        <v>73.8518859516877</v>
      </c>
      <c r="N1173" s="75">
        <f>'THAM_SO_MOI'!$C$12*I1173</f>
        <v>1130.112</v>
      </c>
      <c r="O1173" s="75">
        <f>M1173+N1173</f>
        <v>1203.9638859516879</v>
      </c>
      <c r="P1173" s="75">
        <f>(MIN(L1173,'THAM_SO_MOI'!$C$41)-O1173)/('THAM_SO_MOI'!$C$11*H1173)</f>
        <v>0.9781686545206717</v>
      </c>
      <c r="Q1173" s="75">
        <f>IF(P1173&gt;0,1/P1173,NA())</f>
        <v>1.0223185903355554</v>
      </c>
      <c r="R1173" s="75">
        <f>F1173-F1172</f>
        <v>0.0032106047296869278</v>
      </c>
      <c r="S1173" s="75">
        <f>0.5*(Q1172+Q1173)*R1173</f>
        <v>0.0032823287376923245</v>
      </c>
      <c r="T1173" s="75">
        <f>0.5*(F1172*Q1172+F1173*Q1173)*R1173</f>
        <v>0.016487741247266298</v>
      </c>
      <c r="U1173" s="76">
        <f>U1172+S1173</f>
        <v>5.26922793393003</v>
      </c>
      <c r="V1173" s="76">
        <f>V1172+T1173</f>
        <v>17.246779700837095</v>
      </c>
    </row>
    <row r="1174" spans="1:22" ht="19" customHeight="1">
      <c r="A1174" s="68" t="s">
        <v>372</v>
      </c>
      <c r="B1174" s="74">
        <v>2</v>
      </c>
      <c r="C1174" s="68" t="s">
        <v>363</v>
      </c>
      <c r="D1174" s="68" t="s">
        <v>364</v>
      </c>
      <c r="E1174" s="75">
        <f>60*F1174*'THAM_SO_MOI'!$C$50/(2*PI()*'THAM_SO_MOI'!$C$26)</f>
        <v>2016.659265573292</v>
      </c>
      <c r="F1174" s="75">
        <f>'HANH_TRINH'!$F$826+('THAM_SO_MOI'!$F$50-'HANH_TRINH'!$F$826)*347/'THAM_SO_MOI'!$C$42</f>
        <v>5.027999955306585</v>
      </c>
      <c r="G1174" s="75">
        <f>3.6*F1174</f>
        <v>18.100799839103708</v>
      </c>
      <c r="H1174" s="75">
        <f>'THAM_SO_MOI'!$D$50</f>
        <v>1.8785906709588276</v>
      </c>
      <c r="I1174" s="75">
        <f>IF(F1174&gt;'THAM_SO_MOI'!$C$14,'THAM_SO_MOI'!$C$13*(1+F1174^2/1500),'THAM_SO_MOI'!$C$13)</f>
        <v>0.015</v>
      </c>
      <c r="J1174" s="75">
        <f>'THAM_SO_MOI'!$C$40*('THAM_SO_MOI'!$C$23*(E1174/'THAM_SO_MOI'!$C$22)+'THAM_SO_MOI'!$C$24*(E1174/'THAM_SO_MOI'!$C$22)^2-'THAM_SO_MOI'!$C$25*(E1174/'THAM_SO_MOI'!$C$22)^3)</f>
        <v>90.58887893615619</v>
      </c>
      <c r="K1174" s="75">
        <f>'THAM_SO_MOI'!$C$31*J1174/E1174</f>
        <v>429.0379189432368</v>
      </c>
      <c r="L1174" s="75">
        <f>K1174*'THAM_SO_MOI'!$C$50*'THAM_SO_MOI'!$C$17/'THAM_SO_MOI'!$C$26</f>
        <v>15317.238759262285</v>
      </c>
      <c r="M1174" s="75">
        <f>'THAM_SO_MOI'!$C$15*'THAM_SO_MOI'!$C$16*F1174^2</f>
        <v>73.94629188539686</v>
      </c>
      <c r="N1174" s="75">
        <f>'THAM_SO_MOI'!$C$12*I1174</f>
        <v>1130.112</v>
      </c>
      <c r="O1174" s="75">
        <f>M1174+N1174</f>
        <v>1204.058291885397</v>
      </c>
      <c r="P1174" s="75">
        <f>(MIN(L1174,'THAM_SO_MOI'!$C$41)-O1174)/('THAM_SO_MOI'!$C$11*H1174)</f>
        <v>0.9782086832954225</v>
      </c>
      <c r="Q1174" s="75">
        <f>IF(P1174&gt;0,1/P1174,NA())</f>
        <v>1.0222767565619701</v>
      </c>
      <c r="R1174" s="75">
        <f>F1174-F1173</f>
        <v>0.0032106047296869278</v>
      </c>
      <c r="S1174" s="75">
        <f>0.5*(Q1173+Q1174)*R1174</f>
        <v>0.00328219374552254</v>
      </c>
      <c r="T1174" s="75">
        <f>0.5*(F1173*Q1173+F1174*Q1174)*R1174</f>
        <v>0.01649760098460787</v>
      </c>
      <c r="U1174" s="76">
        <f>U1173+S1174</f>
        <v>5.272510127675552</v>
      </c>
      <c r="V1174" s="76">
        <f>V1173+T1174</f>
        <v>17.263277301821702</v>
      </c>
    </row>
    <row r="1175" spans="1:22" ht="19" customHeight="1">
      <c r="A1175" s="68" t="s">
        <v>372</v>
      </c>
      <c r="B1175" s="74">
        <v>2</v>
      </c>
      <c r="C1175" s="68" t="s">
        <v>363</v>
      </c>
      <c r="D1175" s="68" t="s">
        <v>364</v>
      </c>
      <c r="E1175" s="75">
        <f>60*F1175*'THAM_SO_MOI'!$C$50/(2*PI()*'THAM_SO_MOI'!$C$26)</f>
        <v>2017.9469934638587</v>
      </c>
      <c r="F1175" s="75">
        <f>'HANH_TRINH'!$F$826+('THAM_SO_MOI'!$F$50-'HANH_TRINH'!$F$826)*348/'THAM_SO_MOI'!$C$42</f>
        <v>5.031210560036272</v>
      </c>
      <c r="G1175" s="75">
        <f>3.6*F1175</f>
        <v>18.11235801613058</v>
      </c>
      <c r="H1175" s="75">
        <f>'THAM_SO_MOI'!$D$50</f>
        <v>1.8785906709588276</v>
      </c>
      <c r="I1175" s="75">
        <f>IF(F1175&gt;'THAM_SO_MOI'!$C$14,'THAM_SO_MOI'!$C$13*(1+F1175^2/1500),'THAM_SO_MOI'!$C$13)</f>
        <v>0.015</v>
      </c>
      <c r="J1175" s="75">
        <f>'THAM_SO_MOI'!$C$40*('THAM_SO_MOI'!$C$23*(E1175/'THAM_SO_MOI'!$C$22)+'THAM_SO_MOI'!$C$24*(E1175/'THAM_SO_MOI'!$C$22)^2-'THAM_SO_MOI'!$C$25*(E1175/'THAM_SO_MOI'!$C$22)^3)</f>
        <v>90.65066644801817</v>
      </c>
      <c r="K1175" s="75">
        <f>'THAM_SO_MOI'!$C$31*J1175/E1175</f>
        <v>429.0565787544258</v>
      </c>
      <c r="L1175" s="75">
        <f>K1175*'THAM_SO_MOI'!$C$50*'THAM_SO_MOI'!$C$17/'THAM_SO_MOI'!$C$26</f>
        <v>15317.904939966986</v>
      </c>
      <c r="M1175" s="75">
        <f>'THAM_SO_MOI'!$C$15*'THAM_SO_MOI'!$C$16*F1175^2</f>
        <v>74.04075812080497</v>
      </c>
      <c r="N1175" s="75">
        <f>'THAM_SO_MOI'!$C$12*I1175</f>
        <v>1130.112</v>
      </c>
      <c r="O1175" s="75">
        <f>M1175+N1175</f>
        <v>1204.152758120805</v>
      </c>
      <c r="P1175" s="75">
        <f>(MIN(L1175,'THAM_SO_MOI'!$C$41)-O1175)/('THAM_SO_MOI'!$C$11*H1175)</f>
        <v>0.9782483098033892</v>
      </c>
      <c r="Q1175" s="75">
        <f>IF(P1175&gt;0,1/P1175,NA())</f>
        <v>1.0222353465665406</v>
      </c>
      <c r="R1175" s="75">
        <f>F1175-F1174</f>
        <v>0.0032106047296869278</v>
      </c>
      <c r="S1175" s="75">
        <f>0.5*(Q1174+Q1175)*R1175</f>
        <v>0.003282060114103282</v>
      </c>
      <c r="T1175" s="75">
        <f>0.5*(F1174*Q1174+F1175*Q1175)*R1175</f>
        <v>0.01650746669917418</v>
      </c>
      <c r="U1175" s="76">
        <f>U1174+S1175</f>
        <v>5.275792187789656</v>
      </c>
      <c r="V1175" s="76">
        <f>V1174+T1175</f>
        <v>17.279784768520877</v>
      </c>
    </row>
    <row r="1176" spans="1:22" ht="19" customHeight="1">
      <c r="A1176" s="68" t="s">
        <v>372</v>
      </c>
      <c r="B1176" s="74">
        <v>2</v>
      </c>
      <c r="C1176" s="68" t="s">
        <v>363</v>
      </c>
      <c r="D1176" s="68" t="s">
        <v>364</v>
      </c>
      <c r="E1176" s="75">
        <f>60*F1176*'THAM_SO_MOI'!$C$50/(2*PI()*'THAM_SO_MOI'!$C$26)</f>
        <v>2019.2347213544258</v>
      </c>
      <c r="F1176" s="75">
        <f>'HANH_TRINH'!$F$826+('THAM_SO_MOI'!$F$50-'HANH_TRINH'!$F$826)*349/'THAM_SO_MOI'!$C$42</f>
        <v>5.034421164765959</v>
      </c>
      <c r="G1176" s="75">
        <f>3.6*F1176</f>
        <v>18.123916193157452</v>
      </c>
      <c r="H1176" s="75">
        <f>'THAM_SO_MOI'!$D$50</f>
        <v>1.8785906709588276</v>
      </c>
      <c r="I1176" s="75">
        <f>IF(F1176&gt;'THAM_SO_MOI'!$C$14,'THAM_SO_MOI'!$C$13*(1+F1176^2/1500),'THAM_SO_MOI'!$C$13)</f>
        <v>0.015</v>
      </c>
      <c r="J1176" s="75">
        <f>'THAM_SO_MOI'!$C$40*('THAM_SO_MOI'!$C$23*(E1176/'THAM_SO_MOI'!$C$22)+'THAM_SO_MOI'!$C$24*(E1176/'THAM_SO_MOI'!$C$22)^2-'THAM_SO_MOI'!$C$25*(E1176/'THAM_SO_MOI'!$C$22)^3)</f>
        <v>90.71242498043638</v>
      </c>
      <c r="K1176" s="75">
        <f>'THAM_SO_MOI'!$C$31*J1176/E1176</f>
        <v>429.07507769128273</v>
      </c>
      <c r="L1176" s="75">
        <f>K1176*'THAM_SO_MOI'!$C$50*'THAM_SO_MOI'!$C$17/'THAM_SO_MOI'!$C$26</f>
        <v>15318.56537723866</v>
      </c>
      <c r="M1176" s="75">
        <f>'THAM_SO_MOI'!$C$15*'THAM_SO_MOI'!$C$16*F1176^2</f>
        <v>74.13528465791205</v>
      </c>
      <c r="N1176" s="75">
        <f>'THAM_SO_MOI'!$C$12*I1176</f>
        <v>1130.112</v>
      </c>
      <c r="O1176" s="75">
        <f>M1176+N1176</f>
        <v>1204.2472846579121</v>
      </c>
      <c r="P1176" s="75">
        <f>(MIN(L1176,'THAM_SO_MOI'!$C$41)-O1176)/('THAM_SO_MOI'!$C$11*H1176)</f>
        <v>0.9782875340445731</v>
      </c>
      <c r="Q1176" s="75">
        <f>IF(P1176&gt;0,1/P1176,NA())</f>
        <v>1.0221943602466854</v>
      </c>
      <c r="R1176" s="75">
        <f>F1176-F1175</f>
        <v>0.0032106047296869278</v>
      </c>
      <c r="S1176" s="75">
        <f>0.5*(Q1175+Q1176)*R1176</f>
        <v>0.003281927843103501</v>
      </c>
      <c r="T1176" s="75">
        <f>0.5*(F1175*Q1175+F1176*Q1176)*R1176</f>
        <v>0.016517338402405612</v>
      </c>
      <c r="U1176" s="76">
        <f>U1175+S1176</f>
        <v>5.279074115632759</v>
      </c>
      <c r="V1176" s="76">
        <f>V1175+T1176</f>
        <v>17.29630210692328</v>
      </c>
    </row>
    <row r="1177" spans="1:22" ht="19" customHeight="1">
      <c r="A1177" s="68" t="s">
        <v>372</v>
      </c>
      <c r="B1177" s="74">
        <v>2</v>
      </c>
      <c r="C1177" s="68" t="s">
        <v>363</v>
      </c>
      <c r="D1177" s="68" t="s">
        <v>364</v>
      </c>
      <c r="E1177" s="75">
        <f>60*F1177*'THAM_SO_MOI'!$C$50/(2*PI()*'THAM_SO_MOI'!$C$26)</f>
        <v>2020.5224492449925</v>
      </c>
      <c r="F1177" s="75">
        <f>'HANH_TRINH'!$F$826+('THAM_SO_MOI'!$F$50-'HANH_TRINH'!$F$826)*350/'THAM_SO_MOI'!$C$42</f>
        <v>5.037631769495646</v>
      </c>
      <c r="G1177" s="75">
        <f>3.6*F1177</f>
        <v>18.135474370184326</v>
      </c>
      <c r="H1177" s="75">
        <f>'THAM_SO_MOI'!$D$50</f>
        <v>1.8785906709588276</v>
      </c>
      <c r="I1177" s="75">
        <f>IF(F1177&gt;'THAM_SO_MOI'!$C$14,'THAM_SO_MOI'!$C$13*(1+F1177^2/1500),'THAM_SO_MOI'!$C$13)</f>
        <v>0.015</v>
      </c>
      <c r="J1177" s="75">
        <f>'THAM_SO_MOI'!$C$40*('THAM_SO_MOI'!$C$23*(E1177/'THAM_SO_MOI'!$C$22)+'THAM_SO_MOI'!$C$24*(E1177/'THAM_SO_MOI'!$C$22)^2-'THAM_SO_MOI'!$C$25*(E1177/'THAM_SO_MOI'!$C$22)^3)</f>
        <v>90.77415446834107</v>
      </c>
      <c r="K1177" s="75">
        <f>'THAM_SO_MOI'!$C$31*J1177/E1177</f>
        <v>429.0934157538075</v>
      </c>
      <c r="L1177" s="75">
        <f>K1177*'THAM_SO_MOI'!$C$50*'THAM_SO_MOI'!$C$17/'THAM_SO_MOI'!$C$26</f>
        <v>15319.220071077298</v>
      </c>
      <c r="M1177" s="75">
        <f>'THAM_SO_MOI'!$C$15*'THAM_SO_MOI'!$C$16*F1177^2</f>
        <v>74.22987149671812</v>
      </c>
      <c r="N1177" s="75">
        <f>'THAM_SO_MOI'!$C$12*I1177</f>
        <v>1130.112</v>
      </c>
      <c r="O1177" s="75">
        <f>M1177+N1177</f>
        <v>1204.341871496718</v>
      </c>
      <c r="P1177" s="75">
        <f>(MIN(L1177,'THAM_SO_MOI'!$C$41)-O1177)/('THAM_SO_MOI'!$C$11*H1177)</f>
        <v>0.9783263560189734</v>
      </c>
      <c r="Q1177" s="75">
        <f>IF(P1177&gt;0,1/P1177,NA())</f>
        <v>1.0221537975008885</v>
      </c>
      <c r="R1177" s="75">
        <f>F1177-F1176</f>
        <v>0.0032106047296869278</v>
      </c>
      <c r="S1177" s="75">
        <f>0.5*(Q1176+Q1177)*R1177</f>
        <v>0.003281796932195559</v>
      </c>
      <c r="T1177" s="75">
        <f>0.5*(F1176*Q1176+F1177*Q1177)*R1177</f>
        <v>0.01652721610575549</v>
      </c>
      <c r="U1177" s="76">
        <f>U1176+S1177</f>
        <v>5.282355912564954</v>
      </c>
      <c r="V1177" s="76">
        <f>V1176+T1177</f>
        <v>17.31282932302904</v>
      </c>
    </row>
    <row r="1178" spans="1:22" ht="19" customHeight="1">
      <c r="A1178" s="68" t="s">
        <v>372</v>
      </c>
      <c r="B1178" s="74">
        <v>2</v>
      </c>
      <c r="C1178" s="68" t="s">
        <v>363</v>
      </c>
      <c r="D1178" s="68" t="s">
        <v>364</v>
      </c>
      <c r="E1178" s="75">
        <f>60*F1178*'THAM_SO_MOI'!$C$50/(2*PI()*'THAM_SO_MOI'!$C$26)</f>
        <v>2021.8101771355591</v>
      </c>
      <c r="F1178" s="75">
        <f>'HANH_TRINH'!$F$826+('THAM_SO_MOI'!$F$50-'HANH_TRINH'!$F$826)*351/'THAM_SO_MOI'!$C$42</f>
        <v>5.040842374225333</v>
      </c>
      <c r="G1178" s="75">
        <f>3.6*F1178</f>
        <v>18.1470325472112</v>
      </c>
      <c r="H1178" s="75">
        <f>'THAM_SO_MOI'!$D$50</f>
        <v>1.8785906709588276</v>
      </c>
      <c r="I1178" s="75">
        <f>IF(F1178&gt;'THAM_SO_MOI'!$C$14,'THAM_SO_MOI'!$C$13*(1+F1178^2/1500),'THAM_SO_MOI'!$C$13)</f>
        <v>0.015</v>
      </c>
      <c r="J1178" s="75">
        <f>'THAM_SO_MOI'!$C$40*('THAM_SO_MOI'!$C$23*(E1178/'THAM_SO_MOI'!$C$22)+'THAM_SO_MOI'!$C$24*(E1178/'THAM_SO_MOI'!$C$22)^2-'THAM_SO_MOI'!$C$25*(E1178/'THAM_SO_MOI'!$C$22)^3)</f>
        <v>90.83585484666253</v>
      </c>
      <c r="K1178" s="75">
        <f>'THAM_SO_MOI'!$C$31*J1178/E1178</f>
        <v>429.111592942</v>
      </c>
      <c r="L1178" s="75">
        <f>K1178*'THAM_SO_MOI'!$C$50*'THAM_SO_MOI'!$C$17/'THAM_SO_MOI'!$C$26</f>
        <v>15319.869021482898</v>
      </c>
      <c r="M1178" s="75">
        <f>'THAM_SO_MOI'!$C$15*'THAM_SO_MOI'!$C$16*F1178^2</f>
        <v>74.32451863722315</v>
      </c>
      <c r="N1178" s="75">
        <f>'THAM_SO_MOI'!$C$12*I1178</f>
        <v>1130.112</v>
      </c>
      <c r="O1178" s="75">
        <f>M1178+N1178</f>
        <v>1204.4365186372233</v>
      </c>
      <c r="P1178" s="75">
        <f>(MIN(L1178,'THAM_SO_MOI'!$C$41)-O1178)/('THAM_SO_MOI'!$C$11*H1178)</f>
        <v>0.97836477572659</v>
      </c>
      <c r="Q1178" s="75">
        <f>IF(P1178&gt;0,1/P1178,NA())</f>
        <v>1.0221136582286934</v>
      </c>
      <c r="R1178" s="75">
        <f>F1178-F1177</f>
        <v>0.0032106047296869278</v>
      </c>
      <c r="S1178" s="75">
        <f>0.5*(Q1177+Q1178)*R1178</f>
        <v>0.0032816673810552284</v>
      </c>
      <c r="T1178" s="75">
        <f>0.5*(F1177*Q1177+F1178*Q1178)*R1178</f>
        <v>0.016537099820690102</v>
      </c>
      <c r="U1178" s="76">
        <f>U1177+S1178</f>
        <v>5.28563757994601</v>
      </c>
      <c r="V1178" s="76">
        <f>V1177+T1178</f>
        <v>17.32936642284973</v>
      </c>
    </row>
    <row r="1179" spans="1:22" ht="19" customHeight="1">
      <c r="A1179" s="68" t="s">
        <v>372</v>
      </c>
      <c r="B1179" s="74">
        <v>2</v>
      </c>
      <c r="C1179" s="68" t="s">
        <v>363</v>
      </c>
      <c r="D1179" s="68" t="s">
        <v>364</v>
      </c>
      <c r="E1179" s="75">
        <f>60*F1179*'THAM_SO_MOI'!$C$50/(2*PI()*'THAM_SO_MOI'!$C$26)</f>
        <v>2023.0979050261253</v>
      </c>
      <c r="F1179" s="75">
        <f>'HANH_TRINH'!$F$826+('THAM_SO_MOI'!$F$50-'HANH_TRINH'!$F$826)*352/'THAM_SO_MOI'!$C$42</f>
        <v>5.044052978955019</v>
      </c>
      <c r="G1179" s="75">
        <f>3.6*F1179</f>
        <v>18.15859072423807</v>
      </c>
      <c r="H1179" s="75">
        <f>'THAM_SO_MOI'!$D$50</f>
        <v>1.8785906709588276</v>
      </c>
      <c r="I1179" s="75">
        <f>IF(F1179&gt;'THAM_SO_MOI'!$C$14,'THAM_SO_MOI'!$C$13*(1+F1179^2/1500),'THAM_SO_MOI'!$C$13)</f>
        <v>0.015</v>
      </c>
      <c r="J1179" s="75">
        <f>'THAM_SO_MOI'!$C$40*('THAM_SO_MOI'!$C$23*(E1179/'THAM_SO_MOI'!$C$22)+'THAM_SO_MOI'!$C$24*(E1179/'THAM_SO_MOI'!$C$22)^2-'THAM_SO_MOI'!$C$25*(E1179/'THAM_SO_MOI'!$C$22)^3)</f>
        <v>90.897526050331</v>
      </c>
      <c r="K1179" s="75">
        <f>'THAM_SO_MOI'!$C$31*J1179/E1179</f>
        <v>429.12960925586003</v>
      </c>
      <c r="L1179" s="75">
        <f>K1179*'THAM_SO_MOI'!$C$50*'THAM_SO_MOI'!$C$17/'THAM_SO_MOI'!$C$26</f>
        <v>15320.512228455455</v>
      </c>
      <c r="M1179" s="75">
        <f>'THAM_SO_MOI'!$C$15*'THAM_SO_MOI'!$C$16*F1179^2</f>
        <v>74.41922607942713</v>
      </c>
      <c r="N1179" s="75">
        <f>'THAM_SO_MOI'!$C$12*I1179</f>
        <v>1130.112</v>
      </c>
      <c r="O1179" s="75">
        <f>M1179+N1179</f>
        <v>1204.5312260794271</v>
      </c>
      <c r="P1179" s="75">
        <f>(MIN(L1179,'THAM_SO_MOI'!$C$41)-O1179)/('THAM_SO_MOI'!$C$11*H1179)</f>
        <v>0.9784027931674221</v>
      </c>
      <c r="Q1179" s="75">
        <f>IF(P1179&gt;0,1/P1179,NA())</f>
        <v>1.0220739423307046</v>
      </c>
      <c r="R1179" s="75">
        <f>F1179-F1178</f>
        <v>0.0032106047296860396</v>
      </c>
      <c r="S1179" s="75">
        <f>0.5*(Q1178+Q1179)*R1179</f>
        <v>0.0032815391893607796</v>
      </c>
      <c r="T1179" s="75">
        <f>0.5*(F1178*Q1178+F1179*Q1179)*R1179</f>
        <v>0.016546989558684173</v>
      </c>
      <c r="U1179" s="76">
        <f>U1178+S1179</f>
        <v>5.288919119135371</v>
      </c>
      <c r="V1179" s="76">
        <f>V1178+T1179</f>
        <v>17.345913412408414</v>
      </c>
    </row>
    <row r="1180" spans="1:22" ht="19" customHeight="1">
      <c r="A1180" s="68" t="s">
        <v>372</v>
      </c>
      <c r="B1180" s="74">
        <v>2</v>
      </c>
      <c r="C1180" s="68" t="s">
        <v>363</v>
      </c>
      <c r="D1180" s="68" t="s">
        <v>364</v>
      </c>
      <c r="E1180" s="75">
        <f>60*F1180*'THAM_SO_MOI'!$C$50/(2*PI()*'THAM_SO_MOI'!$C$26)</f>
        <v>2024.385632916692</v>
      </c>
      <c r="F1180" s="75">
        <f>'HANH_TRINH'!$F$826+('THAM_SO_MOI'!$F$50-'HANH_TRINH'!$F$826)*353/'THAM_SO_MOI'!$C$42</f>
        <v>5.047263583684706</v>
      </c>
      <c r="G1180" s="75">
        <f>3.6*F1180</f>
        <v>18.17014890126494</v>
      </c>
      <c r="H1180" s="75">
        <f>'THAM_SO_MOI'!$D$50</f>
        <v>1.8785906709588276</v>
      </c>
      <c r="I1180" s="75">
        <f>IF(F1180&gt;'THAM_SO_MOI'!$C$14,'THAM_SO_MOI'!$C$13*(1+F1180^2/1500),'THAM_SO_MOI'!$C$13)</f>
        <v>0.015</v>
      </c>
      <c r="J1180" s="75">
        <f>'THAM_SO_MOI'!$C$40*('THAM_SO_MOI'!$C$23*(E1180/'THAM_SO_MOI'!$C$22)+'THAM_SO_MOI'!$C$24*(E1180/'THAM_SO_MOI'!$C$22)^2-'THAM_SO_MOI'!$C$25*(E1180/'THAM_SO_MOI'!$C$22)^3)</f>
        <v>90.9591680142769</v>
      </c>
      <c r="K1180" s="75">
        <f>'THAM_SO_MOI'!$C$31*J1180/E1180</f>
        <v>429.14746469538795</v>
      </c>
      <c r="L1180" s="75">
        <f>K1180*'THAM_SO_MOI'!$C$50*'THAM_SO_MOI'!$C$17/'THAM_SO_MOI'!$C$26</f>
        <v>15321.149691994982</v>
      </c>
      <c r="M1180" s="75">
        <f>'THAM_SO_MOI'!$C$15*'THAM_SO_MOI'!$C$16*F1180^2</f>
        <v>74.51399382333011</v>
      </c>
      <c r="N1180" s="75">
        <f>'THAM_SO_MOI'!$C$12*I1180</f>
        <v>1130.112</v>
      </c>
      <c r="O1180" s="75">
        <f>M1180+N1180</f>
        <v>1204.6259938233302</v>
      </c>
      <c r="P1180" s="75">
        <f>(MIN(L1180,'THAM_SO_MOI'!$C$41)-O1180)/('THAM_SO_MOI'!$C$11*H1180)</f>
        <v>0.9784404083414714</v>
      </c>
      <c r="Q1180" s="75">
        <f>IF(P1180&gt;0,1/P1180,NA())</f>
        <v>1.0220346497085844</v>
      </c>
      <c r="R1180" s="75">
        <f>F1180-F1179</f>
        <v>0.0032106047296869278</v>
      </c>
      <c r="S1180" s="75">
        <f>0.5*(Q1179+Q1180)*R1180</f>
        <v>0.0032814123567975143</v>
      </c>
      <c r="T1180" s="75">
        <f>0.5*(F1179*Q1179+F1180*Q1180)*R1180</f>
        <v>0.016556885331243786</v>
      </c>
      <c r="U1180" s="76">
        <f>U1179+S1180</f>
        <v>5.292200531492169</v>
      </c>
      <c r="V1180" s="76">
        <f>V1179+T1180</f>
        <v>17.36247029773966</v>
      </c>
    </row>
    <row r="1181" spans="1:22" ht="19" customHeight="1">
      <c r="A1181" s="68" t="s">
        <v>372</v>
      </c>
      <c r="B1181" s="74">
        <v>2</v>
      </c>
      <c r="C1181" s="68" t="s">
        <v>363</v>
      </c>
      <c r="D1181" s="68" t="s">
        <v>364</v>
      </c>
      <c r="E1181" s="75">
        <f>60*F1181*'THAM_SO_MOI'!$C$50/(2*PI()*'THAM_SO_MOI'!$C$26)</f>
        <v>2025.6733608072589</v>
      </c>
      <c r="F1181" s="75">
        <f>'HANH_TRINH'!$F$826+('THAM_SO_MOI'!$F$50-'HANH_TRINH'!$F$826)*354/'THAM_SO_MOI'!$C$42</f>
        <v>5.050474188414393</v>
      </c>
      <c r="G1181" s="75">
        <f>3.6*F1181</f>
        <v>18.181707078291815</v>
      </c>
      <c r="H1181" s="75">
        <f>'THAM_SO_MOI'!$D$50</f>
        <v>1.8785906709588276</v>
      </c>
      <c r="I1181" s="75">
        <f>IF(F1181&gt;'THAM_SO_MOI'!$C$14,'THAM_SO_MOI'!$C$13*(1+F1181^2/1500),'THAM_SO_MOI'!$C$13)</f>
        <v>0.015</v>
      </c>
      <c r="J1181" s="75">
        <f>'THAM_SO_MOI'!$C$40*('THAM_SO_MOI'!$C$23*(E1181/'THAM_SO_MOI'!$C$22)+'THAM_SO_MOI'!$C$24*(E1181/'THAM_SO_MOI'!$C$22)^2-'THAM_SO_MOI'!$C$25*(E1181/'THAM_SO_MOI'!$C$22)^3)</f>
        <v>91.02078067343048</v>
      </c>
      <c r="K1181" s="75">
        <f>'THAM_SO_MOI'!$C$31*J1181/E1181</f>
        <v>429.16515926058355</v>
      </c>
      <c r="L1181" s="75">
        <f>K1181*'THAM_SO_MOI'!$C$50*'THAM_SO_MOI'!$C$17/'THAM_SO_MOI'!$C$26</f>
        <v>15321.78141210147</v>
      </c>
      <c r="M1181" s="75">
        <f>'THAM_SO_MOI'!$C$15*'THAM_SO_MOI'!$C$16*F1181^2</f>
        <v>74.60882186893207</v>
      </c>
      <c r="N1181" s="75">
        <f>'THAM_SO_MOI'!$C$12*I1181</f>
        <v>1130.112</v>
      </c>
      <c r="O1181" s="75">
        <f>M1181+N1181</f>
        <v>1204.720821868932</v>
      </c>
      <c r="P1181" s="75">
        <f>(MIN(L1181,'THAM_SO_MOI'!$C$41)-O1181)/('THAM_SO_MOI'!$C$11*H1181)</f>
        <v>0.9784776212487366</v>
      </c>
      <c r="Q1181" s="75">
        <f>IF(P1181&gt;0,1/P1181,NA())</f>
        <v>1.0219957802650574</v>
      </c>
      <c r="R1181" s="75">
        <f>F1181-F1180</f>
        <v>0.0032106047296869278</v>
      </c>
      <c r="S1181" s="75">
        <f>0.5*(Q1180+Q1181)*R1181</f>
        <v>0.0032812868830486897</v>
      </c>
      <c r="T1181" s="75">
        <f>0.5*(F1180*Q1180+F1181*Q1181)*R1181</f>
        <v>0.016566787149860648</v>
      </c>
      <c r="U1181" s="76">
        <f>U1180+S1181</f>
        <v>5.295481818375217</v>
      </c>
      <c r="V1181" s="76">
        <f>V1180+T1181</f>
        <v>17.379037084889518</v>
      </c>
    </row>
    <row r="1182" spans="1:22" ht="19" customHeight="1">
      <c r="A1182" s="68" t="s">
        <v>372</v>
      </c>
      <c r="B1182" s="74">
        <v>2</v>
      </c>
      <c r="C1182" s="68" t="s">
        <v>363</v>
      </c>
      <c r="D1182" s="68" t="s">
        <v>364</v>
      </c>
      <c r="E1182" s="75">
        <f>60*F1182*'THAM_SO_MOI'!$C$50/(2*PI()*'THAM_SO_MOI'!$C$26)</f>
        <v>2026.9610886978255</v>
      </c>
      <c r="F1182" s="75">
        <f>'HANH_TRINH'!$F$826+('THAM_SO_MOI'!$F$50-'HANH_TRINH'!$F$826)*355/'THAM_SO_MOI'!$C$42</f>
        <v>5.05368479314408</v>
      </c>
      <c r="G1182" s="75">
        <f>3.6*F1182</f>
        <v>18.19326525531869</v>
      </c>
      <c r="H1182" s="75">
        <f>'THAM_SO_MOI'!$D$50</f>
        <v>1.8785906709588276</v>
      </c>
      <c r="I1182" s="75">
        <f>IF(F1182&gt;'THAM_SO_MOI'!$C$14,'THAM_SO_MOI'!$C$13*(1+F1182^2/1500),'THAM_SO_MOI'!$C$13)</f>
        <v>0.015</v>
      </c>
      <c r="J1182" s="75">
        <f>'THAM_SO_MOI'!$C$40*('THAM_SO_MOI'!$C$23*(E1182/'THAM_SO_MOI'!$C$22)+'THAM_SO_MOI'!$C$24*(E1182/'THAM_SO_MOI'!$C$22)^2-'THAM_SO_MOI'!$C$25*(E1182/'THAM_SO_MOI'!$C$22)^3)</f>
        <v>91.08236396272207</v>
      </c>
      <c r="K1182" s="75">
        <f>'THAM_SO_MOI'!$C$31*J1182/E1182</f>
        <v>429.18269295144705</v>
      </c>
      <c r="L1182" s="75">
        <f>K1182*'THAM_SO_MOI'!$C$50*'THAM_SO_MOI'!$C$17/'THAM_SO_MOI'!$C$26</f>
        <v>15322.40738877493</v>
      </c>
      <c r="M1182" s="75">
        <f>'THAM_SO_MOI'!$C$15*'THAM_SO_MOI'!$C$16*F1182^2</f>
        <v>74.70371021623299</v>
      </c>
      <c r="N1182" s="75">
        <f>'THAM_SO_MOI'!$C$12*I1182</f>
        <v>1130.112</v>
      </c>
      <c r="O1182" s="75">
        <f>M1182+N1182</f>
        <v>1204.8157102162331</v>
      </c>
      <c r="P1182" s="75">
        <f>(MIN(L1182,'THAM_SO_MOI'!$C$41)-O1182)/('THAM_SO_MOI'!$C$11*H1182)</f>
        <v>0.9785144318892188</v>
      </c>
      <c r="Q1182" s="75">
        <f>IF(P1182&gt;0,1/P1182,NA())</f>
        <v>1.0219573339039048</v>
      </c>
      <c r="R1182" s="75">
        <f>F1182-F1181</f>
        <v>0.0032106047296869278</v>
      </c>
      <c r="S1182" s="75">
        <f>0.5*(Q1181+Q1182)*R1182</f>
        <v>0.003281162767804598</v>
      </c>
      <c r="T1182" s="75">
        <f>0.5*(F1181*Q1181+F1182*Q1182)*R1182</f>
        <v>0.016576695026057936</v>
      </c>
      <c r="U1182" s="76">
        <f>U1181+S1182</f>
        <v>5.298762981143022</v>
      </c>
      <c r="V1182" s="76">
        <f>V1181+T1182</f>
        <v>17.395613779915575</v>
      </c>
    </row>
    <row r="1183" spans="1:22" ht="19" customHeight="1">
      <c r="A1183" s="68" t="s">
        <v>372</v>
      </c>
      <c r="B1183" s="74">
        <v>2</v>
      </c>
      <c r="C1183" s="68" t="s">
        <v>363</v>
      </c>
      <c r="D1183" s="68" t="s">
        <v>364</v>
      </c>
      <c r="E1183" s="75">
        <f>60*F1183*'THAM_SO_MOI'!$C$50/(2*PI()*'THAM_SO_MOI'!$C$26)</f>
        <v>2028.2488165883922</v>
      </c>
      <c r="F1183" s="75">
        <f>'HANH_TRINH'!$F$826+('THAM_SO_MOI'!$F$50-'HANH_TRINH'!$F$826)*356/'THAM_SO_MOI'!$C$42</f>
        <v>5.056895397873767</v>
      </c>
      <c r="G1183" s="75">
        <f>3.6*F1183</f>
        <v>18.20482343234556</v>
      </c>
      <c r="H1183" s="75">
        <f>'THAM_SO_MOI'!$D$50</f>
        <v>1.8785906709588276</v>
      </c>
      <c r="I1183" s="75">
        <f>IF(F1183&gt;'THAM_SO_MOI'!$C$14,'THAM_SO_MOI'!$C$13*(1+F1183^2/1500),'THAM_SO_MOI'!$C$13)</f>
        <v>0.015</v>
      </c>
      <c r="J1183" s="75">
        <f>'THAM_SO_MOI'!$C$40*('THAM_SO_MOI'!$C$23*(E1183/'THAM_SO_MOI'!$C$22)+'THAM_SO_MOI'!$C$24*(E1183/'THAM_SO_MOI'!$C$22)^2-'THAM_SO_MOI'!$C$25*(E1183/'THAM_SO_MOI'!$C$22)^3)</f>
        <v>91.1439178170819</v>
      </c>
      <c r="K1183" s="75">
        <f>'THAM_SO_MOI'!$C$31*J1183/E1183</f>
        <v>429.2000657679781</v>
      </c>
      <c r="L1183" s="75">
        <f>K1183*'THAM_SO_MOI'!$C$50*'THAM_SO_MOI'!$C$17/'THAM_SO_MOI'!$C$26</f>
        <v>15323.027622015343</v>
      </c>
      <c r="M1183" s="75">
        <f>'THAM_SO_MOI'!$C$15*'THAM_SO_MOI'!$C$16*F1183^2</f>
        <v>74.79865886523288</v>
      </c>
      <c r="N1183" s="75">
        <f>'THAM_SO_MOI'!$C$12*I1183</f>
        <v>1130.112</v>
      </c>
      <c r="O1183" s="75">
        <f>M1183+N1183</f>
        <v>1204.910658865233</v>
      </c>
      <c r="P1183" s="75">
        <f>(MIN(L1183,'THAM_SO_MOI'!$C$41)-O1183)/('THAM_SO_MOI'!$C$11*H1183)</f>
        <v>0.9785508402629168</v>
      </c>
      <c r="Q1183" s="75">
        <f>IF(P1183&gt;0,1/P1183,NA())</f>
        <v>1.021919310529967</v>
      </c>
      <c r="R1183" s="75">
        <f>F1183-F1182</f>
        <v>0.0032106047296869278</v>
      </c>
      <c r="S1183" s="75">
        <f>0.5*(Q1182+Q1183)*R1183</f>
        <v>0.0032810400107580176</v>
      </c>
      <c r="T1183" s="75">
        <f>0.5*(F1182*Q1182+F1183*Q1183)*R1183</f>
        <v>0.01658660897136743</v>
      </c>
      <c r="U1183" s="76">
        <f>U1182+S1183</f>
        <v>5.30204402115378</v>
      </c>
      <c r="V1183" s="76">
        <f>V1182+T1183</f>
        <v>17.41220038888694</v>
      </c>
    </row>
    <row r="1184" spans="1:22" ht="19" customHeight="1">
      <c r="A1184" s="68" t="s">
        <v>372</v>
      </c>
      <c r="B1184" s="74">
        <v>2</v>
      </c>
      <c r="C1184" s="68" t="s">
        <v>363</v>
      </c>
      <c r="D1184" s="68" t="s">
        <v>364</v>
      </c>
      <c r="E1184" s="75">
        <f>60*F1184*'THAM_SO_MOI'!$C$50/(2*PI()*'THAM_SO_MOI'!$C$26)</f>
        <v>2029.5365444789593</v>
      </c>
      <c r="F1184" s="75">
        <f>'HANH_TRINH'!$F$826+('THAM_SO_MOI'!$F$50-'HANH_TRINH'!$F$826)*357/'THAM_SO_MOI'!$C$42</f>
        <v>5.060106002603454</v>
      </c>
      <c r="G1184" s="75">
        <f>3.6*F1184</f>
        <v>18.216381609372434</v>
      </c>
      <c r="H1184" s="75">
        <f>'THAM_SO_MOI'!$D$50</f>
        <v>1.8785906709588276</v>
      </c>
      <c r="I1184" s="75">
        <f>IF(F1184&gt;'THAM_SO_MOI'!$C$14,'THAM_SO_MOI'!$C$13*(1+F1184^2/1500),'THAM_SO_MOI'!$C$13)</f>
        <v>0.015</v>
      </c>
      <c r="J1184" s="75">
        <f>'THAM_SO_MOI'!$C$40*('THAM_SO_MOI'!$C$23*(E1184/'THAM_SO_MOI'!$C$22)+'THAM_SO_MOI'!$C$24*(E1184/'THAM_SO_MOI'!$C$22)^2-'THAM_SO_MOI'!$C$25*(E1184/'THAM_SO_MOI'!$C$22)^3)</f>
        <v>91.2054421714404</v>
      </c>
      <c r="K1184" s="75">
        <f>'THAM_SO_MOI'!$C$31*J1184/E1184</f>
        <v>429.2172777101772</v>
      </c>
      <c r="L1184" s="75">
        <f>K1184*'THAM_SO_MOI'!$C$50*'THAM_SO_MOI'!$C$17/'THAM_SO_MOI'!$C$26</f>
        <v>15323.642111822732</v>
      </c>
      <c r="M1184" s="75">
        <f>'THAM_SO_MOI'!$C$15*'THAM_SO_MOI'!$C$16*F1184^2</f>
        <v>74.89366781593176</v>
      </c>
      <c r="N1184" s="75">
        <f>'THAM_SO_MOI'!$C$12*I1184</f>
        <v>1130.112</v>
      </c>
      <c r="O1184" s="75">
        <f>M1184+N1184</f>
        <v>1205.005667815932</v>
      </c>
      <c r="P1184" s="75">
        <f>(MIN(L1184,'THAM_SO_MOI'!$C$41)-O1184)/('THAM_SO_MOI'!$C$11*H1184)</f>
        <v>0.9785868463698317</v>
      </c>
      <c r="Q1184" s="75">
        <f>IF(P1184&gt;0,1/P1184,NA())</f>
        <v>1.0218817100491413</v>
      </c>
      <c r="R1184" s="75">
        <f>F1184-F1183</f>
        <v>0.0032106047296869278</v>
      </c>
      <c r="S1184" s="75">
        <f>0.5*(Q1183+Q1184)*R1184</f>
        <v>0.0032809186116051275</v>
      </c>
      <c r="T1184" s="75">
        <f>0.5*(F1183*Q1183+F1184*Q1184)*R1184</f>
        <v>0.016596528997334152</v>
      </c>
      <c r="U1184" s="76">
        <f>U1183+S1184</f>
        <v>5.305324939765384</v>
      </c>
      <c r="V1184" s="76">
        <f>V1183+T1184</f>
        <v>17.428796917884274</v>
      </c>
    </row>
    <row r="1185" spans="1:22" ht="19" customHeight="1">
      <c r="A1185" s="68" t="s">
        <v>372</v>
      </c>
      <c r="B1185" s="74">
        <v>2</v>
      </c>
      <c r="C1185" s="68" t="s">
        <v>363</v>
      </c>
      <c r="D1185" s="68" t="s">
        <v>364</v>
      </c>
      <c r="E1185" s="75">
        <f>60*F1185*'THAM_SO_MOI'!$C$50/(2*PI()*'THAM_SO_MOI'!$C$26)</f>
        <v>2030.824272369526</v>
      </c>
      <c r="F1185" s="75">
        <f>'HANH_TRINH'!$F$826+('THAM_SO_MOI'!$F$50-'HANH_TRINH'!$F$826)*358/'THAM_SO_MOI'!$C$42</f>
        <v>5.063316607333141</v>
      </c>
      <c r="G1185" s="75">
        <f>3.6*F1185</f>
        <v>18.227939786399308</v>
      </c>
      <c r="H1185" s="75">
        <f>'THAM_SO_MOI'!$D$50</f>
        <v>1.8785906709588276</v>
      </c>
      <c r="I1185" s="75">
        <f>IF(F1185&gt;'THAM_SO_MOI'!$C$14,'THAM_SO_MOI'!$C$13*(1+F1185^2/1500),'THAM_SO_MOI'!$C$13)</f>
        <v>0.015</v>
      </c>
      <c r="J1185" s="75">
        <f>'THAM_SO_MOI'!$C$40*('THAM_SO_MOI'!$C$23*(E1185/'THAM_SO_MOI'!$C$22)+'THAM_SO_MOI'!$C$24*(E1185/'THAM_SO_MOI'!$C$22)^2-'THAM_SO_MOI'!$C$25*(E1185/'THAM_SO_MOI'!$C$22)^3)</f>
        <v>91.26693696072772</v>
      </c>
      <c r="K1185" s="75">
        <f>'THAM_SO_MOI'!$C$31*J1185/E1185</f>
        <v>429.23432877804385</v>
      </c>
      <c r="L1185" s="75">
        <f>K1185*'THAM_SO_MOI'!$C$50*'THAM_SO_MOI'!$C$17/'THAM_SO_MOI'!$C$26</f>
        <v>15324.250858197078</v>
      </c>
      <c r="M1185" s="75">
        <f>'THAM_SO_MOI'!$C$15*'THAM_SO_MOI'!$C$16*F1185^2</f>
        <v>74.9887370683296</v>
      </c>
      <c r="N1185" s="75">
        <f>'THAM_SO_MOI'!$C$12*I1185</f>
        <v>1130.112</v>
      </c>
      <c r="O1185" s="75">
        <f>M1185+N1185</f>
        <v>1205.1007370683296</v>
      </c>
      <c r="P1185" s="75">
        <f>(MIN(L1185,'THAM_SO_MOI'!$C$41)-O1185)/('THAM_SO_MOI'!$C$11*H1185)</f>
        <v>0.9786224502099627</v>
      </c>
      <c r="Q1185" s="75">
        <f>IF(P1185&gt;0,1/P1185,NA())</f>
        <v>1.0218445323683825</v>
      </c>
      <c r="R1185" s="75">
        <f>F1185-F1184</f>
        <v>0.0032106047296869278</v>
      </c>
      <c r="S1185" s="75">
        <f>0.5*(Q1184+Q1185)*R1185</f>
        <v>0.003280798570045497</v>
      </c>
      <c r="T1185" s="75">
        <f>0.5*(F1184*Q1184+F1185*Q1185)*R1185</f>
        <v>0.01660645511551639</v>
      </c>
      <c r="U1185" s="76">
        <f>U1184+S1185</f>
        <v>5.30860573833543</v>
      </c>
      <c r="V1185" s="76">
        <f>V1184+T1185</f>
        <v>17.44540337299979</v>
      </c>
    </row>
    <row r="1186" spans="1:22" ht="19" customHeight="1">
      <c r="A1186" s="68" t="s">
        <v>372</v>
      </c>
      <c r="B1186" s="74">
        <v>2</v>
      </c>
      <c r="C1186" s="68" t="s">
        <v>363</v>
      </c>
      <c r="D1186" s="68" t="s">
        <v>364</v>
      </c>
      <c r="E1186" s="75">
        <f>60*F1186*'THAM_SO_MOI'!$C$50/(2*PI()*'THAM_SO_MOI'!$C$26)</f>
        <v>2032.1120002600921</v>
      </c>
      <c r="F1186" s="75">
        <f>'HANH_TRINH'!$F$826+('THAM_SO_MOI'!$F$50-'HANH_TRINH'!$F$826)*359/'THAM_SO_MOI'!$C$42</f>
        <v>5.066527212062827</v>
      </c>
      <c r="G1186" s="75">
        <f>3.6*F1186</f>
        <v>18.239497963426178</v>
      </c>
      <c r="H1186" s="75">
        <f>'THAM_SO_MOI'!$D$50</f>
        <v>1.8785906709588276</v>
      </c>
      <c r="I1186" s="75">
        <f>IF(F1186&gt;'THAM_SO_MOI'!$C$14,'THAM_SO_MOI'!$C$13*(1+F1186^2/1500),'THAM_SO_MOI'!$C$13)</f>
        <v>0.015</v>
      </c>
      <c r="J1186" s="75">
        <f>'THAM_SO_MOI'!$C$40*('THAM_SO_MOI'!$C$23*(E1186/'THAM_SO_MOI'!$C$22)+'THAM_SO_MOI'!$C$24*(E1186/'THAM_SO_MOI'!$C$22)^2-'THAM_SO_MOI'!$C$25*(E1186/'THAM_SO_MOI'!$C$22)^3)</f>
        <v>91.32840211987418</v>
      </c>
      <c r="K1186" s="75">
        <f>'THAM_SO_MOI'!$C$31*J1186/E1186</f>
        <v>429.2512189715781</v>
      </c>
      <c r="L1186" s="75">
        <f>K1186*'THAM_SO_MOI'!$C$50*'THAM_SO_MOI'!$C$17/'THAM_SO_MOI'!$C$26</f>
        <v>15324.853861138385</v>
      </c>
      <c r="M1186" s="75">
        <f>'THAM_SO_MOI'!$C$15*'THAM_SO_MOI'!$C$16*F1186^2</f>
        <v>75.08386662242637</v>
      </c>
      <c r="N1186" s="75">
        <f>'THAM_SO_MOI'!$C$12*I1186</f>
        <v>1130.112</v>
      </c>
      <c r="O1186" s="75">
        <f>M1186+N1186</f>
        <v>1205.1958666224264</v>
      </c>
      <c r="P1186" s="75">
        <f>(MIN(L1186,'THAM_SO_MOI'!$C$41)-O1186)/('THAM_SO_MOI'!$C$11*H1186)</f>
        <v>0.9786576517833099</v>
      </c>
      <c r="Q1186" s="75">
        <f>IF(P1186&gt;0,1/P1186,NA())</f>
        <v>1.0218077773957013</v>
      </c>
      <c r="R1186" s="75">
        <f>F1186-F1185</f>
        <v>0.0032106047296860396</v>
      </c>
      <c r="S1186" s="75">
        <f>0.5*(Q1185+Q1186)*R1186</f>
        <v>0.003280679885781183</v>
      </c>
      <c r="T1186" s="75">
        <f>0.5*(F1185*Q1185+F1186*Q1186)*R1186</f>
        <v>0.01661638733748119</v>
      </c>
      <c r="U1186" s="76">
        <f>U1185+S1186</f>
        <v>5.311886418221212</v>
      </c>
      <c r="V1186" s="76">
        <f>V1185+T1186</f>
        <v>17.462019760337274</v>
      </c>
    </row>
    <row r="1187" spans="1:22" ht="19" customHeight="1">
      <c r="A1187" s="68" t="s">
        <v>372</v>
      </c>
      <c r="B1187" s="74">
        <v>2</v>
      </c>
      <c r="C1187" s="68" t="s">
        <v>363</v>
      </c>
      <c r="D1187" s="68" t="s">
        <v>364</v>
      </c>
      <c r="E1187" s="75">
        <f>60*F1187*'THAM_SO_MOI'!$C$50/(2*PI()*'THAM_SO_MOI'!$C$26)</f>
        <v>2033.3997281506588</v>
      </c>
      <c r="F1187" s="75">
        <f>'HANH_TRINH'!$F$826+('THAM_SO_MOI'!$F$50-'HANH_TRINH'!$F$826)*360/'THAM_SO_MOI'!$C$42</f>
        <v>5.069737816792514</v>
      </c>
      <c r="G1187" s="75">
        <f>3.6*F1187</f>
        <v>18.25105614045305</v>
      </c>
      <c r="H1187" s="75">
        <f>'THAM_SO_MOI'!$D$50</f>
        <v>1.8785906709588276</v>
      </c>
      <c r="I1187" s="75">
        <f>IF(F1187&gt;'THAM_SO_MOI'!$C$14,'THAM_SO_MOI'!$C$13*(1+F1187^2/1500),'THAM_SO_MOI'!$C$13)</f>
        <v>0.015</v>
      </c>
      <c r="J1187" s="75">
        <f>'THAM_SO_MOI'!$C$40*('THAM_SO_MOI'!$C$23*(E1187/'THAM_SO_MOI'!$C$22)+'THAM_SO_MOI'!$C$24*(E1187/'THAM_SO_MOI'!$C$22)^2-'THAM_SO_MOI'!$C$25*(E1187/'THAM_SO_MOI'!$C$22)^3)</f>
        <v>91.3898375838102</v>
      </c>
      <c r="K1187" s="75">
        <f>'THAM_SO_MOI'!$C$31*J1187/E1187</f>
        <v>429.26794829078034</v>
      </c>
      <c r="L1187" s="75">
        <f>K1187*'THAM_SO_MOI'!$C$50*'THAM_SO_MOI'!$C$17/'THAM_SO_MOI'!$C$26</f>
        <v>15325.451120646663</v>
      </c>
      <c r="M1187" s="75">
        <f>'THAM_SO_MOI'!$C$15*'THAM_SO_MOI'!$C$16*F1187^2</f>
        <v>75.17905647822217</v>
      </c>
      <c r="N1187" s="75">
        <f>'THAM_SO_MOI'!$C$12*I1187</f>
        <v>1130.112</v>
      </c>
      <c r="O1187" s="75">
        <f>M1187+N1187</f>
        <v>1205.2910564782223</v>
      </c>
      <c r="P1187" s="75">
        <f>(MIN(L1187,'THAM_SO_MOI'!$C$41)-O1187)/('THAM_SO_MOI'!$C$11*H1187)</f>
        <v>0.978692451089874</v>
      </c>
      <c r="Q1187" s="75">
        <f>IF(P1187&gt;0,1/P1187,NA())</f>
        <v>1.0217714450401634</v>
      </c>
      <c r="R1187" s="75">
        <f>F1187-F1186</f>
        <v>0.0032106047296869278</v>
      </c>
      <c r="S1187" s="75">
        <f>0.5*(Q1186+Q1187)*R1187</f>
        <v>0.003280562558521261</v>
      </c>
      <c r="T1187" s="75">
        <f>0.5*(F1186*Q1186+F1187*Q1187)*R1187</f>
        <v>0.016626325674827303</v>
      </c>
      <c r="U1187" s="76">
        <f>U1186+S1187</f>
        <v>5.315166980779733</v>
      </c>
      <c r="V1187" s="76">
        <f>V1186+T1187</f>
        <v>17.478646086012102</v>
      </c>
    </row>
    <row r="1188" spans="1:22" ht="19" customHeight="1">
      <c r="A1188" s="68" t="s">
        <v>372</v>
      </c>
      <c r="B1188" s="74">
        <v>2</v>
      </c>
      <c r="C1188" s="68" t="s">
        <v>363</v>
      </c>
      <c r="D1188" s="68" t="s">
        <v>364</v>
      </c>
      <c r="E1188" s="75">
        <f>60*F1188*'THAM_SO_MOI'!$C$50/(2*PI()*'THAM_SO_MOI'!$C$26)</f>
        <v>2034.6874560412257</v>
      </c>
      <c r="F1188" s="75">
        <f>'HANH_TRINH'!$F$826+('THAM_SO_MOI'!$F$50-'HANH_TRINH'!$F$826)*361/'THAM_SO_MOI'!$C$42</f>
        <v>5.0729484215222005</v>
      </c>
      <c r="G1188" s="75">
        <f>3.6*F1188</f>
        <v>18.262614317479922</v>
      </c>
      <c r="H1188" s="75">
        <f>'THAM_SO_MOI'!$D$50</f>
        <v>1.8785906709588276</v>
      </c>
      <c r="I1188" s="75">
        <f>IF(F1188&gt;'THAM_SO_MOI'!$C$14,'THAM_SO_MOI'!$C$13*(1+F1188^2/1500),'THAM_SO_MOI'!$C$13)</f>
        <v>0.015</v>
      </c>
      <c r="J1188" s="75">
        <f>'THAM_SO_MOI'!$C$40*('THAM_SO_MOI'!$C$23*(E1188/'THAM_SO_MOI'!$C$22)+'THAM_SO_MOI'!$C$24*(E1188/'THAM_SO_MOI'!$C$22)^2-'THAM_SO_MOI'!$C$25*(E1188/'THAM_SO_MOI'!$C$22)^3)</f>
        <v>91.45124328746603</v>
      </c>
      <c r="K1188" s="75">
        <f>'THAM_SO_MOI'!$C$31*J1188/E1188</f>
        <v>429.2845167356503</v>
      </c>
      <c r="L1188" s="75">
        <f>K1188*'THAM_SO_MOI'!$C$50*'THAM_SO_MOI'!$C$17/'THAM_SO_MOI'!$C$26</f>
        <v>15326.042636721904</v>
      </c>
      <c r="M1188" s="75">
        <f>'THAM_SO_MOI'!$C$15*'THAM_SO_MOI'!$C$16*F1188^2</f>
        <v>75.27430663571693</v>
      </c>
      <c r="N1188" s="75">
        <f>'THAM_SO_MOI'!$C$12*I1188</f>
        <v>1130.112</v>
      </c>
      <c r="O1188" s="75">
        <f>M1188+N1188</f>
        <v>1205.3863066357171</v>
      </c>
      <c r="P1188" s="75">
        <f>(MIN(L1188,'THAM_SO_MOI'!$C$41)-O1188)/('THAM_SO_MOI'!$C$11*H1188)</f>
        <v>0.9787268481296544</v>
      </c>
      <c r="Q1188" s="75">
        <f>IF(P1188&gt;0,1/P1188,NA())</f>
        <v>1.0217355352118915</v>
      </c>
      <c r="R1188" s="75">
        <f>F1188-F1187</f>
        <v>0.0032106047296869278</v>
      </c>
      <c r="S1188" s="75">
        <f>0.5*(Q1187+Q1188)*R1188</f>
        <v>0.0032804465879727493</v>
      </c>
      <c r="T1188" s="75">
        <f>0.5*(F1187*Q1187+F1188*Q1188)*R1188</f>
        <v>0.016636270139139358</v>
      </c>
      <c r="U1188" s="76">
        <f>U1187+S1188</f>
        <v>5.318447427367706</v>
      </c>
      <c r="V1188" s="76">
        <f>V1187+T1188</f>
        <v>17.49528235615124</v>
      </c>
    </row>
    <row r="1189" spans="1:22" ht="19" customHeight="1">
      <c r="A1189" s="68" t="s">
        <v>372</v>
      </c>
      <c r="B1189" s="74">
        <v>2</v>
      </c>
      <c r="C1189" s="68" t="s">
        <v>363</v>
      </c>
      <c r="D1189" s="68" t="s">
        <v>364</v>
      </c>
      <c r="E1189" s="75">
        <f>60*F1189*'THAM_SO_MOI'!$C$50/(2*PI()*'THAM_SO_MOI'!$C$26)</f>
        <v>2035.9751839317923</v>
      </c>
      <c r="F1189" s="75">
        <f>'HANH_TRINH'!$F$826+('THAM_SO_MOI'!$F$50-'HANH_TRINH'!$F$826)*362/'THAM_SO_MOI'!$C$42</f>
        <v>5.076159026251887</v>
      </c>
      <c r="G1189" s="75">
        <f>3.6*F1189</f>
        <v>18.274172494506796</v>
      </c>
      <c r="H1189" s="75">
        <f>'THAM_SO_MOI'!$D$50</f>
        <v>1.8785906709588276</v>
      </c>
      <c r="I1189" s="75">
        <f>IF(F1189&gt;'THAM_SO_MOI'!$C$14,'THAM_SO_MOI'!$C$13*(1+F1189^2/1500),'THAM_SO_MOI'!$C$13)</f>
        <v>0.015</v>
      </c>
      <c r="J1189" s="75">
        <f>'THAM_SO_MOI'!$C$40*('THAM_SO_MOI'!$C$23*(E1189/'THAM_SO_MOI'!$C$22)+'THAM_SO_MOI'!$C$24*(E1189/'THAM_SO_MOI'!$C$22)^2-'THAM_SO_MOI'!$C$25*(E1189/'THAM_SO_MOI'!$C$22)^3)</f>
        <v>91.51261916577192</v>
      </c>
      <c r="K1189" s="75">
        <f>'THAM_SO_MOI'!$C$31*J1189/E1189</f>
        <v>429.30092430618794</v>
      </c>
      <c r="L1189" s="75">
        <f>K1189*'THAM_SO_MOI'!$C$50*'THAM_SO_MOI'!$C$17/'THAM_SO_MOI'!$C$26</f>
        <v>15326.628409364106</v>
      </c>
      <c r="M1189" s="75">
        <f>'THAM_SO_MOI'!$C$15*'THAM_SO_MOI'!$C$16*F1189^2</f>
        <v>75.36961709491065</v>
      </c>
      <c r="N1189" s="75">
        <f>'THAM_SO_MOI'!$C$12*I1189</f>
        <v>1130.112</v>
      </c>
      <c r="O1189" s="75">
        <f>M1189+N1189</f>
        <v>1205.4816170949107</v>
      </c>
      <c r="P1189" s="75">
        <f>(MIN(L1189,'THAM_SO_MOI'!$C$41)-O1189)/('THAM_SO_MOI'!$C$11*H1189)</f>
        <v>0.9787608429026508</v>
      </c>
      <c r="Q1189" s="75">
        <f>IF(P1189&gt;0,1/P1189,NA())</f>
        <v>1.021700047822062</v>
      </c>
      <c r="R1189" s="75">
        <f>F1189-F1188</f>
        <v>0.0032106047296869278</v>
      </c>
      <c r="S1189" s="75">
        <f>0.5*(Q1188+Q1189)*R1189</f>
        <v>0.0032803319738496876</v>
      </c>
      <c r="T1189" s="75">
        <f>0.5*(F1188*Q1188+F1189*Q1189)*R1189</f>
        <v>0.01664622074203382</v>
      </c>
      <c r="U1189" s="76">
        <f>U1188+S1189</f>
        <v>5.321727759341555</v>
      </c>
      <c r="V1189" s="76">
        <f>V1188+T1189</f>
        <v>17.511928576893272</v>
      </c>
    </row>
    <row r="1190" spans="1:22" ht="19" customHeight="1">
      <c r="A1190" s="68" t="s">
        <v>372</v>
      </c>
      <c r="B1190" s="74">
        <v>2</v>
      </c>
      <c r="C1190" s="68" t="s">
        <v>363</v>
      </c>
      <c r="D1190" s="68" t="s">
        <v>364</v>
      </c>
      <c r="E1190" s="75">
        <f>60*F1190*'THAM_SO_MOI'!$C$50/(2*PI()*'THAM_SO_MOI'!$C$26)</f>
        <v>2037.262911822359</v>
      </c>
      <c r="F1190" s="75">
        <f>'HANH_TRINH'!$F$826+('THAM_SO_MOI'!$F$50-'HANH_TRINH'!$F$826)*363/'THAM_SO_MOI'!$C$42</f>
        <v>5.079369630981574</v>
      </c>
      <c r="G1190" s="75">
        <f>3.6*F1190</f>
        <v>18.285730671533667</v>
      </c>
      <c r="H1190" s="75">
        <f>'THAM_SO_MOI'!$D$50</f>
        <v>1.8785906709588276</v>
      </c>
      <c r="I1190" s="75">
        <f>IF(F1190&gt;'THAM_SO_MOI'!$C$14,'THAM_SO_MOI'!$C$13*(1+F1190^2/1500),'THAM_SO_MOI'!$C$13)</f>
        <v>0.015</v>
      </c>
      <c r="J1190" s="75">
        <f>'THAM_SO_MOI'!$C$40*('THAM_SO_MOI'!$C$23*(E1190/'THAM_SO_MOI'!$C$22)+'THAM_SO_MOI'!$C$24*(E1190/'THAM_SO_MOI'!$C$22)^2-'THAM_SO_MOI'!$C$25*(E1190/'THAM_SO_MOI'!$C$22)^3)</f>
        <v>91.57396515365822</v>
      </c>
      <c r="K1190" s="75">
        <f>'THAM_SO_MOI'!$C$31*J1190/E1190</f>
        <v>429.3171710023934</v>
      </c>
      <c r="L1190" s="75">
        <f>K1190*'THAM_SO_MOI'!$C$50*'THAM_SO_MOI'!$C$17/'THAM_SO_MOI'!$C$26</f>
        <v>15327.208438573276</v>
      </c>
      <c r="M1190" s="75">
        <f>'THAM_SO_MOI'!$C$15*'THAM_SO_MOI'!$C$16*F1190^2</f>
        <v>75.46498785580334</v>
      </c>
      <c r="N1190" s="75">
        <f>'THAM_SO_MOI'!$C$12*I1190</f>
        <v>1130.112</v>
      </c>
      <c r="O1190" s="75">
        <f>M1190+N1190</f>
        <v>1205.5769878558035</v>
      </c>
      <c r="P1190" s="75">
        <f>(MIN(L1190,'THAM_SO_MOI'!$C$41)-O1190)/('THAM_SO_MOI'!$C$11*H1190)</f>
        <v>0.9787944354088638</v>
      </c>
      <c r="Q1190" s="75">
        <f>IF(P1190&gt;0,1/P1190,NA())</f>
        <v>1.021664982782905</v>
      </c>
      <c r="R1190" s="75">
        <f>F1190-F1189</f>
        <v>0.0032106047296869278</v>
      </c>
      <c r="S1190" s="75">
        <f>0.5*(Q1189+Q1190)*R1190</f>
        <v>0.0032802187158685906</v>
      </c>
      <c r="T1190" s="75">
        <f>0.5*(F1189*Q1189+F1190*Q1190)*R1190</f>
        <v>0.01665617749513605</v>
      </c>
      <c r="U1190" s="76">
        <f>U1189+S1190</f>
        <v>5.325007978057424</v>
      </c>
      <c r="V1190" s="76">
        <f>V1189+T1190</f>
        <v>17.528584754388408</v>
      </c>
    </row>
    <row r="1191" spans="1:22" ht="19" customHeight="1">
      <c r="A1191" s="68" t="s">
        <v>372</v>
      </c>
      <c r="B1191" s="74">
        <v>2</v>
      </c>
      <c r="C1191" s="68" t="s">
        <v>363</v>
      </c>
      <c r="D1191" s="68" t="s">
        <v>364</v>
      </c>
      <c r="E1191" s="75">
        <f>60*F1191*'THAM_SO_MOI'!$C$50/(2*PI()*'THAM_SO_MOI'!$C$26)</f>
        <v>2038.5506397129257</v>
      </c>
      <c r="F1191" s="75">
        <f>'HANH_TRINH'!$F$826+('THAM_SO_MOI'!$F$50-'HANH_TRINH'!$F$826)*364/'THAM_SO_MOI'!$C$42</f>
        <v>5.082580235711261</v>
      </c>
      <c r="G1191" s="75">
        <f>3.6*F1191</f>
        <v>18.29728884856054</v>
      </c>
      <c r="H1191" s="75">
        <f>'THAM_SO_MOI'!$D$50</f>
        <v>1.8785906709588276</v>
      </c>
      <c r="I1191" s="75">
        <f>IF(F1191&gt;'THAM_SO_MOI'!$C$14,'THAM_SO_MOI'!$C$13*(1+F1191^2/1500),'THAM_SO_MOI'!$C$13)</f>
        <v>0.015</v>
      </c>
      <c r="J1191" s="75">
        <f>'THAM_SO_MOI'!$C$40*('THAM_SO_MOI'!$C$23*(E1191/'THAM_SO_MOI'!$C$22)+'THAM_SO_MOI'!$C$24*(E1191/'THAM_SO_MOI'!$C$22)^2-'THAM_SO_MOI'!$C$25*(E1191/'THAM_SO_MOI'!$C$22)^3)</f>
        <v>91.63528118605522</v>
      </c>
      <c r="K1191" s="75">
        <f>'THAM_SO_MOI'!$C$31*J1191/E1191</f>
        <v>429.3332568242667</v>
      </c>
      <c r="L1191" s="75">
        <f>K1191*'THAM_SO_MOI'!$C$50*'THAM_SO_MOI'!$C$17/'THAM_SO_MOI'!$C$26</f>
        <v>15327.78272434941</v>
      </c>
      <c r="M1191" s="75">
        <f>'THAM_SO_MOI'!$C$15*'THAM_SO_MOI'!$C$16*F1191^2</f>
        <v>75.56041891839502</v>
      </c>
      <c r="N1191" s="75">
        <f>'THAM_SO_MOI'!$C$12*I1191</f>
        <v>1130.112</v>
      </c>
      <c r="O1191" s="75">
        <f>M1191+N1191</f>
        <v>1205.6724189183951</v>
      </c>
      <c r="P1191" s="75">
        <f>(MIN(L1191,'THAM_SO_MOI'!$C$41)-O1191)/('THAM_SO_MOI'!$C$11*H1191)</f>
        <v>0.9788276256482934</v>
      </c>
      <c r="Q1191" s="75">
        <f>IF(P1191&gt;0,1/P1191,NA())</f>
        <v>1.0216303400077045</v>
      </c>
      <c r="R1191" s="75">
        <f>F1191-F1190</f>
        <v>0.0032106047296869278</v>
      </c>
      <c r="S1191" s="75">
        <f>0.5*(Q1190+Q1191)*R1191</f>
        <v>0.0032801068137493544</v>
      </c>
      <c r="T1191" s="75">
        <f>0.5*(F1190*Q1190+F1191*Q1191)*R1191</f>
        <v>0.016666140410084976</v>
      </c>
      <c r="U1191" s="76">
        <f>U1190+S1191</f>
        <v>5.328288084871173</v>
      </c>
      <c r="V1191" s="76">
        <f>V1190+T1191</f>
        <v>17.545250894798492</v>
      </c>
    </row>
    <row r="1192" spans="1:22" ht="19" customHeight="1">
      <c r="A1192" s="68" t="s">
        <v>372</v>
      </c>
      <c r="B1192" s="74">
        <v>2</v>
      </c>
      <c r="C1192" s="68" t="s">
        <v>363</v>
      </c>
      <c r="D1192" s="68" t="s">
        <v>364</v>
      </c>
      <c r="E1192" s="75">
        <f>60*F1192*'THAM_SO_MOI'!$C$50/(2*PI()*'THAM_SO_MOI'!$C$26)</f>
        <v>2039.8383676034923</v>
      </c>
      <c r="F1192" s="75">
        <f>'HANH_TRINH'!$F$826+('THAM_SO_MOI'!$F$50-'HANH_TRINH'!$F$826)*365/'THAM_SO_MOI'!$C$42</f>
        <v>5.085790840440948</v>
      </c>
      <c r="G1192" s="75">
        <f>3.6*F1192</f>
        <v>18.308847025587415</v>
      </c>
      <c r="H1192" s="75">
        <f>'THAM_SO_MOI'!$D$50</f>
        <v>1.8785906709588276</v>
      </c>
      <c r="I1192" s="75">
        <f>IF(F1192&gt;'THAM_SO_MOI'!$C$14,'THAM_SO_MOI'!$C$13*(1+F1192^2/1500),'THAM_SO_MOI'!$C$13)</f>
        <v>0.015</v>
      </c>
      <c r="J1192" s="75">
        <f>'THAM_SO_MOI'!$C$40*('THAM_SO_MOI'!$C$23*(E1192/'THAM_SO_MOI'!$C$22)+'THAM_SO_MOI'!$C$24*(E1192/'THAM_SO_MOI'!$C$22)^2-'THAM_SO_MOI'!$C$25*(E1192/'THAM_SO_MOI'!$C$22)^3)</f>
        <v>91.69656719789322</v>
      </c>
      <c r="K1192" s="75">
        <f>'THAM_SO_MOI'!$C$31*J1192/E1192</f>
        <v>429.34918177180765</v>
      </c>
      <c r="L1192" s="75">
        <f>K1192*'THAM_SO_MOI'!$C$50*'THAM_SO_MOI'!$C$17/'THAM_SO_MOI'!$C$26</f>
        <v>15328.351266692509</v>
      </c>
      <c r="M1192" s="75">
        <f>'THAM_SO_MOI'!$C$15*'THAM_SO_MOI'!$C$16*F1192^2</f>
        <v>75.65591028268567</v>
      </c>
      <c r="N1192" s="75">
        <f>'THAM_SO_MOI'!$C$12*I1192</f>
        <v>1130.112</v>
      </c>
      <c r="O1192" s="75">
        <f>M1192+N1192</f>
        <v>1205.7679102826858</v>
      </c>
      <c r="P1192" s="75">
        <f>(MIN(L1192,'THAM_SO_MOI'!$C$41)-O1192)/('THAM_SO_MOI'!$C$11*H1192)</f>
        <v>0.9788604136209393</v>
      </c>
      <c r="Q1192" s="75">
        <f>IF(P1192&gt;0,1/P1192,NA())</f>
        <v>1.0215961194107976</v>
      </c>
      <c r="R1192" s="75">
        <f>F1192-F1191</f>
        <v>0.0032106047296869278</v>
      </c>
      <c r="S1192" s="75">
        <f>0.5*(Q1191+Q1192)*R1192</f>
        <v>0.0032799962672152593</v>
      </c>
      <c r="T1192" s="75">
        <f>0.5*(F1191*Q1191+F1192*Q1192)*R1192</f>
        <v>0.016676109498533095</v>
      </c>
      <c r="U1192" s="76">
        <f>U1191+S1192</f>
        <v>5.331568081138388</v>
      </c>
      <c r="V1192" s="76">
        <f>V1191+T1192</f>
        <v>17.561927004297026</v>
      </c>
    </row>
    <row r="1193" spans="1:22" ht="19" customHeight="1">
      <c r="A1193" s="68" t="s">
        <v>372</v>
      </c>
      <c r="B1193" s="74">
        <v>2</v>
      </c>
      <c r="C1193" s="68" t="s">
        <v>363</v>
      </c>
      <c r="D1193" s="68" t="s">
        <v>364</v>
      </c>
      <c r="E1193" s="75">
        <f>60*F1193*'THAM_SO_MOI'!$C$50/(2*PI()*'THAM_SO_MOI'!$C$26)</f>
        <v>2041.1260954940587</v>
      </c>
      <c r="F1193" s="75">
        <f>'HANH_TRINH'!$F$826+('THAM_SO_MOI'!$F$50-'HANH_TRINH'!$F$826)*366/'THAM_SO_MOI'!$C$42</f>
        <v>5.089001445170634</v>
      </c>
      <c r="G1193" s="75">
        <f>3.6*F1193</f>
        <v>18.320405202614285</v>
      </c>
      <c r="H1193" s="75">
        <f>'THAM_SO_MOI'!$D$50</f>
        <v>1.8785906709588276</v>
      </c>
      <c r="I1193" s="75">
        <f>IF(F1193&gt;'THAM_SO_MOI'!$C$14,'THAM_SO_MOI'!$C$13*(1+F1193^2/1500),'THAM_SO_MOI'!$C$13)</f>
        <v>0.015</v>
      </c>
      <c r="J1193" s="75">
        <f>'THAM_SO_MOI'!$C$40*('THAM_SO_MOI'!$C$23*(E1193/'THAM_SO_MOI'!$C$22)+'THAM_SO_MOI'!$C$24*(E1193/'THAM_SO_MOI'!$C$22)^2-'THAM_SO_MOI'!$C$25*(E1193/'THAM_SO_MOI'!$C$22)^3)</f>
        <v>91.75782312410249</v>
      </c>
      <c r="K1193" s="75">
        <f>'THAM_SO_MOI'!$C$31*J1193/E1193</f>
        <v>429.36494584501634</v>
      </c>
      <c r="L1193" s="75">
        <f>K1193*'THAM_SO_MOI'!$C$50*'THAM_SO_MOI'!$C$17/'THAM_SO_MOI'!$C$26</f>
        <v>15328.91406560257</v>
      </c>
      <c r="M1193" s="75">
        <f>'THAM_SO_MOI'!$C$15*'THAM_SO_MOI'!$C$16*F1193^2</f>
        <v>75.75146194867526</v>
      </c>
      <c r="N1193" s="75">
        <f>'THAM_SO_MOI'!$C$12*I1193</f>
        <v>1130.112</v>
      </c>
      <c r="O1193" s="75">
        <f>M1193+N1193</f>
        <v>1205.8634619486754</v>
      </c>
      <c r="P1193" s="75">
        <f>(MIN(L1193,'THAM_SO_MOI'!$C$41)-O1193)/('THAM_SO_MOI'!$C$11*H1193)</f>
        <v>0.9788927993268014</v>
      </c>
      <c r="Q1193" s="75">
        <f>IF(P1193&gt;0,1/P1193,NA())</f>
        <v>1.0215623209075746</v>
      </c>
      <c r="R1193" s="75">
        <f>F1193-F1192</f>
        <v>0.0032106047296860396</v>
      </c>
      <c r="S1193" s="75">
        <f>0.5*(Q1192+Q1193)*R1193</f>
        <v>0.0032798870759920586</v>
      </c>
      <c r="T1193" s="75">
        <f>0.5*(F1192*Q1192+F1193*Q1193)*R1193</f>
        <v>0.016686084772141972</v>
      </c>
      <c r="U1193" s="76">
        <f>U1192+S1193</f>
        <v>5.334847968214381</v>
      </c>
      <c r="V1193" s="76">
        <f>V1192+T1193</f>
        <v>17.57861308906917</v>
      </c>
    </row>
    <row r="1194" spans="1:22" ht="19" customHeight="1">
      <c r="A1194" s="68" t="s">
        <v>372</v>
      </c>
      <c r="B1194" s="74">
        <v>2</v>
      </c>
      <c r="C1194" s="68" t="s">
        <v>363</v>
      </c>
      <c r="D1194" s="68" t="s">
        <v>364</v>
      </c>
      <c r="E1194" s="75">
        <f>60*F1194*'THAM_SO_MOI'!$C$50/(2*PI()*'THAM_SO_MOI'!$C$26)</f>
        <v>2042.4138233846256</v>
      </c>
      <c r="F1194" s="75">
        <f>'HANH_TRINH'!$F$826+('THAM_SO_MOI'!$F$50-'HANH_TRINH'!$F$826)*367/'THAM_SO_MOI'!$C$42</f>
        <v>5.092212049900322</v>
      </c>
      <c r="G1194" s="75">
        <f>3.6*F1194</f>
        <v>18.33196337964116</v>
      </c>
      <c r="H1194" s="75">
        <f>'THAM_SO_MOI'!$D$50</f>
        <v>1.8785906709588276</v>
      </c>
      <c r="I1194" s="75">
        <f>IF(F1194&gt;'THAM_SO_MOI'!$C$14,'THAM_SO_MOI'!$C$13*(1+F1194^2/1500),'THAM_SO_MOI'!$C$13)</f>
        <v>0.015</v>
      </c>
      <c r="J1194" s="75">
        <f>'THAM_SO_MOI'!$C$40*('THAM_SO_MOI'!$C$23*(E1194/'THAM_SO_MOI'!$C$22)+'THAM_SO_MOI'!$C$24*(E1194/'THAM_SO_MOI'!$C$22)^2-'THAM_SO_MOI'!$C$25*(E1194/'THAM_SO_MOI'!$C$22)^3)</f>
        <v>91.81904889961336</v>
      </c>
      <c r="K1194" s="75">
        <f>'THAM_SO_MOI'!$C$31*J1194/E1194</f>
        <v>429.3805490438927</v>
      </c>
      <c r="L1194" s="75">
        <f>K1194*'THAM_SO_MOI'!$C$50*'THAM_SO_MOI'!$C$17/'THAM_SO_MOI'!$C$26</f>
        <v>15329.471121079592</v>
      </c>
      <c r="M1194" s="75">
        <f>'THAM_SO_MOI'!$C$15*'THAM_SO_MOI'!$C$16*F1194^2</f>
        <v>75.84707391636388</v>
      </c>
      <c r="N1194" s="75">
        <f>'THAM_SO_MOI'!$C$12*I1194</f>
        <v>1130.112</v>
      </c>
      <c r="O1194" s="75">
        <f>M1194+N1194</f>
        <v>1205.9590739163639</v>
      </c>
      <c r="P1194" s="75">
        <f>(MIN(L1194,'THAM_SO_MOI'!$C$41)-O1194)/('THAM_SO_MOI'!$C$11*H1194)</f>
        <v>0.9789247827658799</v>
      </c>
      <c r="Q1194" s="75">
        <f>IF(P1194&gt;0,1/P1194,NA())</f>
        <v>1.0215289444144764</v>
      </c>
      <c r="R1194" s="75">
        <f>F1194-F1193</f>
        <v>0.003210604729687816</v>
      </c>
      <c r="S1194" s="75">
        <f>0.5*(Q1193+Q1194)*R1194</f>
        <v>0.003279779239813421</v>
      </c>
      <c r="T1194" s="75">
        <f>0.5*(F1193*Q1193+F1194*Q1194)*R1194</f>
        <v>0.016696066242609903</v>
      </c>
      <c r="U1194" s="76">
        <f>U1193+S1194</f>
        <v>5.338127747454194</v>
      </c>
      <c r="V1194" s="76">
        <f>V1193+T1194</f>
        <v>17.595309155311778</v>
      </c>
    </row>
    <row r="1195" spans="1:22" ht="19" customHeight="1">
      <c r="A1195" s="68" t="s">
        <v>372</v>
      </c>
      <c r="B1195" s="74">
        <v>2</v>
      </c>
      <c r="C1195" s="68" t="s">
        <v>363</v>
      </c>
      <c r="D1195" s="68" t="s">
        <v>364</v>
      </c>
      <c r="E1195" s="75">
        <f>60*F1195*'THAM_SO_MOI'!$C$50/(2*PI()*'THAM_SO_MOI'!$C$26)</f>
        <v>2043.701551275192</v>
      </c>
      <c r="F1195" s="75">
        <f>'HANH_TRINH'!$F$826+('THAM_SO_MOI'!$F$50-'HANH_TRINH'!$F$826)*368/'THAM_SO_MOI'!$C$42</f>
        <v>5.095422654630008</v>
      </c>
      <c r="G1195" s="75">
        <f>3.6*F1195</f>
        <v>18.34352155666803</v>
      </c>
      <c r="H1195" s="75">
        <f>'THAM_SO_MOI'!$D$50</f>
        <v>1.8785906709588276</v>
      </c>
      <c r="I1195" s="75">
        <f>IF(F1195&gt;'THAM_SO_MOI'!$C$14,'THAM_SO_MOI'!$C$13*(1+F1195^2/1500),'THAM_SO_MOI'!$C$13)</f>
        <v>0.015</v>
      </c>
      <c r="J1195" s="75">
        <f>'THAM_SO_MOI'!$C$40*('THAM_SO_MOI'!$C$23*(E1195/'THAM_SO_MOI'!$C$22)+'THAM_SO_MOI'!$C$24*(E1195/'THAM_SO_MOI'!$C$22)^2-'THAM_SO_MOI'!$C$25*(E1195/'THAM_SO_MOI'!$C$22)^3)</f>
        <v>91.88024445935613</v>
      </c>
      <c r="K1195" s="75">
        <f>'THAM_SO_MOI'!$C$31*J1195/E1195</f>
        <v>429.39599136843685</v>
      </c>
      <c r="L1195" s="75">
        <f>K1195*'THAM_SO_MOI'!$C$50*'THAM_SO_MOI'!$C$17/'THAM_SO_MOI'!$C$26</f>
        <v>15330.022433123579</v>
      </c>
      <c r="M1195" s="75">
        <f>'THAM_SO_MOI'!$C$15*'THAM_SO_MOI'!$C$16*F1195^2</f>
        <v>75.9427461857514</v>
      </c>
      <c r="N1195" s="75">
        <f>'THAM_SO_MOI'!$C$12*I1195</f>
        <v>1130.112</v>
      </c>
      <c r="O1195" s="75">
        <f>M1195+N1195</f>
        <v>1206.0547461857516</v>
      </c>
      <c r="P1195" s="75">
        <f>(MIN(L1195,'THAM_SO_MOI'!$C$41)-O1195)/('THAM_SO_MOI'!$C$11*H1195)</f>
        <v>0.9789563639381746</v>
      </c>
      <c r="Q1195" s="75">
        <f>IF(P1195&gt;0,1/P1195,NA())</f>
        <v>1.0214959898489964</v>
      </c>
      <c r="R1195" s="75">
        <f>F1195-F1194</f>
        <v>0.0032106047296860396</v>
      </c>
      <c r="S1195" s="75">
        <f>0.5*(Q1194+Q1195)*R1195</f>
        <v>0.003279672758406408</v>
      </c>
      <c r="T1195" s="75">
        <f>0.5*(F1194*Q1194+F1195*Q1195)*R1195</f>
        <v>0.016706053921598144</v>
      </c>
      <c r="U1195" s="76">
        <f>U1194+S1195</f>
        <v>5.3414074202126</v>
      </c>
      <c r="V1195" s="76">
        <f>V1194+T1195</f>
        <v>17.612015209233377</v>
      </c>
    </row>
    <row r="1196" spans="1:22" ht="19" customHeight="1">
      <c r="A1196" s="68" t="s">
        <v>372</v>
      </c>
      <c r="B1196" s="74">
        <v>2</v>
      </c>
      <c r="C1196" s="68" t="s">
        <v>363</v>
      </c>
      <c r="D1196" s="68" t="s">
        <v>364</v>
      </c>
      <c r="E1196" s="75">
        <f>60*F1196*'THAM_SO_MOI'!$C$50/(2*PI()*'THAM_SO_MOI'!$C$26)</f>
        <v>2044.9892791657592</v>
      </c>
      <c r="F1196" s="75">
        <f>'HANH_TRINH'!$F$826+('THAM_SO_MOI'!$F$50-'HANH_TRINH'!$F$826)*369/'THAM_SO_MOI'!$C$42</f>
        <v>5.098633259359695</v>
      </c>
      <c r="G1196" s="75">
        <f>3.6*F1196</f>
        <v>18.355079733694904</v>
      </c>
      <c r="H1196" s="75">
        <f>'THAM_SO_MOI'!$D$50</f>
        <v>1.8785906709588276</v>
      </c>
      <c r="I1196" s="75">
        <f>IF(F1196&gt;'THAM_SO_MOI'!$C$14,'THAM_SO_MOI'!$C$13*(1+F1196^2/1500),'THAM_SO_MOI'!$C$13)</f>
        <v>0.015</v>
      </c>
      <c r="J1196" s="75">
        <f>'THAM_SO_MOI'!$C$40*('THAM_SO_MOI'!$C$23*(E1196/'THAM_SO_MOI'!$C$22)+'THAM_SO_MOI'!$C$24*(E1196/'THAM_SO_MOI'!$C$22)^2-'THAM_SO_MOI'!$C$25*(E1196/'THAM_SO_MOI'!$C$22)^3)</f>
        <v>91.94140973826116</v>
      </c>
      <c r="K1196" s="75">
        <f>'THAM_SO_MOI'!$C$31*J1196/E1196</f>
        <v>429.41127281864885</v>
      </c>
      <c r="L1196" s="75">
        <f>K1196*'THAM_SO_MOI'!$C$50*'THAM_SO_MOI'!$C$17/'THAM_SO_MOI'!$C$26</f>
        <v>15330.568001734535</v>
      </c>
      <c r="M1196" s="75">
        <f>'THAM_SO_MOI'!$C$15*'THAM_SO_MOI'!$C$16*F1196^2</f>
        <v>76.03847875683795</v>
      </c>
      <c r="N1196" s="75">
        <f>'THAM_SO_MOI'!$C$12*I1196</f>
        <v>1130.112</v>
      </c>
      <c r="O1196" s="75">
        <f>M1196+N1196</f>
        <v>1206.150478756838</v>
      </c>
      <c r="P1196" s="75">
        <f>(MIN(L1196,'THAM_SO_MOI'!$C$41)-O1196)/('THAM_SO_MOI'!$C$11*H1196)</f>
        <v>0.978987542843686</v>
      </c>
      <c r="Q1196" s="75">
        <f>IF(P1196&gt;0,1/P1196,NA())</f>
        <v>1.0214634571296777</v>
      </c>
      <c r="R1196" s="75">
        <f>F1196-F1195</f>
        <v>0.0032106047296869278</v>
      </c>
      <c r="S1196" s="75">
        <f>0.5*(Q1195+Q1196)*R1196</f>
        <v>0.003279567631514161</v>
      </c>
      <c r="T1196" s="75">
        <f>0.5*(F1195*Q1195+F1196*Q1196)*R1196</f>
        <v>0.01671604782084639</v>
      </c>
      <c r="U1196" s="76">
        <f>U1195+S1196</f>
        <v>5.344686987844114</v>
      </c>
      <c r="V1196" s="76">
        <f>V1195+T1196</f>
        <v>17.628731257054223</v>
      </c>
    </row>
    <row r="1197" spans="1:22" ht="19" customHeight="1">
      <c r="A1197" s="68" t="s">
        <v>372</v>
      </c>
      <c r="B1197" s="74">
        <v>2</v>
      </c>
      <c r="C1197" s="68" t="s">
        <v>363</v>
      </c>
      <c r="D1197" s="68" t="s">
        <v>364</v>
      </c>
      <c r="E1197" s="75">
        <f>60*F1197*'THAM_SO_MOI'!$C$50/(2*PI()*'THAM_SO_MOI'!$C$26)</f>
        <v>2046.2770070563263</v>
      </c>
      <c r="F1197" s="75">
        <f>'HANH_TRINH'!$F$826+('THAM_SO_MOI'!$F$50-'HANH_TRINH'!$F$826)*370/'THAM_SO_MOI'!$C$42</f>
        <v>5.101843864089382</v>
      </c>
      <c r="G1197" s="75">
        <f>3.6*F1197</f>
        <v>18.366637910721774</v>
      </c>
      <c r="H1197" s="75">
        <f>'THAM_SO_MOI'!$D$50</f>
        <v>1.8785906709588276</v>
      </c>
      <c r="I1197" s="75">
        <f>IF(F1197&gt;'THAM_SO_MOI'!$C$14,'THAM_SO_MOI'!$C$13*(1+F1197^2/1500),'THAM_SO_MOI'!$C$13)</f>
        <v>0.015</v>
      </c>
      <c r="J1197" s="75">
        <f>'THAM_SO_MOI'!$C$40*('THAM_SO_MOI'!$C$23*(E1197/'THAM_SO_MOI'!$C$22)+'THAM_SO_MOI'!$C$24*(E1197/'THAM_SO_MOI'!$C$22)^2-'THAM_SO_MOI'!$C$25*(E1197/'THAM_SO_MOI'!$C$22)^3)</f>
        <v>92.0025446712587</v>
      </c>
      <c r="K1197" s="75">
        <f>'THAM_SO_MOI'!$C$31*J1197/E1197</f>
        <v>429.4263933945287</v>
      </c>
      <c r="L1197" s="75">
        <f>K1197*'THAM_SO_MOI'!$C$50*'THAM_SO_MOI'!$C$17/'THAM_SO_MOI'!$C$26</f>
        <v>15331.107826912455</v>
      </c>
      <c r="M1197" s="75">
        <f>'THAM_SO_MOI'!$C$15*'THAM_SO_MOI'!$C$16*F1197^2</f>
        <v>76.13427162962344</v>
      </c>
      <c r="N1197" s="75">
        <f>'THAM_SO_MOI'!$C$12*I1197</f>
        <v>1130.112</v>
      </c>
      <c r="O1197" s="75">
        <f>M1197+N1197</f>
        <v>1206.2462716296236</v>
      </c>
      <c r="P1197" s="75">
        <f>(MIN(L1197,'THAM_SO_MOI'!$C$41)-O1197)/('THAM_SO_MOI'!$C$11*H1197)</f>
        <v>0.979018319482414</v>
      </c>
      <c r="Q1197" s="75">
        <f>IF(P1197&gt;0,1/P1197,NA())</f>
        <v>1.021431346176115</v>
      </c>
      <c r="R1197" s="75">
        <f>F1197-F1196</f>
        <v>0.0032106047296869278</v>
      </c>
      <c r="S1197" s="75">
        <f>0.5*(Q1196+Q1197)*R1197</f>
        <v>0.0032794638588732124</v>
      </c>
      <c r="T1197" s="75">
        <f>0.5*(F1196*Q1196+F1197*Q1197)*R1197</f>
        <v>0.01672604795205733</v>
      </c>
      <c r="U1197" s="76">
        <f>U1196+S1197</f>
        <v>5.3479664517029875</v>
      </c>
      <c r="V1197" s="76">
        <f>V1196+T1197</f>
        <v>17.645457305006282</v>
      </c>
    </row>
    <row r="1198" spans="1:22" ht="19" customHeight="1">
      <c r="A1198" s="68" t="s">
        <v>372</v>
      </c>
      <c r="B1198" s="74">
        <v>2</v>
      </c>
      <c r="C1198" s="68" t="s">
        <v>363</v>
      </c>
      <c r="D1198" s="68" t="s">
        <v>364</v>
      </c>
      <c r="E1198" s="75">
        <f>60*F1198*'THAM_SO_MOI'!$C$50/(2*PI()*'THAM_SO_MOI'!$C$26)</f>
        <v>2047.564734946893</v>
      </c>
      <c r="F1198" s="75">
        <f>'HANH_TRINH'!$F$826+('THAM_SO_MOI'!$F$50-'HANH_TRINH'!$F$826)*371/'THAM_SO_MOI'!$C$42</f>
        <v>5.105054468819069</v>
      </c>
      <c r="G1198" s="75">
        <f>3.6*F1198</f>
        <v>18.37819608774865</v>
      </c>
      <c r="H1198" s="75">
        <f>'THAM_SO_MOI'!$D$50</f>
        <v>1.8785906709588276</v>
      </c>
      <c r="I1198" s="75">
        <f>IF(F1198&gt;'THAM_SO_MOI'!$C$14,'THAM_SO_MOI'!$C$13*(1+F1198^2/1500),'THAM_SO_MOI'!$C$13)</f>
        <v>0.015</v>
      </c>
      <c r="J1198" s="75">
        <f>'THAM_SO_MOI'!$C$40*('THAM_SO_MOI'!$C$23*(E1198/'THAM_SO_MOI'!$C$22)+'THAM_SO_MOI'!$C$24*(E1198/'THAM_SO_MOI'!$C$22)^2-'THAM_SO_MOI'!$C$25*(E1198/'THAM_SO_MOI'!$C$22)^3)</f>
        <v>92.06364919327899</v>
      </c>
      <c r="K1198" s="75">
        <f>'THAM_SO_MOI'!$C$31*J1198/E1198</f>
        <v>429.4413530960761</v>
      </c>
      <c r="L1198" s="75">
        <f>K1198*'THAM_SO_MOI'!$C$50*'THAM_SO_MOI'!$C$17/'THAM_SO_MOI'!$C$26</f>
        <v>15331.641908657337</v>
      </c>
      <c r="M1198" s="75">
        <f>'THAM_SO_MOI'!$C$15*'THAM_SO_MOI'!$C$16*F1198^2</f>
        <v>76.23012480410793</v>
      </c>
      <c r="N1198" s="75">
        <f>'THAM_SO_MOI'!$C$12*I1198</f>
        <v>1130.112</v>
      </c>
      <c r="O1198" s="75">
        <f>M1198+N1198</f>
        <v>1206.342124804108</v>
      </c>
      <c r="P1198" s="75">
        <f>(MIN(L1198,'THAM_SO_MOI'!$C$41)-O1198)/('THAM_SO_MOI'!$C$11*H1198)</f>
        <v>0.9790486938543582</v>
      </c>
      <c r="Q1198" s="75">
        <f>IF(P1198&gt;0,1/P1198,NA())</f>
        <v>1.021399656908953</v>
      </c>
      <c r="R1198" s="75">
        <f>F1198-F1197</f>
        <v>0.0032106047296869278</v>
      </c>
      <c r="S1198" s="75">
        <f>0.5*(Q1197+Q1198)*R1198</f>
        <v>0.003279361440228005</v>
      </c>
      <c r="T1198" s="75">
        <f>0.5*(F1197*Q1197+F1198*Q1198)*R1198</f>
        <v>0.016736054326970635</v>
      </c>
      <c r="U1198" s="76">
        <f>U1197+S1198</f>
        <v>5.3512458131432155</v>
      </c>
      <c r="V1198" s="76">
        <f>V1197+T1198</f>
        <v>17.66219335933325</v>
      </c>
    </row>
    <row r="1199" spans="1:22" ht="19" customHeight="1">
      <c r="A1199" s="68" t="s">
        <v>372</v>
      </c>
      <c r="B1199" s="74">
        <v>2</v>
      </c>
      <c r="C1199" s="68" t="s">
        <v>363</v>
      </c>
      <c r="D1199" s="68" t="s">
        <v>364</v>
      </c>
      <c r="E1199" s="75">
        <f>60*F1199*'THAM_SO_MOI'!$C$50/(2*PI()*'THAM_SO_MOI'!$C$26)</f>
        <v>2048.8524628374594</v>
      </c>
      <c r="F1199" s="75">
        <f>'HANH_TRINH'!$F$826+('THAM_SO_MOI'!$F$50-'HANH_TRINH'!$F$826)*372/'THAM_SO_MOI'!$C$42</f>
        <v>5.108265073548756</v>
      </c>
      <c r="G1199" s="75">
        <f>3.6*F1199</f>
        <v>18.389754264775522</v>
      </c>
      <c r="H1199" s="75">
        <f>'THAM_SO_MOI'!$D$50</f>
        <v>1.8785906709588276</v>
      </c>
      <c r="I1199" s="75">
        <f>IF(F1199&gt;'THAM_SO_MOI'!$C$14,'THAM_SO_MOI'!$C$13*(1+F1199^2/1500),'THAM_SO_MOI'!$C$13)</f>
        <v>0.015</v>
      </c>
      <c r="J1199" s="75">
        <f>'THAM_SO_MOI'!$C$40*('THAM_SO_MOI'!$C$23*(E1199/'THAM_SO_MOI'!$C$22)+'THAM_SO_MOI'!$C$24*(E1199/'THAM_SO_MOI'!$C$22)^2-'THAM_SO_MOI'!$C$25*(E1199/'THAM_SO_MOI'!$C$22)^3)</f>
        <v>92.12472323925236</v>
      </c>
      <c r="K1199" s="75">
        <f>'THAM_SO_MOI'!$C$31*J1199/E1199</f>
        <v>429.4561519232912</v>
      </c>
      <c r="L1199" s="75">
        <f>K1199*'THAM_SO_MOI'!$C$50*'THAM_SO_MOI'!$C$17/'THAM_SO_MOI'!$C$26</f>
        <v>15332.170246969179</v>
      </c>
      <c r="M1199" s="75">
        <f>'THAM_SO_MOI'!$C$15*'THAM_SO_MOI'!$C$16*F1199^2</f>
        <v>76.32603828029139</v>
      </c>
      <c r="N1199" s="75">
        <f>'THAM_SO_MOI'!$C$12*I1199</f>
        <v>1130.112</v>
      </c>
      <c r="O1199" s="75">
        <f>M1199+N1199</f>
        <v>1206.4380382802915</v>
      </c>
      <c r="P1199" s="75">
        <f>(MIN(L1199,'THAM_SO_MOI'!$C$41)-O1199)/('THAM_SO_MOI'!$C$11*H1199)</f>
        <v>0.9790786659595185</v>
      </c>
      <c r="Q1199" s="75">
        <f>IF(P1199&gt;0,1/P1199,NA())</f>
        <v>1.0213683892498853</v>
      </c>
      <c r="R1199" s="75">
        <f>F1199-F1198</f>
        <v>0.0032106047296869278</v>
      </c>
      <c r="S1199" s="75">
        <f>0.5*(Q1198+Q1199)*R1199</f>
        <v>0.003279260375325445</v>
      </c>
      <c r="T1199" s="75">
        <f>0.5*(F1198*Q1198+F1199*Q1199)*R1199</f>
        <v>0.016746066957335284</v>
      </c>
      <c r="U1199" s="76">
        <f>U1198+S1199</f>
        <v>5.354525073518541</v>
      </c>
      <c r="V1199" s="76">
        <f>V1198+T1199</f>
        <v>17.678939426290587</v>
      </c>
    </row>
    <row r="1200" spans="1:22" ht="19" customHeight="1">
      <c r="A1200" s="68" t="s">
        <v>372</v>
      </c>
      <c r="B1200" s="74">
        <v>2</v>
      </c>
      <c r="C1200" s="68" t="s">
        <v>363</v>
      </c>
      <c r="D1200" s="68" t="s">
        <v>364</v>
      </c>
      <c r="E1200" s="75">
        <f>60*F1200*'THAM_SO_MOI'!$C$50/(2*PI()*'THAM_SO_MOI'!$C$26)</f>
        <v>2050.140190728026</v>
      </c>
      <c r="F1200" s="75">
        <f>'HANH_TRINH'!$F$826+('THAM_SO_MOI'!$F$50-'HANH_TRINH'!$F$826)*373/'THAM_SO_MOI'!$C$42</f>
        <v>5.111475678278442</v>
      </c>
      <c r="G1200" s="75">
        <f>3.6*F1200</f>
        <v>18.401312441802393</v>
      </c>
      <c r="H1200" s="75">
        <f>'THAM_SO_MOI'!$D$50</f>
        <v>1.8785906709588276</v>
      </c>
      <c r="I1200" s="75">
        <f>IF(F1200&gt;'THAM_SO_MOI'!$C$14,'THAM_SO_MOI'!$C$13*(1+F1200^2/1500),'THAM_SO_MOI'!$C$13)</f>
        <v>0.015</v>
      </c>
      <c r="J1200" s="75">
        <f>'THAM_SO_MOI'!$C$40*('THAM_SO_MOI'!$C$23*(E1200/'THAM_SO_MOI'!$C$22)+'THAM_SO_MOI'!$C$24*(E1200/'THAM_SO_MOI'!$C$22)^2-'THAM_SO_MOI'!$C$25*(E1200/'THAM_SO_MOI'!$C$22)^3)</f>
        <v>92.18576674410919</v>
      </c>
      <c r="K1200" s="75">
        <f>'THAM_SO_MOI'!$C$31*J1200/E1200</f>
        <v>429.4707898761742</v>
      </c>
      <c r="L1200" s="75">
        <f>K1200*'THAM_SO_MOI'!$C$50*'THAM_SO_MOI'!$C$17/'THAM_SO_MOI'!$C$26</f>
        <v>15332.692841847991</v>
      </c>
      <c r="M1200" s="75">
        <f>'THAM_SO_MOI'!$C$15*'THAM_SO_MOI'!$C$16*F1200^2</f>
        <v>76.42201205817378</v>
      </c>
      <c r="N1200" s="75">
        <f>'THAM_SO_MOI'!$C$12*I1200</f>
        <v>1130.112</v>
      </c>
      <c r="O1200" s="75">
        <f>M1200+N1200</f>
        <v>1206.5340120581739</v>
      </c>
      <c r="P1200" s="75">
        <f>(MIN(L1200,'THAM_SO_MOI'!$C$41)-O1200)/('THAM_SO_MOI'!$C$11*H1200)</f>
        <v>0.9791082357978954</v>
      </c>
      <c r="Q1200" s="75">
        <f>IF(P1200&gt;0,1/P1200,NA())</f>
        <v>1.0213375431216545</v>
      </c>
      <c r="R1200" s="75">
        <f>F1200-F1199</f>
        <v>0.0032106047296860396</v>
      </c>
      <c r="S1200" s="75">
        <f>0.5*(Q1199+Q1200)*R1200</f>
        <v>0.0032791606639148985</v>
      </c>
      <c r="T1200" s="75">
        <f>0.5*(F1199*Q1199+F1200*Q1200)*R1200</f>
        <v>0.016756085854909567</v>
      </c>
      <c r="U1200" s="76">
        <f>U1199+S1200</f>
        <v>5.357804234182456</v>
      </c>
      <c r="V1200" s="76">
        <f>V1199+T1200</f>
        <v>17.695695512145495</v>
      </c>
    </row>
    <row r="1201" spans="1:22" ht="19" customHeight="1">
      <c r="A1201" s="68" t="s">
        <v>372</v>
      </c>
      <c r="B1201" s="74">
        <v>2</v>
      </c>
      <c r="C1201" s="68" t="s">
        <v>363</v>
      </c>
      <c r="D1201" s="68" t="s">
        <v>364</v>
      </c>
      <c r="E1201" s="75">
        <f>60*F1201*'THAM_SO_MOI'!$C$50/(2*PI()*'THAM_SO_MOI'!$C$26)</f>
        <v>2051.427918618593</v>
      </c>
      <c r="F1201" s="75">
        <f>'HANH_TRINH'!$F$826+('THAM_SO_MOI'!$F$50-'HANH_TRINH'!$F$826)*374/'THAM_SO_MOI'!$C$42</f>
        <v>5.11468628300813</v>
      </c>
      <c r="G1201" s="75">
        <f>3.6*F1201</f>
        <v>18.412870618829267</v>
      </c>
      <c r="H1201" s="75">
        <f>'THAM_SO_MOI'!$D$50</f>
        <v>1.8785906709588276</v>
      </c>
      <c r="I1201" s="75">
        <f>IF(F1201&gt;'THAM_SO_MOI'!$C$14,'THAM_SO_MOI'!$C$13*(1+F1201^2/1500),'THAM_SO_MOI'!$C$13)</f>
        <v>0.015</v>
      </c>
      <c r="J1201" s="75">
        <f>'THAM_SO_MOI'!$C$40*('THAM_SO_MOI'!$C$23*(E1201/'THAM_SO_MOI'!$C$22)+'THAM_SO_MOI'!$C$24*(E1201/'THAM_SO_MOI'!$C$22)^2-'THAM_SO_MOI'!$C$25*(E1201/'THAM_SO_MOI'!$C$22)^3)</f>
        <v>92.2467796427797</v>
      </c>
      <c r="K1201" s="75">
        <f>'THAM_SO_MOI'!$C$31*J1201/E1201</f>
        <v>429.48526695472475</v>
      </c>
      <c r="L1201" s="75">
        <f>K1201*'THAM_SO_MOI'!$C$50*'THAM_SO_MOI'!$C$17/'THAM_SO_MOI'!$C$26</f>
        <v>15333.209693293758</v>
      </c>
      <c r="M1201" s="75">
        <f>'THAM_SO_MOI'!$C$15*'THAM_SO_MOI'!$C$16*F1201^2</f>
        <v>76.51804613775519</v>
      </c>
      <c r="N1201" s="75">
        <f>'THAM_SO_MOI'!$C$12*I1201</f>
        <v>1130.112</v>
      </c>
      <c r="O1201" s="75">
        <f>M1201+N1201</f>
        <v>1206.6300461377552</v>
      </c>
      <c r="P1201" s="75">
        <f>(MIN(L1201,'THAM_SO_MOI'!$C$41)-O1201)/('THAM_SO_MOI'!$C$11*H1201)</f>
        <v>0.9791374033694883</v>
      </c>
      <c r="Q1201" s="75">
        <f>IF(P1201&gt;0,1/P1201,NA())</f>
        <v>1.021307118448052</v>
      </c>
      <c r="R1201" s="75">
        <f>F1201-F1200</f>
        <v>0.003210604729687816</v>
      </c>
      <c r="S1201" s="75">
        <f>0.5*(Q1200+Q1201)*R1201</f>
        <v>0.0032790623057536343</v>
      </c>
      <c r="T1201" s="75">
        <f>0.5*(F1200*Q1200+F1201*Q1201)*R1201</f>
        <v>0.01676611103148897</v>
      </c>
      <c r="U1201" s="76">
        <f>U1200+S1201</f>
        <v>5.36108329648821</v>
      </c>
      <c r="V1201" s="76">
        <f>V1200+T1201</f>
        <v>17.712461623176985</v>
      </c>
    </row>
    <row r="1202" spans="1:22" ht="19" customHeight="1">
      <c r="A1202" s="68" t="s">
        <v>372</v>
      </c>
      <c r="B1202" s="74">
        <v>2</v>
      </c>
      <c r="C1202" s="68" t="s">
        <v>363</v>
      </c>
      <c r="D1202" s="68" t="s">
        <v>364</v>
      </c>
      <c r="E1202" s="75">
        <f>60*F1202*'THAM_SO_MOI'!$C$50/(2*PI()*'THAM_SO_MOI'!$C$26)</f>
        <v>2052.7156465091593</v>
      </c>
      <c r="F1202" s="75">
        <f>'HANH_TRINH'!$F$826+('THAM_SO_MOI'!$F$50-'HANH_TRINH'!$F$826)*375/'THAM_SO_MOI'!$C$42</f>
        <v>5.117896887737816</v>
      </c>
      <c r="G1202" s="75">
        <f>3.6*F1202</f>
        <v>18.424428795856137</v>
      </c>
      <c r="H1202" s="75">
        <f>'THAM_SO_MOI'!$D$50</f>
        <v>1.8785906709588276</v>
      </c>
      <c r="I1202" s="75">
        <f>IF(F1202&gt;'THAM_SO_MOI'!$C$14,'THAM_SO_MOI'!$C$13*(1+F1202^2/1500),'THAM_SO_MOI'!$C$13)</f>
        <v>0.015</v>
      </c>
      <c r="J1202" s="75">
        <f>'THAM_SO_MOI'!$C$40*('THAM_SO_MOI'!$C$23*(E1202/'THAM_SO_MOI'!$C$22)+'THAM_SO_MOI'!$C$24*(E1202/'THAM_SO_MOI'!$C$22)^2-'THAM_SO_MOI'!$C$25*(E1202/'THAM_SO_MOI'!$C$22)^3)</f>
        <v>92.30776187019423</v>
      </c>
      <c r="K1202" s="75">
        <f>'THAM_SO_MOI'!$C$31*J1202/E1202</f>
        <v>429.4995831589433</v>
      </c>
      <c r="L1202" s="75">
        <f>K1202*'THAM_SO_MOI'!$C$50*'THAM_SO_MOI'!$C$17/'THAM_SO_MOI'!$C$26</f>
        <v>15333.720801306501</v>
      </c>
      <c r="M1202" s="75">
        <f>'THAM_SO_MOI'!$C$15*'THAM_SO_MOI'!$C$16*F1202^2</f>
        <v>76.61414051903554</v>
      </c>
      <c r="N1202" s="75">
        <f>'THAM_SO_MOI'!$C$12*I1202</f>
        <v>1130.112</v>
      </c>
      <c r="O1202" s="75">
        <f>M1202+N1202</f>
        <v>1206.7261405190357</v>
      </c>
      <c r="P1202" s="75">
        <f>(MIN(L1202,'THAM_SO_MOI'!$C$41)-O1202)/('THAM_SO_MOI'!$C$11*H1202)</f>
        <v>0.9791661686742984</v>
      </c>
      <c r="Q1202" s="75">
        <f>IF(P1202&gt;0,1/P1202,NA())</f>
        <v>1.0212771151539157</v>
      </c>
      <c r="R1202" s="75">
        <f>F1202-F1201</f>
        <v>0.0032106047296860396</v>
      </c>
      <c r="S1202" s="75">
        <f>0.5*(Q1201+Q1202)*R1202</f>
        <v>0.003278965300592306</v>
      </c>
      <c r="T1202" s="75">
        <f>0.5*(F1201*Q1201+F1202*Q1202)*R1202</f>
        <v>0.016776142498832015</v>
      </c>
      <c r="U1202" s="76">
        <f>U1201+S1202</f>
        <v>5.364362261788802</v>
      </c>
      <c r="V1202" s="76">
        <f>V1201+T1202</f>
        <v>17.729237765675816</v>
      </c>
    </row>
    <row r="1203" spans="1:22" ht="19" customHeight="1">
      <c r="A1203" s="68" t="s">
        <v>372</v>
      </c>
      <c r="B1203" s="74">
        <v>2</v>
      </c>
      <c r="C1203" s="68" t="s">
        <v>363</v>
      </c>
      <c r="D1203" s="68" t="s">
        <v>364</v>
      </c>
      <c r="E1203" s="75">
        <f>60*F1203*'THAM_SO_MOI'!$C$50/(2*PI()*'THAM_SO_MOI'!$C$26)</f>
        <v>2054.003374399726</v>
      </c>
      <c r="F1203" s="75">
        <f>'HANH_TRINH'!$F$826+('THAM_SO_MOI'!$F$50-'HANH_TRINH'!$F$826)*376/'THAM_SO_MOI'!$C$42</f>
        <v>5.121107492467503</v>
      </c>
      <c r="G1203" s="75">
        <f>3.6*F1203</f>
        <v>18.43598697288301</v>
      </c>
      <c r="H1203" s="75">
        <f>'THAM_SO_MOI'!$D$50</f>
        <v>1.8785906709588276</v>
      </c>
      <c r="I1203" s="75">
        <f>IF(F1203&gt;'THAM_SO_MOI'!$C$14,'THAM_SO_MOI'!$C$13*(1+F1203^2/1500),'THAM_SO_MOI'!$C$13)</f>
        <v>0.015</v>
      </c>
      <c r="J1203" s="75">
        <f>'THAM_SO_MOI'!$C$40*('THAM_SO_MOI'!$C$23*(E1203/'THAM_SO_MOI'!$C$22)+'THAM_SO_MOI'!$C$24*(E1203/'THAM_SO_MOI'!$C$22)^2-'THAM_SO_MOI'!$C$25*(E1203/'THAM_SO_MOI'!$C$22)^3)</f>
        <v>92.36871336128307</v>
      </c>
      <c r="K1203" s="75">
        <f>'THAM_SO_MOI'!$C$31*J1203/E1203</f>
        <v>429.51373848882946</v>
      </c>
      <c r="L1203" s="75">
        <f>K1203*'THAM_SO_MOI'!$C$50*'THAM_SO_MOI'!$C$17/'THAM_SO_MOI'!$C$26</f>
        <v>15334.2261658862</v>
      </c>
      <c r="M1203" s="75">
        <f>'THAM_SO_MOI'!$C$15*'THAM_SO_MOI'!$C$16*F1203^2</f>
        <v>76.71029520201488</v>
      </c>
      <c r="N1203" s="75">
        <f>'THAM_SO_MOI'!$C$12*I1203</f>
        <v>1130.112</v>
      </c>
      <c r="O1203" s="75">
        <f>M1203+N1203</f>
        <v>1206.8222952020149</v>
      </c>
      <c r="P1203" s="75">
        <f>(MIN(L1203,'THAM_SO_MOI'!$C$41)-O1203)/('THAM_SO_MOI'!$C$11*H1203)</f>
        <v>0.9791945317123242</v>
      </c>
      <c r="Q1203" s="75">
        <f>IF(P1203&gt;0,1/P1203,NA())</f>
        <v>1.0212475331651343</v>
      </c>
      <c r="R1203" s="75">
        <f>F1203-F1202</f>
        <v>0.0032106047296869278</v>
      </c>
      <c r="S1203" s="75">
        <f>0.5*(Q1202+Q1203)*R1203</f>
        <v>0.0032788696481976356</v>
      </c>
      <c r="T1203" s="75">
        <f>0.5*(F1202*Q1202+F1203*Q1203)*R1203</f>
        <v>0.016786180268776273</v>
      </c>
      <c r="U1203" s="76">
        <f>U1202+S1203</f>
        <v>5.367641131437</v>
      </c>
      <c r="V1203" s="76">
        <f>V1202+T1203</f>
        <v>17.746023945944593</v>
      </c>
    </row>
    <row r="1204" spans="1:22" ht="19" customHeight="1">
      <c r="A1204" s="68" t="s">
        <v>372</v>
      </c>
      <c r="B1204" s="74">
        <v>2</v>
      </c>
      <c r="C1204" s="68" t="s">
        <v>363</v>
      </c>
      <c r="D1204" s="68" t="s">
        <v>364</v>
      </c>
      <c r="E1204" s="75">
        <f>60*F1204*'THAM_SO_MOI'!$C$50/(2*PI()*'THAM_SO_MOI'!$C$26)</f>
        <v>2055.2911022902927</v>
      </c>
      <c r="F1204" s="75">
        <f>'HANH_TRINH'!$F$826+('THAM_SO_MOI'!$F$50-'HANH_TRINH'!$F$826)*377/'THAM_SO_MOI'!$C$42</f>
        <v>5.12431809719719</v>
      </c>
      <c r="G1204" s="75">
        <f>3.6*F1204</f>
        <v>18.44754514990988</v>
      </c>
      <c r="H1204" s="75">
        <f>'THAM_SO_MOI'!$D$50</f>
        <v>1.8785906709588276</v>
      </c>
      <c r="I1204" s="75">
        <f>IF(F1204&gt;'THAM_SO_MOI'!$C$14,'THAM_SO_MOI'!$C$13*(1+F1204^2/1500),'THAM_SO_MOI'!$C$13)</f>
        <v>0.015</v>
      </c>
      <c r="J1204" s="75">
        <f>'THAM_SO_MOI'!$C$40*('THAM_SO_MOI'!$C$23*(E1204/'THAM_SO_MOI'!$C$22)+'THAM_SO_MOI'!$C$24*(E1204/'THAM_SO_MOI'!$C$22)^2-'THAM_SO_MOI'!$C$25*(E1204/'THAM_SO_MOI'!$C$22)^3)</f>
        <v>92.42963405097653</v>
      </c>
      <c r="K1204" s="75">
        <f>'THAM_SO_MOI'!$C$31*J1204/E1204</f>
        <v>429.5277329443835</v>
      </c>
      <c r="L1204" s="75">
        <f>K1204*'THAM_SO_MOI'!$C$50*'THAM_SO_MOI'!$C$17/'THAM_SO_MOI'!$C$26</f>
        <v>15334.72578703287</v>
      </c>
      <c r="M1204" s="75">
        <f>'THAM_SO_MOI'!$C$15*'THAM_SO_MOI'!$C$16*F1204^2</f>
        <v>76.80651018669319</v>
      </c>
      <c r="N1204" s="75">
        <f>'THAM_SO_MOI'!$C$12*I1204</f>
        <v>1130.112</v>
      </c>
      <c r="O1204" s="75">
        <f>M1204+N1204</f>
        <v>1206.9185101866933</v>
      </c>
      <c r="P1204" s="75">
        <f>(MIN(L1204,'THAM_SO_MOI'!$C$41)-O1204)/('THAM_SO_MOI'!$C$11*H1204)</f>
        <v>0.979222492483567</v>
      </c>
      <c r="Q1204" s="75">
        <f>IF(P1204&gt;0,1/P1204,NA())</f>
        <v>1.02121837240864</v>
      </c>
      <c r="R1204" s="75">
        <f>F1204-F1203</f>
        <v>0.0032106047296869278</v>
      </c>
      <c r="S1204" s="75">
        <f>0.5*(Q1203+Q1204)*R1204</f>
        <v>0.003278775348329727</v>
      </c>
      <c r="T1204" s="75">
        <f>0.5*(F1203*Q1203+F1204*Q1204)*R1204</f>
        <v>0.01679622435312243</v>
      </c>
      <c r="U1204" s="76">
        <f>U1203+S1204</f>
        <v>5.370919906785329</v>
      </c>
      <c r="V1204" s="76">
        <f>V1203+T1204</f>
        <v>17.762820170297715</v>
      </c>
    </row>
    <row r="1205" spans="1:22" ht="19" customHeight="1">
      <c r="A1205" s="68" t="s">
        <v>372</v>
      </c>
      <c r="B1205" s="74">
        <v>2</v>
      </c>
      <c r="C1205" s="68" t="s">
        <v>363</v>
      </c>
      <c r="D1205" s="68" t="s">
        <v>364</v>
      </c>
      <c r="E1205" s="75">
        <f>60*F1205*'THAM_SO_MOI'!$C$50/(2*PI()*'THAM_SO_MOI'!$C$26)</f>
        <v>2056.5788301808593</v>
      </c>
      <c r="F1205" s="75">
        <f>'HANH_TRINH'!$F$826+('THAM_SO_MOI'!$F$50-'HANH_TRINH'!$F$826)*378/'THAM_SO_MOI'!$C$42</f>
        <v>5.1275287019268765</v>
      </c>
      <c r="G1205" s="75">
        <f>3.6*F1205</f>
        <v>18.459103326936756</v>
      </c>
      <c r="H1205" s="75">
        <f>'THAM_SO_MOI'!$D$50</f>
        <v>1.8785906709588276</v>
      </c>
      <c r="I1205" s="75">
        <f>IF(F1205&gt;'THAM_SO_MOI'!$C$14,'THAM_SO_MOI'!$C$13*(1+F1205^2/1500),'THAM_SO_MOI'!$C$13)</f>
        <v>0.015</v>
      </c>
      <c r="J1205" s="75">
        <f>'THAM_SO_MOI'!$C$40*('THAM_SO_MOI'!$C$23*(E1205/'THAM_SO_MOI'!$C$22)+'THAM_SO_MOI'!$C$24*(E1205/'THAM_SO_MOI'!$C$22)^2-'THAM_SO_MOI'!$C$25*(E1205/'THAM_SO_MOI'!$C$22)^3)</f>
        <v>92.49052387420491</v>
      </c>
      <c r="K1205" s="75">
        <f>'THAM_SO_MOI'!$C$31*J1205/E1205</f>
        <v>429.5415665256052</v>
      </c>
      <c r="L1205" s="75">
        <f>K1205*'THAM_SO_MOI'!$C$50*'THAM_SO_MOI'!$C$17/'THAM_SO_MOI'!$C$26</f>
        <v>15335.219664746503</v>
      </c>
      <c r="M1205" s="75">
        <f>'THAM_SO_MOI'!$C$15*'THAM_SO_MOI'!$C$16*F1205^2</f>
        <v>76.90278547307047</v>
      </c>
      <c r="N1205" s="75">
        <f>'THAM_SO_MOI'!$C$12*I1205</f>
        <v>1130.112</v>
      </c>
      <c r="O1205" s="75">
        <f>M1205+N1205</f>
        <v>1207.0147854730706</v>
      </c>
      <c r="P1205" s="75">
        <f>(MIN(L1205,'THAM_SO_MOI'!$C$41)-O1205)/('THAM_SO_MOI'!$C$11*H1205)</f>
        <v>0.9792500509880258</v>
      </c>
      <c r="Q1205" s="75">
        <f>IF(P1205&gt;0,1/P1205,NA())</f>
        <v>1.0211896328124144</v>
      </c>
      <c r="R1205" s="75">
        <f>F1205-F1204</f>
        <v>0.0032106047296869278</v>
      </c>
      <c r="S1205" s="75">
        <f>0.5*(Q1204+Q1205)*R1205</f>
        <v>0.003278682400756581</v>
      </c>
      <c r="T1205" s="75">
        <f>0.5*(F1204*Q1204+F1205*Q1205)*R1205</f>
        <v>0.01680627476370856</v>
      </c>
      <c r="U1205" s="76">
        <f>U1204+S1205</f>
        <v>5.3741985891860855</v>
      </c>
      <c r="V1205" s="76">
        <f>V1204+T1205</f>
        <v>17.779626445061425</v>
      </c>
    </row>
    <row r="1206" spans="1:22" ht="19" customHeight="1">
      <c r="A1206" s="68" t="s">
        <v>372</v>
      </c>
      <c r="B1206" s="74">
        <v>2</v>
      </c>
      <c r="C1206" s="68" t="s">
        <v>363</v>
      </c>
      <c r="D1206" s="68" t="s">
        <v>364</v>
      </c>
      <c r="E1206" s="75">
        <f>60*F1206*'THAM_SO_MOI'!$C$50/(2*PI()*'THAM_SO_MOI'!$C$26)</f>
        <v>2057.866558071426</v>
      </c>
      <c r="F1206" s="75">
        <f>'HANH_TRINH'!$F$826+('THAM_SO_MOI'!$F$50-'HANH_TRINH'!$F$826)*379/'THAM_SO_MOI'!$C$42</f>
        <v>5.130739306656563</v>
      </c>
      <c r="G1206" s="75">
        <f>3.6*F1206</f>
        <v>18.47066150396363</v>
      </c>
      <c r="H1206" s="75">
        <f>'THAM_SO_MOI'!$D$50</f>
        <v>1.8785906709588276</v>
      </c>
      <c r="I1206" s="75">
        <f>IF(F1206&gt;'THAM_SO_MOI'!$C$14,'THAM_SO_MOI'!$C$13*(1+F1206^2/1500),'THAM_SO_MOI'!$C$13)</f>
        <v>0.015</v>
      </c>
      <c r="J1206" s="75">
        <f>'THAM_SO_MOI'!$C$40*('THAM_SO_MOI'!$C$23*(E1206/'THAM_SO_MOI'!$C$22)+'THAM_SO_MOI'!$C$24*(E1206/'THAM_SO_MOI'!$C$22)^2-'THAM_SO_MOI'!$C$25*(E1206/'THAM_SO_MOI'!$C$22)^3)</f>
        <v>92.5513827658985</v>
      </c>
      <c r="K1206" s="75">
        <f>'THAM_SO_MOI'!$C$31*J1206/E1206</f>
        <v>429.55523923249467</v>
      </c>
      <c r="L1206" s="75">
        <f>K1206*'THAM_SO_MOI'!$C$50*'THAM_SO_MOI'!$C$17/'THAM_SO_MOI'!$C$26</f>
        <v>15335.707799027095</v>
      </c>
      <c r="M1206" s="75">
        <f>'THAM_SO_MOI'!$C$15*'THAM_SO_MOI'!$C$16*F1206^2</f>
        <v>76.99912106114672</v>
      </c>
      <c r="N1206" s="75">
        <f>'THAM_SO_MOI'!$C$12*I1206</f>
        <v>1130.112</v>
      </c>
      <c r="O1206" s="75">
        <f>M1206+N1206</f>
        <v>1207.1111210611468</v>
      </c>
      <c r="P1206" s="75">
        <f>(MIN(L1206,'THAM_SO_MOI'!$C$41)-O1206)/('THAM_SO_MOI'!$C$11*H1206)</f>
        <v>0.979277207225701</v>
      </c>
      <c r="Q1206" s="75">
        <f>IF(P1206&gt;0,1/P1206,NA())</f>
        <v>1.0211613143054834</v>
      </c>
      <c r="R1206" s="75">
        <f>F1206-F1205</f>
        <v>0.0032106047296869278</v>
      </c>
      <c r="S1206" s="75">
        <f>0.5*(Q1205+Q1206)*R1206</f>
        <v>0.0032785908052486495</v>
      </c>
      <c r="T1206" s="75">
        <f>0.5*(F1205*Q1205+F1206*Q1206)*R1206</f>
        <v>0.01681633151238235</v>
      </c>
      <c r="U1206" s="76">
        <f>U1205+S1206</f>
        <v>5.377477179991335</v>
      </c>
      <c r="V1206" s="76">
        <f>V1205+T1206</f>
        <v>17.796442776573805</v>
      </c>
    </row>
    <row r="1207" spans="1:22" ht="19" customHeight="1">
      <c r="A1207" s="68" t="s">
        <v>372</v>
      </c>
      <c r="B1207" s="74">
        <v>2</v>
      </c>
      <c r="C1207" s="68" t="s">
        <v>363</v>
      </c>
      <c r="D1207" s="68" t="s">
        <v>364</v>
      </c>
      <c r="E1207" s="75">
        <f>60*F1207*'THAM_SO_MOI'!$C$50/(2*PI()*'THAM_SO_MOI'!$C$26)</f>
        <v>2059.154285961992</v>
      </c>
      <c r="F1207" s="75">
        <f>'HANH_TRINH'!$F$826+('THAM_SO_MOI'!$F$50-'HANH_TRINH'!$F$826)*380/'THAM_SO_MOI'!$C$42</f>
        <v>5.1339499113862495</v>
      </c>
      <c r="G1207" s="75">
        <f>3.6*F1207</f>
        <v>18.4822196809905</v>
      </c>
      <c r="H1207" s="75">
        <f>'THAM_SO_MOI'!$D$50</f>
        <v>1.8785906709588276</v>
      </c>
      <c r="I1207" s="75">
        <f>IF(F1207&gt;'THAM_SO_MOI'!$C$14,'THAM_SO_MOI'!$C$13*(1+F1207^2/1500),'THAM_SO_MOI'!$C$13)</f>
        <v>0.015</v>
      </c>
      <c r="J1207" s="75">
        <f>'THAM_SO_MOI'!$C$40*('THAM_SO_MOI'!$C$23*(E1207/'THAM_SO_MOI'!$C$22)+'THAM_SO_MOI'!$C$24*(E1207/'THAM_SO_MOI'!$C$22)^2-'THAM_SO_MOI'!$C$25*(E1207/'THAM_SO_MOI'!$C$22)^3)</f>
        <v>92.61221066098757</v>
      </c>
      <c r="K1207" s="75">
        <f>'THAM_SO_MOI'!$C$31*J1207/E1207</f>
        <v>429.56875106505186</v>
      </c>
      <c r="L1207" s="75">
        <f>K1207*'THAM_SO_MOI'!$C$50*'THAM_SO_MOI'!$C$17/'THAM_SO_MOI'!$C$26</f>
        <v>15336.190189874656</v>
      </c>
      <c r="M1207" s="75">
        <f>'THAM_SO_MOI'!$C$15*'THAM_SO_MOI'!$C$16*F1207^2</f>
        <v>77.09551695092193</v>
      </c>
      <c r="N1207" s="75">
        <f>'THAM_SO_MOI'!$C$12*I1207</f>
        <v>1130.112</v>
      </c>
      <c r="O1207" s="75">
        <f>M1207+N1207</f>
        <v>1207.2075169509221</v>
      </c>
      <c r="P1207" s="75">
        <f>(MIN(L1207,'THAM_SO_MOI'!$C$41)-O1207)/('THAM_SO_MOI'!$C$11*H1207)</f>
        <v>0.9793039611965928</v>
      </c>
      <c r="Q1207" s="75">
        <f>IF(P1207&gt;0,1/P1207,NA())</f>
        <v>1.0211334168179194</v>
      </c>
      <c r="R1207" s="75">
        <f>F1207-F1206</f>
        <v>0.0032106047296860396</v>
      </c>
      <c r="S1207" s="75">
        <f>0.5*(Q1206+Q1207)*R1207</f>
        <v>0.003278500561578838</v>
      </c>
      <c r="T1207" s="75">
        <f>0.5*(F1206*Q1206+F1207*Q1207)*R1207</f>
        <v>0.0168263946110011</v>
      </c>
      <c r="U1207" s="76">
        <f>U1206+S1207</f>
        <v>5.380755680552913</v>
      </c>
      <c r="V1207" s="76">
        <f>V1206+T1207</f>
        <v>17.813269171184807</v>
      </c>
    </row>
    <row r="1208" spans="1:22" ht="19" customHeight="1">
      <c r="A1208" s="68" t="s">
        <v>372</v>
      </c>
      <c r="B1208" s="74">
        <v>2</v>
      </c>
      <c r="C1208" s="68" t="s">
        <v>363</v>
      </c>
      <c r="D1208" s="68" t="s">
        <v>364</v>
      </c>
      <c r="E1208" s="75">
        <f>60*F1208*'THAM_SO_MOI'!$C$50/(2*PI()*'THAM_SO_MOI'!$C$26)</f>
        <v>2060.4420138525593</v>
      </c>
      <c r="F1208" s="75">
        <f>'HANH_TRINH'!$F$826+('THAM_SO_MOI'!$F$50-'HANH_TRINH'!$F$826)*381/'THAM_SO_MOI'!$C$42</f>
        <v>5.137160516115937</v>
      </c>
      <c r="G1208" s="75">
        <f>3.6*F1208</f>
        <v>18.493777858017374</v>
      </c>
      <c r="H1208" s="75">
        <f>'THAM_SO_MOI'!$D$50</f>
        <v>1.8785906709588276</v>
      </c>
      <c r="I1208" s="75">
        <f>IF(F1208&gt;'THAM_SO_MOI'!$C$14,'THAM_SO_MOI'!$C$13*(1+F1208^2/1500),'THAM_SO_MOI'!$C$13)</f>
        <v>0.015</v>
      </c>
      <c r="J1208" s="75">
        <f>'THAM_SO_MOI'!$C$40*('THAM_SO_MOI'!$C$23*(E1208/'THAM_SO_MOI'!$C$22)+'THAM_SO_MOI'!$C$24*(E1208/'THAM_SO_MOI'!$C$22)^2-'THAM_SO_MOI'!$C$25*(E1208/'THAM_SO_MOI'!$C$22)^3)</f>
        <v>92.6730074944025</v>
      </c>
      <c r="K1208" s="75">
        <f>'THAM_SO_MOI'!$C$31*J1208/E1208</f>
        <v>429.5821020232767</v>
      </c>
      <c r="L1208" s="75">
        <f>K1208*'THAM_SO_MOI'!$C$50*'THAM_SO_MOI'!$C$17/'THAM_SO_MOI'!$C$26</f>
        <v>15336.666837289175</v>
      </c>
      <c r="M1208" s="75">
        <f>'THAM_SO_MOI'!$C$15*'THAM_SO_MOI'!$C$16*F1208^2</f>
        <v>77.19197314239617</v>
      </c>
      <c r="N1208" s="75">
        <f>'THAM_SO_MOI'!$C$12*I1208</f>
        <v>1130.112</v>
      </c>
      <c r="O1208" s="75">
        <f>M1208+N1208</f>
        <v>1207.3039731423962</v>
      </c>
      <c r="P1208" s="75">
        <f>(MIN(L1208,'THAM_SO_MOI'!$C$41)-O1208)/('THAM_SO_MOI'!$C$11*H1208)</f>
        <v>0.9793303129007002</v>
      </c>
      <c r="Q1208" s="75">
        <f>IF(P1208&gt;0,1/P1208,NA())</f>
        <v>1.0211059402808413</v>
      </c>
      <c r="R1208" s="75">
        <f>F1208-F1207</f>
        <v>0.003210604729687816</v>
      </c>
      <c r="S1208" s="75">
        <f>0.5*(Q1207+Q1208)*R1208</f>
        <v>0.003278411669527943</v>
      </c>
      <c r="T1208" s="75">
        <f>0.5*(F1207*Q1207+F1208*Q1208)*R1208</f>
        <v>0.016836464071459736</v>
      </c>
      <c r="U1208" s="76">
        <f>U1207+S1208</f>
        <v>5.384034092222441</v>
      </c>
      <c r="V1208" s="76">
        <f>V1207+T1208</f>
        <v>17.830105635256267</v>
      </c>
    </row>
    <row r="1209" spans="1:22" ht="19" customHeight="1">
      <c r="A1209" s="68" t="s">
        <v>372</v>
      </c>
      <c r="B1209" s="74">
        <v>2</v>
      </c>
      <c r="C1209" s="68" t="s">
        <v>363</v>
      </c>
      <c r="D1209" s="68" t="s">
        <v>364</v>
      </c>
      <c r="E1209" s="75">
        <f>60*F1209*'THAM_SO_MOI'!$C$50/(2*PI()*'THAM_SO_MOI'!$C$26)</f>
        <v>2061.729741743126</v>
      </c>
      <c r="F1209" s="75">
        <f>'HANH_TRINH'!$F$826+('THAM_SO_MOI'!$F$50-'HANH_TRINH'!$F$826)*382/'THAM_SO_MOI'!$C$42</f>
        <v>5.140371120845623</v>
      </c>
      <c r="G1209" s="75">
        <f>3.6*F1209</f>
        <v>18.505336035044245</v>
      </c>
      <c r="H1209" s="75">
        <f>'THAM_SO_MOI'!$D$50</f>
        <v>1.8785906709588276</v>
      </c>
      <c r="I1209" s="75">
        <f>IF(F1209&gt;'THAM_SO_MOI'!$C$14,'THAM_SO_MOI'!$C$13*(1+F1209^2/1500),'THAM_SO_MOI'!$C$13)</f>
        <v>0.015</v>
      </c>
      <c r="J1209" s="75">
        <f>'THAM_SO_MOI'!$C$40*('THAM_SO_MOI'!$C$23*(E1209/'THAM_SO_MOI'!$C$22)+'THAM_SO_MOI'!$C$24*(E1209/'THAM_SO_MOI'!$C$22)^2-'THAM_SO_MOI'!$C$25*(E1209/'THAM_SO_MOI'!$C$22)^3)</f>
        <v>92.73377320107356</v>
      </c>
      <c r="K1209" s="75">
        <f>'THAM_SO_MOI'!$C$31*J1209/E1209</f>
        <v>429.59529210716954</v>
      </c>
      <c r="L1209" s="75">
        <f>K1209*'THAM_SO_MOI'!$C$50*'THAM_SO_MOI'!$C$17/'THAM_SO_MOI'!$C$26</f>
        <v>15337.137741270666</v>
      </c>
      <c r="M1209" s="75">
        <f>'THAM_SO_MOI'!$C$15*'THAM_SO_MOI'!$C$16*F1209^2</f>
        <v>77.28848963556929</v>
      </c>
      <c r="N1209" s="75">
        <f>'THAM_SO_MOI'!$C$12*I1209</f>
        <v>1130.112</v>
      </c>
      <c r="O1209" s="75">
        <f>M1209+N1209</f>
        <v>1207.4004896355693</v>
      </c>
      <c r="P1209" s="75">
        <f>(MIN(L1209,'THAM_SO_MOI'!$C$41)-O1209)/('THAM_SO_MOI'!$C$11*H1209)</f>
        <v>0.9793562623380249</v>
      </c>
      <c r="Q1209" s="75">
        <f>IF(P1209&gt;0,1/P1209,NA())</f>
        <v>1.0210788846264098</v>
      </c>
      <c r="R1209" s="75">
        <f>F1209-F1208</f>
        <v>0.0032106047296860396</v>
      </c>
      <c r="S1209" s="75">
        <f>0.5*(Q1208+Q1209)*R1209</f>
        <v>0.0032783241288701385</v>
      </c>
      <c r="T1209" s="75">
        <f>0.5*(F1208*Q1208+F1209*Q1209)*R1209</f>
        <v>0.016846539905616346</v>
      </c>
      <c r="U1209" s="76">
        <f>U1208+S1209</f>
        <v>5.387312416351311</v>
      </c>
      <c r="V1209" s="76">
        <f>V1208+T1209</f>
        <v>17.84695217516188</v>
      </c>
    </row>
    <row r="1210" spans="1:22" ht="19" customHeight="1">
      <c r="A1210" s="68" t="s">
        <v>372</v>
      </c>
      <c r="B1210" s="74">
        <v>2</v>
      </c>
      <c r="C1210" s="68" t="s">
        <v>363</v>
      </c>
      <c r="D1210" s="68" t="s">
        <v>364</v>
      </c>
      <c r="E1210" s="75">
        <f>60*F1210*'THAM_SO_MOI'!$C$50/(2*PI()*'THAM_SO_MOI'!$C$26)</f>
        <v>2063.0174696336926</v>
      </c>
      <c r="F1210" s="75">
        <f>'HANH_TRINH'!$F$826+('THAM_SO_MOI'!$F$50-'HANH_TRINH'!$F$826)*383/'THAM_SO_MOI'!$C$42</f>
        <v>5.14358172557531</v>
      </c>
      <c r="G1210" s="75">
        <f>3.6*F1210</f>
        <v>18.51689421207112</v>
      </c>
      <c r="H1210" s="75">
        <f>'THAM_SO_MOI'!$D$50</f>
        <v>1.8785906709588276</v>
      </c>
      <c r="I1210" s="75">
        <f>IF(F1210&gt;'THAM_SO_MOI'!$C$14,'THAM_SO_MOI'!$C$13*(1+F1210^2/1500),'THAM_SO_MOI'!$C$13)</f>
        <v>0.015</v>
      </c>
      <c r="J1210" s="75">
        <f>'THAM_SO_MOI'!$C$40*('THAM_SO_MOI'!$C$23*(E1210/'THAM_SO_MOI'!$C$22)+'THAM_SO_MOI'!$C$24*(E1210/'THAM_SO_MOI'!$C$22)^2-'THAM_SO_MOI'!$C$25*(E1210/'THAM_SO_MOI'!$C$22)^3)</f>
        <v>92.794507715931</v>
      </c>
      <c r="K1210" s="75">
        <f>'THAM_SO_MOI'!$C$31*J1210/E1210</f>
        <v>429.6083213167299</v>
      </c>
      <c r="L1210" s="75">
        <f>K1210*'THAM_SO_MOI'!$C$50*'THAM_SO_MOI'!$C$17/'THAM_SO_MOI'!$C$26</f>
        <v>15337.602901819115</v>
      </c>
      <c r="M1210" s="75">
        <f>'THAM_SO_MOI'!$C$15*'THAM_SO_MOI'!$C$16*F1210^2</f>
        <v>77.38506643044144</v>
      </c>
      <c r="N1210" s="75">
        <f>'THAM_SO_MOI'!$C$12*I1210</f>
        <v>1130.112</v>
      </c>
      <c r="O1210" s="75">
        <f>M1210+N1210</f>
        <v>1207.4970664304415</v>
      </c>
      <c r="P1210" s="75">
        <f>(MIN(L1210,'THAM_SO_MOI'!$C$41)-O1210)/('THAM_SO_MOI'!$C$11*H1210)</f>
        <v>0.9793818095085656</v>
      </c>
      <c r="Q1210" s="75">
        <f>IF(P1210&gt;0,1/P1210,NA())</f>
        <v>1.0210522497878332</v>
      </c>
      <c r="R1210" s="75">
        <f>F1210-F1209</f>
        <v>0.0032106047296869278</v>
      </c>
      <c r="S1210" s="75">
        <f>0.5*(Q1209+Q1210)*R1210</f>
        <v>0.0032782379393956496</v>
      </c>
      <c r="T1210" s="75">
        <f>0.5*(F1209*Q1209+F1210*Q1210)*R1210</f>
        <v>0.01685662212540863</v>
      </c>
      <c r="U1210" s="76">
        <f>U1209+S1210</f>
        <v>5.390590654290707</v>
      </c>
      <c r="V1210" s="76">
        <f>V1209+T1210</f>
        <v>17.86380879728729</v>
      </c>
    </row>
    <row r="1211" spans="1:22" ht="19" customHeight="1">
      <c r="A1211" s="68" t="s">
        <v>372</v>
      </c>
      <c r="B1211" s="74">
        <v>2</v>
      </c>
      <c r="C1211" s="68" t="s">
        <v>363</v>
      </c>
      <c r="D1211" s="68" t="s">
        <v>364</v>
      </c>
      <c r="E1211" s="75">
        <f>60*F1211*'THAM_SO_MOI'!$C$50/(2*PI()*'THAM_SO_MOI'!$C$26)</f>
        <v>2064.3051975242593</v>
      </c>
      <c r="F1211" s="75">
        <f>'HANH_TRINH'!$F$826+('THAM_SO_MOI'!$F$50-'HANH_TRINH'!$F$826)*384/'THAM_SO_MOI'!$C$42</f>
        <v>5.146792330304997</v>
      </c>
      <c r="G1211" s="75">
        <f>3.6*F1211</f>
        <v>18.52845238909799</v>
      </c>
      <c r="H1211" s="75">
        <f>'THAM_SO_MOI'!$D$50</f>
        <v>1.8785906709588276</v>
      </c>
      <c r="I1211" s="75">
        <f>IF(F1211&gt;'THAM_SO_MOI'!$C$14,'THAM_SO_MOI'!$C$13*(1+F1211^2/1500),'THAM_SO_MOI'!$C$13)</f>
        <v>0.015</v>
      </c>
      <c r="J1211" s="75">
        <f>'THAM_SO_MOI'!$C$40*('THAM_SO_MOI'!$C$23*(E1211/'THAM_SO_MOI'!$C$22)+'THAM_SO_MOI'!$C$24*(E1211/'THAM_SO_MOI'!$C$22)^2-'THAM_SO_MOI'!$C$25*(E1211/'THAM_SO_MOI'!$C$22)^3)</f>
        <v>92.8552109739052</v>
      </c>
      <c r="K1211" s="75">
        <f>'THAM_SO_MOI'!$C$31*J1211/E1211</f>
        <v>429.62118965195816</v>
      </c>
      <c r="L1211" s="75">
        <f>K1211*'THAM_SO_MOI'!$C$50*'THAM_SO_MOI'!$C$17/'THAM_SO_MOI'!$C$26</f>
        <v>15338.06231893453</v>
      </c>
      <c r="M1211" s="75">
        <f>'THAM_SO_MOI'!$C$15*'THAM_SO_MOI'!$C$16*F1211^2</f>
        <v>77.48170352701256</v>
      </c>
      <c r="N1211" s="75">
        <f>'THAM_SO_MOI'!$C$12*I1211</f>
        <v>1130.112</v>
      </c>
      <c r="O1211" s="75">
        <f>M1211+N1211</f>
        <v>1207.5937035270126</v>
      </c>
      <c r="P1211" s="75">
        <f>(MIN(L1211,'THAM_SO_MOI'!$C$41)-O1211)/('THAM_SO_MOI'!$C$11*H1211)</f>
        <v>0.9794069544123227</v>
      </c>
      <c r="Q1211" s="75">
        <f>IF(P1211&gt;0,1/P1211,NA())</f>
        <v>1.0210260356993623</v>
      </c>
      <c r="R1211" s="75">
        <f>F1211-F1210</f>
        <v>0.0032106047296869278</v>
      </c>
      <c r="S1211" s="75">
        <f>0.5*(Q1210+Q1211)*R1211</f>
        <v>0.0032781531008880815</v>
      </c>
      <c r="T1211" s="75">
        <f>0.5*(F1210*Q1210+F1211*Q1211)*R1211</f>
        <v>0.016866710742737552</v>
      </c>
      <c r="U1211" s="76">
        <f>U1210+S1211</f>
        <v>5.393868807391596</v>
      </c>
      <c r="V1211" s="76">
        <f>V1210+T1211</f>
        <v>17.880675508030027</v>
      </c>
    </row>
    <row r="1212" spans="1:22" ht="19" customHeight="1">
      <c r="A1212" s="68" t="s">
        <v>372</v>
      </c>
      <c r="B1212" s="74">
        <v>2</v>
      </c>
      <c r="C1212" s="68" t="s">
        <v>363</v>
      </c>
      <c r="D1212" s="68" t="s">
        <v>364</v>
      </c>
      <c r="E1212" s="75">
        <f>60*F1212*'THAM_SO_MOI'!$C$50/(2*PI()*'THAM_SO_MOI'!$C$26)</f>
        <v>2065.5929254148264</v>
      </c>
      <c r="F1212" s="75">
        <f>'HANH_TRINH'!$F$826+('THAM_SO_MOI'!$F$50-'HANH_TRINH'!$F$826)*385/'THAM_SO_MOI'!$C$42</f>
        <v>5.150002935034684</v>
      </c>
      <c r="G1212" s="75">
        <f>3.6*F1212</f>
        <v>18.540010566124863</v>
      </c>
      <c r="H1212" s="75">
        <f>'THAM_SO_MOI'!$D$50</f>
        <v>1.8785906709588276</v>
      </c>
      <c r="I1212" s="75">
        <f>IF(F1212&gt;'THAM_SO_MOI'!$C$14,'THAM_SO_MOI'!$C$13*(1+F1212^2/1500),'THAM_SO_MOI'!$C$13)</f>
        <v>0.015</v>
      </c>
      <c r="J1212" s="75">
        <f>'THAM_SO_MOI'!$C$40*('THAM_SO_MOI'!$C$23*(E1212/'THAM_SO_MOI'!$C$22)+'THAM_SO_MOI'!$C$24*(E1212/'THAM_SO_MOI'!$C$22)^2-'THAM_SO_MOI'!$C$25*(E1212/'THAM_SO_MOI'!$C$22)^3)</f>
        <v>92.91588290992642</v>
      </c>
      <c r="K1212" s="75">
        <f>'THAM_SO_MOI'!$C$31*J1212/E1212</f>
        <v>429.6338971128541</v>
      </c>
      <c r="L1212" s="75">
        <f>K1212*'THAM_SO_MOI'!$C$50*'THAM_SO_MOI'!$C$17/'THAM_SO_MOI'!$C$26</f>
        <v>15338.515992616907</v>
      </c>
      <c r="M1212" s="75">
        <f>'THAM_SO_MOI'!$C$15*'THAM_SO_MOI'!$C$16*F1212^2</f>
        <v>77.57840092528265</v>
      </c>
      <c r="N1212" s="75">
        <f>'THAM_SO_MOI'!$C$12*I1212</f>
        <v>1130.112</v>
      </c>
      <c r="O1212" s="75">
        <f>M1212+N1212</f>
        <v>1207.6904009252828</v>
      </c>
      <c r="P1212" s="75">
        <f>(MIN(L1212,'THAM_SO_MOI'!$C$41)-O1212)/('THAM_SO_MOI'!$C$11*H1212)</f>
        <v>0.9794316970492961</v>
      </c>
      <c r="Q1212" s="75">
        <f>IF(P1212&gt;0,1/P1212,NA())</f>
        <v>1.0210002422962923</v>
      </c>
      <c r="R1212" s="75">
        <f>F1212-F1211</f>
        <v>0.0032106047296869278</v>
      </c>
      <c r="S1212" s="75">
        <f>0.5*(Q1211+Q1212)*R1212</f>
        <v>0.0032780696131389214</v>
      </c>
      <c r="T1212" s="75">
        <f>0.5*(F1211*Q1211+F1212*Q1212)*R1212</f>
        <v>0.01687680576954187</v>
      </c>
      <c r="U1212" s="76">
        <f>U1211+S1212</f>
        <v>5.397146877004735</v>
      </c>
      <c r="V1212" s="76">
        <f>V1211+T1212</f>
        <v>17.89755231379957</v>
      </c>
    </row>
    <row r="1213" spans="1:22" ht="19" customHeight="1">
      <c r="A1213" s="68" t="s">
        <v>372</v>
      </c>
      <c r="B1213" s="74">
        <v>2</v>
      </c>
      <c r="C1213" s="68" t="s">
        <v>363</v>
      </c>
      <c r="D1213" s="68" t="s">
        <v>364</v>
      </c>
      <c r="E1213" s="75">
        <f>60*F1213*'THAM_SO_MOI'!$C$50/(2*PI()*'THAM_SO_MOI'!$C$26)</f>
        <v>2066.880653305393</v>
      </c>
      <c r="F1213" s="75">
        <f>'HANH_TRINH'!$F$826+('THAM_SO_MOI'!$F$50-'HANH_TRINH'!$F$826)*386/'THAM_SO_MOI'!$C$42</f>
        <v>5.153213539764371</v>
      </c>
      <c r="G1213" s="75">
        <f>3.6*F1213</f>
        <v>18.551568743151737</v>
      </c>
      <c r="H1213" s="75">
        <f>'THAM_SO_MOI'!$D$50</f>
        <v>1.8785906709588276</v>
      </c>
      <c r="I1213" s="75">
        <f>IF(F1213&gt;'THAM_SO_MOI'!$C$14,'THAM_SO_MOI'!$C$13*(1+F1213^2/1500),'THAM_SO_MOI'!$C$13)</f>
        <v>0.015</v>
      </c>
      <c r="J1213" s="75">
        <f>'THAM_SO_MOI'!$C$40*('THAM_SO_MOI'!$C$23*(E1213/'THAM_SO_MOI'!$C$22)+'THAM_SO_MOI'!$C$24*(E1213/'THAM_SO_MOI'!$C$22)^2-'THAM_SO_MOI'!$C$25*(E1213/'THAM_SO_MOI'!$C$22)^3)</f>
        <v>92.97652345892496</v>
      </c>
      <c r="K1213" s="75">
        <f>'THAM_SO_MOI'!$C$31*J1213/E1213</f>
        <v>429.64644369941783</v>
      </c>
      <c r="L1213" s="75">
        <f>K1213*'THAM_SO_MOI'!$C$50*'THAM_SO_MOI'!$C$17/'THAM_SO_MOI'!$C$26</f>
        <v>15338.963922866255</v>
      </c>
      <c r="M1213" s="75">
        <f>'THAM_SO_MOI'!$C$15*'THAM_SO_MOI'!$C$16*F1213^2</f>
        <v>77.67515862525171</v>
      </c>
      <c r="N1213" s="75">
        <f>'THAM_SO_MOI'!$C$12*I1213</f>
        <v>1130.112</v>
      </c>
      <c r="O1213" s="75">
        <f>M1213+N1213</f>
        <v>1207.7871586252518</v>
      </c>
      <c r="P1213" s="75">
        <f>(MIN(L1213,'THAM_SO_MOI'!$C$41)-O1213)/('THAM_SO_MOI'!$C$11*H1213)</f>
        <v>0.9794560374194862</v>
      </c>
      <c r="Q1213" s="75">
        <f>IF(P1213&gt;0,1/P1213,NA())</f>
        <v>1.0209748695149603</v>
      </c>
      <c r="R1213" s="75">
        <f>F1213-F1212</f>
        <v>0.0032106047296869278</v>
      </c>
      <c r="S1213" s="75">
        <f>0.5*(Q1212+Q1213)*R1213</f>
        <v>0.0032779874759421004</v>
      </c>
      <c r="T1213" s="75">
        <f>0.5*(F1212*Q1212+F1213*Q1213)*R1213</f>
        <v>0.016886907217770263</v>
      </c>
      <c r="U1213" s="76">
        <f>U1212+S1213</f>
        <v>5.4004248644806765</v>
      </c>
      <c r="V1213" s="76">
        <f>V1212+T1213</f>
        <v>17.91443922101734</v>
      </c>
    </row>
    <row r="1214" spans="1:22" ht="19" customHeight="1">
      <c r="A1214" s="68" t="s">
        <v>372</v>
      </c>
      <c r="B1214" s="74">
        <v>2</v>
      </c>
      <c r="C1214" s="68" t="s">
        <v>363</v>
      </c>
      <c r="D1214" s="68" t="s">
        <v>364</v>
      </c>
      <c r="E1214" s="75">
        <f>60*F1214*'THAM_SO_MOI'!$C$50/(2*PI()*'THAM_SO_MOI'!$C$26)</f>
        <v>2068.1683811959592</v>
      </c>
      <c r="F1214" s="75">
        <f>'HANH_TRINH'!$F$826+('THAM_SO_MOI'!$F$50-'HANH_TRINH'!$F$826)*387/'THAM_SO_MOI'!$C$42</f>
        <v>5.156424144494057</v>
      </c>
      <c r="G1214" s="75">
        <f>3.6*F1214</f>
        <v>18.563126920178608</v>
      </c>
      <c r="H1214" s="75">
        <f>'THAM_SO_MOI'!$D$50</f>
        <v>1.8785906709588276</v>
      </c>
      <c r="I1214" s="75">
        <f>IF(F1214&gt;'THAM_SO_MOI'!$C$14,'THAM_SO_MOI'!$C$13*(1+F1214^2/1500),'THAM_SO_MOI'!$C$13)</f>
        <v>0.015</v>
      </c>
      <c r="J1214" s="75">
        <f>'THAM_SO_MOI'!$C$40*('THAM_SO_MOI'!$C$23*(E1214/'THAM_SO_MOI'!$C$22)+'THAM_SO_MOI'!$C$24*(E1214/'THAM_SO_MOI'!$C$22)^2-'THAM_SO_MOI'!$C$25*(E1214/'THAM_SO_MOI'!$C$22)^3)</f>
        <v>93.03713255583109</v>
      </c>
      <c r="K1214" s="75">
        <f>'THAM_SO_MOI'!$C$31*J1214/E1214</f>
        <v>429.6588294116493</v>
      </c>
      <c r="L1214" s="75">
        <f>K1214*'THAM_SO_MOI'!$C$50*'THAM_SO_MOI'!$C$17/'THAM_SO_MOI'!$C$26</f>
        <v>15339.406109682563</v>
      </c>
      <c r="M1214" s="75">
        <f>'THAM_SO_MOI'!$C$15*'THAM_SO_MOI'!$C$16*F1214^2</f>
        <v>77.77197662691971</v>
      </c>
      <c r="N1214" s="75">
        <f>'THAM_SO_MOI'!$C$12*I1214</f>
        <v>1130.112</v>
      </c>
      <c r="O1214" s="75">
        <f>M1214+N1214</f>
        <v>1207.8839766269198</v>
      </c>
      <c r="P1214" s="75">
        <f>(MIN(L1214,'THAM_SO_MOI'!$C$41)-O1214)/('THAM_SO_MOI'!$C$11*H1214)</f>
        <v>0.9794799755228926</v>
      </c>
      <c r="Q1214" s="75">
        <f>IF(P1214&gt;0,1/P1214,NA())</f>
        <v>1.020949917292748</v>
      </c>
      <c r="R1214" s="75">
        <f>F1214-F1213</f>
        <v>0.0032106047296860396</v>
      </c>
      <c r="S1214" s="75">
        <f>0.5*(Q1213+Q1214)*R1214</f>
        <v>0.003277906689093994</v>
      </c>
      <c r="T1214" s="75">
        <f>0.5*(F1213*Q1213+F1214*Q1214)*R1214</f>
        <v>0.016897015099381334</v>
      </c>
      <c r="U1214" s="76">
        <f>U1213+S1214</f>
        <v>5.403702771169771</v>
      </c>
      <c r="V1214" s="76">
        <f>V1213+T1214</f>
        <v>17.93133623611672</v>
      </c>
    </row>
    <row r="1215" spans="1:22" ht="19" customHeight="1">
      <c r="A1215" s="68" t="s">
        <v>372</v>
      </c>
      <c r="B1215" s="74">
        <v>2</v>
      </c>
      <c r="C1215" s="68" t="s">
        <v>363</v>
      </c>
      <c r="D1215" s="68" t="s">
        <v>364</v>
      </c>
      <c r="E1215" s="75">
        <f>60*F1215*'THAM_SO_MOI'!$C$50/(2*PI()*'THAM_SO_MOI'!$C$26)</f>
        <v>2069.456109086527</v>
      </c>
      <c r="F1215" s="75">
        <f>'HANH_TRINH'!$F$826+('THAM_SO_MOI'!$F$50-'HANH_TRINH'!$F$826)*388/'THAM_SO_MOI'!$C$42</f>
        <v>5.159634749223745</v>
      </c>
      <c r="G1215" s="75">
        <f>3.6*F1215</f>
        <v>18.57468509720548</v>
      </c>
      <c r="H1215" s="75">
        <f>'THAM_SO_MOI'!$D$50</f>
        <v>1.8785906709588276</v>
      </c>
      <c r="I1215" s="75">
        <f>IF(F1215&gt;'THAM_SO_MOI'!$C$14,'THAM_SO_MOI'!$C$13*(1+F1215^2/1500),'THAM_SO_MOI'!$C$13)</f>
        <v>0.015</v>
      </c>
      <c r="J1215" s="75">
        <f>'THAM_SO_MOI'!$C$40*('THAM_SO_MOI'!$C$23*(E1215/'THAM_SO_MOI'!$C$22)+'THAM_SO_MOI'!$C$24*(E1215/'THAM_SO_MOI'!$C$22)^2-'THAM_SO_MOI'!$C$25*(E1215/'THAM_SO_MOI'!$C$22)^3)</f>
        <v>93.09771013557524</v>
      </c>
      <c r="K1215" s="75">
        <f>'THAM_SO_MOI'!$C$31*J1215/E1215</f>
        <v>429.6710542495486</v>
      </c>
      <c r="L1215" s="75">
        <f>K1215*'THAM_SO_MOI'!$C$50*'THAM_SO_MOI'!$C$17/'THAM_SO_MOI'!$C$26</f>
        <v>15339.842553065839</v>
      </c>
      <c r="M1215" s="75">
        <f>'THAM_SO_MOI'!$C$15*'THAM_SO_MOI'!$C$16*F1215^2</f>
        <v>77.86885493028674</v>
      </c>
      <c r="N1215" s="75">
        <f>'THAM_SO_MOI'!$C$12*I1215</f>
        <v>1130.112</v>
      </c>
      <c r="O1215" s="75">
        <f>M1215+N1215</f>
        <v>1207.9808549302868</v>
      </c>
      <c r="P1215" s="75">
        <f>(MIN(L1215,'THAM_SO_MOI'!$C$41)-O1215)/('THAM_SO_MOI'!$C$11*H1215)</f>
        <v>0.9795035113595156</v>
      </c>
      <c r="Q1215" s="75">
        <f>IF(P1215&gt;0,1/P1215,NA())</f>
        <v>1.0209253855680782</v>
      </c>
      <c r="R1215" s="75">
        <f>F1215-F1214</f>
        <v>0.003210604729687816</v>
      </c>
      <c r="S1215" s="75">
        <f>0.5*(Q1214+Q1215)*R1215</f>
        <v>0.0032778272523988554</v>
      </c>
      <c r="T1215" s="75">
        <f>0.5*(F1214*Q1214+F1215*Q1215)*R1215</f>
        <v>0.01690712942637175</v>
      </c>
      <c r="U1215" s="76">
        <f>U1214+S1215</f>
        <v>5.4069805984221695</v>
      </c>
      <c r="V1215" s="76">
        <f>V1214+T1215</f>
        <v>17.948243365543092</v>
      </c>
    </row>
    <row r="1216" spans="1:22" ht="19" customHeight="1">
      <c r="A1216" s="68" t="s">
        <v>372</v>
      </c>
      <c r="B1216" s="74">
        <v>2</v>
      </c>
      <c r="C1216" s="68" t="s">
        <v>363</v>
      </c>
      <c r="D1216" s="68" t="s">
        <v>364</v>
      </c>
      <c r="E1216" s="75">
        <f>60*F1216*'THAM_SO_MOI'!$C$50/(2*PI()*'THAM_SO_MOI'!$C$26)</f>
        <v>2070.743836977093</v>
      </c>
      <c r="F1216" s="75">
        <f>'HANH_TRINH'!$F$826+('THAM_SO_MOI'!$F$50-'HANH_TRINH'!$F$826)*389/'THAM_SO_MOI'!$C$42</f>
        <v>5.162845353953431</v>
      </c>
      <c r="G1216" s="75">
        <f>3.6*F1216</f>
        <v>18.586243274232352</v>
      </c>
      <c r="H1216" s="75">
        <f>'THAM_SO_MOI'!$D$50</f>
        <v>1.8785906709588276</v>
      </c>
      <c r="I1216" s="75">
        <f>IF(F1216&gt;'THAM_SO_MOI'!$C$14,'THAM_SO_MOI'!$C$13*(1+F1216^2/1500),'THAM_SO_MOI'!$C$13)</f>
        <v>0.015</v>
      </c>
      <c r="J1216" s="75">
        <f>'THAM_SO_MOI'!$C$40*('THAM_SO_MOI'!$C$23*(E1216/'THAM_SO_MOI'!$C$22)+'THAM_SO_MOI'!$C$24*(E1216/'THAM_SO_MOI'!$C$22)^2-'THAM_SO_MOI'!$C$25*(E1216/'THAM_SO_MOI'!$C$22)^3)</f>
        <v>93.15825613308753</v>
      </c>
      <c r="K1216" s="75">
        <f>'THAM_SO_MOI'!$C$31*J1216/E1216</f>
        <v>429.68311821311556</v>
      </c>
      <c r="L1216" s="75">
        <f>K1216*'THAM_SO_MOI'!$C$50*'THAM_SO_MOI'!$C$17/'THAM_SO_MOI'!$C$26</f>
        <v>15340.273253016074</v>
      </c>
      <c r="M1216" s="75">
        <f>'THAM_SO_MOI'!$C$15*'THAM_SO_MOI'!$C$16*F1216^2</f>
        <v>77.9657935353527</v>
      </c>
      <c r="N1216" s="75">
        <f>'THAM_SO_MOI'!$C$12*I1216</f>
        <v>1130.112</v>
      </c>
      <c r="O1216" s="75">
        <f>M1216+N1216</f>
        <v>1208.0777935353528</v>
      </c>
      <c r="P1216" s="75">
        <f>(MIN(L1216,'THAM_SO_MOI'!$C$41)-O1216)/('THAM_SO_MOI'!$C$11*H1216)</f>
        <v>0.9795266449293547</v>
      </c>
      <c r="Q1216" s="75">
        <f>IF(P1216&gt;0,1/P1216,NA())</f>
        <v>1.0209012742804173</v>
      </c>
      <c r="R1216" s="75">
        <f>F1216-F1215</f>
        <v>0.0032106047296860396</v>
      </c>
      <c r="S1216" s="75">
        <f>0.5*(Q1215+Q1216)*R1216</f>
        <v>0.0032777491656543136</v>
      </c>
      <c r="T1216" s="75">
        <f>0.5*(F1215*Q1215+F1216*Q1216)*R1216</f>
        <v>0.016917250210701437</v>
      </c>
      <c r="U1216" s="76">
        <f>U1215+S1216</f>
        <v>5.410258347587824</v>
      </c>
      <c r="V1216" s="76">
        <f>V1215+T1216</f>
        <v>17.965160615753796</v>
      </c>
    </row>
    <row r="1217" spans="1:22" ht="19" customHeight="1">
      <c r="A1217" s="68" t="s">
        <v>372</v>
      </c>
      <c r="B1217" s="74">
        <v>2</v>
      </c>
      <c r="C1217" s="68" t="s">
        <v>363</v>
      </c>
      <c r="D1217" s="68" t="s">
        <v>364</v>
      </c>
      <c r="E1217" s="75">
        <f>60*F1217*'THAM_SO_MOI'!$C$50/(2*PI()*'THAM_SO_MOI'!$C$26)</f>
        <v>2072.0315648676597</v>
      </c>
      <c r="F1217" s="75">
        <f>'HANH_TRINH'!$F$826+('THAM_SO_MOI'!$F$50-'HANH_TRINH'!$F$826)*390/'THAM_SO_MOI'!$C$42</f>
        <v>5.166055958683118</v>
      </c>
      <c r="G1217" s="75">
        <f>3.6*F1217</f>
        <v>18.597801451259226</v>
      </c>
      <c r="H1217" s="75">
        <f>'THAM_SO_MOI'!$D$50</f>
        <v>1.8785906709588276</v>
      </c>
      <c r="I1217" s="75">
        <f>IF(F1217&gt;'THAM_SO_MOI'!$C$14,'THAM_SO_MOI'!$C$13*(1+F1217^2/1500),'THAM_SO_MOI'!$C$13)</f>
        <v>0.015</v>
      </c>
      <c r="J1217" s="75">
        <f>'THAM_SO_MOI'!$C$40*('THAM_SO_MOI'!$C$23*(E1217/'THAM_SO_MOI'!$C$22)+'THAM_SO_MOI'!$C$24*(E1217/'THAM_SO_MOI'!$C$22)^2-'THAM_SO_MOI'!$C$25*(E1217/'THAM_SO_MOI'!$C$22)^3)</f>
        <v>93.21877048329837</v>
      </c>
      <c r="K1217" s="75">
        <f>'THAM_SO_MOI'!$C$31*J1217/E1217</f>
        <v>429.69502130235026</v>
      </c>
      <c r="L1217" s="75">
        <f>K1217*'THAM_SO_MOI'!$C$50*'THAM_SO_MOI'!$C$17/'THAM_SO_MOI'!$C$26</f>
        <v>15340.698209533271</v>
      </c>
      <c r="M1217" s="75">
        <f>'THAM_SO_MOI'!$C$15*'THAM_SO_MOI'!$C$16*F1217^2</f>
        <v>78.06279244211765</v>
      </c>
      <c r="N1217" s="75">
        <f>'THAM_SO_MOI'!$C$12*I1217</f>
        <v>1130.112</v>
      </c>
      <c r="O1217" s="75">
        <f>M1217+N1217</f>
        <v>1208.1747924421177</v>
      </c>
      <c r="P1217" s="75">
        <f>(MIN(L1217,'THAM_SO_MOI'!$C$41)-O1217)/('THAM_SO_MOI'!$C$11*H1217)</f>
        <v>0.9795493762324099</v>
      </c>
      <c r="Q1217" s="75">
        <f>IF(P1217&gt;0,1/P1217,NA())</f>
        <v>1.0208775833702721</v>
      </c>
      <c r="R1217" s="75">
        <f>F1217-F1216</f>
        <v>0.0032106047296869278</v>
      </c>
      <c r="S1217" s="75">
        <f>0.5*(Q1216+Q1217)*R1217</f>
        <v>0.003277672428674038</v>
      </c>
      <c r="T1217" s="75">
        <f>0.5*(F1216*Q1216+F1217*Q1217)*R1217</f>
        <v>0.016927377464410573</v>
      </c>
      <c r="U1217" s="76">
        <f>U1216+S1217</f>
        <v>5.413536020016498</v>
      </c>
      <c r="V1217" s="76">
        <f>V1216+T1217</f>
        <v>17.982087993218205</v>
      </c>
    </row>
    <row r="1218" spans="1:22" ht="19" customHeight="1">
      <c r="A1218" s="68" t="s">
        <v>372</v>
      </c>
      <c r="B1218" s="74">
        <v>2</v>
      </c>
      <c r="C1218" s="68" t="s">
        <v>363</v>
      </c>
      <c r="D1218" s="68" t="s">
        <v>364</v>
      </c>
      <c r="E1218" s="75">
        <f>60*F1218*'THAM_SO_MOI'!$C$50/(2*PI()*'THAM_SO_MOI'!$C$26)</f>
        <v>2073.3192927582263</v>
      </c>
      <c r="F1218" s="75">
        <f>'HANH_TRINH'!$F$826+('THAM_SO_MOI'!$F$50-'HANH_TRINH'!$F$826)*391/'THAM_SO_MOI'!$C$42</f>
        <v>5.169266563412805</v>
      </c>
      <c r="G1218" s="75">
        <f>3.6*F1218</f>
        <v>18.609359628286096</v>
      </c>
      <c r="H1218" s="75">
        <f>'THAM_SO_MOI'!$D$50</f>
        <v>1.8785906709588276</v>
      </c>
      <c r="I1218" s="75">
        <f>IF(F1218&gt;'THAM_SO_MOI'!$C$14,'THAM_SO_MOI'!$C$13*(1+F1218^2/1500),'THAM_SO_MOI'!$C$13)</f>
        <v>0.015</v>
      </c>
      <c r="J1218" s="75">
        <f>'THAM_SO_MOI'!$C$40*('THAM_SO_MOI'!$C$23*(E1218/'THAM_SO_MOI'!$C$22)+'THAM_SO_MOI'!$C$24*(E1218/'THAM_SO_MOI'!$C$22)^2-'THAM_SO_MOI'!$C$25*(E1218/'THAM_SO_MOI'!$C$22)^3)</f>
        <v>93.27925312113804</v>
      </c>
      <c r="K1218" s="75">
        <f>'THAM_SO_MOI'!$C$31*J1218/E1218</f>
        <v>429.7067635172527</v>
      </c>
      <c r="L1218" s="75">
        <f>K1218*'THAM_SO_MOI'!$C$50*'THAM_SO_MOI'!$C$17/'THAM_SO_MOI'!$C$26</f>
        <v>15341.117422617433</v>
      </c>
      <c r="M1218" s="75">
        <f>'THAM_SO_MOI'!$C$15*'THAM_SO_MOI'!$C$16*F1218^2</f>
        <v>78.15985165058157</v>
      </c>
      <c r="N1218" s="75">
        <f>'THAM_SO_MOI'!$C$12*I1218</f>
        <v>1130.112</v>
      </c>
      <c r="O1218" s="75">
        <f>M1218+N1218</f>
        <v>1208.2718516505815</v>
      </c>
      <c r="P1218" s="75">
        <f>(MIN(L1218,'THAM_SO_MOI'!$C$41)-O1218)/('THAM_SO_MOI'!$C$11*H1218)</f>
        <v>0.9795717052686816</v>
      </c>
      <c r="Q1218" s="75">
        <f>IF(P1218&gt;0,1/P1218,NA())</f>
        <v>1.0208543127791907</v>
      </c>
      <c r="R1218" s="75">
        <f>F1218-F1217</f>
        <v>0.0032106047296869278</v>
      </c>
      <c r="S1218" s="75">
        <f>0.5*(Q1217+Q1218)*R1218</f>
        <v>0.003277597041265062</v>
      </c>
      <c r="T1218" s="75">
        <f>0.5*(F1217*Q1217+F1218*Q1218)*R1218</f>
        <v>0.016937511199502667</v>
      </c>
      <c r="U1218" s="76">
        <f>U1217+S1218</f>
        <v>5.416813617057763</v>
      </c>
      <c r="V1218" s="76">
        <f>V1217+T1218</f>
        <v>17.999025504417705</v>
      </c>
    </row>
    <row r="1219" spans="1:22" ht="19" customHeight="1">
      <c r="A1219" s="68" t="s">
        <v>372</v>
      </c>
      <c r="B1219" s="74">
        <v>2</v>
      </c>
      <c r="C1219" s="68" t="s">
        <v>363</v>
      </c>
      <c r="D1219" s="68" t="s">
        <v>364</v>
      </c>
      <c r="E1219" s="75">
        <f>60*F1219*'THAM_SO_MOI'!$C$50/(2*PI()*'THAM_SO_MOI'!$C$26)</f>
        <v>2074.607020648793</v>
      </c>
      <c r="F1219" s="75">
        <f>'HANH_TRINH'!$F$826+('THAM_SO_MOI'!$F$50-'HANH_TRINH'!$F$826)*392/'THAM_SO_MOI'!$C$42</f>
        <v>5.172477168142492</v>
      </c>
      <c r="G1219" s="75">
        <f>3.6*F1219</f>
        <v>18.62091780531297</v>
      </c>
      <c r="H1219" s="75">
        <f>'THAM_SO_MOI'!$D$50</f>
        <v>1.8785906709588276</v>
      </c>
      <c r="I1219" s="75">
        <f>IF(F1219&gt;'THAM_SO_MOI'!$C$14,'THAM_SO_MOI'!$C$13*(1+F1219^2/1500),'THAM_SO_MOI'!$C$13)</f>
        <v>0.015</v>
      </c>
      <c r="J1219" s="75">
        <f>'THAM_SO_MOI'!$C$40*('THAM_SO_MOI'!$C$23*(E1219/'THAM_SO_MOI'!$C$22)+'THAM_SO_MOI'!$C$24*(E1219/'THAM_SO_MOI'!$C$22)^2-'THAM_SO_MOI'!$C$25*(E1219/'THAM_SO_MOI'!$C$22)^3)</f>
        <v>93.33970398153684</v>
      </c>
      <c r="K1219" s="75">
        <f>'THAM_SO_MOI'!$C$31*J1219/E1219</f>
        <v>429.7183448578229</v>
      </c>
      <c r="L1219" s="75">
        <f>K1219*'THAM_SO_MOI'!$C$50*'THAM_SO_MOI'!$C$17/'THAM_SO_MOI'!$C$26</f>
        <v>15341.530892268564</v>
      </c>
      <c r="M1219" s="75">
        <f>'THAM_SO_MOI'!$C$15*'THAM_SO_MOI'!$C$16*F1219^2</f>
        <v>78.25697116074447</v>
      </c>
      <c r="N1219" s="75">
        <f>'THAM_SO_MOI'!$C$12*I1219</f>
        <v>1130.112</v>
      </c>
      <c r="O1219" s="75">
        <f>M1219+N1219</f>
        <v>1208.3689711607446</v>
      </c>
      <c r="P1219" s="75">
        <f>(MIN(L1219,'THAM_SO_MOI'!$C$41)-O1219)/('THAM_SO_MOI'!$C$11*H1219)</f>
        <v>0.97959363203817</v>
      </c>
      <c r="Q1219" s="75">
        <f>IF(P1219&gt;0,1/P1219,NA())</f>
        <v>1.020831462449763</v>
      </c>
      <c r="R1219" s="75">
        <f>F1219-F1218</f>
        <v>0.0032106047296869278</v>
      </c>
      <c r="S1219" s="75">
        <f>0.5*(Q1218+Q1219)*R1219</f>
        <v>0.0032775230032423</v>
      </c>
      <c r="T1219" s="75">
        <f>0.5*(F1218*Q1218+F1219*Q1219)*R1219</f>
        <v>0.016947651428019475</v>
      </c>
      <c r="U1219" s="76">
        <f>U1218+S1219</f>
        <v>5.420091140061006</v>
      </c>
      <c r="V1219" s="76">
        <f>V1218+T1219</f>
        <v>18.015973155845725</v>
      </c>
    </row>
    <row r="1220" spans="1:22" ht="19" customHeight="1">
      <c r="A1220" s="68" t="s">
        <v>372</v>
      </c>
      <c r="B1220" s="74">
        <v>2</v>
      </c>
      <c r="C1220" s="68" t="s">
        <v>363</v>
      </c>
      <c r="D1220" s="68" t="s">
        <v>364</v>
      </c>
      <c r="E1220" s="75">
        <f>60*F1220*'THAM_SO_MOI'!$C$50/(2*PI()*'THAM_SO_MOI'!$C$26)</f>
        <v>2075.8947485393596</v>
      </c>
      <c r="F1220" s="75">
        <f>'HANH_TRINH'!$F$826+('THAM_SO_MOI'!$F$50-'HANH_TRINH'!$F$826)*393/'THAM_SO_MOI'!$C$42</f>
        <v>5.175687772872179</v>
      </c>
      <c r="G1220" s="75">
        <f>3.6*F1220</f>
        <v>18.632475982339844</v>
      </c>
      <c r="H1220" s="75">
        <f>'THAM_SO_MOI'!$D$50</f>
        <v>1.8785906709588276</v>
      </c>
      <c r="I1220" s="75">
        <f>IF(F1220&gt;'THAM_SO_MOI'!$C$14,'THAM_SO_MOI'!$C$13*(1+F1220^2/1500),'THAM_SO_MOI'!$C$13)</f>
        <v>0.015</v>
      </c>
      <c r="J1220" s="75">
        <f>'THAM_SO_MOI'!$C$40*('THAM_SO_MOI'!$C$23*(E1220/'THAM_SO_MOI'!$C$22)+'THAM_SO_MOI'!$C$24*(E1220/'THAM_SO_MOI'!$C$22)^2-'THAM_SO_MOI'!$C$25*(E1220/'THAM_SO_MOI'!$C$22)^3)</f>
        <v>93.4001229994251</v>
      </c>
      <c r="K1220" s="75">
        <f>'THAM_SO_MOI'!$C$31*J1220/E1220</f>
        <v>429.72976532406085</v>
      </c>
      <c r="L1220" s="75">
        <f>K1220*'THAM_SO_MOI'!$C$50*'THAM_SO_MOI'!$C$17/'THAM_SO_MOI'!$C$26</f>
        <v>15341.938618486654</v>
      </c>
      <c r="M1220" s="75">
        <f>'THAM_SO_MOI'!$C$15*'THAM_SO_MOI'!$C$16*F1220^2</f>
        <v>78.35415097260633</v>
      </c>
      <c r="N1220" s="75">
        <f>'THAM_SO_MOI'!$C$12*I1220</f>
        <v>1130.112</v>
      </c>
      <c r="O1220" s="75">
        <f>M1220+N1220</f>
        <v>1208.4661509726063</v>
      </c>
      <c r="P1220" s="75">
        <f>(MIN(L1220,'THAM_SO_MOI'!$C$41)-O1220)/('THAM_SO_MOI'!$C$11*H1220)</f>
        <v>0.9796151565408746</v>
      </c>
      <c r="Q1220" s="75">
        <f>IF(P1220&gt;0,1/P1220,NA())</f>
        <v>1.020809032325619</v>
      </c>
      <c r="R1220" s="75">
        <f>F1220-F1219</f>
        <v>0.0032106047296869278</v>
      </c>
      <c r="S1220" s="75">
        <f>0.5*(Q1219+Q1220)*R1220</f>
        <v>0.0032774503144231</v>
      </c>
      <c r="T1220" s="75">
        <f>0.5*(F1219*Q1219+F1220*Q1220)*R1220</f>
        <v>0.016957798162012983</v>
      </c>
      <c r="U1220" s="76">
        <f>U1219+S1220</f>
        <v>5.4233685903754285</v>
      </c>
      <c r="V1220" s="76">
        <f>V1219+T1220</f>
        <v>18.03293095400774</v>
      </c>
    </row>
    <row r="1221" spans="1:22" ht="19" customHeight="1">
      <c r="A1221" s="68" t="s">
        <v>372</v>
      </c>
      <c r="B1221" s="74">
        <v>2</v>
      </c>
      <c r="C1221" s="68" t="s">
        <v>363</v>
      </c>
      <c r="D1221" s="68" t="s">
        <v>364</v>
      </c>
      <c r="E1221" s="75">
        <f>60*F1221*'THAM_SO_MOI'!$C$50/(2*PI()*'THAM_SO_MOI'!$C$26)</f>
        <v>2077.182476429926</v>
      </c>
      <c r="F1221" s="75">
        <f>'HANH_TRINH'!$F$826+('THAM_SO_MOI'!$F$50-'HANH_TRINH'!$F$826)*394/'THAM_SO_MOI'!$C$42</f>
        <v>5.178898377601865</v>
      </c>
      <c r="G1221" s="75">
        <f>3.6*F1221</f>
        <v>18.644034159366715</v>
      </c>
      <c r="H1221" s="75">
        <f>'THAM_SO_MOI'!$D$50</f>
        <v>1.8785906709588276</v>
      </c>
      <c r="I1221" s="75">
        <f>IF(F1221&gt;'THAM_SO_MOI'!$C$14,'THAM_SO_MOI'!$C$13*(1+F1221^2/1500),'THAM_SO_MOI'!$C$13)</f>
        <v>0.015</v>
      </c>
      <c r="J1221" s="75">
        <f>'THAM_SO_MOI'!$C$40*('THAM_SO_MOI'!$C$23*(E1221/'THAM_SO_MOI'!$C$22)+'THAM_SO_MOI'!$C$24*(E1221/'THAM_SO_MOI'!$C$22)^2-'THAM_SO_MOI'!$C$25*(E1221/'THAM_SO_MOI'!$C$22)^3)</f>
        <v>93.46051010973305</v>
      </c>
      <c r="K1221" s="75">
        <f>'THAM_SO_MOI'!$C$31*J1221/E1221</f>
        <v>429.7410249159666</v>
      </c>
      <c r="L1221" s="75">
        <f>K1221*'THAM_SO_MOI'!$C$50*'THAM_SO_MOI'!$C$17/'THAM_SO_MOI'!$C$26</f>
        <v>15342.340601271713</v>
      </c>
      <c r="M1221" s="75">
        <f>'THAM_SO_MOI'!$C$15*'THAM_SO_MOI'!$C$16*F1221^2</f>
        <v>78.45139108616715</v>
      </c>
      <c r="N1221" s="75">
        <f>'THAM_SO_MOI'!$C$12*I1221</f>
        <v>1130.112</v>
      </c>
      <c r="O1221" s="75">
        <f>M1221+N1221</f>
        <v>1208.5633910861673</v>
      </c>
      <c r="P1221" s="75">
        <f>(MIN(L1221,'THAM_SO_MOI'!$C$41)-O1221)/('THAM_SO_MOI'!$C$11*H1221)</f>
        <v>0.9796362787767956</v>
      </c>
      <c r="Q1221" s="75">
        <f>IF(P1221&gt;0,1/P1221,NA())</f>
        <v>1.0207870223514295</v>
      </c>
      <c r="R1221" s="75">
        <f>F1221-F1220</f>
        <v>0.0032106047296860396</v>
      </c>
      <c r="S1221" s="75">
        <f>0.5*(Q1220+Q1221)*R1221</f>
        <v>0.003277378974627245</v>
      </c>
      <c r="T1221" s="75">
        <f>0.5*(F1220*Q1220+F1221*Q1221)*R1221</f>
        <v>0.01696795141354544</v>
      </c>
      <c r="U1221" s="76">
        <f>U1220+S1221</f>
        <v>5.426645969350056</v>
      </c>
      <c r="V1221" s="76">
        <f>V1220+T1221</f>
        <v>18.049898905421284</v>
      </c>
    </row>
    <row r="1222" spans="1:22" ht="19" customHeight="1">
      <c r="A1222" s="68" t="s">
        <v>372</v>
      </c>
      <c r="B1222" s="74">
        <v>2</v>
      </c>
      <c r="C1222" s="68" t="s">
        <v>363</v>
      </c>
      <c r="D1222" s="68" t="s">
        <v>364</v>
      </c>
      <c r="E1222" s="75">
        <f>60*F1222*'THAM_SO_MOI'!$C$50/(2*PI()*'THAM_SO_MOI'!$C$26)</f>
        <v>2078.470204320493</v>
      </c>
      <c r="F1222" s="75">
        <f>'HANH_TRINH'!$F$826+('THAM_SO_MOI'!$F$50-'HANH_TRINH'!$F$826)*395/'THAM_SO_MOI'!$C$42</f>
        <v>5.1821089823315525</v>
      </c>
      <c r="G1222" s="75">
        <f>3.6*F1222</f>
        <v>18.65559233639359</v>
      </c>
      <c r="H1222" s="75">
        <f>'THAM_SO_MOI'!$D$50</f>
        <v>1.8785906709588276</v>
      </c>
      <c r="I1222" s="75">
        <f>IF(F1222&gt;'THAM_SO_MOI'!$C$14,'THAM_SO_MOI'!$C$13*(1+F1222^2/1500),'THAM_SO_MOI'!$C$13)</f>
        <v>0.015</v>
      </c>
      <c r="J1222" s="75">
        <f>'THAM_SO_MOI'!$C$40*('THAM_SO_MOI'!$C$23*(E1222/'THAM_SO_MOI'!$C$22)+'THAM_SO_MOI'!$C$24*(E1222/'THAM_SO_MOI'!$C$22)^2-'THAM_SO_MOI'!$C$25*(E1222/'THAM_SO_MOI'!$C$22)^3)</f>
        <v>93.52086524739111</v>
      </c>
      <c r="K1222" s="75">
        <f>'THAM_SO_MOI'!$C$31*J1222/E1222</f>
        <v>429.7521236335402</v>
      </c>
      <c r="L1222" s="75">
        <f>K1222*'THAM_SO_MOI'!$C$50*'THAM_SO_MOI'!$C$17/'THAM_SO_MOI'!$C$26</f>
        <v>15342.736840623738</v>
      </c>
      <c r="M1222" s="75">
        <f>'THAM_SO_MOI'!$C$15*'THAM_SO_MOI'!$C$16*F1222^2</f>
        <v>78.54869150142699</v>
      </c>
      <c r="N1222" s="75">
        <f>'THAM_SO_MOI'!$C$12*I1222</f>
        <v>1130.112</v>
      </c>
      <c r="O1222" s="75">
        <f>M1222+N1222</f>
        <v>1208.660691501427</v>
      </c>
      <c r="P1222" s="75">
        <f>(MIN(L1222,'THAM_SO_MOI'!$C$41)-O1222)/('THAM_SO_MOI'!$C$11*H1222)</f>
        <v>0.9796569987459335</v>
      </c>
      <c r="Q1222" s="75">
        <f>IF(P1222&gt;0,1/P1222,NA())</f>
        <v>1.020765432472904</v>
      </c>
      <c r="R1222" s="75">
        <f>F1222-F1221</f>
        <v>0.003210604729687816</v>
      </c>
      <c r="S1222" s="75">
        <f>0.5*(Q1221+Q1222)*R1222</f>
        <v>0.003277308983682388</v>
      </c>
      <c r="T1222" s="75">
        <f>0.5*(F1221*Q1221+F1222*Q1222)*R1222</f>
        <v>0.01697811119471754</v>
      </c>
      <c r="U1222" s="76">
        <f>U1221+S1222</f>
        <v>5.429923278333738</v>
      </c>
      <c r="V1222" s="76">
        <f>V1221+T1222</f>
        <v>18.066877016616</v>
      </c>
    </row>
    <row r="1223" spans="1:22" ht="19" customHeight="1">
      <c r="A1223" s="68" t="s">
        <v>372</v>
      </c>
      <c r="B1223" s="74">
        <v>2</v>
      </c>
      <c r="C1223" s="68" t="s">
        <v>363</v>
      </c>
      <c r="D1223" s="68" t="s">
        <v>364</v>
      </c>
      <c r="E1223" s="75">
        <f>60*F1223*'THAM_SO_MOI'!$C$50/(2*PI()*'THAM_SO_MOI'!$C$26)</f>
        <v>2079.7579322110596</v>
      </c>
      <c r="F1223" s="75">
        <f>'HANH_TRINH'!$F$826+('THAM_SO_MOI'!$F$50-'HANH_TRINH'!$F$826)*396/'THAM_SO_MOI'!$C$42</f>
        <v>5.1853195870612385</v>
      </c>
      <c r="G1223" s="75">
        <f>3.6*F1223</f>
        <v>18.66715051342046</v>
      </c>
      <c r="H1223" s="75">
        <f>'THAM_SO_MOI'!$D$50</f>
        <v>1.8785906709588276</v>
      </c>
      <c r="I1223" s="75">
        <f>IF(F1223&gt;'THAM_SO_MOI'!$C$14,'THAM_SO_MOI'!$C$13*(1+F1223^2/1500),'THAM_SO_MOI'!$C$13)</f>
        <v>0.015</v>
      </c>
      <c r="J1223" s="75">
        <f>'THAM_SO_MOI'!$C$40*('THAM_SO_MOI'!$C$23*(E1223/'THAM_SO_MOI'!$C$22)+'THAM_SO_MOI'!$C$24*(E1223/'THAM_SO_MOI'!$C$22)^2-'THAM_SO_MOI'!$C$25*(E1223/'THAM_SO_MOI'!$C$22)^3)</f>
        <v>93.58118834732944</v>
      </c>
      <c r="K1223" s="75">
        <f>'THAM_SO_MOI'!$C$31*J1223/E1223</f>
        <v>429.76306147678133</v>
      </c>
      <c r="L1223" s="75">
        <f>K1223*'THAM_SO_MOI'!$C$50*'THAM_SO_MOI'!$C$17/'THAM_SO_MOI'!$C$26</f>
        <v>15343.12733654272</v>
      </c>
      <c r="M1223" s="75">
        <f>'THAM_SO_MOI'!$C$15*'THAM_SO_MOI'!$C$16*F1223^2</f>
        <v>78.64605221838573</v>
      </c>
      <c r="N1223" s="75">
        <f>'THAM_SO_MOI'!$C$12*I1223</f>
        <v>1130.112</v>
      </c>
      <c r="O1223" s="75">
        <f>M1223+N1223</f>
        <v>1208.7580522183857</v>
      </c>
      <c r="P1223" s="75">
        <f>(MIN(L1223,'THAM_SO_MOI'!$C$41)-O1223)/('THAM_SO_MOI'!$C$11*H1223)</f>
        <v>0.9796773164482869</v>
      </c>
      <c r="Q1223" s="75">
        <f>IF(P1223&gt;0,1/P1223,NA())</f>
        <v>1.0207442626367942</v>
      </c>
      <c r="R1223" s="75">
        <f>F1223-F1222</f>
        <v>0.0032106047296860396</v>
      </c>
      <c r="S1223" s="75">
        <f>0.5*(Q1222+Q1223)*R1223</f>
        <v>0.003277240341409551</v>
      </c>
      <c r="T1223" s="75">
        <f>0.5*(F1222*Q1222+F1223*Q1223)*R1223</f>
        <v>0.016988277517593405</v>
      </c>
      <c r="U1223" s="76">
        <f>U1222+S1223</f>
        <v>5.4332005186751475</v>
      </c>
      <c r="V1223" s="76">
        <f>V1222+T1223</f>
        <v>18.083865294133595</v>
      </c>
    </row>
    <row r="1224" spans="1:22" ht="19" customHeight="1">
      <c r="A1224" s="68" t="s">
        <v>372</v>
      </c>
      <c r="B1224" s="74">
        <v>2</v>
      </c>
      <c r="C1224" s="68" t="s">
        <v>363</v>
      </c>
      <c r="D1224" s="68" t="s">
        <v>364</v>
      </c>
      <c r="E1224" s="75">
        <f>60*F1224*'THAM_SO_MOI'!$C$50/(2*PI()*'THAM_SO_MOI'!$C$26)</f>
        <v>2081.0456601016263</v>
      </c>
      <c r="F1224" s="75">
        <f>'HANH_TRINH'!$F$826+('THAM_SO_MOI'!$F$50-'HANH_TRINH'!$F$826)*397/'THAM_SO_MOI'!$C$42</f>
        <v>5.1885301917909254</v>
      </c>
      <c r="G1224" s="75">
        <f>3.6*F1224</f>
        <v>18.678708690447333</v>
      </c>
      <c r="H1224" s="75">
        <f>'THAM_SO_MOI'!$D$50</f>
        <v>1.8785906709588276</v>
      </c>
      <c r="I1224" s="75">
        <f>IF(F1224&gt;'THAM_SO_MOI'!$C$14,'THAM_SO_MOI'!$C$13*(1+F1224^2/1500),'THAM_SO_MOI'!$C$13)</f>
        <v>0.015</v>
      </c>
      <c r="J1224" s="75">
        <f>'THAM_SO_MOI'!$C$40*('THAM_SO_MOI'!$C$23*(E1224/'THAM_SO_MOI'!$C$22)+'THAM_SO_MOI'!$C$24*(E1224/'THAM_SO_MOI'!$C$22)^2-'THAM_SO_MOI'!$C$25*(E1224/'THAM_SO_MOI'!$C$22)^3)</f>
        <v>93.64147934447841</v>
      </c>
      <c r="K1224" s="75">
        <f>'THAM_SO_MOI'!$C$31*J1224/E1224</f>
        <v>429.77383844569016</v>
      </c>
      <c r="L1224" s="75">
        <f>K1224*'THAM_SO_MOI'!$C$50*'THAM_SO_MOI'!$C$17/'THAM_SO_MOI'!$C$26</f>
        <v>15343.512089028665</v>
      </c>
      <c r="M1224" s="75">
        <f>'THAM_SO_MOI'!$C$15*'THAM_SO_MOI'!$C$16*F1224^2</f>
        <v>78.74347323704349</v>
      </c>
      <c r="N1224" s="75">
        <f>'THAM_SO_MOI'!$C$12*I1224</f>
        <v>1130.112</v>
      </c>
      <c r="O1224" s="75">
        <f>M1224+N1224</f>
        <v>1208.8554732370435</v>
      </c>
      <c r="P1224" s="75">
        <f>(MIN(L1224,'THAM_SO_MOI'!$C$41)-O1224)/('THAM_SO_MOI'!$C$11*H1224)</f>
        <v>0.9796972318838568</v>
      </c>
      <c r="Q1224" s="75">
        <f>IF(P1224&gt;0,1/P1224,NA())</f>
        <v>1.0207235127908885</v>
      </c>
      <c r="R1224" s="75">
        <f>F1224-F1223</f>
        <v>0.0032106047296869278</v>
      </c>
      <c r="S1224" s="75">
        <f>0.5*(Q1223+Q1224)*R1224</f>
        <v>0.003277173047645785</v>
      </c>
      <c r="T1224" s="75">
        <f>0.5*(F1223*Q1223+F1224*Q1224)*R1224</f>
        <v>0.016998450394317983</v>
      </c>
      <c r="U1224" s="76">
        <f>U1223+S1224</f>
        <v>5.436477691722794</v>
      </c>
      <c r="V1224" s="76">
        <f>V1223+T1224</f>
        <v>18.100863744527913</v>
      </c>
    </row>
    <row r="1225" spans="1:22" ht="19" customHeight="1">
      <c r="A1225" s="68" t="s">
        <v>372</v>
      </c>
      <c r="B1225" s="74">
        <v>2</v>
      </c>
      <c r="C1225" s="68" t="s">
        <v>363</v>
      </c>
      <c r="D1225" s="68" t="s">
        <v>364</v>
      </c>
      <c r="E1225" s="75">
        <f>60*F1225*'THAM_SO_MOI'!$C$50/(2*PI()*'THAM_SO_MOI'!$C$26)</f>
        <v>2082.333387992193</v>
      </c>
      <c r="F1225" s="75">
        <f>'HANH_TRINH'!$F$826+('THAM_SO_MOI'!$F$50-'HANH_TRINH'!$F$826)*398/'THAM_SO_MOI'!$C$42</f>
        <v>5.191740796520612</v>
      </c>
      <c r="G1225" s="75">
        <f>3.6*F1225</f>
        <v>18.690266867474204</v>
      </c>
      <c r="H1225" s="75">
        <f>'THAM_SO_MOI'!$D$50</f>
        <v>1.8785906709588276</v>
      </c>
      <c r="I1225" s="75">
        <f>IF(F1225&gt;'THAM_SO_MOI'!$C$14,'THAM_SO_MOI'!$C$13*(1+F1225^2/1500),'THAM_SO_MOI'!$C$13)</f>
        <v>0.015</v>
      </c>
      <c r="J1225" s="75">
        <f>'THAM_SO_MOI'!$C$40*('THAM_SO_MOI'!$C$23*(E1225/'THAM_SO_MOI'!$C$22)+'THAM_SO_MOI'!$C$24*(E1225/'THAM_SO_MOI'!$C$22)^2-'THAM_SO_MOI'!$C$25*(E1225/'THAM_SO_MOI'!$C$22)^3)</f>
        <v>93.70173817376839</v>
      </c>
      <c r="K1225" s="75">
        <f>'THAM_SO_MOI'!$C$31*J1225/E1225</f>
        <v>429.7844545402671</v>
      </c>
      <c r="L1225" s="75">
        <f>K1225*'THAM_SO_MOI'!$C$50*'THAM_SO_MOI'!$C$17/'THAM_SO_MOI'!$C$26</f>
        <v>15343.891098081587</v>
      </c>
      <c r="M1225" s="75">
        <f>'THAM_SO_MOI'!$C$15*'THAM_SO_MOI'!$C$16*F1225^2</f>
        <v>78.84095455740021</v>
      </c>
      <c r="N1225" s="75">
        <f>'THAM_SO_MOI'!$C$12*I1225</f>
        <v>1130.112</v>
      </c>
      <c r="O1225" s="75">
        <f>M1225+N1225</f>
        <v>1208.9529545574003</v>
      </c>
      <c r="P1225" s="75">
        <f>(MIN(L1225,'THAM_SO_MOI'!$C$41)-O1225)/('THAM_SO_MOI'!$C$11*H1225)</f>
        <v>0.9797167450526442</v>
      </c>
      <c r="Q1225" s="75">
        <f>IF(P1225&gt;0,1/P1225,NA())</f>
        <v>1.020703182884014</v>
      </c>
      <c r="R1225" s="75">
        <f>F1225-F1224</f>
        <v>0.0032106047296869278</v>
      </c>
      <c r="S1225" s="75">
        <f>0.5*(Q1224+Q1225)*R1225</f>
        <v>0.0032771071022214995</v>
      </c>
      <c r="T1225" s="75">
        <f>0.5*(F1224*Q1224+F1225*Q1225)*R1225</f>
        <v>0.01700862983699968</v>
      </c>
      <c r="U1225" s="76">
        <f>U1224+S1225</f>
        <v>5.439754798825015</v>
      </c>
      <c r="V1225" s="76">
        <f>V1224+T1225</f>
        <v>18.117872374364914</v>
      </c>
    </row>
    <row r="1226" spans="1:22" ht="19" customHeight="1">
      <c r="A1226" s="68" t="s">
        <v>372</v>
      </c>
      <c r="B1226" s="74">
        <v>2</v>
      </c>
      <c r="C1226" s="68" t="s">
        <v>363</v>
      </c>
      <c r="D1226" s="68" t="s">
        <v>364</v>
      </c>
      <c r="E1226" s="75">
        <f>60*F1226*'THAM_SO_MOI'!$C$50/(2*PI()*'THAM_SO_MOI'!$C$26)</f>
        <v>2083.62111588276</v>
      </c>
      <c r="F1226" s="75">
        <f>'HANH_TRINH'!$F$826+('THAM_SO_MOI'!$F$50-'HANH_TRINH'!$F$826)*399/'THAM_SO_MOI'!$C$42</f>
        <v>5.194951401250299</v>
      </c>
      <c r="G1226" s="75">
        <f>3.6*F1226</f>
        <v>18.701825044501078</v>
      </c>
      <c r="H1226" s="75">
        <f>'THAM_SO_MOI'!$D$50</f>
        <v>1.8785906709588276</v>
      </c>
      <c r="I1226" s="75">
        <f>IF(F1226&gt;'THAM_SO_MOI'!$C$14,'THAM_SO_MOI'!$C$13*(1+F1226^2/1500),'THAM_SO_MOI'!$C$13)</f>
        <v>0.015</v>
      </c>
      <c r="J1226" s="75">
        <f>'THAM_SO_MOI'!$C$40*('THAM_SO_MOI'!$C$23*(E1226/'THAM_SO_MOI'!$C$22)+'THAM_SO_MOI'!$C$24*(E1226/'THAM_SO_MOI'!$C$22)^2-'THAM_SO_MOI'!$C$25*(E1226/'THAM_SO_MOI'!$C$22)^3)</f>
        <v>93.76196477012958</v>
      </c>
      <c r="K1226" s="75">
        <f>'THAM_SO_MOI'!$C$31*J1226/E1226</f>
        <v>429.7949097605116</v>
      </c>
      <c r="L1226" s="75">
        <f>K1226*'THAM_SO_MOI'!$C$50*'THAM_SO_MOI'!$C$17/'THAM_SO_MOI'!$C$26</f>
        <v>15344.264363701464</v>
      </c>
      <c r="M1226" s="75">
        <f>'THAM_SO_MOI'!$C$15*'THAM_SO_MOI'!$C$16*F1226^2</f>
        <v>78.93849617945592</v>
      </c>
      <c r="N1226" s="75">
        <f>'THAM_SO_MOI'!$C$12*I1226</f>
        <v>1130.112</v>
      </c>
      <c r="O1226" s="75">
        <f>M1226+N1226</f>
        <v>1209.050496179456</v>
      </c>
      <c r="P1226" s="75">
        <f>(MIN(L1226,'THAM_SO_MOI'!$C$41)-O1226)/('THAM_SO_MOI'!$C$11*H1226)</f>
        <v>0.9797358559546471</v>
      </c>
      <c r="Q1226" s="75">
        <f>IF(P1226&gt;0,1/P1226,NA())</f>
        <v>1.0206832728660398</v>
      </c>
      <c r="R1226" s="75">
        <f>F1226-F1225</f>
        <v>0.0032106047296869278</v>
      </c>
      <c r="S1226" s="75">
        <f>0.5*(Q1225+Q1226)*R1226</f>
        <v>0.0032770425049749785</v>
      </c>
      <c r="T1226" s="75">
        <f>0.5*(F1225*Q1225+F1226*Q1226)*R1226</f>
        <v>0.017018815857785596</v>
      </c>
      <c r="U1226" s="76">
        <f>U1225+S1226</f>
        <v>5.44303184132999</v>
      </c>
      <c r="V1226" s="76">
        <f>V1225+T1226</f>
        <v>18.1348911902227</v>
      </c>
    </row>
    <row r="1227" spans="1:22" ht="19" customHeight="1">
      <c r="A1227" s="68" t="s">
        <v>372</v>
      </c>
      <c r="B1227" s="74">
        <v>2</v>
      </c>
      <c r="C1227" s="68" t="s">
        <v>363</v>
      </c>
      <c r="D1227" s="68" t="s">
        <v>364</v>
      </c>
      <c r="E1227" s="75">
        <f>60*F1227*'THAM_SO_MOI'!$C$50/(2*PI()*'THAM_SO_MOI'!$C$26)</f>
        <v>2084.9088437733267</v>
      </c>
      <c r="F1227" s="75">
        <f>'HANH_TRINH'!$F$826+('THAM_SO_MOI'!$F$50-'HANH_TRINH'!$F$826)*400/'THAM_SO_MOI'!$C$42</f>
        <v>5.198162005979986</v>
      </c>
      <c r="G1227" s="75">
        <f>3.6*F1227</f>
        <v>18.713383221527952</v>
      </c>
      <c r="H1227" s="75">
        <f>'THAM_SO_MOI'!$D$50</f>
        <v>1.8785906709588276</v>
      </c>
      <c r="I1227" s="75">
        <f>IF(F1227&gt;'THAM_SO_MOI'!$C$14,'THAM_SO_MOI'!$C$13*(1+F1227^2/1500),'THAM_SO_MOI'!$C$13)</f>
        <v>0.015</v>
      </c>
      <c r="J1227" s="75">
        <f>'THAM_SO_MOI'!$C$40*('THAM_SO_MOI'!$C$23*(E1227/'THAM_SO_MOI'!$C$22)+'THAM_SO_MOI'!$C$24*(E1227/'THAM_SO_MOI'!$C$22)^2-'THAM_SO_MOI'!$C$25*(E1227/'THAM_SO_MOI'!$C$22)^3)</f>
        <v>93.82215906849225</v>
      </c>
      <c r="K1227" s="75">
        <f>'THAM_SO_MOI'!$C$31*J1227/E1227</f>
        <v>429.8052041064237</v>
      </c>
      <c r="L1227" s="75">
        <f>K1227*'THAM_SO_MOI'!$C$50*'THAM_SO_MOI'!$C$17/'THAM_SO_MOI'!$C$26</f>
        <v>15344.6318858883</v>
      </c>
      <c r="M1227" s="75">
        <f>'THAM_SO_MOI'!$C$15*'THAM_SO_MOI'!$C$16*F1227^2</f>
        <v>79.03609810321059</v>
      </c>
      <c r="N1227" s="75">
        <f>'THAM_SO_MOI'!$C$12*I1227</f>
        <v>1130.112</v>
      </c>
      <c r="O1227" s="75">
        <f>M1227+N1227</f>
        <v>1209.1480981032107</v>
      </c>
      <c r="P1227" s="75">
        <f>(MIN(L1227,'THAM_SO_MOI'!$C$41)-O1227)/('THAM_SO_MOI'!$C$11*H1227)</f>
        <v>0.9797545645898661</v>
      </c>
      <c r="Q1227" s="75">
        <f>IF(P1227&gt;0,1/P1227,NA())</f>
        <v>1.0206637826878702</v>
      </c>
      <c r="R1227" s="75">
        <f>F1227-F1226</f>
        <v>0.0032106047296869278</v>
      </c>
      <c r="S1227" s="75">
        <f>0.5*(Q1226+Q1227)*R1227</f>
        <v>0.0032769792557469334</v>
      </c>
      <c r="T1227" s="75">
        <f>0.5*(F1226*Q1226+F1227*Q1227)*R1227</f>
        <v>0.017029008468833387</v>
      </c>
      <c r="U1227" s="76">
        <f>U1226+S1227</f>
        <v>5.446308820585737</v>
      </c>
      <c r="V1227" s="76">
        <f>V1226+T1227</f>
        <v>18.15192019869153</v>
      </c>
    </row>
    <row r="1228" spans="1:22" ht="19" customHeight="1">
      <c r="A1228" s="68" t="s">
        <v>372</v>
      </c>
      <c r="B1228" s="74">
        <v>2</v>
      </c>
      <c r="C1228" s="68" t="s">
        <v>363</v>
      </c>
      <c r="D1228" s="68" t="s">
        <v>364</v>
      </c>
      <c r="E1228" s="75">
        <f>60*F1228*'THAM_SO_MOI'!$C$50/(2*PI()*'THAM_SO_MOI'!$C$26)</f>
        <v>2086.196571663893</v>
      </c>
      <c r="F1228" s="75">
        <f>'HANH_TRINH'!$F$826+('THAM_SO_MOI'!$F$50-'HANH_TRINH'!$F$826)*401/'THAM_SO_MOI'!$C$42</f>
        <v>5.201372610709672</v>
      </c>
      <c r="G1228" s="75">
        <f>3.6*F1228</f>
        <v>18.724941398554822</v>
      </c>
      <c r="H1228" s="75">
        <f>'THAM_SO_MOI'!$D$50</f>
        <v>1.8785906709588276</v>
      </c>
      <c r="I1228" s="75">
        <f>IF(F1228&gt;'THAM_SO_MOI'!$C$14,'THAM_SO_MOI'!$C$13*(1+F1228^2/1500),'THAM_SO_MOI'!$C$13)</f>
        <v>0.015</v>
      </c>
      <c r="J1228" s="75">
        <f>'THAM_SO_MOI'!$C$40*('THAM_SO_MOI'!$C$23*(E1228/'THAM_SO_MOI'!$C$22)+'THAM_SO_MOI'!$C$24*(E1228/'THAM_SO_MOI'!$C$22)^2-'THAM_SO_MOI'!$C$25*(E1228/'THAM_SO_MOI'!$C$22)^3)</f>
        <v>93.88232100378683</v>
      </c>
      <c r="K1228" s="75">
        <f>'THAM_SO_MOI'!$C$31*J1228/E1228</f>
        <v>429.8153375780038</v>
      </c>
      <c r="L1228" s="75">
        <f>K1228*'THAM_SO_MOI'!$C$50*'THAM_SO_MOI'!$C$17/'THAM_SO_MOI'!$C$26</f>
        <v>15344.993664642112</v>
      </c>
      <c r="M1228" s="75">
        <f>'THAM_SO_MOI'!$C$15*'THAM_SO_MOI'!$C$16*F1228^2</f>
        <v>79.13376032866421</v>
      </c>
      <c r="N1228" s="75">
        <f>'THAM_SO_MOI'!$C$12*I1228</f>
        <v>1130.112</v>
      </c>
      <c r="O1228" s="75">
        <f>M1228+N1228</f>
        <v>1209.2457603286643</v>
      </c>
      <c r="P1228" s="75">
        <f>(MIN(L1228,'THAM_SO_MOI'!$C$41)-O1228)/('THAM_SO_MOI'!$C$11*H1228)</f>
        <v>0.9797728709583021</v>
      </c>
      <c r="Q1228" s="75">
        <f>IF(P1228&gt;0,1/P1228,NA())</f>
        <v>1.020644712301448</v>
      </c>
      <c r="R1228" s="75">
        <f>F1228-F1227</f>
        <v>0.0032106047296860396</v>
      </c>
      <c r="S1228" s="75">
        <f>0.5*(Q1227+Q1228)*R1228</f>
        <v>0.0032769173543804975</v>
      </c>
      <c r="T1228" s="75">
        <f>0.5*(F1227*Q1227+F1228*Q1228)*R1228</f>
        <v>0.01703920768231124</v>
      </c>
      <c r="U1228" s="76">
        <f>U1227+S1228</f>
        <v>5.449585737940118</v>
      </c>
      <c r="V1228" s="76">
        <f>V1227+T1228</f>
        <v>18.168959406373844</v>
      </c>
    </row>
    <row r="1229" spans="1:22" ht="19" customHeight="1">
      <c r="A1229" s="68" t="s">
        <v>372</v>
      </c>
      <c r="B1229" s="74">
        <v>2</v>
      </c>
      <c r="C1229" s="68" t="s">
        <v>363</v>
      </c>
      <c r="D1229" s="68" t="s">
        <v>364</v>
      </c>
      <c r="E1229" s="75">
        <f>60*F1229*'THAM_SO_MOI'!$C$50/(2*PI()*'THAM_SO_MOI'!$C$26)</f>
        <v>2087.48429955446</v>
      </c>
      <c r="F1229" s="75">
        <f>'HANH_TRINH'!$F$826+('THAM_SO_MOI'!$F$50-'HANH_TRINH'!$F$826)*402/'THAM_SO_MOI'!$C$42</f>
        <v>5.20458321543936</v>
      </c>
      <c r="G1229" s="75">
        <f>3.6*F1229</f>
        <v>18.736499575581696</v>
      </c>
      <c r="H1229" s="75">
        <f>'THAM_SO_MOI'!$D$50</f>
        <v>1.8785906709588276</v>
      </c>
      <c r="I1229" s="75">
        <f>IF(F1229&gt;'THAM_SO_MOI'!$C$14,'THAM_SO_MOI'!$C$13*(1+F1229^2/1500),'THAM_SO_MOI'!$C$13)</f>
        <v>0.015</v>
      </c>
      <c r="J1229" s="75">
        <f>'THAM_SO_MOI'!$C$40*('THAM_SO_MOI'!$C$23*(E1229/'THAM_SO_MOI'!$C$22)+'THAM_SO_MOI'!$C$24*(E1229/'THAM_SO_MOI'!$C$22)^2-'THAM_SO_MOI'!$C$25*(E1229/'THAM_SO_MOI'!$C$22)^3)</f>
        <v>93.94245051094354</v>
      </c>
      <c r="K1229" s="75">
        <f>'THAM_SO_MOI'!$C$31*J1229/E1229</f>
        <v>429.82531017525145</v>
      </c>
      <c r="L1229" s="75">
        <f>K1229*'THAM_SO_MOI'!$C$50*'THAM_SO_MOI'!$C$17/'THAM_SO_MOI'!$C$26</f>
        <v>15345.349699962877</v>
      </c>
      <c r="M1229" s="75">
        <f>'THAM_SO_MOI'!$C$15*'THAM_SO_MOI'!$C$16*F1229^2</f>
        <v>79.23148285581685</v>
      </c>
      <c r="N1229" s="75">
        <f>'THAM_SO_MOI'!$C$12*I1229</f>
        <v>1130.112</v>
      </c>
      <c r="O1229" s="75">
        <f>M1229+N1229</f>
        <v>1209.343482855817</v>
      </c>
      <c r="P1229" s="75">
        <f>(MIN(L1229,'THAM_SO_MOI'!$C$41)-O1229)/('THAM_SO_MOI'!$C$11*H1229)</f>
        <v>0.9797907750599539</v>
      </c>
      <c r="Q1229" s="75">
        <f>IF(P1229&gt;0,1/P1229,NA())</f>
        <v>1.0206260616597553</v>
      </c>
      <c r="R1229" s="75">
        <f>F1229-F1228</f>
        <v>0.003210604729687816</v>
      </c>
      <c r="S1229" s="75">
        <f>0.5*(Q1228+Q1229)*R1229</f>
        <v>0.0032768568007266745</v>
      </c>
      <c r="T1229" s="75">
        <f>0.5*(F1228*Q1228+F1229*Q1229)*R1229</f>
        <v>0.017049413510426284</v>
      </c>
      <c r="U1229" s="76">
        <f>U1228+S1229</f>
        <v>5.452862594740845</v>
      </c>
      <c r="V1229" s="76">
        <f>V1228+T1229</f>
        <v>18.18600881988427</v>
      </c>
    </row>
    <row r="1230" spans="1:22" ht="19" customHeight="1">
      <c r="A1230" s="68" t="s">
        <v>372</v>
      </c>
      <c r="B1230" s="74">
        <v>2</v>
      </c>
      <c r="C1230" s="68" t="s">
        <v>363</v>
      </c>
      <c r="D1230" s="68" t="s">
        <v>364</v>
      </c>
      <c r="E1230" s="75">
        <f>60*F1230*'THAM_SO_MOI'!$C$50/(2*PI()*'THAM_SO_MOI'!$C$26)</f>
        <v>2088.772027445026</v>
      </c>
      <c r="F1230" s="75">
        <f>'HANH_TRINH'!$F$826+('THAM_SO_MOI'!$F$50-'HANH_TRINH'!$F$826)*403/'THAM_SO_MOI'!$C$42</f>
        <v>5.207793820169046</v>
      </c>
      <c r="G1230" s="75">
        <f>3.6*F1230</f>
        <v>18.748057752608567</v>
      </c>
      <c r="H1230" s="75">
        <f>'THAM_SO_MOI'!$D$50</f>
        <v>1.8785906709588276</v>
      </c>
      <c r="I1230" s="75">
        <f>IF(F1230&gt;'THAM_SO_MOI'!$C$14,'THAM_SO_MOI'!$C$13*(1+F1230^2/1500),'THAM_SO_MOI'!$C$13)</f>
        <v>0.015</v>
      </c>
      <c r="J1230" s="75">
        <f>'THAM_SO_MOI'!$C$40*('THAM_SO_MOI'!$C$23*(E1230/'THAM_SO_MOI'!$C$22)+'THAM_SO_MOI'!$C$24*(E1230/'THAM_SO_MOI'!$C$22)^2-'THAM_SO_MOI'!$C$25*(E1230/'THAM_SO_MOI'!$C$22)^3)</f>
        <v>94.00254752489268</v>
      </c>
      <c r="K1230" s="75">
        <f>'THAM_SO_MOI'!$C$31*J1230/E1230</f>
        <v>429.83512189816696</v>
      </c>
      <c r="L1230" s="75">
        <f>K1230*'THAM_SO_MOI'!$C$50*'THAM_SO_MOI'!$C$17/'THAM_SO_MOI'!$C$26</f>
        <v>15345.699991850614</v>
      </c>
      <c r="M1230" s="75">
        <f>'THAM_SO_MOI'!$C$15*'THAM_SO_MOI'!$C$16*F1230^2</f>
        <v>79.32926568466841</v>
      </c>
      <c r="N1230" s="75">
        <f>'THAM_SO_MOI'!$C$12*I1230</f>
        <v>1130.112</v>
      </c>
      <c r="O1230" s="75">
        <f>M1230+N1230</f>
        <v>1209.4412656846685</v>
      </c>
      <c r="P1230" s="75">
        <f>(MIN(L1230,'THAM_SO_MOI'!$C$41)-O1230)/('THAM_SO_MOI'!$C$11*H1230)</f>
        <v>0.9798082768948227</v>
      </c>
      <c r="Q1230" s="75">
        <f>IF(P1230&gt;0,1/P1230,NA())</f>
        <v>1.0206078307168094</v>
      </c>
      <c r="R1230" s="75">
        <f>F1230-F1229</f>
        <v>0.0032106047296860396</v>
      </c>
      <c r="S1230" s="75">
        <f>0.5*(Q1229+Q1230)*R1230</f>
        <v>0.0032767975946298216</v>
      </c>
      <c r="T1230" s="75">
        <f>0.5*(F1229*Q1229+F1230*Q1230)*R1230</f>
        <v>0.01705962596534915</v>
      </c>
      <c r="U1230" s="76">
        <f>U1229+S1230</f>
        <v>5.456139392335475</v>
      </c>
      <c r="V1230" s="76">
        <f>V1229+T1230</f>
        <v>18.20306844584962</v>
      </c>
    </row>
    <row r="1231" spans="1:22" ht="19" customHeight="1">
      <c r="A1231" s="68" t="s">
        <v>372</v>
      </c>
      <c r="B1231" s="74">
        <v>2</v>
      </c>
      <c r="C1231" s="68" t="s">
        <v>363</v>
      </c>
      <c r="D1231" s="68" t="s">
        <v>364</v>
      </c>
      <c r="E1231" s="75">
        <f>60*F1231*'THAM_SO_MOI'!$C$50/(2*PI()*'THAM_SO_MOI'!$C$26)</f>
        <v>2090.059755335593</v>
      </c>
      <c r="F1231" s="75">
        <f>'HANH_TRINH'!$F$826+('THAM_SO_MOI'!$F$50-'HANH_TRINH'!$F$826)*404/'THAM_SO_MOI'!$C$42</f>
        <v>5.211004424898733</v>
      </c>
      <c r="G1231" s="75">
        <f>3.6*F1231</f>
        <v>18.75961592963544</v>
      </c>
      <c r="H1231" s="75">
        <f>'THAM_SO_MOI'!$D$50</f>
        <v>1.8785906709588276</v>
      </c>
      <c r="I1231" s="75">
        <f>IF(F1231&gt;'THAM_SO_MOI'!$C$14,'THAM_SO_MOI'!$C$13*(1+F1231^2/1500),'THAM_SO_MOI'!$C$13)</f>
        <v>0.015</v>
      </c>
      <c r="J1231" s="75">
        <f>'THAM_SO_MOI'!$C$40*('THAM_SO_MOI'!$C$23*(E1231/'THAM_SO_MOI'!$C$22)+'THAM_SO_MOI'!$C$24*(E1231/'THAM_SO_MOI'!$C$22)^2-'THAM_SO_MOI'!$C$25*(E1231/'THAM_SO_MOI'!$C$22)^3)</f>
        <v>94.06261198056461</v>
      </c>
      <c r="K1231" s="75">
        <f>'THAM_SO_MOI'!$C$31*J1231/E1231</f>
        <v>429.84477274675027</v>
      </c>
      <c r="L1231" s="75">
        <f>K1231*'THAM_SO_MOI'!$C$50*'THAM_SO_MOI'!$C$17/'THAM_SO_MOI'!$C$26</f>
        <v>15346.044540305316</v>
      </c>
      <c r="M1231" s="75">
        <f>'THAM_SO_MOI'!$C$15*'THAM_SO_MOI'!$C$16*F1231^2</f>
        <v>79.42710881521897</v>
      </c>
      <c r="N1231" s="75">
        <f>'THAM_SO_MOI'!$C$12*I1231</f>
        <v>1130.112</v>
      </c>
      <c r="O1231" s="75">
        <f>M1231+N1231</f>
        <v>1209.5391088152192</v>
      </c>
      <c r="P1231" s="75">
        <f>(MIN(L1231,'THAM_SO_MOI'!$C$41)-O1231)/('THAM_SO_MOI'!$C$11*H1231)</f>
        <v>0.9798253764629079</v>
      </c>
      <c r="Q1231" s="75">
        <f>IF(P1231&gt;0,1/P1231,NA())</f>
        <v>1.0205900194276667</v>
      </c>
      <c r="R1231" s="75">
        <f>F1231-F1230</f>
        <v>0.0032106047296869278</v>
      </c>
      <c r="S1231" s="75">
        <f>0.5*(Q1230+Q1231)*R1231</f>
        <v>0.003276739735950322</v>
      </c>
      <c r="T1231" s="75">
        <f>0.5*(F1230*Q1230+F1231*Q1231)*R1231</f>
        <v>0.01706984505933192</v>
      </c>
      <c r="U1231" s="76">
        <f>U1230+S1231</f>
        <v>5.459416132071425</v>
      </c>
      <c r="V1231" s="76">
        <f>V1230+T1231</f>
        <v>18.220138290908952</v>
      </c>
    </row>
    <row r="1232" spans="1:22" ht="19" customHeight="1">
      <c r="A1232" s="68" t="s">
        <v>372</v>
      </c>
      <c r="B1232" s="74">
        <v>2</v>
      </c>
      <c r="C1232" s="68" t="s">
        <v>363</v>
      </c>
      <c r="D1232" s="68" t="s">
        <v>364</v>
      </c>
      <c r="E1232" s="75">
        <f>60*F1232*'THAM_SO_MOI'!$C$50/(2*PI()*'THAM_SO_MOI'!$C$26)</f>
        <v>2091.3474832261595</v>
      </c>
      <c r="F1232" s="75">
        <f>'HANH_TRINH'!$F$826+('THAM_SO_MOI'!$F$50-'HANH_TRINH'!$F$826)*405/'THAM_SO_MOI'!$C$42</f>
        <v>5.21421502962842</v>
      </c>
      <c r="G1232" s="75">
        <f>3.6*F1232</f>
        <v>18.77117410666231</v>
      </c>
      <c r="H1232" s="75">
        <f>'THAM_SO_MOI'!$D$50</f>
        <v>1.8785906709588276</v>
      </c>
      <c r="I1232" s="75">
        <f>IF(F1232&gt;'THAM_SO_MOI'!$C$14,'THAM_SO_MOI'!$C$13*(1+F1232^2/1500),'THAM_SO_MOI'!$C$13)</f>
        <v>0.015</v>
      </c>
      <c r="J1232" s="75">
        <f>'THAM_SO_MOI'!$C$40*('THAM_SO_MOI'!$C$23*(E1232/'THAM_SO_MOI'!$C$22)+'THAM_SO_MOI'!$C$24*(E1232/'THAM_SO_MOI'!$C$22)^2-'THAM_SO_MOI'!$C$25*(E1232/'THAM_SO_MOI'!$C$22)^3)</f>
        <v>94.12264381288954</v>
      </c>
      <c r="K1232" s="75">
        <f>'THAM_SO_MOI'!$C$31*J1232/E1232</f>
        <v>429.8542627210012</v>
      </c>
      <c r="L1232" s="75">
        <f>K1232*'THAM_SO_MOI'!$C$50*'THAM_SO_MOI'!$C$17/'THAM_SO_MOI'!$C$26</f>
        <v>15346.383345326974</v>
      </c>
      <c r="M1232" s="75">
        <f>'THAM_SO_MOI'!$C$15*'THAM_SO_MOI'!$C$16*F1232^2</f>
        <v>79.52501224746851</v>
      </c>
      <c r="N1232" s="75">
        <f>'THAM_SO_MOI'!$C$12*I1232</f>
        <v>1130.112</v>
      </c>
      <c r="O1232" s="75">
        <f>M1232+N1232</f>
        <v>1209.6370122474686</v>
      </c>
      <c r="P1232" s="75">
        <f>(MIN(L1232,'THAM_SO_MOI'!$C$41)-O1232)/('THAM_SO_MOI'!$C$11*H1232)</f>
        <v>0.979842073764209</v>
      </c>
      <c r="Q1232" s="75">
        <f>IF(P1232&gt;0,1/P1232,NA())</f>
        <v>1.0205726277484202</v>
      </c>
      <c r="R1232" s="75">
        <f>F1232-F1231</f>
        <v>0.0032106047296869278</v>
      </c>
      <c r="S1232" s="75">
        <f>0.5*(Q1231+Q1232)*R1232</f>
        <v>0.003276683224541917</v>
      </c>
      <c r="T1232" s="75">
        <f>0.5*(F1231*Q1231+F1232*Q1232)*R1232</f>
        <v>0.017080070804590296</v>
      </c>
      <c r="U1232" s="76">
        <f>U1231+S1232</f>
        <v>5.462692815295967</v>
      </c>
      <c r="V1232" s="76">
        <f>V1231+T1232</f>
        <v>18.23721836171354</v>
      </c>
    </row>
    <row r="1233" spans="1:22" ht="19" customHeight="1">
      <c r="A1233" s="68" t="s">
        <v>372</v>
      </c>
      <c r="B1233" s="74">
        <v>2</v>
      </c>
      <c r="C1233" s="68" t="s">
        <v>363</v>
      </c>
      <c r="D1233" s="68" t="s">
        <v>364</v>
      </c>
      <c r="E1233" s="75">
        <f>60*F1233*'THAM_SO_MOI'!$C$50/(2*PI()*'THAM_SO_MOI'!$C$26)</f>
        <v>2092.635211116726</v>
      </c>
      <c r="F1233" s="75">
        <f>'HANH_TRINH'!$F$826+('THAM_SO_MOI'!$F$50-'HANH_TRINH'!$F$826)*406/'THAM_SO_MOI'!$C$42</f>
        <v>5.217425634358107</v>
      </c>
      <c r="G1233" s="75">
        <f>3.6*F1233</f>
        <v>18.782732283689185</v>
      </c>
      <c r="H1233" s="75">
        <f>'THAM_SO_MOI'!$D$50</f>
        <v>1.8785906709588276</v>
      </c>
      <c r="I1233" s="75">
        <f>IF(F1233&gt;'THAM_SO_MOI'!$C$14,'THAM_SO_MOI'!$C$13*(1+F1233^2/1500),'THAM_SO_MOI'!$C$13)</f>
        <v>0.015</v>
      </c>
      <c r="J1233" s="75">
        <f>'THAM_SO_MOI'!$C$40*('THAM_SO_MOI'!$C$23*(E1233/'THAM_SO_MOI'!$C$22)+'THAM_SO_MOI'!$C$24*(E1233/'THAM_SO_MOI'!$C$22)^2-'THAM_SO_MOI'!$C$25*(E1233/'THAM_SO_MOI'!$C$22)^3)</f>
        <v>94.18264295679784</v>
      </c>
      <c r="K1233" s="75">
        <f>'THAM_SO_MOI'!$C$31*J1233/E1233</f>
        <v>429.86359182091985</v>
      </c>
      <c r="L1233" s="75">
        <f>K1233*'THAM_SO_MOI'!$C$50*'THAM_SO_MOI'!$C$17/'THAM_SO_MOI'!$C$26</f>
        <v>15346.716406915599</v>
      </c>
      <c r="M1233" s="75">
        <f>'THAM_SO_MOI'!$C$15*'THAM_SO_MOI'!$C$16*F1233^2</f>
        <v>79.62297598141701</v>
      </c>
      <c r="N1233" s="75">
        <f>'THAM_SO_MOI'!$C$12*I1233</f>
        <v>1130.112</v>
      </c>
      <c r="O1233" s="75">
        <f>M1233+N1233</f>
        <v>1209.7349759814172</v>
      </c>
      <c r="P1233" s="75">
        <f>(MIN(L1233,'THAM_SO_MOI'!$C$41)-O1233)/('THAM_SO_MOI'!$C$11*H1233)</f>
        <v>0.9798583687987263</v>
      </c>
      <c r="Q1233" s="75">
        <f>IF(P1233&gt;0,1/P1233,NA())</f>
        <v>1.0205556556361983</v>
      </c>
      <c r="R1233" s="75">
        <f>F1233-F1232</f>
        <v>0.0032106047296869278</v>
      </c>
      <c r="S1233" s="75">
        <f>0.5*(Q1232+Q1233)*R1233</f>
        <v>0.003276628060266208</v>
      </c>
      <c r="T1233" s="75">
        <f>0.5*(F1232*Q1232+F1233*Q1233)*R1233</f>
        <v>0.017090303213379072</v>
      </c>
      <c r="U1233" s="76">
        <f>U1232+S1233</f>
        <v>5.465969443356234</v>
      </c>
      <c r="V1233" s="76">
        <f>V1232+T1233</f>
        <v>18.25430866492692</v>
      </c>
    </row>
    <row r="1234" spans="1:22" ht="19" customHeight="1">
      <c r="A1234" s="68" t="s">
        <v>372</v>
      </c>
      <c r="B1234" s="74">
        <v>2</v>
      </c>
      <c r="C1234" s="68" t="s">
        <v>363</v>
      </c>
      <c r="D1234" s="68" t="s">
        <v>364</v>
      </c>
      <c r="E1234" s="75">
        <f>60*F1234*'THAM_SO_MOI'!$C$50/(2*PI()*'THAM_SO_MOI'!$C$26)</f>
        <v>2093.922939007293</v>
      </c>
      <c r="F1234" s="75">
        <f>'HANH_TRINH'!$F$826+('THAM_SO_MOI'!$F$50-'HANH_TRINH'!$F$826)*407/'THAM_SO_MOI'!$C$42</f>
        <v>5.220636239087794</v>
      </c>
      <c r="G1234" s="75">
        <f>3.6*F1234</f>
        <v>18.79429046071606</v>
      </c>
      <c r="H1234" s="75">
        <f>'THAM_SO_MOI'!$D$50</f>
        <v>1.8785906709588276</v>
      </c>
      <c r="I1234" s="75">
        <f>IF(F1234&gt;'THAM_SO_MOI'!$C$14,'THAM_SO_MOI'!$C$13*(1+F1234^2/1500),'THAM_SO_MOI'!$C$13)</f>
        <v>0.015</v>
      </c>
      <c r="J1234" s="75">
        <f>'THAM_SO_MOI'!$C$40*('THAM_SO_MOI'!$C$23*(E1234/'THAM_SO_MOI'!$C$22)+'THAM_SO_MOI'!$C$24*(E1234/'THAM_SO_MOI'!$C$22)^2-'THAM_SO_MOI'!$C$25*(E1234/'THAM_SO_MOI'!$C$22)^3)</f>
        <v>94.24260934721978</v>
      </c>
      <c r="K1234" s="75">
        <f>'THAM_SO_MOI'!$C$31*J1234/E1234</f>
        <v>429.87276004650636</v>
      </c>
      <c r="L1234" s="75">
        <f>K1234*'THAM_SO_MOI'!$C$50*'THAM_SO_MOI'!$C$17/'THAM_SO_MOI'!$C$26</f>
        <v>15347.043725071191</v>
      </c>
      <c r="M1234" s="75">
        <f>'THAM_SO_MOI'!$C$15*'THAM_SO_MOI'!$C$16*F1234^2</f>
        <v>79.72100001706448</v>
      </c>
      <c r="N1234" s="75">
        <f>'THAM_SO_MOI'!$C$12*I1234</f>
        <v>1130.112</v>
      </c>
      <c r="O1234" s="75">
        <f>M1234+N1234</f>
        <v>1209.8330000170645</v>
      </c>
      <c r="P1234" s="75">
        <f>(MIN(L1234,'THAM_SO_MOI'!$C$41)-O1234)/('THAM_SO_MOI'!$C$11*H1234)</f>
        <v>0.9798742615664605</v>
      </c>
      <c r="Q1234" s="75">
        <f>IF(P1234&gt;0,1/P1234,NA())</f>
        <v>1.0205391030491666</v>
      </c>
      <c r="R1234" s="75">
        <f>F1234-F1233</f>
        <v>0.0032106047296869278</v>
      </c>
      <c r="S1234" s="75">
        <f>0.5*(Q1233+Q1234)*R1234</f>
        <v>0.0032765742429872154</v>
      </c>
      <c r="T1234" s="75">
        <f>0.5*(F1233*Q1233+F1234*Q1234)*R1234</f>
        <v>0.017100542297963914</v>
      </c>
      <c r="U1234" s="76">
        <f>U1233+S1234</f>
        <v>5.469246017599221</v>
      </c>
      <c r="V1234" s="76">
        <f>V1233+T1234</f>
        <v>18.271409207224885</v>
      </c>
    </row>
    <row r="1235" spans="1:22" ht="19" customHeight="1">
      <c r="A1235" s="68" t="s">
        <v>372</v>
      </c>
      <c r="B1235" s="74">
        <v>2</v>
      </c>
      <c r="C1235" s="68" t="s">
        <v>363</v>
      </c>
      <c r="D1235" s="68" t="s">
        <v>364</v>
      </c>
      <c r="E1235" s="75">
        <f>60*F1235*'THAM_SO_MOI'!$C$50/(2*PI()*'THAM_SO_MOI'!$C$26)</f>
        <v>2095.2106668978595</v>
      </c>
      <c r="F1235" s="75">
        <f>'HANH_TRINH'!$F$826+('THAM_SO_MOI'!$F$50-'HANH_TRINH'!$F$826)*408/'THAM_SO_MOI'!$C$42</f>
        <v>5.22384684381748</v>
      </c>
      <c r="G1235" s="75">
        <f>3.6*F1235</f>
        <v>18.80584863774293</v>
      </c>
      <c r="H1235" s="75">
        <f>'THAM_SO_MOI'!$D$50</f>
        <v>1.8785906709588276</v>
      </c>
      <c r="I1235" s="75">
        <f>IF(F1235&gt;'THAM_SO_MOI'!$C$14,'THAM_SO_MOI'!$C$13*(1+F1235^2/1500),'THAM_SO_MOI'!$C$13)</f>
        <v>0.015</v>
      </c>
      <c r="J1235" s="75">
        <f>'THAM_SO_MOI'!$C$40*('THAM_SO_MOI'!$C$23*(E1235/'THAM_SO_MOI'!$C$22)+'THAM_SO_MOI'!$C$24*(E1235/'THAM_SO_MOI'!$C$22)^2-'THAM_SO_MOI'!$C$25*(E1235/'THAM_SO_MOI'!$C$22)^3)</f>
        <v>94.30254291908568</v>
      </c>
      <c r="K1235" s="75">
        <f>'THAM_SO_MOI'!$C$31*J1235/E1235</f>
        <v>429.88176739776054</v>
      </c>
      <c r="L1235" s="75">
        <f>K1235*'THAM_SO_MOI'!$C$50*'THAM_SO_MOI'!$C$17/'THAM_SO_MOI'!$C$26</f>
        <v>15347.36529979374</v>
      </c>
      <c r="M1235" s="75">
        <f>'THAM_SO_MOI'!$C$15*'THAM_SO_MOI'!$C$16*F1235^2</f>
        <v>79.8190843544109</v>
      </c>
      <c r="N1235" s="75">
        <f>'THAM_SO_MOI'!$C$12*I1235</f>
        <v>1130.112</v>
      </c>
      <c r="O1235" s="75">
        <f>M1235+N1235</f>
        <v>1209.931084354411</v>
      </c>
      <c r="P1235" s="75">
        <f>(MIN(L1235,'THAM_SO_MOI'!$C$41)-O1235)/('THAM_SO_MOI'!$C$11*H1235)</f>
        <v>0.9798897520674107</v>
      </c>
      <c r="Q1235" s="75">
        <f>IF(P1235&gt;0,1/P1235,NA())</f>
        <v>1.020522969946527</v>
      </c>
      <c r="R1235" s="75">
        <f>F1235-F1234</f>
        <v>0.0032106047296860396</v>
      </c>
      <c r="S1235" s="75">
        <f>0.5*(Q1234+Q1235)*R1235</f>
        <v>0.0032765217725713833</v>
      </c>
      <c r="T1235" s="75">
        <f>0.5*(F1234*Q1234+F1235*Q1235)*R1235</f>
        <v>0.017110788070621368</v>
      </c>
      <c r="U1235" s="76">
        <f>U1234+S1235</f>
        <v>5.472522539371792</v>
      </c>
      <c r="V1235" s="76">
        <f>V1234+T1235</f>
        <v>18.288519995295506</v>
      </c>
    </row>
    <row r="1236" spans="1:22" ht="19" customHeight="1">
      <c r="A1236" s="68" t="s">
        <v>372</v>
      </c>
      <c r="B1236" s="74">
        <v>2</v>
      </c>
      <c r="C1236" s="68" t="s">
        <v>363</v>
      </c>
      <c r="D1236" s="68" t="s">
        <v>364</v>
      </c>
      <c r="E1236" s="75">
        <f>60*F1236*'THAM_SO_MOI'!$C$50/(2*PI()*'THAM_SO_MOI'!$C$26)</f>
        <v>2096.4983947884266</v>
      </c>
      <c r="F1236" s="75">
        <f>'HANH_TRINH'!$F$826+('THAM_SO_MOI'!$F$50-'HANH_TRINH'!$F$826)*409/'THAM_SO_MOI'!$C$42</f>
        <v>5.227057448547168</v>
      </c>
      <c r="G1236" s="75">
        <f>3.6*F1236</f>
        <v>18.817406814769804</v>
      </c>
      <c r="H1236" s="75">
        <f>'THAM_SO_MOI'!$D$50</f>
        <v>1.8785906709588276</v>
      </c>
      <c r="I1236" s="75">
        <f>IF(F1236&gt;'THAM_SO_MOI'!$C$14,'THAM_SO_MOI'!$C$13*(1+F1236^2/1500),'THAM_SO_MOI'!$C$13)</f>
        <v>0.015</v>
      </c>
      <c r="J1236" s="75">
        <f>'THAM_SO_MOI'!$C$40*('THAM_SO_MOI'!$C$23*(E1236/'THAM_SO_MOI'!$C$22)+'THAM_SO_MOI'!$C$24*(E1236/'THAM_SO_MOI'!$C$22)^2-'THAM_SO_MOI'!$C$25*(E1236/'THAM_SO_MOI'!$C$22)^3)</f>
        <v>94.36244360732589</v>
      </c>
      <c r="K1236" s="75">
        <f>'THAM_SO_MOI'!$C$31*J1236/E1236</f>
        <v>429.89061387468263</v>
      </c>
      <c r="L1236" s="75">
        <f>K1236*'THAM_SO_MOI'!$C$50*'THAM_SO_MOI'!$C$17/'THAM_SO_MOI'!$C$26</f>
        <v>15347.681131083265</v>
      </c>
      <c r="M1236" s="75">
        <f>'THAM_SO_MOI'!$C$15*'THAM_SO_MOI'!$C$16*F1236^2</f>
        <v>79.91722899345636</v>
      </c>
      <c r="N1236" s="75">
        <f>'THAM_SO_MOI'!$C$12*I1236</f>
        <v>1130.112</v>
      </c>
      <c r="O1236" s="75">
        <f>M1236+N1236</f>
        <v>1210.0292289934564</v>
      </c>
      <c r="P1236" s="75">
        <f>(MIN(L1236,'THAM_SO_MOI'!$C$41)-O1236)/('THAM_SO_MOI'!$C$11*H1236)</f>
        <v>0.9799048403015779</v>
      </c>
      <c r="Q1236" s="75">
        <f>IF(P1236&gt;0,1/P1236,NA())</f>
        <v>1.0205072562885162</v>
      </c>
      <c r="R1236" s="75">
        <f>F1236-F1235</f>
        <v>0.003210604729687816</v>
      </c>
      <c r="S1236" s="75">
        <f>0.5*(Q1235+Q1236)*R1236</f>
        <v>0.0032764706488930114</v>
      </c>
      <c r="T1236" s="75">
        <f>0.5*(F1235*Q1235+F1236*Q1236)*R1236</f>
        <v>0.017121040543667348</v>
      </c>
      <c r="U1236" s="76">
        <f>U1235+S1236</f>
        <v>5.475799010020685</v>
      </c>
      <c r="V1236" s="76">
        <f>V1235+T1236</f>
        <v>18.305641035839173</v>
      </c>
    </row>
    <row r="1237" spans="1:22" ht="19" customHeight="1">
      <c r="A1237" s="68" t="s">
        <v>372</v>
      </c>
      <c r="B1237" s="74">
        <v>2</v>
      </c>
      <c r="C1237" s="68" t="s">
        <v>363</v>
      </c>
      <c r="D1237" s="68" t="s">
        <v>364</v>
      </c>
      <c r="E1237" s="75">
        <f>60*F1237*'THAM_SO_MOI'!$C$50/(2*PI()*'THAM_SO_MOI'!$C$26)</f>
        <v>2097.7861226789933</v>
      </c>
      <c r="F1237" s="75">
        <f>'HANH_TRINH'!$F$826+('THAM_SO_MOI'!$F$50-'HANH_TRINH'!$F$826)*410/'THAM_SO_MOI'!$C$42</f>
        <v>5.230268053276854</v>
      </c>
      <c r="G1237" s="75">
        <f>3.6*F1237</f>
        <v>18.828964991796674</v>
      </c>
      <c r="H1237" s="75">
        <f>'THAM_SO_MOI'!$D$50</f>
        <v>1.8785906709588276</v>
      </c>
      <c r="I1237" s="75">
        <f>IF(F1237&gt;'THAM_SO_MOI'!$C$14,'THAM_SO_MOI'!$C$13*(1+F1237^2/1500),'THAM_SO_MOI'!$C$13)</f>
        <v>0.015</v>
      </c>
      <c r="J1237" s="75">
        <f>'THAM_SO_MOI'!$C$40*('THAM_SO_MOI'!$C$23*(E1237/'THAM_SO_MOI'!$C$22)+'THAM_SO_MOI'!$C$24*(E1237/'THAM_SO_MOI'!$C$22)^2-'THAM_SO_MOI'!$C$25*(E1237/'THAM_SO_MOI'!$C$22)^3)</f>
        <v>94.42231134687063</v>
      </c>
      <c r="K1237" s="75">
        <f>'THAM_SO_MOI'!$C$31*J1237/E1237</f>
        <v>429.8992994772725</v>
      </c>
      <c r="L1237" s="75">
        <f>K1237*'THAM_SO_MOI'!$C$50*'THAM_SO_MOI'!$C$17/'THAM_SO_MOI'!$C$26</f>
        <v>15347.991218939755</v>
      </c>
      <c r="M1237" s="75">
        <f>'THAM_SO_MOI'!$C$15*'THAM_SO_MOI'!$C$16*F1237^2</f>
        <v>80.01543393420071</v>
      </c>
      <c r="N1237" s="75">
        <f>'THAM_SO_MOI'!$C$12*I1237</f>
        <v>1130.112</v>
      </c>
      <c r="O1237" s="75">
        <f>M1237+N1237</f>
        <v>1210.1274339342008</v>
      </c>
      <c r="P1237" s="75">
        <f>(MIN(L1237,'THAM_SO_MOI'!$C$41)-O1237)/('THAM_SO_MOI'!$C$11*H1237)</f>
        <v>0.9799195262689615</v>
      </c>
      <c r="Q1237" s="75">
        <f>IF(P1237&gt;0,1/P1237,NA())</f>
        <v>1.0204919620364081</v>
      </c>
      <c r="R1237" s="75">
        <f>F1237-F1236</f>
        <v>0.0032106047296860396</v>
      </c>
      <c r="S1237" s="75">
        <f>0.5*(Q1236+Q1237)*R1237</f>
        <v>0.0032764208718197565</v>
      </c>
      <c r="T1237" s="75">
        <f>0.5*(F1236*Q1236+F1237*Q1237)*R1237</f>
        <v>0.01713129972938139</v>
      </c>
      <c r="U1237" s="76">
        <f>U1236+S1237</f>
        <v>5.479075430892505</v>
      </c>
      <c r="V1237" s="76">
        <f>V1236+T1237</f>
        <v>18.322772335568555</v>
      </c>
    </row>
    <row r="1238" spans="1:22" ht="19" customHeight="1">
      <c r="A1238" s="68" t="s">
        <v>372</v>
      </c>
      <c r="B1238" s="74">
        <v>2</v>
      </c>
      <c r="C1238" s="68" t="s">
        <v>363</v>
      </c>
      <c r="D1238" s="68" t="s">
        <v>364</v>
      </c>
      <c r="E1238" s="75">
        <f>60*F1238*'THAM_SO_MOI'!$C$50/(2*PI()*'THAM_SO_MOI'!$C$26)</f>
        <v>2099.07385056956</v>
      </c>
      <c r="F1238" s="75">
        <f>'HANH_TRINH'!$F$826+('THAM_SO_MOI'!$F$50-'HANH_TRINH'!$F$826)*411/'THAM_SO_MOI'!$C$42</f>
        <v>5.233478658006541</v>
      </c>
      <c r="G1238" s="75">
        <f>3.6*F1238</f>
        <v>18.840523168823548</v>
      </c>
      <c r="H1238" s="75">
        <f>'THAM_SO_MOI'!$D$50</f>
        <v>1.8785906709588276</v>
      </c>
      <c r="I1238" s="75">
        <f>IF(F1238&gt;'THAM_SO_MOI'!$C$14,'THAM_SO_MOI'!$C$13*(1+F1238^2/1500),'THAM_SO_MOI'!$C$13)</f>
        <v>0.015</v>
      </c>
      <c r="J1238" s="75">
        <f>'THAM_SO_MOI'!$C$40*('THAM_SO_MOI'!$C$23*(E1238/'THAM_SO_MOI'!$C$22)+'THAM_SO_MOI'!$C$24*(E1238/'THAM_SO_MOI'!$C$22)^2-'THAM_SO_MOI'!$C$25*(E1238/'THAM_SO_MOI'!$C$22)^3)</f>
        <v>94.48214607265015</v>
      </c>
      <c r="K1238" s="75">
        <f>'THAM_SO_MOI'!$C$31*J1238/E1238</f>
        <v>429.9078242055297</v>
      </c>
      <c r="L1238" s="75">
        <f>K1238*'THAM_SO_MOI'!$C$50*'THAM_SO_MOI'!$C$17/'THAM_SO_MOI'!$C$26</f>
        <v>15348.295563363192</v>
      </c>
      <c r="M1238" s="75">
        <f>'THAM_SO_MOI'!$C$15*'THAM_SO_MOI'!$C$16*F1238^2</f>
        <v>80.11369917664409</v>
      </c>
      <c r="N1238" s="75">
        <f>'THAM_SO_MOI'!$C$12*I1238</f>
        <v>1130.112</v>
      </c>
      <c r="O1238" s="75">
        <f>M1238+N1238</f>
        <v>1210.2256991766442</v>
      </c>
      <c r="P1238" s="75">
        <f>(MIN(L1238,'THAM_SO_MOI'!$C$41)-O1238)/('THAM_SO_MOI'!$C$11*H1238)</f>
        <v>0.9799338099695606</v>
      </c>
      <c r="Q1238" s="75">
        <f>IF(P1238&gt;0,1/P1238,NA())</f>
        <v>1.0204770871525115</v>
      </c>
      <c r="R1238" s="75">
        <f>F1238-F1237</f>
        <v>0.0032106047296869278</v>
      </c>
      <c r="S1238" s="75">
        <f>0.5*(Q1237+Q1238)*R1238</f>
        <v>0.003276372441235289</v>
      </c>
      <c r="T1238" s="75">
        <f>0.5*(F1237*Q1237+F1238*Q1238)*R1238</f>
        <v>0.017141565640125138</v>
      </c>
      <c r="U1238" s="76">
        <f>U1237+S1238</f>
        <v>5.48235180333374</v>
      </c>
      <c r="V1238" s="76">
        <f>V1237+T1238</f>
        <v>18.33991390120868</v>
      </c>
    </row>
    <row r="1239" spans="1:22" ht="19" customHeight="1">
      <c r="A1239" s="68" t="s">
        <v>372</v>
      </c>
      <c r="B1239" s="74">
        <v>2</v>
      </c>
      <c r="C1239" s="68" t="s">
        <v>363</v>
      </c>
      <c r="D1239" s="68" t="s">
        <v>364</v>
      </c>
      <c r="E1239" s="75">
        <f>60*F1239*'THAM_SO_MOI'!$C$50/(2*PI()*'THAM_SO_MOI'!$C$26)</f>
        <v>2100.3615784601266</v>
      </c>
      <c r="F1239" s="75">
        <f>'HANH_TRINH'!$F$826+('THAM_SO_MOI'!$F$50-'HANH_TRINH'!$F$826)*412/'THAM_SO_MOI'!$C$42</f>
        <v>5.236689262736228</v>
      </c>
      <c r="G1239" s="75">
        <f>3.6*F1239</f>
        <v>18.85208134585042</v>
      </c>
      <c r="H1239" s="75">
        <f>'THAM_SO_MOI'!$D$50</f>
        <v>1.8785906709588276</v>
      </c>
      <c r="I1239" s="75">
        <f>IF(F1239&gt;'THAM_SO_MOI'!$C$14,'THAM_SO_MOI'!$C$13*(1+F1239^2/1500),'THAM_SO_MOI'!$C$13)</f>
        <v>0.015</v>
      </c>
      <c r="J1239" s="75">
        <f>'THAM_SO_MOI'!$C$40*('THAM_SO_MOI'!$C$23*(E1239/'THAM_SO_MOI'!$C$22)+'THAM_SO_MOI'!$C$24*(E1239/'THAM_SO_MOI'!$C$22)^2-'THAM_SO_MOI'!$C$25*(E1239/'THAM_SO_MOI'!$C$22)^3)</f>
        <v>94.54194771959494</v>
      </c>
      <c r="K1239" s="75">
        <f>'THAM_SO_MOI'!$C$31*J1239/E1239</f>
        <v>429.91618805945524</v>
      </c>
      <c r="L1239" s="75">
        <f>K1239*'THAM_SO_MOI'!$C$50*'THAM_SO_MOI'!$C$17/'THAM_SO_MOI'!$C$26</f>
        <v>15348.594164353612</v>
      </c>
      <c r="M1239" s="75">
        <f>'THAM_SO_MOI'!$C$15*'THAM_SO_MOI'!$C$16*F1239^2</f>
        <v>80.21202472078642</v>
      </c>
      <c r="N1239" s="75">
        <f>'THAM_SO_MOI'!$C$12*I1239</f>
        <v>1130.112</v>
      </c>
      <c r="O1239" s="75">
        <f>M1239+N1239</f>
        <v>1210.3240247207864</v>
      </c>
      <c r="P1239" s="75">
        <f>(MIN(L1239,'THAM_SO_MOI'!$C$41)-O1239)/('THAM_SO_MOI'!$C$11*H1239)</f>
        <v>0.9799476914033771</v>
      </c>
      <c r="Q1239" s="75">
        <f>IF(P1239&gt;0,1/P1239,NA())</f>
        <v>1.0204626316001684</v>
      </c>
      <c r="R1239" s="75">
        <f>F1239-F1238</f>
        <v>0.0032106047296869278</v>
      </c>
      <c r="S1239" s="75">
        <f>0.5*(Q1238+Q1239)*R1239</f>
        <v>0.003276325357016631</v>
      </c>
      <c r="T1239" s="75">
        <f>0.5*(F1238*Q1238+F1239*Q1239)*R1239</f>
        <v>0.01715183828822392</v>
      </c>
      <c r="U1239" s="76">
        <f>U1238+S1239</f>
        <v>5.485628128690757</v>
      </c>
      <c r="V1239" s="76">
        <f>V1238+T1239</f>
        <v>18.357065739496903</v>
      </c>
    </row>
    <row r="1240" spans="1:22" ht="19" customHeight="1">
      <c r="A1240" s="68" t="s">
        <v>372</v>
      </c>
      <c r="B1240" s="74">
        <v>2</v>
      </c>
      <c r="C1240" s="68" t="s">
        <v>363</v>
      </c>
      <c r="D1240" s="68" t="s">
        <v>364</v>
      </c>
      <c r="E1240" s="75">
        <f>60*F1240*'THAM_SO_MOI'!$C$50/(2*PI()*'THAM_SO_MOI'!$C$26)</f>
        <v>2101.6493063506937</v>
      </c>
      <c r="F1240" s="75">
        <f>'HANH_TRINH'!$F$826+('THAM_SO_MOI'!$F$50-'HANH_TRINH'!$F$826)*413/'THAM_SO_MOI'!$C$42</f>
        <v>5.2398998674659145</v>
      </c>
      <c r="G1240" s="75">
        <f>3.6*F1240</f>
        <v>18.863639522877293</v>
      </c>
      <c r="H1240" s="75">
        <f>'THAM_SO_MOI'!$D$50</f>
        <v>1.8785906709588276</v>
      </c>
      <c r="I1240" s="75">
        <f>IF(F1240&gt;'THAM_SO_MOI'!$C$14,'THAM_SO_MOI'!$C$13*(1+F1240^2/1500),'THAM_SO_MOI'!$C$13)</f>
        <v>0.015</v>
      </c>
      <c r="J1240" s="75">
        <f>'THAM_SO_MOI'!$C$40*('THAM_SO_MOI'!$C$23*(E1240/'THAM_SO_MOI'!$C$22)+'THAM_SO_MOI'!$C$24*(E1240/'THAM_SO_MOI'!$C$22)^2-'THAM_SO_MOI'!$C$25*(E1240/'THAM_SO_MOI'!$C$22)^3)</f>
        <v>94.60171622263516</v>
      </c>
      <c r="K1240" s="75">
        <f>'THAM_SO_MOI'!$C$31*J1240/E1240</f>
        <v>429.92439103904826</v>
      </c>
      <c r="L1240" s="75">
        <f>K1240*'THAM_SO_MOI'!$C$50*'THAM_SO_MOI'!$C$17/'THAM_SO_MOI'!$C$26</f>
        <v>15348.887021910987</v>
      </c>
      <c r="M1240" s="75">
        <f>'THAM_SO_MOI'!$C$15*'THAM_SO_MOI'!$C$16*F1240^2</f>
        <v>80.31041056662774</v>
      </c>
      <c r="N1240" s="75">
        <f>'THAM_SO_MOI'!$C$12*I1240</f>
        <v>1130.112</v>
      </c>
      <c r="O1240" s="75">
        <f>M1240+N1240</f>
        <v>1210.4224105666278</v>
      </c>
      <c r="P1240" s="75">
        <f>(MIN(L1240,'THAM_SO_MOI'!$C$41)-O1240)/('THAM_SO_MOI'!$C$11*H1240)</f>
        <v>0.9799611705704094</v>
      </c>
      <c r="Q1240" s="75">
        <f>IF(P1240&gt;0,1/P1240,NA())</f>
        <v>1.020448595343759</v>
      </c>
      <c r="R1240" s="75">
        <f>F1240-F1239</f>
        <v>0.0032106047296869278</v>
      </c>
      <c r="S1240" s="75">
        <f>0.5*(Q1239+Q1240)*R1240</f>
        <v>0.0032762796190486617</v>
      </c>
      <c r="T1240" s="75">
        <f>0.5*(F1239*Q1239+F1240*Q1240)*R1240</f>
        <v>0.01716211768604264</v>
      </c>
      <c r="U1240" s="76">
        <f>U1239+S1240</f>
        <v>5.488904408309805</v>
      </c>
      <c r="V1240" s="76">
        <f>V1239+T1240</f>
        <v>18.374227857182944</v>
      </c>
    </row>
    <row r="1241" spans="1:22" ht="19" customHeight="1">
      <c r="A1241" s="68" t="s">
        <v>372</v>
      </c>
      <c r="B1241" s="74">
        <v>2</v>
      </c>
      <c r="C1241" s="68" t="s">
        <v>363</v>
      </c>
      <c r="D1241" s="68" t="s">
        <v>364</v>
      </c>
      <c r="E1241" s="75">
        <f>60*F1241*'THAM_SO_MOI'!$C$50/(2*PI()*'THAM_SO_MOI'!$C$26)</f>
        <v>2102.9370342412603</v>
      </c>
      <c r="F1241" s="75">
        <f>'HANH_TRINH'!$F$826+('THAM_SO_MOI'!$F$50-'HANH_TRINH'!$F$826)*414/'THAM_SO_MOI'!$C$42</f>
        <v>5.2431104721956014</v>
      </c>
      <c r="G1241" s="75">
        <f>3.6*F1241</f>
        <v>18.875197699904167</v>
      </c>
      <c r="H1241" s="75">
        <f>'THAM_SO_MOI'!$D$50</f>
        <v>1.8785906709588276</v>
      </c>
      <c r="I1241" s="75">
        <f>IF(F1241&gt;'THAM_SO_MOI'!$C$14,'THAM_SO_MOI'!$C$13*(1+F1241^2/1500),'THAM_SO_MOI'!$C$13)</f>
        <v>0.015</v>
      </c>
      <c r="J1241" s="75">
        <f>'THAM_SO_MOI'!$C$40*('THAM_SO_MOI'!$C$23*(E1241/'THAM_SO_MOI'!$C$22)+'THAM_SO_MOI'!$C$24*(E1241/'THAM_SO_MOI'!$C$22)^2-'THAM_SO_MOI'!$C$25*(E1241/'THAM_SO_MOI'!$C$22)^3)</f>
        <v>94.66145151670112</v>
      </c>
      <c r="K1241" s="75">
        <f>'THAM_SO_MOI'!$C$31*J1241/E1241</f>
        <v>429.93243314430896</v>
      </c>
      <c r="L1241" s="75">
        <f>K1241*'THAM_SO_MOI'!$C$50*'THAM_SO_MOI'!$C$17/'THAM_SO_MOI'!$C$26</f>
        <v>15349.174136035328</v>
      </c>
      <c r="M1241" s="75">
        <f>'THAM_SO_MOI'!$C$15*'THAM_SO_MOI'!$C$16*F1241^2</f>
        <v>80.40885671416802</v>
      </c>
      <c r="N1241" s="75">
        <f>'THAM_SO_MOI'!$C$12*I1241</f>
        <v>1130.112</v>
      </c>
      <c r="O1241" s="75">
        <f>M1241+N1241</f>
        <v>1210.520856714168</v>
      </c>
      <c r="P1241" s="75">
        <f>(MIN(L1241,'THAM_SO_MOI'!$C$41)-O1241)/('THAM_SO_MOI'!$C$11*H1241)</f>
        <v>0.9799742474706582</v>
      </c>
      <c r="Q1241" s="75">
        <f>IF(P1241&gt;0,1/P1241,NA())</f>
        <v>1.0204349783486952</v>
      </c>
      <c r="R1241" s="75">
        <f>F1241-F1240</f>
        <v>0.0032106047296869278</v>
      </c>
      <c r="S1241" s="75">
        <f>0.5*(Q1240+Q1241)*R1241</f>
        <v>0.0032762352272186768</v>
      </c>
      <c r="T1241" s="75">
        <f>0.5*(F1240*Q1240+F1241*Q1241)*R1241</f>
        <v>0.017172403845957404</v>
      </c>
      <c r="U1241" s="76">
        <f>U1240+S1241</f>
        <v>5.492180643537024</v>
      </c>
      <c r="V1241" s="76">
        <f>V1240+T1241</f>
        <v>18.391400261028902</v>
      </c>
    </row>
    <row r="1242" spans="1:22" ht="19" customHeight="1">
      <c r="A1242" s="68" t="s">
        <v>372</v>
      </c>
      <c r="B1242" s="74">
        <v>2</v>
      </c>
      <c r="C1242" s="68" t="s">
        <v>363</v>
      </c>
      <c r="D1242" s="68" t="s">
        <v>364</v>
      </c>
      <c r="E1242" s="75">
        <f>60*F1242*'THAM_SO_MOI'!$C$50/(2*PI()*'THAM_SO_MOI'!$C$26)</f>
        <v>2104.2247621318265</v>
      </c>
      <c r="F1242" s="75">
        <f>'HANH_TRINH'!$F$826+('THAM_SO_MOI'!$F$50-'HANH_TRINH'!$F$826)*415/'THAM_SO_MOI'!$C$42</f>
        <v>5.2463210769252875</v>
      </c>
      <c r="G1242" s="75">
        <f>3.6*F1242</f>
        <v>18.886755876931037</v>
      </c>
      <c r="H1242" s="75">
        <f>'THAM_SO_MOI'!$D$50</f>
        <v>1.8785906709588276</v>
      </c>
      <c r="I1242" s="75">
        <f>IF(F1242&gt;'THAM_SO_MOI'!$C$14,'THAM_SO_MOI'!$C$13*(1+F1242^2/1500),'THAM_SO_MOI'!$C$13)</f>
        <v>0.015</v>
      </c>
      <c r="J1242" s="75">
        <f>'THAM_SO_MOI'!$C$40*('THAM_SO_MOI'!$C$23*(E1242/'THAM_SO_MOI'!$C$22)+'THAM_SO_MOI'!$C$24*(E1242/'THAM_SO_MOI'!$C$22)^2-'THAM_SO_MOI'!$C$25*(E1242/'THAM_SO_MOI'!$C$22)^3)</f>
        <v>94.72115353672311</v>
      </c>
      <c r="K1242" s="75">
        <f>'THAM_SO_MOI'!$C$31*J1242/E1242</f>
        <v>429.94031437523745</v>
      </c>
      <c r="L1242" s="75">
        <f>K1242*'THAM_SO_MOI'!$C$50*'THAM_SO_MOI'!$C$17/'THAM_SO_MOI'!$C$26</f>
        <v>15349.455506726632</v>
      </c>
      <c r="M1242" s="75">
        <f>'THAM_SO_MOI'!$C$15*'THAM_SO_MOI'!$C$16*F1242^2</f>
        <v>80.50736316340723</v>
      </c>
      <c r="N1242" s="75">
        <f>'THAM_SO_MOI'!$C$12*I1242</f>
        <v>1130.112</v>
      </c>
      <c r="O1242" s="75">
        <f>M1242+N1242</f>
        <v>1210.6193631634073</v>
      </c>
      <c r="P1242" s="75">
        <f>(MIN(L1242,'THAM_SO_MOI'!$C$41)-O1242)/('THAM_SO_MOI'!$C$11*H1242)</f>
        <v>0.9799869221041235</v>
      </c>
      <c r="Q1242" s="75">
        <f>IF(P1242&gt;0,1/P1242,NA())</f>
        <v>1.020421780581425</v>
      </c>
      <c r="R1242" s="75">
        <f>F1242-F1241</f>
        <v>0.0032106047296860396</v>
      </c>
      <c r="S1242" s="75">
        <f>0.5*(Q1241+Q1242)*R1242</f>
        <v>0.003276192181416383</v>
      </c>
      <c r="T1242" s="75">
        <f>0.5*(F1241*Q1241+F1242*Q1242)*R1242</f>
        <v>0.017182696780355507</v>
      </c>
      <c r="U1242" s="76">
        <f>U1241+S1242</f>
        <v>5.49545683571844</v>
      </c>
      <c r="V1242" s="76">
        <f>V1241+T1242</f>
        <v>18.40858295780926</v>
      </c>
    </row>
    <row r="1243" spans="1:22" ht="19" customHeight="1">
      <c r="A1243" s="68" t="s">
        <v>372</v>
      </c>
      <c r="B1243" s="74">
        <v>2</v>
      </c>
      <c r="C1243" s="68" t="s">
        <v>363</v>
      </c>
      <c r="D1243" s="68" t="s">
        <v>364</v>
      </c>
      <c r="E1243" s="75">
        <f>60*F1243*'THAM_SO_MOI'!$C$50/(2*PI()*'THAM_SO_MOI'!$C$26)</f>
        <v>2105.5124900223936</v>
      </c>
      <c r="F1243" s="75">
        <f>'HANH_TRINH'!$F$826+('THAM_SO_MOI'!$F$50-'HANH_TRINH'!$F$826)*416/'THAM_SO_MOI'!$C$42</f>
        <v>5.249531681654975</v>
      </c>
      <c r="G1243" s="75">
        <f>3.6*F1243</f>
        <v>18.89831405395791</v>
      </c>
      <c r="H1243" s="75">
        <f>'THAM_SO_MOI'!$D$50</f>
        <v>1.8785906709588276</v>
      </c>
      <c r="I1243" s="75">
        <f>IF(F1243&gt;'THAM_SO_MOI'!$C$14,'THAM_SO_MOI'!$C$13*(1+F1243^2/1500),'THAM_SO_MOI'!$C$13)</f>
        <v>0.015</v>
      </c>
      <c r="J1243" s="75">
        <f>'THAM_SO_MOI'!$C$40*('THAM_SO_MOI'!$C$23*(E1243/'THAM_SO_MOI'!$C$22)+'THAM_SO_MOI'!$C$24*(E1243/'THAM_SO_MOI'!$C$22)^2-'THAM_SO_MOI'!$C$25*(E1243/'THAM_SO_MOI'!$C$22)^3)</f>
        <v>94.78082221763152</v>
      </c>
      <c r="K1243" s="75">
        <f>'THAM_SO_MOI'!$C$31*J1243/E1243</f>
        <v>429.94803473183373</v>
      </c>
      <c r="L1243" s="75">
        <f>K1243*'THAM_SO_MOI'!$C$50*'THAM_SO_MOI'!$C$17/'THAM_SO_MOI'!$C$26</f>
        <v>15349.7311339849</v>
      </c>
      <c r="M1243" s="75">
        <f>'THAM_SO_MOI'!$C$15*'THAM_SO_MOI'!$C$16*F1243^2</f>
        <v>80.6059299143455</v>
      </c>
      <c r="N1243" s="75">
        <f>'THAM_SO_MOI'!$C$12*I1243</f>
        <v>1130.112</v>
      </c>
      <c r="O1243" s="75">
        <f>M1243+N1243</f>
        <v>1210.7179299143456</v>
      </c>
      <c r="P1243" s="75">
        <f>(MIN(L1243,'THAM_SO_MOI'!$C$41)-O1243)/('THAM_SO_MOI'!$C$11*H1243)</f>
        <v>0.979999194470805</v>
      </c>
      <c r="Q1243" s="75">
        <f>IF(P1243&gt;0,1/P1243,NA())</f>
        <v>1.0204090020094305</v>
      </c>
      <c r="R1243" s="75">
        <f>F1243-F1242</f>
        <v>0.003210604729687816</v>
      </c>
      <c r="S1243" s="75">
        <f>0.5*(Q1242+Q1243)*R1243</f>
        <v>0.0032761504815393442</v>
      </c>
      <c r="T1243" s="75">
        <f>0.5*(F1242*Q1242+F1243*Q1243)*R1243</f>
        <v>0.017192996501664063</v>
      </c>
      <c r="U1243" s="76">
        <f>U1242+S1243</f>
        <v>5.49873298619998</v>
      </c>
      <c r="V1243" s="76">
        <f>V1242+T1243</f>
        <v>18.42577595431092</v>
      </c>
    </row>
    <row r="1244" spans="1:22" ht="19" customHeight="1">
      <c r="A1244" s="68" t="s">
        <v>372</v>
      </c>
      <c r="B1244" s="74">
        <v>2</v>
      </c>
      <c r="C1244" s="68" t="s">
        <v>363</v>
      </c>
      <c r="D1244" s="68" t="s">
        <v>364</v>
      </c>
      <c r="E1244" s="75">
        <f>60*F1244*'THAM_SO_MOI'!$C$50/(2*PI()*'THAM_SO_MOI'!$C$26)</f>
        <v>2106.80021791296</v>
      </c>
      <c r="F1244" s="75">
        <f>'HANH_TRINH'!$F$826+('THAM_SO_MOI'!$F$50-'HANH_TRINH'!$F$826)*417/'THAM_SO_MOI'!$C$42</f>
        <v>5.252742286384661</v>
      </c>
      <c r="G1244" s="75">
        <f>3.6*F1244</f>
        <v>18.90987223098478</v>
      </c>
      <c r="H1244" s="75">
        <f>'THAM_SO_MOI'!$D$50</f>
        <v>1.8785906709588276</v>
      </c>
      <c r="I1244" s="75">
        <f>IF(F1244&gt;'THAM_SO_MOI'!$C$14,'THAM_SO_MOI'!$C$13*(1+F1244^2/1500),'THAM_SO_MOI'!$C$13)</f>
        <v>0.015</v>
      </c>
      <c r="J1244" s="75">
        <f>'THAM_SO_MOI'!$C$40*('THAM_SO_MOI'!$C$23*(E1244/'THAM_SO_MOI'!$C$22)+'THAM_SO_MOI'!$C$24*(E1244/'THAM_SO_MOI'!$C$22)^2-'THAM_SO_MOI'!$C$25*(E1244/'THAM_SO_MOI'!$C$22)^3)</f>
        <v>94.84045749435653</v>
      </c>
      <c r="K1244" s="75">
        <f>'THAM_SO_MOI'!$C$31*J1244/E1244</f>
        <v>429.95559421409763</v>
      </c>
      <c r="L1244" s="75">
        <f>K1244*'THAM_SO_MOI'!$C$50*'THAM_SO_MOI'!$C$17/'THAM_SO_MOI'!$C$26</f>
        <v>15350.001017810127</v>
      </c>
      <c r="M1244" s="75">
        <f>'THAM_SO_MOI'!$C$15*'THAM_SO_MOI'!$C$16*F1244^2</f>
        <v>80.70455696698266</v>
      </c>
      <c r="N1244" s="75">
        <f>'THAM_SO_MOI'!$C$12*I1244</f>
        <v>1130.112</v>
      </c>
      <c r="O1244" s="75">
        <f>M1244+N1244</f>
        <v>1210.8165569669827</v>
      </c>
      <c r="P1244" s="75">
        <f>(MIN(L1244,'THAM_SO_MOI'!$C$41)-O1244)/('THAM_SO_MOI'!$C$11*H1244)</f>
        <v>0.9800110645707028</v>
      </c>
      <c r="Q1244" s="75">
        <f>IF(P1244&gt;0,1/P1244,NA())</f>
        <v>1.0203966426012276</v>
      </c>
      <c r="R1244" s="75">
        <f>F1244-F1243</f>
        <v>0.0032106047296860396</v>
      </c>
      <c r="S1244" s="75">
        <f>0.5*(Q1243+Q1244)*R1244</f>
        <v>0.0032761101274784727</v>
      </c>
      <c r="T1244" s="75">
        <f>0.5*(F1243*Q1243+F1244*Q1244)*R1244</f>
        <v>0.01720330302227395</v>
      </c>
      <c r="U1244" s="76">
        <f>U1243+S1244</f>
        <v>5.502009096327458</v>
      </c>
      <c r="V1244" s="76">
        <f>V1243+T1244</f>
        <v>18.442979257333196</v>
      </c>
    </row>
    <row r="1245" spans="1:22" ht="19" customHeight="1">
      <c r="A1245" s="68" t="s">
        <v>372</v>
      </c>
      <c r="B1245" s="74">
        <v>2</v>
      </c>
      <c r="C1245" s="68" t="s">
        <v>363</v>
      </c>
      <c r="D1245" s="68" t="s">
        <v>364</v>
      </c>
      <c r="E1245" s="75">
        <f>60*F1245*'THAM_SO_MOI'!$C$50/(2*PI()*'THAM_SO_MOI'!$C$26)</f>
        <v>2108.0879458035265</v>
      </c>
      <c r="F1245" s="75">
        <f>'HANH_TRINH'!$F$826+('THAM_SO_MOI'!$F$50-'HANH_TRINH'!$F$826)*418/'THAM_SO_MOI'!$C$42</f>
        <v>5.255952891114348</v>
      </c>
      <c r="G1245" s="75">
        <f>3.6*F1245</f>
        <v>18.921430408011656</v>
      </c>
      <c r="H1245" s="75">
        <f>'THAM_SO_MOI'!$D$50</f>
        <v>1.8785906709588276</v>
      </c>
      <c r="I1245" s="75">
        <f>IF(F1245&gt;'THAM_SO_MOI'!$C$14,'THAM_SO_MOI'!$C$13*(1+F1245^2/1500),'THAM_SO_MOI'!$C$13)</f>
        <v>0.015</v>
      </c>
      <c r="J1245" s="75">
        <f>'THAM_SO_MOI'!$C$40*('THAM_SO_MOI'!$C$23*(E1245/'THAM_SO_MOI'!$C$22)+'THAM_SO_MOI'!$C$24*(E1245/'THAM_SO_MOI'!$C$22)^2-'THAM_SO_MOI'!$C$25*(E1245/'THAM_SO_MOI'!$C$22)^3)</f>
        <v>94.90005930182855</v>
      </c>
      <c r="K1245" s="75">
        <f>'THAM_SO_MOI'!$C$31*J1245/E1245</f>
        <v>429.9629928220294</v>
      </c>
      <c r="L1245" s="75">
        <f>K1245*'THAM_SO_MOI'!$C$50*'THAM_SO_MOI'!$C$17/'THAM_SO_MOI'!$C$26</f>
        <v>15350.265158202325</v>
      </c>
      <c r="M1245" s="75">
        <f>'THAM_SO_MOI'!$C$15*'THAM_SO_MOI'!$C$16*F1245^2</f>
        <v>80.80324432131884</v>
      </c>
      <c r="N1245" s="75">
        <f>'THAM_SO_MOI'!$C$12*I1245</f>
        <v>1130.112</v>
      </c>
      <c r="O1245" s="75">
        <f>M1245+N1245</f>
        <v>1210.9152443213188</v>
      </c>
      <c r="P1245" s="75">
        <f>(MIN(L1245,'THAM_SO_MOI'!$C$41)-O1245)/('THAM_SO_MOI'!$C$11*H1245)</f>
        <v>0.980022532403817</v>
      </c>
      <c r="Q1245" s="75">
        <f>IF(P1245&gt;0,1/P1245,NA())</f>
        <v>1.020384702326366</v>
      </c>
      <c r="R1245" s="75">
        <f>F1245-F1244</f>
        <v>0.0032106047296869278</v>
      </c>
      <c r="S1245" s="75">
        <f>0.5*(Q1244+Q1245)*R1245</f>
        <v>0.0032760711191406906</v>
      </c>
      <c r="T1245" s="75">
        <f>0.5*(F1244*Q1244+F1245*Q1245)*R1245</f>
        <v>0.017213616354658744</v>
      </c>
      <c r="U1245" s="76">
        <f>U1244+S1245</f>
        <v>5.505285167446599</v>
      </c>
      <c r="V1245" s="76">
        <f>V1244+T1245</f>
        <v>18.460192873687856</v>
      </c>
    </row>
    <row r="1246" spans="1:22" ht="19" customHeight="1">
      <c r="A1246" s="68" t="s">
        <v>372</v>
      </c>
      <c r="B1246" s="74">
        <v>2</v>
      </c>
      <c r="C1246" s="68" t="s">
        <v>363</v>
      </c>
      <c r="D1246" s="68" t="s">
        <v>364</v>
      </c>
      <c r="E1246" s="75">
        <f>60*F1246*'THAM_SO_MOI'!$C$50/(2*PI()*'THAM_SO_MOI'!$C$26)</f>
        <v>2109.375673694093</v>
      </c>
      <c r="F1246" s="75">
        <f>'HANH_TRINH'!$F$826+('THAM_SO_MOI'!$F$50-'HANH_TRINH'!$F$826)*419/'THAM_SO_MOI'!$C$42</f>
        <v>5.259163495844035</v>
      </c>
      <c r="G1246" s="75">
        <f>3.6*F1246</f>
        <v>18.932988585038526</v>
      </c>
      <c r="H1246" s="75">
        <f>'THAM_SO_MOI'!$D$50</f>
        <v>1.8785906709588276</v>
      </c>
      <c r="I1246" s="75">
        <f>IF(F1246&gt;'THAM_SO_MOI'!$C$14,'THAM_SO_MOI'!$C$13*(1+F1246^2/1500),'THAM_SO_MOI'!$C$13)</f>
        <v>0.015</v>
      </c>
      <c r="J1246" s="75">
        <f>'THAM_SO_MOI'!$C$40*('THAM_SO_MOI'!$C$23*(E1246/'THAM_SO_MOI'!$C$22)+'THAM_SO_MOI'!$C$24*(E1246/'THAM_SO_MOI'!$C$22)^2-'THAM_SO_MOI'!$C$25*(E1246/'THAM_SO_MOI'!$C$22)^3)</f>
        <v>94.95962757497783</v>
      </c>
      <c r="K1246" s="75">
        <f>'THAM_SO_MOI'!$C$31*J1246/E1246</f>
        <v>429.97023055562886</v>
      </c>
      <c r="L1246" s="75">
        <f>K1246*'THAM_SO_MOI'!$C$50*'THAM_SO_MOI'!$C$17/'THAM_SO_MOI'!$C$26</f>
        <v>15350.523555161486</v>
      </c>
      <c r="M1246" s="75">
        <f>'THAM_SO_MOI'!$C$15*'THAM_SO_MOI'!$C$16*F1246^2</f>
        <v>80.90199197735399</v>
      </c>
      <c r="N1246" s="75">
        <f>'THAM_SO_MOI'!$C$12*I1246</f>
        <v>1130.112</v>
      </c>
      <c r="O1246" s="75">
        <f>M1246+N1246</f>
        <v>1211.0139919773542</v>
      </c>
      <c r="P1246" s="75">
        <f>(MIN(L1246,'THAM_SO_MOI'!$C$41)-O1246)/('THAM_SO_MOI'!$C$11*H1246)</f>
        <v>0.9800335979701479</v>
      </c>
      <c r="Q1246" s="75">
        <f>IF(P1246&gt;0,1/P1246,NA())</f>
        <v>1.0203731811554284</v>
      </c>
      <c r="R1246" s="75">
        <f>F1246-F1245</f>
        <v>0.0032106047296869278</v>
      </c>
      <c r="S1246" s="75">
        <f>0.5*(Q1245+Q1246)*R1246</f>
        <v>0.003276033456426267</v>
      </c>
      <c r="T1246" s="75">
        <f>0.5*(F1245*Q1245+F1246*Q1246)*R1246</f>
        <v>0.017223936511255866</v>
      </c>
      <c r="U1246" s="76">
        <f>U1245+S1246</f>
        <v>5.508561200903025</v>
      </c>
      <c r="V1246" s="76">
        <f>V1245+T1246</f>
        <v>18.477416810199113</v>
      </c>
    </row>
    <row r="1247" spans="1:22" ht="19" customHeight="1">
      <c r="A1247" s="68" t="s">
        <v>372</v>
      </c>
      <c r="B1247" s="74">
        <v>2</v>
      </c>
      <c r="C1247" s="68" t="s">
        <v>363</v>
      </c>
      <c r="D1247" s="68" t="s">
        <v>364</v>
      </c>
      <c r="E1247" s="75">
        <f>60*F1247*'THAM_SO_MOI'!$C$50/(2*PI()*'THAM_SO_MOI'!$C$26)</f>
        <v>2110.66340158466</v>
      </c>
      <c r="F1247" s="75">
        <f>'HANH_TRINH'!$F$826+('THAM_SO_MOI'!$F$50-'HANH_TRINH'!$F$826)*420/'THAM_SO_MOI'!$C$42</f>
        <v>5.262374100573722</v>
      </c>
      <c r="G1247" s="75">
        <f>3.6*F1247</f>
        <v>18.9445467620654</v>
      </c>
      <c r="H1247" s="75">
        <f>'THAM_SO_MOI'!$D$50</f>
        <v>1.8785906709588276</v>
      </c>
      <c r="I1247" s="75">
        <f>IF(F1247&gt;'THAM_SO_MOI'!$C$14,'THAM_SO_MOI'!$C$13*(1+F1247^2/1500),'THAM_SO_MOI'!$C$13)</f>
        <v>0.015</v>
      </c>
      <c r="J1247" s="75">
        <f>'THAM_SO_MOI'!$C$40*('THAM_SO_MOI'!$C$23*(E1247/'THAM_SO_MOI'!$C$22)+'THAM_SO_MOI'!$C$24*(E1247/'THAM_SO_MOI'!$C$22)^2-'THAM_SO_MOI'!$C$25*(E1247/'THAM_SO_MOI'!$C$22)^3)</f>
        <v>95.01916224873469</v>
      </c>
      <c r="K1247" s="75">
        <f>'THAM_SO_MOI'!$C$31*J1247/E1247</f>
        <v>429.9773074148962</v>
      </c>
      <c r="L1247" s="75">
        <f>K1247*'THAM_SO_MOI'!$C$50*'THAM_SO_MOI'!$C$17/'THAM_SO_MOI'!$C$26</f>
        <v>15350.776208687614</v>
      </c>
      <c r="M1247" s="75">
        <f>'THAM_SO_MOI'!$C$15*'THAM_SO_MOI'!$C$16*F1247^2</f>
        <v>81.0007999350881</v>
      </c>
      <c r="N1247" s="75">
        <f>'THAM_SO_MOI'!$C$12*I1247</f>
        <v>1130.112</v>
      </c>
      <c r="O1247" s="75">
        <f>M1247+N1247</f>
        <v>1211.112799935088</v>
      </c>
      <c r="P1247" s="75">
        <f>(MIN(L1247,'THAM_SO_MOI'!$C$41)-O1247)/('THAM_SO_MOI'!$C$11*H1247)</f>
        <v>0.9800442612696952</v>
      </c>
      <c r="Q1247" s="75">
        <f>IF(P1247&gt;0,1/P1247,NA())</f>
        <v>1.0203620790600325</v>
      </c>
      <c r="R1247" s="75">
        <f>F1247-F1246</f>
        <v>0.0032106047296869278</v>
      </c>
      <c r="S1247" s="75">
        <f>0.5*(Q1246+Q1247)*R1247</f>
        <v>0.003275997139243321</v>
      </c>
      <c r="T1247" s="75">
        <f>0.5*(F1246*Q1246+F1247*Q1247)*R1247</f>
        <v>0.01723426350454276</v>
      </c>
      <c r="U1247" s="76">
        <f>U1246+S1247</f>
        <v>5.511837198042269</v>
      </c>
      <c r="V1247" s="76">
        <f>V1246+T1247</f>
        <v>18.494651073703654</v>
      </c>
    </row>
    <row r="1248" spans="1:22" ht="19" customHeight="1">
      <c r="A1248" s="68" t="s">
        <v>372</v>
      </c>
      <c r="B1248" s="74">
        <v>2</v>
      </c>
      <c r="C1248" s="68" t="s">
        <v>363</v>
      </c>
      <c r="D1248" s="68" t="s">
        <v>364</v>
      </c>
      <c r="E1248" s="75">
        <f>60*F1248*'THAM_SO_MOI'!$C$50/(2*PI()*'THAM_SO_MOI'!$C$26)</f>
        <v>2111.9511294752265</v>
      </c>
      <c r="F1248" s="75">
        <f>'HANH_TRINH'!$F$826+('THAM_SO_MOI'!$F$50-'HANH_TRINH'!$F$826)*421/'THAM_SO_MOI'!$C$42</f>
        <v>5.265584705303409</v>
      </c>
      <c r="G1248" s="75">
        <f>3.6*F1248</f>
        <v>18.956104939092274</v>
      </c>
      <c r="H1248" s="75">
        <f>'THAM_SO_MOI'!$D$50</f>
        <v>1.8785906709588276</v>
      </c>
      <c r="I1248" s="75">
        <f>IF(F1248&gt;'THAM_SO_MOI'!$C$14,'THAM_SO_MOI'!$C$13*(1+F1248^2/1500),'THAM_SO_MOI'!$C$13)</f>
        <v>0.015</v>
      </c>
      <c r="J1248" s="75">
        <f>'THAM_SO_MOI'!$C$40*('THAM_SO_MOI'!$C$23*(E1248/'THAM_SO_MOI'!$C$22)+'THAM_SO_MOI'!$C$24*(E1248/'THAM_SO_MOI'!$C$22)^2-'THAM_SO_MOI'!$C$25*(E1248/'THAM_SO_MOI'!$C$22)^3)</f>
        <v>95.07866325802942</v>
      </c>
      <c r="K1248" s="75">
        <f>'THAM_SO_MOI'!$C$31*J1248/E1248</f>
        <v>429.9842233998312</v>
      </c>
      <c r="L1248" s="75">
        <f>K1248*'THAM_SO_MOI'!$C$50*'THAM_SO_MOI'!$C$17/'THAM_SO_MOI'!$C$26</f>
        <v>15351.023118780702</v>
      </c>
      <c r="M1248" s="75">
        <f>'THAM_SO_MOI'!$C$15*'THAM_SO_MOI'!$C$16*F1248^2</f>
        <v>81.09966819452119</v>
      </c>
      <c r="N1248" s="75">
        <f>'THAM_SO_MOI'!$C$12*I1248</f>
        <v>1130.112</v>
      </c>
      <c r="O1248" s="75">
        <f>M1248+N1248</f>
        <v>1211.2116681945213</v>
      </c>
      <c r="P1248" s="75">
        <f>(MIN(L1248,'THAM_SO_MOI'!$C$41)-O1248)/('THAM_SO_MOI'!$C$11*H1248)</f>
        <v>0.9800545223024587</v>
      </c>
      <c r="Q1248" s="75">
        <f>IF(P1248&gt;0,1/P1248,NA())</f>
        <v>1.020351396012829</v>
      </c>
      <c r="R1248" s="75">
        <f>F1248-F1247</f>
        <v>0.0032106047296869278</v>
      </c>
      <c r="S1248" s="75">
        <f>0.5*(Q1247+Q1248)*R1248</f>
        <v>0.0032759621675023873</v>
      </c>
      <c r="T1248" s="75">
        <f>0.5*(F1247*Q1247+F1248*Q1248)*R1248</f>
        <v>0.01724459734700838</v>
      </c>
      <c r="U1248" s="76">
        <f>U1247+S1248</f>
        <v>5.515113160209771</v>
      </c>
      <c r="V1248" s="76">
        <f>V1247+T1248</f>
        <v>18.511895671050663</v>
      </c>
    </row>
    <row r="1249" spans="1:22" ht="19" customHeight="1">
      <c r="A1249" s="68" t="s">
        <v>372</v>
      </c>
      <c r="B1249" s="74">
        <v>2</v>
      </c>
      <c r="C1249" s="68" t="s">
        <v>363</v>
      </c>
      <c r="D1249" s="68" t="s">
        <v>364</v>
      </c>
      <c r="E1249" s="75">
        <f>60*F1249*'THAM_SO_MOI'!$C$50/(2*PI()*'THAM_SO_MOI'!$C$26)</f>
        <v>2113.238857365793</v>
      </c>
      <c r="F1249" s="75">
        <f>'HANH_TRINH'!$F$826+('THAM_SO_MOI'!$F$50-'HANH_TRINH'!$F$826)*422/'THAM_SO_MOI'!$C$42</f>
        <v>5.268795310033095</v>
      </c>
      <c r="G1249" s="75">
        <f>3.6*F1249</f>
        <v>18.967663116119144</v>
      </c>
      <c r="H1249" s="75">
        <f>'THAM_SO_MOI'!$D$50</f>
        <v>1.8785906709588276</v>
      </c>
      <c r="I1249" s="75">
        <f>IF(F1249&gt;'THAM_SO_MOI'!$C$14,'THAM_SO_MOI'!$C$13*(1+F1249^2/1500),'THAM_SO_MOI'!$C$13)</f>
        <v>0.015</v>
      </c>
      <c r="J1249" s="75">
        <f>'THAM_SO_MOI'!$C$40*('THAM_SO_MOI'!$C$23*(E1249/'THAM_SO_MOI'!$C$22)+'THAM_SO_MOI'!$C$24*(E1249/'THAM_SO_MOI'!$C$22)^2-'THAM_SO_MOI'!$C$25*(E1249/'THAM_SO_MOI'!$C$22)^3)</f>
        <v>95.1381305377923</v>
      </c>
      <c r="K1249" s="75">
        <f>'THAM_SO_MOI'!$C$31*J1249/E1249</f>
        <v>429.99097851043393</v>
      </c>
      <c r="L1249" s="75">
        <f>K1249*'THAM_SO_MOI'!$C$50*'THAM_SO_MOI'!$C$17/'THAM_SO_MOI'!$C$26</f>
        <v>15351.264285440751</v>
      </c>
      <c r="M1249" s="75">
        <f>'THAM_SO_MOI'!$C$15*'THAM_SO_MOI'!$C$16*F1249^2</f>
        <v>81.19859675565321</v>
      </c>
      <c r="N1249" s="75">
        <f>'THAM_SO_MOI'!$C$12*I1249</f>
        <v>1130.112</v>
      </c>
      <c r="O1249" s="75">
        <f>M1249+N1249</f>
        <v>1211.3105967556533</v>
      </c>
      <c r="P1249" s="75">
        <f>(MIN(L1249,'THAM_SO_MOI'!$C$41)-O1249)/('THAM_SO_MOI'!$C$11*H1249)</f>
        <v>0.9800643810684383</v>
      </c>
      <c r="Q1249" s="75">
        <f>IF(P1249&gt;0,1/P1249,NA())</f>
        <v>1.020341131987501</v>
      </c>
      <c r="R1249" s="75">
        <f>F1249-F1248</f>
        <v>0.0032106047296860396</v>
      </c>
      <c r="S1249" s="75">
        <f>0.5*(Q1248+Q1249)*R1249</f>
        <v>0.0032759285411164104</v>
      </c>
      <c r="T1249" s="75">
        <f>0.5*(F1248*Q1248+F1249*Q1249)*R1249</f>
        <v>0.017254938051153242</v>
      </c>
      <c r="U1249" s="76">
        <f>U1248+S1249</f>
        <v>5.5183890887508875</v>
      </c>
      <c r="V1249" s="76">
        <f>V1248+T1249</f>
        <v>18.529150609101816</v>
      </c>
    </row>
    <row r="1250" spans="1:22" ht="19" customHeight="1">
      <c r="A1250" s="68" t="s">
        <v>372</v>
      </c>
      <c r="B1250" s="74">
        <v>2</v>
      </c>
      <c r="C1250" s="68" t="s">
        <v>363</v>
      </c>
      <c r="D1250" s="68" t="s">
        <v>364</v>
      </c>
      <c r="E1250" s="75">
        <f>60*F1250*'THAM_SO_MOI'!$C$50/(2*PI()*'THAM_SO_MOI'!$C$26)</f>
        <v>2114.52658525636</v>
      </c>
      <c r="F1250" s="75">
        <f>'HANH_TRINH'!$F$826+('THAM_SO_MOI'!$F$50-'HANH_TRINH'!$F$826)*423/'THAM_SO_MOI'!$C$42</f>
        <v>5.272005914762783</v>
      </c>
      <c r="G1250" s="75">
        <f>3.6*F1250</f>
        <v>18.97922129314602</v>
      </c>
      <c r="H1250" s="75">
        <f>'THAM_SO_MOI'!$D$50</f>
        <v>1.8785906709588276</v>
      </c>
      <c r="I1250" s="75">
        <f>IF(F1250&gt;'THAM_SO_MOI'!$C$14,'THAM_SO_MOI'!$C$13*(1+F1250^2/1500),'THAM_SO_MOI'!$C$13)</f>
        <v>0.015</v>
      </c>
      <c r="J1250" s="75">
        <f>'THAM_SO_MOI'!$C$40*('THAM_SO_MOI'!$C$23*(E1250/'THAM_SO_MOI'!$C$22)+'THAM_SO_MOI'!$C$24*(E1250/'THAM_SO_MOI'!$C$22)^2-'THAM_SO_MOI'!$C$25*(E1250/'THAM_SO_MOI'!$C$22)^3)</f>
        <v>95.1975640229537</v>
      </c>
      <c r="K1250" s="75">
        <f>'THAM_SO_MOI'!$C$31*J1250/E1250</f>
        <v>429.9975727467046</v>
      </c>
      <c r="L1250" s="75">
        <f>K1250*'THAM_SO_MOI'!$C$50*'THAM_SO_MOI'!$C$17/'THAM_SO_MOI'!$C$26</f>
        <v>15351.499708667774</v>
      </c>
      <c r="M1250" s="75">
        <f>'THAM_SO_MOI'!$C$15*'THAM_SO_MOI'!$C$16*F1250^2</f>
        <v>81.29758561848428</v>
      </c>
      <c r="N1250" s="75">
        <f>'THAM_SO_MOI'!$C$12*I1250</f>
        <v>1130.112</v>
      </c>
      <c r="O1250" s="75">
        <f>M1250+N1250</f>
        <v>1211.4095856184845</v>
      </c>
      <c r="P1250" s="75">
        <f>(MIN(L1250,'THAM_SO_MOI'!$C$41)-O1250)/('THAM_SO_MOI'!$C$11*H1250)</f>
        <v>0.9800738375676349</v>
      </c>
      <c r="Q1250" s="75">
        <f>IF(P1250&gt;0,1/P1250,NA())</f>
        <v>1.0203312869587644</v>
      </c>
      <c r="R1250" s="75">
        <f>F1250-F1249</f>
        <v>0.003210604729687816</v>
      </c>
      <c r="S1250" s="75">
        <f>0.5*(Q1249+Q1250)*R1250</f>
        <v>0.003275896260006178</v>
      </c>
      <c r="T1250" s="75">
        <f>0.5*(F1249*Q1249+F1250*Q1250)*R1250</f>
        <v>0.017265285629518082</v>
      </c>
      <c r="U1250" s="76">
        <f>U1249+S1250</f>
        <v>5.521664985010894</v>
      </c>
      <c r="V1250" s="76">
        <f>V1249+T1250</f>
        <v>18.546415894731332</v>
      </c>
    </row>
    <row r="1251" spans="1:22" ht="19" customHeight="1">
      <c r="A1251" s="68" t="s">
        <v>372</v>
      </c>
      <c r="B1251" s="74">
        <v>2</v>
      </c>
      <c r="C1251" s="68" t="s">
        <v>363</v>
      </c>
      <c r="D1251" s="68" t="s">
        <v>364</v>
      </c>
      <c r="E1251" s="75">
        <f>60*F1251*'THAM_SO_MOI'!$C$50/(2*PI()*'THAM_SO_MOI'!$C$26)</f>
        <v>2115.8143131469265</v>
      </c>
      <c r="F1251" s="75">
        <f>'HANH_TRINH'!$F$826+('THAM_SO_MOI'!$F$50-'HANH_TRINH'!$F$826)*424/'THAM_SO_MOI'!$C$42</f>
        <v>5.275216519492469</v>
      </c>
      <c r="G1251" s="75">
        <f>3.6*F1251</f>
        <v>18.99077947017289</v>
      </c>
      <c r="H1251" s="75">
        <f>'THAM_SO_MOI'!$D$50</f>
        <v>1.8785906709588276</v>
      </c>
      <c r="I1251" s="75">
        <f>IF(F1251&gt;'THAM_SO_MOI'!$C$14,'THAM_SO_MOI'!$C$13*(1+F1251^2/1500),'THAM_SO_MOI'!$C$13)</f>
        <v>0.015</v>
      </c>
      <c r="J1251" s="75">
        <f>'THAM_SO_MOI'!$C$40*('THAM_SO_MOI'!$C$23*(E1251/'THAM_SO_MOI'!$C$22)+'THAM_SO_MOI'!$C$24*(E1251/'THAM_SO_MOI'!$C$22)^2-'THAM_SO_MOI'!$C$25*(E1251/'THAM_SO_MOI'!$C$22)^3)</f>
        <v>95.25696364844383</v>
      </c>
      <c r="K1251" s="75">
        <f>'THAM_SO_MOI'!$C$31*J1251/E1251</f>
        <v>430.0040061086427</v>
      </c>
      <c r="L1251" s="75">
        <f>K1251*'THAM_SO_MOI'!$C$50*'THAM_SO_MOI'!$C$17/'THAM_SO_MOI'!$C$26</f>
        <v>15351.729388461752</v>
      </c>
      <c r="M1251" s="75">
        <f>'THAM_SO_MOI'!$C$15*'THAM_SO_MOI'!$C$16*F1251^2</f>
        <v>81.39663478301425</v>
      </c>
      <c r="N1251" s="75">
        <f>'THAM_SO_MOI'!$C$12*I1251</f>
        <v>1130.112</v>
      </c>
      <c r="O1251" s="75">
        <f>M1251+N1251</f>
        <v>1211.5086347830143</v>
      </c>
      <c r="P1251" s="75">
        <f>(MIN(L1251,'THAM_SO_MOI'!$C$41)-O1251)/('THAM_SO_MOI'!$C$11*H1251)</f>
        <v>0.9800828918000475</v>
      </c>
      <c r="Q1251" s="75">
        <f>IF(P1251&gt;0,1/P1251,NA())</f>
        <v>1.0203218609023694</v>
      </c>
      <c r="R1251" s="75">
        <f>F1251-F1250</f>
        <v>0.0032106047296860396</v>
      </c>
      <c r="S1251" s="75">
        <f>0.5*(Q1250+Q1251)*R1251</f>
        <v>0.003275865324085831</v>
      </c>
      <c r="T1251" s="75">
        <f>0.5*(F1250*Q1250+F1251*Q1251)*R1251</f>
        <v>0.017275640094607553</v>
      </c>
      <c r="U1251" s="76">
        <f>U1250+S1251</f>
        <v>5.524940850334979</v>
      </c>
      <c r="V1251" s="76">
        <f>V1250+T1251</f>
        <v>18.56369153482594</v>
      </c>
    </row>
    <row r="1252" spans="1:22" ht="19" customHeight="1">
      <c r="A1252" s="68" t="s">
        <v>372</v>
      </c>
      <c r="B1252" s="74">
        <v>2</v>
      </c>
      <c r="C1252" s="68" t="s">
        <v>363</v>
      </c>
      <c r="D1252" s="68" t="s">
        <v>364</v>
      </c>
      <c r="E1252" s="75">
        <f>60*F1252*'THAM_SO_MOI'!$C$50/(2*PI()*'THAM_SO_MOI'!$C$26)</f>
        <v>2117.102041037493</v>
      </c>
      <c r="F1252" s="75">
        <f>'HANH_TRINH'!$F$826+('THAM_SO_MOI'!$F$50-'HANH_TRINH'!$F$826)*425/'THAM_SO_MOI'!$C$42</f>
        <v>5.278427124222156</v>
      </c>
      <c r="G1252" s="75">
        <f>3.6*F1252</f>
        <v>19.002337647199763</v>
      </c>
      <c r="H1252" s="75">
        <f>'THAM_SO_MOI'!$D$50</f>
        <v>1.8785906709588276</v>
      </c>
      <c r="I1252" s="75">
        <f>IF(F1252&gt;'THAM_SO_MOI'!$C$14,'THAM_SO_MOI'!$C$13*(1+F1252^2/1500),'THAM_SO_MOI'!$C$13)</f>
        <v>0.015</v>
      </c>
      <c r="J1252" s="75">
        <f>'THAM_SO_MOI'!$C$40*('THAM_SO_MOI'!$C$23*(E1252/'THAM_SO_MOI'!$C$22)+'THAM_SO_MOI'!$C$24*(E1252/'THAM_SO_MOI'!$C$22)^2-'THAM_SO_MOI'!$C$25*(E1252/'THAM_SO_MOI'!$C$22)^3)</f>
        <v>95.31632934919303</v>
      </c>
      <c r="K1252" s="75">
        <f>'THAM_SO_MOI'!$C$31*J1252/E1252</f>
        <v>430.01027859624867</v>
      </c>
      <c r="L1252" s="75">
        <f>K1252*'THAM_SO_MOI'!$C$50*'THAM_SO_MOI'!$C$17/'THAM_SO_MOI'!$C$26</f>
        <v>15351.953324822696</v>
      </c>
      <c r="M1252" s="75">
        <f>'THAM_SO_MOI'!$C$15*'THAM_SO_MOI'!$C$16*F1252^2</f>
        <v>81.49574424924323</v>
      </c>
      <c r="N1252" s="75">
        <f>'THAM_SO_MOI'!$C$12*I1252</f>
        <v>1130.112</v>
      </c>
      <c r="O1252" s="75">
        <f>M1252+N1252</f>
        <v>1211.6077442492433</v>
      </c>
      <c r="P1252" s="75">
        <f>(MIN(L1252,'THAM_SO_MOI'!$C$41)-O1252)/('THAM_SO_MOI'!$C$11*H1252)</f>
        <v>0.9800915437656763</v>
      </c>
      <c r="Q1252" s="75">
        <f>IF(P1252&gt;0,1/P1252,NA())</f>
        <v>1.0203128537950976</v>
      </c>
      <c r="R1252" s="75">
        <f>F1252-F1251</f>
        <v>0.0032106047296869278</v>
      </c>
      <c r="S1252" s="75">
        <f>0.5*(Q1251+Q1252)*R1252</f>
        <v>0.0032758357332855112</v>
      </c>
      <c r="T1252" s="75">
        <f>0.5*(F1251*Q1251+F1252*Q1252)*R1252</f>
        <v>0.01728600145900966</v>
      </c>
      <c r="U1252" s="76">
        <f>U1251+S1252</f>
        <v>5.528216686068265</v>
      </c>
      <c r="V1252" s="76">
        <f>V1251+T1252</f>
        <v>18.580977536284948</v>
      </c>
    </row>
    <row r="1253" spans="1:22" ht="19" customHeight="1">
      <c r="A1253" s="68" t="s">
        <v>372</v>
      </c>
      <c r="B1253" s="74">
        <v>2</v>
      </c>
      <c r="C1253" s="68" t="s">
        <v>363</v>
      </c>
      <c r="D1253" s="68" t="s">
        <v>364</v>
      </c>
      <c r="E1253" s="75">
        <f>60*F1253*'THAM_SO_MOI'!$C$50/(2*PI()*'THAM_SO_MOI'!$C$26)</f>
        <v>2118.38976892806</v>
      </c>
      <c r="F1253" s="75">
        <f>'HANH_TRINH'!$F$826+('THAM_SO_MOI'!$F$50-'HANH_TRINH'!$F$826)*426/'THAM_SO_MOI'!$C$42</f>
        <v>5.281637728951843</v>
      </c>
      <c r="G1253" s="75">
        <f>3.6*F1253</f>
        <v>19.013895824226633</v>
      </c>
      <c r="H1253" s="75">
        <f>'THAM_SO_MOI'!$D$50</f>
        <v>1.8785906709588276</v>
      </c>
      <c r="I1253" s="75">
        <f>IF(F1253&gt;'THAM_SO_MOI'!$C$14,'THAM_SO_MOI'!$C$13*(1+F1253^2/1500),'THAM_SO_MOI'!$C$13)</f>
        <v>0.015</v>
      </c>
      <c r="J1253" s="75">
        <f>'THAM_SO_MOI'!$C$40*('THAM_SO_MOI'!$C$23*(E1253/'THAM_SO_MOI'!$C$22)+'THAM_SO_MOI'!$C$24*(E1253/'THAM_SO_MOI'!$C$22)^2-'THAM_SO_MOI'!$C$25*(E1253/'THAM_SO_MOI'!$C$22)^3)</f>
        <v>95.37566106013166</v>
      </c>
      <c r="K1253" s="75">
        <f>'THAM_SO_MOI'!$C$31*J1253/E1253</f>
        <v>430.0163902095225</v>
      </c>
      <c r="L1253" s="75">
        <f>K1253*'THAM_SO_MOI'!$C$50*'THAM_SO_MOI'!$C$17/'THAM_SO_MOI'!$C$26</f>
        <v>15352.171517750607</v>
      </c>
      <c r="M1253" s="75">
        <f>'THAM_SO_MOI'!$C$15*'THAM_SO_MOI'!$C$16*F1253^2</f>
        <v>81.59491401717118</v>
      </c>
      <c r="N1253" s="75">
        <f>'THAM_SO_MOI'!$C$12*I1253</f>
        <v>1130.112</v>
      </c>
      <c r="O1253" s="75">
        <f>M1253+N1253</f>
        <v>1211.7069140171714</v>
      </c>
      <c r="P1253" s="75">
        <f>(MIN(L1253,'THAM_SO_MOI'!$C$41)-O1253)/('THAM_SO_MOI'!$C$11*H1253)</f>
        <v>0.9800997934645218</v>
      </c>
      <c r="Q1253" s="75">
        <f>IF(P1253&gt;0,1/P1253,NA())</f>
        <v>1.0203042656147632</v>
      </c>
      <c r="R1253" s="75">
        <f>F1253-F1252</f>
        <v>0.0032106047296869278</v>
      </c>
      <c r="S1253" s="75">
        <f>0.5*(Q1252+Q1253)*R1253</f>
        <v>0.0032758074875287066</v>
      </c>
      <c r="T1253" s="75">
        <f>0.5*(F1252*Q1252+F1253*Q1253)*R1253</f>
        <v>0.017296369735276356</v>
      </c>
      <c r="U1253" s="76">
        <f>U1252+S1253</f>
        <v>5.531492493555794</v>
      </c>
      <c r="V1253" s="76">
        <f>V1252+T1253</f>
        <v>18.598273906020225</v>
      </c>
    </row>
    <row r="1254" spans="1:22" ht="19" customHeight="1">
      <c r="A1254" s="68" t="s">
        <v>372</v>
      </c>
      <c r="B1254" s="74">
        <v>2</v>
      </c>
      <c r="C1254" s="68" t="s">
        <v>363</v>
      </c>
      <c r="D1254" s="68" t="s">
        <v>364</v>
      </c>
      <c r="E1254" s="75">
        <f>60*F1254*'THAM_SO_MOI'!$C$50/(2*PI()*'THAM_SO_MOI'!$C$26)</f>
        <v>2119.6774968186273</v>
      </c>
      <c r="F1254" s="75">
        <f>'HANH_TRINH'!$F$826+('THAM_SO_MOI'!$F$50-'HANH_TRINH'!$F$826)*427/'THAM_SO_MOI'!$C$42</f>
        <v>5.28484833368153</v>
      </c>
      <c r="G1254" s="75">
        <f>3.6*F1254</f>
        <v>19.025454001253507</v>
      </c>
      <c r="H1254" s="75">
        <f>'THAM_SO_MOI'!$D$50</f>
        <v>1.8785906709588276</v>
      </c>
      <c r="I1254" s="75">
        <f>IF(F1254&gt;'THAM_SO_MOI'!$C$14,'THAM_SO_MOI'!$C$13*(1+F1254^2/1500),'THAM_SO_MOI'!$C$13)</f>
        <v>0.015</v>
      </c>
      <c r="J1254" s="75">
        <f>'THAM_SO_MOI'!$C$40*('THAM_SO_MOI'!$C$23*(E1254/'THAM_SO_MOI'!$C$22)+'THAM_SO_MOI'!$C$24*(E1254/'THAM_SO_MOI'!$C$22)^2-'THAM_SO_MOI'!$C$25*(E1254/'THAM_SO_MOI'!$C$22)^3)</f>
        <v>95.43495871618998</v>
      </c>
      <c r="K1254" s="75">
        <f>'THAM_SO_MOI'!$C$31*J1254/E1254</f>
        <v>430.0223409484641</v>
      </c>
      <c r="L1254" s="75">
        <f>K1254*'THAM_SO_MOI'!$C$50*'THAM_SO_MOI'!$C$17/'THAM_SO_MOI'!$C$26</f>
        <v>15352.383967245483</v>
      </c>
      <c r="M1254" s="75">
        <f>'THAM_SO_MOI'!$C$15*'THAM_SO_MOI'!$C$16*F1254^2</f>
        <v>81.6941440867981</v>
      </c>
      <c r="N1254" s="75">
        <f>'THAM_SO_MOI'!$C$12*I1254</f>
        <v>1130.112</v>
      </c>
      <c r="O1254" s="75">
        <f>M1254+N1254</f>
        <v>1211.8061440867982</v>
      </c>
      <c r="P1254" s="75">
        <f>(MIN(L1254,'THAM_SO_MOI'!$C$41)-O1254)/('THAM_SO_MOI'!$C$11*H1254)</f>
        <v>0.9801076408965839</v>
      </c>
      <c r="Q1254" s="75">
        <f>IF(P1254&gt;0,1/P1254,NA())</f>
        <v>1.0202960963402132</v>
      </c>
      <c r="R1254" s="75">
        <f>F1254-F1253</f>
        <v>0.0032106047296869278</v>
      </c>
      <c r="S1254" s="75">
        <f>0.5*(Q1253+Q1254)*R1254</f>
        <v>0.003275780586746752</v>
      </c>
      <c r="T1254" s="75">
        <f>0.5*(F1253*Q1253+F1254*Q1254)*R1254</f>
        <v>0.01730674493600008</v>
      </c>
      <c r="U1254" s="76">
        <f>U1253+S1254</f>
        <v>5.53476827414254</v>
      </c>
      <c r="V1254" s="76">
        <f>V1253+T1254</f>
        <v>18.615580650956225</v>
      </c>
    </row>
    <row r="1255" spans="1:22" ht="19" customHeight="1">
      <c r="A1255" s="68" t="s">
        <v>372</v>
      </c>
      <c r="B1255" s="74">
        <v>2</v>
      </c>
      <c r="C1255" s="68" t="s">
        <v>363</v>
      </c>
      <c r="D1255" s="68" t="s">
        <v>364</v>
      </c>
      <c r="E1255" s="75">
        <f>60*F1255*'THAM_SO_MOI'!$C$50/(2*PI()*'THAM_SO_MOI'!$C$26)</f>
        <v>2120.965224709194</v>
      </c>
      <c r="F1255" s="75">
        <f>'HANH_TRINH'!$F$826+('THAM_SO_MOI'!$F$50-'HANH_TRINH'!$F$826)*428/'THAM_SO_MOI'!$C$42</f>
        <v>5.288058938411217</v>
      </c>
      <c r="G1255" s="75">
        <f>3.6*F1255</f>
        <v>19.03701217828038</v>
      </c>
      <c r="H1255" s="75">
        <f>'THAM_SO_MOI'!$D$50</f>
        <v>1.8785906709588276</v>
      </c>
      <c r="I1255" s="75">
        <f>IF(F1255&gt;'THAM_SO_MOI'!$C$14,'THAM_SO_MOI'!$C$13*(1+F1255^2/1500),'THAM_SO_MOI'!$C$13)</f>
        <v>0.015</v>
      </c>
      <c r="J1255" s="75">
        <f>'THAM_SO_MOI'!$C$40*('THAM_SO_MOI'!$C$23*(E1255/'THAM_SO_MOI'!$C$22)+'THAM_SO_MOI'!$C$24*(E1255/'THAM_SO_MOI'!$C$22)^2-'THAM_SO_MOI'!$C$25*(E1255/'THAM_SO_MOI'!$C$22)^3)</f>
        <v>95.49422225229821</v>
      </c>
      <c r="K1255" s="75">
        <f>'THAM_SO_MOI'!$C$31*J1255/E1255</f>
        <v>430.0281308130733</v>
      </c>
      <c r="L1255" s="75">
        <f>K1255*'THAM_SO_MOI'!$C$50*'THAM_SO_MOI'!$C$17/'THAM_SO_MOI'!$C$26</f>
        <v>15352.590673307319</v>
      </c>
      <c r="M1255" s="75">
        <f>'THAM_SO_MOI'!$C$15*'THAM_SO_MOI'!$C$16*F1255^2</f>
        <v>81.793434458124</v>
      </c>
      <c r="N1255" s="75">
        <f>'THAM_SO_MOI'!$C$12*I1255</f>
        <v>1130.112</v>
      </c>
      <c r="O1255" s="75">
        <f>M1255+N1255</f>
        <v>1211.905434458124</v>
      </c>
      <c r="P1255" s="75">
        <f>(MIN(L1255,'THAM_SO_MOI'!$C$41)-O1255)/('THAM_SO_MOI'!$C$11*H1255)</f>
        <v>0.9801150860618619</v>
      </c>
      <c r="Q1255" s="75">
        <f>IF(P1255&gt;0,1/P1255,NA())</f>
        <v>1.0202883459513274</v>
      </c>
      <c r="R1255" s="75">
        <f>F1255-F1254</f>
        <v>0.0032106047296869278</v>
      </c>
      <c r="S1255" s="75">
        <f>0.5*(Q1254+Q1255)*R1255</f>
        <v>0.003275755030873391</v>
      </c>
      <c r="T1255" s="75">
        <f>0.5*(F1254*Q1254+F1255*Q1255)*R1255</f>
        <v>0.01731712707378512</v>
      </c>
      <c r="U1255" s="76">
        <f>U1254+S1255</f>
        <v>5.538044029173414</v>
      </c>
      <c r="V1255" s="76">
        <f>V1254+T1255</f>
        <v>18.63289777803001</v>
      </c>
    </row>
    <row r="1256" spans="1:22" ht="19" customHeight="1">
      <c r="A1256" s="68" t="s">
        <v>372</v>
      </c>
      <c r="B1256" s="74">
        <v>2</v>
      </c>
      <c r="C1256" s="68" t="s">
        <v>363</v>
      </c>
      <c r="D1256" s="68" t="s">
        <v>364</v>
      </c>
      <c r="E1256" s="75">
        <f>60*F1256*'THAM_SO_MOI'!$C$50/(2*PI()*'THAM_SO_MOI'!$C$26)</f>
        <v>2122.2529525997606</v>
      </c>
      <c r="F1256" s="75">
        <f>'HANH_TRINH'!$F$826+('THAM_SO_MOI'!$F$50-'HANH_TRINH'!$F$826)*429/'THAM_SO_MOI'!$C$42</f>
        <v>5.291269543140904</v>
      </c>
      <c r="G1256" s="75">
        <f>3.6*F1256</f>
        <v>19.048570355307252</v>
      </c>
      <c r="H1256" s="75">
        <f>'THAM_SO_MOI'!$D$50</f>
        <v>1.8785906709588276</v>
      </c>
      <c r="I1256" s="75">
        <f>IF(F1256&gt;'THAM_SO_MOI'!$C$14,'THAM_SO_MOI'!$C$13*(1+F1256^2/1500),'THAM_SO_MOI'!$C$13)</f>
        <v>0.015</v>
      </c>
      <c r="J1256" s="75">
        <f>'THAM_SO_MOI'!$C$40*('THAM_SO_MOI'!$C$23*(E1256/'THAM_SO_MOI'!$C$22)+'THAM_SO_MOI'!$C$24*(E1256/'THAM_SO_MOI'!$C$22)^2-'THAM_SO_MOI'!$C$25*(E1256/'THAM_SO_MOI'!$C$22)^3)</f>
        <v>95.55345160338678</v>
      </c>
      <c r="K1256" s="75">
        <f>'THAM_SO_MOI'!$C$31*J1256/E1256</f>
        <v>430.03375980335045</v>
      </c>
      <c r="L1256" s="75">
        <f>K1256*'THAM_SO_MOI'!$C$50*'THAM_SO_MOI'!$C$17/'THAM_SO_MOI'!$C$26</f>
        <v>15352.791635936126</v>
      </c>
      <c r="M1256" s="75">
        <f>'THAM_SO_MOI'!$C$15*'THAM_SO_MOI'!$C$16*F1256^2</f>
        <v>81.89278513114886</v>
      </c>
      <c r="N1256" s="75">
        <f>'THAM_SO_MOI'!$C$12*I1256</f>
        <v>1130.112</v>
      </c>
      <c r="O1256" s="75">
        <f>M1256+N1256</f>
        <v>1212.004785131149</v>
      </c>
      <c r="P1256" s="75">
        <f>(MIN(L1256,'THAM_SO_MOI'!$C$41)-O1256)/('THAM_SO_MOI'!$C$11*H1256)</f>
        <v>0.9801221289603569</v>
      </c>
      <c r="Q1256" s="75">
        <f>IF(P1256&gt;0,1/P1256,NA())</f>
        <v>1.0202810144290162</v>
      </c>
      <c r="R1256" s="75">
        <f>F1256-F1255</f>
        <v>0.0032106047296869278</v>
      </c>
      <c r="S1256" s="75">
        <f>0.5*(Q1255+Q1256)*R1256</f>
        <v>0.0032757308198456806</v>
      </c>
      <c r="T1256" s="75">
        <f>0.5*(F1255*Q1255+F1256*Q1256)*R1256</f>
        <v>0.01732751616125244</v>
      </c>
      <c r="U1256" s="76">
        <f>U1255+S1256</f>
        <v>5.54131975999326</v>
      </c>
      <c r="V1256" s="76">
        <f>V1255+T1256</f>
        <v>18.650225294191262</v>
      </c>
    </row>
    <row r="1257" spans="1:22" ht="19" customHeight="1">
      <c r="A1257" s="68" t="s">
        <v>372</v>
      </c>
      <c r="B1257" s="74">
        <v>2</v>
      </c>
      <c r="C1257" s="68" t="s">
        <v>363</v>
      </c>
      <c r="D1257" s="68" t="s">
        <v>364</v>
      </c>
      <c r="E1257" s="75">
        <f>60*F1257*'THAM_SO_MOI'!$C$50/(2*PI()*'THAM_SO_MOI'!$C$26)</f>
        <v>2123.5406804903273</v>
      </c>
      <c r="F1257" s="75">
        <f>'HANH_TRINH'!$F$826+('THAM_SO_MOI'!$F$50-'HANH_TRINH'!$F$826)*430/'THAM_SO_MOI'!$C$42</f>
        <v>5.2944801478705905</v>
      </c>
      <c r="G1257" s="75">
        <f>3.6*F1257</f>
        <v>19.060128532334126</v>
      </c>
      <c r="H1257" s="75">
        <f>'THAM_SO_MOI'!$D$50</f>
        <v>1.8785906709588276</v>
      </c>
      <c r="I1257" s="75">
        <f>IF(F1257&gt;'THAM_SO_MOI'!$C$14,'THAM_SO_MOI'!$C$13*(1+F1257^2/1500),'THAM_SO_MOI'!$C$13)</f>
        <v>0.015</v>
      </c>
      <c r="J1257" s="75">
        <f>'THAM_SO_MOI'!$C$40*('THAM_SO_MOI'!$C$23*(E1257/'THAM_SO_MOI'!$C$22)+'THAM_SO_MOI'!$C$24*(E1257/'THAM_SO_MOI'!$C$22)^2-'THAM_SO_MOI'!$C$25*(E1257/'THAM_SO_MOI'!$C$22)^3)</f>
        <v>95.61264670438587</v>
      </c>
      <c r="K1257" s="75">
        <f>'THAM_SO_MOI'!$C$31*J1257/E1257</f>
        <v>430.0392279192951</v>
      </c>
      <c r="L1257" s="75">
        <f>K1257*'THAM_SO_MOI'!$C$50*'THAM_SO_MOI'!$C$17/'THAM_SO_MOI'!$C$26</f>
        <v>15352.98685513189</v>
      </c>
      <c r="M1257" s="75">
        <f>'THAM_SO_MOI'!$C$15*'THAM_SO_MOI'!$C$16*F1257^2</f>
        <v>81.9921961058727</v>
      </c>
      <c r="N1257" s="75">
        <f>'THAM_SO_MOI'!$C$12*I1257</f>
        <v>1130.112</v>
      </c>
      <c r="O1257" s="75">
        <f>M1257+N1257</f>
        <v>1212.1041961058727</v>
      </c>
      <c r="P1257" s="75">
        <f>(MIN(L1257,'THAM_SO_MOI'!$C$41)-O1257)/('THAM_SO_MOI'!$C$11*H1257)</f>
        <v>0.9801287695920678</v>
      </c>
      <c r="Q1257" s="75">
        <f>IF(P1257&gt;0,1/P1257,NA())</f>
        <v>1.0202741017552241</v>
      </c>
      <c r="R1257" s="75">
        <f>F1257-F1256</f>
        <v>0.0032106047296869278</v>
      </c>
      <c r="S1257" s="75">
        <f>0.5*(Q1256+Q1257)*R1257</f>
        <v>0.00327570795360399</v>
      </c>
      <c r="T1257" s="75">
        <f>0.5*(F1256*Q1256+F1257*Q1257)*R1257</f>
        <v>0.017337912211039735</v>
      </c>
      <c r="U1257" s="76">
        <f>U1256+S1257</f>
        <v>5.544595467946864</v>
      </c>
      <c r="V1257" s="76">
        <f>V1256+T1257</f>
        <v>18.667563206402303</v>
      </c>
    </row>
    <row r="1258" spans="1:22" ht="19" customHeight="1">
      <c r="A1258" s="68" t="s">
        <v>372</v>
      </c>
      <c r="B1258" s="74">
        <v>2</v>
      </c>
      <c r="C1258" s="68" t="s">
        <v>363</v>
      </c>
      <c r="D1258" s="68" t="s">
        <v>364</v>
      </c>
      <c r="E1258" s="75">
        <f>60*F1258*'THAM_SO_MOI'!$C$50/(2*PI()*'THAM_SO_MOI'!$C$26)</f>
        <v>2124.8284083808935</v>
      </c>
      <c r="F1258" s="75">
        <f>'HANH_TRINH'!$F$826+('THAM_SO_MOI'!$F$50-'HANH_TRINH'!$F$826)*431/'THAM_SO_MOI'!$C$42</f>
        <v>5.2976907526002766</v>
      </c>
      <c r="G1258" s="75">
        <f>3.6*F1258</f>
        <v>19.071686709360996</v>
      </c>
      <c r="H1258" s="75">
        <f>'THAM_SO_MOI'!$D$50</f>
        <v>1.8785906709588276</v>
      </c>
      <c r="I1258" s="75">
        <f>IF(F1258&gt;'THAM_SO_MOI'!$C$14,'THAM_SO_MOI'!$C$13*(1+F1258^2/1500),'THAM_SO_MOI'!$C$13)</f>
        <v>0.015</v>
      </c>
      <c r="J1258" s="75">
        <f>'THAM_SO_MOI'!$C$40*('THAM_SO_MOI'!$C$23*(E1258/'THAM_SO_MOI'!$C$22)+'THAM_SO_MOI'!$C$24*(E1258/'THAM_SO_MOI'!$C$22)^2-'THAM_SO_MOI'!$C$25*(E1258/'THAM_SO_MOI'!$C$22)^3)</f>
        <v>95.67180749022587</v>
      </c>
      <c r="K1258" s="75">
        <f>'THAM_SO_MOI'!$C$31*J1258/E1258</f>
        <v>430.04453516090774</v>
      </c>
      <c r="L1258" s="75">
        <f>K1258*'THAM_SO_MOI'!$C$50*'THAM_SO_MOI'!$C$17/'THAM_SO_MOI'!$C$26</f>
        <v>15353.176330894625</v>
      </c>
      <c r="M1258" s="75">
        <f>'THAM_SO_MOI'!$C$15*'THAM_SO_MOI'!$C$16*F1258^2</f>
        <v>82.09166738229548</v>
      </c>
      <c r="N1258" s="75">
        <f>'THAM_SO_MOI'!$C$12*I1258</f>
        <v>1130.112</v>
      </c>
      <c r="O1258" s="75">
        <f>M1258+N1258</f>
        <v>1212.2036673822956</v>
      </c>
      <c r="P1258" s="75">
        <f>(MIN(L1258,'THAM_SO_MOI'!$C$41)-O1258)/('THAM_SO_MOI'!$C$11*H1258)</f>
        <v>0.9801350079569955</v>
      </c>
      <c r="Q1258" s="75">
        <f>IF(P1258&gt;0,1/P1258,NA())</f>
        <v>1.0202676079129256</v>
      </c>
      <c r="R1258" s="75">
        <f>F1258-F1257</f>
        <v>0.0032106047296860396</v>
      </c>
      <c r="S1258" s="75">
        <f>0.5*(Q1257+Q1258)*R1258</f>
        <v>0.0032756864320910993</v>
      </c>
      <c r="T1258" s="75">
        <f>0.5*(F1257*Q1257+F1258*Q1258)*R1258</f>
        <v>0.017348315235796687</v>
      </c>
      <c r="U1258" s="76">
        <f>U1257+S1258</f>
        <v>5.547871154378955</v>
      </c>
      <c r="V1258" s="76">
        <f>V1257+T1258</f>
        <v>18.6849115216381</v>
      </c>
    </row>
    <row r="1259" spans="1:22" ht="19" customHeight="1">
      <c r="A1259" s="68" t="s">
        <v>372</v>
      </c>
      <c r="B1259" s="74">
        <v>2</v>
      </c>
      <c r="C1259" s="68" t="s">
        <v>363</v>
      </c>
      <c r="D1259" s="68" t="s">
        <v>364</v>
      </c>
      <c r="E1259" s="75">
        <f>60*F1259*'THAM_SO_MOI'!$C$50/(2*PI()*'THAM_SO_MOI'!$C$26)</f>
        <v>2126.11613627146</v>
      </c>
      <c r="F1259" s="75">
        <f>'HANH_TRINH'!$F$826+('THAM_SO_MOI'!$F$50-'HANH_TRINH'!$F$826)*432/'THAM_SO_MOI'!$C$42</f>
        <v>5.3009013573299635</v>
      </c>
      <c r="G1259" s="75">
        <f>3.6*F1259</f>
        <v>19.08324488638787</v>
      </c>
      <c r="H1259" s="75">
        <f>'THAM_SO_MOI'!$D$50</f>
        <v>1.8785906709588276</v>
      </c>
      <c r="I1259" s="75">
        <f>IF(F1259&gt;'THAM_SO_MOI'!$C$14,'THAM_SO_MOI'!$C$13*(1+F1259^2/1500),'THAM_SO_MOI'!$C$13)</f>
        <v>0.015</v>
      </c>
      <c r="J1259" s="75">
        <f>'THAM_SO_MOI'!$C$40*('THAM_SO_MOI'!$C$23*(E1259/'THAM_SO_MOI'!$C$22)+'THAM_SO_MOI'!$C$24*(E1259/'THAM_SO_MOI'!$C$22)^2-'THAM_SO_MOI'!$C$25*(E1259/'THAM_SO_MOI'!$C$22)^3)</f>
        <v>95.73093389583708</v>
      </c>
      <c r="K1259" s="75">
        <f>'THAM_SO_MOI'!$C$31*J1259/E1259</f>
        <v>430.0496815281881</v>
      </c>
      <c r="L1259" s="75">
        <f>K1259*'THAM_SO_MOI'!$C$50*'THAM_SO_MOI'!$C$17/'THAM_SO_MOI'!$C$26</f>
        <v>15353.360063224321</v>
      </c>
      <c r="M1259" s="75">
        <f>'THAM_SO_MOI'!$C$15*'THAM_SO_MOI'!$C$16*F1259^2</f>
        <v>82.19119896041725</v>
      </c>
      <c r="N1259" s="75">
        <f>'THAM_SO_MOI'!$C$12*I1259</f>
        <v>1130.112</v>
      </c>
      <c r="O1259" s="75">
        <f>M1259+N1259</f>
        <v>1212.3031989604174</v>
      </c>
      <c r="P1259" s="75">
        <f>(MIN(L1259,'THAM_SO_MOI'!$C$41)-O1259)/('THAM_SO_MOI'!$C$11*H1259)</f>
        <v>0.9801408440551395</v>
      </c>
      <c r="Q1259" s="75">
        <f>IF(P1259&gt;0,1/P1259,NA())</f>
        <v>1.020261532886128</v>
      </c>
      <c r="R1259" s="75">
        <f>F1259-F1258</f>
        <v>0.0032106047296869278</v>
      </c>
      <c r="S1259" s="75">
        <f>0.5*(Q1258+Q1259)*R1259</f>
        <v>0.003275666255256722</v>
      </c>
      <c r="T1259" s="75">
        <f>0.5*(F1258*Q1258+F1259*Q1259)*R1259</f>
        <v>0.017358725248208997</v>
      </c>
      <c r="U1259" s="76">
        <f>U1258+S1259</f>
        <v>5.551146820634211</v>
      </c>
      <c r="V1259" s="76">
        <f>V1258+T1259</f>
        <v>18.702270246886307</v>
      </c>
    </row>
    <row r="1260" spans="1:22" ht="19" customHeight="1">
      <c r="A1260" s="68" t="s">
        <v>372</v>
      </c>
      <c r="B1260" s="74">
        <v>2</v>
      </c>
      <c r="C1260" s="68" t="s">
        <v>363</v>
      </c>
      <c r="D1260" s="68" t="s">
        <v>364</v>
      </c>
      <c r="E1260" s="75">
        <f>60*F1260*'THAM_SO_MOI'!$C$50/(2*PI()*'THAM_SO_MOI'!$C$26)</f>
        <v>2127.403864162027</v>
      </c>
      <c r="F1260" s="75">
        <f>'HANH_TRINH'!$F$826+('THAM_SO_MOI'!$F$50-'HANH_TRINH'!$F$826)*433/'THAM_SO_MOI'!$C$42</f>
        <v>5.30411196205965</v>
      </c>
      <c r="G1260" s="75">
        <f>3.6*F1260</f>
        <v>19.09480306341474</v>
      </c>
      <c r="H1260" s="75">
        <f>'THAM_SO_MOI'!$D$50</f>
        <v>1.8785906709588276</v>
      </c>
      <c r="I1260" s="75">
        <f>IF(F1260&gt;'THAM_SO_MOI'!$C$14,'THAM_SO_MOI'!$C$13*(1+F1260^2/1500),'THAM_SO_MOI'!$C$13)</f>
        <v>0.015</v>
      </c>
      <c r="J1260" s="75">
        <f>'THAM_SO_MOI'!$C$40*('THAM_SO_MOI'!$C$23*(E1260/'THAM_SO_MOI'!$C$22)+'THAM_SO_MOI'!$C$24*(E1260/'THAM_SO_MOI'!$C$22)^2-'THAM_SO_MOI'!$C$25*(E1260/'THAM_SO_MOI'!$C$22)^3)</f>
        <v>95.79002585614973</v>
      </c>
      <c r="K1260" s="75">
        <f>'THAM_SO_MOI'!$C$31*J1260/E1260</f>
        <v>430.054667021136</v>
      </c>
      <c r="L1260" s="75">
        <f>K1260*'THAM_SO_MOI'!$C$50*'THAM_SO_MOI'!$C$17/'THAM_SO_MOI'!$C$26</f>
        <v>15353.538052120979</v>
      </c>
      <c r="M1260" s="75">
        <f>'THAM_SO_MOI'!$C$15*'THAM_SO_MOI'!$C$16*F1260^2</f>
        <v>82.290790840238</v>
      </c>
      <c r="N1260" s="75">
        <f>'THAM_SO_MOI'!$C$12*I1260</f>
        <v>1130.112</v>
      </c>
      <c r="O1260" s="75">
        <f>M1260+N1260</f>
        <v>1212.4027908402381</v>
      </c>
      <c r="P1260" s="75">
        <f>(MIN(L1260,'THAM_SO_MOI'!$C$41)-O1260)/('THAM_SO_MOI'!$C$11*H1260)</f>
        <v>0.9801462778864996</v>
      </c>
      <c r="Q1260" s="75">
        <f>IF(P1260&gt;0,1/P1260,NA())</f>
        <v>1.0202558766598708</v>
      </c>
      <c r="R1260" s="75">
        <f>F1260-F1259</f>
        <v>0.0032106047296869278</v>
      </c>
      <c r="S1260" s="75">
        <f>0.5*(Q1259+Q1260)*R1260</f>
        <v>0.003275647423048451</v>
      </c>
      <c r="T1260" s="75">
        <f>0.5*(F1259*Q1259+F1260*Q1260)*R1260</f>
        <v>0.017369142260950474</v>
      </c>
      <c r="U1260" s="76">
        <f>U1259+S1260</f>
        <v>5.55442246805726</v>
      </c>
      <c r="V1260" s="76">
        <f>V1259+T1260</f>
        <v>18.719639389147257</v>
      </c>
    </row>
    <row r="1261" spans="1:22" ht="19" customHeight="1">
      <c r="A1261" s="68" t="s">
        <v>372</v>
      </c>
      <c r="B1261" s="74">
        <v>2</v>
      </c>
      <c r="C1261" s="68" t="s">
        <v>363</v>
      </c>
      <c r="D1261" s="68" t="s">
        <v>364</v>
      </c>
      <c r="E1261" s="75">
        <f>60*F1261*'THAM_SO_MOI'!$C$50/(2*PI()*'THAM_SO_MOI'!$C$26)</f>
        <v>2128.6915920525935</v>
      </c>
      <c r="F1261" s="75">
        <f>'HANH_TRINH'!$F$826+('THAM_SO_MOI'!$F$50-'HANH_TRINH'!$F$826)*434/'THAM_SO_MOI'!$C$42</f>
        <v>5.307322566789337</v>
      </c>
      <c r="G1261" s="75">
        <f>3.6*F1261</f>
        <v>19.106361240441615</v>
      </c>
      <c r="H1261" s="75">
        <f>'THAM_SO_MOI'!$D$50</f>
        <v>1.8785906709588276</v>
      </c>
      <c r="I1261" s="75">
        <f>IF(F1261&gt;'THAM_SO_MOI'!$C$14,'THAM_SO_MOI'!$C$13*(1+F1261^2/1500),'THAM_SO_MOI'!$C$13)</f>
        <v>0.015</v>
      </c>
      <c r="J1261" s="75">
        <f>'THAM_SO_MOI'!$C$40*('THAM_SO_MOI'!$C$23*(E1261/'THAM_SO_MOI'!$C$22)+'THAM_SO_MOI'!$C$24*(E1261/'THAM_SO_MOI'!$C$22)^2-'THAM_SO_MOI'!$C$25*(E1261/'THAM_SO_MOI'!$C$22)^3)</f>
        <v>95.8490833060942</v>
      </c>
      <c r="K1261" s="75">
        <f>'THAM_SO_MOI'!$C$31*J1261/E1261</f>
        <v>430.05949163975185</v>
      </c>
      <c r="L1261" s="75">
        <f>K1261*'THAM_SO_MOI'!$C$50*'THAM_SO_MOI'!$C$17/'THAM_SO_MOI'!$C$26</f>
        <v>15353.710297584605</v>
      </c>
      <c r="M1261" s="75">
        <f>'THAM_SO_MOI'!$C$15*'THAM_SO_MOI'!$C$16*F1261^2</f>
        <v>82.39044302175773</v>
      </c>
      <c r="N1261" s="75">
        <f>'THAM_SO_MOI'!$C$12*I1261</f>
        <v>1130.112</v>
      </c>
      <c r="O1261" s="75">
        <f>M1261+N1261</f>
        <v>1212.5024430217577</v>
      </c>
      <c r="P1261" s="75">
        <f>(MIN(L1261,'THAM_SO_MOI'!$C$41)-O1261)/('THAM_SO_MOI'!$C$11*H1261)</f>
        <v>0.9801513094510762</v>
      </c>
      <c r="Q1261" s="75">
        <f>IF(P1261&gt;0,1/P1261,NA())</f>
        <v>1.020250639220224</v>
      </c>
      <c r="R1261" s="75">
        <f>F1261-F1260</f>
        <v>0.0032106047296869278</v>
      </c>
      <c r="S1261" s="75">
        <f>0.5*(Q1260+Q1261)*R1261</f>
        <v>0.0032756299354208132</v>
      </c>
      <c r="T1261" s="75">
        <f>0.5*(F1260*Q1260+F1261*Q1261)*R1261</f>
        <v>0.01737956628673104</v>
      </c>
      <c r="U1261" s="76">
        <f>U1260+S1261</f>
        <v>5.557698097992681</v>
      </c>
      <c r="V1261" s="76">
        <f>V1260+T1261</f>
        <v>18.73701895543399</v>
      </c>
    </row>
    <row r="1262" spans="1:22" ht="19" customHeight="1">
      <c r="A1262" s="68" t="s">
        <v>372</v>
      </c>
      <c r="B1262" s="74">
        <v>2</v>
      </c>
      <c r="C1262" s="68" t="s">
        <v>363</v>
      </c>
      <c r="D1262" s="68" t="s">
        <v>364</v>
      </c>
      <c r="E1262" s="75">
        <f>60*F1262*'THAM_SO_MOI'!$C$50/(2*PI()*'THAM_SO_MOI'!$C$26)</f>
        <v>2129.97931994316</v>
      </c>
      <c r="F1262" s="75">
        <f>'HANH_TRINH'!$F$826+('THAM_SO_MOI'!$F$50-'HANH_TRINH'!$F$826)*435/'THAM_SO_MOI'!$C$42</f>
        <v>5.310533171519024</v>
      </c>
      <c r="G1262" s="75">
        <f>3.6*F1262</f>
        <v>19.11791941746849</v>
      </c>
      <c r="H1262" s="75">
        <f>'THAM_SO_MOI'!$D$50</f>
        <v>1.8785906709588276</v>
      </c>
      <c r="I1262" s="75">
        <f>IF(F1262&gt;'THAM_SO_MOI'!$C$14,'THAM_SO_MOI'!$C$13*(1+F1262^2/1500),'THAM_SO_MOI'!$C$13)</f>
        <v>0.015</v>
      </c>
      <c r="J1262" s="75">
        <f>'THAM_SO_MOI'!$C$40*('THAM_SO_MOI'!$C$23*(E1262/'THAM_SO_MOI'!$C$22)+'THAM_SO_MOI'!$C$24*(E1262/'THAM_SO_MOI'!$C$22)^2-'THAM_SO_MOI'!$C$25*(E1262/'THAM_SO_MOI'!$C$22)^3)</f>
        <v>95.90810618060075</v>
      </c>
      <c r="K1262" s="75">
        <f>'THAM_SO_MOI'!$C$31*J1262/E1262</f>
        <v>430.06415538403536</v>
      </c>
      <c r="L1262" s="75">
        <f>K1262*'THAM_SO_MOI'!$C$50*'THAM_SO_MOI'!$C$17/'THAM_SO_MOI'!$C$26</f>
        <v>15353.87679961519</v>
      </c>
      <c r="M1262" s="75">
        <f>'THAM_SO_MOI'!$C$15*'THAM_SO_MOI'!$C$16*F1262^2</f>
        <v>82.49015550497643</v>
      </c>
      <c r="N1262" s="75">
        <f>'THAM_SO_MOI'!$C$12*I1262</f>
        <v>1130.112</v>
      </c>
      <c r="O1262" s="75">
        <f>M1262+N1262</f>
        <v>1212.6021555049765</v>
      </c>
      <c r="P1262" s="75">
        <f>(MIN(L1262,'THAM_SO_MOI'!$C$41)-O1262)/('THAM_SO_MOI'!$C$11*H1262)</f>
        <v>0.9801559387488691</v>
      </c>
      <c r="Q1262" s="75">
        <f>IF(P1262&gt;0,1/P1262,NA())</f>
        <v>1.0202458205542897</v>
      </c>
      <c r="R1262" s="75">
        <f>F1262-F1261</f>
        <v>0.0032106047296869278</v>
      </c>
      <c r="S1262" s="75">
        <f>0.5*(Q1261+Q1262)*R1262</f>
        <v>0.003275613792330743</v>
      </c>
      <c r="T1262" s="75">
        <f>0.5*(F1261*Q1261+F1262*Q1262)*R1262</f>
        <v>0.017389997338272813</v>
      </c>
      <c r="U1262" s="76">
        <f>U1261+S1262</f>
        <v>5.560973711785012</v>
      </c>
      <c r="V1262" s="76">
        <f>V1261+T1262</f>
        <v>18.754408952772263</v>
      </c>
    </row>
    <row r="1263" spans="1:22" ht="19" customHeight="1">
      <c r="A1263" s="68" t="s">
        <v>372</v>
      </c>
      <c r="B1263" s="74">
        <v>2</v>
      </c>
      <c r="C1263" s="68" t="s">
        <v>363</v>
      </c>
      <c r="D1263" s="68" t="s">
        <v>364</v>
      </c>
      <c r="E1263" s="75">
        <f>60*F1263*'THAM_SO_MOI'!$C$50/(2*PI()*'THAM_SO_MOI'!$C$26)</f>
        <v>2131.267047833727</v>
      </c>
      <c r="F1263" s="75">
        <f>'HANH_TRINH'!$F$826+('THAM_SO_MOI'!$F$50-'HANH_TRINH'!$F$826)*436/'THAM_SO_MOI'!$C$42</f>
        <v>5.313743776248711</v>
      </c>
      <c r="G1263" s="75">
        <f>3.6*F1263</f>
        <v>19.12947759449536</v>
      </c>
      <c r="H1263" s="75">
        <f>'THAM_SO_MOI'!$D$50</f>
        <v>1.8785906709588276</v>
      </c>
      <c r="I1263" s="75">
        <f>IF(F1263&gt;'THAM_SO_MOI'!$C$14,'THAM_SO_MOI'!$C$13*(1+F1263^2/1500),'THAM_SO_MOI'!$C$13)</f>
        <v>0.015</v>
      </c>
      <c r="J1263" s="75">
        <f>'THAM_SO_MOI'!$C$40*('THAM_SO_MOI'!$C$23*(E1263/'THAM_SO_MOI'!$C$22)+'THAM_SO_MOI'!$C$24*(E1263/'THAM_SO_MOI'!$C$22)^2-'THAM_SO_MOI'!$C$25*(E1263/'THAM_SO_MOI'!$C$22)^3)</f>
        <v>95.96709441459969</v>
      </c>
      <c r="K1263" s="75">
        <f>'THAM_SO_MOI'!$C$31*J1263/E1263</f>
        <v>430.06865825398665</v>
      </c>
      <c r="L1263" s="75">
        <f>K1263*'THAM_SO_MOI'!$C$50*'THAM_SO_MOI'!$C$17/'THAM_SO_MOI'!$C$26</f>
        <v>15354.037558212742</v>
      </c>
      <c r="M1263" s="75">
        <f>'THAM_SO_MOI'!$C$15*'THAM_SO_MOI'!$C$16*F1263^2</f>
        <v>82.5899282898941</v>
      </c>
      <c r="N1263" s="75">
        <f>'THAM_SO_MOI'!$C$12*I1263</f>
        <v>1130.112</v>
      </c>
      <c r="O1263" s="75">
        <f>M1263+N1263</f>
        <v>1212.701928289894</v>
      </c>
      <c r="P1263" s="75">
        <f>(MIN(L1263,'THAM_SO_MOI'!$C$41)-O1263)/('THAM_SO_MOI'!$C$11*H1263)</f>
        <v>0.9801601657798784</v>
      </c>
      <c r="Q1263" s="75">
        <f>IF(P1263&gt;0,1/P1263,NA())</f>
        <v>1.0202414206502013</v>
      </c>
      <c r="R1263" s="75">
        <f>F1263-F1262</f>
        <v>0.0032106047296869278</v>
      </c>
      <c r="S1263" s="75">
        <f>0.5*(Q1262+Q1263)*R1263</f>
        <v>0.0032755989937384845</v>
      </c>
      <c r="T1263" s="75">
        <f>0.5*(F1262*Q1262+F1263*Q1263)*R1263</f>
        <v>0.017400435428314955</v>
      </c>
      <c r="U1263" s="76">
        <f>U1262+S1263</f>
        <v>5.5642493107787505</v>
      </c>
      <c r="V1263" s="76">
        <f>V1262+T1263</f>
        <v>18.771809388200577</v>
      </c>
    </row>
    <row r="1264" spans="1:22" ht="19" customHeight="1">
      <c r="A1264" s="68" t="s">
        <v>372</v>
      </c>
      <c r="B1264" s="74">
        <v>2</v>
      </c>
      <c r="C1264" s="68" t="s">
        <v>363</v>
      </c>
      <c r="D1264" s="68" t="s">
        <v>364</v>
      </c>
      <c r="E1264" s="75">
        <f>60*F1264*'THAM_SO_MOI'!$C$50/(2*PI()*'THAM_SO_MOI'!$C$26)</f>
        <v>2132.5547757242934</v>
      </c>
      <c r="F1264" s="75">
        <f>'HANH_TRINH'!$F$826+('THAM_SO_MOI'!$F$50-'HANH_TRINH'!$F$826)*437/'THAM_SO_MOI'!$C$42</f>
        <v>5.316954380978398</v>
      </c>
      <c r="G1264" s="75">
        <f>3.6*F1264</f>
        <v>19.141035771522233</v>
      </c>
      <c r="H1264" s="75">
        <f>'THAM_SO_MOI'!$D$50</f>
        <v>1.8785906709588276</v>
      </c>
      <c r="I1264" s="75">
        <f>IF(F1264&gt;'THAM_SO_MOI'!$C$14,'THAM_SO_MOI'!$C$13*(1+F1264^2/1500),'THAM_SO_MOI'!$C$13)</f>
        <v>0.015</v>
      </c>
      <c r="J1264" s="75">
        <f>'THAM_SO_MOI'!$C$40*('THAM_SO_MOI'!$C$23*(E1264/'THAM_SO_MOI'!$C$22)+'THAM_SO_MOI'!$C$24*(E1264/'THAM_SO_MOI'!$C$22)^2-'THAM_SO_MOI'!$C$25*(E1264/'THAM_SO_MOI'!$C$22)^3)</f>
        <v>96.02604794302133</v>
      </c>
      <c r="K1264" s="75">
        <f>'THAM_SO_MOI'!$C$31*J1264/E1264</f>
        <v>430.0730002496057</v>
      </c>
      <c r="L1264" s="75">
        <f>K1264*'THAM_SO_MOI'!$C$50*'THAM_SO_MOI'!$C$17/'THAM_SO_MOI'!$C$26</f>
        <v>15354.192573377255</v>
      </c>
      <c r="M1264" s="75">
        <f>'THAM_SO_MOI'!$C$15*'THAM_SO_MOI'!$C$16*F1264^2</f>
        <v>82.68976137651075</v>
      </c>
      <c r="N1264" s="75">
        <f>'THAM_SO_MOI'!$C$12*I1264</f>
        <v>1130.112</v>
      </c>
      <c r="O1264" s="75">
        <f>M1264+N1264</f>
        <v>1212.8017613765107</v>
      </c>
      <c r="P1264" s="75">
        <f>(MIN(L1264,'THAM_SO_MOI'!$C$41)-O1264)/('THAM_SO_MOI'!$C$11*H1264)</f>
        <v>0.980163990544104</v>
      </c>
      <c r="Q1264" s="75">
        <f>IF(P1264&gt;0,1/P1264,NA())</f>
        <v>1.020237439497124</v>
      </c>
      <c r="R1264" s="75">
        <f>F1264-F1263</f>
        <v>0.0032106047296869278</v>
      </c>
      <c r="S1264" s="75">
        <f>0.5*(Q1263+Q1264)*R1264</f>
        <v>0.0032755855396075966</v>
      </c>
      <c r="T1264" s="75">
        <f>0.5*(F1263*Q1263+F1264*Q1264)*R1264</f>
        <v>0.017410880569613707</v>
      </c>
      <c r="U1264" s="76">
        <f>U1263+S1264</f>
        <v>5.567524896318358</v>
      </c>
      <c r="V1264" s="76">
        <f>V1263+T1264</f>
        <v>18.78922026877019</v>
      </c>
    </row>
    <row r="1265" spans="1:22" ht="19" customHeight="1">
      <c r="A1265" s="68" t="s">
        <v>372</v>
      </c>
      <c r="B1265" s="74">
        <v>2</v>
      </c>
      <c r="C1265" s="68" t="s">
        <v>363</v>
      </c>
      <c r="D1265" s="68" t="s">
        <v>364</v>
      </c>
      <c r="E1265" s="75">
        <f>60*F1265*'THAM_SO_MOI'!$C$50/(2*PI()*'THAM_SO_MOI'!$C$26)</f>
        <v>2133.84250361486</v>
      </c>
      <c r="F1265" s="75">
        <f>'HANH_TRINH'!$F$826+('THAM_SO_MOI'!$F$50-'HANH_TRINH'!$F$826)*438/'THAM_SO_MOI'!$C$42</f>
        <v>5.320164985708084</v>
      </c>
      <c r="G1265" s="75">
        <f>3.6*F1265</f>
        <v>19.152593948549104</v>
      </c>
      <c r="H1265" s="75">
        <f>'THAM_SO_MOI'!$D$50</f>
        <v>1.8785906709588276</v>
      </c>
      <c r="I1265" s="75">
        <f>IF(F1265&gt;'THAM_SO_MOI'!$C$14,'THAM_SO_MOI'!$C$13*(1+F1265^2/1500),'THAM_SO_MOI'!$C$13)</f>
        <v>0.015</v>
      </c>
      <c r="J1265" s="75">
        <f>'THAM_SO_MOI'!$C$40*('THAM_SO_MOI'!$C$23*(E1265/'THAM_SO_MOI'!$C$22)+'THAM_SO_MOI'!$C$24*(E1265/'THAM_SO_MOI'!$C$22)^2-'THAM_SO_MOI'!$C$25*(E1265/'THAM_SO_MOI'!$C$22)^3)</f>
        <v>96.08496670079592</v>
      </c>
      <c r="K1265" s="75">
        <f>'THAM_SO_MOI'!$C$31*J1265/E1265</f>
        <v>430.0771813708924</v>
      </c>
      <c r="L1265" s="75">
        <f>K1265*'THAM_SO_MOI'!$C$50*'THAM_SO_MOI'!$C$17/'THAM_SO_MOI'!$C$26</f>
        <v>15354.341845108733</v>
      </c>
      <c r="M1265" s="75">
        <f>'THAM_SO_MOI'!$C$15*'THAM_SO_MOI'!$C$16*F1265^2</f>
        <v>82.78965476482634</v>
      </c>
      <c r="N1265" s="75">
        <f>'THAM_SO_MOI'!$C$12*I1265</f>
        <v>1130.112</v>
      </c>
      <c r="O1265" s="75">
        <f>M1265+N1265</f>
        <v>1212.9016547648264</v>
      </c>
      <c r="P1265" s="75">
        <f>(MIN(L1265,'THAM_SO_MOI'!$C$41)-O1265)/('THAM_SO_MOI'!$C$11*H1265)</f>
        <v>0.980167413041546</v>
      </c>
      <c r="Q1265" s="75">
        <f>IF(P1265&gt;0,1/P1265,NA())</f>
        <v>1.020233877085254</v>
      </c>
      <c r="R1265" s="75">
        <f>F1265-F1264</f>
        <v>0.0032106047296860396</v>
      </c>
      <c r="S1265" s="75">
        <f>0.5*(Q1264+Q1265)*R1265</f>
        <v>0.003275573429904042</v>
      </c>
      <c r="T1265" s="75">
        <f>0.5*(F1264*Q1264+F1265*Q1265)*R1265</f>
        <v>0.017421332774937653</v>
      </c>
      <c r="U1265" s="76">
        <f>U1264+S1265</f>
        <v>5.570800469748262</v>
      </c>
      <c r="V1265" s="76">
        <f>V1264+T1265</f>
        <v>18.806641601545127</v>
      </c>
    </row>
    <row r="1266" spans="1:22" ht="19" customHeight="1">
      <c r="A1266" s="68" t="s">
        <v>372</v>
      </c>
      <c r="B1266" s="74">
        <v>2</v>
      </c>
      <c r="C1266" s="68" t="s">
        <v>363</v>
      </c>
      <c r="D1266" s="68" t="s">
        <v>364</v>
      </c>
      <c r="E1266" s="75">
        <f>60*F1266*'THAM_SO_MOI'!$C$50/(2*PI()*'THAM_SO_MOI'!$C$26)</f>
        <v>2135.1302315054268</v>
      </c>
      <c r="F1266" s="75">
        <f>'HANH_TRINH'!$F$826+('THAM_SO_MOI'!$F$50-'HANH_TRINH'!$F$826)*439/'THAM_SO_MOI'!$C$42</f>
        <v>5.323375590437771</v>
      </c>
      <c r="G1266" s="75">
        <f>3.6*F1266</f>
        <v>19.164152125575978</v>
      </c>
      <c r="H1266" s="75">
        <f>'THAM_SO_MOI'!$D$50</f>
        <v>1.8785906709588276</v>
      </c>
      <c r="I1266" s="75">
        <f>IF(F1266&gt;'THAM_SO_MOI'!$C$14,'THAM_SO_MOI'!$C$13*(1+F1266^2/1500),'THAM_SO_MOI'!$C$13)</f>
        <v>0.015</v>
      </c>
      <c r="J1266" s="75">
        <f>'THAM_SO_MOI'!$C$40*('THAM_SO_MOI'!$C$23*(E1266/'THAM_SO_MOI'!$C$22)+'THAM_SO_MOI'!$C$24*(E1266/'THAM_SO_MOI'!$C$22)^2-'THAM_SO_MOI'!$C$25*(E1266/'THAM_SO_MOI'!$C$22)^3)</f>
        <v>96.14385062285388</v>
      </c>
      <c r="K1266" s="75">
        <f>'THAM_SO_MOI'!$C$31*J1266/E1266</f>
        <v>430.08120161784706</v>
      </c>
      <c r="L1266" s="75">
        <f>K1266*'THAM_SO_MOI'!$C$50*'THAM_SO_MOI'!$C$17/'THAM_SO_MOI'!$C$26</f>
        <v>15354.48537340718</v>
      </c>
      <c r="M1266" s="75">
        <f>'THAM_SO_MOI'!$C$15*'THAM_SO_MOI'!$C$16*F1266^2</f>
        <v>82.88960845484091</v>
      </c>
      <c r="N1266" s="75">
        <f>'THAM_SO_MOI'!$C$12*I1266</f>
        <v>1130.112</v>
      </c>
      <c r="O1266" s="75">
        <f>M1266+N1266</f>
        <v>1213.001608454841</v>
      </c>
      <c r="P1266" s="75">
        <f>(MIN(L1266,'THAM_SO_MOI'!$C$41)-O1266)/('THAM_SO_MOI'!$C$11*H1266)</f>
        <v>0.9801704332722048</v>
      </c>
      <c r="Q1266" s="75">
        <f>IF(P1266&gt;0,1/P1266,NA())</f>
        <v>1.020230733405818</v>
      </c>
      <c r="R1266" s="75">
        <f>F1266-F1265</f>
        <v>0.0032106047296869278</v>
      </c>
      <c r="S1266" s="75">
        <f>0.5*(Q1265+Q1266)*R1266</f>
        <v>0.0032755626646007153</v>
      </c>
      <c r="T1266" s="75">
        <f>0.5*(F1265*Q1265+F1266*Q1266)*R1266</f>
        <v>0.017431792057091826</v>
      </c>
      <c r="U1266" s="76">
        <f>U1265+S1266</f>
        <v>5.574076032412862</v>
      </c>
      <c r="V1266" s="76">
        <f>V1265+T1266</f>
        <v>18.82407339360222</v>
      </c>
    </row>
    <row r="1267" spans="1:22" ht="19" customHeight="1">
      <c r="A1267" s="68" t="s">
        <v>372</v>
      </c>
      <c r="B1267" s="74">
        <v>2</v>
      </c>
      <c r="C1267" s="68" t="s">
        <v>363</v>
      </c>
      <c r="D1267" s="68" t="s">
        <v>364</v>
      </c>
      <c r="E1267" s="75">
        <f>60*F1267*'THAM_SO_MOI'!$C$50/(2*PI()*'THAM_SO_MOI'!$C$26)</f>
        <v>2136.4179593959934</v>
      </c>
      <c r="F1267" s="75">
        <f>'HANH_TRINH'!$F$826+('THAM_SO_MOI'!$F$50-'HANH_TRINH'!$F$826)*440/'THAM_SO_MOI'!$C$42</f>
        <v>5.326586195167458</v>
      </c>
      <c r="G1267" s="75">
        <f>3.6*F1267</f>
        <v>19.175710302602848</v>
      </c>
      <c r="H1267" s="75">
        <f>'THAM_SO_MOI'!$D$50</f>
        <v>1.8785906709588276</v>
      </c>
      <c r="I1267" s="75">
        <f>IF(F1267&gt;'THAM_SO_MOI'!$C$14,'THAM_SO_MOI'!$C$13*(1+F1267^2/1500),'THAM_SO_MOI'!$C$13)</f>
        <v>0.015</v>
      </c>
      <c r="J1267" s="75">
        <f>'THAM_SO_MOI'!$C$40*('THAM_SO_MOI'!$C$23*(E1267/'THAM_SO_MOI'!$C$22)+'THAM_SO_MOI'!$C$24*(E1267/'THAM_SO_MOI'!$C$22)^2-'THAM_SO_MOI'!$C$25*(E1267/'THAM_SO_MOI'!$C$22)^3)</f>
        <v>96.20269964412536</v>
      </c>
      <c r="K1267" s="75">
        <f>'THAM_SO_MOI'!$C$31*J1267/E1267</f>
        <v>430.08506099046923</v>
      </c>
      <c r="L1267" s="75">
        <f>K1267*'THAM_SO_MOI'!$C$50*'THAM_SO_MOI'!$C$17/'THAM_SO_MOI'!$C$26</f>
        <v>15354.623158272585</v>
      </c>
      <c r="M1267" s="75">
        <f>'THAM_SO_MOI'!$C$15*'THAM_SO_MOI'!$C$16*F1267^2</f>
        <v>82.98962244655448</v>
      </c>
      <c r="N1267" s="75">
        <f>'THAM_SO_MOI'!$C$12*I1267</f>
        <v>1130.112</v>
      </c>
      <c r="O1267" s="75">
        <f>M1267+N1267</f>
        <v>1213.1016224465545</v>
      </c>
      <c r="P1267" s="75">
        <f>(MIN(L1267,'THAM_SO_MOI'!$C$41)-O1267)/('THAM_SO_MOI'!$C$11*H1267)</f>
        <v>0.9801730512360796</v>
      </c>
      <c r="Q1267" s="75">
        <f>IF(P1267&gt;0,1/P1267,NA())</f>
        <v>1.020228008451076</v>
      </c>
      <c r="R1267" s="75">
        <f>F1267-F1266</f>
        <v>0.0032106047296869278</v>
      </c>
      <c r="S1267" s="75">
        <f>0.5*(Q1266+Q1267)*R1267</f>
        <v>0.0032755532436683915</v>
      </c>
      <c r="T1267" s="75">
        <f>0.5*(F1266*Q1266+F1267*Q1267)*R1267</f>
        <v>0.017442258428869612</v>
      </c>
      <c r="U1267" s="76">
        <f>U1266+S1267</f>
        <v>5.5773515856565306</v>
      </c>
      <c r="V1267" s="76">
        <f>V1266+T1267</f>
        <v>18.841515652031088</v>
      </c>
    </row>
    <row r="1268" spans="1:22" ht="19" customHeight="1">
      <c r="A1268" s="68" t="s">
        <v>372</v>
      </c>
      <c r="B1268" s="74">
        <v>2</v>
      </c>
      <c r="C1268" s="68" t="s">
        <v>363</v>
      </c>
      <c r="D1268" s="68" t="s">
        <v>364</v>
      </c>
      <c r="E1268" s="75">
        <f>60*F1268*'THAM_SO_MOI'!$C$50/(2*PI()*'THAM_SO_MOI'!$C$26)</f>
        <v>2137.7056872865605</v>
      </c>
      <c r="F1268" s="75">
        <f>'HANH_TRINH'!$F$826+('THAM_SO_MOI'!$F$50-'HANH_TRINH'!$F$826)*441/'THAM_SO_MOI'!$C$42</f>
        <v>5.329796799897145</v>
      </c>
      <c r="G1268" s="75">
        <f>3.6*F1268</f>
        <v>19.187268479629722</v>
      </c>
      <c r="H1268" s="75">
        <f>'THAM_SO_MOI'!$D$50</f>
        <v>1.8785906709588276</v>
      </c>
      <c r="I1268" s="75">
        <f>IF(F1268&gt;'THAM_SO_MOI'!$C$14,'THAM_SO_MOI'!$C$13*(1+F1268^2/1500),'THAM_SO_MOI'!$C$13)</f>
        <v>0.015</v>
      </c>
      <c r="J1268" s="75">
        <f>'THAM_SO_MOI'!$C$40*('THAM_SO_MOI'!$C$23*(E1268/'THAM_SO_MOI'!$C$22)+'THAM_SO_MOI'!$C$24*(E1268/'THAM_SO_MOI'!$C$22)^2-'THAM_SO_MOI'!$C$25*(E1268/'THAM_SO_MOI'!$C$22)^3)</f>
        <v>96.26151369954081</v>
      </c>
      <c r="K1268" s="75">
        <f>'THAM_SO_MOI'!$C$31*J1268/E1268</f>
        <v>430.08875948875937</v>
      </c>
      <c r="L1268" s="75">
        <f>K1268*'THAM_SO_MOI'!$C$50*'THAM_SO_MOI'!$C$17/'THAM_SO_MOI'!$C$26</f>
        <v>15354.755199704961</v>
      </c>
      <c r="M1268" s="75">
        <f>'THAM_SO_MOI'!$C$15*'THAM_SO_MOI'!$C$16*F1268^2</f>
        <v>83.08969673996701</v>
      </c>
      <c r="N1268" s="75">
        <f>'THAM_SO_MOI'!$C$12*I1268</f>
        <v>1130.112</v>
      </c>
      <c r="O1268" s="75">
        <f>M1268+N1268</f>
        <v>1213.201696739967</v>
      </c>
      <c r="P1268" s="75">
        <f>(MIN(L1268,'THAM_SO_MOI'!$C$41)-O1268)/('THAM_SO_MOI'!$C$11*H1268)</f>
        <v>0.980175266933171</v>
      </c>
      <c r="Q1268" s="75">
        <f>IF(P1268&gt;0,1/P1268,NA())</f>
        <v>1.020225702214317</v>
      </c>
      <c r="R1268" s="75">
        <f>F1268-F1267</f>
        <v>0.0032106047296869278</v>
      </c>
      <c r="S1268" s="75">
        <f>0.5*(Q1267+Q1268)*R1268</f>
        <v>0.0032755451670847765</v>
      </c>
      <c r="T1268" s="75">
        <f>0.5*(F1267*Q1267+F1268*Q1268)*R1268</f>
        <v>0.017452731903100965</v>
      </c>
      <c r="U1268" s="76">
        <f>U1267+S1268</f>
        <v>5.580627130823616</v>
      </c>
      <c r="V1268" s="76">
        <f>V1267+T1268</f>
        <v>18.85896838393419</v>
      </c>
    </row>
    <row r="1269" spans="1:22" ht="19" customHeight="1">
      <c r="A1269" s="68" t="s">
        <v>372</v>
      </c>
      <c r="B1269" s="74">
        <v>2</v>
      </c>
      <c r="C1269" s="68" t="s">
        <v>363</v>
      </c>
      <c r="D1269" s="68" t="s">
        <v>364</v>
      </c>
      <c r="E1269" s="75">
        <f>60*F1269*'THAM_SO_MOI'!$C$50/(2*PI()*'THAM_SO_MOI'!$C$26)</f>
        <v>2138.993415177127</v>
      </c>
      <c r="F1269" s="75">
        <f>'HANH_TRINH'!$F$826+('THAM_SO_MOI'!$F$50-'HANH_TRINH'!$F$826)*442/'THAM_SO_MOI'!$C$42</f>
        <v>5.333007404626832</v>
      </c>
      <c r="G1269" s="75">
        <f>3.6*F1269</f>
        <v>19.198826656656596</v>
      </c>
      <c r="H1269" s="75">
        <f>'THAM_SO_MOI'!$D$50</f>
        <v>1.8785906709588276</v>
      </c>
      <c r="I1269" s="75">
        <f>IF(F1269&gt;'THAM_SO_MOI'!$C$14,'THAM_SO_MOI'!$C$13*(1+F1269^2/1500),'THAM_SO_MOI'!$C$13)</f>
        <v>0.015</v>
      </c>
      <c r="J1269" s="75">
        <f>'THAM_SO_MOI'!$C$40*('THAM_SO_MOI'!$C$23*(E1269/'THAM_SO_MOI'!$C$22)+'THAM_SO_MOI'!$C$24*(E1269/'THAM_SO_MOI'!$C$22)^2-'THAM_SO_MOI'!$C$25*(E1269/'THAM_SO_MOI'!$C$22)^3)</f>
        <v>96.3202927240304</v>
      </c>
      <c r="K1269" s="75">
        <f>'THAM_SO_MOI'!$C$31*J1269/E1269</f>
        <v>430.09229711271706</v>
      </c>
      <c r="L1269" s="75">
        <f>K1269*'THAM_SO_MOI'!$C$50*'THAM_SO_MOI'!$C$17/'THAM_SO_MOI'!$C$26</f>
        <v>15354.881497704293</v>
      </c>
      <c r="M1269" s="75">
        <f>'THAM_SO_MOI'!$C$15*'THAM_SO_MOI'!$C$16*F1269^2</f>
        <v>83.18983133507851</v>
      </c>
      <c r="N1269" s="75">
        <f>'THAM_SO_MOI'!$C$12*I1269</f>
        <v>1130.112</v>
      </c>
      <c r="O1269" s="75">
        <f>M1269+N1269</f>
        <v>1213.3018313350785</v>
      </c>
      <c r="P1269" s="75">
        <f>(MIN(L1269,'THAM_SO_MOI'!$C$41)-O1269)/('THAM_SO_MOI'!$C$11*H1269)</f>
        <v>0.9801770803634783</v>
      </c>
      <c r="Q1269" s="75">
        <f>IF(P1269&gt;0,1/P1269,NA())</f>
        <v>1.0202238146898628</v>
      </c>
      <c r="R1269" s="75">
        <f>F1269-F1268</f>
        <v>0.0032106047296869278</v>
      </c>
      <c r="S1269" s="75">
        <f>0.5*(Q1268+Q1269)*R1269</f>
        <v>0.003275538434829983</v>
      </c>
      <c r="T1269" s="75">
        <f>0.5*(F1268*Q1268+F1269*Q1269)*R1269</f>
        <v>0.017463212492628374</v>
      </c>
      <c r="U1269" s="76">
        <f>U1268+S1269</f>
        <v>5.583902669258446</v>
      </c>
      <c r="V1269" s="76">
        <f>V1268+T1269</f>
        <v>18.87643159642682</v>
      </c>
    </row>
    <row r="1270" spans="1:22" ht="19" customHeight="1">
      <c r="A1270" s="68" t="s">
        <v>372</v>
      </c>
      <c r="B1270" s="74">
        <v>2</v>
      </c>
      <c r="C1270" s="68" t="s">
        <v>363</v>
      </c>
      <c r="D1270" s="68" t="s">
        <v>364</v>
      </c>
      <c r="E1270" s="75">
        <f>60*F1270*'THAM_SO_MOI'!$C$50/(2*PI()*'THAM_SO_MOI'!$C$26)</f>
        <v>2140.281143067694</v>
      </c>
      <c r="F1270" s="75">
        <f>'HANH_TRINH'!$F$826+('THAM_SO_MOI'!$F$50-'HANH_TRINH'!$F$826)*443/'THAM_SO_MOI'!$C$42</f>
        <v>5.336218009356519</v>
      </c>
      <c r="G1270" s="75">
        <f>3.6*F1270</f>
        <v>19.210384833683467</v>
      </c>
      <c r="H1270" s="75">
        <f>'THAM_SO_MOI'!$D$50</f>
        <v>1.8785906709588276</v>
      </c>
      <c r="I1270" s="75">
        <f>IF(F1270&gt;'THAM_SO_MOI'!$C$14,'THAM_SO_MOI'!$C$13*(1+F1270^2/1500),'THAM_SO_MOI'!$C$13)</f>
        <v>0.015</v>
      </c>
      <c r="J1270" s="75">
        <f>'THAM_SO_MOI'!$C$40*('THAM_SO_MOI'!$C$23*(E1270/'THAM_SO_MOI'!$C$22)+'THAM_SO_MOI'!$C$24*(E1270/'THAM_SO_MOI'!$C$22)^2-'THAM_SO_MOI'!$C$25*(E1270/'THAM_SO_MOI'!$C$22)^3)</f>
        <v>96.37903665252449</v>
      </c>
      <c r="K1270" s="75">
        <f>'THAM_SO_MOI'!$C$31*J1270/E1270</f>
        <v>430.0956738623425</v>
      </c>
      <c r="L1270" s="75">
        <f>K1270*'THAM_SO_MOI'!$C$50*'THAM_SO_MOI'!$C$17/'THAM_SO_MOI'!$C$26</f>
        <v>15355.00205227059</v>
      </c>
      <c r="M1270" s="75">
        <f>'THAM_SO_MOI'!$C$15*'THAM_SO_MOI'!$C$16*F1270^2</f>
        <v>83.29002623188899</v>
      </c>
      <c r="N1270" s="75">
        <f>'THAM_SO_MOI'!$C$12*I1270</f>
        <v>1130.112</v>
      </c>
      <c r="O1270" s="75">
        <f>M1270+N1270</f>
        <v>1213.402026231889</v>
      </c>
      <c r="P1270" s="75">
        <f>(MIN(L1270,'THAM_SO_MOI'!$C$41)-O1270)/('THAM_SO_MOI'!$C$11*H1270)</f>
        <v>0.9801784915270022</v>
      </c>
      <c r="Q1270" s="75">
        <f>IF(P1270&gt;0,1/P1270,NA())</f>
        <v>1.0202223458730646</v>
      </c>
      <c r="R1270" s="75">
        <f>F1270-F1269</f>
        <v>0.0032106047296869278</v>
      </c>
      <c r="S1270" s="75">
        <f>0.5*(Q1269+Q1270)*R1270</f>
        <v>0.0032755330468874338</v>
      </c>
      <c r="T1270" s="75">
        <f>0.5*(F1269*Q1269+F1270*Q1270)*R1270</f>
        <v>0.017473700210311728</v>
      </c>
      <c r="U1270" s="76">
        <f>U1269+S1270</f>
        <v>5.587178202305333</v>
      </c>
      <c r="V1270" s="76">
        <f>V1269+T1270</f>
        <v>18.89390529663713</v>
      </c>
    </row>
    <row r="1271" spans="1:22" ht="19" customHeight="1">
      <c r="A1271" s="68" t="s">
        <v>372</v>
      </c>
      <c r="B1271" s="74">
        <v>2</v>
      </c>
      <c r="C1271" s="68" t="s">
        <v>363</v>
      </c>
      <c r="D1271" s="68" t="s">
        <v>364</v>
      </c>
      <c r="E1271" s="75">
        <f>60*F1271*'THAM_SO_MOI'!$C$50/(2*PI()*'THAM_SO_MOI'!$C$26)</f>
        <v>2141.5688709582605</v>
      </c>
      <c r="F1271" s="75">
        <f>'HANH_TRINH'!$F$826+('THAM_SO_MOI'!$F$50-'HANH_TRINH'!$F$826)*444/'THAM_SO_MOI'!$C$42</f>
        <v>5.339428614086206</v>
      </c>
      <c r="G1271" s="75">
        <f>3.6*F1271</f>
        <v>19.22194301071034</v>
      </c>
      <c r="H1271" s="75">
        <f>'THAM_SO_MOI'!$D$50</f>
        <v>1.8785906709588276</v>
      </c>
      <c r="I1271" s="75">
        <f>IF(F1271&gt;'THAM_SO_MOI'!$C$14,'THAM_SO_MOI'!$C$13*(1+F1271^2/1500),'THAM_SO_MOI'!$C$13)</f>
        <v>0.015</v>
      </c>
      <c r="J1271" s="75">
        <f>'THAM_SO_MOI'!$C$40*('THAM_SO_MOI'!$C$23*(E1271/'THAM_SO_MOI'!$C$22)+'THAM_SO_MOI'!$C$24*(E1271/'THAM_SO_MOI'!$C$22)^2-'THAM_SO_MOI'!$C$25*(E1271/'THAM_SO_MOI'!$C$22)^3)</f>
        <v>96.4377454199534</v>
      </c>
      <c r="K1271" s="75">
        <f>'THAM_SO_MOI'!$C$31*J1271/E1271</f>
        <v>430.09888973763583</v>
      </c>
      <c r="L1271" s="75">
        <f>K1271*'THAM_SO_MOI'!$C$50*'THAM_SO_MOI'!$C$17/'THAM_SO_MOI'!$C$26</f>
        <v>15355.116863403857</v>
      </c>
      <c r="M1271" s="75">
        <f>'THAM_SO_MOI'!$C$15*'THAM_SO_MOI'!$C$16*F1271^2</f>
        <v>83.39028143039843</v>
      </c>
      <c r="N1271" s="75">
        <f>'THAM_SO_MOI'!$C$12*I1271</f>
        <v>1130.112</v>
      </c>
      <c r="O1271" s="75">
        <f>M1271+N1271</f>
        <v>1213.5022814303984</v>
      </c>
      <c r="P1271" s="75">
        <f>(MIN(L1271,'THAM_SO_MOI'!$C$41)-O1271)/('THAM_SO_MOI'!$C$11*H1271)</f>
        <v>0.9801795004237429</v>
      </c>
      <c r="Q1271" s="75">
        <f>IF(P1271&gt;0,1/P1271,NA())</f>
        <v>1.0202212957603056</v>
      </c>
      <c r="R1271" s="75">
        <f>F1271-F1270</f>
        <v>0.0032106047296869278</v>
      </c>
      <c r="S1271" s="75">
        <f>0.5*(Q1270+Q1271)*R1271</f>
        <v>0.0032755290032438584</v>
      </c>
      <c r="T1271" s="75">
        <f>0.5*(F1270*Q1270+F1271*Q1271)*R1271</f>
        <v>0.01748419506902837</v>
      </c>
      <c r="U1271" s="76">
        <f>U1270+S1271</f>
        <v>5.590453731308577</v>
      </c>
      <c r="V1271" s="76">
        <f>V1270+T1271</f>
        <v>18.911389491706156</v>
      </c>
    </row>
    <row r="1272" spans="1:22" ht="19" customHeight="1">
      <c r="A1272" s="68" t="s">
        <v>372</v>
      </c>
      <c r="B1272" s="74">
        <v>2</v>
      </c>
      <c r="C1272" s="68" t="s">
        <v>363</v>
      </c>
      <c r="D1272" s="68" t="s">
        <v>364</v>
      </c>
      <c r="E1272" s="75">
        <f>60*F1272*'THAM_SO_MOI'!$C$50/(2*PI()*'THAM_SO_MOI'!$C$26)</f>
        <v>2142.8565988488267</v>
      </c>
      <c r="F1272" s="75">
        <f>'HANH_TRINH'!$F$826+('THAM_SO_MOI'!$F$50-'HANH_TRINH'!$F$826)*445/'THAM_SO_MOI'!$C$42</f>
        <v>5.342639218815892</v>
      </c>
      <c r="G1272" s="75">
        <f>3.6*F1272</f>
        <v>19.23350118773721</v>
      </c>
      <c r="H1272" s="75">
        <f>'THAM_SO_MOI'!$D$50</f>
        <v>1.8785906709588276</v>
      </c>
      <c r="I1272" s="75">
        <f>IF(F1272&gt;'THAM_SO_MOI'!$C$14,'THAM_SO_MOI'!$C$13*(1+F1272^2/1500),'THAM_SO_MOI'!$C$13)</f>
        <v>0.015</v>
      </c>
      <c r="J1272" s="75">
        <f>'THAM_SO_MOI'!$C$40*('THAM_SO_MOI'!$C$23*(E1272/'THAM_SO_MOI'!$C$22)+'THAM_SO_MOI'!$C$24*(E1272/'THAM_SO_MOI'!$C$22)^2-'THAM_SO_MOI'!$C$25*(E1272/'THAM_SO_MOI'!$C$22)^3)</f>
        <v>96.4964189612474</v>
      </c>
      <c r="K1272" s="75">
        <f>'THAM_SO_MOI'!$C$31*J1272/E1272</f>
        <v>430.1019447385969</v>
      </c>
      <c r="L1272" s="75">
        <f>K1272*'THAM_SO_MOI'!$C$50*'THAM_SO_MOI'!$C$17/'THAM_SO_MOI'!$C$26</f>
        <v>15355.225931104087</v>
      </c>
      <c r="M1272" s="75">
        <f>'THAM_SO_MOI'!$C$15*'THAM_SO_MOI'!$C$16*F1272^2</f>
        <v>83.49059693060683</v>
      </c>
      <c r="N1272" s="75">
        <f>'THAM_SO_MOI'!$C$12*I1272</f>
        <v>1130.112</v>
      </c>
      <c r="O1272" s="75">
        <f>M1272+N1272</f>
        <v>1213.602596930607</v>
      </c>
      <c r="P1272" s="75">
        <f>(MIN(L1272,'THAM_SO_MOI'!$C$41)-O1272)/('THAM_SO_MOI'!$C$11*H1272)</f>
        <v>0.9801801070536998</v>
      </c>
      <c r="Q1272" s="75">
        <f>IF(P1272&gt;0,1/P1272,NA())</f>
        <v>1.0202206643490004</v>
      </c>
      <c r="R1272" s="75">
        <f>F1272-F1271</f>
        <v>0.0032106047296860396</v>
      </c>
      <c r="S1272" s="75">
        <f>0.5*(Q1271+Q1272)*R1272</f>
        <v>0.003275526303888396</v>
      </c>
      <c r="T1272" s="75">
        <f>0.5*(F1271*Q1271+F1272*Q1272)*R1272</f>
        <v>0.01749469708166832</v>
      </c>
      <c r="U1272" s="76">
        <f>U1271+S1272</f>
        <v>5.593729257612466</v>
      </c>
      <c r="V1272" s="76">
        <f>V1271+T1272</f>
        <v>18.928884188787826</v>
      </c>
    </row>
    <row r="1273" spans="1:22" ht="19" customHeight="1">
      <c r="A1273" s="68" t="s">
        <v>372</v>
      </c>
      <c r="B1273" s="74">
        <v>2</v>
      </c>
      <c r="C1273" s="68" t="s">
        <v>363</v>
      </c>
      <c r="D1273" s="68" t="s">
        <v>364</v>
      </c>
      <c r="E1273" s="75">
        <f>60*F1273*'THAM_SO_MOI'!$C$50/(2*PI()*'THAM_SO_MOI'!$C$26)</f>
        <v>2144.1443267393934</v>
      </c>
      <c r="F1273" s="75">
        <f>'HANH_TRINH'!$F$826+('THAM_SO_MOI'!$F$50-'HANH_TRINH'!$F$826)*446/'THAM_SO_MOI'!$C$42</f>
        <v>5.345849823545579</v>
      </c>
      <c r="G1273" s="75">
        <f>3.6*F1273</f>
        <v>19.245059364764085</v>
      </c>
      <c r="H1273" s="75">
        <f>'THAM_SO_MOI'!$D$50</f>
        <v>1.8785906709588276</v>
      </c>
      <c r="I1273" s="75">
        <f>IF(F1273&gt;'THAM_SO_MOI'!$C$14,'THAM_SO_MOI'!$C$13*(1+F1273^2/1500),'THAM_SO_MOI'!$C$13)</f>
        <v>0.015</v>
      </c>
      <c r="J1273" s="75">
        <f>'THAM_SO_MOI'!$C$40*('THAM_SO_MOI'!$C$23*(E1273/'THAM_SO_MOI'!$C$22)+'THAM_SO_MOI'!$C$24*(E1273/'THAM_SO_MOI'!$C$22)^2-'THAM_SO_MOI'!$C$25*(E1273/'THAM_SO_MOI'!$C$22)^3)</f>
        <v>96.55505721133682</v>
      </c>
      <c r="K1273" s="75">
        <f>'THAM_SO_MOI'!$C$31*J1273/E1273</f>
        <v>430.10483886522576</v>
      </c>
      <c r="L1273" s="75">
        <f>K1273*'THAM_SO_MOI'!$C$50*'THAM_SO_MOI'!$C$17/'THAM_SO_MOI'!$C$26</f>
        <v>15355.329255371282</v>
      </c>
      <c r="M1273" s="75">
        <f>'THAM_SO_MOI'!$C$15*'THAM_SO_MOI'!$C$16*F1273^2</f>
        <v>83.59097273251422</v>
      </c>
      <c r="N1273" s="75">
        <f>'THAM_SO_MOI'!$C$12*I1273</f>
        <v>1130.112</v>
      </c>
      <c r="O1273" s="75">
        <f>M1273+N1273</f>
        <v>1213.7029727325144</v>
      </c>
      <c r="P1273" s="75">
        <f>(MIN(L1273,'THAM_SO_MOI'!$C$41)-O1273)/('THAM_SO_MOI'!$C$11*H1273)</f>
        <v>0.9801803114168732</v>
      </c>
      <c r="Q1273" s="75">
        <f>IF(P1273&gt;0,1/P1273,NA())</f>
        <v>1.0202204516375941</v>
      </c>
      <c r="R1273" s="75">
        <f>F1273-F1272</f>
        <v>0.0032106047296869278</v>
      </c>
      <c r="S1273" s="75">
        <f>0.5*(Q1272+Q1273)*R1273</f>
        <v>0.0032755249488171166</v>
      </c>
      <c r="T1273" s="75">
        <f>0.5*(F1272*Q1272+F1273*Q1273)*R1273</f>
        <v>0.017505206261158528</v>
      </c>
      <c r="U1273" s="76">
        <f>U1272+S1273</f>
        <v>5.597004782561283</v>
      </c>
      <c r="V1273" s="76">
        <f>V1272+T1273</f>
        <v>18.946389395048985</v>
      </c>
    </row>
    <row r="1274" spans="1:22" ht="19" customHeight="1">
      <c r="A1274" s="68" t="s">
        <v>372</v>
      </c>
      <c r="B1274" s="74">
        <v>2</v>
      </c>
      <c r="C1274" s="68" t="s">
        <v>363</v>
      </c>
      <c r="D1274" s="68" t="s">
        <v>364</v>
      </c>
      <c r="E1274" s="75">
        <f>60*F1274*'THAM_SO_MOI'!$C$50/(2*PI()*'THAM_SO_MOI'!$C$26)</f>
        <v>2145.4320546299605</v>
      </c>
      <c r="F1274" s="75">
        <f>'HANH_TRINH'!$F$826+('THAM_SO_MOI'!$F$50-'HANH_TRINH'!$F$826)*447/'THAM_SO_MOI'!$C$42</f>
        <v>5.349060428275266</v>
      </c>
      <c r="G1274" s="75">
        <f>3.6*F1274</f>
        <v>19.256617541790956</v>
      </c>
      <c r="H1274" s="75">
        <f>'THAM_SO_MOI'!$D$50</f>
        <v>1.8785906709588276</v>
      </c>
      <c r="I1274" s="75">
        <f>IF(F1274&gt;'THAM_SO_MOI'!$C$14,'THAM_SO_MOI'!$C$13*(1+F1274^2/1500),'THAM_SO_MOI'!$C$13)</f>
        <v>0.015</v>
      </c>
      <c r="J1274" s="75">
        <f>'THAM_SO_MOI'!$C$40*('THAM_SO_MOI'!$C$23*(E1274/'THAM_SO_MOI'!$C$22)+'THAM_SO_MOI'!$C$24*(E1274/'THAM_SO_MOI'!$C$22)^2-'THAM_SO_MOI'!$C$25*(E1274/'THAM_SO_MOI'!$C$22)^3)</f>
        <v>96.61366010515194</v>
      </c>
      <c r="K1274" s="75">
        <f>'THAM_SO_MOI'!$C$31*J1274/E1274</f>
        <v>430.1075721175222</v>
      </c>
      <c r="L1274" s="75">
        <f>K1274*'THAM_SO_MOI'!$C$50*'THAM_SO_MOI'!$C$17/'THAM_SO_MOI'!$C$26</f>
        <v>15355.426836205435</v>
      </c>
      <c r="M1274" s="75">
        <f>'THAM_SO_MOI'!$C$15*'THAM_SO_MOI'!$C$16*F1274^2</f>
        <v>83.69140883612059</v>
      </c>
      <c r="N1274" s="75">
        <f>'THAM_SO_MOI'!$C$12*I1274</f>
        <v>1130.112</v>
      </c>
      <c r="O1274" s="75">
        <f>M1274+N1274</f>
        <v>1213.8034088361208</v>
      </c>
      <c r="P1274" s="75">
        <f>(MIN(L1274,'THAM_SO_MOI'!$C$41)-O1274)/('THAM_SO_MOI'!$C$11*H1274)</f>
        <v>0.9801801135132625</v>
      </c>
      <c r="Q1274" s="75">
        <f>IF(P1274&gt;0,1/P1274,NA())</f>
        <v>1.0202206576255632</v>
      </c>
      <c r="R1274" s="75">
        <f>F1274-F1273</f>
        <v>0.0032106047296869278</v>
      </c>
      <c r="S1274" s="75">
        <f>0.5*(Q1273+Q1274)*R1274</f>
        <v>0.003275524938023967</v>
      </c>
      <c r="T1274" s="75">
        <f>0.5*(F1273*Q1273+F1274*Q1274)*R1274</f>
        <v>0.017515722620414512</v>
      </c>
      <c r="U1274" s="76">
        <f>U1273+S1274</f>
        <v>5.6002803074993075</v>
      </c>
      <c r="V1274" s="76">
        <f>V1273+T1274</f>
        <v>18.9639051176694</v>
      </c>
    </row>
    <row r="1275" spans="1:22" ht="19" customHeight="1">
      <c r="A1275" s="68" t="s">
        <v>372</v>
      </c>
      <c r="B1275" s="74">
        <v>2</v>
      </c>
      <c r="C1275" s="68" t="s">
        <v>363</v>
      </c>
      <c r="D1275" s="68" t="s">
        <v>364</v>
      </c>
      <c r="E1275" s="75">
        <f>60*F1275*'THAM_SO_MOI'!$C$50/(2*PI()*'THAM_SO_MOI'!$C$26)</f>
        <v>2146.719782520527</v>
      </c>
      <c r="F1275" s="75">
        <f>'HANH_TRINH'!$F$826+('THAM_SO_MOI'!$F$50-'HANH_TRINH'!$F$826)*448/'THAM_SO_MOI'!$C$42</f>
        <v>5.3522710330049525</v>
      </c>
      <c r="G1275" s="75">
        <f>3.6*F1275</f>
        <v>19.26817571881783</v>
      </c>
      <c r="H1275" s="75">
        <f>'THAM_SO_MOI'!$D$50</f>
        <v>1.8785906709588276</v>
      </c>
      <c r="I1275" s="75">
        <f>IF(F1275&gt;'THAM_SO_MOI'!$C$14,'THAM_SO_MOI'!$C$13*(1+F1275^2/1500),'THAM_SO_MOI'!$C$13)</f>
        <v>0.015</v>
      </c>
      <c r="J1275" s="75">
        <f>'THAM_SO_MOI'!$C$40*('THAM_SO_MOI'!$C$23*(E1275/'THAM_SO_MOI'!$C$22)+'THAM_SO_MOI'!$C$24*(E1275/'THAM_SO_MOI'!$C$22)^2-'THAM_SO_MOI'!$C$25*(E1275/'THAM_SO_MOI'!$C$22)^3)</f>
        <v>96.67222757762308</v>
      </c>
      <c r="K1275" s="75">
        <f>'THAM_SO_MOI'!$C$31*J1275/E1275</f>
        <v>430.1101444954865</v>
      </c>
      <c r="L1275" s="75">
        <f>K1275*'THAM_SO_MOI'!$C$50*'THAM_SO_MOI'!$C$17/'THAM_SO_MOI'!$C$26</f>
        <v>15355.518673606559</v>
      </c>
      <c r="M1275" s="75">
        <f>'THAM_SO_MOI'!$C$15*'THAM_SO_MOI'!$C$16*F1275^2</f>
        <v>83.79190524142592</v>
      </c>
      <c r="N1275" s="75">
        <f>'THAM_SO_MOI'!$C$12*I1275</f>
        <v>1130.112</v>
      </c>
      <c r="O1275" s="75">
        <f>M1275+N1275</f>
        <v>1213.903905241426</v>
      </c>
      <c r="P1275" s="75">
        <f>(MIN(L1275,'THAM_SO_MOI'!$C$41)-O1275)/('THAM_SO_MOI'!$C$11*H1275)</f>
        <v>0.9801795133428687</v>
      </c>
      <c r="Q1275" s="75">
        <f>IF(P1275&gt;0,1/P1275,NA())</f>
        <v>1.0202212823134145</v>
      </c>
      <c r="R1275" s="75">
        <f>F1275-F1274</f>
        <v>0.0032106047296869278</v>
      </c>
      <c r="S1275" s="75">
        <f>0.5*(Q1274+Q1275)*R1275</f>
        <v>0.003275526271509826</v>
      </c>
      <c r="T1275" s="75">
        <f>0.5*(F1274*Q1274+F1275*Q1275)*R1275</f>
        <v>0.017526246172388817</v>
      </c>
      <c r="U1275" s="76">
        <f>U1274+S1275</f>
        <v>5.603555833770817</v>
      </c>
      <c r="V1275" s="76">
        <f>V1274+T1275</f>
        <v>18.981431363841786</v>
      </c>
    </row>
    <row r="1276" spans="1:22" ht="19" customHeight="1">
      <c r="A1276" s="68" t="s">
        <v>372</v>
      </c>
      <c r="B1276" s="74">
        <v>2</v>
      </c>
      <c r="C1276" s="68" t="s">
        <v>363</v>
      </c>
      <c r="D1276" s="68" t="s">
        <v>364</v>
      </c>
      <c r="E1276" s="75">
        <f>60*F1276*'THAM_SO_MOI'!$C$50/(2*PI()*'THAM_SO_MOI'!$C$26)</f>
        <v>2148.007510411094</v>
      </c>
      <c r="F1276" s="75">
        <f>'HANH_TRINH'!$F$826+('THAM_SO_MOI'!$F$50-'HANH_TRINH'!$F$826)*449/'THAM_SO_MOI'!$C$42</f>
        <v>5.3554816377346395</v>
      </c>
      <c r="G1276" s="75">
        <f>3.6*F1276</f>
        <v>19.279733895844704</v>
      </c>
      <c r="H1276" s="75">
        <f>'THAM_SO_MOI'!$D$50</f>
        <v>1.8785906709588276</v>
      </c>
      <c r="I1276" s="75">
        <f>IF(F1276&gt;'THAM_SO_MOI'!$C$14,'THAM_SO_MOI'!$C$13*(1+F1276^2/1500),'THAM_SO_MOI'!$C$13)</f>
        <v>0.015</v>
      </c>
      <c r="J1276" s="75">
        <f>'THAM_SO_MOI'!$C$40*('THAM_SO_MOI'!$C$23*(E1276/'THAM_SO_MOI'!$C$22)+'THAM_SO_MOI'!$C$24*(E1276/'THAM_SO_MOI'!$C$22)^2-'THAM_SO_MOI'!$C$25*(E1276/'THAM_SO_MOI'!$C$22)^3)</f>
        <v>96.73075956368054</v>
      </c>
      <c r="K1276" s="75">
        <f>'THAM_SO_MOI'!$C$31*J1276/E1276</f>
        <v>430.11255599911874</v>
      </c>
      <c r="L1276" s="75">
        <f>K1276*'THAM_SO_MOI'!$C$50*'THAM_SO_MOI'!$C$17/'THAM_SO_MOI'!$C$26</f>
        <v>15355.60476757465</v>
      </c>
      <c r="M1276" s="75">
        <f>'THAM_SO_MOI'!$C$15*'THAM_SO_MOI'!$C$16*F1276^2</f>
        <v>83.89246194843022</v>
      </c>
      <c r="N1276" s="75">
        <f>'THAM_SO_MOI'!$C$12*I1276</f>
        <v>1130.112</v>
      </c>
      <c r="O1276" s="75">
        <f>M1276+N1276</f>
        <v>1214.0044619484304</v>
      </c>
      <c r="P1276" s="75">
        <f>(MIN(L1276,'THAM_SO_MOI'!$C$41)-O1276)/('THAM_SO_MOI'!$C$11*H1276)</f>
        <v>0.9801785109056915</v>
      </c>
      <c r="Q1276" s="75">
        <f>IF(P1276&gt;0,1/P1276,NA())</f>
        <v>1.020222325702686</v>
      </c>
      <c r="R1276" s="75">
        <f>F1276-F1275</f>
        <v>0.0032106047296869278</v>
      </c>
      <c r="S1276" s="75">
        <f>0.5*(Q1275+Q1276)*R1276</f>
        <v>0.003275528949277976</v>
      </c>
      <c r="T1276" s="75">
        <f>0.5*(F1275*Q1275+F1276*Q1276)*R1276</f>
        <v>0.01753677693004686</v>
      </c>
      <c r="U1276" s="76">
        <f>U1275+S1276</f>
        <v>5.6068313627200945</v>
      </c>
      <c r="V1276" s="76">
        <f>V1275+T1276</f>
        <v>18.998968140771833</v>
      </c>
    </row>
    <row r="1277" spans="1:22" ht="19" customHeight="1">
      <c r="A1277" s="68" t="s">
        <v>372</v>
      </c>
      <c r="B1277" s="74">
        <v>2</v>
      </c>
      <c r="C1277" s="68" t="s">
        <v>363</v>
      </c>
      <c r="D1277" s="68" t="s">
        <v>364</v>
      </c>
      <c r="E1277" s="75">
        <f>60*F1277*'THAM_SO_MOI'!$C$50/(2*PI()*'THAM_SO_MOI'!$C$26)</f>
        <v>2149.2952383016604</v>
      </c>
      <c r="F1277" s="75">
        <f>'HANH_TRINH'!$F$826+('THAM_SO_MOI'!$F$50-'HANH_TRINH'!$F$826)*450/'THAM_SO_MOI'!$C$42</f>
        <v>5.358692242464326</v>
      </c>
      <c r="G1277" s="75">
        <f>3.6*F1277</f>
        <v>19.291292072871574</v>
      </c>
      <c r="H1277" s="75">
        <f>'THAM_SO_MOI'!$D$50</f>
        <v>1.8785906709588276</v>
      </c>
      <c r="I1277" s="75">
        <f>IF(F1277&gt;'THAM_SO_MOI'!$C$14,'THAM_SO_MOI'!$C$13*(1+F1277^2/1500),'THAM_SO_MOI'!$C$13)</f>
        <v>0.015</v>
      </c>
      <c r="J1277" s="75">
        <f>'THAM_SO_MOI'!$C$40*('THAM_SO_MOI'!$C$23*(E1277/'THAM_SO_MOI'!$C$22)+'THAM_SO_MOI'!$C$24*(E1277/'THAM_SO_MOI'!$C$22)^2-'THAM_SO_MOI'!$C$25*(E1277/'THAM_SO_MOI'!$C$22)^3)</f>
        <v>96.78925599825455</v>
      </c>
      <c r="K1277" s="75">
        <f>'THAM_SO_MOI'!$C$31*J1277/E1277</f>
        <v>430.1148066284184</v>
      </c>
      <c r="L1277" s="75">
        <f>K1277*'THAM_SO_MOI'!$C$50*'THAM_SO_MOI'!$C$17/'THAM_SO_MOI'!$C$26</f>
        <v>15355.685118109695</v>
      </c>
      <c r="M1277" s="75">
        <f>'THAM_SO_MOI'!$C$15*'THAM_SO_MOI'!$C$16*F1277^2</f>
        <v>83.9930789571335</v>
      </c>
      <c r="N1277" s="75">
        <f>'THAM_SO_MOI'!$C$12*I1277</f>
        <v>1130.112</v>
      </c>
      <c r="O1277" s="75">
        <f>M1277+N1277</f>
        <v>1214.1050789571336</v>
      </c>
      <c r="P1277" s="75">
        <f>(MIN(L1277,'THAM_SO_MOI'!$C$41)-O1277)/('THAM_SO_MOI'!$C$11*H1277)</f>
        <v>0.98017710620173</v>
      </c>
      <c r="Q1277" s="75">
        <f>IF(P1277&gt;0,1/P1277,NA())</f>
        <v>1.0202237877959477</v>
      </c>
      <c r="R1277" s="75">
        <f>F1277-F1276</f>
        <v>0.0032106047296869278</v>
      </c>
      <c r="S1277" s="75">
        <f>0.5*(Q1276+Q1277)*R1277</f>
        <v>0.003275532971335012</v>
      </c>
      <c r="T1277" s="75">
        <f>0.5*(F1276*Q1276+F1277*Q1277)*R1277</f>
        <v>0.01754731490637185</v>
      </c>
      <c r="U1277" s="76">
        <f>U1276+S1277</f>
        <v>5.6101068956914295</v>
      </c>
      <c r="V1277" s="76">
        <f>V1276+T1277</f>
        <v>19.016515455678206</v>
      </c>
    </row>
    <row r="1278" spans="1:22" ht="19" customHeight="1">
      <c r="A1278" s="68" t="s">
        <v>372</v>
      </c>
      <c r="B1278" s="74">
        <v>2</v>
      </c>
      <c r="C1278" s="68" t="s">
        <v>363</v>
      </c>
      <c r="D1278" s="68" t="s">
        <v>364</v>
      </c>
      <c r="E1278" s="75">
        <f>60*F1278*'THAM_SO_MOI'!$C$50/(2*PI()*'THAM_SO_MOI'!$C$26)</f>
        <v>2150.582966192227</v>
      </c>
      <c r="F1278" s="75">
        <f>'HANH_TRINH'!$F$826+('THAM_SO_MOI'!$F$50-'HANH_TRINH'!$F$826)*451/'THAM_SO_MOI'!$C$42</f>
        <v>5.361902847194013</v>
      </c>
      <c r="G1278" s="75">
        <f>3.6*F1278</f>
        <v>19.302850249898448</v>
      </c>
      <c r="H1278" s="75">
        <f>'THAM_SO_MOI'!$D$50</f>
        <v>1.8785906709588276</v>
      </c>
      <c r="I1278" s="75">
        <f>IF(F1278&gt;'THAM_SO_MOI'!$C$14,'THAM_SO_MOI'!$C$13*(1+F1278^2/1500),'THAM_SO_MOI'!$C$13)</f>
        <v>0.015</v>
      </c>
      <c r="J1278" s="75">
        <f>'THAM_SO_MOI'!$C$40*('THAM_SO_MOI'!$C$23*(E1278/'THAM_SO_MOI'!$C$22)+'THAM_SO_MOI'!$C$24*(E1278/'THAM_SO_MOI'!$C$22)^2-'THAM_SO_MOI'!$C$25*(E1278/'THAM_SO_MOI'!$C$22)^3)</f>
        <v>96.84771681627551</v>
      </c>
      <c r="K1278" s="75">
        <f>'THAM_SO_MOI'!$C$31*J1278/E1278</f>
        <v>430.116896383386</v>
      </c>
      <c r="L1278" s="75">
        <f>K1278*'THAM_SO_MOI'!$C$50*'THAM_SO_MOI'!$C$17/'THAM_SO_MOI'!$C$26</f>
        <v>15355.759725211708</v>
      </c>
      <c r="M1278" s="75">
        <f>'THAM_SO_MOI'!$C$15*'THAM_SO_MOI'!$C$16*F1278^2</f>
        <v>84.09375626753577</v>
      </c>
      <c r="N1278" s="75">
        <f>'THAM_SO_MOI'!$C$12*I1278</f>
        <v>1130.112</v>
      </c>
      <c r="O1278" s="75">
        <f>M1278+N1278</f>
        <v>1214.205756267536</v>
      </c>
      <c r="P1278" s="75">
        <f>(MIN(L1278,'THAM_SO_MOI'!$C$41)-O1278)/('THAM_SO_MOI'!$C$11*H1278)</f>
        <v>0.980175299230985</v>
      </c>
      <c r="Q1278" s="75">
        <f>IF(P1278&gt;0,1/P1278,NA())</f>
        <v>1.0202256685967999</v>
      </c>
      <c r="R1278" s="75">
        <f>F1278-F1277</f>
        <v>0.0032106047296869278</v>
      </c>
      <c r="S1278" s="75">
        <f>0.5*(Q1277+Q1278)*R1278</f>
        <v>0.0032755383376908377</v>
      </c>
      <c r="T1278" s="75">
        <f>0.5*(F1277*Q1277+F1278*Q1278)*R1278</f>
        <v>0.017557860114364835</v>
      </c>
      <c r="U1278" s="76">
        <f>U1277+S1278</f>
        <v>5.613382434029121</v>
      </c>
      <c r="V1278" s="76">
        <f>V1277+T1278</f>
        <v>19.034073315792572</v>
      </c>
    </row>
    <row r="1279" spans="1:22" ht="19" customHeight="1">
      <c r="A1279" s="68" t="s">
        <v>372</v>
      </c>
      <c r="B1279" s="74">
        <v>2</v>
      </c>
      <c r="C1279" s="68" t="s">
        <v>363</v>
      </c>
      <c r="D1279" s="68" t="s">
        <v>364</v>
      </c>
      <c r="E1279" s="75">
        <f>60*F1279*'THAM_SO_MOI'!$C$50/(2*PI()*'THAM_SO_MOI'!$C$26)</f>
        <v>2151.8706940827938</v>
      </c>
      <c r="F1279" s="75">
        <f>'HANH_TRINH'!$F$826+('THAM_SO_MOI'!$F$50-'HANH_TRINH'!$F$826)*452/'THAM_SO_MOI'!$C$42</f>
        <v>5.365113451923699</v>
      </c>
      <c r="G1279" s="75">
        <f>3.6*F1279</f>
        <v>19.31440842692532</v>
      </c>
      <c r="H1279" s="75">
        <f>'THAM_SO_MOI'!$D$50</f>
        <v>1.8785906709588276</v>
      </c>
      <c r="I1279" s="75">
        <f>IF(F1279&gt;'THAM_SO_MOI'!$C$14,'THAM_SO_MOI'!$C$13*(1+F1279^2/1500),'THAM_SO_MOI'!$C$13)</f>
        <v>0.015</v>
      </c>
      <c r="J1279" s="75">
        <f>'THAM_SO_MOI'!$C$40*('THAM_SO_MOI'!$C$23*(E1279/'THAM_SO_MOI'!$C$22)+'THAM_SO_MOI'!$C$24*(E1279/'THAM_SO_MOI'!$C$22)^2-'THAM_SO_MOI'!$C$25*(E1279/'THAM_SO_MOI'!$C$22)^3)</f>
        <v>96.90614195267369</v>
      </c>
      <c r="K1279" s="75">
        <f>'THAM_SO_MOI'!$C$31*J1279/E1279</f>
        <v>430.1188252640214</v>
      </c>
      <c r="L1279" s="75">
        <f>K1279*'THAM_SO_MOI'!$C$50*'THAM_SO_MOI'!$C$17/'THAM_SO_MOI'!$C$26</f>
        <v>15355.82858888069</v>
      </c>
      <c r="M1279" s="75">
        <f>'THAM_SO_MOI'!$C$15*'THAM_SO_MOI'!$C$16*F1279^2</f>
        <v>84.19449387963695</v>
      </c>
      <c r="N1279" s="75">
        <f>'THAM_SO_MOI'!$C$12*I1279</f>
        <v>1130.112</v>
      </c>
      <c r="O1279" s="75">
        <f>M1279+N1279</f>
        <v>1214.306493879637</v>
      </c>
      <c r="P1279" s="75">
        <f>(MIN(L1279,'THAM_SO_MOI'!$C$41)-O1279)/('THAM_SO_MOI'!$C$11*H1279)</f>
        <v>0.9801730899934569</v>
      </c>
      <c r="Q1279" s="75">
        <f>IF(P1279&gt;0,1/P1279,NA())</f>
        <v>1.0202279681098727</v>
      </c>
      <c r="R1279" s="75">
        <f>F1279-F1278</f>
        <v>0.0032106047296860396</v>
      </c>
      <c r="S1279" s="75">
        <f>0.5*(Q1278+Q1279)*R1279</f>
        <v>0.0032755450483577613</v>
      </c>
      <c r="T1279" s="75">
        <f>0.5*(F1278*Q1278+F1279*Q1279)*R1279</f>
        <v>0.017568412567039848</v>
      </c>
      <c r="U1279" s="76">
        <f>U1278+S1279</f>
        <v>5.616657979077479</v>
      </c>
      <c r="V1279" s="76">
        <f>V1278+T1279</f>
        <v>19.051641728359613</v>
      </c>
    </row>
    <row r="1280" spans="1:22" ht="19" customHeight="1">
      <c r="A1280" s="68" t="s">
        <v>372</v>
      </c>
      <c r="B1280" s="74">
        <v>2</v>
      </c>
      <c r="C1280" s="68" t="s">
        <v>363</v>
      </c>
      <c r="D1280" s="68" t="s">
        <v>364</v>
      </c>
      <c r="E1280" s="75">
        <f>60*F1280*'THAM_SO_MOI'!$C$50/(2*PI()*'THAM_SO_MOI'!$C$26)</f>
        <v>2153.1584219733604</v>
      </c>
      <c r="F1280" s="75">
        <f>'HANH_TRINH'!$F$826+('THAM_SO_MOI'!$F$50-'HANH_TRINH'!$F$826)*453/'THAM_SO_MOI'!$C$42</f>
        <v>5.368324056653386</v>
      </c>
      <c r="G1280" s="75">
        <f>3.6*F1280</f>
        <v>19.325966603952192</v>
      </c>
      <c r="H1280" s="75">
        <f>'THAM_SO_MOI'!$D$50</f>
        <v>1.8785906709588276</v>
      </c>
      <c r="I1280" s="75">
        <f>IF(F1280&gt;'THAM_SO_MOI'!$C$14,'THAM_SO_MOI'!$C$13*(1+F1280^2/1500),'THAM_SO_MOI'!$C$13)</f>
        <v>0.015</v>
      </c>
      <c r="J1280" s="75">
        <f>'THAM_SO_MOI'!$C$40*('THAM_SO_MOI'!$C$23*(E1280/'THAM_SO_MOI'!$C$22)+'THAM_SO_MOI'!$C$24*(E1280/'THAM_SO_MOI'!$C$22)^2-'THAM_SO_MOI'!$C$25*(E1280/'THAM_SO_MOI'!$C$22)^3)</f>
        <v>96.96453134237935</v>
      </c>
      <c r="K1280" s="75">
        <f>'THAM_SO_MOI'!$C$31*J1280/E1280</f>
        <v>430.1205932703244</v>
      </c>
      <c r="L1280" s="75">
        <f>K1280*'THAM_SO_MOI'!$C$50*'THAM_SO_MOI'!$C$17/'THAM_SO_MOI'!$C$26</f>
        <v>15355.891709116628</v>
      </c>
      <c r="M1280" s="75">
        <f>'THAM_SO_MOI'!$C$15*'THAM_SO_MOI'!$C$16*F1280^2</f>
        <v>84.29529179343716</v>
      </c>
      <c r="N1280" s="75">
        <f>'THAM_SO_MOI'!$C$12*I1280</f>
        <v>1130.112</v>
      </c>
      <c r="O1280" s="75">
        <f>M1280+N1280</f>
        <v>1214.4072917934373</v>
      </c>
      <c r="P1280" s="75">
        <f>(MIN(L1280,'THAM_SO_MOI'!$C$41)-O1280)/('THAM_SO_MOI'!$C$11*H1280)</f>
        <v>0.9801704784891445</v>
      </c>
      <c r="Q1280" s="75">
        <f>IF(P1280&gt;0,1/P1280,NA())</f>
        <v>1.0202306863408304</v>
      </c>
      <c r="R1280" s="75">
        <f>F1280-F1279</f>
        <v>0.0032106047296869278</v>
      </c>
      <c r="S1280" s="75">
        <f>0.5*(Q1279+Q1280)*R1280</f>
        <v>0.003275553103355026</v>
      </c>
      <c r="T1280" s="75">
        <f>0.5*(F1279*Q1279+F1280*Q1280)*R1280</f>
        <v>0.017578972277448323</v>
      </c>
      <c r="U1280" s="76">
        <f>U1279+S1280</f>
        <v>5.619933532180833</v>
      </c>
      <c r="V1280" s="76">
        <f>V1279+T1280</f>
        <v>19.06922070063706</v>
      </c>
    </row>
    <row r="1281" spans="1:22" ht="19" customHeight="1">
      <c r="A1281" s="68" t="s">
        <v>372</v>
      </c>
      <c r="B1281" s="74">
        <v>2</v>
      </c>
      <c r="C1281" s="68" t="s">
        <v>363</v>
      </c>
      <c r="D1281" s="68" t="s">
        <v>364</v>
      </c>
      <c r="E1281" s="75">
        <f>60*F1281*'THAM_SO_MOI'!$C$50/(2*PI()*'THAM_SO_MOI'!$C$26)</f>
        <v>2154.4461498639275</v>
      </c>
      <c r="F1281" s="75">
        <f>'HANH_TRINH'!$F$826+('THAM_SO_MOI'!$F$50-'HANH_TRINH'!$F$826)*454/'THAM_SO_MOI'!$C$42</f>
        <v>5.371534661383073</v>
      </c>
      <c r="G1281" s="75">
        <f>3.6*F1281</f>
        <v>19.337524780979063</v>
      </c>
      <c r="H1281" s="75">
        <f>'THAM_SO_MOI'!$D$50</f>
        <v>1.8785906709588276</v>
      </c>
      <c r="I1281" s="75">
        <f>IF(F1281&gt;'THAM_SO_MOI'!$C$14,'THAM_SO_MOI'!$C$13*(1+F1281^2/1500),'THAM_SO_MOI'!$C$13)</f>
        <v>0.015</v>
      </c>
      <c r="J1281" s="75">
        <f>'THAM_SO_MOI'!$C$40*('THAM_SO_MOI'!$C$23*(E1281/'THAM_SO_MOI'!$C$22)+'THAM_SO_MOI'!$C$24*(E1281/'THAM_SO_MOI'!$C$22)^2-'THAM_SO_MOI'!$C$25*(E1281/'THAM_SO_MOI'!$C$22)^3)</f>
        <v>97.02288492032284</v>
      </c>
      <c r="K1281" s="75">
        <f>'THAM_SO_MOI'!$C$31*J1281/E1281</f>
        <v>430.1222004022951</v>
      </c>
      <c r="L1281" s="75">
        <f>K1281*'THAM_SO_MOI'!$C$50*'THAM_SO_MOI'!$C$17/'THAM_SO_MOI'!$C$26</f>
        <v>15355.949085919532</v>
      </c>
      <c r="M1281" s="75">
        <f>'THAM_SO_MOI'!$C$15*'THAM_SO_MOI'!$C$16*F1281^2</f>
        <v>84.39615000893633</v>
      </c>
      <c r="N1281" s="75">
        <f>'THAM_SO_MOI'!$C$12*I1281</f>
        <v>1130.112</v>
      </c>
      <c r="O1281" s="75">
        <f>M1281+N1281</f>
        <v>1214.5081500089364</v>
      </c>
      <c r="P1281" s="75">
        <f>(MIN(L1281,'THAM_SO_MOI'!$C$41)-O1281)/('THAM_SO_MOI'!$C$11*H1281)</f>
        <v>0.9801674647180488</v>
      </c>
      <c r="Q1281" s="75">
        <f>IF(P1281&gt;0,1/P1281,NA())</f>
        <v>1.020233823296365</v>
      </c>
      <c r="R1281" s="75">
        <f>F1281-F1280</f>
        <v>0.0032106047296869278</v>
      </c>
      <c r="S1281" s="75">
        <f>0.5*(Q1280+Q1281)*R1281</f>
        <v>0.003275562502699749</v>
      </c>
      <c r="T1281" s="75">
        <f>0.5*(F1280*Q1280+F1281*Q1281)*R1281</f>
        <v>0.01758953925863053</v>
      </c>
      <c r="U1281" s="76">
        <f>U1280+S1281</f>
        <v>5.623209094683533</v>
      </c>
      <c r="V1281" s="76">
        <f>V1280+T1281</f>
        <v>19.08681023989569</v>
      </c>
    </row>
    <row r="1282" spans="1:22" ht="19" customHeight="1">
      <c r="A1282" s="68" t="s">
        <v>372</v>
      </c>
      <c r="B1282" s="74">
        <v>2</v>
      </c>
      <c r="C1282" s="68" t="s">
        <v>363</v>
      </c>
      <c r="D1282" s="68" t="s">
        <v>364</v>
      </c>
      <c r="E1282" s="75">
        <f>60*F1282*'THAM_SO_MOI'!$C$50/(2*PI()*'THAM_SO_MOI'!$C$26)</f>
        <v>2155.733877754494</v>
      </c>
      <c r="F1282" s="75">
        <f>'HANH_TRINH'!$F$826+('THAM_SO_MOI'!$F$50-'HANH_TRINH'!$F$826)*455/'THAM_SO_MOI'!$C$42</f>
        <v>5.37474526611276</v>
      </c>
      <c r="G1282" s="75">
        <f>3.6*F1282</f>
        <v>19.349082958005937</v>
      </c>
      <c r="H1282" s="75">
        <f>'THAM_SO_MOI'!$D$50</f>
        <v>1.8785906709588276</v>
      </c>
      <c r="I1282" s="75">
        <f>IF(F1282&gt;'THAM_SO_MOI'!$C$14,'THAM_SO_MOI'!$C$13*(1+F1282^2/1500),'THAM_SO_MOI'!$C$13)</f>
        <v>0.015</v>
      </c>
      <c r="J1282" s="75">
        <f>'THAM_SO_MOI'!$C$40*('THAM_SO_MOI'!$C$23*(E1282/'THAM_SO_MOI'!$C$22)+'THAM_SO_MOI'!$C$24*(E1282/'THAM_SO_MOI'!$C$22)^2-'THAM_SO_MOI'!$C$25*(E1282/'THAM_SO_MOI'!$C$22)^3)</f>
        <v>97.08120262143444</v>
      </c>
      <c r="K1282" s="75">
        <f>'THAM_SO_MOI'!$C$31*J1282/E1282</f>
        <v>430.12364665993374</v>
      </c>
      <c r="L1282" s="75">
        <f>K1282*'THAM_SO_MOI'!$C$50*'THAM_SO_MOI'!$C$17/'THAM_SO_MOI'!$C$26</f>
        <v>15356.000719289406</v>
      </c>
      <c r="M1282" s="75">
        <f>'THAM_SO_MOI'!$C$15*'THAM_SO_MOI'!$C$16*F1282^2</f>
        <v>84.49706852613447</v>
      </c>
      <c r="N1282" s="75">
        <f>'THAM_SO_MOI'!$C$12*I1282</f>
        <v>1130.112</v>
      </c>
      <c r="O1282" s="75">
        <f>M1282+N1282</f>
        <v>1214.6090685261345</v>
      </c>
      <c r="P1282" s="75">
        <f>(MIN(L1282,'THAM_SO_MOI'!$C$41)-O1282)/('THAM_SO_MOI'!$C$11*H1282)</f>
        <v>0.9801640486801697</v>
      </c>
      <c r="Q1282" s="75">
        <f>IF(P1282&gt;0,1/P1282,NA())</f>
        <v>1.0202373789842019</v>
      </c>
      <c r="R1282" s="75">
        <f>F1282-F1281</f>
        <v>0.0032106047296869278</v>
      </c>
      <c r="S1282" s="75">
        <f>0.5*(Q1281+Q1282)*R1282</f>
        <v>0.0032755732464159796</v>
      </c>
      <c r="T1282" s="75">
        <f>0.5*(F1281*Q1281+F1282*Q1282)*R1282</f>
        <v>0.017600113523664196</v>
      </c>
      <c r="U1282" s="76">
        <f>U1281+S1282</f>
        <v>5.626484667929949</v>
      </c>
      <c r="V1282" s="76">
        <f>V1281+T1282</f>
        <v>19.104410353419354</v>
      </c>
    </row>
    <row r="1283" spans="1:22" ht="19" customHeight="1">
      <c r="A1283" s="68" t="s">
        <v>372</v>
      </c>
      <c r="B1283" s="74">
        <v>2</v>
      </c>
      <c r="C1283" s="68" t="s">
        <v>363</v>
      </c>
      <c r="D1283" s="68" t="s">
        <v>364</v>
      </c>
      <c r="E1283" s="75">
        <f>60*F1283*'THAM_SO_MOI'!$C$50/(2*PI()*'THAM_SO_MOI'!$C$26)</f>
        <v>2157.021605645061</v>
      </c>
      <c r="F1283" s="75">
        <f>'HANH_TRINH'!$F$826+('THAM_SO_MOI'!$F$50-'HANH_TRINH'!$F$826)*456/'THAM_SO_MOI'!$C$42</f>
        <v>5.377955870842447</v>
      </c>
      <c r="G1283" s="75">
        <f>3.6*F1283</f>
        <v>19.36064113503281</v>
      </c>
      <c r="H1283" s="75">
        <f>'THAM_SO_MOI'!$D$50</f>
        <v>1.8785906709588276</v>
      </c>
      <c r="I1283" s="75">
        <f>IF(F1283&gt;'THAM_SO_MOI'!$C$14,'THAM_SO_MOI'!$C$13*(1+F1283^2/1500),'THAM_SO_MOI'!$C$13)</f>
        <v>0.015</v>
      </c>
      <c r="J1283" s="75">
        <f>'THAM_SO_MOI'!$C$40*('THAM_SO_MOI'!$C$23*(E1283/'THAM_SO_MOI'!$C$22)+'THAM_SO_MOI'!$C$24*(E1283/'THAM_SO_MOI'!$C$22)^2-'THAM_SO_MOI'!$C$25*(E1283/'THAM_SO_MOI'!$C$22)^3)</f>
        <v>97.13948438064448</v>
      </c>
      <c r="K1283" s="75">
        <f>'THAM_SO_MOI'!$C$31*J1283/E1283</f>
        <v>430.1249320432401</v>
      </c>
      <c r="L1283" s="75">
        <f>K1283*'THAM_SO_MOI'!$C$50*'THAM_SO_MOI'!$C$17/'THAM_SO_MOI'!$C$26</f>
        <v>15356.046609226241</v>
      </c>
      <c r="M1283" s="75">
        <f>'THAM_SO_MOI'!$C$15*'THAM_SO_MOI'!$C$16*F1283^2</f>
        <v>84.59804734503159</v>
      </c>
      <c r="N1283" s="75">
        <f>'THAM_SO_MOI'!$C$12*I1283</f>
        <v>1130.112</v>
      </c>
      <c r="O1283" s="75">
        <f>M1283+N1283</f>
        <v>1214.7100473450316</v>
      </c>
      <c r="P1283" s="75">
        <f>(MIN(L1283,'THAM_SO_MOI'!$C$41)-O1283)/('THAM_SO_MOI'!$C$11*H1283)</f>
        <v>0.9801602303755069</v>
      </c>
      <c r="Q1283" s="75">
        <f>IF(P1283&gt;0,1/P1283,NA())</f>
        <v>1.020241353413097</v>
      </c>
      <c r="R1283" s="75">
        <f>F1283-F1282</f>
        <v>0.0032106047296869278</v>
      </c>
      <c r="S1283" s="75">
        <f>0.5*(Q1282+Q1283)*R1283</f>
        <v>0.003275585334530177</v>
      </c>
      <c r="T1283" s="75">
        <f>0.5*(F1282*Q1282+F1283*Q1283)*R1283</f>
        <v>0.017610695085640306</v>
      </c>
      <c r="U1283" s="76">
        <f>U1282+S1283</f>
        <v>5.62976025326448</v>
      </c>
      <c r="V1283" s="76">
        <f>V1282+T1283</f>
        <v>19.122021048504994</v>
      </c>
    </row>
    <row r="1284" spans="1:22" ht="19" customHeight="1">
      <c r="A1284" s="68" t="s">
        <v>372</v>
      </c>
      <c r="B1284" s="74">
        <v>2</v>
      </c>
      <c r="C1284" s="68" t="s">
        <v>363</v>
      </c>
      <c r="D1284" s="68" t="s">
        <v>364</v>
      </c>
      <c r="E1284" s="75">
        <f>60*F1284*'THAM_SO_MOI'!$C$50/(2*PI()*'THAM_SO_MOI'!$C$26)</f>
        <v>2158.3093335356275</v>
      </c>
      <c r="F1284" s="75">
        <f>'HANH_TRINH'!$F$826+('THAM_SO_MOI'!$F$50-'HANH_TRINH'!$F$826)*457/'THAM_SO_MOI'!$C$42</f>
        <v>5.381166475572134</v>
      </c>
      <c r="G1284" s="75">
        <f>3.6*F1284</f>
        <v>19.37219931205968</v>
      </c>
      <c r="H1284" s="75">
        <f>'THAM_SO_MOI'!$D$50</f>
        <v>1.8785906709588276</v>
      </c>
      <c r="I1284" s="75">
        <f>IF(F1284&gt;'THAM_SO_MOI'!$C$14,'THAM_SO_MOI'!$C$13*(1+F1284^2/1500),'THAM_SO_MOI'!$C$13)</f>
        <v>0.015</v>
      </c>
      <c r="J1284" s="75">
        <f>'THAM_SO_MOI'!$C$40*('THAM_SO_MOI'!$C$23*(E1284/'THAM_SO_MOI'!$C$22)+'THAM_SO_MOI'!$C$24*(E1284/'THAM_SO_MOI'!$C$22)^2-'THAM_SO_MOI'!$C$25*(E1284/'THAM_SO_MOI'!$C$22)^3)</f>
        <v>97.19773013288317</v>
      </c>
      <c r="K1284" s="75">
        <f>'THAM_SO_MOI'!$C$31*J1284/E1284</f>
        <v>430.126056552214</v>
      </c>
      <c r="L1284" s="75">
        <f>K1284*'THAM_SO_MOI'!$C$50*'THAM_SO_MOI'!$C$17/'THAM_SO_MOI'!$C$26</f>
        <v>15356.086755730033</v>
      </c>
      <c r="M1284" s="75">
        <f>'THAM_SO_MOI'!$C$15*'THAM_SO_MOI'!$C$16*F1284^2</f>
        <v>84.69908646562767</v>
      </c>
      <c r="N1284" s="75">
        <f>'THAM_SO_MOI'!$C$12*I1284</f>
        <v>1130.112</v>
      </c>
      <c r="O1284" s="75">
        <f>M1284+N1284</f>
        <v>1214.8110864656278</v>
      </c>
      <c r="P1284" s="75">
        <f>(MIN(L1284,'THAM_SO_MOI'!$C$41)-O1284)/('THAM_SO_MOI'!$C$11*H1284)</f>
        <v>0.98015600980406</v>
      </c>
      <c r="Q1284" s="75">
        <f>IF(P1284&gt;0,1/P1284,NA())</f>
        <v>1.0202457465928376</v>
      </c>
      <c r="R1284" s="75">
        <f>F1284-F1283</f>
        <v>0.0032106047296869278</v>
      </c>
      <c r="S1284" s="75">
        <f>0.5*(Q1283+Q1284)*R1284</f>
        <v>0.0032755987670721087</v>
      </c>
      <c r="T1284" s="75">
        <f>0.5*(F1283*Q1283+F1284*Q1284)*R1284</f>
        <v>0.01762128395766799</v>
      </c>
      <c r="U1284" s="76">
        <f>U1283+S1284</f>
        <v>5.6330358520315515</v>
      </c>
      <c r="V1284" s="76">
        <f>V1283+T1284</f>
        <v>19.13964233246266</v>
      </c>
    </row>
    <row r="1285" spans="1:22" ht="19" customHeight="1">
      <c r="A1285" s="68" t="s">
        <v>372</v>
      </c>
      <c r="B1285" s="74">
        <v>2</v>
      </c>
      <c r="C1285" s="68" t="s">
        <v>363</v>
      </c>
      <c r="D1285" s="68" t="s">
        <v>364</v>
      </c>
      <c r="E1285" s="75">
        <f>60*F1285*'THAM_SO_MOI'!$C$50/(2*PI()*'THAM_SO_MOI'!$C$26)</f>
        <v>2159.597061426194</v>
      </c>
      <c r="F1285" s="75">
        <f>'HANH_TRINH'!$F$826+('THAM_SO_MOI'!$F$50-'HANH_TRINH'!$F$826)*458/'THAM_SO_MOI'!$C$42</f>
        <v>5.384377080301821</v>
      </c>
      <c r="G1285" s="75">
        <f>3.6*F1285</f>
        <v>19.383757489086555</v>
      </c>
      <c r="H1285" s="75">
        <f>'THAM_SO_MOI'!$D$50</f>
        <v>1.8785906709588276</v>
      </c>
      <c r="I1285" s="75">
        <f>IF(F1285&gt;'THAM_SO_MOI'!$C$14,'THAM_SO_MOI'!$C$13*(1+F1285^2/1500),'THAM_SO_MOI'!$C$13)</f>
        <v>0.015</v>
      </c>
      <c r="J1285" s="75">
        <f>'THAM_SO_MOI'!$C$40*('THAM_SO_MOI'!$C$23*(E1285/'THAM_SO_MOI'!$C$22)+'THAM_SO_MOI'!$C$24*(E1285/'THAM_SO_MOI'!$C$22)^2-'THAM_SO_MOI'!$C$25*(E1285/'THAM_SO_MOI'!$C$22)^3)</f>
        <v>97.25593981308094</v>
      </c>
      <c r="K1285" s="75">
        <f>'THAM_SO_MOI'!$C$31*J1285/E1285</f>
        <v>430.1270201868559</v>
      </c>
      <c r="L1285" s="75">
        <f>K1285*'THAM_SO_MOI'!$C$50*'THAM_SO_MOI'!$C$17/'THAM_SO_MOI'!$C$26</f>
        <v>15356.121158800801</v>
      </c>
      <c r="M1285" s="75">
        <f>'THAM_SO_MOI'!$C$15*'THAM_SO_MOI'!$C$16*F1285^2</f>
        <v>84.80018588792272</v>
      </c>
      <c r="N1285" s="75">
        <f>'THAM_SO_MOI'!$C$12*I1285</f>
        <v>1130.112</v>
      </c>
      <c r="O1285" s="75">
        <f>M1285+N1285</f>
        <v>1214.9121858879228</v>
      </c>
      <c r="P1285" s="75">
        <f>(MIN(L1285,'THAM_SO_MOI'!$C$41)-O1285)/('THAM_SO_MOI'!$C$11*H1285)</f>
        <v>0.9801513869658303</v>
      </c>
      <c r="Q1285" s="75">
        <f>IF(P1285&gt;0,1/P1285,NA())</f>
        <v>1.0202505585342416</v>
      </c>
      <c r="R1285" s="75">
        <f>F1285-F1284</f>
        <v>0.0032106047296869278</v>
      </c>
      <c r="S1285" s="75">
        <f>0.5*(Q1284+Q1285)*R1285</f>
        <v>0.0032756135440748504</v>
      </c>
      <c r="T1285" s="75">
        <f>0.5*(F1284*Q1284+F1285*Q1285)*R1285</f>
        <v>0.01763188015287458</v>
      </c>
      <c r="U1285" s="76">
        <f>U1284+S1285</f>
        <v>5.636311465575626</v>
      </c>
      <c r="V1285" s="76">
        <f>V1284+T1285</f>
        <v>19.157274212615533</v>
      </c>
    </row>
    <row r="1286" spans="1:22" ht="19" customHeight="1">
      <c r="A1286" s="68" t="s">
        <v>372</v>
      </c>
      <c r="B1286" s="74">
        <v>2</v>
      </c>
      <c r="C1286" s="68" t="s">
        <v>363</v>
      </c>
      <c r="D1286" s="68" t="s">
        <v>364</v>
      </c>
      <c r="E1286" s="75">
        <f>60*F1286*'THAM_SO_MOI'!$C$50/(2*PI()*'THAM_SO_MOI'!$C$26)</f>
        <v>2160.8847893167604</v>
      </c>
      <c r="F1286" s="75">
        <f>'HANH_TRINH'!$F$826+('THAM_SO_MOI'!$F$50-'HANH_TRINH'!$F$826)*459/'THAM_SO_MOI'!$C$42</f>
        <v>5.387587685031507</v>
      </c>
      <c r="G1286" s="75">
        <f>3.6*F1286</f>
        <v>19.395315666113426</v>
      </c>
      <c r="H1286" s="75">
        <f>'THAM_SO_MOI'!$D$50</f>
        <v>1.8785906709588276</v>
      </c>
      <c r="I1286" s="75">
        <f>IF(F1286&gt;'THAM_SO_MOI'!$C$14,'THAM_SO_MOI'!$C$13*(1+F1286^2/1500),'THAM_SO_MOI'!$C$13)</f>
        <v>0.015</v>
      </c>
      <c r="J1286" s="75">
        <f>'THAM_SO_MOI'!$C$40*('THAM_SO_MOI'!$C$23*(E1286/'THAM_SO_MOI'!$C$22)+'THAM_SO_MOI'!$C$24*(E1286/'THAM_SO_MOI'!$C$22)^2-'THAM_SO_MOI'!$C$25*(E1286/'THAM_SO_MOI'!$C$22)^3)</f>
        <v>97.31411335616802</v>
      </c>
      <c r="K1286" s="75">
        <f>'THAM_SO_MOI'!$C$31*J1286/E1286</f>
        <v>430.12782294716555</v>
      </c>
      <c r="L1286" s="75">
        <f>K1286*'THAM_SO_MOI'!$C$50*'THAM_SO_MOI'!$C$17/'THAM_SO_MOI'!$C$26</f>
        <v>15356.149818438531</v>
      </c>
      <c r="M1286" s="75">
        <f>'THAM_SO_MOI'!$C$15*'THAM_SO_MOI'!$C$16*F1286^2</f>
        <v>84.90134561191672</v>
      </c>
      <c r="N1286" s="75">
        <f>'THAM_SO_MOI'!$C$12*I1286</f>
        <v>1130.112</v>
      </c>
      <c r="O1286" s="75">
        <f>M1286+N1286</f>
        <v>1215.0133456119167</v>
      </c>
      <c r="P1286" s="75">
        <f>(MIN(L1286,'THAM_SO_MOI'!$C$41)-O1286)/('THAM_SO_MOI'!$C$11*H1286)</f>
        <v>0.9801463618608166</v>
      </c>
      <c r="Q1286" s="75">
        <f>IF(P1286&gt;0,1/P1286,NA())</f>
        <v>1.0202557892491597</v>
      </c>
      <c r="R1286" s="75">
        <f>F1286-F1285</f>
        <v>0.0032106047296860396</v>
      </c>
      <c r="S1286" s="75">
        <f>0.5*(Q1285+Q1286)*R1286</f>
        <v>0.0032756296655738876</v>
      </c>
      <c r="T1286" s="75">
        <f>0.5*(F1285*Q1285+F1286*Q1286)*R1286</f>
        <v>0.017642483684400783</v>
      </c>
      <c r="U1286" s="76">
        <f>U1285+S1286</f>
        <v>5.6395870952412</v>
      </c>
      <c r="V1286" s="76">
        <f>V1285+T1286</f>
        <v>19.174916696299935</v>
      </c>
    </row>
    <row r="1287" spans="1:22" ht="19" customHeight="1">
      <c r="A1287" s="68" t="s">
        <v>372</v>
      </c>
      <c r="B1287" s="74">
        <v>2</v>
      </c>
      <c r="C1287" s="68" t="s">
        <v>363</v>
      </c>
      <c r="D1287" s="68" t="s">
        <v>364</v>
      </c>
      <c r="E1287" s="75">
        <f>60*F1287*'THAM_SO_MOI'!$C$50/(2*PI()*'THAM_SO_MOI'!$C$26)</f>
        <v>2162.172517207327</v>
      </c>
      <c r="F1287" s="75">
        <f>'HANH_TRINH'!$F$826+('THAM_SO_MOI'!$F$50-'HANH_TRINH'!$F$826)*460/'THAM_SO_MOI'!$C$42</f>
        <v>5.390798289761194</v>
      </c>
      <c r="G1287" s="75">
        <f>3.6*F1287</f>
        <v>19.4068738431403</v>
      </c>
      <c r="H1287" s="75">
        <f>'THAM_SO_MOI'!$D$50</f>
        <v>1.8785906709588276</v>
      </c>
      <c r="I1287" s="75">
        <f>IF(F1287&gt;'THAM_SO_MOI'!$C$14,'THAM_SO_MOI'!$C$13*(1+F1287^2/1500),'THAM_SO_MOI'!$C$13)</f>
        <v>0.015</v>
      </c>
      <c r="J1287" s="75">
        <f>'THAM_SO_MOI'!$C$40*('THAM_SO_MOI'!$C$23*(E1287/'THAM_SO_MOI'!$C$22)+'THAM_SO_MOI'!$C$24*(E1287/'THAM_SO_MOI'!$C$22)^2-'THAM_SO_MOI'!$C$25*(E1287/'THAM_SO_MOI'!$C$22)^3)</f>
        <v>97.3722506970747</v>
      </c>
      <c r="K1287" s="75">
        <f>'THAM_SO_MOI'!$C$31*J1287/E1287</f>
        <v>430.1284648331428</v>
      </c>
      <c r="L1287" s="75">
        <f>K1287*'THAM_SO_MOI'!$C$50*'THAM_SO_MOI'!$C$17/'THAM_SO_MOI'!$C$26</f>
        <v>15356.17273464322</v>
      </c>
      <c r="M1287" s="75">
        <f>'THAM_SO_MOI'!$C$15*'THAM_SO_MOI'!$C$16*F1287^2</f>
        <v>85.00256563760973</v>
      </c>
      <c r="N1287" s="75">
        <f>'THAM_SO_MOI'!$C$12*I1287</f>
        <v>1130.112</v>
      </c>
      <c r="O1287" s="75">
        <f>M1287+N1287</f>
        <v>1215.1145656376098</v>
      </c>
      <c r="P1287" s="75">
        <f>(MIN(L1287,'THAM_SO_MOI'!$C$41)-O1287)/('THAM_SO_MOI'!$C$11*H1287)</f>
        <v>0.9801409344890192</v>
      </c>
      <c r="Q1287" s="75">
        <f>IF(P1287&gt;0,1/P1287,NA())</f>
        <v>1.0202614387504731</v>
      </c>
      <c r="R1287" s="75">
        <f>F1287-F1286</f>
        <v>0.0032106047296869278</v>
      </c>
      <c r="S1287" s="75">
        <f>0.5*(Q1286+Q1287)*R1287</f>
        <v>0.0032756471316116404</v>
      </c>
      <c r="T1287" s="75">
        <f>0.5*(F1286*Q1286+F1287*Q1287)*R1287</f>
        <v>0.017653094565425163</v>
      </c>
      <c r="U1287" s="76">
        <f>U1286+S1287</f>
        <v>5.642862742372812</v>
      </c>
      <c r="V1287" s="76">
        <f>V1286+T1287</f>
        <v>19.19256979086536</v>
      </c>
    </row>
    <row r="1288" spans="1:22" ht="19" customHeight="1">
      <c r="A1288" s="68" t="s">
        <v>372</v>
      </c>
      <c r="B1288" s="74">
        <v>2</v>
      </c>
      <c r="C1288" s="68" t="s">
        <v>363</v>
      </c>
      <c r="D1288" s="68" t="s">
        <v>364</v>
      </c>
      <c r="E1288" s="75">
        <f>60*F1288*'THAM_SO_MOI'!$C$50/(2*PI()*'THAM_SO_MOI'!$C$26)</f>
        <v>2163.4602450978937</v>
      </c>
      <c r="F1288" s="75">
        <f>'HANH_TRINH'!$F$826+('THAM_SO_MOI'!$F$50-'HANH_TRINH'!$F$826)*461/'THAM_SO_MOI'!$C$42</f>
        <v>5.394008894490881</v>
      </c>
      <c r="G1288" s="75">
        <f>3.6*F1288</f>
        <v>19.41843202016717</v>
      </c>
      <c r="H1288" s="75">
        <f>'THAM_SO_MOI'!$D$50</f>
        <v>1.8785906709588276</v>
      </c>
      <c r="I1288" s="75">
        <f>IF(F1288&gt;'THAM_SO_MOI'!$C$14,'THAM_SO_MOI'!$C$13*(1+F1288^2/1500),'THAM_SO_MOI'!$C$13)</f>
        <v>0.015</v>
      </c>
      <c r="J1288" s="75">
        <f>'THAM_SO_MOI'!$C$40*('THAM_SO_MOI'!$C$23*(E1288/'THAM_SO_MOI'!$C$22)+'THAM_SO_MOI'!$C$24*(E1288/'THAM_SO_MOI'!$C$22)^2-'THAM_SO_MOI'!$C$25*(E1288/'THAM_SO_MOI'!$C$22)^3)</f>
        <v>97.4303517707313</v>
      </c>
      <c r="K1288" s="75">
        <f>'THAM_SO_MOI'!$C$31*J1288/E1288</f>
        <v>430.1289458447878</v>
      </c>
      <c r="L1288" s="75">
        <f>K1288*'THAM_SO_MOI'!$C$50*'THAM_SO_MOI'!$C$17/'THAM_SO_MOI'!$C$26</f>
        <v>15356.189907414871</v>
      </c>
      <c r="M1288" s="75">
        <f>'THAM_SO_MOI'!$C$15*'THAM_SO_MOI'!$C$16*F1288^2</f>
        <v>85.10384596500171</v>
      </c>
      <c r="N1288" s="75">
        <f>'THAM_SO_MOI'!$C$12*I1288</f>
        <v>1130.112</v>
      </c>
      <c r="O1288" s="75">
        <f>M1288+N1288</f>
        <v>1215.2158459650018</v>
      </c>
      <c r="P1288" s="75">
        <f>(MIN(L1288,'THAM_SO_MOI'!$C$41)-O1288)/('THAM_SO_MOI'!$C$11*H1288)</f>
        <v>0.980135104850438</v>
      </c>
      <c r="Q1288" s="75">
        <f>IF(P1288&gt;0,1/P1288,NA())</f>
        <v>1.0202675070520948</v>
      </c>
      <c r="R1288" s="75">
        <f>F1288-F1287</f>
        <v>0.0032106047296869278</v>
      </c>
      <c r="S1288" s="75">
        <f>0.5*(Q1287+Q1288)*R1288</f>
        <v>0.0032756659422284026</v>
      </c>
      <c r="T1288" s="75">
        <f>0.5*(F1287*Q1287+F1288*Q1288)*R1288</f>
        <v>0.017663712809115346</v>
      </c>
      <c r="U1288" s="76">
        <f>U1287+S1288</f>
        <v>5.646138408315041</v>
      </c>
      <c r="V1288" s="76">
        <f>V1287+T1288</f>
        <v>19.210233503674473</v>
      </c>
    </row>
    <row r="1289" spans="1:22" ht="19" customHeight="1">
      <c r="A1289" s="68" t="s">
        <v>372</v>
      </c>
      <c r="B1289" s="74">
        <v>2</v>
      </c>
      <c r="C1289" s="68" t="s">
        <v>363</v>
      </c>
      <c r="D1289" s="68" t="s">
        <v>364</v>
      </c>
      <c r="E1289" s="75">
        <f>60*F1289*'THAM_SO_MOI'!$C$50/(2*PI()*'THAM_SO_MOI'!$C$26)</f>
        <v>2164.7479729884603</v>
      </c>
      <c r="F1289" s="75">
        <f>'HANH_TRINH'!$F$826+('THAM_SO_MOI'!$F$50-'HANH_TRINH'!$F$826)*462/'THAM_SO_MOI'!$C$42</f>
        <v>5.397219499220568</v>
      </c>
      <c r="G1289" s="75">
        <f>3.6*F1289</f>
        <v>19.429990197194044</v>
      </c>
      <c r="H1289" s="75">
        <f>'THAM_SO_MOI'!$D$50</f>
        <v>1.8785906709588276</v>
      </c>
      <c r="I1289" s="75">
        <f>IF(F1289&gt;'THAM_SO_MOI'!$C$14,'THAM_SO_MOI'!$C$13*(1+F1289^2/1500),'THAM_SO_MOI'!$C$13)</f>
        <v>0.015</v>
      </c>
      <c r="J1289" s="75">
        <f>'THAM_SO_MOI'!$C$40*('THAM_SO_MOI'!$C$23*(E1289/'THAM_SO_MOI'!$C$22)+'THAM_SO_MOI'!$C$24*(E1289/'THAM_SO_MOI'!$C$22)^2-'THAM_SO_MOI'!$C$25*(E1289/'THAM_SO_MOI'!$C$22)^3)</f>
        <v>97.48841651206817</v>
      </c>
      <c r="K1289" s="75">
        <f>'THAM_SO_MOI'!$C$31*J1289/E1289</f>
        <v>430.1292659821007</v>
      </c>
      <c r="L1289" s="75">
        <f>K1289*'THAM_SO_MOI'!$C$50*'THAM_SO_MOI'!$C$17/'THAM_SO_MOI'!$C$26</f>
        <v>15356.201336753495</v>
      </c>
      <c r="M1289" s="75">
        <f>'THAM_SO_MOI'!$C$15*'THAM_SO_MOI'!$C$16*F1289^2</f>
        <v>85.20518659409265</v>
      </c>
      <c r="N1289" s="75">
        <f>'THAM_SO_MOI'!$C$12*I1289</f>
        <v>1130.112</v>
      </c>
      <c r="O1289" s="75">
        <f>M1289+N1289</f>
        <v>1215.3171865940926</v>
      </c>
      <c r="P1289" s="75">
        <f>(MIN(L1289,'THAM_SO_MOI'!$C$41)-O1289)/('THAM_SO_MOI'!$C$11*H1289)</f>
        <v>0.9801288729450738</v>
      </c>
      <c r="Q1289" s="75">
        <f>IF(P1289&gt;0,1/P1289,NA())</f>
        <v>1.0202739941689687</v>
      </c>
      <c r="R1289" s="75">
        <f>F1289-F1288</f>
        <v>0.0032106047296869278</v>
      </c>
      <c r="S1289" s="75">
        <f>0.5*(Q1288+Q1289)*R1289</f>
        <v>0.003275686097471405</v>
      </c>
      <c r="T1289" s="75">
        <f>0.5*(F1288*Q1288+F1289*Q1289)*R1289</f>
        <v>0.01767433842867691</v>
      </c>
      <c r="U1289" s="76">
        <f>U1288+S1289</f>
        <v>5.649414094412513</v>
      </c>
      <c r="V1289" s="76">
        <f>V1288+T1289</f>
        <v>19.22790784210315</v>
      </c>
    </row>
    <row r="1290" spans="1:22" ht="19" customHeight="1">
      <c r="A1290" s="68" t="s">
        <v>372</v>
      </c>
      <c r="B1290" s="74">
        <v>2</v>
      </c>
      <c r="C1290" s="68" t="s">
        <v>363</v>
      </c>
      <c r="D1290" s="68" t="s">
        <v>364</v>
      </c>
      <c r="E1290" s="75">
        <f>60*F1290*'THAM_SO_MOI'!$C$50/(2*PI()*'THAM_SO_MOI'!$C$26)</f>
        <v>2166.0357008790274</v>
      </c>
      <c r="F1290" s="75">
        <f>'HANH_TRINH'!$F$826+('THAM_SO_MOI'!$F$50-'HANH_TRINH'!$F$826)*463/'THAM_SO_MOI'!$C$42</f>
        <v>5.400430103950255</v>
      </c>
      <c r="G1290" s="75">
        <f>3.6*F1290</f>
        <v>19.44154837422092</v>
      </c>
      <c r="H1290" s="75">
        <f>'THAM_SO_MOI'!$D$50</f>
        <v>1.8785906709588276</v>
      </c>
      <c r="I1290" s="75">
        <f>IF(F1290&gt;'THAM_SO_MOI'!$C$14,'THAM_SO_MOI'!$C$13*(1+F1290^2/1500),'THAM_SO_MOI'!$C$13)</f>
        <v>0.015</v>
      </c>
      <c r="J1290" s="75">
        <f>'THAM_SO_MOI'!$C$40*('THAM_SO_MOI'!$C$23*(E1290/'THAM_SO_MOI'!$C$22)+'THAM_SO_MOI'!$C$24*(E1290/'THAM_SO_MOI'!$C$22)^2-'THAM_SO_MOI'!$C$25*(E1290/'THAM_SO_MOI'!$C$22)^3)</f>
        <v>97.54644485601558</v>
      </c>
      <c r="K1290" s="75">
        <f>'THAM_SO_MOI'!$C$31*J1290/E1290</f>
        <v>430.1294252450814</v>
      </c>
      <c r="L1290" s="75">
        <f>K1290*'THAM_SO_MOI'!$C$50*'THAM_SO_MOI'!$C$17/'THAM_SO_MOI'!$C$26</f>
        <v>15356.207022659086</v>
      </c>
      <c r="M1290" s="75">
        <f>'THAM_SO_MOI'!$C$15*'THAM_SO_MOI'!$C$16*F1290^2</f>
        <v>85.30658752488257</v>
      </c>
      <c r="N1290" s="75">
        <f>'THAM_SO_MOI'!$C$12*I1290</f>
        <v>1130.112</v>
      </c>
      <c r="O1290" s="75">
        <f>M1290+N1290</f>
        <v>1215.4185875248827</v>
      </c>
      <c r="P1290" s="75">
        <f>(MIN(L1290,'THAM_SO_MOI'!$C$41)-O1290)/('THAM_SO_MOI'!$C$11*H1290)</f>
        <v>0.9801222387729261</v>
      </c>
      <c r="Q1290" s="75">
        <f>IF(P1290&gt;0,1/P1290,NA())</f>
        <v>1.0202809001170712</v>
      </c>
      <c r="R1290" s="75">
        <f>F1290-F1289</f>
        <v>0.0032106047296869278</v>
      </c>
      <c r="S1290" s="75">
        <f>0.5*(Q1289+Q1290)*R1290</f>
        <v>0.0032757075973902845</v>
      </c>
      <c r="T1290" s="75">
        <f>0.5*(F1289*Q1289+F1290*Q1290)*R1290</f>
        <v>0.017684971437329024</v>
      </c>
      <c r="U1290" s="76">
        <f>U1289+S1290</f>
        <v>5.652689802009903</v>
      </c>
      <c r="V1290" s="76">
        <f>V1289+T1290</f>
        <v>19.24559281354048</v>
      </c>
    </row>
    <row r="1291" spans="1:22" ht="19" customHeight="1">
      <c r="A1291" s="68" t="s">
        <v>372</v>
      </c>
      <c r="B1291" s="74">
        <v>2</v>
      </c>
      <c r="C1291" s="68" t="s">
        <v>363</v>
      </c>
      <c r="D1291" s="68" t="s">
        <v>364</v>
      </c>
      <c r="E1291" s="75">
        <f>60*F1291*'THAM_SO_MOI'!$C$50/(2*PI()*'THAM_SO_MOI'!$C$26)</f>
        <v>2167.323428769594</v>
      </c>
      <c r="F1291" s="75">
        <f>'HANH_TRINH'!$F$826+('THAM_SO_MOI'!$F$50-'HANH_TRINH'!$F$826)*464/'THAM_SO_MOI'!$C$42</f>
        <v>5.403640708679942</v>
      </c>
      <c r="G1291" s="75">
        <f>3.6*F1291</f>
        <v>19.45310655124779</v>
      </c>
      <c r="H1291" s="75">
        <f>'THAM_SO_MOI'!$D$50</f>
        <v>1.8785906709588276</v>
      </c>
      <c r="I1291" s="75">
        <f>IF(F1291&gt;'THAM_SO_MOI'!$C$14,'THAM_SO_MOI'!$C$13*(1+F1291^2/1500),'THAM_SO_MOI'!$C$13)</f>
        <v>0.015</v>
      </c>
      <c r="J1291" s="75">
        <f>'THAM_SO_MOI'!$C$40*('THAM_SO_MOI'!$C$23*(E1291/'THAM_SO_MOI'!$C$22)+'THAM_SO_MOI'!$C$24*(E1291/'THAM_SO_MOI'!$C$22)^2-'THAM_SO_MOI'!$C$25*(E1291/'THAM_SO_MOI'!$C$22)^3)</f>
        <v>97.60443673750376</v>
      </c>
      <c r="K1291" s="75">
        <f>'THAM_SO_MOI'!$C$31*J1291/E1291</f>
        <v>430.12942363372963</v>
      </c>
      <c r="L1291" s="75">
        <f>K1291*'THAM_SO_MOI'!$C$50*'THAM_SO_MOI'!$C$17/'THAM_SO_MOI'!$C$26</f>
        <v>15356.206965131629</v>
      </c>
      <c r="M1291" s="75">
        <f>'THAM_SO_MOI'!$C$15*'THAM_SO_MOI'!$C$16*F1291^2</f>
        <v>85.40804875737146</v>
      </c>
      <c r="N1291" s="75">
        <f>'THAM_SO_MOI'!$C$12*I1291</f>
        <v>1130.112</v>
      </c>
      <c r="O1291" s="75">
        <f>M1291+N1291</f>
        <v>1215.5200487573716</v>
      </c>
      <c r="P1291" s="75">
        <f>(MIN(L1291,'THAM_SO_MOI'!$C$41)-O1291)/('THAM_SO_MOI'!$C$11*H1291)</f>
        <v>0.9801152023339939</v>
      </c>
      <c r="Q1291" s="75">
        <f>IF(P1291&gt;0,1/P1291,NA())</f>
        <v>1.0202882249134118</v>
      </c>
      <c r="R1291" s="75">
        <f>F1291-F1290</f>
        <v>0.0032106047296869278</v>
      </c>
      <c r="S1291" s="75">
        <f>0.5*(Q1290+Q1291)*R1291</f>
        <v>0.0032757304420379923</v>
      </c>
      <c r="T1291" s="75">
        <f>0.5*(F1290*Q1290+F1291*Q1291)*R1291</f>
        <v>0.01769561184830941</v>
      </c>
      <c r="U1291" s="76">
        <f>U1290+S1291</f>
        <v>5.6559655324519404</v>
      </c>
      <c r="V1291" s="76">
        <f>V1290+T1291</f>
        <v>19.26328842538879</v>
      </c>
    </row>
    <row r="1292" spans="1:22" ht="19" customHeight="1">
      <c r="A1292" s="68" t="s">
        <v>372</v>
      </c>
      <c r="B1292" s="74">
        <v>2</v>
      </c>
      <c r="C1292" s="68" t="s">
        <v>363</v>
      </c>
      <c r="D1292" s="68" t="s">
        <v>364</v>
      </c>
      <c r="E1292" s="75">
        <f>60*F1292*'THAM_SO_MOI'!$C$50/(2*PI()*'THAM_SO_MOI'!$C$26)</f>
        <v>2168.6111566601608</v>
      </c>
      <c r="F1292" s="75">
        <f>'HANH_TRINH'!$F$826+('THAM_SO_MOI'!$F$50-'HANH_TRINH'!$F$826)*465/'THAM_SO_MOI'!$C$42</f>
        <v>5.4068513134096285</v>
      </c>
      <c r="G1292" s="75">
        <f>3.6*F1292</f>
        <v>19.464664728274663</v>
      </c>
      <c r="H1292" s="75">
        <f>'THAM_SO_MOI'!$D$50</f>
        <v>1.8785906709588276</v>
      </c>
      <c r="I1292" s="75">
        <f>IF(F1292&gt;'THAM_SO_MOI'!$C$14,'THAM_SO_MOI'!$C$13*(1+F1292^2/1500),'THAM_SO_MOI'!$C$13)</f>
        <v>0.015</v>
      </c>
      <c r="J1292" s="75">
        <f>'THAM_SO_MOI'!$C$40*('THAM_SO_MOI'!$C$23*(E1292/'THAM_SO_MOI'!$C$22)+'THAM_SO_MOI'!$C$24*(E1292/'THAM_SO_MOI'!$C$22)^2-'THAM_SO_MOI'!$C$25*(E1292/'THAM_SO_MOI'!$C$22)^3)</f>
        <v>97.66239209146306</v>
      </c>
      <c r="K1292" s="75">
        <f>'THAM_SO_MOI'!$C$31*J1292/E1292</f>
        <v>430.1292611480456</v>
      </c>
      <c r="L1292" s="75">
        <f>K1292*'THAM_SO_MOI'!$C$50*'THAM_SO_MOI'!$C$17/'THAM_SO_MOI'!$C$26</f>
        <v>15356.201164171138</v>
      </c>
      <c r="M1292" s="75">
        <f>'THAM_SO_MOI'!$C$15*'THAM_SO_MOI'!$C$16*F1292^2</f>
        <v>85.50957029155933</v>
      </c>
      <c r="N1292" s="75">
        <f>'THAM_SO_MOI'!$C$12*I1292</f>
        <v>1130.112</v>
      </c>
      <c r="O1292" s="75">
        <f>M1292+N1292</f>
        <v>1215.6215702915595</v>
      </c>
      <c r="P1292" s="75">
        <f>(MIN(L1292,'THAM_SO_MOI'!$C$41)-O1292)/('THAM_SO_MOI'!$C$11*H1292)</f>
        <v>0.9801077636282783</v>
      </c>
      <c r="Q1292" s="75">
        <f>IF(P1292&gt;0,1/P1292,NA())</f>
        <v>1.020295968576029</v>
      </c>
      <c r="R1292" s="75">
        <f>F1292-F1291</f>
        <v>0.0032106047296869278</v>
      </c>
      <c r="S1292" s="75">
        <f>0.5*(Q1291+Q1292)*R1292</f>
        <v>0.003275754631470792</v>
      </c>
      <c r="T1292" s="75">
        <f>0.5*(F1291*Q1291+F1292*Q1292)*R1292</f>
        <v>0.017706259674874363</v>
      </c>
      <c r="U1292" s="76">
        <f>U1291+S1292</f>
        <v>5.659241287083411</v>
      </c>
      <c r="V1292" s="76">
        <f>V1291+T1292</f>
        <v>19.280994685063664</v>
      </c>
    </row>
    <row r="1293" spans="1:22" ht="19" customHeight="1">
      <c r="A1293" s="68" t="s">
        <v>372</v>
      </c>
      <c r="B1293" s="74">
        <v>2</v>
      </c>
      <c r="C1293" s="68" t="s">
        <v>363</v>
      </c>
      <c r="D1293" s="68" t="s">
        <v>364</v>
      </c>
      <c r="E1293" s="75">
        <f>60*F1293*'THAM_SO_MOI'!$C$50/(2*PI()*'THAM_SO_MOI'!$C$26)</f>
        <v>2169.898884550727</v>
      </c>
      <c r="F1293" s="75">
        <f>'HANH_TRINH'!$F$826+('THAM_SO_MOI'!$F$50-'HANH_TRINH'!$F$826)*466/'THAM_SO_MOI'!$C$42</f>
        <v>5.410061918139315</v>
      </c>
      <c r="G1293" s="75">
        <f>3.6*F1293</f>
        <v>19.476222905301533</v>
      </c>
      <c r="H1293" s="75">
        <f>'THAM_SO_MOI'!$D$50</f>
        <v>1.8785906709588276</v>
      </c>
      <c r="I1293" s="75">
        <f>IF(F1293&gt;'THAM_SO_MOI'!$C$14,'THAM_SO_MOI'!$C$13*(1+F1293^2/1500),'THAM_SO_MOI'!$C$13)</f>
        <v>0.015</v>
      </c>
      <c r="J1293" s="75">
        <f>'THAM_SO_MOI'!$C$40*('THAM_SO_MOI'!$C$23*(E1293/'THAM_SO_MOI'!$C$22)+'THAM_SO_MOI'!$C$24*(E1293/'THAM_SO_MOI'!$C$22)^2-'THAM_SO_MOI'!$C$25*(E1293/'THAM_SO_MOI'!$C$22)^3)</f>
        <v>97.7203108528238</v>
      </c>
      <c r="K1293" s="75">
        <f>'THAM_SO_MOI'!$C$31*J1293/E1293</f>
        <v>430.1289377880294</v>
      </c>
      <c r="L1293" s="75">
        <f>K1293*'THAM_SO_MOI'!$C$50*'THAM_SO_MOI'!$C$17/'THAM_SO_MOI'!$C$26</f>
        <v>15356.189619777613</v>
      </c>
      <c r="M1293" s="75">
        <f>'THAM_SO_MOI'!$C$15*'THAM_SO_MOI'!$C$16*F1293^2</f>
        <v>85.61115212744613</v>
      </c>
      <c r="N1293" s="75">
        <f>'THAM_SO_MOI'!$C$12*I1293</f>
        <v>1130.112</v>
      </c>
      <c r="O1293" s="75">
        <f>M1293+N1293</f>
        <v>1215.7231521274462</v>
      </c>
      <c r="P1293" s="75">
        <f>(MIN(L1293,'THAM_SO_MOI'!$C$41)-O1293)/('THAM_SO_MOI'!$C$11*H1293)</f>
        <v>0.9800999226557794</v>
      </c>
      <c r="Q1293" s="75">
        <f>IF(P1293&gt;0,1/P1293,NA())</f>
        <v>1.0203041311239953</v>
      </c>
      <c r="R1293" s="75">
        <f>F1293-F1292</f>
        <v>0.0032106047296860396</v>
      </c>
      <c r="S1293" s="75">
        <f>0.5*(Q1292+Q1293)*R1293</f>
        <v>0.0032757801657473514</v>
      </c>
      <c r="T1293" s="75">
        <f>0.5*(F1292*Q1292+F1293*Q1293)*R1293</f>
        <v>0.017716914930293905</v>
      </c>
      <c r="U1293" s="76">
        <f>U1292+S1293</f>
        <v>5.6625170672491585</v>
      </c>
      <c r="V1293" s="76">
        <f>V1292+T1293</f>
        <v>19.298711599993958</v>
      </c>
    </row>
    <row r="1294" spans="1:22" ht="19" customHeight="1">
      <c r="A1294" s="68" t="s">
        <v>372</v>
      </c>
      <c r="B1294" s="74">
        <v>2</v>
      </c>
      <c r="C1294" s="68" t="s">
        <v>363</v>
      </c>
      <c r="D1294" s="68" t="s">
        <v>364</v>
      </c>
      <c r="E1294" s="75">
        <f>60*F1294*'THAM_SO_MOI'!$C$50/(2*PI()*'THAM_SO_MOI'!$C$26)</f>
        <v>2171.186612441294</v>
      </c>
      <c r="F1294" s="75">
        <f>'HANH_TRINH'!$F$826+('THAM_SO_MOI'!$F$50-'HANH_TRINH'!$F$826)*467/'THAM_SO_MOI'!$C$42</f>
        <v>5.4132725228690015</v>
      </c>
      <c r="G1294" s="75">
        <f>3.6*F1294</f>
        <v>19.487781082328407</v>
      </c>
      <c r="H1294" s="75">
        <f>'THAM_SO_MOI'!$D$50</f>
        <v>1.8785906709588276</v>
      </c>
      <c r="I1294" s="75">
        <f>IF(F1294&gt;'THAM_SO_MOI'!$C$14,'THAM_SO_MOI'!$C$13*(1+F1294^2/1500),'THAM_SO_MOI'!$C$13)</f>
        <v>0.015</v>
      </c>
      <c r="J1294" s="75">
        <f>'THAM_SO_MOI'!$C$40*('THAM_SO_MOI'!$C$23*(E1294/'THAM_SO_MOI'!$C$22)+'THAM_SO_MOI'!$C$24*(E1294/'THAM_SO_MOI'!$C$22)^2-'THAM_SO_MOI'!$C$25*(E1294/'THAM_SO_MOI'!$C$22)^3)</f>
        <v>97.77819295651632</v>
      </c>
      <c r="K1294" s="75">
        <f>'THAM_SO_MOI'!$C$31*J1294/E1294</f>
        <v>430.1284535536811</v>
      </c>
      <c r="L1294" s="75">
        <f>K1294*'THAM_SO_MOI'!$C$50*'THAM_SO_MOI'!$C$17/'THAM_SO_MOI'!$C$26</f>
        <v>15356.172331951055</v>
      </c>
      <c r="M1294" s="75">
        <f>'THAM_SO_MOI'!$C$15*'THAM_SO_MOI'!$C$16*F1294^2</f>
        <v>85.71279426503195</v>
      </c>
      <c r="N1294" s="75">
        <f>'THAM_SO_MOI'!$C$12*I1294</f>
        <v>1130.112</v>
      </c>
      <c r="O1294" s="75">
        <f>M1294+N1294</f>
        <v>1215.824794265032</v>
      </c>
      <c r="P1294" s="75">
        <f>(MIN(L1294,'THAM_SO_MOI'!$C$41)-O1294)/('THAM_SO_MOI'!$C$11*H1294)</f>
        <v>0.9800916794164968</v>
      </c>
      <c r="Q1294" s="75">
        <f>IF(P1294&gt;0,1/P1294,NA())</f>
        <v>1.020312712577415</v>
      </c>
      <c r="R1294" s="75">
        <f>F1294-F1293</f>
        <v>0.0032106047296869278</v>
      </c>
      <c r="S1294" s="75">
        <f>0.5*(Q1293+Q1294)*R1294</f>
        <v>0.003275807044933279</v>
      </c>
      <c r="T1294" s="75">
        <f>0.5*(F1293*Q1293+F1294*Q1294)*R1294</f>
        <v>0.017727577627876388</v>
      </c>
      <c r="U1294" s="76">
        <f>U1293+S1294</f>
        <v>5.665792874294092</v>
      </c>
      <c r="V1294" s="76">
        <f>V1293+T1294</f>
        <v>19.316439177621834</v>
      </c>
    </row>
    <row r="1295" spans="1:22" ht="19" customHeight="1">
      <c r="A1295" s="68" t="s">
        <v>372</v>
      </c>
      <c r="B1295" s="74">
        <v>2</v>
      </c>
      <c r="C1295" s="68" t="s">
        <v>363</v>
      </c>
      <c r="D1295" s="68" t="s">
        <v>364</v>
      </c>
      <c r="E1295" s="75">
        <f>60*F1295*'THAM_SO_MOI'!$C$50/(2*PI()*'THAM_SO_MOI'!$C$26)</f>
        <v>2172.4743403318607</v>
      </c>
      <c r="F1295" s="75">
        <f>'HANH_TRINH'!$F$826+('THAM_SO_MOI'!$F$50-'HANH_TRINH'!$F$826)*468/'THAM_SO_MOI'!$C$42</f>
        <v>5.416483127598688</v>
      </c>
      <c r="G1295" s="75">
        <f>3.6*F1295</f>
        <v>19.499339259355278</v>
      </c>
      <c r="H1295" s="75">
        <f>'THAM_SO_MOI'!$D$50</f>
        <v>1.8785906709588276</v>
      </c>
      <c r="I1295" s="75">
        <f>IF(F1295&gt;'THAM_SO_MOI'!$C$14,'THAM_SO_MOI'!$C$13*(1+F1295^2/1500),'THAM_SO_MOI'!$C$13)</f>
        <v>0.015</v>
      </c>
      <c r="J1295" s="75">
        <f>'THAM_SO_MOI'!$C$40*('THAM_SO_MOI'!$C$23*(E1295/'THAM_SO_MOI'!$C$22)+'THAM_SO_MOI'!$C$24*(E1295/'THAM_SO_MOI'!$C$22)^2-'THAM_SO_MOI'!$C$25*(E1295/'THAM_SO_MOI'!$C$22)^3)</f>
        <v>97.83603833747081</v>
      </c>
      <c r="K1295" s="75">
        <f>'THAM_SO_MOI'!$C$31*J1295/E1295</f>
        <v>430.1278084450003</v>
      </c>
      <c r="L1295" s="75">
        <f>K1295*'THAM_SO_MOI'!$C$50*'THAM_SO_MOI'!$C$17/'THAM_SO_MOI'!$C$26</f>
        <v>15356.149300691455</v>
      </c>
      <c r="M1295" s="75">
        <f>'THAM_SO_MOI'!$C$15*'THAM_SO_MOI'!$C$16*F1295^2</f>
        <v>85.81449670431672</v>
      </c>
      <c r="N1295" s="75">
        <f>'THAM_SO_MOI'!$C$12*I1295</f>
        <v>1130.112</v>
      </c>
      <c r="O1295" s="75">
        <f>M1295+N1295</f>
        <v>1215.9264967043168</v>
      </c>
      <c r="P1295" s="75">
        <f>(MIN(L1295,'THAM_SO_MOI'!$C$41)-O1295)/('THAM_SO_MOI'!$C$11*H1295)</f>
        <v>0.9800830339104303</v>
      </c>
      <c r="Q1295" s="75">
        <f>IF(P1295&gt;0,1/P1295,NA())</f>
        <v>1.0203217129574247</v>
      </c>
      <c r="R1295" s="75">
        <f>F1295-F1294</f>
        <v>0.0032106047296869278</v>
      </c>
      <c r="S1295" s="75">
        <f>0.5*(Q1294+Q1295)*R1295</f>
        <v>0.0032758352690920615</v>
      </c>
      <c r="T1295" s="75">
        <f>0.5*(F1294*Q1294+F1295*Q1295)*R1295</f>
        <v>0.01773824778091949</v>
      </c>
      <c r="U1295" s="76">
        <f>U1294+S1295</f>
        <v>5.669068709563184</v>
      </c>
      <c r="V1295" s="76">
        <f>V1294+T1295</f>
        <v>19.334177425402753</v>
      </c>
    </row>
    <row r="1296" spans="1:22" ht="19" customHeight="1">
      <c r="A1296" s="68" t="s">
        <v>372</v>
      </c>
      <c r="B1296" s="74">
        <v>2</v>
      </c>
      <c r="C1296" s="68" t="s">
        <v>363</v>
      </c>
      <c r="D1296" s="68" t="s">
        <v>364</v>
      </c>
      <c r="E1296" s="75">
        <f>60*F1296*'THAM_SO_MOI'!$C$50/(2*PI()*'THAM_SO_MOI'!$C$26)</f>
        <v>2173.762068222428</v>
      </c>
      <c r="F1296" s="75">
        <f>'HANH_TRINH'!$F$826+('THAM_SO_MOI'!$F$50-'HANH_TRINH'!$F$826)*469/'THAM_SO_MOI'!$C$42</f>
        <v>5.419693732328375</v>
      </c>
      <c r="G1296" s="75">
        <f>3.6*F1296</f>
        <v>19.51089743638215</v>
      </c>
      <c r="H1296" s="75">
        <f>'THAM_SO_MOI'!$D$50</f>
        <v>1.8785906709588276</v>
      </c>
      <c r="I1296" s="75">
        <f>IF(F1296&gt;'THAM_SO_MOI'!$C$14,'THAM_SO_MOI'!$C$13*(1+F1296^2/1500),'THAM_SO_MOI'!$C$13)</f>
        <v>0.015</v>
      </c>
      <c r="J1296" s="75">
        <f>'THAM_SO_MOI'!$C$40*('THAM_SO_MOI'!$C$23*(E1296/'THAM_SO_MOI'!$C$22)+'THAM_SO_MOI'!$C$24*(E1296/'THAM_SO_MOI'!$C$22)^2-'THAM_SO_MOI'!$C$25*(E1296/'THAM_SO_MOI'!$C$22)^3)</f>
        <v>97.8938469306177</v>
      </c>
      <c r="K1296" s="75">
        <f>'THAM_SO_MOI'!$C$31*J1296/E1296</f>
        <v>430.12700246198744</v>
      </c>
      <c r="L1296" s="75">
        <f>K1296*'THAM_SO_MOI'!$C$50*'THAM_SO_MOI'!$C$17/'THAM_SO_MOI'!$C$26</f>
        <v>15356.120525998826</v>
      </c>
      <c r="M1296" s="75">
        <f>'THAM_SO_MOI'!$C$15*'THAM_SO_MOI'!$C$16*F1296^2</f>
        <v>85.91625944530048</v>
      </c>
      <c r="N1296" s="75">
        <f>'THAM_SO_MOI'!$C$12*I1296</f>
        <v>1130.112</v>
      </c>
      <c r="O1296" s="75">
        <f>M1296+N1296</f>
        <v>1216.0282594453006</v>
      </c>
      <c r="P1296" s="75">
        <f>(MIN(L1296,'THAM_SO_MOI'!$C$41)-O1296)/('THAM_SO_MOI'!$C$11*H1296)</f>
        <v>0.9800739861375807</v>
      </c>
      <c r="Q1296" s="75">
        <f>IF(P1296&gt;0,1/P1296,NA())</f>
        <v>1.0203311322861928</v>
      </c>
      <c r="R1296" s="75">
        <f>F1296-F1295</f>
        <v>0.0032106047296869278</v>
      </c>
      <c r="S1296" s="75">
        <f>0.5*(Q1295+Q1296)*R1296</f>
        <v>0.0032758648382941223</v>
      </c>
      <c r="T1296" s="75">
        <f>0.5*(F1295*Q1295+F1296*Q1296)*R1296</f>
        <v>0.01774892540275931</v>
      </c>
      <c r="U1296" s="76">
        <f>U1295+S1296</f>
        <v>5.672344574401478</v>
      </c>
      <c r="V1296" s="76">
        <f>V1295+T1296</f>
        <v>19.351926350805513</v>
      </c>
    </row>
    <row r="1297" spans="1:22" ht="19" customHeight="1">
      <c r="A1297" s="68" t="s">
        <v>372</v>
      </c>
      <c r="B1297" s="74">
        <v>2</v>
      </c>
      <c r="C1297" s="68" t="s">
        <v>363</v>
      </c>
      <c r="D1297" s="68" t="s">
        <v>364</v>
      </c>
      <c r="E1297" s="75">
        <f>60*F1297*'THAM_SO_MOI'!$C$50/(2*PI()*'THAM_SO_MOI'!$C$26)</f>
        <v>2175.0497961129945</v>
      </c>
      <c r="F1297" s="75">
        <f>'HANH_TRINH'!$F$826+('THAM_SO_MOI'!$F$50-'HANH_TRINH'!$F$826)*470/'THAM_SO_MOI'!$C$42</f>
        <v>5.422904337058062</v>
      </c>
      <c r="G1297" s="75">
        <f>3.6*F1297</f>
        <v>19.522455613409026</v>
      </c>
      <c r="H1297" s="75">
        <f>'THAM_SO_MOI'!$D$50</f>
        <v>1.8785906709588276</v>
      </c>
      <c r="I1297" s="75">
        <f>IF(F1297&gt;'THAM_SO_MOI'!$C$14,'THAM_SO_MOI'!$C$13*(1+F1297^2/1500),'THAM_SO_MOI'!$C$13)</f>
        <v>0.015</v>
      </c>
      <c r="J1297" s="75">
        <f>'THAM_SO_MOI'!$C$40*('THAM_SO_MOI'!$C$23*(E1297/'THAM_SO_MOI'!$C$22)+'THAM_SO_MOI'!$C$24*(E1297/'THAM_SO_MOI'!$C$22)^2-'THAM_SO_MOI'!$C$25*(E1297/'THAM_SO_MOI'!$C$22)^3)</f>
        <v>97.95161867088719</v>
      </c>
      <c r="K1297" s="75">
        <f>'THAM_SO_MOI'!$C$31*J1297/E1297</f>
        <v>430.1260356046423</v>
      </c>
      <c r="L1297" s="75">
        <f>K1297*'THAM_SO_MOI'!$C$50*'THAM_SO_MOI'!$C$17/'THAM_SO_MOI'!$C$26</f>
        <v>15356.08600787316</v>
      </c>
      <c r="M1297" s="75">
        <f>'THAM_SO_MOI'!$C$15*'THAM_SO_MOI'!$C$16*F1297^2</f>
        <v>86.01808248798321</v>
      </c>
      <c r="N1297" s="75">
        <f>'THAM_SO_MOI'!$C$12*I1297</f>
        <v>1130.112</v>
      </c>
      <c r="O1297" s="75">
        <f>M1297+N1297</f>
        <v>1216.1300824879834</v>
      </c>
      <c r="P1297" s="75">
        <f>(MIN(L1297,'THAM_SO_MOI'!$C$41)-O1297)/('THAM_SO_MOI'!$C$11*H1297)</f>
        <v>0.9800645360979473</v>
      </c>
      <c r="Q1297" s="75">
        <f>IF(P1297&gt;0,1/P1297,NA())</f>
        <v>1.020340970586921</v>
      </c>
      <c r="R1297" s="75">
        <f>F1297-F1296</f>
        <v>0.0032106047296869278</v>
      </c>
      <c r="S1297" s="75">
        <f>0.5*(Q1296+Q1297)*R1297</f>
        <v>0.003275895752612294</v>
      </c>
      <c r="T1297" s="75">
        <f>0.5*(F1296*Q1296+F1297*Q1297)*R1297</f>
        <v>0.017759610506745904</v>
      </c>
      <c r="U1297" s="76">
        <f>U1296+S1297</f>
        <v>5.67562047015409</v>
      </c>
      <c r="V1297" s="76">
        <f>V1296+T1297</f>
        <v>19.36968596131226</v>
      </c>
    </row>
    <row r="1298" spans="1:22" ht="19" customHeight="1">
      <c r="A1298" s="68" t="s">
        <v>372</v>
      </c>
      <c r="B1298" s="74">
        <v>2</v>
      </c>
      <c r="C1298" s="68" t="s">
        <v>363</v>
      </c>
      <c r="D1298" s="68" t="s">
        <v>364</v>
      </c>
      <c r="E1298" s="75">
        <f>60*F1298*'THAM_SO_MOI'!$C$50/(2*PI()*'THAM_SO_MOI'!$C$26)</f>
        <v>2176.337524003561</v>
      </c>
      <c r="F1298" s="75">
        <f>'HANH_TRINH'!$F$826+('THAM_SO_MOI'!$F$50-'HANH_TRINH'!$F$826)*471/'THAM_SO_MOI'!$C$42</f>
        <v>5.426114941787749</v>
      </c>
      <c r="G1298" s="75">
        <f>3.6*F1298</f>
        <v>19.534013790435896</v>
      </c>
      <c r="H1298" s="75">
        <f>'THAM_SO_MOI'!$D$50</f>
        <v>1.8785906709588276</v>
      </c>
      <c r="I1298" s="75">
        <f>IF(F1298&gt;'THAM_SO_MOI'!$C$14,'THAM_SO_MOI'!$C$13*(1+F1298^2/1500),'THAM_SO_MOI'!$C$13)</f>
        <v>0.015</v>
      </c>
      <c r="J1298" s="75">
        <f>'THAM_SO_MOI'!$C$40*('THAM_SO_MOI'!$C$23*(E1298/'THAM_SO_MOI'!$C$22)+'THAM_SO_MOI'!$C$24*(E1298/'THAM_SO_MOI'!$C$22)^2-'THAM_SO_MOI'!$C$25*(E1298/'THAM_SO_MOI'!$C$22)^3)</f>
        <v>98.00935349320962</v>
      </c>
      <c r="K1298" s="75">
        <f>'THAM_SO_MOI'!$C$31*J1298/E1298</f>
        <v>430.12490787296497</v>
      </c>
      <c r="L1298" s="75">
        <f>K1298*'THAM_SO_MOI'!$C$50*'THAM_SO_MOI'!$C$17/'THAM_SO_MOI'!$C$26</f>
        <v>15356.045746314461</v>
      </c>
      <c r="M1298" s="75">
        <f>'THAM_SO_MOI'!$C$15*'THAM_SO_MOI'!$C$16*F1298^2</f>
        <v>86.1199658323649</v>
      </c>
      <c r="N1298" s="75">
        <f>'THAM_SO_MOI'!$C$12*I1298</f>
        <v>1130.112</v>
      </c>
      <c r="O1298" s="75">
        <f>M1298+N1298</f>
        <v>1216.231965832365</v>
      </c>
      <c r="P1298" s="75">
        <f>(MIN(L1298,'THAM_SO_MOI'!$C$41)-O1298)/('THAM_SO_MOI'!$C$11*H1298)</f>
        <v>0.9800546837915305</v>
      </c>
      <c r="Q1298" s="75">
        <f>IF(P1298&gt;0,1/P1298,NA())</f>
        <v>1.0203512278838434</v>
      </c>
      <c r="R1298" s="75">
        <f>F1298-F1297</f>
        <v>0.0032106047296869278</v>
      </c>
      <c r="S1298" s="75">
        <f>0.5*(Q1297+Q1298)*R1298</f>
        <v>0.003275928012122725</v>
      </c>
      <c r="T1298" s="75">
        <f>0.5*(F1297*Q1297+F1298*Q1298)*R1298</f>
        <v>0.017770303106248254</v>
      </c>
      <c r="U1298" s="76">
        <f>U1297+S1298</f>
        <v>5.678896398166213</v>
      </c>
      <c r="V1298" s="76">
        <f>V1297+T1298</f>
        <v>19.38745626441851</v>
      </c>
    </row>
    <row r="1299" spans="1:22" ht="19" customHeight="1">
      <c r="A1299" s="68" t="s">
        <v>372</v>
      </c>
      <c r="B1299" s="74">
        <v>2</v>
      </c>
      <c r="C1299" s="68" t="s">
        <v>363</v>
      </c>
      <c r="D1299" s="68" t="s">
        <v>364</v>
      </c>
      <c r="E1299" s="75">
        <f>60*F1299*'THAM_SO_MOI'!$C$50/(2*PI()*'THAM_SO_MOI'!$C$26)</f>
        <v>2177.625251894128</v>
      </c>
      <c r="F1299" s="75">
        <f>'HANH_TRINH'!$F$826+('THAM_SO_MOI'!$F$50-'HANH_TRINH'!$F$826)*472/'THAM_SO_MOI'!$C$42</f>
        <v>5.429325546517436</v>
      </c>
      <c r="G1299" s="75">
        <f>3.6*F1299</f>
        <v>19.54557196746277</v>
      </c>
      <c r="H1299" s="75">
        <f>'THAM_SO_MOI'!$D$50</f>
        <v>1.8785906709588276</v>
      </c>
      <c r="I1299" s="75">
        <f>IF(F1299&gt;'THAM_SO_MOI'!$C$14,'THAM_SO_MOI'!$C$13*(1+F1299^2/1500),'THAM_SO_MOI'!$C$13)</f>
        <v>0.015</v>
      </c>
      <c r="J1299" s="75">
        <f>'THAM_SO_MOI'!$C$40*('THAM_SO_MOI'!$C$23*(E1299/'THAM_SO_MOI'!$C$22)+'THAM_SO_MOI'!$C$24*(E1299/'THAM_SO_MOI'!$C$22)^2-'THAM_SO_MOI'!$C$25*(E1299/'THAM_SO_MOI'!$C$22)^3)</f>
        <v>98.06705133251523</v>
      </c>
      <c r="K1299" s="75">
        <f>'THAM_SO_MOI'!$C$31*J1299/E1299</f>
        <v>430.1236192669551</v>
      </c>
      <c r="L1299" s="75">
        <f>K1299*'THAM_SO_MOI'!$C$50*'THAM_SO_MOI'!$C$17/'THAM_SO_MOI'!$C$26</f>
        <v>15355.999741322714</v>
      </c>
      <c r="M1299" s="75">
        <f>'THAM_SO_MOI'!$C$15*'THAM_SO_MOI'!$C$16*F1299^2</f>
        <v>86.22190947844557</v>
      </c>
      <c r="N1299" s="75">
        <f>'THAM_SO_MOI'!$C$12*I1299</f>
        <v>1130.112</v>
      </c>
      <c r="O1299" s="75">
        <f>M1299+N1299</f>
        <v>1216.3339094784455</v>
      </c>
      <c r="P1299" s="75">
        <f>(MIN(L1299,'THAM_SO_MOI'!$C$41)-O1299)/('THAM_SO_MOI'!$C$11*H1299)</f>
        <v>0.9800444292183293</v>
      </c>
      <c r="Q1299" s="75">
        <f>IF(P1299&gt;0,1/P1299,NA())</f>
        <v>1.0203619042022278</v>
      </c>
      <c r="R1299" s="75">
        <f>F1299-F1298</f>
        <v>0.0032106047296869278</v>
      </c>
      <c r="S1299" s="75">
        <f>0.5*(Q1298+Q1299)*R1299</f>
        <v>0.003275961616904882</v>
      </c>
      <c r="T1299" s="75">
        <f>0.5*(F1298*Q1298+F1299*Q1299)*R1299</f>
        <v>0.017781003214654315</v>
      </c>
      <c r="U1299" s="76">
        <f>U1298+S1299</f>
        <v>5.6821723597831175</v>
      </c>
      <c r="V1299" s="76">
        <f>V1298+T1299</f>
        <v>19.405237267633165</v>
      </c>
    </row>
    <row r="1300" spans="1:22" ht="19" customHeight="1">
      <c r="A1300" s="68" t="s">
        <v>372</v>
      </c>
      <c r="B1300" s="74">
        <v>2</v>
      </c>
      <c r="C1300" s="68" t="s">
        <v>363</v>
      </c>
      <c r="D1300" s="68" t="s">
        <v>364</v>
      </c>
      <c r="E1300" s="75">
        <f>60*F1300*'THAM_SO_MOI'!$C$50/(2*PI()*'THAM_SO_MOI'!$C$26)</f>
        <v>2178.912979784694</v>
      </c>
      <c r="F1300" s="75">
        <f>'HANH_TRINH'!$F$826+('THAM_SO_MOI'!$F$50-'HANH_TRINH'!$F$826)*473/'THAM_SO_MOI'!$C$42</f>
        <v>5.432536151247122</v>
      </c>
      <c r="G1300" s="75">
        <f>3.6*F1300</f>
        <v>19.55713014448964</v>
      </c>
      <c r="H1300" s="75">
        <f>'THAM_SO_MOI'!$D$50</f>
        <v>1.8785906709588276</v>
      </c>
      <c r="I1300" s="75">
        <f>IF(F1300&gt;'THAM_SO_MOI'!$C$14,'THAM_SO_MOI'!$C$13*(1+F1300^2/1500),'THAM_SO_MOI'!$C$13)</f>
        <v>0.015</v>
      </c>
      <c r="J1300" s="75">
        <f>'THAM_SO_MOI'!$C$40*('THAM_SO_MOI'!$C$23*(E1300/'THAM_SO_MOI'!$C$22)+'THAM_SO_MOI'!$C$24*(E1300/'THAM_SO_MOI'!$C$22)^2-'THAM_SO_MOI'!$C$25*(E1300/'THAM_SO_MOI'!$C$22)^3)</f>
        <v>98.1247121237344</v>
      </c>
      <c r="K1300" s="75">
        <f>'THAM_SO_MOI'!$C$31*J1300/E1300</f>
        <v>430.12216978661314</v>
      </c>
      <c r="L1300" s="75">
        <f>K1300*'THAM_SO_MOI'!$C$50*'THAM_SO_MOI'!$C$17/'THAM_SO_MOI'!$C$26</f>
        <v>15355.947992897938</v>
      </c>
      <c r="M1300" s="75">
        <f>'THAM_SO_MOI'!$C$15*'THAM_SO_MOI'!$C$16*F1300^2</f>
        <v>86.32391342622518</v>
      </c>
      <c r="N1300" s="75">
        <f>'THAM_SO_MOI'!$C$12*I1300</f>
        <v>1130.112</v>
      </c>
      <c r="O1300" s="75">
        <f>M1300+N1300</f>
        <v>1216.4359134262252</v>
      </c>
      <c r="P1300" s="75">
        <f>(MIN(L1300,'THAM_SO_MOI'!$C$41)-O1300)/('THAM_SO_MOI'!$C$11*H1300)</f>
        <v>0.9800337723783449</v>
      </c>
      <c r="Q1300" s="75">
        <f>IF(P1300&gt;0,1/P1300,NA())</f>
        <v>1.0203729995683732</v>
      </c>
      <c r="R1300" s="75">
        <f>F1300-F1299</f>
        <v>0.0032106047296860396</v>
      </c>
      <c r="S1300" s="75">
        <f>0.5*(Q1299+Q1300)*R1300</f>
        <v>0.003275996567040638</v>
      </c>
      <c r="T1300" s="75">
        <f>0.5*(F1299*Q1299+F1300*Q1300)*R1300</f>
        <v>0.017791710845366158</v>
      </c>
      <c r="U1300" s="76">
        <f>U1299+S1300</f>
        <v>5.685448356350158</v>
      </c>
      <c r="V1300" s="76">
        <f>V1299+T1300</f>
        <v>19.42302897847853</v>
      </c>
    </row>
    <row r="1301" spans="1:22" ht="19" customHeight="1">
      <c r="A1301" s="68" t="s">
        <v>372</v>
      </c>
      <c r="B1301" s="74">
        <v>2</v>
      </c>
      <c r="C1301" s="68" t="s">
        <v>363</v>
      </c>
      <c r="D1301" s="68" t="s">
        <v>364</v>
      </c>
      <c r="E1301" s="75">
        <f>60*F1301*'THAM_SO_MOI'!$C$50/(2*PI()*'THAM_SO_MOI'!$C$26)</f>
        <v>2180.2007076752607</v>
      </c>
      <c r="F1301" s="75">
        <f>'HANH_TRINH'!$F$826+('THAM_SO_MOI'!$F$50-'HANH_TRINH'!$F$826)*474/'THAM_SO_MOI'!$C$42</f>
        <v>5.435746755976809</v>
      </c>
      <c r="G1301" s="75">
        <f>3.6*F1301</f>
        <v>19.568688321516515</v>
      </c>
      <c r="H1301" s="75">
        <f>'THAM_SO_MOI'!$D$50</f>
        <v>1.8785906709588276</v>
      </c>
      <c r="I1301" s="75">
        <f>IF(F1301&gt;'THAM_SO_MOI'!$C$14,'THAM_SO_MOI'!$C$13*(1+F1301^2/1500),'THAM_SO_MOI'!$C$13)</f>
        <v>0.015</v>
      </c>
      <c r="J1301" s="75">
        <f>'THAM_SO_MOI'!$C$40*('THAM_SO_MOI'!$C$23*(E1301/'THAM_SO_MOI'!$C$22)+'THAM_SO_MOI'!$C$24*(E1301/'THAM_SO_MOI'!$C$22)^2-'THAM_SO_MOI'!$C$25*(E1301/'THAM_SO_MOI'!$C$22)^3)</f>
        <v>98.18233580179745</v>
      </c>
      <c r="K1301" s="75">
        <f>'THAM_SO_MOI'!$C$31*J1301/E1301</f>
        <v>430.12055943193906</v>
      </c>
      <c r="L1301" s="75">
        <f>K1301*'THAM_SO_MOI'!$C$50*'THAM_SO_MOI'!$C$17/'THAM_SO_MOI'!$C$26</f>
        <v>15355.890501040132</v>
      </c>
      <c r="M1301" s="75">
        <f>'THAM_SO_MOI'!$C$15*'THAM_SO_MOI'!$C$16*F1301^2</f>
        <v>86.42597767570379</v>
      </c>
      <c r="N1301" s="75">
        <f>'THAM_SO_MOI'!$C$12*I1301</f>
        <v>1130.112</v>
      </c>
      <c r="O1301" s="75">
        <f>M1301+N1301</f>
        <v>1216.5379776757038</v>
      </c>
      <c r="P1301" s="75">
        <f>(MIN(L1301,'THAM_SO_MOI'!$C$41)-O1301)/('THAM_SO_MOI'!$C$11*H1301)</f>
        <v>0.9800227132715774</v>
      </c>
      <c r="Q1301" s="75">
        <f>IF(P1301&gt;0,1/P1301,NA())</f>
        <v>1.0203845140096122</v>
      </c>
      <c r="R1301" s="75">
        <f>F1301-F1300</f>
        <v>0.0032106047296869278</v>
      </c>
      <c r="S1301" s="75">
        <f>0.5*(Q1300+Q1301)*R1301</f>
        <v>0.003276032862618808</v>
      </c>
      <c r="T1301" s="75">
        <f>0.5*(F1300*Q1300+F1301*Q1301)*R1301</f>
        <v>0.0178024260118246</v>
      </c>
      <c r="U1301" s="76">
        <f>U1300+S1301</f>
        <v>5.688724389212777</v>
      </c>
      <c r="V1301" s="76">
        <f>V1300+T1301</f>
        <v>19.440831404490357</v>
      </c>
    </row>
    <row r="1302" spans="1:22" ht="19" customHeight="1">
      <c r="A1302" s="68" t="s">
        <v>372</v>
      </c>
      <c r="B1302" s="74">
        <v>2</v>
      </c>
      <c r="C1302" s="68" t="s">
        <v>363</v>
      </c>
      <c r="D1302" s="68" t="s">
        <v>364</v>
      </c>
      <c r="E1302" s="75">
        <f>60*F1302*'THAM_SO_MOI'!$C$50/(2*PI()*'THAM_SO_MOI'!$C$26)</f>
        <v>2181.4884355658273</v>
      </c>
      <c r="F1302" s="75">
        <f>'HANH_TRINH'!$F$826+('THAM_SO_MOI'!$F$50-'HANH_TRINH'!$F$826)*475/'THAM_SO_MOI'!$C$42</f>
        <v>5.438957360706496</v>
      </c>
      <c r="G1302" s="75">
        <f>3.6*F1302</f>
        <v>19.580246498543385</v>
      </c>
      <c r="H1302" s="75">
        <f>'THAM_SO_MOI'!$D$50</f>
        <v>1.8785906709588276</v>
      </c>
      <c r="I1302" s="75">
        <f>IF(F1302&gt;'THAM_SO_MOI'!$C$14,'THAM_SO_MOI'!$C$13*(1+F1302^2/1500),'THAM_SO_MOI'!$C$13)</f>
        <v>0.015</v>
      </c>
      <c r="J1302" s="75">
        <f>'THAM_SO_MOI'!$C$40*('THAM_SO_MOI'!$C$23*(E1302/'THAM_SO_MOI'!$C$22)+'THAM_SO_MOI'!$C$24*(E1302/'THAM_SO_MOI'!$C$22)^2-'THAM_SO_MOI'!$C$25*(E1302/'THAM_SO_MOI'!$C$22)^3)</f>
        <v>98.23992230163462</v>
      </c>
      <c r="K1302" s="75">
        <f>'THAM_SO_MOI'!$C$31*J1302/E1302</f>
        <v>430.1187882029326</v>
      </c>
      <c r="L1302" s="75">
        <f>K1302*'THAM_SO_MOI'!$C$50*'THAM_SO_MOI'!$C$17/'THAM_SO_MOI'!$C$26</f>
        <v>15355.82726574928</v>
      </c>
      <c r="M1302" s="75">
        <f>'THAM_SO_MOI'!$C$15*'THAM_SO_MOI'!$C$16*F1302^2</f>
        <v>86.52810222688137</v>
      </c>
      <c r="N1302" s="75">
        <f>'THAM_SO_MOI'!$C$12*I1302</f>
        <v>1130.112</v>
      </c>
      <c r="O1302" s="75">
        <f>M1302+N1302</f>
        <v>1216.6401022268815</v>
      </c>
      <c r="P1302" s="75">
        <f>(MIN(L1302,'THAM_SO_MOI'!$C$41)-O1302)/('THAM_SO_MOI'!$C$11*H1302)</f>
        <v>0.9800112518980255</v>
      </c>
      <c r="Q1302" s="75">
        <f>IF(P1302&gt;0,1/P1302,NA())</f>
        <v>1.0203964475543128</v>
      </c>
      <c r="R1302" s="75">
        <f>F1302-F1301</f>
        <v>0.0032106047296869278</v>
      </c>
      <c r="S1302" s="75">
        <f>0.5*(Q1301+Q1302)*R1302</f>
        <v>0.003276070503726087</v>
      </c>
      <c r="T1302" s="75">
        <f>0.5*(F1301*Q1301+F1302*Q1302)*R1302</f>
        <v>0.017813148727460103</v>
      </c>
      <c r="U1302" s="76">
        <f>U1301+S1302</f>
        <v>5.692000459716503</v>
      </c>
      <c r="V1302" s="76">
        <f>V1301+T1302</f>
        <v>19.458644553217816</v>
      </c>
    </row>
    <row r="1303" spans="1:22" ht="19" customHeight="1">
      <c r="A1303" s="68" t="s">
        <v>372</v>
      </c>
      <c r="B1303" s="74">
        <v>2</v>
      </c>
      <c r="C1303" s="68" t="s">
        <v>363</v>
      </c>
      <c r="D1303" s="68" t="s">
        <v>364</v>
      </c>
      <c r="E1303" s="75">
        <f>60*F1303*'THAM_SO_MOI'!$C$50/(2*PI()*'THAM_SO_MOI'!$C$26)</f>
        <v>2182.776163456394</v>
      </c>
      <c r="F1303" s="75">
        <f>'HANH_TRINH'!$F$826+('THAM_SO_MOI'!$F$50-'HANH_TRINH'!$F$826)*476/'THAM_SO_MOI'!$C$42</f>
        <v>5.442167965436183</v>
      </c>
      <c r="G1303" s="75">
        <f>3.6*F1303</f>
        <v>19.59180467557026</v>
      </c>
      <c r="H1303" s="75">
        <f>'THAM_SO_MOI'!$D$50</f>
        <v>1.8785906709588276</v>
      </c>
      <c r="I1303" s="75">
        <f>IF(F1303&gt;'THAM_SO_MOI'!$C$14,'THAM_SO_MOI'!$C$13*(1+F1303^2/1500),'THAM_SO_MOI'!$C$13)</f>
        <v>0.015</v>
      </c>
      <c r="J1303" s="75">
        <f>'THAM_SO_MOI'!$C$40*('THAM_SO_MOI'!$C$23*(E1303/'THAM_SO_MOI'!$C$22)+'THAM_SO_MOI'!$C$24*(E1303/'THAM_SO_MOI'!$C$22)^2-'THAM_SO_MOI'!$C$25*(E1303/'THAM_SO_MOI'!$C$22)^3)</f>
        <v>98.29747155817626</v>
      </c>
      <c r="K1303" s="75">
        <f>'THAM_SO_MOI'!$C$31*J1303/E1303</f>
        <v>430.11685609959403</v>
      </c>
      <c r="L1303" s="75">
        <f>K1303*'THAM_SO_MOI'!$C$50*'THAM_SO_MOI'!$C$17/'THAM_SO_MOI'!$C$26</f>
        <v>15355.758287025405</v>
      </c>
      <c r="M1303" s="75">
        <f>'THAM_SO_MOI'!$C$15*'THAM_SO_MOI'!$C$16*F1303^2</f>
        <v>86.63028707975793</v>
      </c>
      <c r="N1303" s="75">
        <f>'THAM_SO_MOI'!$C$12*I1303</f>
        <v>1130.112</v>
      </c>
      <c r="O1303" s="75">
        <f>M1303+N1303</f>
        <v>1216.742287079758</v>
      </c>
      <c r="P1303" s="75">
        <f>(MIN(L1303,'THAM_SO_MOI'!$C$41)-O1303)/('THAM_SO_MOI'!$C$11*H1303)</f>
        <v>0.9799993882576911</v>
      </c>
      <c r="Q1303" s="75">
        <f>IF(P1303&gt;0,1/P1303,NA())</f>
        <v>1.020408800231873</v>
      </c>
      <c r="R1303" s="75">
        <f>F1303-F1302</f>
        <v>0.0032106047296869278</v>
      </c>
      <c r="S1303" s="75">
        <f>0.5*(Q1302+Q1303)*R1303</f>
        <v>0.0032761094904561155</v>
      </c>
      <c r="T1303" s="75">
        <f>0.5*(F1302*Q1302+F1303*Q1303)*R1303</f>
        <v>0.01782387900574201</v>
      </c>
      <c r="U1303" s="76">
        <f>U1302+S1303</f>
        <v>5.69527656920696</v>
      </c>
      <c r="V1303" s="76">
        <f>V1302+T1303</f>
        <v>19.47646843222356</v>
      </c>
    </row>
    <row r="1304" spans="1:22" ht="19" customHeight="1">
      <c r="A1304" s="68" t="s">
        <v>372</v>
      </c>
      <c r="B1304" s="74">
        <v>2</v>
      </c>
      <c r="C1304" s="68" t="s">
        <v>363</v>
      </c>
      <c r="D1304" s="68" t="s">
        <v>364</v>
      </c>
      <c r="E1304" s="75">
        <f>60*F1304*'THAM_SO_MOI'!$C$50/(2*PI()*'THAM_SO_MOI'!$C$26)</f>
        <v>2184.063891346961</v>
      </c>
      <c r="F1304" s="75">
        <f>'HANH_TRINH'!$F$826+('THAM_SO_MOI'!$F$50-'HANH_TRINH'!$F$826)*477/'THAM_SO_MOI'!$C$42</f>
        <v>5.44537857016587</v>
      </c>
      <c r="G1304" s="75">
        <f>3.6*F1304</f>
        <v>19.603362852597133</v>
      </c>
      <c r="H1304" s="75">
        <f>'THAM_SO_MOI'!$D$50</f>
        <v>1.8785906709588276</v>
      </c>
      <c r="I1304" s="75">
        <f>IF(F1304&gt;'THAM_SO_MOI'!$C$14,'THAM_SO_MOI'!$C$13*(1+F1304^2/1500),'THAM_SO_MOI'!$C$13)</f>
        <v>0.015</v>
      </c>
      <c r="J1304" s="75">
        <f>'THAM_SO_MOI'!$C$40*('THAM_SO_MOI'!$C$23*(E1304/'THAM_SO_MOI'!$C$22)+'THAM_SO_MOI'!$C$24*(E1304/'THAM_SO_MOI'!$C$22)^2-'THAM_SO_MOI'!$C$25*(E1304/'THAM_SO_MOI'!$C$22)^3)</f>
        <v>98.35498350635261</v>
      </c>
      <c r="K1304" s="75">
        <f>'THAM_SO_MOI'!$C$31*J1304/E1304</f>
        <v>430.114763121923</v>
      </c>
      <c r="L1304" s="75">
        <f>K1304*'THAM_SO_MOI'!$C$50*'THAM_SO_MOI'!$C$17/'THAM_SO_MOI'!$C$26</f>
        <v>15355.68356486848</v>
      </c>
      <c r="M1304" s="75">
        <f>'THAM_SO_MOI'!$C$15*'THAM_SO_MOI'!$C$16*F1304^2</f>
        <v>86.73253223433346</v>
      </c>
      <c r="N1304" s="75">
        <f>'THAM_SO_MOI'!$C$12*I1304</f>
        <v>1130.112</v>
      </c>
      <c r="O1304" s="75">
        <f>M1304+N1304</f>
        <v>1216.8445322343337</v>
      </c>
      <c r="P1304" s="75">
        <f>(MIN(L1304,'THAM_SO_MOI'!$C$41)-O1304)/('THAM_SO_MOI'!$C$11*H1304)</f>
        <v>0.9799871223505717</v>
      </c>
      <c r="Q1304" s="75">
        <f>IF(P1304&gt;0,1/P1304,NA())</f>
        <v>1.0204215720727288</v>
      </c>
      <c r="R1304" s="75">
        <f>F1304-F1303</f>
        <v>0.0032106047296869278</v>
      </c>
      <c r="S1304" s="75">
        <f>0.5*(Q1303+Q1304)*R1304</f>
        <v>0.003276149822904944</v>
      </c>
      <c r="T1304" s="75">
        <f>0.5*(F1303*Q1303+F1304*Q1304)*R1304</f>
        <v>0.01783461686015398</v>
      </c>
      <c r="U1304" s="76">
        <f>U1303+S1304</f>
        <v>5.698552719029864</v>
      </c>
      <c r="V1304" s="76">
        <f>V1303+T1304</f>
        <v>19.49430304908371</v>
      </c>
    </row>
    <row r="1305" spans="1:22" ht="19" customHeight="1">
      <c r="A1305" s="68" t="s">
        <v>372</v>
      </c>
      <c r="B1305" s="74">
        <v>2</v>
      </c>
      <c r="C1305" s="68" t="s">
        <v>363</v>
      </c>
      <c r="D1305" s="68" t="s">
        <v>364</v>
      </c>
      <c r="E1305" s="75">
        <f>60*F1305*'THAM_SO_MOI'!$C$50/(2*PI()*'THAM_SO_MOI'!$C$26)</f>
        <v>2185.3516192375278</v>
      </c>
      <c r="F1305" s="75">
        <f>'HANH_TRINH'!$F$826+('THAM_SO_MOI'!$F$50-'HANH_TRINH'!$F$826)*478/'THAM_SO_MOI'!$C$42</f>
        <v>5.448589174895557</v>
      </c>
      <c r="G1305" s="75">
        <f>3.6*F1305</f>
        <v>19.614921029624004</v>
      </c>
      <c r="H1305" s="75">
        <f>'THAM_SO_MOI'!$D$50</f>
        <v>1.8785906709588276</v>
      </c>
      <c r="I1305" s="75">
        <f>IF(F1305&gt;'THAM_SO_MOI'!$C$14,'THAM_SO_MOI'!$C$13*(1+F1305^2/1500),'THAM_SO_MOI'!$C$13)</f>
        <v>0.015</v>
      </c>
      <c r="J1305" s="75">
        <f>'THAM_SO_MOI'!$C$40*('THAM_SO_MOI'!$C$23*(E1305/'THAM_SO_MOI'!$C$22)+'THAM_SO_MOI'!$C$24*(E1305/'THAM_SO_MOI'!$C$22)^2-'THAM_SO_MOI'!$C$25*(E1305/'THAM_SO_MOI'!$C$22)^3)</f>
        <v>98.41245808109403</v>
      </c>
      <c r="K1305" s="75">
        <f>'THAM_SO_MOI'!$C$31*J1305/E1305</f>
        <v>430.1125092699199</v>
      </c>
      <c r="L1305" s="75">
        <f>K1305*'THAM_SO_MOI'!$C$50*'THAM_SO_MOI'!$C$17/'THAM_SO_MOI'!$C$26</f>
        <v>15355.603099278529</v>
      </c>
      <c r="M1305" s="75">
        <f>'THAM_SO_MOI'!$C$15*'THAM_SO_MOI'!$C$16*F1305^2</f>
        <v>86.83483769060796</v>
      </c>
      <c r="N1305" s="75">
        <f>'THAM_SO_MOI'!$C$12*I1305</f>
        <v>1130.112</v>
      </c>
      <c r="O1305" s="75">
        <f>M1305+N1305</f>
        <v>1216.946837690608</v>
      </c>
      <c r="P1305" s="75">
        <f>(MIN(L1305,'THAM_SO_MOI'!$C$41)-O1305)/('THAM_SO_MOI'!$C$11*H1305)</f>
        <v>0.9799744541766695</v>
      </c>
      <c r="Q1305" s="75">
        <f>IF(P1305&gt;0,1/P1305,NA())</f>
        <v>1.0204347631083455</v>
      </c>
      <c r="R1305" s="75">
        <f>F1305-F1304</f>
        <v>0.0032106047296869278</v>
      </c>
      <c r="S1305" s="75">
        <f>0.5*(Q1304+Q1305)*R1305</f>
        <v>0.0032761915011719433</v>
      </c>
      <c r="T1305" s="75">
        <f>0.5*(F1304*Q1304+F1305*Q1305)*R1305</f>
        <v>0.017845362304199006</v>
      </c>
      <c r="U1305" s="76">
        <f>U1304+S1305</f>
        <v>5.701828910531036</v>
      </c>
      <c r="V1305" s="76">
        <f>V1304+T1305</f>
        <v>19.512148411387912</v>
      </c>
    </row>
    <row r="1306" spans="1:22" ht="19" customHeight="1">
      <c r="A1306" s="68" t="s">
        <v>372</v>
      </c>
      <c r="B1306" s="74">
        <v>2</v>
      </c>
      <c r="C1306" s="68" t="s">
        <v>363</v>
      </c>
      <c r="D1306" s="68" t="s">
        <v>364</v>
      </c>
      <c r="E1306" s="75">
        <f>60*F1306*'THAM_SO_MOI'!$C$50/(2*PI()*'THAM_SO_MOI'!$C$26)</f>
        <v>2186.6393471280944</v>
      </c>
      <c r="F1306" s="75">
        <f>'HANH_TRINH'!$F$826+('THAM_SO_MOI'!$F$50-'HANH_TRINH'!$F$826)*479/'THAM_SO_MOI'!$C$42</f>
        <v>5.451799779625244</v>
      </c>
      <c r="G1306" s="75">
        <f>3.6*F1306</f>
        <v>19.626479206650878</v>
      </c>
      <c r="H1306" s="75">
        <f>'THAM_SO_MOI'!$D$50</f>
        <v>1.8785906709588276</v>
      </c>
      <c r="I1306" s="75">
        <f>IF(F1306&gt;'THAM_SO_MOI'!$C$14,'THAM_SO_MOI'!$C$13*(1+F1306^2/1500),'THAM_SO_MOI'!$C$13)</f>
        <v>0.015</v>
      </c>
      <c r="J1306" s="75">
        <f>'THAM_SO_MOI'!$C$40*('THAM_SO_MOI'!$C$23*(E1306/'THAM_SO_MOI'!$C$22)+'THAM_SO_MOI'!$C$24*(E1306/'THAM_SO_MOI'!$C$22)^2-'THAM_SO_MOI'!$C$25*(E1306/'THAM_SO_MOI'!$C$22)^3)</f>
        <v>98.4698952173308</v>
      </c>
      <c r="K1306" s="75">
        <f>'THAM_SO_MOI'!$C$31*J1306/E1306</f>
        <v>430.1100945435846</v>
      </c>
      <c r="L1306" s="75">
        <f>K1306*'THAM_SO_MOI'!$C$50*'THAM_SO_MOI'!$C$17/'THAM_SO_MOI'!$C$26</f>
        <v>15355.516890255542</v>
      </c>
      <c r="M1306" s="75">
        <f>'THAM_SO_MOI'!$C$15*'THAM_SO_MOI'!$C$16*F1306^2</f>
        <v>86.93720344858144</v>
      </c>
      <c r="N1306" s="75">
        <f>'THAM_SO_MOI'!$C$12*I1306</f>
        <v>1130.112</v>
      </c>
      <c r="O1306" s="75">
        <f>M1306+N1306</f>
        <v>1217.0492034485815</v>
      </c>
      <c r="P1306" s="75">
        <f>(MIN(L1306,'THAM_SO_MOI'!$C$41)-O1306)/('THAM_SO_MOI'!$C$11*H1306)</f>
        <v>0.9799613837359837</v>
      </c>
      <c r="Q1306" s="75">
        <f>IF(P1306&gt;0,1/P1306,NA())</f>
        <v>1.0204483733712255</v>
      </c>
      <c r="R1306" s="75">
        <f>F1306-F1305</f>
        <v>0.0032106047296869278</v>
      </c>
      <c r="S1306" s="75">
        <f>0.5*(Q1305+Q1306)*R1306</f>
        <v>0.0032762345253598006</v>
      </c>
      <c r="T1306" s="75">
        <f>0.5*(F1305*Q1305+F1306*Q1306)*R1306</f>
        <v>0.017856115351399426</v>
      </c>
      <c r="U1306" s="76">
        <f>U1305+S1306</f>
        <v>5.705105145056396</v>
      </c>
      <c r="V1306" s="76">
        <f>V1305+T1306</f>
        <v>19.53000452673931</v>
      </c>
    </row>
    <row r="1307" spans="1:22" ht="19" customHeight="1">
      <c r="A1307" s="68" t="s">
        <v>372</v>
      </c>
      <c r="B1307" s="74">
        <v>2</v>
      </c>
      <c r="C1307" s="68" t="s">
        <v>363</v>
      </c>
      <c r="D1307" s="68" t="s">
        <v>364</v>
      </c>
      <c r="E1307" s="75">
        <f>60*F1307*'THAM_SO_MOI'!$C$50/(2*PI()*'THAM_SO_MOI'!$C$26)</f>
        <v>2187.9270750186606</v>
      </c>
      <c r="F1307" s="75">
        <f>'HANH_TRINH'!$F$826+('THAM_SO_MOI'!$F$50-'HANH_TRINH'!$F$826)*480/'THAM_SO_MOI'!$C$42</f>
        <v>5.45501038435493</v>
      </c>
      <c r="G1307" s="75">
        <f>3.6*F1307</f>
        <v>19.638037383677748</v>
      </c>
      <c r="H1307" s="75">
        <f>'THAM_SO_MOI'!$D$50</f>
        <v>1.8785906709588276</v>
      </c>
      <c r="I1307" s="75">
        <f>IF(F1307&gt;'THAM_SO_MOI'!$C$14,'THAM_SO_MOI'!$C$13*(1+F1307^2/1500),'THAM_SO_MOI'!$C$13)</f>
        <v>0.015</v>
      </c>
      <c r="J1307" s="75">
        <f>'THAM_SO_MOI'!$C$40*('THAM_SO_MOI'!$C$23*(E1307/'THAM_SO_MOI'!$C$22)+'THAM_SO_MOI'!$C$24*(E1307/'THAM_SO_MOI'!$C$22)^2-'THAM_SO_MOI'!$C$25*(E1307/'THAM_SO_MOI'!$C$22)^3)</f>
        <v>98.52729484999318</v>
      </c>
      <c r="K1307" s="75">
        <f>'THAM_SO_MOI'!$C$31*J1307/E1307</f>
        <v>430.1075189429169</v>
      </c>
      <c r="L1307" s="75">
        <f>K1307*'THAM_SO_MOI'!$C$50*'THAM_SO_MOI'!$C$17/'THAM_SO_MOI'!$C$26</f>
        <v>15355.424937799515</v>
      </c>
      <c r="M1307" s="75">
        <f>'THAM_SO_MOI'!$C$15*'THAM_SO_MOI'!$C$16*F1307^2</f>
        <v>87.03962950825385</v>
      </c>
      <c r="N1307" s="75">
        <f>'THAM_SO_MOI'!$C$12*I1307</f>
        <v>1130.112</v>
      </c>
      <c r="O1307" s="75">
        <f>M1307+N1307</f>
        <v>1217.151629508254</v>
      </c>
      <c r="P1307" s="75">
        <f>(MIN(L1307,'THAM_SO_MOI'!$C$41)-O1307)/('THAM_SO_MOI'!$C$11*H1307)</f>
        <v>0.9799479110285142</v>
      </c>
      <c r="Q1307" s="75">
        <f>IF(P1307&gt;0,1/P1307,NA())</f>
        <v>1.0204624028949048</v>
      </c>
      <c r="R1307" s="75">
        <f>F1307-F1306</f>
        <v>0.0032106047296860396</v>
      </c>
      <c r="S1307" s="75">
        <f>0.5*(Q1306+Q1307)*R1307</f>
        <v>0.0032762788955736223</v>
      </c>
      <c r="T1307" s="75">
        <f>0.5*(F1306*Q1306+F1307*Q1307)*R1307</f>
        <v>0.017866876015292084</v>
      </c>
      <c r="U1307" s="76">
        <f>U1306+S1307</f>
        <v>5.70838142395197</v>
      </c>
      <c r="V1307" s="76">
        <f>V1306+T1307</f>
        <v>19.547871402754605</v>
      </c>
    </row>
    <row r="1308" spans="1:22" ht="19" customHeight="1">
      <c r="A1308" s="68" t="s">
        <v>372</v>
      </c>
      <c r="B1308" s="74">
        <v>2</v>
      </c>
      <c r="C1308" s="68" t="s">
        <v>363</v>
      </c>
      <c r="D1308" s="68" t="s">
        <v>364</v>
      </c>
      <c r="E1308" s="75">
        <f>60*F1308*'THAM_SO_MOI'!$C$50/(2*PI()*'THAM_SO_MOI'!$C$26)</f>
        <v>2189.2148029092273</v>
      </c>
      <c r="F1308" s="75">
        <f>'HANH_TRINH'!$F$826+('THAM_SO_MOI'!$F$50-'HANH_TRINH'!$F$826)*481/'THAM_SO_MOI'!$C$42</f>
        <v>5.458220989084617</v>
      </c>
      <c r="G1308" s="75">
        <f>3.6*F1308</f>
        <v>19.649595560704622</v>
      </c>
      <c r="H1308" s="75">
        <f>'THAM_SO_MOI'!$D$50</f>
        <v>1.8785906709588276</v>
      </c>
      <c r="I1308" s="75">
        <f>IF(F1308&gt;'THAM_SO_MOI'!$C$14,'THAM_SO_MOI'!$C$13*(1+F1308^2/1500),'THAM_SO_MOI'!$C$13)</f>
        <v>0.015</v>
      </c>
      <c r="J1308" s="75">
        <f>'THAM_SO_MOI'!$C$40*('THAM_SO_MOI'!$C$23*(E1308/'THAM_SO_MOI'!$C$22)+'THAM_SO_MOI'!$C$24*(E1308/'THAM_SO_MOI'!$C$22)^2-'THAM_SO_MOI'!$C$25*(E1308/'THAM_SO_MOI'!$C$22)^3)</f>
        <v>98.58465691401152</v>
      </c>
      <c r="K1308" s="75">
        <f>'THAM_SO_MOI'!$C$31*J1308/E1308</f>
        <v>430.10478246791695</v>
      </c>
      <c r="L1308" s="75">
        <f>K1308*'THAM_SO_MOI'!$C$50*'THAM_SO_MOI'!$C$17/'THAM_SO_MOI'!$C$26</f>
        <v>15355.327241910452</v>
      </c>
      <c r="M1308" s="75">
        <f>'THAM_SO_MOI'!$C$15*'THAM_SO_MOI'!$C$16*F1308^2</f>
        <v>87.14211586962527</v>
      </c>
      <c r="N1308" s="75">
        <f>'THAM_SO_MOI'!$C$12*I1308</f>
        <v>1130.112</v>
      </c>
      <c r="O1308" s="75">
        <f>M1308+N1308</f>
        <v>1217.2541158696254</v>
      </c>
      <c r="P1308" s="75">
        <f>(MIN(L1308,'THAM_SO_MOI'!$C$41)-O1308)/('THAM_SO_MOI'!$C$11*H1308)</f>
        <v>0.9799340360542611</v>
      </c>
      <c r="Q1308" s="75">
        <f>IF(P1308&gt;0,1/P1308,NA())</f>
        <v>1.0204768517139533</v>
      </c>
      <c r="R1308" s="75">
        <f>F1308-F1307</f>
        <v>0.0032106047296869278</v>
      </c>
      <c r="S1308" s="75">
        <f>0.5*(Q1307+Q1308)*R1308</f>
        <v>0.0032763246119254567</v>
      </c>
      <c r="T1308" s="75">
        <f>0.5*(F1307*Q1307+F1308*Q1308)*R1308</f>
        <v>0.017877644309453065</v>
      </c>
      <c r="U1308" s="76">
        <f>U1307+S1308</f>
        <v>5.711657748563895</v>
      </c>
      <c r="V1308" s="76">
        <f>V1307+T1308</f>
        <v>19.56574904706406</v>
      </c>
    </row>
    <row r="1309" spans="1:22" ht="19" customHeight="1">
      <c r="A1309" s="68" t="s">
        <v>372</v>
      </c>
      <c r="B1309" s="74">
        <v>2</v>
      </c>
      <c r="C1309" s="68" t="s">
        <v>363</v>
      </c>
      <c r="D1309" s="68" t="s">
        <v>364</v>
      </c>
      <c r="E1309" s="75">
        <f>60*F1309*'THAM_SO_MOI'!$C$50/(2*PI()*'THAM_SO_MOI'!$C$26)</f>
        <v>2190.5025307997944</v>
      </c>
      <c r="F1309" s="75">
        <f>'HANH_TRINH'!$F$826+('THAM_SO_MOI'!$F$50-'HANH_TRINH'!$F$826)*482/'THAM_SO_MOI'!$C$42</f>
        <v>5.461431593814304</v>
      </c>
      <c r="G1309" s="75">
        <f>3.6*F1309</f>
        <v>19.661153737731492</v>
      </c>
      <c r="H1309" s="75">
        <f>'THAM_SO_MOI'!$D$50</f>
        <v>1.8785906709588276</v>
      </c>
      <c r="I1309" s="75">
        <f>IF(F1309&gt;'THAM_SO_MOI'!$C$14,'THAM_SO_MOI'!$C$13*(1+F1309^2/1500),'THAM_SO_MOI'!$C$13)</f>
        <v>0.015</v>
      </c>
      <c r="J1309" s="75">
        <f>'THAM_SO_MOI'!$C$40*('THAM_SO_MOI'!$C$23*(E1309/'THAM_SO_MOI'!$C$22)+'THAM_SO_MOI'!$C$24*(E1309/'THAM_SO_MOI'!$C$22)^2-'THAM_SO_MOI'!$C$25*(E1309/'THAM_SO_MOI'!$C$22)^3)</f>
        <v>98.64198134431614</v>
      </c>
      <c r="K1309" s="75">
        <f>'THAM_SO_MOI'!$C$31*J1309/E1309</f>
        <v>430.1018851185848</v>
      </c>
      <c r="L1309" s="75">
        <f>K1309*'THAM_SO_MOI'!$C$50*'THAM_SO_MOI'!$C$17/'THAM_SO_MOI'!$C$26</f>
        <v>15355.223802588354</v>
      </c>
      <c r="M1309" s="75">
        <f>'THAM_SO_MOI'!$C$15*'THAM_SO_MOI'!$C$16*F1309^2</f>
        <v>87.24466253269567</v>
      </c>
      <c r="N1309" s="75">
        <f>'THAM_SO_MOI'!$C$12*I1309</f>
        <v>1130.112</v>
      </c>
      <c r="O1309" s="75">
        <f>M1309+N1309</f>
        <v>1217.3566625326957</v>
      </c>
      <c r="P1309" s="75">
        <f>(MIN(L1309,'THAM_SO_MOI'!$C$41)-O1309)/('THAM_SO_MOI'!$C$11*H1309)</f>
        <v>0.9799197588132242</v>
      </c>
      <c r="Q1309" s="75">
        <f>IF(P1309&gt;0,1/P1309,NA())</f>
        <v>1.0204917198639762</v>
      </c>
      <c r="R1309" s="75">
        <f>F1309-F1308</f>
        <v>0.0032106047296869278</v>
      </c>
      <c r="S1309" s="75">
        <f>0.5*(Q1308+Q1309)*R1309</f>
        <v>0.0032763716745252366</v>
      </c>
      <c r="T1309" s="75">
        <f>0.5*(F1308*Q1308+F1309*Q1309)*R1309</f>
        <v>0.017888420247448338</v>
      </c>
      <c r="U1309" s="76">
        <f>U1308+S1309</f>
        <v>5.7149341202384205</v>
      </c>
      <c r="V1309" s="76">
        <f>V1308+T1309</f>
        <v>19.583637467311508</v>
      </c>
    </row>
    <row r="1310" spans="1:22" ht="19" customHeight="1">
      <c r="A1310" s="68" t="s">
        <v>372</v>
      </c>
      <c r="B1310" s="74">
        <v>2</v>
      </c>
      <c r="C1310" s="68" t="s">
        <v>363</v>
      </c>
      <c r="D1310" s="68" t="s">
        <v>364</v>
      </c>
      <c r="E1310" s="75">
        <f>60*F1310*'THAM_SO_MOI'!$C$50/(2*PI()*'THAM_SO_MOI'!$C$26)</f>
        <v>2191.790258690361</v>
      </c>
      <c r="F1310" s="75">
        <f>'HANH_TRINH'!$F$826+('THAM_SO_MOI'!$F$50-'HANH_TRINH'!$F$826)*483/'THAM_SO_MOI'!$C$42</f>
        <v>5.464642198543991</v>
      </c>
      <c r="G1310" s="75">
        <f>3.6*F1310</f>
        <v>19.672711914758366</v>
      </c>
      <c r="H1310" s="75">
        <f>'THAM_SO_MOI'!$D$50</f>
        <v>1.8785906709588276</v>
      </c>
      <c r="I1310" s="75">
        <f>IF(F1310&gt;'THAM_SO_MOI'!$C$14,'THAM_SO_MOI'!$C$13*(1+F1310^2/1500),'THAM_SO_MOI'!$C$13)</f>
        <v>0.015</v>
      </c>
      <c r="J1310" s="75">
        <f>'THAM_SO_MOI'!$C$40*('THAM_SO_MOI'!$C$23*(E1310/'THAM_SO_MOI'!$C$22)+'THAM_SO_MOI'!$C$24*(E1310/'THAM_SO_MOI'!$C$22)^2-'THAM_SO_MOI'!$C$25*(E1310/'THAM_SO_MOI'!$C$22)^3)</f>
        <v>98.6992680758373</v>
      </c>
      <c r="K1310" s="75">
        <f>'THAM_SO_MOI'!$C$31*J1310/E1310</f>
        <v>430.0988268949204</v>
      </c>
      <c r="L1310" s="75">
        <f>K1310*'THAM_SO_MOI'!$C$50*'THAM_SO_MOI'!$C$17/'THAM_SO_MOI'!$C$26</f>
        <v>15355.114619833224</v>
      </c>
      <c r="M1310" s="75">
        <f>'THAM_SO_MOI'!$C$15*'THAM_SO_MOI'!$C$16*F1310^2</f>
        <v>87.34726949746504</v>
      </c>
      <c r="N1310" s="75">
        <f>'THAM_SO_MOI'!$C$12*I1310</f>
        <v>1130.112</v>
      </c>
      <c r="O1310" s="75">
        <f>M1310+N1310</f>
        <v>1217.4592694974651</v>
      </c>
      <c r="P1310" s="75">
        <f>(MIN(L1310,'THAM_SO_MOI'!$C$41)-O1310)/('THAM_SO_MOI'!$C$11*H1310)</f>
        <v>0.9799050793054042</v>
      </c>
      <c r="Q1310" s="75">
        <f>IF(P1310&gt;0,1/P1310,NA())</f>
        <v>1.020507007381613</v>
      </c>
      <c r="R1310" s="75">
        <f>F1310-F1309</f>
        <v>0.0032106047296869278</v>
      </c>
      <c r="S1310" s="75">
        <f>0.5*(Q1309+Q1310)*R1310</f>
        <v>0.0032764200834898443</v>
      </c>
      <c r="T1310" s="75">
        <f>0.5*(F1309*Q1309+F1310*Q1310)*R1310</f>
        <v>0.017899203842883248</v>
      </c>
      <c r="U1310" s="76">
        <f>U1309+S1310</f>
        <v>5.718210540321911</v>
      </c>
      <c r="V1310" s="76">
        <f>V1309+T1310</f>
        <v>19.601536671154392</v>
      </c>
    </row>
    <row r="1311" spans="1:22" ht="19" customHeight="1">
      <c r="A1311" s="68" t="s">
        <v>372</v>
      </c>
      <c r="B1311" s="74">
        <v>2</v>
      </c>
      <c r="C1311" s="68" t="s">
        <v>363</v>
      </c>
      <c r="D1311" s="68" t="s">
        <v>364</v>
      </c>
      <c r="E1311" s="75">
        <f>60*F1311*'THAM_SO_MOI'!$C$50/(2*PI()*'THAM_SO_MOI'!$C$26)</f>
        <v>2193.0779865809277</v>
      </c>
      <c r="F1311" s="75">
        <f>'HANH_TRINH'!$F$826+('THAM_SO_MOI'!$F$50-'HANH_TRINH'!$F$826)*484/'THAM_SO_MOI'!$C$42</f>
        <v>5.4678528032736775</v>
      </c>
      <c r="G1311" s="75">
        <f>3.6*F1311</f>
        <v>19.68427009178524</v>
      </c>
      <c r="H1311" s="75">
        <f>'THAM_SO_MOI'!$D$50</f>
        <v>1.8785906709588276</v>
      </c>
      <c r="I1311" s="75">
        <f>IF(F1311&gt;'THAM_SO_MOI'!$C$14,'THAM_SO_MOI'!$C$13*(1+F1311^2/1500),'THAM_SO_MOI'!$C$13)</f>
        <v>0.015</v>
      </c>
      <c r="J1311" s="75">
        <f>'THAM_SO_MOI'!$C$40*('THAM_SO_MOI'!$C$23*(E1311/'THAM_SO_MOI'!$C$22)+'THAM_SO_MOI'!$C$24*(E1311/'THAM_SO_MOI'!$C$22)^2-'THAM_SO_MOI'!$C$25*(E1311/'THAM_SO_MOI'!$C$22)^3)</f>
        <v>98.7565170435053</v>
      </c>
      <c r="K1311" s="75">
        <f>'THAM_SO_MOI'!$C$31*J1311/E1311</f>
        <v>430.0956077969238</v>
      </c>
      <c r="L1311" s="75">
        <f>K1311*'THAM_SO_MOI'!$C$50*'THAM_SO_MOI'!$C$17/'THAM_SO_MOI'!$C$26</f>
        <v>15354.999693645053</v>
      </c>
      <c r="M1311" s="75">
        <f>'THAM_SO_MOI'!$C$15*'THAM_SO_MOI'!$C$16*F1311^2</f>
        <v>87.44993676393337</v>
      </c>
      <c r="N1311" s="75">
        <f>'THAM_SO_MOI'!$C$12*I1311</f>
        <v>1130.112</v>
      </c>
      <c r="O1311" s="75">
        <f>M1311+N1311</f>
        <v>1217.5619367639335</v>
      </c>
      <c r="P1311" s="75">
        <f>(MIN(L1311,'THAM_SO_MOI'!$C$41)-O1311)/('THAM_SO_MOI'!$C$11*H1311)</f>
        <v>0.9798899975308</v>
      </c>
      <c r="Q1311" s="75">
        <f>IF(P1311&gt;0,1/P1311,NA())</f>
        <v>1.020522714304539</v>
      </c>
      <c r="R1311" s="75">
        <f>F1311-F1310</f>
        <v>0.0032106047296869278</v>
      </c>
      <c r="S1311" s="75">
        <f>0.5*(Q1310+Q1311)*R1311</f>
        <v>0.0032764698389385763</v>
      </c>
      <c r="T1311" s="75">
        <f>0.5*(F1310*Q1310+F1311*Q1311)*R1311</f>
        <v>0.017909995109377838</v>
      </c>
      <c r="U1311" s="76">
        <f>U1310+S1311</f>
        <v>5.72148701016085</v>
      </c>
      <c r="V1311" s="76">
        <f>V1310+T1311</f>
        <v>19.61944666626377</v>
      </c>
    </row>
    <row r="1312" spans="1:22" ht="19" customHeight="1">
      <c r="A1312" s="68" t="s">
        <v>372</v>
      </c>
      <c r="B1312" s="74">
        <v>2</v>
      </c>
      <c r="C1312" s="68" t="s">
        <v>363</v>
      </c>
      <c r="D1312" s="68" t="s">
        <v>364</v>
      </c>
      <c r="E1312" s="75">
        <f>60*F1312*'THAM_SO_MOI'!$C$50/(2*PI()*'THAM_SO_MOI'!$C$26)</f>
        <v>2194.3657144714944</v>
      </c>
      <c r="F1312" s="75">
        <f>'HANH_TRINH'!$F$826+('THAM_SO_MOI'!$F$50-'HANH_TRINH'!$F$826)*485/'THAM_SO_MOI'!$C$42</f>
        <v>5.471063408003364</v>
      </c>
      <c r="G1312" s="75">
        <f>3.6*F1312</f>
        <v>19.69582826881211</v>
      </c>
      <c r="H1312" s="75">
        <f>'THAM_SO_MOI'!$D$50</f>
        <v>1.8785906709588276</v>
      </c>
      <c r="I1312" s="75">
        <f>IF(F1312&gt;'THAM_SO_MOI'!$C$14,'THAM_SO_MOI'!$C$13*(1+F1312^2/1500),'THAM_SO_MOI'!$C$13)</f>
        <v>0.015</v>
      </c>
      <c r="J1312" s="75">
        <f>'THAM_SO_MOI'!$C$40*('THAM_SO_MOI'!$C$23*(E1312/'THAM_SO_MOI'!$C$22)+'THAM_SO_MOI'!$C$24*(E1312/'THAM_SO_MOI'!$C$22)^2-'THAM_SO_MOI'!$C$25*(E1312/'THAM_SO_MOI'!$C$22)^3)</f>
        <v>98.81372818225047</v>
      </c>
      <c r="K1312" s="75">
        <f>'THAM_SO_MOI'!$C$31*J1312/E1312</f>
        <v>430.09222782459494</v>
      </c>
      <c r="L1312" s="75">
        <f>K1312*'THAM_SO_MOI'!$C$50*'THAM_SO_MOI'!$C$17/'THAM_SO_MOI'!$C$26</f>
        <v>15354.87902402385</v>
      </c>
      <c r="M1312" s="75">
        <f>'THAM_SO_MOI'!$C$15*'THAM_SO_MOI'!$C$16*F1312^2</f>
        <v>87.55266433210068</v>
      </c>
      <c r="N1312" s="75">
        <f>'THAM_SO_MOI'!$C$12*I1312</f>
        <v>1130.112</v>
      </c>
      <c r="O1312" s="75">
        <f>M1312+N1312</f>
        <v>1217.6646643321008</v>
      </c>
      <c r="P1312" s="75">
        <f>(MIN(L1312,'THAM_SO_MOI'!$C$41)-O1312)/('THAM_SO_MOI'!$C$11*H1312)</f>
        <v>0.9798745134894123</v>
      </c>
      <c r="Q1312" s="75">
        <f>IF(P1312&gt;0,1/P1312,NA())</f>
        <v>1.0205388406714644</v>
      </c>
      <c r="R1312" s="75">
        <f>F1312-F1311</f>
        <v>0.0032106047296869278</v>
      </c>
      <c r="S1312" s="75">
        <f>0.5*(Q1311+Q1312)*R1312</f>
        <v>0.003276520940994056</v>
      </c>
      <c r="T1312" s="75">
        <f>0.5*(F1311*Q1311+F1312*Q1312)*R1312</f>
        <v>0.01792079406057187</v>
      </c>
      <c r="U1312" s="76">
        <f>U1311+S1312</f>
        <v>5.724763531101844</v>
      </c>
      <c r="V1312" s="76">
        <f>V1311+T1312</f>
        <v>19.63736746032434</v>
      </c>
    </row>
    <row r="1313" spans="1:22" ht="19" customHeight="1">
      <c r="A1313" s="68" t="s">
        <v>372</v>
      </c>
      <c r="B1313" s="74">
        <v>2</v>
      </c>
      <c r="C1313" s="68" t="s">
        <v>363</v>
      </c>
      <c r="D1313" s="68" t="s">
        <v>364</v>
      </c>
      <c r="E1313" s="75">
        <f>60*F1313*'THAM_SO_MOI'!$C$50/(2*PI()*'THAM_SO_MOI'!$C$26)</f>
        <v>2195.6534423620615</v>
      </c>
      <c r="F1313" s="75">
        <f>'HANH_TRINH'!$F$826+('THAM_SO_MOI'!$F$50-'HANH_TRINH'!$F$826)*486/'THAM_SO_MOI'!$C$42</f>
        <v>5.474274012733051</v>
      </c>
      <c r="G1313" s="75">
        <f>3.6*F1313</f>
        <v>19.707386445838985</v>
      </c>
      <c r="H1313" s="75">
        <f>'THAM_SO_MOI'!$D$50</f>
        <v>1.8785906709588276</v>
      </c>
      <c r="I1313" s="75">
        <f>IF(F1313&gt;'THAM_SO_MOI'!$C$14,'THAM_SO_MOI'!$C$13*(1+F1313^2/1500),'THAM_SO_MOI'!$C$13)</f>
        <v>0.015</v>
      </c>
      <c r="J1313" s="75">
        <f>'THAM_SO_MOI'!$C$40*('THAM_SO_MOI'!$C$23*(E1313/'THAM_SO_MOI'!$C$22)+'THAM_SO_MOI'!$C$24*(E1313/'THAM_SO_MOI'!$C$22)^2-'THAM_SO_MOI'!$C$25*(E1313/'THAM_SO_MOI'!$C$22)^3)</f>
        <v>98.8709014270031</v>
      </c>
      <c r="K1313" s="75">
        <f>'THAM_SO_MOI'!$C$31*J1313/E1313</f>
        <v>430.0886869779338</v>
      </c>
      <c r="L1313" s="75">
        <f>K1313*'THAM_SO_MOI'!$C$50*'THAM_SO_MOI'!$C$17/'THAM_SO_MOI'!$C$26</f>
        <v>15354.75261096961</v>
      </c>
      <c r="M1313" s="75">
        <f>'THAM_SO_MOI'!$C$15*'THAM_SO_MOI'!$C$16*F1313^2</f>
        <v>87.65545220196695</v>
      </c>
      <c r="N1313" s="75">
        <f>'THAM_SO_MOI'!$C$12*I1313</f>
        <v>1130.112</v>
      </c>
      <c r="O1313" s="75">
        <f>M1313+N1313</f>
        <v>1217.767452201967</v>
      </c>
      <c r="P1313" s="75">
        <f>(MIN(L1313,'THAM_SO_MOI'!$C$41)-O1313)/('THAM_SO_MOI'!$C$11*H1313)</f>
        <v>0.9798586271812412</v>
      </c>
      <c r="Q1313" s="75">
        <f>IF(P1313&gt;0,1/P1313,NA())</f>
        <v>1.0205553865221348</v>
      </c>
      <c r="R1313" s="75">
        <f>F1313-F1312</f>
        <v>0.0032106047296869278</v>
      </c>
      <c r="S1313" s="75">
        <f>0.5*(Q1312+Q1313)*R1313</f>
        <v>0.0032765733897822274</v>
      </c>
      <c r="T1313" s="75">
        <f>0.5*(F1312*Q1312+F1313*Q1313)*R1313</f>
        <v>0.017931600710124874</v>
      </c>
      <c r="U1313" s="76">
        <f>U1312+S1313</f>
        <v>5.728040104491626</v>
      </c>
      <c r="V1313" s="76">
        <f>V1312+T1313</f>
        <v>19.655299061034466</v>
      </c>
    </row>
    <row r="1314" spans="1:22" ht="19" customHeight="1">
      <c r="A1314" s="68" t="s">
        <v>372</v>
      </c>
      <c r="B1314" s="74">
        <v>2</v>
      </c>
      <c r="C1314" s="68" t="s">
        <v>363</v>
      </c>
      <c r="D1314" s="68" t="s">
        <v>364</v>
      </c>
      <c r="E1314" s="75">
        <f>60*F1314*'THAM_SO_MOI'!$C$50/(2*PI()*'THAM_SO_MOI'!$C$26)</f>
        <v>2196.9411702526277</v>
      </c>
      <c r="F1314" s="75">
        <f>'HANH_TRINH'!$F$826+('THAM_SO_MOI'!$F$50-'HANH_TRINH'!$F$826)*487/'THAM_SO_MOI'!$C$42</f>
        <v>5.477484617462737</v>
      </c>
      <c r="G1314" s="75">
        <f>3.6*F1314</f>
        <v>19.718944622865855</v>
      </c>
      <c r="H1314" s="75">
        <f>'THAM_SO_MOI'!$D$50</f>
        <v>1.8785906709588276</v>
      </c>
      <c r="I1314" s="75">
        <f>IF(F1314&gt;'THAM_SO_MOI'!$C$14,'THAM_SO_MOI'!$C$13*(1+F1314^2/1500),'THAM_SO_MOI'!$C$13)</f>
        <v>0.015</v>
      </c>
      <c r="J1314" s="75">
        <f>'THAM_SO_MOI'!$C$40*('THAM_SO_MOI'!$C$23*(E1314/'THAM_SO_MOI'!$C$22)+'THAM_SO_MOI'!$C$24*(E1314/'THAM_SO_MOI'!$C$22)^2-'THAM_SO_MOI'!$C$25*(E1314/'THAM_SO_MOI'!$C$22)^3)</f>
        <v>98.92803671269346</v>
      </c>
      <c r="K1314" s="75">
        <f>'THAM_SO_MOI'!$C$31*J1314/E1314</f>
        <v>430.08498525694034</v>
      </c>
      <c r="L1314" s="75">
        <f>K1314*'THAM_SO_MOI'!$C$50*'THAM_SO_MOI'!$C$17/'THAM_SO_MOI'!$C$26</f>
        <v>15354.620454482332</v>
      </c>
      <c r="M1314" s="75">
        <f>'THAM_SO_MOI'!$C$15*'THAM_SO_MOI'!$C$16*F1314^2</f>
        <v>87.75830037353217</v>
      </c>
      <c r="N1314" s="75">
        <f>'THAM_SO_MOI'!$C$12*I1314</f>
        <v>1130.112</v>
      </c>
      <c r="O1314" s="75">
        <f>M1314+N1314</f>
        <v>1217.8703003735322</v>
      </c>
      <c r="P1314" s="75">
        <f>(MIN(L1314,'THAM_SO_MOI'!$C$41)-O1314)/('THAM_SO_MOI'!$C$11*H1314)</f>
        <v>0.9798423386062862</v>
      </c>
      <c r="Q1314" s="75">
        <f>IF(P1314&gt;0,1/P1314,NA())</f>
        <v>1.0205723518973326</v>
      </c>
      <c r="R1314" s="75">
        <f>F1314-F1313</f>
        <v>0.0032106047296860396</v>
      </c>
      <c r="S1314" s="75">
        <f>0.5*(Q1313+Q1314)*R1314</f>
        <v>0.0032766271854314556</v>
      </c>
      <c r="T1314" s="75">
        <f>0.5*(F1313*Q1313+F1314*Q1314)*R1314</f>
        <v>0.01794241507171124</v>
      </c>
      <c r="U1314" s="76">
        <f>U1313+S1314</f>
        <v>5.731316731677057</v>
      </c>
      <c r="V1314" s="76">
        <f>V1313+T1314</f>
        <v>19.673241476106178</v>
      </c>
    </row>
    <row r="1315" spans="1:22" ht="19" customHeight="1">
      <c r="A1315" s="68" t="s">
        <v>372</v>
      </c>
      <c r="B1315" s="74">
        <v>2</v>
      </c>
      <c r="C1315" s="68" t="s">
        <v>363</v>
      </c>
      <c r="D1315" s="68" t="s">
        <v>364</v>
      </c>
      <c r="E1315" s="75">
        <f>60*F1315*'THAM_SO_MOI'!$C$50/(2*PI()*'THAM_SO_MOI'!$C$26)</f>
        <v>2198.2288981431943</v>
      </c>
      <c r="F1315" s="75">
        <f>'HANH_TRINH'!$F$826+('THAM_SO_MOI'!$F$50-'HANH_TRINH'!$F$826)*488/'THAM_SO_MOI'!$C$42</f>
        <v>5.480695222192424</v>
      </c>
      <c r="G1315" s="75">
        <f>3.6*F1315</f>
        <v>19.73050279989273</v>
      </c>
      <c r="H1315" s="75">
        <f>'THAM_SO_MOI'!$D$50</f>
        <v>1.8785906709588276</v>
      </c>
      <c r="I1315" s="75">
        <f>IF(F1315&gt;'THAM_SO_MOI'!$C$14,'THAM_SO_MOI'!$C$13*(1+F1315^2/1500),'THAM_SO_MOI'!$C$13)</f>
        <v>0.015</v>
      </c>
      <c r="J1315" s="75">
        <f>'THAM_SO_MOI'!$C$40*('THAM_SO_MOI'!$C$23*(E1315/'THAM_SO_MOI'!$C$22)+'THAM_SO_MOI'!$C$24*(E1315/'THAM_SO_MOI'!$C$22)^2-'THAM_SO_MOI'!$C$25*(E1315/'THAM_SO_MOI'!$C$22)^3)</f>
        <v>98.98513397425187</v>
      </c>
      <c r="K1315" s="75">
        <f>'THAM_SO_MOI'!$C$31*J1315/E1315</f>
        <v>430.08112266161464</v>
      </c>
      <c r="L1315" s="75">
        <f>K1315*'THAM_SO_MOI'!$C$50*'THAM_SO_MOI'!$C$17/'THAM_SO_MOI'!$C$26</f>
        <v>15354.482554562017</v>
      </c>
      <c r="M1315" s="75">
        <f>'THAM_SO_MOI'!$C$15*'THAM_SO_MOI'!$C$16*F1315^2</f>
        <v>87.8612088467964</v>
      </c>
      <c r="N1315" s="75">
        <f>'THAM_SO_MOI'!$C$12*I1315</f>
        <v>1130.112</v>
      </c>
      <c r="O1315" s="75">
        <f>M1315+N1315</f>
        <v>1217.9732088467965</v>
      </c>
      <c r="P1315" s="75">
        <f>(MIN(L1315,'THAM_SO_MOI'!$C$41)-O1315)/('THAM_SO_MOI'!$C$11*H1315)</f>
        <v>0.9798256477645477</v>
      </c>
      <c r="Q1315" s="75">
        <f>IF(P1315&gt;0,1/P1315,NA())</f>
        <v>1.020589736838875</v>
      </c>
      <c r="R1315" s="75">
        <f>F1315-F1314</f>
        <v>0.0032106047296869278</v>
      </c>
      <c r="S1315" s="75">
        <f>0.5*(Q1314+Q1315)*R1315</f>
        <v>0.0032766823280770585</v>
      </c>
      <c r="T1315" s="75">
        <f>0.5*(F1314*Q1314+F1315*Q1315)*R1315</f>
        <v>0.0179532371590451</v>
      </c>
      <c r="U1315" s="76">
        <f>U1314+S1315</f>
        <v>5.7345934140051344</v>
      </c>
      <c r="V1315" s="76">
        <f>V1314+T1315</f>
        <v>19.691194713265222</v>
      </c>
    </row>
    <row r="1316" spans="1:22" ht="19" customHeight="1">
      <c r="A1316" s="68" t="s">
        <v>372</v>
      </c>
      <c r="B1316" s="74">
        <v>2</v>
      </c>
      <c r="C1316" s="68" t="s">
        <v>363</v>
      </c>
      <c r="D1316" s="68" t="s">
        <v>364</v>
      </c>
      <c r="E1316" s="75">
        <f>60*F1316*'THAM_SO_MOI'!$C$50/(2*PI()*'THAM_SO_MOI'!$C$26)</f>
        <v>2199.516626033761</v>
      </c>
      <c r="F1316" s="75">
        <f>'HANH_TRINH'!$F$826+('THAM_SO_MOI'!$F$50-'HANH_TRINH'!$F$826)*489/'THAM_SO_MOI'!$C$42</f>
        <v>5.483905826922111</v>
      </c>
      <c r="G1316" s="75">
        <f>3.6*F1316</f>
        <v>19.7420609769196</v>
      </c>
      <c r="H1316" s="75">
        <f>'THAM_SO_MOI'!$D$50</f>
        <v>1.8785906709588276</v>
      </c>
      <c r="I1316" s="75">
        <f>IF(F1316&gt;'THAM_SO_MOI'!$C$14,'THAM_SO_MOI'!$C$13*(1+F1316^2/1500),'THAM_SO_MOI'!$C$13)</f>
        <v>0.015</v>
      </c>
      <c r="J1316" s="75">
        <f>'THAM_SO_MOI'!$C$40*('THAM_SO_MOI'!$C$23*(E1316/'THAM_SO_MOI'!$C$22)+'THAM_SO_MOI'!$C$24*(E1316/'THAM_SO_MOI'!$C$22)^2-'THAM_SO_MOI'!$C$25*(E1316/'THAM_SO_MOI'!$C$22)^3)</f>
        <v>99.04219314660868</v>
      </c>
      <c r="K1316" s="75">
        <f>'THAM_SO_MOI'!$C$31*J1316/E1316</f>
        <v>430.0770991919569</v>
      </c>
      <c r="L1316" s="75">
        <f>K1316*'THAM_SO_MOI'!$C$50*'THAM_SO_MOI'!$C$17/'THAM_SO_MOI'!$C$26</f>
        <v>15354.338911208673</v>
      </c>
      <c r="M1316" s="75">
        <f>'THAM_SO_MOI'!$C$15*'THAM_SO_MOI'!$C$16*F1316^2</f>
        <v>87.9641776217596</v>
      </c>
      <c r="N1316" s="75">
        <f>'THAM_SO_MOI'!$C$12*I1316</f>
        <v>1130.112</v>
      </c>
      <c r="O1316" s="75">
        <f>M1316+N1316</f>
        <v>1218.0761776217596</v>
      </c>
      <c r="P1316" s="75">
        <f>(MIN(L1316,'THAM_SO_MOI'!$C$41)-O1316)/('THAM_SO_MOI'!$C$11*H1316)</f>
        <v>0.979808554656026</v>
      </c>
      <c r="Q1316" s="75">
        <f>IF(P1316&gt;0,1/P1316,NA())</f>
        <v>1.020607541389616</v>
      </c>
      <c r="R1316" s="75">
        <f>F1316-F1315</f>
        <v>0.0032106047296869278</v>
      </c>
      <c r="S1316" s="75">
        <f>0.5*(Q1315+Q1316)*R1316</f>
        <v>0.003276738817852239</v>
      </c>
      <c r="T1316" s="75">
        <f>0.5*(F1315*Q1315+F1316*Q1316)*R1316</f>
        <v>0.01796406698583074</v>
      </c>
      <c r="U1316" s="76">
        <f>U1315+S1316</f>
        <v>5.737870152822986</v>
      </c>
      <c r="V1316" s="76">
        <f>V1315+T1316</f>
        <v>19.70915878025105</v>
      </c>
    </row>
    <row r="1317" spans="1:22" ht="19" customHeight="1">
      <c r="A1317" s="68" t="s">
        <v>372</v>
      </c>
      <c r="B1317" s="74">
        <v>2</v>
      </c>
      <c r="C1317" s="68" t="s">
        <v>363</v>
      </c>
      <c r="D1317" s="68" t="s">
        <v>364</v>
      </c>
      <c r="E1317" s="75">
        <f>60*F1317*'THAM_SO_MOI'!$C$50/(2*PI()*'THAM_SO_MOI'!$C$26)</f>
        <v>2200.8043539243276</v>
      </c>
      <c r="F1317" s="75">
        <f>'HANH_TRINH'!$F$826+('THAM_SO_MOI'!$F$50-'HANH_TRINH'!$F$826)*490/'THAM_SO_MOI'!$C$42</f>
        <v>5.487116431651798</v>
      </c>
      <c r="G1317" s="75">
        <f>3.6*F1317</f>
        <v>19.753619153946474</v>
      </c>
      <c r="H1317" s="75">
        <f>'THAM_SO_MOI'!$D$50</f>
        <v>1.8785906709588276</v>
      </c>
      <c r="I1317" s="75">
        <f>IF(F1317&gt;'THAM_SO_MOI'!$C$14,'THAM_SO_MOI'!$C$13*(1+F1317^2/1500),'THAM_SO_MOI'!$C$13)</f>
        <v>0.015</v>
      </c>
      <c r="J1317" s="75">
        <f>'THAM_SO_MOI'!$C$40*('THAM_SO_MOI'!$C$23*(E1317/'THAM_SO_MOI'!$C$22)+'THAM_SO_MOI'!$C$24*(E1317/'THAM_SO_MOI'!$C$22)^2-'THAM_SO_MOI'!$C$25*(E1317/'THAM_SO_MOI'!$C$22)^3)</f>
        <v>99.09921416469412</v>
      </c>
      <c r="K1317" s="75">
        <f>'THAM_SO_MOI'!$C$31*J1317/E1317</f>
        <v>430.07291484796673</v>
      </c>
      <c r="L1317" s="75">
        <f>K1317*'THAM_SO_MOI'!$C$50*'THAM_SO_MOI'!$C$17/'THAM_SO_MOI'!$C$26</f>
        <v>15354.18952442229</v>
      </c>
      <c r="M1317" s="75">
        <f>'THAM_SO_MOI'!$C$15*'THAM_SO_MOI'!$C$16*F1317^2</f>
        <v>88.06720669842176</v>
      </c>
      <c r="N1317" s="75">
        <f>'THAM_SO_MOI'!$C$12*I1317</f>
        <v>1130.112</v>
      </c>
      <c r="O1317" s="75">
        <f>M1317+N1317</f>
        <v>1218.179206698422</v>
      </c>
      <c r="P1317" s="75">
        <f>(MIN(L1317,'THAM_SO_MOI'!$C$41)-O1317)/('THAM_SO_MOI'!$C$11*H1317)</f>
        <v>0.9797910592807202</v>
      </c>
      <c r="Q1317" s="75">
        <f>IF(P1317&gt;0,1/P1317,NA())</f>
        <v>1.0206257655934476</v>
      </c>
      <c r="R1317" s="75">
        <f>F1317-F1316</f>
        <v>0.0032106047296869278</v>
      </c>
      <c r="S1317" s="75">
        <f>0.5*(Q1316+Q1317)*R1317</f>
        <v>0.0032767966548971567</v>
      </c>
      <c r="T1317" s="75">
        <f>0.5*(F1316*Q1316+F1317*Q1317)*R1317</f>
        <v>0.017974904565812314</v>
      </c>
      <c r="U1317" s="76">
        <f>U1316+S1317</f>
        <v>5.7411469494778835</v>
      </c>
      <c r="V1317" s="76">
        <f>V1316+T1317</f>
        <v>19.727133684816863</v>
      </c>
    </row>
    <row r="1318" spans="1:22" ht="19" customHeight="1">
      <c r="A1318" s="68" t="s">
        <v>372</v>
      </c>
      <c r="B1318" s="74">
        <v>2</v>
      </c>
      <c r="C1318" s="68" t="s">
        <v>363</v>
      </c>
      <c r="D1318" s="68" t="s">
        <v>364</v>
      </c>
      <c r="E1318" s="75">
        <f>60*F1318*'THAM_SO_MOI'!$C$50/(2*PI()*'THAM_SO_MOI'!$C$26)</f>
        <v>2202.0920818148948</v>
      </c>
      <c r="F1318" s="75">
        <f>'HANH_TRINH'!$F$826+('THAM_SO_MOI'!$F$50-'HANH_TRINH'!$F$826)*491/'THAM_SO_MOI'!$C$42</f>
        <v>5.490327036381485</v>
      </c>
      <c r="G1318" s="75">
        <f>3.6*F1318</f>
        <v>19.765177330973348</v>
      </c>
      <c r="H1318" s="75">
        <f>'THAM_SO_MOI'!$D$50</f>
        <v>1.8785906709588276</v>
      </c>
      <c r="I1318" s="75">
        <f>IF(F1318&gt;'THAM_SO_MOI'!$C$14,'THAM_SO_MOI'!$C$13*(1+F1318^2/1500),'THAM_SO_MOI'!$C$13)</f>
        <v>0.015</v>
      </c>
      <c r="J1318" s="75">
        <f>'THAM_SO_MOI'!$C$40*('THAM_SO_MOI'!$C$23*(E1318/'THAM_SO_MOI'!$C$22)+'THAM_SO_MOI'!$C$24*(E1318/'THAM_SO_MOI'!$C$22)^2-'THAM_SO_MOI'!$C$25*(E1318/'THAM_SO_MOI'!$C$22)^3)</f>
        <v>99.15619696343853</v>
      </c>
      <c r="K1318" s="75">
        <f>'THAM_SO_MOI'!$C$31*J1318/E1318</f>
        <v>430.06856962964423</v>
      </c>
      <c r="L1318" s="75">
        <f>K1318*'THAM_SO_MOI'!$C$50*'THAM_SO_MOI'!$C$17/'THAM_SO_MOI'!$C$26</f>
        <v>15354.034394202865</v>
      </c>
      <c r="M1318" s="75">
        <f>'THAM_SO_MOI'!$C$15*'THAM_SO_MOI'!$C$16*F1318^2</f>
        <v>88.1702960767829</v>
      </c>
      <c r="N1318" s="75">
        <f>'THAM_SO_MOI'!$C$12*I1318</f>
        <v>1130.112</v>
      </c>
      <c r="O1318" s="75">
        <f>M1318+N1318</f>
        <v>1218.282296076783</v>
      </c>
      <c r="P1318" s="75">
        <f>(MIN(L1318,'THAM_SO_MOI'!$C$41)-O1318)/('THAM_SO_MOI'!$C$11*H1318)</f>
        <v>0.9797731616386307</v>
      </c>
      <c r="Q1318" s="75">
        <f>IF(P1318&gt;0,1/P1318,NA())</f>
        <v>1.0206444094952967</v>
      </c>
      <c r="R1318" s="75">
        <f>F1318-F1317</f>
        <v>0.0032106047296869278</v>
      </c>
      <c r="S1318" s="75">
        <f>0.5*(Q1317+Q1318)*R1318</f>
        <v>0.003276855839354393</v>
      </c>
      <c r="T1318" s="75">
        <f>0.5*(F1317*Q1317+F1318*Q1318)*R1318</f>
        <v>0.017985749912749056</v>
      </c>
      <c r="U1318" s="76">
        <f>U1317+S1318</f>
        <v>5.744423805317238</v>
      </c>
      <c r="V1318" s="76">
        <f>V1317+T1318</f>
        <v>19.745119434729613</v>
      </c>
    </row>
    <row r="1319" spans="1:22" ht="19" customHeight="1">
      <c r="A1319" s="68" t="s">
        <v>372</v>
      </c>
      <c r="B1319" s="74">
        <v>2</v>
      </c>
      <c r="C1319" s="68" t="s">
        <v>363</v>
      </c>
      <c r="D1319" s="68" t="s">
        <v>364</v>
      </c>
      <c r="E1319" s="75">
        <f>60*F1319*'THAM_SO_MOI'!$C$50/(2*PI()*'THAM_SO_MOI'!$C$26)</f>
        <v>2203.3798097054614</v>
      </c>
      <c r="F1319" s="75">
        <f>'HANH_TRINH'!$F$826+('THAM_SO_MOI'!$F$50-'HANH_TRINH'!$F$826)*492/'THAM_SO_MOI'!$C$42</f>
        <v>5.493537641111172</v>
      </c>
      <c r="G1319" s="75">
        <f>3.6*F1319</f>
        <v>19.77673550800022</v>
      </c>
      <c r="H1319" s="75">
        <f>'THAM_SO_MOI'!$D$50</f>
        <v>1.8785906709588276</v>
      </c>
      <c r="I1319" s="75">
        <f>IF(F1319&gt;'THAM_SO_MOI'!$C$14,'THAM_SO_MOI'!$C$13*(1+F1319^2/1500),'THAM_SO_MOI'!$C$13)</f>
        <v>0.015</v>
      </c>
      <c r="J1319" s="75">
        <f>'THAM_SO_MOI'!$C$40*('THAM_SO_MOI'!$C$23*(E1319/'THAM_SO_MOI'!$C$22)+'THAM_SO_MOI'!$C$24*(E1319/'THAM_SO_MOI'!$C$22)^2-'THAM_SO_MOI'!$C$25*(E1319/'THAM_SO_MOI'!$C$22)^3)</f>
        <v>99.21314147777223</v>
      </c>
      <c r="K1319" s="75">
        <f>'THAM_SO_MOI'!$C$31*J1319/E1319</f>
        <v>430.06406353698964</v>
      </c>
      <c r="L1319" s="75">
        <f>K1319*'THAM_SO_MOI'!$C$50*'THAM_SO_MOI'!$C$17/'THAM_SO_MOI'!$C$26</f>
        <v>15353.87352055041</v>
      </c>
      <c r="M1319" s="75">
        <f>'THAM_SO_MOI'!$C$15*'THAM_SO_MOI'!$C$16*F1319^2</f>
        <v>88.273445756843</v>
      </c>
      <c r="N1319" s="75">
        <f>'THAM_SO_MOI'!$C$12*I1319</f>
        <v>1130.112</v>
      </c>
      <c r="O1319" s="75">
        <f>M1319+N1319</f>
        <v>1218.3854457568432</v>
      </c>
      <c r="P1319" s="75">
        <f>(MIN(L1319,'THAM_SO_MOI'!$C$41)-O1319)/('THAM_SO_MOI'!$C$11*H1319)</f>
        <v>0.9797548617297579</v>
      </c>
      <c r="Q1319" s="75">
        <f>IF(P1319&gt;0,1/P1319,NA())</f>
        <v>1.0206634731411277</v>
      </c>
      <c r="R1319" s="75">
        <f>F1319-F1318</f>
        <v>0.0032106047296869278</v>
      </c>
      <c r="S1319" s="75">
        <f>0.5*(Q1318+Q1319)*R1319</f>
        <v>0.003276916371369856</v>
      </c>
      <c r="T1319" s="75">
        <f>0.5*(F1318*Q1318+F1319*Q1319)*R1319</f>
        <v>0.01799660304042032</v>
      </c>
      <c r="U1319" s="76">
        <f>U1318+S1319</f>
        <v>5.747700721688608</v>
      </c>
      <c r="V1319" s="76">
        <f>V1318+T1319</f>
        <v>19.763116037770033</v>
      </c>
    </row>
    <row r="1320" spans="1:22" ht="19" customHeight="1">
      <c r="A1320" s="68" t="s">
        <v>372</v>
      </c>
      <c r="B1320" s="74">
        <v>2</v>
      </c>
      <c r="C1320" s="68" t="s">
        <v>363</v>
      </c>
      <c r="D1320" s="68" t="s">
        <v>364</v>
      </c>
      <c r="E1320" s="75">
        <f>60*F1320*'THAM_SO_MOI'!$C$50/(2*PI()*'THAM_SO_MOI'!$C$26)</f>
        <v>2204.667537596028</v>
      </c>
      <c r="F1320" s="75">
        <f>'HANH_TRINH'!$F$826+('THAM_SO_MOI'!$F$50-'HANH_TRINH'!$F$826)*493/'THAM_SO_MOI'!$C$42</f>
        <v>5.496748245840859</v>
      </c>
      <c r="G1320" s="75">
        <f>3.6*F1320</f>
        <v>19.788293685027092</v>
      </c>
      <c r="H1320" s="75">
        <f>'THAM_SO_MOI'!$D$50</f>
        <v>1.8785906709588276</v>
      </c>
      <c r="I1320" s="75">
        <f>IF(F1320&gt;'THAM_SO_MOI'!$C$14,'THAM_SO_MOI'!$C$13*(1+F1320^2/1500),'THAM_SO_MOI'!$C$13)</f>
        <v>0.015</v>
      </c>
      <c r="J1320" s="75">
        <f>'THAM_SO_MOI'!$C$40*('THAM_SO_MOI'!$C$23*(E1320/'THAM_SO_MOI'!$C$22)+'THAM_SO_MOI'!$C$24*(E1320/'THAM_SO_MOI'!$C$22)^2-'THAM_SO_MOI'!$C$25*(E1320/'THAM_SO_MOI'!$C$22)^3)</f>
        <v>99.27004764262547</v>
      </c>
      <c r="K1320" s="75">
        <f>'THAM_SO_MOI'!$C$31*J1320/E1320</f>
        <v>430.0593965700028</v>
      </c>
      <c r="L1320" s="75">
        <f>K1320*'THAM_SO_MOI'!$C$50*'THAM_SO_MOI'!$C$17/'THAM_SO_MOI'!$C$26</f>
        <v>15353.70690346492</v>
      </c>
      <c r="M1320" s="75">
        <f>'THAM_SO_MOI'!$C$15*'THAM_SO_MOI'!$C$16*F1320^2</f>
        <v>88.3766557386021</v>
      </c>
      <c r="N1320" s="75">
        <f>'THAM_SO_MOI'!$C$12*I1320</f>
        <v>1130.112</v>
      </c>
      <c r="O1320" s="75">
        <f>M1320+N1320</f>
        <v>1218.4886557386021</v>
      </c>
      <c r="P1320" s="75">
        <f>(MIN(L1320,'THAM_SO_MOI'!$C$41)-O1320)/('THAM_SO_MOI'!$C$11*H1320)</f>
        <v>0.9797361595541013</v>
      </c>
      <c r="Q1320" s="75">
        <f>IF(P1320&gt;0,1/P1320,NA())</f>
        <v>1.0206829565779436</v>
      </c>
      <c r="R1320" s="75">
        <f>F1320-F1319</f>
        <v>0.0032106047296869278</v>
      </c>
      <c r="S1320" s="75">
        <f>0.5*(Q1319+Q1320)*R1320</f>
        <v>0.003276978251092787</v>
      </c>
      <c r="T1320" s="75">
        <f>0.5*(F1319*Q1319+F1320*Q1320)*R1320</f>
        <v>0.018007463962625633</v>
      </c>
      <c r="U1320" s="76">
        <f>U1319+S1320</f>
        <v>5.750977699939701</v>
      </c>
      <c r="V1320" s="76">
        <f>V1319+T1320</f>
        <v>19.781123501732658</v>
      </c>
    </row>
    <row r="1321" spans="1:22" ht="19" customHeight="1">
      <c r="A1321" s="68" t="s">
        <v>372</v>
      </c>
      <c r="B1321" s="74">
        <v>2</v>
      </c>
      <c r="C1321" s="68" t="s">
        <v>363</v>
      </c>
      <c r="D1321" s="68" t="s">
        <v>364</v>
      </c>
      <c r="E1321" s="75">
        <f>60*F1321*'THAM_SO_MOI'!$C$50/(2*PI()*'THAM_SO_MOI'!$C$26)</f>
        <v>2205.9552654865943</v>
      </c>
      <c r="F1321" s="75">
        <f>'HANH_TRINH'!$F$826+('THAM_SO_MOI'!$F$50-'HANH_TRINH'!$F$826)*494/'THAM_SO_MOI'!$C$42</f>
        <v>5.499958850570545</v>
      </c>
      <c r="G1321" s="75">
        <f>3.6*F1321</f>
        <v>19.799851862053963</v>
      </c>
      <c r="H1321" s="75">
        <f>'THAM_SO_MOI'!$D$50</f>
        <v>1.8785906709588276</v>
      </c>
      <c r="I1321" s="75">
        <f>IF(F1321&gt;'THAM_SO_MOI'!$C$14,'THAM_SO_MOI'!$C$13*(1+F1321^2/1500),'THAM_SO_MOI'!$C$13)</f>
        <v>0.015</v>
      </c>
      <c r="J1321" s="75">
        <f>'THAM_SO_MOI'!$C$40*('THAM_SO_MOI'!$C$23*(E1321/'THAM_SO_MOI'!$C$22)+'THAM_SO_MOI'!$C$24*(E1321/'THAM_SO_MOI'!$C$22)^2-'THAM_SO_MOI'!$C$25*(E1321/'THAM_SO_MOI'!$C$22)^3)</f>
        <v>99.32691539292853</v>
      </c>
      <c r="K1321" s="75">
        <f>'THAM_SO_MOI'!$C$31*J1321/E1321</f>
        <v>430.05456872868353</v>
      </c>
      <c r="L1321" s="75">
        <f>K1321*'THAM_SO_MOI'!$C$50*'THAM_SO_MOI'!$C$17/'THAM_SO_MOI'!$C$26</f>
        <v>15353.53454294639</v>
      </c>
      <c r="M1321" s="75">
        <f>'THAM_SO_MOI'!$C$15*'THAM_SO_MOI'!$C$16*F1321^2</f>
        <v>88.47992602206013</v>
      </c>
      <c r="N1321" s="75">
        <f>'THAM_SO_MOI'!$C$12*I1321</f>
        <v>1130.112</v>
      </c>
      <c r="O1321" s="75">
        <f>M1321+N1321</f>
        <v>1218.5919260220603</v>
      </c>
      <c r="P1321" s="75">
        <f>(MIN(L1321,'THAM_SO_MOI'!$C$41)-O1321)/('THAM_SO_MOI'!$C$11*H1321)</f>
        <v>0.9797170551116612</v>
      </c>
      <c r="Q1321" s="75">
        <f>IF(P1321&gt;0,1/P1321,NA())</f>
        <v>1.0207028598537842</v>
      </c>
      <c r="R1321" s="75">
        <f>F1321-F1320</f>
        <v>0.0032106047296860396</v>
      </c>
      <c r="S1321" s="75">
        <f>0.5*(Q1320+Q1321)*R1321</f>
        <v>0.003277041478674851</v>
      </c>
      <c r="T1321" s="75">
        <f>0.5*(F1320*Q1320+F1321*Q1321)*R1321</f>
        <v>0.018018332693179786</v>
      </c>
      <c r="U1321" s="76">
        <f>U1320+S1321</f>
        <v>5.754254741418375</v>
      </c>
      <c r="V1321" s="76">
        <f>V1320+T1321</f>
        <v>19.79914183442584</v>
      </c>
    </row>
    <row r="1322" spans="1:22" ht="19" customHeight="1">
      <c r="A1322" s="68" t="s">
        <v>372</v>
      </c>
      <c r="B1322" s="74">
        <v>2</v>
      </c>
      <c r="C1322" s="68" t="s">
        <v>363</v>
      </c>
      <c r="D1322" s="68" t="s">
        <v>364</v>
      </c>
      <c r="E1322" s="75">
        <f>60*F1322*'THAM_SO_MOI'!$C$50/(2*PI()*'THAM_SO_MOI'!$C$26)</f>
        <v>2207.2429933771614</v>
      </c>
      <c r="F1322" s="75">
        <f>'HANH_TRINH'!$F$826+('THAM_SO_MOI'!$F$50-'HANH_TRINH'!$F$826)*495/'THAM_SO_MOI'!$C$42</f>
        <v>5.503169455300233</v>
      </c>
      <c r="G1322" s="75">
        <f>3.6*F1322</f>
        <v>19.81141003908084</v>
      </c>
      <c r="H1322" s="75">
        <f>'THAM_SO_MOI'!$D$50</f>
        <v>1.8785906709588276</v>
      </c>
      <c r="I1322" s="75">
        <f>IF(F1322&gt;'THAM_SO_MOI'!$C$14,'THAM_SO_MOI'!$C$13*(1+F1322^2/1500),'THAM_SO_MOI'!$C$13)</f>
        <v>0.015</v>
      </c>
      <c r="J1322" s="75">
        <f>'THAM_SO_MOI'!$C$40*('THAM_SO_MOI'!$C$23*(E1322/'THAM_SO_MOI'!$C$22)+'THAM_SO_MOI'!$C$24*(E1322/'THAM_SO_MOI'!$C$22)^2-'THAM_SO_MOI'!$C$25*(E1322/'THAM_SO_MOI'!$C$22)^3)</f>
        <v>99.38374466361184</v>
      </c>
      <c r="K1322" s="75">
        <f>'THAM_SO_MOI'!$C$31*J1322/E1322</f>
        <v>430.04958001303226</v>
      </c>
      <c r="L1322" s="75">
        <f>K1322*'THAM_SO_MOI'!$C$50*'THAM_SO_MOI'!$C$17/'THAM_SO_MOI'!$C$26</f>
        <v>15353.356438994828</v>
      </c>
      <c r="M1322" s="75">
        <f>'THAM_SO_MOI'!$C$15*'THAM_SO_MOI'!$C$16*F1322^2</f>
        <v>88.58325660721718</v>
      </c>
      <c r="N1322" s="75">
        <f>'THAM_SO_MOI'!$C$12*I1322</f>
        <v>1130.112</v>
      </c>
      <c r="O1322" s="75">
        <f>M1322+N1322</f>
        <v>1218.6952566072173</v>
      </c>
      <c r="P1322" s="75">
        <f>(MIN(L1322,'THAM_SO_MOI'!$C$41)-O1322)/('THAM_SO_MOI'!$C$11*H1322)</f>
        <v>0.9796975484024376</v>
      </c>
      <c r="Q1322" s="75">
        <f>IF(P1322&gt;0,1/P1322,NA())</f>
        <v>1.0207231830177272</v>
      </c>
      <c r="R1322" s="75">
        <f>F1322-F1321</f>
        <v>0.003210604729687816</v>
      </c>
      <c r="S1322" s="75">
        <f>0.5*(Q1321+Q1322)*R1322</f>
        <v>0.003277106054275578</v>
      </c>
      <c r="T1322" s="75">
        <f>0.5*(F1321*Q1321+F1322*Q1322)*R1322</f>
        <v>0.01802920924594276</v>
      </c>
      <c r="U1322" s="76">
        <f>U1321+S1322</f>
        <v>5.7575318474726505</v>
      </c>
      <c r="V1322" s="76">
        <f>V1321+T1322</f>
        <v>19.81717104367178</v>
      </c>
    </row>
    <row r="1323" spans="1:22" ht="19" customHeight="1">
      <c r="A1323" s="68" t="s">
        <v>372</v>
      </c>
      <c r="B1323" s="74">
        <v>2</v>
      </c>
      <c r="C1323" s="68" t="s">
        <v>363</v>
      </c>
      <c r="D1323" s="68" t="s">
        <v>364</v>
      </c>
      <c r="E1323" s="75">
        <f>60*F1323*'THAM_SO_MOI'!$C$50/(2*PI()*'THAM_SO_MOI'!$C$26)</f>
        <v>2208.5307212677276</v>
      </c>
      <c r="F1323" s="75">
        <f>'HANH_TRINH'!$F$826+('THAM_SO_MOI'!$F$50-'HANH_TRINH'!$F$826)*496/'THAM_SO_MOI'!$C$42</f>
        <v>5.506380060029919</v>
      </c>
      <c r="G1323" s="75">
        <f>3.6*F1323</f>
        <v>19.822968216107707</v>
      </c>
      <c r="H1323" s="75">
        <f>'THAM_SO_MOI'!$D$50</f>
        <v>1.8785906709588276</v>
      </c>
      <c r="I1323" s="75">
        <f>IF(F1323&gt;'THAM_SO_MOI'!$C$14,'THAM_SO_MOI'!$C$13*(1+F1323^2/1500),'THAM_SO_MOI'!$C$13)</f>
        <v>0.015</v>
      </c>
      <c r="J1323" s="75">
        <f>'THAM_SO_MOI'!$C$40*('THAM_SO_MOI'!$C$23*(E1323/'THAM_SO_MOI'!$C$22)+'THAM_SO_MOI'!$C$24*(E1323/'THAM_SO_MOI'!$C$22)^2-'THAM_SO_MOI'!$C$25*(E1323/'THAM_SO_MOI'!$C$22)^3)</f>
        <v>99.44053538960556</v>
      </c>
      <c r="K1323" s="75">
        <f>'THAM_SO_MOI'!$C$31*J1323/E1323</f>
        <v>430.0444304230486</v>
      </c>
      <c r="L1323" s="75">
        <f>K1323*'THAM_SO_MOI'!$C$50*'THAM_SO_MOI'!$C$17/'THAM_SO_MOI'!$C$26</f>
        <v>15353.172591610228</v>
      </c>
      <c r="M1323" s="75">
        <f>'THAM_SO_MOI'!$C$15*'THAM_SO_MOI'!$C$16*F1323^2</f>
        <v>88.68664749407316</v>
      </c>
      <c r="N1323" s="75">
        <f>'THAM_SO_MOI'!$C$12*I1323</f>
        <v>1130.112</v>
      </c>
      <c r="O1323" s="75">
        <f>M1323+N1323</f>
        <v>1218.7986474940733</v>
      </c>
      <c r="P1323" s="75">
        <f>(MIN(L1323,'THAM_SO_MOI'!$C$41)-O1323)/('THAM_SO_MOI'!$C$11*H1323)</f>
        <v>0.9796776394264303</v>
      </c>
      <c r="Q1323" s="75">
        <f>IF(P1323&gt;0,1/P1323,NA())</f>
        <v>1.0207439261198896</v>
      </c>
      <c r="R1323" s="75">
        <f>F1323-F1322</f>
        <v>0.0032106047296860396</v>
      </c>
      <c r="S1323" s="75">
        <f>0.5*(Q1322+Q1323)*R1323</f>
        <v>0.00327717197804786</v>
      </c>
      <c r="T1323" s="75">
        <f>0.5*(F1322*Q1322+F1323*Q1323)*R1323</f>
        <v>0.01804009363474007</v>
      </c>
      <c r="U1323" s="76">
        <f>U1322+S1323</f>
        <v>5.760809019450698</v>
      </c>
      <c r="V1323" s="76">
        <f>V1322+T1323</f>
        <v>19.835211137306523</v>
      </c>
    </row>
    <row r="1324" spans="1:22" ht="19" customHeight="1">
      <c r="A1324" s="68" t="s">
        <v>372</v>
      </c>
      <c r="B1324" s="74">
        <v>2</v>
      </c>
      <c r="C1324" s="68" t="s">
        <v>363</v>
      </c>
      <c r="D1324" s="68" t="s">
        <v>364</v>
      </c>
      <c r="E1324" s="75">
        <f>60*F1324*'THAM_SO_MOI'!$C$50/(2*PI()*'THAM_SO_MOI'!$C$26)</f>
        <v>2209.8184491582947</v>
      </c>
      <c r="F1324" s="75">
        <f>'HANH_TRINH'!$F$826+('THAM_SO_MOI'!$F$50-'HANH_TRINH'!$F$826)*497/'THAM_SO_MOI'!$C$42</f>
        <v>5.509590664759606</v>
      </c>
      <c r="G1324" s="75">
        <f>3.6*F1324</f>
        <v>19.83452639313458</v>
      </c>
      <c r="H1324" s="75">
        <f>'THAM_SO_MOI'!$D$50</f>
        <v>1.8785906709588276</v>
      </c>
      <c r="I1324" s="75">
        <f>IF(F1324&gt;'THAM_SO_MOI'!$C$14,'THAM_SO_MOI'!$C$13*(1+F1324^2/1500),'THAM_SO_MOI'!$C$13)</f>
        <v>0.015</v>
      </c>
      <c r="J1324" s="75">
        <f>'THAM_SO_MOI'!$C$40*('THAM_SO_MOI'!$C$23*(E1324/'THAM_SO_MOI'!$C$22)+'THAM_SO_MOI'!$C$24*(E1324/'THAM_SO_MOI'!$C$22)^2-'THAM_SO_MOI'!$C$25*(E1324/'THAM_SO_MOI'!$C$22)^3)</f>
        <v>99.49728750584009</v>
      </c>
      <c r="K1324" s="75">
        <f>'THAM_SO_MOI'!$C$31*J1324/E1324</f>
        <v>430.0391199587327</v>
      </c>
      <c r="L1324" s="75">
        <f>K1324*'THAM_SO_MOI'!$C$50*'THAM_SO_MOI'!$C$17/'THAM_SO_MOI'!$C$26</f>
        <v>15352.983000792594</v>
      </c>
      <c r="M1324" s="75">
        <f>'THAM_SO_MOI'!$C$15*'THAM_SO_MOI'!$C$16*F1324^2</f>
        <v>88.79009868262813</v>
      </c>
      <c r="N1324" s="75">
        <f>'THAM_SO_MOI'!$C$12*I1324</f>
        <v>1130.112</v>
      </c>
      <c r="O1324" s="75">
        <f>M1324+N1324</f>
        <v>1218.902098682628</v>
      </c>
      <c r="P1324" s="75">
        <f>(MIN(L1324,'THAM_SO_MOI'!$C$41)-O1324)/('THAM_SO_MOI'!$C$11*H1324)</f>
        <v>0.9796573281836393</v>
      </c>
      <c r="Q1324" s="75">
        <f>IF(P1324&gt;0,1/P1324,NA())</f>
        <v>1.0207650892114262</v>
      </c>
      <c r="R1324" s="75">
        <f>F1324-F1323</f>
        <v>0.0032106047296869278</v>
      </c>
      <c r="S1324" s="75">
        <f>0.5*(Q1323+Q1324)*R1324</f>
        <v>0.0032772392501606126</v>
      </c>
      <c r="T1324" s="75">
        <f>0.5*(F1323*Q1323+F1324*Q1324)*R1324</f>
        <v>0.018050985873487437</v>
      </c>
      <c r="U1324" s="76">
        <f>U1323+S1324</f>
        <v>5.764086258700859</v>
      </c>
      <c r="V1324" s="76">
        <f>V1323+T1324</f>
        <v>19.85326212318001</v>
      </c>
    </row>
    <row r="1325" spans="1:22" ht="19" customHeight="1">
      <c r="A1325" s="68" t="s">
        <v>372</v>
      </c>
      <c r="B1325" s="74">
        <v>2</v>
      </c>
      <c r="C1325" s="68" t="s">
        <v>363</v>
      </c>
      <c r="D1325" s="68" t="s">
        <v>364</v>
      </c>
      <c r="E1325" s="75">
        <f>60*F1325*'THAM_SO_MOI'!$C$50/(2*PI()*'THAM_SO_MOI'!$C$26)</f>
        <v>2211.1061770488614</v>
      </c>
      <c r="F1325" s="75">
        <f>'HANH_TRINH'!$F$826+('THAM_SO_MOI'!$F$50-'HANH_TRINH'!$F$826)*498/'THAM_SO_MOI'!$C$42</f>
        <v>5.512801269489293</v>
      </c>
      <c r="G1325" s="75">
        <f>3.6*F1325</f>
        <v>19.846084570161455</v>
      </c>
      <c r="H1325" s="75">
        <f>'THAM_SO_MOI'!$D$50</f>
        <v>1.8785906709588276</v>
      </c>
      <c r="I1325" s="75">
        <f>IF(F1325&gt;'THAM_SO_MOI'!$C$14,'THAM_SO_MOI'!$C$13*(1+F1325^2/1500),'THAM_SO_MOI'!$C$13)</f>
        <v>0.015</v>
      </c>
      <c r="J1325" s="75">
        <f>'THAM_SO_MOI'!$C$40*('THAM_SO_MOI'!$C$23*(E1325/'THAM_SO_MOI'!$C$22)+'THAM_SO_MOI'!$C$24*(E1325/'THAM_SO_MOI'!$C$22)^2-'THAM_SO_MOI'!$C$25*(E1325/'THAM_SO_MOI'!$C$22)^3)</f>
        <v>99.55400094724564</v>
      </c>
      <c r="K1325" s="75">
        <f>'THAM_SO_MOI'!$C$31*J1325/E1325</f>
        <v>430.0336486200845</v>
      </c>
      <c r="L1325" s="75">
        <f>K1325*'THAM_SO_MOI'!$C$50*'THAM_SO_MOI'!$C$17/'THAM_SO_MOI'!$C$26</f>
        <v>15352.787666541917</v>
      </c>
      <c r="M1325" s="75">
        <f>'THAM_SO_MOI'!$C$15*'THAM_SO_MOI'!$C$16*F1325^2</f>
        <v>88.89361017288208</v>
      </c>
      <c r="N1325" s="75">
        <f>'THAM_SO_MOI'!$C$12*I1325</f>
        <v>1130.112</v>
      </c>
      <c r="O1325" s="75">
        <f>M1325+N1325</f>
        <v>1219.0056101728821</v>
      </c>
      <c r="P1325" s="75">
        <f>(MIN(L1325,'THAM_SO_MOI'!$C$41)-O1325)/('THAM_SO_MOI'!$C$11*H1325)</f>
        <v>0.9796366146740644</v>
      </c>
      <c r="Q1325" s="75">
        <f>IF(P1325&gt;0,1/P1325,NA())</f>
        <v>1.0207866723445314</v>
      </c>
      <c r="R1325" s="75">
        <f>F1325-F1324</f>
        <v>0.0032106047296869278</v>
      </c>
      <c r="S1325" s="75">
        <f>0.5*(Q1324+Q1325)*R1325</f>
        <v>0.003277307870776118</v>
      </c>
      <c r="T1325" s="75">
        <f>0.5*(F1324*Q1324+F1325*Q1325)*R1325</f>
        <v>0.0180618859760662</v>
      </c>
      <c r="U1325" s="76">
        <f>U1324+S1325</f>
        <v>5.7673635665716345</v>
      </c>
      <c r="V1325" s="76">
        <f>V1324+T1325</f>
        <v>19.871324009156076</v>
      </c>
    </row>
    <row r="1326" spans="1:22" ht="19" customHeight="1">
      <c r="A1326" s="68" t="s">
        <v>372</v>
      </c>
      <c r="B1326" s="74">
        <v>2</v>
      </c>
      <c r="C1326" s="68" t="s">
        <v>363</v>
      </c>
      <c r="D1326" s="68" t="s">
        <v>364</v>
      </c>
      <c r="E1326" s="75">
        <f>60*F1326*'THAM_SO_MOI'!$C$50/(2*PI()*'THAM_SO_MOI'!$C$26)</f>
        <v>2212.393904939428</v>
      </c>
      <c r="F1326" s="75">
        <f>'HANH_TRINH'!$F$826+('THAM_SO_MOI'!$F$50-'HANH_TRINH'!$F$826)*499/'THAM_SO_MOI'!$C$42</f>
        <v>5.51601187421898</v>
      </c>
      <c r="G1326" s="75">
        <f>3.6*F1326</f>
        <v>19.857642747188326</v>
      </c>
      <c r="H1326" s="75">
        <f>'THAM_SO_MOI'!$D$50</f>
        <v>1.8785906709588276</v>
      </c>
      <c r="I1326" s="75">
        <f>IF(F1326&gt;'THAM_SO_MOI'!$C$14,'THAM_SO_MOI'!$C$13*(1+F1326^2/1500),'THAM_SO_MOI'!$C$13)</f>
        <v>0.015</v>
      </c>
      <c r="J1326" s="75">
        <f>'THAM_SO_MOI'!$C$40*('THAM_SO_MOI'!$C$23*(E1326/'THAM_SO_MOI'!$C$22)+'THAM_SO_MOI'!$C$24*(E1326/'THAM_SO_MOI'!$C$22)^2-'THAM_SO_MOI'!$C$25*(E1326/'THAM_SO_MOI'!$C$22)^3)</f>
        <v>99.6106756487526</v>
      </c>
      <c r="K1326" s="75">
        <f>'THAM_SO_MOI'!$C$31*J1326/E1326</f>
        <v>430.02801640710413</v>
      </c>
      <c r="L1326" s="75">
        <f>K1326*'THAM_SO_MOI'!$C$50*'THAM_SO_MOI'!$C$17/'THAM_SO_MOI'!$C$26</f>
        <v>15352.586588858214</v>
      </c>
      <c r="M1326" s="75">
        <f>'THAM_SO_MOI'!$C$15*'THAM_SO_MOI'!$C$16*F1326^2</f>
        <v>88.99718196483498</v>
      </c>
      <c r="N1326" s="75">
        <f>'THAM_SO_MOI'!$C$12*I1326</f>
        <v>1130.112</v>
      </c>
      <c r="O1326" s="75">
        <f>M1326+N1326</f>
        <v>1219.109181964835</v>
      </c>
      <c r="P1326" s="75">
        <f>(MIN(L1326,'THAM_SO_MOI'!$C$41)-O1326)/('THAM_SO_MOI'!$C$11*H1326)</f>
        <v>0.9796154988977065</v>
      </c>
      <c r="Q1326" s="75">
        <f>IF(P1326&gt;0,1/P1326,NA())</f>
        <v>1.020808675572437</v>
      </c>
      <c r="R1326" s="75">
        <f>F1326-F1325</f>
        <v>0.0032106047296869278</v>
      </c>
      <c r="S1326" s="75">
        <f>0.5*(Q1325+Q1326)*R1326</f>
        <v>0.0032773778400645233</v>
      </c>
      <c r="T1326" s="75">
        <f>0.5*(F1325*Q1325+F1326*Q1326)*R1326</f>
        <v>0.018072793956403148</v>
      </c>
      <c r="U1326" s="76">
        <f>U1325+S1326</f>
        <v>5.770640944411699</v>
      </c>
      <c r="V1326" s="76">
        <f>V1325+T1326</f>
        <v>19.88939680311248</v>
      </c>
    </row>
    <row r="1327" spans="1:22" ht="19" customHeight="1">
      <c r="A1327" s="68" t="s">
        <v>372</v>
      </c>
      <c r="B1327" s="74">
        <v>2</v>
      </c>
      <c r="C1327" s="68" t="s">
        <v>363</v>
      </c>
      <c r="D1327" s="68" t="s">
        <v>364</v>
      </c>
      <c r="E1327" s="75">
        <f>60*F1327*'THAM_SO_MOI'!$C$50/(2*PI()*'THAM_SO_MOI'!$C$26)</f>
        <v>2213.6816328299947</v>
      </c>
      <c r="F1327" s="75">
        <f>'HANH_TRINH'!$F$826+('THAM_SO_MOI'!$F$50-'HANH_TRINH'!$F$826)*500/'THAM_SO_MOI'!$C$42</f>
        <v>5.519222478948667</v>
      </c>
      <c r="G1327" s="75">
        <f>3.6*F1327</f>
        <v>19.8692009242152</v>
      </c>
      <c r="H1327" s="75">
        <f>'THAM_SO_MOI'!$D$50</f>
        <v>1.8785906709588276</v>
      </c>
      <c r="I1327" s="75">
        <f>IF(F1327&gt;'THAM_SO_MOI'!$C$14,'THAM_SO_MOI'!$C$13*(1+F1327^2/1500),'THAM_SO_MOI'!$C$13)</f>
        <v>0.015</v>
      </c>
      <c r="J1327" s="75">
        <f>'THAM_SO_MOI'!$C$40*('THAM_SO_MOI'!$C$23*(E1327/'THAM_SO_MOI'!$C$22)+'THAM_SO_MOI'!$C$24*(E1327/'THAM_SO_MOI'!$C$22)^2-'THAM_SO_MOI'!$C$25*(E1327/'THAM_SO_MOI'!$C$22)^3)</f>
        <v>99.66731154529126</v>
      </c>
      <c r="K1327" s="75">
        <f>'THAM_SO_MOI'!$C$31*J1327/E1327</f>
        <v>430.0222233197916</v>
      </c>
      <c r="L1327" s="75">
        <f>K1327*'THAM_SO_MOI'!$C$50*'THAM_SO_MOI'!$C$17/'THAM_SO_MOI'!$C$26</f>
        <v>15352.379767741473</v>
      </c>
      <c r="M1327" s="75">
        <f>'THAM_SO_MOI'!$C$15*'THAM_SO_MOI'!$C$16*F1327^2</f>
        <v>89.10081405848688</v>
      </c>
      <c r="N1327" s="75">
        <f>'THAM_SO_MOI'!$C$12*I1327</f>
        <v>1130.112</v>
      </c>
      <c r="O1327" s="75">
        <f>M1327+N1327</f>
        <v>1219.2128140584869</v>
      </c>
      <c r="P1327" s="75">
        <f>(MIN(L1327,'THAM_SO_MOI'!$C$41)-O1327)/('THAM_SO_MOI'!$C$11*H1327)</f>
        <v>0.9795939808545647</v>
      </c>
      <c r="Q1327" s="75">
        <f>IF(P1327&gt;0,1/P1327,NA())</f>
        <v>1.0208310989494176</v>
      </c>
      <c r="R1327" s="75">
        <f>F1327-F1326</f>
        <v>0.0032106047296869278</v>
      </c>
      <c r="S1327" s="75">
        <f>0.5*(Q1326+Q1327)*R1327</f>
        <v>0.0032774491581984097</v>
      </c>
      <c r="T1327" s="75">
        <f>0.5*(F1326*Q1326+F1327*Q1327)*R1327</f>
        <v>0.01808370982844068</v>
      </c>
      <c r="U1327" s="76">
        <f>U1326+S1327</f>
        <v>5.773918393569898</v>
      </c>
      <c r="V1327" s="76">
        <f>V1326+T1327</f>
        <v>19.90748051294092</v>
      </c>
    </row>
    <row r="1328" spans="1:22" ht="19" customHeight="1">
      <c r="A1328" s="68" t="s">
        <v>372</v>
      </c>
      <c r="B1328" s="74">
        <v>2</v>
      </c>
      <c r="C1328" s="68" t="s">
        <v>363</v>
      </c>
      <c r="D1328" s="68" t="s">
        <v>364</v>
      </c>
      <c r="E1328" s="75">
        <f>60*F1328*'THAM_SO_MOI'!$C$50/(2*PI()*'THAM_SO_MOI'!$C$26)</f>
        <v>2214.969360720561</v>
      </c>
      <c r="F1328" s="75">
        <f>'HANH_TRINH'!$F$826+('THAM_SO_MOI'!$F$50-'HANH_TRINH'!$F$826)*501/'THAM_SO_MOI'!$C$42</f>
        <v>5.522433083678353</v>
      </c>
      <c r="G1328" s="75">
        <f>3.6*F1328</f>
        <v>19.88075910124207</v>
      </c>
      <c r="H1328" s="75">
        <f>'THAM_SO_MOI'!$D$50</f>
        <v>1.8785906709588276</v>
      </c>
      <c r="I1328" s="75">
        <f>IF(F1328&gt;'THAM_SO_MOI'!$C$14,'THAM_SO_MOI'!$C$13*(1+F1328^2/1500),'THAM_SO_MOI'!$C$13)</f>
        <v>0.015</v>
      </c>
      <c r="J1328" s="75">
        <f>'THAM_SO_MOI'!$C$40*('THAM_SO_MOI'!$C$23*(E1328/'THAM_SO_MOI'!$C$22)+'THAM_SO_MOI'!$C$24*(E1328/'THAM_SO_MOI'!$C$22)^2-'THAM_SO_MOI'!$C$25*(E1328/'THAM_SO_MOI'!$C$22)^3)</f>
        <v>99.72390857179184</v>
      </c>
      <c r="K1328" s="75">
        <f>'THAM_SO_MOI'!$C$31*J1328/E1328</f>
        <v>430.0162693581467</v>
      </c>
      <c r="L1328" s="75">
        <f>K1328*'THAM_SO_MOI'!$C$50*'THAM_SO_MOI'!$C$17/'THAM_SO_MOI'!$C$26</f>
        <v>15352.167203191695</v>
      </c>
      <c r="M1328" s="75">
        <f>'THAM_SO_MOI'!$C$15*'THAM_SO_MOI'!$C$16*F1328^2</f>
        <v>89.20450645383772</v>
      </c>
      <c r="N1328" s="75">
        <f>'THAM_SO_MOI'!$C$12*I1328</f>
        <v>1130.112</v>
      </c>
      <c r="O1328" s="75">
        <f>M1328+N1328</f>
        <v>1219.3165064538377</v>
      </c>
      <c r="P1328" s="75">
        <f>(MIN(L1328,'THAM_SO_MOI'!$C$41)-O1328)/('THAM_SO_MOI'!$C$11*H1328)</f>
        <v>0.9795720605446392</v>
      </c>
      <c r="Q1328" s="75">
        <f>IF(P1328&gt;0,1/P1328,NA())</f>
        <v>1.0208539425307852</v>
      </c>
      <c r="R1328" s="75">
        <f>F1328-F1327</f>
        <v>0.0032106047296860396</v>
      </c>
      <c r="S1328" s="75">
        <f>0.5*(Q1327+Q1328)*R1328</f>
        <v>0.003277521825352788</v>
      </c>
      <c r="T1328" s="75">
        <f>0.5*(F1327*Q1327+F1328*Q1328)*R1328</f>
        <v>0.018094633606136848</v>
      </c>
      <c r="U1328" s="76">
        <f>U1327+S1328</f>
        <v>5.77719591539525</v>
      </c>
      <c r="V1328" s="76">
        <f>V1327+T1328</f>
        <v>19.925575146547057</v>
      </c>
    </row>
    <row r="1329" spans="1:22" ht="19" customHeight="1">
      <c r="A1329" s="68" t="s">
        <v>372</v>
      </c>
      <c r="B1329" s="74">
        <v>2</v>
      </c>
      <c r="C1329" s="68" t="s">
        <v>363</v>
      </c>
      <c r="D1329" s="68" t="s">
        <v>364</v>
      </c>
      <c r="E1329" s="75">
        <f>60*F1329*'THAM_SO_MOI'!$C$50/(2*PI()*'THAM_SO_MOI'!$C$26)</f>
        <v>2216.257088611128</v>
      </c>
      <c r="F1329" s="75">
        <f>'HANH_TRINH'!$F$826+('THAM_SO_MOI'!$F$50-'HANH_TRINH'!$F$826)*502/'THAM_SO_MOI'!$C$42</f>
        <v>5.52564368840804</v>
      </c>
      <c r="G1329" s="75">
        <f>3.6*F1329</f>
        <v>19.892317278268948</v>
      </c>
      <c r="H1329" s="75">
        <f>'THAM_SO_MOI'!$D$50</f>
        <v>1.8785906709588276</v>
      </c>
      <c r="I1329" s="75">
        <f>IF(F1329&gt;'THAM_SO_MOI'!$C$14,'THAM_SO_MOI'!$C$13*(1+F1329^2/1500),'THAM_SO_MOI'!$C$13)</f>
        <v>0.015</v>
      </c>
      <c r="J1329" s="75">
        <f>'THAM_SO_MOI'!$C$40*('THAM_SO_MOI'!$C$23*(E1329/'THAM_SO_MOI'!$C$22)+'THAM_SO_MOI'!$C$24*(E1329/'THAM_SO_MOI'!$C$22)^2-'THAM_SO_MOI'!$C$25*(E1329/'THAM_SO_MOI'!$C$22)^3)</f>
        <v>99.78046666318474</v>
      </c>
      <c r="K1329" s="75">
        <f>'THAM_SO_MOI'!$C$31*J1329/E1329</f>
        <v>430.0101545221696</v>
      </c>
      <c r="L1329" s="75">
        <f>K1329*'THAM_SO_MOI'!$C$50*'THAM_SO_MOI'!$C$17/'THAM_SO_MOI'!$C$26</f>
        <v>15351.948895208883</v>
      </c>
      <c r="M1329" s="75">
        <f>'THAM_SO_MOI'!$C$15*'THAM_SO_MOI'!$C$16*F1329^2</f>
        <v>89.30825915088758</v>
      </c>
      <c r="N1329" s="75">
        <f>'THAM_SO_MOI'!$C$12*I1329</f>
        <v>1130.112</v>
      </c>
      <c r="O1329" s="75">
        <f>M1329+N1329</f>
        <v>1219.4202591508877</v>
      </c>
      <c r="P1329" s="75">
        <f>(MIN(L1329,'THAM_SO_MOI'!$C$41)-O1329)/('THAM_SO_MOI'!$C$11*H1329)</f>
        <v>0.9795497379679304</v>
      </c>
      <c r="Q1329" s="75">
        <f>IF(P1329&gt;0,1/P1329,NA())</f>
        <v>1.0208772063728928</v>
      </c>
      <c r="R1329" s="75">
        <f>F1329-F1328</f>
        <v>0.003210604729687816</v>
      </c>
      <c r="S1329" s="75">
        <f>0.5*(Q1328+Q1329)*R1329</f>
        <v>0.003277595841710544</v>
      </c>
      <c r="T1329" s="75">
        <f>0.5*(F1328*Q1328+F1329*Q1329)*R1329</f>
        <v>0.018105565303495424</v>
      </c>
      <c r="U1329" s="76">
        <f>U1328+S1329</f>
        <v>5.780473511236961</v>
      </c>
      <c r="V1329" s="76">
        <f>V1328+T1329</f>
        <v>19.943680711850554</v>
      </c>
    </row>
    <row r="1330" spans="1:22" ht="19" customHeight="1">
      <c r="A1330" s="68" t="s">
        <v>372</v>
      </c>
      <c r="B1330" s="74">
        <v>2</v>
      </c>
      <c r="C1330" s="68" t="s">
        <v>363</v>
      </c>
      <c r="D1330" s="68" t="s">
        <v>364</v>
      </c>
      <c r="E1330" s="75">
        <f>60*F1330*'THAM_SO_MOI'!$C$50/(2*PI()*'THAM_SO_MOI'!$C$26)</f>
        <v>2217.5448165016946</v>
      </c>
      <c r="F1330" s="75">
        <f>'HANH_TRINH'!$F$826+('THAM_SO_MOI'!$F$50-'HANH_TRINH'!$F$826)*503/'THAM_SO_MOI'!$C$42</f>
        <v>5.5288542931377265</v>
      </c>
      <c r="G1330" s="75">
        <f>3.6*F1330</f>
        <v>19.903875455295815</v>
      </c>
      <c r="H1330" s="75">
        <f>'THAM_SO_MOI'!$D$50</f>
        <v>1.8785906709588276</v>
      </c>
      <c r="I1330" s="75">
        <f>IF(F1330&gt;'THAM_SO_MOI'!$C$14,'THAM_SO_MOI'!$C$13*(1+F1330^2/1500),'THAM_SO_MOI'!$C$13)</f>
        <v>0.015</v>
      </c>
      <c r="J1330" s="75">
        <f>'THAM_SO_MOI'!$C$40*('THAM_SO_MOI'!$C$23*(E1330/'THAM_SO_MOI'!$C$22)+'THAM_SO_MOI'!$C$24*(E1330/'THAM_SO_MOI'!$C$22)^2-'THAM_SO_MOI'!$C$25*(E1330/'THAM_SO_MOI'!$C$22)^3)</f>
        <v>99.83698575440017</v>
      </c>
      <c r="K1330" s="75">
        <f>'THAM_SO_MOI'!$C$31*J1330/E1330</f>
        <v>430.00387881186015</v>
      </c>
      <c r="L1330" s="75">
        <f>K1330*'THAM_SO_MOI'!$C$50*'THAM_SO_MOI'!$C$17/'THAM_SO_MOI'!$C$26</f>
        <v>15351.724843793028</v>
      </c>
      <c r="M1330" s="75">
        <f>'THAM_SO_MOI'!$C$15*'THAM_SO_MOI'!$C$16*F1330^2</f>
        <v>89.41207214963636</v>
      </c>
      <c r="N1330" s="75">
        <f>'THAM_SO_MOI'!$C$12*I1330</f>
        <v>1130.112</v>
      </c>
      <c r="O1330" s="75">
        <f>M1330+N1330</f>
        <v>1219.5240721496364</v>
      </c>
      <c r="P1330" s="75">
        <f>(MIN(L1330,'THAM_SO_MOI'!$C$41)-O1330)/('THAM_SO_MOI'!$C$11*H1330)</f>
        <v>0.9795270131244375</v>
      </c>
      <c r="Q1330" s="75">
        <f>IF(P1330&gt;0,1/P1330,NA())</f>
        <v>1.020900890533135</v>
      </c>
      <c r="R1330" s="75">
        <f>F1330-F1329</f>
        <v>0.0032106047296860396</v>
      </c>
      <c r="S1330" s="75">
        <f>0.5*(Q1329+Q1330)*R1330</f>
        <v>0.003277671207447927</v>
      </c>
      <c r="T1330" s="75">
        <f>0.5*(F1329*Q1329+F1330*Q1330)*R1330</f>
        <v>0.01811650493448587</v>
      </c>
      <c r="U1330" s="76">
        <f>U1329+S1330</f>
        <v>5.783751182444409</v>
      </c>
      <c r="V1330" s="76">
        <f>V1329+T1330</f>
        <v>19.96179721678504</v>
      </c>
    </row>
    <row r="1331" spans="1:22" ht="19" customHeight="1">
      <c r="A1331" s="68" t="s">
        <v>372</v>
      </c>
      <c r="B1331" s="74">
        <v>2</v>
      </c>
      <c r="C1331" s="68" t="s">
        <v>363</v>
      </c>
      <c r="D1331" s="68" t="s">
        <v>364</v>
      </c>
      <c r="E1331" s="75">
        <f>60*F1331*'THAM_SO_MOI'!$C$50/(2*PI()*'THAM_SO_MOI'!$C$26)</f>
        <v>2218.8325443922613</v>
      </c>
      <c r="F1331" s="75">
        <f>'HANH_TRINH'!$F$826+('THAM_SO_MOI'!$F$50-'HANH_TRINH'!$F$826)*504/'THAM_SO_MOI'!$C$42</f>
        <v>5.532064897867413</v>
      </c>
      <c r="G1331" s="75">
        <f>3.6*F1331</f>
        <v>19.91543363232269</v>
      </c>
      <c r="H1331" s="75">
        <f>'THAM_SO_MOI'!$D$50</f>
        <v>1.8785906709588276</v>
      </c>
      <c r="I1331" s="75">
        <f>IF(F1331&gt;'THAM_SO_MOI'!$C$14,'THAM_SO_MOI'!$C$13*(1+F1331^2/1500),'THAM_SO_MOI'!$C$13)</f>
        <v>0.015</v>
      </c>
      <c r="J1331" s="75">
        <f>'THAM_SO_MOI'!$C$40*('THAM_SO_MOI'!$C$23*(E1331/'THAM_SO_MOI'!$C$22)+'THAM_SO_MOI'!$C$24*(E1331/'THAM_SO_MOI'!$C$22)^2-'THAM_SO_MOI'!$C$25*(E1331/'THAM_SO_MOI'!$C$22)^3)</f>
        <v>99.8934657803685</v>
      </c>
      <c r="K1331" s="75">
        <f>'THAM_SO_MOI'!$C$31*J1331/E1331</f>
        <v>429.99744222721847</v>
      </c>
      <c r="L1331" s="75">
        <f>K1331*'THAM_SO_MOI'!$C$50*'THAM_SO_MOI'!$C$17/'THAM_SO_MOI'!$C$26</f>
        <v>15351.495048944138</v>
      </c>
      <c r="M1331" s="75">
        <f>'THAM_SO_MOI'!$C$15*'THAM_SO_MOI'!$C$16*F1331^2</f>
        <v>89.51594545008415</v>
      </c>
      <c r="N1331" s="75">
        <f>'THAM_SO_MOI'!$C$12*I1331</f>
        <v>1130.112</v>
      </c>
      <c r="O1331" s="75">
        <f>M1331+N1331</f>
        <v>1219.6279454500843</v>
      </c>
      <c r="P1331" s="75">
        <f>(MIN(L1331,'THAM_SO_MOI'!$C$41)-O1331)/('THAM_SO_MOI'!$C$11*H1331)</f>
        <v>0.9795038860141609</v>
      </c>
      <c r="Q1331" s="75">
        <f>IF(P1331&gt;0,1/P1331,NA())</f>
        <v>1.0209249950699457</v>
      </c>
      <c r="R1331" s="75">
        <f>F1331-F1330</f>
        <v>0.0032106047296869278</v>
      </c>
      <c r="S1331" s="75">
        <f>0.5*(Q1330+Q1331)*R1331</f>
        <v>0.003277747922757226</v>
      </c>
      <c r="T1331" s="75">
        <f>0.5*(F1330*Q1330+F1331*Q1331)*R1331</f>
        <v>0.018127452513168604</v>
      </c>
      <c r="U1331" s="76">
        <f>U1330+S1331</f>
        <v>5.787028930367166</v>
      </c>
      <c r="V1331" s="76">
        <f>V1330+T1331</f>
        <v>19.97992466929821</v>
      </c>
    </row>
    <row r="1332" spans="1:22" ht="19" customHeight="1">
      <c r="A1332" s="68" t="s">
        <v>372</v>
      </c>
      <c r="B1332" s="74">
        <v>2</v>
      </c>
      <c r="C1332" s="68" t="s">
        <v>363</v>
      </c>
      <c r="D1332" s="68" t="s">
        <v>364</v>
      </c>
      <c r="E1332" s="75">
        <f>60*F1332*'THAM_SO_MOI'!$C$50/(2*PI()*'THAM_SO_MOI'!$C$26)</f>
        <v>2220.1202722828284</v>
      </c>
      <c r="F1332" s="75">
        <f>'HANH_TRINH'!$F$826+('THAM_SO_MOI'!$F$50-'HANH_TRINH'!$F$826)*505/'THAM_SO_MOI'!$C$42</f>
        <v>5.5352755025971</v>
      </c>
      <c r="G1332" s="75">
        <f>3.6*F1332</f>
        <v>19.926991809349563</v>
      </c>
      <c r="H1332" s="75">
        <f>'THAM_SO_MOI'!$D$50</f>
        <v>1.8785906709588276</v>
      </c>
      <c r="I1332" s="75">
        <f>IF(F1332&gt;'THAM_SO_MOI'!$C$14,'THAM_SO_MOI'!$C$13*(1+F1332^2/1500),'THAM_SO_MOI'!$C$13)</f>
        <v>0.015</v>
      </c>
      <c r="J1332" s="75">
        <f>'THAM_SO_MOI'!$C$40*('THAM_SO_MOI'!$C$23*(E1332/'THAM_SO_MOI'!$C$22)+'THAM_SO_MOI'!$C$24*(E1332/'THAM_SO_MOI'!$C$22)^2-'THAM_SO_MOI'!$C$25*(E1332/'THAM_SO_MOI'!$C$22)^3)</f>
        <v>99.94990667602005</v>
      </c>
      <c r="K1332" s="75">
        <f>'THAM_SO_MOI'!$C$31*J1332/E1332</f>
        <v>429.99084476824464</v>
      </c>
      <c r="L1332" s="75">
        <f>K1332*'THAM_SO_MOI'!$C$50*'THAM_SO_MOI'!$C$17/'THAM_SO_MOI'!$C$26</f>
        <v>15351.25951066222</v>
      </c>
      <c r="M1332" s="75">
        <f>'THAM_SO_MOI'!$C$15*'THAM_SO_MOI'!$C$16*F1332^2</f>
        <v>89.61987905223089</v>
      </c>
      <c r="N1332" s="75">
        <f>'THAM_SO_MOI'!$C$12*I1332</f>
        <v>1130.112</v>
      </c>
      <c r="O1332" s="75">
        <f>M1332+N1332</f>
        <v>1219.7318790522309</v>
      </c>
      <c r="P1332" s="75">
        <f>(MIN(L1332,'THAM_SO_MOI'!$C$41)-O1332)/('THAM_SO_MOI'!$C$11*H1332)</f>
        <v>0.9794803566371013</v>
      </c>
      <c r="Q1332" s="75">
        <f>IF(P1332&gt;0,1/P1332,NA())</f>
        <v>1.020949520042801</v>
      </c>
      <c r="R1332" s="75">
        <f>F1332-F1331</f>
        <v>0.0032106047296869278</v>
      </c>
      <c r="S1332" s="75">
        <f>0.5*(Q1331+Q1332)*R1332</f>
        <v>0.003277825987824093</v>
      </c>
      <c r="T1332" s="75">
        <f>0.5*(F1331*Q1331+F1332*Q1332)*R1332</f>
        <v>0.018138408053569796</v>
      </c>
      <c r="U1332" s="76">
        <f>U1331+S1332</f>
        <v>5.7903067563549895</v>
      </c>
      <c r="V1332" s="76">
        <f>V1331+T1332</f>
        <v>19.99806307735178</v>
      </c>
    </row>
    <row r="1333" spans="1:22" ht="19" customHeight="1">
      <c r="A1333" s="68" t="s">
        <v>372</v>
      </c>
      <c r="B1333" s="74">
        <v>2</v>
      </c>
      <c r="C1333" s="68" t="s">
        <v>363</v>
      </c>
      <c r="D1333" s="68" t="s">
        <v>364</v>
      </c>
      <c r="E1333" s="75">
        <f>60*F1333*'THAM_SO_MOI'!$C$50/(2*PI()*'THAM_SO_MOI'!$C$26)</f>
        <v>2221.408000173395</v>
      </c>
      <c r="F1333" s="75">
        <f>'HANH_TRINH'!$F$826+('THAM_SO_MOI'!$F$50-'HANH_TRINH'!$F$826)*506/'THAM_SO_MOI'!$C$42</f>
        <v>5.538486107326787</v>
      </c>
      <c r="G1333" s="75">
        <f>3.6*F1333</f>
        <v>19.938549986376433</v>
      </c>
      <c r="H1333" s="75">
        <f>'THAM_SO_MOI'!$D$50</f>
        <v>1.8785906709588276</v>
      </c>
      <c r="I1333" s="75">
        <f>IF(F1333&gt;'THAM_SO_MOI'!$C$14,'THAM_SO_MOI'!$C$13*(1+F1333^2/1500),'THAM_SO_MOI'!$C$13)</f>
        <v>0.015</v>
      </c>
      <c r="J1333" s="75">
        <f>'THAM_SO_MOI'!$C$40*('THAM_SO_MOI'!$C$23*(E1333/'THAM_SO_MOI'!$C$22)+'THAM_SO_MOI'!$C$24*(E1333/'THAM_SO_MOI'!$C$22)^2-'THAM_SO_MOI'!$C$25*(E1333/'THAM_SO_MOI'!$C$22)^3)</f>
        <v>100.00630837628506</v>
      </c>
      <c r="K1333" s="75">
        <f>'THAM_SO_MOI'!$C$31*J1333/E1333</f>
        <v>429.98408643493855</v>
      </c>
      <c r="L1333" s="75">
        <f>K1333*'THAM_SO_MOI'!$C$50*'THAM_SO_MOI'!$C$17/'THAM_SO_MOI'!$C$26</f>
        <v>15351.018228947263</v>
      </c>
      <c r="M1333" s="75">
        <f>'THAM_SO_MOI'!$C$15*'THAM_SO_MOI'!$C$16*F1333^2</f>
        <v>89.72387295607662</v>
      </c>
      <c r="N1333" s="75">
        <f>'THAM_SO_MOI'!$C$12*I1333</f>
        <v>1130.112</v>
      </c>
      <c r="O1333" s="75">
        <f>M1333+N1333</f>
        <v>1219.8358729560766</v>
      </c>
      <c r="P1333" s="75">
        <f>(MIN(L1333,'THAM_SO_MOI'!$C$41)-O1333)/('THAM_SO_MOI'!$C$11*H1333)</f>
        <v>0.979456424993258</v>
      </c>
      <c r="Q1333" s="75">
        <f>IF(P1333&gt;0,1/P1333,NA())</f>
        <v>1.0209744655122186</v>
      </c>
      <c r="R1333" s="75">
        <f>F1333-F1332</f>
        <v>0.0032106047296869278</v>
      </c>
      <c r="S1333" s="75">
        <f>0.5*(Q1332+Q1333)*R1333</f>
        <v>0.0032779054028420638</v>
      </c>
      <c r="T1333" s="75">
        <f>0.5*(F1332*Q1332+F1333*Q1333)*R1333</f>
        <v>0.018149371569761638</v>
      </c>
      <c r="U1333" s="76">
        <f>U1332+S1333</f>
        <v>5.793584661757832</v>
      </c>
      <c r="V1333" s="76">
        <f>V1332+T1333</f>
        <v>20.016212448921543</v>
      </c>
    </row>
    <row r="1334" spans="1:22" ht="19" customHeight="1">
      <c r="A1334" s="68" t="s">
        <v>372</v>
      </c>
      <c r="B1334" s="74">
        <v>2</v>
      </c>
      <c r="C1334" s="68" t="s">
        <v>363</v>
      </c>
      <c r="D1334" s="68" t="s">
        <v>364</v>
      </c>
      <c r="E1334" s="75">
        <f>60*F1334*'THAM_SO_MOI'!$C$50/(2*PI()*'THAM_SO_MOI'!$C$26)</f>
        <v>2222.6957280639617</v>
      </c>
      <c r="F1334" s="75">
        <f>'HANH_TRINH'!$F$826+('THAM_SO_MOI'!$F$50-'HANH_TRINH'!$F$826)*507/'THAM_SO_MOI'!$C$42</f>
        <v>5.541696712056474</v>
      </c>
      <c r="G1334" s="75">
        <f>3.6*F1334</f>
        <v>19.950108163403307</v>
      </c>
      <c r="H1334" s="75">
        <f>'THAM_SO_MOI'!$D$50</f>
        <v>1.8785906709588276</v>
      </c>
      <c r="I1334" s="75">
        <f>IF(F1334&gt;'THAM_SO_MOI'!$C$14,'THAM_SO_MOI'!$C$13*(1+F1334^2/1500),'THAM_SO_MOI'!$C$13)</f>
        <v>0.015</v>
      </c>
      <c r="J1334" s="75">
        <f>'THAM_SO_MOI'!$C$40*('THAM_SO_MOI'!$C$23*(E1334/'THAM_SO_MOI'!$C$22)+'THAM_SO_MOI'!$C$24*(E1334/'THAM_SO_MOI'!$C$22)^2-'THAM_SO_MOI'!$C$25*(E1334/'THAM_SO_MOI'!$C$22)^3)</f>
        <v>100.06267081609383</v>
      </c>
      <c r="K1334" s="75">
        <f>'THAM_SO_MOI'!$C$31*J1334/E1334</f>
        <v>429.97716722730013</v>
      </c>
      <c r="L1334" s="75">
        <f>K1334*'THAM_SO_MOI'!$C$50*'THAM_SO_MOI'!$C$17/'THAM_SO_MOI'!$C$26</f>
        <v>15350.771203799268</v>
      </c>
      <c r="M1334" s="75">
        <f>'THAM_SO_MOI'!$C$15*'THAM_SO_MOI'!$C$16*F1334^2</f>
        <v>89.8279271616213</v>
      </c>
      <c r="N1334" s="75">
        <f>'THAM_SO_MOI'!$C$12*I1334</f>
        <v>1130.112</v>
      </c>
      <c r="O1334" s="75">
        <f>M1334+N1334</f>
        <v>1219.9399271616214</v>
      </c>
      <c r="P1334" s="75">
        <f>(MIN(L1334,'THAM_SO_MOI'!$C$41)-O1334)/('THAM_SO_MOI'!$C$11*H1334)</f>
        <v>0.9794320910826309</v>
      </c>
      <c r="Q1334" s="75">
        <f>IF(P1334&gt;0,1/P1334,NA())</f>
        <v>1.020999831539759</v>
      </c>
      <c r="R1334" s="75">
        <f>F1334-F1333</f>
        <v>0.0032106047296869278</v>
      </c>
      <c r="S1334" s="75">
        <f>0.5*(Q1333+Q1334)*R1334</f>
        <v>0.003277986168007109</v>
      </c>
      <c r="T1334" s="75">
        <f>0.5*(F1333*Q1333+F1334*Q1334)*R1334</f>
        <v>0.01816034307583232</v>
      </c>
      <c r="U1334" s="76">
        <f>U1333+S1334</f>
        <v>5.796862647925839</v>
      </c>
      <c r="V1334" s="76">
        <f>V1333+T1334</f>
        <v>20.034372791997374</v>
      </c>
    </row>
    <row r="1335" spans="1:22" ht="19" customHeight="1">
      <c r="A1335" s="68" t="s">
        <v>372</v>
      </c>
      <c r="B1335" s="74">
        <v>2</v>
      </c>
      <c r="C1335" s="68" t="s">
        <v>363</v>
      </c>
      <c r="D1335" s="68" t="s">
        <v>364</v>
      </c>
      <c r="E1335" s="75">
        <f>60*F1335*'THAM_SO_MOI'!$C$50/(2*PI()*'THAM_SO_MOI'!$C$26)</f>
        <v>2223.983455954528</v>
      </c>
      <c r="F1335" s="75">
        <f>'HANH_TRINH'!$F$826+('THAM_SO_MOI'!$F$50-'HANH_TRINH'!$F$826)*508/'THAM_SO_MOI'!$C$42</f>
        <v>5.54490731678616</v>
      </c>
      <c r="G1335" s="75">
        <f>3.6*F1335</f>
        <v>19.961666340430178</v>
      </c>
      <c r="H1335" s="75">
        <f>'THAM_SO_MOI'!$D$50</f>
        <v>1.8785906709588276</v>
      </c>
      <c r="I1335" s="75">
        <f>IF(F1335&gt;'THAM_SO_MOI'!$C$14,'THAM_SO_MOI'!$C$13*(1+F1335^2/1500),'THAM_SO_MOI'!$C$13)</f>
        <v>0.015</v>
      </c>
      <c r="J1335" s="75">
        <f>'THAM_SO_MOI'!$C$40*('THAM_SO_MOI'!$C$23*(E1335/'THAM_SO_MOI'!$C$22)+'THAM_SO_MOI'!$C$24*(E1335/'THAM_SO_MOI'!$C$22)^2-'THAM_SO_MOI'!$C$25*(E1335/'THAM_SO_MOI'!$C$22)^3)</f>
        <v>100.11899393037667</v>
      </c>
      <c r="K1335" s="75">
        <f>'THAM_SO_MOI'!$C$31*J1335/E1335</f>
        <v>429.97008714532956</v>
      </c>
      <c r="L1335" s="75">
        <f>K1335*'THAM_SO_MOI'!$C$50*'THAM_SO_MOI'!$C$17/'THAM_SO_MOI'!$C$26</f>
        <v>15350.51843521824</v>
      </c>
      <c r="M1335" s="75">
        <f>'THAM_SO_MOI'!$C$15*'THAM_SO_MOI'!$C$16*F1335^2</f>
        <v>89.93204166886494</v>
      </c>
      <c r="N1335" s="75">
        <f>'THAM_SO_MOI'!$C$12*I1335</f>
        <v>1130.112</v>
      </c>
      <c r="O1335" s="75">
        <f>M1335+N1335</f>
        <v>1220.044041668865</v>
      </c>
      <c r="P1335" s="75">
        <f>(MIN(L1335,'THAM_SO_MOI'!$C$41)-O1335)/('THAM_SO_MOI'!$C$11*H1335)</f>
        <v>0.9794073549052202</v>
      </c>
      <c r="Q1335" s="75">
        <f>IF(P1335&gt;0,1/P1335,NA())</f>
        <v>1.0210256181880242</v>
      </c>
      <c r="R1335" s="75">
        <f>F1335-F1334</f>
        <v>0.0032106047296860396</v>
      </c>
      <c r="S1335" s="75">
        <f>0.5*(Q1334+Q1335)*R1335</f>
        <v>0.0032780682835176415</v>
      </c>
      <c r="T1335" s="75">
        <f>0.5*(F1334*Q1334+F1335*Q1335)*R1335</f>
        <v>0.018171322585886055</v>
      </c>
      <c r="U1335" s="76">
        <f>U1334+S1335</f>
        <v>5.800140716209357</v>
      </c>
      <c r="V1335" s="76">
        <f>V1334+T1335</f>
        <v>20.05254411458326</v>
      </c>
    </row>
    <row r="1336" spans="1:22" ht="19" customHeight="1">
      <c r="A1336" s="68" t="s">
        <v>372</v>
      </c>
      <c r="B1336" s="74">
        <v>2</v>
      </c>
      <c r="C1336" s="68" t="s">
        <v>363</v>
      </c>
      <c r="D1336" s="68" t="s">
        <v>364</v>
      </c>
      <c r="E1336" s="75">
        <f>60*F1336*'THAM_SO_MOI'!$C$50/(2*PI()*'THAM_SO_MOI'!$C$26)</f>
        <v>2225.271183845095</v>
      </c>
      <c r="F1336" s="75">
        <f>'HANH_TRINH'!$F$826+('THAM_SO_MOI'!$F$50-'HANH_TRINH'!$F$826)*509/'THAM_SO_MOI'!$C$42</f>
        <v>5.548117921515848</v>
      </c>
      <c r="G1336" s="75">
        <f>3.6*F1336</f>
        <v>19.973224517457055</v>
      </c>
      <c r="H1336" s="75">
        <f>'THAM_SO_MOI'!$D$50</f>
        <v>1.8785906709588276</v>
      </c>
      <c r="I1336" s="75">
        <f>IF(F1336&gt;'THAM_SO_MOI'!$C$14,'THAM_SO_MOI'!$C$13*(1+F1336^2/1500),'THAM_SO_MOI'!$C$13)</f>
        <v>0.015</v>
      </c>
      <c r="J1336" s="75">
        <f>'THAM_SO_MOI'!$C$40*('THAM_SO_MOI'!$C$23*(E1336/'THAM_SO_MOI'!$C$22)+'THAM_SO_MOI'!$C$24*(E1336/'THAM_SO_MOI'!$C$22)^2-'THAM_SO_MOI'!$C$25*(E1336/'THAM_SO_MOI'!$C$22)^3)</f>
        <v>100.17527765406395</v>
      </c>
      <c r="K1336" s="75">
        <f>'THAM_SO_MOI'!$C$31*J1336/E1336</f>
        <v>429.96284618902666</v>
      </c>
      <c r="L1336" s="75">
        <f>K1336*'THAM_SO_MOI'!$C$50*'THAM_SO_MOI'!$C$17/'THAM_SO_MOI'!$C$26</f>
        <v>15350.259923204174</v>
      </c>
      <c r="M1336" s="75">
        <f>'THAM_SO_MOI'!$C$15*'THAM_SO_MOI'!$C$16*F1336^2</f>
        <v>90.0362164778076</v>
      </c>
      <c r="N1336" s="75">
        <f>'THAM_SO_MOI'!$C$12*I1336</f>
        <v>1130.112</v>
      </c>
      <c r="O1336" s="75">
        <f>M1336+N1336</f>
        <v>1220.1482164778076</v>
      </c>
      <c r="P1336" s="75">
        <f>(MIN(L1336,'THAM_SO_MOI'!$C$41)-O1336)/('THAM_SO_MOI'!$C$11*H1336)</f>
        <v>0.9793822164610259</v>
      </c>
      <c r="Q1336" s="75">
        <f>IF(P1336&gt;0,1/P1336,NA())</f>
        <v>1.0210518255206593</v>
      </c>
      <c r="R1336" s="75">
        <f>F1336-F1335</f>
        <v>0.003210604729687816</v>
      </c>
      <c r="S1336" s="75">
        <f>0.5*(Q1335+Q1336)*R1336</f>
        <v>0.003278151749579952</v>
      </c>
      <c r="T1336" s="75">
        <f>0.5*(F1335*Q1335+F1336*Q1336)*R1336</f>
        <v>0.01818231011407333</v>
      </c>
      <c r="U1336" s="76">
        <f>U1335+S1336</f>
        <v>5.8034188679589365</v>
      </c>
      <c r="V1336" s="76">
        <f>V1335+T1336</f>
        <v>20.070726424697334</v>
      </c>
    </row>
    <row r="1337" spans="1:22" ht="19" customHeight="1">
      <c r="A1337" s="68" t="s">
        <v>372</v>
      </c>
      <c r="B1337" s="74">
        <v>2</v>
      </c>
      <c r="C1337" s="68" t="s">
        <v>363</v>
      </c>
      <c r="D1337" s="68" t="s">
        <v>364</v>
      </c>
      <c r="E1337" s="75">
        <f>60*F1337*'THAM_SO_MOI'!$C$50/(2*PI()*'THAM_SO_MOI'!$C$26)</f>
        <v>2226.5589117356617</v>
      </c>
      <c r="F1337" s="75">
        <f>'HANH_TRINH'!$F$826+('THAM_SO_MOI'!$F$50-'HANH_TRINH'!$F$826)*510/'THAM_SO_MOI'!$C$42</f>
        <v>5.551328526245534</v>
      </c>
      <c r="G1337" s="75">
        <f>3.6*F1337</f>
        <v>19.984782694483922</v>
      </c>
      <c r="H1337" s="75">
        <f>'THAM_SO_MOI'!$D$50</f>
        <v>1.8785906709588276</v>
      </c>
      <c r="I1337" s="75">
        <f>IF(F1337&gt;'THAM_SO_MOI'!$C$14,'THAM_SO_MOI'!$C$13*(1+F1337^2/1500),'THAM_SO_MOI'!$C$13)</f>
        <v>0.015</v>
      </c>
      <c r="J1337" s="75">
        <f>'THAM_SO_MOI'!$C$40*('THAM_SO_MOI'!$C$23*(E1337/'THAM_SO_MOI'!$C$22)+'THAM_SO_MOI'!$C$24*(E1337/'THAM_SO_MOI'!$C$22)^2-'THAM_SO_MOI'!$C$25*(E1337/'THAM_SO_MOI'!$C$22)^3)</f>
        <v>100.23152192208588</v>
      </c>
      <c r="K1337" s="75">
        <f>'THAM_SO_MOI'!$C$31*J1337/E1337</f>
        <v>429.9554443583915</v>
      </c>
      <c r="L1337" s="75">
        <f>K1337*'THAM_SO_MOI'!$C$50*'THAM_SO_MOI'!$C$17/'THAM_SO_MOI'!$C$26</f>
        <v>15349.99566775707</v>
      </c>
      <c r="M1337" s="75">
        <f>'THAM_SO_MOI'!$C$15*'THAM_SO_MOI'!$C$16*F1337^2</f>
        <v>90.14045158844918</v>
      </c>
      <c r="N1337" s="75">
        <f>'THAM_SO_MOI'!$C$12*I1337</f>
        <v>1130.112</v>
      </c>
      <c r="O1337" s="75">
        <f>M1337+N1337</f>
        <v>1220.2524515884493</v>
      </c>
      <c r="P1337" s="75">
        <f>(MIN(L1337,'THAM_SO_MOI'!$C$41)-O1337)/('THAM_SO_MOI'!$C$11*H1337)</f>
        <v>0.9793566757500477</v>
      </c>
      <c r="Q1337" s="75">
        <f>IF(P1337&gt;0,1/P1337,NA())</f>
        <v>1.0210784536023532</v>
      </c>
      <c r="R1337" s="75">
        <f>F1337-F1336</f>
        <v>0.0032106047296860396</v>
      </c>
      <c r="S1337" s="75">
        <f>0.5*(Q1336+Q1337)*R1337</f>
        <v>0.003278236566393708</v>
      </c>
      <c r="T1337" s="75">
        <f>0.5*(F1336*Q1336+F1337*Q1337)*R1337</f>
        <v>0.018193305674510506</v>
      </c>
      <c r="U1337" s="76">
        <f>U1336+S1337</f>
        <v>5.80669710452533</v>
      </c>
      <c r="V1337" s="76">
        <f>V1336+T1337</f>
        <v>20.088919730371845</v>
      </c>
    </row>
    <row r="1338" spans="1:22" ht="19" customHeight="1">
      <c r="A1338" s="68" t="s">
        <v>372</v>
      </c>
      <c r="B1338" s="74">
        <v>2</v>
      </c>
      <c r="C1338" s="68" t="s">
        <v>363</v>
      </c>
      <c r="D1338" s="68" t="s">
        <v>364</v>
      </c>
      <c r="E1338" s="75">
        <f>60*F1338*'THAM_SO_MOI'!$C$50/(2*PI()*'THAM_SO_MOI'!$C$26)</f>
        <v>2227.8466396262284</v>
      </c>
      <c r="F1338" s="75">
        <f>'HANH_TRINH'!$F$826+('THAM_SO_MOI'!$F$50-'HANH_TRINH'!$F$826)*511/'THAM_SO_MOI'!$C$42</f>
        <v>5.554539130975222</v>
      </c>
      <c r="G1338" s="75">
        <f>3.6*F1338</f>
        <v>19.9963408715108</v>
      </c>
      <c r="H1338" s="75">
        <f>'THAM_SO_MOI'!$D$50</f>
        <v>1.8785906709588276</v>
      </c>
      <c r="I1338" s="75">
        <f>IF(F1338&gt;'THAM_SO_MOI'!$C$14,'THAM_SO_MOI'!$C$13*(1+F1338^2/1500),'THAM_SO_MOI'!$C$13)</f>
        <v>0.015</v>
      </c>
      <c r="J1338" s="75">
        <f>'THAM_SO_MOI'!$C$40*('THAM_SO_MOI'!$C$23*(E1338/'THAM_SO_MOI'!$C$22)+'THAM_SO_MOI'!$C$24*(E1338/'THAM_SO_MOI'!$C$22)^2-'THAM_SO_MOI'!$C$25*(E1338/'THAM_SO_MOI'!$C$22)^3)</f>
        <v>100.28772666937283</v>
      </c>
      <c r="K1338" s="75">
        <f>'THAM_SO_MOI'!$C$31*J1338/E1338</f>
        <v>429.9478816534243</v>
      </c>
      <c r="L1338" s="75">
        <f>K1338*'THAM_SO_MOI'!$C$50*'THAM_SO_MOI'!$C$17/'THAM_SO_MOI'!$C$26</f>
        <v>15349.725668876941</v>
      </c>
      <c r="M1338" s="75">
        <f>'THAM_SO_MOI'!$C$15*'THAM_SO_MOI'!$C$16*F1338^2</f>
        <v>90.24474700078981</v>
      </c>
      <c r="N1338" s="75">
        <f>'THAM_SO_MOI'!$C$12*I1338</f>
        <v>1130.112</v>
      </c>
      <c r="O1338" s="75">
        <f>M1338+N1338</f>
        <v>1220.35674700079</v>
      </c>
      <c r="P1338" s="75">
        <f>(MIN(L1338,'THAM_SO_MOI'!$C$41)-O1338)/('THAM_SO_MOI'!$C$11*H1338)</f>
        <v>0.9793307327722868</v>
      </c>
      <c r="Q1338" s="75">
        <f>IF(P1338&gt;0,1/P1338,NA())</f>
        <v>1.021105502498837</v>
      </c>
      <c r="R1338" s="75">
        <f>F1338-F1337</f>
        <v>0.003210604729687816</v>
      </c>
      <c r="S1338" s="75">
        <f>0.5*(Q1337+Q1338)*R1338</f>
        <v>0.003278322734175528</v>
      </c>
      <c r="T1338" s="75">
        <f>0.5*(F1337*Q1337+F1338*Q1338)*R1338</f>
        <v>0.018204309281410647</v>
      </c>
      <c r="U1338" s="76">
        <f>U1337+S1338</f>
        <v>5.809975427259506</v>
      </c>
      <c r="V1338" s="76">
        <f>V1337+T1338</f>
        <v>20.107124039653257</v>
      </c>
    </row>
    <row r="1339" spans="1:22" ht="19" customHeight="1">
      <c r="A1339" s="68" t="s">
        <v>372</v>
      </c>
      <c r="B1339" s="74">
        <v>2</v>
      </c>
      <c r="C1339" s="68" t="s">
        <v>363</v>
      </c>
      <c r="D1339" s="68" t="s">
        <v>364</v>
      </c>
      <c r="E1339" s="75">
        <f>60*F1339*'THAM_SO_MOI'!$C$50/(2*PI()*'THAM_SO_MOI'!$C$26)</f>
        <v>2229.134367516795</v>
      </c>
      <c r="F1339" s="75">
        <f>'HANH_TRINH'!$F$826+('THAM_SO_MOI'!$F$50-'HANH_TRINH'!$F$826)*512/'THAM_SO_MOI'!$C$42</f>
        <v>5.557749735704908</v>
      </c>
      <c r="G1339" s="75">
        <f>3.6*F1339</f>
        <v>20.00789904853767</v>
      </c>
      <c r="H1339" s="75">
        <f>'THAM_SO_MOI'!$D$50</f>
        <v>1.8785906709588276</v>
      </c>
      <c r="I1339" s="75">
        <f>IF(F1339&gt;'THAM_SO_MOI'!$C$14,'THAM_SO_MOI'!$C$13*(1+F1339^2/1500),'THAM_SO_MOI'!$C$13)</f>
        <v>0.015</v>
      </c>
      <c r="J1339" s="75">
        <f>'THAM_SO_MOI'!$C$40*('THAM_SO_MOI'!$C$23*(E1339/'THAM_SO_MOI'!$C$22)+'THAM_SO_MOI'!$C$24*(E1339/'THAM_SO_MOI'!$C$22)^2-'THAM_SO_MOI'!$C$25*(E1339/'THAM_SO_MOI'!$C$22)^3)</f>
        <v>100.34389183085504</v>
      </c>
      <c r="K1339" s="75">
        <f>'THAM_SO_MOI'!$C$31*J1339/E1339</f>
        <v>429.9401580741246</v>
      </c>
      <c r="L1339" s="75">
        <f>K1339*'THAM_SO_MOI'!$C$50*'THAM_SO_MOI'!$C$17/'THAM_SO_MOI'!$C$26</f>
        <v>15349.449926563764</v>
      </c>
      <c r="M1339" s="75">
        <f>'THAM_SO_MOI'!$C$15*'THAM_SO_MOI'!$C$16*F1339^2</f>
        <v>90.34910271482933</v>
      </c>
      <c r="N1339" s="75">
        <f>'THAM_SO_MOI'!$C$12*I1339</f>
        <v>1130.112</v>
      </c>
      <c r="O1339" s="75">
        <f>M1339+N1339</f>
        <v>1220.4611027148294</v>
      </c>
      <c r="P1339" s="75">
        <f>(MIN(L1339,'THAM_SO_MOI'!$C$41)-O1339)/('THAM_SO_MOI'!$C$11*H1339)</f>
        <v>0.9793043875277413</v>
      </c>
      <c r="Q1339" s="75">
        <f>IF(P1339&gt;0,1/P1339,NA())</f>
        <v>1.0211329722768883</v>
      </c>
      <c r="R1339" s="75">
        <f>F1339-F1338</f>
        <v>0.0032106047296860396</v>
      </c>
      <c r="S1339" s="75">
        <f>0.5*(Q1338+Q1339)*R1339</f>
        <v>0.0032784102531308733</v>
      </c>
      <c r="T1339" s="75">
        <f>0.5*(F1338*Q1338+F1339*Q1339)*R1339</f>
        <v>0.018215320948927593</v>
      </c>
      <c r="U1339" s="76">
        <f>U1338+S1339</f>
        <v>5.813253837512637</v>
      </c>
      <c r="V1339" s="76">
        <f>V1338+T1339</f>
        <v>20.125339360602187</v>
      </c>
    </row>
    <row r="1340" spans="1:22" ht="19" customHeight="1">
      <c r="A1340" s="68" t="s">
        <v>372</v>
      </c>
      <c r="B1340" s="74">
        <v>2</v>
      </c>
      <c r="C1340" s="68" t="s">
        <v>363</v>
      </c>
      <c r="D1340" s="68" t="s">
        <v>364</v>
      </c>
      <c r="E1340" s="75">
        <f>60*F1340*'THAM_SO_MOI'!$C$50/(2*PI()*'THAM_SO_MOI'!$C$26)</f>
        <v>2230.4220954073617</v>
      </c>
      <c r="F1340" s="75">
        <f>'HANH_TRINH'!$F$826+('THAM_SO_MOI'!$F$50-'HANH_TRINH'!$F$826)*513/'THAM_SO_MOI'!$C$42</f>
        <v>5.560960340434595</v>
      </c>
      <c r="G1340" s="75">
        <f>3.6*F1340</f>
        <v>20.01945722556454</v>
      </c>
      <c r="H1340" s="75">
        <f>'THAM_SO_MOI'!$D$50</f>
        <v>1.8785906709588276</v>
      </c>
      <c r="I1340" s="75">
        <f>IF(F1340&gt;'THAM_SO_MOI'!$C$14,'THAM_SO_MOI'!$C$13*(1+F1340^2/1500),'THAM_SO_MOI'!$C$13)</f>
        <v>0.015</v>
      </c>
      <c r="J1340" s="75">
        <f>'THAM_SO_MOI'!$C$40*('THAM_SO_MOI'!$C$23*(E1340/'THAM_SO_MOI'!$C$22)+'THAM_SO_MOI'!$C$24*(E1340/'THAM_SO_MOI'!$C$22)^2-'THAM_SO_MOI'!$C$25*(E1340/'THAM_SO_MOI'!$C$22)^3)</f>
        <v>100.40001734146283</v>
      </c>
      <c r="K1340" s="75">
        <f>'THAM_SO_MOI'!$C$31*J1340/E1340</f>
        <v>429.9322736204927</v>
      </c>
      <c r="L1340" s="75">
        <f>K1340*'THAM_SO_MOI'!$C$50*'THAM_SO_MOI'!$C$17/'THAM_SO_MOI'!$C$26</f>
        <v>15349.168440817553</v>
      </c>
      <c r="M1340" s="75">
        <f>'THAM_SO_MOI'!$C$15*'THAM_SO_MOI'!$C$16*F1340^2</f>
        <v>90.45351873056786</v>
      </c>
      <c r="N1340" s="75">
        <f>'THAM_SO_MOI'!$C$12*I1340</f>
        <v>1130.112</v>
      </c>
      <c r="O1340" s="75">
        <f>M1340+N1340</f>
        <v>1220.5655187305679</v>
      </c>
      <c r="P1340" s="75">
        <f>(MIN(L1340,'THAM_SO_MOI'!$C$41)-O1340)/('THAM_SO_MOI'!$C$11*H1340)</f>
        <v>0.9792776400164126</v>
      </c>
      <c r="Q1340" s="75">
        <f>IF(P1340&gt;0,1/P1340,NA())</f>
        <v>1.0211608630043265</v>
      </c>
      <c r="R1340" s="75">
        <f>F1340-F1339</f>
        <v>0.0032106047296869278</v>
      </c>
      <c r="S1340" s="75">
        <f>0.5*(Q1339+Q1340)*R1340</f>
        <v>0.003278499123482162</v>
      </c>
      <c r="T1340" s="75">
        <f>0.5*(F1339*Q1339+F1340*Q1340)*R1340</f>
        <v>0.018226340691312105</v>
      </c>
      <c r="U1340" s="76">
        <f>U1339+S1340</f>
        <v>5.816532336636119</v>
      </c>
      <c r="V1340" s="76">
        <f>V1339+T1340</f>
        <v>20.1435657012935</v>
      </c>
    </row>
    <row r="1341" spans="1:22" ht="19" customHeight="1">
      <c r="A1341" s="68" t="s">
        <v>372</v>
      </c>
      <c r="B1341" s="74">
        <v>2</v>
      </c>
      <c r="C1341" s="68" t="s">
        <v>363</v>
      </c>
      <c r="D1341" s="68" t="s">
        <v>364</v>
      </c>
      <c r="E1341" s="75">
        <f>60*F1341*'THAM_SO_MOI'!$C$50/(2*PI()*'THAM_SO_MOI'!$C$26)</f>
        <v>2231.7098232979283</v>
      </c>
      <c r="F1341" s="75">
        <f>'HANH_TRINH'!$F$826+('THAM_SO_MOI'!$F$50-'HANH_TRINH'!$F$826)*514/'THAM_SO_MOI'!$C$42</f>
        <v>5.564170945164282</v>
      </c>
      <c r="G1341" s="75">
        <f>3.6*F1341</f>
        <v>20.031015402591414</v>
      </c>
      <c r="H1341" s="75">
        <f>'THAM_SO_MOI'!$D$50</f>
        <v>1.8785906709588276</v>
      </c>
      <c r="I1341" s="75">
        <f>IF(F1341&gt;'THAM_SO_MOI'!$C$14,'THAM_SO_MOI'!$C$13*(1+F1341^2/1500),'THAM_SO_MOI'!$C$13)</f>
        <v>0.015</v>
      </c>
      <c r="J1341" s="75">
        <f>'THAM_SO_MOI'!$C$40*('THAM_SO_MOI'!$C$23*(E1341/'THAM_SO_MOI'!$C$22)+'THAM_SO_MOI'!$C$24*(E1341/'THAM_SO_MOI'!$C$22)^2-'THAM_SO_MOI'!$C$25*(E1341/'THAM_SO_MOI'!$C$22)^3)</f>
        <v>100.45610313612652</v>
      </c>
      <c r="K1341" s="75">
        <f>'THAM_SO_MOI'!$C$31*J1341/E1341</f>
        <v>429.92422829252854</v>
      </c>
      <c r="L1341" s="75">
        <f>K1341*'THAM_SO_MOI'!$C$50*'THAM_SO_MOI'!$C$17/'THAM_SO_MOI'!$C$26</f>
        <v>15348.881211638307</v>
      </c>
      <c r="M1341" s="75">
        <f>'THAM_SO_MOI'!$C$15*'THAM_SO_MOI'!$C$16*F1341^2</f>
        <v>90.55799504800537</v>
      </c>
      <c r="N1341" s="75">
        <f>'THAM_SO_MOI'!$C$12*I1341</f>
        <v>1130.112</v>
      </c>
      <c r="O1341" s="75">
        <f>M1341+N1341</f>
        <v>1220.6699950480054</v>
      </c>
      <c r="P1341" s="75">
        <f>(MIN(L1341,'THAM_SO_MOI'!$C$41)-O1341)/('THAM_SO_MOI'!$C$11*H1341)</f>
        <v>0.9792504902383</v>
      </c>
      <c r="Q1341" s="75">
        <f>IF(P1341&gt;0,1/P1341,NA())</f>
        <v>1.021189174750018</v>
      </c>
      <c r="R1341" s="75">
        <f>F1341-F1340</f>
        <v>0.0032106047296869278</v>
      </c>
      <c r="S1341" s="75">
        <f>0.5*(Q1340+Q1341)*R1341</f>
        <v>0.003278589345445187</v>
      </c>
      <c r="T1341" s="75">
        <f>0.5*(F1340*Q1340+F1341*Q1341)*R1341</f>
        <v>0.018237368522780944</v>
      </c>
      <c r="U1341" s="76">
        <f>U1340+S1341</f>
        <v>5.819810925981564</v>
      </c>
      <c r="V1341" s="76">
        <f>V1340+T1341</f>
        <v>20.16180306981628</v>
      </c>
    </row>
    <row r="1342" spans="1:22" ht="19" customHeight="1">
      <c r="A1342" s="68" t="s">
        <v>372</v>
      </c>
      <c r="B1342" s="74">
        <v>2</v>
      </c>
      <c r="C1342" s="68" t="s">
        <v>363</v>
      </c>
      <c r="D1342" s="68" t="s">
        <v>364</v>
      </c>
      <c r="E1342" s="75">
        <f>60*F1342*'THAM_SO_MOI'!$C$50/(2*PI()*'THAM_SO_MOI'!$C$26)</f>
        <v>2232.9975511884945</v>
      </c>
      <c r="F1342" s="75">
        <f>'HANH_TRINH'!$F$826+('THAM_SO_MOI'!$F$50-'HANH_TRINH'!$F$826)*515/'THAM_SO_MOI'!$C$42</f>
        <v>5.567381549893968</v>
      </c>
      <c r="G1342" s="75">
        <f>3.6*F1342</f>
        <v>20.042573579618285</v>
      </c>
      <c r="H1342" s="75">
        <f>'THAM_SO_MOI'!$D$50</f>
        <v>1.8785906709588276</v>
      </c>
      <c r="I1342" s="75">
        <f>IF(F1342&gt;'THAM_SO_MOI'!$C$14,'THAM_SO_MOI'!$C$13*(1+F1342^2/1500),'THAM_SO_MOI'!$C$13)</f>
        <v>0.015</v>
      </c>
      <c r="J1342" s="75">
        <f>'THAM_SO_MOI'!$C$40*('THAM_SO_MOI'!$C$23*(E1342/'THAM_SO_MOI'!$C$22)+'THAM_SO_MOI'!$C$24*(E1342/'THAM_SO_MOI'!$C$22)^2-'THAM_SO_MOI'!$C$25*(E1342/'THAM_SO_MOI'!$C$22)^3)</f>
        <v>100.51214914977642</v>
      </c>
      <c r="K1342" s="75">
        <f>'THAM_SO_MOI'!$C$31*J1342/E1342</f>
        <v>429.91602209023233</v>
      </c>
      <c r="L1342" s="75">
        <f>K1342*'THAM_SO_MOI'!$C$50*'THAM_SO_MOI'!$C$17/'THAM_SO_MOI'!$C$26</f>
        <v>15348.588239026032</v>
      </c>
      <c r="M1342" s="75">
        <f>'THAM_SO_MOI'!$C$15*'THAM_SO_MOI'!$C$16*F1342^2</f>
        <v>90.66253166714179</v>
      </c>
      <c r="N1342" s="75">
        <f>'THAM_SO_MOI'!$C$12*I1342</f>
        <v>1130.112</v>
      </c>
      <c r="O1342" s="75">
        <f>M1342+N1342</f>
        <v>1220.774531667142</v>
      </c>
      <c r="P1342" s="75">
        <f>(MIN(L1342,'THAM_SO_MOI'!$C$41)-O1342)/('THAM_SO_MOI'!$C$11*H1342)</f>
        <v>0.9792229381934046</v>
      </c>
      <c r="Q1342" s="75">
        <f>IF(P1342&gt;0,1/P1342,NA())</f>
        <v>1.021217907583872</v>
      </c>
      <c r="R1342" s="75">
        <f>F1342-F1341</f>
        <v>0.0032106047296860396</v>
      </c>
      <c r="S1342" s="75">
        <f>0.5*(Q1341+Q1342)*R1342</f>
        <v>0.0032786809192427257</v>
      </c>
      <c r="T1342" s="75">
        <f>0.5*(F1341*Q1341+F1342*Q1342)*R1342</f>
        <v>0.01824840445759251</v>
      </c>
      <c r="U1342" s="76">
        <f>U1341+S1342</f>
        <v>5.8230896069008065</v>
      </c>
      <c r="V1342" s="76">
        <f>V1341+T1342</f>
        <v>20.18005147427387</v>
      </c>
    </row>
    <row r="1343" spans="1:22" ht="19" customHeight="1">
      <c r="A1343" s="68" t="s">
        <v>372</v>
      </c>
      <c r="B1343" s="74">
        <v>2</v>
      </c>
      <c r="C1343" s="68" t="s">
        <v>363</v>
      </c>
      <c r="D1343" s="68" t="s">
        <v>364</v>
      </c>
      <c r="E1343" s="75">
        <f>60*F1343*'THAM_SO_MOI'!$C$50/(2*PI()*'THAM_SO_MOI'!$C$26)</f>
        <v>2234.2852790790616</v>
      </c>
      <c r="F1343" s="75">
        <f>'HANH_TRINH'!$F$826+('THAM_SO_MOI'!$F$50-'HANH_TRINH'!$F$826)*516/'THAM_SO_MOI'!$C$42</f>
        <v>5.570592154623656</v>
      </c>
      <c r="G1343" s="75">
        <f>3.6*F1343</f>
        <v>20.054131756645162</v>
      </c>
      <c r="H1343" s="75">
        <f>'THAM_SO_MOI'!$D$50</f>
        <v>1.8785906709588276</v>
      </c>
      <c r="I1343" s="75">
        <f>IF(F1343&gt;'THAM_SO_MOI'!$C$14,'THAM_SO_MOI'!$C$13*(1+F1343^2/1500),'THAM_SO_MOI'!$C$13)</f>
        <v>0.015</v>
      </c>
      <c r="J1343" s="75">
        <f>'THAM_SO_MOI'!$C$40*('THAM_SO_MOI'!$C$23*(E1343/'THAM_SO_MOI'!$C$22)+'THAM_SO_MOI'!$C$24*(E1343/'THAM_SO_MOI'!$C$22)^2-'THAM_SO_MOI'!$C$25*(E1343/'THAM_SO_MOI'!$C$22)^3)</f>
        <v>100.5681553173428</v>
      </c>
      <c r="K1343" s="75">
        <f>'THAM_SO_MOI'!$C$31*J1343/E1343</f>
        <v>429.90765501360363</v>
      </c>
      <c r="L1343" s="75">
        <f>K1343*'THAM_SO_MOI'!$C$50*'THAM_SO_MOI'!$C$17/'THAM_SO_MOI'!$C$26</f>
        <v>15348.289522980713</v>
      </c>
      <c r="M1343" s="75">
        <f>'THAM_SO_MOI'!$C$15*'THAM_SO_MOI'!$C$16*F1343^2</f>
        <v>90.76712858797728</v>
      </c>
      <c r="N1343" s="75">
        <f>'THAM_SO_MOI'!$C$12*I1343</f>
        <v>1130.112</v>
      </c>
      <c r="O1343" s="75">
        <f>M1343+N1343</f>
        <v>1220.8791285879774</v>
      </c>
      <c r="P1343" s="75">
        <f>(MIN(L1343,'THAM_SO_MOI'!$C$41)-O1343)/('THAM_SO_MOI'!$C$11*H1343)</f>
        <v>0.9791949838817248</v>
      </c>
      <c r="Q1343" s="75">
        <f>IF(P1343&gt;0,1/P1343,NA())</f>
        <v>1.0212470615768476</v>
      </c>
      <c r="R1343" s="75">
        <f>F1343-F1342</f>
        <v>0.003210604729687816</v>
      </c>
      <c r="S1343" s="75">
        <f>0.5*(Q1342+Q1343)*R1343</f>
        <v>0.003278773845104543</v>
      </c>
      <c r="T1343" s="75">
        <f>0.5*(F1342*Q1342+F1343*Q1343)*R1343</f>
        <v>0.018259448510046985</v>
      </c>
      <c r="U1343" s="76">
        <f>U1342+S1343</f>
        <v>5.826368380745911</v>
      </c>
      <c r="V1343" s="76">
        <f>V1342+T1343</f>
        <v>20.198310922783918</v>
      </c>
    </row>
    <row r="1344" spans="1:22" ht="19" customHeight="1">
      <c r="A1344" s="68" t="s">
        <v>372</v>
      </c>
      <c r="B1344" s="74">
        <v>2</v>
      </c>
      <c r="C1344" s="68" t="s">
        <v>363</v>
      </c>
      <c r="D1344" s="68" t="s">
        <v>364</v>
      </c>
      <c r="E1344" s="75">
        <f>60*F1344*'THAM_SO_MOI'!$C$50/(2*PI()*'THAM_SO_MOI'!$C$26)</f>
        <v>2235.5730069696283</v>
      </c>
      <c r="F1344" s="75">
        <f>'HANH_TRINH'!$F$826+('THAM_SO_MOI'!$F$50-'HANH_TRINH'!$F$826)*517/'THAM_SO_MOI'!$C$42</f>
        <v>5.573802759353342</v>
      </c>
      <c r="G1344" s="75">
        <f>3.6*F1344</f>
        <v>20.06568993367203</v>
      </c>
      <c r="H1344" s="75">
        <f>'THAM_SO_MOI'!$D$50</f>
        <v>1.8785906709588276</v>
      </c>
      <c r="I1344" s="75">
        <f>IF(F1344&gt;'THAM_SO_MOI'!$C$14,'THAM_SO_MOI'!$C$13*(1+F1344^2/1500),'THAM_SO_MOI'!$C$13)</f>
        <v>0.015</v>
      </c>
      <c r="J1344" s="75">
        <f>'THAM_SO_MOI'!$C$40*('THAM_SO_MOI'!$C$23*(E1344/'THAM_SO_MOI'!$C$22)+'THAM_SO_MOI'!$C$24*(E1344/'THAM_SO_MOI'!$C$22)^2-'THAM_SO_MOI'!$C$25*(E1344/'THAM_SO_MOI'!$C$22)^3)</f>
        <v>100.62412157375597</v>
      </c>
      <c r="K1344" s="75">
        <f>'THAM_SO_MOI'!$C$31*J1344/E1344</f>
        <v>429.8991270626427</v>
      </c>
      <c r="L1344" s="75">
        <f>K1344*'THAM_SO_MOI'!$C$50*'THAM_SO_MOI'!$C$17/'THAM_SO_MOI'!$C$26</f>
        <v>15347.98506350236</v>
      </c>
      <c r="M1344" s="75">
        <f>'THAM_SO_MOI'!$C$15*'THAM_SO_MOI'!$C$16*F1344^2</f>
        <v>90.87178581051168</v>
      </c>
      <c r="N1344" s="75">
        <f>'THAM_SO_MOI'!$C$12*I1344</f>
        <v>1130.112</v>
      </c>
      <c r="O1344" s="75">
        <f>M1344+N1344</f>
        <v>1220.9837858105118</v>
      </c>
      <c r="P1344" s="75">
        <f>(MIN(L1344,'THAM_SO_MOI'!$C$41)-O1344)/('THAM_SO_MOI'!$C$11*H1344)</f>
        <v>0.9791666273032614</v>
      </c>
      <c r="Q1344" s="75">
        <f>IF(P1344&gt;0,1/P1344,NA())</f>
        <v>1.0212766368009458</v>
      </c>
      <c r="R1344" s="75">
        <f>F1344-F1343</f>
        <v>0.0032106047296860396</v>
      </c>
      <c r="S1344" s="75">
        <f>0.5*(Q1343+Q1344)*R1344</f>
        <v>0.003278868123253783</v>
      </c>
      <c r="T1344" s="75">
        <f>0.5*(F1343*Q1343+F1344*Q1344)*R1344</f>
        <v>0.018270500694410604</v>
      </c>
      <c r="U1344" s="76">
        <f>U1343+S1344</f>
        <v>5.829647248869165</v>
      </c>
      <c r="V1344" s="76">
        <f>V1343+T1344</f>
        <v>20.216581423478328</v>
      </c>
    </row>
    <row r="1345" spans="1:22" ht="19" customHeight="1">
      <c r="A1345" s="68" t="s">
        <v>372</v>
      </c>
      <c r="B1345" s="74">
        <v>2</v>
      </c>
      <c r="C1345" s="68" t="s">
        <v>363</v>
      </c>
      <c r="D1345" s="68" t="s">
        <v>364</v>
      </c>
      <c r="E1345" s="75">
        <f>60*F1345*'THAM_SO_MOI'!$C$50/(2*PI()*'THAM_SO_MOI'!$C$26)</f>
        <v>2236.860734860195</v>
      </c>
      <c r="F1345" s="75">
        <f>'HANH_TRINH'!$F$826+('THAM_SO_MOI'!$F$50-'HANH_TRINH'!$F$826)*518/'THAM_SO_MOI'!$C$42</f>
        <v>5.5770133640830295</v>
      </c>
      <c r="G1345" s="75">
        <f>3.6*F1345</f>
        <v>20.077248110698907</v>
      </c>
      <c r="H1345" s="75">
        <f>'THAM_SO_MOI'!$D$50</f>
        <v>1.8785906709588276</v>
      </c>
      <c r="I1345" s="75">
        <f>IF(F1345&gt;'THAM_SO_MOI'!$C$14,'THAM_SO_MOI'!$C$13*(1+F1345^2/1500),'THAM_SO_MOI'!$C$13)</f>
        <v>0.015</v>
      </c>
      <c r="J1345" s="75">
        <f>'THAM_SO_MOI'!$C$40*('THAM_SO_MOI'!$C$23*(E1345/'THAM_SO_MOI'!$C$22)+'THAM_SO_MOI'!$C$24*(E1345/'THAM_SO_MOI'!$C$22)^2-'THAM_SO_MOI'!$C$25*(E1345/'THAM_SO_MOI'!$C$22)^3)</f>
        <v>100.68004785394629</v>
      </c>
      <c r="K1345" s="75">
        <f>'THAM_SO_MOI'!$C$31*J1345/E1345</f>
        <v>429.89043823734977</v>
      </c>
      <c r="L1345" s="75">
        <f>K1345*'THAM_SO_MOI'!$C$50*'THAM_SO_MOI'!$C$17/'THAM_SO_MOI'!$C$26</f>
        <v>15347.674860590974</v>
      </c>
      <c r="M1345" s="75">
        <f>'THAM_SO_MOI'!$C$15*'THAM_SO_MOI'!$C$16*F1345^2</f>
        <v>90.97650333474509</v>
      </c>
      <c r="N1345" s="75">
        <f>'THAM_SO_MOI'!$C$12*I1345</f>
        <v>1130.112</v>
      </c>
      <c r="O1345" s="75">
        <f>M1345+N1345</f>
        <v>1221.0885033347452</v>
      </c>
      <c r="P1345" s="75">
        <f>(MIN(L1345,'THAM_SO_MOI'!$C$41)-O1345)/('THAM_SO_MOI'!$C$11*H1345)</f>
        <v>0.9791378684580149</v>
      </c>
      <c r="Q1345" s="75">
        <f>IF(P1345&gt;0,1/P1345,NA())</f>
        <v>1.021306633329216</v>
      </c>
      <c r="R1345" s="75">
        <f>F1345-F1344</f>
        <v>0.003210604729687816</v>
      </c>
      <c r="S1345" s="75">
        <f>0.5*(Q1344+Q1345)*R1345</f>
        <v>0.003278963753930552</v>
      </c>
      <c r="T1345" s="75">
        <f>0.5*(F1344*Q1344+F1345*Q1345)*R1345</f>
        <v>0.01828156102504705</v>
      </c>
      <c r="U1345" s="76">
        <f>U1344+S1345</f>
        <v>5.832926212623096</v>
      </c>
      <c r="V1345" s="76">
        <f>V1344+T1345</f>
        <v>20.234862984503376</v>
      </c>
    </row>
    <row r="1346" spans="1:22" ht="19" customHeight="1">
      <c r="A1346" s="68" t="s">
        <v>372</v>
      </c>
      <c r="B1346" s="74">
        <v>2</v>
      </c>
      <c r="C1346" s="68" t="s">
        <v>363</v>
      </c>
      <c r="D1346" s="68" t="s">
        <v>364</v>
      </c>
      <c r="E1346" s="75">
        <f>60*F1346*'THAM_SO_MOI'!$C$50/(2*PI()*'THAM_SO_MOI'!$C$26)</f>
        <v>2238.1484627507616</v>
      </c>
      <c r="F1346" s="75">
        <f>'HANH_TRINH'!$F$826+('THAM_SO_MOI'!$F$50-'HANH_TRINH'!$F$826)*519/'THAM_SO_MOI'!$C$42</f>
        <v>5.5802239688127155</v>
      </c>
      <c r="G1346" s="75">
        <f>3.6*F1346</f>
        <v>20.088806287725777</v>
      </c>
      <c r="H1346" s="75">
        <f>'THAM_SO_MOI'!$D$50</f>
        <v>1.8785906709588276</v>
      </c>
      <c r="I1346" s="75">
        <f>IF(F1346&gt;'THAM_SO_MOI'!$C$14,'THAM_SO_MOI'!$C$13*(1+F1346^2/1500),'THAM_SO_MOI'!$C$13)</f>
        <v>0.015</v>
      </c>
      <c r="J1346" s="75">
        <f>'THAM_SO_MOI'!$C$40*('THAM_SO_MOI'!$C$23*(E1346/'THAM_SO_MOI'!$C$22)+'THAM_SO_MOI'!$C$24*(E1346/'THAM_SO_MOI'!$C$22)^2-'THAM_SO_MOI'!$C$25*(E1346/'THAM_SO_MOI'!$C$22)^3)</f>
        <v>100.73593409284396</v>
      </c>
      <c r="K1346" s="75">
        <f>'THAM_SO_MOI'!$C$31*J1346/E1346</f>
        <v>429.88158853772444</v>
      </c>
      <c r="L1346" s="75">
        <f>K1346*'THAM_SO_MOI'!$C$50*'THAM_SO_MOI'!$C$17/'THAM_SO_MOI'!$C$26</f>
        <v>15347.358914246552</v>
      </c>
      <c r="M1346" s="75">
        <f>'THAM_SO_MOI'!$C$15*'THAM_SO_MOI'!$C$16*F1346^2</f>
        <v>91.08128116067742</v>
      </c>
      <c r="N1346" s="75">
        <f>'THAM_SO_MOI'!$C$12*I1346</f>
        <v>1130.112</v>
      </c>
      <c r="O1346" s="75">
        <f>M1346+N1346</f>
        <v>1221.1932811606775</v>
      </c>
      <c r="P1346" s="75">
        <f>(MIN(L1346,'THAM_SO_MOI'!$C$41)-O1346)/('THAM_SO_MOI'!$C$11*H1346)</f>
        <v>0.9791087073459845</v>
      </c>
      <c r="Q1346" s="75">
        <f>IF(P1346&gt;0,1/P1346,NA())</f>
        <v>1.0213370512357554</v>
      </c>
      <c r="R1346" s="75">
        <f>F1346-F1345</f>
        <v>0.0032106047296860396</v>
      </c>
      <c r="S1346" s="75">
        <f>0.5*(Q1345+Q1346)*R1346</f>
        <v>0.003279060737363808</v>
      </c>
      <c r="T1346" s="75">
        <f>0.5*(F1345*Q1345+F1346*Q1346)*R1346</f>
        <v>0.01829262951626088</v>
      </c>
      <c r="U1346" s="76">
        <f>U1345+S1346</f>
        <v>5.836205273360459</v>
      </c>
      <c r="V1346" s="76">
        <f>V1345+T1346</f>
        <v>20.253155614019636</v>
      </c>
    </row>
    <row r="1347" spans="1:22" ht="19" customHeight="1">
      <c r="A1347" s="68" t="s">
        <v>372</v>
      </c>
      <c r="B1347" s="74">
        <v>2</v>
      </c>
      <c r="C1347" s="68" t="s">
        <v>363</v>
      </c>
      <c r="D1347" s="68" t="s">
        <v>364</v>
      </c>
      <c r="E1347" s="75">
        <f>60*F1347*'THAM_SO_MOI'!$C$50/(2*PI()*'THAM_SO_MOI'!$C$26)</f>
        <v>2239.4361906413283</v>
      </c>
      <c r="F1347" s="75">
        <f>'HANH_TRINH'!$F$826+('THAM_SO_MOI'!$F$50-'HANH_TRINH'!$F$826)*520/'THAM_SO_MOI'!$C$42</f>
        <v>5.5834345735424025</v>
      </c>
      <c r="G1347" s="75">
        <f>3.6*F1347</f>
        <v>20.100364464752648</v>
      </c>
      <c r="H1347" s="75">
        <f>'THAM_SO_MOI'!$D$50</f>
        <v>1.8785906709588276</v>
      </c>
      <c r="I1347" s="75">
        <f>IF(F1347&gt;'THAM_SO_MOI'!$C$14,'THAM_SO_MOI'!$C$13*(1+F1347^2/1500),'THAM_SO_MOI'!$C$13)</f>
        <v>0.015</v>
      </c>
      <c r="J1347" s="75">
        <f>'THAM_SO_MOI'!$C$40*('THAM_SO_MOI'!$C$23*(E1347/'THAM_SO_MOI'!$C$22)+'THAM_SO_MOI'!$C$24*(E1347/'THAM_SO_MOI'!$C$22)^2-'THAM_SO_MOI'!$C$25*(E1347/'THAM_SO_MOI'!$C$22)^3)</f>
        <v>100.79178022537934</v>
      </c>
      <c r="K1347" s="75">
        <f>'THAM_SO_MOI'!$C$31*J1347/E1347</f>
        <v>429.8725779637668</v>
      </c>
      <c r="L1347" s="75">
        <f>K1347*'THAM_SO_MOI'!$C$50*'THAM_SO_MOI'!$C$17/'THAM_SO_MOI'!$C$26</f>
        <v>15347.037224469093</v>
      </c>
      <c r="M1347" s="75">
        <f>'THAM_SO_MOI'!$C$15*'THAM_SO_MOI'!$C$16*F1347^2</f>
        <v>91.18611928830875</v>
      </c>
      <c r="N1347" s="75">
        <f>'THAM_SO_MOI'!$C$12*I1347</f>
        <v>1130.112</v>
      </c>
      <c r="O1347" s="75">
        <f>M1347+N1347</f>
        <v>1221.2981192883087</v>
      </c>
      <c r="P1347" s="75">
        <f>(MIN(L1347,'THAM_SO_MOI'!$C$41)-O1347)/('THAM_SO_MOI'!$C$11*H1347)</f>
        <v>0.9790791439671707</v>
      </c>
      <c r="Q1347" s="75">
        <f>IF(P1347&gt;0,1/P1347,NA())</f>
        <v>1.0213678905957073</v>
      </c>
      <c r="R1347" s="75">
        <f>F1347-F1346</f>
        <v>0.0032106047296869278</v>
      </c>
      <c r="S1347" s="75">
        <f>0.5*(Q1346+Q1347)*R1347</f>
        <v>0.003279159073799477</v>
      </c>
      <c r="T1347" s="75">
        <f>0.5*(F1346*Q1346+F1347*Q1347)*R1347</f>
        <v>0.018303706182454315</v>
      </c>
      <c r="U1347" s="76">
        <f>U1346+S1347</f>
        <v>5.839484432434259</v>
      </c>
      <c r="V1347" s="76">
        <f>V1346+T1347</f>
        <v>20.27145932020209</v>
      </c>
    </row>
    <row r="1348" spans="1:22" ht="19" customHeight="1">
      <c r="A1348" s="68" t="s">
        <v>372</v>
      </c>
      <c r="B1348" s="74">
        <v>2</v>
      </c>
      <c r="C1348" s="68" t="s">
        <v>363</v>
      </c>
      <c r="D1348" s="68" t="s">
        <v>364</v>
      </c>
      <c r="E1348" s="75">
        <f>60*F1348*'THAM_SO_MOI'!$C$50/(2*PI()*'THAM_SO_MOI'!$C$26)</f>
        <v>2240.723918531895</v>
      </c>
      <c r="F1348" s="75">
        <f>'HANH_TRINH'!$F$826+('THAM_SO_MOI'!$F$50-'HANH_TRINH'!$F$826)*521/'THAM_SO_MOI'!$C$42</f>
        <v>5.586645178272089</v>
      </c>
      <c r="G1348" s="75">
        <f>3.6*F1348</f>
        <v>20.111922641779522</v>
      </c>
      <c r="H1348" s="75">
        <f>'THAM_SO_MOI'!$D$50</f>
        <v>1.8785906709588276</v>
      </c>
      <c r="I1348" s="75">
        <f>IF(F1348&gt;'THAM_SO_MOI'!$C$14,'THAM_SO_MOI'!$C$13*(1+F1348^2/1500),'THAM_SO_MOI'!$C$13)</f>
        <v>0.015</v>
      </c>
      <c r="J1348" s="75">
        <f>'THAM_SO_MOI'!$C$40*('THAM_SO_MOI'!$C$23*(E1348/'THAM_SO_MOI'!$C$22)+'THAM_SO_MOI'!$C$24*(E1348/'THAM_SO_MOI'!$C$22)^2-'THAM_SO_MOI'!$C$25*(E1348/'THAM_SO_MOI'!$C$22)^3)</f>
        <v>100.84758618648273</v>
      </c>
      <c r="K1348" s="75">
        <f>'THAM_SO_MOI'!$C$31*J1348/E1348</f>
        <v>429.863406515477</v>
      </c>
      <c r="L1348" s="75">
        <f>K1348*'THAM_SO_MOI'!$C$50*'THAM_SO_MOI'!$C$17/'THAM_SO_MOI'!$C$26</f>
        <v>15346.709791258598</v>
      </c>
      <c r="M1348" s="75">
        <f>'THAM_SO_MOI'!$C$15*'THAM_SO_MOI'!$C$16*F1348^2</f>
        <v>91.29101771763906</v>
      </c>
      <c r="N1348" s="75">
        <f>'THAM_SO_MOI'!$C$12*I1348</f>
        <v>1130.112</v>
      </c>
      <c r="O1348" s="75">
        <f>M1348+N1348</f>
        <v>1221.4030177176392</v>
      </c>
      <c r="P1348" s="75">
        <f>(MIN(L1348,'THAM_SO_MOI'!$C$41)-O1348)/('THAM_SO_MOI'!$C$11*H1348)</f>
        <v>0.979049178321573</v>
      </c>
      <c r="Q1348" s="75">
        <f>IF(P1348&gt;0,1/P1348,NA())</f>
        <v>1.0213991514852645</v>
      </c>
      <c r="R1348" s="75">
        <f>F1348-F1347</f>
        <v>0.0032106047296869278</v>
      </c>
      <c r="S1348" s="75">
        <f>0.5*(Q1347+Q1348)*R1348</f>
        <v>0.003279258763476872</v>
      </c>
      <c r="T1348" s="75">
        <f>0.5*(F1347*Q1347+F1348*Q1348)*R1348</f>
        <v>0.018314791037995798</v>
      </c>
      <c r="U1348" s="76">
        <f>U1347+S1348</f>
        <v>5.842763691197735</v>
      </c>
      <c r="V1348" s="76">
        <f>V1347+T1348</f>
        <v>20.289774111240085</v>
      </c>
    </row>
    <row r="1349" spans="1:22" ht="19" customHeight="1">
      <c r="A1349" s="68" t="s">
        <v>372</v>
      </c>
      <c r="B1349" s="74">
        <v>2</v>
      </c>
      <c r="C1349" s="68" t="s">
        <v>363</v>
      </c>
      <c r="D1349" s="68" t="s">
        <v>364</v>
      </c>
      <c r="E1349" s="75">
        <f>60*F1349*'THAM_SO_MOI'!$C$50/(2*PI()*'THAM_SO_MOI'!$C$26)</f>
        <v>2242.011646422461</v>
      </c>
      <c r="F1349" s="75">
        <f>'HANH_TRINH'!$F$826+('THAM_SO_MOI'!$F$50-'HANH_TRINH'!$F$826)*522/'THAM_SO_MOI'!$C$42</f>
        <v>5.589855783001775</v>
      </c>
      <c r="G1349" s="75">
        <f>3.6*F1349</f>
        <v>20.123480818806392</v>
      </c>
      <c r="H1349" s="75">
        <f>'THAM_SO_MOI'!$D$50</f>
        <v>1.8785906709588276</v>
      </c>
      <c r="I1349" s="75">
        <f>IF(F1349&gt;'THAM_SO_MOI'!$C$14,'THAM_SO_MOI'!$C$13*(1+F1349^2/1500),'THAM_SO_MOI'!$C$13)</f>
        <v>0.015</v>
      </c>
      <c r="J1349" s="75">
        <f>'THAM_SO_MOI'!$C$40*('THAM_SO_MOI'!$C$23*(E1349/'THAM_SO_MOI'!$C$22)+'THAM_SO_MOI'!$C$24*(E1349/'THAM_SO_MOI'!$C$22)^2-'THAM_SO_MOI'!$C$25*(E1349/'THAM_SO_MOI'!$C$22)^3)</f>
        <v>100.90335191108434</v>
      </c>
      <c r="K1349" s="75">
        <f>'THAM_SO_MOI'!$C$31*J1349/E1349</f>
        <v>429.8540741928547</v>
      </c>
      <c r="L1349" s="75">
        <f>K1349*'THAM_SO_MOI'!$C$50*'THAM_SO_MOI'!$C$17/'THAM_SO_MOI'!$C$26</f>
        <v>15346.376614615057</v>
      </c>
      <c r="M1349" s="75">
        <f>'THAM_SO_MOI'!$C$15*'THAM_SO_MOI'!$C$16*F1349^2</f>
        <v>91.3959764486683</v>
      </c>
      <c r="N1349" s="75">
        <f>'THAM_SO_MOI'!$C$12*I1349</f>
        <v>1130.112</v>
      </c>
      <c r="O1349" s="75">
        <f>M1349+N1349</f>
        <v>1221.5079764486684</v>
      </c>
      <c r="P1349" s="75">
        <f>(MIN(L1349,'THAM_SO_MOI'!$C$41)-O1349)/('THAM_SO_MOI'!$C$11*H1349)</f>
        <v>0.979018810409191</v>
      </c>
      <c r="Q1349" s="75">
        <f>IF(P1349&gt;0,1/P1349,NA())</f>
        <v>1.0214308339816676</v>
      </c>
      <c r="R1349" s="75">
        <f>F1349-F1348</f>
        <v>0.0032106047296860396</v>
      </c>
      <c r="S1349" s="75">
        <f>0.5*(Q1348+Q1349)*R1349</f>
        <v>0.003279359806642298</v>
      </c>
      <c r="T1349" s="75">
        <f>0.5*(F1348*Q1348+F1349*Q1349)*R1349</f>
        <v>0.018325884097295915</v>
      </c>
      <c r="U1349" s="76">
        <f>U1348+S1349</f>
        <v>5.8460430510043775</v>
      </c>
      <c r="V1349" s="76">
        <f>V1348+T1349</f>
        <v>20.308099995337383</v>
      </c>
    </row>
    <row r="1350" spans="1:22" ht="19" customHeight="1">
      <c r="A1350" s="68" t="s">
        <v>372</v>
      </c>
      <c r="B1350" s="74">
        <v>2</v>
      </c>
      <c r="C1350" s="68" t="s">
        <v>363</v>
      </c>
      <c r="D1350" s="68" t="s">
        <v>364</v>
      </c>
      <c r="E1350" s="75">
        <f>60*F1350*'THAM_SO_MOI'!$C$50/(2*PI()*'THAM_SO_MOI'!$C$26)</f>
        <v>2243.2993743130282</v>
      </c>
      <c r="F1350" s="75">
        <f>'HANH_TRINH'!$F$826+('THAM_SO_MOI'!$F$50-'HANH_TRINH'!$F$826)*523/'THAM_SO_MOI'!$C$42</f>
        <v>5.593066387731463</v>
      </c>
      <c r="G1350" s="75">
        <f>3.6*F1350</f>
        <v>20.13503899583327</v>
      </c>
      <c r="H1350" s="75">
        <f>'THAM_SO_MOI'!$D$50</f>
        <v>1.8785906709588276</v>
      </c>
      <c r="I1350" s="75">
        <f>IF(F1350&gt;'THAM_SO_MOI'!$C$14,'THAM_SO_MOI'!$C$13*(1+F1350^2/1500),'THAM_SO_MOI'!$C$13)</f>
        <v>0.015</v>
      </c>
      <c r="J1350" s="75">
        <f>'THAM_SO_MOI'!$C$40*('THAM_SO_MOI'!$C$23*(E1350/'THAM_SO_MOI'!$C$22)+'THAM_SO_MOI'!$C$24*(E1350/'THAM_SO_MOI'!$C$22)^2-'THAM_SO_MOI'!$C$25*(E1350/'THAM_SO_MOI'!$C$22)^3)</f>
        <v>100.95907733411468</v>
      </c>
      <c r="K1350" s="75">
        <f>'THAM_SO_MOI'!$C$31*J1350/E1350</f>
        <v>429.84458099590046</v>
      </c>
      <c r="L1350" s="75">
        <f>K1350*'THAM_SO_MOI'!$C$50*'THAM_SO_MOI'!$C$17/'THAM_SO_MOI'!$C$26</f>
        <v>15346.037694538498</v>
      </c>
      <c r="M1350" s="75">
        <f>'THAM_SO_MOI'!$C$15*'THAM_SO_MOI'!$C$16*F1350^2</f>
        <v>91.50099548139659</v>
      </c>
      <c r="N1350" s="75">
        <f>'THAM_SO_MOI'!$C$12*I1350</f>
        <v>1130.112</v>
      </c>
      <c r="O1350" s="75">
        <f>M1350+N1350</f>
        <v>1221.6129954813966</v>
      </c>
      <c r="P1350" s="75">
        <f>(MIN(L1350,'THAM_SO_MOI'!$C$41)-O1350)/('THAM_SO_MOI'!$C$11*H1350)</f>
        <v>0.9789880402300266</v>
      </c>
      <c r="Q1350" s="75">
        <f>IF(P1350&gt;0,1/P1350,NA())</f>
        <v>1.021462938163204</v>
      </c>
      <c r="R1350" s="75">
        <f>F1350-F1349</f>
        <v>0.003210604729687816</v>
      </c>
      <c r="S1350" s="75">
        <f>0.5*(Q1349+Q1350)*R1350</f>
        <v>0.0032794622035490547</v>
      </c>
      <c r="T1350" s="75">
        <f>0.5*(F1349*Q1349+F1350*Q1350)*R1350</f>
        <v>0.018336985374807536</v>
      </c>
      <c r="U1350" s="76">
        <f>U1349+S1350</f>
        <v>5.849322513207927</v>
      </c>
      <c r="V1350" s="76">
        <f>V1349+T1350</f>
        <v>20.32643698071219</v>
      </c>
    </row>
    <row r="1351" spans="1:22" ht="19" customHeight="1">
      <c r="A1351" s="68" t="s">
        <v>372</v>
      </c>
      <c r="B1351" s="74">
        <v>2</v>
      </c>
      <c r="C1351" s="68" t="s">
        <v>363</v>
      </c>
      <c r="D1351" s="68" t="s">
        <v>364</v>
      </c>
      <c r="E1351" s="75">
        <f>60*F1351*'THAM_SO_MOI'!$C$50/(2*PI()*'THAM_SO_MOI'!$C$26)</f>
        <v>2244.5871022035944</v>
      </c>
      <c r="F1351" s="75">
        <f>'HANH_TRINH'!$F$826+('THAM_SO_MOI'!$F$50-'HANH_TRINH'!$F$826)*524/'THAM_SO_MOI'!$C$42</f>
        <v>5.596276992461149</v>
      </c>
      <c r="G1351" s="75">
        <f>3.6*F1351</f>
        <v>20.146597172860137</v>
      </c>
      <c r="H1351" s="75">
        <f>'THAM_SO_MOI'!$D$50</f>
        <v>1.8785906709588276</v>
      </c>
      <c r="I1351" s="75">
        <f>IF(F1351&gt;'THAM_SO_MOI'!$C$14,'THAM_SO_MOI'!$C$13*(1+F1351^2/1500),'THAM_SO_MOI'!$C$13)</f>
        <v>0.015</v>
      </c>
      <c r="J1351" s="75">
        <f>'THAM_SO_MOI'!$C$40*('THAM_SO_MOI'!$C$23*(E1351/'THAM_SO_MOI'!$C$22)+'THAM_SO_MOI'!$C$24*(E1351/'THAM_SO_MOI'!$C$22)^2-'THAM_SO_MOI'!$C$25*(E1351/'THAM_SO_MOI'!$C$22)^3)</f>
        <v>101.01476239050383</v>
      </c>
      <c r="K1351" s="75">
        <f>'THAM_SO_MOI'!$C$31*J1351/E1351</f>
        <v>429.8349269246138</v>
      </c>
      <c r="L1351" s="75">
        <f>K1351*'THAM_SO_MOI'!$C$50*'THAM_SO_MOI'!$C$17/'THAM_SO_MOI'!$C$26</f>
        <v>15345.693031028892</v>
      </c>
      <c r="M1351" s="75">
        <f>'THAM_SO_MOI'!$C$15*'THAM_SO_MOI'!$C$16*F1351^2</f>
        <v>91.60607481582379</v>
      </c>
      <c r="N1351" s="75">
        <f>'THAM_SO_MOI'!$C$12*I1351</f>
        <v>1130.112</v>
      </c>
      <c r="O1351" s="75">
        <f>M1351+N1351</f>
        <v>1221.718074815824</v>
      </c>
      <c r="P1351" s="75">
        <f>(MIN(L1351,'THAM_SO_MOI'!$C$41)-O1351)/('THAM_SO_MOI'!$C$11*H1351)</f>
        <v>0.978956867784078</v>
      </c>
      <c r="Q1351" s="75">
        <f>IF(P1351&gt;0,1/P1351,NA())</f>
        <v>1.0214954641092149</v>
      </c>
      <c r="R1351" s="75">
        <f>F1351-F1350</f>
        <v>0.0032106047296860396</v>
      </c>
      <c r="S1351" s="75">
        <f>0.5*(Q1350+Q1351)*R1351</f>
        <v>0.0032795659544438316</v>
      </c>
      <c r="T1351" s="75">
        <f>0.5*(F1350*Q1350+F1351*Q1351)*R1351</f>
        <v>0.0183480948849498</v>
      </c>
      <c r="U1351" s="76">
        <f>U1350+S1351</f>
        <v>5.852602079162371</v>
      </c>
      <c r="V1351" s="76">
        <f>V1350+T1351</f>
        <v>20.34478507559714</v>
      </c>
    </row>
    <row r="1352" spans="1:22" ht="19" customHeight="1">
      <c r="A1352" s="68" t="s">
        <v>372</v>
      </c>
      <c r="B1352" s="74">
        <v>2</v>
      </c>
      <c r="C1352" s="68" t="s">
        <v>363</v>
      </c>
      <c r="D1352" s="68" t="s">
        <v>364</v>
      </c>
      <c r="E1352" s="75">
        <f>60*F1352*'THAM_SO_MOI'!$C$50/(2*PI()*'THAM_SO_MOI'!$C$26)</f>
        <v>2245.8748300941625</v>
      </c>
      <c r="F1352" s="75">
        <f>'HANH_TRINH'!$F$826+('THAM_SO_MOI'!$F$50-'HANH_TRINH'!$F$826)*525/'THAM_SO_MOI'!$C$42</f>
        <v>5.599487597190837</v>
      </c>
      <c r="G1352" s="75">
        <f>3.6*F1352</f>
        <v>20.158155349887014</v>
      </c>
      <c r="H1352" s="75">
        <f>'THAM_SO_MOI'!$D$50</f>
        <v>1.8785906709588276</v>
      </c>
      <c r="I1352" s="75">
        <f>IF(F1352&gt;'THAM_SO_MOI'!$C$14,'THAM_SO_MOI'!$C$13*(1+F1352^2/1500),'THAM_SO_MOI'!$C$13)</f>
        <v>0.015</v>
      </c>
      <c r="J1352" s="75">
        <f>'THAM_SO_MOI'!$C$40*('THAM_SO_MOI'!$C$23*(E1352/'THAM_SO_MOI'!$C$22)+'THAM_SO_MOI'!$C$24*(E1352/'THAM_SO_MOI'!$C$22)^2-'THAM_SO_MOI'!$C$25*(E1352/'THAM_SO_MOI'!$C$22)^3)</f>
        <v>101.07040701518231</v>
      </c>
      <c r="K1352" s="75">
        <f>'THAM_SO_MOI'!$C$31*J1352/E1352</f>
        <v>429.82511197899504</v>
      </c>
      <c r="L1352" s="75">
        <f>K1352*'THAM_SO_MOI'!$C$50*'THAM_SO_MOI'!$C$17/'THAM_SO_MOI'!$C$26</f>
        <v>15345.342624086257</v>
      </c>
      <c r="M1352" s="75">
        <f>'THAM_SO_MOI'!$C$15*'THAM_SO_MOI'!$C$16*F1352^2</f>
        <v>91.71121445195</v>
      </c>
      <c r="N1352" s="75">
        <f>'THAM_SO_MOI'!$C$12*I1352</f>
        <v>1130.112</v>
      </c>
      <c r="O1352" s="75">
        <f>M1352+N1352</f>
        <v>1221.82321445195</v>
      </c>
      <c r="P1352" s="75">
        <f>(MIN(L1352,'THAM_SO_MOI'!$C$41)-O1352)/('THAM_SO_MOI'!$C$11*H1352)</f>
        <v>0.9789252930713462</v>
      </c>
      <c r="Q1352" s="75">
        <f>IF(P1352&gt;0,1/P1352,NA())</f>
        <v>1.0215284119000874</v>
      </c>
      <c r="R1352" s="75">
        <f>F1352-F1351</f>
        <v>0.003210604729687816</v>
      </c>
      <c r="S1352" s="75">
        <f>0.5*(Q1351+Q1352)*R1352</f>
        <v>0.0032796710595902998</v>
      </c>
      <c r="T1352" s="75">
        <f>0.5*(F1351*Q1351+F1352*Q1352)*R1352</f>
        <v>0.01835921264224006</v>
      </c>
      <c r="U1352" s="76">
        <f>U1351+S1352</f>
        <v>5.855881750221961</v>
      </c>
      <c r="V1352" s="76">
        <f>V1351+T1352</f>
        <v>20.363144288239383</v>
      </c>
    </row>
    <row r="1353" spans="1:22" ht="19" customHeight="1">
      <c r="A1353" s="68" t="s">
        <v>372</v>
      </c>
      <c r="B1353" s="74">
        <v>2</v>
      </c>
      <c r="C1353" s="68" t="s">
        <v>363</v>
      </c>
      <c r="D1353" s="68" t="s">
        <v>364</v>
      </c>
      <c r="E1353" s="75">
        <f>60*F1353*'THAM_SO_MOI'!$C$50/(2*PI()*'THAM_SO_MOI'!$C$26)</f>
        <v>2247.1625579847287</v>
      </c>
      <c r="F1353" s="75">
        <f>'HANH_TRINH'!$F$826+('THAM_SO_MOI'!$F$50-'HANH_TRINH'!$F$826)*526/'THAM_SO_MOI'!$C$42</f>
        <v>5.602698201920523</v>
      </c>
      <c r="G1353" s="75">
        <f>3.6*F1353</f>
        <v>20.169713526913885</v>
      </c>
      <c r="H1353" s="75">
        <f>'THAM_SO_MOI'!$D$50</f>
        <v>1.8785906709588276</v>
      </c>
      <c r="I1353" s="75">
        <f>IF(F1353&gt;'THAM_SO_MOI'!$C$14,'THAM_SO_MOI'!$C$13*(1+F1353^2/1500),'THAM_SO_MOI'!$C$13)</f>
        <v>0.015</v>
      </c>
      <c r="J1353" s="75">
        <f>'THAM_SO_MOI'!$C$40*('THAM_SO_MOI'!$C$23*(E1353/'THAM_SO_MOI'!$C$22)+'THAM_SO_MOI'!$C$24*(E1353/'THAM_SO_MOI'!$C$22)^2-'THAM_SO_MOI'!$C$25*(E1353/'THAM_SO_MOI'!$C$22)^3)</f>
        <v>101.1260111430802</v>
      </c>
      <c r="K1353" s="75">
        <f>'THAM_SO_MOI'!$C$31*J1353/E1353</f>
        <v>429.81513615904396</v>
      </c>
      <c r="L1353" s="75">
        <f>K1353*'THAM_SO_MOI'!$C$50*'THAM_SO_MOI'!$C$17/'THAM_SO_MOI'!$C$26</f>
        <v>15344.986473710582</v>
      </c>
      <c r="M1353" s="75">
        <f>'THAM_SO_MOI'!$C$15*'THAM_SO_MOI'!$C$16*F1353^2</f>
        <v>91.81641438977513</v>
      </c>
      <c r="N1353" s="75">
        <f>'THAM_SO_MOI'!$C$12*I1353</f>
        <v>1130.112</v>
      </c>
      <c r="O1353" s="75">
        <f>M1353+N1353</f>
        <v>1221.9284143897753</v>
      </c>
      <c r="P1353" s="75">
        <f>(MIN(L1353,'THAM_SO_MOI'!$C$41)-O1353)/('THAM_SO_MOI'!$C$11*H1353)</f>
        <v>0.9788933160918305</v>
      </c>
      <c r="Q1353" s="75">
        <f>IF(P1353&gt;0,1/P1353,NA())</f>
        <v>1.021561781617262</v>
      </c>
      <c r="R1353" s="75">
        <f>F1353-F1352</f>
        <v>0.0032106047296860396</v>
      </c>
      <c r="S1353" s="75">
        <f>0.5*(Q1352+Q1353)*R1353</f>
        <v>0.0032797775192409833</v>
      </c>
      <c r="T1353" s="75">
        <f>0.5*(F1352*Q1352+F1353*Q1353)*R1353</f>
        <v>0.018370338661136635</v>
      </c>
      <c r="U1353" s="76">
        <f>U1352+S1353</f>
        <v>5.859161527741202</v>
      </c>
      <c r="V1353" s="76">
        <f>V1352+T1353</f>
        <v>20.38151462690052</v>
      </c>
    </row>
    <row r="1354" spans="1:22" ht="19" customHeight="1">
      <c r="A1354" s="68" t="s">
        <v>372</v>
      </c>
      <c r="B1354" s="74">
        <v>2</v>
      </c>
      <c r="C1354" s="68" t="s">
        <v>363</v>
      </c>
      <c r="D1354" s="68" t="s">
        <v>364</v>
      </c>
      <c r="E1354" s="75">
        <f>60*F1354*'THAM_SO_MOI'!$C$50/(2*PI()*'THAM_SO_MOI'!$C$26)</f>
        <v>2248.4502858752953</v>
      </c>
      <c r="F1354" s="75">
        <f>'HANH_TRINH'!$F$826+('THAM_SO_MOI'!$F$50-'HANH_TRINH'!$F$826)*527/'THAM_SO_MOI'!$C$42</f>
        <v>5.60590880665021</v>
      </c>
      <c r="G1354" s="75">
        <f>3.6*F1354</f>
        <v>20.181271703940755</v>
      </c>
      <c r="H1354" s="75">
        <f>'THAM_SO_MOI'!$D$50</f>
        <v>1.8785906709588276</v>
      </c>
      <c r="I1354" s="75">
        <f>IF(F1354&gt;'THAM_SO_MOI'!$C$14,'THAM_SO_MOI'!$C$13*(1+F1354^2/1500),'THAM_SO_MOI'!$C$13)</f>
        <v>0.015</v>
      </c>
      <c r="J1354" s="75">
        <f>'THAM_SO_MOI'!$C$40*('THAM_SO_MOI'!$C$23*(E1354/'THAM_SO_MOI'!$C$22)+'THAM_SO_MOI'!$C$24*(E1354/'THAM_SO_MOI'!$C$22)^2-'THAM_SO_MOI'!$C$25*(E1354/'THAM_SO_MOI'!$C$22)^3)</f>
        <v>101.18157470912793</v>
      </c>
      <c r="K1354" s="75">
        <f>'THAM_SO_MOI'!$C$31*J1354/E1354</f>
        <v>429.8049994647607</v>
      </c>
      <c r="L1354" s="75">
        <f>K1354*'THAM_SO_MOI'!$C$50*'THAM_SO_MOI'!$C$17/'THAM_SO_MOI'!$C$26</f>
        <v>15344.624579901876</v>
      </c>
      <c r="M1354" s="75">
        <f>'THAM_SO_MOI'!$C$15*'THAM_SO_MOI'!$C$16*F1354^2</f>
        <v>91.92167462929926</v>
      </c>
      <c r="N1354" s="75">
        <f>'THAM_SO_MOI'!$C$12*I1354</f>
        <v>1130.112</v>
      </c>
      <c r="O1354" s="75">
        <f>M1354+N1354</f>
        <v>1222.0336746292994</v>
      </c>
      <c r="P1354" s="75">
        <f>(MIN(L1354,'THAM_SO_MOI'!$C$41)-O1354)/('THAM_SO_MOI'!$C$11*H1354)</f>
        <v>0.9788609368455314</v>
      </c>
      <c r="Q1354" s="75">
        <f>IF(P1354&gt;0,1/P1354,NA())</f>
        <v>1.021595573343228</v>
      </c>
      <c r="R1354" s="75">
        <f>F1354-F1353</f>
        <v>0.0032106047296869278</v>
      </c>
      <c r="S1354" s="75">
        <f>0.5*(Q1353+Q1354)*R1354</f>
        <v>0.0032798853336653915</v>
      </c>
      <c r="T1354" s="75">
        <f>0.5*(F1353*Q1353+F1354*Q1354)*R1354</f>
        <v>0.018381472956196264</v>
      </c>
      <c r="U1354" s="76">
        <f>U1353+S1354</f>
        <v>5.862441413074867</v>
      </c>
      <c r="V1354" s="76">
        <f>V1353+T1354</f>
        <v>20.399896099856715</v>
      </c>
    </row>
    <row r="1355" spans="1:22" ht="19" customHeight="1">
      <c r="A1355" s="68" t="s">
        <v>372</v>
      </c>
      <c r="B1355" s="74">
        <v>2</v>
      </c>
      <c r="C1355" s="68" t="s">
        <v>363</v>
      </c>
      <c r="D1355" s="68" t="s">
        <v>364</v>
      </c>
      <c r="E1355" s="75">
        <f>60*F1355*'THAM_SO_MOI'!$C$50/(2*PI()*'THAM_SO_MOI'!$C$26)</f>
        <v>2249.738013765862</v>
      </c>
      <c r="F1355" s="75">
        <f>'HANH_TRINH'!$F$826+('THAM_SO_MOI'!$F$50-'HANH_TRINH'!$F$826)*528/'THAM_SO_MOI'!$C$42</f>
        <v>5.609119411379897</v>
      </c>
      <c r="G1355" s="75">
        <f>3.6*F1355</f>
        <v>20.19282988096763</v>
      </c>
      <c r="H1355" s="75">
        <f>'THAM_SO_MOI'!$D$50</f>
        <v>1.8785906709588276</v>
      </c>
      <c r="I1355" s="75">
        <f>IF(F1355&gt;'THAM_SO_MOI'!$C$14,'THAM_SO_MOI'!$C$13*(1+F1355^2/1500),'THAM_SO_MOI'!$C$13)</f>
        <v>0.015</v>
      </c>
      <c r="J1355" s="75">
        <f>'THAM_SO_MOI'!$C$40*('THAM_SO_MOI'!$C$23*(E1355/'THAM_SO_MOI'!$C$22)+'THAM_SO_MOI'!$C$24*(E1355/'THAM_SO_MOI'!$C$22)^2-'THAM_SO_MOI'!$C$25*(E1355/'THAM_SO_MOI'!$C$22)^3)</f>
        <v>101.23709764825571</v>
      </c>
      <c r="K1355" s="75">
        <f>'THAM_SO_MOI'!$C$31*J1355/E1355</f>
        <v>429.7947018961449</v>
      </c>
      <c r="L1355" s="75">
        <f>K1355*'THAM_SO_MOI'!$C$50*'THAM_SO_MOI'!$C$17/'THAM_SO_MOI'!$C$26</f>
        <v>15344.256942660119</v>
      </c>
      <c r="M1355" s="75">
        <f>'THAM_SO_MOI'!$C$15*'THAM_SO_MOI'!$C$16*F1355^2</f>
        <v>92.02699517052238</v>
      </c>
      <c r="N1355" s="75">
        <f>'THAM_SO_MOI'!$C$12*I1355</f>
        <v>1130.112</v>
      </c>
      <c r="O1355" s="75">
        <f>M1355+N1355</f>
        <v>1222.1389951705225</v>
      </c>
      <c r="P1355" s="75">
        <f>(MIN(L1355,'THAM_SO_MOI'!$C$41)-O1355)/('THAM_SO_MOI'!$C$11*H1355)</f>
        <v>0.9788281553324476</v>
      </c>
      <c r="Q1355" s="75">
        <f>IF(P1355&gt;0,1/P1355,NA())</f>
        <v>1.0216297871615285</v>
      </c>
      <c r="R1355" s="75">
        <f>F1355-F1354</f>
        <v>0.0032106047296869278</v>
      </c>
      <c r="S1355" s="75">
        <f>0.5*(Q1354+Q1355)*R1355</f>
        <v>0.0032799945031264243</v>
      </c>
      <c r="T1355" s="75">
        <f>0.5*(F1354*Q1354+F1355*Q1355)*R1355</f>
        <v>0.01839261554194211</v>
      </c>
      <c r="U1355" s="76">
        <f>U1354+S1355</f>
        <v>5.865721407577993</v>
      </c>
      <c r="V1355" s="76">
        <f>V1354+T1355</f>
        <v>20.418288715398656</v>
      </c>
    </row>
    <row r="1356" spans="1:22" ht="19" customHeight="1">
      <c r="A1356" s="68" t="s">
        <v>372</v>
      </c>
      <c r="B1356" s="74">
        <v>2</v>
      </c>
      <c r="C1356" s="68" t="s">
        <v>363</v>
      </c>
      <c r="D1356" s="68" t="s">
        <v>364</v>
      </c>
      <c r="E1356" s="75">
        <f>60*F1356*'THAM_SO_MOI'!$C$50/(2*PI()*'THAM_SO_MOI'!$C$26)</f>
        <v>2251.025741656428</v>
      </c>
      <c r="F1356" s="75">
        <f>'HANH_TRINH'!$F$826+('THAM_SO_MOI'!$F$50-'HANH_TRINH'!$F$826)*529/'THAM_SO_MOI'!$C$42</f>
        <v>5.612330016109583</v>
      </c>
      <c r="G1356" s="75">
        <f>3.6*F1356</f>
        <v>20.2043880579945</v>
      </c>
      <c r="H1356" s="75">
        <f>'THAM_SO_MOI'!$D$50</f>
        <v>1.8785906709588276</v>
      </c>
      <c r="I1356" s="75">
        <f>IF(F1356&gt;'THAM_SO_MOI'!$C$14,'THAM_SO_MOI'!$C$13*(1+F1356^2/1500),'THAM_SO_MOI'!$C$13)</f>
        <v>0.015</v>
      </c>
      <c r="J1356" s="75">
        <f>'THAM_SO_MOI'!$C$40*('THAM_SO_MOI'!$C$23*(E1356/'THAM_SO_MOI'!$C$22)+'THAM_SO_MOI'!$C$24*(E1356/'THAM_SO_MOI'!$C$22)^2-'THAM_SO_MOI'!$C$25*(E1356/'THAM_SO_MOI'!$C$22)^3)</f>
        <v>101.29257989539396</v>
      </c>
      <c r="K1356" s="75">
        <f>'THAM_SO_MOI'!$C$31*J1356/E1356</f>
        <v>429.78424345319723</v>
      </c>
      <c r="L1356" s="75">
        <f>K1356*'THAM_SO_MOI'!$C$50*'THAM_SO_MOI'!$C$17/'THAM_SO_MOI'!$C$26</f>
        <v>15343.883561985343</v>
      </c>
      <c r="M1356" s="75">
        <f>'THAM_SO_MOI'!$C$15*'THAM_SO_MOI'!$C$16*F1356^2</f>
        <v>92.13237601344444</v>
      </c>
      <c r="N1356" s="75">
        <f>'THAM_SO_MOI'!$C$12*I1356</f>
        <v>1130.112</v>
      </c>
      <c r="O1356" s="75">
        <f>M1356+N1356</f>
        <v>1222.2443760134445</v>
      </c>
      <c r="P1356" s="75">
        <f>(MIN(L1356,'THAM_SO_MOI'!$C$41)-O1356)/('THAM_SO_MOI'!$C$11*H1356)</f>
        <v>0.9787949715525819</v>
      </c>
      <c r="Q1356" s="75">
        <f>IF(P1356&gt;0,1/P1356,NA())</f>
        <v>1.021664423156754</v>
      </c>
      <c r="R1356" s="75">
        <f>F1356-F1355</f>
        <v>0.0032106047296860396</v>
      </c>
      <c r="S1356" s="75">
        <f>0.5*(Q1355+Q1356)*R1356</f>
        <v>0.0032801050278939894</v>
      </c>
      <c r="T1356" s="75">
        <f>0.5*(F1355*Q1355+F1356*Q1356)*R1356</f>
        <v>0.01840376643294</v>
      </c>
      <c r="U1356" s="76">
        <f>U1355+S1356</f>
        <v>5.869001512605887</v>
      </c>
      <c r="V1356" s="76">
        <f>V1355+T1356</f>
        <v>20.436692481831596</v>
      </c>
    </row>
    <row r="1357" spans="1:22" ht="19" customHeight="1">
      <c r="A1357" s="68" t="s">
        <v>372</v>
      </c>
      <c r="B1357" s="74">
        <v>2</v>
      </c>
      <c r="C1357" s="68" t="s">
        <v>363</v>
      </c>
      <c r="D1357" s="68" t="s">
        <v>364</v>
      </c>
      <c r="E1357" s="75">
        <f>60*F1357*'THAM_SO_MOI'!$C$50/(2*PI()*'THAM_SO_MOI'!$C$26)</f>
        <v>2252.3134695469953</v>
      </c>
      <c r="F1357" s="75">
        <f>'HANH_TRINH'!$F$826+('THAM_SO_MOI'!$F$50-'HANH_TRINH'!$F$826)*530/'THAM_SO_MOI'!$C$42</f>
        <v>5.615540620839271</v>
      </c>
      <c r="G1357" s="75">
        <f>3.6*F1357</f>
        <v>20.215946235021377</v>
      </c>
      <c r="H1357" s="75">
        <f>'THAM_SO_MOI'!$D$50</f>
        <v>1.8785906709588276</v>
      </c>
      <c r="I1357" s="75">
        <f>IF(F1357&gt;'THAM_SO_MOI'!$C$14,'THAM_SO_MOI'!$C$13*(1+F1357^2/1500),'THAM_SO_MOI'!$C$13)</f>
        <v>0.015</v>
      </c>
      <c r="J1357" s="75">
        <f>'THAM_SO_MOI'!$C$40*('THAM_SO_MOI'!$C$23*(E1357/'THAM_SO_MOI'!$C$22)+'THAM_SO_MOI'!$C$24*(E1357/'THAM_SO_MOI'!$C$22)^2-'THAM_SO_MOI'!$C$25*(E1357/'THAM_SO_MOI'!$C$22)^3)</f>
        <v>101.34802138547292</v>
      </c>
      <c r="K1357" s="75">
        <f>'THAM_SO_MOI'!$C$31*J1357/E1357</f>
        <v>429.7736241359171</v>
      </c>
      <c r="L1357" s="75">
        <f>K1357*'THAM_SO_MOI'!$C$50*'THAM_SO_MOI'!$C$17/'THAM_SO_MOI'!$C$26</f>
        <v>15343.504437877526</v>
      </c>
      <c r="M1357" s="75">
        <f>'THAM_SO_MOI'!$C$15*'THAM_SO_MOI'!$C$16*F1357^2</f>
        <v>92.23781715806552</v>
      </c>
      <c r="N1357" s="75">
        <f>'THAM_SO_MOI'!$C$12*I1357</f>
        <v>1130.112</v>
      </c>
      <c r="O1357" s="75">
        <f>M1357+N1357</f>
        <v>1222.3498171580657</v>
      </c>
      <c r="P1357" s="75">
        <f>(MIN(L1357,'THAM_SO_MOI'!$C$41)-O1357)/('THAM_SO_MOI'!$C$11*H1357)</f>
        <v>0.9787613855059315</v>
      </c>
      <c r="Q1357" s="75">
        <f>IF(P1357&gt;0,1/P1357,NA())</f>
        <v>1.0216994814145535</v>
      </c>
      <c r="R1357" s="75">
        <f>F1357-F1356</f>
        <v>0.003210604729687816</v>
      </c>
      <c r="S1357" s="75">
        <f>0.5*(Q1356+Q1357)*R1357</f>
        <v>0.003280216908245001</v>
      </c>
      <c r="T1357" s="75">
        <f>0.5*(F1356*Q1356+F1357*Q1357)*R1357</f>
        <v>0.018414925643798583</v>
      </c>
      <c r="U1357" s="76">
        <f>U1356+S1357</f>
        <v>5.872281729514133</v>
      </c>
      <c r="V1357" s="76">
        <f>V1356+T1357</f>
        <v>20.455107407475396</v>
      </c>
    </row>
    <row r="1358" spans="1:22" ht="19" customHeight="1">
      <c r="A1358" s="68" t="s">
        <v>372</v>
      </c>
      <c r="B1358" s="74">
        <v>2</v>
      </c>
      <c r="C1358" s="68" t="s">
        <v>363</v>
      </c>
      <c r="D1358" s="68" t="s">
        <v>364</v>
      </c>
      <c r="E1358" s="75">
        <f>60*F1358*'THAM_SO_MOI'!$C$50/(2*PI()*'THAM_SO_MOI'!$C$26)</f>
        <v>2253.601197437562</v>
      </c>
      <c r="F1358" s="75">
        <f>'HANH_TRINH'!$F$826+('THAM_SO_MOI'!$F$50-'HANH_TRINH'!$F$826)*531/'THAM_SO_MOI'!$C$42</f>
        <v>5.618751225568957</v>
      </c>
      <c r="G1358" s="75">
        <f>3.6*F1358</f>
        <v>20.227504412048244</v>
      </c>
      <c r="H1358" s="75">
        <f>'THAM_SO_MOI'!$D$50</f>
        <v>1.8785906709588276</v>
      </c>
      <c r="I1358" s="75">
        <f>IF(F1358&gt;'THAM_SO_MOI'!$C$14,'THAM_SO_MOI'!$C$13*(1+F1358^2/1500),'THAM_SO_MOI'!$C$13)</f>
        <v>0.015</v>
      </c>
      <c r="J1358" s="75">
        <f>'THAM_SO_MOI'!$C$40*('THAM_SO_MOI'!$C$23*(E1358/'THAM_SO_MOI'!$C$22)+'THAM_SO_MOI'!$C$24*(E1358/'THAM_SO_MOI'!$C$22)^2-'THAM_SO_MOI'!$C$25*(E1358/'THAM_SO_MOI'!$C$22)^3)</f>
        <v>101.40342205342286</v>
      </c>
      <c r="K1358" s="75">
        <f>'THAM_SO_MOI'!$C$31*J1358/E1358</f>
        <v>429.7628439443046</v>
      </c>
      <c r="L1358" s="75">
        <f>K1358*'THAM_SO_MOI'!$C$50*'THAM_SO_MOI'!$C$17/'THAM_SO_MOI'!$C$26</f>
        <v>15343.119570336665</v>
      </c>
      <c r="M1358" s="75">
        <f>'THAM_SO_MOI'!$C$15*'THAM_SO_MOI'!$C$16*F1358^2</f>
        <v>92.34331860438553</v>
      </c>
      <c r="N1358" s="75">
        <f>'THAM_SO_MOI'!$C$12*I1358</f>
        <v>1130.112</v>
      </c>
      <c r="O1358" s="75">
        <f>M1358+N1358</f>
        <v>1222.4553186043856</v>
      </c>
      <c r="P1358" s="75">
        <f>(MIN(L1358,'THAM_SO_MOI'!$C$41)-O1358)/('THAM_SO_MOI'!$C$11*H1358)</f>
        <v>0.9787273971924975</v>
      </c>
      <c r="Q1358" s="75">
        <f>IF(P1358&gt;0,1/P1358,NA())</f>
        <v>1.0217349620216247</v>
      </c>
      <c r="R1358" s="75">
        <f>F1358-F1357</f>
        <v>0.0032106047296860396</v>
      </c>
      <c r="S1358" s="75">
        <f>0.5*(Q1357+Q1358)*R1358</f>
        <v>0.0032803301444497765</v>
      </c>
      <c r="T1358" s="75">
        <f>0.5*(F1357*Q1357+F1358*Q1358)*R1358</f>
        <v>0.018426093189093</v>
      </c>
      <c r="U1358" s="76">
        <f>U1357+S1358</f>
        <v>5.8755620596585825</v>
      </c>
      <c r="V1358" s="76">
        <f>V1357+T1358</f>
        <v>20.473533500664487</v>
      </c>
    </row>
    <row r="1359" spans="1:22" ht="19" customHeight="1">
      <c r="A1359" s="68" t="s">
        <v>372</v>
      </c>
      <c r="B1359" s="74">
        <v>2</v>
      </c>
      <c r="C1359" s="68" t="s">
        <v>363</v>
      </c>
      <c r="D1359" s="68" t="s">
        <v>364</v>
      </c>
      <c r="E1359" s="75">
        <f>60*F1359*'THAM_SO_MOI'!$C$50/(2*PI()*'THAM_SO_MOI'!$C$26)</f>
        <v>2254.8889253281286</v>
      </c>
      <c r="F1359" s="75">
        <f>'HANH_TRINH'!$F$826+('THAM_SO_MOI'!$F$50-'HANH_TRINH'!$F$826)*532/'THAM_SO_MOI'!$C$42</f>
        <v>5.621961830298645</v>
      </c>
      <c r="G1359" s="75">
        <f>3.6*F1359</f>
        <v>20.23906258907512</v>
      </c>
      <c r="H1359" s="75">
        <f>'THAM_SO_MOI'!$D$50</f>
        <v>1.8785906709588276</v>
      </c>
      <c r="I1359" s="75">
        <f>IF(F1359&gt;'THAM_SO_MOI'!$C$14,'THAM_SO_MOI'!$C$13*(1+F1359^2/1500),'THAM_SO_MOI'!$C$13)</f>
        <v>0.015</v>
      </c>
      <c r="J1359" s="75">
        <f>'THAM_SO_MOI'!$C$40*('THAM_SO_MOI'!$C$23*(E1359/'THAM_SO_MOI'!$C$22)+'THAM_SO_MOI'!$C$24*(E1359/'THAM_SO_MOI'!$C$22)^2-'THAM_SO_MOI'!$C$25*(E1359/'THAM_SO_MOI'!$C$22)^3)</f>
        <v>101.45878183417415</v>
      </c>
      <c r="K1359" s="75">
        <f>'THAM_SO_MOI'!$C$31*J1359/E1359</f>
        <v>429.7519028783601</v>
      </c>
      <c r="L1359" s="75">
        <f>K1359*'THAM_SO_MOI'!$C$50*'THAM_SO_MOI'!$C$17/'THAM_SO_MOI'!$C$26</f>
        <v>15342.72895936278</v>
      </c>
      <c r="M1359" s="75">
        <f>'THAM_SO_MOI'!$C$15*'THAM_SO_MOI'!$C$16*F1359^2</f>
        <v>92.44888035240454</v>
      </c>
      <c r="N1359" s="75">
        <f>'THAM_SO_MOI'!$C$12*I1359</f>
        <v>1130.112</v>
      </c>
      <c r="O1359" s="75">
        <f>M1359+N1359</f>
        <v>1222.5608803524046</v>
      </c>
      <c r="P1359" s="75">
        <f>(MIN(L1359,'THAM_SO_MOI'!$C$41)-O1359)/('THAM_SO_MOI'!$C$11*H1359)</f>
        <v>0.9786930066122803</v>
      </c>
      <c r="Q1359" s="75">
        <f>IF(P1359&gt;0,1/P1359,NA())</f>
        <v>1.02177086506572</v>
      </c>
      <c r="R1359" s="75">
        <f>F1359-F1358</f>
        <v>0.003210604729687816</v>
      </c>
      <c r="S1359" s="75">
        <f>0.5*(Q1358+Q1359)*R1359</f>
        <v>0.003280444736795621</v>
      </c>
      <c r="T1359" s="75">
        <f>0.5*(F1358*Q1358+F1359*Q1359)*R1359</f>
        <v>0.018437269083497337</v>
      </c>
      <c r="U1359" s="76">
        <f>U1358+S1359</f>
        <v>5.8788425043953785</v>
      </c>
      <c r="V1359" s="76">
        <f>V1358+T1359</f>
        <v>20.491970769747986</v>
      </c>
    </row>
    <row r="1360" spans="1:22" ht="19" customHeight="1">
      <c r="A1360" s="68" t="s">
        <v>372</v>
      </c>
      <c r="B1360" s="74">
        <v>2</v>
      </c>
      <c r="C1360" s="68" t="s">
        <v>363</v>
      </c>
      <c r="D1360" s="68" t="s">
        <v>364</v>
      </c>
      <c r="E1360" s="75">
        <f>60*F1360*'THAM_SO_MOI'!$C$50/(2*PI()*'THAM_SO_MOI'!$C$26)</f>
        <v>2256.1766532186953</v>
      </c>
      <c r="F1360" s="75">
        <f>'HANH_TRINH'!$F$826+('THAM_SO_MOI'!$F$50-'HANH_TRINH'!$F$826)*533/'THAM_SO_MOI'!$C$42</f>
        <v>5.625172435028331</v>
      </c>
      <c r="G1360" s="75">
        <f>3.6*F1360</f>
        <v>20.250620766101992</v>
      </c>
      <c r="H1360" s="75">
        <f>'THAM_SO_MOI'!$D$50</f>
        <v>1.8785906709588276</v>
      </c>
      <c r="I1360" s="75">
        <f>IF(F1360&gt;'THAM_SO_MOI'!$C$14,'THAM_SO_MOI'!$C$13*(1+F1360^2/1500),'THAM_SO_MOI'!$C$13)</f>
        <v>0.015</v>
      </c>
      <c r="J1360" s="75">
        <f>'THAM_SO_MOI'!$C$40*('THAM_SO_MOI'!$C$23*(E1360/'THAM_SO_MOI'!$C$22)+'THAM_SO_MOI'!$C$24*(E1360/'THAM_SO_MOI'!$C$22)^2-'THAM_SO_MOI'!$C$25*(E1360/'THAM_SO_MOI'!$C$22)^3)</f>
        <v>101.51410066265703</v>
      </c>
      <c r="K1360" s="75">
        <f>'THAM_SO_MOI'!$C$31*J1360/E1360</f>
        <v>429.7408009380832</v>
      </c>
      <c r="L1360" s="75">
        <f>K1360*'THAM_SO_MOI'!$C$50*'THAM_SO_MOI'!$C$17/'THAM_SO_MOI'!$C$26</f>
        <v>15342.332604955853</v>
      </c>
      <c r="M1360" s="75">
        <f>'THAM_SO_MOI'!$C$15*'THAM_SO_MOI'!$C$16*F1360^2</f>
        <v>92.5545024021225</v>
      </c>
      <c r="N1360" s="75">
        <f>'THAM_SO_MOI'!$C$12*I1360</f>
        <v>1130.112</v>
      </c>
      <c r="O1360" s="75">
        <f>M1360+N1360</f>
        <v>1222.6665024021227</v>
      </c>
      <c r="P1360" s="75">
        <f>(MIN(L1360,'THAM_SO_MOI'!$C$41)-O1360)/('THAM_SO_MOI'!$C$11*H1360)</f>
        <v>0.9786582137652792</v>
      </c>
      <c r="Q1360" s="75">
        <f>IF(P1360&gt;0,1/P1360,NA())</f>
        <v>1.0218071906356465</v>
      </c>
      <c r="R1360" s="75">
        <f>F1360-F1359</f>
        <v>0.0032106047296860396</v>
      </c>
      <c r="S1360" s="75">
        <f>0.5*(Q1359+Q1360)*R1360</f>
        <v>0.0032805606855587036</v>
      </c>
      <c r="T1360" s="75">
        <f>0.5*(F1359*Q1359+F1360*Q1360)*R1360</f>
        <v>0.018448453341626765</v>
      </c>
      <c r="U1360" s="76">
        <f>U1359+S1360</f>
        <v>5.882123065080937</v>
      </c>
      <c r="V1360" s="76">
        <f>V1359+T1360</f>
        <v>20.510419223089613</v>
      </c>
    </row>
    <row r="1361" spans="1:22" ht="19" customHeight="1">
      <c r="A1361" s="68" t="s">
        <v>372</v>
      </c>
      <c r="B1361" s="74">
        <v>2</v>
      </c>
      <c r="C1361" s="68" t="s">
        <v>363</v>
      </c>
      <c r="D1361" s="68" t="s">
        <v>364</v>
      </c>
      <c r="E1361" s="75">
        <f>60*F1361*'THAM_SO_MOI'!$C$50/(2*PI()*'THAM_SO_MOI'!$C$26)</f>
        <v>2257.464381109262</v>
      </c>
      <c r="F1361" s="75">
        <f>'HANH_TRINH'!$F$826+('THAM_SO_MOI'!$F$50-'HANH_TRINH'!$F$826)*534/'THAM_SO_MOI'!$C$42</f>
        <v>5.628383039758018</v>
      </c>
      <c r="G1361" s="75">
        <f>3.6*F1361</f>
        <v>20.262178943128863</v>
      </c>
      <c r="H1361" s="75">
        <f>'THAM_SO_MOI'!$D$50</f>
        <v>1.8785906709588276</v>
      </c>
      <c r="I1361" s="75">
        <f>IF(F1361&gt;'THAM_SO_MOI'!$C$14,'THAM_SO_MOI'!$C$13*(1+F1361^2/1500),'THAM_SO_MOI'!$C$13)</f>
        <v>0.015</v>
      </c>
      <c r="J1361" s="75">
        <f>'THAM_SO_MOI'!$C$40*('THAM_SO_MOI'!$C$23*(E1361/'THAM_SO_MOI'!$C$22)+'THAM_SO_MOI'!$C$24*(E1361/'THAM_SO_MOI'!$C$22)^2-'THAM_SO_MOI'!$C$25*(E1361/'THAM_SO_MOI'!$C$22)^3)</f>
        <v>101.56937847380183</v>
      </c>
      <c r="K1361" s="75">
        <f>'THAM_SO_MOI'!$C$31*J1361/E1361</f>
        <v>429.7295381234741</v>
      </c>
      <c r="L1361" s="75">
        <f>K1361*'THAM_SO_MOI'!$C$50*'THAM_SO_MOI'!$C$17/'THAM_SO_MOI'!$C$26</f>
        <v>15341.930507115887</v>
      </c>
      <c r="M1361" s="75">
        <f>'THAM_SO_MOI'!$C$15*'THAM_SO_MOI'!$C$16*F1361^2</f>
        <v>92.66018475353944</v>
      </c>
      <c r="N1361" s="75">
        <f>'THAM_SO_MOI'!$C$12*I1361</f>
        <v>1130.112</v>
      </c>
      <c r="O1361" s="75">
        <f>M1361+N1361</f>
        <v>1222.7721847535395</v>
      </c>
      <c r="P1361" s="75">
        <f>(MIN(L1361,'THAM_SO_MOI'!$C$41)-O1361)/('THAM_SO_MOI'!$C$11*H1361)</f>
        <v>0.9786230186514943</v>
      </c>
      <c r="Q1361" s="75">
        <f>IF(P1361&gt;0,1/P1361,NA())</f>
        <v>1.021843938821266</v>
      </c>
      <c r="R1361" s="75">
        <f>F1361-F1360</f>
        <v>0.0032106047296869278</v>
      </c>
      <c r="S1361" s="75">
        <f>0.5*(Q1360+Q1361)*R1361</f>
        <v>0.0032806779910321974</v>
      </c>
      <c r="T1361" s="75">
        <f>0.5*(F1360*Q1360+F1361*Q1361)*R1361</f>
        <v>0.01845964597819565</v>
      </c>
      <c r="U1361" s="76">
        <f>U1360+S1361</f>
        <v>5.8854037430719695</v>
      </c>
      <c r="V1361" s="76">
        <f>V1360+T1361</f>
        <v>20.52887886906781</v>
      </c>
    </row>
    <row r="1362" spans="1:22" ht="19" customHeight="1">
      <c r="A1362" s="68" t="s">
        <v>372</v>
      </c>
      <c r="B1362" s="74">
        <v>2</v>
      </c>
      <c r="C1362" s="68" t="s">
        <v>363</v>
      </c>
      <c r="D1362" s="68" t="s">
        <v>364</v>
      </c>
      <c r="E1362" s="75">
        <f>60*F1362*'THAM_SO_MOI'!$C$50/(2*PI()*'THAM_SO_MOI'!$C$26)</f>
        <v>2258.7521089998286</v>
      </c>
      <c r="F1362" s="75">
        <f>'HANH_TRINH'!$F$826+('THAM_SO_MOI'!$F$50-'HANH_TRINH'!$F$826)*535/'THAM_SO_MOI'!$C$42</f>
        <v>5.631593644487705</v>
      </c>
      <c r="G1362" s="75">
        <f>3.6*F1362</f>
        <v>20.273737120155737</v>
      </c>
      <c r="H1362" s="75">
        <f>'THAM_SO_MOI'!$D$50</f>
        <v>1.8785906709588276</v>
      </c>
      <c r="I1362" s="75">
        <f>IF(F1362&gt;'THAM_SO_MOI'!$C$14,'THAM_SO_MOI'!$C$13*(1+F1362^2/1500),'THAM_SO_MOI'!$C$13)</f>
        <v>0.015</v>
      </c>
      <c r="J1362" s="75">
        <f>'THAM_SO_MOI'!$C$40*('THAM_SO_MOI'!$C$23*(E1362/'THAM_SO_MOI'!$C$22)+'THAM_SO_MOI'!$C$24*(E1362/'THAM_SO_MOI'!$C$22)^2-'THAM_SO_MOI'!$C$25*(E1362/'THAM_SO_MOI'!$C$22)^3)</f>
        <v>101.62461520253888</v>
      </c>
      <c r="K1362" s="75">
        <f>'THAM_SO_MOI'!$C$31*J1362/E1362</f>
        <v>429.71811443453277</v>
      </c>
      <c r="L1362" s="75">
        <f>K1362*'THAM_SO_MOI'!$C$50*'THAM_SO_MOI'!$C$17/'THAM_SO_MOI'!$C$26</f>
        <v>15341.522665842891</v>
      </c>
      <c r="M1362" s="75">
        <f>'THAM_SO_MOI'!$C$15*'THAM_SO_MOI'!$C$16*F1362^2</f>
        <v>92.76592740665535</v>
      </c>
      <c r="N1362" s="75">
        <f>'THAM_SO_MOI'!$C$12*I1362</f>
        <v>1130.112</v>
      </c>
      <c r="O1362" s="75">
        <f>M1362+N1362</f>
        <v>1222.8779274066555</v>
      </c>
      <c r="P1362" s="75">
        <f>(MIN(L1362,'THAM_SO_MOI'!$C$41)-O1362)/('THAM_SO_MOI'!$C$11*H1362)</f>
        <v>0.9785874212709263</v>
      </c>
      <c r="Q1362" s="75">
        <f>IF(P1362&gt;0,1/P1362,NA())</f>
        <v>1.0218811097134932</v>
      </c>
      <c r="R1362" s="75">
        <f>F1362-F1361</f>
        <v>0.0032106047296869278</v>
      </c>
      <c r="S1362" s="75">
        <f>0.5*(Q1361+Q1362)*R1362</f>
        <v>0.003280796653502672</v>
      </c>
      <c r="T1362" s="75">
        <f>0.5*(F1361*Q1361+F1362*Q1362)*R1362</f>
        <v>0.018470847007884966</v>
      </c>
      <c r="U1362" s="76">
        <f>U1361+S1362</f>
        <v>5.888684539725472</v>
      </c>
      <c r="V1362" s="76">
        <f>V1361+T1362</f>
        <v>20.547349716075697</v>
      </c>
    </row>
    <row r="1363" spans="1:22" ht="19" customHeight="1">
      <c r="A1363" s="68" t="s">
        <v>372</v>
      </c>
      <c r="B1363" s="74">
        <v>2</v>
      </c>
      <c r="C1363" s="68" t="s">
        <v>363</v>
      </c>
      <c r="D1363" s="68" t="s">
        <v>364</v>
      </c>
      <c r="E1363" s="75">
        <f>60*F1363*'THAM_SO_MOI'!$C$50/(2*PI()*'THAM_SO_MOI'!$C$26)</f>
        <v>2260.0398368903952</v>
      </c>
      <c r="F1363" s="75">
        <f>'HANH_TRINH'!$F$826+('THAM_SO_MOI'!$F$50-'HANH_TRINH'!$F$826)*536/'THAM_SO_MOI'!$C$42</f>
        <v>5.6348042492173915</v>
      </c>
      <c r="G1363" s="75">
        <f>3.6*F1363</f>
        <v>20.28529529718261</v>
      </c>
      <c r="H1363" s="75">
        <f>'THAM_SO_MOI'!$D$50</f>
        <v>1.8785906709588276</v>
      </c>
      <c r="I1363" s="75">
        <f>IF(F1363&gt;'THAM_SO_MOI'!$C$14,'THAM_SO_MOI'!$C$13*(1+F1363^2/1500),'THAM_SO_MOI'!$C$13)</f>
        <v>0.015</v>
      </c>
      <c r="J1363" s="75">
        <f>'THAM_SO_MOI'!$C$40*('THAM_SO_MOI'!$C$23*(E1363/'THAM_SO_MOI'!$C$22)+'THAM_SO_MOI'!$C$24*(E1363/'THAM_SO_MOI'!$C$22)^2-'THAM_SO_MOI'!$C$25*(E1363/'THAM_SO_MOI'!$C$22)^3)</f>
        <v>101.67981078379844</v>
      </c>
      <c r="K1363" s="75">
        <f>'THAM_SO_MOI'!$C$31*J1363/E1363</f>
        <v>429.70652987125925</v>
      </c>
      <c r="L1363" s="75">
        <f>K1363*'THAM_SO_MOI'!$C$50*'THAM_SO_MOI'!$C$17/'THAM_SO_MOI'!$C$26</f>
        <v>15341.109081136858</v>
      </c>
      <c r="M1363" s="75">
        <f>'THAM_SO_MOI'!$C$15*'THAM_SO_MOI'!$C$16*F1363^2</f>
        <v>92.87173036147024</v>
      </c>
      <c r="N1363" s="75">
        <f>'THAM_SO_MOI'!$C$12*I1363</f>
        <v>1130.112</v>
      </c>
      <c r="O1363" s="75">
        <f>M1363+N1363</f>
        <v>1222.9837303614704</v>
      </c>
      <c r="P1363" s="75">
        <f>(MIN(L1363,'THAM_SO_MOI'!$C$41)-O1363)/('THAM_SO_MOI'!$C$11*H1363)</f>
        <v>0.9785514216235743</v>
      </c>
      <c r="Q1363" s="75">
        <f>IF(P1363&gt;0,1/P1363,NA())</f>
        <v>1.0219187034043025</v>
      </c>
      <c r="R1363" s="75">
        <f>F1363-F1362</f>
        <v>0.0032106047296869278</v>
      </c>
      <c r="S1363" s="75">
        <f>0.5*(Q1362+Q1363)*R1363</f>
        <v>0.003280916673264627</v>
      </c>
      <c r="T1363" s="75">
        <f>0.5*(F1362*Q1362+F1363*Q1363)*R1363</f>
        <v>0.018482056445424038</v>
      </c>
      <c r="U1363" s="76">
        <f>U1362+S1363</f>
        <v>5.8919654563987365</v>
      </c>
      <c r="V1363" s="76">
        <f>V1362+T1363</f>
        <v>20.565831772521122</v>
      </c>
    </row>
    <row r="1364" spans="1:22" ht="19" customHeight="1">
      <c r="A1364" s="68" t="s">
        <v>372</v>
      </c>
      <c r="B1364" s="74">
        <v>2</v>
      </c>
      <c r="C1364" s="68" t="s">
        <v>363</v>
      </c>
      <c r="D1364" s="68" t="s">
        <v>364</v>
      </c>
      <c r="E1364" s="75">
        <f>60*F1364*'THAM_SO_MOI'!$C$50/(2*PI()*'THAM_SO_MOI'!$C$26)</f>
        <v>2261.327564780962</v>
      </c>
      <c r="F1364" s="75">
        <f>'HANH_TRINH'!$F$826+('THAM_SO_MOI'!$F$50-'HANH_TRINH'!$F$826)*537/'THAM_SO_MOI'!$C$42</f>
        <v>5.6380148539470785</v>
      </c>
      <c r="G1364" s="75">
        <f>3.6*F1364</f>
        <v>20.296853474209485</v>
      </c>
      <c r="H1364" s="75">
        <f>'THAM_SO_MOI'!$D$50</f>
        <v>1.8785906709588276</v>
      </c>
      <c r="I1364" s="75">
        <f>IF(F1364&gt;'THAM_SO_MOI'!$C$14,'THAM_SO_MOI'!$C$13*(1+F1364^2/1500),'THAM_SO_MOI'!$C$13)</f>
        <v>0.015</v>
      </c>
      <c r="J1364" s="75">
        <f>'THAM_SO_MOI'!$C$40*('THAM_SO_MOI'!$C$23*(E1364/'THAM_SO_MOI'!$C$22)+'THAM_SO_MOI'!$C$24*(E1364/'THAM_SO_MOI'!$C$22)^2-'THAM_SO_MOI'!$C$25*(E1364/'THAM_SO_MOI'!$C$22)^3)</f>
        <v>101.73496515251082</v>
      </c>
      <c r="K1364" s="75">
        <f>'THAM_SO_MOI'!$C$31*J1364/E1364</f>
        <v>429.69478443365347</v>
      </c>
      <c r="L1364" s="75">
        <f>K1364*'THAM_SO_MOI'!$C$50*'THAM_SO_MOI'!$C$17/'THAM_SO_MOI'!$C$26</f>
        <v>15340.689752997792</v>
      </c>
      <c r="M1364" s="75">
        <f>'THAM_SO_MOI'!$C$15*'THAM_SO_MOI'!$C$16*F1364^2</f>
        <v>92.9775936179841</v>
      </c>
      <c r="N1364" s="75">
        <f>'THAM_SO_MOI'!$C$12*I1364</f>
        <v>1130.112</v>
      </c>
      <c r="O1364" s="75">
        <f>M1364+N1364</f>
        <v>1223.089593617984</v>
      </c>
      <c r="P1364" s="75">
        <f>(MIN(L1364,'THAM_SO_MOI'!$C$41)-O1364)/('THAM_SO_MOI'!$C$11*H1364)</f>
        <v>0.9785150197094391</v>
      </c>
      <c r="Q1364" s="75">
        <f>IF(P1364&gt;0,1/P1364,NA())</f>
        <v>1.021956719986721</v>
      </c>
      <c r="R1364" s="75">
        <f>F1364-F1363</f>
        <v>0.0032106047296869278</v>
      </c>
      <c r="S1364" s="75">
        <f>0.5*(Q1363+Q1364)*R1364</f>
        <v>0.003281038050615046</v>
      </c>
      <c r="T1364" s="75">
        <f>0.5*(F1363*Q1363+F1364*Q1364)*R1364</f>
        <v>0.01849327430555997</v>
      </c>
      <c r="U1364" s="76">
        <f>U1363+S1364</f>
        <v>5.895246494449352</v>
      </c>
      <c r="V1364" s="76">
        <f>V1363+T1364</f>
        <v>20.58432504682668</v>
      </c>
    </row>
    <row r="1365" spans="1:22" ht="19" customHeight="1">
      <c r="A1365" s="68" t="s">
        <v>372</v>
      </c>
      <c r="B1365" s="74">
        <v>2</v>
      </c>
      <c r="C1365" s="68" t="s">
        <v>363</v>
      </c>
      <c r="D1365" s="68" t="s">
        <v>364</v>
      </c>
      <c r="E1365" s="75">
        <f>60*F1365*'THAM_SO_MOI'!$C$50/(2*PI()*'THAM_SO_MOI'!$C$26)</f>
        <v>2262.6152926715286</v>
      </c>
      <c r="F1365" s="75">
        <f>'HANH_TRINH'!$F$826+('THAM_SO_MOI'!$F$50-'HANH_TRINH'!$F$826)*538/'THAM_SO_MOI'!$C$42</f>
        <v>5.6412254586767645</v>
      </c>
      <c r="G1365" s="75">
        <f>3.6*F1365</f>
        <v>20.30841165123635</v>
      </c>
      <c r="H1365" s="75">
        <f>'THAM_SO_MOI'!$D$50</f>
        <v>1.8785906709588276</v>
      </c>
      <c r="I1365" s="75">
        <f>IF(F1365&gt;'THAM_SO_MOI'!$C$14,'THAM_SO_MOI'!$C$13*(1+F1365^2/1500),'THAM_SO_MOI'!$C$13)</f>
        <v>0.015</v>
      </c>
      <c r="J1365" s="75">
        <f>'THAM_SO_MOI'!$C$40*('THAM_SO_MOI'!$C$23*(E1365/'THAM_SO_MOI'!$C$22)+'THAM_SO_MOI'!$C$24*(E1365/'THAM_SO_MOI'!$C$22)^2-'THAM_SO_MOI'!$C$25*(E1365/'THAM_SO_MOI'!$C$22)^3)</f>
        <v>101.79007824360635</v>
      </c>
      <c r="K1365" s="75">
        <f>'THAM_SO_MOI'!$C$31*J1365/E1365</f>
        <v>429.6828781217155</v>
      </c>
      <c r="L1365" s="75">
        <f>K1365*'THAM_SO_MOI'!$C$50*'THAM_SO_MOI'!$C$17/'THAM_SO_MOI'!$C$26</f>
        <v>15340.26468142569</v>
      </c>
      <c r="M1365" s="75">
        <f>'THAM_SO_MOI'!$C$15*'THAM_SO_MOI'!$C$16*F1365^2</f>
        <v>93.0835171761969</v>
      </c>
      <c r="N1365" s="75">
        <f>'THAM_SO_MOI'!$C$12*I1365</f>
        <v>1130.112</v>
      </c>
      <c r="O1365" s="75">
        <f>M1365+N1365</f>
        <v>1223.195517176197</v>
      </c>
      <c r="P1365" s="75">
        <f>(MIN(L1365,'THAM_SO_MOI'!$C$41)-O1365)/('THAM_SO_MOI'!$C$11*H1365)</f>
        <v>0.9784782155285204</v>
      </c>
      <c r="Q1365" s="75">
        <f>IF(P1365&gt;0,1/P1365,NA())</f>
        <v>1.0219951595548344</v>
      </c>
      <c r="R1365" s="75">
        <f>F1365-F1364</f>
        <v>0.0032106047296860396</v>
      </c>
      <c r="S1365" s="75">
        <f>0.5*(Q1364+Q1365)*R1365</f>
        <v>0.003281160785853394</v>
      </c>
      <c r="T1365" s="75">
        <f>0.5*(F1364*Q1364+F1365*Q1365)*R1365</f>
        <v>0.018504500603057666</v>
      </c>
      <c r="U1365" s="76">
        <f>U1364+S1365</f>
        <v>5.898527655235205</v>
      </c>
      <c r="V1365" s="76">
        <f>V1364+T1365</f>
        <v>20.60282954742974</v>
      </c>
    </row>
    <row r="1366" spans="1:22" ht="19" customHeight="1">
      <c r="A1366" s="68" t="s">
        <v>372</v>
      </c>
      <c r="B1366" s="74">
        <v>2</v>
      </c>
      <c r="C1366" s="68" t="s">
        <v>363</v>
      </c>
      <c r="D1366" s="68" t="s">
        <v>364</v>
      </c>
      <c r="E1366" s="75">
        <f>60*F1366*'THAM_SO_MOI'!$C$50/(2*PI()*'THAM_SO_MOI'!$C$26)</f>
        <v>2263.903020562095</v>
      </c>
      <c r="F1366" s="75">
        <f>'HANH_TRINH'!$F$826+('THAM_SO_MOI'!$F$50-'HANH_TRINH'!$F$826)*539/'THAM_SO_MOI'!$C$42</f>
        <v>5.644436063406452</v>
      </c>
      <c r="G1366" s="75">
        <f>3.6*F1366</f>
        <v>20.31996982826323</v>
      </c>
      <c r="H1366" s="75">
        <f>'THAM_SO_MOI'!$D$50</f>
        <v>1.8785906709588276</v>
      </c>
      <c r="I1366" s="75">
        <f>IF(F1366&gt;'THAM_SO_MOI'!$C$14,'THAM_SO_MOI'!$C$13*(1+F1366^2/1500),'THAM_SO_MOI'!$C$13)</f>
        <v>0.015</v>
      </c>
      <c r="J1366" s="75">
        <f>'THAM_SO_MOI'!$C$40*('THAM_SO_MOI'!$C$23*(E1366/'THAM_SO_MOI'!$C$22)+'THAM_SO_MOI'!$C$24*(E1366/'THAM_SO_MOI'!$C$22)^2-'THAM_SO_MOI'!$C$25*(E1366/'THAM_SO_MOI'!$C$22)^3)</f>
        <v>101.84514999201525</v>
      </c>
      <c r="K1366" s="75">
        <f>'THAM_SO_MOI'!$C$31*J1366/E1366</f>
        <v>429.67081093544505</v>
      </c>
      <c r="L1366" s="75">
        <f>K1366*'THAM_SO_MOI'!$C$50*'THAM_SO_MOI'!$C$17/'THAM_SO_MOI'!$C$26</f>
        <v>15339.833866420548</v>
      </c>
      <c r="M1366" s="75">
        <f>'THAM_SO_MOI'!$C$15*'THAM_SO_MOI'!$C$16*F1366^2</f>
        <v>93.18950103610875</v>
      </c>
      <c r="N1366" s="75">
        <f>'THAM_SO_MOI'!$C$12*I1366</f>
        <v>1130.112</v>
      </c>
      <c r="O1366" s="75">
        <f>M1366+N1366</f>
        <v>1223.301501036109</v>
      </c>
      <c r="P1366" s="75">
        <f>(MIN(L1366,'THAM_SO_MOI'!$C$41)-O1366)/('THAM_SO_MOI'!$C$11*H1366)</f>
        <v>0.9784410090808177</v>
      </c>
      <c r="Q1366" s="75">
        <f>IF(P1366&gt;0,1/P1366,NA())</f>
        <v>1.022034022203787</v>
      </c>
      <c r="R1366" s="75">
        <f>F1366-F1365</f>
        <v>0.003210604729687816</v>
      </c>
      <c r="S1366" s="75">
        <f>0.5*(Q1365+Q1366)*R1366</f>
        <v>0.0032812848792870735</v>
      </c>
      <c r="T1366" s="75">
        <f>0.5*(F1365*Q1365+F1366*Q1366)*R1366</f>
        <v>0.018515735352730673</v>
      </c>
      <c r="U1366" s="76">
        <f>U1365+S1366</f>
        <v>5.901808940114492</v>
      </c>
      <c r="V1366" s="76">
        <f>V1365+T1366</f>
        <v>20.62134528278247</v>
      </c>
    </row>
    <row r="1367" spans="1:22" ht="19" customHeight="1">
      <c r="A1367" s="68" t="s">
        <v>372</v>
      </c>
      <c r="B1367" s="74">
        <v>2</v>
      </c>
      <c r="C1367" s="68" t="s">
        <v>363</v>
      </c>
      <c r="D1367" s="68" t="s">
        <v>364</v>
      </c>
      <c r="E1367" s="75">
        <f>60*F1367*'THAM_SO_MOI'!$C$50/(2*PI()*'THAM_SO_MOI'!$C$26)</f>
        <v>2265.190748452662</v>
      </c>
      <c r="F1367" s="75">
        <f>'HANH_TRINH'!$F$826+('THAM_SO_MOI'!$F$50-'HANH_TRINH'!$F$826)*540/'THAM_SO_MOI'!$C$42</f>
        <v>5.647646668136138</v>
      </c>
      <c r="G1367" s="75">
        <f>3.6*F1367</f>
        <v>20.3315280052901</v>
      </c>
      <c r="H1367" s="75">
        <f>'THAM_SO_MOI'!$D$50</f>
        <v>1.8785906709588276</v>
      </c>
      <c r="I1367" s="75">
        <f>IF(F1367&gt;'THAM_SO_MOI'!$C$14,'THAM_SO_MOI'!$C$13*(1+F1367^2/1500),'THAM_SO_MOI'!$C$13)</f>
        <v>0.015</v>
      </c>
      <c r="J1367" s="75">
        <f>'THAM_SO_MOI'!$C$40*('THAM_SO_MOI'!$C$23*(E1367/'THAM_SO_MOI'!$C$22)+'THAM_SO_MOI'!$C$24*(E1367/'THAM_SO_MOI'!$C$22)^2-'THAM_SO_MOI'!$C$25*(E1367/'THAM_SO_MOI'!$C$22)^3)</f>
        <v>101.90018033266787</v>
      </c>
      <c r="K1367" s="75">
        <f>'THAM_SO_MOI'!$C$31*J1367/E1367</f>
        <v>429.65858287484235</v>
      </c>
      <c r="L1367" s="75">
        <f>K1367*'THAM_SO_MOI'!$C$50*'THAM_SO_MOI'!$C$17/'THAM_SO_MOI'!$C$26</f>
        <v>15339.397307982368</v>
      </c>
      <c r="M1367" s="75">
        <f>'THAM_SO_MOI'!$C$15*'THAM_SO_MOI'!$C$16*F1367^2</f>
        <v>93.29554519771948</v>
      </c>
      <c r="N1367" s="75">
        <f>'THAM_SO_MOI'!$C$12*I1367</f>
        <v>1130.112</v>
      </c>
      <c r="O1367" s="75">
        <f>M1367+N1367</f>
        <v>1223.4075451977196</v>
      </c>
      <c r="P1367" s="75">
        <f>(MIN(L1367,'THAM_SO_MOI'!$C$41)-O1367)/('THAM_SO_MOI'!$C$11*H1367)</f>
        <v>0.9784034003663311</v>
      </c>
      <c r="Q1367" s="75">
        <f>IF(P1367&gt;0,1/P1367,NA())</f>
        <v>1.0220733080297786</v>
      </c>
      <c r="R1367" s="75">
        <f>F1367-F1366</f>
        <v>0.0032106047296860396</v>
      </c>
      <c r="S1367" s="75">
        <f>0.5*(Q1366+Q1367)*R1367</f>
        <v>0.003281410331216894</v>
      </c>
      <c r="T1367" s="75">
        <f>0.5*(F1366*Q1366+F1367*Q1367)*R1367</f>
        <v>0.018526978569359275</v>
      </c>
      <c r="U1367" s="76">
        <f>U1366+S1367</f>
        <v>5.905090350445709</v>
      </c>
      <c r="V1367" s="76">
        <f>V1366+T1367</f>
        <v>20.63987226135183</v>
      </c>
    </row>
    <row r="1368" spans="1:22" ht="19" customHeight="1">
      <c r="A1368" s="68" t="s">
        <v>372</v>
      </c>
      <c r="B1368" s="74">
        <v>2</v>
      </c>
      <c r="C1368" s="68" t="s">
        <v>363</v>
      </c>
      <c r="D1368" s="68" t="s">
        <v>364</v>
      </c>
      <c r="E1368" s="75">
        <f>60*F1368*'THAM_SO_MOI'!$C$50/(2*PI()*'THAM_SO_MOI'!$C$26)</f>
        <v>2266.4784763432285</v>
      </c>
      <c r="F1368" s="75">
        <f>'HANH_TRINH'!$F$826+('THAM_SO_MOI'!$F$50-'HANH_TRINH'!$F$826)*541/'THAM_SO_MOI'!$C$42</f>
        <v>5.650857272865825</v>
      </c>
      <c r="G1368" s="75">
        <f>3.6*F1368</f>
        <v>20.34308618231697</v>
      </c>
      <c r="H1368" s="75">
        <f>'THAM_SO_MOI'!$D$50</f>
        <v>1.8785906709588276</v>
      </c>
      <c r="I1368" s="75">
        <f>IF(F1368&gt;'THAM_SO_MOI'!$C$14,'THAM_SO_MOI'!$C$13*(1+F1368^2/1500),'THAM_SO_MOI'!$C$13)</f>
        <v>0.015</v>
      </c>
      <c r="J1368" s="75">
        <f>'THAM_SO_MOI'!$C$40*('THAM_SO_MOI'!$C$23*(E1368/'THAM_SO_MOI'!$C$22)+'THAM_SO_MOI'!$C$24*(E1368/'THAM_SO_MOI'!$C$22)^2-'THAM_SO_MOI'!$C$25*(E1368/'THAM_SO_MOI'!$C$22)^3)</f>
        <v>101.95516920049457</v>
      </c>
      <c r="K1368" s="75">
        <f>'THAM_SO_MOI'!$C$31*J1368/E1368</f>
        <v>429.6461939399076</v>
      </c>
      <c r="L1368" s="75">
        <f>K1368*'THAM_SO_MOI'!$C$50*'THAM_SO_MOI'!$C$17/'THAM_SO_MOI'!$C$26</f>
        <v>15338.955006111157</v>
      </c>
      <c r="M1368" s="75">
        <f>'THAM_SO_MOI'!$C$15*'THAM_SO_MOI'!$C$16*F1368^2</f>
        <v>93.40164966102924</v>
      </c>
      <c r="N1368" s="75">
        <f>'THAM_SO_MOI'!$C$12*I1368</f>
        <v>1130.112</v>
      </c>
      <c r="O1368" s="75">
        <f>M1368+N1368</f>
        <v>1223.5136496610294</v>
      </c>
      <c r="P1368" s="75">
        <f>(MIN(L1368,'THAM_SO_MOI'!$C$41)-O1368)/('THAM_SO_MOI'!$C$11*H1368)</f>
        <v>0.9783653893850613</v>
      </c>
      <c r="Q1368" s="75">
        <f>IF(P1368&gt;0,1/P1368,NA())</f>
        <v>1.0221130171300692</v>
      </c>
      <c r="R1368" s="75">
        <f>F1368-F1367</f>
        <v>0.0032106047296869278</v>
      </c>
      <c r="S1368" s="75">
        <f>0.5*(Q1367+Q1368)*R1368</f>
        <v>0.0032815371419597735</v>
      </c>
      <c r="T1368" s="75">
        <f>0.5*(F1367*Q1367+F1368*Q1368)*R1368</f>
        <v>0.018538230267818593</v>
      </c>
      <c r="U1368" s="76">
        <f>U1367+S1368</f>
        <v>5.908371887587669</v>
      </c>
      <c r="V1368" s="76">
        <f>V1367+T1368</f>
        <v>20.658410491619648</v>
      </c>
    </row>
    <row r="1369" spans="1:22" ht="19" customHeight="1">
      <c r="A1369" s="68" t="s">
        <v>372</v>
      </c>
      <c r="B1369" s="74">
        <v>2</v>
      </c>
      <c r="C1369" s="68" t="s">
        <v>363</v>
      </c>
      <c r="D1369" s="68" t="s">
        <v>364</v>
      </c>
      <c r="E1369" s="75">
        <f>60*F1369*'THAM_SO_MOI'!$C$50/(2*PI()*'THAM_SO_MOI'!$C$26)</f>
        <v>2267.766204233795</v>
      </c>
      <c r="F1369" s="75">
        <f>'HANH_TRINH'!$F$826+('THAM_SO_MOI'!$F$50-'HANH_TRINH'!$F$826)*542/'THAM_SO_MOI'!$C$42</f>
        <v>5.654067877595512</v>
      </c>
      <c r="G1369" s="75">
        <f>3.6*F1369</f>
        <v>20.354644359343844</v>
      </c>
      <c r="H1369" s="75">
        <f>'THAM_SO_MOI'!$D$50</f>
        <v>1.8785906709588276</v>
      </c>
      <c r="I1369" s="75">
        <f>IF(F1369&gt;'THAM_SO_MOI'!$C$14,'THAM_SO_MOI'!$C$13*(1+F1369^2/1500),'THAM_SO_MOI'!$C$13)</f>
        <v>0.015</v>
      </c>
      <c r="J1369" s="75">
        <f>'THAM_SO_MOI'!$C$40*('THAM_SO_MOI'!$C$23*(E1369/'THAM_SO_MOI'!$C$22)+'THAM_SO_MOI'!$C$24*(E1369/'THAM_SO_MOI'!$C$22)^2-'THAM_SO_MOI'!$C$25*(E1369/'THAM_SO_MOI'!$C$22)^3)</f>
        <v>102.01011653042558</v>
      </c>
      <c r="K1369" s="75">
        <f>'THAM_SO_MOI'!$C$31*J1369/E1369</f>
        <v>429.63364413064056</v>
      </c>
      <c r="L1369" s="75">
        <f>K1369*'THAM_SO_MOI'!$C$50*'THAM_SO_MOI'!$C$17/'THAM_SO_MOI'!$C$26</f>
        <v>15338.506960806908</v>
      </c>
      <c r="M1369" s="75">
        <f>'THAM_SO_MOI'!$C$15*'THAM_SO_MOI'!$C$16*F1369^2</f>
        <v>93.50781442603797</v>
      </c>
      <c r="N1369" s="75">
        <f>'THAM_SO_MOI'!$C$12*I1369</f>
        <v>1130.112</v>
      </c>
      <c r="O1369" s="75">
        <f>M1369+N1369</f>
        <v>1223.6198144260381</v>
      </c>
      <c r="P1369" s="75">
        <f>(MIN(L1369,'THAM_SO_MOI'!$C$41)-O1369)/('THAM_SO_MOI'!$C$11*H1369)</f>
        <v>0.9783269761370077</v>
      </c>
      <c r="Q1369" s="75">
        <f>IF(P1369&gt;0,1/P1369,NA())</f>
        <v>1.022153149602978</v>
      </c>
      <c r="R1369" s="75">
        <f>F1369-F1368</f>
        <v>0.0032106047296869278</v>
      </c>
      <c r="S1369" s="75">
        <f>0.5*(Q1368+Q1369)*R1369</f>
        <v>0.0032816653118260437</v>
      </c>
      <c r="T1369" s="75">
        <f>0.5*(F1368*Q1368+F1369*Q1369)*R1369</f>
        <v>0.018549490462950603</v>
      </c>
      <c r="U1369" s="76">
        <f>U1368+S1369</f>
        <v>5.911653552899495</v>
      </c>
      <c r="V1369" s="76">
        <f>V1368+T1369</f>
        <v>20.6769599820826</v>
      </c>
    </row>
    <row r="1370" spans="1:22" ht="19" customHeight="1">
      <c r="A1370" s="68" t="s">
        <v>372</v>
      </c>
      <c r="B1370" s="74">
        <v>2</v>
      </c>
      <c r="C1370" s="68" t="s">
        <v>363</v>
      </c>
      <c r="D1370" s="68" t="s">
        <v>364</v>
      </c>
      <c r="E1370" s="75">
        <f>60*F1370*'THAM_SO_MOI'!$C$50/(2*PI()*'THAM_SO_MOI'!$C$26)</f>
        <v>2269.053932124362</v>
      </c>
      <c r="F1370" s="75">
        <f>'HANH_TRINH'!$F$826+('THAM_SO_MOI'!$F$50-'HANH_TRINH'!$F$826)*543/'THAM_SO_MOI'!$C$42</f>
        <v>5.657278482325199</v>
      </c>
      <c r="G1370" s="75">
        <f>3.6*F1370</f>
        <v>20.366202536370718</v>
      </c>
      <c r="H1370" s="75">
        <f>'THAM_SO_MOI'!$D$50</f>
        <v>1.8785906709588276</v>
      </c>
      <c r="I1370" s="75">
        <f>IF(F1370&gt;'THAM_SO_MOI'!$C$14,'THAM_SO_MOI'!$C$13*(1+F1370^2/1500),'THAM_SO_MOI'!$C$13)</f>
        <v>0.015</v>
      </c>
      <c r="J1370" s="75">
        <f>'THAM_SO_MOI'!$C$40*('THAM_SO_MOI'!$C$23*(E1370/'THAM_SO_MOI'!$C$22)+'THAM_SO_MOI'!$C$24*(E1370/'THAM_SO_MOI'!$C$22)^2-'THAM_SO_MOI'!$C$25*(E1370/'THAM_SO_MOI'!$C$22)^3)</f>
        <v>102.0650222573912</v>
      </c>
      <c r="K1370" s="75">
        <f>'THAM_SO_MOI'!$C$31*J1370/E1370</f>
        <v>429.62093344704124</v>
      </c>
      <c r="L1370" s="75">
        <f>K1370*'THAM_SO_MOI'!$C$50*'THAM_SO_MOI'!$C$17/'THAM_SO_MOI'!$C$26</f>
        <v>15338.053172069625</v>
      </c>
      <c r="M1370" s="75">
        <f>'THAM_SO_MOI'!$C$15*'THAM_SO_MOI'!$C$16*F1370^2</f>
        <v>93.61403949274565</v>
      </c>
      <c r="N1370" s="75">
        <f>'THAM_SO_MOI'!$C$12*I1370</f>
        <v>1130.112</v>
      </c>
      <c r="O1370" s="75">
        <f>M1370+N1370</f>
        <v>1223.7260394927457</v>
      </c>
      <c r="P1370" s="75">
        <f>(MIN(L1370,'THAM_SO_MOI'!$C$41)-O1370)/('THAM_SO_MOI'!$C$11*H1370)</f>
        <v>0.9782881606221709</v>
      </c>
      <c r="Q1370" s="75">
        <f>IF(P1370&gt;0,1/P1370,NA())</f>
        <v>1.0221937055478836</v>
      </c>
      <c r="R1370" s="75">
        <f>F1370-F1369</f>
        <v>0.0032106047296869278</v>
      </c>
      <c r="S1370" s="75">
        <f>0.5*(Q1369+Q1370)*R1370</f>
        <v>0.0032817948411339765</v>
      </c>
      <c r="T1370" s="75">
        <f>0.5*(F1369*Q1369+F1370*Q1370)*R1370</f>
        <v>0.018560759169646182</v>
      </c>
      <c r="U1370" s="76">
        <f>U1369+S1370</f>
        <v>5.914935347740629</v>
      </c>
      <c r="V1370" s="76">
        <f>V1369+T1370</f>
        <v>20.695520741252246</v>
      </c>
    </row>
    <row r="1371" spans="1:22" ht="19" customHeight="1">
      <c r="A1371" s="68" t="s">
        <v>372</v>
      </c>
      <c r="B1371" s="74">
        <v>2</v>
      </c>
      <c r="C1371" s="68" t="s">
        <v>363</v>
      </c>
      <c r="D1371" s="68" t="s">
        <v>364</v>
      </c>
      <c r="E1371" s="75">
        <f>60*F1371*'THAM_SO_MOI'!$C$50/(2*PI()*'THAM_SO_MOI'!$C$26)</f>
        <v>2270.341660014929</v>
      </c>
      <c r="F1371" s="75">
        <f>'HANH_TRINH'!$F$826+('THAM_SO_MOI'!$F$50-'HANH_TRINH'!$F$826)*544/'THAM_SO_MOI'!$C$42</f>
        <v>5.660489087054886</v>
      </c>
      <c r="G1371" s="75">
        <f>3.6*F1371</f>
        <v>20.377760713397592</v>
      </c>
      <c r="H1371" s="75">
        <f>'THAM_SO_MOI'!$D$50</f>
        <v>1.8785906709588276</v>
      </c>
      <c r="I1371" s="75">
        <f>IF(F1371&gt;'THAM_SO_MOI'!$C$14,'THAM_SO_MOI'!$C$13*(1+F1371^2/1500),'THAM_SO_MOI'!$C$13)</f>
        <v>0.015</v>
      </c>
      <c r="J1371" s="75">
        <f>'THAM_SO_MOI'!$C$40*('THAM_SO_MOI'!$C$23*(E1371/'THAM_SO_MOI'!$C$22)+'THAM_SO_MOI'!$C$24*(E1371/'THAM_SO_MOI'!$C$22)^2-'THAM_SO_MOI'!$C$25*(E1371/'THAM_SO_MOI'!$C$22)^3)</f>
        <v>102.1198863163218</v>
      </c>
      <c r="K1371" s="75">
        <f>'THAM_SO_MOI'!$C$31*J1371/E1371</f>
        <v>429.60806188910965</v>
      </c>
      <c r="L1371" s="75">
        <f>K1371*'THAM_SO_MOI'!$C$50*'THAM_SO_MOI'!$C$17/'THAM_SO_MOI'!$C$26</f>
        <v>15337.593639899304</v>
      </c>
      <c r="M1371" s="75">
        <f>'THAM_SO_MOI'!$C$15*'THAM_SO_MOI'!$C$16*F1371^2</f>
        <v>93.72032486115233</v>
      </c>
      <c r="N1371" s="75">
        <f>'THAM_SO_MOI'!$C$12*I1371</f>
        <v>1130.112</v>
      </c>
      <c r="O1371" s="75">
        <f>M1371+N1371</f>
        <v>1223.8323248611523</v>
      </c>
      <c r="P1371" s="75">
        <f>(MIN(L1371,'THAM_SO_MOI'!$C$41)-O1371)/('THAM_SO_MOI'!$C$11*H1371)</f>
        <v>0.9782489428405501</v>
      </c>
      <c r="Q1371" s="75">
        <f>IF(P1371&gt;0,1/P1371,NA())</f>
        <v>1.022234685065226</v>
      </c>
      <c r="R1371" s="75">
        <f>F1371-F1370</f>
        <v>0.0032106047296869278</v>
      </c>
      <c r="S1371" s="75">
        <f>0.5*(Q1370+Q1371)*R1371</f>
        <v>0.003281925730204342</v>
      </c>
      <c r="T1371" s="75">
        <f>0.5*(F1370*Q1370+F1371*Q1371)*R1371</f>
        <v>0.018572036402814417</v>
      </c>
      <c r="U1371" s="76">
        <f>U1370+S1371</f>
        <v>5.918217273470833</v>
      </c>
      <c r="V1371" s="76">
        <f>V1370+T1371</f>
        <v>20.71409277765506</v>
      </c>
    </row>
    <row r="1372" spans="1:22" ht="19" customHeight="1">
      <c r="A1372" s="68" t="s">
        <v>372</v>
      </c>
      <c r="B1372" s="74">
        <v>2</v>
      </c>
      <c r="C1372" s="68" t="s">
        <v>363</v>
      </c>
      <c r="D1372" s="68" t="s">
        <v>364</v>
      </c>
      <c r="E1372" s="75">
        <f>60*F1372*'THAM_SO_MOI'!$C$50/(2*PI()*'THAM_SO_MOI'!$C$26)</f>
        <v>2271.6293879054956</v>
      </c>
      <c r="F1372" s="75">
        <f>'HANH_TRINH'!$F$826+('THAM_SO_MOI'!$F$50-'HANH_TRINH'!$F$826)*545/'THAM_SO_MOI'!$C$42</f>
        <v>5.663699691784573</v>
      </c>
      <c r="G1372" s="75">
        <f>3.6*F1372</f>
        <v>20.389318890424462</v>
      </c>
      <c r="H1372" s="75">
        <f>'THAM_SO_MOI'!$D$50</f>
        <v>1.8785906709588276</v>
      </c>
      <c r="I1372" s="75">
        <f>IF(F1372&gt;'THAM_SO_MOI'!$C$14,'THAM_SO_MOI'!$C$13*(1+F1372^2/1500),'THAM_SO_MOI'!$C$13)</f>
        <v>0.015</v>
      </c>
      <c r="J1372" s="75">
        <f>'THAM_SO_MOI'!$C$40*('THAM_SO_MOI'!$C$23*(E1372/'THAM_SO_MOI'!$C$22)+'THAM_SO_MOI'!$C$24*(E1372/'THAM_SO_MOI'!$C$22)^2-'THAM_SO_MOI'!$C$25*(E1372/'THAM_SO_MOI'!$C$22)^3)</f>
        <v>102.17470864214758</v>
      </c>
      <c r="K1372" s="75">
        <f>'THAM_SO_MOI'!$C$31*J1372/E1372</f>
        <v>429.59502945684574</v>
      </c>
      <c r="L1372" s="75">
        <f>K1372*'THAM_SO_MOI'!$C$50*'THAM_SO_MOI'!$C$17/'THAM_SO_MOI'!$C$26</f>
        <v>15337.128364295946</v>
      </c>
      <c r="M1372" s="75">
        <f>'THAM_SO_MOI'!$C$15*'THAM_SO_MOI'!$C$16*F1372^2</f>
        <v>93.82667053125796</v>
      </c>
      <c r="N1372" s="75">
        <f>'THAM_SO_MOI'!$C$12*I1372</f>
        <v>1130.112</v>
      </c>
      <c r="O1372" s="75">
        <f>M1372+N1372</f>
        <v>1223.9386705312581</v>
      </c>
      <c r="P1372" s="75">
        <f>(MIN(L1372,'THAM_SO_MOI'!$C$41)-O1372)/('THAM_SO_MOI'!$C$11*H1372)</f>
        <v>0.9782093227921457</v>
      </c>
      <c r="Q1372" s="75">
        <f>IF(P1372&gt;0,1/P1372,NA())</f>
        <v>1.0222760882565056</v>
      </c>
      <c r="R1372" s="75">
        <f>F1372-F1371</f>
        <v>0.0032106047296869278</v>
      </c>
      <c r="S1372" s="75">
        <f>0.5*(Q1371+Q1372)*R1372</f>
        <v>0.0032820579793613153</v>
      </c>
      <c r="T1372" s="75">
        <f>0.5*(F1371*Q1371+F1372*Q1372)*R1372</f>
        <v>0.0185833221773878</v>
      </c>
      <c r="U1372" s="76">
        <f>U1371+S1372</f>
        <v>5.921499331450194</v>
      </c>
      <c r="V1372" s="76">
        <f>V1371+T1372</f>
        <v>20.73267609983245</v>
      </c>
    </row>
    <row r="1373" spans="1:22" ht="19" customHeight="1">
      <c r="A1373" s="68" t="s">
        <v>372</v>
      </c>
      <c r="B1373" s="74">
        <v>2</v>
      </c>
      <c r="C1373" s="68" t="s">
        <v>363</v>
      </c>
      <c r="D1373" s="68" t="s">
        <v>364</v>
      </c>
      <c r="E1373" s="75">
        <f>60*F1373*'THAM_SO_MOI'!$C$50/(2*PI()*'THAM_SO_MOI'!$C$26)</f>
        <v>2272.9171157960623</v>
      </c>
      <c r="F1373" s="75">
        <f>'HANH_TRINH'!$F$826+('THAM_SO_MOI'!$F$50-'HANH_TRINH'!$F$826)*546/'THAM_SO_MOI'!$C$42</f>
        <v>5.66691029651426</v>
      </c>
      <c r="G1373" s="75">
        <f>3.6*F1373</f>
        <v>20.400877067451336</v>
      </c>
      <c r="H1373" s="75">
        <f>'THAM_SO_MOI'!$D$50</f>
        <v>1.8785906709588276</v>
      </c>
      <c r="I1373" s="75">
        <f>IF(F1373&gt;'THAM_SO_MOI'!$C$14,'THAM_SO_MOI'!$C$13*(1+F1373^2/1500),'THAM_SO_MOI'!$C$13)</f>
        <v>0.015</v>
      </c>
      <c r="J1373" s="75">
        <f>'THAM_SO_MOI'!$C$40*('THAM_SO_MOI'!$C$23*(E1373/'THAM_SO_MOI'!$C$22)+'THAM_SO_MOI'!$C$24*(E1373/'THAM_SO_MOI'!$C$22)^2-'THAM_SO_MOI'!$C$25*(E1373/'THAM_SO_MOI'!$C$22)^3)</f>
        <v>102.22948916979891</v>
      </c>
      <c r="K1373" s="75">
        <f>'THAM_SO_MOI'!$C$31*J1373/E1373</f>
        <v>429.58183615024967</v>
      </c>
      <c r="L1373" s="75">
        <f>K1373*'THAM_SO_MOI'!$C$50*'THAM_SO_MOI'!$C$17/'THAM_SO_MOI'!$C$26</f>
        <v>15336.657345259553</v>
      </c>
      <c r="M1373" s="75">
        <f>'THAM_SO_MOI'!$C$15*'THAM_SO_MOI'!$C$16*F1373^2</f>
        <v>93.93307650306258</v>
      </c>
      <c r="N1373" s="75">
        <f>'THAM_SO_MOI'!$C$12*I1373</f>
        <v>1130.112</v>
      </c>
      <c r="O1373" s="75">
        <f>M1373+N1373</f>
        <v>1224.0450765030628</v>
      </c>
      <c r="P1373" s="75">
        <f>(MIN(L1373,'THAM_SO_MOI'!$C$41)-O1373)/('THAM_SO_MOI'!$C$11*H1373)</f>
        <v>0.9781693004769575</v>
      </c>
      <c r="Q1373" s="75">
        <f>IF(P1373&gt;0,1/P1373,NA())</f>
        <v>1.0223179152242845</v>
      </c>
      <c r="R1373" s="75">
        <f>F1373-F1372</f>
        <v>0.0032106047296869278</v>
      </c>
      <c r="S1373" s="75">
        <f>0.5*(Q1372+Q1373)*R1373</f>
        <v>0.0032821915889324773</v>
      </c>
      <c r="T1373" s="75">
        <f>0.5*(F1372*Q1372+F1373*Q1373)*R1373</f>
        <v>0.018594616508322292</v>
      </c>
      <c r="U1373" s="76">
        <f>U1372+S1373</f>
        <v>5.924781523039127</v>
      </c>
      <c r="V1373" s="76">
        <f>V1372+T1373</f>
        <v>20.751270716340773</v>
      </c>
    </row>
    <row r="1374" spans="1:22" ht="19" customHeight="1">
      <c r="A1374" s="68" t="s">
        <v>372</v>
      </c>
      <c r="B1374" s="74">
        <v>2</v>
      </c>
      <c r="C1374" s="68" t="s">
        <v>363</v>
      </c>
      <c r="D1374" s="68" t="s">
        <v>364</v>
      </c>
      <c r="E1374" s="75">
        <f>60*F1374*'THAM_SO_MOI'!$C$50/(2*PI()*'THAM_SO_MOI'!$C$26)</f>
        <v>2274.204843686629</v>
      </c>
      <c r="F1374" s="75">
        <f>'HANH_TRINH'!$F$826+('THAM_SO_MOI'!$F$50-'HANH_TRINH'!$F$826)*547/'THAM_SO_MOI'!$C$42</f>
        <v>5.670120901243946</v>
      </c>
      <c r="G1374" s="75">
        <f>3.6*F1374</f>
        <v>20.412435244478207</v>
      </c>
      <c r="H1374" s="75">
        <f>'THAM_SO_MOI'!$D$50</f>
        <v>1.8785906709588276</v>
      </c>
      <c r="I1374" s="75">
        <f>IF(F1374&gt;'THAM_SO_MOI'!$C$14,'THAM_SO_MOI'!$C$13*(1+F1374^2/1500),'THAM_SO_MOI'!$C$13)</f>
        <v>0.015</v>
      </c>
      <c r="J1374" s="75">
        <f>'THAM_SO_MOI'!$C$40*('THAM_SO_MOI'!$C$23*(E1374/'THAM_SO_MOI'!$C$22)+'THAM_SO_MOI'!$C$24*(E1374/'THAM_SO_MOI'!$C$22)^2-'THAM_SO_MOI'!$C$25*(E1374/'THAM_SO_MOI'!$C$22)^3)</f>
        <v>102.28422783420609</v>
      </c>
      <c r="K1374" s="75">
        <f>'THAM_SO_MOI'!$C$31*J1374/E1374</f>
        <v>429.5684819693214</v>
      </c>
      <c r="L1374" s="75">
        <f>K1374*'THAM_SO_MOI'!$C$50*'THAM_SO_MOI'!$C$17/'THAM_SO_MOI'!$C$26</f>
        <v>15336.180582790128</v>
      </c>
      <c r="M1374" s="75">
        <f>'THAM_SO_MOI'!$C$15*'THAM_SO_MOI'!$C$16*F1374^2</f>
        <v>94.03954277656614</v>
      </c>
      <c r="N1374" s="75">
        <f>'THAM_SO_MOI'!$C$12*I1374</f>
        <v>1130.112</v>
      </c>
      <c r="O1374" s="75">
        <f>M1374+N1374</f>
        <v>1224.1515427765662</v>
      </c>
      <c r="P1374" s="75">
        <f>(MIN(L1374,'THAM_SO_MOI'!$C$41)-O1374)/('THAM_SO_MOI'!$C$11*H1374)</f>
        <v>0.9781288758949861</v>
      </c>
      <c r="Q1374" s="75">
        <f>IF(P1374&gt;0,1/P1374,NA())</f>
        <v>1.0223601660721875</v>
      </c>
      <c r="R1374" s="75">
        <f>F1374-F1373</f>
        <v>0.0032106047296860396</v>
      </c>
      <c r="S1374" s="75">
        <f>0.5*(Q1373+Q1374)*R1374</f>
        <v>0.003282326559247915</v>
      </c>
      <c r="T1374" s="75">
        <f>0.5*(F1373*Q1373+F1374*Q1374)*R1374</f>
        <v>0.01860591941059223</v>
      </c>
      <c r="U1374" s="76">
        <f>U1373+S1374</f>
        <v>5.928063849598375</v>
      </c>
      <c r="V1374" s="76">
        <f>V1373+T1374</f>
        <v>20.769876635751366</v>
      </c>
    </row>
    <row r="1375" spans="1:22" ht="19" customHeight="1">
      <c r="A1375" s="68" t="s">
        <v>372</v>
      </c>
      <c r="B1375" s="74">
        <v>2</v>
      </c>
      <c r="C1375" s="68" t="s">
        <v>363</v>
      </c>
      <c r="D1375" s="68" t="s">
        <v>364</v>
      </c>
      <c r="E1375" s="75">
        <f>60*F1375*'THAM_SO_MOI'!$C$50/(2*PI()*'THAM_SO_MOI'!$C$26)</f>
        <v>2275.4925715771956</v>
      </c>
      <c r="F1375" s="75">
        <f>'HANH_TRINH'!$F$826+('THAM_SO_MOI'!$F$50-'HANH_TRINH'!$F$826)*548/'THAM_SO_MOI'!$C$42</f>
        <v>5.673331505973633</v>
      </c>
      <c r="G1375" s="75">
        <f>3.6*F1375</f>
        <v>20.423993421505077</v>
      </c>
      <c r="H1375" s="75">
        <f>'THAM_SO_MOI'!$D$50</f>
        <v>1.8785906709588276</v>
      </c>
      <c r="I1375" s="75">
        <f>IF(F1375&gt;'THAM_SO_MOI'!$C$14,'THAM_SO_MOI'!$C$13*(1+F1375^2/1500),'THAM_SO_MOI'!$C$13)</f>
        <v>0.015</v>
      </c>
      <c r="J1375" s="75">
        <f>'THAM_SO_MOI'!$C$40*('THAM_SO_MOI'!$C$23*(E1375/'THAM_SO_MOI'!$C$22)+'THAM_SO_MOI'!$C$24*(E1375/'THAM_SO_MOI'!$C$22)^2-'THAM_SO_MOI'!$C$25*(E1375/'THAM_SO_MOI'!$C$22)^3)</f>
        <v>102.33892457029941</v>
      </c>
      <c r="K1375" s="75">
        <f>'THAM_SO_MOI'!$C$31*J1375/E1375</f>
        <v>429.5549669140609</v>
      </c>
      <c r="L1375" s="75">
        <f>K1375*'THAM_SO_MOI'!$C$50*'THAM_SO_MOI'!$C$17/'THAM_SO_MOI'!$C$26</f>
        <v>15335.698076887667</v>
      </c>
      <c r="M1375" s="75">
        <f>'THAM_SO_MOI'!$C$15*'THAM_SO_MOI'!$C$16*F1375^2</f>
        <v>94.14606935176867</v>
      </c>
      <c r="N1375" s="75">
        <f>'THAM_SO_MOI'!$C$12*I1375</f>
        <v>1130.112</v>
      </c>
      <c r="O1375" s="75">
        <f>M1375+N1375</f>
        <v>1224.2580693517687</v>
      </c>
      <c r="P1375" s="75">
        <f>(MIN(L1375,'THAM_SO_MOI'!$C$41)-O1375)/('THAM_SO_MOI'!$C$11*H1375)</f>
        <v>0.9780880490462311</v>
      </c>
      <c r="Q1375" s="75">
        <f>IF(P1375&gt;0,1/P1375,NA())</f>
        <v>1.0224028409049022</v>
      </c>
      <c r="R1375" s="75">
        <f>F1375-F1374</f>
        <v>0.0032106047296869278</v>
      </c>
      <c r="S1375" s="75">
        <f>0.5*(Q1374+Q1375)*R1375</f>
        <v>0.0032824628906447544</v>
      </c>
      <c r="T1375" s="75">
        <f>0.5*(F1374*Q1374+F1375*Q1375)*R1375</f>
        <v>0.018617230899216165</v>
      </c>
      <c r="U1375" s="76">
        <f>U1374+S1375</f>
        <v>5.931346312489019</v>
      </c>
      <c r="V1375" s="76">
        <f>V1374+T1375</f>
        <v>20.788493866650583</v>
      </c>
    </row>
    <row r="1376" spans="1:22" ht="19" customHeight="1">
      <c r="A1376" s="68" t="s">
        <v>372</v>
      </c>
      <c r="B1376" s="74">
        <v>2</v>
      </c>
      <c r="C1376" s="68" t="s">
        <v>363</v>
      </c>
      <c r="D1376" s="68" t="s">
        <v>364</v>
      </c>
      <c r="E1376" s="75">
        <f>60*F1376*'THAM_SO_MOI'!$C$50/(2*PI()*'THAM_SO_MOI'!$C$26)</f>
        <v>2276.7802994677622</v>
      </c>
      <c r="F1376" s="75">
        <f>'HANH_TRINH'!$F$826+('THAM_SO_MOI'!$F$50-'HANH_TRINH'!$F$826)*549/'THAM_SO_MOI'!$C$42</f>
        <v>5.67654211070332</v>
      </c>
      <c r="G1376" s="75">
        <f>3.6*F1376</f>
        <v>20.43555159853195</v>
      </c>
      <c r="H1376" s="75">
        <f>'THAM_SO_MOI'!$D$50</f>
        <v>1.8785906709588276</v>
      </c>
      <c r="I1376" s="75">
        <f>IF(F1376&gt;'THAM_SO_MOI'!$C$14,'THAM_SO_MOI'!$C$13*(1+F1376^2/1500),'THAM_SO_MOI'!$C$13)</f>
        <v>0.015</v>
      </c>
      <c r="J1376" s="75">
        <f>'THAM_SO_MOI'!$C$40*('THAM_SO_MOI'!$C$23*(E1376/'THAM_SO_MOI'!$C$22)+'THAM_SO_MOI'!$C$24*(E1376/'THAM_SO_MOI'!$C$22)^2-'THAM_SO_MOI'!$C$25*(E1376/'THAM_SO_MOI'!$C$22)^3)</f>
        <v>102.39357931300914</v>
      </c>
      <c r="K1376" s="75">
        <f>'THAM_SO_MOI'!$C$31*J1376/E1376</f>
        <v>429.54129098446805</v>
      </c>
      <c r="L1376" s="75">
        <f>K1376*'THAM_SO_MOI'!$C$50*'THAM_SO_MOI'!$C$17/'THAM_SO_MOI'!$C$26</f>
        <v>15335.209827552168</v>
      </c>
      <c r="M1376" s="75">
        <f>'THAM_SO_MOI'!$C$15*'THAM_SO_MOI'!$C$16*F1376^2</f>
        <v>94.2526562286702</v>
      </c>
      <c r="N1376" s="75">
        <f>'THAM_SO_MOI'!$C$12*I1376</f>
        <v>1130.112</v>
      </c>
      <c r="O1376" s="75">
        <f>M1376+N1376</f>
        <v>1224.3646562286704</v>
      </c>
      <c r="P1376" s="75">
        <f>(MIN(L1376,'THAM_SO_MOI'!$C$41)-O1376)/('THAM_SO_MOI'!$C$11*H1376)</f>
        <v>0.9780468199306924</v>
      </c>
      <c r="Q1376" s="75">
        <f>IF(P1376&gt;0,1/P1376,NA())</f>
        <v>1.0224459398281804</v>
      </c>
      <c r="R1376" s="75">
        <f>F1376-F1375</f>
        <v>0.0032106047296869278</v>
      </c>
      <c r="S1376" s="75">
        <f>0.5*(Q1375+Q1376)*R1376</f>
        <v>0.0032826005834580914</v>
      </c>
      <c r="T1376" s="75">
        <f>0.5*(F1375*Q1375+F1376*Q1376)*R1376</f>
        <v>0.018628550989205416</v>
      </c>
      <c r="U1376" s="76">
        <f>U1375+S1376</f>
        <v>5.934628913072477</v>
      </c>
      <c r="V1376" s="76">
        <f>V1375+T1376</f>
        <v>20.80712241763979</v>
      </c>
    </row>
    <row r="1377" spans="1:22" ht="19" customHeight="1">
      <c r="A1377" s="68" t="s">
        <v>372</v>
      </c>
      <c r="B1377" s="74">
        <v>2</v>
      </c>
      <c r="C1377" s="68" t="s">
        <v>363</v>
      </c>
      <c r="D1377" s="68" t="s">
        <v>364</v>
      </c>
      <c r="E1377" s="75">
        <f>60*F1377*'THAM_SO_MOI'!$C$50/(2*PI()*'THAM_SO_MOI'!$C$26)</f>
        <v>2278.068027358329</v>
      </c>
      <c r="F1377" s="75">
        <f>'HANH_TRINH'!$F$826+('THAM_SO_MOI'!$F$50-'HANH_TRINH'!$F$826)*550/'THAM_SO_MOI'!$C$42</f>
        <v>5.679752715433007</v>
      </c>
      <c r="G1377" s="75">
        <f>3.6*F1377</f>
        <v>20.447109775558825</v>
      </c>
      <c r="H1377" s="75">
        <f>'THAM_SO_MOI'!$D$50</f>
        <v>1.8785906709588276</v>
      </c>
      <c r="I1377" s="75">
        <f>IF(F1377&gt;'THAM_SO_MOI'!$C$14,'THAM_SO_MOI'!$C$13*(1+F1377^2/1500),'THAM_SO_MOI'!$C$13)</f>
        <v>0.015</v>
      </c>
      <c r="J1377" s="75">
        <f>'THAM_SO_MOI'!$C$40*('THAM_SO_MOI'!$C$23*(E1377/'THAM_SO_MOI'!$C$22)+'THAM_SO_MOI'!$C$24*(E1377/'THAM_SO_MOI'!$C$22)^2-'THAM_SO_MOI'!$C$25*(E1377/'THAM_SO_MOI'!$C$22)^3)</f>
        <v>102.44819199726565</v>
      </c>
      <c r="K1377" s="75">
        <f>'THAM_SO_MOI'!$C$31*J1377/E1377</f>
        <v>429.52745418054315</v>
      </c>
      <c r="L1377" s="75">
        <f>K1377*'THAM_SO_MOI'!$C$50*'THAM_SO_MOI'!$C$17/'THAM_SO_MOI'!$C$26</f>
        <v>15334.71583478364</v>
      </c>
      <c r="M1377" s="75">
        <f>'THAM_SO_MOI'!$C$15*'THAM_SO_MOI'!$C$16*F1377^2</f>
        <v>94.3593034072707</v>
      </c>
      <c r="N1377" s="75">
        <f>'THAM_SO_MOI'!$C$12*I1377</f>
        <v>1130.112</v>
      </c>
      <c r="O1377" s="75">
        <f>M1377+N1377</f>
        <v>1224.4713034072709</v>
      </c>
      <c r="P1377" s="75">
        <f>(MIN(L1377,'THAM_SO_MOI'!$C$41)-O1377)/('THAM_SO_MOI'!$C$11*H1377)</f>
        <v>0.9780051885483705</v>
      </c>
      <c r="Q1377" s="75">
        <f>IF(P1377&gt;0,1/P1377,NA())</f>
        <v>1.0224894629488377</v>
      </c>
      <c r="R1377" s="75">
        <f>F1377-F1376</f>
        <v>0.0032106047296869278</v>
      </c>
      <c r="S1377" s="75">
        <f>0.5*(Q1376+Q1377)*R1377</f>
        <v>0.0032827396380300687</v>
      </c>
      <c r="T1377" s="75">
        <f>0.5*(F1376*Q1376+F1377*Q1377)*R1377</f>
        <v>0.018639879695615647</v>
      </c>
      <c r="U1377" s="76">
        <f>U1376+S1377</f>
        <v>5.937911652710508</v>
      </c>
      <c r="V1377" s="76">
        <f>V1376+T1377</f>
        <v>20.825762297335405</v>
      </c>
    </row>
    <row r="1378" spans="1:22" ht="19" customHeight="1">
      <c r="A1378" s="68" t="s">
        <v>372</v>
      </c>
      <c r="B1378" s="74">
        <v>2</v>
      </c>
      <c r="C1378" s="68" t="s">
        <v>363</v>
      </c>
      <c r="D1378" s="68" t="s">
        <v>364</v>
      </c>
      <c r="E1378" s="75">
        <f>60*F1378*'THAM_SO_MOI'!$C$50/(2*PI()*'THAM_SO_MOI'!$C$26)</f>
        <v>2279.3557552488955</v>
      </c>
      <c r="F1378" s="75">
        <f>'HANH_TRINH'!$F$826+('THAM_SO_MOI'!$F$50-'HANH_TRINH'!$F$826)*551/'THAM_SO_MOI'!$C$42</f>
        <v>5.682963320162694</v>
      </c>
      <c r="G1378" s="75">
        <f>3.6*F1378</f>
        <v>20.4586679525857</v>
      </c>
      <c r="H1378" s="75">
        <f>'THAM_SO_MOI'!$D$50</f>
        <v>1.8785906709588276</v>
      </c>
      <c r="I1378" s="75">
        <f>IF(F1378&gt;'THAM_SO_MOI'!$C$14,'THAM_SO_MOI'!$C$13*(1+F1378^2/1500),'THAM_SO_MOI'!$C$13)</f>
        <v>0.015</v>
      </c>
      <c r="J1378" s="75">
        <f>'THAM_SO_MOI'!$C$40*('THAM_SO_MOI'!$C$23*(E1378/'THAM_SO_MOI'!$C$22)+'THAM_SO_MOI'!$C$24*(E1378/'THAM_SO_MOI'!$C$22)^2-'THAM_SO_MOI'!$C$25*(E1378/'THAM_SO_MOI'!$C$22)^3)</f>
        <v>102.50276255799916</v>
      </c>
      <c r="K1378" s="75">
        <f>'THAM_SO_MOI'!$C$31*J1378/E1378</f>
        <v>429.51345650228575</v>
      </c>
      <c r="L1378" s="75">
        <f>K1378*'THAM_SO_MOI'!$C$50*'THAM_SO_MOI'!$C$17/'THAM_SO_MOI'!$C$26</f>
        <v>15334.216098582063</v>
      </c>
      <c r="M1378" s="75">
        <f>'THAM_SO_MOI'!$C$15*'THAM_SO_MOI'!$C$16*F1378^2</f>
        <v>94.46601088757018</v>
      </c>
      <c r="N1378" s="75">
        <f>'THAM_SO_MOI'!$C$12*I1378</f>
        <v>1130.112</v>
      </c>
      <c r="O1378" s="75">
        <f>M1378+N1378</f>
        <v>1224.5780108875701</v>
      </c>
      <c r="P1378" s="75">
        <f>(MIN(L1378,'THAM_SO_MOI'!$C$41)-O1378)/('THAM_SO_MOI'!$C$11*H1378)</f>
        <v>0.9779631548992642</v>
      </c>
      <c r="Q1378" s="75">
        <f>IF(P1378&gt;0,1/P1378,NA())</f>
        <v>1.0225334103747556</v>
      </c>
      <c r="R1378" s="75">
        <f>F1378-F1377</f>
        <v>0.0032106047296869278</v>
      </c>
      <c r="S1378" s="75">
        <f>0.5*(Q1377+Q1378)*R1378</f>
        <v>0.00328288005470534</v>
      </c>
      <c r="T1378" s="75">
        <f>0.5*(F1377*Q1377+F1378*Q1378)*R1378</f>
        <v>0.018651217033521156</v>
      </c>
      <c r="U1378" s="76">
        <f>U1377+S1378</f>
        <v>5.941194532765213</v>
      </c>
      <c r="V1378" s="76">
        <f>V1377+T1378</f>
        <v>20.844413514368927</v>
      </c>
    </row>
    <row r="1379" spans="1:22" ht="19" customHeight="1">
      <c r="A1379" s="68" t="s">
        <v>372</v>
      </c>
      <c r="B1379" s="74">
        <v>2</v>
      </c>
      <c r="C1379" s="68" t="s">
        <v>363</v>
      </c>
      <c r="D1379" s="68" t="s">
        <v>364</v>
      </c>
      <c r="E1379" s="75">
        <f>60*F1379*'THAM_SO_MOI'!$C$50/(2*PI()*'THAM_SO_MOI'!$C$26)</f>
        <v>2280.643483139462</v>
      </c>
      <c r="F1379" s="75">
        <f>'HANH_TRINH'!$F$826+('THAM_SO_MOI'!$F$50-'HANH_TRINH'!$F$826)*552/'THAM_SO_MOI'!$C$42</f>
        <v>5.686173924892381</v>
      </c>
      <c r="G1379" s="75">
        <f>3.6*F1379</f>
        <v>20.47022612961257</v>
      </c>
      <c r="H1379" s="75">
        <f>'THAM_SO_MOI'!$D$50</f>
        <v>1.8785906709588276</v>
      </c>
      <c r="I1379" s="75">
        <f>IF(F1379&gt;'THAM_SO_MOI'!$C$14,'THAM_SO_MOI'!$C$13*(1+F1379^2/1500),'THAM_SO_MOI'!$C$13)</f>
        <v>0.015</v>
      </c>
      <c r="J1379" s="75">
        <f>'THAM_SO_MOI'!$C$40*('THAM_SO_MOI'!$C$23*(E1379/'THAM_SO_MOI'!$C$22)+'THAM_SO_MOI'!$C$24*(E1379/'THAM_SO_MOI'!$C$22)^2-'THAM_SO_MOI'!$C$25*(E1379/'THAM_SO_MOI'!$C$22)^3)</f>
        <v>102.55729093014003</v>
      </c>
      <c r="K1379" s="75">
        <f>'THAM_SO_MOI'!$C$31*J1379/E1379</f>
        <v>429.4992979496962</v>
      </c>
      <c r="L1379" s="75">
        <f>K1379*'THAM_SO_MOI'!$C$50*'THAM_SO_MOI'!$C$17/'THAM_SO_MOI'!$C$26</f>
        <v>15333.710618947458</v>
      </c>
      <c r="M1379" s="75">
        <f>'THAM_SO_MOI'!$C$15*'THAM_SO_MOI'!$C$16*F1379^2</f>
        <v>94.57277866956863</v>
      </c>
      <c r="N1379" s="75">
        <f>'THAM_SO_MOI'!$C$12*I1379</f>
        <v>1130.112</v>
      </c>
      <c r="O1379" s="75">
        <f>M1379+N1379</f>
        <v>1224.6847786695687</v>
      </c>
      <c r="P1379" s="75">
        <f>(MIN(L1379,'THAM_SO_MOI'!$C$41)-O1379)/('THAM_SO_MOI'!$C$11*H1379)</f>
        <v>0.9779207189833746</v>
      </c>
      <c r="Q1379" s="75">
        <f>IF(P1379&gt;0,1/P1379,NA())</f>
        <v>1.0225777822148798</v>
      </c>
      <c r="R1379" s="75">
        <f>F1379-F1378</f>
        <v>0.0032106047296869278</v>
      </c>
      <c r="S1379" s="75">
        <f>0.5*(Q1378+Q1379)*R1379</f>
        <v>0.0032830218338319784</v>
      </c>
      <c r="T1379" s="75">
        <f>0.5*(F1378*Q1378+F1379*Q1379)*R1379</f>
        <v>0.01866256301802012</v>
      </c>
      <c r="U1379" s="76">
        <f>U1378+S1379</f>
        <v>5.944477554599045</v>
      </c>
      <c r="V1379" s="76">
        <f>V1378+T1379</f>
        <v>20.863076077386946</v>
      </c>
    </row>
    <row r="1380" spans="1:22" ht="19" customHeight="1">
      <c r="A1380" s="68" t="s">
        <v>372</v>
      </c>
      <c r="B1380" s="74">
        <v>2</v>
      </c>
      <c r="C1380" s="68" t="s">
        <v>363</v>
      </c>
      <c r="D1380" s="68" t="s">
        <v>364</v>
      </c>
      <c r="E1380" s="75">
        <f>60*F1380*'THAM_SO_MOI'!$C$50/(2*PI()*'THAM_SO_MOI'!$C$26)</f>
        <v>2281.9312110300293</v>
      </c>
      <c r="F1380" s="75">
        <f>'HANH_TRINH'!$F$826+('THAM_SO_MOI'!$F$50-'HANH_TRINH'!$F$826)*553/'THAM_SO_MOI'!$C$42</f>
        <v>5.6893845296220675</v>
      </c>
      <c r="G1380" s="75">
        <f>3.6*F1380</f>
        <v>20.481784306639444</v>
      </c>
      <c r="H1380" s="75">
        <f>'THAM_SO_MOI'!$D$50</f>
        <v>1.8785906709588276</v>
      </c>
      <c r="I1380" s="75">
        <f>IF(F1380&gt;'THAM_SO_MOI'!$C$14,'THAM_SO_MOI'!$C$13*(1+F1380^2/1500),'THAM_SO_MOI'!$C$13)</f>
        <v>0.015</v>
      </c>
      <c r="J1380" s="75">
        <f>'THAM_SO_MOI'!$C$40*('THAM_SO_MOI'!$C$23*(E1380/'THAM_SO_MOI'!$C$22)+'THAM_SO_MOI'!$C$24*(E1380/'THAM_SO_MOI'!$C$22)^2-'THAM_SO_MOI'!$C$25*(E1380/'THAM_SO_MOI'!$C$22)^3)</f>
        <v>102.61177704861853</v>
      </c>
      <c r="K1380" s="75">
        <f>'THAM_SO_MOI'!$C$31*J1380/E1380</f>
        <v>429.4849785227743</v>
      </c>
      <c r="L1380" s="75">
        <f>K1380*'THAM_SO_MOI'!$C$50*'THAM_SO_MOI'!$C$17/'THAM_SO_MOI'!$C$26</f>
        <v>15333.199395879814</v>
      </c>
      <c r="M1380" s="75">
        <f>'THAM_SO_MOI'!$C$15*'THAM_SO_MOI'!$C$16*F1380^2</f>
        <v>94.67960675326603</v>
      </c>
      <c r="N1380" s="75">
        <f>'THAM_SO_MOI'!$C$12*I1380</f>
        <v>1130.112</v>
      </c>
      <c r="O1380" s="75">
        <f>M1380+N1380</f>
        <v>1224.791606753266</v>
      </c>
      <c r="P1380" s="75">
        <f>(MIN(L1380,'THAM_SO_MOI'!$C$41)-O1380)/('THAM_SO_MOI'!$C$11*H1380)</f>
        <v>0.9778778808007014</v>
      </c>
      <c r="Q1380" s="75">
        <f>IF(P1380&gt;0,1/P1380,NA())</f>
        <v>1.0226225785792238</v>
      </c>
      <c r="R1380" s="75">
        <f>F1380-F1379</f>
        <v>0.0032106047296869278</v>
      </c>
      <c r="S1380" s="75">
        <f>0.5*(Q1379+Q1380)*R1380</f>
        <v>0.0032831649757614797</v>
      </c>
      <c r="T1380" s="75">
        <f>0.5*(F1379*Q1379+F1380*Q1380)*R1380</f>
        <v>0.01867391766423465</v>
      </c>
      <c r="U1380" s="76">
        <f>U1379+S1380</f>
        <v>5.947760719574807</v>
      </c>
      <c r="V1380" s="76">
        <f>V1379+T1380</f>
        <v>20.88174999505118</v>
      </c>
    </row>
    <row r="1381" spans="1:22" ht="19" customHeight="1">
      <c r="A1381" s="68" t="s">
        <v>372</v>
      </c>
      <c r="B1381" s="74">
        <v>2</v>
      </c>
      <c r="C1381" s="68" t="s">
        <v>363</v>
      </c>
      <c r="D1381" s="68" t="s">
        <v>364</v>
      </c>
      <c r="E1381" s="75">
        <f>60*F1381*'THAM_SO_MOI'!$C$50/(2*PI()*'THAM_SO_MOI'!$C$26)</f>
        <v>2283.2189389205955</v>
      </c>
      <c r="F1381" s="75">
        <f>'HANH_TRINH'!$F$826+('THAM_SO_MOI'!$F$50-'HANH_TRINH'!$F$826)*554/'THAM_SO_MOI'!$C$42</f>
        <v>5.692595134351754</v>
      </c>
      <c r="G1381" s="75">
        <f>3.6*F1381</f>
        <v>20.493342483666314</v>
      </c>
      <c r="H1381" s="75">
        <f>'THAM_SO_MOI'!$D$50</f>
        <v>1.8785906709588276</v>
      </c>
      <c r="I1381" s="75">
        <f>IF(F1381&gt;'THAM_SO_MOI'!$C$14,'THAM_SO_MOI'!$C$13*(1+F1381^2/1500),'THAM_SO_MOI'!$C$13)</f>
        <v>0.015</v>
      </c>
      <c r="J1381" s="75">
        <f>'THAM_SO_MOI'!$C$40*('THAM_SO_MOI'!$C$23*(E1381/'THAM_SO_MOI'!$C$22)+'THAM_SO_MOI'!$C$24*(E1381/'THAM_SO_MOI'!$C$22)^2-'THAM_SO_MOI'!$C$25*(E1381/'THAM_SO_MOI'!$C$22)^3)</f>
        <v>102.66622084836494</v>
      </c>
      <c r="K1381" s="75">
        <f>'THAM_SO_MOI'!$C$31*J1381/E1381</f>
        <v>429.47049822152013</v>
      </c>
      <c r="L1381" s="75">
        <f>K1381*'THAM_SO_MOI'!$C$50*'THAM_SO_MOI'!$C$17/'THAM_SO_MOI'!$C$26</f>
        <v>15332.682429379129</v>
      </c>
      <c r="M1381" s="75">
        <f>'THAM_SO_MOI'!$C$15*'THAM_SO_MOI'!$C$16*F1381^2</f>
        <v>94.78649513866239</v>
      </c>
      <c r="N1381" s="75">
        <f>'THAM_SO_MOI'!$C$12*I1381</f>
        <v>1130.112</v>
      </c>
      <c r="O1381" s="75">
        <f>M1381+N1381</f>
        <v>1224.8984951386624</v>
      </c>
      <c r="P1381" s="75">
        <f>(MIN(L1381,'THAM_SO_MOI'!$C$41)-O1381)/('THAM_SO_MOI'!$C$11*H1381)</f>
        <v>0.977834640351244</v>
      </c>
      <c r="Q1381" s="75">
        <f>IF(P1381&gt;0,1/P1381,NA())</f>
        <v>1.0226677995788676</v>
      </c>
      <c r="R1381" s="75">
        <f>F1381-F1380</f>
        <v>0.0032106047296860396</v>
      </c>
      <c r="S1381" s="75">
        <f>0.5*(Q1380+Q1381)*R1381</f>
        <v>0.003283309480847858</v>
      </c>
      <c r="T1381" s="75">
        <f>0.5*(F1380*Q1380+F1381*Q1381)*R1381</f>
        <v>0.018685280987305704</v>
      </c>
      <c r="U1381" s="76">
        <f>U1380+S1381</f>
        <v>5.951044029055654</v>
      </c>
      <c r="V1381" s="76">
        <f>V1380+T1381</f>
        <v>20.900435276038486</v>
      </c>
    </row>
    <row r="1382" spans="1:22" ht="19" customHeight="1">
      <c r="A1382" s="68" t="s">
        <v>372</v>
      </c>
      <c r="B1382" s="74">
        <v>2</v>
      </c>
      <c r="C1382" s="68" t="s">
        <v>363</v>
      </c>
      <c r="D1382" s="68" t="s">
        <v>364</v>
      </c>
      <c r="E1382" s="75">
        <f>60*F1382*'THAM_SO_MOI'!$C$50/(2*PI()*'THAM_SO_MOI'!$C$26)</f>
        <v>2284.506666811162</v>
      </c>
      <c r="F1382" s="75">
        <f>'HANH_TRINH'!$F$826+('THAM_SO_MOI'!$F$50-'HANH_TRINH'!$F$826)*555/'THAM_SO_MOI'!$C$42</f>
        <v>5.6958057390814405</v>
      </c>
      <c r="G1382" s="75">
        <f>3.6*F1382</f>
        <v>20.504900660693185</v>
      </c>
      <c r="H1382" s="75">
        <f>'THAM_SO_MOI'!$D$50</f>
        <v>1.8785906709588276</v>
      </c>
      <c r="I1382" s="75">
        <f>IF(F1382&gt;'THAM_SO_MOI'!$C$14,'THAM_SO_MOI'!$C$13*(1+F1382^2/1500),'THAM_SO_MOI'!$C$13)</f>
        <v>0.015</v>
      </c>
      <c r="J1382" s="75">
        <f>'THAM_SO_MOI'!$C$40*('THAM_SO_MOI'!$C$23*(E1382/'THAM_SO_MOI'!$C$22)+'THAM_SO_MOI'!$C$24*(E1382/'THAM_SO_MOI'!$C$22)^2-'THAM_SO_MOI'!$C$25*(E1382/'THAM_SO_MOI'!$C$22)^3)</f>
        <v>102.72062226430968</v>
      </c>
      <c r="K1382" s="75">
        <f>'THAM_SO_MOI'!$C$31*J1382/E1382</f>
        <v>429.455857045934</v>
      </c>
      <c r="L1382" s="75">
        <f>K1382*'THAM_SO_MOI'!$C$50*'THAM_SO_MOI'!$C$17/'THAM_SO_MOI'!$C$26</f>
        <v>15332.15971944542</v>
      </c>
      <c r="M1382" s="75">
        <f>'THAM_SO_MOI'!$C$15*'THAM_SO_MOI'!$C$16*F1382^2</f>
        <v>94.89344382575774</v>
      </c>
      <c r="N1382" s="75">
        <f>'THAM_SO_MOI'!$C$12*I1382</f>
        <v>1130.112</v>
      </c>
      <c r="O1382" s="75">
        <f>M1382+N1382</f>
        <v>1225.0054438257578</v>
      </c>
      <c r="P1382" s="75">
        <f>(MIN(L1382,'THAM_SO_MOI'!$C$41)-O1382)/('THAM_SO_MOI'!$C$11*H1382)</f>
        <v>0.977790997635004</v>
      </c>
      <c r="Q1382" s="75">
        <f>IF(P1382&gt;0,1/P1382,NA())</f>
        <v>1.0227134453259574</v>
      </c>
      <c r="R1382" s="75">
        <f>F1382-F1381</f>
        <v>0.0032106047296869278</v>
      </c>
      <c r="S1382" s="75">
        <f>0.5*(Q1381+Q1382)*R1382</f>
        <v>0.003283455349452184</v>
      </c>
      <c r="T1382" s="75">
        <f>0.5*(F1381*Q1381+F1382*Q1382)*R1382</f>
        <v>0.018696653002418965</v>
      </c>
      <c r="U1382" s="76">
        <f>U1381+S1382</f>
        <v>5.954327484405106</v>
      </c>
      <c r="V1382" s="76">
        <f>V1381+T1382</f>
        <v>20.919131929040905</v>
      </c>
    </row>
    <row r="1383" spans="1:22" ht="19" customHeight="1">
      <c r="A1383" s="68" t="s">
        <v>372</v>
      </c>
      <c r="B1383" s="74">
        <v>2</v>
      </c>
      <c r="C1383" s="68" t="s">
        <v>363</v>
      </c>
      <c r="D1383" s="68" t="s">
        <v>364</v>
      </c>
      <c r="E1383" s="75">
        <f>60*F1383*'THAM_SO_MOI'!$C$50/(2*PI()*'THAM_SO_MOI'!$C$26)</f>
        <v>2285.794394701729</v>
      </c>
      <c r="F1383" s="75">
        <f>'HANH_TRINH'!$F$826+('THAM_SO_MOI'!$F$50-'HANH_TRINH'!$F$826)*556/'THAM_SO_MOI'!$C$42</f>
        <v>5.699016343811127</v>
      </c>
      <c r="G1383" s="75">
        <f>3.6*F1383</f>
        <v>20.51645883772006</v>
      </c>
      <c r="H1383" s="75">
        <f>'THAM_SO_MOI'!$D$50</f>
        <v>1.8785906709588276</v>
      </c>
      <c r="I1383" s="75">
        <f>IF(F1383&gt;'THAM_SO_MOI'!$C$14,'THAM_SO_MOI'!$C$13*(1+F1383^2/1500),'THAM_SO_MOI'!$C$13)</f>
        <v>0.015</v>
      </c>
      <c r="J1383" s="75">
        <f>'THAM_SO_MOI'!$C$40*('THAM_SO_MOI'!$C$23*(E1383/'THAM_SO_MOI'!$C$22)+'THAM_SO_MOI'!$C$24*(E1383/'THAM_SO_MOI'!$C$22)^2-'THAM_SO_MOI'!$C$25*(E1383/'THAM_SO_MOI'!$C$22)^3)</f>
        <v>102.77498123138292</v>
      </c>
      <c r="K1383" s="75">
        <f>'THAM_SO_MOI'!$C$31*J1383/E1383</f>
        <v>429.44105499601545</v>
      </c>
      <c r="L1383" s="75">
        <f>K1383*'THAM_SO_MOI'!$C$50*'THAM_SO_MOI'!$C$17/'THAM_SO_MOI'!$C$26</f>
        <v>15331.631266078672</v>
      </c>
      <c r="M1383" s="75">
        <f>'THAM_SO_MOI'!$C$15*'THAM_SO_MOI'!$C$16*F1383^2</f>
        <v>95.00045281455208</v>
      </c>
      <c r="N1383" s="75">
        <f>'THAM_SO_MOI'!$C$12*I1383</f>
        <v>1130.112</v>
      </c>
      <c r="O1383" s="75">
        <f>M1383+N1383</f>
        <v>1225.1124528145522</v>
      </c>
      <c r="P1383" s="75">
        <f>(MIN(L1383,'THAM_SO_MOI'!$C$41)-O1383)/('THAM_SO_MOI'!$C$11*H1383)</f>
        <v>0.9777469526519801</v>
      </c>
      <c r="Q1383" s="75">
        <f>IF(P1383&gt;0,1/P1383,NA())</f>
        <v>1.0227595159337108</v>
      </c>
      <c r="R1383" s="75">
        <f>F1383-F1382</f>
        <v>0.0032106047296869278</v>
      </c>
      <c r="S1383" s="75">
        <f>0.5*(Q1382+Q1383)*R1383</f>
        <v>0.003283602581933509</v>
      </c>
      <c r="T1383" s="75">
        <f>0.5*(F1382*Q1382+F1383*Q1383)*R1383</f>
        <v>0.018708033724753256</v>
      </c>
      <c r="U1383" s="76">
        <f>U1382+S1383</f>
        <v>5.95761108698704</v>
      </c>
      <c r="V1383" s="76">
        <f>V1382+T1383</f>
        <v>20.937839962765658</v>
      </c>
    </row>
    <row r="1384" spans="1:22" ht="19" customHeight="1">
      <c r="A1384" s="68" t="s">
        <v>372</v>
      </c>
      <c r="B1384" s="74">
        <v>2</v>
      </c>
      <c r="C1384" s="68" t="s">
        <v>363</v>
      </c>
      <c r="D1384" s="68" t="s">
        <v>364</v>
      </c>
      <c r="E1384" s="75">
        <f>60*F1384*'THAM_SO_MOI'!$C$50/(2*PI()*'THAM_SO_MOI'!$C$26)</f>
        <v>2287.0821225922955</v>
      </c>
      <c r="F1384" s="75">
        <f>'HANH_TRINH'!$F$826+('THAM_SO_MOI'!$F$50-'HANH_TRINH'!$F$826)*557/'THAM_SO_MOI'!$C$42</f>
        <v>5.702226948540814</v>
      </c>
      <c r="G1384" s="75">
        <f>3.6*F1384</f>
        <v>20.528017014746933</v>
      </c>
      <c r="H1384" s="75">
        <f>'THAM_SO_MOI'!$D$50</f>
        <v>1.8785906709588276</v>
      </c>
      <c r="I1384" s="75">
        <f>IF(F1384&gt;'THAM_SO_MOI'!$C$14,'THAM_SO_MOI'!$C$13*(1+F1384^2/1500),'THAM_SO_MOI'!$C$13)</f>
        <v>0.015</v>
      </c>
      <c r="J1384" s="75">
        <f>'THAM_SO_MOI'!$C$40*('THAM_SO_MOI'!$C$23*(E1384/'THAM_SO_MOI'!$C$22)+'THAM_SO_MOI'!$C$24*(E1384/'THAM_SO_MOI'!$C$22)^2-'THAM_SO_MOI'!$C$25*(E1384/'THAM_SO_MOI'!$C$22)^3)</f>
        <v>102.82929768451501</v>
      </c>
      <c r="K1384" s="75">
        <f>'THAM_SO_MOI'!$C$31*J1384/E1384</f>
        <v>429.42609207176463</v>
      </c>
      <c r="L1384" s="75">
        <f>K1384*'THAM_SO_MOI'!$C$50*'THAM_SO_MOI'!$C$17/'THAM_SO_MOI'!$C$26</f>
        <v>15331.097069278883</v>
      </c>
      <c r="M1384" s="75">
        <f>'THAM_SO_MOI'!$C$15*'THAM_SO_MOI'!$C$16*F1384^2</f>
        <v>95.10752210504539</v>
      </c>
      <c r="N1384" s="75">
        <f>'THAM_SO_MOI'!$C$12*I1384</f>
        <v>1130.112</v>
      </c>
      <c r="O1384" s="75">
        <f>M1384+N1384</f>
        <v>1225.2195221050454</v>
      </c>
      <c r="P1384" s="75">
        <f>(MIN(L1384,'THAM_SO_MOI'!$C$41)-O1384)/('THAM_SO_MOI'!$C$11*H1384)</f>
        <v>0.9777025054021722</v>
      </c>
      <c r="Q1384" s="75">
        <f>IF(P1384&gt;0,1/P1384,NA())</f>
        <v>1.022806011516413</v>
      </c>
      <c r="R1384" s="75">
        <f>F1384-F1383</f>
        <v>0.0032106047296869278</v>
      </c>
      <c r="S1384" s="75">
        <f>0.5*(Q1383+Q1384)*R1384</f>
        <v>0.0032837511786579514</v>
      </c>
      <c r="T1384" s="75">
        <f>0.5*(F1383*Q1383+F1384*Q1384)*R1384</f>
        <v>0.01871942316953229</v>
      </c>
      <c r="U1384" s="76">
        <f>U1383+S1384</f>
        <v>5.960894838165697</v>
      </c>
      <c r="V1384" s="76">
        <f>V1383+T1384</f>
        <v>20.95655938593519</v>
      </c>
    </row>
    <row r="1385" spans="1:22" ht="19" customHeight="1">
      <c r="A1385" s="68" t="s">
        <v>372</v>
      </c>
      <c r="B1385" s="74">
        <v>2</v>
      </c>
      <c r="C1385" s="68" t="s">
        <v>363</v>
      </c>
      <c r="D1385" s="68" t="s">
        <v>364</v>
      </c>
      <c r="E1385" s="75">
        <f>60*F1385*'THAM_SO_MOI'!$C$50/(2*PI()*'THAM_SO_MOI'!$C$26)</f>
        <v>2288.3698504828626</v>
      </c>
      <c r="F1385" s="75">
        <f>'HANH_TRINH'!$F$826+('THAM_SO_MOI'!$F$50-'HANH_TRINH'!$F$826)*558/'THAM_SO_MOI'!$C$42</f>
        <v>5.705437553270501</v>
      </c>
      <c r="G1385" s="75">
        <f>3.6*F1385</f>
        <v>20.539575191773807</v>
      </c>
      <c r="H1385" s="75">
        <f>'THAM_SO_MOI'!$D$50</f>
        <v>1.8785906709588276</v>
      </c>
      <c r="I1385" s="75">
        <f>IF(F1385&gt;'THAM_SO_MOI'!$C$14,'THAM_SO_MOI'!$C$13*(1+F1385^2/1500),'THAM_SO_MOI'!$C$13)</f>
        <v>0.015</v>
      </c>
      <c r="J1385" s="75">
        <f>'THAM_SO_MOI'!$C$40*('THAM_SO_MOI'!$C$23*(E1385/'THAM_SO_MOI'!$C$22)+'THAM_SO_MOI'!$C$24*(E1385/'THAM_SO_MOI'!$C$22)^2-'THAM_SO_MOI'!$C$25*(E1385/'THAM_SO_MOI'!$C$22)^3)</f>
        <v>102.88357155863626</v>
      </c>
      <c r="K1385" s="75">
        <f>'THAM_SO_MOI'!$C$31*J1385/E1385</f>
        <v>429.41096827318154</v>
      </c>
      <c r="L1385" s="75">
        <f>K1385*'THAM_SO_MOI'!$C$50*'THAM_SO_MOI'!$C$17/'THAM_SO_MOI'!$C$26</f>
        <v>15330.557129046061</v>
      </c>
      <c r="M1385" s="75">
        <f>'THAM_SO_MOI'!$C$15*'THAM_SO_MOI'!$C$16*F1385^2</f>
        <v>95.21465169723766</v>
      </c>
      <c r="N1385" s="75">
        <f>'THAM_SO_MOI'!$C$12*I1385</f>
        <v>1130.112</v>
      </c>
      <c r="O1385" s="75">
        <f>M1385+N1385</f>
        <v>1225.3266516972378</v>
      </c>
      <c r="P1385" s="75">
        <f>(MIN(L1385,'THAM_SO_MOI'!$C$41)-O1385)/('THAM_SO_MOI'!$C$11*H1385)</f>
        <v>0.9776576558855811</v>
      </c>
      <c r="Q1385" s="75">
        <f>IF(P1385&gt;0,1/P1385,NA())</f>
        <v>1.0228529321894184</v>
      </c>
      <c r="R1385" s="75">
        <f>F1385-F1384</f>
        <v>0.0032106047296869278</v>
      </c>
      <c r="S1385" s="75">
        <f>0.5*(Q1384+Q1385)*R1385</f>
        <v>0.003283901139994153</v>
      </c>
      <c r="T1385" s="75">
        <f>0.5*(F1384*Q1384+F1385*Q1385)*R1385</f>
        <v>0.01873082135199888</v>
      </c>
      <c r="U1385" s="76">
        <f>U1384+S1385</f>
        <v>5.964178739305692</v>
      </c>
      <c r="V1385" s="76">
        <f>V1384+T1385</f>
        <v>20.975290207287188</v>
      </c>
    </row>
    <row r="1386" spans="1:22" ht="19" customHeight="1">
      <c r="A1386" s="68" t="s">
        <v>372</v>
      </c>
      <c r="B1386" s="74">
        <v>2</v>
      </c>
      <c r="C1386" s="68" t="s">
        <v>363</v>
      </c>
      <c r="D1386" s="68" t="s">
        <v>364</v>
      </c>
      <c r="E1386" s="75">
        <f>60*F1386*'THAM_SO_MOI'!$C$50/(2*PI()*'THAM_SO_MOI'!$C$26)</f>
        <v>2289.6575783734293</v>
      </c>
      <c r="F1386" s="75">
        <f>'HANH_TRINH'!$F$826+('THAM_SO_MOI'!$F$50-'HANH_TRINH'!$F$826)*559/'THAM_SO_MOI'!$C$42</f>
        <v>5.708648158000188</v>
      </c>
      <c r="G1386" s="75">
        <f>3.6*F1386</f>
        <v>20.551133368800677</v>
      </c>
      <c r="H1386" s="75">
        <f>'THAM_SO_MOI'!$D$50</f>
        <v>1.8785906709588276</v>
      </c>
      <c r="I1386" s="75">
        <f>IF(F1386&gt;'THAM_SO_MOI'!$C$14,'THAM_SO_MOI'!$C$13*(1+F1386^2/1500),'THAM_SO_MOI'!$C$13)</f>
        <v>0.015</v>
      </c>
      <c r="J1386" s="75">
        <f>'THAM_SO_MOI'!$C$40*('THAM_SO_MOI'!$C$23*(E1386/'THAM_SO_MOI'!$C$22)+'THAM_SO_MOI'!$C$24*(E1386/'THAM_SO_MOI'!$C$22)^2-'THAM_SO_MOI'!$C$25*(E1386/'THAM_SO_MOI'!$C$22)^3)</f>
        <v>102.93780278867699</v>
      </c>
      <c r="K1386" s="75">
        <f>'THAM_SO_MOI'!$C$31*J1386/E1386</f>
        <v>429.3956836002664</v>
      </c>
      <c r="L1386" s="75">
        <f>K1386*'THAM_SO_MOI'!$C$50*'THAM_SO_MOI'!$C$17/'THAM_SO_MOI'!$C$26</f>
        <v>15330.011445380209</v>
      </c>
      <c r="M1386" s="75">
        <f>'THAM_SO_MOI'!$C$15*'THAM_SO_MOI'!$C$16*F1386^2</f>
        <v>95.32184159112892</v>
      </c>
      <c r="N1386" s="75">
        <f>'THAM_SO_MOI'!$C$12*I1386</f>
        <v>1130.112</v>
      </c>
      <c r="O1386" s="75">
        <f>M1386+N1386</f>
        <v>1225.433841591129</v>
      </c>
      <c r="P1386" s="75">
        <f>(MIN(L1386,'THAM_SO_MOI'!$C$41)-O1386)/('THAM_SO_MOI'!$C$11*H1386)</f>
        <v>0.9776124041022064</v>
      </c>
      <c r="Q1386" s="75">
        <f>IF(P1386&gt;0,1/P1386,NA())</f>
        <v>1.022900278069153</v>
      </c>
      <c r="R1386" s="75">
        <f>F1386-F1385</f>
        <v>0.0032106047296869278</v>
      </c>
      <c r="S1386" s="75">
        <f>0.5*(Q1385+Q1386)*R1386</f>
        <v>0.0032840524663141925</v>
      </c>
      <c r="T1386" s="75">
        <f>0.5*(F1385*Q1385+F1386*Q1386)*R1386</f>
        <v>0.018742228287420178</v>
      </c>
      <c r="U1386" s="76">
        <f>U1385+S1386</f>
        <v>5.967462791772006</v>
      </c>
      <c r="V1386" s="76">
        <f>V1385+T1386</f>
        <v>20.994032435574606</v>
      </c>
    </row>
    <row r="1387" spans="1:22" ht="19" customHeight="1">
      <c r="A1387" s="68" t="s">
        <v>372</v>
      </c>
      <c r="B1387" s="74">
        <v>2</v>
      </c>
      <c r="C1387" s="68" t="s">
        <v>363</v>
      </c>
      <c r="D1387" s="68" t="s">
        <v>364</v>
      </c>
      <c r="E1387" s="75">
        <f>60*F1387*'THAM_SO_MOI'!$C$50/(2*PI()*'THAM_SO_MOI'!$C$26)</f>
        <v>2290.945306263996</v>
      </c>
      <c r="F1387" s="75">
        <f>'HANH_TRINH'!$F$826+('THAM_SO_MOI'!$F$50-'HANH_TRINH'!$F$826)*560/'THAM_SO_MOI'!$C$42</f>
        <v>5.711858762729875</v>
      </c>
      <c r="G1387" s="75">
        <f>3.6*F1387</f>
        <v>20.56269154582755</v>
      </c>
      <c r="H1387" s="75">
        <f>'THAM_SO_MOI'!$D$50</f>
        <v>1.8785906709588276</v>
      </c>
      <c r="I1387" s="75">
        <f>IF(F1387&gt;'THAM_SO_MOI'!$C$14,'THAM_SO_MOI'!$C$13*(1+F1387^2/1500),'THAM_SO_MOI'!$C$13)</f>
        <v>0.015</v>
      </c>
      <c r="J1387" s="75">
        <f>'THAM_SO_MOI'!$C$40*('THAM_SO_MOI'!$C$23*(E1387/'THAM_SO_MOI'!$C$22)+'THAM_SO_MOI'!$C$24*(E1387/'THAM_SO_MOI'!$C$22)^2-'THAM_SO_MOI'!$C$25*(E1387/'THAM_SO_MOI'!$C$22)^3)</f>
        <v>102.99199130956741</v>
      </c>
      <c r="K1387" s="75">
        <f>'THAM_SO_MOI'!$C$31*J1387/E1387</f>
        <v>429.3802380530187</v>
      </c>
      <c r="L1387" s="75">
        <f>K1387*'THAM_SO_MOI'!$C$50*'THAM_SO_MOI'!$C$17/'THAM_SO_MOI'!$C$26</f>
        <v>15329.460018281308</v>
      </c>
      <c r="M1387" s="75">
        <f>'THAM_SO_MOI'!$C$15*'THAM_SO_MOI'!$C$16*F1387^2</f>
        <v>95.42909178671913</v>
      </c>
      <c r="N1387" s="75">
        <f>'THAM_SO_MOI'!$C$12*I1387</f>
        <v>1130.112</v>
      </c>
      <c r="O1387" s="75">
        <f>M1387+N1387</f>
        <v>1225.541091786719</v>
      </c>
      <c r="P1387" s="75">
        <f>(MIN(L1387,'THAM_SO_MOI'!$C$41)-O1387)/('THAM_SO_MOI'!$C$11*H1387)</f>
        <v>0.9775667500520475</v>
      </c>
      <c r="Q1387" s="75">
        <f>IF(P1387&gt;0,1/P1387,NA())</f>
        <v>1.0229480492731142</v>
      </c>
      <c r="R1387" s="75">
        <f>F1387-F1386</f>
        <v>0.0032106047296869278</v>
      </c>
      <c r="S1387" s="75">
        <f>0.5*(Q1386+Q1387)*R1387</f>
        <v>0.003284205157993587</v>
      </c>
      <c r="T1387" s="75">
        <f>0.5*(F1386*Q1386+F1387*Q1387)*R1387</f>
        <v>0.01875364399108775</v>
      </c>
      <c r="U1387" s="76">
        <f>U1386+S1387</f>
        <v>5.970746996929999</v>
      </c>
      <c r="V1387" s="76">
        <f>V1386+T1387</f>
        <v>21.012786079565693</v>
      </c>
    </row>
    <row r="1388" spans="1:22" ht="19" customHeight="1">
      <c r="A1388" s="68" t="s">
        <v>372</v>
      </c>
      <c r="B1388" s="74">
        <v>2</v>
      </c>
      <c r="C1388" s="68" t="s">
        <v>363</v>
      </c>
      <c r="D1388" s="68" t="s">
        <v>364</v>
      </c>
      <c r="E1388" s="75">
        <f>60*F1388*'THAM_SO_MOI'!$C$50/(2*PI()*'THAM_SO_MOI'!$C$26)</f>
        <v>2292.233034154562</v>
      </c>
      <c r="F1388" s="75">
        <f>'HANH_TRINH'!$F$826+('THAM_SO_MOI'!$F$50-'HANH_TRINH'!$F$826)*561/'THAM_SO_MOI'!$C$42</f>
        <v>5.715069367459561</v>
      </c>
      <c r="G1388" s="75">
        <f>3.6*F1388</f>
        <v>20.57424972285442</v>
      </c>
      <c r="H1388" s="75">
        <f>'THAM_SO_MOI'!$D$50</f>
        <v>1.8785906709588276</v>
      </c>
      <c r="I1388" s="75">
        <f>IF(F1388&gt;'THAM_SO_MOI'!$C$14,'THAM_SO_MOI'!$C$13*(1+F1388^2/1500),'THAM_SO_MOI'!$C$13)</f>
        <v>0.015</v>
      </c>
      <c r="J1388" s="75">
        <f>'THAM_SO_MOI'!$C$40*('THAM_SO_MOI'!$C$23*(E1388/'THAM_SO_MOI'!$C$22)+'THAM_SO_MOI'!$C$24*(E1388/'THAM_SO_MOI'!$C$22)^2-'THAM_SO_MOI'!$C$25*(E1388/'THAM_SO_MOI'!$C$22)^3)</f>
        <v>103.0461370562379</v>
      </c>
      <c r="K1388" s="75">
        <f>'THAM_SO_MOI'!$C$31*J1388/E1388</f>
        <v>429.36463163143895</v>
      </c>
      <c r="L1388" s="75">
        <f>K1388*'THAM_SO_MOI'!$C$50*'THAM_SO_MOI'!$C$17/'THAM_SO_MOI'!$C$26</f>
        <v>15328.902847749383</v>
      </c>
      <c r="M1388" s="75">
        <f>'THAM_SO_MOI'!$C$15*'THAM_SO_MOI'!$C$16*F1388^2</f>
        <v>95.53640228400829</v>
      </c>
      <c r="N1388" s="75">
        <f>'THAM_SO_MOI'!$C$12*I1388</f>
        <v>1130.112</v>
      </c>
      <c r="O1388" s="75">
        <f>M1388+N1388</f>
        <v>1225.6484022840084</v>
      </c>
      <c r="P1388" s="75">
        <f>(MIN(L1388,'THAM_SO_MOI'!$C$41)-O1388)/('THAM_SO_MOI'!$C$11*H1388)</f>
        <v>0.9775206937351058</v>
      </c>
      <c r="Q1388" s="75">
        <f>IF(P1388&gt;0,1/P1388,NA())</f>
        <v>1.0229962459198698</v>
      </c>
      <c r="R1388" s="75">
        <f>F1388-F1387</f>
        <v>0.0032106047296860396</v>
      </c>
      <c r="S1388" s="75">
        <f>0.5*(Q1387+Q1388)*R1388</f>
        <v>0.003284359215410383</v>
      </c>
      <c r="T1388" s="75">
        <f>0.5*(F1387*Q1387+F1388*Q1388)*R1388</f>
        <v>0.018765068478312455</v>
      </c>
      <c r="U1388" s="76">
        <f>U1387+S1388</f>
        <v>5.974031356145409</v>
      </c>
      <c r="V1388" s="76">
        <f>V1387+T1388</f>
        <v>21.031551148044006</v>
      </c>
    </row>
    <row r="1389" spans="1:22" ht="19" customHeight="1">
      <c r="A1389" s="68" t="s">
        <v>372</v>
      </c>
      <c r="B1389" s="74">
        <v>2</v>
      </c>
      <c r="C1389" s="68" t="s">
        <v>363</v>
      </c>
      <c r="D1389" s="68" t="s">
        <v>364</v>
      </c>
      <c r="E1389" s="75">
        <f>60*F1389*'THAM_SO_MOI'!$C$50/(2*PI()*'THAM_SO_MOI'!$C$26)</f>
        <v>2293.520762045129</v>
      </c>
      <c r="F1389" s="75">
        <f>'HANH_TRINH'!$F$826+('THAM_SO_MOI'!$F$50-'HANH_TRINH'!$F$826)*562/'THAM_SO_MOI'!$C$42</f>
        <v>5.718279972189248</v>
      </c>
      <c r="G1389" s="75">
        <f>3.6*F1389</f>
        <v>20.585807899881292</v>
      </c>
      <c r="H1389" s="75">
        <f>'THAM_SO_MOI'!$D$50</f>
        <v>1.8785906709588276</v>
      </c>
      <c r="I1389" s="75">
        <f>IF(F1389&gt;'THAM_SO_MOI'!$C$14,'THAM_SO_MOI'!$C$13*(1+F1389^2/1500),'THAM_SO_MOI'!$C$13)</f>
        <v>0.015</v>
      </c>
      <c r="J1389" s="75">
        <f>'THAM_SO_MOI'!$C$40*('THAM_SO_MOI'!$C$23*(E1389/'THAM_SO_MOI'!$C$22)+'THAM_SO_MOI'!$C$24*(E1389/'THAM_SO_MOI'!$C$22)^2-'THAM_SO_MOI'!$C$25*(E1389/'THAM_SO_MOI'!$C$22)^3)</f>
        <v>103.10023996361875</v>
      </c>
      <c r="K1389" s="75">
        <f>'THAM_SO_MOI'!$C$31*J1389/E1389</f>
        <v>429.34886433552686</v>
      </c>
      <c r="L1389" s="75">
        <f>K1389*'THAM_SO_MOI'!$C$50*'THAM_SO_MOI'!$C$17/'THAM_SO_MOI'!$C$26</f>
        <v>15328.339933784415</v>
      </c>
      <c r="M1389" s="75">
        <f>'THAM_SO_MOI'!$C$15*'THAM_SO_MOI'!$C$16*F1389^2</f>
        <v>95.64377308299647</v>
      </c>
      <c r="N1389" s="75">
        <f>'THAM_SO_MOI'!$C$12*I1389</f>
        <v>1130.112</v>
      </c>
      <c r="O1389" s="75">
        <f>M1389+N1389</f>
        <v>1225.7557730829965</v>
      </c>
      <c r="P1389" s="75">
        <f>(MIN(L1389,'THAM_SO_MOI'!$C$41)-O1389)/('THAM_SO_MOI'!$C$11*H1389)</f>
        <v>0.9774742351513798</v>
      </c>
      <c r="Q1389" s="75">
        <f>IF(P1389&gt;0,1/P1389,NA())</f>
        <v>1.023044868129063</v>
      </c>
      <c r="R1389" s="75">
        <f>F1389-F1388</f>
        <v>0.0032106047296869278</v>
      </c>
      <c r="S1389" s="75">
        <f>0.5*(Q1388+Q1389)*R1389</f>
        <v>0.003284514638949707</v>
      </c>
      <c r="T1389" s="75">
        <f>0.5*(F1388*Q1388+F1389*Q1389)*R1389</f>
        <v>0.018776501764450462</v>
      </c>
      <c r="U1389" s="76">
        <f>U1388+S1389</f>
        <v>5.977315870784359</v>
      </c>
      <c r="V1389" s="76">
        <f>V1388+T1389</f>
        <v>21.050327649808455</v>
      </c>
    </row>
    <row r="1390" spans="1:22" ht="19" customHeight="1">
      <c r="A1390" s="68" t="s">
        <v>372</v>
      </c>
      <c r="B1390" s="74">
        <v>2</v>
      </c>
      <c r="C1390" s="68" t="s">
        <v>363</v>
      </c>
      <c r="D1390" s="68" t="s">
        <v>364</v>
      </c>
      <c r="E1390" s="75">
        <f>60*F1390*'THAM_SO_MOI'!$C$50/(2*PI()*'THAM_SO_MOI'!$C$26)</f>
        <v>2294.8084899356954</v>
      </c>
      <c r="F1390" s="75">
        <f>'HANH_TRINH'!$F$826+('THAM_SO_MOI'!$F$50-'HANH_TRINH'!$F$826)*563/'THAM_SO_MOI'!$C$42</f>
        <v>5.721490576918935</v>
      </c>
      <c r="G1390" s="75">
        <f>3.6*F1390</f>
        <v>20.597366076908166</v>
      </c>
      <c r="H1390" s="75">
        <f>'THAM_SO_MOI'!$D$50</f>
        <v>1.8785906709588276</v>
      </c>
      <c r="I1390" s="75">
        <f>IF(F1390&gt;'THAM_SO_MOI'!$C$14,'THAM_SO_MOI'!$C$13*(1+F1390^2/1500),'THAM_SO_MOI'!$C$13)</f>
        <v>0.015</v>
      </c>
      <c r="J1390" s="75">
        <f>'THAM_SO_MOI'!$C$40*('THAM_SO_MOI'!$C$23*(E1390/'THAM_SO_MOI'!$C$22)+'THAM_SO_MOI'!$C$24*(E1390/'THAM_SO_MOI'!$C$22)^2-'THAM_SO_MOI'!$C$25*(E1390/'THAM_SO_MOI'!$C$22)^3)</f>
        <v>103.15429996664025</v>
      </c>
      <c r="K1390" s="75">
        <f>'THAM_SO_MOI'!$C$31*J1390/E1390</f>
        <v>429.33293616528255</v>
      </c>
      <c r="L1390" s="75">
        <f>K1390*'THAM_SO_MOI'!$C$50*'THAM_SO_MOI'!$C$17/'THAM_SO_MOI'!$C$26</f>
        <v>15327.771276386413</v>
      </c>
      <c r="M1390" s="75">
        <f>'THAM_SO_MOI'!$C$15*'THAM_SO_MOI'!$C$16*F1390^2</f>
        <v>95.7512041836836</v>
      </c>
      <c r="N1390" s="75">
        <f>'THAM_SO_MOI'!$C$12*I1390</f>
        <v>1130.112</v>
      </c>
      <c r="O1390" s="75">
        <f>M1390+N1390</f>
        <v>1225.8632041836836</v>
      </c>
      <c r="P1390" s="75">
        <f>(MIN(L1390,'THAM_SO_MOI'!$C$41)-O1390)/('THAM_SO_MOI'!$C$11*H1390)</f>
        <v>0.9774273743008702</v>
      </c>
      <c r="Q1390" s="75">
        <f>IF(P1390&gt;0,1/P1390,NA())</f>
        <v>1.023093916021408</v>
      </c>
      <c r="R1390" s="75">
        <f>F1390-F1389</f>
        <v>0.0032106047296869278</v>
      </c>
      <c r="S1390" s="75">
        <f>0.5*(Q1389+Q1390)*R1390</f>
        <v>0.0032846714289946808</v>
      </c>
      <c r="T1390" s="75">
        <f>0.5*(F1389*Q1389+F1390*Q1390)*R1390</f>
        <v>0.018787943864851428</v>
      </c>
      <c r="U1390" s="76">
        <f>U1389+S1390</f>
        <v>5.980600542213354</v>
      </c>
      <c r="V1390" s="76">
        <f>V1389+T1390</f>
        <v>21.069115593673306</v>
      </c>
    </row>
    <row r="1391" spans="1:22" ht="19" customHeight="1">
      <c r="A1391" s="68" t="s">
        <v>372</v>
      </c>
      <c r="B1391" s="74">
        <v>2</v>
      </c>
      <c r="C1391" s="68" t="s">
        <v>363</v>
      </c>
      <c r="D1391" s="68" t="s">
        <v>364</v>
      </c>
      <c r="E1391" s="75">
        <f>60*F1391*'THAM_SO_MOI'!$C$50/(2*PI()*'THAM_SO_MOI'!$C$26)</f>
        <v>2296.0962178262625</v>
      </c>
      <c r="F1391" s="75">
        <f>'HANH_TRINH'!$F$826+('THAM_SO_MOI'!$F$50-'HANH_TRINH'!$F$826)*564/'THAM_SO_MOI'!$C$42</f>
        <v>5.724701181648622</v>
      </c>
      <c r="G1391" s="75">
        <f>3.6*F1391</f>
        <v>20.60892425393504</v>
      </c>
      <c r="H1391" s="75">
        <f>'THAM_SO_MOI'!$D$50</f>
        <v>1.8785906709588276</v>
      </c>
      <c r="I1391" s="75">
        <f>IF(F1391&gt;'THAM_SO_MOI'!$C$14,'THAM_SO_MOI'!$C$13*(1+F1391^2/1500),'THAM_SO_MOI'!$C$13)</f>
        <v>0.015</v>
      </c>
      <c r="J1391" s="75">
        <f>'THAM_SO_MOI'!$C$40*('THAM_SO_MOI'!$C$23*(E1391/'THAM_SO_MOI'!$C$22)+'THAM_SO_MOI'!$C$24*(E1391/'THAM_SO_MOI'!$C$22)^2-'THAM_SO_MOI'!$C$25*(E1391/'THAM_SO_MOI'!$C$22)^3)</f>
        <v>103.20831700023273</v>
      </c>
      <c r="K1391" s="75">
        <f>'THAM_SO_MOI'!$C$31*J1391/E1391</f>
        <v>429.316847120706</v>
      </c>
      <c r="L1391" s="75">
        <f>K1391*'THAM_SO_MOI'!$C$50*'THAM_SO_MOI'!$C$17/'THAM_SO_MOI'!$C$26</f>
        <v>15327.196875555373</v>
      </c>
      <c r="M1391" s="75">
        <f>'THAM_SO_MOI'!$C$15*'THAM_SO_MOI'!$C$16*F1391^2</f>
        <v>95.85869558606971</v>
      </c>
      <c r="N1391" s="75">
        <f>'THAM_SO_MOI'!$C$12*I1391</f>
        <v>1130.112</v>
      </c>
      <c r="O1391" s="75">
        <f>M1391+N1391</f>
        <v>1225.9706955860697</v>
      </c>
      <c r="P1391" s="75">
        <f>(MIN(L1391,'THAM_SO_MOI'!$C$41)-O1391)/('THAM_SO_MOI'!$C$11*H1391)</f>
        <v>0.9773801111835773</v>
      </c>
      <c r="Q1391" s="75">
        <f>IF(P1391&gt;0,1/P1391,NA())</f>
        <v>1.0231433897186948</v>
      </c>
      <c r="R1391" s="75">
        <f>F1391-F1390</f>
        <v>0.0032106047296869278</v>
      </c>
      <c r="S1391" s="75">
        <f>0.5*(Q1390+Q1391)*R1391</f>
        <v>0.0032848295859355054</v>
      </c>
      <c r="T1391" s="75">
        <f>0.5*(F1390*Q1390+F1391*Q1391)*R1391</f>
        <v>0.018799394794910437</v>
      </c>
      <c r="U1391" s="76">
        <f>U1390+S1391</f>
        <v>5.98388537179929</v>
      </c>
      <c r="V1391" s="76">
        <f>V1390+T1391</f>
        <v>21.087914988468217</v>
      </c>
    </row>
    <row r="1392" spans="1:22" ht="19" customHeight="1">
      <c r="A1392" s="68" t="s">
        <v>372</v>
      </c>
      <c r="B1392" s="74">
        <v>2</v>
      </c>
      <c r="C1392" s="68" t="s">
        <v>363</v>
      </c>
      <c r="D1392" s="68" t="s">
        <v>364</v>
      </c>
      <c r="E1392" s="75">
        <f>60*F1392*'THAM_SO_MOI'!$C$50/(2*PI()*'THAM_SO_MOI'!$C$26)</f>
        <v>2297.383945716829</v>
      </c>
      <c r="F1392" s="75">
        <f>'HANH_TRINH'!$F$826+('THAM_SO_MOI'!$F$50-'HANH_TRINH'!$F$826)*565/'THAM_SO_MOI'!$C$42</f>
        <v>5.727911786378309</v>
      </c>
      <c r="G1392" s="75">
        <f>3.6*F1392</f>
        <v>20.620482430961914</v>
      </c>
      <c r="H1392" s="75">
        <f>'THAM_SO_MOI'!$D$50</f>
        <v>1.8785906709588276</v>
      </c>
      <c r="I1392" s="75">
        <f>IF(F1392&gt;'THAM_SO_MOI'!$C$14,'THAM_SO_MOI'!$C$13*(1+F1392^2/1500),'THAM_SO_MOI'!$C$13)</f>
        <v>0.015</v>
      </c>
      <c r="J1392" s="75">
        <f>'THAM_SO_MOI'!$C$40*('THAM_SO_MOI'!$C$23*(E1392/'THAM_SO_MOI'!$C$22)+'THAM_SO_MOI'!$C$24*(E1392/'THAM_SO_MOI'!$C$22)^2-'THAM_SO_MOI'!$C$25*(E1392/'THAM_SO_MOI'!$C$22)^3)</f>
        <v>103.26229099932645</v>
      </c>
      <c r="K1392" s="75">
        <f>'THAM_SO_MOI'!$C$31*J1392/E1392</f>
        <v>429.3005972017972</v>
      </c>
      <c r="L1392" s="75">
        <f>K1392*'THAM_SO_MOI'!$C$50*'THAM_SO_MOI'!$C$17/'THAM_SO_MOI'!$C$26</f>
        <v>15326.616731291302</v>
      </c>
      <c r="M1392" s="75">
        <f>'THAM_SO_MOI'!$C$15*'THAM_SO_MOI'!$C$16*F1392^2</f>
        <v>95.96624729015478</v>
      </c>
      <c r="N1392" s="75">
        <f>'THAM_SO_MOI'!$C$12*I1392</f>
        <v>1130.112</v>
      </c>
      <c r="O1392" s="75">
        <f>M1392+N1392</f>
        <v>1226.0782472901549</v>
      </c>
      <c r="P1392" s="75">
        <f>(MIN(L1392,'THAM_SO_MOI'!$C$41)-O1392)/('THAM_SO_MOI'!$C$11*H1392)</f>
        <v>0.9773324457995007</v>
      </c>
      <c r="Q1392" s="75">
        <f>IF(P1392&gt;0,1/P1392,NA())</f>
        <v>1.0231932893437874</v>
      </c>
      <c r="R1392" s="75">
        <f>F1392-F1391</f>
        <v>0.0032106047296869278</v>
      </c>
      <c r="S1392" s="75">
        <f>0.5*(Q1391+Q1392)*R1392</f>
        <v>0.0032849891101649226</v>
      </c>
      <c r="T1392" s="75">
        <f>0.5*(F1391*Q1391+F1392*Q1392)*R1392</f>
        <v>0.01881085457004214</v>
      </c>
      <c r="U1392" s="76">
        <f>U1391+S1392</f>
        <v>5.987170360909455</v>
      </c>
      <c r="V1392" s="76">
        <f>V1391+T1392</f>
        <v>21.10672584303826</v>
      </c>
    </row>
    <row r="1393" spans="1:22" ht="19" customHeight="1">
      <c r="A1393" s="68" t="s">
        <v>372</v>
      </c>
      <c r="B1393" s="74">
        <v>2</v>
      </c>
      <c r="C1393" s="68" t="s">
        <v>363</v>
      </c>
      <c r="D1393" s="68" t="s">
        <v>364</v>
      </c>
      <c r="E1393" s="75">
        <f>60*F1393*'THAM_SO_MOI'!$C$50/(2*PI()*'THAM_SO_MOI'!$C$26)</f>
        <v>2298.671673607396</v>
      </c>
      <c r="F1393" s="75">
        <f>'HANH_TRINH'!$F$826+('THAM_SO_MOI'!$F$50-'HANH_TRINH'!$F$826)*566/'THAM_SO_MOI'!$C$42</f>
        <v>5.731122391107996</v>
      </c>
      <c r="G1393" s="75">
        <f>3.6*F1393</f>
        <v>20.632040607988785</v>
      </c>
      <c r="H1393" s="75">
        <f>'THAM_SO_MOI'!$D$50</f>
        <v>1.8785906709588276</v>
      </c>
      <c r="I1393" s="75">
        <f>IF(F1393&gt;'THAM_SO_MOI'!$C$14,'THAM_SO_MOI'!$C$13*(1+F1393^2/1500),'THAM_SO_MOI'!$C$13)</f>
        <v>0.015</v>
      </c>
      <c r="J1393" s="75">
        <f>'THAM_SO_MOI'!$C$40*('THAM_SO_MOI'!$C$23*(E1393/'THAM_SO_MOI'!$C$22)+'THAM_SO_MOI'!$C$24*(E1393/'THAM_SO_MOI'!$C$22)^2-'THAM_SO_MOI'!$C$25*(E1393/'THAM_SO_MOI'!$C$22)^3)</f>
        <v>103.31622189885177</v>
      </c>
      <c r="K1393" s="75">
        <f>'THAM_SO_MOI'!$C$31*J1393/E1393</f>
        <v>429.28418640855625</v>
      </c>
      <c r="L1393" s="75">
        <f>K1393*'THAM_SO_MOI'!$C$50*'THAM_SO_MOI'!$C$17/'THAM_SO_MOI'!$C$26</f>
        <v>15326.030843594199</v>
      </c>
      <c r="M1393" s="75">
        <f>'THAM_SO_MOI'!$C$15*'THAM_SO_MOI'!$C$16*F1393^2</f>
        <v>96.07385929593885</v>
      </c>
      <c r="N1393" s="75">
        <f>'THAM_SO_MOI'!$C$12*I1393</f>
        <v>1130.112</v>
      </c>
      <c r="O1393" s="75">
        <f>M1393+N1393</f>
        <v>1226.1858592959388</v>
      </c>
      <c r="P1393" s="75">
        <f>(MIN(L1393,'THAM_SO_MOI'!$C$41)-O1393)/('THAM_SO_MOI'!$C$11*H1393)</f>
        <v>0.9772843781486409</v>
      </c>
      <c r="Q1393" s="75">
        <f>IF(P1393&gt;0,1/P1393,NA())</f>
        <v>1.0232436150206263</v>
      </c>
      <c r="R1393" s="75">
        <f>F1393-F1392</f>
        <v>0.0032106047296869278</v>
      </c>
      <c r="S1393" s="75">
        <f>0.5*(Q1392+Q1393)*R1393</f>
        <v>0.0032851500020791304</v>
      </c>
      <c r="T1393" s="75">
        <f>0.5*(F1392*Q1392+F1393*Q1393)*R1393</f>
        <v>0.018822323205686036</v>
      </c>
      <c r="U1393" s="76">
        <f>U1392+S1393</f>
        <v>5.990455510911534</v>
      </c>
      <c r="V1393" s="76">
        <f>V1392+T1393</f>
        <v>21.125548166243945</v>
      </c>
    </row>
    <row r="1394" spans="1:22" ht="19" customHeight="1">
      <c r="A1394" s="68" t="s">
        <v>372</v>
      </c>
      <c r="B1394" s="74">
        <v>2</v>
      </c>
      <c r="C1394" s="68" t="s">
        <v>363</v>
      </c>
      <c r="D1394" s="68" t="s">
        <v>364</v>
      </c>
      <c r="E1394" s="75">
        <f>60*F1394*'THAM_SO_MOI'!$C$50/(2*PI()*'THAM_SO_MOI'!$C$26)</f>
        <v>2299.9594014979625</v>
      </c>
      <c r="F1394" s="75">
        <f>'HANH_TRINH'!$F$826+('THAM_SO_MOI'!$F$50-'HANH_TRINH'!$F$826)*567/'THAM_SO_MOI'!$C$42</f>
        <v>5.734332995837683</v>
      </c>
      <c r="G1394" s="75">
        <f>3.6*F1394</f>
        <v>20.64359878501566</v>
      </c>
      <c r="H1394" s="75">
        <f>'THAM_SO_MOI'!$D$50</f>
        <v>1.8785906709588276</v>
      </c>
      <c r="I1394" s="75">
        <f>IF(F1394&gt;'THAM_SO_MOI'!$C$14,'THAM_SO_MOI'!$C$13*(1+F1394^2/1500),'THAM_SO_MOI'!$C$13)</f>
        <v>0.015</v>
      </c>
      <c r="J1394" s="75">
        <f>'THAM_SO_MOI'!$C$40*('THAM_SO_MOI'!$C$23*(E1394/'THAM_SO_MOI'!$C$22)+'THAM_SO_MOI'!$C$24*(E1394/'THAM_SO_MOI'!$C$22)^2-'THAM_SO_MOI'!$C$25*(E1394/'THAM_SO_MOI'!$C$22)^3)</f>
        <v>103.37010963373889</v>
      </c>
      <c r="K1394" s="75">
        <f>'THAM_SO_MOI'!$C$31*J1394/E1394</f>
        <v>429.2676147409829</v>
      </c>
      <c r="L1394" s="75">
        <f>K1394*'THAM_SO_MOI'!$C$50*'THAM_SO_MOI'!$C$17/'THAM_SO_MOI'!$C$26</f>
        <v>15325.43921246405</v>
      </c>
      <c r="M1394" s="75">
        <f>'THAM_SO_MOI'!$C$15*'THAM_SO_MOI'!$C$16*F1394^2</f>
        <v>96.18153160342187</v>
      </c>
      <c r="N1394" s="75">
        <f>'THAM_SO_MOI'!$C$12*I1394</f>
        <v>1130.112</v>
      </c>
      <c r="O1394" s="75">
        <f>M1394+N1394</f>
        <v>1226.293531603422</v>
      </c>
      <c r="P1394" s="75">
        <f>(MIN(L1394,'THAM_SO_MOI'!$C$41)-O1394)/('THAM_SO_MOI'!$C$11*H1394)</f>
        <v>0.9772359082309968</v>
      </c>
      <c r="Q1394" s="75">
        <f>IF(P1394&gt;0,1/P1394,NA())</f>
        <v>1.023294366874229</v>
      </c>
      <c r="R1394" s="75">
        <f>F1394-F1393</f>
        <v>0.0032106047296869278</v>
      </c>
      <c r="S1394" s="75">
        <f>0.5*(Q1393+Q1394)*R1394</f>
        <v>0.003285312262077781</v>
      </c>
      <c r="T1394" s="75">
        <f>0.5*(F1393*Q1393+F1394*Q1394)*R1394</f>
        <v>0.0188338007173065</v>
      </c>
      <c r="U1394" s="76">
        <f>U1393+S1394</f>
        <v>5.993740823173612</v>
      </c>
      <c r="V1394" s="76">
        <f>V1393+T1394</f>
        <v>21.14438196696125</v>
      </c>
    </row>
    <row r="1395" spans="1:22" ht="19" customHeight="1">
      <c r="A1395" s="68" t="s">
        <v>372</v>
      </c>
      <c r="B1395" s="74">
        <v>2</v>
      </c>
      <c r="C1395" s="68" t="s">
        <v>363</v>
      </c>
      <c r="D1395" s="68" t="s">
        <v>364</v>
      </c>
      <c r="E1395" s="75">
        <f>60*F1395*'THAM_SO_MOI'!$C$50/(2*PI()*'THAM_SO_MOI'!$C$26)</f>
        <v>2301.247129388529</v>
      </c>
      <c r="F1395" s="75">
        <f>'HANH_TRINH'!$F$826+('THAM_SO_MOI'!$F$50-'HANH_TRINH'!$F$826)*568/'THAM_SO_MOI'!$C$42</f>
        <v>5.737543600567369</v>
      </c>
      <c r="G1395" s="75">
        <f>3.6*F1395</f>
        <v>20.65515696204253</v>
      </c>
      <c r="H1395" s="75">
        <f>'THAM_SO_MOI'!$D$50</f>
        <v>1.8785906709588276</v>
      </c>
      <c r="I1395" s="75">
        <f>IF(F1395&gt;'THAM_SO_MOI'!$C$14,'THAM_SO_MOI'!$C$13*(1+F1395^2/1500),'THAM_SO_MOI'!$C$13)</f>
        <v>0.015</v>
      </c>
      <c r="J1395" s="75">
        <f>'THAM_SO_MOI'!$C$40*('THAM_SO_MOI'!$C$23*(E1395/'THAM_SO_MOI'!$C$22)+'THAM_SO_MOI'!$C$24*(E1395/'THAM_SO_MOI'!$C$22)^2-'THAM_SO_MOI'!$C$25*(E1395/'THAM_SO_MOI'!$C$22)^3)</f>
        <v>103.42395413891822</v>
      </c>
      <c r="K1395" s="75">
        <f>'THAM_SO_MOI'!$C$31*J1395/E1395</f>
        <v>429.2508821990774</v>
      </c>
      <c r="L1395" s="75">
        <f>K1395*'THAM_SO_MOI'!$C$50*'THAM_SO_MOI'!$C$17/'THAM_SO_MOI'!$C$26</f>
        <v>15324.841837900874</v>
      </c>
      <c r="M1395" s="75">
        <f>'THAM_SO_MOI'!$C$15*'THAM_SO_MOI'!$C$16*F1395^2</f>
        <v>96.28926421260383</v>
      </c>
      <c r="N1395" s="75">
        <f>'THAM_SO_MOI'!$C$12*I1395</f>
        <v>1130.112</v>
      </c>
      <c r="O1395" s="75">
        <f>M1395+N1395</f>
        <v>1226.401264212604</v>
      </c>
      <c r="P1395" s="75">
        <f>(MIN(L1395,'THAM_SO_MOI'!$C$41)-O1395)/('THAM_SO_MOI'!$C$11*H1395)</f>
        <v>0.9771870360465698</v>
      </c>
      <c r="Q1395" s="75">
        <f>IF(P1395&gt;0,1/P1395,NA())</f>
        <v>1.0233455450306885</v>
      </c>
      <c r="R1395" s="75">
        <f>F1395-F1394</f>
        <v>0.0032106047296860396</v>
      </c>
      <c r="S1395" s="75">
        <f>0.5*(Q1394+Q1395)*R1395</f>
        <v>0.003285475890563074</v>
      </c>
      <c r="T1395" s="75">
        <f>0.5*(F1394*Q1394+F1395*Q1395)*R1395</f>
        <v>0.018845287120387674</v>
      </c>
      <c r="U1395" s="76">
        <f>U1394+S1395</f>
        <v>5.997026299064175</v>
      </c>
      <c r="V1395" s="76">
        <f>V1394+T1395</f>
        <v>21.16322725408164</v>
      </c>
    </row>
    <row r="1396" spans="1:22" ht="19" customHeight="1">
      <c r="A1396" s="68" t="s">
        <v>372</v>
      </c>
      <c r="B1396" s="74">
        <v>2</v>
      </c>
      <c r="C1396" s="68" t="s">
        <v>363</v>
      </c>
      <c r="D1396" s="68" t="s">
        <v>364</v>
      </c>
      <c r="E1396" s="75">
        <f>60*F1396*'THAM_SO_MOI'!$C$50/(2*PI()*'THAM_SO_MOI'!$C$26)</f>
        <v>2302.534857279096</v>
      </c>
      <c r="F1396" s="75">
        <f>'HANH_TRINH'!$F$826+('THAM_SO_MOI'!$F$50-'HANH_TRINH'!$F$826)*569/'THAM_SO_MOI'!$C$42</f>
        <v>5.740754205297056</v>
      </c>
      <c r="G1396" s="75">
        <f>3.6*F1396</f>
        <v>20.6667151390694</v>
      </c>
      <c r="H1396" s="75">
        <f>'THAM_SO_MOI'!$D$50</f>
        <v>1.8785906709588276</v>
      </c>
      <c r="I1396" s="75">
        <f>IF(F1396&gt;'THAM_SO_MOI'!$C$14,'THAM_SO_MOI'!$C$13*(1+F1396^2/1500),'THAM_SO_MOI'!$C$13)</f>
        <v>0.015</v>
      </c>
      <c r="J1396" s="75">
        <f>'THAM_SO_MOI'!$C$40*('THAM_SO_MOI'!$C$23*(E1396/'THAM_SO_MOI'!$C$22)+'THAM_SO_MOI'!$C$24*(E1396/'THAM_SO_MOI'!$C$22)^2-'THAM_SO_MOI'!$C$25*(E1396/'THAM_SO_MOI'!$C$22)^3)</f>
        <v>103.47775534931999</v>
      </c>
      <c r="K1396" s="75">
        <f>'THAM_SO_MOI'!$C$31*J1396/E1396</f>
        <v>429.2339887828396</v>
      </c>
      <c r="L1396" s="75">
        <f>K1396*'THAM_SO_MOI'!$C$50*'THAM_SO_MOI'!$C$17/'THAM_SO_MOI'!$C$26</f>
        <v>15324.238719904657</v>
      </c>
      <c r="M1396" s="75">
        <f>'THAM_SO_MOI'!$C$15*'THAM_SO_MOI'!$C$16*F1396^2</f>
        <v>96.39705712348481</v>
      </c>
      <c r="N1396" s="75">
        <f>'THAM_SO_MOI'!$C$12*I1396</f>
        <v>1130.112</v>
      </c>
      <c r="O1396" s="75">
        <f>M1396+N1396</f>
        <v>1226.5090571234848</v>
      </c>
      <c r="P1396" s="75">
        <f>(MIN(L1396,'THAM_SO_MOI'!$C$41)-O1396)/('THAM_SO_MOI'!$C$11*H1396)</f>
        <v>0.9771377615953588</v>
      </c>
      <c r="Q1396" s="75">
        <f>IF(P1396&gt;0,1/P1396,NA())</f>
        <v>1.023397149617178</v>
      </c>
      <c r="R1396" s="75">
        <f>F1396-F1395</f>
        <v>0.0032106047296869278</v>
      </c>
      <c r="S1396" s="75">
        <f>0.5*(Q1395+Q1396)*R1396</f>
        <v>0.003285640887944304</v>
      </c>
      <c r="T1396" s="75">
        <f>0.5*(F1395*Q1395+F1396*Q1396)*R1396</f>
        <v>0.01885678243045957</v>
      </c>
      <c r="U1396" s="76">
        <f>U1395+S1396</f>
        <v>6.00031193995212</v>
      </c>
      <c r="V1396" s="76">
        <f>V1395+T1396</f>
        <v>21.1820840365121</v>
      </c>
    </row>
    <row r="1397" spans="1:22" ht="19" customHeight="1">
      <c r="A1397" s="68" t="s">
        <v>372</v>
      </c>
      <c r="B1397" s="74">
        <v>2</v>
      </c>
      <c r="C1397" s="68" t="s">
        <v>363</v>
      </c>
      <c r="D1397" s="68" t="s">
        <v>364</v>
      </c>
      <c r="E1397" s="75">
        <f>60*F1397*'THAM_SO_MOI'!$C$50/(2*PI()*'THAM_SO_MOI'!$C$26)</f>
        <v>2303.8225851696625</v>
      </c>
      <c r="F1397" s="75">
        <f>'HANH_TRINH'!$F$826+('THAM_SO_MOI'!$F$50-'HANH_TRINH'!$F$826)*570/'THAM_SO_MOI'!$C$42</f>
        <v>5.743964810026743</v>
      </c>
      <c r="G1397" s="75">
        <f>3.6*F1397</f>
        <v>20.678273316096274</v>
      </c>
      <c r="H1397" s="75">
        <f>'THAM_SO_MOI'!$D$50</f>
        <v>1.8785906709588276</v>
      </c>
      <c r="I1397" s="75">
        <f>IF(F1397&gt;'THAM_SO_MOI'!$C$14,'THAM_SO_MOI'!$C$13*(1+F1397^2/1500),'THAM_SO_MOI'!$C$13)</f>
        <v>0.015</v>
      </c>
      <c r="J1397" s="75">
        <f>'THAM_SO_MOI'!$C$40*('THAM_SO_MOI'!$C$23*(E1397/'THAM_SO_MOI'!$C$22)+'THAM_SO_MOI'!$C$24*(E1397/'THAM_SO_MOI'!$C$22)^2-'THAM_SO_MOI'!$C$25*(E1397/'THAM_SO_MOI'!$C$22)^3)</f>
        <v>103.53151319987454</v>
      </c>
      <c r="K1397" s="75">
        <f>'THAM_SO_MOI'!$C$31*J1397/E1397</f>
        <v>429.2169344922696</v>
      </c>
      <c r="L1397" s="75">
        <f>K1397*'THAM_SO_MOI'!$C$50*'THAM_SO_MOI'!$C$17/'THAM_SO_MOI'!$C$26</f>
        <v>15323.629858475406</v>
      </c>
      <c r="M1397" s="75">
        <f>'THAM_SO_MOI'!$C$15*'THAM_SO_MOI'!$C$16*F1397^2</f>
        <v>96.50491033606477</v>
      </c>
      <c r="N1397" s="75">
        <f>'THAM_SO_MOI'!$C$12*I1397</f>
        <v>1130.112</v>
      </c>
      <c r="O1397" s="75">
        <f>M1397+N1397</f>
        <v>1226.6169103360648</v>
      </c>
      <c r="P1397" s="75">
        <f>(MIN(L1397,'THAM_SO_MOI'!$C$41)-O1397)/('THAM_SO_MOI'!$C$11*H1397)</f>
        <v>0.9770880848773642</v>
      </c>
      <c r="Q1397" s="75">
        <f>IF(P1397&gt;0,1/P1397,NA())</f>
        <v>1.023449180761949</v>
      </c>
      <c r="R1397" s="75">
        <f>F1397-F1396</f>
        <v>0.0032106047296869278</v>
      </c>
      <c r="S1397" s="75">
        <f>0.5*(Q1396+Q1397)*R1397</f>
        <v>0.0032858072546287785</v>
      </c>
      <c r="T1397" s="75">
        <f>0.5*(F1396*Q1396+F1397*Q1397)*R1397</f>
        <v>0.018868286663046047</v>
      </c>
      <c r="U1397" s="76">
        <f>U1396+S1397</f>
        <v>6.003597747206748</v>
      </c>
      <c r="V1397" s="76">
        <f>V1396+T1397</f>
        <v>21.200952323175148</v>
      </c>
    </row>
    <row r="1398" spans="1:22" ht="19" customHeight="1">
      <c r="A1398" s="68" t="s">
        <v>372</v>
      </c>
      <c r="B1398" s="74">
        <v>2</v>
      </c>
      <c r="C1398" s="68" t="s">
        <v>363</v>
      </c>
      <c r="D1398" s="68" t="s">
        <v>364</v>
      </c>
      <c r="E1398" s="75">
        <f>60*F1398*'THAM_SO_MOI'!$C$50/(2*PI()*'THAM_SO_MOI'!$C$26)</f>
        <v>2305.110313060229</v>
      </c>
      <c r="F1398" s="75">
        <f>'HANH_TRINH'!$F$826+('THAM_SO_MOI'!$F$50-'HANH_TRINH'!$F$826)*571/'THAM_SO_MOI'!$C$42</f>
        <v>5.74717541475643</v>
      </c>
      <c r="G1398" s="75">
        <f>3.6*F1398</f>
        <v>20.689831493123148</v>
      </c>
      <c r="H1398" s="75">
        <f>'THAM_SO_MOI'!$D$50</f>
        <v>1.8785906709588276</v>
      </c>
      <c r="I1398" s="75">
        <f>IF(F1398&gt;'THAM_SO_MOI'!$C$14,'THAM_SO_MOI'!$C$13*(1+F1398^2/1500),'THAM_SO_MOI'!$C$13)</f>
        <v>0.015</v>
      </c>
      <c r="J1398" s="75">
        <f>'THAM_SO_MOI'!$C$40*('THAM_SO_MOI'!$C$23*(E1398/'THAM_SO_MOI'!$C$22)+'THAM_SO_MOI'!$C$24*(E1398/'THAM_SO_MOI'!$C$22)^2-'THAM_SO_MOI'!$C$25*(E1398/'THAM_SO_MOI'!$C$22)^3)</f>
        <v>103.58522762551212</v>
      </c>
      <c r="K1398" s="75">
        <f>'THAM_SO_MOI'!$C$31*J1398/E1398</f>
        <v>429.19971932736723</v>
      </c>
      <c r="L1398" s="75">
        <f>K1398*'THAM_SO_MOI'!$C$50*'THAM_SO_MOI'!$C$17/'THAM_SO_MOI'!$C$26</f>
        <v>15323.015253613115</v>
      </c>
      <c r="M1398" s="75">
        <f>'THAM_SO_MOI'!$C$15*'THAM_SO_MOI'!$C$16*F1398^2</f>
        <v>96.61282385034366</v>
      </c>
      <c r="N1398" s="75">
        <f>'THAM_SO_MOI'!$C$12*I1398</f>
        <v>1130.112</v>
      </c>
      <c r="O1398" s="75">
        <f>M1398+N1398</f>
        <v>1226.7248238503437</v>
      </c>
      <c r="P1398" s="75">
        <f>(MIN(L1398,'THAM_SO_MOI'!$C$41)-O1398)/('THAM_SO_MOI'!$C$11*H1398)</f>
        <v>0.9770380058925858</v>
      </c>
      <c r="Q1398" s="75">
        <f>IF(P1398&gt;0,1/P1398,NA())</f>
        <v>1.0235016385943319</v>
      </c>
      <c r="R1398" s="75">
        <f>F1398-F1397</f>
        <v>0.0032106047296869278</v>
      </c>
      <c r="S1398" s="75">
        <f>0.5*(Q1397+Q1398)*R1398</f>
        <v>0.0032859749910309037</v>
      </c>
      <c r="T1398" s="75">
        <f>0.5*(F1397*Q1397+F1398*Q1398)*R1398</f>
        <v>0.01887979983371698</v>
      </c>
      <c r="U1398" s="76">
        <f>U1397+S1398</f>
        <v>6.006883722197779</v>
      </c>
      <c r="V1398" s="76">
        <f>V1397+T1398</f>
        <v>21.219832123008864</v>
      </c>
    </row>
    <row r="1399" spans="1:22" ht="19" customHeight="1">
      <c r="A1399" s="68" t="s">
        <v>372</v>
      </c>
      <c r="B1399" s="74">
        <v>2</v>
      </c>
      <c r="C1399" s="68" t="s">
        <v>363</v>
      </c>
      <c r="D1399" s="68" t="s">
        <v>364</v>
      </c>
      <c r="E1399" s="75">
        <f>60*F1399*'THAM_SO_MOI'!$C$50/(2*PI()*'THAM_SO_MOI'!$C$26)</f>
        <v>2306.3980409507963</v>
      </c>
      <c r="F1399" s="75">
        <f>'HANH_TRINH'!$F$826+('THAM_SO_MOI'!$F$50-'HANH_TRINH'!$F$826)*572/'THAM_SO_MOI'!$C$42</f>
        <v>5.7503860194861165</v>
      </c>
      <c r="G1399" s="75">
        <f>3.6*F1399</f>
        <v>20.70138967015002</v>
      </c>
      <c r="H1399" s="75">
        <f>'THAM_SO_MOI'!$D$50</f>
        <v>1.8785906709588276</v>
      </c>
      <c r="I1399" s="75">
        <f>IF(F1399&gt;'THAM_SO_MOI'!$C$14,'THAM_SO_MOI'!$C$13*(1+F1399^2/1500),'THAM_SO_MOI'!$C$13)</f>
        <v>0.015</v>
      </c>
      <c r="J1399" s="75">
        <f>'THAM_SO_MOI'!$C$40*('THAM_SO_MOI'!$C$23*(E1399/'THAM_SO_MOI'!$C$22)+'THAM_SO_MOI'!$C$24*(E1399/'THAM_SO_MOI'!$C$22)^2-'THAM_SO_MOI'!$C$25*(E1399/'THAM_SO_MOI'!$C$22)^3)</f>
        <v>103.63889856116313</v>
      </c>
      <c r="K1399" s="75">
        <f>'THAM_SO_MOI'!$C$31*J1399/E1399</f>
        <v>429.1823432881328</v>
      </c>
      <c r="L1399" s="75">
        <f>K1399*'THAM_SO_MOI'!$C$50*'THAM_SO_MOI'!$C$17/'THAM_SO_MOI'!$C$26</f>
        <v>15322.394905317795</v>
      </c>
      <c r="M1399" s="75">
        <f>'THAM_SO_MOI'!$C$15*'THAM_SO_MOI'!$C$16*F1399^2</f>
        <v>96.72079766632156</v>
      </c>
      <c r="N1399" s="75">
        <f>'THAM_SO_MOI'!$C$12*I1399</f>
        <v>1130.112</v>
      </c>
      <c r="O1399" s="75">
        <f>M1399+N1399</f>
        <v>1226.8327976663215</v>
      </c>
      <c r="P1399" s="75">
        <f>(MIN(L1399,'THAM_SO_MOI'!$C$41)-O1399)/('THAM_SO_MOI'!$C$11*H1399)</f>
        <v>0.9769875246410241</v>
      </c>
      <c r="Q1399" s="75">
        <f>IF(P1399&gt;0,1/P1399,NA())</f>
        <v>1.0235545232447378</v>
      </c>
      <c r="R1399" s="75">
        <f>F1399-F1398</f>
        <v>0.0032106047296869278</v>
      </c>
      <c r="S1399" s="75">
        <f>0.5*(Q1398+Q1399)*R1399</f>
        <v>0.003286144097567643</v>
      </c>
      <c r="T1399" s="75">
        <f>0.5*(F1398*Q1398+F1399*Q1399)*R1399</f>
        <v>0.018891321958062268</v>
      </c>
      <c r="U1399" s="76">
        <f>U1398+S1399</f>
        <v>6.010169866295347</v>
      </c>
      <c r="V1399" s="76">
        <f>V1398+T1399</f>
        <v>21.238723444966926</v>
      </c>
    </row>
    <row r="1400" spans="1:22" ht="19" customHeight="1">
      <c r="A1400" s="68" t="s">
        <v>372</v>
      </c>
      <c r="B1400" s="74">
        <v>2</v>
      </c>
      <c r="C1400" s="68" t="s">
        <v>363</v>
      </c>
      <c r="D1400" s="68" t="s">
        <v>364</v>
      </c>
      <c r="E1400" s="75">
        <f>60*F1400*'THAM_SO_MOI'!$C$50/(2*PI()*'THAM_SO_MOI'!$C$26)</f>
        <v>2307.685768841363</v>
      </c>
      <c r="F1400" s="75">
        <f>'HANH_TRINH'!$F$826+('THAM_SO_MOI'!$F$50-'HANH_TRINH'!$F$826)*573/'THAM_SO_MOI'!$C$42</f>
        <v>5.753596624215803</v>
      </c>
      <c r="G1400" s="75">
        <f>3.6*F1400</f>
        <v>20.712947847176892</v>
      </c>
      <c r="H1400" s="75">
        <f>'THAM_SO_MOI'!$D$50</f>
        <v>1.8785906709588276</v>
      </c>
      <c r="I1400" s="75">
        <f>IF(F1400&gt;'THAM_SO_MOI'!$C$14,'THAM_SO_MOI'!$C$13*(1+F1400^2/1500),'THAM_SO_MOI'!$C$13)</f>
        <v>0.015</v>
      </c>
      <c r="J1400" s="75">
        <f>'THAM_SO_MOI'!$C$40*('THAM_SO_MOI'!$C$23*(E1400/'THAM_SO_MOI'!$C$22)+'THAM_SO_MOI'!$C$24*(E1400/'THAM_SO_MOI'!$C$22)^2-'THAM_SO_MOI'!$C$25*(E1400/'THAM_SO_MOI'!$C$22)^3)</f>
        <v>103.69252594175775</v>
      </c>
      <c r="K1400" s="75">
        <f>'THAM_SO_MOI'!$C$31*J1400/E1400</f>
        <v>429.1648063745659</v>
      </c>
      <c r="L1400" s="75">
        <f>K1400*'THAM_SO_MOI'!$C$50*'THAM_SO_MOI'!$C$17/'THAM_SO_MOI'!$C$26</f>
        <v>15321.768813589431</v>
      </c>
      <c r="M1400" s="75">
        <f>'THAM_SO_MOI'!$C$15*'THAM_SO_MOI'!$C$16*F1400^2</f>
        <v>96.82883178399841</v>
      </c>
      <c r="N1400" s="75">
        <f>'THAM_SO_MOI'!$C$12*I1400</f>
        <v>1130.112</v>
      </c>
      <c r="O1400" s="75">
        <f>M1400+N1400</f>
        <v>1226.9408317839984</v>
      </c>
      <c r="P1400" s="75">
        <f>(MIN(L1400,'THAM_SO_MOI'!$C$41)-O1400)/('THAM_SO_MOI'!$C$11*H1400)</f>
        <v>0.9769366411226784</v>
      </c>
      <c r="Q1400" s="75">
        <f>IF(P1400&gt;0,1/P1400,NA())</f>
        <v>1.0236078348446604</v>
      </c>
      <c r="R1400" s="75">
        <f>F1400-F1399</f>
        <v>0.0032106047296869278</v>
      </c>
      <c r="S1400" s="75">
        <f>0.5*(Q1399+Q1400)*R1400</f>
        <v>0.003286314574659433</v>
      </c>
      <c r="T1400" s="75">
        <f>0.5*(F1399*Q1399+F1400*Q1400)*R1400</f>
        <v>0.01890285305169715</v>
      </c>
      <c r="U1400" s="76">
        <f>U1399+S1400</f>
        <v>6.013456180870007</v>
      </c>
      <c r="V1400" s="76">
        <f>V1399+T1400</f>
        <v>21.25762629801862</v>
      </c>
    </row>
    <row r="1401" spans="1:22" ht="19" customHeight="1">
      <c r="A1401" s="68" t="s">
        <v>372</v>
      </c>
      <c r="B1401" s="74">
        <v>2</v>
      </c>
      <c r="C1401" s="68" t="s">
        <v>363</v>
      </c>
      <c r="D1401" s="68" t="s">
        <v>364</v>
      </c>
      <c r="E1401" s="75">
        <f>60*F1401*'THAM_SO_MOI'!$C$50/(2*PI()*'THAM_SO_MOI'!$C$26)</f>
        <v>2308.9734967319296</v>
      </c>
      <c r="F1401" s="75">
        <f>'HANH_TRINH'!$F$826+('THAM_SO_MOI'!$F$50-'HANH_TRINH'!$F$826)*574/'THAM_SO_MOI'!$C$42</f>
        <v>5.75680722894549</v>
      </c>
      <c r="G1401" s="75">
        <f>3.6*F1401</f>
        <v>20.724506024203766</v>
      </c>
      <c r="H1401" s="75">
        <f>'THAM_SO_MOI'!$D$50</f>
        <v>1.8785906709588276</v>
      </c>
      <c r="I1401" s="75">
        <f>IF(F1401&gt;'THAM_SO_MOI'!$C$14,'THAM_SO_MOI'!$C$13*(1+F1401^2/1500),'THAM_SO_MOI'!$C$13)</f>
        <v>0.015</v>
      </c>
      <c r="J1401" s="75">
        <f>'THAM_SO_MOI'!$C$40*('THAM_SO_MOI'!$C$23*(E1401/'THAM_SO_MOI'!$C$22)+'THAM_SO_MOI'!$C$24*(E1401/'THAM_SO_MOI'!$C$22)^2-'THAM_SO_MOI'!$C$25*(E1401/'THAM_SO_MOI'!$C$22)^3)</f>
        <v>103.74610970222635</v>
      </c>
      <c r="K1401" s="75">
        <f>'THAM_SO_MOI'!$C$31*J1401/E1401</f>
        <v>429.1471085866669</v>
      </c>
      <c r="L1401" s="75">
        <f>K1401*'THAM_SO_MOI'!$C$50*'THAM_SO_MOI'!$C$17/'THAM_SO_MOI'!$C$26</f>
        <v>15321.136978428036</v>
      </c>
      <c r="M1401" s="75">
        <f>'THAM_SO_MOI'!$C$15*'THAM_SO_MOI'!$C$16*F1401^2</f>
        <v>96.93692620337426</v>
      </c>
      <c r="N1401" s="75">
        <f>'THAM_SO_MOI'!$C$12*I1401</f>
        <v>1130.112</v>
      </c>
      <c r="O1401" s="75">
        <f>M1401+N1401</f>
        <v>1227.0489262033743</v>
      </c>
      <c r="P1401" s="75">
        <f>(MIN(L1401,'THAM_SO_MOI'!$C$41)-O1401)/('THAM_SO_MOI'!$C$11*H1401)</f>
        <v>0.9768853553375494</v>
      </c>
      <c r="Q1401" s="75">
        <f>IF(P1401&gt;0,1/P1401,NA())</f>
        <v>1.023661573526674</v>
      </c>
      <c r="R1401" s="75">
        <f>F1401-F1400</f>
        <v>0.0032106047296869278</v>
      </c>
      <c r="S1401" s="75">
        <f>0.5*(Q1400+Q1401)*R1401</f>
        <v>0.0032864864227301824</v>
      </c>
      <c r="T1401" s="75">
        <f>0.5*(F1400*Q1400+F1401*Q1401)*R1401</f>
        <v>0.018914393130262237</v>
      </c>
      <c r="U1401" s="76">
        <f>U1400+S1401</f>
        <v>6.016742667292736</v>
      </c>
      <c r="V1401" s="76">
        <f>V1400+T1401</f>
        <v>21.276540691148885</v>
      </c>
    </row>
    <row r="1402" spans="1:22" ht="19" customHeight="1">
      <c r="A1402" s="68" t="s">
        <v>372</v>
      </c>
      <c r="B1402" s="74">
        <v>2</v>
      </c>
      <c r="C1402" s="68" t="s">
        <v>363</v>
      </c>
      <c r="D1402" s="68" t="s">
        <v>364</v>
      </c>
      <c r="E1402" s="75">
        <f>60*F1402*'THAM_SO_MOI'!$C$50/(2*PI()*'THAM_SO_MOI'!$C$26)</f>
        <v>2310.261224622496</v>
      </c>
      <c r="F1402" s="75">
        <f>'HANH_TRINH'!$F$826+('THAM_SO_MOI'!$F$50-'HANH_TRINH'!$F$826)*575/'THAM_SO_MOI'!$C$42</f>
        <v>5.760017833675176</v>
      </c>
      <c r="G1402" s="75">
        <f>3.6*F1402</f>
        <v>20.736064201230636</v>
      </c>
      <c r="H1402" s="75">
        <f>'THAM_SO_MOI'!$D$50</f>
        <v>1.8785906709588276</v>
      </c>
      <c r="I1402" s="75">
        <f>IF(F1402&gt;'THAM_SO_MOI'!$C$14,'THAM_SO_MOI'!$C$13*(1+F1402^2/1500),'THAM_SO_MOI'!$C$13)</f>
        <v>0.015</v>
      </c>
      <c r="J1402" s="75">
        <f>'THAM_SO_MOI'!$C$40*('THAM_SO_MOI'!$C$23*(E1402/'THAM_SO_MOI'!$C$22)+'THAM_SO_MOI'!$C$24*(E1402/'THAM_SO_MOI'!$C$22)^2-'THAM_SO_MOI'!$C$25*(E1402/'THAM_SO_MOI'!$C$22)^3)</f>
        <v>103.79964977749923</v>
      </c>
      <c r="K1402" s="75">
        <f>'THAM_SO_MOI'!$C$31*J1402/E1402</f>
        <v>429.1292499244356</v>
      </c>
      <c r="L1402" s="75">
        <f>K1402*'THAM_SO_MOI'!$C$50*'THAM_SO_MOI'!$C$17/'THAM_SO_MOI'!$C$26</f>
        <v>15320.499399833605</v>
      </c>
      <c r="M1402" s="75">
        <f>'THAM_SO_MOI'!$C$15*'THAM_SO_MOI'!$C$16*F1402^2</f>
        <v>97.04508092444902</v>
      </c>
      <c r="N1402" s="75">
        <f>'THAM_SO_MOI'!$C$12*I1402</f>
        <v>1130.112</v>
      </c>
      <c r="O1402" s="75">
        <f>M1402+N1402</f>
        <v>1227.157080924449</v>
      </c>
      <c r="P1402" s="75">
        <f>(MIN(L1402,'THAM_SO_MOI'!$C$41)-O1402)/('THAM_SO_MOI'!$C$11*H1402)</f>
        <v>0.9768336672856367</v>
      </c>
      <c r="Q1402" s="75">
        <f>IF(P1402&gt;0,1/P1402,NA())</f>
        <v>1.023715739424437</v>
      </c>
      <c r="R1402" s="75">
        <f>F1402-F1401</f>
        <v>0.0032106047296860396</v>
      </c>
      <c r="S1402" s="75">
        <f>0.5*(Q1401+Q1402)*R1402</f>
        <v>0.003286659642206366</v>
      </c>
      <c r="T1402" s="75">
        <f>0.5*(F1401*Q1401+F1402*Q1402)*R1402</f>
        <v>0.01892594220941836</v>
      </c>
      <c r="U1402" s="76">
        <f>U1401+S1402</f>
        <v>6.020029326934943</v>
      </c>
      <c r="V1402" s="76">
        <f>V1401+T1402</f>
        <v>21.295466633358302</v>
      </c>
    </row>
    <row r="1403" spans="1:22" ht="19" customHeight="1">
      <c r="A1403" s="68" t="s">
        <v>372</v>
      </c>
      <c r="B1403" s="74">
        <v>2</v>
      </c>
      <c r="C1403" s="68" t="s">
        <v>363</v>
      </c>
      <c r="D1403" s="68" t="s">
        <v>364</v>
      </c>
      <c r="E1403" s="75">
        <f>60*F1403*'THAM_SO_MOI'!$C$50/(2*PI()*'THAM_SO_MOI'!$C$26)</f>
        <v>2311.5489525130624</v>
      </c>
      <c r="F1403" s="75">
        <f>'HANH_TRINH'!$F$826+('THAM_SO_MOI'!$F$50-'HANH_TRINH'!$F$826)*576/'THAM_SO_MOI'!$C$42</f>
        <v>5.763228438404863</v>
      </c>
      <c r="G1403" s="75">
        <f>3.6*F1403</f>
        <v>20.747622378257507</v>
      </c>
      <c r="H1403" s="75">
        <f>'THAM_SO_MOI'!$D$50</f>
        <v>1.8785906709588276</v>
      </c>
      <c r="I1403" s="75">
        <f>IF(F1403&gt;'THAM_SO_MOI'!$C$14,'THAM_SO_MOI'!$C$13*(1+F1403^2/1500),'THAM_SO_MOI'!$C$13)</f>
        <v>0.015</v>
      </c>
      <c r="J1403" s="75">
        <f>'THAM_SO_MOI'!$C$40*('THAM_SO_MOI'!$C$23*(E1403/'THAM_SO_MOI'!$C$22)+'THAM_SO_MOI'!$C$24*(E1403/'THAM_SO_MOI'!$C$22)^2-'THAM_SO_MOI'!$C$25*(E1403/'THAM_SO_MOI'!$C$22)^3)</f>
        <v>103.85314610250671</v>
      </c>
      <c r="K1403" s="75">
        <f>'THAM_SO_MOI'!$C$31*J1403/E1403</f>
        <v>429.11123038787224</v>
      </c>
      <c r="L1403" s="75">
        <f>K1403*'THAM_SO_MOI'!$C$50*'THAM_SO_MOI'!$C$17/'THAM_SO_MOI'!$C$26</f>
        <v>15319.856077806144</v>
      </c>
      <c r="M1403" s="75">
        <f>'THAM_SO_MOI'!$C$15*'THAM_SO_MOI'!$C$16*F1403^2</f>
        <v>97.15329594722279</v>
      </c>
      <c r="N1403" s="75">
        <f>'THAM_SO_MOI'!$C$12*I1403</f>
        <v>1130.112</v>
      </c>
      <c r="O1403" s="75">
        <f>M1403+N1403</f>
        <v>1227.265295947223</v>
      </c>
      <c r="P1403" s="75">
        <f>(MIN(L1403,'THAM_SO_MOI'!$C$41)-O1403)/('THAM_SO_MOI'!$C$11*H1403)</f>
        <v>0.9767815769669409</v>
      </c>
      <c r="Q1403" s="75">
        <f>IF(P1403&gt;0,1/P1403,NA())</f>
        <v>1.0237703326726901</v>
      </c>
      <c r="R1403" s="75">
        <f>F1403-F1402</f>
        <v>0.0032106047296869278</v>
      </c>
      <c r="S1403" s="75">
        <f>0.5*(Q1402+Q1403)*R1403</f>
        <v>0.003286834233521573</v>
      </c>
      <c r="T1403" s="75">
        <f>0.5*(F1402*Q1402+F1403*Q1403)*R1403</f>
        <v>0.018937500304872824</v>
      </c>
      <c r="U1403" s="76">
        <f>U1402+S1403</f>
        <v>6.023316161168465</v>
      </c>
      <c r="V1403" s="76">
        <f>V1402+T1403</f>
        <v>21.314404133663174</v>
      </c>
    </row>
    <row r="1404" spans="1:22" ht="19" customHeight="1">
      <c r="A1404" s="68" t="s">
        <v>372</v>
      </c>
      <c r="B1404" s="74">
        <v>2</v>
      </c>
      <c r="C1404" s="68" t="s">
        <v>363</v>
      </c>
      <c r="D1404" s="68" t="s">
        <v>364</v>
      </c>
      <c r="E1404" s="75">
        <f>60*F1404*'THAM_SO_MOI'!$C$50/(2*PI()*'THAM_SO_MOI'!$C$26)</f>
        <v>2312.836680403629</v>
      </c>
      <c r="F1404" s="75">
        <f>'HANH_TRINH'!$F$826+('THAM_SO_MOI'!$F$50-'HANH_TRINH'!$F$826)*577/'THAM_SO_MOI'!$C$42</f>
        <v>5.76643904313455</v>
      </c>
      <c r="G1404" s="75">
        <f>3.6*F1404</f>
        <v>20.75918055528438</v>
      </c>
      <c r="H1404" s="75">
        <f>'THAM_SO_MOI'!$D$50</f>
        <v>1.8785906709588276</v>
      </c>
      <c r="I1404" s="75">
        <f>IF(F1404&gt;'THAM_SO_MOI'!$C$14,'THAM_SO_MOI'!$C$13*(1+F1404^2/1500),'THAM_SO_MOI'!$C$13)</f>
        <v>0.015</v>
      </c>
      <c r="J1404" s="75">
        <f>'THAM_SO_MOI'!$C$40*('THAM_SO_MOI'!$C$23*(E1404/'THAM_SO_MOI'!$C$22)+'THAM_SO_MOI'!$C$24*(E1404/'THAM_SO_MOI'!$C$22)^2-'THAM_SO_MOI'!$C$25*(E1404/'THAM_SO_MOI'!$C$22)^3)</f>
        <v>103.90659861217902</v>
      </c>
      <c r="K1404" s="75">
        <f>'THAM_SO_MOI'!$C$31*J1404/E1404</f>
        <v>429.0930499769764</v>
      </c>
      <c r="L1404" s="75">
        <f>K1404*'THAM_SO_MOI'!$C$50*'THAM_SO_MOI'!$C$17/'THAM_SO_MOI'!$C$26</f>
        <v>15319.20701234564</v>
      </c>
      <c r="M1404" s="75">
        <f>'THAM_SO_MOI'!$C$15*'THAM_SO_MOI'!$C$16*F1404^2</f>
        <v>97.26157127169554</v>
      </c>
      <c r="N1404" s="75">
        <f>'THAM_SO_MOI'!$C$12*I1404</f>
        <v>1130.112</v>
      </c>
      <c r="O1404" s="75">
        <f>M1404+N1404</f>
        <v>1227.3735712716957</v>
      </c>
      <c r="P1404" s="75">
        <f>(MIN(L1404,'THAM_SO_MOI'!$C$41)-O1404)/('THAM_SO_MOI'!$C$11*H1404)</f>
        <v>0.9767290843814609</v>
      </c>
      <c r="Q1404" s="75">
        <f>IF(P1404&gt;0,1/P1404,NA())</f>
        <v>1.0238253534072614</v>
      </c>
      <c r="R1404" s="75">
        <f>F1404-F1403</f>
        <v>0.0032106047296869278</v>
      </c>
      <c r="S1404" s="75">
        <f>0.5*(Q1403+Q1404)*R1404</f>
        <v>0.003287010197107421</v>
      </c>
      <c r="T1404" s="75">
        <f>0.5*(F1403*Q1403+F1404*Q1404)*R1404</f>
        <v>0.01894906743232714</v>
      </c>
      <c r="U1404" s="76">
        <f>U1403+S1404</f>
        <v>6.026603171365572</v>
      </c>
      <c r="V1404" s="76">
        <f>V1403+T1404</f>
        <v>21.333353201095502</v>
      </c>
    </row>
    <row r="1405" spans="1:22" ht="19" customHeight="1">
      <c r="A1405" s="68" t="s">
        <v>372</v>
      </c>
      <c r="B1405" s="74">
        <v>2</v>
      </c>
      <c r="C1405" s="68" t="s">
        <v>363</v>
      </c>
      <c r="D1405" s="68" t="s">
        <v>364</v>
      </c>
      <c r="E1405" s="75">
        <f>60*F1405*'THAM_SO_MOI'!$C$50/(2*PI()*'THAM_SO_MOI'!$C$26)</f>
        <v>2314.1244082941957</v>
      </c>
      <c r="F1405" s="75">
        <f>'HANH_TRINH'!$F$826+('THAM_SO_MOI'!$F$50-'HANH_TRINH'!$F$826)*578/'THAM_SO_MOI'!$C$42</f>
        <v>5.769649647864237</v>
      </c>
      <c r="G1405" s="75">
        <f>3.6*F1405</f>
        <v>20.770738732311255</v>
      </c>
      <c r="H1405" s="75">
        <f>'THAM_SO_MOI'!$D$50</f>
        <v>1.8785906709588276</v>
      </c>
      <c r="I1405" s="75">
        <f>IF(F1405&gt;'THAM_SO_MOI'!$C$14,'THAM_SO_MOI'!$C$13*(1+F1405^2/1500),'THAM_SO_MOI'!$C$13)</f>
        <v>0.015</v>
      </c>
      <c r="J1405" s="75">
        <f>'THAM_SO_MOI'!$C$40*('THAM_SO_MOI'!$C$23*(E1405/'THAM_SO_MOI'!$C$22)+'THAM_SO_MOI'!$C$24*(E1405/'THAM_SO_MOI'!$C$22)^2-'THAM_SO_MOI'!$C$25*(E1405/'THAM_SO_MOI'!$C$22)^3)</f>
        <v>103.96000724144653</v>
      </c>
      <c r="K1405" s="75">
        <f>'THAM_SO_MOI'!$C$31*J1405/E1405</f>
        <v>429.07470869174836</v>
      </c>
      <c r="L1405" s="75">
        <f>K1405*'THAM_SO_MOI'!$C$50*'THAM_SO_MOI'!$C$17/'THAM_SO_MOI'!$C$26</f>
        <v>15318.5522034521</v>
      </c>
      <c r="M1405" s="75">
        <f>'THAM_SO_MOI'!$C$15*'THAM_SO_MOI'!$C$16*F1405^2</f>
        <v>97.36990689786725</v>
      </c>
      <c r="N1405" s="75">
        <f>'THAM_SO_MOI'!$C$12*I1405</f>
        <v>1130.112</v>
      </c>
      <c r="O1405" s="75">
        <f>M1405+N1405</f>
        <v>1227.4819068978672</v>
      </c>
      <c r="P1405" s="75">
        <f>(MIN(L1405,'THAM_SO_MOI'!$C$41)-O1405)/('THAM_SO_MOI'!$C$11*H1405)</f>
        <v>0.9766761895291973</v>
      </c>
      <c r="Q1405" s="75">
        <f>IF(P1405&gt;0,1/P1405,NA())</f>
        <v>1.0238808017650618</v>
      </c>
      <c r="R1405" s="75">
        <f>F1405-F1404</f>
        <v>0.0032106047296869278</v>
      </c>
      <c r="S1405" s="75">
        <f>0.5*(Q1404+Q1405)*R1405</f>
        <v>0.0032871875334026476</v>
      </c>
      <c r="T1405" s="75">
        <f>0.5*(F1404*Q1404+F1405*Q1405)*R1405</f>
        <v>0.01896064360752942</v>
      </c>
      <c r="U1405" s="76">
        <f>U1404+S1405</f>
        <v>6.0298903588989745</v>
      </c>
      <c r="V1405" s="76">
        <f>V1404+T1405</f>
        <v>21.35231384470303</v>
      </c>
    </row>
    <row r="1406" spans="1:22" ht="19" customHeight="1">
      <c r="A1406" s="68" t="s">
        <v>372</v>
      </c>
      <c r="B1406" s="74">
        <v>2</v>
      </c>
      <c r="C1406" s="68" t="s">
        <v>363</v>
      </c>
      <c r="D1406" s="68" t="s">
        <v>364</v>
      </c>
      <c r="E1406" s="75">
        <f>60*F1406*'THAM_SO_MOI'!$C$50/(2*PI()*'THAM_SO_MOI'!$C$26)</f>
        <v>2315.4121361847624</v>
      </c>
      <c r="F1406" s="75">
        <f>'HANH_TRINH'!$F$826+('THAM_SO_MOI'!$F$50-'HANH_TRINH'!$F$826)*579/'THAM_SO_MOI'!$C$42</f>
        <v>5.772860252593924</v>
      </c>
      <c r="G1406" s="75">
        <f>3.6*F1406</f>
        <v>20.78229690933813</v>
      </c>
      <c r="H1406" s="75">
        <f>'THAM_SO_MOI'!$D$50</f>
        <v>1.8785906709588276</v>
      </c>
      <c r="I1406" s="75">
        <f>IF(F1406&gt;'THAM_SO_MOI'!$C$14,'THAM_SO_MOI'!$C$13*(1+F1406^2/1500),'THAM_SO_MOI'!$C$13)</f>
        <v>0.015</v>
      </c>
      <c r="J1406" s="75">
        <f>'THAM_SO_MOI'!$C$40*('THAM_SO_MOI'!$C$23*(E1406/'THAM_SO_MOI'!$C$22)+'THAM_SO_MOI'!$C$24*(E1406/'THAM_SO_MOI'!$C$22)^2-'THAM_SO_MOI'!$C$25*(E1406/'THAM_SO_MOI'!$C$22)^3)</f>
        <v>104.01337192523953</v>
      </c>
      <c r="K1406" s="75">
        <f>'THAM_SO_MOI'!$C$31*J1406/E1406</f>
        <v>429.05620653218807</v>
      </c>
      <c r="L1406" s="75">
        <f>K1406*'THAM_SO_MOI'!$C$50*'THAM_SO_MOI'!$C$17/'THAM_SO_MOI'!$C$26</f>
        <v>15317.891651125525</v>
      </c>
      <c r="M1406" s="75">
        <f>'THAM_SO_MOI'!$C$15*'THAM_SO_MOI'!$C$16*F1406^2</f>
        <v>97.47830282573796</v>
      </c>
      <c r="N1406" s="75">
        <f>'THAM_SO_MOI'!$C$12*I1406</f>
        <v>1130.112</v>
      </c>
      <c r="O1406" s="75">
        <f>M1406+N1406</f>
        <v>1227.590302825738</v>
      </c>
      <c r="P1406" s="75">
        <f>(MIN(L1406,'THAM_SO_MOI'!$C$41)-O1406)/('THAM_SO_MOI'!$C$11*H1406)</f>
        <v>0.97662289241015</v>
      </c>
      <c r="Q1406" s="75">
        <f>IF(P1406&gt;0,1/P1406,NA())</f>
        <v>1.02393667788409</v>
      </c>
      <c r="R1406" s="75">
        <f>F1406-F1405</f>
        <v>0.0032106047296869278</v>
      </c>
      <c r="S1406" s="75">
        <f>0.5*(Q1405+Q1406)*R1406</f>
        <v>0.0032873662428485654</v>
      </c>
      <c r="T1406" s="75">
        <f>0.5*(F1405*Q1405+F1406*Q1406)*R1406</f>
        <v>0.018972228846248274</v>
      </c>
      <c r="U1406" s="76">
        <f>U1405+S1406</f>
        <v>6.033177725141823</v>
      </c>
      <c r="V1406" s="76">
        <f>V1405+T1406</f>
        <v>21.37128607354928</v>
      </c>
    </row>
    <row r="1407" spans="1:22" ht="19" customHeight="1">
      <c r="A1407" s="68" t="s">
        <v>372</v>
      </c>
      <c r="B1407" s="74">
        <v>2</v>
      </c>
      <c r="C1407" s="68" t="s">
        <v>363</v>
      </c>
      <c r="D1407" s="68" t="s">
        <v>364</v>
      </c>
      <c r="E1407" s="75">
        <f>60*F1407*'THAM_SO_MOI'!$C$50/(2*PI()*'THAM_SO_MOI'!$C$26)</f>
        <v>2316.699864075329</v>
      </c>
      <c r="F1407" s="75">
        <f>'HANH_TRINH'!$F$826+('THAM_SO_MOI'!$F$50-'HANH_TRINH'!$F$826)*580/'THAM_SO_MOI'!$C$42</f>
        <v>5.776070857323611</v>
      </c>
      <c r="G1407" s="75">
        <f>3.6*F1407</f>
        <v>20.793855086365</v>
      </c>
      <c r="H1407" s="75">
        <f>'THAM_SO_MOI'!$D$50</f>
        <v>1.8785906709588276</v>
      </c>
      <c r="I1407" s="75">
        <f>IF(F1407&gt;'THAM_SO_MOI'!$C$14,'THAM_SO_MOI'!$C$13*(1+F1407^2/1500),'THAM_SO_MOI'!$C$13)</f>
        <v>0.015</v>
      </c>
      <c r="J1407" s="75">
        <f>'THAM_SO_MOI'!$C$40*('THAM_SO_MOI'!$C$23*(E1407/'THAM_SO_MOI'!$C$22)+'THAM_SO_MOI'!$C$24*(E1407/'THAM_SO_MOI'!$C$22)^2-'THAM_SO_MOI'!$C$25*(E1407/'THAM_SO_MOI'!$C$22)^3)</f>
        <v>104.06669259848832</v>
      </c>
      <c r="K1407" s="75">
        <f>'THAM_SO_MOI'!$C$31*J1407/E1407</f>
        <v>429.0375434982957</v>
      </c>
      <c r="L1407" s="75">
        <f>K1407*'THAM_SO_MOI'!$C$50*'THAM_SO_MOI'!$C$17/'THAM_SO_MOI'!$C$26</f>
        <v>15317.225355365917</v>
      </c>
      <c r="M1407" s="75">
        <f>'THAM_SO_MOI'!$C$15*'THAM_SO_MOI'!$C$16*F1407^2</f>
        <v>97.58675905530762</v>
      </c>
      <c r="N1407" s="75">
        <f>'THAM_SO_MOI'!$C$12*I1407</f>
        <v>1130.112</v>
      </c>
      <c r="O1407" s="75">
        <f>M1407+N1407</f>
        <v>1227.6987590553076</v>
      </c>
      <c r="P1407" s="75">
        <f>(MIN(L1407,'THAM_SO_MOI'!$C$41)-O1407)/('THAM_SO_MOI'!$C$11*H1407)</f>
        <v>0.9765691930243197</v>
      </c>
      <c r="Q1407" s="75">
        <f>IF(P1407&gt;0,1/P1407,NA())</f>
        <v>1.0239929819034306</v>
      </c>
      <c r="R1407" s="75">
        <f>F1407-F1406</f>
        <v>0.0032106047296869278</v>
      </c>
      <c r="S1407" s="75">
        <f>0.5*(Q1406+Q1407)*R1407</f>
        <v>0.003287546325889977</v>
      </c>
      <c r="T1407" s="75">
        <f>0.5*(F1406*Q1406+F1407*Q1407)*R1407</f>
        <v>0.01898382316427814</v>
      </c>
      <c r="U1407" s="76">
        <f>U1406+S1407</f>
        <v>6.036465271467713</v>
      </c>
      <c r="V1407" s="76">
        <f>V1406+T1407</f>
        <v>21.390269896713555</v>
      </c>
    </row>
    <row r="1408" spans="1:22" ht="19" customHeight="1">
      <c r="A1408" s="68" t="s">
        <v>372</v>
      </c>
      <c r="B1408" s="74">
        <v>2</v>
      </c>
      <c r="C1408" s="68" t="s">
        <v>363</v>
      </c>
      <c r="D1408" s="68" t="s">
        <v>364</v>
      </c>
      <c r="E1408" s="75">
        <f>60*F1408*'THAM_SO_MOI'!$C$50/(2*PI()*'THAM_SO_MOI'!$C$26)</f>
        <v>2317.987591965896</v>
      </c>
      <c r="F1408" s="75">
        <f>'HANH_TRINH'!$F$826+('THAM_SO_MOI'!$F$50-'HANH_TRINH'!$F$826)*581/'THAM_SO_MOI'!$C$42</f>
        <v>5.779281462053298</v>
      </c>
      <c r="G1408" s="75">
        <f>3.6*F1408</f>
        <v>20.805413263391873</v>
      </c>
      <c r="H1408" s="75">
        <f>'THAM_SO_MOI'!$D$50</f>
        <v>1.8785906709588276</v>
      </c>
      <c r="I1408" s="75">
        <f>IF(F1408&gt;'THAM_SO_MOI'!$C$14,'THAM_SO_MOI'!$C$13*(1+F1408^2/1500),'THAM_SO_MOI'!$C$13)</f>
        <v>0.015</v>
      </c>
      <c r="J1408" s="75">
        <f>'THAM_SO_MOI'!$C$40*('THAM_SO_MOI'!$C$23*(E1408/'THAM_SO_MOI'!$C$22)+'THAM_SO_MOI'!$C$24*(E1408/'THAM_SO_MOI'!$C$22)^2-'THAM_SO_MOI'!$C$25*(E1408/'THAM_SO_MOI'!$C$22)^3)</f>
        <v>104.11996919612318</v>
      </c>
      <c r="K1408" s="75">
        <f>'THAM_SO_MOI'!$C$31*J1408/E1408</f>
        <v>429.01871959007093</v>
      </c>
      <c r="L1408" s="75">
        <f>K1408*'THAM_SO_MOI'!$C$50*'THAM_SO_MOI'!$C$17/'THAM_SO_MOI'!$C$26</f>
        <v>15316.553316173273</v>
      </c>
      <c r="M1408" s="75">
        <f>'THAM_SO_MOI'!$C$15*'THAM_SO_MOI'!$C$16*F1408^2</f>
        <v>97.69527558657626</v>
      </c>
      <c r="N1408" s="75">
        <f>'THAM_SO_MOI'!$C$12*I1408</f>
        <v>1130.112</v>
      </c>
      <c r="O1408" s="75">
        <f>M1408+N1408</f>
        <v>1227.8072755865765</v>
      </c>
      <c r="P1408" s="75">
        <f>(MIN(L1408,'THAM_SO_MOI'!$C$41)-O1408)/('THAM_SO_MOI'!$C$11*H1408)</f>
        <v>0.9765150913717053</v>
      </c>
      <c r="Q1408" s="75">
        <f>IF(P1408&gt;0,1/P1408,NA())</f>
        <v>1.0240497139632585</v>
      </c>
      <c r="R1408" s="75">
        <f>F1408-F1407</f>
        <v>0.0032106047296869278</v>
      </c>
      <c r="S1408" s="75">
        <f>0.5*(Q1407+Q1408)*R1408</f>
        <v>0.0032877277829751793</v>
      </c>
      <c r="T1408" s="75">
        <f>0.5*(F1407*Q1407+F1408*Q1408)*R1408</f>
        <v>0.018995426577439342</v>
      </c>
      <c r="U1408" s="76">
        <f>U1407+S1408</f>
        <v>6.039752999250688</v>
      </c>
      <c r="V1408" s="76">
        <f>V1407+T1408</f>
        <v>21.409265323290995</v>
      </c>
    </row>
    <row r="1409" spans="1:22" ht="19" customHeight="1">
      <c r="A1409" s="68" t="s">
        <v>372</v>
      </c>
      <c r="B1409" s="74">
        <v>2</v>
      </c>
      <c r="C1409" s="68" t="s">
        <v>363</v>
      </c>
      <c r="D1409" s="68" t="s">
        <v>364</v>
      </c>
      <c r="E1409" s="75">
        <f>60*F1409*'THAM_SO_MOI'!$C$50/(2*PI()*'THAM_SO_MOI'!$C$26)</f>
        <v>2319.2753198564624</v>
      </c>
      <c r="F1409" s="75">
        <f>'HANH_TRINH'!$F$826+('THAM_SO_MOI'!$F$50-'HANH_TRINH'!$F$826)*582/'THAM_SO_MOI'!$C$42</f>
        <v>5.782492066782984</v>
      </c>
      <c r="G1409" s="75">
        <f>3.6*F1409</f>
        <v>20.816971440418744</v>
      </c>
      <c r="H1409" s="75">
        <f>'THAM_SO_MOI'!$D$50</f>
        <v>1.8785906709588276</v>
      </c>
      <c r="I1409" s="75">
        <f>IF(F1409&gt;'THAM_SO_MOI'!$C$14,'THAM_SO_MOI'!$C$13*(1+F1409^2/1500),'THAM_SO_MOI'!$C$13)</f>
        <v>0.015</v>
      </c>
      <c r="J1409" s="75">
        <f>'THAM_SO_MOI'!$C$40*('THAM_SO_MOI'!$C$23*(E1409/'THAM_SO_MOI'!$C$22)+'THAM_SO_MOI'!$C$24*(E1409/'THAM_SO_MOI'!$C$22)^2-'THAM_SO_MOI'!$C$25*(E1409/'THAM_SO_MOI'!$C$22)^3)</f>
        <v>104.17320165307434</v>
      </c>
      <c r="K1409" s="75">
        <f>'THAM_SO_MOI'!$C$31*J1409/E1409</f>
        <v>428.99973480751373</v>
      </c>
      <c r="L1409" s="75">
        <f>K1409*'THAM_SO_MOI'!$C$50*'THAM_SO_MOI'!$C$17/'THAM_SO_MOI'!$C$26</f>
        <v>15315.875533547585</v>
      </c>
      <c r="M1409" s="75">
        <f>'THAM_SO_MOI'!$C$15*'THAM_SO_MOI'!$C$16*F1409^2</f>
        <v>97.80385241954384</v>
      </c>
      <c r="N1409" s="75">
        <f>'THAM_SO_MOI'!$C$12*I1409</f>
        <v>1130.112</v>
      </c>
      <c r="O1409" s="75">
        <f>M1409+N1409</f>
        <v>1227.9158524195439</v>
      </c>
      <c r="P1409" s="75">
        <f>(MIN(L1409,'THAM_SO_MOI'!$C$41)-O1409)/('THAM_SO_MOI'!$C$11*H1409)</f>
        <v>0.9764605874523071</v>
      </c>
      <c r="Q1409" s="75">
        <f>IF(P1409&gt;0,1/P1409,NA())</f>
        <v>1.0241068742048358</v>
      </c>
      <c r="R1409" s="75">
        <f>F1409-F1408</f>
        <v>0.0032106047296860396</v>
      </c>
      <c r="S1409" s="75">
        <f>0.5*(Q1408+Q1409)*R1409</f>
        <v>0.003287910614555053</v>
      </c>
      <c r="T1409" s="75">
        <f>0.5*(F1408*Q1408+F1409*Q1409)*R1409</f>
        <v>0.019007039101572913</v>
      </c>
      <c r="U1409" s="76">
        <f>U1408+S1409</f>
        <v>6.043040909865243</v>
      </c>
      <c r="V1409" s="76">
        <f>V1408+T1409</f>
        <v>21.42827236239257</v>
      </c>
    </row>
    <row r="1410" spans="1:22" ht="19" customHeight="1">
      <c r="A1410" s="68" t="s">
        <v>372</v>
      </c>
      <c r="B1410" s="74">
        <v>2</v>
      </c>
      <c r="C1410" s="68" t="s">
        <v>363</v>
      </c>
      <c r="D1410" s="68" t="s">
        <v>364</v>
      </c>
      <c r="E1410" s="75">
        <f>60*F1410*'THAM_SO_MOI'!$C$50/(2*PI()*'THAM_SO_MOI'!$C$26)</f>
        <v>2320.5630477470295</v>
      </c>
      <c r="F1410" s="75">
        <f>'HANH_TRINH'!$F$826+('THAM_SO_MOI'!$F$50-'HANH_TRINH'!$F$826)*583/'THAM_SO_MOI'!$C$42</f>
        <v>5.785702671512671</v>
      </c>
      <c r="G1410" s="75">
        <f>3.6*F1410</f>
        <v>20.828529617445614</v>
      </c>
      <c r="H1410" s="75">
        <f>'THAM_SO_MOI'!$D$50</f>
        <v>1.8785906709588276</v>
      </c>
      <c r="I1410" s="75">
        <f>IF(F1410&gt;'THAM_SO_MOI'!$C$14,'THAM_SO_MOI'!$C$13*(1+F1410^2/1500),'THAM_SO_MOI'!$C$13)</f>
        <v>0.015</v>
      </c>
      <c r="J1410" s="75">
        <f>'THAM_SO_MOI'!$C$40*('THAM_SO_MOI'!$C$23*(E1410/'THAM_SO_MOI'!$C$22)+'THAM_SO_MOI'!$C$24*(E1410/'THAM_SO_MOI'!$C$22)^2-'THAM_SO_MOI'!$C$25*(E1410/'THAM_SO_MOI'!$C$22)^3)</f>
        <v>104.2263899042723</v>
      </c>
      <c r="K1410" s="75">
        <f>'THAM_SO_MOI'!$C$31*J1410/E1410</f>
        <v>428.9805891506246</v>
      </c>
      <c r="L1410" s="75">
        <f>K1410*'THAM_SO_MOI'!$C$50*'THAM_SO_MOI'!$C$17/'THAM_SO_MOI'!$C$26</f>
        <v>15315.19200748887</v>
      </c>
      <c r="M1410" s="75">
        <f>'THAM_SO_MOI'!$C$15*'THAM_SO_MOI'!$C$16*F1410^2</f>
        <v>97.91248955421041</v>
      </c>
      <c r="N1410" s="75">
        <f>'THAM_SO_MOI'!$C$12*I1410</f>
        <v>1130.112</v>
      </c>
      <c r="O1410" s="75">
        <f>M1410+N1410</f>
        <v>1228.0244895542105</v>
      </c>
      <c r="P1410" s="75">
        <f>(MIN(L1410,'THAM_SO_MOI'!$C$41)-O1410)/('THAM_SO_MOI'!$C$11*H1410)</f>
        <v>0.9764056812661257</v>
      </c>
      <c r="Q1410" s="75">
        <f>IF(P1410&gt;0,1/P1410,NA())</f>
        <v>1.0241644627705146</v>
      </c>
      <c r="R1410" s="75">
        <f>F1410-F1409</f>
        <v>0.0032106047296869278</v>
      </c>
      <c r="S1410" s="75">
        <f>0.5*(Q1409+Q1410)*R1410</f>
        <v>0.003288094821087614</v>
      </c>
      <c r="T1410" s="75">
        <f>0.5*(F1409*Q1409+F1410*Q1410)*R1410</f>
        <v>0.019018660752566946</v>
      </c>
      <c r="U1410" s="76">
        <f>U1409+S1410</f>
        <v>6.0463290046863305</v>
      </c>
      <c r="V1410" s="76">
        <f>V1409+T1410</f>
        <v>21.447291023145137</v>
      </c>
    </row>
    <row r="1411" spans="1:22" ht="19" customHeight="1">
      <c r="A1411" s="68" t="s">
        <v>372</v>
      </c>
      <c r="B1411" s="74">
        <v>2</v>
      </c>
      <c r="C1411" s="68" t="s">
        <v>363</v>
      </c>
      <c r="D1411" s="68" t="s">
        <v>364</v>
      </c>
      <c r="E1411" s="75">
        <f>60*F1411*'THAM_SO_MOI'!$C$50/(2*PI()*'THAM_SO_MOI'!$C$26)</f>
        <v>2321.850775637596</v>
      </c>
      <c r="F1411" s="75">
        <f>'HANH_TRINH'!$F$826+('THAM_SO_MOI'!$F$50-'HANH_TRINH'!$F$826)*584/'THAM_SO_MOI'!$C$42</f>
        <v>5.788913276242358</v>
      </c>
      <c r="G1411" s="75">
        <f>3.6*F1411</f>
        <v>20.84008779447249</v>
      </c>
      <c r="H1411" s="75">
        <f>'THAM_SO_MOI'!$D$50</f>
        <v>1.8785906709588276</v>
      </c>
      <c r="I1411" s="75">
        <f>IF(F1411&gt;'THAM_SO_MOI'!$C$14,'THAM_SO_MOI'!$C$13*(1+F1411^2/1500),'THAM_SO_MOI'!$C$13)</f>
        <v>0.015</v>
      </c>
      <c r="J1411" s="75">
        <f>'THAM_SO_MOI'!$C$40*('THAM_SO_MOI'!$C$23*(E1411/'THAM_SO_MOI'!$C$22)+'THAM_SO_MOI'!$C$24*(E1411/'THAM_SO_MOI'!$C$22)^2-'THAM_SO_MOI'!$C$25*(E1411/'THAM_SO_MOI'!$C$22)^3)</f>
        <v>104.27953388464715</v>
      </c>
      <c r="K1411" s="75">
        <f>'THAM_SO_MOI'!$C$31*J1411/E1411</f>
        <v>428.96128261940294</v>
      </c>
      <c r="L1411" s="75">
        <f>K1411*'THAM_SO_MOI'!$C$50*'THAM_SO_MOI'!$C$17/'THAM_SO_MOI'!$C$26</f>
        <v>15314.502737997114</v>
      </c>
      <c r="M1411" s="75">
        <f>'THAM_SO_MOI'!$C$15*'THAM_SO_MOI'!$C$16*F1411^2</f>
        <v>98.02118699057597</v>
      </c>
      <c r="N1411" s="75">
        <f>'THAM_SO_MOI'!$C$12*I1411</f>
        <v>1130.112</v>
      </c>
      <c r="O1411" s="75">
        <f>M1411+N1411</f>
        <v>1228.133186990576</v>
      </c>
      <c r="P1411" s="75">
        <f>(MIN(L1411,'THAM_SO_MOI'!$C$41)-O1411)/('THAM_SO_MOI'!$C$11*H1411)</f>
        <v>0.9763503728131603</v>
      </c>
      <c r="Q1411" s="75">
        <f>IF(P1411&gt;0,1/P1411,NA())</f>
        <v>1.024222479803739</v>
      </c>
      <c r="R1411" s="75">
        <f>F1411-F1410</f>
        <v>0.0032106047296869278</v>
      </c>
      <c r="S1411" s="75">
        <f>0.5*(Q1410+Q1411)*R1411</f>
        <v>0.003288280403028922</v>
      </c>
      <c r="T1411" s="75">
        <f>0.5*(F1410*Q1410+F1411*Q1411)*R1411</f>
        <v>0.01903029154630409</v>
      </c>
      <c r="U1411" s="76">
        <f>U1410+S1411</f>
        <v>6.04961728508936</v>
      </c>
      <c r="V1411" s="76">
        <f>V1410+T1411</f>
        <v>21.46632131469144</v>
      </c>
    </row>
    <row r="1412" spans="1:22" ht="19" customHeight="1">
      <c r="A1412" s="68" t="s">
        <v>372</v>
      </c>
      <c r="B1412" s="74">
        <v>2</v>
      </c>
      <c r="C1412" s="68" t="s">
        <v>363</v>
      </c>
      <c r="D1412" s="68" t="s">
        <v>364</v>
      </c>
      <c r="E1412" s="75">
        <f>60*F1412*'THAM_SO_MOI'!$C$50/(2*PI()*'THAM_SO_MOI'!$C$26)</f>
        <v>2323.138503528163</v>
      </c>
      <c r="F1412" s="75">
        <f>'HANH_TRINH'!$F$826+('THAM_SO_MOI'!$F$50-'HANH_TRINH'!$F$826)*585/'THAM_SO_MOI'!$C$42</f>
        <v>5.792123880972045</v>
      </c>
      <c r="G1412" s="75">
        <f>3.6*F1412</f>
        <v>20.851645971499362</v>
      </c>
      <c r="H1412" s="75">
        <f>'THAM_SO_MOI'!$D$50</f>
        <v>1.8785906709588276</v>
      </c>
      <c r="I1412" s="75">
        <f>IF(F1412&gt;'THAM_SO_MOI'!$C$14,'THAM_SO_MOI'!$C$13*(1+F1412^2/1500),'THAM_SO_MOI'!$C$13)</f>
        <v>0.015</v>
      </c>
      <c r="J1412" s="75">
        <f>'THAM_SO_MOI'!$C$40*('THAM_SO_MOI'!$C$23*(E1412/'THAM_SO_MOI'!$C$22)+'THAM_SO_MOI'!$C$24*(E1412/'THAM_SO_MOI'!$C$22)^2-'THAM_SO_MOI'!$C$25*(E1412/'THAM_SO_MOI'!$C$22)^3)</f>
        <v>104.33263352912932</v>
      </c>
      <c r="K1412" s="75">
        <f>'THAM_SO_MOI'!$C$31*J1412/E1412</f>
        <v>428.94181521384917</v>
      </c>
      <c r="L1412" s="75">
        <f>K1412*'THAM_SO_MOI'!$C$50*'THAM_SO_MOI'!$C$17/'THAM_SO_MOI'!$C$26</f>
        <v>15313.807725072324</v>
      </c>
      <c r="M1412" s="75">
        <f>'THAM_SO_MOI'!$C$15*'THAM_SO_MOI'!$C$16*F1412^2</f>
        <v>98.12994472864051</v>
      </c>
      <c r="N1412" s="75">
        <f>'THAM_SO_MOI'!$C$12*I1412</f>
        <v>1130.112</v>
      </c>
      <c r="O1412" s="75">
        <f>M1412+N1412</f>
        <v>1228.2419447286406</v>
      </c>
      <c r="P1412" s="75">
        <f>(MIN(L1412,'THAM_SO_MOI'!$C$41)-O1412)/('THAM_SO_MOI'!$C$11*H1412)</f>
        <v>0.9762946620934116</v>
      </c>
      <c r="Q1412" s="75">
        <f>IF(P1412&gt;0,1/P1412,NA())</f>
        <v>1.0242809254490426</v>
      </c>
      <c r="R1412" s="75">
        <f>F1412-F1411</f>
        <v>0.0032106047296869278</v>
      </c>
      <c r="S1412" s="75">
        <f>0.5*(Q1411+Q1412)*R1412</f>
        <v>0.0032884673608421793</v>
      </c>
      <c r="T1412" s="75">
        <f>0.5*(F1411*Q1411+F1412*Q1412)*R1412</f>
        <v>0.019041931498714203</v>
      </c>
      <c r="U1412" s="76">
        <f>U1411+S1412</f>
        <v>6.052905752450202</v>
      </c>
      <c r="V1412" s="76">
        <f>V1411+T1412</f>
        <v>21.485363246190154</v>
      </c>
    </row>
    <row r="1413" spans="1:22" ht="19" customHeight="1">
      <c r="A1413" s="68" t="s">
        <v>372</v>
      </c>
      <c r="B1413" s="74">
        <v>2</v>
      </c>
      <c r="C1413" s="68" t="s">
        <v>363</v>
      </c>
      <c r="D1413" s="68" t="s">
        <v>364</v>
      </c>
      <c r="E1413" s="75">
        <f>60*F1413*'THAM_SO_MOI'!$C$50/(2*PI()*'THAM_SO_MOI'!$C$26)</f>
        <v>2324.42623141873</v>
      </c>
      <c r="F1413" s="75">
        <f>'HANH_TRINH'!$F$826+('THAM_SO_MOI'!$F$50-'HANH_TRINH'!$F$826)*586/'THAM_SO_MOI'!$C$42</f>
        <v>5.795334485701732</v>
      </c>
      <c r="G1413" s="75">
        <f>3.6*F1413</f>
        <v>20.863204148526236</v>
      </c>
      <c r="H1413" s="75">
        <f>'THAM_SO_MOI'!$D$50</f>
        <v>1.8785906709588276</v>
      </c>
      <c r="I1413" s="75">
        <f>IF(F1413&gt;'THAM_SO_MOI'!$C$14,'THAM_SO_MOI'!$C$13*(1+F1413^2/1500),'THAM_SO_MOI'!$C$13)</f>
        <v>0.015</v>
      </c>
      <c r="J1413" s="75">
        <f>'THAM_SO_MOI'!$C$40*('THAM_SO_MOI'!$C$23*(E1413/'THAM_SO_MOI'!$C$22)+'THAM_SO_MOI'!$C$24*(E1413/'THAM_SO_MOI'!$C$22)^2-'THAM_SO_MOI'!$C$25*(E1413/'THAM_SO_MOI'!$C$22)^3)</f>
        <v>104.38568877264913</v>
      </c>
      <c r="K1413" s="75">
        <f>'THAM_SO_MOI'!$C$31*J1413/E1413</f>
        <v>428.92218693396325</v>
      </c>
      <c r="L1413" s="75">
        <f>K1413*'THAM_SO_MOI'!$C$50*'THAM_SO_MOI'!$C$17/'THAM_SO_MOI'!$C$26</f>
        <v>15313.1069687145</v>
      </c>
      <c r="M1413" s="75">
        <f>'THAM_SO_MOI'!$C$15*'THAM_SO_MOI'!$C$16*F1413^2</f>
        <v>98.23876276840399</v>
      </c>
      <c r="N1413" s="75">
        <f>'THAM_SO_MOI'!$C$12*I1413</f>
        <v>1130.112</v>
      </c>
      <c r="O1413" s="75">
        <f>M1413+N1413</f>
        <v>1228.3507627684041</v>
      </c>
      <c r="P1413" s="75">
        <f>(MIN(L1413,'THAM_SO_MOI'!$C$41)-O1413)/('THAM_SO_MOI'!$C$11*H1413)</f>
        <v>0.9762385491068793</v>
      </c>
      <c r="Q1413" s="75">
        <f>IF(P1413&gt;0,1/P1413,NA())</f>
        <v>1.0243397998520536</v>
      </c>
      <c r="R1413" s="75">
        <f>F1413-F1412</f>
        <v>0.0032106047296869278</v>
      </c>
      <c r="S1413" s="75">
        <f>0.5*(Q1412+Q1413)*R1413</f>
        <v>0.003288655694993182</v>
      </c>
      <c r="T1413" s="75">
        <f>0.5*(F1412*Q1412+F1413*Q1413)*R1413</f>
        <v>0.019053580625748138</v>
      </c>
      <c r="U1413" s="76">
        <f>U1412+S1413</f>
        <v>6.056194408145195</v>
      </c>
      <c r="V1413" s="76">
        <f>V1412+T1413</f>
        <v>21.504416826815902</v>
      </c>
    </row>
    <row r="1414" spans="1:22" ht="19" customHeight="1">
      <c r="A1414" s="68" t="s">
        <v>372</v>
      </c>
      <c r="B1414" s="74">
        <v>2</v>
      </c>
      <c r="C1414" s="68" t="s">
        <v>363</v>
      </c>
      <c r="D1414" s="68" t="s">
        <v>364</v>
      </c>
      <c r="E1414" s="75">
        <f>60*F1414*'THAM_SO_MOI'!$C$50/(2*PI()*'THAM_SO_MOI'!$C$26)</f>
        <v>2325.7139593092966</v>
      </c>
      <c r="F1414" s="75">
        <f>'HANH_TRINH'!$F$826+('THAM_SO_MOI'!$F$50-'HANH_TRINH'!$F$826)*587/'THAM_SO_MOI'!$C$42</f>
        <v>5.798545090431419</v>
      </c>
      <c r="G1414" s="75">
        <f>3.6*F1414</f>
        <v>20.874762325553107</v>
      </c>
      <c r="H1414" s="75">
        <f>'THAM_SO_MOI'!$D$50</f>
        <v>1.8785906709588276</v>
      </c>
      <c r="I1414" s="75">
        <f>IF(F1414&gt;'THAM_SO_MOI'!$C$14,'THAM_SO_MOI'!$C$13*(1+F1414^2/1500),'THAM_SO_MOI'!$C$13)</f>
        <v>0.015</v>
      </c>
      <c r="J1414" s="75">
        <f>'THAM_SO_MOI'!$C$40*('THAM_SO_MOI'!$C$23*(E1414/'THAM_SO_MOI'!$C$22)+'THAM_SO_MOI'!$C$24*(E1414/'THAM_SO_MOI'!$C$22)^2-'THAM_SO_MOI'!$C$25*(E1414/'THAM_SO_MOI'!$C$22)^3)</f>
        <v>104.43869955013676</v>
      </c>
      <c r="K1414" s="75">
        <f>'THAM_SO_MOI'!$C$31*J1414/E1414</f>
        <v>428.9023977797449</v>
      </c>
      <c r="L1414" s="75">
        <f>K1414*'THAM_SO_MOI'!$C$50*'THAM_SO_MOI'!$C$17/'THAM_SO_MOI'!$C$26</f>
        <v>15312.400468923634</v>
      </c>
      <c r="M1414" s="75">
        <f>'THAM_SO_MOI'!$C$15*'THAM_SO_MOI'!$C$16*F1414^2</f>
        <v>98.34764110986647</v>
      </c>
      <c r="N1414" s="75">
        <f>'THAM_SO_MOI'!$C$12*I1414</f>
        <v>1130.112</v>
      </c>
      <c r="O1414" s="75">
        <f>M1414+N1414</f>
        <v>1228.4596411098667</v>
      </c>
      <c r="P1414" s="75">
        <f>(MIN(L1414,'THAM_SO_MOI'!$C$41)-O1414)/('THAM_SO_MOI'!$C$11*H1414)</f>
        <v>0.976182033853563</v>
      </c>
      <c r="Q1414" s="75">
        <f>IF(P1414&gt;0,1/P1414,NA())</f>
        <v>1.0243991031594932</v>
      </c>
      <c r="R1414" s="75">
        <f>F1414-F1413</f>
        <v>0.0032106047296869278</v>
      </c>
      <c r="S1414" s="75">
        <f>0.5*(Q1413+Q1414)*R1414</f>
        <v>0.00328884540595124</v>
      </c>
      <c r="T1414" s="75">
        <f>0.5*(F1413*Q1413+F1414*Q1414)*R1414</f>
        <v>0.019065238943383078</v>
      </c>
      <c r="U1414" s="76">
        <f>U1413+S1414</f>
        <v>6.059483253551146</v>
      </c>
      <c r="V1414" s="76">
        <f>V1413+T1414</f>
        <v>21.523482065759286</v>
      </c>
    </row>
    <row r="1415" spans="1:22" ht="19" customHeight="1">
      <c r="A1415" s="68" t="s">
        <v>372</v>
      </c>
      <c r="B1415" s="74">
        <v>2</v>
      </c>
      <c r="C1415" s="68" t="s">
        <v>363</v>
      </c>
      <c r="D1415" s="68" t="s">
        <v>364</v>
      </c>
      <c r="E1415" s="75">
        <f>60*F1415*'THAM_SO_MOI'!$C$50/(2*PI()*'THAM_SO_MOI'!$C$26)</f>
        <v>2327.001687199863</v>
      </c>
      <c r="F1415" s="75">
        <f>'HANH_TRINH'!$F$826+('THAM_SO_MOI'!$F$50-'HANH_TRINH'!$F$826)*588/'THAM_SO_MOI'!$C$42</f>
        <v>5.801755695161106</v>
      </c>
      <c r="G1415" s="75">
        <f>3.6*F1415</f>
        <v>20.88632050257998</v>
      </c>
      <c r="H1415" s="75">
        <f>'THAM_SO_MOI'!$D$50</f>
        <v>1.8785906709588276</v>
      </c>
      <c r="I1415" s="75">
        <f>IF(F1415&gt;'THAM_SO_MOI'!$C$14,'THAM_SO_MOI'!$C$13*(1+F1415^2/1500),'THAM_SO_MOI'!$C$13)</f>
        <v>0.015</v>
      </c>
      <c r="J1415" s="75">
        <f>'THAM_SO_MOI'!$C$40*('THAM_SO_MOI'!$C$23*(E1415/'THAM_SO_MOI'!$C$22)+'THAM_SO_MOI'!$C$24*(E1415/'THAM_SO_MOI'!$C$22)^2-'THAM_SO_MOI'!$C$25*(E1415/'THAM_SO_MOI'!$C$22)^3)</f>
        <v>104.49166579652262</v>
      </c>
      <c r="K1415" s="75">
        <f>'THAM_SO_MOI'!$C$31*J1415/E1415</f>
        <v>428.88244775119455</v>
      </c>
      <c r="L1415" s="75">
        <f>K1415*'THAM_SO_MOI'!$C$50*'THAM_SO_MOI'!$C$17/'THAM_SO_MOI'!$C$26</f>
        <v>15311.688225699743</v>
      </c>
      <c r="M1415" s="75">
        <f>'THAM_SO_MOI'!$C$15*'THAM_SO_MOI'!$C$16*F1415^2</f>
        <v>98.4565797530279</v>
      </c>
      <c r="N1415" s="75">
        <f>'THAM_SO_MOI'!$C$12*I1415</f>
        <v>1130.112</v>
      </c>
      <c r="O1415" s="75">
        <f>M1415+N1415</f>
        <v>1228.568579753028</v>
      </c>
      <c r="P1415" s="75">
        <f>(MIN(L1415,'THAM_SO_MOI'!$C$41)-O1415)/('THAM_SO_MOI'!$C$11*H1415)</f>
        <v>0.9761251163334637</v>
      </c>
      <c r="Q1415" s="75">
        <f>IF(P1415&gt;0,1/P1415,NA())</f>
        <v>1.0244588355191757</v>
      </c>
      <c r="R1415" s="75">
        <f>F1415-F1414</f>
        <v>0.0032106047296869278</v>
      </c>
      <c r="S1415" s="75">
        <f>0.5*(Q1414+Q1415)*R1415</f>
        <v>0.003289036494189172</v>
      </c>
      <c r="T1415" s="75">
        <f>0.5*(F1414*Q1414+F1415*Q1415)*R1415</f>
        <v>0.019076906467622598</v>
      </c>
      <c r="U1415" s="76">
        <f>U1414+S1415</f>
        <v>6.062772290045335</v>
      </c>
      <c r="V1415" s="76">
        <f>V1414+T1415</f>
        <v>21.542558972226907</v>
      </c>
    </row>
    <row r="1416" spans="1:22" ht="19" customHeight="1">
      <c r="A1416" s="68" t="s">
        <v>372</v>
      </c>
      <c r="B1416" s="74">
        <v>2</v>
      </c>
      <c r="C1416" s="68" t="s">
        <v>363</v>
      </c>
      <c r="D1416" s="68" t="s">
        <v>364</v>
      </c>
      <c r="E1416" s="75">
        <f>60*F1416*'THAM_SO_MOI'!$C$50/(2*PI()*'THAM_SO_MOI'!$C$26)</f>
        <v>2328.2894150904294</v>
      </c>
      <c r="F1416" s="75">
        <f>'HANH_TRINH'!$F$826+('THAM_SO_MOI'!$F$50-'HANH_TRINH'!$F$826)*589/'THAM_SO_MOI'!$C$42</f>
        <v>5.804966299890792</v>
      </c>
      <c r="G1416" s="75">
        <f>3.6*F1416</f>
        <v>20.89787867960685</v>
      </c>
      <c r="H1416" s="75">
        <f>'THAM_SO_MOI'!$D$50</f>
        <v>1.8785906709588276</v>
      </c>
      <c r="I1416" s="75">
        <f>IF(F1416&gt;'THAM_SO_MOI'!$C$14,'THAM_SO_MOI'!$C$13*(1+F1416^2/1500),'THAM_SO_MOI'!$C$13)</f>
        <v>0.015</v>
      </c>
      <c r="J1416" s="75">
        <f>'THAM_SO_MOI'!$C$40*('THAM_SO_MOI'!$C$23*(E1416/'THAM_SO_MOI'!$C$22)+'THAM_SO_MOI'!$C$24*(E1416/'THAM_SO_MOI'!$C$22)^2-'THAM_SO_MOI'!$C$25*(E1416/'THAM_SO_MOI'!$C$22)^3)</f>
        <v>104.54458744673691</v>
      </c>
      <c r="K1416" s="75">
        <f>'THAM_SO_MOI'!$C$31*J1416/E1416</f>
        <v>428.86233684831166</v>
      </c>
      <c r="L1416" s="75">
        <f>K1416*'THAM_SO_MOI'!$C$50*'THAM_SO_MOI'!$C$17/'THAM_SO_MOI'!$C$26</f>
        <v>15310.970239042805</v>
      </c>
      <c r="M1416" s="75">
        <f>'THAM_SO_MOI'!$C$15*'THAM_SO_MOI'!$C$16*F1416^2</f>
        <v>98.56557869788828</v>
      </c>
      <c r="N1416" s="75">
        <f>'THAM_SO_MOI'!$C$12*I1416</f>
        <v>1130.112</v>
      </c>
      <c r="O1416" s="75">
        <f>M1416+N1416</f>
        <v>1228.6775786978883</v>
      </c>
      <c r="P1416" s="75">
        <f>(MIN(L1416,'THAM_SO_MOI'!$C$41)-O1416)/('THAM_SO_MOI'!$C$11*H1416)</f>
        <v>0.9760677965465802</v>
      </c>
      <c r="Q1416" s="75">
        <f>IF(P1416&gt;0,1/P1416,NA())</f>
        <v>1.0245189970800126</v>
      </c>
      <c r="R1416" s="75">
        <f>F1416-F1415</f>
        <v>0.0032106047296860396</v>
      </c>
      <c r="S1416" s="75">
        <f>0.5*(Q1415+Q1416)*R1416</f>
        <v>0.0032892289601824027</v>
      </c>
      <c r="T1416" s="75">
        <f>0.5*(F1415*Q1415+F1416*Q1416)*R1416</f>
        <v>0.019088583214491466</v>
      </c>
      <c r="U1416" s="76">
        <f>U1415+S1416</f>
        <v>6.066061519005517</v>
      </c>
      <c r="V1416" s="76">
        <f>V1415+T1416</f>
        <v>21.561647555441397</v>
      </c>
    </row>
    <row r="1417" spans="1:22" ht="19" customHeight="1">
      <c r="A1417" s="68" t="s">
        <v>372</v>
      </c>
      <c r="B1417" s="74">
        <v>2</v>
      </c>
      <c r="C1417" s="68" t="s">
        <v>363</v>
      </c>
      <c r="D1417" s="68" t="s">
        <v>364</v>
      </c>
      <c r="E1417" s="75">
        <f>60*F1417*'THAM_SO_MOI'!$C$50/(2*PI()*'THAM_SO_MOI'!$C$26)</f>
        <v>2329.577142980996</v>
      </c>
      <c r="F1417" s="75">
        <f>'HANH_TRINH'!$F$826+('THAM_SO_MOI'!$F$50-'HANH_TRINH'!$F$826)*590/'THAM_SO_MOI'!$C$42</f>
        <v>5.8081769046204785</v>
      </c>
      <c r="G1417" s="75">
        <f>3.6*F1417</f>
        <v>20.90943685663372</v>
      </c>
      <c r="H1417" s="75">
        <f>'THAM_SO_MOI'!$D$50</f>
        <v>1.8785906709588276</v>
      </c>
      <c r="I1417" s="75">
        <f>IF(F1417&gt;'THAM_SO_MOI'!$C$14,'THAM_SO_MOI'!$C$13*(1+F1417^2/1500),'THAM_SO_MOI'!$C$13)</f>
        <v>0.015</v>
      </c>
      <c r="J1417" s="75">
        <f>'THAM_SO_MOI'!$C$40*('THAM_SO_MOI'!$C$23*(E1417/'THAM_SO_MOI'!$C$22)+'THAM_SO_MOI'!$C$24*(E1417/'THAM_SO_MOI'!$C$22)^2-'THAM_SO_MOI'!$C$25*(E1417/'THAM_SO_MOI'!$C$22)^3)</f>
        <v>104.59746443571001</v>
      </c>
      <c r="K1417" s="75">
        <f>'THAM_SO_MOI'!$C$31*J1417/E1417</f>
        <v>428.8420650710966</v>
      </c>
      <c r="L1417" s="75">
        <f>K1417*'THAM_SO_MOI'!$C$50*'THAM_SO_MOI'!$C$17/'THAM_SO_MOI'!$C$26</f>
        <v>15310.246508952836</v>
      </c>
      <c r="M1417" s="75">
        <f>'THAM_SO_MOI'!$C$15*'THAM_SO_MOI'!$C$16*F1417^2</f>
        <v>98.67463794444768</v>
      </c>
      <c r="N1417" s="75">
        <f>'THAM_SO_MOI'!$C$12*I1417</f>
        <v>1130.112</v>
      </c>
      <c r="O1417" s="75">
        <f>M1417+N1417</f>
        <v>1228.7866379444476</v>
      </c>
      <c r="P1417" s="75">
        <f>(MIN(L1417,'THAM_SO_MOI'!$C$41)-O1417)/('THAM_SO_MOI'!$C$11*H1417)</f>
        <v>0.9760100744929133</v>
      </c>
      <c r="Q1417" s="75">
        <f>IF(P1417&gt;0,1/P1417,NA())</f>
        <v>1.0245795879920099</v>
      </c>
      <c r="R1417" s="75">
        <f>F1417-F1416</f>
        <v>0.0032106047296869278</v>
      </c>
      <c r="S1417" s="75">
        <f>0.5*(Q1416+Q1417)*R1417</f>
        <v>0.003289422804413514</v>
      </c>
      <c r="T1417" s="75">
        <f>0.5*(F1416*Q1416+F1417*Q1417)*R1417</f>
        <v>0.01910026920006212</v>
      </c>
      <c r="U1417" s="76">
        <f>U1416+S1417</f>
        <v>6.0693509418099305</v>
      </c>
      <c r="V1417" s="76">
        <f>V1416+T1417</f>
        <v>21.58074782464146</v>
      </c>
    </row>
    <row r="1418" spans="1:22" ht="19" customHeight="1">
      <c r="A1418" s="68" t="s">
        <v>372</v>
      </c>
      <c r="B1418" s="74">
        <v>2</v>
      </c>
      <c r="C1418" s="68" t="s">
        <v>363</v>
      </c>
      <c r="D1418" s="68" t="s">
        <v>364</v>
      </c>
      <c r="E1418" s="75">
        <f>60*F1418*'THAM_SO_MOI'!$C$50/(2*PI()*'THAM_SO_MOI'!$C$26)</f>
        <v>2330.8648708715627</v>
      </c>
      <c r="F1418" s="75">
        <f>'HANH_TRINH'!$F$826+('THAM_SO_MOI'!$F$50-'HANH_TRINH'!$F$826)*591/'THAM_SO_MOI'!$C$42</f>
        <v>5.8113875093501655</v>
      </c>
      <c r="G1418" s="75">
        <f>3.6*F1418</f>
        <v>20.920995033660596</v>
      </c>
      <c r="H1418" s="75">
        <f>'THAM_SO_MOI'!$D$50</f>
        <v>1.8785906709588276</v>
      </c>
      <c r="I1418" s="75">
        <f>IF(F1418&gt;'THAM_SO_MOI'!$C$14,'THAM_SO_MOI'!$C$13*(1+F1418^2/1500),'THAM_SO_MOI'!$C$13)</f>
        <v>0.015</v>
      </c>
      <c r="J1418" s="75">
        <f>'THAM_SO_MOI'!$C$40*('THAM_SO_MOI'!$C$23*(E1418/'THAM_SO_MOI'!$C$22)+'THAM_SO_MOI'!$C$24*(E1418/'THAM_SO_MOI'!$C$22)^2-'THAM_SO_MOI'!$C$25*(E1418/'THAM_SO_MOI'!$C$22)^3)</f>
        <v>104.65029669837223</v>
      </c>
      <c r="K1418" s="75">
        <f>'THAM_SO_MOI'!$C$31*J1418/E1418</f>
        <v>428.82163241954936</v>
      </c>
      <c r="L1418" s="75">
        <f>K1418*'THAM_SO_MOI'!$C$50*'THAM_SO_MOI'!$C$17/'THAM_SO_MOI'!$C$26</f>
        <v>15309.517035429832</v>
      </c>
      <c r="M1418" s="75">
        <f>'THAM_SO_MOI'!$C$15*'THAM_SO_MOI'!$C$16*F1418^2</f>
        <v>98.78375749270603</v>
      </c>
      <c r="N1418" s="75">
        <f>'THAM_SO_MOI'!$C$12*I1418</f>
        <v>1130.112</v>
      </c>
      <c r="O1418" s="75">
        <f>M1418+N1418</f>
        <v>1228.895757492706</v>
      </c>
      <c r="P1418" s="75">
        <f>(MIN(L1418,'THAM_SO_MOI'!$C$41)-O1418)/('THAM_SO_MOI'!$C$11*H1418)</f>
        <v>0.975951950172463</v>
      </c>
      <c r="Q1418" s="75">
        <f>IF(P1418&gt;0,1/P1418,NA())</f>
        <v>1.0246406084062718</v>
      </c>
      <c r="R1418" s="75">
        <f>F1418-F1417</f>
        <v>0.0032106047296869278</v>
      </c>
      <c r="S1418" s="75">
        <f>0.5*(Q1417+Q1418)*R1418</f>
        <v>0.0032896180273631493</v>
      </c>
      <c r="T1418" s="75">
        <f>0.5*(F1417*Q1417+F1418*Q1418)*R1418</f>
        <v>0.019111964440401922</v>
      </c>
      <c r="U1418" s="76">
        <f>U1417+S1418</f>
        <v>6.072640559837294</v>
      </c>
      <c r="V1418" s="76">
        <f>V1417+T1418</f>
        <v>21.59985978908186</v>
      </c>
    </row>
    <row r="1419" spans="1:22" ht="19" customHeight="1">
      <c r="A1419" s="68" t="s">
        <v>372</v>
      </c>
      <c r="B1419" s="74">
        <v>2</v>
      </c>
      <c r="C1419" s="68" t="s">
        <v>363</v>
      </c>
      <c r="D1419" s="68" t="s">
        <v>364</v>
      </c>
      <c r="E1419" s="75">
        <f>60*F1419*'THAM_SO_MOI'!$C$50/(2*PI()*'THAM_SO_MOI'!$C$26)</f>
        <v>2332.1525987621294</v>
      </c>
      <c r="F1419" s="75">
        <f>'HANH_TRINH'!$F$826+('THAM_SO_MOI'!$F$50-'HANH_TRINH'!$F$826)*592/'THAM_SO_MOI'!$C$42</f>
        <v>5.814598114079852</v>
      </c>
      <c r="G1419" s="75">
        <f>3.6*F1419</f>
        <v>20.93255321068747</v>
      </c>
      <c r="H1419" s="75">
        <f>'THAM_SO_MOI'!$D$50</f>
        <v>1.8785906709588276</v>
      </c>
      <c r="I1419" s="75">
        <f>IF(F1419&gt;'THAM_SO_MOI'!$C$14,'THAM_SO_MOI'!$C$13*(1+F1419^2/1500),'THAM_SO_MOI'!$C$13)</f>
        <v>0.015</v>
      </c>
      <c r="J1419" s="75">
        <f>'THAM_SO_MOI'!$C$40*('THAM_SO_MOI'!$C$23*(E1419/'THAM_SO_MOI'!$C$22)+'THAM_SO_MOI'!$C$24*(E1419/'THAM_SO_MOI'!$C$22)^2-'THAM_SO_MOI'!$C$25*(E1419/'THAM_SO_MOI'!$C$22)^3)</f>
        <v>104.70308416965385</v>
      </c>
      <c r="K1419" s="75">
        <f>'THAM_SO_MOI'!$C$31*J1419/E1419</f>
        <v>428.8010388936699</v>
      </c>
      <c r="L1419" s="75">
        <f>K1419*'THAM_SO_MOI'!$C$50*'THAM_SO_MOI'!$C$17/'THAM_SO_MOI'!$C$26</f>
        <v>15308.781818473793</v>
      </c>
      <c r="M1419" s="75">
        <f>'THAM_SO_MOI'!$C$15*'THAM_SO_MOI'!$C$16*F1419^2</f>
        <v>98.89293734266337</v>
      </c>
      <c r="N1419" s="75">
        <f>'THAM_SO_MOI'!$C$12*I1419</f>
        <v>1130.112</v>
      </c>
      <c r="O1419" s="75">
        <f>M1419+N1419</f>
        <v>1229.0049373426634</v>
      </c>
      <c r="P1419" s="75">
        <f>(MIN(L1419,'THAM_SO_MOI'!$C$41)-O1419)/('THAM_SO_MOI'!$C$11*H1419)</f>
        <v>0.9758934235852289</v>
      </c>
      <c r="Q1419" s="75">
        <f>IF(P1419&gt;0,1/P1419,NA())</f>
        <v>1.0247020584750008</v>
      </c>
      <c r="R1419" s="75">
        <f>F1419-F1418</f>
        <v>0.0032106047296869278</v>
      </c>
      <c r="S1419" s="75">
        <f>0.5*(Q1418+Q1419)*R1419</f>
        <v>0.003289814629519118</v>
      </c>
      <c r="T1419" s="75">
        <f>0.5*(F1418*Q1418+F1419*Q1419)*R1419</f>
        <v>0.019123668951626073</v>
      </c>
      <c r="U1419" s="76">
        <f>U1418+S1419</f>
        <v>6.075930374466813</v>
      </c>
      <c r="V1419" s="76">
        <f>V1418+T1419</f>
        <v>21.618983458033487</v>
      </c>
    </row>
    <row r="1420" spans="1:22" ht="19" customHeight="1">
      <c r="A1420" s="68" t="s">
        <v>372</v>
      </c>
      <c r="B1420" s="74">
        <v>2</v>
      </c>
      <c r="C1420" s="68" t="s">
        <v>363</v>
      </c>
      <c r="D1420" s="68" t="s">
        <v>364</v>
      </c>
      <c r="E1420" s="75">
        <f>60*F1420*'THAM_SO_MOI'!$C$50/(2*PI()*'THAM_SO_MOI'!$C$26)</f>
        <v>2333.440326652696</v>
      </c>
      <c r="F1420" s="75">
        <f>'HANH_TRINH'!$F$826+('THAM_SO_MOI'!$F$50-'HANH_TRINH'!$F$826)*593/'THAM_SO_MOI'!$C$42</f>
        <v>5.817808718809539</v>
      </c>
      <c r="G1420" s="75">
        <f>3.6*F1420</f>
        <v>20.944111387714344</v>
      </c>
      <c r="H1420" s="75">
        <f>'THAM_SO_MOI'!$D$50</f>
        <v>1.8785906709588276</v>
      </c>
      <c r="I1420" s="75">
        <f>IF(F1420&gt;'THAM_SO_MOI'!$C$14,'THAM_SO_MOI'!$C$13*(1+F1420^2/1500),'THAM_SO_MOI'!$C$13)</f>
        <v>0.015</v>
      </c>
      <c r="J1420" s="75">
        <f>'THAM_SO_MOI'!$C$40*('THAM_SO_MOI'!$C$23*(E1420/'THAM_SO_MOI'!$C$22)+'THAM_SO_MOI'!$C$24*(E1420/'THAM_SO_MOI'!$C$22)^2-'THAM_SO_MOI'!$C$25*(E1420/'THAM_SO_MOI'!$C$22)^3)</f>
        <v>104.75582678448517</v>
      </c>
      <c r="K1420" s="75">
        <f>'THAM_SO_MOI'!$C$31*J1420/E1420</f>
        <v>428.7802844934583</v>
      </c>
      <c r="L1420" s="75">
        <f>K1420*'THAM_SO_MOI'!$C$50*'THAM_SO_MOI'!$C$17/'THAM_SO_MOI'!$C$26</f>
        <v>15308.04085808472</v>
      </c>
      <c r="M1420" s="75">
        <f>'THAM_SO_MOI'!$C$15*'THAM_SO_MOI'!$C$16*F1420^2</f>
        <v>99.00217749431965</v>
      </c>
      <c r="N1420" s="75">
        <f>'THAM_SO_MOI'!$C$12*I1420</f>
        <v>1130.112</v>
      </c>
      <c r="O1420" s="75">
        <f>M1420+N1420</f>
        <v>1229.1141774943198</v>
      </c>
      <c r="P1420" s="75">
        <f>(MIN(L1420,'THAM_SO_MOI'!$C$41)-O1420)/('THAM_SO_MOI'!$C$11*H1420)</f>
        <v>0.9758344947312115</v>
      </c>
      <c r="Q1420" s="75">
        <f>IF(P1420&gt;0,1/P1420,NA())</f>
        <v>1.0247639383514975</v>
      </c>
      <c r="R1420" s="75">
        <f>F1420-F1419</f>
        <v>0.0032106047296869278</v>
      </c>
      <c r="S1420" s="75">
        <f>0.5*(Q1419+Q1420)*R1420</f>
        <v>0.003290012611371845</v>
      </c>
      <c r="T1420" s="75">
        <f>0.5*(F1419*Q1419+F1420*Q1420)*R1420</f>
        <v>0.019135382749871234</v>
      </c>
      <c r="U1420" s="76">
        <f>U1419+S1420</f>
        <v>6.079220387078185</v>
      </c>
      <c r="V1420" s="76">
        <f>V1419+T1420</f>
        <v>21.638118840783356</v>
      </c>
    </row>
    <row r="1421" spans="1:22" ht="19" customHeight="1">
      <c r="A1421" s="68" t="s">
        <v>372</v>
      </c>
      <c r="B1421" s="74">
        <v>2</v>
      </c>
      <c r="C1421" s="68" t="s">
        <v>363</v>
      </c>
      <c r="D1421" s="68" t="s">
        <v>364</v>
      </c>
      <c r="E1421" s="75">
        <f>60*F1421*'THAM_SO_MOI'!$C$50/(2*PI()*'THAM_SO_MOI'!$C$26)</f>
        <v>2334.7280545432627</v>
      </c>
      <c r="F1421" s="75">
        <f>'HANH_TRINH'!$F$826+('THAM_SO_MOI'!$F$50-'HANH_TRINH'!$F$826)*594/'THAM_SO_MOI'!$C$42</f>
        <v>5.821019323539226</v>
      </c>
      <c r="G1421" s="75">
        <f>3.6*F1421</f>
        <v>20.955669564741214</v>
      </c>
      <c r="H1421" s="75">
        <f>'THAM_SO_MOI'!$D$50</f>
        <v>1.8785906709588276</v>
      </c>
      <c r="I1421" s="75">
        <f>IF(F1421&gt;'THAM_SO_MOI'!$C$14,'THAM_SO_MOI'!$C$13*(1+F1421^2/1500),'THAM_SO_MOI'!$C$13)</f>
        <v>0.015</v>
      </c>
      <c r="J1421" s="75">
        <f>'THAM_SO_MOI'!$C$40*('THAM_SO_MOI'!$C$23*(E1421/'THAM_SO_MOI'!$C$22)+'THAM_SO_MOI'!$C$24*(E1421/'THAM_SO_MOI'!$C$22)^2-'THAM_SO_MOI'!$C$25*(E1421/'THAM_SO_MOI'!$C$22)^3)</f>
        <v>104.80852447779644</v>
      </c>
      <c r="K1421" s="75">
        <f>'THAM_SO_MOI'!$C$31*J1421/E1421</f>
        <v>428.7593692189142</v>
      </c>
      <c r="L1421" s="75">
        <f>K1421*'THAM_SO_MOI'!$C$50*'THAM_SO_MOI'!$C$17/'THAM_SO_MOI'!$C$26</f>
        <v>15307.294154262605</v>
      </c>
      <c r="M1421" s="75">
        <f>'THAM_SO_MOI'!$C$15*'THAM_SO_MOI'!$C$16*F1421^2</f>
        <v>99.11147794767494</v>
      </c>
      <c r="N1421" s="75">
        <f>'THAM_SO_MOI'!$C$12*I1421</f>
        <v>1130.112</v>
      </c>
      <c r="O1421" s="75">
        <f>M1421+N1421</f>
        <v>1229.223477947675</v>
      </c>
      <c r="P1421" s="75">
        <f>(MIN(L1421,'THAM_SO_MOI'!$C$41)-O1421)/('THAM_SO_MOI'!$C$11*H1421)</f>
        <v>0.97577516361041</v>
      </c>
      <c r="Q1421" s="75">
        <f>IF(P1421&gt;0,1/P1421,NA())</f>
        <v>1.0248262481901642</v>
      </c>
      <c r="R1421" s="75">
        <f>F1421-F1420</f>
        <v>0.0032106047296869278</v>
      </c>
      <c r="S1421" s="75">
        <f>0.5*(Q1420+Q1421)*R1421</f>
        <v>0.0032902119734152854</v>
      </c>
      <c r="T1421" s="75">
        <f>0.5*(F1420*Q1420+F1421*Q1421)*R1421</f>
        <v>0.019147105851300937</v>
      </c>
      <c r="U1421" s="76">
        <f>U1420+S1421</f>
        <v>6.0825105990516</v>
      </c>
      <c r="V1421" s="76">
        <f>V1420+T1421</f>
        <v>21.657265946634656</v>
      </c>
    </row>
    <row r="1422" spans="1:22" ht="19" customHeight="1">
      <c r="A1422" s="68" t="s">
        <v>372</v>
      </c>
      <c r="B1422" s="74">
        <v>2</v>
      </c>
      <c r="C1422" s="68" t="s">
        <v>363</v>
      </c>
      <c r="D1422" s="68" t="s">
        <v>364</v>
      </c>
      <c r="E1422" s="75">
        <f>60*F1422*'THAM_SO_MOI'!$C$50/(2*PI()*'THAM_SO_MOI'!$C$26)</f>
        <v>2336.0157824338294</v>
      </c>
      <c r="F1422" s="75">
        <f>'HANH_TRINH'!$F$826+('THAM_SO_MOI'!$F$50-'HANH_TRINH'!$F$826)*595/'THAM_SO_MOI'!$C$42</f>
        <v>5.824229928268913</v>
      </c>
      <c r="G1422" s="75">
        <f>3.6*F1422</f>
        <v>20.967227741768088</v>
      </c>
      <c r="H1422" s="75">
        <f>'THAM_SO_MOI'!$D$50</f>
        <v>1.8785906709588276</v>
      </c>
      <c r="I1422" s="75">
        <f>IF(F1422&gt;'THAM_SO_MOI'!$C$14,'THAM_SO_MOI'!$C$13*(1+F1422^2/1500),'THAM_SO_MOI'!$C$13)</f>
        <v>0.015</v>
      </c>
      <c r="J1422" s="75">
        <f>'THAM_SO_MOI'!$C$40*('THAM_SO_MOI'!$C$23*(E1422/'THAM_SO_MOI'!$C$22)+'THAM_SO_MOI'!$C$24*(E1422/'THAM_SO_MOI'!$C$22)^2-'THAM_SO_MOI'!$C$25*(E1422/'THAM_SO_MOI'!$C$22)^3)</f>
        <v>104.86117718451804</v>
      </c>
      <c r="K1422" s="75">
        <f>'THAM_SO_MOI'!$C$31*J1422/E1422</f>
        <v>428.73829307003797</v>
      </c>
      <c r="L1422" s="75">
        <f>K1422*'THAM_SO_MOI'!$C$50*'THAM_SO_MOI'!$C$17/'THAM_SO_MOI'!$C$26</f>
        <v>15306.54170700746</v>
      </c>
      <c r="M1422" s="75">
        <f>'THAM_SO_MOI'!$C$15*'THAM_SO_MOI'!$C$16*F1422^2</f>
        <v>99.2208387027292</v>
      </c>
      <c r="N1422" s="75">
        <f>'THAM_SO_MOI'!$C$12*I1422</f>
        <v>1130.112</v>
      </c>
      <c r="O1422" s="75">
        <f>M1422+N1422</f>
        <v>1229.3328387027293</v>
      </c>
      <c r="P1422" s="75">
        <f>(MIN(L1422,'THAM_SO_MOI'!$C$41)-O1422)/('THAM_SO_MOI'!$C$11*H1422)</f>
        <v>0.9757154302228253</v>
      </c>
      <c r="Q1422" s="75">
        <f>IF(P1422&gt;0,1/P1422,NA())</f>
        <v>1.0248889881465018</v>
      </c>
      <c r="R1422" s="75">
        <f>F1422-F1421</f>
        <v>0.0032106047296869278</v>
      </c>
      <c r="S1422" s="75">
        <f>0.5*(Q1421+Q1422)*R1422</f>
        <v>0.003290412716146929</v>
      </c>
      <c r="T1422" s="75">
        <f>0.5*(F1421*Q1421+F1422*Q1422)*R1422</f>
        <v>0.019158838272105606</v>
      </c>
      <c r="U1422" s="76">
        <f>U1421+S1422</f>
        <v>6.085801011767748</v>
      </c>
      <c r="V1422" s="76">
        <f>V1421+T1422</f>
        <v>21.67642478490676</v>
      </c>
    </row>
    <row r="1423" spans="1:22" ht="19" customHeight="1">
      <c r="A1423" s="68" t="s">
        <v>372</v>
      </c>
      <c r="B1423" s="74">
        <v>2</v>
      </c>
      <c r="C1423" s="68" t="s">
        <v>363</v>
      </c>
      <c r="D1423" s="68" t="s">
        <v>364</v>
      </c>
      <c r="E1423" s="75">
        <f>60*F1423*'THAM_SO_MOI'!$C$50/(2*PI()*'THAM_SO_MOI'!$C$26)</f>
        <v>2337.303510324396</v>
      </c>
      <c r="F1423" s="75">
        <f>'HANH_TRINH'!$F$826+('THAM_SO_MOI'!$F$50-'HANH_TRINH'!$F$826)*596/'THAM_SO_MOI'!$C$42</f>
        <v>5.827440532998599</v>
      </c>
      <c r="G1423" s="75">
        <f>3.6*F1423</f>
        <v>20.97878591879496</v>
      </c>
      <c r="H1423" s="75">
        <f>'THAM_SO_MOI'!$D$50</f>
        <v>1.8785906709588276</v>
      </c>
      <c r="I1423" s="75">
        <f>IF(F1423&gt;'THAM_SO_MOI'!$C$14,'THAM_SO_MOI'!$C$13*(1+F1423^2/1500),'THAM_SO_MOI'!$C$13)</f>
        <v>0.015</v>
      </c>
      <c r="J1423" s="75">
        <f>'THAM_SO_MOI'!$C$40*('THAM_SO_MOI'!$C$23*(E1423/'THAM_SO_MOI'!$C$22)+'THAM_SO_MOI'!$C$24*(E1423/'THAM_SO_MOI'!$C$22)^2-'THAM_SO_MOI'!$C$25*(E1423/'THAM_SO_MOI'!$C$22)^3)</f>
        <v>104.9137848395802</v>
      </c>
      <c r="K1423" s="75">
        <f>'THAM_SO_MOI'!$C$31*J1423/E1423</f>
        <v>428.7170560468293</v>
      </c>
      <c r="L1423" s="75">
        <f>K1423*'THAM_SO_MOI'!$C$50*'THAM_SO_MOI'!$C$17/'THAM_SO_MOI'!$C$26</f>
        <v>15305.78351631927</v>
      </c>
      <c r="M1423" s="75">
        <f>'THAM_SO_MOI'!$C$15*'THAM_SO_MOI'!$C$16*F1423^2</f>
        <v>99.33025975948237</v>
      </c>
      <c r="N1423" s="75">
        <f>'THAM_SO_MOI'!$C$12*I1423</f>
        <v>1130.112</v>
      </c>
      <c r="O1423" s="75">
        <f>M1423+N1423</f>
        <v>1229.4422597594826</v>
      </c>
      <c r="P1423" s="75">
        <f>(MIN(L1423,'THAM_SO_MOI'!$C$41)-O1423)/('THAM_SO_MOI'!$C$11*H1423)</f>
        <v>0.9756552945684563</v>
      </c>
      <c r="Q1423" s="75">
        <f>IF(P1423&gt;0,1/P1423,NA())</f>
        <v>1.0249521583771157</v>
      </c>
      <c r="R1423" s="75">
        <f>F1423-F1422</f>
        <v>0.0032106047296860396</v>
      </c>
      <c r="S1423" s="75">
        <f>0.5*(Q1422+Q1423)*R1423</f>
        <v>0.00329061484006689</v>
      </c>
      <c r="T1423" s="75">
        <f>0.5*(F1422*Q1422+F1423*Q1423)*R1423</f>
        <v>0.019170580028497364</v>
      </c>
      <c r="U1423" s="76">
        <f>U1422+S1423</f>
        <v>6.089091626607814</v>
      </c>
      <c r="V1423" s="76">
        <f>V1422+T1423</f>
        <v>21.695595364935258</v>
      </c>
    </row>
    <row r="1424" spans="1:22" ht="19" customHeight="1">
      <c r="A1424" s="68" t="s">
        <v>372</v>
      </c>
      <c r="B1424" s="74">
        <v>2</v>
      </c>
      <c r="C1424" s="68" t="s">
        <v>363</v>
      </c>
      <c r="D1424" s="68" t="s">
        <v>364</v>
      </c>
      <c r="E1424" s="75">
        <f>60*F1424*'THAM_SO_MOI'!$C$50/(2*PI()*'THAM_SO_MOI'!$C$26)</f>
        <v>2338.591238214963</v>
      </c>
      <c r="F1424" s="75">
        <f>'HANH_TRINH'!$F$826+('THAM_SO_MOI'!$F$50-'HANH_TRINH'!$F$826)*597/'THAM_SO_MOI'!$C$42</f>
        <v>5.830651137728286</v>
      </c>
      <c r="G1424" s="75">
        <f>3.6*F1424</f>
        <v>20.99034409582183</v>
      </c>
      <c r="H1424" s="75">
        <f>'THAM_SO_MOI'!$D$50</f>
        <v>1.8785906709588276</v>
      </c>
      <c r="I1424" s="75">
        <f>IF(F1424&gt;'THAM_SO_MOI'!$C$14,'THAM_SO_MOI'!$C$13*(1+F1424^2/1500),'THAM_SO_MOI'!$C$13)</f>
        <v>0.015</v>
      </c>
      <c r="J1424" s="75">
        <f>'THAM_SO_MOI'!$C$40*('THAM_SO_MOI'!$C$23*(E1424/'THAM_SO_MOI'!$C$22)+'THAM_SO_MOI'!$C$24*(E1424/'THAM_SO_MOI'!$C$22)^2-'THAM_SO_MOI'!$C$25*(E1424/'THAM_SO_MOI'!$C$22)^3)</f>
        <v>104.96634737791334</v>
      </c>
      <c r="K1424" s="75">
        <f>'THAM_SO_MOI'!$C$31*J1424/E1424</f>
        <v>428.69565814928865</v>
      </c>
      <c r="L1424" s="75">
        <f>K1424*'THAM_SO_MOI'!$C$50*'THAM_SO_MOI'!$C$17/'THAM_SO_MOI'!$C$26</f>
        <v>15305.019582198052</v>
      </c>
      <c r="M1424" s="75">
        <f>'THAM_SO_MOI'!$C$15*'THAM_SO_MOI'!$C$16*F1424^2</f>
        <v>99.43974111793457</v>
      </c>
      <c r="N1424" s="75">
        <f>'THAM_SO_MOI'!$C$12*I1424</f>
        <v>1130.112</v>
      </c>
      <c r="O1424" s="75">
        <f>M1424+N1424</f>
        <v>1229.5517411179346</v>
      </c>
      <c r="P1424" s="75">
        <f>(MIN(L1424,'THAM_SO_MOI'!$C$41)-O1424)/('THAM_SO_MOI'!$C$11*H1424)</f>
        <v>0.9755947566473043</v>
      </c>
      <c r="Q1424" s="75">
        <f>IF(P1424&gt;0,1/P1424,NA())</f>
        <v>1.0250157590397122</v>
      </c>
      <c r="R1424" s="75">
        <f>F1424-F1423</f>
        <v>0.0032106047296869278</v>
      </c>
      <c r="S1424" s="75">
        <f>0.5*(Q1423+Q1424)*R1424</f>
        <v>0.0032908183456824645</v>
      </c>
      <c r="T1424" s="75">
        <f>0.5*(F1423*Q1423+F1424*Q1424)*R1424</f>
        <v>0.01918233113673662</v>
      </c>
      <c r="U1424" s="76">
        <f>U1423+S1424</f>
        <v>6.092382444953497</v>
      </c>
      <c r="V1424" s="76">
        <f>V1423+T1424</f>
        <v>21.714777696071994</v>
      </c>
    </row>
    <row r="1425" spans="1:22" ht="19" customHeight="1">
      <c r="A1425" s="68" t="s">
        <v>372</v>
      </c>
      <c r="B1425" s="74">
        <v>2</v>
      </c>
      <c r="C1425" s="68" t="s">
        <v>363</v>
      </c>
      <c r="D1425" s="68" t="s">
        <v>364</v>
      </c>
      <c r="E1425" s="75">
        <f>60*F1425*'THAM_SO_MOI'!$C$50/(2*PI()*'THAM_SO_MOI'!$C$26)</f>
        <v>2339.87896610553</v>
      </c>
      <c r="F1425" s="75">
        <f>'HANH_TRINH'!$F$826+('THAM_SO_MOI'!$F$50-'HANH_TRINH'!$F$826)*598/'THAM_SO_MOI'!$C$42</f>
        <v>5.833861742457973</v>
      </c>
      <c r="G1425" s="75">
        <f>3.6*F1425</f>
        <v>21.001902272848703</v>
      </c>
      <c r="H1425" s="75">
        <f>'THAM_SO_MOI'!$D$50</f>
        <v>1.8785906709588276</v>
      </c>
      <c r="I1425" s="75">
        <f>IF(F1425&gt;'THAM_SO_MOI'!$C$14,'THAM_SO_MOI'!$C$13*(1+F1425^2/1500),'THAM_SO_MOI'!$C$13)</f>
        <v>0.015</v>
      </c>
      <c r="J1425" s="75">
        <f>'THAM_SO_MOI'!$C$40*('THAM_SO_MOI'!$C$23*(E1425/'THAM_SO_MOI'!$C$22)+'THAM_SO_MOI'!$C$24*(E1425/'THAM_SO_MOI'!$C$22)^2-'THAM_SO_MOI'!$C$25*(E1425/'THAM_SO_MOI'!$C$22)^3)</f>
        <v>105.01886473444763</v>
      </c>
      <c r="K1425" s="75">
        <f>'THAM_SO_MOI'!$C$31*J1425/E1425</f>
        <v>428.67409937741564</v>
      </c>
      <c r="L1425" s="75">
        <f>K1425*'THAM_SO_MOI'!$C$50*'THAM_SO_MOI'!$C$17/'THAM_SO_MOI'!$C$26</f>
        <v>15304.249904643797</v>
      </c>
      <c r="M1425" s="75">
        <f>'THAM_SO_MOI'!$C$15*'THAM_SO_MOI'!$C$16*F1425^2</f>
        <v>99.54928277808574</v>
      </c>
      <c r="N1425" s="75">
        <f>'THAM_SO_MOI'!$C$12*I1425</f>
        <v>1130.112</v>
      </c>
      <c r="O1425" s="75">
        <f>M1425+N1425</f>
        <v>1229.661282778086</v>
      </c>
      <c r="P1425" s="75">
        <f>(MIN(L1425,'THAM_SO_MOI'!$C$41)-O1425)/('THAM_SO_MOI'!$C$11*H1425)</f>
        <v>0.9755338164593687</v>
      </c>
      <c r="Q1425" s="75">
        <f>IF(P1425&gt;0,1/P1425,NA())</f>
        <v>1.025079790293103</v>
      </c>
      <c r="R1425" s="75">
        <f>F1425-F1424</f>
        <v>0.0032106047296869278</v>
      </c>
      <c r="S1425" s="75">
        <f>0.5*(Q1424+Q1425)*R1425</f>
        <v>0.003291023233499029</v>
      </c>
      <c r="T1425" s="75">
        <f>0.5*(F1424*Q1424+F1425*Q1425)*R1425</f>
        <v>0.019194091613079087</v>
      </c>
      <c r="U1425" s="76">
        <f>U1424+S1425</f>
        <v>6.0956734681869955</v>
      </c>
      <c r="V1425" s="76">
        <f>V1424+T1425</f>
        <v>21.733971787685075</v>
      </c>
    </row>
    <row r="1426" spans="1:22" ht="19" customHeight="1">
      <c r="A1426" s="68" t="s">
        <v>372</v>
      </c>
      <c r="B1426" s="74">
        <v>2</v>
      </c>
      <c r="C1426" s="68" t="s">
        <v>363</v>
      </c>
      <c r="D1426" s="68" t="s">
        <v>364</v>
      </c>
      <c r="E1426" s="75">
        <f>60*F1426*'THAM_SO_MOI'!$C$50/(2*PI()*'THAM_SO_MOI'!$C$26)</f>
        <v>2341.1666939960965</v>
      </c>
      <c r="F1426" s="75">
        <f>'HANH_TRINH'!$F$826+('THAM_SO_MOI'!$F$50-'HANH_TRINH'!$F$826)*599/'THAM_SO_MOI'!$C$42</f>
        <v>5.83707234718766</v>
      </c>
      <c r="G1426" s="75">
        <f>3.6*F1426</f>
        <v>21.013460449875577</v>
      </c>
      <c r="H1426" s="75">
        <f>'THAM_SO_MOI'!$D$50</f>
        <v>1.8785906709588276</v>
      </c>
      <c r="I1426" s="75">
        <f>IF(F1426&gt;'THAM_SO_MOI'!$C$14,'THAM_SO_MOI'!$C$13*(1+F1426^2/1500),'THAM_SO_MOI'!$C$13)</f>
        <v>0.015</v>
      </c>
      <c r="J1426" s="75">
        <f>'THAM_SO_MOI'!$C$40*('THAM_SO_MOI'!$C$23*(E1426/'THAM_SO_MOI'!$C$22)+'THAM_SO_MOI'!$C$24*(E1426/'THAM_SO_MOI'!$C$22)^2-'THAM_SO_MOI'!$C$25*(E1426/'THAM_SO_MOI'!$C$22)^3)</f>
        <v>105.07133684411345</v>
      </c>
      <c r="K1426" s="75">
        <f>'THAM_SO_MOI'!$C$31*J1426/E1426</f>
        <v>428.6523797312105</v>
      </c>
      <c r="L1426" s="75">
        <f>K1426*'THAM_SO_MOI'!$C$50*'THAM_SO_MOI'!$C$17/'THAM_SO_MOI'!$C$26</f>
        <v>15303.474483656508</v>
      </c>
      <c r="M1426" s="75">
        <f>'THAM_SO_MOI'!$C$15*'THAM_SO_MOI'!$C$16*F1426^2</f>
        <v>99.65888473993587</v>
      </c>
      <c r="N1426" s="75">
        <f>'THAM_SO_MOI'!$C$12*I1426</f>
        <v>1130.112</v>
      </c>
      <c r="O1426" s="75">
        <f>M1426+N1426</f>
        <v>1229.770884739936</v>
      </c>
      <c r="P1426" s="75">
        <f>(MIN(L1426,'THAM_SO_MOI'!$C$41)-O1426)/('THAM_SO_MOI'!$C$11*H1426)</f>
        <v>0.9754724740046494</v>
      </c>
      <c r="Q1426" s="75">
        <f>IF(P1426&gt;0,1/P1426,NA())</f>
        <v>1.0251442522972039</v>
      </c>
      <c r="R1426" s="75">
        <f>F1426-F1425</f>
        <v>0.0032106047296869278</v>
      </c>
      <c r="S1426" s="75">
        <f>0.5*(Q1425+Q1426)*R1426</f>
        <v>0.0032912295040291462</v>
      </c>
      <c r="T1426" s="75">
        <f>0.5*(F1425*Q1425+F1426*Q1426)*R1426</f>
        <v>0.019205861473828932</v>
      </c>
      <c r="U1426" s="76">
        <f>U1425+S1426</f>
        <v>6.098964697691025</v>
      </c>
      <c r="V1426" s="76">
        <f>V1425+T1426</f>
        <v>21.753177649158904</v>
      </c>
    </row>
    <row r="1427" spans="1:22" ht="19" customHeight="1">
      <c r="A1427" s="68" t="s">
        <v>372</v>
      </c>
      <c r="B1427" s="74">
        <v>2</v>
      </c>
      <c r="C1427" s="68" t="s">
        <v>363</v>
      </c>
      <c r="D1427" s="68" t="s">
        <v>364</v>
      </c>
      <c r="E1427" s="75">
        <f>60*F1427*'THAM_SO_MOI'!$C$50/(2*PI()*'THAM_SO_MOI'!$C$26)</f>
        <v>2342.454421886663</v>
      </c>
      <c r="F1427" s="75">
        <f>'HANH_TRINH'!$F$826+('THAM_SO_MOI'!$F$50-'HANH_TRINH'!$F$826)*600/'THAM_SO_MOI'!$C$42</f>
        <v>5.840282951917347</v>
      </c>
      <c r="G1427" s="75">
        <f>3.6*F1427</f>
        <v>21.02501862690245</v>
      </c>
      <c r="H1427" s="75">
        <f>'THAM_SO_MOI'!$D$50</f>
        <v>1.8785906709588276</v>
      </c>
      <c r="I1427" s="75">
        <f>IF(F1427&gt;'THAM_SO_MOI'!$C$14,'THAM_SO_MOI'!$C$13*(1+F1427^2/1500),'THAM_SO_MOI'!$C$13)</f>
        <v>0.015</v>
      </c>
      <c r="J1427" s="75">
        <f>'THAM_SO_MOI'!$C$40*('THAM_SO_MOI'!$C$23*(E1427/'THAM_SO_MOI'!$C$22)+'THAM_SO_MOI'!$C$24*(E1427/'THAM_SO_MOI'!$C$22)^2-'THAM_SO_MOI'!$C$25*(E1427/'THAM_SO_MOI'!$C$22)^3)</f>
        <v>105.12376364184104</v>
      </c>
      <c r="K1427" s="75">
        <f>'THAM_SO_MOI'!$C$31*J1427/E1427</f>
        <v>428.63049921067295</v>
      </c>
      <c r="L1427" s="75">
        <f>K1427*'THAM_SO_MOI'!$C$50*'THAM_SO_MOI'!$C$17/'THAM_SO_MOI'!$C$26</f>
        <v>15302.69331923618</v>
      </c>
      <c r="M1427" s="75">
        <f>'THAM_SO_MOI'!$C$15*'THAM_SO_MOI'!$C$16*F1427^2</f>
        <v>99.76854700348498</v>
      </c>
      <c r="N1427" s="75">
        <f>'THAM_SO_MOI'!$C$12*I1427</f>
        <v>1130.112</v>
      </c>
      <c r="O1427" s="75">
        <f>M1427+N1427</f>
        <v>1229.8805470034852</v>
      </c>
      <c r="P1427" s="75">
        <f>(MIN(L1427,'THAM_SO_MOI'!$C$41)-O1427)/('THAM_SO_MOI'!$C$11*H1427)</f>
        <v>0.9754107292831464</v>
      </c>
      <c r="Q1427" s="75">
        <f>IF(P1427&gt;0,1/P1427,NA())</f>
        <v>1.0252091452130374</v>
      </c>
      <c r="R1427" s="75">
        <f>F1427-F1426</f>
        <v>0.0032106047296869278</v>
      </c>
      <c r="S1427" s="75">
        <f>0.5*(Q1426+Q1427)*R1427</f>
        <v>0.003291437157788021</v>
      </c>
      <c r="T1427" s="75">
        <f>0.5*(F1426*Q1426+F1427*Q1427)*R1427</f>
        <v>0.0192176407353123</v>
      </c>
      <c r="U1427" s="76">
        <f>U1426+S1427</f>
        <v>6.102256134848813</v>
      </c>
      <c r="V1427" s="76">
        <f>V1426+T1427</f>
        <v>21.772395289894217</v>
      </c>
    </row>
    <row r="1428" spans="1:22" ht="19" customHeight="1">
      <c r="A1428" s="68" t="s">
        <v>372</v>
      </c>
      <c r="B1428" s="74">
        <v>2</v>
      </c>
      <c r="C1428" s="68" t="s">
        <v>363</v>
      </c>
      <c r="D1428" s="68" t="s">
        <v>364</v>
      </c>
      <c r="E1428" s="75">
        <f>60*F1428*'THAM_SO_MOI'!$C$50/(2*PI()*'THAM_SO_MOI'!$C$26)</f>
        <v>2343.7421497772298</v>
      </c>
      <c r="F1428" s="75">
        <f>'HANH_TRINH'!$F$826+('THAM_SO_MOI'!$F$50-'HANH_TRINH'!$F$826)*601/'THAM_SO_MOI'!$C$42</f>
        <v>5.843493556647034</v>
      </c>
      <c r="G1428" s="75">
        <f>3.6*F1428</f>
        <v>21.03657680392932</v>
      </c>
      <c r="H1428" s="75">
        <f>'THAM_SO_MOI'!$D$50</f>
        <v>1.8785906709588276</v>
      </c>
      <c r="I1428" s="75">
        <f>IF(F1428&gt;'THAM_SO_MOI'!$C$14,'THAM_SO_MOI'!$C$13*(1+F1428^2/1500),'THAM_SO_MOI'!$C$13)</f>
        <v>0.015</v>
      </c>
      <c r="J1428" s="75">
        <f>'THAM_SO_MOI'!$C$40*('THAM_SO_MOI'!$C$23*(E1428/'THAM_SO_MOI'!$C$22)+'THAM_SO_MOI'!$C$24*(E1428/'THAM_SO_MOI'!$C$22)^2-'THAM_SO_MOI'!$C$25*(E1428/'THAM_SO_MOI'!$C$22)^3)</f>
        <v>105.17614506256074</v>
      </c>
      <c r="K1428" s="75">
        <f>'THAM_SO_MOI'!$C$31*J1428/E1428</f>
        <v>428.60845781580315</v>
      </c>
      <c r="L1428" s="75">
        <f>K1428*'THAM_SO_MOI'!$C$50*'THAM_SO_MOI'!$C$17/'THAM_SO_MOI'!$C$26</f>
        <v>15301.906411382814</v>
      </c>
      <c r="M1428" s="75">
        <f>'THAM_SO_MOI'!$C$15*'THAM_SO_MOI'!$C$16*F1428^2</f>
        <v>99.87826956873305</v>
      </c>
      <c r="N1428" s="75">
        <f>'THAM_SO_MOI'!$C$12*I1428</f>
        <v>1130.112</v>
      </c>
      <c r="O1428" s="75">
        <f>M1428+N1428</f>
        <v>1229.990269568733</v>
      </c>
      <c r="P1428" s="75">
        <f>(MIN(L1428,'THAM_SO_MOI'!$C$41)-O1428)/('THAM_SO_MOI'!$C$11*H1428)</f>
        <v>0.9753485822948597</v>
      </c>
      <c r="Q1428" s="75">
        <f>IF(P1428&gt;0,1/P1428,NA())</f>
        <v>1.0252744692027327</v>
      </c>
      <c r="R1428" s="75">
        <f>F1428-F1427</f>
        <v>0.0032106047296869278</v>
      </c>
      <c r="S1428" s="75">
        <f>0.5*(Q1427+Q1428)*R1428</f>
        <v>0.003291646195294409</v>
      </c>
      <c r="T1428" s="75">
        <f>0.5*(F1427*Q1427+F1428*Q1428)*R1428</f>
        <v>0.019229429413882712</v>
      </c>
      <c r="U1428" s="76">
        <f>U1427+S1428</f>
        <v>6.105547781044107</v>
      </c>
      <c r="V1428" s="76">
        <f>V1427+T1428</f>
        <v>21.7916247193081</v>
      </c>
    </row>
    <row r="1429" spans="1:22" ht="19" customHeight="1">
      <c r="A1429" s="68" t="s">
        <v>372</v>
      </c>
      <c r="B1429" s="74">
        <v>2</v>
      </c>
      <c r="C1429" s="68" t="s">
        <v>363</v>
      </c>
      <c r="D1429" s="68" t="s">
        <v>364</v>
      </c>
      <c r="E1429" s="75">
        <f>60*F1429*'THAM_SO_MOI'!$C$50/(2*PI()*'THAM_SO_MOI'!$C$26)</f>
        <v>2345.0298776677964</v>
      </c>
      <c r="F1429" s="75">
        <f>'HANH_TRINH'!$F$826+('THAM_SO_MOI'!$F$50-'HANH_TRINH'!$F$826)*602/'THAM_SO_MOI'!$C$42</f>
        <v>5.846704161376721</v>
      </c>
      <c r="G1429" s="75">
        <f>3.6*F1429</f>
        <v>21.048134980956196</v>
      </c>
      <c r="H1429" s="75">
        <f>'THAM_SO_MOI'!$D$50</f>
        <v>1.8785906709588276</v>
      </c>
      <c r="I1429" s="75">
        <f>IF(F1429&gt;'THAM_SO_MOI'!$C$14,'THAM_SO_MOI'!$C$13*(1+F1429^2/1500),'THAM_SO_MOI'!$C$13)</f>
        <v>0.015</v>
      </c>
      <c r="J1429" s="75">
        <f>'THAM_SO_MOI'!$C$40*('THAM_SO_MOI'!$C$23*(E1429/'THAM_SO_MOI'!$C$22)+'THAM_SO_MOI'!$C$24*(E1429/'THAM_SO_MOI'!$C$22)^2-'THAM_SO_MOI'!$C$25*(E1429/'THAM_SO_MOI'!$C$22)^3)</f>
        <v>105.22848104120284</v>
      </c>
      <c r="K1429" s="75">
        <f>'THAM_SO_MOI'!$C$31*J1429/E1429</f>
        <v>428.58625554660114</v>
      </c>
      <c r="L1429" s="75">
        <f>K1429*'THAM_SO_MOI'!$C$50*'THAM_SO_MOI'!$C$17/'THAM_SO_MOI'!$C$26</f>
        <v>15301.113760096414</v>
      </c>
      <c r="M1429" s="75">
        <f>'THAM_SO_MOI'!$C$15*'THAM_SO_MOI'!$C$16*F1429^2</f>
        <v>99.98805243568012</v>
      </c>
      <c r="N1429" s="75">
        <f>'THAM_SO_MOI'!$C$12*I1429</f>
        <v>1130.112</v>
      </c>
      <c r="O1429" s="75">
        <f>M1429+N1429</f>
        <v>1230.1000524356803</v>
      </c>
      <c r="P1429" s="75">
        <f>(MIN(L1429,'THAM_SO_MOI'!$C$41)-O1429)/('THAM_SO_MOI'!$C$11*H1429)</f>
        <v>0.9752860330397896</v>
      </c>
      <c r="Q1429" s="75">
        <f>IF(P1429&gt;0,1/P1429,NA())</f>
        <v>1.025340224429526</v>
      </c>
      <c r="R1429" s="75">
        <f>F1429-F1428</f>
        <v>0.0032106047296869278</v>
      </c>
      <c r="S1429" s="75">
        <f>0.5*(Q1428+Q1429)*R1429</f>
        <v>0.00329185661707062</v>
      </c>
      <c r="T1429" s="75">
        <f>0.5*(F1428*Q1428+F1429*Q1429)*R1429</f>
        <v>0.019241227525921115</v>
      </c>
      <c r="U1429" s="76">
        <f>U1428+S1429</f>
        <v>6.108839637661178</v>
      </c>
      <c r="V1429" s="76">
        <f>V1428+T1429</f>
        <v>21.81086594683402</v>
      </c>
    </row>
    <row r="1430" spans="1:22" ht="19" customHeight="1">
      <c r="A1430" s="68" t="s">
        <v>372</v>
      </c>
      <c r="B1430" s="74">
        <v>2</v>
      </c>
      <c r="C1430" s="68" t="s">
        <v>363</v>
      </c>
      <c r="D1430" s="68" t="s">
        <v>364</v>
      </c>
      <c r="E1430" s="75">
        <f>60*F1430*'THAM_SO_MOI'!$C$50/(2*PI()*'THAM_SO_MOI'!$C$26)</f>
        <v>2346.317605558363</v>
      </c>
      <c r="F1430" s="75">
        <f>'HANH_TRINH'!$F$826+('THAM_SO_MOI'!$F$50-'HANH_TRINH'!$F$826)*603/'THAM_SO_MOI'!$C$42</f>
        <v>5.849914766106407</v>
      </c>
      <c r="G1430" s="75">
        <f>3.6*F1430</f>
        <v>21.059693157983066</v>
      </c>
      <c r="H1430" s="75">
        <f>'THAM_SO_MOI'!$D$50</f>
        <v>1.8785906709588276</v>
      </c>
      <c r="I1430" s="75">
        <f>IF(F1430&gt;'THAM_SO_MOI'!$C$14,'THAM_SO_MOI'!$C$13*(1+F1430^2/1500),'THAM_SO_MOI'!$C$13)</f>
        <v>0.015</v>
      </c>
      <c r="J1430" s="75">
        <f>'THAM_SO_MOI'!$C$40*('THAM_SO_MOI'!$C$23*(E1430/'THAM_SO_MOI'!$C$22)+'THAM_SO_MOI'!$C$24*(E1430/'THAM_SO_MOI'!$C$22)^2-'THAM_SO_MOI'!$C$25*(E1430/'THAM_SO_MOI'!$C$22)^3)</f>
        <v>105.28077151269768</v>
      </c>
      <c r="K1430" s="75">
        <f>'THAM_SO_MOI'!$C$31*J1430/E1430</f>
        <v>428.5638924030669</v>
      </c>
      <c r="L1430" s="75">
        <f>K1430*'THAM_SO_MOI'!$C$50*'THAM_SO_MOI'!$C$17/'THAM_SO_MOI'!$C$26</f>
        <v>15300.315365376979</v>
      </c>
      <c r="M1430" s="75">
        <f>'THAM_SO_MOI'!$C$15*'THAM_SO_MOI'!$C$16*F1430^2</f>
        <v>100.09789560432611</v>
      </c>
      <c r="N1430" s="75">
        <f>'THAM_SO_MOI'!$C$12*I1430</f>
        <v>1130.112</v>
      </c>
      <c r="O1430" s="75">
        <f>M1430+N1430</f>
        <v>1230.2098956043262</v>
      </c>
      <c r="P1430" s="75">
        <f>(MIN(L1430,'THAM_SO_MOI'!$C$41)-O1430)/('THAM_SO_MOI'!$C$11*H1430)</f>
        <v>0.9752230815179358</v>
      </c>
      <c r="Q1430" s="75">
        <f>IF(P1430&gt;0,1/P1430,NA())</f>
        <v>1.0254064110577643</v>
      </c>
      <c r="R1430" s="75">
        <f>F1430-F1429</f>
        <v>0.0032106047296860396</v>
      </c>
      <c r="S1430" s="75">
        <f>0.5*(Q1429+Q1430)*R1430</f>
        <v>0.003292068423641614</v>
      </c>
      <c r="T1430" s="75">
        <f>0.5*(F1429*Q1429+F1430*Q1430)*R1430</f>
        <v>0.019253035087830675</v>
      </c>
      <c r="U1430" s="76">
        <f>U1429+S1430</f>
        <v>6.11213170608482</v>
      </c>
      <c r="V1430" s="76">
        <f>V1429+T1430</f>
        <v>21.830118981921853</v>
      </c>
    </row>
    <row r="1431" spans="1:22" ht="19" customHeight="1">
      <c r="A1431" s="68" t="s">
        <v>372</v>
      </c>
      <c r="B1431" s="74">
        <v>2</v>
      </c>
      <c r="C1431" s="68" t="s">
        <v>363</v>
      </c>
      <c r="D1431" s="68" t="s">
        <v>364</v>
      </c>
      <c r="E1431" s="75">
        <f>60*F1431*'THAM_SO_MOI'!$C$50/(2*PI()*'THAM_SO_MOI'!$C$26)</f>
        <v>2347.6053334489297</v>
      </c>
      <c r="F1431" s="75">
        <f>'HANH_TRINH'!$F$826+('THAM_SO_MOI'!$F$50-'HANH_TRINH'!$F$826)*604/'THAM_SO_MOI'!$C$42</f>
        <v>5.853125370836094</v>
      </c>
      <c r="G1431" s="75">
        <f>3.6*F1431</f>
        <v>21.071251335009936</v>
      </c>
      <c r="H1431" s="75">
        <f>'THAM_SO_MOI'!$D$50</f>
        <v>1.8785906709588276</v>
      </c>
      <c r="I1431" s="75">
        <f>IF(F1431&gt;'THAM_SO_MOI'!$C$14,'THAM_SO_MOI'!$C$13*(1+F1431^2/1500),'THAM_SO_MOI'!$C$13)</f>
        <v>0.015</v>
      </c>
      <c r="J1431" s="75">
        <f>'THAM_SO_MOI'!$C$40*('THAM_SO_MOI'!$C$23*(E1431/'THAM_SO_MOI'!$C$22)+'THAM_SO_MOI'!$C$24*(E1431/'THAM_SO_MOI'!$C$22)^2-'THAM_SO_MOI'!$C$25*(E1431/'THAM_SO_MOI'!$C$22)^3)</f>
        <v>105.33301641197552</v>
      </c>
      <c r="K1431" s="75">
        <f>'THAM_SO_MOI'!$C$31*J1431/E1431</f>
        <v>428.5413683852005</v>
      </c>
      <c r="L1431" s="75">
        <f>K1431*'THAM_SO_MOI'!$C$50*'THAM_SO_MOI'!$C$17/'THAM_SO_MOI'!$C$26</f>
        <v>15299.511227224511</v>
      </c>
      <c r="M1431" s="75">
        <f>'THAM_SO_MOI'!$C$15*'THAM_SO_MOI'!$C$16*F1431^2</f>
        <v>100.2077990746711</v>
      </c>
      <c r="N1431" s="75">
        <f>'THAM_SO_MOI'!$C$12*I1431</f>
        <v>1130.112</v>
      </c>
      <c r="O1431" s="75">
        <f>M1431+N1431</f>
        <v>1230.3197990746712</v>
      </c>
      <c r="P1431" s="75">
        <f>(MIN(L1431,'THAM_SO_MOI'!$C$41)-O1431)/('THAM_SO_MOI'!$C$11*H1431)</f>
        <v>0.9751597277292985</v>
      </c>
      <c r="Q1431" s="75">
        <f>IF(P1431&gt;0,1/P1431,NA())</f>
        <v>1.025473029252903</v>
      </c>
      <c r="R1431" s="75">
        <f>F1431-F1430</f>
        <v>0.0032106047296869278</v>
      </c>
      <c r="S1431" s="75">
        <f>0.5*(Q1430+Q1431)*R1431</f>
        <v>0.0032922816155395536</v>
      </c>
      <c r="T1431" s="75">
        <f>0.5*(F1430*Q1430+F1431*Q1431)*R1431</f>
        <v>0.01926485211606345</v>
      </c>
      <c r="U1431" s="76">
        <f>U1430+S1431</f>
        <v>6.1154239877003596</v>
      </c>
      <c r="V1431" s="76">
        <f>V1430+T1431</f>
        <v>21.849383834037916</v>
      </c>
    </row>
    <row r="1432" spans="1:22" ht="19" customHeight="1">
      <c r="A1432" s="68" t="s">
        <v>372</v>
      </c>
      <c r="B1432" s="74">
        <v>2</v>
      </c>
      <c r="C1432" s="68" t="s">
        <v>363</v>
      </c>
      <c r="D1432" s="68" t="s">
        <v>364</v>
      </c>
      <c r="E1432" s="75">
        <f>60*F1432*'THAM_SO_MOI'!$C$50/(2*PI()*'THAM_SO_MOI'!$C$26)</f>
        <v>2348.8930613394964</v>
      </c>
      <c r="F1432" s="75">
        <f>'HANH_TRINH'!$F$826+('THAM_SO_MOI'!$F$50-'HANH_TRINH'!$F$826)*605/'THAM_SO_MOI'!$C$42</f>
        <v>5.856335975565781</v>
      </c>
      <c r="G1432" s="75">
        <f>3.6*F1432</f>
        <v>21.08280951203681</v>
      </c>
      <c r="H1432" s="75">
        <f>'THAM_SO_MOI'!$D$50</f>
        <v>1.8785906709588276</v>
      </c>
      <c r="I1432" s="75">
        <f>IF(F1432&gt;'THAM_SO_MOI'!$C$14,'THAM_SO_MOI'!$C$13*(1+F1432^2/1500),'THAM_SO_MOI'!$C$13)</f>
        <v>0.015</v>
      </c>
      <c r="J1432" s="75">
        <f>'THAM_SO_MOI'!$C$40*('THAM_SO_MOI'!$C$23*(E1432/'THAM_SO_MOI'!$C$22)+'THAM_SO_MOI'!$C$24*(E1432/'THAM_SO_MOI'!$C$22)^2-'THAM_SO_MOI'!$C$25*(E1432/'THAM_SO_MOI'!$C$22)^3)</f>
        <v>105.38521567396666</v>
      </c>
      <c r="K1432" s="75">
        <f>'THAM_SO_MOI'!$C$31*J1432/E1432</f>
        <v>428.5186834930017</v>
      </c>
      <c r="L1432" s="75">
        <f>K1432*'THAM_SO_MOI'!$C$50*'THAM_SO_MOI'!$C$17/'THAM_SO_MOI'!$C$26</f>
        <v>15298.701345639001</v>
      </c>
      <c r="M1432" s="75">
        <f>'THAM_SO_MOI'!$C$15*'THAM_SO_MOI'!$C$16*F1432^2</f>
        <v>100.31776284671507</v>
      </c>
      <c r="N1432" s="75">
        <f>'THAM_SO_MOI'!$C$12*I1432</f>
        <v>1130.112</v>
      </c>
      <c r="O1432" s="75">
        <f>M1432+N1432</f>
        <v>1230.4297628467152</v>
      </c>
      <c r="P1432" s="75">
        <f>(MIN(L1432,'THAM_SO_MOI'!$C$41)-O1432)/('THAM_SO_MOI'!$C$11*H1432)</f>
        <v>0.9750959716738773</v>
      </c>
      <c r="Q1432" s="75">
        <f>IF(P1432&gt;0,1/P1432,NA())</f>
        <v>1.0255400791815104</v>
      </c>
      <c r="R1432" s="75">
        <f>F1432-F1431</f>
        <v>0.0032106047296869278</v>
      </c>
      <c r="S1432" s="75">
        <f>0.5*(Q1431+Q1432)*R1432</f>
        <v>0.003292496193294708</v>
      </c>
      <c r="T1432" s="75">
        <f>0.5*(F1431*Q1431+F1432*Q1432)*R1432</f>
        <v>0.019276678627067226</v>
      </c>
      <c r="U1432" s="76">
        <f>U1431+S1432</f>
        <v>6.118716483893654</v>
      </c>
      <c r="V1432" s="76">
        <f>V1431+T1432</f>
        <v>21.868660512664984</v>
      </c>
    </row>
    <row r="1433" spans="1:22" ht="19" customHeight="1">
      <c r="A1433" s="68" t="s">
        <v>372</v>
      </c>
      <c r="B1433" s="74">
        <v>2</v>
      </c>
      <c r="C1433" s="68" t="s">
        <v>363</v>
      </c>
      <c r="D1433" s="68" t="s">
        <v>364</v>
      </c>
      <c r="E1433" s="75">
        <f>60*F1433*'THAM_SO_MOI'!$C$50/(2*PI()*'THAM_SO_MOI'!$C$26)</f>
        <v>2350.180789230063</v>
      </c>
      <c r="F1433" s="75">
        <f>'HANH_TRINH'!$F$826+('THAM_SO_MOI'!$F$50-'HANH_TRINH'!$F$826)*606/'THAM_SO_MOI'!$C$42</f>
        <v>5.859546580295468</v>
      </c>
      <c r="G1433" s="75">
        <f>3.6*F1433</f>
        <v>21.094367689063684</v>
      </c>
      <c r="H1433" s="75">
        <f>'THAM_SO_MOI'!$D$50</f>
        <v>1.8785906709588276</v>
      </c>
      <c r="I1433" s="75">
        <f>IF(F1433&gt;'THAM_SO_MOI'!$C$14,'THAM_SO_MOI'!$C$13*(1+F1433^2/1500),'THAM_SO_MOI'!$C$13)</f>
        <v>0.015</v>
      </c>
      <c r="J1433" s="75">
        <f>'THAM_SO_MOI'!$C$40*('THAM_SO_MOI'!$C$23*(E1433/'THAM_SO_MOI'!$C$22)+'THAM_SO_MOI'!$C$24*(E1433/'THAM_SO_MOI'!$C$22)^2-'THAM_SO_MOI'!$C$25*(E1433/'THAM_SO_MOI'!$C$22)^3)</f>
        <v>105.43736923360143</v>
      </c>
      <c r="K1433" s="75">
        <f>'THAM_SO_MOI'!$C$31*J1433/E1433</f>
        <v>428.49583772647077</v>
      </c>
      <c r="L1433" s="75">
        <f>K1433*'THAM_SO_MOI'!$C$50*'THAM_SO_MOI'!$C$17/'THAM_SO_MOI'!$C$26</f>
        <v>15297.885720620463</v>
      </c>
      <c r="M1433" s="75">
        <f>'THAM_SO_MOI'!$C$15*'THAM_SO_MOI'!$C$16*F1433^2</f>
        <v>100.427786920458</v>
      </c>
      <c r="N1433" s="75">
        <f>'THAM_SO_MOI'!$C$12*I1433</f>
        <v>1130.112</v>
      </c>
      <c r="O1433" s="75">
        <f>M1433+N1433</f>
        <v>1230.539786920458</v>
      </c>
      <c r="P1433" s="75">
        <f>(MIN(L1433,'THAM_SO_MOI'!$C$41)-O1433)/('THAM_SO_MOI'!$C$11*H1433)</f>
        <v>0.975031813351673</v>
      </c>
      <c r="Q1433" s="75">
        <f>IF(P1433&gt;0,1/P1433,NA())</f>
        <v>1.0256075610112647</v>
      </c>
      <c r="R1433" s="75">
        <f>F1433-F1432</f>
        <v>0.0032106047296869278</v>
      </c>
      <c r="S1433" s="75">
        <f>0.5*(Q1432+Q1433)*R1433</f>
        <v>0.0032927121574445523</v>
      </c>
      <c r="T1433" s="75">
        <f>0.5*(F1432*Q1432+F1433*Q1433)*R1433</f>
        <v>0.019288514637338827</v>
      </c>
      <c r="U1433" s="76">
        <f>U1432+S1433</f>
        <v>6.122009196051098</v>
      </c>
      <c r="V1433" s="76">
        <f>V1432+T1433</f>
        <v>21.887949027302323</v>
      </c>
    </row>
    <row r="1434" spans="1:22" ht="19" customHeight="1">
      <c r="A1434" s="68" t="s">
        <v>372</v>
      </c>
      <c r="B1434" s="74">
        <v>2</v>
      </c>
      <c r="C1434" s="68" t="s">
        <v>363</v>
      </c>
      <c r="D1434" s="68" t="s">
        <v>364</v>
      </c>
      <c r="E1434" s="75">
        <f>60*F1434*'THAM_SO_MOI'!$C$50/(2*PI()*'THAM_SO_MOI'!$C$26)</f>
        <v>2351.4685171206297</v>
      </c>
      <c r="F1434" s="75">
        <f>'HANH_TRINH'!$F$826+('THAM_SO_MOI'!$F$50-'HANH_TRINH'!$F$826)*607/'THAM_SO_MOI'!$C$42</f>
        <v>5.8627571850251545</v>
      </c>
      <c r="G1434" s="75">
        <f>3.6*F1434</f>
        <v>21.10592586609056</v>
      </c>
      <c r="H1434" s="75">
        <f>'THAM_SO_MOI'!$D$50</f>
        <v>1.8785906709588276</v>
      </c>
      <c r="I1434" s="75">
        <f>IF(F1434&gt;'THAM_SO_MOI'!$C$14,'THAM_SO_MOI'!$C$13*(1+F1434^2/1500),'THAM_SO_MOI'!$C$13)</f>
        <v>0.015</v>
      </c>
      <c r="J1434" s="75">
        <f>'THAM_SO_MOI'!$C$40*('THAM_SO_MOI'!$C$23*(E1434/'THAM_SO_MOI'!$C$22)+'THAM_SO_MOI'!$C$24*(E1434/'THAM_SO_MOI'!$C$22)^2-'THAM_SO_MOI'!$C$25*(E1434/'THAM_SO_MOI'!$C$22)^3)</f>
        <v>105.48947702581012</v>
      </c>
      <c r="K1434" s="75">
        <f>'THAM_SO_MOI'!$C$31*J1434/E1434</f>
        <v>428.47283108560765</v>
      </c>
      <c r="L1434" s="75">
        <f>K1434*'THAM_SO_MOI'!$C$50*'THAM_SO_MOI'!$C$17/'THAM_SO_MOI'!$C$26</f>
        <v>15297.064352168887</v>
      </c>
      <c r="M1434" s="75">
        <f>'THAM_SO_MOI'!$C$15*'THAM_SO_MOI'!$C$16*F1434^2</f>
        <v>100.53787129589993</v>
      </c>
      <c r="N1434" s="75">
        <f>'THAM_SO_MOI'!$C$12*I1434</f>
        <v>1130.112</v>
      </c>
      <c r="O1434" s="75">
        <f>M1434+N1434</f>
        <v>1230.6498712959</v>
      </c>
      <c r="P1434" s="75">
        <f>(MIN(L1434,'THAM_SO_MOI'!$C$41)-O1434)/('THAM_SO_MOI'!$C$11*H1434)</f>
        <v>0.9749672527626848</v>
      </c>
      <c r="Q1434" s="75">
        <f>IF(P1434&gt;0,1/P1434,NA())</f>
        <v>1.0256754749109593</v>
      </c>
      <c r="R1434" s="75">
        <f>F1434-F1433</f>
        <v>0.0032106047296869278</v>
      </c>
      <c r="S1434" s="75">
        <f>0.5*(Q1433+Q1434)*R1434</f>
        <v>0.0032929295085292265</v>
      </c>
      <c r="T1434" s="75">
        <f>0.5*(F1433*Q1433+F1434*Q1434)*R1434</f>
        <v>0.019300360163397593</v>
      </c>
      <c r="U1434" s="76">
        <f>U1433+S1434</f>
        <v>6.125302125559627</v>
      </c>
      <c r="V1434" s="76">
        <f>V1433+T1434</f>
        <v>21.907249387465722</v>
      </c>
    </row>
    <row r="1435" spans="1:22" ht="19" customHeight="1">
      <c r="A1435" s="68" t="s">
        <v>372</v>
      </c>
      <c r="B1435" s="74">
        <v>2</v>
      </c>
      <c r="C1435" s="68" t="s">
        <v>363</v>
      </c>
      <c r="D1435" s="68" t="s">
        <v>364</v>
      </c>
      <c r="E1435" s="75">
        <f>60*F1435*'THAM_SO_MOI'!$C$50/(2*PI()*'THAM_SO_MOI'!$C$26)</f>
        <v>2352.7562450111964</v>
      </c>
      <c r="F1435" s="75">
        <f>'HANH_TRINH'!$F$826+('THAM_SO_MOI'!$F$50-'HANH_TRINH'!$F$826)*608/'THAM_SO_MOI'!$C$42</f>
        <v>5.8659677897548415</v>
      </c>
      <c r="G1435" s="75">
        <f>3.6*F1435</f>
        <v>21.11748404311743</v>
      </c>
      <c r="H1435" s="75">
        <f>'THAM_SO_MOI'!$D$50</f>
        <v>1.8785906709588276</v>
      </c>
      <c r="I1435" s="75">
        <f>IF(F1435&gt;'THAM_SO_MOI'!$C$14,'THAM_SO_MOI'!$C$13*(1+F1435^2/1500),'THAM_SO_MOI'!$C$13)</f>
        <v>0.015</v>
      </c>
      <c r="J1435" s="75">
        <f>'THAM_SO_MOI'!$C$40*('THAM_SO_MOI'!$C$23*(E1435/'THAM_SO_MOI'!$C$22)+'THAM_SO_MOI'!$C$24*(E1435/'THAM_SO_MOI'!$C$22)^2-'THAM_SO_MOI'!$C$25*(E1435/'THAM_SO_MOI'!$C$22)^3)</f>
        <v>105.54153898552298</v>
      </c>
      <c r="K1435" s="75">
        <f>'THAM_SO_MOI'!$C$31*J1435/E1435</f>
        <v>428.44966357041204</v>
      </c>
      <c r="L1435" s="75">
        <f>K1435*'THAM_SO_MOI'!$C$50*'THAM_SO_MOI'!$C$17/'THAM_SO_MOI'!$C$26</f>
        <v>15296.23724028427</v>
      </c>
      <c r="M1435" s="75">
        <f>'THAM_SO_MOI'!$C$15*'THAM_SO_MOI'!$C$16*F1435^2</f>
        <v>100.64801597304083</v>
      </c>
      <c r="N1435" s="75">
        <f>'THAM_SO_MOI'!$C$12*I1435</f>
        <v>1130.112</v>
      </c>
      <c r="O1435" s="75">
        <f>M1435+N1435</f>
        <v>1230.760015973041</v>
      </c>
      <c r="P1435" s="75">
        <f>(MIN(L1435,'THAM_SO_MOI'!$C$41)-O1435)/('THAM_SO_MOI'!$C$11*H1435)</f>
        <v>0.9749022899069129</v>
      </c>
      <c r="Q1435" s="75">
        <f>IF(P1435&gt;0,1/P1435,NA())</f>
        <v>1.025743821050501</v>
      </c>
      <c r="R1435" s="75">
        <f>F1435-F1434</f>
        <v>0.0032106047296869278</v>
      </c>
      <c r="S1435" s="75">
        <f>0.5*(Q1434+Q1435)*R1435</f>
        <v>0.003293148247092446</v>
      </c>
      <c r="T1435" s="75">
        <f>0.5*(F1434*Q1434+F1435*Q1435)*R1435</f>
        <v>0.019312215221790774</v>
      </c>
      <c r="U1435" s="76">
        <f>U1434+S1435</f>
        <v>6.128595273806719</v>
      </c>
      <c r="V1435" s="76">
        <f>V1434+T1435</f>
        <v>21.926561602687514</v>
      </c>
    </row>
    <row r="1436" spans="1:22" ht="19" customHeight="1">
      <c r="A1436" s="68" t="s">
        <v>372</v>
      </c>
      <c r="B1436" s="74">
        <v>2</v>
      </c>
      <c r="C1436" s="68" t="s">
        <v>363</v>
      </c>
      <c r="D1436" s="68" t="s">
        <v>364</v>
      </c>
      <c r="E1436" s="75">
        <f>60*F1436*'THAM_SO_MOI'!$C$50/(2*PI()*'THAM_SO_MOI'!$C$26)</f>
        <v>2354.0439729017635</v>
      </c>
      <c r="F1436" s="75">
        <f>'HANH_TRINH'!$F$826+('THAM_SO_MOI'!$F$50-'HANH_TRINH'!$F$826)*609/'THAM_SO_MOI'!$C$42</f>
        <v>5.869178394484528</v>
      </c>
      <c r="G1436" s="75">
        <f>3.6*F1436</f>
        <v>21.129042220144303</v>
      </c>
      <c r="H1436" s="75">
        <f>'THAM_SO_MOI'!$D$50</f>
        <v>1.8785906709588276</v>
      </c>
      <c r="I1436" s="75">
        <f>IF(F1436&gt;'THAM_SO_MOI'!$C$14,'THAM_SO_MOI'!$C$13*(1+F1436^2/1500),'THAM_SO_MOI'!$C$13)</f>
        <v>0.015</v>
      </c>
      <c r="J1436" s="75">
        <f>'THAM_SO_MOI'!$C$40*('THAM_SO_MOI'!$C$23*(E1436/'THAM_SO_MOI'!$C$22)+'THAM_SO_MOI'!$C$24*(E1436/'THAM_SO_MOI'!$C$22)^2-'THAM_SO_MOI'!$C$25*(E1436/'THAM_SO_MOI'!$C$22)^3)</f>
        <v>105.5935550476704</v>
      </c>
      <c r="K1436" s="75">
        <f>'THAM_SO_MOI'!$C$31*J1436/E1436</f>
        <v>428.42633518088434</v>
      </c>
      <c r="L1436" s="75">
        <f>K1436*'THAM_SO_MOI'!$C$50*'THAM_SO_MOI'!$C$17/'THAM_SO_MOI'!$C$26</f>
        <v>15295.404384966621</v>
      </c>
      <c r="M1436" s="75">
        <f>'THAM_SO_MOI'!$C$15*'THAM_SO_MOI'!$C$16*F1436^2</f>
        <v>100.75822095188067</v>
      </c>
      <c r="N1436" s="75">
        <f>'THAM_SO_MOI'!$C$12*I1436</f>
        <v>1130.112</v>
      </c>
      <c r="O1436" s="75">
        <f>M1436+N1436</f>
        <v>1230.8702209518808</v>
      </c>
      <c r="P1436" s="75">
        <f>(MIN(L1436,'THAM_SO_MOI'!$C$41)-O1436)/('THAM_SO_MOI'!$C$11*H1436)</f>
        <v>0.9748369247843575</v>
      </c>
      <c r="Q1436" s="75">
        <f>IF(P1436&gt;0,1/P1436,NA())</f>
        <v>1.0258125996009115</v>
      </c>
      <c r="R1436" s="75">
        <f>F1436-F1435</f>
        <v>0.0032106047296869278</v>
      </c>
      <c r="S1436" s="75">
        <f>0.5*(Q1435+Q1436)*R1436</f>
        <v>0.0032933683736815047</v>
      </c>
      <c r="T1436" s="75">
        <f>0.5*(F1435*Q1435+F1436*Q1436)*R1436</f>
        <v>0.019324079829093593</v>
      </c>
      <c r="U1436" s="76">
        <f>U1435+S1436</f>
        <v>6.1318886421804</v>
      </c>
      <c r="V1436" s="76">
        <f>V1435+T1436</f>
        <v>21.945885682516607</v>
      </c>
    </row>
    <row r="1437" spans="1:22" ht="19" customHeight="1">
      <c r="A1437" s="68" t="s">
        <v>372</v>
      </c>
      <c r="B1437" s="74">
        <v>2</v>
      </c>
      <c r="C1437" s="68" t="s">
        <v>363</v>
      </c>
      <c r="D1437" s="68" t="s">
        <v>364</v>
      </c>
      <c r="E1437" s="75">
        <f>60*F1437*'THAM_SO_MOI'!$C$50/(2*PI()*'THAM_SO_MOI'!$C$26)</f>
        <v>2355.3317007923297</v>
      </c>
      <c r="F1437" s="75">
        <f>'HANH_TRINH'!$F$826+('THAM_SO_MOI'!$F$50-'HANH_TRINH'!$F$826)*610/'THAM_SO_MOI'!$C$42</f>
        <v>5.872388999214214</v>
      </c>
      <c r="G1437" s="75">
        <f>3.6*F1437</f>
        <v>21.140600397171173</v>
      </c>
      <c r="H1437" s="75">
        <f>'THAM_SO_MOI'!$D$50</f>
        <v>1.8785906709588276</v>
      </c>
      <c r="I1437" s="75">
        <f>IF(F1437&gt;'THAM_SO_MOI'!$C$14,'THAM_SO_MOI'!$C$13*(1+F1437^2/1500),'THAM_SO_MOI'!$C$13)</f>
        <v>0.015</v>
      </c>
      <c r="J1437" s="75">
        <f>'THAM_SO_MOI'!$C$40*('THAM_SO_MOI'!$C$23*(E1437/'THAM_SO_MOI'!$C$22)+'THAM_SO_MOI'!$C$24*(E1437/'THAM_SO_MOI'!$C$22)^2-'THAM_SO_MOI'!$C$25*(E1437/'THAM_SO_MOI'!$C$22)^3)</f>
        <v>105.6455251471826</v>
      </c>
      <c r="K1437" s="75">
        <f>'THAM_SO_MOI'!$C$31*J1437/E1437</f>
        <v>428.4028459170243</v>
      </c>
      <c r="L1437" s="75">
        <f>K1437*'THAM_SO_MOI'!$C$50*'THAM_SO_MOI'!$C$17/'THAM_SO_MOI'!$C$26</f>
        <v>15294.565786215933</v>
      </c>
      <c r="M1437" s="75">
        <f>'THAM_SO_MOI'!$C$15*'THAM_SO_MOI'!$C$16*F1437^2</f>
        <v>100.86848623241947</v>
      </c>
      <c r="N1437" s="75">
        <f>'THAM_SO_MOI'!$C$12*I1437</f>
        <v>1130.112</v>
      </c>
      <c r="O1437" s="75">
        <f>M1437+N1437</f>
        <v>1230.9804862324195</v>
      </c>
      <c r="P1437" s="75">
        <f>(MIN(L1437,'THAM_SO_MOI'!$C$41)-O1437)/('THAM_SO_MOI'!$C$11*H1437)</f>
        <v>0.9747711573950183</v>
      </c>
      <c r="Q1437" s="75">
        <f>IF(P1437&gt;0,1/P1437,NA())</f>
        <v>1.02588181073433</v>
      </c>
      <c r="R1437" s="75">
        <f>F1437-F1436</f>
        <v>0.0032106047296860396</v>
      </c>
      <c r="S1437" s="75">
        <f>0.5*(Q1436+Q1437)*R1437</f>
        <v>0.0032935898888463684</v>
      </c>
      <c r="T1437" s="75">
        <f>0.5*(F1436*Q1436+F1437*Q1437)*R1437</f>
        <v>0.019335954001903983</v>
      </c>
      <c r="U1437" s="76">
        <f>U1436+S1437</f>
        <v>6.135182232069247</v>
      </c>
      <c r="V1437" s="76">
        <f>V1436+T1437</f>
        <v>21.96522163651851</v>
      </c>
    </row>
    <row r="1438" spans="1:22" ht="19" customHeight="1">
      <c r="A1438" s="68" t="s">
        <v>372</v>
      </c>
      <c r="B1438" s="74">
        <v>2</v>
      </c>
      <c r="C1438" s="68" t="s">
        <v>363</v>
      </c>
      <c r="D1438" s="68" t="s">
        <v>364</v>
      </c>
      <c r="E1438" s="75">
        <f>60*F1438*'THAM_SO_MOI'!$C$50/(2*PI()*'THAM_SO_MOI'!$C$26)</f>
        <v>2356.619428682897</v>
      </c>
      <c r="F1438" s="75">
        <f>'HANH_TRINH'!$F$826+('THAM_SO_MOI'!$F$50-'HANH_TRINH'!$F$826)*611/'THAM_SO_MOI'!$C$42</f>
        <v>5.875599603943902</v>
      </c>
      <c r="G1438" s="75">
        <f>3.6*F1438</f>
        <v>21.152158574198047</v>
      </c>
      <c r="H1438" s="75">
        <f>'THAM_SO_MOI'!$D$50</f>
        <v>1.8785906709588276</v>
      </c>
      <c r="I1438" s="75">
        <f>IF(F1438&gt;'THAM_SO_MOI'!$C$14,'THAM_SO_MOI'!$C$13*(1+F1438^2/1500),'THAM_SO_MOI'!$C$13)</f>
        <v>0.015</v>
      </c>
      <c r="J1438" s="75">
        <f>'THAM_SO_MOI'!$C$40*('THAM_SO_MOI'!$C$23*(E1438/'THAM_SO_MOI'!$C$22)+'THAM_SO_MOI'!$C$24*(E1438/'THAM_SO_MOI'!$C$22)^2-'THAM_SO_MOI'!$C$25*(E1438/'THAM_SO_MOI'!$C$22)^3)</f>
        <v>105.69744921898997</v>
      </c>
      <c r="K1438" s="75">
        <f>'THAM_SO_MOI'!$C$31*J1438/E1438</f>
        <v>428.3791957788321</v>
      </c>
      <c r="L1438" s="75">
        <f>K1438*'THAM_SO_MOI'!$C$50*'THAM_SO_MOI'!$C$17/'THAM_SO_MOI'!$C$26</f>
        <v>15293.721444032211</v>
      </c>
      <c r="M1438" s="75">
        <f>'THAM_SO_MOI'!$C$15*'THAM_SO_MOI'!$C$16*F1438^2</f>
        <v>100.97881181465729</v>
      </c>
      <c r="N1438" s="75">
        <f>'THAM_SO_MOI'!$C$12*I1438</f>
        <v>1130.112</v>
      </c>
      <c r="O1438" s="75">
        <f>M1438+N1438</f>
        <v>1231.0908118146574</v>
      </c>
      <c r="P1438" s="75">
        <f>(MIN(L1438,'THAM_SO_MOI'!$C$41)-O1438)/('THAM_SO_MOI'!$C$11*H1438)</f>
        <v>0.9747049877388956</v>
      </c>
      <c r="Q1438" s="75">
        <f>IF(P1438&gt;0,1/P1438,NA())</f>
        <v>1.0259514546240123</v>
      </c>
      <c r="R1438" s="75">
        <f>F1438-F1437</f>
        <v>0.003210604729687816</v>
      </c>
      <c r="S1438" s="75">
        <f>0.5*(Q1437+Q1438)*R1438</f>
        <v>0.0032938127931451443</v>
      </c>
      <c r="T1438" s="75">
        <f>0.5*(F1437*Q1437+F1438*Q1438)*R1438</f>
        <v>0.01934783775687478</v>
      </c>
      <c r="U1438" s="76">
        <f>U1437+S1438</f>
        <v>6.138476044862392</v>
      </c>
      <c r="V1438" s="76">
        <f>V1437+T1438</f>
        <v>21.984569474275386</v>
      </c>
    </row>
    <row r="1439" spans="1:22" ht="19" customHeight="1">
      <c r="A1439" s="68" t="s">
        <v>372</v>
      </c>
      <c r="B1439" s="74">
        <v>2</v>
      </c>
      <c r="C1439" s="68" t="s">
        <v>363</v>
      </c>
      <c r="D1439" s="68" t="s">
        <v>364</v>
      </c>
      <c r="E1439" s="75">
        <f>60*F1439*'THAM_SO_MOI'!$C$50/(2*PI()*'THAM_SO_MOI'!$C$26)</f>
        <v>2357.9071565734635</v>
      </c>
      <c r="F1439" s="75">
        <f>'HANH_TRINH'!$F$826+('THAM_SO_MOI'!$F$50-'HANH_TRINH'!$F$826)*612/'THAM_SO_MOI'!$C$42</f>
        <v>5.878810208673588</v>
      </c>
      <c r="G1439" s="75">
        <f>3.6*F1439</f>
        <v>21.163716751224918</v>
      </c>
      <c r="H1439" s="75">
        <f>'THAM_SO_MOI'!$D$50</f>
        <v>1.8785906709588276</v>
      </c>
      <c r="I1439" s="75">
        <f>IF(F1439&gt;'THAM_SO_MOI'!$C$14,'THAM_SO_MOI'!$C$13*(1+F1439^2/1500),'THAM_SO_MOI'!$C$13)</f>
        <v>0.015</v>
      </c>
      <c r="J1439" s="75">
        <f>'THAM_SO_MOI'!$C$40*('THAM_SO_MOI'!$C$23*(E1439/'THAM_SO_MOI'!$C$22)+'THAM_SO_MOI'!$C$24*(E1439/'THAM_SO_MOI'!$C$22)^2-'THAM_SO_MOI'!$C$25*(E1439/'THAM_SO_MOI'!$C$22)^3)</f>
        <v>105.74932719802273</v>
      </c>
      <c r="K1439" s="75">
        <f>'THAM_SO_MOI'!$C$31*J1439/E1439</f>
        <v>428.3553847663076</v>
      </c>
      <c r="L1439" s="75">
        <f>K1439*'THAM_SO_MOI'!$C$50*'THAM_SO_MOI'!$C$17/'THAM_SO_MOI'!$C$26</f>
        <v>15292.871358415454</v>
      </c>
      <c r="M1439" s="75">
        <f>'THAM_SO_MOI'!$C$15*'THAM_SO_MOI'!$C$16*F1439^2</f>
        <v>101.08919769859405</v>
      </c>
      <c r="N1439" s="75">
        <f>'THAM_SO_MOI'!$C$12*I1439</f>
        <v>1130.112</v>
      </c>
      <c r="O1439" s="75">
        <f>M1439+N1439</f>
        <v>1231.2011976985941</v>
      </c>
      <c r="P1439" s="75">
        <f>(MIN(L1439,'THAM_SO_MOI'!$C$41)-O1439)/('THAM_SO_MOI'!$C$11*H1439)</f>
        <v>0.974638415815989</v>
      </c>
      <c r="Q1439" s="75">
        <f>IF(P1439&gt;0,1/P1439,NA())</f>
        <v>1.0260215314443333</v>
      </c>
      <c r="R1439" s="75">
        <f>F1439-F1438</f>
        <v>0.0032106047296860396</v>
      </c>
      <c r="S1439" s="75">
        <f>0.5*(Q1438+Q1439)*R1439</f>
        <v>0.0032940370871295077</v>
      </c>
      <c r="T1439" s="75">
        <f>0.5*(F1438*Q1438+F1439*Q1439)*R1439</f>
        <v>0.019359731110628175</v>
      </c>
      <c r="U1439" s="76">
        <f>U1438+S1439</f>
        <v>6.141770081949521</v>
      </c>
      <c r="V1439" s="76">
        <f>V1438+T1439</f>
        <v>22.003929205386015</v>
      </c>
    </row>
    <row r="1440" spans="1:22" ht="19" customHeight="1">
      <c r="A1440" s="68" t="s">
        <v>372</v>
      </c>
      <c r="B1440" s="74">
        <v>2</v>
      </c>
      <c r="C1440" s="68" t="s">
        <v>363</v>
      </c>
      <c r="D1440" s="68" t="s">
        <v>364</v>
      </c>
      <c r="E1440" s="75">
        <f>60*F1440*'THAM_SO_MOI'!$C$50/(2*PI()*'THAM_SO_MOI'!$C$26)</f>
        <v>2359.19488446403</v>
      </c>
      <c r="F1440" s="75">
        <f>'HANH_TRINH'!$F$826+('THAM_SO_MOI'!$F$50-'HANH_TRINH'!$F$826)*613/'THAM_SO_MOI'!$C$42</f>
        <v>5.882020813403275</v>
      </c>
      <c r="G1440" s="75">
        <f>3.6*F1440</f>
        <v>21.175274928251792</v>
      </c>
      <c r="H1440" s="75">
        <f>'THAM_SO_MOI'!$D$50</f>
        <v>1.8785906709588276</v>
      </c>
      <c r="I1440" s="75">
        <f>IF(F1440&gt;'THAM_SO_MOI'!$C$14,'THAM_SO_MOI'!$C$13*(1+F1440^2/1500),'THAM_SO_MOI'!$C$13)</f>
        <v>0.015</v>
      </c>
      <c r="J1440" s="75">
        <f>'THAM_SO_MOI'!$C$40*('THAM_SO_MOI'!$C$23*(E1440/'THAM_SO_MOI'!$C$22)+'THAM_SO_MOI'!$C$24*(E1440/'THAM_SO_MOI'!$C$22)^2-'THAM_SO_MOI'!$C$25*(E1440/'THAM_SO_MOI'!$C$22)^3)</f>
        <v>105.80115901921118</v>
      </c>
      <c r="K1440" s="75">
        <f>'THAM_SO_MOI'!$C$31*J1440/E1440</f>
        <v>428.33141287945085</v>
      </c>
      <c r="L1440" s="75">
        <f>K1440*'THAM_SO_MOI'!$C$50*'THAM_SO_MOI'!$C$17/'THAM_SO_MOI'!$C$26</f>
        <v>15292.01552936566</v>
      </c>
      <c r="M1440" s="75">
        <f>'THAM_SO_MOI'!$C$15*'THAM_SO_MOI'!$C$16*F1440^2</f>
        <v>101.1996438842298</v>
      </c>
      <c r="N1440" s="75">
        <f>'THAM_SO_MOI'!$C$12*I1440</f>
        <v>1130.112</v>
      </c>
      <c r="O1440" s="75">
        <f>M1440+N1440</f>
        <v>1231.3116438842299</v>
      </c>
      <c r="P1440" s="75">
        <f>(MIN(L1440,'THAM_SO_MOI'!$C$41)-O1440)/('THAM_SO_MOI'!$C$11*H1440)</f>
        <v>0.9745714416262993</v>
      </c>
      <c r="Q1440" s="75">
        <f>IF(P1440&gt;0,1/P1440,NA())</f>
        <v>1.0260920413707868</v>
      </c>
      <c r="R1440" s="75">
        <f>F1440-F1439</f>
        <v>0.0032106047296869278</v>
      </c>
      <c r="S1440" s="75">
        <f>0.5*(Q1439+Q1440)*R1440</f>
        <v>0.003294262771367482</v>
      </c>
      <c r="T1440" s="75">
        <f>0.5*(F1439*Q1439+F1440*Q1440)*R1440</f>
        <v>0.01937163407988957</v>
      </c>
      <c r="U1440" s="76">
        <f>U1439+S1440</f>
        <v>6.145064344720889</v>
      </c>
      <c r="V1440" s="76">
        <f>V1439+T1440</f>
        <v>22.023300839465904</v>
      </c>
    </row>
    <row r="1441" spans="1:22" ht="19" customHeight="1">
      <c r="A1441" s="68" t="s">
        <v>372</v>
      </c>
      <c r="B1441" s="74">
        <v>2</v>
      </c>
      <c r="C1441" s="68" t="s">
        <v>363</v>
      </c>
      <c r="D1441" s="68" t="s">
        <v>364</v>
      </c>
      <c r="E1441" s="75">
        <f>60*F1441*'THAM_SO_MOI'!$C$50/(2*PI()*'THAM_SO_MOI'!$C$26)</f>
        <v>2360.4826123545968</v>
      </c>
      <c r="F1441" s="75">
        <f>'HANH_TRINH'!$F$826+('THAM_SO_MOI'!$F$50-'HANH_TRINH'!$F$826)*614/'THAM_SO_MOI'!$C$42</f>
        <v>5.885231418132962</v>
      </c>
      <c r="G1441" s="75">
        <f>3.6*F1441</f>
        <v>21.186833105278666</v>
      </c>
      <c r="H1441" s="75">
        <f>'THAM_SO_MOI'!$D$50</f>
        <v>1.8785906709588276</v>
      </c>
      <c r="I1441" s="75">
        <f>IF(F1441&gt;'THAM_SO_MOI'!$C$14,'THAM_SO_MOI'!$C$13*(1+F1441^2/1500),'THAM_SO_MOI'!$C$13)</f>
        <v>0.015</v>
      </c>
      <c r="J1441" s="75">
        <f>'THAM_SO_MOI'!$C$40*('THAM_SO_MOI'!$C$23*(E1441/'THAM_SO_MOI'!$C$22)+'THAM_SO_MOI'!$C$24*(E1441/'THAM_SO_MOI'!$C$22)^2-'THAM_SO_MOI'!$C$25*(E1441/'THAM_SO_MOI'!$C$22)^3)</f>
        <v>105.85294461748569</v>
      </c>
      <c r="K1441" s="75">
        <f>'THAM_SO_MOI'!$C$31*J1441/E1441</f>
        <v>428.3072801182619</v>
      </c>
      <c r="L1441" s="75">
        <f>K1441*'THAM_SO_MOI'!$C$50*'THAM_SO_MOI'!$C$17/'THAM_SO_MOI'!$C$26</f>
        <v>15291.15395688283</v>
      </c>
      <c r="M1441" s="75">
        <f>'THAM_SO_MOI'!$C$15*'THAM_SO_MOI'!$C$16*F1441^2</f>
        <v>101.3101503715645</v>
      </c>
      <c r="N1441" s="75">
        <f>'THAM_SO_MOI'!$C$12*I1441</f>
        <v>1130.112</v>
      </c>
      <c r="O1441" s="75">
        <f>M1441+N1441</f>
        <v>1231.4221503715646</v>
      </c>
      <c r="P1441" s="75">
        <f>(MIN(L1441,'THAM_SO_MOI'!$C$41)-O1441)/('THAM_SO_MOI'!$C$11*H1441)</f>
        <v>0.9745040651698257</v>
      </c>
      <c r="Q1441" s="75">
        <f>IF(P1441&gt;0,1/P1441,NA())</f>
        <v>1.0261629845799887</v>
      </c>
      <c r="R1441" s="75">
        <f>F1441-F1440</f>
        <v>0.0032106047296869278</v>
      </c>
      <c r="S1441" s="75">
        <f>0.5*(Q1440+Q1441)*R1441</f>
        <v>0.0032944898464206643</v>
      </c>
      <c r="T1441" s="75">
        <f>0.5*(F1440*Q1440+F1441*Q1441)*R1441</f>
        <v>0.01938354668135386</v>
      </c>
      <c r="U1441" s="76">
        <f>U1440+S1441</f>
        <v>6.1483588345673095</v>
      </c>
      <c r="V1441" s="76">
        <f>V1440+T1441</f>
        <v>22.042684386147258</v>
      </c>
    </row>
    <row r="1442" spans="1:22" ht="19" customHeight="1">
      <c r="A1442" s="68" t="s">
        <v>372</v>
      </c>
      <c r="B1442" s="74">
        <v>2</v>
      </c>
      <c r="C1442" s="68" t="s">
        <v>363</v>
      </c>
      <c r="D1442" s="68" t="s">
        <v>364</v>
      </c>
      <c r="E1442" s="75">
        <f>60*F1442*'THAM_SO_MOI'!$C$50/(2*PI()*'THAM_SO_MOI'!$C$26)</f>
        <v>2361.7703402451634</v>
      </c>
      <c r="F1442" s="75">
        <f>'HANH_TRINH'!$F$826+('THAM_SO_MOI'!$F$50-'HANH_TRINH'!$F$826)*615/'THAM_SO_MOI'!$C$42</f>
        <v>5.888442022862649</v>
      </c>
      <c r="G1442" s="75">
        <f>3.6*F1442</f>
        <v>21.198391282305536</v>
      </c>
      <c r="H1442" s="75">
        <f>'THAM_SO_MOI'!$D$50</f>
        <v>1.8785906709588276</v>
      </c>
      <c r="I1442" s="75">
        <f>IF(F1442&gt;'THAM_SO_MOI'!$C$14,'THAM_SO_MOI'!$C$13*(1+F1442^2/1500),'THAM_SO_MOI'!$C$13)</f>
        <v>0.015</v>
      </c>
      <c r="J1442" s="75">
        <f>'THAM_SO_MOI'!$C$40*('THAM_SO_MOI'!$C$23*(E1442/'THAM_SO_MOI'!$C$22)+'THAM_SO_MOI'!$C$24*(E1442/'THAM_SO_MOI'!$C$22)^2-'THAM_SO_MOI'!$C$25*(E1442/'THAM_SO_MOI'!$C$22)^3)</f>
        <v>105.90468392777652</v>
      </c>
      <c r="K1442" s="75">
        <f>'THAM_SO_MOI'!$C$31*J1442/E1442</f>
        <v>428.2829864827406</v>
      </c>
      <c r="L1442" s="75">
        <f>K1442*'THAM_SO_MOI'!$C$50*'THAM_SO_MOI'!$C$17/'THAM_SO_MOI'!$C$26</f>
        <v>15290.286640966964</v>
      </c>
      <c r="M1442" s="75">
        <f>'THAM_SO_MOI'!$C$15*'THAM_SO_MOI'!$C$16*F1442^2</f>
        <v>101.4207171605982</v>
      </c>
      <c r="N1442" s="75">
        <f>'THAM_SO_MOI'!$C$12*I1442</f>
        <v>1130.112</v>
      </c>
      <c r="O1442" s="75">
        <f>M1442+N1442</f>
        <v>1231.5327171605982</v>
      </c>
      <c r="P1442" s="75">
        <f>(MIN(L1442,'THAM_SO_MOI'!$C$41)-O1442)/('THAM_SO_MOI'!$C$11*H1442)</f>
        <v>0.9744362864465684</v>
      </c>
      <c r="Q1442" s="75">
        <f>IF(P1442&gt;0,1/P1442,NA())</f>
        <v>1.0262343612496756</v>
      </c>
      <c r="R1442" s="75">
        <f>F1442-F1441</f>
        <v>0.0032106047296869278</v>
      </c>
      <c r="S1442" s="75">
        <f>0.5*(Q1441+Q1442)*R1442</f>
        <v>0.003294718312858809</v>
      </c>
      <c r="T1442" s="75">
        <f>0.5*(F1441*Q1441+F1442*Q1442)*R1442</f>
        <v>0.019395468931771184</v>
      </c>
      <c r="U1442" s="76">
        <f>U1441+S1442</f>
        <v>6.151653552880168</v>
      </c>
      <c r="V1442" s="76">
        <f>V1441+T1442</f>
        <v>22.06207985507903</v>
      </c>
    </row>
    <row r="1443" spans="1:22" ht="19" customHeight="1">
      <c r="A1443" s="68" t="s">
        <v>372</v>
      </c>
      <c r="B1443" s="74">
        <v>2</v>
      </c>
      <c r="C1443" s="68" t="s">
        <v>363</v>
      </c>
      <c r="D1443" s="68" t="s">
        <v>364</v>
      </c>
      <c r="E1443" s="75">
        <f>60*F1443*'THAM_SO_MOI'!$C$50/(2*PI()*'THAM_SO_MOI'!$C$26)</f>
        <v>2363.05806813573</v>
      </c>
      <c r="F1443" s="75">
        <f>'HANH_TRINH'!$F$826+('THAM_SO_MOI'!$F$50-'HANH_TRINH'!$F$826)*616/'THAM_SO_MOI'!$C$42</f>
        <v>5.891652627592336</v>
      </c>
      <c r="G1443" s="75">
        <f>3.6*F1443</f>
        <v>21.20994945933241</v>
      </c>
      <c r="H1443" s="75">
        <f>'THAM_SO_MOI'!$D$50</f>
        <v>1.8785906709588276</v>
      </c>
      <c r="I1443" s="75">
        <f>IF(F1443&gt;'THAM_SO_MOI'!$C$14,'THAM_SO_MOI'!$C$13*(1+F1443^2/1500),'THAM_SO_MOI'!$C$13)</f>
        <v>0.015</v>
      </c>
      <c r="J1443" s="75">
        <f>'THAM_SO_MOI'!$C$40*('THAM_SO_MOI'!$C$23*(E1443/'THAM_SO_MOI'!$C$22)+'THAM_SO_MOI'!$C$24*(E1443/'THAM_SO_MOI'!$C$22)^2-'THAM_SO_MOI'!$C$25*(E1443/'THAM_SO_MOI'!$C$22)^3)</f>
        <v>105.95637688501397</v>
      </c>
      <c r="K1443" s="75">
        <f>'THAM_SO_MOI'!$C$31*J1443/E1443</f>
        <v>428.25853197288717</v>
      </c>
      <c r="L1443" s="75">
        <f>K1443*'THAM_SO_MOI'!$C$50*'THAM_SO_MOI'!$C$17/'THAM_SO_MOI'!$C$26</f>
        <v>15289.413581618066</v>
      </c>
      <c r="M1443" s="75">
        <f>'THAM_SO_MOI'!$C$15*'THAM_SO_MOI'!$C$16*F1443^2</f>
        <v>101.53134425133085</v>
      </c>
      <c r="N1443" s="75">
        <f>'THAM_SO_MOI'!$C$12*I1443</f>
        <v>1130.112</v>
      </c>
      <c r="O1443" s="75">
        <f>M1443+N1443</f>
        <v>1231.643344251331</v>
      </c>
      <c r="P1443" s="75">
        <f>(MIN(L1443,'THAM_SO_MOI'!$C$41)-O1443)/('THAM_SO_MOI'!$C$11*H1443)</f>
        <v>0.9743681054565279</v>
      </c>
      <c r="Q1443" s="75">
        <f>IF(P1443&gt;0,1/P1443,NA())</f>
        <v>1.0263061715587074</v>
      </c>
      <c r="R1443" s="75">
        <f>F1443-F1442</f>
        <v>0.0032106047296869278</v>
      </c>
      <c r="S1443" s="75">
        <f>0.5*(Q1442+Q1443)*R1443</f>
        <v>0.0032949481712543603</v>
      </c>
      <c r="T1443" s="75">
        <f>0.5*(F1442*Q1442+F1443*Q1443)*R1443</f>
        <v>0.019407400847914823</v>
      </c>
      <c r="U1443" s="76">
        <f>U1442+S1443</f>
        <v>6.154948501051423</v>
      </c>
      <c r="V1443" s="76">
        <f>V1442+T1443</f>
        <v>22.081487255926945</v>
      </c>
    </row>
    <row r="1444" spans="1:22" ht="19" customHeight="1">
      <c r="A1444" s="68" t="s">
        <v>372</v>
      </c>
      <c r="B1444" s="74">
        <v>2</v>
      </c>
      <c r="C1444" s="68" t="s">
        <v>363</v>
      </c>
      <c r="D1444" s="68" t="s">
        <v>364</v>
      </c>
      <c r="E1444" s="75">
        <f>60*F1444*'THAM_SO_MOI'!$C$50/(2*PI()*'THAM_SO_MOI'!$C$26)</f>
        <v>2364.3457960262963</v>
      </c>
      <c r="F1444" s="75">
        <f>'HANH_TRINH'!$F$826+('THAM_SO_MOI'!$F$50-'HANH_TRINH'!$F$826)*617/'THAM_SO_MOI'!$C$42</f>
        <v>5.894863232322022</v>
      </c>
      <c r="G1444" s="75">
        <f>3.6*F1444</f>
        <v>21.22150763635928</v>
      </c>
      <c r="H1444" s="75">
        <f>'THAM_SO_MOI'!$D$50</f>
        <v>1.8785906709588276</v>
      </c>
      <c r="I1444" s="75">
        <f>IF(F1444&gt;'THAM_SO_MOI'!$C$14,'THAM_SO_MOI'!$C$13*(1+F1444^2/1500),'THAM_SO_MOI'!$C$13)</f>
        <v>0.015</v>
      </c>
      <c r="J1444" s="75">
        <f>'THAM_SO_MOI'!$C$40*('THAM_SO_MOI'!$C$23*(E1444/'THAM_SO_MOI'!$C$22)+'THAM_SO_MOI'!$C$24*(E1444/'THAM_SO_MOI'!$C$22)^2-'THAM_SO_MOI'!$C$25*(E1444/'THAM_SO_MOI'!$C$22)^3)</f>
        <v>106.00802342412831</v>
      </c>
      <c r="K1444" s="75">
        <f>'THAM_SO_MOI'!$C$31*J1444/E1444</f>
        <v>428.2339165887014</v>
      </c>
      <c r="L1444" s="75">
        <f>K1444*'THAM_SO_MOI'!$C$50*'THAM_SO_MOI'!$C$17/'THAM_SO_MOI'!$C$26</f>
        <v>15288.534778836125</v>
      </c>
      <c r="M1444" s="75">
        <f>'THAM_SO_MOI'!$C$15*'THAM_SO_MOI'!$C$16*F1444^2</f>
        <v>101.64203164376246</v>
      </c>
      <c r="N1444" s="75">
        <f>'THAM_SO_MOI'!$C$12*I1444</f>
        <v>1130.112</v>
      </c>
      <c r="O1444" s="75">
        <f>M1444+N1444</f>
        <v>1231.7540316437626</v>
      </c>
      <c r="P1444" s="75">
        <f>(MIN(L1444,'THAM_SO_MOI'!$C$41)-O1444)/('THAM_SO_MOI'!$C$11*H1444)</f>
        <v>0.9742995221997032</v>
      </c>
      <c r="Q1444" s="75">
        <f>IF(P1444&gt;0,1/P1444,NA())</f>
        <v>1.0263784156870694</v>
      </c>
      <c r="R1444" s="75">
        <f>F1444-F1443</f>
        <v>0.0032106047296860396</v>
      </c>
      <c r="S1444" s="75">
        <f>0.5*(Q1443+Q1444)*R1444</f>
        <v>0.003295179422182463</v>
      </c>
      <c r="T1444" s="75">
        <f>0.5*(F1443*Q1443+F1444*Q1444)*R1444</f>
        <v>0.019419342446581327</v>
      </c>
      <c r="U1444" s="76">
        <f>U1443+S1444</f>
        <v>6.158243680473605</v>
      </c>
      <c r="V1444" s="76">
        <f>V1443+T1444</f>
        <v>22.100906598373527</v>
      </c>
    </row>
    <row r="1445" spans="1:22" ht="19" customHeight="1">
      <c r="A1445" s="68" t="s">
        <v>372</v>
      </c>
      <c r="B1445" s="74">
        <v>2</v>
      </c>
      <c r="C1445" s="68" t="s">
        <v>363</v>
      </c>
      <c r="D1445" s="68" t="s">
        <v>364</v>
      </c>
      <c r="E1445" s="75">
        <f>60*F1445*'THAM_SO_MOI'!$C$50/(2*PI()*'THAM_SO_MOI'!$C$26)</f>
        <v>2365.6335239168634</v>
      </c>
      <c r="F1445" s="75">
        <f>'HANH_TRINH'!$F$826+('THAM_SO_MOI'!$F$50-'HANH_TRINH'!$F$826)*618/'THAM_SO_MOI'!$C$42</f>
        <v>5.89807383705171</v>
      </c>
      <c r="G1445" s="75">
        <f>3.6*F1445</f>
        <v>21.233065813386155</v>
      </c>
      <c r="H1445" s="75">
        <f>'THAM_SO_MOI'!$D$50</f>
        <v>1.8785906709588276</v>
      </c>
      <c r="I1445" s="75">
        <f>IF(F1445&gt;'THAM_SO_MOI'!$C$14,'THAM_SO_MOI'!$C$13*(1+F1445^2/1500),'THAM_SO_MOI'!$C$13)</f>
        <v>0.015</v>
      </c>
      <c r="J1445" s="75">
        <f>'THAM_SO_MOI'!$C$40*('THAM_SO_MOI'!$C$23*(E1445/'THAM_SO_MOI'!$C$22)+'THAM_SO_MOI'!$C$24*(E1445/'THAM_SO_MOI'!$C$22)^2-'THAM_SO_MOI'!$C$25*(E1445/'THAM_SO_MOI'!$C$22)^3)</f>
        <v>106.05962348004996</v>
      </c>
      <c r="K1445" s="75">
        <f>'THAM_SO_MOI'!$C$31*J1445/E1445</f>
        <v>428.2091403301836</v>
      </c>
      <c r="L1445" s="75">
        <f>K1445*'THAM_SO_MOI'!$C$50*'THAM_SO_MOI'!$C$17/'THAM_SO_MOI'!$C$26</f>
        <v>15287.65023262116</v>
      </c>
      <c r="M1445" s="75">
        <f>'THAM_SO_MOI'!$C$15*'THAM_SO_MOI'!$C$16*F1445^2</f>
        <v>101.7527793378931</v>
      </c>
      <c r="N1445" s="75">
        <f>'THAM_SO_MOI'!$C$12*I1445</f>
        <v>1130.112</v>
      </c>
      <c r="O1445" s="75">
        <f>M1445+N1445</f>
        <v>1231.8647793378932</v>
      </c>
      <c r="P1445" s="75">
        <f>(MIN(L1445,'THAM_SO_MOI'!$C$41)-O1445)/('THAM_SO_MOI'!$C$11*H1445)</f>
        <v>0.9742305366760958</v>
      </c>
      <c r="Q1445" s="75">
        <f>IF(P1445&gt;0,1/P1445,NA())</f>
        <v>1.0264510938158693</v>
      </c>
      <c r="R1445" s="75">
        <f>F1445-F1444</f>
        <v>0.003210604729687816</v>
      </c>
      <c r="S1445" s="75">
        <f>0.5*(Q1444+Q1445)*R1445</f>
        <v>0.003295412066226427</v>
      </c>
      <c r="T1445" s="75">
        <f>0.5*(F1444*Q1444+F1445*Q1445)*R1445</f>
        <v>0.019431293744622782</v>
      </c>
      <c r="U1445" s="76">
        <f>U1444+S1445</f>
        <v>6.161539092539831</v>
      </c>
      <c r="V1445" s="76">
        <f>V1444+T1445</f>
        <v>22.12033789211815</v>
      </c>
    </row>
    <row r="1446" spans="1:22" ht="19" customHeight="1">
      <c r="A1446" s="68" t="s">
        <v>372</v>
      </c>
      <c r="B1446" s="74">
        <v>2</v>
      </c>
      <c r="C1446" s="68" t="s">
        <v>363</v>
      </c>
      <c r="D1446" s="68" t="s">
        <v>364</v>
      </c>
      <c r="E1446" s="75">
        <f>60*F1446*'THAM_SO_MOI'!$C$50/(2*PI()*'THAM_SO_MOI'!$C$26)</f>
        <v>2366.9212518074296</v>
      </c>
      <c r="F1446" s="75">
        <f>'HANH_TRINH'!$F$826+('THAM_SO_MOI'!$F$50-'HANH_TRINH'!$F$826)*619/'THAM_SO_MOI'!$C$42</f>
        <v>5.901284441781396</v>
      </c>
      <c r="G1446" s="75">
        <f>3.6*F1446</f>
        <v>21.244623990413025</v>
      </c>
      <c r="H1446" s="75">
        <f>'THAM_SO_MOI'!$D$50</f>
        <v>1.8785906709588276</v>
      </c>
      <c r="I1446" s="75">
        <f>IF(F1446&gt;'THAM_SO_MOI'!$C$14,'THAM_SO_MOI'!$C$13*(1+F1446^2/1500),'THAM_SO_MOI'!$C$13)</f>
        <v>0.015</v>
      </c>
      <c r="J1446" s="75">
        <f>'THAM_SO_MOI'!$C$40*('THAM_SO_MOI'!$C$23*(E1446/'THAM_SO_MOI'!$C$22)+'THAM_SO_MOI'!$C$24*(E1446/'THAM_SO_MOI'!$C$22)^2-'THAM_SO_MOI'!$C$25*(E1446/'THAM_SO_MOI'!$C$22)^3)</f>
        <v>106.11117698770909</v>
      </c>
      <c r="K1446" s="75">
        <f>'THAM_SO_MOI'!$C$31*J1446/E1446</f>
        <v>428.1842031973333</v>
      </c>
      <c r="L1446" s="75">
        <f>K1446*'THAM_SO_MOI'!$C$50*'THAM_SO_MOI'!$C$17/'THAM_SO_MOI'!$C$26</f>
        <v>15286.759942973149</v>
      </c>
      <c r="M1446" s="75">
        <f>'THAM_SO_MOI'!$C$15*'THAM_SO_MOI'!$C$16*F1446^2</f>
        <v>101.86358733372265</v>
      </c>
      <c r="N1446" s="75">
        <f>'THAM_SO_MOI'!$C$12*I1446</f>
        <v>1130.112</v>
      </c>
      <c r="O1446" s="75">
        <f>M1446+N1446</f>
        <v>1231.9755873337226</v>
      </c>
      <c r="P1446" s="75">
        <f>(MIN(L1446,'THAM_SO_MOI'!$C$41)-O1446)/('THAM_SO_MOI'!$C$11*H1446)</f>
        <v>0.9741611488857039</v>
      </c>
      <c r="Q1446" s="75">
        <f>IF(P1446&gt;0,1/P1446,NA())</f>
        <v>1.0265242061273454</v>
      </c>
      <c r="R1446" s="75">
        <f>F1446-F1445</f>
        <v>0.0032106047296860396</v>
      </c>
      <c r="S1446" s="75">
        <f>0.5*(Q1445+Q1446)*R1446</f>
        <v>0.0032956461039631503</v>
      </c>
      <c r="T1446" s="75">
        <f>0.5*(F1445*Q1445+F1446*Q1446)*R1446</f>
        <v>0.019443254758860946</v>
      </c>
      <c r="U1446" s="76">
        <f>U1445+S1446</f>
        <v>6.164834738643794</v>
      </c>
      <c r="V1446" s="76">
        <f>V1445+T1446</f>
        <v>22.139781146877013</v>
      </c>
    </row>
    <row r="1447" spans="1:22" ht="19" customHeight="1">
      <c r="A1447" s="68" t="s">
        <v>372</v>
      </c>
      <c r="B1447" s="74">
        <v>2</v>
      </c>
      <c r="C1447" s="68" t="s">
        <v>363</v>
      </c>
      <c r="D1447" s="68" t="s">
        <v>364</v>
      </c>
      <c r="E1447" s="75">
        <f>60*F1447*'THAM_SO_MOI'!$C$50/(2*PI()*'THAM_SO_MOI'!$C$26)</f>
        <v>2368.2089796979963</v>
      </c>
      <c r="F1447" s="75">
        <f>'HANH_TRINH'!$F$826+('THAM_SO_MOI'!$F$50-'HANH_TRINH'!$F$826)*620/'THAM_SO_MOI'!$C$42</f>
        <v>5.904495046511083</v>
      </c>
      <c r="G1447" s="75">
        <f>3.6*F1447</f>
        <v>21.2561821674399</v>
      </c>
      <c r="H1447" s="75">
        <f>'THAM_SO_MOI'!$D$50</f>
        <v>1.8785906709588276</v>
      </c>
      <c r="I1447" s="75">
        <f>IF(F1447&gt;'THAM_SO_MOI'!$C$14,'THAM_SO_MOI'!$C$13*(1+F1447^2/1500),'THAM_SO_MOI'!$C$13)</f>
        <v>0.015</v>
      </c>
      <c r="J1447" s="75">
        <f>'THAM_SO_MOI'!$C$40*('THAM_SO_MOI'!$C$23*(E1447/'THAM_SO_MOI'!$C$22)+'THAM_SO_MOI'!$C$24*(E1447/'THAM_SO_MOI'!$C$22)^2-'THAM_SO_MOI'!$C$25*(E1447/'THAM_SO_MOI'!$C$22)^3)</f>
        <v>106.16268388203605</v>
      </c>
      <c r="K1447" s="75">
        <f>'THAM_SO_MOI'!$C$31*J1447/E1447</f>
        <v>428.15910519015085</v>
      </c>
      <c r="L1447" s="75">
        <f>K1447*'THAM_SO_MOI'!$C$50*'THAM_SO_MOI'!$C$17/'THAM_SO_MOI'!$C$26</f>
        <v>15285.863909892107</v>
      </c>
      <c r="M1447" s="75">
        <f>'THAM_SO_MOI'!$C$15*'THAM_SO_MOI'!$C$16*F1447^2</f>
        <v>101.9744556312512</v>
      </c>
      <c r="N1447" s="75">
        <f>'THAM_SO_MOI'!$C$12*I1447</f>
        <v>1130.112</v>
      </c>
      <c r="O1447" s="75">
        <f>M1447+N1447</f>
        <v>1232.0864556312513</v>
      </c>
      <c r="P1447" s="75">
        <f>(MIN(L1447,'THAM_SO_MOI'!$C$41)-O1447)/('THAM_SO_MOI'!$C$11*H1447)</f>
        <v>0.974091358828529</v>
      </c>
      <c r="Q1447" s="75">
        <f>IF(P1447&gt;0,1/P1447,NA())</f>
        <v>1.0265977528048595</v>
      </c>
      <c r="R1447" s="75">
        <f>F1447-F1446</f>
        <v>0.0032106047296869278</v>
      </c>
      <c r="S1447" s="75">
        <f>0.5*(Q1446+Q1447)*R1447</f>
        <v>0.0032958815359859133</v>
      </c>
      <c r="T1447" s="75">
        <f>0.5*(F1446*Q1446+F1447*Q1447)*R1447</f>
        <v>0.019455225506221675</v>
      </c>
      <c r="U1447" s="76">
        <f>U1446+S1447</f>
        <v>6.16813062017978</v>
      </c>
      <c r="V1447" s="76">
        <f>V1446+T1447</f>
        <v>22.159236372383234</v>
      </c>
    </row>
    <row r="1448" spans="1:22" ht="19" customHeight="1">
      <c r="A1448" s="68" t="s">
        <v>372</v>
      </c>
      <c r="B1448" s="74">
        <v>2</v>
      </c>
      <c r="C1448" s="68" t="s">
        <v>363</v>
      </c>
      <c r="D1448" s="68" t="s">
        <v>364</v>
      </c>
      <c r="E1448" s="75">
        <f>60*F1448*'THAM_SO_MOI'!$C$50/(2*PI()*'THAM_SO_MOI'!$C$26)</f>
        <v>2369.496707588563</v>
      </c>
      <c r="F1448" s="75">
        <f>'HANH_TRINH'!$F$826+('THAM_SO_MOI'!$F$50-'HANH_TRINH'!$F$826)*621/'THAM_SO_MOI'!$C$42</f>
        <v>5.90770565124077</v>
      </c>
      <c r="G1448" s="75">
        <f>3.6*F1448</f>
        <v>21.267740344466773</v>
      </c>
      <c r="H1448" s="75">
        <f>'THAM_SO_MOI'!$D$50</f>
        <v>1.8785906709588276</v>
      </c>
      <c r="I1448" s="75">
        <f>IF(F1448&gt;'THAM_SO_MOI'!$C$14,'THAM_SO_MOI'!$C$13*(1+F1448^2/1500),'THAM_SO_MOI'!$C$13)</f>
        <v>0.015</v>
      </c>
      <c r="J1448" s="75">
        <f>'THAM_SO_MOI'!$C$40*('THAM_SO_MOI'!$C$23*(E1448/'THAM_SO_MOI'!$C$22)+'THAM_SO_MOI'!$C$24*(E1448/'THAM_SO_MOI'!$C$22)^2-'THAM_SO_MOI'!$C$25*(E1448/'THAM_SO_MOI'!$C$22)^3)</f>
        <v>106.21414409796117</v>
      </c>
      <c r="K1448" s="75">
        <f>'THAM_SO_MOI'!$C$31*J1448/E1448</f>
        <v>428.13384630863624</v>
      </c>
      <c r="L1448" s="75">
        <f>K1448*'THAM_SO_MOI'!$C$50*'THAM_SO_MOI'!$C$17/'THAM_SO_MOI'!$C$26</f>
        <v>15284.962133378029</v>
      </c>
      <c r="M1448" s="75">
        <f>'THAM_SO_MOI'!$C$15*'THAM_SO_MOI'!$C$16*F1448^2</f>
        <v>102.08538423047872</v>
      </c>
      <c r="N1448" s="75">
        <f>'THAM_SO_MOI'!$C$12*I1448</f>
        <v>1130.112</v>
      </c>
      <c r="O1448" s="75">
        <f>M1448+N1448</f>
        <v>1232.1973842304787</v>
      </c>
      <c r="P1448" s="75">
        <f>(MIN(L1448,'THAM_SO_MOI'!$C$41)-O1448)/('THAM_SO_MOI'!$C$11*H1448)</f>
        <v>0.9740211665045704</v>
      </c>
      <c r="Q1448" s="75">
        <f>IF(P1448&gt;0,1/P1448,NA())</f>
        <v>1.0266717340329048</v>
      </c>
      <c r="R1448" s="75">
        <f>F1448-F1447</f>
        <v>0.0032106047296869278</v>
      </c>
      <c r="S1448" s="75">
        <f>0.5*(Q1447+Q1448)*R1448</f>
        <v>0.0032961183628815883</v>
      </c>
      <c r="T1448" s="75">
        <f>0.5*(F1447*Q1447+F1448*Q1448)*R1448</f>
        <v>0.019467206003600603</v>
      </c>
      <c r="U1448" s="76">
        <f>U1447+S1448</f>
        <v>6.171426738542662</v>
      </c>
      <c r="V1448" s="76">
        <f>V1447+T1448</f>
        <v>22.178703578386834</v>
      </c>
    </row>
    <row r="1449" spans="1:22" ht="19" customHeight="1">
      <c r="A1449" s="68" t="s">
        <v>372</v>
      </c>
      <c r="B1449" s="74">
        <v>2</v>
      </c>
      <c r="C1449" s="68" t="s">
        <v>363</v>
      </c>
      <c r="D1449" s="68" t="s">
        <v>364</v>
      </c>
      <c r="E1449" s="75">
        <f>60*F1449*'THAM_SO_MOI'!$C$50/(2*PI()*'THAM_SO_MOI'!$C$26)</f>
        <v>2370.7844354791296</v>
      </c>
      <c r="F1449" s="75">
        <f>'HANH_TRINH'!$F$826+('THAM_SO_MOI'!$F$50-'HANH_TRINH'!$F$826)*622/'THAM_SO_MOI'!$C$42</f>
        <v>5.910916255970457</v>
      </c>
      <c r="G1449" s="75">
        <f>3.6*F1449</f>
        <v>21.279298521493644</v>
      </c>
      <c r="H1449" s="75">
        <f>'THAM_SO_MOI'!$D$50</f>
        <v>1.8785906709588276</v>
      </c>
      <c r="I1449" s="75">
        <f>IF(F1449&gt;'THAM_SO_MOI'!$C$14,'THAM_SO_MOI'!$C$13*(1+F1449^2/1500),'THAM_SO_MOI'!$C$13)</f>
        <v>0.015</v>
      </c>
      <c r="J1449" s="75">
        <f>'THAM_SO_MOI'!$C$40*('THAM_SO_MOI'!$C$23*(E1449/'THAM_SO_MOI'!$C$22)+'THAM_SO_MOI'!$C$24*(E1449/'THAM_SO_MOI'!$C$22)^2-'THAM_SO_MOI'!$C$25*(E1449/'THAM_SO_MOI'!$C$22)^3)</f>
        <v>106.26555757041466</v>
      </c>
      <c r="K1449" s="75">
        <f>'THAM_SO_MOI'!$C$31*J1449/E1449</f>
        <v>428.10842655278907</v>
      </c>
      <c r="L1449" s="75">
        <f>K1449*'THAM_SO_MOI'!$C$50*'THAM_SO_MOI'!$C$17/'THAM_SO_MOI'!$C$26</f>
        <v>15284.054613430906</v>
      </c>
      <c r="M1449" s="75">
        <f>'THAM_SO_MOI'!$C$15*'THAM_SO_MOI'!$C$16*F1449^2</f>
        <v>102.19637313140522</v>
      </c>
      <c r="N1449" s="75">
        <f>'THAM_SO_MOI'!$C$12*I1449</f>
        <v>1130.112</v>
      </c>
      <c r="O1449" s="75">
        <f>M1449+N1449</f>
        <v>1232.3083731314052</v>
      </c>
      <c r="P1449" s="75">
        <f>(MIN(L1449,'THAM_SO_MOI'!$C$41)-O1449)/('THAM_SO_MOI'!$C$11*H1449)</f>
        <v>0.9739505719138274</v>
      </c>
      <c r="Q1449" s="75">
        <f>IF(P1449&gt;0,1/P1449,NA())</f>
        <v>1.0267461499971042</v>
      </c>
      <c r="R1449" s="75">
        <f>F1449-F1448</f>
        <v>0.0032106047296869278</v>
      </c>
      <c r="S1449" s="75">
        <f>0.5*(Q1448+Q1449)*R1449</f>
        <v>0.003296356585245235</v>
      </c>
      <c r="T1449" s="75">
        <f>0.5*(F1448*Q1448+F1449*Q1449)*R1449</f>
        <v>0.01947919626794928</v>
      </c>
      <c r="U1449" s="76">
        <f>U1448+S1449</f>
        <v>6.1747230951279075</v>
      </c>
      <c r="V1449" s="76">
        <f>V1448+T1449</f>
        <v>22.198182774654782</v>
      </c>
    </row>
    <row r="1450" spans="1:22" ht="19" customHeight="1">
      <c r="A1450" s="68" t="s">
        <v>372</v>
      </c>
      <c r="B1450" s="74">
        <v>2</v>
      </c>
      <c r="C1450" s="68" t="s">
        <v>363</v>
      </c>
      <c r="D1450" s="68" t="s">
        <v>364</v>
      </c>
      <c r="E1450" s="75">
        <f>60*F1450*'THAM_SO_MOI'!$C$50/(2*PI()*'THAM_SO_MOI'!$C$26)</f>
        <v>2372.0721633696967</v>
      </c>
      <c r="F1450" s="75">
        <f>'HANH_TRINH'!$F$826+('THAM_SO_MOI'!$F$50-'HANH_TRINH'!$F$826)*623/'THAM_SO_MOI'!$C$42</f>
        <v>5.914126860700144</v>
      </c>
      <c r="G1450" s="75">
        <f>3.6*F1450</f>
        <v>21.290856698520518</v>
      </c>
      <c r="H1450" s="75">
        <f>'THAM_SO_MOI'!$D$50</f>
        <v>1.8785906709588276</v>
      </c>
      <c r="I1450" s="75">
        <f>IF(F1450&gt;'THAM_SO_MOI'!$C$14,'THAM_SO_MOI'!$C$13*(1+F1450^2/1500),'THAM_SO_MOI'!$C$13)</f>
        <v>0.015</v>
      </c>
      <c r="J1450" s="75">
        <f>'THAM_SO_MOI'!$C$40*('THAM_SO_MOI'!$C$23*(E1450/'THAM_SO_MOI'!$C$22)+'THAM_SO_MOI'!$C$24*(E1450/'THAM_SO_MOI'!$C$22)^2-'THAM_SO_MOI'!$C$25*(E1450/'THAM_SO_MOI'!$C$22)^3)</f>
        <v>106.31692423432695</v>
      </c>
      <c r="K1450" s="75">
        <f>'THAM_SO_MOI'!$C$31*J1450/E1450</f>
        <v>428.0828459226099</v>
      </c>
      <c r="L1450" s="75">
        <f>K1450*'THAM_SO_MOI'!$C$50*'THAM_SO_MOI'!$C$17/'THAM_SO_MOI'!$C$26</f>
        <v>15283.141350050755</v>
      </c>
      <c r="M1450" s="75">
        <f>'THAM_SO_MOI'!$C$15*'THAM_SO_MOI'!$C$16*F1450^2</f>
        <v>102.3074223340307</v>
      </c>
      <c r="N1450" s="75">
        <f>'THAM_SO_MOI'!$C$12*I1450</f>
        <v>1130.112</v>
      </c>
      <c r="O1450" s="75">
        <f>M1450+N1450</f>
        <v>1232.4194223340307</v>
      </c>
      <c r="P1450" s="75">
        <f>(MIN(L1450,'THAM_SO_MOI'!$C$41)-O1450)/('THAM_SO_MOI'!$C$11*H1450)</f>
        <v>0.9738795750563014</v>
      </c>
      <c r="Q1450" s="75">
        <f>IF(P1450&gt;0,1/P1450,NA())</f>
        <v>1.0268210008842094</v>
      </c>
      <c r="R1450" s="75">
        <f>F1450-F1449</f>
        <v>0.0032106047296869278</v>
      </c>
      <c r="S1450" s="75">
        <f>0.5*(Q1449+Q1450)*R1450</f>
        <v>0.0032965962036746277</v>
      </c>
      <c r="T1450" s="75">
        <f>0.5*(F1449*Q1449+F1450*Q1450)*R1450</f>
        <v>0.019491196316242954</v>
      </c>
      <c r="U1450" s="76">
        <f>U1449+S1450</f>
        <v>6.178019691331582</v>
      </c>
      <c r="V1450" s="76">
        <f>V1449+T1450</f>
        <v>22.217673970971024</v>
      </c>
    </row>
    <row r="1451" spans="1:22" ht="19" customHeight="1">
      <c r="A1451" s="68" t="s">
        <v>372</v>
      </c>
      <c r="B1451" s="74">
        <v>2</v>
      </c>
      <c r="C1451" s="68" t="s">
        <v>363</v>
      </c>
      <c r="D1451" s="68" t="s">
        <v>364</v>
      </c>
      <c r="E1451" s="75">
        <f>60*F1451*'THAM_SO_MOI'!$C$50/(2*PI()*'THAM_SO_MOI'!$C$26)</f>
        <v>2373.3598912602633</v>
      </c>
      <c r="F1451" s="75">
        <f>'HANH_TRINH'!$F$826+('THAM_SO_MOI'!$F$50-'HANH_TRINH'!$F$826)*624/'THAM_SO_MOI'!$C$42</f>
        <v>5.91733746542983</v>
      </c>
      <c r="G1451" s="75">
        <f>3.6*F1451</f>
        <v>21.302414875547388</v>
      </c>
      <c r="H1451" s="75">
        <f>'THAM_SO_MOI'!$D$50</f>
        <v>1.8785906709588276</v>
      </c>
      <c r="I1451" s="75">
        <f>IF(F1451&gt;'THAM_SO_MOI'!$C$14,'THAM_SO_MOI'!$C$13*(1+F1451^2/1500),'THAM_SO_MOI'!$C$13)</f>
        <v>0.015</v>
      </c>
      <c r="J1451" s="75">
        <f>'THAM_SO_MOI'!$C$40*('THAM_SO_MOI'!$C$23*(E1451/'THAM_SO_MOI'!$C$22)+'THAM_SO_MOI'!$C$24*(E1451/'THAM_SO_MOI'!$C$22)^2-'THAM_SO_MOI'!$C$25*(E1451/'THAM_SO_MOI'!$C$22)^3)</f>
        <v>106.36824402462825</v>
      </c>
      <c r="K1451" s="75">
        <f>'THAM_SO_MOI'!$C$31*J1451/E1451</f>
        <v>428.05710441809845</v>
      </c>
      <c r="L1451" s="75">
        <f>K1451*'THAM_SO_MOI'!$C$50*'THAM_SO_MOI'!$C$17/'THAM_SO_MOI'!$C$26</f>
        <v>15282.222343237567</v>
      </c>
      <c r="M1451" s="75">
        <f>'THAM_SO_MOI'!$C$15*'THAM_SO_MOI'!$C$16*F1451^2</f>
        <v>102.4185318383551</v>
      </c>
      <c r="N1451" s="75">
        <f>'THAM_SO_MOI'!$C$12*I1451</f>
        <v>1130.112</v>
      </c>
      <c r="O1451" s="75">
        <f>M1451+N1451</f>
        <v>1232.5305318383553</v>
      </c>
      <c r="P1451" s="75">
        <f>(MIN(L1451,'THAM_SO_MOI'!$C$41)-O1451)/('THAM_SO_MOI'!$C$11*H1451)</f>
        <v>0.9738081759319916</v>
      </c>
      <c r="Q1451" s="75">
        <f>IF(P1451&gt;0,1/P1451,NA())</f>
        <v>1.0268962868821072</v>
      </c>
      <c r="R1451" s="75">
        <f>F1451-F1450</f>
        <v>0.0032106047296860396</v>
      </c>
      <c r="S1451" s="75">
        <f>0.5*(Q1450+Q1451)*R1451</f>
        <v>0.00329683721877026</v>
      </c>
      <c r="T1451" s="75">
        <f>0.5*(F1450*Q1450+F1451*Q1451)*R1451</f>
        <v>0.01950320616548064</v>
      </c>
      <c r="U1451" s="76">
        <f>U1450+S1451</f>
        <v>6.181316528550353</v>
      </c>
      <c r="V1451" s="76">
        <f>V1450+T1451</f>
        <v>22.237177177136505</v>
      </c>
    </row>
    <row r="1452" spans="1:22" ht="19" customHeight="1">
      <c r="A1452" s="68" t="s">
        <v>372</v>
      </c>
      <c r="B1452" s="74">
        <v>2</v>
      </c>
      <c r="C1452" s="68" t="s">
        <v>363</v>
      </c>
      <c r="D1452" s="68" t="s">
        <v>364</v>
      </c>
      <c r="E1452" s="75">
        <f>60*F1452*'THAM_SO_MOI'!$C$50/(2*PI()*'THAM_SO_MOI'!$C$26)</f>
        <v>2374.6476191508305</v>
      </c>
      <c r="F1452" s="75">
        <f>'HANH_TRINH'!$F$826+('THAM_SO_MOI'!$F$50-'HANH_TRINH'!$F$826)*625/'THAM_SO_MOI'!$C$42</f>
        <v>5.9205480701595175</v>
      </c>
      <c r="G1452" s="75">
        <f>3.6*F1452</f>
        <v>21.313973052574262</v>
      </c>
      <c r="H1452" s="75">
        <f>'THAM_SO_MOI'!$D$50</f>
        <v>1.8785906709588276</v>
      </c>
      <c r="I1452" s="75">
        <f>IF(F1452&gt;'THAM_SO_MOI'!$C$14,'THAM_SO_MOI'!$C$13*(1+F1452^2/1500),'THAM_SO_MOI'!$C$13)</f>
        <v>0.015</v>
      </c>
      <c r="J1452" s="75">
        <f>'THAM_SO_MOI'!$C$40*('THAM_SO_MOI'!$C$23*(E1452/'THAM_SO_MOI'!$C$22)+'THAM_SO_MOI'!$C$24*(E1452/'THAM_SO_MOI'!$C$22)^2-'THAM_SO_MOI'!$C$25*(E1452/'THAM_SO_MOI'!$C$22)^3)</f>
        <v>106.41951687624888</v>
      </c>
      <c r="K1452" s="75">
        <f>'THAM_SO_MOI'!$C$31*J1452/E1452</f>
        <v>428.0312020392546</v>
      </c>
      <c r="L1452" s="75">
        <f>K1452*'THAM_SO_MOI'!$C$50*'THAM_SO_MOI'!$C$17/'THAM_SO_MOI'!$C$26</f>
        <v>15281.29759299134</v>
      </c>
      <c r="M1452" s="75">
        <f>'THAM_SO_MOI'!$C$15*'THAM_SO_MOI'!$C$16*F1452^2</f>
        <v>102.52970164437855</v>
      </c>
      <c r="N1452" s="75">
        <f>'THAM_SO_MOI'!$C$12*I1452</f>
        <v>1130.112</v>
      </c>
      <c r="O1452" s="75">
        <f>M1452+N1452</f>
        <v>1232.6417016443786</v>
      </c>
      <c r="P1452" s="75">
        <f>(MIN(L1452,'THAM_SO_MOI'!$C$41)-O1452)/('THAM_SO_MOI'!$C$11*H1452)</f>
        <v>0.9737363745408982</v>
      </c>
      <c r="Q1452" s="75">
        <f>IF(P1452&gt;0,1/P1452,NA())</f>
        <v>1.0269720081798164</v>
      </c>
      <c r="R1452" s="75">
        <f>F1452-F1451</f>
        <v>0.003210604729687816</v>
      </c>
      <c r="S1452" s="75">
        <f>0.5*(Q1451+Q1452)*R1452</f>
        <v>0.0032970796311408315</v>
      </c>
      <c r="T1452" s="75">
        <f>0.5*(F1451*Q1451+F1452*Q1452)*R1452</f>
        <v>0.01951522583271761</v>
      </c>
      <c r="U1452" s="76">
        <f>U1451+S1452</f>
        <v>6.184613608181493</v>
      </c>
      <c r="V1452" s="76">
        <f>V1451+T1452</f>
        <v>22.25669240296922</v>
      </c>
    </row>
    <row r="1453" spans="1:22" ht="19" customHeight="1">
      <c r="A1453" s="68" t="s">
        <v>372</v>
      </c>
      <c r="B1453" s="74">
        <v>2</v>
      </c>
      <c r="C1453" s="68" t="s">
        <v>363</v>
      </c>
      <c r="D1453" s="68" t="s">
        <v>364</v>
      </c>
      <c r="E1453" s="75">
        <f>60*F1453*'THAM_SO_MOI'!$C$50/(2*PI()*'THAM_SO_MOI'!$C$26)</f>
        <v>2375.935347041397</v>
      </c>
      <c r="F1453" s="75">
        <f>'HANH_TRINH'!$F$826+('THAM_SO_MOI'!$F$50-'HANH_TRINH'!$F$826)*626/'THAM_SO_MOI'!$C$42</f>
        <v>5.9237586748892035</v>
      </c>
      <c r="G1453" s="75">
        <f>3.6*F1453</f>
        <v>21.325531229601133</v>
      </c>
      <c r="H1453" s="75">
        <f>'THAM_SO_MOI'!$D$50</f>
        <v>1.8785906709588276</v>
      </c>
      <c r="I1453" s="75">
        <f>IF(F1453&gt;'THAM_SO_MOI'!$C$14,'THAM_SO_MOI'!$C$13*(1+F1453^2/1500),'THAM_SO_MOI'!$C$13)</f>
        <v>0.015</v>
      </c>
      <c r="J1453" s="75">
        <f>'THAM_SO_MOI'!$C$40*('THAM_SO_MOI'!$C$23*(E1453/'THAM_SO_MOI'!$C$22)+'THAM_SO_MOI'!$C$24*(E1453/'THAM_SO_MOI'!$C$22)^2-'THAM_SO_MOI'!$C$25*(E1453/'THAM_SO_MOI'!$C$22)^3)</f>
        <v>106.47074272411919</v>
      </c>
      <c r="K1453" s="75">
        <f>'THAM_SO_MOI'!$C$31*J1453/E1453</f>
        <v>428.0051387860788</v>
      </c>
      <c r="L1453" s="75">
        <f>K1453*'THAM_SO_MOI'!$C$50*'THAM_SO_MOI'!$C$17/'THAM_SO_MOI'!$C$26</f>
        <v>15280.367099312087</v>
      </c>
      <c r="M1453" s="75">
        <f>'THAM_SO_MOI'!$C$15*'THAM_SO_MOI'!$C$16*F1453^2</f>
        <v>102.64093175210091</v>
      </c>
      <c r="N1453" s="75">
        <f>'THAM_SO_MOI'!$C$12*I1453</f>
        <v>1130.112</v>
      </c>
      <c r="O1453" s="75">
        <f>M1453+N1453</f>
        <v>1232.752931752101</v>
      </c>
      <c r="P1453" s="75">
        <f>(MIN(L1453,'THAM_SO_MOI'!$C$41)-O1453)/('THAM_SO_MOI'!$C$11*H1453)</f>
        <v>0.9736641708830219</v>
      </c>
      <c r="Q1453" s="75">
        <f>IF(P1453&gt;0,1/P1453,NA())</f>
        <v>1.0270481649674896</v>
      </c>
      <c r="R1453" s="75">
        <f>F1453-F1452</f>
        <v>0.0032106047296860396</v>
      </c>
      <c r="S1453" s="75">
        <f>0.5*(Q1452+Q1453)*R1453</f>
        <v>0.003297323441388639</v>
      </c>
      <c r="T1453" s="75">
        <f>0.5*(F1452*Q1452+F1453*Q1453)*R1453</f>
        <v>0.019527255334979076</v>
      </c>
      <c r="U1453" s="76">
        <f>U1452+S1453</f>
        <v>6.1879109316228815</v>
      </c>
      <c r="V1453" s="76">
        <f>V1452+T1453</f>
        <v>22.2762196583042</v>
      </c>
    </row>
    <row r="1454" spans="1:22" ht="19" customHeight="1">
      <c r="A1454" s="68" t="s">
        <v>372</v>
      </c>
      <c r="B1454" s="74">
        <v>2</v>
      </c>
      <c r="C1454" s="68" t="s">
        <v>363</v>
      </c>
      <c r="D1454" s="68" t="s">
        <v>364</v>
      </c>
      <c r="E1454" s="75">
        <f>60*F1454*'THAM_SO_MOI'!$C$50/(2*PI()*'THAM_SO_MOI'!$C$26)</f>
        <v>2377.2230749319638</v>
      </c>
      <c r="F1454" s="75">
        <f>'HANH_TRINH'!$F$826+('THAM_SO_MOI'!$F$50-'HANH_TRINH'!$F$826)*627/'THAM_SO_MOI'!$C$42</f>
        <v>5.926969279618891</v>
      </c>
      <c r="G1454" s="75">
        <f>3.6*F1454</f>
        <v>21.33708940662801</v>
      </c>
      <c r="H1454" s="75">
        <f>'THAM_SO_MOI'!$D$50</f>
        <v>1.8785906709588276</v>
      </c>
      <c r="I1454" s="75">
        <f>IF(F1454&gt;'THAM_SO_MOI'!$C$14,'THAM_SO_MOI'!$C$13*(1+F1454^2/1500),'THAM_SO_MOI'!$C$13)</f>
        <v>0.015</v>
      </c>
      <c r="J1454" s="75">
        <f>'THAM_SO_MOI'!$C$40*('THAM_SO_MOI'!$C$23*(E1454/'THAM_SO_MOI'!$C$22)+'THAM_SO_MOI'!$C$24*(E1454/'THAM_SO_MOI'!$C$22)^2-'THAM_SO_MOI'!$C$25*(E1454/'THAM_SO_MOI'!$C$22)^3)</f>
        <v>106.5219215031694</v>
      </c>
      <c r="K1454" s="75">
        <f>'THAM_SO_MOI'!$C$31*J1454/E1454</f>
        <v>427.97891465857055</v>
      </c>
      <c r="L1454" s="75">
        <f>K1454*'THAM_SO_MOI'!$C$50*'THAM_SO_MOI'!$C$17/'THAM_SO_MOI'!$C$26</f>
        <v>15279.430862199788</v>
      </c>
      <c r="M1454" s="75">
        <f>'THAM_SO_MOI'!$C$15*'THAM_SO_MOI'!$C$16*F1454^2</f>
        <v>102.7522221615223</v>
      </c>
      <c r="N1454" s="75">
        <f>'THAM_SO_MOI'!$C$12*I1454</f>
        <v>1130.112</v>
      </c>
      <c r="O1454" s="75">
        <f>M1454+N1454</f>
        <v>1232.8642221615223</v>
      </c>
      <c r="P1454" s="75">
        <f>(MIN(L1454,'THAM_SO_MOI'!$C$41)-O1454)/('THAM_SO_MOI'!$C$11*H1454)</f>
        <v>0.9735915649583611</v>
      </c>
      <c r="Q1454" s="75">
        <f>IF(P1454&gt;0,1/P1454,NA())</f>
        <v>1.0271247574364188</v>
      </c>
      <c r="R1454" s="75">
        <f>F1454-F1453</f>
        <v>0.003210604729687816</v>
      </c>
      <c r="S1454" s="75">
        <f>0.5*(Q1453+Q1454)*R1454</f>
        <v>0.0032975686501333155</v>
      </c>
      <c r="T1454" s="75">
        <f>0.5*(F1453*Q1453+F1454*Q1454)*R1454</f>
        <v>0.019539294689400667</v>
      </c>
      <c r="U1454" s="76">
        <f>U1453+S1454</f>
        <v>6.191208500273015</v>
      </c>
      <c r="V1454" s="76">
        <f>V1453+T1454</f>
        <v>22.2957589529936</v>
      </c>
    </row>
    <row r="1455" spans="1:22" ht="19" customHeight="1">
      <c r="A1455" s="68" t="s">
        <v>372</v>
      </c>
      <c r="B1455" s="74">
        <v>2</v>
      </c>
      <c r="C1455" s="68" t="s">
        <v>363</v>
      </c>
      <c r="D1455" s="68" t="s">
        <v>364</v>
      </c>
      <c r="E1455" s="75">
        <f>60*F1455*'THAM_SO_MOI'!$C$50/(2*PI()*'THAM_SO_MOI'!$C$26)</f>
        <v>2378.5108028225304</v>
      </c>
      <c r="F1455" s="75">
        <f>'HANH_TRINH'!$F$826+('THAM_SO_MOI'!$F$50-'HANH_TRINH'!$F$826)*628/'THAM_SO_MOI'!$C$42</f>
        <v>5.930179884348577</v>
      </c>
      <c r="G1455" s="75">
        <f>3.6*F1455</f>
        <v>21.34864758365488</v>
      </c>
      <c r="H1455" s="75">
        <f>'THAM_SO_MOI'!$D$50</f>
        <v>1.8785906709588276</v>
      </c>
      <c r="I1455" s="75">
        <f>IF(F1455&gt;'THAM_SO_MOI'!$C$14,'THAM_SO_MOI'!$C$13*(1+F1455^2/1500),'THAM_SO_MOI'!$C$13)</f>
        <v>0.015</v>
      </c>
      <c r="J1455" s="75">
        <f>'THAM_SO_MOI'!$C$40*('THAM_SO_MOI'!$C$23*(E1455/'THAM_SO_MOI'!$C$22)+'THAM_SO_MOI'!$C$24*(E1455/'THAM_SO_MOI'!$C$22)^2-'THAM_SO_MOI'!$C$25*(E1455/'THAM_SO_MOI'!$C$22)^3)</f>
        <v>106.57305314832988</v>
      </c>
      <c r="K1455" s="75">
        <f>'THAM_SO_MOI'!$C$31*J1455/E1455</f>
        <v>427.9525296567302</v>
      </c>
      <c r="L1455" s="75">
        <f>K1455*'THAM_SO_MOI'!$C$50*'THAM_SO_MOI'!$C$17/'THAM_SO_MOI'!$C$26</f>
        <v>15278.48888165446</v>
      </c>
      <c r="M1455" s="75">
        <f>'THAM_SO_MOI'!$C$15*'THAM_SO_MOI'!$C$16*F1455^2</f>
        <v>102.86357287264259</v>
      </c>
      <c r="N1455" s="75">
        <f>'THAM_SO_MOI'!$C$12*I1455</f>
        <v>1130.112</v>
      </c>
      <c r="O1455" s="75">
        <f>M1455+N1455</f>
        <v>1232.9755728726427</v>
      </c>
      <c r="P1455" s="75">
        <f>(MIN(L1455,'THAM_SO_MOI'!$C$41)-O1455)/('THAM_SO_MOI'!$C$11*H1455)</f>
        <v>0.9735185567669172</v>
      </c>
      <c r="Q1455" s="75">
        <f>IF(P1455&gt;0,1/P1455,NA())</f>
        <v>1.0272017857790285</v>
      </c>
      <c r="R1455" s="75">
        <f>F1455-F1454</f>
        <v>0.0032106047296860396</v>
      </c>
      <c r="S1455" s="75">
        <f>0.5*(Q1454+Q1455)*R1455</f>
        <v>0.0032978152579835438</v>
      </c>
      <c r="T1455" s="75">
        <f>0.5*(F1454*Q1454+F1455*Q1455)*R1455</f>
        <v>0.019551343913061077</v>
      </c>
      <c r="U1455" s="76">
        <f>U1454+S1455</f>
        <v>6.194506315530998</v>
      </c>
      <c r="V1455" s="76">
        <f>V1454+T1455</f>
        <v>22.315310296906663</v>
      </c>
    </row>
    <row r="1456" spans="1:22" ht="19" customHeight="1">
      <c r="A1456" s="68" t="s">
        <v>372</v>
      </c>
      <c r="B1456" s="74">
        <v>2</v>
      </c>
      <c r="C1456" s="68" t="s">
        <v>363</v>
      </c>
      <c r="D1456" s="68" t="s">
        <v>364</v>
      </c>
      <c r="E1456" s="75">
        <f>60*F1456*'THAM_SO_MOI'!$C$50/(2*PI()*'THAM_SO_MOI'!$C$26)</f>
        <v>2379.7985307130966</v>
      </c>
      <c r="F1456" s="75">
        <f>'HANH_TRINH'!$F$826+('THAM_SO_MOI'!$F$50-'HANH_TRINH'!$F$826)*629/'THAM_SO_MOI'!$C$42</f>
        <v>5.933390489078263</v>
      </c>
      <c r="G1456" s="75">
        <f>3.6*F1456</f>
        <v>21.360205760681747</v>
      </c>
      <c r="H1456" s="75">
        <f>'THAM_SO_MOI'!$D$50</f>
        <v>1.8785906709588276</v>
      </c>
      <c r="I1456" s="75">
        <f>IF(F1456&gt;'THAM_SO_MOI'!$C$14,'THAM_SO_MOI'!$C$13*(1+F1456^2/1500),'THAM_SO_MOI'!$C$13)</f>
        <v>0.015</v>
      </c>
      <c r="J1456" s="75">
        <f>'THAM_SO_MOI'!$C$40*('THAM_SO_MOI'!$C$23*(E1456/'THAM_SO_MOI'!$C$22)+'THAM_SO_MOI'!$C$24*(E1456/'THAM_SO_MOI'!$C$22)^2-'THAM_SO_MOI'!$C$25*(E1456/'THAM_SO_MOI'!$C$22)^3)</f>
        <v>106.62413759453086</v>
      </c>
      <c r="K1456" s="75">
        <f>'THAM_SO_MOI'!$C$31*J1456/E1456</f>
        <v>427.9259837805575</v>
      </c>
      <c r="L1456" s="75">
        <f>K1456*'THAM_SO_MOI'!$C$50*'THAM_SO_MOI'!$C$17/'THAM_SO_MOI'!$C$26</f>
        <v>15277.541157676094</v>
      </c>
      <c r="M1456" s="75">
        <f>'THAM_SO_MOI'!$C$15*'THAM_SO_MOI'!$C$16*F1456^2</f>
        <v>102.97498388546187</v>
      </c>
      <c r="N1456" s="75">
        <f>'THAM_SO_MOI'!$C$12*I1456</f>
        <v>1130.112</v>
      </c>
      <c r="O1456" s="75">
        <f>M1456+N1456</f>
        <v>1233.086983885462</v>
      </c>
      <c r="P1456" s="75">
        <f>(MIN(L1456,'THAM_SO_MOI'!$C$41)-O1456)/('THAM_SO_MOI'!$C$11*H1456)</f>
        <v>0.9734451463086896</v>
      </c>
      <c r="Q1456" s="75">
        <f>IF(P1456&gt;0,1/P1456,NA())</f>
        <v>1.0272792501888848</v>
      </c>
      <c r="R1456" s="75">
        <f>F1456-F1455</f>
        <v>0.0032106047296860396</v>
      </c>
      <c r="S1456" s="75">
        <f>0.5*(Q1455+Q1456)*R1456</f>
        <v>0.003298063265564428</v>
      </c>
      <c r="T1456" s="75">
        <f>0.5*(F1455*Q1455+F1456*Q1456)*R1456</f>
        <v>0.019563403023144216</v>
      </c>
      <c r="U1456" s="76">
        <f>U1455+S1456</f>
        <v>6.197804378796563</v>
      </c>
      <c r="V1456" s="76">
        <f>V1455+T1456</f>
        <v>22.33487369992981</v>
      </c>
    </row>
    <row r="1457" spans="1:22" ht="19" customHeight="1">
      <c r="A1457" s="68" t="s">
        <v>372</v>
      </c>
      <c r="B1457" s="74">
        <v>2</v>
      </c>
      <c r="C1457" s="68" t="s">
        <v>363</v>
      </c>
      <c r="D1457" s="68" t="s">
        <v>364</v>
      </c>
      <c r="E1457" s="75">
        <f>60*F1457*'THAM_SO_MOI'!$C$50/(2*PI()*'THAM_SO_MOI'!$C$26)</f>
        <v>2381.0862586036637</v>
      </c>
      <c r="F1457" s="75">
        <f>'HANH_TRINH'!$F$826+('THAM_SO_MOI'!$F$50-'HANH_TRINH'!$F$826)*630/'THAM_SO_MOI'!$C$42</f>
        <v>5.936601093807951</v>
      </c>
      <c r="G1457" s="75">
        <f>3.6*F1457</f>
        <v>21.371763937708625</v>
      </c>
      <c r="H1457" s="75">
        <f>'THAM_SO_MOI'!$D$50</f>
        <v>1.8785906709588276</v>
      </c>
      <c r="I1457" s="75">
        <f>IF(F1457&gt;'THAM_SO_MOI'!$C$14,'THAM_SO_MOI'!$C$13*(1+F1457^2/1500),'THAM_SO_MOI'!$C$13)</f>
        <v>0.015</v>
      </c>
      <c r="J1457" s="75">
        <f>'THAM_SO_MOI'!$C$40*('THAM_SO_MOI'!$C$23*(E1457/'THAM_SO_MOI'!$C$22)+'THAM_SO_MOI'!$C$24*(E1457/'THAM_SO_MOI'!$C$22)^2-'THAM_SO_MOI'!$C$25*(E1457/'THAM_SO_MOI'!$C$22)^3)</f>
        <v>106.67517477670269</v>
      </c>
      <c r="K1457" s="75">
        <f>'THAM_SO_MOI'!$C$31*J1457/E1457</f>
        <v>427.8992770300524</v>
      </c>
      <c r="L1457" s="75">
        <f>K1457*'THAM_SO_MOI'!$C$50*'THAM_SO_MOI'!$C$17/'THAM_SO_MOI'!$C$26</f>
        <v>15276.587690264687</v>
      </c>
      <c r="M1457" s="75">
        <f>'THAM_SO_MOI'!$C$15*'THAM_SO_MOI'!$C$16*F1457^2</f>
        <v>103.08645519998016</v>
      </c>
      <c r="N1457" s="75">
        <f>'THAM_SO_MOI'!$C$12*I1457</f>
        <v>1130.112</v>
      </c>
      <c r="O1457" s="75">
        <f>M1457+N1457</f>
        <v>1233.1984551999803</v>
      </c>
      <c r="P1457" s="75">
        <f>(MIN(L1457,'THAM_SO_MOI'!$C$41)-O1457)/('THAM_SO_MOI'!$C$11*H1457)</f>
        <v>0.973371333583678</v>
      </c>
      <c r="Q1457" s="75">
        <f>IF(P1457&gt;0,1/P1457,NA())</f>
        <v>1.0273571508606925</v>
      </c>
      <c r="R1457" s="75">
        <f>F1457-F1456</f>
        <v>0.003210604729687816</v>
      </c>
      <c r="S1457" s="75">
        <f>0.5*(Q1456+Q1457)*R1457</f>
        <v>0.0032983126734992623</v>
      </c>
      <c r="T1457" s="75">
        <f>0.5*(F1456*Q1456+F1457*Q1457)*R1457</f>
        <v>0.019575472036831285</v>
      </c>
      <c r="U1457" s="76">
        <f>U1456+S1457</f>
        <v>6.201102691470062</v>
      </c>
      <c r="V1457" s="76">
        <f>V1456+T1457</f>
        <v>22.35444917196664</v>
      </c>
    </row>
    <row r="1458" spans="1:22" ht="19" customHeight="1">
      <c r="A1458" s="68" t="s">
        <v>372</v>
      </c>
      <c r="B1458" s="74">
        <v>2</v>
      </c>
      <c r="C1458" s="68" t="s">
        <v>363</v>
      </c>
      <c r="D1458" s="68" t="s">
        <v>364</v>
      </c>
      <c r="E1458" s="75">
        <f>60*F1458*'THAM_SO_MOI'!$C$50/(2*PI()*'THAM_SO_MOI'!$C$26)</f>
        <v>2382.37398649423</v>
      </c>
      <c r="F1458" s="75">
        <f>'HANH_TRINH'!$F$826+('THAM_SO_MOI'!$F$50-'HANH_TRINH'!$F$826)*631/'THAM_SO_MOI'!$C$42</f>
        <v>5.939811698537637</v>
      </c>
      <c r="G1458" s="75">
        <f>3.6*F1458</f>
        <v>21.383322114735495</v>
      </c>
      <c r="H1458" s="75">
        <f>'THAM_SO_MOI'!$D$50</f>
        <v>1.8785906709588276</v>
      </c>
      <c r="I1458" s="75">
        <f>IF(F1458&gt;'THAM_SO_MOI'!$C$14,'THAM_SO_MOI'!$C$13*(1+F1458^2/1500),'THAM_SO_MOI'!$C$13)</f>
        <v>0.015</v>
      </c>
      <c r="J1458" s="75">
        <f>'THAM_SO_MOI'!$C$40*('THAM_SO_MOI'!$C$23*(E1458/'THAM_SO_MOI'!$C$22)+'THAM_SO_MOI'!$C$24*(E1458/'THAM_SO_MOI'!$C$22)^2-'THAM_SO_MOI'!$C$25*(E1458/'THAM_SO_MOI'!$C$22)^3)</f>
        <v>106.72616462977568</v>
      </c>
      <c r="K1458" s="75">
        <f>'THAM_SO_MOI'!$C$31*J1458/E1458</f>
        <v>427.8724094052153</v>
      </c>
      <c r="L1458" s="75">
        <f>K1458*'THAM_SO_MOI'!$C$50*'THAM_SO_MOI'!$C$17/'THAM_SO_MOI'!$C$26</f>
        <v>15275.628479420251</v>
      </c>
      <c r="M1458" s="75">
        <f>'THAM_SO_MOI'!$C$15*'THAM_SO_MOI'!$C$16*F1458^2</f>
        <v>103.19798681619739</v>
      </c>
      <c r="N1458" s="75">
        <f>'THAM_SO_MOI'!$C$12*I1458</f>
        <v>1130.112</v>
      </c>
      <c r="O1458" s="75">
        <f>M1458+N1458</f>
        <v>1233.3099868161976</v>
      </c>
      <c r="P1458" s="75">
        <f>(MIN(L1458,'THAM_SO_MOI'!$C$41)-O1458)/('THAM_SO_MOI'!$C$11*H1458)</f>
        <v>0.9732971185918832</v>
      </c>
      <c r="Q1458" s="75">
        <f>IF(P1458&gt;0,1/P1458,NA())</f>
        <v>1.0274354879902956</v>
      </c>
      <c r="R1458" s="75">
        <f>F1458-F1457</f>
        <v>0.0032106047296860396</v>
      </c>
      <c r="S1458" s="75">
        <f>0.5*(Q1457+Q1458)*R1458</f>
        <v>0.0032985634824095203</v>
      </c>
      <c r="T1458" s="75">
        <f>0.5*(F1457*Q1457+F1458*Q1458)*R1458</f>
        <v>0.019587550971300667</v>
      </c>
      <c r="U1458" s="76">
        <f>U1457+S1458</f>
        <v>6.204401254952471</v>
      </c>
      <c r="V1458" s="76">
        <f>V1457+T1458</f>
        <v>22.37403672293794</v>
      </c>
    </row>
    <row r="1459" spans="1:22" ht="19" customHeight="1">
      <c r="A1459" s="68" t="s">
        <v>372</v>
      </c>
      <c r="B1459" s="74">
        <v>2</v>
      </c>
      <c r="C1459" s="68" t="s">
        <v>363</v>
      </c>
      <c r="D1459" s="68" t="s">
        <v>364</v>
      </c>
      <c r="E1459" s="75">
        <f>60*F1459*'THAM_SO_MOI'!$C$50/(2*PI()*'THAM_SO_MOI'!$C$26)</f>
        <v>2383.661714384797</v>
      </c>
      <c r="F1459" s="75">
        <f>'HANH_TRINH'!$F$826+('THAM_SO_MOI'!$F$50-'HANH_TRINH'!$F$826)*632/'THAM_SO_MOI'!$C$42</f>
        <v>5.943022303267325</v>
      </c>
      <c r="G1459" s="75">
        <f>3.6*F1459</f>
        <v>21.39488029176237</v>
      </c>
      <c r="H1459" s="75">
        <f>'THAM_SO_MOI'!$D$50</f>
        <v>1.8785906709588276</v>
      </c>
      <c r="I1459" s="75">
        <f>IF(F1459&gt;'THAM_SO_MOI'!$C$14,'THAM_SO_MOI'!$C$13*(1+F1459^2/1500),'THAM_SO_MOI'!$C$13)</f>
        <v>0.015</v>
      </c>
      <c r="J1459" s="75">
        <f>'THAM_SO_MOI'!$C$40*('THAM_SO_MOI'!$C$23*(E1459/'THAM_SO_MOI'!$C$22)+'THAM_SO_MOI'!$C$24*(E1459/'THAM_SO_MOI'!$C$22)^2-'THAM_SO_MOI'!$C$25*(E1459/'THAM_SO_MOI'!$C$22)^3)</f>
        <v>106.77710708868014</v>
      </c>
      <c r="K1459" s="75">
        <f>'THAM_SO_MOI'!$C$31*J1459/E1459</f>
        <v>427.8453809060459</v>
      </c>
      <c r="L1459" s="75">
        <f>K1459*'THAM_SO_MOI'!$C$50*'THAM_SO_MOI'!$C$17/'THAM_SO_MOI'!$C$26</f>
        <v>15274.66352514278</v>
      </c>
      <c r="M1459" s="75">
        <f>'THAM_SO_MOI'!$C$15*'THAM_SO_MOI'!$C$16*F1459^2</f>
        <v>103.30957873411363</v>
      </c>
      <c r="N1459" s="75">
        <f>'THAM_SO_MOI'!$C$12*I1459</f>
        <v>1130.112</v>
      </c>
      <c r="O1459" s="75">
        <f>M1459+N1459</f>
        <v>1233.4215787341136</v>
      </c>
      <c r="P1459" s="75">
        <f>(MIN(L1459,'THAM_SO_MOI'!$C$41)-O1459)/('THAM_SO_MOI'!$C$11*H1459)</f>
        <v>0.973222501333305</v>
      </c>
      <c r="Q1459" s="75">
        <f>IF(P1459&gt;0,1/P1459,NA())</f>
        <v>1.0275142617746815</v>
      </c>
      <c r="R1459" s="75">
        <f>F1459-F1458</f>
        <v>0.003210604729687816</v>
      </c>
      <c r="S1459" s="75">
        <f>0.5*(Q1458+Q1459)*R1459</f>
        <v>0.003298815692933114</v>
      </c>
      <c r="T1459" s="75">
        <f>0.5*(F1458*Q1458+F1459*Q1459)*R1459</f>
        <v>0.01959963984383641</v>
      </c>
      <c r="U1459" s="76">
        <f>U1458+S1459</f>
        <v>6.207700070645404</v>
      </c>
      <c r="V1459" s="76">
        <f>V1458+T1459</f>
        <v>22.393636362781777</v>
      </c>
    </row>
    <row r="1460" spans="1:22" ht="19" customHeight="1">
      <c r="A1460" s="68" t="s">
        <v>372</v>
      </c>
      <c r="B1460" s="74">
        <v>2</v>
      </c>
      <c r="C1460" s="68" t="s">
        <v>363</v>
      </c>
      <c r="D1460" s="68" t="s">
        <v>364</v>
      </c>
      <c r="E1460" s="75">
        <f>60*F1460*'THAM_SO_MOI'!$C$50/(2*PI()*'THAM_SO_MOI'!$C$26)</f>
        <v>2384.9494422753633</v>
      </c>
      <c r="F1460" s="75">
        <f>'HANH_TRINH'!$F$826+('THAM_SO_MOI'!$F$50-'HANH_TRINH'!$F$826)*633/'THAM_SO_MOI'!$C$42</f>
        <v>5.946232907997011</v>
      </c>
      <c r="G1460" s="75">
        <f>3.6*F1460</f>
        <v>21.40643846878924</v>
      </c>
      <c r="H1460" s="75">
        <f>'THAM_SO_MOI'!$D$50</f>
        <v>1.8785906709588276</v>
      </c>
      <c r="I1460" s="75">
        <f>IF(F1460&gt;'THAM_SO_MOI'!$C$14,'THAM_SO_MOI'!$C$13*(1+F1460^2/1500),'THAM_SO_MOI'!$C$13)</f>
        <v>0.015</v>
      </c>
      <c r="J1460" s="75">
        <f>'THAM_SO_MOI'!$C$40*('THAM_SO_MOI'!$C$23*(E1460/'THAM_SO_MOI'!$C$22)+'THAM_SO_MOI'!$C$24*(E1460/'THAM_SO_MOI'!$C$22)^2-'THAM_SO_MOI'!$C$25*(E1460/'THAM_SO_MOI'!$C$22)^3)</f>
        <v>106.82800208834632</v>
      </c>
      <c r="K1460" s="75">
        <f>'THAM_SO_MOI'!$C$31*J1460/E1460</f>
        <v>427.81819153254423</v>
      </c>
      <c r="L1460" s="75">
        <f>K1460*'THAM_SO_MOI'!$C$50*'THAM_SO_MOI'!$C$17/'THAM_SO_MOI'!$C$26</f>
        <v>15273.692827432269</v>
      </c>
      <c r="M1460" s="75">
        <f>'THAM_SO_MOI'!$C$15*'THAM_SO_MOI'!$C$16*F1460^2</f>
        <v>103.4212309537288</v>
      </c>
      <c r="N1460" s="75">
        <f>'THAM_SO_MOI'!$C$12*I1460</f>
        <v>1130.112</v>
      </c>
      <c r="O1460" s="75">
        <f>M1460+N1460</f>
        <v>1233.533230953729</v>
      </c>
      <c r="P1460" s="75">
        <f>(MIN(L1460,'THAM_SO_MOI'!$C$41)-O1460)/('THAM_SO_MOI'!$C$11*H1460)</f>
        <v>0.9731474818079429</v>
      </c>
      <c r="Q1460" s="75">
        <f>IF(P1460&gt;0,1/P1460,NA())</f>
        <v>1.027593472411982</v>
      </c>
      <c r="R1460" s="75">
        <f>F1460-F1459</f>
        <v>0.0032106047296860396</v>
      </c>
      <c r="S1460" s="75">
        <f>0.5*(Q1459+Q1460)*R1460</f>
        <v>0.003299069305697031</v>
      </c>
      <c r="T1460" s="75">
        <f>0.5*(F1459*Q1459+F1460*Q1460)*R1460</f>
        <v>0.019611738671665793</v>
      </c>
      <c r="U1460" s="76">
        <f>U1459+S1460</f>
        <v>6.2109991399511015</v>
      </c>
      <c r="V1460" s="76">
        <f>V1459+T1460</f>
        <v>22.413248101453444</v>
      </c>
    </row>
    <row r="1461" spans="1:22" ht="19" customHeight="1">
      <c r="A1461" s="68" t="s">
        <v>372</v>
      </c>
      <c r="B1461" s="74">
        <v>2</v>
      </c>
      <c r="C1461" s="68" t="s">
        <v>363</v>
      </c>
      <c r="D1461" s="68" t="s">
        <v>364</v>
      </c>
      <c r="E1461" s="75">
        <f>60*F1461*'THAM_SO_MOI'!$C$50/(2*PI()*'THAM_SO_MOI'!$C$26)</f>
        <v>2386.2371701659304</v>
      </c>
      <c r="F1461" s="75">
        <f>'HANH_TRINH'!$F$826+('THAM_SO_MOI'!$F$50-'HANH_TRINH'!$F$826)*634/'THAM_SO_MOI'!$C$42</f>
        <v>5.949443512726699</v>
      </c>
      <c r="G1461" s="75">
        <f>3.6*F1461</f>
        <v>21.417996645816118</v>
      </c>
      <c r="H1461" s="75">
        <f>'THAM_SO_MOI'!$D$50</f>
        <v>1.8785906709588276</v>
      </c>
      <c r="I1461" s="75">
        <f>IF(F1461&gt;'THAM_SO_MOI'!$C$14,'THAM_SO_MOI'!$C$13*(1+F1461^2/1500),'THAM_SO_MOI'!$C$13)</f>
        <v>0.015</v>
      </c>
      <c r="J1461" s="75">
        <f>'THAM_SO_MOI'!$C$40*('THAM_SO_MOI'!$C$23*(E1461/'THAM_SO_MOI'!$C$22)+'THAM_SO_MOI'!$C$24*(E1461/'THAM_SO_MOI'!$C$22)^2-'THAM_SO_MOI'!$C$25*(E1461/'THAM_SO_MOI'!$C$22)^3)</f>
        <v>106.87884956370455</v>
      </c>
      <c r="K1461" s="75">
        <f>'THAM_SO_MOI'!$C$31*J1461/E1461</f>
        <v>427.7908412847102</v>
      </c>
      <c r="L1461" s="75">
        <f>K1461*'THAM_SO_MOI'!$C$50*'THAM_SO_MOI'!$C$17/'THAM_SO_MOI'!$C$26</f>
        <v>15272.716386288721</v>
      </c>
      <c r="M1461" s="75">
        <f>'THAM_SO_MOI'!$C$15*'THAM_SO_MOI'!$C$16*F1461^2</f>
        <v>103.53294347504298</v>
      </c>
      <c r="N1461" s="75">
        <f>'THAM_SO_MOI'!$C$12*I1461</f>
        <v>1130.112</v>
      </c>
      <c r="O1461" s="75">
        <f>M1461+N1461</f>
        <v>1233.644943475043</v>
      </c>
      <c r="P1461" s="75">
        <f>(MIN(L1461,'THAM_SO_MOI'!$C$41)-O1461)/('THAM_SO_MOI'!$C$11*H1461)</f>
        <v>0.9730720600157968</v>
      </c>
      <c r="Q1461" s="75">
        <f>IF(P1461&gt;0,1/P1461,NA())</f>
        <v>1.0276731201014713</v>
      </c>
      <c r="R1461" s="75">
        <f>F1461-F1460</f>
        <v>0.003210604729687816</v>
      </c>
      <c r="S1461" s="75">
        <f>0.5*(Q1460+Q1461)*R1461</f>
        <v>0.003299324321346527</v>
      </c>
      <c r="T1461" s="75">
        <f>0.5*(F1460*Q1460+F1461*Q1461)*R1461</f>
        <v>0.019623847472132822</v>
      </c>
      <c r="U1461" s="76">
        <f>U1460+S1461</f>
        <v>6.214298464272448</v>
      </c>
      <c r="V1461" s="76">
        <f>V1460+T1461</f>
        <v>22.432871948925577</v>
      </c>
    </row>
    <row r="1462" spans="1:22" ht="19" customHeight="1">
      <c r="A1462" s="68" t="s">
        <v>372</v>
      </c>
      <c r="B1462" s="74">
        <v>2</v>
      </c>
      <c r="C1462" s="68" t="s">
        <v>363</v>
      </c>
      <c r="D1462" s="68" t="s">
        <v>364</v>
      </c>
      <c r="E1462" s="75">
        <f>60*F1462*'THAM_SO_MOI'!$C$50/(2*PI()*'THAM_SO_MOI'!$C$26)</f>
        <v>2387.5248980564966</v>
      </c>
      <c r="F1462" s="75">
        <f>'HANH_TRINH'!$F$826+('THAM_SO_MOI'!$F$50-'HANH_TRINH'!$F$826)*635/'THAM_SO_MOI'!$C$42</f>
        <v>5.952654117456385</v>
      </c>
      <c r="G1462" s="75">
        <f>3.6*F1462</f>
        <v>21.429554822842988</v>
      </c>
      <c r="H1462" s="75">
        <f>'THAM_SO_MOI'!$D$50</f>
        <v>1.8785906709588276</v>
      </c>
      <c r="I1462" s="75">
        <f>IF(F1462&gt;'THAM_SO_MOI'!$C$14,'THAM_SO_MOI'!$C$13*(1+F1462^2/1500),'THAM_SO_MOI'!$C$13)</f>
        <v>0.015</v>
      </c>
      <c r="J1462" s="75">
        <f>'THAM_SO_MOI'!$C$40*('THAM_SO_MOI'!$C$23*(E1462/'THAM_SO_MOI'!$C$22)+'THAM_SO_MOI'!$C$24*(E1462/'THAM_SO_MOI'!$C$22)^2-'THAM_SO_MOI'!$C$25*(E1462/'THAM_SO_MOI'!$C$22)^3)</f>
        <v>106.92964944968512</v>
      </c>
      <c r="K1462" s="75">
        <f>'THAM_SO_MOI'!$C$31*J1462/E1462</f>
        <v>427.76333016254404</v>
      </c>
      <c r="L1462" s="75">
        <f>K1462*'THAM_SO_MOI'!$C$50*'THAM_SO_MOI'!$C$17/'THAM_SO_MOI'!$C$26</f>
        <v>15271.73420171214</v>
      </c>
      <c r="M1462" s="75">
        <f>'THAM_SO_MOI'!$C$15*'THAM_SO_MOI'!$C$16*F1462^2</f>
        <v>103.64471629805608</v>
      </c>
      <c r="N1462" s="75">
        <f>'THAM_SO_MOI'!$C$12*I1462</f>
        <v>1130.112</v>
      </c>
      <c r="O1462" s="75">
        <f>M1462+N1462</f>
        <v>1233.756716298056</v>
      </c>
      <c r="P1462" s="75">
        <f>(MIN(L1462,'THAM_SO_MOI'!$C$41)-O1462)/('THAM_SO_MOI'!$C$11*H1462)</f>
        <v>0.9729962359568675</v>
      </c>
      <c r="Q1462" s="75">
        <f>IF(P1462&gt;0,1/P1462,NA())</f>
        <v>1.0277532050435698</v>
      </c>
      <c r="R1462" s="75">
        <f>F1462-F1461</f>
        <v>0.0032106047296860396</v>
      </c>
      <c r="S1462" s="75">
        <f>0.5*(Q1461+Q1462)*R1462</f>
        <v>0.0032995807405159327</v>
      </c>
      <c r="T1462" s="75">
        <f>0.5*(F1461*Q1461+F1462*Q1462)*R1462</f>
        <v>0.019635966262524764</v>
      </c>
      <c r="U1462" s="76">
        <f>U1461+S1462</f>
        <v>6.217598045012965</v>
      </c>
      <c r="V1462" s="76">
        <f>V1461+T1462</f>
        <v>22.4525079151881</v>
      </c>
    </row>
    <row r="1463" spans="1:22" ht="19" customHeight="1">
      <c r="A1463" s="68" t="s">
        <v>372</v>
      </c>
      <c r="B1463" s="74">
        <v>2</v>
      </c>
      <c r="C1463" s="68" t="s">
        <v>363</v>
      </c>
      <c r="D1463" s="68" t="s">
        <v>364</v>
      </c>
      <c r="E1463" s="75">
        <f>60*F1463*'THAM_SO_MOI'!$C$50/(2*PI()*'THAM_SO_MOI'!$C$26)</f>
        <v>2388.812625947063</v>
      </c>
      <c r="F1463" s="75">
        <f>'HANH_TRINH'!$F$826+('THAM_SO_MOI'!$F$50-'HANH_TRINH'!$F$826)*636/'THAM_SO_MOI'!$C$42</f>
        <v>5.955864722186071</v>
      </c>
      <c r="G1463" s="75">
        <f>3.6*F1463</f>
        <v>21.441112999869855</v>
      </c>
      <c r="H1463" s="75">
        <f>'THAM_SO_MOI'!$D$50</f>
        <v>1.8785906709588276</v>
      </c>
      <c r="I1463" s="75">
        <f>IF(F1463&gt;'THAM_SO_MOI'!$C$14,'THAM_SO_MOI'!$C$13*(1+F1463^2/1500),'THAM_SO_MOI'!$C$13)</f>
        <v>0.015</v>
      </c>
      <c r="J1463" s="75">
        <f>'THAM_SO_MOI'!$C$40*('THAM_SO_MOI'!$C$23*(E1463/'THAM_SO_MOI'!$C$22)+'THAM_SO_MOI'!$C$24*(E1463/'THAM_SO_MOI'!$C$22)^2-'THAM_SO_MOI'!$C$25*(E1463/'THAM_SO_MOI'!$C$22)^3)</f>
        <v>106.98040168121832</v>
      </c>
      <c r="K1463" s="75">
        <f>'THAM_SO_MOI'!$C$31*J1463/E1463</f>
        <v>427.7356581660455</v>
      </c>
      <c r="L1463" s="75">
        <f>K1463*'THAM_SO_MOI'!$C$50*'THAM_SO_MOI'!$C$17/'THAM_SO_MOI'!$C$26</f>
        <v>15270.74627370252</v>
      </c>
      <c r="M1463" s="75">
        <f>'THAM_SO_MOI'!$C$15*'THAM_SO_MOI'!$C$16*F1463^2</f>
        <v>103.75654942276816</v>
      </c>
      <c r="N1463" s="75">
        <f>'THAM_SO_MOI'!$C$12*I1463</f>
        <v>1130.112</v>
      </c>
      <c r="O1463" s="75">
        <f>M1463+N1463</f>
        <v>1233.8685494227682</v>
      </c>
      <c r="P1463" s="75">
        <f>(MIN(L1463,'THAM_SO_MOI'!$C$41)-O1463)/('THAM_SO_MOI'!$C$11*H1463)</f>
        <v>0.9729200096311544</v>
      </c>
      <c r="Q1463" s="75">
        <f>IF(P1463&gt;0,1/P1463,NA())</f>
        <v>1.0278337274398457</v>
      </c>
      <c r="R1463" s="75">
        <f>F1463-F1462</f>
        <v>0.0032106047296860396</v>
      </c>
      <c r="S1463" s="75">
        <f>0.5*(Q1462+Q1463)*R1463</f>
        <v>0.0032998385638560363</v>
      </c>
      <c r="T1463" s="75">
        <f>0.5*(F1462*Q1462+F1463*Q1463)*R1463</f>
        <v>0.019648095060235023</v>
      </c>
      <c r="U1463" s="76">
        <f>U1462+S1463</f>
        <v>6.2208978835768205</v>
      </c>
      <c r="V1463" s="76">
        <f>V1462+T1463</f>
        <v>22.472156010248334</v>
      </c>
    </row>
    <row r="1464" spans="1:22" ht="19" customHeight="1">
      <c r="A1464" s="68" t="s">
        <v>372</v>
      </c>
      <c r="B1464" s="74">
        <v>2</v>
      </c>
      <c r="C1464" s="68" t="s">
        <v>363</v>
      </c>
      <c r="D1464" s="68" t="s">
        <v>364</v>
      </c>
      <c r="E1464" s="75">
        <f>60*F1464*'THAM_SO_MOI'!$C$50/(2*PI()*'THAM_SO_MOI'!$C$26)</f>
        <v>2390.1003538376303</v>
      </c>
      <c r="F1464" s="75">
        <f>'HANH_TRINH'!$F$826+('THAM_SO_MOI'!$F$50-'HANH_TRINH'!$F$826)*637/'THAM_SO_MOI'!$C$42</f>
        <v>5.959075326915759</v>
      </c>
      <c r="G1464" s="75">
        <f>3.6*F1464</f>
        <v>21.452671176896732</v>
      </c>
      <c r="H1464" s="75">
        <f>'THAM_SO_MOI'!$D$50</f>
        <v>1.8785906709588276</v>
      </c>
      <c r="I1464" s="75">
        <f>IF(F1464&gt;'THAM_SO_MOI'!$C$14,'THAM_SO_MOI'!$C$13*(1+F1464^2/1500),'THAM_SO_MOI'!$C$13)</f>
        <v>0.015</v>
      </c>
      <c r="J1464" s="75">
        <f>'THAM_SO_MOI'!$C$40*('THAM_SO_MOI'!$C$23*(E1464/'THAM_SO_MOI'!$C$22)+'THAM_SO_MOI'!$C$24*(E1464/'THAM_SO_MOI'!$C$22)^2-'THAM_SO_MOI'!$C$25*(E1464/'THAM_SO_MOI'!$C$22)^3)</f>
        <v>107.03110619323458</v>
      </c>
      <c r="K1464" s="75">
        <f>'THAM_SO_MOI'!$C$31*J1464/E1464</f>
        <v>427.70782529521495</v>
      </c>
      <c r="L1464" s="75">
        <f>K1464*'THAM_SO_MOI'!$C$50*'THAM_SO_MOI'!$C$17/'THAM_SO_MOI'!$C$26</f>
        <v>15269.75260225987</v>
      </c>
      <c r="M1464" s="75">
        <f>'THAM_SO_MOI'!$C$15*'THAM_SO_MOI'!$C$16*F1464^2</f>
        <v>103.86844284917927</v>
      </c>
      <c r="N1464" s="75">
        <f>'THAM_SO_MOI'!$C$12*I1464</f>
        <v>1130.112</v>
      </c>
      <c r="O1464" s="75">
        <f>M1464+N1464</f>
        <v>1233.9804428491793</v>
      </c>
      <c r="P1464" s="75">
        <f>(MIN(L1464,'THAM_SO_MOI'!$C$41)-O1464)/('THAM_SO_MOI'!$C$11*H1464)</f>
        <v>0.9728433810386582</v>
      </c>
      <c r="Q1464" s="75">
        <f>IF(P1464&gt;0,1/P1464,NA())</f>
        <v>1.0279146874930145</v>
      </c>
      <c r="R1464" s="75">
        <f>F1464-F1463</f>
        <v>0.003210604729687816</v>
      </c>
      <c r="S1464" s="75">
        <f>0.5*(Q1463+Q1464)*R1464</f>
        <v>0.0033000977920158354</v>
      </c>
      <c r="T1464" s="75">
        <f>0.5*(F1463*Q1463+F1464*Q1464)*R1464</f>
        <v>0.01966023388265471</v>
      </c>
      <c r="U1464" s="76">
        <f>U1463+S1464</f>
        <v>6.224197981368836</v>
      </c>
      <c r="V1464" s="76">
        <f>V1463+T1464</f>
        <v>22.491816244130987</v>
      </c>
    </row>
    <row r="1465" spans="1:22" ht="19" customHeight="1">
      <c r="A1465" s="68" t="s">
        <v>372</v>
      </c>
      <c r="B1465" s="74">
        <v>2</v>
      </c>
      <c r="C1465" s="68" t="s">
        <v>363</v>
      </c>
      <c r="D1465" s="68" t="s">
        <v>364</v>
      </c>
      <c r="E1465" s="75">
        <f>60*F1465*'THAM_SO_MOI'!$C$50/(2*PI()*'THAM_SO_MOI'!$C$26)</f>
        <v>2391.388081728197</v>
      </c>
      <c r="F1465" s="75">
        <f>'HANH_TRINH'!$F$826+('THAM_SO_MOI'!$F$50-'HANH_TRINH'!$F$826)*638/'THAM_SO_MOI'!$C$42</f>
        <v>5.962285931645445</v>
      </c>
      <c r="G1465" s="75">
        <f>3.6*F1465</f>
        <v>21.464229353923603</v>
      </c>
      <c r="H1465" s="75">
        <f>'THAM_SO_MOI'!$D$50</f>
        <v>1.8785906709588276</v>
      </c>
      <c r="I1465" s="75">
        <f>IF(F1465&gt;'THAM_SO_MOI'!$C$14,'THAM_SO_MOI'!$C$13*(1+F1465^2/1500),'THAM_SO_MOI'!$C$13)</f>
        <v>0.015</v>
      </c>
      <c r="J1465" s="75">
        <f>'THAM_SO_MOI'!$C$40*('THAM_SO_MOI'!$C$23*(E1465/'THAM_SO_MOI'!$C$22)+'THAM_SO_MOI'!$C$24*(E1465/'THAM_SO_MOI'!$C$22)^2-'THAM_SO_MOI'!$C$25*(E1465/'THAM_SO_MOI'!$C$22)^3)</f>
        <v>107.08176292066398</v>
      </c>
      <c r="K1465" s="75">
        <f>'THAM_SO_MOI'!$C$31*J1465/E1465</f>
        <v>427.6798315500519</v>
      </c>
      <c r="L1465" s="75">
        <f>K1465*'THAM_SO_MOI'!$C$50*'THAM_SO_MOI'!$C$17/'THAM_SO_MOI'!$C$26</f>
        <v>15268.753187384176</v>
      </c>
      <c r="M1465" s="75">
        <f>'THAM_SO_MOI'!$C$15*'THAM_SO_MOI'!$C$16*F1465^2</f>
        <v>103.9803965772893</v>
      </c>
      <c r="N1465" s="75">
        <f>'THAM_SO_MOI'!$C$12*I1465</f>
        <v>1130.112</v>
      </c>
      <c r="O1465" s="75">
        <f>M1465+N1465</f>
        <v>1234.0923965772895</v>
      </c>
      <c r="P1465" s="75">
        <f>(MIN(L1465,'THAM_SO_MOI'!$C$41)-O1465)/('THAM_SO_MOI'!$C$11*H1465)</f>
        <v>0.9727663501793776</v>
      </c>
      <c r="Q1465" s="75">
        <f>IF(P1465&gt;0,1/P1465,NA())</f>
        <v>1.0279960854069432</v>
      </c>
      <c r="R1465" s="75">
        <f>F1465-F1464</f>
        <v>0.0032106047296860396</v>
      </c>
      <c r="S1465" s="75">
        <f>0.5*(Q1464+Q1465)*R1465</f>
        <v>0.0033003584256425427</v>
      </c>
      <c r="T1465" s="75">
        <f>0.5*(F1464*Q1464+F1465*Q1465)*R1465</f>
        <v>0.0196723827471726</v>
      </c>
      <c r="U1465" s="76">
        <f>U1464+S1465</f>
        <v>6.2274983397944785</v>
      </c>
      <c r="V1465" s="76">
        <f>V1464+T1465</f>
        <v>22.51148862687816</v>
      </c>
    </row>
    <row r="1466" spans="1:22" ht="19" customHeight="1">
      <c r="A1466" s="68" t="s">
        <v>372</v>
      </c>
      <c r="B1466" s="74">
        <v>2</v>
      </c>
      <c r="C1466" s="68" t="s">
        <v>363</v>
      </c>
      <c r="D1466" s="68" t="s">
        <v>364</v>
      </c>
      <c r="E1466" s="75">
        <f>60*F1466*'THAM_SO_MOI'!$C$50/(2*PI()*'THAM_SO_MOI'!$C$26)</f>
        <v>2392.675809618764</v>
      </c>
      <c r="F1466" s="75">
        <f>'HANH_TRINH'!$F$826+('THAM_SO_MOI'!$F$50-'HANH_TRINH'!$F$826)*639/'THAM_SO_MOI'!$C$42</f>
        <v>5.965496536375133</v>
      </c>
      <c r="G1466" s="75">
        <f>3.6*F1466</f>
        <v>21.475787530950477</v>
      </c>
      <c r="H1466" s="75">
        <f>'THAM_SO_MOI'!$D$50</f>
        <v>1.8785906709588276</v>
      </c>
      <c r="I1466" s="75">
        <f>IF(F1466&gt;'THAM_SO_MOI'!$C$14,'THAM_SO_MOI'!$C$13*(1+F1466^2/1500),'THAM_SO_MOI'!$C$13)</f>
        <v>0.015</v>
      </c>
      <c r="J1466" s="75">
        <f>'THAM_SO_MOI'!$C$40*('THAM_SO_MOI'!$C$23*(E1466/'THAM_SO_MOI'!$C$22)+'THAM_SO_MOI'!$C$24*(E1466/'THAM_SO_MOI'!$C$22)^2-'THAM_SO_MOI'!$C$25*(E1466/'THAM_SO_MOI'!$C$22)^3)</f>
        <v>107.13237179843702</v>
      </c>
      <c r="K1466" s="75">
        <f>'THAM_SO_MOI'!$C$31*J1466/E1466</f>
        <v>427.6516769305568</v>
      </c>
      <c r="L1466" s="75">
        <f>K1466*'THAM_SO_MOI'!$C$50*'THAM_SO_MOI'!$C$17/'THAM_SO_MOI'!$C$26</f>
        <v>15267.748029075456</v>
      </c>
      <c r="M1466" s="75">
        <f>'THAM_SO_MOI'!$C$15*'THAM_SO_MOI'!$C$16*F1466^2</f>
        <v>104.09241060709834</v>
      </c>
      <c r="N1466" s="75">
        <f>'THAM_SO_MOI'!$C$12*I1466</f>
        <v>1130.112</v>
      </c>
      <c r="O1466" s="75">
        <f>M1466+N1466</f>
        <v>1234.2044106070985</v>
      </c>
      <c r="P1466" s="75">
        <f>(MIN(L1466,'THAM_SO_MOI'!$C$41)-O1466)/('THAM_SO_MOI'!$C$11*H1466)</f>
        <v>0.9726889170533141</v>
      </c>
      <c r="Q1466" s="75">
        <f>IF(P1466&gt;0,1/P1466,NA())</f>
        <v>1.028077921386647</v>
      </c>
      <c r="R1466" s="75">
        <f>F1466-F1465</f>
        <v>0.003210604729687816</v>
      </c>
      <c r="S1466" s="75">
        <f>0.5*(Q1465+Q1466)*R1466</f>
        <v>0.00330062046539984</v>
      </c>
      <c r="T1466" s="75">
        <f>0.5*(F1465*Q1465+F1466*Q1466)*R1466</f>
        <v>0.019684541671284028</v>
      </c>
      <c r="U1466" s="76">
        <f>U1465+S1466</f>
        <v>6.230798960259879</v>
      </c>
      <c r="V1466" s="76">
        <f>V1465+T1466</f>
        <v>22.531173168549447</v>
      </c>
    </row>
    <row r="1467" spans="1:22" ht="19" customHeight="1">
      <c r="A1467" s="68" t="s">
        <v>372</v>
      </c>
      <c r="B1467" s="74">
        <v>2</v>
      </c>
      <c r="C1467" s="68" t="s">
        <v>363</v>
      </c>
      <c r="D1467" s="68" t="s">
        <v>364</v>
      </c>
      <c r="E1467" s="75">
        <f>60*F1467*'THAM_SO_MOI'!$C$50/(2*PI()*'THAM_SO_MOI'!$C$26)</f>
        <v>2393.9635375093303</v>
      </c>
      <c r="F1467" s="75">
        <f>'HANH_TRINH'!$F$826+('THAM_SO_MOI'!$F$50-'HANH_TRINH'!$F$826)*640/'THAM_SO_MOI'!$C$42</f>
        <v>5.968707141104819</v>
      </c>
      <c r="G1467" s="75">
        <f>3.6*F1467</f>
        <v>21.487345707977347</v>
      </c>
      <c r="H1467" s="75">
        <f>'THAM_SO_MOI'!$D$50</f>
        <v>1.8785906709588276</v>
      </c>
      <c r="I1467" s="75">
        <f>IF(F1467&gt;'THAM_SO_MOI'!$C$14,'THAM_SO_MOI'!$C$13*(1+F1467^2/1500),'THAM_SO_MOI'!$C$13)</f>
        <v>0.015</v>
      </c>
      <c r="J1467" s="75">
        <f>'THAM_SO_MOI'!$C$40*('THAM_SO_MOI'!$C$23*(E1467/'THAM_SO_MOI'!$C$22)+'THAM_SO_MOI'!$C$24*(E1467/'THAM_SO_MOI'!$C$22)^2-'THAM_SO_MOI'!$C$25*(E1467/'THAM_SO_MOI'!$C$22)^3)</f>
        <v>107.18293276148384</v>
      </c>
      <c r="K1467" s="75">
        <f>'THAM_SO_MOI'!$C$31*J1467/E1467</f>
        <v>427.62336143672934</v>
      </c>
      <c r="L1467" s="75">
        <f>K1467*'THAM_SO_MOI'!$C$50*'THAM_SO_MOI'!$C$17/'THAM_SO_MOI'!$C$26</f>
        <v>15266.737127333694</v>
      </c>
      <c r="M1467" s="75">
        <f>'THAM_SO_MOI'!$C$15*'THAM_SO_MOI'!$C$16*F1467^2</f>
        <v>104.20448493860631</v>
      </c>
      <c r="N1467" s="75">
        <f>'THAM_SO_MOI'!$C$12*I1467</f>
        <v>1130.112</v>
      </c>
      <c r="O1467" s="75">
        <f>M1467+N1467</f>
        <v>1234.3164849386064</v>
      </c>
      <c r="P1467" s="75">
        <f>(MIN(L1467,'THAM_SO_MOI'!$C$41)-O1467)/('THAM_SO_MOI'!$C$11*H1467)</f>
        <v>0.9726110816604667</v>
      </c>
      <c r="Q1467" s="75">
        <f>IF(P1467&gt;0,1/P1467,NA())</f>
        <v>1.0281601956382957</v>
      </c>
      <c r="R1467" s="75">
        <f>F1467-F1466</f>
        <v>0.0032106047296860396</v>
      </c>
      <c r="S1467" s="75">
        <f>0.5*(Q1466+Q1467)*R1467</f>
        <v>0.0033008839119404994</v>
      </c>
      <c r="T1467" s="75">
        <f>0.5*(F1466*Q1466+F1467*Q1467)*R1467</f>
        <v>0.019696710672427745</v>
      </c>
      <c r="U1467" s="76">
        <f>U1466+S1467</f>
        <v>6.234099844171819</v>
      </c>
      <c r="V1467" s="76">
        <f>V1466+T1467</f>
        <v>22.550869879221874</v>
      </c>
    </row>
    <row r="1468" spans="1:22" ht="19" customHeight="1">
      <c r="A1468" s="68" t="s">
        <v>372</v>
      </c>
      <c r="B1468" s="74">
        <v>2</v>
      </c>
      <c r="C1468" s="68" t="s">
        <v>363</v>
      </c>
      <c r="D1468" s="68" t="s">
        <v>364</v>
      </c>
      <c r="E1468" s="75">
        <f>60*F1468*'THAM_SO_MOI'!$C$50/(2*PI()*'THAM_SO_MOI'!$C$26)</f>
        <v>2395.2512653998974</v>
      </c>
      <c r="F1468" s="75">
        <f>'HANH_TRINH'!$F$826+('THAM_SO_MOI'!$F$50-'HANH_TRINH'!$F$826)*641/'THAM_SO_MOI'!$C$42</f>
        <v>5.9719177458345065</v>
      </c>
      <c r="G1468" s="75">
        <f>3.6*F1468</f>
        <v>21.498903885004225</v>
      </c>
      <c r="H1468" s="75">
        <f>'THAM_SO_MOI'!$D$50</f>
        <v>1.8785906709588276</v>
      </c>
      <c r="I1468" s="75">
        <f>IF(F1468&gt;'THAM_SO_MOI'!$C$14,'THAM_SO_MOI'!$C$13*(1+F1468^2/1500),'THAM_SO_MOI'!$C$13)</f>
        <v>0.015</v>
      </c>
      <c r="J1468" s="75">
        <f>'THAM_SO_MOI'!$C$40*('THAM_SO_MOI'!$C$23*(E1468/'THAM_SO_MOI'!$C$22)+'THAM_SO_MOI'!$C$24*(E1468/'THAM_SO_MOI'!$C$22)^2-'THAM_SO_MOI'!$C$25*(E1468/'THAM_SO_MOI'!$C$22)^3)</f>
        <v>107.23344574473484</v>
      </c>
      <c r="K1468" s="75">
        <f>'THAM_SO_MOI'!$C$31*J1468/E1468</f>
        <v>427.5948850685695</v>
      </c>
      <c r="L1468" s="75">
        <f>K1468*'THAM_SO_MOI'!$C$50*'THAM_SO_MOI'!$C$17/'THAM_SO_MOI'!$C$26</f>
        <v>15265.720482158891</v>
      </c>
      <c r="M1468" s="75">
        <f>'THAM_SO_MOI'!$C$15*'THAM_SO_MOI'!$C$16*F1468^2</f>
        <v>104.3166195718133</v>
      </c>
      <c r="N1468" s="75">
        <f>'THAM_SO_MOI'!$C$12*I1468</f>
        <v>1130.112</v>
      </c>
      <c r="O1468" s="75">
        <f>M1468+N1468</f>
        <v>1234.4286195718134</v>
      </c>
      <c r="P1468" s="75">
        <f>(MIN(L1468,'THAM_SO_MOI'!$C$41)-O1468)/('THAM_SO_MOI'!$C$11*H1468)</f>
        <v>0.9725328440008352</v>
      </c>
      <c r="Q1468" s="75">
        <f>IF(P1468&gt;0,1/P1468,NA())</f>
        <v>1.0282429083692122</v>
      </c>
      <c r="R1468" s="75">
        <f>F1468-F1467</f>
        <v>0.003210604729687816</v>
      </c>
      <c r="S1468" s="75">
        <f>0.5*(Q1467+Q1468)*R1468</f>
        <v>0.003301148765935605</v>
      </c>
      <c r="T1468" s="75">
        <f>0.5*(F1467*Q1467+F1468*Q1468)*R1468</f>
        <v>0.019708889768160216</v>
      </c>
      <c r="U1468" s="76">
        <f>U1467+S1468</f>
        <v>6.237400992937755</v>
      </c>
      <c r="V1468" s="76">
        <f>V1467+T1468</f>
        <v>22.570578768990035</v>
      </c>
    </row>
    <row r="1469" spans="1:22" ht="19" customHeight="1">
      <c r="A1469" s="68" t="s">
        <v>372</v>
      </c>
      <c r="B1469" s="74">
        <v>2</v>
      </c>
      <c r="C1469" s="68" t="s">
        <v>363</v>
      </c>
      <c r="D1469" s="68" t="s">
        <v>364</v>
      </c>
      <c r="E1469" s="75">
        <f>60*F1469*'THAM_SO_MOI'!$C$50/(2*PI()*'THAM_SO_MOI'!$C$26)</f>
        <v>2396.538993290464</v>
      </c>
      <c r="F1469" s="75">
        <f>'HANH_TRINH'!$F$826+('THAM_SO_MOI'!$F$50-'HANH_TRINH'!$F$826)*642/'THAM_SO_MOI'!$C$42</f>
        <v>5.975128350564193</v>
      </c>
      <c r="G1469" s="75">
        <f>3.6*F1469</f>
        <v>21.510462062031095</v>
      </c>
      <c r="H1469" s="75">
        <f>'THAM_SO_MOI'!$D$50</f>
        <v>1.8785906709588276</v>
      </c>
      <c r="I1469" s="75">
        <f>IF(F1469&gt;'THAM_SO_MOI'!$C$14,'THAM_SO_MOI'!$C$13*(1+F1469^2/1500),'THAM_SO_MOI'!$C$13)</f>
        <v>0.015</v>
      </c>
      <c r="J1469" s="75">
        <f>'THAM_SO_MOI'!$C$40*('THAM_SO_MOI'!$C$23*(E1469/'THAM_SO_MOI'!$C$22)+'THAM_SO_MOI'!$C$24*(E1469/'THAM_SO_MOI'!$C$22)^2-'THAM_SO_MOI'!$C$25*(E1469/'THAM_SO_MOI'!$C$22)^3)</f>
        <v>107.28391068312033</v>
      </c>
      <c r="K1469" s="75">
        <f>'THAM_SO_MOI'!$C$31*J1469/E1469</f>
        <v>427.56624782607764</v>
      </c>
      <c r="L1469" s="75">
        <f>K1469*'THAM_SO_MOI'!$C$50*'THAM_SO_MOI'!$C$17/'THAM_SO_MOI'!$C$26</f>
        <v>15264.69809355106</v>
      </c>
      <c r="M1469" s="75">
        <f>'THAM_SO_MOI'!$C$15*'THAM_SO_MOI'!$C$16*F1469^2</f>
        <v>104.4288145067192</v>
      </c>
      <c r="N1469" s="75">
        <f>'THAM_SO_MOI'!$C$12*I1469</f>
        <v>1130.112</v>
      </c>
      <c r="O1469" s="75">
        <f>M1469+N1469</f>
        <v>1234.5408145067192</v>
      </c>
      <c r="P1469" s="75">
        <f>(MIN(L1469,'THAM_SO_MOI'!$C$41)-O1469)/('THAM_SO_MOI'!$C$11*H1469)</f>
        <v>0.9724542040744208</v>
      </c>
      <c r="Q1469" s="75">
        <f>IF(P1469&gt;0,1/P1469,NA())</f>
        <v>1.0283260597878716</v>
      </c>
      <c r="R1469" s="75">
        <f>F1469-F1468</f>
        <v>0.0032106047296860396</v>
      </c>
      <c r="S1469" s="75">
        <f>0.5*(Q1468+Q1469)*R1469</f>
        <v>0.003301415028045336</v>
      </c>
      <c r="T1469" s="75">
        <f>0.5*(F1468*Q1468+F1469*Q1469)*R1469</f>
        <v>0.01972107897598136</v>
      </c>
      <c r="U1469" s="76">
        <f>U1468+S1469</f>
        <v>6.2407024079658004</v>
      </c>
      <c r="V1469" s="76">
        <f>V1468+T1469</f>
        <v>22.590299847966016</v>
      </c>
    </row>
    <row r="1470" spans="1:22" ht="19" customHeight="1">
      <c r="A1470" s="68" t="s">
        <v>372</v>
      </c>
      <c r="B1470" s="74">
        <v>2</v>
      </c>
      <c r="C1470" s="68" t="s">
        <v>363</v>
      </c>
      <c r="D1470" s="68" t="s">
        <v>364</v>
      </c>
      <c r="E1470" s="75">
        <f>60*F1470*'THAM_SO_MOI'!$C$50/(2*PI()*'THAM_SO_MOI'!$C$26)</f>
        <v>2397.8267211810307</v>
      </c>
      <c r="F1470" s="75">
        <f>'HANH_TRINH'!$F$826+('THAM_SO_MOI'!$F$50-'HANH_TRINH'!$F$826)*643/'THAM_SO_MOI'!$C$42</f>
        <v>5.9783389552938795</v>
      </c>
      <c r="G1470" s="75">
        <f>3.6*F1470</f>
        <v>21.522020239057966</v>
      </c>
      <c r="H1470" s="75">
        <f>'THAM_SO_MOI'!$D$50</f>
        <v>1.8785906709588276</v>
      </c>
      <c r="I1470" s="75">
        <f>IF(F1470&gt;'THAM_SO_MOI'!$C$14,'THAM_SO_MOI'!$C$13*(1+F1470^2/1500),'THAM_SO_MOI'!$C$13)</f>
        <v>0.015</v>
      </c>
      <c r="J1470" s="75">
        <f>'THAM_SO_MOI'!$C$40*('THAM_SO_MOI'!$C$23*(E1470/'THAM_SO_MOI'!$C$22)+'THAM_SO_MOI'!$C$24*(E1470/'THAM_SO_MOI'!$C$22)^2-'THAM_SO_MOI'!$C$25*(E1470/'THAM_SO_MOI'!$C$22)^3)</f>
        <v>107.33432751157054</v>
      </c>
      <c r="K1470" s="75">
        <f>'THAM_SO_MOI'!$C$31*J1470/E1470</f>
        <v>427.53744970925334</v>
      </c>
      <c r="L1470" s="75">
        <f>K1470*'THAM_SO_MOI'!$C$50*'THAM_SO_MOI'!$C$17/'THAM_SO_MOI'!$C$26</f>
        <v>15263.669961510186</v>
      </c>
      <c r="M1470" s="75">
        <f>'THAM_SO_MOI'!$C$15*'THAM_SO_MOI'!$C$16*F1470^2</f>
        <v>104.54106974332413</v>
      </c>
      <c r="N1470" s="75">
        <f>'THAM_SO_MOI'!$C$12*I1470</f>
        <v>1130.112</v>
      </c>
      <c r="O1470" s="75">
        <f>M1470+N1470</f>
        <v>1234.6530697433243</v>
      </c>
      <c r="P1470" s="75">
        <f>(MIN(L1470,'THAM_SO_MOI'!$C$41)-O1470)/('THAM_SO_MOI'!$C$11*H1470)</f>
        <v>0.9723751618812222</v>
      </c>
      <c r="Q1470" s="75">
        <f>IF(P1470&gt;0,1/P1470,NA())</f>
        <v>1.0284096501039095</v>
      </c>
      <c r="R1470" s="75">
        <f>F1470-F1469</f>
        <v>0.0032106047296869278</v>
      </c>
      <c r="S1470" s="75">
        <f>0.5*(Q1469+Q1470)*R1470</f>
        <v>0.0033016826989472766</v>
      </c>
      <c r="T1470" s="75">
        <f>0.5*(F1469*Q1469+F1470*Q1470)*R1470</f>
        <v>0.01973327831350364</v>
      </c>
      <c r="U1470" s="76">
        <f>U1469+S1470</f>
        <v>6.244004090664748</v>
      </c>
      <c r="V1470" s="76">
        <f>V1469+T1470</f>
        <v>22.610033126279518</v>
      </c>
    </row>
    <row r="1471" spans="1:22" ht="19" customHeight="1">
      <c r="A1471" s="68" t="s">
        <v>372</v>
      </c>
      <c r="B1471" s="74">
        <v>2</v>
      </c>
      <c r="C1471" s="68" t="s">
        <v>363</v>
      </c>
      <c r="D1471" s="68" t="s">
        <v>364</v>
      </c>
      <c r="E1471" s="75">
        <f>60*F1471*'THAM_SO_MOI'!$C$50/(2*PI()*'THAM_SO_MOI'!$C$26)</f>
        <v>2399.1144490715974</v>
      </c>
      <c r="F1471" s="75">
        <f>'HANH_TRINH'!$F$826+('THAM_SO_MOI'!$F$50-'HANH_TRINH'!$F$826)*644/'THAM_SO_MOI'!$C$42</f>
        <v>5.981549560023566</v>
      </c>
      <c r="G1471" s="75">
        <f>3.6*F1471</f>
        <v>21.53357841608484</v>
      </c>
      <c r="H1471" s="75">
        <f>'THAM_SO_MOI'!$D$50</f>
        <v>1.8785906709588276</v>
      </c>
      <c r="I1471" s="75">
        <f>IF(F1471&gt;'THAM_SO_MOI'!$C$14,'THAM_SO_MOI'!$C$13*(1+F1471^2/1500),'THAM_SO_MOI'!$C$13)</f>
        <v>0.015</v>
      </c>
      <c r="J1471" s="75">
        <f>'THAM_SO_MOI'!$C$40*('THAM_SO_MOI'!$C$23*(E1471/'THAM_SO_MOI'!$C$22)+'THAM_SO_MOI'!$C$24*(E1471/'THAM_SO_MOI'!$C$22)^2-'THAM_SO_MOI'!$C$25*(E1471/'THAM_SO_MOI'!$C$22)^3)</f>
        <v>107.38469616501587</v>
      </c>
      <c r="K1471" s="75">
        <f>'THAM_SO_MOI'!$C$31*J1471/E1471</f>
        <v>427.5084907180971</v>
      </c>
      <c r="L1471" s="75">
        <f>K1471*'THAM_SO_MOI'!$C$50*'THAM_SO_MOI'!$C$17/'THAM_SO_MOI'!$C$26</f>
        <v>15262.636086036291</v>
      </c>
      <c r="M1471" s="75">
        <f>'THAM_SO_MOI'!$C$15*'THAM_SO_MOI'!$C$16*F1471^2</f>
        <v>104.653385281628</v>
      </c>
      <c r="N1471" s="75">
        <f>'THAM_SO_MOI'!$C$12*I1471</f>
        <v>1130.112</v>
      </c>
      <c r="O1471" s="75">
        <f>M1471+N1471</f>
        <v>1234.7653852816281</v>
      </c>
      <c r="P1471" s="75">
        <f>(MIN(L1471,'THAM_SO_MOI'!$C$41)-O1471)/('THAM_SO_MOI'!$C$11*H1471)</f>
        <v>0.9722957174212408</v>
      </c>
      <c r="Q1471" s="75">
        <f>IF(P1471&gt;0,1/P1471,NA())</f>
        <v>1.0284936795281148</v>
      </c>
      <c r="R1471" s="75">
        <f>F1471-F1470</f>
        <v>0.0032106047296869278</v>
      </c>
      <c r="S1471" s="75">
        <f>0.5*(Q1470+Q1471)*R1471</f>
        <v>0.003301951779312683</v>
      </c>
      <c r="T1471" s="75">
        <f>0.5*(F1470*Q1470+F1471*Q1471)*R1471</f>
        <v>0.019745487798310347</v>
      </c>
      <c r="U1471" s="76">
        <f>U1470+S1471</f>
        <v>6.247306042444061</v>
      </c>
      <c r="V1471" s="76">
        <f>V1470+T1471</f>
        <v>22.62977861407783</v>
      </c>
    </row>
    <row r="1472" spans="1:22" ht="19" customHeight="1">
      <c r="A1472" s="68" t="s">
        <v>372</v>
      </c>
      <c r="B1472" s="74">
        <v>2</v>
      </c>
      <c r="C1472" s="68" t="s">
        <v>363</v>
      </c>
      <c r="D1472" s="68" t="s">
        <v>364</v>
      </c>
      <c r="E1472" s="75">
        <f>60*F1472*'THAM_SO_MOI'!$C$50/(2*PI()*'THAM_SO_MOI'!$C$26)</f>
        <v>2400.4021769621636</v>
      </c>
      <c r="F1472" s="75">
        <f>'HANH_TRINH'!$F$826+('THAM_SO_MOI'!$F$50-'HANH_TRINH'!$F$826)*645/'THAM_SO_MOI'!$C$42</f>
        <v>5.9847601647532525</v>
      </c>
      <c r="G1472" s="75">
        <f>3.6*F1472</f>
        <v>21.54513659311171</v>
      </c>
      <c r="H1472" s="75">
        <f>'THAM_SO_MOI'!$D$50</f>
        <v>1.8785906709588276</v>
      </c>
      <c r="I1472" s="75">
        <f>IF(F1472&gt;'THAM_SO_MOI'!$C$14,'THAM_SO_MOI'!$C$13*(1+F1472^2/1500),'THAM_SO_MOI'!$C$13)</f>
        <v>0.015</v>
      </c>
      <c r="J1472" s="75">
        <f>'THAM_SO_MOI'!$C$40*('THAM_SO_MOI'!$C$23*(E1472/'THAM_SO_MOI'!$C$22)+'THAM_SO_MOI'!$C$24*(E1472/'THAM_SO_MOI'!$C$22)^2-'THAM_SO_MOI'!$C$25*(E1472/'THAM_SO_MOI'!$C$22)^3)</f>
        <v>107.4350165783865</v>
      </c>
      <c r="K1472" s="75">
        <f>'THAM_SO_MOI'!$C$31*J1472/E1472</f>
        <v>427.4793708526084</v>
      </c>
      <c r="L1472" s="75">
        <f>K1472*'THAM_SO_MOI'!$C$50*'THAM_SO_MOI'!$C$17/'THAM_SO_MOI'!$C$26</f>
        <v>15261.596467129348</v>
      </c>
      <c r="M1472" s="75">
        <f>'THAM_SO_MOI'!$C$15*'THAM_SO_MOI'!$C$16*F1472^2</f>
        <v>104.76576112163083</v>
      </c>
      <c r="N1472" s="75">
        <f>'THAM_SO_MOI'!$C$12*I1472</f>
        <v>1130.112</v>
      </c>
      <c r="O1472" s="75">
        <f>M1472+N1472</f>
        <v>1234.877761121631</v>
      </c>
      <c r="P1472" s="75">
        <f>(MIN(L1472,'THAM_SO_MOI'!$C$41)-O1472)/('THAM_SO_MOI'!$C$11*H1472)</f>
        <v>0.9722158706944751</v>
      </c>
      <c r="Q1472" s="75">
        <f>IF(P1472&gt;0,1/P1472,NA())</f>
        <v>1.0285781482724388</v>
      </c>
      <c r="R1472" s="75">
        <f>F1472-F1471</f>
        <v>0.0032106047296860396</v>
      </c>
      <c r="S1472" s="75">
        <f>0.5*(Q1471+Q1472)*R1472</f>
        <v>0.003302222269820182</v>
      </c>
      <c r="T1472" s="75">
        <f>0.5*(F1471*Q1471+F1472*Q1472)*R1472</f>
        <v>0.0197577074480375</v>
      </c>
      <c r="U1472" s="76">
        <f>U1471+S1472</f>
        <v>6.250608264713881</v>
      </c>
      <c r="V1472" s="76">
        <f>V1471+T1472</f>
        <v>22.649536321525865</v>
      </c>
    </row>
    <row r="1473" spans="1:22" ht="19" customHeight="1">
      <c r="A1473" s="68" t="s">
        <v>372</v>
      </c>
      <c r="B1473" s="74">
        <v>2</v>
      </c>
      <c r="C1473" s="68" t="s">
        <v>363</v>
      </c>
      <c r="D1473" s="68" t="s">
        <v>364</v>
      </c>
      <c r="E1473" s="75">
        <f>60*F1473*'THAM_SO_MOI'!$C$50/(2*PI()*'THAM_SO_MOI'!$C$26)</f>
        <v>2401.6899048527307</v>
      </c>
      <c r="F1473" s="75">
        <f>'HANH_TRINH'!$F$826+('THAM_SO_MOI'!$F$50-'HANH_TRINH'!$F$826)*646/'THAM_SO_MOI'!$C$42</f>
        <v>5.98797076948294</v>
      </c>
      <c r="G1473" s="75">
        <f>3.6*F1473</f>
        <v>21.556694770138584</v>
      </c>
      <c r="H1473" s="75">
        <f>'THAM_SO_MOI'!$D$50</f>
        <v>1.8785906709588276</v>
      </c>
      <c r="I1473" s="75">
        <f>IF(F1473&gt;'THAM_SO_MOI'!$C$14,'THAM_SO_MOI'!$C$13*(1+F1473^2/1500),'THAM_SO_MOI'!$C$13)</f>
        <v>0.015</v>
      </c>
      <c r="J1473" s="75">
        <f>'THAM_SO_MOI'!$C$40*('THAM_SO_MOI'!$C$23*(E1473/'THAM_SO_MOI'!$C$22)+'THAM_SO_MOI'!$C$24*(E1473/'THAM_SO_MOI'!$C$22)^2-'THAM_SO_MOI'!$C$25*(E1473/'THAM_SO_MOI'!$C$22)^3)</f>
        <v>107.48528868661282</v>
      </c>
      <c r="K1473" s="75">
        <f>'THAM_SO_MOI'!$C$31*J1473/E1473</f>
        <v>427.4500901127874</v>
      </c>
      <c r="L1473" s="75">
        <f>K1473*'THAM_SO_MOI'!$C$50*'THAM_SO_MOI'!$C$17/'THAM_SO_MOI'!$C$26</f>
        <v>15260.55110478937</v>
      </c>
      <c r="M1473" s="75">
        <f>'THAM_SO_MOI'!$C$15*'THAM_SO_MOI'!$C$16*F1473^2</f>
        <v>104.8781972633327</v>
      </c>
      <c r="N1473" s="75">
        <f>'THAM_SO_MOI'!$C$12*I1473</f>
        <v>1130.112</v>
      </c>
      <c r="O1473" s="75">
        <f>M1473+N1473</f>
        <v>1234.9901972633327</v>
      </c>
      <c r="P1473" s="75">
        <f>(MIN(L1473,'THAM_SO_MOI'!$C$41)-O1473)/('THAM_SO_MOI'!$C$11*H1473)</f>
        <v>0.9721356217009259</v>
      </c>
      <c r="Q1473" s="75">
        <f>IF(P1473&gt;0,1/P1473,NA())</f>
        <v>1.0286630565499908</v>
      </c>
      <c r="R1473" s="75">
        <f>F1473-F1472</f>
        <v>0.003210604729687816</v>
      </c>
      <c r="S1473" s="75">
        <f>0.5*(Q1472+Q1473)*R1473</f>
        <v>0.0033024941711557766</v>
      </c>
      <c r="T1473" s="75">
        <f>0.5*(F1472*Q1472+F1473*Q1473)*R1473</f>
        <v>0.019769937280374007</v>
      </c>
      <c r="U1473" s="76">
        <f>U1472+S1473</f>
        <v>6.253910758885037</v>
      </c>
      <c r="V1473" s="76">
        <f>V1472+T1473</f>
        <v>22.669306258806238</v>
      </c>
    </row>
    <row r="1474" spans="1:22" ht="19" customHeight="1">
      <c r="A1474" s="68" t="s">
        <v>372</v>
      </c>
      <c r="B1474" s="74">
        <v>2</v>
      </c>
      <c r="C1474" s="68" t="s">
        <v>363</v>
      </c>
      <c r="D1474" s="68" t="s">
        <v>364</v>
      </c>
      <c r="E1474" s="75">
        <f>60*F1474*'THAM_SO_MOI'!$C$50/(2*PI()*'THAM_SO_MOI'!$C$26)</f>
        <v>2402.977632743297</v>
      </c>
      <c r="F1474" s="75">
        <f>'HANH_TRINH'!$F$826+('THAM_SO_MOI'!$F$50-'HANH_TRINH'!$F$826)*647/'THAM_SO_MOI'!$C$42</f>
        <v>5.991181374212626</v>
      </c>
      <c r="G1474" s="75">
        <f>3.6*F1474</f>
        <v>21.568252947165455</v>
      </c>
      <c r="H1474" s="75">
        <f>'THAM_SO_MOI'!$D$50</f>
        <v>1.8785906709588276</v>
      </c>
      <c r="I1474" s="75">
        <f>IF(F1474&gt;'THAM_SO_MOI'!$C$14,'THAM_SO_MOI'!$C$13*(1+F1474^2/1500),'THAM_SO_MOI'!$C$13)</f>
        <v>0.015</v>
      </c>
      <c r="J1474" s="75">
        <f>'THAM_SO_MOI'!$C$40*('THAM_SO_MOI'!$C$23*(E1474/'THAM_SO_MOI'!$C$22)+'THAM_SO_MOI'!$C$24*(E1474/'THAM_SO_MOI'!$C$22)^2-'THAM_SO_MOI'!$C$25*(E1474/'THAM_SO_MOI'!$C$22)^3)</f>
        <v>107.53551242462508</v>
      </c>
      <c r="K1474" s="75">
        <f>'THAM_SO_MOI'!$C$31*J1474/E1474</f>
        <v>427.4206484986342</v>
      </c>
      <c r="L1474" s="75">
        <f>K1474*'THAM_SO_MOI'!$C$50*'THAM_SO_MOI'!$C$17/'THAM_SO_MOI'!$C$26</f>
        <v>15259.499999016358</v>
      </c>
      <c r="M1474" s="75">
        <f>'THAM_SO_MOI'!$C$15*'THAM_SO_MOI'!$C$16*F1474^2</f>
        <v>104.99069370673347</v>
      </c>
      <c r="N1474" s="75">
        <f>'THAM_SO_MOI'!$C$12*I1474</f>
        <v>1130.112</v>
      </c>
      <c r="O1474" s="75">
        <f>M1474+N1474</f>
        <v>1235.1026937067336</v>
      </c>
      <c r="P1474" s="75">
        <f>(MIN(L1474,'THAM_SO_MOI'!$C$41)-O1474)/('THAM_SO_MOI'!$C$11*H1474)</f>
        <v>0.9720549704405932</v>
      </c>
      <c r="Q1474" s="75">
        <f>IF(P1474&gt;0,1/P1474,NA())</f>
        <v>1.0287484045750421</v>
      </c>
      <c r="R1474" s="75">
        <f>F1474-F1473</f>
        <v>0.0032106047296860396</v>
      </c>
      <c r="S1474" s="75">
        <f>0.5*(Q1473+Q1474)*R1474</f>
        <v>0.003302767483999148</v>
      </c>
      <c r="T1474" s="75">
        <f>0.5*(F1473*Q1473+F1474*Q1474)*R1474</f>
        <v>0.019782177312979696</v>
      </c>
      <c r="U1474" s="76">
        <f>U1473+S1474</f>
        <v>6.257213526369036</v>
      </c>
      <c r="V1474" s="76">
        <f>V1473+T1474</f>
        <v>22.689088436119217</v>
      </c>
    </row>
    <row r="1475" spans="1:22" ht="19" customHeight="1">
      <c r="A1475" s="68" t="s">
        <v>372</v>
      </c>
      <c r="B1475" s="74">
        <v>2</v>
      </c>
      <c r="C1475" s="68" t="s">
        <v>363</v>
      </c>
      <c r="D1475" s="68" t="s">
        <v>364</v>
      </c>
      <c r="E1475" s="75">
        <f>60*F1475*'THAM_SO_MOI'!$C$50/(2*PI()*'THAM_SO_MOI'!$C$26)</f>
        <v>2404.265360633864</v>
      </c>
      <c r="F1475" s="75">
        <f>'HANH_TRINH'!$F$826+('THAM_SO_MOI'!$F$50-'HANH_TRINH'!$F$826)*648/'THAM_SO_MOI'!$C$42</f>
        <v>5.994391978942314</v>
      </c>
      <c r="G1475" s="75">
        <f>3.6*F1475</f>
        <v>21.579811124192332</v>
      </c>
      <c r="H1475" s="75">
        <f>'THAM_SO_MOI'!$D$50</f>
        <v>1.8785906709588276</v>
      </c>
      <c r="I1475" s="75">
        <f>IF(F1475&gt;'THAM_SO_MOI'!$C$14,'THAM_SO_MOI'!$C$13*(1+F1475^2/1500),'THAM_SO_MOI'!$C$13)</f>
        <v>0.015</v>
      </c>
      <c r="J1475" s="75">
        <f>'THAM_SO_MOI'!$C$40*('THAM_SO_MOI'!$C$23*(E1475/'THAM_SO_MOI'!$C$22)+'THAM_SO_MOI'!$C$24*(E1475/'THAM_SO_MOI'!$C$22)^2-'THAM_SO_MOI'!$C$25*(E1475/'THAM_SO_MOI'!$C$22)^3)</f>
        <v>107.58568772735364</v>
      </c>
      <c r="K1475" s="75">
        <f>'THAM_SO_MOI'!$C$31*J1475/E1475</f>
        <v>427.3910460101488</v>
      </c>
      <c r="L1475" s="75">
        <f>K1475*'THAM_SO_MOI'!$C$50*'THAM_SO_MOI'!$C$17/'THAM_SO_MOI'!$C$26</f>
        <v>15258.443149810311</v>
      </c>
      <c r="M1475" s="75">
        <f>'THAM_SO_MOI'!$C$15*'THAM_SO_MOI'!$C$16*F1475^2</f>
        <v>105.10325045183328</v>
      </c>
      <c r="N1475" s="75">
        <f>'THAM_SO_MOI'!$C$12*I1475</f>
        <v>1130.112</v>
      </c>
      <c r="O1475" s="75">
        <f>M1475+N1475</f>
        <v>1235.2152504518333</v>
      </c>
      <c r="P1475" s="75">
        <f>(MIN(L1475,'THAM_SO_MOI'!$C$41)-O1475)/('THAM_SO_MOI'!$C$11*H1475)</f>
        <v>0.971973916913477</v>
      </c>
      <c r="Q1475" s="75">
        <f>IF(P1475&gt;0,1/P1475,NA())</f>
        <v>1.028834192563027</v>
      </c>
      <c r="R1475" s="75">
        <f>F1475-F1474</f>
        <v>0.003210604729687816</v>
      </c>
      <c r="S1475" s="75">
        <f>0.5*(Q1474+Q1475)*R1475</f>
        <v>0.0033030422090474126</v>
      </c>
      <c r="T1475" s="75">
        <f>0.5*(F1474*Q1474+F1475*Q1475)*R1475</f>
        <v>0.01979442756362762</v>
      </c>
      <c r="U1475" s="76">
        <f>U1474+S1475</f>
        <v>6.260516568578083</v>
      </c>
      <c r="V1475" s="76">
        <f>V1474+T1475</f>
        <v>22.708882863682845</v>
      </c>
    </row>
    <row r="1476" spans="1:22" ht="19" customHeight="1">
      <c r="A1476" s="68" t="s">
        <v>372</v>
      </c>
      <c r="B1476" s="74">
        <v>2</v>
      </c>
      <c r="C1476" s="68" t="s">
        <v>363</v>
      </c>
      <c r="D1476" s="68" t="s">
        <v>364</v>
      </c>
      <c r="E1476" s="75">
        <f>60*F1476*'THAM_SO_MOI'!$C$50/(2*PI()*'THAM_SO_MOI'!$C$26)</f>
        <v>2405.55308852443</v>
      </c>
      <c r="F1476" s="75">
        <f>'HANH_TRINH'!$F$826+('THAM_SO_MOI'!$F$50-'HANH_TRINH'!$F$826)*649/'THAM_SO_MOI'!$C$42</f>
        <v>5.997602583672</v>
      </c>
      <c r="G1476" s="75">
        <f>3.6*F1476</f>
        <v>21.591369301219203</v>
      </c>
      <c r="H1476" s="75">
        <f>'THAM_SO_MOI'!$D$50</f>
        <v>1.8785906709588276</v>
      </c>
      <c r="I1476" s="75">
        <f>IF(F1476&gt;'THAM_SO_MOI'!$C$14,'THAM_SO_MOI'!$C$13*(1+F1476^2/1500),'THAM_SO_MOI'!$C$13)</f>
        <v>0.015</v>
      </c>
      <c r="J1476" s="75">
        <f>'THAM_SO_MOI'!$C$40*('THAM_SO_MOI'!$C$23*(E1476/'THAM_SO_MOI'!$C$22)+'THAM_SO_MOI'!$C$24*(E1476/'THAM_SO_MOI'!$C$22)^2-'THAM_SO_MOI'!$C$25*(E1476/'THAM_SO_MOI'!$C$22)^3)</f>
        <v>107.63581452972875</v>
      </c>
      <c r="K1476" s="75">
        <f>'THAM_SO_MOI'!$C$31*J1476/E1476</f>
        <v>427.3612826473311</v>
      </c>
      <c r="L1476" s="75">
        <f>K1476*'THAM_SO_MOI'!$C$50*'THAM_SO_MOI'!$C$17/'THAM_SO_MOI'!$C$26</f>
        <v>15257.380557171227</v>
      </c>
      <c r="M1476" s="75">
        <f>'THAM_SO_MOI'!$C$15*'THAM_SO_MOI'!$C$16*F1476^2</f>
        <v>105.21586749863198</v>
      </c>
      <c r="N1476" s="75">
        <f>'THAM_SO_MOI'!$C$12*I1476</f>
        <v>1130.112</v>
      </c>
      <c r="O1476" s="75">
        <f>M1476+N1476</f>
        <v>1235.327867498632</v>
      </c>
      <c r="P1476" s="75">
        <f>(MIN(L1476,'THAM_SO_MOI'!$C$41)-O1476)/('THAM_SO_MOI'!$C$11*H1476)</f>
        <v>0.9718924611195772</v>
      </c>
      <c r="Q1476" s="75">
        <f>IF(P1476&gt;0,1/P1476,NA())</f>
        <v>1.028920420730545</v>
      </c>
      <c r="R1476" s="75">
        <f>F1476-F1475</f>
        <v>0.0032106047296860396</v>
      </c>
      <c r="S1476" s="75">
        <f>0.5*(Q1475+Q1476)*R1476</f>
        <v>0.0033033183469868047</v>
      </c>
      <c r="T1476" s="75">
        <f>0.5*(F1475*Q1475+F1476*Q1476)*R1476</f>
        <v>0.01980668805003455</v>
      </c>
      <c r="U1476" s="76">
        <f>U1475+S1476</f>
        <v>6.26381988692507</v>
      </c>
      <c r="V1476" s="76">
        <f>V1475+T1476</f>
        <v>22.72868955173288</v>
      </c>
    </row>
    <row r="1477" spans="1:22" ht="19" customHeight="1">
      <c r="A1477" s="68" t="s">
        <v>372</v>
      </c>
      <c r="B1477" s="74">
        <v>2</v>
      </c>
      <c r="C1477" s="68" t="s">
        <v>363</v>
      </c>
      <c r="D1477" s="68" t="s">
        <v>364</v>
      </c>
      <c r="E1477" s="75">
        <f>60*F1477*'THAM_SO_MOI'!$C$50/(2*PI()*'THAM_SO_MOI'!$C$26)</f>
        <v>2406.840816414997</v>
      </c>
      <c r="F1477" s="75">
        <f>'HANH_TRINH'!$F$826+('THAM_SO_MOI'!$F$50-'HANH_TRINH'!$F$826)*650/'THAM_SO_MOI'!$C$42</f>
        <v>6.000813188401687</v>
      </c>
      <c r="G1477" s="75">
        <f>3.6*F1477</f>
        <v>21.602927478246073</v>
      </c>
      <c r="H1477" s="75">
        <f>'THAM_SO_MOI'!$D$50</f>
        <v>1.8785906709588276</v>
      </c>
      <c r="I1477" s="75">
        <f>IF(F1477&gt;'THAM_SO_MOI'!$C$14,'THAM_SO_MOI'!$C$13*(1+F1477^2/1500),'THAM_SO_MOI'!$C$13)</f>
        <v>0.015</v>
      </c>
      <c r="J1477" s="75">
        <f>'THAM_SO_MOI'!$C$40*('THAM_SO_MOI'!$C$23*(E1477/'THAM_SO_MOI'!$C$22)+'THAM_SO_MOI'!$C$24*(E1477/'THAM_SO_MOI'!$C$22)^2-'THAM_SO_MOI'!$C$25*(E1477/'THAM_SO_MOI'!$C$22)^3)</f>
        <v>107.68589276668075</v>
      </c>
      <c r="K1477" s="75">
        <f>'THAM_SO_MOI'!$C$31*J1477/E1477</f>
        <v>427.3313584101812</v>
      </c>
      <c r="L1477" s="75">
        <f>K1477*'THAM_SO_MOI'!$C$50*'THAM_SO_MOI'!$C$17/'THAM_SO_MOI'!$C$26</f>
        <v>15256.312221099108</v>
      </c>
      <c r="M1477" s="75">
        <f>'THAM_SO_MOI'!$C$15*'THAM_SO_MOI'!$C$16*F1477^2</f>
        <v>105.3285448471297</v>
      </c>
      <c r="N1477" s="75">
        <f>'THAM_SO_MOI'!$C$12*I1477</f>
        <v>1130.112</v>
      </c>
      <c r="O1477" s="75">
        <f>M1477+N1477</f>
        <v>1235.4405448471298</v>
      </c>
      <c r="P1477" s="75">
        <f>(MIN(L1477,'THAM_SO_MOI'!$C$41)-O1477)/('THAM_SO_MOI'!$C$11*H1477)</f>
        <v>0.9718106030588934</v>
      </c>
      <c r="Q1477" s="75">
        <f>IF(P1477&gt;0,1/P1477,NA())</f>
        <v>1.0290070892953596</v>
      </c>
      <c r="R1477" s="75">
        <f>F1477-F1476</f>
        <v>0.0032106047296869278</v>
      </c>
      <c r="S1477" s="75">
        <f>0.5*(Q1476+Q1477)*R1477</f>
        <v>0.0033035958985210057</v>
      </c>
      <c r="T1477" s="75">
        <f>0.5*(F1476*Q1476+F1477*Q1477)*R1477</f>
        <v>0.01981895879003071</v>
      </c>
      <c r="U1477" s="76">
        <f>U1476+S1477</f>
        <v>6.267123482823591</v>
      </c>
      <c r="V1477" s="76">
        <f>V1476+T1477</f>
        <v>22.74850851052291</v>
      </c>
    </row>
    <row r="1478" spans="1:22" ht="19" customHeight="1">
      <c r="A1478" s="68" t="s">
        <v>372</v>
      </c>
      <c r="B1478" s="74">
        <v>2</v>
      </c>
      <c r="C1478" s="68" t="s">
        <v>363</v>
      </c>
      <c r="D1478" s="68" t="s">
        <v>364</v>
      </c>
      <c r="E1478" s="75">
        <f>60*F1478*'THAM_SO_MOI'!$C$50/(2*PI()*'THAM_SO_MOI'!$C$26)</f>
        <v>2408.128544305564</v>
      </c>
      <c r="F1478" s="75">
        <f>'HANH_TRINH'!$F$826+('THAM_SO_MOI'!$F$50-'HANH_TRINH'!$F$826)*651/'THAM_SO_MOI'!$C$42</f>
        <v>6.004023793131374</v>
      </c>
      <c r="G1478" s="75">
        <f>3.6*F1478</f>
        <v>21.614485655272947</v>
      </c>
      <c r="H1478" s="75">
        <f>'THAM_SO_MOI'!$D$50</f>
        <v>1.8785906709588276</v>
      </c>
      <c r="I1478" s="75">
        <f>IF(F1478&gt;'THAM_SO_MOI'!$C$14,'THAM_SO_MOI'!$C$13*(1+F1478^2/1500),'THAM_SO_MOI'!$C$13)</f>
        <v>0.015</v>
      </c>
      <c r="J1478" s="75">
        <f>'THAM_SO_MOI'!$C$40*('THAM_SO_MOI'!$C$23*(E1478/'THAM_SO_MOI'!$C$22)+'THAM_SO_MOI'!$C$24*(E1478/'THAM_SO_MOI'!$C$22)^2-'THAM_SO_MOI'!$C$25*(E1478/'THAM_SO_MOI'!$C$22)^3)</f>
        <v>107.73592237313993</v>
      </c>
      <c r="K1478" s="75">
        <f>'THAM_SO_MOI'!$C$31*J1478/E1478</f>
        <v>427.301273298699</v>
      </c>
      <c r="L1478" s="75">
        <f>K1478*'THAM_SO_MOI'!$C$50*'THAM_SO_MOI'!$C$17/'THAM_SO_MOI'!$C$26</f>
        <v>15255.238141593953</v>
      </c>
      <c r="M1478" s="75">
        <f>'THAM_SO_MOI'!$C$15*'THAM_SO_MOI'!$C$16*F1478^2</f>
        <v>105.4412824973264</v>
      </c>
      <c r="N1478" s="75">
        <f>'THAM_SO_MOI'!$C$12*I1478</f>
        <v>1130.112</v>
      </c>
      <c r="O1478" s="75">
        <f>M1478+N1478</f>
        <v>1235.5532824973266</v>
      </c>
      <c r="P1478" s="75">
        <f>(MIN(L1478,'THAM_SO_MOI'!$C$41)-O1478)/('THAM_SO_MOI'!$C$11*H1478)</f>
        <v>0.9717283427314264</v>
      </c>
      <c r="Q1478" s="75">
        <f>IF(P1478&gt;0,1/P1478,NA())</f>
        <v>1.0290941984764024</v>
      </c>
      <c r="R1478" s="75">
        <f>F1478-F1477</f>
        <v>0.0032106047296869278</v>
      </c>
      <c r="S1478" s="75">
        <f>0.5*(Q1477+Q1478)*R1478</f>
        <v>0.0033038748643473875</v>
      </c>
      <c r="T1478" s="75">
        <f>0.5*(F1477*Q1477+F1478*Q1478)*R1478</f>
        <v>0.019831239801417506</v>
      </c>
      <c r="U1478" s="76">
        <f>U1477+S1478</f>
        <v>6.270427357687938</v>
      </c>
      <c r="V1478" s="76">
        <f>V1477+T1478</f>
        <v>22.768339750324326</v>
      </c>
    </row>
    <row r="1479" spans="1:22" ht="19" customHeight="1">
      <c r="A1479" s="68" t="s">
        <v>372</v>
      </c>
      <c r="B1479" s="74">
        <v>2</v>
      </c>
      <c r="C1479" s="68" t="s">
        <v>363</v>
      </c>
      <c r="D1479" s="68" t="s">
        <v>364</v>
      </c>
      <c r="E1479" s="75">
        <f>60*F1479*'THAM_SO_MOI'!$C$50/(2*PI()*'THAM_SO_MOI'!$C$26)</f>
        <v>2409.4162721961306</v>
      </c>
      <c r="F1479" s="75">
        <f>'HANH_TRINH'!$F$826+('THAM_SO_MOI'!$F$50-'HANH_TRINH'!$F$826)*652/'THAM_SO_MOI'!$C$42</f>
        <v>6.007234397861061</v>
      </c>
      <c r="G1479" s="75">
        <f>3.6*F1479</f>
        <v>21.62604383229982</v>
      </c>
      <c r="H1479" s="75">
        <f>'THAM_SO_MOI'!$D$50</f>
        <v>1.8785906709588276</v>
      </c>
      <c r="I1479" s="75">
        <f>IF(F1479&gt;'THAM_SO_MOI'!$C$14,'THAM_SO_MOI'!$C$13*(1+F1479^2/1500),'THAM_SO_MOI'!$C$13)</f>
        <v>0.015</v>
      </c>
      <c r="J1479" s="75">
        <f>'THAM_SO_MOI'!$C$40*('THAM_SO_MOI'!$C$23*(E1479/'THAM_SO_MOI'!$C$22)+'THAM_SO_MOI'!$C$24*(E1479/'THAM_SO_MOI'!$C$22)^2-'THAM_SO_MOI'!$C$25*(E1479/'THAM_SO_MOI'!$C$22)^3)</f>
        <v>107.78590328403652</v>
      </c>
      <c r="K1479" s="75">
        <f>'THAM_SO_MOI'!$C$31*J1479/E1479</f>
        <v>427.2710273128844</v>
      </c>
      <c r="L1479" s="75">
        <f>K1479*'THAM_SO_MOI'!$C$50*'THAM_SO_MOI'!$C$17/'THAM_SO_MOI'!$C$26</f>
        <v>15254.158318655753</v>
      </c>
      <c r="M1479" s="75">
        <f>'THAM_SO_MOI'!$C$15*'THAM_SO_MOI'!$C$16*F1479^2</f>
        <v>105.55408044922206</v>
      </c>
      <c r="N1479" s="75">
        <f>'THAM_SO_MOI'!$C$12*I1479</f>
        <v>1130.112</v>
      </c>
      <c r="O1479" s="75">
        <f>M1479+N1479</f>
        <v>1235.6660804492221</v>
      </c>
      <c r="P1479" s="75">
        <f>(MIN(L1479,'THAM_SO_MOI'!$C$41)-O1479)/('THAM_SO_MOI'!$C$11*H1479)</f>
        <v>0.9716456801371751</v>
      </c>
      <c r="Q1479" s="75">
        <f>IF(P1479&gt;0,1/P1479,NA())</f>
        <v>1.0291817484937738</v>
      </c>
      <c r="R1479" s="75">
        <f>F1479-F1478</f>
        <v>0.0032106047296869278</v>
      </c>
      <c r="S1479" s="75">
        <f>0.5*(Q1478+Q1479)*R1479</f>
        <v>0.003304155245171644</v>
      </c>
      <c r="T1479" s="75">
        <f>0.5*(F1478*Q1478+F1479*Q1479)*R1479</f>
        <v>0.01984353110205528</v>
      </c>
      <c r="U1479" s="76">
        <f>U1478+S1479</f>
        <v>6.273731512933109</v>
      </c>
      <c r="V1479" s="76">
        <f>V1478+T1479</f>
        <v>22.78818328142638</v>
      </c>
    </row>
    <row r="1480" spans="1:22" ht="19" customHeight="1">
      <c r="A1480" s="68" t="s">
        <v>372</v>
      </c>
      <c r="B1480" s="74">
        <v>2</v>
      </c>
      <c r="C1480" s="68" t="s">
        <v>363</v>
      </c>
      <c r="D1480" s="68" t="s">
        <v>364</v>
      </c>
      <c r="E1480" s="75">
        <f>60*F1480*'THAM_SO_MOI'!$C$50/(2*PI()*'THAM_SO_MOI'!$C$26)</f>
        <v>2410.7040000866978</v>
      </c>
      <c r="F1480" s="75">
        <f>'HANH_TRINH'!$F$826+('THAM_SO_MOI'!$F$50-'HANH_TRINH'!$F$826)*653/'THAM_SO_MOI'!$C$42</f>
        <v>6.010445002590748</v>
      </c>
      <c r="G1480" s="75">
        <f>3.6*F1480</f>
        <v>21.63760200932669</v>
      </c>
      <c r="H1480" s="75">
        <f>'THAM_SO_MOI'!$D$50</f>
        <v>1.8785906709588276</v>
      </c>
      <c r="I1480" s="75">
        <f>IF(F1480&gt;'THAM_SO_MOI'!$C$14,'THAM_SO_MOI'!$C$13*(1+F1480^2/1500),'THAM_SO_MOI'!$C$13)</f>
        <v>0.015</v>
      </c>
      <c r="J1480" s="75">
        <f>'THAM_SO_MOI'!$C$40*('THAM_SO_MOI'!$C$23*(E1480/'THAM_SO_MOI'!$C$22)+'THAM_SO_MOI'!$C$24*(E1480/'THAM_SO_MOI'!$C$22)^2-'THAM_SO_MOI'!$C$25*(E1480/'THAM_SO_MOI'!$C$22)^3)</f>
        <v>107.83583543430099</v>
      </c>
      <c r="K1480" s="75">
        <f>'THAM_SO_MOI'!$C$31*J1480/E1480</f>
        <v>427.2406204527379</v>
      </c>
      <c r="L1480" s="75">
        <f>K1480*'THAM_SO_MOI'!$C$50*'THAM_SO_MOI'!$C$17/'THAM_SO_MOI'!$C$26</f>
        <v>15253.072752284534</v>
      </c>
      <c r="M1480" s="75">
        <f>'THAM_SO_MOI'!$C$15*'THAM_SO_MOI'!$C$16*F1480^2</f>
        <v>105.6669387028167</v>
      </c>
      <c r="N1480" s="75">
        <f>'THAM_SO_MOI'!$C$12*I1480</f>
        <v>1130.112</v>
      </c>
      <c r="O1480" s="75">
        <f>M1480+N1480</f>
        <v>1235.7789387028167</v>
      </c>
      <c r="P1480" s="75">
        <f>(MIN(L1480,'THAM_SO_MOI'!$C$41)-O1480)/('THAM_SO_MOI'!$C$11*H1480)</f>
        <v>0.9715626152761412</v>
      </c>
      <c r="Q1480" s="75">
        <f>IF(P1480&gt;0,1/P1480,NA())</f>
        <v>1.0292697395687422</v>
      </c>
      <c r="R1480" s="75">
        <f>F1480-F1479</f>
        <v>0.0032106047296869278</v>
      </c>
      <c r="S1480" s="75">
        <f>0.5*(Q1479+Q1480)*R1480</f>
        <v>0.0033044370417023043</v>
      </c>
      <c r="T1480" s="75">
        <f>0.5*(F1479*Q1479+F1480*Q1480)*R1480</f>
        <v>0.01985583270983047</v>
      </c>
      <c r="U1480" s="76">
        <f>U1479+S1480</f>
        <v>6.277035949974811</v>
      </c>
      <c r="V1480" s="76">
        <f>V1479+T1480</f>
        <v>22.80803911413621</v>
      </c>
    </row>
    <row r="1481" spans="1:22" ht="19" customHeight="1">
      <c r="A1481" s="68" t="s">
        <v>372</v>
      </c>
      <c r="B1481" s="74">
        <v>2</v>
      </c>
      <c r="C1481" s="68" t="s">
        <v>363</v>
      </c>
      <c r="D1481" s="68" t="s">
        <v>364</v>
      </c>
      <c r="E1481" s="75">
        <f>60*F1481*'THAM_SO_MOI'!$C$50/(2*PI()*'THAM_SO_MOI'!$C$26)</f>
        <v>2411.991727977264</v>
      </c>
      <c r="F1481" s="75">
        <f>'HANH_TRINH'!$F$826+('THAM_SO_MOI'!$F$50-'HANH_TRINH'!$F$826)*654/'THAM_SO_MOI'!$C$42</f>
        <v>6.013655607320434</v>
      </c>
      <c r="G1481" s="75">
        <f>3.6*F1481</f>
        <v>21.649160186353562</v>
      </c>
      <c r="H1481" s="75">
        <f>'THAM_SO_MOI'!$D$50</f>
        <v>1.8785906709588276</v>
      </c>
      <c r="I1481" s="75">
        <f>IF(F1481&gt;'THAM_SO_MOI'!$C$14,'THAM_SO_MOI'!$C$13*(1+F1481^2/1500),'THAM_SO_MOI'!$C$13)</f>
        <v>0.015</v>
      </c>
      <c r="J1481" s="75">
        <f>'THAM_SO_MOI'!$C$40*('THAM_SO_MOI'!$C$23*(E1481/'THAM_SO_MOI'!$C$22)+'THAM_SO_MOI'!$C$24*(E1481/'THAM_SO_MOI'!$C$22)^2-'THAM_SO_MOI'!$C$25*(E1481/'THAM_SO_MOI'!$C$22)^3)</f>
        <v>107.88571875886346</v>
      </c>
      <c r="K1481" s="75">
        <f>'THAM_SO_MOI'!$C$31*J1481/E1481</f>
        <v>427.210052718259</v>
      </c>
      <c r="L1481" s="75">
        <f>K1481*'THAM_SO_MOI'!$C$50*'THAM_SO_MOI'!$C$17/'THAM_SO_MOI'!$C$26</f>
        <v>15251.981442480272</v>
      </c>
      <c r="M1481" s="75">
        <f>'THAM_SO_MOI'!$C$15*'THAM_SO_MOI'!$C$16*F1481^2</f>
        <v>105.77985725811027</v>
      </c>
      <c r="N1481" s="75">
        <f>'THAM_SO_MOI'!$C$12*I1481</f>
        <v>1130.112</v>
      </c>
      <c r="O1481" s="75">
        <f>M1481+N1481</f>
        <v>1235.8918572581103</v>
      </c>
      <c r="P1481" s="75">
        <f>(MIN(L1481,'THAM_SO_MOI'!$C$41)-O1481)/('THAM_SO_MOI'!$C$11*H1481)</f>
        <v>0.9714791481483234</v>
      </c>
      <c r="Q1481" s="75">
        <f>IF(P1481&gt;0,1/P1481,NA())</f>
        <v>1.02935817192375</v>
      </c>
      <c r="R1481" s="75">
        <f>F1481-F1480</f>
        <v>0.0032106047296860396</v>
      </c>
      <c r="S1481" s="75">
        <f>0.5*(Q1480+Q1481)*R1481</f>
        <v>0.0033047202546507446</v>
      </c>
      <c r="T1481" s="75">
        <f>0.5*(F1480*Q1480+F1481*Q1481)*R1481</f>
        <v>0.01986814464265572</v>
      </c>
      <c r="U1481" s="76">
        <f>U1480+S1481</f>
        <v>6.280340670229462</v>
      </c>
      <c r="V1481" s="76">
        <f>V1480+T1481</f>
        <v>22.827907258778865</v>
      </c>
    </row>
    <row r="1482" spans="1:22" ht="19" customHeight="1">
      <c r="A1482" s="68" t="s">
        <v>372</v>
      </c>
      <c r="B1482" s="74">
        <v>2</v>
      </c>
      <c r="C1482" s="68" t="s">
        <v>363</v>
      </c>
      <c r="D1482" s="68" t="s">
        <v>364</v>
      </c>
      <c r="E1482" s="75">
        <f>60*F1482*'THAM_SO_MOI'!$C$50/(2*PI()*'THAM_SO_MOI'!$C$26)</f>
        <v>2413.279455867831</v>
      </c>
      <c r="F1482" s="75">
        <f>'HANH_TRINH'!$F$826+('THAM_SO_MOI'!$F$50-'HANH_TRINH'!$F$826)*655/'THAM_SO_MOI'!$C$42</f>
        <v>6.016866212050122</v>
      </c>
      <c r="G1482" s="75">
        <f>3.6*F1482</f>
        <v>21.66071836338044</v>
      </c>
      <c r="H1482" s="75">
        <f>'THAM_SO_MOI'!$D$50</f>
        <v>1.8785906709588276</v>
      </c>
      <c r="I1482" s="75">
        <f>IF(F1482&gt;'THAM_SO_MOI'!$C$14,'THAM_SO_MOI'!$C$13*(1+F1482^2/1500),'THAM_SO_MOI'!$C$13)</f>
        <v>0.015</v>
      </c>
      <c r="J1482" s="75">
        <f>'THAM_SO_MOI'!$C$40*('THAM_SO_MOI'!$C$23*(E1482/'THAM_SO_MOI'!$C$22)+'THAM_SO_MOI'!$C$24*(E1482/'THAM_SO_MOI'!$C$22)^2-'THAM_SO_MOI'!$C$25*(E1482/'THAM_SO_MOI'!$C$22)^3)</f>
        <v>107.93555319265428</v>
      </c>
      <c r="K1482" s="75">
        <f>'THAM_SO_MOI'!$C$31*J1482/E1482</f>
        <v>427.17932410944763</v>
      </c>
      <c r="L1482" s="75">
        <f>K1482*'THAM_SO_MOI'!$C$50*'THAM_SO_MOI'!$C$17/'THAM_SO_MOI'!$C$26</f>
        <v>15250.884389242963</v>
      </c>
      <c r="M1482" s="75">
        <f>'THAM_SO_MOI'!$C$15*'THAM_SO_MOI'!$C$16*F1482^2</f>
        <v>105.89283611510288</v>
      </c>
      <c r="N1482" s="75">
        <f>'THAM_SO_MOI'!$C$12*I1482</f>
        <v>1130.112</v>
      </c>
      <c r="O1482" s="75">
        <f>M1482+N1482</f>
        <v>1236.004836115103</v>
      </c>
      <c r="P1482" s="75">
        <f>(MIN(L1482,'THAM_SO_MOI'!$C$41)-O1482)/('THAM_SO_MOI'!$C$11*H1482)</f>
        <v>0.971395278753721</v>
      </c>
      <c r="Q1482" s="75">
        <f>IF(P1482&gt;0,1/P1482,NA())</f>
        <v>1.0294470457824112</v>
      </c>
      <c r="R1482" s="75">
        <f>F1482-F1481</f>
        <v>0.003210604729687816</v>
      </c>
      <c r="S1482" s="75">
        <f>0.5*(Q1481+Q1482)*R1482</f>
        <v>0.0033050048847366774</v>
      </c>
      <c r="T1482" s="75">
        <f>0.5*(F1481*Q1481+F1482*Q1482)*R1482</f>
        <v>0.01988046691850298</v>
      </c>
      <c r="U1482" s="76">
        <f>U1481+S1482</f>
        <v>6.283645675114198</v>
      </c>
      <c r="V1482" s="76">
        <f>V1481+T1482</f>
        <v>22.84778772569737</v>
      </c>
    </row>
    <row r="1483" spans="1:22" ht="19" customHeight="1">
      <c r="A1483" s="68" t="s">
        <v>372</v>
      </c>
      <c r="B1483" s="74">
        <v>2</v>
      </c>
      <c r="C1483" s="68" t="s">
        <v>363</v>
      </c>
      <c r="D1483" s="68" t="s">
        <v>364</v>
      </c>
      <c r="E1483" s="75">
        <f>60*F1483*'THAM_SO_MOI'!$C$50/(2*PI()*'THAM_SO_MOI'!$C$26)</f>
        <v>2414.5671837583973</v>
      </c>
      <c r="F1483" s="75">
        <f>'HANH_TRINH'!$F$826+('THAM_SO_MOI'!$F$50-'HANH_TRINH'!$F$826)*656/'THAM_SO_MOI'!$C$42</f>
        <v>6.020076816779808</v>
      </c>
      <c r="G1483" s="75">
        <f>3.6*F1483</f>
        <v>21.67227654040731</v>
      </c>
      <c r="H1483" s="75">
        <f>'THAM_SO_MOI'!$D$50</f>
        <v>1.8785906709588276</v>
      </c>
      <c r="I1483" s="75">
        <f>IF(F1483&gt;'THAM_SO_MOI'!$C$14,'THAM_SO_MOI'!$C$13*(1+F1483^2/1500),'THAM_SO_MOI'!$C$13)</f>
        <v>0.015</v>
      </c>
      <c r="J1483" s="75">
        <f>'THAM_SO_MOI'!$C$40*('THAM_SO_MOI'!$C$23*(E1483/'THAM_SO_MOI'!$C$22)+'THAM_SO_MOI'!$C$24*(E1483/'THAM_SO_MOI'!$C$22)^2-'THAM_SO_MOI'!$C$25*(E1483/'THAM_SO_MOI'!$C$22)^3)</f>
        <v>107.98533867060385</v>
      </c>
      <c r="K1483" s="75">
        <f>'THAM_SO_MOI'!$C$31*J1483/E1483</f>
        <v>427.1484346263045</v>
      </c>
      <c r="L1483" s="75">
        <f>K1483*'THAM_SO_MOI'!$C$50*'THAM_SO_MOI'!$C$17/'THAM_SO_MOI'!$C$26</f>
        <v>15249.781592572639</v>
      </c>
      <c r="M1483" s="75">
        <f>'THAM_SO_MOI'!$C$15*'THAM_SO_MOI'!$C$16*F1483^2</f>
        <v>106.0058752737944</v>
      </c>
      <c r="N1483" s="75">
        <f>'THAM_SO_MOI'!$C$12*I1483</f>
        <v>1130.112</v>
      </c>
      <c r="O1483" s="75">
        <f>M1483+N1483</f>
        <v>1236.1178752737944</v>
      </c>
      <c r="P1483" s="75">
        <f>(MIN(L1483,'THAM_SO_MOI'!$C$41)-O1483)/('THAM_SO_MOI'!$C$11*H1483)</f>
        <v>0.9713110070923366</v>
      </c>
      <c r="Q1483" s="75">
        <f>IF(P1483&gt;0,1/P1483,NA())</f>
        <v>1.0295363613695114</v>
      </c>
      <c r="R1483" s="75">
        <f>F1483-F1482</f>
        <v>0.0032106047296860396</v>
      </c>
      <c r="S1483" s="75">
        <f>0.5*(Q1482+Q1483)*R1483</f>
        <v>0.0033052909326735194</v>
      </c>
      <c r="T1483" s="75">
        <f>0.5*(F1482*Q1482+F1483*Q1483)*R1483</f>
        <v>0.01989279955531553</v>
      </c>
      <c r="U1483" s="76">
        <f>U1482+S1483</f>
        <v>6.286950966046872</v>
      </c>
      <c r="V1483" s="76">
        <f>V1482+T1483</f>
        <v>22.867680525252684</v>
      </c>
    </row>
    <row r="1484" spans="1:22" ht="19" customHeight="1">
      <c r="A1484" s="68" t="s">
        <v>372</v>
      </c>
      <c r="B1484" s="74">
        <v>2</v>
      </c>
      <c r="C1484" s="68" t="s">
        <v>363</v>
      </c>
      <c r="D1484" s="68" t="s">
        <v>364</v>
      </c>
      <c r="E1484" s="75">
        <f>60*F1484*'THAM_SO_MOI'!$C$50/(2*PI()*'THAM_SO_MOI'!$C$26)</f>
        <v>2415.854911648964</v>
      </c>
      <c r="F1484" s="75">
        <f>'HANH_TRINH'!$F$826+('THAM_SO_MOI'!$F$50-'HANH_TRINH'!$F$826)*657/'THAM_SO_MOI'!$C$42</f>
        <v>6.023287421509495</v>
      </c>
      <c r="G1484" s="75">
        <f>3.6*F1484</f>
        <v>21.68383471743418</v>
      </c>
      <c r="H1484" s="75">
        <f>'THAM_SO_MOI'!$D$50</f>
        <v>1.8785906709588276</v>
      </c>
      <c r="I1484" s="75">
        <f>IF(F1484&gt;'THAM_SO_MOI'!$C$14,'THAM_SO_MOI'!$C$13*(1+F1484^2/1500),'THAM_SO_MOI'!$C$13)</f>
        <v>0.015</v>
      </c>
      <c r="J1484" s="75">
        <f>'THAM_SO_MOI'!$C$40*('THAM_SO_MOI'!$C$23*(E1484/'THAM_SO_MOI'!$C$22)+'THAM_SO_MOI'!$C$24*(E1484/'THAM_SO_MOI'!$C$22)^2-'THAM_SO_MOI'!$C$25*(E1484/'THAM_SO_MOI'!$C$22)^3)</f>
        <v>108.03507512764237</v>
      </c>
      <c r="K1484" s="75">
        <f>'THAM_SO_MOI'!$C$31*J1484/E1484</f>
        <v>427.1173842688288</v>
      </c>
      <c r="L1484" s="75">
        <f>K1484*'THAM_SO_MOI'!$C$50*'THAM_SO_MOI'!$C$17/'THAM_SO_MOI'!$C$26</f>
        <v>15248.67305246927</v>
      </c>
      <c r="M1484" s="75">
        <f>'THAM_SO_MOI'!$C$15*'THAM_SO_MOI'!$C$16*F1484^2</f>
        <v>106.1189747341849</v>
      </c>
      <c r="N1484" s="75">
        <f>'THAM_SO_MOI'!$C$12*I1484</f>
        <v>1130.112</v>
      </c>
      <c r="O1484" s="75">
        <f>M1484+N1484</f>
        <v>1236.2309747341849</v>
      </c>
      <c r="P1484" s="75">
        <f>(MIN(L1484,'THAM_SO_MOI'!$C$41)-O1484)/('THAM_SO_MOI'!$C$11*H1484)</f>
        <v>0.971226333164168</v>
      </c>
      <c r="Q1484" s="75">
        <f>IF(P1484&gt;0,1/P1484,NA())</f>
        <v>1.0296261189110163</v>
      </c>
      <c r="R1484" s="75">
        <f>F1484-F1483</f>
        <v>0.0032106047296869278</v>
      </c>
      <c r="S1484" s="75">
        <f>0.5*(Q1483+Q1484)*R1484</f>
        <v>0.0033055783991912642</v>
      </c>
      <c r="T1484" s="75">
        <f>0.5*(F1483*Q1483+F1484*Q1484)*R1484</f>
        <v>0.01990514257114563</v>
      </c>
      <c r="U1484" s="76">
        <f>U1483+S1484</f>
        <v>6.290256544446063</v>
      </c>
      <c r="V1484" s="76">
        <f>V1483+T1484</f>
        <v>22.88758566782383</v>
      </c>
    </row>
    <row r="1485" spans="1:22" ht="19" customHeight="1">
      <c r="A1485" s="68" t="s">
        <v>372</v>
      </c>
      <c r="B1485" s="74">
        <v>2</v>
      </c>
      <c r="C1485" s="68" t="s">
        <v>363</v>
      </c>
      <c r="D1485" s="68" t="s">
        <v>364</v>
      </c>
      <c r="E1485" s="75">
        <f>60*F1485*'THAM_SO_MOI'!$C$50/(2*PI()*'THAM_SO_MOI'!$C$26)</f>
        <v>2417.1426395395306</v>
      </c>
      <c r="F1485" s="75">
        <f>'HANH_TRINH'!$F$826+('THAM_SO_MOI'!$F$50-'HANH_TRINH'!$F$826)*658/'THAM_SO_MOI'!$C$42</f>
        <v>6.026498026239182</v>
      </c>
      <c r="G1485" s="75">
        <f>3.6*F1485</f>
        <v>21.695392894461055</v>
      </c>
      <c r="H1485" s="75">
        <f>'THAM_SO_MOI'!$D$50</f>
        <v>1.8785906709588276</v>
      </c>
      <c r="I1485" s="75">
        <f>IF(F1485&gt;'THAM_SO_MOI'!$C$14,'THAM_SO_MOI'!$C$13*(1+F1485^2/1500),'THAM_SO_MOI'!$C$13)</f>
        <v>0.015</v>
      </c>
      <c r="J1485" s="75">
        <f>'THAM_SO_MOI'!$C$40*('THAM_SO_MOI'!$C$23*(E1485/'THAM_SO_MOI'!$C$22)+'THAM_SO_MOI'!$C$24*(E1485/'THAM_SO_MOI'!$C$22)^2-'THAM_SO_MOI'!$C$25*(E1485/'THAM_SO_MOI'!$C$22)^3)</f>
        <v>108.08476249870019</v>
      </c>
      <c r="K1485" s="75">
        <f>'THAM_SO_MOI'!$C$31*J1485/E1485</f>
        <v>427.08617303702096</v>
      </c>
      <c r="L1485" s="75">
        <f>K1485*'THAM_SO_MOI'!$C$50*'THAM_SO_MOI'!$C$17/'THAM_SO_MOI'!$C$26</f>
        <v>15247.558768932864</v>
      </c>
      <c r="M1485" s="75">
        <f>'THAM_SO_MOI'!$C$15*'THAM_SO_MOI'!$C$16*F1485^2</f>
        <v>106.23213449627441</v>
      </c>
      <c r="N1485" s="75">
        <f>'THAM_SO_MOI'!$C$12*I1485</f>
        <v>1130.112</v>
      </c>
      <c r="O1485" s="75">
        <f>M1485+N1485</f>
        <v>1236.3441344962746</v>
      </c>
      <c r="P1485" s="75">
        <f>(MIN(L1485,'THAM_SO_MOI'!$C$41)-O1485)/('THAM_SO_MOI'!$C$11*H1485)</f>
        <v>0.9711412569692155</v>
      </c>
      <c r="Q1485" s="75">
        <f>IF(P1485&gt;0,1/P1485,NA())</f>
        <v>1.0297163186340659</v>
      </c>
      <c r="R1485" s="75">
        <f>F1485-F1484</f>
        <v>0.0032106047296869278</v>
      </c>
      <c r="S1485" s="75">
        <f>0.5*(Q1484+Q1485)*R1485</f>
        <v>0.0033058672850136235</v>
      </c>
      <c r="T1485" s="75">
        <f>0.5*(F1484*Q1484+F1485*Q1485)*R1485</f>
        <v>0.01991749598401709</v>
      </c>
      <c r="U1485" s="76">
        <f>U1484+S1485</f>
        <v>6.2935624117310764</v>
      </c>
      <c r="V1485" s="76">
        <f>V1484+T1485</f>
        <v>22.90750316380785</v>
      </c>
    </row>
    <row r="1486" spans="1:22" ht="19" customHeight="1">
      <c r="A1486" s="68" t="s">
        <v>372</v>
      </c>
      <c r="B1486" s="74">
        <v>2</v>
      </c>
      <c r="C1486" s="68" t="s">
        <v>363</v>
      </c>
      <c r="D1486" s="68" t="s">
        <v>364</v>
      </c>
      <c r="E1486" s="75">
        <f>60*F1486*'THAM_SO_MOI'!$C$50/(2*PI()*'THAM_SO_MOI'!$C$26)</f>
        <v>2418.4303674300972</v>
      </c>
      <c r="F1486" s="75">
        <f>'HANH_TRINH'!$F$826+('THAM_SO_MOI'!$F$50-'HANH_TRINH'!$F$826)*659/'THAM_SO_MOI'!$C$42</f>
        <v>6.0297086309688686</v>
      </c>
      <c r="G1486" s="75">
        <f>3.6*F1486</f>
        <v>21.70695107148793</v>
      </c>
      <c r="H1486" s="75">
        <f>'THAM_SO_MOI'!$D$50</f>
        <v>1.8785906709588276</v>
      </c>
      <c r="I1486" s="75">
        <f>IF(F1486&gt;'THAM_SO_MOI'!$C$14,'THAM_SO_MOI'!$C$13*(1+F1486^2/1500),'THAM_SO_MOI'!$C$13)</f>
        <v>0.015</v>
      </c>
      <c r="J1486" s="75">
        <f>'THAM_SO_MOI'!$C$40*('THAM_SO_MOI'!$C$23*(E1486/'THAM_SO_MOI'!$C$22)+'THAM_SO_MOI'!$C$24*(E1486/'THAM_SO_MOI'!$C$22)^2-'THAM_SO_MOI'!$C$25*(E1486/'THAM_SO_MOI'!$C$22)^3)</f>
        <v>108.13440071870752</v>
      </c>
      <c r="K1486" s="75">
        <f>'THAM_SO_MOI'!$C$31*J1486/E1486</f>
        <v>427.0548009308807</v>
      </c>
      <c r="L1486" s="75">
        <f>K1486*'THAM_SO_MOI'!$C$50*'THAM_SO_MOI'!$C$17/'THAM_SO_MOI'!$C$26</f>
        <v>15246.438741963419</v>
      </c>
      <c r="M1486" s="75">
        <f>'THAM_SO_MOI'!$C$15*'THAM_SO_MOI'!$C$16*F1486^2</f>
        <v>106.34535456006287</v>
      </c>
      <c r="N1486" s="75">
        <f>'THAM_SO_MOI'!$C$12*I1486</f>
        <v>1130.112</v>
      </c>
      <c r="O1486" s="75">
        <f>M1486+N1486</f>
        <v>1236.4573545600629</v>
      </c>
      <c r="P1486" s="75">
        <f>(MIN(L1486,'THAM_SO_MOI'!$C$41)-O1486)/('THAM_SO_MOI'!$C$11*H1486)</f>
        <v>0.9710557785074793</v>
      </c>
      <c r="Q1486" s="75">
        <f>IF(P1486&gt;0,1/P1486,NA())</f>
        <v>1.029806960766979</v>
      </c>
      <c r="R1486" s="75">
        <f>F1486-F1485</f>
        <v>0.0032106047296869278</v>
      </c>
      <c r="S1486" s="75">
        <f>0.5*(Q1485+Q1486)*R1486</f>
        <v>0.0033061575908726634</v>
      </c>
      <c r="T1486" s="75">
        <f>0.5*(F1485*Q1485+F1486*Q1486)*R1486</f>
        <v>0.019929859812013354</v>
      </c>
      <c r="U1486" s="76">
        <f>U1485+S1486</f>
        <v>6.2968685693219495</v>
      </c>
      <c r="V1486" s="76">
        <f>V1485+T1486</f>
        <v>22.927433023619862</v>
      </c>
    </row>
    <row r="1487" spans="1:22" ht="19" customHeight="1">
      <c r="A1487" s="68" t="s">
        <v>372</v>
      </c>
      <c r="B1487" s="74">
        <v>2</v>
      </c>
      <c r="C1487" s="68" t="s">
        <v>363</v>
      </c>
      <c r="D1487" s="68" t="s">
        <v>364</v>
      </c>
      <c r="E1487" s="75">
        <f>60*F1487*'THAM_SO_MOI'!$C$50/(2*PI()*'THAM_SO_MOI'!$C$26)</f>
        <v>2419.718095320664</v>
      </c>
      <c r="F1487" s="75">
        <f>'HANH_TRINH'!$F$826+('THAM_SO_MOI'!$F$50-'HANH_TRINH'!$F$826)*660/'THAM_SO_MOI'!$C$42</f>
        <v>6.0329192356985555</v>
      </c>
      <c r="G1487" s="75">
        <f>3.6*F1487</f>
        <v>21.7185092485148</v>
      </c>
      <c r="H1487" s="75">
        <f>'THAM_SO_MOI'!$D$50</f>
        <v>1.8785906709588276</v>
      </c>
      <c r="I1487" s="75">
        <f>IF(F1487&gt;'THAM_SO_MOI'!$C$14,'THAM_SO_MOI'!$C$13*(1+F1487^2/1500),'THAM_SO_MOI'!$C$13)</f>
        <v>0.015</v>
      </c>
      <c r="J1487" s="75">
        <f>'THAM_SO_MOI'!$C$40*('THAM_SO_MOI'!$C$23*(E1487/'THAM_SO_MOI'!$C$22)+'THAM_SO_MOI'!$C$24*(E1487/'THAM_SO_MOI'!$C$22)^2-'THAM_SO_MOI'!$C$25*(E1487/'THAM_SO_MOI'!$C$22)^3)</f>
        <v>108.1839897225948</v>
      </c>
      <c r="K1487" s="75">
        <f>'THAM_SO_MOI'!$C$31*J1487/E1487</f>
        <v>427.0232679504083</v>
      </c>
      <c r="L1487" s="75">
        <f>K1487*'THAM_SO_MOI'!$C$50*'THAM_SO_MOI'!$C$17/'THAM_SO_MOI'!$C$26</f>
        <v>15245.31297156094</v>
      </c>
      <c r="M1487" s="75">
        <f>'THAM_SO_MOI'!$C$15*'THAM_SO_MOI'!$C$16*F1487^2</f>
        <v>106.45863492555031</v>
      </c>
      <c r="N1487" s="75">
        <f>'THAM_SO_MOI'!$C$12*I1487</f>
        <v>1130.112</v>
      </c>
      <c r="O1487" s="75">
        <f>M1487+N1487</f>
        <v>1236.5706349255504</v>
      </c>
      <c r="P1487" s="75">
        <f>(MIN(L1487,'THAM_SO_MOI'!$C$41)-O1487)/('THAM_SO_MOI'!$C$11*H1487)</f>
        <v>0.9709698977789596</v>
      </c>
      <c r="Q1487" s="75">
        <f>IF(P1487&gt;0,1/P1487,NA())</f>
        <v>1.0298980455392543</v>
      </c>
      <c r="R1487" s="75">
        <f>F1487-F1486</f>
        <v>0.0032106047296869278</v>
      </c>
      <c r="S1487" s="75">
        <f>0.5*(Q1486+Q1487)*R1487</f>
        <v>0.0033064493175033183</v>
      </c>
      <c r="T1487" s="75">
        <f>0.5*(F1486*Q1486+F1487*Q1487)*R1487</f>
        <v>0.01994223407324457</v>
      </c>
      <c r="U1487" s="76">
        <f>U1486+S1487</f>
        <v>6.300175018639453</v>
      </c>
      <c r="V1487" s="76">
        <f>V1486+T1487</f>
        <v>22.947375257693107</v>
      </c>
    </row>
    <row r="1488" spans="1:22" ht="19" customHeight="1">
      <c r="A1488" s="68" t="s">
        <v>372</v>
      </c>
      <c r="B1488" s="74">
        <v>2</v>
      </c>
      <c r="C1488" s="68" t="s">
        <v>363</v>
      </c>
      <c r="D1488" s="68" t="s">
        <v>364</v>
      </c>
      <c r="E1488" s="75">
        <f>60*F1488*'THAM_SO_MOI'!$C$50/(2*PI()*'THAM_SO_MOI'!$C$26)</f>
        <v>2421.00582321123</v>
      </c>
      <c r="F1488" s="75">
        <f>'HANH_TRINH'!$F$826+('THAM_SO_MOI'!$F$50-'HANH_TRINH'!$F$826)*661/'THAM_SO_MOI'!$C$42</f>
        <v>6.0361298404282415</v>
      </c>
      <c r="G1488" s="75">
        <f>3.6*F1488</f>
        <v>21.73006742554167</v>
      </c>
      <c r="H1488" s="75">
        <f>'THAM_SO_MOI'!$D$50</f>
        <v>1.8785906709588276</v>
      </c>
      <c r="I1488" s="75">
        <f>IF(F1488&gt;'THAM_SO_MOI'!$C$14,'THAM_SO_MOI'!$C$13*(1+F1488^2/1500),'THAM_SO_MOI'!$C$13)</f>
        <v>0.015</v>
      </c>
      <c r="J1488" s="75">
        <f>'THAM_SO_MOI'!$C$40*('THAM_SO_MOI'!$C$23*(E1488/'THAM_SO_MOI'!$C$22)+'THAM_SO_MOI'!$C$24*(E1488/'THAM_SO_MOI'!$C$22)^2-'THAM_SO_MOI'!$C$25*(E1488/'THAM_SO_MOI'!$C$22)^3)</f>
        <v>108.2335294452922</v>
      </c>
      <c r="K1488" s="75">
        <f>'THAM_SO_MOI'!$C$31*J1488/E1488</f>
        <v>426.9915740956036</v>
      </c>
      <c r="L1488" s="75">
        <f>K1488*'THAM_SO_MOI'!$C$50*'THAM_SO_MOI'!$C$17/'THAM_SO_MOI'!$C$26</f>
        <v>15244.181457725424</v>
      </c>
      <c r="M1488" s="75">
        <f>'THAM_SO_MOI'!$C$15*'THAM_SO_MOI'!$C$16*F1488^2</f>
        <v>106.57197559273669</v>
      </c>
      <c r="N1488" s="75">
        <f>'THAM_SO_MOI'!$C$12*I1488</f>
        <v>1130.112</v>
      </c>
      <c r="O1488" s="75">
        <f>M1488+N1488</f>
        <v>1236.6839755927367</v>
      </c>
      <c r="P1488" s="75">
        <f>(MIN(L1488,'THAM_SO_MOI'!$C$41)-O1488)/('THAM_SO_MOI'!$C$11*H1488)</f>
        <v>0.970883614783656</v>
      </c>
      <c r="Q1488" s="75">
        <f>IF(P1488&gt;0,1/P1488,NA())</f>
        <v>1.0299895731815725</v>
      </c>
      <c r="R1488" s="75">
        <f>F1488-F1487</f>
        <v>0.0032106047296860396</v>
      </c>
      <c r="S1488" s="75">
        <f>0.5*(Q1487+Q1488)*R1488</f>
        <v>0.0033067424656434</v>
      </c>
      <c r="T1488" s="75">
        <f>0.5*(F1487*Q1487+F1488*Q1488)*R1488</f>
        <v>0.019954618785847703</v>
      </c>
      <c r="U1488" s="76">
        <f>U1487+S1488</f>
        <v>6.303481761105096</v>
      </c>
      <c r="V1488" s="76">
        <f>V1487+T1488</f>
        <v>22.967329876478956</v>
      </c>
    </row>
    <row r="1489" spans="1:22" ht="19" customHeight="1">
      <c r="A1489" s="68" t="s">
        <v>372</v>
      </c>
      <c r="B1489" s="74">
        <v>2</v>
      </c>
      <c r="C1489" s="68" t="s">
        <v>363</v>
      </c>
      <c r="D1489" s="68" t="s">
        <v>364</v>
      </c>
      <c r="E1489" s="75">
        <f>60*F1489*'THAM_SO_MOI'!$C$50/(2*PI()*'THAM_SO_MOI'!$C$26)</f>
        <v>2422.2935511017977</v>
      </c>
      <c r="F1489" s="75">
        <f>'HANH_TRINH'!$F$826+('THAM_SO_MOI'!$F$50-'HANH_TRINH'!$F$826)*662/'THAM_SO_MOI'!$C$42</f>
        <v>6.039340445157929</v>
      </c>
      <c r="G1489" s="75">
        <f>3.6*F1489</f>
        <v>21.741625602568547</v>
      </c>
      <c r="H1489" s="75">
        <f>'THAM_SO_MOI'!$D$50</f>
        <v>1.8785906709588276</v>
      </c>
      <c r="I1489" s="75">
        <f>IF(F1489&gt;'THAM_SO_MOI'!$C$14,'THAM_SO_MOI'!$C$13*(1+F1489^2/1500),'THAM_SO_MOI'!$C$13)</f>
        <v>0.015</v>
      </c>
      <c r="J1489" s="75">
        <f>'THAM_SO_MOI'!$C$40*('THAM_SO_MOI'!$C$23*(E1489/'THAM_SO_MOI'!$C$22)+'THAM_SO_MOI'!$C$24*(E1489/'THAM_SO_MOI'!$C$22)^2-'THAM_SO_MOI'!$C$25*(E1489/'THAM_SO_MOI'!$C$22)^3)</f>
        <v>108.28301982173019</v>
      </c>
      <c r="K1489" s="75">
        <f>'THAM_SO_MOI'!$C$31*J1489/E1489</f>
        <v>426.95971936646674</v>
      </c>
      <c r="L1489" s="75">
        <f>K1489*'THAM_SO_MOI'!$C$50*'THAM_SO_MOI'!$C$17/'THAM_SO_MOI'!$C$26</f>
        <v>15243.044200456878</v>
      </c>
      <c r="M1489" s="75">
        <f>'THAM_SO_MOI'!$C$15*'THAM_SO_MOI'!$C$16*F1489^2</f>
        <v>106.6853765616221</v>
      </c>
      <c r="N1489" s="75">
        <f>'THAM_SO_MOI'!$C$12*I1489</f>
        <v>1130.112</v>
      </c>
      <c r="O1489" s="75">
        <f>M1489+N1489</f>
        <v>1236.7973765616223</v>
      </c>
      <c r="P1489" s="75">
        <f>(MIN(L1489,'THAM_SO_MOI'!$C$41)-O1489)/('THAM_SO_MOI'!$C$11*H1489)</f>
        <v>0.9707969295215696</v>
      </c>
      <c r="Q1489" s="75">
        <f>IF(P1489&gt;0,1/P1489,NA())</f>
        <v>1.0300815439257953</v>
      </c>
      <c r="R1489" s="75">
        <f>F1489-F1488</f>
        <v>0.003210604729687816</v>
      </c>
      <c r="S1489" s="75">
        <f>0.5*(Q1488+Q1489)*R1489</f>
        <v>0.0033070370360390893</v>
      </c>
      <c r="T1489" s="75">
        <f>0.5*(F1488*Q1488+F1489*Q1489)*R1489</f>
        <v>0.0199670139680197</v>
      </c>
      <c r="U1489" s="76">
        <f>U1488+S1489</f>
        <v>6.3067887981411355</v>
      </c>
      <c r="V1489" s="76">
        <f>V1488+T1489</f>
        <v>22.987296890446977</v>
      </c>
    </row>
    <row r="1490" spans="1:22" ht="19" customHeight="1">
      <c r="A1490" s="68" t="s">
        <v>372</v>
      </c>
      <c r="B1490" s="74">
        <v>2</v>
      </c>
      <c r="C1490" s="68" t="s">
        <v>363</v>
      </c>
      <c r="D1490" s="68" t="s">
        <v>364</v>
      </c>
      <c r="E1490" s="75">
        <f>60*F1490*'THAM_SO_MOI'!$C$50/(2*PI()*'THAM_SO_MOI'!$C$26)</f>
        <v>2423.581278992364</v>
      </c>
      <c r="F1490" s="75">
        <f>'HANH_TRINH'!$F$826+('THAM_SO_MOI'!$F$50-'HANH_TRINH'!$F$826)*663/'THAM_SO_MOI'!$C$42</f>
        <v>6.042551049887615</v>
      </c>
      <c r="G1490" s="75">
        <f>3.6*F1490</f>
        <v>21.753183779595417</v>
      </c>
      <c r="H1490" s="75">
        <f>'THAM_SO_MOI'!$D$50</f>
        <v>1.8785906709588276</v>
      </c>
      <c r="I1490" s="75">
        <f>IF(F1490&gt;'THAM_SO_MOI'!$C$14,'THAM_SO_MOI'!$C$13*(1+F1490^2/1500),'THAM_SO_MOI'!$C$13)</f>
        <v>0.015</v>
      </c>
      <c r="J1490" s="75">
        <f>'THAM_SO_MOI'!$C$40*('THAM_SO_MOI'!$C$23*(E1490/'THAM_SO_MOI'!$C$22)+'THAM_SO_MOI'!$C$24*(E1490/'THAM_SO_MOI'!$C$22)^2-'THAM_SO_MOI'!$C$25*(E1490/'THAM_SO_MOI'!$C$22)^3)</f>
        <v>108.33246078683888</v>
      </c>
      <c r="K1490" s="75">
        <f>'THAM_SO_MOI'!$C$31*J1490/E1490</f>
        <v>426.9277037629975</v>
      </c>
      <c r="L1490" s="75">
        <f>K1490*'THAM_SO_MOI'!$C$50*'THAM_SO_MOI'!$C$17/'THAM_SO_MOI'!$C$26</f>
        <v>15241.901199755288</v>
      </c>
      <c r="M1490" s="75">
        <f>'THAM_SO_MOI'!$C$15*'THAM_SO_MOI'!$C$16*F1490^2</f>
        <v>106.79883783220643</v>
      </c>
      <c r="N1490" s="75">
        <f>'THAM_SO_MOI'!$C$12*I1490</f>
        <v>1130.112</v>
      </c>
      <c r="O1490" s="75">
        <f>M1490+N1490</f>
        <v>1236.9108378322064</v>
      </c>
      <c r="P1490" s="75">
        <f>(MIN(L1490,'THAM_SO_MOI'!$C$41)-O1490)/('THAM_SO_MOI'!$C$11*H1490)</f>
        <v>0.9707098419926987</v>
      </c>
      <c r="Q1490" s="75">
        <f>IF(P1490&gt;0,1/P1490,NA())</f>
        <v>1.0301739580049727</v>
      </c>
      <c r="R1490" s="75">
        <f>F1490-F1489</f>
        <v>0.0032106047296860396</v>
      </c>
      <c r="S1490" s="75">
        <f>0.5*(Q1489+Q1490)*R1490</f>
        <v>0.003307333029430304</v>
      </c>
      <c r="T1490" s="75">
        <f>0.5*(F1489*Q1489+F1490*Q1490)*R1490</f>
        <v>0.01997941963792929</v>
      </c>
      <c r="U1490" s="76">
        <f>U1489+S1490</f>
        <v>6.310096131170566</v>
      </c>
      <c r="V1490" s="76">
        <f>V1489+T1490</f>
        <v>23.007276310084908</v>
      </c>
    </row>
    <row r="1491" spans="1:22" ht="19" customHeight="1">
      <c r="A1491" s="68" t="s">
        <v>372</v>
      </c>
      <c r="B1491" s="74">
        <v>2</v>
      </c>
      <c r="C1491" s="68" t="s">
        <v>363</v>
      </c>
      <c r="D1491" s="68" t="s">
        <v>364</v>
      </c>
      <c r="E1491" s="75">
        <f>60*F1491*'THAM_SO_MOI'!$C$50/(2*PI()*'THAM_SO_MOI'!$C$26)</f>
        <v>2424.8690068829305</v>
      </c>
      <c r="F1491" s="75">
        <f>'HANH_TRINH'!$F$826+('THAM_SO_MOI'!$F$50-'HANH_TRINH'!$F$826)*664/'THAM_SO_MOI'!$C$42</f>
        <v>6.045761654617302</v>
      </c>
      <c r="G1491" s="75">
        <f>3.6*F1491</f>
        <v>21.764741956622288</v>
      </c>
      <c r="H1491" s="75">
        <f>'THAM_SO_MOI'!$D$50</f>
        <v>1.8785906709588276</v>
      </c>
      <c r="I1491" s="75">
        <f>IF(F1491&gt;'THAM_SO_MOI'!$C$14,'THAM_SO_MOI'!$C$13*(1+F1491^2/1500),'THAM_SO_MOI'!$C$13)</f>
        <v>0.015</v>
      </c>
      <c r="J1491" s="75">
        <f>'THAM_SO_MOI'!$C$40*('THAM_SO_MOI'!$C$23*(E1491/'THAM_SO_MOI'!$C$22)+'THAM_SO_MOI'!$C$24*(E1491/'THAM_SO_MOI'!$C$22)^2-'THAM_SO_MOI'!$C$25*(E1491/'THAM_SO_MOI'!$C$22)^3)</f>
        <v>108.38185227554868</v>
      </c>
      <c r="K1491" s="75">
        <f>'THAM_SO_MOI'!$C$31*J1491/E1491</f>
        <v>426.8955272851961</v>
      </c>
      <c r="L1491" s="75">
        <f>K1491*'THAM_SO_MOI'!$C$50*'THAM_SO_MOI'!$C$17/'THAM_SO_MOI'!$C$26</f>
        <v>15240.752455620668</v>
      </c>
      <c r="M1491" s="75">
        <f>'THAM_SO_MOI'!$C$15*'THAM_SO_MOI'!$C$16*F1491^2</f>
        <v>106.91235940448978</v>
      </c>
      <c r="N1491" s="75">
        <f>'THAM_SO_MOI'!$C$12*I1491</f>
        <v>1130.112</v>
      </c>
      <c r="O1491" s="75">
        <f>M1491+N1491</f>
        <v>1237.0243594044898</v>
      </c>
      <c r="P1491" s="75">
        <f>(MIN(L1491,'THAM_SO_MOI'!$C$41)-O1491)/('THAM_SO_MOI'!$C$11*H1491)</f>
        <v>0.9706223521970447</v>
      </c>
      <c r="Q1491" s="75">
        <f>IF(P1491&gt;0,1/P1491,NA())</f>
        <v>1.0302668156533359</v>
      </c>
      <c r="R1491" s="75">
        <f>F1491-F1490</f>
        <v>0.0032106047296869278</v>
      </c>
      <c r="S1491" s="75">
        <f>0.5*(Q1490+Q1491)*R1491</f>
        <v>0.0033076304465735795</v>
      </c>
      <c r="T1491" s="75">
        <f>0.5*(F1490*Q1490+F1491*Q1491)*R1491</f>
        <v>0.019991835813855094</v>
      </c>
      <c r="U1491" s="76">
        <f>U1490+S1491</f>
        <v>6.313403761617139</v>
      </c>
      <c r="V1491" s="76">
        <f>V1490+T1491</f>
        <v>23.027268145898763</v>
      </c>
    </row>
    <row r="1492" spans="1:22" ht="19" customHeight="1">
      <c r="A1492" s="68" t="s">
        <v>372</v>
      </c>
      <c r="B1492" s="74">
        <v>2</v>
      </c>
      <c r="C1492" s="68" t="s">
        <v>363</v>
      </c>
      <c r="D1492" s="68" t="s">
        <v>364</v>
      </c>
      <c r="E1492" s="75">
        <f>60*F1492*'THAM_SO_MOI'!$C$50/(2*PI()*'THAM_SO_MOI'!$C$26)</f>
        <v>2426.1567347734976</v>
      </c>
      <c r="F1492" s="75">
        <f>'HANH_TRINH'!$F$826+('THAM_SO_MOI'!$F$50-'HANH_TRINH'!$F$826)*665/'THAM_SO_MOI'!$C$42</f>
        <v>6.048972259346989</v>
      </c>
      <c r="G1492" s="75">
        <f>3.6*F1492</f>
        <v>21.776300133649162</v>
      </c>
      <c r="H1492" s="75">
        <f>'THAM_SO_MOI'!$D$50</f>
        <v>1.8785906709588276</v>
      </c>
      <c r="I1492" s="75">
        <f>IF(F1492&gt;'THAM_SO_MOI'!$C$14,'THAM_SO_MOI'!$C$13*(1+F1492^2/1500),'THAM_SO_MOI'!$C$13)</f>
        <v>0.015</v>
      </c>
      <c r="J1492" s="75">
        <f>'THAM_SO_MOI'!$C$40*('THAM_SO_MOI'!$C$23*(E1492/'THAM_SO_MOI'!$C$22)+'THAM_SO_MOI'!$C$24*(E1492/'THAM_SO_MOI'!$C$22)^2-'THAM_SO_MOI'!$C$25*(E1492/'THAM_SO_MOI'!$C$22)^3)</f>
        <v>108.43119422278991</v>
      </c>
      <c r="K1492" s="75">
        <f>'THAM_SO_MOI'!$C$31*J1492/E1492</f>
        <v>426.86318993306253</v>
      </c>
      <c r="L1492" s="75">
        <f>K1492*'THAM_SO_MOI'!$C$50*'THAM_SO_MOI'!$C$17/'THAM_SO_MOI'!$C$26</f>
        <v>15239.597968053013</v>
      </c>
      <c r="M1492" s="75">
        <f>'THAM_SO_MOI'!$C$15*'THAM_SO_MOI'!$C$16*F1492^2</f>
        <v>107.02594127847206</v>
      </c>
      <c r="N1492" s="75">
        <f>'THAM_SO_MOI'!$C$12*I1492</f>
        <v>1130.112</v>
      </c>
      <c r="O1492" s="75">
        <f>M1492+N1492</f>
        <v>1237.1379412784722</v>
      </c>
      <c r="P1492" s="75">
        <f>(MIN(L1492,'THAM_SO_MOI'!$C$41)-O1492)/('THAM_SO_MOI'!$C$11*H1492)</f>
        <v>0.9705344601346071</v>
      </c>
      <c r="Q1492" s="75">
        <f>IF(P1492&gt;0,1/P1492,NA())</f>
        <v>1.0303601171063068</v>
      </c>
      <c r="R1492" s="75">
        <f>F1492-F1491</f>
        <v>0.0032106047296869278</v>
      </c>
      <c r="S1492" s="75">
        <f>0.5*(Q1491+Q1492)*R1492</f>
        <v>0.0033079292882191884</v>
      </c>
      <c r="T1492" s="75">
        <f>0.5*(F1491*Q1491+F1492*Q1492)*R1492</f>
        <v>0.020004262514047626</v>
      </c>
      <c r="U1492" s="76">
        <f>U1491+S1492</f>
        <v>6.3167116909053584</v>
      </c>
      <c r="V1492" s="76">
        <f>V1491+T1492</f>
        <v>23.04727240841281</v>
      </c>
    </row>
    <row r="1493" spans="1:22" ht="19" customHeight="1">
      <c r="A1493" s="68" t="s">
        <v>372</v>
      </c>
      <c r="B1493" s="74">
        <v>2</v>
      </c>
      <c r="C1493" s="68" t="s">
        <v>363</v>
      </c>
      <c r="D1493" s="68" t="s">
        <v>364</v>
      </c>
      <c r="E1493" s="75">
        <f>60*F1493*'THAM_SO_MOI'!$C$50/(2*PI()*'THAM_SO_MOI'!$C$26)</f>
        <v>2427.4444626640643</v>
      </c>
      <c r="F1493" s="75">
        <f>'HANH_TRINH'!$F$826+('THAM_SO_MOI'!$F$50-'HANH_TRINH'!$F$826)*666/'THAM_SO_MOI'!$C$42</f>
        <v>6.052182864076676</v>
      </c>
      <c r="G1493" s="75">
        <f>3.6*F1493</f>
        <v>21.787858310676036</v>
      </c>
      <c r="H1493" s="75">
        <f>'THAM_SO_MOI'!$D$50</f>
        <v>1.8785906709588276</v>
      </c>
      <c r="I1493" s="75">
        <f>IF(F1493&gt;'THAM_SO_MOI'!$C$14,'THAM_SO_MOI'!$C$13*(1+F1493^2/1500),'THAM_SO_MOI'!$C$13)</f>
        <v>0.015</v>
      </c>
      <c r="J1493" s="75">
        <f>'THAM_SO_MOI'!$C$40*('THAM_SO_MOI'!$C$23*(E1493/'THAM_SO_MOI'!$C$22)+'THAM_SO_MOI'!$C$24*(E1493/'THAM_SO_MOI'!$C$22)^2-'THAM_SO_MOI'!$C$25*(E1493/'THAM_SO_MOI'!$C$22)^3)</f>
        <v>108.48048656349278</v>
      </c>
      <c r="K1493" s="75">
        <f>'THAM_SO_MOI'!$C$31*J1493/E1493</f>
        <v>426.8306917065965</v>
      </c>
      <c r="L1493" s="75">
        <f>K1493*'THAM_SO_MOI'!$C$50*'THAM_SO_MOI'!$C$17/'THAM_SO_MOI'!$C$26</f>
        <v>15238.437737052314</v>
      </c>
      <c r="M1493" s="75">
        <f>'THAM_SO_MOI'!$C$15*'THAM_SO_MOI'!$C$16*F1493^2</f>
        <v>107.13958345415334</v>
      </c>
      <c r="N1493" s="75">
        <f>'THAM_SO_MOI'!$C$12*I1493</f>
        <v>1130.112</v>
      </c>
      <c r="O1493" s="75">
        <f>M1493+N1493</f>
        <v>1237.2515834541534</v>
      </c>
      <c r="P1493" s="75">
        <f>(MIN(L1493,'THAM_SO_MOI'!$C$41)-O1493)/('THAM_SO_MOI'!$C$11*H1493)</f>
        <v>0.9704461658053856</v>
      </c>
      <c r="Q1493" s="75">
        <f>IF(P1493&gt;0,1/P1493,NA())</f>
        <v>1.030453862600495</v>
      </c>
      <c r="R1493" s="75">
        <f>F1493-F1492</f>
        <v>0.0032106047296869278</v>
      </c>
      <c r="S1493" s="75">
        <f>0.5*(Q1492+Q1493)*R1493</f>
        <v>0.0033082295551257993</v>
      </c>
      <c r="T1493" s="75">
        <f>0.5*(F1492*Q1492+F1493*Q1493)*R1493</f>
        <v>0.020016699756817812</v>
      </c>
      <c r="U1493" s="76">
        <f>U1492+S1493</f>
        <v>6.320019920460484</v>
      </c>
      <c r="V1493" s="76">
        <f>V1492+T1493</f>
        <v>23.067289108169625</v>
      </c>
    </row>
    <row r="1494" spans="1:22" ht="19" customHeight="1">
      <c r="A1494" s="68" t="s">
        <v>372</v>
      </c>
      <c r="B1494" s="74">
        <v>2</v>
      </c>
      <c r="C1494" s="68" t="s">
        <v>363</v>
      </c>
      <c r="D1494" s="68" t="s">
        <v>364</v>
      </c>
      <c r="E1494" s="75">
        <f>60*F1494*'THAM_SO_MOI'!$C$50/(2*PI()*'THAM_SO_MOI'!$C$26)</f>
        <v>2428.7321905546314</v>
      </c>
      <c r="F1494" s="75">
        <f>'HANH_TRINH'!$F$826+('THAM_SO_MOI'!$F$50-'HANH_TRINH'!$F$826)*667/'THAM_SO_MOI'!$C$42</f>
        <v>6.055393468806363</v>
      </c>
      <c r="G1494" s="75">
        <f>3.6*F1494</f>
        <v>21.799416487702906</v>
      </c>
      <c r="H1494" s="75">
        <f>'THAM_SO_MOI'!$D$50</f>
        <v>1.8785906709588276</v>
      </c>
      <c r="I1494" s="75">
        <f>IF(F1494&gt;'THAM_SO_MOI'!$C$14,'THAM_SO_MOI'!$C$13*(1+F1494^2/1500),'THAM_SO_MOI'!$C$13)</f>
        <v>0.015</v>
      </c>
      <c r="J1494" s="75">
        <f>'THAM_SO_MOI'!$C$40*('THAM_SO_MOI'!$C$23*(E1494/'THAM_SO_MOI'!$C$22)+'THAM_SO_MOI'!$C$24*(E1494/'THAM_SO_MOI'!$C$22)^2-'THAM_SO_MOI'!$C$25*(E1494/'THAM_SO_MOI'!$C$22)^3)</f>
        <v>108.52972923258768</v>
      </c>
      <c r="K1494" s="75">
        <f>'THAM_SO_MOI'!$C$31*J1494/E1494</f>
        <v>426.7980326057984</v>
      </c>
      <c r="L1494" s="75">
        <f>K1494*'THAM_SO_MOI'!$C$50*'THAM_SO_MOI'!$C$17/'THAM_SO_MOI'!$C$26</f>
        <v>15237.27176261859</v>
      </c>
      <c r="M1494" s="75">
        <f>'THAM_SO_MOI'!$C$15*'THAM_SO_MOI'!$C$16*F1494^2</f>
        <v>107.25328593153357</v>
      </c>
      <c r="N1494" s="75">
        <f>'THAM_SO_MOI'!$C$12*I1494</f>
        <v>1130.112</v>
      </c>
      <c r="O1494" s="75">
        <f>M1494+N1494</f>
        <v>1237.3652859315337</v>
      </c>
      <c r="P1494" s="75">
        <f>(MIN(L1494,'THAM_SO_MOI'!$C$41)-O1494)/('THAM_SO_MOI'!$C$11*H1494)</f>
        <v>0.9703574692093806</v>
      </c>
      <c r="Q1494" s="75">
        <f>IF(P1494&gt;0,1/P1494,NA())</f>
        <v>1.0305480523737003</v>
      </c>
      <c r="R1494" s="75">
        <f>F1494-F1493</f>
        <v>0.0032106047296869278</v>
      </c>
      <c r="S1494" s="75">
        <f>0.5*(Q1493+Q1494)*R1494</f>
        <v>0.003308531248054983</v>
      </c>
      <c r="T1494" s="75">
        <f>0.5*(F1493*Q1493+F1494*Q1494)*R1494</f>
        <v>0.02002914756050389</v>
      </c>
      <c r="U1494" s="76">
        <f>U1493+S1494</f>
        <v>6.323328451708539</v>
      </c>
      <c r="V1494" s="76">
        <f>V1493+T1494</f>
        <v>23.08731825573013</v>
      </c>
    </row>
    <row r="1495" spans="1:22" ht="19" customHeight="1">
      <c r="A1495" s="68" t="s">
        <v>372</v>
      </c>
      <c r="B1495" s="74">
        <v>2</v>
      </c>
      <c r="C1495" s="68" t="s">
        <v>363</v>
      </c>
      <c r="D1495" s="68" t="s">
        <v>364</v>
      </c>
      <c r="E1495" s="75">
        <f>60*F1495*'THAM_SO_MOI'!$C$50/(2*PI()*'THAM_SO_MOI'!$C$26)</f>
        <v>2430.0199184451976</v>
      </c>
      <c r="F1495" s="75">
        <f>'HANH_TRINH'!$F$826+('THAM_SO_MOI'!$F$50-'HANH_TRINH'!$F$826)*668/'THAM_SO_MOI'!$C$42</f>
        <v>6.058604073536049</v>
      </c>
      <c r="G1495" s="75">
        <f>3.6*F1495</f>
        <v>21.810974664729777</v>
      </c>
      <c r="H1495" s="75">
        <f>'THAM_SO_MOI'!$D$50</f>
        <v>1.8785906709588276</v>
      </c>
      <c r="I1495" s="75">
        <f>IF(F1495&gt;'THAM_SO_MOI'!$C$14,'THAM_SO_MOI'!$C$13*(1+F1495^2/1500),'THAM_SO_MOI'!$C$13)</f>
        <v>0.015</v>
      </c>
      <c r="J1495" s="75">
        <f>'THAM_SO_MOI'!$C$40*('THAM_SO_MOI'!$C$23*(E1495/'THAM_SO_MOI'!$C$22)+'THAM_SO_MOI'!$C$24*(E1495/'THAM_SO_MOI'!$C$22)^2-'THAM_SO_MOI'!$C$25*(E1495/'THAM_SO_MOI'!$C$22)^3)</f>
        <v>108.57892216500481</v>
      </c>
      <c r="K1495" s="75">
        <f>'THAM_SO_MOI'!$C$31*J1495/E1495</f>
        <v>426.765212630668</v>
      </c>
      <c r="L1495" s="75">
        <f>K1495*'THAM_SO_MOI'!$C$50*'THAM_SO_MOI'!$C$17/'THAM_SO_MOI'!$C$26</f>
        <v>15236.100044751822</v>
      </c>
      <c r="M1495" s="75">
        <f>'THAM_SO_MOI'!$C$15*'THAM_SO_MOI'!$C$16*F1495^2</f>
        <v>107.36704871061276</v>
      </c>
      <c r="N1495" s="75">
        <f>'THAM_SO_MOI'!$C$12*I1495</f>
        <v>1130.112</v>
      </c>
      <c r="O1495" s="75">
        <f>M1495+N1495</f>
        <v>1237.479048710613</v>
      </c>
      <c r="P1495" s="75">
        <f>(MIN(L1495,'THAM_SO_MOI'!$C$41)-O1495)/('THAM_SO_MOI'!$C$11*H1495)</f>
        <v>0.970268370346592</v>
      </c>
      <c r="Q1495" s="75">
        <f>IF(P1495&gt;0,1/P1495,NA())</f>
        <v>1.0306426866649148</v>
      </c>
      <c r="R1495" s="75">
        <f>F1495-F1494</f>
        <v>0.0032106047296860396</v>
      </c>
      <c r="S1495" s="75">
        <f>0.5*(Q1494+Q1495)*R1495</f>
        <v>0.0033088343677712202</v>
      </c>
      <c r="T1495" s="75">
        <f>0.5*(F1494*Q1494+F1495*Q1495)*R1495</f>
        <v>0.0200416059434715</v>
      </c>
      <c r="U1495" s="76">
        <f>U1494+S1495</f>
        <v>6.32663728607631</v>
      </c>
      <c r="V1495" s="76">
        <f>V1494+T1495</f>
        <v>23.1073598616736</v>
      </c>
    </row>
    <row r="1496" spans="1:22" ht="19" customHeight="1">
      <c r="A1496" s="68" t="s">
        <v>372</v>
      </c>
      <c r="B1496" s="74">
        <v>2</v>
      </c>
      <c r="C1496" s="68" t="s">
        <v>363</v>
      </c>
      <c r="D1496" s="68" t="s">
        <v>364</v>
      </c>
      <c r="E1496" s="75">
        <f>60*F1496*'THAM_SO_MOI'!$C$50/(2*PI()*'THAM_SO_MOI'!$C$26)</f>
        <v>2431.3076463357647</v>
      </c>
      <c r="F1496" s="75">
        <f>'HANH_TRINH'!$F$826+('THAM_SO_MOI'!$F$50-'HANH_TRINH'!$F$826)*669/'THAM_SO_MOI'!$C$42</f>
        <v>6.061814678265737</v>
      </c>
      <c r="G1496" s="75">
        <f>3.6*F1496</f>
        <v>21.822532841756654</v>
      </c>
      <c r="H1496" s="75">
        <f>'THAM_SO_MOI'!$D$50</f>
        <v>1.8785906709588276</v>
      </c>
      <c r="I1496" s="75">
        <f>IF(F1496&gt;'THAM_SO_MOI'!$C$14,'THAM_SO_MOI'!$C$13*(1+F1496^2/1500),'THAM_SO_MOI'!$C$13)</f>
        <v>0.015</v>
      </c>
      <c r="J1496" s="75">
        <f>'THAM_SO_MOI'!$C$40*('THAM_SO_MOI'!$C$23*(E1496/'THAM_SO_MOI'!$C$22)+'THAM_SO_MOI'!$C$24*(E1496/'THAM_SO_MOI'!$C$22)^2-'THAM_SO_MOI'!$C$25*(E1496/'THAM_SO_MOI'!$C$22)^3)</f>
        <v>108.62806529567459</v>
      </c>
      <c r="K1496" s="75">
        <f>'THAM_SO_MOI'!$C$31*J1496/E1496</f>
        <v>426.73223178120526</v>
      </c>
      <c r="L1496" s="75">
        <f>K1496*'THAM_SO_MOI'!$C$50*'THAM_SO_MOI'!$C$17/'THAM_SO_MOI'!$C$26</f>
        <v>15234.922583452018</v>
      </c>
      <c r="M1496" s="75">
        <f>'THAM_SO_MOI'!$C$15*'THAM_SO_MOI'!$C$16*F1496^2</f>
        <v>107.48087179139098</v>
      </c>
      <c r="N1496" s="75">
        <f>'THAM_SO_MOI'!$C$12*I1496</f>
        <v>1130.112</v>
      </c>
      <c r="O1496" s="75">
        <f>M1496+N1496</f>
        <v>1237.592871791391</v>
      </c>
      <c r="P1496" s="75">
        <f>(MIN(L1496,'THAM_SO_MOI'!$C$41)-O1496)/('THAM_SO_MOI'!$C$11*H1496)</f>
        <v>0.9701788692170196</v>
      </c>
      <c r="Q1496" s="75">
        <f>IF(P1496&gt;0,1/P1496,NA())</f>
        <v>1.030737765714324</v>
      </c>
      <c r="R1496" s="75">
        <f>F1496-F1495</f>
        <v>0.003210604729687816</v>
      </c>
      <c r="S1496" s="75">
        <f>0.5*(Q1495+Q1496)*R1496</f>
        <v>0.003309138915047397</v>
      </c>
      <c r="T1496" s="75">
        <f>0.5*(F1495*Q1495+F1496*Q1496)*R1496</f>
        <v>0.020054074924147042</v>
      </c>
      <c r="U1496" s="76">
        <f>U1495+S1496</f>
        <v>6.329946424991357</v>
      </c>
      <c r="V1496" s="76">
        <f>V1495+T1496</f>
        <v>23.127413936597748</v>
      </c>
    </row>
    <row r="1497" spans="1:22" ht="19" customHeight="1">
      <c r="A1497" s="68" t="s">
        <v>372</v>
      </c>
      <c r="B1497" s="74">
        <v>2</v>
      </c>
      <c r="C1497" s="68" t="s">
        <v>363</v>
      </c>
      <c r="D1497" s="68" t="s">
        <v>364</v>
      </c>
      <c r="E1497" s="75">
        <f>60*F1497*'THAM_SO_MOI'!$C$50/(2*PI()*'THAM_SO_MOI'!$C$26)</f>
        <v>2432.595374226331</v>
      </c>
      <c r="F1497" s="75">
        <f>'HANH_TRINH'!$F$826+('THAM_SO_MOI'!$F$50-'HANH_TRINH'!$F$826)*670/'THAM_SO_MOI'!$C$42</f>
        <v>6.065025282995423</v>
      </c>
      <c r="G1497" s="75">
        <f>3.6*F1497</f>
        <v>21.834091018783525</v>
      </c>
      <c r="H1497" s="75">
        <f>'THAM_SO_MOI'!$D$50</f>
        <v>1.8785906709588276</v>
      </c>
      <c r="I1497" s="75">
        <f>IF(F1497&gt;'THAM_SO_MOI'!$C$14,'THAM_SO_MOI'!$C$13*(1+F1497^2/1500),'THAM_SO_MOI'!$C$13)</f>
        <v>0.015</v>
      </c>
      <c r="J1497" s="75">
        <f>'THAM_SO_MOI'!$C$40*('THAM_SO_MOI'!$C$23*(E1497/'THAM_SO_MOI'!$C$22)+'THAM_SO_MOI'!$C$24*(E1497/'THAM_SO_MOI'!$C$22)^2-'THAM_SO_MOI'!$C$25*(E1497/'THAM_SO_MOI'!$C$22)^3)</f>
        <v>108.67715855952726</v>
      </c>
      <c r="K1497" s="75">
        <f>'THAM_SO_MOI'!$C$31*J1497/E1497</f>
        <v>426.69909005741044</v>
      </c>
      <c r="L1497" s="75">
        <f>K1497*'THAM_SO_MOI'!$C$50*'THAM_SO_MOI'!$C$17/'THAM_SO_MOI'!$C$26</f>
        <v>15233.739378719185</v>
      </c>
      <c r="M1497" s="75">
        <f>'THAM_SO_MOI'!$C$15*'THAM_SO_MOI'!$C$16*F1497^2</f>
        <v>107.59475517386811</v>
      </c>
      <c r="N1497" s="75">
        <f>'THAM_SO_MOI'!$C$12*I1497</f>
        <v>1130.112</v>
      </c>
      <c r="O1497" s="75">
        <f>M1497+N1497</f>
        <v>1237.7067551738683</v>
      </c>
      <c r="P1497" s="75">
        <f>(MIN(L1497,'THAM_SO_MOI'!$C$41)-O1497)/('THAM_SO_MOI'!$C$11*H1497)</f>
        <v>0.9700889658206642</v>
      </c>
      <c r="Q1497" s="75">
        <f>IF(P1497&gt;0,1/P1497,NA())</f>
        <v>1.0308332897633075</v>
      </c>
      <c r="R1497" s="75">
        <f>F1497-F1496</f>
        <v>0.0032106047296860396</v>
      </c>
      <c r="S1497" s="75">
        <f>0.5*(Q1496+Q1497)*R1497</f>
        <v>0.0033094448906501616</v>
      </c>
      <c r="T1497" s="75">
        <f>0.5*(F1496*Q1496+F1497*Q1497)*R1497</f>
        <v>0.020066554520929036</v>
      </c>
      <c r="U1497" s="76">
        <f>U1496+S1497</f>
        <v>6.333255869882008</v>
      </c>
      <c r="V1497" s="76">
        <f>V1496+T1497</f>
        <v>23.147480491118678</v>
      </c>
    </row>
    <row r="1498" spans="1:22" ht="19" customHeight="1">
      <c r="A1498" s="68" t="s">
        <v>372</v>
      </c>
      <c r="B1498" s="74">
        <v>2</v>
      </c>
      <c r="C1498" s="68" t="s">
        <v>363</v>
      </c>
      <c r="D1498" s="68" t="s">
        <v>364</v>
      </c>
      <c r="E1498" s="75">
        <f>60*F1498*'THAM_SO_MOI'!$C$50/(2*PI()*'THAM_SO_MOI'!$C$26)</f>
        <v>2433.8831021168976</v>
      </c>
      <c r="F1498" s="75">
        <f>'HANH_TRINH'!$F$826+('THAM_SO_MOI'!$F$50-'HANH_TRINH'!$F$826)*671/'THAM_SO_MOI'!$C$42</f>
        <v>6.06823588772511</v>
      </c>
      <c r="G1498" s="75">
        <f>3.6*F1498</f>
        <v>21.845649195810395</v>
      </c>
      <c r="H1498" s="75">
        <f>'THAM_SO_MOI'!$D$50</f>
        <v>1.8785906709588276</v>
      </c>
      <c r="I1498" s="75">
        <f>IF(F1498&gt;'THAM_SO_MOI'!$C$14,'THAM_SO_MOI'!$C$13*(1+F1498^2/1500),'THAM_SO_MOI'!$C$13)</f>
        <v>0.015</v>
      </c>
      <c r="J1498" s="75">
        <f>'THAM_SO_MOI'!$C$40*('THAM_SO_MOI'!$C$23*(E1498/'THAM_SO_MOI'!$C$22)+'THAM_SO_MOI'!$C$24*(E1498/'THAM_SO_MOI'!$C$22)^2-'THAM_SO_MOI'!$C$25*(E1498/'THAM_SO_MOI'!$C$22)^3)</f>
        <v>108.72620189149312</v>
      </c>
      <c r="K1498" s="75">
        <f>'THAM_SO_MOI'!$C$31*J1498/E1498</f>
        <v>426.66578745928337</v>
      </c>
      <c r="L1498" s="75">
        <f>K1498*'THAM_SO_MOI'!$C$50*'THAM_SO_MOI'!$C$17/'THAM_SO_MOI'!$C$26</f>
        <v>15232.550430553316</v>
      </c>
      <c r="M1498" s="75">
        <f>'THAM_SO_MOI'!$C$15*'THAM_SO_MOI'!$C$16*F1498^2</f>
        <v>107.70869885804426</v>
      </c>
      <c r="N1498" s="75">
        <f>'THAM_SO_MOI'!$C$12*I1498</f>
        <v>1130.112</v>
      </c>
      <c r="O1498" s="75">
        <f>M1498+N1498</f>
        <v>1237.8206988580444</v>
      </c>
      <c r="P1498" s="75">
        <f>(MIN(L1498,'THAM_SO_MOI'!$C$41)-O1498)/('THAM_SO_MOI'!$C$11*H1498)</f>
        <v>0.969998660157525</v>
      </c>
      <c r="Q1498" s="75">
        <f>IF(P1498&gt;0,1/P1498,NA())</f>
        <v>1.0309292590544432</v>
      </c>
      <c r="R1498" s="75">
        <f>F1498-F1497</f>
        <v>0.0032106047296869278</v>
      </c>
      <c r="S1498" s="75">
        <f>0.5*(Q1497+Q1498)*R1498</f>
        <v>0.0033097522953628227</v>
      </c>
      <c r="T1498" s="75">
        <f>0.5*(F1497*Q1497+F1498*Q1498)*R1498</f>
        <v>0.020079044752326896</v>
      </c>
      <c r="U1498" s="76">
        <f>U1497+S1498</f>
        <v>6.33656562217737</v>
      </c>
      <c r="V1498" s="76">
        <f>V1497+T1498</f>
        <v>23.167559535871003</v>
      </c>
    </row>
    <row r="1499" spans="1:22" ht="19" customHeight="1">
      <c r="A1499" s="68" t="s">
        <v>372</v>
      </c>
      <c r="B1499" s="74">
        <v>2</v>
      </c>
      <c r="C1499" s="68" t="s">
        <v>363</v>
      </c>
      <c r="D1499" s="68" t="s">
        <v>364</v>
      </c>
      <c r="E1499" s="75">
        <f>60*F1499*'THAM_SO_MOI'!$C$50/(2*PI()*'THAM_SO_MOI'!$C$26)</f>
        <v>2435.1708300074642</v>
      </c>
      <c r="F1499" s="75">
        <f>'HANH_TRINH'!$F$826+('THAM_SO_MOI'!$F$50-'HANH_TRINH'!$F$826)*672/'THAM_SO_MOI'!$C$42</f>
        <v>6.071446492454797</v>
      </c>
      <c r="G1499" s="75">
        <f>3.6*F1499</f>
        <v>21.85720737283727</v>
      </c>
      <c r="H1499" s="75">
        <f>'THAM_SO_MOI'!$D$50</f>
        <v>1.8785906709588276</v>
      </c>
      <c r="I1499" s="75">
        <f>IF(F1499&gt;'THAM_SO_MOI'!$C$14,'THAM_SO_MOI'!$C$13*(1+F1499^2/1500),'THAM_SO_MOI'!$C$13)</f>
        <v>0.015</v>
      </c>
      <c r="J1499" s="75">
        <f>'THAM_SO_MOI'!$C$40*('THAM_SO_MOI'!$C$23*(E1499/'THAM_SO_MOI'!$C$22)+'THAM_SO_MOI'!$C$24*(E1499/'THAM_SO_MOI'!$C$22)^2-'THAM_SO_MOI'!$C$25*(E1499/'THAM_SO_MOI'!$C$22)^3)</f>
        <v>108.77519522650248</v>
      </c>
      <c r="K1499" s="75">
        <f>'THAM_SO_MOI'!$C$31*J1499/E1499</f>
        <v>426.632323986824</v>
      </c>
      <c r="L1499" s="75">
        <f>K1499*'THAM_SO_MOI'!$C$50*'THAM_SO_MOI'!$C$17/'THAM_SO_MOI'!$C$26</f>
        <v>15231.35573895441</v>
      </c>
      <c r="M1499" s="75">
        <f>'THAM_SO_MOI'!$C$15*'THAM_SO_MOI'!$C$16*F1499^2</f>
        <v>107.82270284391934</v>
      </c>
      <c r="N1499" s="75">
        <f>'THAM_SO_MOI'!$C$12*I1499</f>
        <v>1130.112</v>
      </c>
      <c r="O1499" s="75">
        <f>M1499+N1499</f>
        <v>1237.9347028439195</v>
      </c>
      <c r="P1499" s="75">
        <f>(MIN(L1499,'THAM_SO_MOI'!$C$41)-O1499)/('THAM_SO_MOI'!$C$11*H1499)</f>
        <v>0.969907952227602</v>
      </c>
      <c r="Q1499" s="75">
        <f>IF(P1499&gt;0,1/P1499,NA())</f>
        <v>1.0310256738315067</v>
      </c>
      <c r="R1499" s="75">
        <f>F1499-F1498</f>
        <v>0.0032106047296869278</v>
      </c>
      <c r="S1499" s="75">
        <f>0.5*(Q1498+Q1499)*R1499</f>
        <v>0.0033100611299624614</v>
      </c>
      <c r="T1499" s="75">
        <f>0.5*(F1498*Q1498+F1499*Q1499)*R1499</f>
        <v>0.020091545636822306</v>
      </c>
      <c r="U1499" s="76">
        <f>U1498+S1499</f>
        <v>6.339875683307333</v>
      </c>
      <c r="V1499" s="76">
        <f>V1498+T1499</f>
        <v>23.187651081507827</v>
      </c>
    </row>
    <row r="1500" spans="1:22" ht="19" customHeight="1">
      <c r="A1500" s="68" t="s">
        <v>372</v>
      </c>
      <c r="B1500" s="74">
        <v>2</v>
      </c>
      <c r="C1500" s="68" t="s">
        <v>363</v>
      </c>
      <c r="D1500" s="68" t="s">
        <v>364</v>
      </c>
      <c r="E1500" s="75">
        <f>60*F1500*'THAM_SO_MOI'!$C$50/(2*PI()*'THAM_SO_MOI'!$C$26)</f>
        <v>2436.458557898031</v>
      </c>
      <c r="F1500" s="75">
        <f>'HANH_TRINH'!$F$826+('THAM_SO_MOI'!$F$50-'HANH_TRINH'!$F$826)*673/'THAM_SO_MOI'!$C$42</f>
        <v>6.074657097184484</v>
      </c>
      <c r="G1500" s="75">
        <f>3.6*F1500</f>
        <v>21.868765549864143</v>
      </c>
      <c r="H1500" s="75">
        <f>'THAM_SO_MOI'!$D$50</f>
        <v>1.8785906709588276</v>
      </c>
      <c r="I1500" s="75">
        <f>IF(F1500&gt;'THAM_SO_MOI'!$C$14,'THAM_SO_MOI'!$C$13*(1+F1500^2/1500),'THAM_SO_MOI'!$C$13)</f>
        <v>0.015</v>
      </c>
      <c r="J1500" s="75">
        <f>'THAM_SO_MOI'!$C$40*('THAM_SO_MOI'!$C$23*(E1500/'THAM_SO_MOI'!$C$22)+'THAM_SO_MOI'!$C$24*(E1500/'THAM_SO_MOI'!$C$22)^2-'THAM_SO_MOI'!$C$25*(E1500/'THAM_SO_MOI'!$C$22)^3)</f>
        <v>108.82413849948563</v>
      </c>
      <c r="K1500" s="75">
        <f>'THAM_SO_MOI'!$C$31*J1500/E1500</f>
        <v>426.5986996400323</v>
      </c>
      <c r="L1500" s="75">
        <f>K1500*'THAM_SO_MOI'!$C$50*'THAM_SO_MOI'!$C$17/'THAM_SO_MOI'!$C$26</f>
        <v>15230.155303922462</v>
      </c>
      <c r="M1500" s="75">
        <f>'THAM_SO_MOI'!$C$15*'THAM_SO_MOI'!$C$16*F1500^2</f>
        <v>107.93676713149343</v>
      </c>
      <c r="N1500" s="75">
        <f>'THAM_SO_MOI'!$C$12*I1500</f>
        <v>1130.112</v>
      </c>
      <c r="O1500" s="75">
        <f>M1500+N1500</f>
        <v>1238.0487671314936</v>
      </c>
      <c r="P1500" s="75">
        <f>(MIN(L1500,'THAM_SO_MOI'!$C$41)-O1500)/('THAM_SO_MOI'!$C$11*H1500)</f>
        <v>0.9698168420308952</v>
      </c>
      <c r="Q1500" s="75">
        <f>IF(P1500&gt;0,1/P1500,NA())</f>
        <v>1.0311225343394719</v>
      </c>
      <c r="R1500" s="75">
        <f>F1500-F1499</f>
        <v>0.0032106047296869278</v>
      </c>
      <c r="S1500" s="75">
        <f>0.5*(Q1499+Q1500)*R1500</f>
        <v>0.003310371395234584</v>
      </c>
      <c r="T1500" s="75">
        <f>0.5*(F1499*Q1499+F1500*Q1500)*R1500</f>
        <v>0.020104057192958096</v>
      </c>
      <c r="U1500" s="76">
        <f>U1499+S1500</f>
        <v>6.343186054702567</v>
      </c>
      <c r="V1500" s="76">
        <f>V1499+T1500</f>
        <v>23.207755138700787</v>
      </c>
    </row>
    <row r="1501" spans="1:22" ht="19" customHeight="1">
      <c r="A1501" s="68" t="s">
        <v>372</v>
      </c>
      <c r="B1501" s="74">
        <v>2</v>
      </c>
      <c r="C1501" s="68" t="s">
        <v>363</v>
      </c>
      <c r="D1501" s="68" t="s">
        <v>364</v>
      </c>
      <c r="E1501" s="75">
        <f>60*F1501*'THAM_SO_MOI'!$C$50/(2*PI()*'THAM_SO_MOI'!$C$26)</f>
        <v>2437.7462857885976</v>
      </c>
      <c r="F1501" s="75">
        <f>'HANH_TRINH'!$F$826+('THAM_SO_MOI'!$F$50-'HANH_TRINH'!$F$826)*674/'THAM_SO_MOI'!$C$42</f>
        <v>6.077867701914171</v>
      </c>
      <c r="G1501" s="75">
        <f>3.6*F1501</f>
        <v>21.880323726891014</v>
      </c>
      <c r="H1501" s="75">
        <f>'THAM_SO_MOI'!$D$50</f>
        <v>1.8785906709588276</v>
      </c>
      <c r="I1501" s="75">
        <f>IF(F1501&gt;'THAM_SO_MOI'!$C$14,'THAM_SO_MOI'!$C$13*(1+F1501^2/1500),'THAM_SO_MOI'!$C$13)</f>
        <v>0.015</v>
      </c>
      <c r="J1501" s="75">
        <f>'THAM_SO_MOI'!$C$40*('THAM_SO_MOI'!$C$23*(E1501/'THAM_SO_MOI'!$C$22)+'THAM_SO_MOI'!$C$24*(E1501/'THAM_SO_MOI'!$C$22)^2-'THAM_SO_MOI'!$C$25*(E1501/'THAM_SO_MOI'!$C$22)^3)</f>
        <v>108.87303164537288</v>
      </c>
      <c r="K1501" s="75">
        <f>'THAM_SO_MOI'!$C$31*J1501/E1501</f>
        <v>426.56491441890836</v>
      </c>
      <c r="L1501" s="75">
        <f>K1501*'THAM_SO_MOI'!$C$50*'THAM_SO_MOI'!$C$17/'THAM_SO_MOI'!$C$26</f>
        <v>15228.94912545748</v>
      </c>
      <c r="M1501" s="75">
        <f>'THAM_SO_MOI'!$C$15*'THAM_SO_MOI'!$C$16*F1501^2</f>
        <v>108.05089172076647</v>
      </c>
      <c r="N1501" s="75">
        <f>'THAM_SO_MOI'!$C$12*I1501</f>
        <v>1130.112</v>
      </c>
      <c r="O1501" s="75">
        <f>M1501+N1501</f>
        <v>1238.1628917207665</v>
      </c>
      <c r="P1501" s="75">
        <f>(MIN(L1501,'THAM_SO_MOI'!$C$41)-O1501)/('THAM_SO_MOI'!$C$11*H1501)</f>
        <v>0.969725329567405</v>
      </c>
      <c r="Q1501" s="75">
        <f>IF(P1501&gt;0,1/P1501,NA())</f>
        <v>1.0312198408245152</v>
      </c>
      <c r="R1501" s="75">
        <f>F1501-F1500</f>
        <v>0.0032106047296869278</v>
      </c>
      <c r="S1501" s="75">
        <f>0.5*(Q1500+Q1501)*R1501</f>
        <v>0.003310683091967635</v>
      </c>
      <c r="T1501" s="75">
        <f>0.5*(F1500*Q1500+F1501*Q1501)*R1501</f>
        <v>0.02011657943930504</v>
      </c>
      <c r="U1501" s="76">
        <f>U1500+S1501</f>
        <v>6.346496737794535</v>
      </c>
      <c r="V1501" s="76">
        <f>V1500+T1501</f>
        <v>23.22787171814009</v>
      </c>
    </row>
    <row r="1502" spans="1:22" ht="19" customHeight="1">
      <c r="A1502" s="68" t="s">
        <v>372</v>
      </c>
      <c r="B1502" s="74">
        <v>2</v>
      </c>
      <c r="C1502" s="68" t="s">
        <v>363</v>
      </c>
      <c r="D1502" s="68" t="s">
        <v>364</v>
      </c>
      <c r="E1502" s="75">
        <f>60*F1502*'THAM_SO_MOI'!$C$50/(2*PI()*'THAM_SO_MOI'!$C$26)</f>
        <v>2439.0340136791638</v>
      </c>
      <c r="F1502" s="75">
        <f>'HANH_TRINH'!$F$826+('THAM_SO_MOI'!$F$50-'HANH_TRINH'!$F$826)*675/'THAM_SO_MOI'!$C$42</f>
        <v>6.081078306643857</v>
      </c>
      <c r="G1502" s="75">
        <f>3.6*F1502</f>
        <v>21.891881903917884</v>
      </c>
      <c r="H1502" s="75">
        <f>'THAM_SO_MOI'!$D$50</f>
        <v>1.8785906709588276</v>
      </c>
      <c r="I1502" s="75">
        <f>IF(F1502&gt;'THAM_SO_MOI'!$C$14,'THAM_SO_MOI'!$C$13*(1+F1502^2/1500),'THAM_SO_MOI'!$C$13)</f>
        <v>0.015</v>
      </c>
      <c r="J1502" s="75">
        <f>'THAM_SO_MOI'!$C$40*('THAM_SO_MOI'!$C$23*(E1502/'THAM_SO_MOI'!$C$22)+'THAM_SO_MOI'!$C$24*(E1502/'THAM_SO_MOI'!$C$22)^2-'THAM_SO_MOI'!$C$25*(E1502/'THAM_SO_MOI'!$C$22)^3)</f>
        <v>108.9218745990945</v>
      </c>
      <c r="K1502" s="75">
        <f>'THAM_SO_MOI'!$C$31*J1502/E1502</f>
        <v>426.53096832345216</v>
      </c>
      <c r="L1502" s="75">
        <f>K1502*'THAM_SO_MOI'!$C$50*'THAM_SO_MOI'!$C$17/'THAM_SO_MOI'!$C$26</f>
        <v>15227.737203559462</v>
      </c>
      <c r="M1502" s="75">
        <f>'THAM_SO_MOI'!$C$15*'THAM_SO_MOI'!$C$16*F1502^2</f>
        <v>108.16507661173846</v>
      </c>
      <c r="N1502" s="75">
        <f>'THAM_SO_MOI'!$C$12*I1502</f>
        <v>1130.112</v>
      </c>
      <c r="O1502" s="75">
        <f>M1502+N1502</f>
        <v>1238.2770766117385</v>
      </c>
      <c r="P1502" s="75">
        <f>(MIN(L1502,'THAM_SO_MOI'!$C$41)-O1502)/('THAM_SO_MOI'!$C$11*H1502)</f>
        <v>0.969633414837131</v>
      </c>
      <c r="Q1502" s="75">
        <f>IF(P1502&gt;0,1/P1502,NA())</f>
        <v>1.0313175935340158</v>
      </c>
      <c r="R1502" s="75">
        <f>F1502-F1501</f>
        <v>0.0032106047296860396</v>
      </c>
      <c r="S1502" s="75">
        <f>0.5*(Q1501+Q1502)*R1502</f>
        <v>0.0033109962209530047</v>
      </c>
      <c r="T1502" s="75">
        <f>0.5*(F1501*Q1501+F1502*Q1502)*R1502</f>
        <v>0.020129112394461933</v>
      </c>
      <c r="U1502" s="76">
        <f>U1501+S1502</f>
        <v>6.349807734015488</v>
      </c>
      <c r="V1502" s="76">
        <f>V1501+T1502</f>
        <v>23.24800083053455</v>
      </c>
    </row>
    <row r="1503" spans="1:22" ht="19" customHeight="1">
      <c r="A1503" s="68" t="s">
        <v>372</v>
      </c>
      <c r="B1503" s="74">
        <v>2</v>
      </c>
      <c r="C1503" s="68" t="s">
        <v>363</v>
      </c>
      <c r="D1503" s="68" t="s">
        <v>364</v>
      </c>
      <c r="E1503" s="75">
        <f>60*F1503*'THAM_SO_MOI'!$C$50/(2*PI()*'THAM_SO_MOI'!$C$26)</f>
        <v>2440.321741569731</v>
      </c>
      <c r="F1503" s="75">
        <f>'HANH_TRINH'!$F$826+('THAM_SO_MOI'!$F$50-'HANH_TRINH'!$F$826)*676/'THAM_SO_MOI'!$C$42</f>
        <v>6.0842889113735446</v>
      </c>
      <c r="G1503" s="75">
        <f>3.6*F1503</f>
        <v>21.903440080944762</v>
      </c>
      <c r="H1503" s="75">
        <f>'THAM_SO_MOI'!$D$50</f>
        <v>1.8785906709588276</v>
      </c>
      <c r="I1503" s="75">
        <f>IF(F1503&gt;'THAM_SO_MOI'!$C$14,'THAM_SO_MOI'!$C$13*(1+F1503^2/1500),'THAM_SO_MOI'!$C$13)</f>
        <v>0.015</v>
      </c>
      <c r="J1503" s="75">
        <f>'THAM_SO_MOI'!$C$40*('THAM_SO_MOI'!$C$23*(E1503/'THAM_SO_MOI'!$C$22)+'THAM_SO_MOI'!$C$24*(E1503/'THAM_SO_MOI'!$C$22)^2-'THAM_SO_MOI'!$C$25*(E1503/'THAM_SO_MOI'!$C$22)^3)</f>
        <v>108.9706672955809</v>
      </c>
      <c r="K1503" s="75">
        <f>'THAM_SO_MOI'!$C$31*J1503/E1503</f>
        <v>426.49686135366386</v>
      </c>
      <c r="L1503" s="75">
        <f>K1503*'THAM_SO_MOI'!$C$50*'THAM_SO_MOI'!$C$17/'THAM_SO_MOI'!$C$26</f>
        <v>15226.519538228415</v>
      </c>
      <c r="M1503" s="75">
        <f>'THAM_SO_MOI'!$C$15*'THAM_SO_MOI'!$C$16*F1503^2</f>
        <v>108.2793218044095</v>
      </c>
      <c r="N1503" s="75">
        <f>'THAM_SO_MOI'!$C$12*I1503</f>
        <v>1130.112</v>
      </c>
      <c r="O1503" s="75">
        <f>M1503+N1503</f>
        <v>1238.3913218044095</v>
      </c>
      <c r="P1503" s="75">
        <f>(MIN(L1503,'THAM_SO_MOI'!$C$41)-O1503)/('THAM_SO_MOI'!$C$11*H1503)</f>
        <v>0.9695410978400736</v>
      </c>
      <c r="Q1503" s="75">
        <f>IF(P1503&gt;0,1/P1503,NA())</f>
        <v>1.0314157927165566</v>
      </c>
      <c r="R1503" s="75">
        <f>F1503-F1502</f>
        <v>0.003210604729687816</v>
      </c>
      <c r="S1503" s="75">
        <f>0.5*(Q1502+Q1503)*R1503</f>
        <v>0.0033113107829905266</v>
      </c>
      <c r="T1503" s="75">
        <f>0.5*(F1502*Q1502+F1503*Q1503)*R1503</f>
        <v>0.02014165607708911</v>
      </c>
      <c r="U1503" s="76">
        <f>U1502+S1503</f>
        <v>6.353119044798478</v>
      </c>
      <c r="V1503" s="76">
        <f>V1502+T1503</f>
        <v>23.26814248661164</v>
      </c>
    </row>
    <row r="1504" spans="1:22" ht="19" customHeight="1">
      <c r="A1504" s="68" t="s">
        <v>372</v>
      </c>
      <c r="B1504" s="74">
        <v>2</v>
      </c>
      <c r="C1504" s="68" t="s">
        <v>363</v>
      </c>
      <c r="D1504" s="68" t="s">
        <v>364</v>
      </c>
      <c r="E1504" s="75">
        <f>60*F1504*'THAM_SO_MOI'!$C$50/(2*PI()*'THAM_SO_MOI'!$C$26)</f>
        <v>2441.6094694602975</v>
      </c>
      <c r="F1504" s="75">
        <f>'HANH_TRINH'!$F$826+('THAM_SO_MOI'!$F$50-'HANH_TRINH'!$F$826)*677/'THAM_SO_MOI'!$C$42</f>
        <v>6.087499516103231</v>
      </c>
      <c r="G1504" s="75">
        <f>3.6*F1504</f>
        <v>21.914998257971632</v>
      </c>
      <c r="H1504" s="75">
        <f>'THAM_SO_MOI'!$D$50</f>
        <v>1.8785906709588276</v>
      </c>
      <c r="I1504" s="75">
        <f>IF(F1504&gt;'THAM_SO_MOI'!$C$14,'THAM_SO_MOI'!$C$13*(1+F1504^2/1500),'THAM_SO_MOI'!$C$13)</f>
        <v>0.015</v>
      </c>
      <c r="J1504" s="75">
        <f>'THAM_SO_MOI'!$C$40*('THAM_SO_MOI'!$C$23*(E1504/'THAM_SO_MOI'!$C$22)+'THAM_SO_MOI'!$C$24*(E1504/'THAM_SO_MOI'!$C$22)^2-'THAM_SO_MOI'!$C$25*(E1504/'THAM_SO_MOI'!$C$22)^3)</f>
        <v>109.01940966976224</v>
      </c>
      <c r="K1504" s="75">
        <f>'THAM_SO_MOI'!$C$31*J1504/E1504</f>
        <v>426.4625935095431</v>
      </c>
      <c r="L1504" s="75">
        <f>K1504*'THAM_SO_MOI'!$C$50*'THAM_SO_MOI'!$C$17/'THAM_SO_MOI'!$C$26</f>
        <v>15225.296129464325</v>
      </c>
      <c r="M1504" s="75">
        <f>'THAM_SO_MOI'!$C$15*'THAM_SO_MOI'!$C$16*F1504^2</f>
        <v>108.39362729877942</v>
      </c>
      <c r="N1504" s="75">
        <f>'THAM_SO_MOI'!$C$12*I1504</f>
        <v>1130.112</v>
      </c>
      <c r="O1504" s="75">
        <f>M1504+N1504</f>
        <v>1238.5056272987795</v>
      </c>
      <c r="P1504" s="75">
        <f>(MIN(L1504,'THAM_SO_MOI'!$C$41)-O1504)/('THAM_SO_MOI'!$C$11*H1504)</f>
        <v>0.9694483785762326</v>
      </c>
      <c r="Q1504" s="75">
        <f>IF(P1504&gt;0,1/P1504,NA())</f>
        <v>1.031514438621927</v>
      </c>
      <c r="R1504" s="75">
        <f>F1504-F1503</f>
        <v>0.0032106047296860396</v>
      </c>
      <c r="S1504" s="75">
        <f>0.5*(Q1503+Q1504)*R1504</f>
        <v>0.0033116267788738255</v>
      </c>
      <c r="T1504" s="75">
        <f>0.5*(F1503*Q1503+F1504*Q1504)*R1504</f>
        <v>0.02015421050581938</v>
      </c>
      <c r="U1504" s="76">
        <f>U1503+S1504</f>
        <v>6.356430671577352</v>
      </c>
      <c r="V1504" s="76">
        <f>V1503+T1504</f>
        <v>23.28829669711746</v>
      </c>
    </row>
    <row r="1505" spans="1:22" ht="19" customHeight="1">
      <c r="A1505" s="68" t="s">
        <v>372</v>
      </c>
      <c r="B1505" s="74">
        <v>2</v>
      </c>
      <c r="C1505" s="68" t="s">
        <v>363</v>
      </c>
      <c r="D1505" s="68" t="s">
        <v>364</v>
      </c>
      <c r="E1505" s="75">
        <f>60*F1505*'THAM_SO_MOI'!$C$50/(2*PI()*'THAM_SO_MOI'!$C$26)</f>
        <v>2442.897197350864</v>
      </c>
      <c r="F1505" s="75">
        <f>'HANH_TRINH'!$F$826+('THAM_SO_MOI'!$F$50-'HANH_TRINH'!$F$826)*678/'THAM_SO_MOI'!$C$42</f>
        <v>6.0907101208329175</v>
      </c>
      <c r="G1505" s="75">
        <f>3.6*F1505</f>
        <v>21.926556434998503</v>
      </c>
      <c r="H1505" s="75">
        <f>'THAM_SO_MOI'!$D$50</f>
        <v>1.8785906709588276</v>
      </c>
      <c r="I1505" s="75">
        <f>IF(F1505&gt;'THAM_SO_MOI'!$C$14,'THAM_SO_MOI'!$C$13*(1+F1505^2/1500),'THAM_SO_MOI'!$C$13)</f>
        <v>0.015</v>
      </c>
      <c r="J1505" s="75">
        <f>'THAM_SO_MOI'!$C$40*('THAM_SO_MOI'!$C$23*(E1505/'THAM_SO_MOI'!$C$22)+'THAM_SO_MOI'!$C$24*(E1505/'THAM_SO_MOI'!$C$22)^2-'THAM_SO_MOI'!$C$25*(E1505/'THAM_SO_MOI'!$C$22)^3)</f>
        <v>109.06810165656893</v>
      </c>
      <c r="K1505" s="75">
        <f>'THAM_SO_MOI'!$C$31*J1505/E1505</f>
        <v>426.4281647910903</v>
      </c>
      <c r="L1505" s="75">
        <f>K1505*'THAM_SO_MOI'!$C$50*'THAM_SO_MOI'!$C$17/'THAM_SO_MOI'!$C$26</f>
        <v>15224.066977267204</v>
      </c>
      <c r="M1505" s="75">
        <f>'THAM_SO_MOI'!$C$15*'THAM_SO_MOI'!$C$16*F1505^2</f>
        <v>108.50799309484837</v>
      </c>
      <c r="N1505" s="75">
        <f>'THAM_SO_MOI'!$C$12*I1505</f>
        <v>1130.112</v>
      </c>
      <c r="O1505" s="75">
        <f>M1505+N1505</f>
        <v>1238.6199930948485</v>
      </c>
      <c r="P1505" s="75">
        <f>(MIN(L1505,'THAM_SO_MOI'!$C$41)-O1505)/('THAM_SO_MOI'!$C$11*H1505)</f>
        <v>0.969355257045608</v>
      </c>
      <c r="Q1505" s="75">
        <f>IF(P1505&gt;0,1/P1505,NA())</f>
        <v>1.0316135315011246</v>
      </c>
      <c r="R1505" s="75">
        <f>F1505-F1504</f>
        <v>0.0032106047296869278</v>
      </c>
      <c r="S1505" s="75">
        <f>0.5*(Q1504+Q1505)*R1505</f>
        <v>0.0033119442094132305</v>
      </c>
      <c r="T1505" s="75">
        <f>0.5*(F1504*Q1504+F1505*Q1505)*R1505</f>
        <v>0.020166775699397458</v>
      </c>
      <c r="U1505" s="76">
        <f>U1504+S1505</f>
        <v>6.359742615786765</v>
      </c>
      <c r="V1505" s="76">
        <f>V1504+T1505</f>
        <v>23.308463472816857</v>
      </c>
    </row>
    <row r="1506" spans="1:22" ht="19" customHeight="1">
      <c r="A1506" s="68" t="s">
        <v>372</v>
      </c>
      <c r="B1506" s="74">
        <v>2</v>
      </c>
      <c r="C1506" s="68" t="s">
        <v>363</v>
      </c>
      <c r="D1506" s="68" t="s">
        <v>364</v>
      </c>
      <c r="E1506" s="75">
        <f>60*F1506*'THAM_SO_MOI'!$C$50/(2*PI()*'THAM_SO_MOI'!$C$26)</f>
        <v>2444.184925241431</v>
      </c>
      <c r="F1506" s="75">
        <f>'HANH_TRINH'!$F$826+('THAM_SO_MOI'!$F$50-'HANH_TRINH'!$F$826)*679/'THAM_SO_MOI'!$C$42</f>
        <v>6.0939207255626044</v>
      </c>
      <c r="G1506" s="75">
        <f>3.6*F1506</f>
        <v>21.938114612025377</v>
      </c>
      <c r="H1506" s="75">
        <f>'THAM_SO_MOI'!$D$50</f>
        <v>1.8785906709588276</v>
      </c>
      <c r="I1506" s="75">
        <f>IF(F1506&gt;'THAM_SO_MOI'!$C$14,'THAM_SO_MOI'!$C$13*(1+F1506^2/1500),'THAM_SO_MOI'!$C$13)</f>
        <v>0.015</v>
      </c>
      <c r="J1506" s="75">
        <f>'THAM_SO_MOI'!$C$40*('THAM_SO_MOI'!$C$23*(E1506/'THAM_SO_MOI'!$C$22)+'THAM_SO_MOI'!$C$24*(E1506/'THAM_SO_MOI'!$C$22)^2-'THAM_SO_MOI'!$C$25*(E1506/'THAM_SO_MOI'!$C$22)^3)</f>
        <v>109.1167431909312</v>
      </c>
      <c r="K1506" s="75">
        <f>'THAM_SO_MOI'!$C$31*J1506/E1506</f>
        <v>426.39357519830514</v>
      </c>
      <c r="L1506" s="75">
        <f>K1506*'THAM_SO_MOI'!$C$50*'THAM_SO_MOI'!$C$17/'THAM_SO_MOI'!$C$26</f>
        <v>15222.832081637043</v>
      </c>
      <c r="M1506" s="75">
        <f>'THAM_SO_MOI'!$C$15*'THAM_SO_MOI'!$C$16*F1506^2</f>
        <v>108.62241919261629</v>
      </c>
      <c r="N1506" s="75">
        <f>'THAM_SO_MOI'!$C$12*I1506</f>
        <v>1130.112</v>
      </c>
      <c r="O1506" s="75">
        <f>M1506+N1506</f>
        <v>1238.7344191926163</v>
      </c>
      <c r="P1506" s="75">
        <f>(MIN(L1506,'THAM_SO_MOI'!$C$41)-O1506)/('THAM_SO_MOI'!$C$11*H1506)</f>
        <v>0.9692617332481996</v>
      </c>
      <c r="Q1506" s="75">
        <f>IF(P1506&gt;0,1/P1506,NA())</f>
        <v>1.0317130716063554</v>
      </c>
      <c r="R1506" s="75">
        <f>F1506-F1505</f>
        <v>0.0032106047296869278</v>
      </c>
      <c r="S1506" s="75">
        <f>0.5*(Q1505+Q1506)*R1506</f>
        <v>0.003312263075412869</v>
      </c>
      <c r="T1506" s="75">
        <f>0.5*(F1505*Q1505+F1506*Q1506)*R1506</f>
        <v>0.02017935167654069</v>
      </c>
      <c r="U1506" s="76">
        <f>U1505+S1506</f>
        <v>6.363054878862179</v>
      </c>
      <c r="V1506" s="76">
        <f>V1505+T1506</f>
        <v>23.328642824493397</v>
      </c>
    </row>
    <row r="1507" spans="1:22" ht="19" customHeight="1">
      <c r="A1507" s="68" t="s">
        <v>372</v>
      </c>
      <c r="B1507" s="74">
        <v>2</v>
      </c>
      <c r="C1507" s="68" t="s">
        <v>363</v>
      </c>
      <c r="D1507" s="68" t="s">
        <v>364</v>
      </c>
      <c r="E1507" s="75">
        <f>60*F1507*'THAM_SO_MOI'!$C$50/(2*PI()*'THAM_SO_MOI'!$C$26)</f>
        <v>2445.472653131998</v>
      </c>
      <c r="F1507" s="75">
        <f>'HANH_TRINH'!$F$826+('THAM_SO_MOI'!$F$50-'HANH_TRINH'!$F$826)*680/'THAM_SO_MOI'!$C$42</f>
        <v>6.097131330292291</v>
      </c>
      <c r="G1507" s="75">
        <f>3.6*F1507</f>
        <v>21.94967278905225</v>
      </c>
      <c r="H1507" s="75">
        <f>'THAM_SO_MOI'!$D$50</f>
        <v>1.8785906709588276</v>
      </c>
      <c r="I1507" s="75">
        <f>IF(F1507&gt;'THAM_SO_MOI'!$C$14,'THAM_SO_MOI'!$C$13*(1+F1507^2/1500),'THAM_SO_MOI'!$C$13)</f>
        <v>0.015</v>
      </c>
      <c r="J1507" s="75">
        <f>'THAM_SO_MOI'!$C$40*('THAM_SO_MOI'!$C$23*(E1507/'THAM_SO_MOI'!$C$22)+'THAM_SO_MOI'!$C$24*(E1507/'THAM_SO_MOI'!$C$22)^2-'THAM_SO_MOI'!$C$25*(E1507/'THAM_SO_MOI'!$C$22)^3)</f>
        <v>109.16533420777944</v>
      </c>
      <c r="K1507" s="75">
        <f>'THAM_SO_MOI'!$C$31*J1507/E1507</f>
        <v>426.3588247311879</v>
      </c>
      <c r="L1507" s="75">
        <f>K1507*'THAM_SO_MOI'!$C$50*'THAM_SO_MOI'!$C$17/'THAM_SO_MOI'!$C$26</f>
        <v>15221.591442573854</v>
      </c>
      <c r="M1507" s="75">
        <f>'THAM_SO_MOI'!$C$15*'THAM_SO_MOI'!$C$16*F1507^2</f>
        <v>108.73690559208316</v>
      </c>
      <c r="N1507" s="75">
        <f>'THAM_SO_MOI'!$C$12*I1507</f>
        <v>1130.112</v>
      </c>
      <c r="O1507" s="75">
        <f>M1507+N1507</f>
        <v>1238.8489055920832</v>
      </c>
      <c r="P1507" s="75">
        <f>(MIN(L1507,'THAM_SO_MOI'!$C$41)-O1507)/('THAM_SO_MOI'!$C$11*H1507)</f>
        <v>0.9691678071840082</v>
      </c>
      <c r="Q1507" s="75">
        <f>IF(P1507&gt;0,1/P1507,NA())</f>
        <v>1.0318130591910364</v>
      </c>
      <c r="R1507" s="75">
        <f>F1507-F1506</f>
        <v>0.0032106047296869278</v>
      </c>
      <c r="S1507" s="75">
        <f>0.5*(Q1506+Q1507)*R1507</f>
        <v>0.003312583377685336</v>
      </c>
      <c r="T1507" s="75">
        <f>0.5*(F1506*Q1506+F1507*Q1507)*R1507</f>
        <v>0.020191938456028357</v>
      </c>
      <c r="U1507" s="76">
        <f>U1506+S1507</f>
        <v>6.366367462239864</v>
      </c>
      <c r="V1507" s="76">
        <f>V1506+T1507</f>
        <v>23.348834762949426</v>
      </c>
    </row>
    <row r="1508" spans="1:22" ht="19" customHeight="1">
      <c r="A1508" s="68" t="s">
        <v>372</v>
      </c>
      <c r="B1508" s="74">
        <v>2</v>
      </c>
      <c r="C1508" s="68" t="s">
        <v>363</v>
      </c>
      <c r="D1508" s="68" t="s">
        <v>364</v>
      </c>
      <c r="E1508" s="75">
        <f>60*F1508*'THAM_SO_MOI'!$C$50/(2*PI()*'THAM_SO_MOI'!$C$26)</f>
        <v>2446.760381022565</v>
      </c>
      <c r="F1508" s="75">
        <f>'HANH_TRINH'!$F$826+('THAM_SO_MOI'!$F$50-'HANH_TRINH'!$F$826)*681/'THAM_SO_MOI'!$C$42</f>
        <v>6.100341935021978</v>
      </c>
      <c r="G1508" s="75">
        <f>3.6*F1508</f>
        <v>21.96123096607912</v>
      </c>
      <c r="H1508" s="75">
        <f>'THAM_SO_MOI'!$D$50</f>
        <v>1.8785906709588276</v>
      </c>
      <c r="I1508" s="75">
        <f>IF(F1508&gt;'THAM_SO_MOI'!$C$14,'THAM_SO_MOI'!$C$13*(1+F1508^2/1500),'THAM_SO_MOI'!$C$13)</f>
        <v>0.015</v>
      </c>
      <c r="J1508" s="75">
        <f>'THAM_SO_MOI'!$C$40*('THAM_SO_MOI'!$C$23*(E1508/'THAM_SO_MOI'!$C$22)+'THAM_SO_MOI'!$C$24*(E1508/'THAM_SO_MOI'!$C$22)^2-'THAM_SO_MOI'!$C$25*(E1508/'THAM_SO_MOI'!$C$22)^3)</f>
        <v>109.21387464204386</v>
      </c>
      <c r="K1508" s="75">
        <f>'THAM_SO_MOI'!$C$31*J1508/E1508</f>
        <v>426.3239133897382</v>
      </c>
      <c r="L1508" s="75">
        <f>K1508*'THAM_SO_MOI'!$C$50*'THAM_SO_MOI'!$C$17/'THAM_SO_MOI'!$C$26</f>
        <v>15220.345060077621</v>
      </c>
      <c r="M1508" s="75">
        <f>'THAM_SO_MOI'!$C$15*'THAM_SO_MOI'!$C$16*F1508^2</f>
        <v>108.85145229324903</v>
      </c>
      <c r="N1508" s="75">
        <f>'THAM_SO_MOI'!$C$12*I1508</f>
        <v>1130.112</v>
      </c>
      <c r="O1508" s="75">
        <f>M1508+N1508</f>
        <v>1238.963452293249</v>
      </c>
      <c r="P1508" s="75">
        <f>(MIN(L1508,'THAM_SO_MOI'!$C$41)-O1508)/('THAM_SO_MOI'!$C$11*H1508)</f>
        <v>0.9690734788530325</v>
      </c>
      <c r="Q1508" s="75">
        <f>IF(P1508&gt;0,1/P1508,NA())</f>
        <v>1.0319134945097983</v>
      </c>
      <c r="R1508" s="75">
        <f>F1508-F1507</f>
        <v>0.0032106047296869278</v>
      </c>
      <c r="S1508" s="75">
        <f>0.5*(Q1507+Q1508)*R1508</f>
        <v>0.0033129051170462014</v>
      </c>
      <c r="T1508" s="75">
        <f>0.5*(F1507*Q1507+F1508*Q1508)*R1508</f>
        <v>0.020204536056668325</v>
      </c>
      <c r="U1508" s="76">
        <f>U1507+S1508</f>
        <v>6.36968036735691</v>
      </c>
      <c r="V1508" s="76">
        <f>V1507+T1508</f>
        <v>23.369039299006094</v>
      </c>
    </row>
    <row r="1509" spans="1:22" ht="19" customHeight="1">
      <c r="A1509" s="68" t="s">
        <v>372</v>
      </c>
      <c r="B1509" s="74">
        <v>2</v>
      </c>
      <c r="C1509" s="68" t="s">
        <v>363</v>
      </c>
      <c r="D1509" s="68" t="s">
        <v>364</v>
      </c>
      <c r="E1509" s="75">
        <f>60*F1509*'THAM_SO_MOI'!$C$50/(2*PI()*'THAM_SO_MOI'!$C$26)</f>
        <v>2448.0481089131313</v>
      </c>
      <c r="F1509" s="75">
        <f>'HANH_TRINH'!$F$826+('THAM_SO_MOI'!$F$50-'HANH_TRINH'!$F$826)*682/'THAM_SO_MOI'!$C$42</f>
        <v>6.103552539751664</v>
      </c>
      <c r="G1509" s="75">
        <f>3.6*F1509</f>
        <v>21.97278914310599</v>
      </c>
      <c r="H1509" s="75">
        <f>'THAM_SO_MOI'!$D$50</f>
        <v>1.8785906709588276</v>
      </c>
      <c r="I1509" s="75">
        <f>IF(F1509&gt;'THAM_SO_MOI'!$C$14,'THAM_SO_MOI'!$C$13*(1+F1509^2/1500),'THAM_SO_MOI'!$C$13)</f>
        <v>0.015</v>
      </c>
      <c r="J1509" s="75">
        <f>'THAM_SO_MOI'!$C$40*('THAM_SO_MOI'!$C$23*(E1509/'THAM_SO_MOI'!$C$22)+'THAM_SO_MOI'!$C$24*(E1509/'THAM_SO_MOI'!$C$22)^2-'THAM_SO_MOI'!$C$25*(E1509/'THAM_SO_MOI'!$C$22)^3)</f>
        <v>109.26236442865472</v>
      </c>
      <c r="K1509" s="75">
        <f>'THAM_SO_MOI'!$C$31*J1509/E1509</f>
        <v>426.2888411739562</v>
      </c>
      <c r="L1509" s="75">
        <f>K1509*'THAM_SO_MOI'!$C$50*'THAM_SO_MOI'!$C$17/'THAM_SO_MOI'!$C$26</f>
        <v>15219.09293414835</v>
      </c>
      <c r="M1509" s="75">
        <f>'THAM_SO_MOI'!$C$15*'THAM_SO_MOI'!$C$16*F1509^2</f>
        <v>108.96605929611383</v>
      </c>
      <c r="N1509" s="75">
        <f>'THAM_SO_MOI'!$C$12*I1509</f>
        <v>1130.112</v>
      </c>
      <c r="O1509" s="75">
        <f>M1509+N1509</f>
        <v>1239.078059296114</v>
      </c>
      <c r="P1509" s="75">
        <f>(MIN(L1509,'THAM_SO_MOI'!$C$41)-O1509)/('THAM_SO_MOI'!$C$11*H1509)</f>
        <v>0.9689787482552731</v>
      </c>
      <c r="Q1509" s="75">
        <f>IF(P1509&gt;0,1/P1509,NA())</f>
        <v>1.032014377818485</v>
      </c>
      <c r="R1509" s="75">
        <f>F1509-F1508</f>
        <v>0.0032106047296860396</v>
      </c>
      <c r="S1509" s="75">
        <f>0.5*(Q1508+Q1509)*R1509</f>
        <v>0.003313228294314015</v>
      </c>
      <c r="T1509" s="75">
        <f>0.5*(F1508*Q1508+F1509*Q1509)*R1509</f>
        <v>0.02021714449729711</v>
      </c>
      <c r="U1509" s="76">
        <f>U1508+S1509</f>
        <v>6.372993595651224</v>
      </c>
      <c r="V1509" s="76">
        <f>V1508+T1509</f>
        <v>23.389256443503392</v>
      </c>
    </row>
    <row r="1510" spans="1:22" ht="19" customHeight="1">
      <c r="A1510" s="68" t="s">
        <v>372</v>
      </c>
      <c r="B1510" s="74">
        <v>2</v>
      </c>
      <c r="C1510" s="68" t="s">
        <v>363</v>
      </c>
      <c r="D1510" s="68" t="s">
        <v>364</v>
      </c>
      <c r="E1510" s="75">
        <f>60*F1510*'THAM_SO_MOI'!$C$50/(2*PI()*'THAM_SO_MOI'!$C$26)</f>
        <v>2449.3358368036984</v>
      </c>
      <c r="F1510" s="75">
        <f>'HANH_TRINH'!$F$826+('THAM_SO_MOI'!$F$50-'HANH_TRINH'!$F$826)*683/'THAM_SO_MOI'!$C$42</f>
        <v>6.106763144481352</v>
      </c>
      <c r="G1510" s="75">
        <f>3.6*F1510</f>
        <v>21.98434732013287</v>
      </c>
      <c r="H1510" s="75">
        <f>'THAM_SO_MOI'!$D$50</f>
        <v>1.8785906709588276</v>
      </c>
      <c r="I1510" s="75">
        <f>IF(F1510&gt;'THAM_SO_MOI'!$C$14,'THAM_SO_MOI'!$C$13*(1+F1510^2/1500),'THAM_SO_MOI'!$C$13)</f>
        <v>0.015</v>
      </c>
      <c r="J1510" s="75">
        <f>'THAM_SO_MOI'!$C$40*('THAM_SO_MOI'!$C$23*(E1510/'THAM_SO_MOI'!$C$22)+'THAM_SO_MOI'!$C$24*(E1510/'THAM_SO_MOI'!$C$22)^2-'THAM_SO_MOI'!$C$25*(E1510/'THAM_SO_MOI'!$C$22)^3)</f>
        <v>109.31080350254247</v>
      </c>
      <c r="K1510" s="75">
        <f>'THAM_SO_MOI'!$C$31*J1510/E1510</f>
        <v>426.2536080838421</v>
      </c>
      <c r="L1510" s="75">
        <f>K1510*'THAM_SO_MOI'!$C$50*'THAM_SO_MOI'!$C$17/'THAM_SO_MOI'!$C$26</f>
        <v>15217.835064786048</v>
      </c>
      <c r="M1510" s="75">
        <f>'THAM_SO_MOI'!$C$15*'THAM_SO_MOI'!$C$16*F1510^2</f>
        <v>109.08072660067765</v>
      </c>
      <c r="N1510" s="75">
        <f>'THAM_SO_MOI'!$C$12*I1510</f>
        <v>1130.112</v>
      </c>
      <c r="O1510" s="75">
        <f>M1510+N1510</f>
        <v>1239.1927266006778</v>
      </c>
      <c r="P1510" s="75">
        <f>(MIN(L1510,'THAM_SO_MOI'!$C$41)-O1510)/('THAM_SO_MOI'!$C$11*H1510)</f>
        <v>0.9688836153907304</v>
      </c>
      <c r="Q1510" s="75">
        <f>IF(P1510&gt;0,1/P1510,NA())</f>
        <v>1.0321157093741553</v>
      </c>
      <c r="R1510" s="75">
        <f>F1510-F1509</f>
        <v>0.003210604729687816</v>
      </c>
      <c r="S1510" s="75">
        <f>0.5*(Q1509+Q1510)*R1510</f>
        <v>0.0033135529103158075</v>
      </c>
      <c r="T1510" s="75">
        <f>0.5*(F1509*Q1509+F1510*Q1510)*R1510</f>
        <v>0.020229763796813512</v>
      </c>
      <c r="U1510" s="76">
        <f>U1509+S1510</f>
        <v>6.37630714856154</v>
      </c>
      <c r="V1510" s="76">
        <f>V1509+T1510</f>
        <v>23.409486207300205</v>
      </c>
    </row>
    <row r="1511" spans="1:22" ht="19" customHeight="1">
      <c r="A1511" s="68" t="s">
        <v>372</v>
      </c>
      <c r="B1511" s="74">
        <v>2</v>
      </c>
      <c r="C1511" s="68" t="s">
        <v>363</v>
      </c>
      <c r="D1511" s="68" t="s">
        <v>364</v>
      </c>
      <c r="E1511" s="75">
        <f>60*F1511*'THAM_SO_MOI'!$C$50/(2*PI()*'THAM_SO_MOI'!$C$26)</f>
        <v>2450.6235646942646</v>
      </c>
      <c r="F1511" s="75">
        <f>'HANH_TRINH'!$F$826+('THAM_SO_MOI'!$F$50-'HANH_TRINH'!$F$826)*684/'THAM_SO_MOI'!$C$42</f>
        <v>6.109973749211038</v>
      </c>
      <c r="G1511" s="75">
        <f>3.6*F1511</f>
        <v>21.99590549715974</v>
      </c>
      <c r="H1511" s="75">
        <f>'THAM_SO_MOI'!$D$50</f>
        <v>1.8785906709588276</v>
      </c>
      <c r="I1511" s="75">
        <f>IF(F1511&gt;'THAM_SO_MOI'!$C$14,'THAM_SO_MOI'!$C$13*(1+F1511^2/1500),'THAM_SO_MOI'!$C$13)</f>
        <v>0.015</v>
      </c>
      <c r="J1511" s="75">
        <f>'THAM_SO_MOI'!$C$40*('THAM_SO_MOI'!$C$23*(E1511/'THAM_SO_MOI'!$C$22)+'THAM_SO_MOI'!$C$24*(E1511/'THAM_SO_MOI'!$C$22)^2-'THAM_SO_MOI'!$C$25*(E1511/'THAM_SO_MOI'!$C$22)^3)</f>
        <v>109.3591917986373</v>
      </c>
      <c r="K1511" s="75">
        <f>'THAM_SO_MOI'!$C$31*J1511/E1511</f>
        <v>426.2182141193957</v>
      </c>
      <c r="L1511" s="75">
        <f>K1511*'THAM_SO_MOI'!$C$50*'THAM_SO_MOI'!$C$17/'THAM_SO_MOI'!$C$26</f>
        <v>15216.571451990709</v>
      </c>
      <c r="M1511" s="75">
        <f>'THAM_SO_MOI'!$C$15*'THAM_SO_MOI'!$C$16*F1511^2</f>
        <v>109.19545420694038</v>
      </c>
      <c r="N1511" s="75">
        <f>'THAM_SO_MOI'!$C$12*I1511</f>
        <v>1130.112</v>
      </c>
      <c r="O1511" s="75">
        <f>M1511+N1511</f>
        <v>1239.3074542069405</v>
      </c>
      <c r="P1511" s="75">
        <f>(MIN(L1511,'THAM_SO_MOI'!$C$41)-O1511)/('THAM_SO_MOI'!$C$11*H1511)</f>
        <v>0.968788080259404</v>
      </c>
      <c r="Q1511" s="75">
        <f>IF(P1511&gt;0,1/P1511,NA())</f>
        <v>1.0322174894350875</v>
      </c>
      <c r="R1511" s="75">
        <f>F1511-F1510</f>
        <v>0.0032106047296860396</v>
      </c>
      <c r="S1511" s="75">
        <f>0.5*(Q1510+Q1511)*R1511</f>
        <v>0.0033138789658724334</v>
      </c>
      <c r="T1511" s="75">
        <f>0.5*(F1510*Q1510+F1511*Q1511)*R1511</f>
        <v>0.020242393974089248</v>
      </c>
      <c r="U1511" s="76">
        <f>U1510+S1511</f>
        <v>6.379621027527413</v>
      </c>
      <c r="V1511" s="76">
        <f>V1510+T1511</f>
        <v>23.429728601274295</v>
      </c>
    </row>
    <row r="1512" spans="1:22" ht="19" customHeight="1">
      <c r="A1512" s="68" t="s">
        <v>372</v>
      </c>
      <c r="B1512" s="74">
        <v>2</v>
      </c>
      <c r="C1512" s="68" t="s">
        <v>363</v>
      </c>
      <c r="D1512" s="68" t="s">
        <v>364</v>
      </c>
      <c r="E1512" s="75">
        <f>60*F1512*'THAM_SO_MOI'!$C$50/(2*PI()*'THAM_SO_MOI'!$C$26)</f>
        <v>2451.9112925848312</v>
      </c>
      <c r="F1512" s="75">
        <f>'HANH_TRINH'!$F$826+('THAM_SO_MOI'!$F$50-'HANH_TRINH'!$F$826)*685/'THAM_SO_MOI'!$C$42</f>
        <v>6.113184353940725</v>
      </c>
      <c r="G1512" s="75">
        <f>3.6*F1512</f>
        <v>22.00746367418661</v>
      </c>
      <c r="H1512" s="75">
        <f>'THAM_SO_MOI'!$D$50</f>
        <v>1.8785906709588276</v>
      </c>
      <c r="I1512" s="75">
        <f>IF(F1512&gt;'THAM_SO_MOI'!$C$14,'THAM_SO_MOI'!$C$13*(1+F1512^2/1500),'THAM_SO_MOI'!$C$13)</f>
        <v>0.015</v>
      </c>
      <c r="J1512" s="75">
        <f>'THAM_SO_MOI'!$C$40*('THAM_SO_MOI'!$C$23*(E1512/'THAM_SO_MOI'!$C$22)+'THAM_SO_MOI'!$C$24*(E1512/'THAM_SO_MOI'!$C$22)^2-'THAM_SO_MOI'!$C$25*(E1512/'THAM_SO_MOI'!$C$22)^3)</f>
        <v>109.40752925186955</v>
      </c>
      <c r="K1512" s="75">
        <f>'THAM_SO_MOI'!$C$31*J1512/E1512</f>
        <v>426.1826592806171</v>
      </c>
      <c r="L1512" s="75">
        <f>K1512*'THAM_SO_MOI'!$C$50*'THAM_SO_MOI'!$C$17/'THAM_SO_MOI'!$C$26</f>
        <v>15215.302095762334</v>
      </c>
      <c r="M1512" s="75">
        <f>'THAM_SO_MOI'!$C$15*'THAM_SO_MOI'!$C$16*F1512^2</f>
        <v>109.31024211490212</v>
      </c>
      <c r="N1512" s="75">
        <f>'THAM_SO_MOI'!$C$12*I1512</f>
        <v>1130.112</v>
      </c>
      <c r="O1512" s="75">
        <f>M1512+N1512</f>
        <v>1239.4222421149022</v>
      </c>
      <c r="P1512" s="75">
        <f>(MIN(L1512,'THAM_SO_MOI'!$C$41)-O1512)/('THAM_SO_MOI'!$C$11*H1512)</f>
        <v>0.968692142861294</v>
      </c>
      <c r="Q1512" s="75">
        <f>IF(P1512&gt;0,1/P1512,NA())</f>
        <v>1.0323197182607777</v>
      </c>
      <c r="R1512" s="75">
        <f>F1512-F1511</f>
        <v>0.0032106047296869278</v>
      </c>
      <c r="S1512" s="75">
        <f>0.5*(Q1511+Q1512)*R1512</f>
        <v>0.0033142064618214943</v>
      </c>
      <c r="T1512" s="75">
        <f>0.5*(F1511*Q1511+F1512*Q1512)*R1512</f>
        <v>0.020255035048108907</v>
      </c>
      <c r="U1512" s="76">
        <f>U1511+S1512</f>
        <v>6.382935233989234</v>
      </c>
      <c r="V1512" s="76">
        <f>V1511+T1512</f>
        <v>23.449983636322404</v>
      </c>
    </row>
    <row r="1513" spans="1:22" ht="19" customHeight="1">
      <c r="A1513" s="68" t="s">
        <v>372</v>
      </c>
      <c r="B1513" s="74">
        <v>2</v>
      </c>
      <c r="C1513" s="68" t="s">
        <v>363</v>
      </c>
      <c r="D1513" s="68" t="s">
        <v>364</v>
      </c>
      <c r="E1513" s="75">
        <f>60*F1513*'THAM_SO_MOI'!$C$50/(2*PI()*'THAM_SO_MOI'!$C$26)</f>
        <v>2453.199020475398</v>
      </c>
      <c r="F1513" s="75">
        <f>'HANH_TRINH'!$F$826+('THAM_SO_MOI'!$F$50-'HANH_TRINH'!$F$826)*686/'THAM_SO_MOI'!$C$42</f>
        <v>6.116394958670412</v>
      </c>
      <c r="G1513" s="75">
        <f>3.6*F1513</f>
        <v>22.019021851213484</v>
      </c>
      <c r="H1513" s="75">
        <f>'THAM_SO_MOI'!$D$50</f>
        <v>1.8785906709588276</v>
      </c>
      <c r="I1513" s="75">
        <f>IF(F1513&gt;'THAM_SO_MOI'!$C$14,'THAM_SO_MOI'!$C$13*(1+F1513^2/1500),'THAM_SO_MOI'!$C$13)</f>
        <v>0.015</v>
      </c>
      <c r="J1513" s="75">
        <f>'THAM_SO_MOI'!$C$40*('THAM_SO_MOI'!$C$23*(E1513/'THAM_SO_MOI'!$C$22)+'THAM_SO_MOI'!$C$24*(E1513/'THAM_SO_MOI'!$C$22)^2-'THAM_SO_MOI'!$C$25*(E1513/'THAM_SO_MOI'!$C$22)^3)</f>
        <v>109.45581579716955</v>
      </c>
      <c r="K1513" s="75">
        <f>'THAM_SO_MOI'!$C$31*J1513/E1513</f>
        <v>426.14694356750636</v>
      </c>
      <c r="L1513" s="75">
        <f>K1513*'THAM_SO_MOI'!$C$50*'THAM_SO_MOI'!$C$17/'THAM_SO_MOI'!$C$26</f>
        <v>15214.026996100929</v>
      </c>
      <c r="M1513" s="75">
        <f>'THAM_SO_MOI'!$C$15*'THAM_SO_MOI'!$C$16*F1513^2</f>
        <v>109.42509032456285</v>
      </c>
      <c r="N1513" s="75">
        <f>'THAM_SO_MOI'!$C$12*I1513</f>
        <v>1130.112</v>
      </c>
      <c r="O1513" s="75">
        <f>M1513+N1513</f>
        <v>1239.537090324563</v>
      </c>
      <c r="P1513" s="75">
        <f>(MIN(L1513,'THAM_SO_MOI'!$C$41)-O1513)/('THAM_SO_MOI'!$C$11*H1513)</f>
        <v>0.9685958031964007</v>
      </c>
      <c r="Q1513" s="75">
        <f>IF(P1513&gt;0,1/P1513,NA())</f>
        <v>1.032422396111943</v>
      </c>
      <c r="R1513" s="75">
        <f>F1513-F1512</f>
        <v>0.0032106047296869278</v>
      </c>
      <c r="S1513" s="75">
        <f>0.5*(Q1512+Q1513)*R1513</f>
        <v>0.0033145353989944225</v>
      </c>
      <c r="T1513" s="75">
        <f>0.5*(F1512*Q1512+F1513*Q1513)*R1513</f>
        <v>0.020267687037830124</v>
      </c>
      <c r="U1513" s="76">
        <f>U1512+S1513</f>
        <v>6.386249769388228</v>
      </c>
      <c r="V1513" s="76">
        <f>V1512+T1513</f>
        <v>23.470251323360234</v>
      </c>
    </row>
    <row r="1514" spans="1:22" ht="19" customHeight="1">
      <c r="A1514" s="68" t="s">
        <v>372</v>
      </c>
      <c r="B1514" s="74">
        <v>2</v>
      </c>
      <c r="C1514" s="68" t="s">
        <v>363</v>
      </c>
      <c r="D1514" s="68" t="s">
        <v>364</v>
      </c>
      <c r="E1514" s="75">
        <f>60*F1514*'THAM_SO_MOI'!$C$50/(2*PI()*'THAM_SO_MOI'!$C$26)</f>
        <v>2454.4867483659646</v>
      </c>
      <c r="F1514" s="75">
        <f>'HANH_TRINH'!$F$826+('THAM_SO_MOI'!$F$50-'HANH_TRINH'!$F$826)*687/'THAM_SO_MOI'!$C$42</f>
        <v>6.119605563400099</v>
      </c>
      <c r="G1514" s="75">
        <f>3.6*F1514</f>
        <v>22.030580028240358</v>
      </c>
      <c r="H1514" s="75">
        <f>'THAM_SO_MOI'!$D$50</f>
        <v>1.8785906709588276</v>
      </c>
      <c r="I1514" s="75">
        <f>IF(F1514&gt;'THAM_SO_MOI'!$C$14,'THAM_SO_MOI'!$C$13*(1+F1514^2/1500),'THAM_SO_MOI'!$C$13)</f>
        <v>0.015</v>
      </c>
      <c r="J1514" s="75">
        <f>'THAM_SO_MOI'!$C$40*('THAM_SO_MOI'!$C$23*(E1514/'THAM_SO_MOI'!$C$22)+'THAM_SO_MOI'!$C$24*(E1514/'THAM_SO_MOI'!$C$22)^2-'THAM_SO_MOI'!$C$25*(E1514/'THAM_SO_MOI'!$C$22)^3)</f>
        <v>109.50405136946753</v>
      </c>
      <c r="K1514" s="75">
        <f>'THAM_SO_MOI'!$C$31*J1514/E1514</f>
        <v>426.1110669800632</v>
      </c>
      <c r="L1514" s="75">
        <f>K1514*'THAM_SO_MOI'!$C$50*'THAM_SO_MOI'!$C$17/'THAM_SO_MOI'!$C$26</f>
        <v>15212.746153006481</v>
      </c>
      <c r="M1514" s="75">
        <f>'THAM_SO_MOI'!$C$15*'THAM_SO_MOI'!$C$16*F1514^2</f>
        <v>109.53999883592252</v>
      </c>
      <c r="N1514" s="75">
        <f>'THAM_SO_MOI'!$C$12*I1514</f>
        <v>1130.112</v>
      </c>
      <c r="O1514" s="75">
        <f>M1514+N1514</f>
        <v>1239.6519988359225</v>
      </c>
      <c r="P1514" s="75">
        <f>(MIN(L1514,'THAM_SO_MOI'!$C$41)-O1514)/('THAM_SO_MOI'!$C$11*H1514)</f>
        <v>0.9684990612647234</v>
      </c>
      <c r="Q1514" s="75">
        <f>IF(P1514&gt;0,1/P1514,NA())</f>
        <v>1.0325255232505242</v>
      </c>
      <c r="R1514" s="75">
        <f>F1514-F1513</f>
        <v>0.0032106047296869278</v>
      </c>
      <c r="S1514" s="75">
        <f>0.5*(Q1513+Q1514)*R1514</f>
        <v>0.003314865778231159</v>
      </c>
      <c r="T1514" s="75">
        <f>0.5*(F1513*Q1513+F1514*Q1514)*R1514</f>
        <v>0.020280349962273257</v>
      </c>
      <c r="U1514" s="76">
        <f>U1513+S1514</f>
        <v>6.389564635166459</v>
      </c>
      <c r="V1514" s="76">
        <f>V1513+T1514</f>
        <v>23.490531673322508</v>
      </c>
    </row>
    <row r="1515" spans="1:22" ht="19" customHeight="1">
      <c r="A1515" s="68" t="s">
        <v>372</v>
      </c>
      <c r="B1515" s="74">
        <v>2</v>
      </c>
      <c r="C1515" s="68" t="s">
        <v>363</v>
      </c>
      <c r="D1515" s="68" t="s">
        <v>364</v>
      </c>
      <c r="E1515" s="75">
        <f>60*F1515*'THAM_SO_MOI'!$C$50/(2*PI()*'THAM_SO_MOI'!$C$26)</f>
        <v>2455.774476256531</v>
      </c>
      <c r="F1515" s="75">
        <f>'HANH_TRINH'!$F$826+('THAM_SO_MOI'!$F$50-'HANH_TRINH'!$F$826)*688/'THAM_SO_MOI'!$C$42</f>
        <v>6.122816168129786</v>
      </c>
      <c r="G1515" s="75">
        <f>3.6*F1515</f>
        <v>22.04213820526723</v>
      </c>
      <c r="H1515" s="75">
        <f>'THAM_SO_MOI'!$D$50</f>
        <v>1.8785906709588276</v>
      </c>
      <c r="I1515" s="75">
        <f>IF(F1515&gt;'THAM_SO_MOI'!$C$14,'THAM_SO_MOI'!$C$13*(1+F1515^2/1500),'THAM_SO_MOI'!$C$13)</f>
        <v>0.015</v>
      </c>
      <c r="J1515" s="75">
        <f>'THAM_SO_MOI'!$C$40*('THAM_SO_MOI'!$C$23*(E1515/'THAM_SO_MOI'!$C$22)+'THAM_SO_MOI'!$C$24*(E1515/'THAM_SO_MOI'!$C$22)^2-'THAM_SO_MOI'!$C$25*(E1515/'THAM_SO_MOI'!$C$22)^3)</f>
        <v>109.55223590369383</v>
      </c>
      <c r="K1515" s="75">
        <f>'THAM_SO_MOI'!$C$31*J1515/E1515</f>
        <v>426.07502951828775</v>
      </c>
      <c r="L1515" s="75">
        <f>K1515*'THAM_SO_MOI'!$C$50*'THAM_SO_MOI'!$C$17/'THAM_SO_MOI'!$C$26</f>
        <v>15211.459566478998</v>
      </c>
      <c r="M1515" s="75">
        <f>'THAM_SO_MOI'!$C$15*'THAM_SO_MOI'!$C$16*F1515^2</f>
        <v>109.65496764898118</v>
      </c>
      <c r="N1515" s="75">
        <f>'THAM_SO_MOI'!$C$12*I1515</f>
        <v>1130.112</v>
      </c>
      <c r="O1515" s="75">
        <f>M1515+N1515</f>
        <v>1239.7669676489813</v>
      </c>
      <c r="P1515" s="75">
        <f>(MIN(L1515,'THAM_SO_MOI'!$C$41)-O1515)/('THAM_SO_MOI'!$C$11*H1515)</f>
        <v>0.9684019170662627</v>
      </c>
      <c r="Q1515" s="75">
        <f>IF(P1515&gt;0,1/P1515,NA())</f>
        <v>1.0326290999396848</v>
      </c>
      <c r="R1515" s="75">
        <f>F1515-F1514</f>
        <v>0.0032106047296869278</v>
      </c>
      <c r="S1515" s="75">
        <f>0.5*(Q1514+Q1515)*R1515</f>
        <v>0.003315197600374655</v>
      </c>
      <c r="T1515" s="75">
        <f>0.5*(F1514*Q1514+F1515*Q1515)*R1515</f>
        <v>0.020293023840487884</v>
      </c>
      <c r="U1515" s="76">
        <f>U1514+S1515</f>
        <v>6.392879832766834</v>
      </c>
      <c r="V1515" s="76">
        <f>V1514+T1515</f>
        <v>23.510824697162995</v>
      </c>
    </row>
    <row r="1516" spans="1:22" ht="19" customHeight="1">
      <c r="A1516" s="68" t="s">
        <v>372</v>
      </c>
      <c r="B1516" s="74">
        <v>2</v>
      </c>
      <c r="C1516" s="68" t="s">
        <v>363</v>
      </c>
      <c r="D1516" s="68" t="s">
        <v>364</v>
      </c>
      <c r="E1516" s="75">
        <f>60*F1516*'THAM_SO_MOI'!$C$50/(2*PI()*'THAM_SO_MOI'!$C$26)</f>
        <v>2457.0622041470974</v>
      </c>
      <c r="F1516" s="75">
        <f>'HANH_TRINH'!$F$826+('THAM_SO_MOI'!$F$50-'HANH_TRINH'!$F$826)*689/'THAM_SO_MOI'!$C$42</f>
        <v>6.126026772859472</v>
      </c>
      <c r="G1516" s="75">
        <f>3.6*F1516</f>
        <v>22.0536963822941</v>
      </c>
      <c r="H1516" s="75">
        <f>'THAM_SO_MOI'!$D$50</f>
        <v>1.8785906709588276</v>
      </c>
      <c r="I1516" s="75">
        <f>IF(F1516&gt;'THAM_SO_MOI'!$C$14,'THAM_SO_MOI'!$C$13*(1+F1516^2/1500),'THAM_SO_MOI'!$C$13)</f>
        <v>0.015</v>
      </c>
      <c r="J1516" s="75">
        <f>'THAM_SO_MOI'!$C$40*('THAM_SO_MOI'!$C$23*(E1516/'THAM_SO_MOI'!$C$22)+'THAM_SO_MOI'!$C$24*(E1516/'THAM_SO_MOI'!$C$22)^2-'THAM_SO_MOI'!$C$25*(E1516/'THAM_SO_MOI'!$C$22)^3)</f>
        <v>109.60036933477876</v>
      </c>
      <c r="K1516" s="75">
        <f>'THAM_SO_MOI'!$C$31*J1516/E1516</f>
        <v>426.0388311821803</v>
      </c>
      <c r="L1516" s="75">
        <f>K1516*'THAM_SO_MOI'!$C$50*'THAM_SO_MOI'!$C$17/'THAM_SO_MOI'!$C$26</f>
        <v>15210.167236518488</v>
      </c>
      <c r="M1516" s="75">
        <f>'THAM_SO_MOI'!$C$15*'THAM_SO_MOI'!$C$16*F1516^2</f>
        <v>109.76999676373879</v>
      </c>
      <c r="N1516" s="75">
        <f>'THAM_SO_MOI'!$C$12*I1516</f>
        <v>1130.112</v>
      </c>
      <c r="O1516" s="75">
        <f>M1516+N1516</f>
        <v>1239.881996763739</v>
      </c>
      <c r="P1516" s="75">
        <f>(MIN(L1516,'THAM_SO_MOI'!$C$41)-O1516)/('THAM_SO_MOI'!$C$11*H1516)</f>
        <v>0.9683043706010188</v>
      </c>
      <c r="Q1516" s="75">
        <f>IF(P1516&gt;0,1/P1516,NA())</f>
        <v>1.0327331264438142</v>
      </c>
      <c r="R1516" s="75">
        <f>F1516-F1515</f>
        <v>0.0032106047296860396</v>
      </c>
      <c r="S1516" s="75">
        <f>0.5*(Q1515+Q1516)*R1516</f>
        <v>0.0033155308662708755</v>
      </c>
      <c r="T1516" s="75">
        <f>0.5*(F1515*Q1515+F1516*Q1516)*R1516</f>
        <v>0.02030570869155286</v>
      </c>
      <c r="U1516" s="76">
        <f>U1515+S1516</f>
        <v>6.396195363633105</v>
      </c>
      <c r="V1516" s="76">
        <f>V1515+T1516</f>
        <v>23.531130405854547</v>
      </c>
    </row>
    <row r="1517" spans="1:22" ht="19" customHeight="1">
      <c r="A1517" s="68" t="s">
        <v>372</v>
      </c>
      <c r="B1517" s="74">
        <v>2</v>
      </c>
      <c r="C1517" s="68" t="s">
        <v>363</v>
      </c>
      <c r="D1517" s="68" t="s">
        <v>364</v>
      </c>
      <c r="E1517" s="75">
        <f>60*F1517*'THAM_SO_MOI'!$C$50/(2*PI()*'THAM_SO_MOI'!$C$26)</f>
        <v>2458.3499320376645</v>
      </c>
      <c r="F1517" s="75">
        <f>'HANH_TRINH'!$F$826+('THAM_SO_MOI'!$F$50-'HANH_TRINH'!$F$826)*690/'THAM_SO_MOI'!$C$42</f>
        <v>6.12923737758916</v>
      </c>
      <c r="G1517" s="75">
        <f>3.6*F1517</f>
        <v>22.065254559320977</v>
      </c>
      <c r="H1517" s="75">
        <f>'THAM_SO_MOI'!$D$50</f>
        <v>1.8785906709588276</v>
      </c>
      <c r="I1517" s="75">
        <f>IF(F1517&gt;'THAM_SO_MOI'!$C$14,'THAM_SO_MOI'!$C$13*(1+F1517^2/1500),'THAM_SO_MOI'!$C$13)</f>
        <v>0.015</v>
      </c>
      <c r="J1517" s="75">
        <f>'THAM_SO_MOI'!$C$40*('THAM_SO_MOI'!$C$23*(E1517/'THAM_SO_MOI'!$C$22)+'THAM_SO_MOI'!$C$24*(E1517/'THAM_SO_MOI'!$C$22)^2-'THAM_SO_MOI'!$C$25*(E1517/'THAM_SO_MOI'!$C$22)^3)</f>
        <v>109.64845159765261</v>
      </c>
      <c r="K1517" s="75">
        <f>'THAM_SO_MOI'!$C$31*J1517/E1517</f>
        <v>426.0024719717403</v>
      </c>
      <c r="L1517" s="75">
        <f>K1517*'THAM_SO_MOI'!$C$50*'THAM_SO_MOI'!$C$17/'THAM_SO_MOI'!$C$26</f>
        <v>15208.86916312493</v>
      </c>
      <c r="M1517" s="75">
        <f>'THAM_SO_MOI'!$C$15*'THAM_SO_MOI'!$C$16*F1517^2</f>
        <v>109.88508618019543</v>
      </c>
      <c r="N1517" s="75">
        <f>'THAM_SO_MOI'!$C$12*I1517</f>
        <v>1130.112</v>
      </c>
      <c r="O1517" s="75">
        <f>M1517+N1517</f>
        <v>1239.9970861801955</v>
      </c>
      <c r="P1517" s="75">
        <f>(MIN(L1517,'THAM_SO_MOI'!$C$41)-O1517)/('THAM_SO_MOI'!$C$11*H1517)</f>
        <v>0.9682064218689905</v>
      </c>
      <c r="Q1517" s="75">
        <f>IF(P1517&gt;0,1/P1517,NA())</f>
        <v>1.0328376030285322</v>
      </c>
      <c r="R1517" s="75">
        <f>F1517-F1516</f>
        <v>0.003210604729687816</v>
      </c>
      <c r="S1517" s="75">
        <f>0.5*(Q1516+Q1517)*R1517</f>
        <v>0.0033158655767743144</v>
      </c>
      <c r="T1517" s="75">
        <f>0.5*(F1516*Q1516+F1517*Q1517)*R1517</f>
        <v>0.02031840453461017</v>
      </c>
      <c r="U1517" s="76">
        <f>U1516+S1517</f>
        <v>6.399511229209879</v>
      </c>
      <c r="V1517" s="76">
        <f>V1516+T1517</f>
        <v>23.551448810389157</v>
      </c>
    </row>
    <row r="1518" spans="1:22" ht="19" customHeight="1">
      <c r="A1518" s="68" t="s">
        <v>372</v>
      </c>
      <c r="B1518" s="74">
        <v>2</v>
      </c>
      <c r="C1518" s="68" t="s">
        <v>363</v>
      </c>
      <c r="D1518" s="68" t="s">
        <v>364</v>
      </c>
      <c r="E1518" s="75">
        <f>60*F1518*'THAM_SO_MOI'!$C$50/(2*PI()*'THAM_SO_MOI'!$C$26)</f>
        <v>2459.637659928231</v>
      </c>
      <c r="F1518" s="75">
        <f>'HANH_TRINH'!$F$826+('THAM_SO_MOI'!$F$50-'HANH_TRINH'!$F$826)*691/'THAM_SO_MOI'!$C$42</f>
        <v>6.132447982318846</v>
      </c>
      <c r="G1518" s="75">
        <f>3.6*F1518</f>
        <v>22.076812736347847</v>
      </c>
      <c r="H1518" s="75">
        <f>'THAM_SO_MOI'!$D$50</f>
        <v>1.8785906709588276</v>
      </c>
      <c r="I1518" s="75">
        <f>IF(F1518&gt;'THAM_SO_MOI'!$C$14,'THAM_SO_MOI'!$C$13*(1+F1518^2/1500),'THAM_SO_MOI'!$C$13)</f>
        <v>0.015</v>
      </c>
      <c r="J1518" s="75">
        <f>'THAM_SO_MOI'!$C$40*('THAM_SO_MOI'!$C$23*(E1518/'THAM_SO_MOI'!$C$22)+'THAM_SO_MOI'!$C$24*(E1518/'THAM_SO_MOI'!$C$22)^2-'THAM_SO_MOI'!$C$25*(E1518/'THAM_SO_MOI'!$C$22)^3)</f>
        <v>109.69648262724569</v>
      </c>
      <c r="K1518" s="75">
        <f>'THAM_SO_MOI'!$C$31*J1518/E1518</f>
        <v>425.9659518869682</v>
      </c>
      <c r="L1518" s="75">
        <f>K1518*'THAM_SO_MOI'!$C$50*'THAM_SO_MOI'!$C$17/'THAM_SO_MOI'!$C$26</f>
        <v>15207.56534629834</v>
      </c>
      <c r="M1518" s="75">
        <f>'THAM_SO_MOI'!$C$15*'THAM_SO_MOI'!$C$16*F1518^2</f>
        <v>110.00023589835098</v>
      </c>
      <c r="N1518" s="75">
        <f>'THAM_SO_MOI'!$C$12*I1518</f>
        <v>1130.112</v>
      </c>
      <c r="O1518" s="75">
        <f>M1518+N1518</f>
        <v>1240.1122358983512</v>
      </c>
      <c r="P1518" s="75">
        <f>(MIN(L1518,'THAM_SO_MOI'!$C$41)-O1518)/('THAM_SO_MOI'!$C$11*H1518)</f>
        <v>0.9681080708701786</v>
      </c>
      <c r="Q1518" s="75">
        <f>IF(P1518&gt;0,1/P1518,NA())</f>
        <v>1.0329425299606847</v>
      </c>
      <c r="R1518" s="75">
        <f>F1518-F1517</f>
        <v>0.0032106047296860396</v>
      </c>
      <c r="S1518" s="75">
        <f>0.5*(Q1517+Q1518)*R1518</f>
        <v>0.0033162017327333184</v>
      </c>
      <c r="T1518" s="75">
        <f>0.5*(F1517*Q1517+F1518*Q1518)*R1518</f>
        <v>0.020331111388775094</v>
      </c>
      <c r="U1518" s="76">
        <f>U1517+S1518</f>
        <v>6.4028274309426125</v>
      </c>
      <c r="V1518" s="76">
        <f>V1517+T1518</f>
        <v>23.57177992177793</v>
      </c>
    </row>
    <row r="1519" spans="1:22" ht="19" customHeight="1">
      <c r="A1519" s="68" t="s">
        <v>372</v>
      </c>
      <c r="B1519" s="74">
        <v>2</v>
      </c>
      <c r="C1519" s="68" t="s">
        <v>363</v>
      </c>
      <c r="D1519" s="68" t="s">
        <v>364</v>
      </c>
      <c r="E1519" s="75">
        <f>60*F1519*'THAM_SO_MOI'!$C$50/(2*PI()*'THAM_SO_MOI'!$C$26)</f>
        <v>2460.925387818798</v>
      </c>
      <c r="F1519" s="75">
        <f>'HANH_TRINH'!$F$826+('THAM_SO_MOI'!$F$50-'HANH_TRINH'!$F$826)*692/'THAM_SO_MOI'!$C$42</f>
        <v>6.135658587048533</v>
      </c>
      <c r="G1519" s="75">
        <f>3.6*F1519</f>
        <v>22.088370913374717</v>
      </c>
      <c r="H1519" s="75">
        <f>'THAM_SO_MOI'!$D$50</f>
        <v>1.8785906709588276</v>
      </c>
      <c r="I1519" s="75">
        <f>IF(F1519&gt;'THAM_SO_MOI'!$C$14,'THAM_SO_MOI'!$C$13*(1+F1519^2/1500),'THAM_SO_MOI'!$C$13)</f>
        <v>0.015</v>
      </c>
      <c r="J1519" s="75">
        <f>'THAM_SO_MOI'!$C$40*('THAM_SO_MOI'!$C$23*(E1519/'THAM_SO_MOI'!$C$22)+'THAM_SO_MOI'!$C$24*(E1519/'THAM_SO_MOI'!$C$22)^2-'THAM_SO_MOI'!$C$25*(E1519/'THAM_SO_MOI'!$C$22)^3)</f>
        <v>109.7444623584883</v>
      </c>
      <c r="K1519" s="75">
        <f>'THAM_SO_MOI'!$C$31*J1519/E1519</f>
        <v>425.9292709278639</v>
      </c>
      <c r="L1519" s="75">
        <f>K1519*'THAM_SO_MOI'!$C$50*'THAM_SO_MOI'!$C$17/'THAM_SO_MOI'!$C$26</f>
        <v>15206.255786038719</v>
      </c>
      <c r="M1519" s="75">
        <f>'THAM_SO_MOI'!$C$15*'THAM_SO_MOI'!$C$16*F1519^2</f>
        <v>110.11544591820554</v>
      </c>
      <c r="N1519" s="75">
        <f>'THAM_SO_MOI'!$C$12*I1519</f>
        <v>1130.112</v>
      </c>
      <c r="O1519" s="75">
        <f>M1519+N1519</f>
        <v>1240.2274459182056</v>
      </c>
      <c r="P1519" s="75">
        <f>(MIN(L1519,'THAM_SO_MOI'!$C$41)-O1519)/('THAM_SO_MOI'!$C$11*H1519)</f>
        <v>0.9680093176045838</v>
      </c>
      <c r="Q1519" s="75">
        <f>IF(P1519&gt;0,1/P1519,NA())</f>
        <v>1.033047907508349</v>
      </c>
      <c r="R1519" s="75">
        <f>F1519-F1518</f>
        <v>0.0032106047296869278</v>
      </c>
      <c r="S1519" s="75">
        <f>0.5*(Q1518+Q1519)*R1519</f>
        <v>0.0033165393350130224</v>
      </c>
      <c r="T1519" s="75">
        <f>0.5*(F1518*Q1518+F1519*Q1519)*R1519</f>
        <v>0.020343829273276774</v>
      </c>
      <c r="U1519" s="76">
        <f>U1518+S1519</f>
        <v>6.4061439702776255</v>
      </c>
      <c r="V1519" s="76">
        <f>V1518+T1519</f>
        <v>23.592123751051208</v>
      </c>
    </row>
    <row r="1520" spans="1:22" ht="19" customHeight="1">
      <c r="A1520" s="68" t="s">
        <v>372</v>
      </c>
      <c r="B1520" s="74">
        <v>2</v>
      </c>
      <c r="C1520" s="68" t="s">
        <v>363</v>
      </c>
      <c r="D1520" s="68" t="s">
        <v>364</v>
      </c>
      <c r="E1520" s="75">
        <f>60*F1520*'THAM_SO_MOI'!$C$50/(2*PI()*'THAM_SO_MOI'!$C$26)</f>
        <v>2462.213115709365</v>
      </c>
      <c r="F1520" s="75">
        <f>'HANH_TRINH'!$F$826+('THAM_SO_MOI'!$F$50-'HANH_TRINH'!$F$826)*693/'THAM_SO_MOI'!$C$42</f>
        <v>6.13886919177822</v>
      </c>
      <c r="G1520" s="75">
        <f>3.6*F1520</f>
        <v>22.09992909040159</v>
      </c>
      <c r="H1520" s="75">
        <f>'THAM_SO_MOI'!$D$50</f>
        <v>1.8785906709588276</v>
      </c>
      <c r="I1520" s="75">
        <f>IF(F1520&gt;'THAM_SO_MOI'!$C$14,'THAM_SO_MOI'!$C$13*(1+F1520^2/1500),'THAM_SO_MOI'!$C$13)</f>
        <v>0.015</v>
      </c>
      <c r="J1520" s="75">
        <f>'THAM_SO_MOI'!$C$40*('THAM_SO_MOI'!$C$23*(E1520/'THAM_SO_MOI'!$C$22)+'THAM_SO_MOI'!$C$24*(E1520/'THAM_SO_MOI'!$C$22)^2-'THAM_SO_MOI'!$C$25*(E1520/'THAM_SO_MOI'!$C$22)^3)</f>
        <v>109.79239072631073</v>
      </c>
      <c r="K1520" s="75">
        <f>'THAM_SO_MOI'!$C$31*J1520/E1520</f>
        <v>425.89242909442714</v>
      </c>
      <c r="L1520" s="75">
        <f>K1520*'THAM_SO_MOI'!$C$50*'THAM_SO_MOI'!$C$17/'THAM_SO_MOI'!$C$26</f>
        <v>15204.94048234605</v>
      </c>
      <c r="M1520" s="75">
        <f>'THAM_SO_MOI'!$C$15*'THAM_SO_MOI'!$C$16*F1520^2</f>
        <v>110.23071623975903</v>
      </c>
      <c r="N1520" s="75">
        <f>'THAM_SO_MOI'!$C$12*I1520</f>
        <v>1130.112</v>
      </c>
      <c r="O1520" s="75">
        <f>M1520+N1520</f>
        <v>1240.342716239759</v>
      </c>
      <c r="P1520" s="75">
        <f>(MIN(L1520,'THAM_SO_MOI'!$C$41)-O1520)/('THAM_SO_MOI'!$C$11*H1520)</f>
        <v>0.9679101620722044</v>
      </c>
      <c r="Q1520" s="75">
        <f>IF(P1520&gt;0,1/P1520,NA())</f>
        <v>1.033153735940838</v>
      </c>
      <c r="R1520" s="75">
        <f>F1520-F1519</f>
        <v>0.0032106047296869278</v>
      </c>
      <c r="S1520" s="75">
        <f>0.5*(Q1519+Q1520)*R1520</f>
        <v>0.003316878384472431</v>
      </c>
      <c r="T1520" s="75">
        <f>0.5*(F1519*Q1519+F1520*Q1520)*R1520</f>
        <v>0.020356558207317847</v>
      </c>
      <c r="U1520" s="76">
        <f>U1519+S1520</f>
        <v>6.409460848662098</v>
      </c>
      <c r="V1520" s="76">
        <f>V1519+T1520</f>
        <v>23.612480309258526</v>
      </c>
    </row>
    <row r="1521" spans="1:22" ht="19" customHeight="1">
      <c r="A1521" s="68" t="s">
        <v>372</v>
      </c>
      <c r="B1521" s="74">
        <v>2</v>
      </c>
      <c r="C1521" s="68" t="s">
        <v>363</v>
      </c>
      <c r="D1521" s="68" t="s">
        <v>364</v>
      </c>
      <c r="E1521" s="75">
        <f>60*F1521*'THAM_SO_MOI'!$C$50/(2*PI()*'THAM_SO_MOI'!$C$26)</f>
        <v>2463.5008435999316</v>
      </c>
      <c r="F1521" s="75">
        <f>'HANH_TRINH'!$F$826+('THAM_SO_MOI'!$F$50-'HANH_TRINH'!$F$826)*694/'THAM_SO_MOI'!$C$42</f>
        <v>6.142079796507907</v>
      </c>
      <c r="G1521" s="75">
        <f>3.6*F1521</f>
        <v>22.111487267428465</v>
      </c>
      <c r="H1521" s="75">
        <f>'THAM_SO_MOI'!$D$50</f>
        <v>1.8785906709588276</v>
      </c>
      <c r="I1521" s="75">
        <f>IF(F1521&gt;'THAM_SO_MOI'!$C$14,'THAM_SO_MOI'!$C$13*(1+F1521^2/1500),'THAM_SO_MOI'!$C$13)</f>
        <v>0.015</v>
      </c>
      <c r="J1521" s="75">
        <f>'THAM_SO_MOI'!$C$40*('THAM_SO_MOI'!$C$23*(E1521/'THAM_SO_MOI'!$C$22)+'THAM_SO_MOI'!$C$24*(E1521/'THAM_SO_MOI'!$C$22)^2-'THAM_SO_MOI'!$C$25*(E1521/'THAM_SO_MOI'!$C$22)^3)</f>
        <v>109.84026766564328</v>
      </c>
      <c r="K1521" s="75">
        <f>'THAM_SO_MOI'!$C$31*J1521/E1521</f>
        <v>425.85542638665834</v>
      </c>
      <c r="L1521" s="75">
        <f>K1521*'THAM_SO_MOI'!$C$50*'THAM_SO_MOI'!$C$17/'THAM_SO_MOI'!$C$26</f>
        <v>15203.619435220358</v>
      </c>
      <c r="M1521" s="75">
        <f>'THAM_SO_MOI'!$C$15*'THAM_SO_MOI'!$C$16*F1521^2</f>
        <v>110.34604686301154</v>
      </c>
      <c r="N1521" s="75">
        <f>'THAM_SO_MOI'!$C$12*I1521</f>
        <v>1130.112</v>
      </c>
      <c r="O1521" s="75">
        <f>M1521+N1521</f>
        <v>1240.4580468630115</v>
      </c>
      <c r="P1521" s="75">
        <f>(MIN(L1521,'THAM_SO_MOI'!$C$41)-O1521)/('THAM_SO_MOI'!$C$11*H1521)</f>
        <v>0.9678106042730424</v>
      </c>
      <c r="Q1521" s="75">
        <f>IF(P1521&gt;0,1/P1521,NA())</f>
        <v>1.0332600155286955</v>
      </c>
      <c r="R1521" s="75">
        <f>F1521-F1520</f>
        <v>0.0032106047296869278</v>
      </c>
      <c r="S1521" s="75">
        <f>0.5*(Q1520+Q1521)*R1521</f>
        <v>0.003317218881979096</v>
      </c>
      <c r="T1521" s="75">
        <f>0.5*(F1520*Q1520+F1521*Q1521)*R1521</f>
        <v>0.020369298210164446</v>
      </c>
      <c r="U1521" s="76">
        <f>U1520+S1521</f>
        <v>6.412778067544077</v>
      </c>
      <c r="V1521" s="76">
        <f>V1520+T1521</f>
        <v>23.63284960746869</v>
      </c>
    </row>
    <row r="1522" spans="1:22" ht="19" customHeight="1">
      <c r="A1522" s="68" t="s">
        <v>372</v>
      </c>
      <c r="B1522" s="74">
        <v>2</v>
      </c>
      <c r="C1522" s="68" t="s">
        <v>363</v>
      </c>
      <c r="D1522" s="68" t="s">
        <v>364</v>
      </c>
      <c r="E1522" s="75">
        <f>60*F1522*'THAM_SO_MOI'!$C$50/(2*PI()*'THAM_SO_MOI'!$C$26)</f>
        <v>2464.7885714904983</v>
      </c>
      <c r="F1522" s="75">
        <f>'HANH_TRINH'!$F$826+('THAM_SO_MOI'!$F$50-'HANH_TRINH'!$F$826)*695/'THAM_SO_MOI'!$C$42</f>
        <v>6.1452904012375935</v>
      </c>
      <c r="G1522" s="75">
        <f>3.6*F1522</f>
        <v>22.123045444455336</v>
      </c>
      <c r="H1522" s="75">
        <f>'THAM_SO_MOI'!$D$50</f>
        <v>1.8785906709588276</v>
      </c>
      <c r="I1522" s="75">
        <f>IF(F1522&gt;'THAM_SO_MOI'!$C$14,'THAM_SO_MOI'!$C$13*(1+F1522^2/1500),'THAM_SO_MOI'!$C$13)</f>
        <v>0.015</v>
      </c>
      <c r="J1522" s="75">
        <f>'THAM_SO_MOI'!$C$40*('THAM_SO_MOI'!$C$23*(E1522/'THAM_SO_MOI'!$C$22)+'THAM_SO_MOI'!$C$24*(E1522/'THAM_SO_MOI'!$C$22)^2-'THAM_SO_MOI'!$C$25*(E1522/'THAM_SO_MOI'!$C$22)^3)</f>
        <v>109.88809311141627</v>
      </c>
      <c r="K1522" s="75">
        <f>'THAM_SO_MOI'!$C$31*J1522/E1522</f>
        <v>425.8182628045572</v>
      </c>
      <c r="L1522" s="75">
        <f>K1522*'THAM_SO_MOI'!$C$50*'THAM_SO_MOI'!$C$17/'THAM_SO_MOI'!$C$26</f>
        <v>15202.292644661624</v>
      </c>
      <c r="M1522" s="75">
        <f>'THAM_SO_MOI'!$C$15*'THAM_SO_MOI'!$C$16*F1522^2</f>
        <v>110.46143778796299</v>
      </c>
      <c r="N1522" s="75">
        <f>'THAM_SO_MOI'!$C$12*I1522</f>
        <v>1130.112</v>
      </c>
      <c r="O1522" s="75">
        <f>M1522+N1522</f>
        <v>1240.573437787963</v>
      </c>
      <c r="P1522" s="75">
        <f>(MIN(L1522,'THAM_SO_MOI'!$C$41)-O1522)/('THAM_SO_MOI'!$C$11*H1522)</f>
        <v>0.9677106442070962</v>
      </c>
      <c r="Q1522" s="75">
        <f>IF(P1522&gt;0,1/P1522,NA())</f>
        <v>1.033366746543705</v>
      </c>
      <c r="R1522" s="75">
        <f>F1522-F1521</f>
        <v>0.0032106047296869278</v>
      </c>
      <c r="S1522" s="75">
        <f>0.5*(Q1521+Q1522)*R1522</f>
        <v>0.0033175608284036154</v>
      </c>
      <c r="T1522" s="75">
        <f>0.5*(F1521*Q1521+F1522*Q1522)*R1522</f>
        <v>0.020382049301112592</v>
      </c>
      <c r="U1522" s="76">
        <f>U1521+S1522</f>
        <v>6.416095628372481</v>
      </c>
      <c r="V1522" s="76">
        <f>V1521+T1522</f>
        <v>23.6532316567698</v>
      </c>
    </row>
    <row r="1523" spans="1:22" ht="19" customHeight="1">
      <c r="A1523" s="68" t="s">
        <v>372</v>
      </c>
      <c r="B1523" s="74">
        <v>2</v>
      </c>
      <c r="C1523" s="68" t="s">
        <v>363</v>
      </c>
      <c r="D1523" s="68" t="s">
        <v>364</v>
      </c>
      <c r="E1523" s="75">
        <f>60*F1523*'THAM_SO_MOI'!$C$50/(2*PI()*'THAM_SO_MOI'!$C$26)</f>
        <v>2466.0762993810645</v>
      </c>
      <c r="F1523" s="75">
        <f>'HANH_TRINH'!$F$826+('THAM_SO_MOI'!$F$50-'HANH_TRINH'!$F$826)*696/'THAM_SO_MOI'!$C$42</f>
        <v>6.1485010059672796</v>
      </c>
      <c r="G1523" s="75">
        <f>3.6*F1523</f>
        <v>22.134603621482206</v>
      </c>
      <c r="H1523" s="75">
        <f>'THAM_SO_MOI'!$D$50</f>
        <v>1.8785906709588276</v>
      </c>
      <c r="I1523" s="75">
        <f>IF(F1523&gt;'THAM_SO_MOI'!$C$14,'THAM_SO_MOI'!$C$13*(1+F1523^2/1500),'THAM_SO_MOI'!$C$13)</f>
        <v>0.015</v>
      </c>
      <c r="J1523" s="75">
        <f>'THAM_SO_MOI'!$C$40*('THAM_SO_MOI'!$C$23*(E1523/'THAM_SO_MOI'!$C$22)+'THAM_SO_MOI'!$C$24*(E1523/'THAM_SO_MOI'!$C$22)^2-'THAM_SO_MOI'!$C$25*(E1523/'THAM_SO_MOI'!$C$22)^3)</f>
        <v>109.93586699855996</v>
      </c>
      <c r="K1523" s="75">
        <f>'THAM_SO_MOI'!$C$31*J1523/E1523</f>
        <v>425.78093834812387</v>
      </c>
      <c r="L1523" s="75">
        <f>K1523*'THAM_SO_MOI'!$C$50*'THAM_SO_MOI'!$C$17/'THAM_SO_MOI'!$C$26</f>
        <v>15200.960110669854</v>
      </c>
      <c r="M1523" s="75">
        <f>'THAM_SO_MOI'!$C$15*'THAM_SO_MOI'!$C$16*F1523^2</f>
        <v>110.5768890146134</v>
      </c>
      <c r="N1523" s="75">
        <f>'THAM_SO_MOI'!$C$12*I1523</f>
        <v>1130.112</v>
      </c>
      <c r="O1523" s="75">
        <f>M1523+N1523</f>
        <v>1240.6888890146136</v>
      </c>
      <c r="P1523" s="75">
        <f>(MIN(L1523,'THAM_SO_MOI'!$C$41)-O1523)/('THAM_SO_MOI'!$C$11*H1523)</f>
        <v>0.9676102818743663</v>
      </c>
      <c r="Q1523" s="75">
        <f>IF(P1523&gt;0,1/P1523,NA())</f>
        <v>1.0334739292588864</v>
      </c>
      <c r="R1523" s="75">
        <f>F1523-F1522</f>
        <v>0.0032106047296860396</v>
      </c>
      <c r="S1523" s="75">
        <f>0.5*(Q1522+Q1523)*R1523</f>
        <v>0.003317904224619646</v>
      </c>
      <c r="T1523" s="75">
        <f>0.5*(F1522*Q1522+F1523*Q1523)*R1523</f>
        <v>0.020394811499488266</v>
      </c>
      <c r="U1523" s="76">
        <f>U1522+S1523</f>
        <v>6.4194135325971</v>
      </c>
      <c r="V1523" s="76">
        <f>V1522+T1523</f>
        <v>23.67362646826929</v>
      </c>
    </row>
    <row r="1524" spans="1:22" ht="19" customHeight="1">
      <c r="A1524" s="68" t="s">
        <v>372</v>
      </c>
      <c r="B1524" s="74">
        <v>2</v>
      </c>
      <c r="C1524" s="68" t="s">
        <v>363</v>
      </c>
      <c r="D1524" s="68" t="s">
        <v>364</v>
      </c>
      <c r="E1524" s="75">
        <f>60*F1524*'THAM_SO_MOI'!$C$50/(2*PI()*'THAM_SO_MOI'!$C$26)</f>
        <v>2467.3640272716316</v>
      </c>
      <c r="F1524" s="75">
        <f>'HANH_TRINH'!$F$826+('THAM_SO_MOI'!$F$50-'HANH_TRINH'!$F$826)*697/'THAM_SO_MOI'!$C$42</f>
        <v>6.151711610696967</v>
      </c>
      <c r="G1524" s="75">
        <f>3.6*F1524</f>
        <v>22.146161798509084</v>
      </c>
      <c r="H1524" s="75">
        <f>'THAM_SO_MOI'!$D$50</f>
        <v>1.8785906709588276</v>
      </c>
      <c r="I1524" s="75">
        <f>IF(F1524&gt;'THAM_SO_MOI'!$C$14,'THAM_SO_MOI'!$C$13*(1+F1524^2/1500),'THAM_SO_MOI'!$C$13)</f>
        <v>0.015</v>
      </c>
      <c r="J1524" s="75">
        <f>'THAM_SO_MOI'!$C$40*('THAM_SO_MOI'!$C$23*(E1524/'THAM_SO_MOI'!$C$22)+'THAM_SO_MOI'!$C$24*(E1524/'THAM_SO_MOI'!$C$22)^2-'THAM_SO_MOI'!$C$25*(E1524/'THAM_SO_MOI'!$C$22)^3)</f>
        <v>109.98358926200473</v>
      </c>
      <c r="K1524" s="75">
        <f>'THAM_SO_MOI'!$C$31*J1524/E1524</f>
        <v>425.7434530173583</v>
      </c>
      <c r="L1524" s="75">
        <f>K1524*'THAM_SO_MOI'!$C$50*'THAM_SO_MOI'!$C$17/'THAM_SO_MOI'!$C$26</f>
        <v>15199.621833245053</v>
      </c>
      <c r="M1524" s="75">
        <f>'THAM_SO_MOI'!$C$15*'THAM_SO_MOI'!$C$16*F1524^2</f>
        <v>110.69240054296284</v>
      </c>
      <c r="N1524" s="75">
        <f>'THAM_SO_MOI'!$C$12*I1524</f>
        <v>1130.112</v>
      </c>
      <c r="O1524" s="75">
        <f>M1524+N1524</f>
        <v>1240.8044005429629</v>
      </c>
      <c r="P1524" s="75">
        <f>(MIN(L1524,'THAM_SO_MOI'!$C$41)-O1524)/('THAM_SO_MOI'!$C$11*H1524)</f>
        <v>0.9675095172748532</v>
      </c>
      <c r="Q1524" s="75">
        <f>IF(P1524&gt;0,1/P1524,NA())</f>
        <v>1.0335815639484989</v>
      </c>
      <c r="R1524" s="75">
        <f>F1524-F1523</f>
        <v>0.003210604729687816</v>
      </c>
      <c r="S1524" s="75">
        <f>0.5*(Q1523+Q1524)*R1524</f>
        <v>0.0033182490715094057</v>
      </c>
      <c r="T1524" s="75">
        <f>0.5*(F1523*Q1523+F1524*Q1524)*R1524</f>
        <v>0.02040758482468134</v>
      </c>
      <c r="U1524" s="76">
        <f>U1523+S1524</f>
        <v>6.42273178166861</v>
      </c>
      <c r="V1524" s="76">
        <f>V1523+T1524</f>
        <v>23.694034053093972</v>
      </c>
    </row>
    <row r="1525" spans="1:22" ht="19" customHeight="1">
      <c r="A1525" s="68" t="s">
        <v>372</v>
      </c>
      <c r="B1525" s="74">
        <v>2</v>
      </c>
      <c r="C1525" s="68" t="s">
        <v>363</v>
      </c>
      <c r="D1525" s="68" t="s">
        <v>364</v>
      </c>
      <c r="E1525" s="75">
        <f>60*F1525*'THAM_SO_MOI'!$C$50/(2*PI()*'THAM_SO_MOI'!$C$26)</f>
        <v>2468.651755162198</v>
      </c>
      <c r="F1525" s="75">
        <f>'HANH_TRINH'!$F$826+('THAM_SO_MOI'!$F$50-'HANH_TRINH'!$F$826)*698/'THAM_SO_MOI'!$C$42</f>
        <v>6.154922215426653</v>
      </c>
      <c r="G1525" s="75">
        <f>3.6*F1525</f>
        <v>22.157719975535954</v>
      </c>
      <c r="H1525" s="75">
        <f>'THAM_SO_MOI'!$D$50</f>
        <v>1.8785906709588276</v>
      </c>
      <c r="I1525" s="75">
        <f>IF(F1525&gt;'THAM_SO_MOI'!$C$14,'THAM_SO_MOI'!$C$13*(1+F1525^2/1500),'THAM_SO_MOI'!$C$13)</f>
        <v>0.015</v>
      </c>
      <c r="J1525" s="75">
        <f>'THAM_SO_MOI'!$C$40*('THAM_SO_MOI'!$C$23*(E1525/'THAM_SO_MOI'!$C$22)+'THAM_SO_MOI'!$C$24*(E1525/'THAM_SO_MOI'!$C$22)^2-'THAM_SO_MOI'!$C$25*(E1525/'THAM_SO_MOI'!$C$22)^3)</f>
        <v>110.03125983668077</v>
      </c>
      <c r="K1525" s="75">
        <f>'THAM_SO_MOI'!$C$31*J1525/E1525</f>
        <v>425.7058068122604</v>
      </c>
      <c r="L1525" s="75">
        <f>K1525*'THAM_SO_MOI'!$C$50*'THAM_SO_MOI'!$C$17/'THAM_SO_MOI'!$C$26</f>
        <v>15198.277812387212</v>
      </c>
      <c r="M1525" s="75">
        <f>'THAM_SO_MOI'!$C$15*'THAM_SO_MOI'!$C$16*F1525^2</f>
        <v>110.8079723730112</v>
      </c>
      <c r="N1525" s="75">
        <f>'THAM_SO_MOI'!$C$12*I1525</f>
        <v>1130.112</v>
      </c>
      <c r="O1525" s="75">
        <f>M1525+N1525</f>
        <v>1240.9199723730112</v>
      </c>
      <c r="P1525" s="75">
        <f>(MIN(L1525,'THAM_SO_MOI'!$C$41)-O1525)/('THAM_SO_MOI'!$C$11*H1525)</f>
        <v>0.9674083504085563</v>
      </c>
      <c r="Q1525" s="75">
        <f>IF(P1525&gt;0,1/P1525,NA())</f>
        <v>1.0336896508880449</v>
      </c>
      <c r="R1525" s="75">
        <f>F1525-F1524</f>
        <v>0.0032106047296860396</v>
      </c>
      <c r="S1525" s="75">
        <f>0.5*(Q1524+Q1525)*R1525</f>
        <v>0.0033185953699490065</v>
      </c>
      <c r="T1525" s="75">
        <f>0.5*(F1524*Q1524+F1525*Q1525)*R1525</f>
        <v>0.02042036929605541</v>
      </c>
      <c r="U1525" s="76">
        <f>U1524+S1525</f>
        <v>6.426050377038559</v>
      </c>
      <c r="V1525" s="76">
        <f>V1524+T1525</f>
        <v>23.714454422390027</v>
      </c>
    </row>
    <row r="1526" spans="1:22" ht="19" customHeight="1">
      <c r="A1526" s="68" t="s">
        <v>372</v>
      </c>
      <c r="B1526" s="74">
        <v>2</v>
      </c>
      <c r="C1526" s="68" t="s">
        <v>363</v>
      </c>
      <c r="D1526" s="68" t="s">
        <v>364</v>
      </c>
      <c r="E1526" s="75">
        <f>60*F1526*'THAM_SO_MOI'!$C$50/(2*PI()*'THAM_SO_MOI'!$C$26)</f>
        <v>2469.9394830527644</v>
      </c>
      <c r="F1526" s="75">
        <f>'HANH_TRINH'!$F$826+('THAM_SO_MOI'!$F$50-'HANH_TRINH'!$F$826)*699/'THAM_SO_MOI'!$C$42</f>
        <v>6.15813282015634</v>
      </c>
      <c r="G1526" s="75">
        <f>3.6*F1526</f>
        <v>22.169278152562825</v>
      </c>
      <c r="H1526" s="75">
        <f>'THAM_SO_MOI'!$D$50</f>
        <v>1.8785906709588276</v>
      </c>
      <c r="I1526" s="75">
        <f>IF(F1526&gt;'THAM_SO_MOI'!$C$14,'THAM_SO_MOI'!$C$13*(1+F1526^2/1500),'THAM_SO_MOI'!$C$13)</f>
        <v>0.015</v>
      </c>
      <c r="J1526" s="75">
        <f>'THAM_SO_MOI'!$C$40*('THAM_SO_MOI'!$C$23*(E1526/'THAM_SO_MOI'!$C$22)+'THAM_SO_MOI'!$C$24*(E1526/'THAM_SO_MOI'!$C$22)^2-'THAM_SO_MOI'!$C$25*(E1526/'THAM_SO_MOI'!$C$22)^3)</f>
        <v>110.07887865751847</v>
      </c>
      <c r="K1526" s="75">
        <f>'THAM_SO_MOI'!$C$31*J1526/E1526</f>
        <v>425.6679997328302</v>
      </c>
      <c r="L1526" s="75">
        <f>K1526*'THAM_SO_MOI'!$C$50*'THAM_SO_MOI'!$C$17/'THAM_SO_MOI'!$C$26</f>
        <v>15196.928048096332</v>
      </c>
      <c r="M1526" s="75">
        <f>'THAM_SO_MOI'!$C$15*'THAM_SO_MOI'!$C$16*F1526^2</f>
        <v>110.92360450475856</v>
      </c>
      <c r="N1526" s="75">
        <f>'THAM_SO_MOI'!$C$12*I1526</f>
        <v>1130.112</v>
      </c>
      <c r="O1526" s="75">
        <f>M1526+N1526</f>
        <v>1241.0356045047586</v>
      </c>
      <c r="P1526" s="75">
        <f>(MIN(L1526,'THAM_SO_MOI'!$C$41)-O1526)/('THAM_SO_MOI'!$C$11*H1526)</f>
        <v>0.9673067812754755</v>
      </c>
      <c r="Q1526" s="75">
        <f>IF(P1526&gt;0,1/P1526,NA())</f>
        <v>1.0337981903542697</v>
      </c>
      <c r="R1526" s="75">
        <f>F1526-F1525</f>
        <v>0.0032106047296869278</v>
      </c>
      <c r="S1526" s="75">
        <f>0.5*(Q1525+Q1526)*R1526</f>
        <v>0.003318943120831396</v>
      </c>
      <c r="T1526" s="75">
        <f>0.5*(F1525*Q1525+F1526*Q1526)*R1526</f>
        <v>0.020433164933089012</v>
      </c>
      <c r="U1526" s="76">
        <f>U1525+S1526</f>
        <v>6.42936932015939</v>
      </c>
      <c r="V1526" s="76">
        <f>V1525+T1526</f>
        <v>23.734887587323115</v>
      </c>
    </row>
    <row r="1527" spans="1:22" ht="19" customHeight="1">
      <c r="A1527" s="68" t="s">
        <v>372</v>
      </c>
      <c r="B1527" s="74">
        <v>2</v>
      </c>
      <c r="C1527" s="68" t="s">
        <v>363</v>
      </c>
      <c r="D1527" s="68" t="s">
        <v>364</v>
      </c>
      <c r="E1527" s="75">
        <f>60*F1527*'THAM_SO_MOI'!$C$50/(2*PI()*'THAM_SO_MOI'!$C$26)</f>
        <v>2471.227210943331</v>
      </c>
      <c r="F1527" s="75">
        <f>'HANH_TRINH'!$F$826+('THAM_SO_MOI'!$F$50-'HANH_TRINH'!$F$826)*700/'THAM_SO_MOI'!$C$42</f>
        <v>6.161343424886027</v>
      </c>
      <c r="G1527" s="75">
        <f>3.6*F1527</f>
        <v>22.1808363295897</v>
      </c>
      <c r="H1527" s="75">
        <f>'THAM_SO_MOI'!$D$50</f>
        <v>1.8785906709588276</v>
      </c>
      <c r="I1527" s="75">
        <f>IF(F1527&gt;'THAM_SO_MOI'!$C$14,'THAM_SO_MOI'!$C$13*(1+F1527^2/1500),'THAM_SO_MOI'!$C$13)</f>
        <v>0.015</v>
      </c>
      <c r="J1527" s="75">
        <f>'THAM_SO_MOI'!$C$40*('THAM_SO_MOI'!$C$23*(E1527/'THAM_SO_MOI'!$C$22)+'THAM_SO_MOI'!$C$24*(E1527/'THAM_SO_MOI'!$C$22)^2-'THAM_SO_MOI'!$C$25*(E1527/'THAM_SO_MOI'!$C$22)^3)</f>
        <v>110.12644565944812</v>
      </c>
      <c r="K1527" s="75">
        <f>'THAM_SO_MOI'!$C$31*J1527/E1527</f>
        <v>425.6300317790679</v>
      </c>
      <c r="L1527" s="75">
        <f>K1527*'THAM_SO_MOI'!$C$50*'THAM_SO_MOI'!$C$17/'THAM_SO_MOI'!$C$26</f>
        <v>15195.572540372423</v>
      </c>
      <c r="M1527" s="75">
        <f>'THAM_SO_MOI'!$C$15*'THAM_SO_MOI'!$C$16*F1527^2</f>
        <v>111.03929693820487</v>
      </c>
      <c r="N1527" s="75">
        <f>'THAM_SO_MOI'!$C$12*I1527</f>
        <v>1130.112</v>
      </c>
      <c r="O1527" s="75">
        <f>M1527+N1527</f>
        <v>1241.151296938205</v>
      </c>
      <c r="P1527" s="75">
        <f>(MIN(L1527,'THAM_SO_MOI'!$C$41)-O1527)/('THAM_SO_MOI'!$C$11*H1527)</f>
        <v>0.9672048098756117</v>
      </c>
      <c r="Q1527" s="75">
        <f>IF(P1527&gt;0,1/P1527,NA())</f>
        <v>1.033907182625163</v>
      </c>
      <c r="R1527" s="75">
        <f>F1527-F1526</f>
        <v>0.0032106047296869278</v>
      </c>
      <c r="S1527" s="75">
        <f>0.5*(Q1526+Q1527)*R1527</f>
        <v>0.0033192923250434194</v>
      </c>
      <c r="T1527" s="75">
        <f>0.5*(F1526*Q1526+F1527*Q1527)*R1527</f>
        <v>0.02044597175523454</v>
      </c>
      <c r="U1527" s="76">
        <f>U1526+S1527</f>
        <v>6.432688612484434</v>
      </c>
      <c r="V1527" s="76">
        <f>V1526+T1527</f>
        <v>23.75533355907835</v>
      </c>
    </row>
    <row r="1528" spans="1:22" ht="19" customHeight="1">
      <c r="A1528" s="68" t="s">
        <v>372</v>
      </c>
      <c r="B1528" s="74">
        <v>2</v>
      </c>
      <c r="C1528" s="68" t="s">
        <v>363</v>
      </c>
      <c r="D1528" s="68" t="s">
        <v>364</v>
      </c>
      <c r="E1528" s="75">
        <f>60*F1528*'THAM_SO_MOI'!$C$50/(2*PI()*'THAM_SO_MOI'!$C$26)</f>
        <v>2472.514938833898</v>
      </c>
      <c r="F1528" s="75">
        <f>'HANH_TRINH'!$F$826+('THAM_SO_MOI'!$F$50-'HANH_TRINH'!$F$826)*701/'THAM_SO_MOI'!$C$42</f>
        <v>6.164554029615714</v>
      </c>
      <c r="G1528" s="75">
        <f>3.6*F1528</f>
        <v>22.192394506616573</v>
      </c>
      <c r="H1528" s="75">
        <f>'THAM_SO_MOI'!$D$50</f>
        <v>1.8785906709588276</v>
      </c>
      <c r="I1528" s="75">
        <f>IF(F1528&gt;'THAM_SO_MOI'!$C$14,'THAM_SO_MOI'!$C$13*(1+F1528^2/1500),'THAM_SO_MOI'!$C$13)</f>
        <v>0.015</v>
      </c>
      <c r="J1528" s="75">
        <f>'THAM_SO_MOI'!$C$40*('THAM_SO_MOI'!$C$23*(E1528/'THAM_SO_MOI'!$C$22)+'THAM_SO_MOI'!$C$24*(E1528/'THAM_SO_MOI'!$C$22)^2-'THAM_SO_MOI'!$C$25*(E1528/'THAM_SO_MOI'!$C$22)^3)</f>
        <v>110.17396077740001</v>
      </c>
      <c r="K1528" s="75">
        <f>'THAM_SO_MOI'!$C$31*J1528/E1528</f>
        <v>425.5919029509733</v>
      </c>
      <c r="L1528" s="75">
        <f>K1528*'THAM_SO_MOI'!$C$50*'THAM_SO_MOI'!$C$17/'THAM_SO_MOI'!$C$26</f>
        <v>15194.211289215475</v>
      </c>
      <c r="M1528" s="75">
        <f>'THAM_SO_MOI'!$C$15*'THAM_SO_MOI'!$C$16*F1528^2</f>
        <v>111.15504967335018</v>
      </c>
      <c r="N1528" s="75">
        <f>'THAM_SO_MOI'!$C$12*I1528</f>
        <v>1130.112</v>
      </c>
      <c r="O1528" s="75">
        <f>M1528+N1528</f>
        <v>1241.2670496733504</v>
      </c>
      <c r="P1528" s="75">
        <f>(MIN(L1528,'THAM_SO_MOI'!$C$41)-O1528)/('THAM_SO_MOI'!$C$11*H1528)</f>
        <v>0.9671024362089639</v>
      </c>
      <c r="Q1528" s="75">
        <f>IF(P1528&gt;0,1/P1528,NA())</f>
        <v>1.034016627979963</v>
      </c>
      <c r="R1528" s="75">
        <f>F1528-F1527</f>
        <v>0.0032106047296869278</v>
      </c>
      <c r="S1528" s="75">
        <f>0.5*(Q1527+Q1528)*R1528</f>
        <v>0.0033196429834805156</v>
      </c>
      <c r="T1528" s="75">
        <f>0.5*(F1527*Q1527+F1528*Q1528)*R1528</f>
        <v>0.020458789782008737</v>
      </c>
      <c r="U1528" s="76">
        <f>U1527+S1528</f>
        <v>6.436008255467914</v>
      </c>
      <c r="V1528" s="76">
        <f>V1527+T1528</f>
        <v>23.775792348860357</v>
      </c>
    </row>
    <row r="1529" spans="1:22" ht="19" customHeight="1">
      <c r="A1529" s="68" t="s">
        <v>372</v>
      </c>
      <c r="B1529" s="74">
        <v>2</v>
      </c>
      <c r="C1529" s="68" t="s">
        <v>363</v>
      </c>
      <c r="D1529" s="68" t="s">
        <v>364</v>
      </c>
      <c r="E1529" s="75">
        <f>60*F1529*'THAM_SO_MOI'!$C$50/(2*PI()*'THAM_SO_MOI'!$C$26)</f>
        <v>2473.802666724465</v>
      </c>
      <c r="F1529" s="75">
        <f>'HANH_TRINH'!$F$826+('THAM_SO_MOI'!$F$50-'HANH_TRINH'!$F$826)*702/'THAM_SO_MOI'!$C$42</f>
        <v>6.167764634345401</v>
      </c>
      <c r="G1529" s="75">
        <f>3.6*F1529</f>
        <v>22.203952683643443</v>
      </c>
      <c r="H1529" s="75">
        <f>'THAM_SO_MOI'!$D$50</f>
        <v>1.8785906709588276</v>
      </c>
      <c r="I1529" s="75">
        <f>IF(F1529&gt;'THAM_SO_MOI'!$C$14,'THAM_SO_MOI'!$C$13*(1+F1529^2/1500),'THAM_SO_MOI'!$C$13)</f>
        <v>0.015</v>
      </c>
      <c r="J1529" s="75">
        <f>'THAM_SO_MOI'!$C$40*('THAM_SO_MOI'!$C$23*(E1529/'THAM_SO_MOI'!$C$22)+'THAM_SO_MOI'!$C$24*(E1529/'THAM_SO_MOI'!$C$22)^2-'THAM_SO_MOI'!$C$25*(E1529/'THAM_SO_MOI'!$C$22)^3)</f>
        <v>110.22142394630444</v>
      </c>
      <c r="K1529" s="75">
        <f>'THAM_SO_MOI'!$C$31*J1529/E1529</f>
        <v>425.5536132485464</v>
      </c>
      <c r="L1529" s="75">
        <f>K1529*'THAM_SO_MOI'!$C$50*'THAM_SO_MOI'!$C$17/'THAM_SO_MOI'!$C$26</f>
        <v>15192.844294625489</v>
      </c>
      <c r="M1529" s="75">
        <f>'THAM_SO_MOI'!$C$15*'THAM_SO_MOI'!$C$16*F1529^2</f>
        <v>111.27086271019446</v>
      </c>
      <c r="N1529" s="75">
        <f>'THAM_SO_MOI'!$C$12*I1529</f>
        <v>1130.112</v>
      </c>
      <c r="O1529" s="75">
        <f>M1529+N1529</f>
        <v>1241.3828627101946</v>
      </c>
      <c r="P1529" s="75">
        <f>(MIN(L1529,'THAM_SO_MOI'!$C$41)-O1529)/('THAM_SO_MOI'!$C$11*H1529)</f>
        <v>0.9669996602755323</v>
      </c>
      <c r="Q1529" s="75">
        <f>IF(P1529&gt;0,1/P1529,NA())</f>
        <v>1.034126526699156</v>
      </c>
      <c r="R1529" s="75">
        <f>F1529-F1528</f>
        <v>0.0032106047296869278</v>
      </c>
      <c r="S1529" s="75">
        <f>0.5*(Q1528+Q1529)*R1529</f>
        <v>0.0033199950970412115</v>
      </c>
      <c r="T1529" s="75">
        <f>0.5*(F1528*Q1528+F1529*Q1529)*R1529</f>
        <v>0.02047161903295889</v>
      </c>
      <c r="U1529" s="76">
        <f>U1528+S1529</f>
        <v>6.439328250564955</v>
      </c>
      <c r="V1529" s="76">
        <f>V1528+T1529</f>
        <v>23.796263967893317</v>
      </c>
    </row>
    <row r="1530" spans="1:22" ht="19" customHeight="1">
      <c r="A1530" s="68" t="s">
        <v>372</v>
      </c>
      <c r="B1530" s="74">
        <v>2</v>
      </c>
      <c r="C1530" s="68" t="s">
        <v>363</v>
      </c>
      <c r="D1530" s="68" t="s">
        <v>364</v>
      </c>
      <c r="E1530" s="75">
        <f>60*F1530*'THAM_SO_MOI'!$C$50/(2*PI()*'THAM_SO_MOI'!$C$26)</f>
        <v>2475.090394615031</v>
      </c>
      <c r="F1530" s="75">
        <f>'HANH_TRINH'!$F$826+('THAM_SO_MOI'!$F$50-'HANH_TRINH'!$F$826)*703/'THAM_SO_MOI'!$C$42</f>
        <v>6.170975239075087</v>
      </c>
      <c r="G1530" s="75">
        <f>3.6*F1530</f>
        <v>22.215510860670314</v>
      </c>
      <c r="H1530" s="75">
        <f>'THAM_SO_MOI'!$D$50</f>
        <v>1.8785906709588276</v>
      </c>
      <c r="I1530" s="75">
        <f>IF(F1530&gt;'THAM_SO_MOI'!$C$14,'THAM_SO_MOI'!$C$13*(1+F1530^2/1500),'THAM_SO_MOI'!$C$13)</f>
        <v>0.015</v>
      </c>
      <c r="J1530" s="75">
        <f>'THAM_SO_MOI'!$C$40*('THAM_SO_MOI'!$C$23*(E1530/'THAM_SO_MOI'!$C$22)+'THAM_SO_MOI'!$C$24*(E1530/'THAM_SO_MOI'!$C$22)^2-'THAM_SO_MOI'!$C$25*(E1530/'THAM_SO_MOI'!$C$22)^3)</f>
        <v>110.26883510109168</v>
      </c>
      <c r="K1530" s="75">
        <f>'THAM_SO_MOI'!$C$31*J1530/E1530</f>
        <v>425.5151626717873</v>
      </c>
      <c r="L1530" s="75">
        <f>K1530*'THAM_SO_MOI'!$C$50*'THAM_SO_MOI'!$C$17/'THAM_SO_MOI'!$C$26</f>
        <v>15191.471556602472</v>
      </c>
      <c r="M1530" s="75">
        <f>'THAM_SO_MOI'!$C$15*'THAM_SO_MOI'!$C$16*F1530^2</f>
        <v>111.38673604873765</v>
      </c>
      <c r="N1530" s="75">
        <f>'THAM_SO_MOI'!$C$12*I1530</f>
        <v>1130.112</v>
      </c>
      <c r="O1530" s="75">
        <f>M1530+N1530</f>
        <v>1241.4987360487378</v>
      </c>
      <c r="P1530" s="75">
        <f>(MIN(L1530,'THAM_SO_MOI'!$C$41)-O1530)/('THAM_SO_MOI'!$C$11*H1530)</f>
        <v>0.9668964820753174</v>
      </c>
      <c r="Q1530" s="75">
        <f>IF(P1530&gt;0,1/P1530,NA())</f>
        <v>1.0342368790644787</v>
      </c>
      <c r="R1530" s="75">
        <f>F1530-F1529</f>
        <v>0.0032106047296860396</v>
      </c>
      <c r="S1530" s="75">
        <f>0.5*(Q1529+Q1530)*R1530</f>
        <v>0.0033203486666271258</v>
      </c>
      <c r="T1530" s="75">
        <f>0.5*(F1529*Q1529+F1530*Q1530)*R1530</f>
        <v>0.0204844595276629</v>
      </c>
      <c r="U1530" s="76">
        <f>U1529+S1530</f>
        <v>6.442648599231583</v>
      </c>
      <c r="V1530" s="76">
        <f>V1529+T1530</f>
        <v>23.81674842742098</v>
      </c>
    </row>
    <row r="1531" spans="1:22" ht="19" customHeight="1">
      <c r="A1531" s="68" t="s">
        <v>372</v>
      </c>
      <c r="B1531" s="74">
        <v>2</v>
      </c>
      <c r="C1531" s="68" t="s">
        <v>363</v>
      </c>
      <c r="D1531" s="68" t="s">
        <v>364</v>
      </c>
      <c r="E1531" s="75">
        <f>60*F1531*'THAM_SO_MOI'!$C$50/(2*PI()*'THAM_SO_MOI'!$C$26)</f>
        <v>2476.378122505598</v>
      </c>
      <c r="F1531" s="75">
        <f>'HANH_TRINH'!$F$826+('THAM_SO_MOI'!$F$50-'HANH_TRINH'!$F$826)*704/'THAM_SO_MOI'!$C$42</f>
        <v>6.174185843804775</v>
      </c>
      <c r="G1531" s="75">
        <f>3.6*F1531</f>
        <v>22.22706903769719</v>
      </c>
      <c r="H1531" s="75">
        <f>'THAM_SO_MOI'!$D$50</f>
        <v>1.8785906709588276</v>
      </c>
      <c r="I1531" s="75">
        <f>IF(F1531&gt;'THAM_SO_MOI'!$C$14,'THAM_SO_MOI'!$C$13*(1+F1531^2/1500),'THAM_SO_MOI'!$C$13)</f>
        <v>0.015</v>
      </c>
      <c r="J1531" s="75">
        <f>'THAM_SO_MOI'!$C$40*('THAM_SO_MOI'!$C$23*(E1531/'THAM_SO_MOI'!$C$22)+'THAM_SO_MOI'!$C$24*(E1531/'THAM_SO_MOI'!$C$22)^2-'THAM_SO_MOI'!$C$25*(E1531/'THAM_SO_MOI'!$C$22)^3)</f>
        <v>110.31619417669206</v>
      </c>
      <c r="K1531" s="75">
        <f>'THAM_SO_MOI'!$C$31*J1531/E1531</f>
        <v>425.47655122069585</v>
      </c>
      <c r="L1531" s="75">
        <f>K1531*'THAM_SO_MOI'!$C$50*'THAM_SO_MOI'!$C$17/'THAM_SO_MOI'!$C$26</f>
        <v>15190.093075146411</v>
      </c>
      <c r="M1531" s="75">
        <f>'THAM_SO_MOI'!$C$15*'THAM_SO_MOI'!$C$16*F1531^2</f>
        <v>111.50266968897992</v>
      </c>
      <c r="N1531" s="75">
        <f>'THAM_SO_MOI'!$C$12*I1531</f>
        <v>1130.112</v>
      </c>
      <c r="O1531" s="75">
        <f>M1531+N1531</f>
        <v>1241.61466968898</v>
      </c>
      <c r="P1531" s="75">
        <f>(MIN(L1531,'THAM_SO_MOI'!$C$41)-O1531)/('THAM_SO_MOI'!$C$11*H1531)</f>
        <v>0.9667929016083185</v>
      </c>
      <c r="Q1531" s="75">
        <f>IF(P1531&gt;0,1/P1531,NA())</f>
        <v>1.0343476853589217</v>
      </c>
      <c r="R1531" s="75">
        <f>F1531-F1530</f>
        <v>0.003210604729687816</v>
      </c>
      <c r="S1531" s="75">
        <f>0.5*(Q1530+Q1531)*R1531</f>
        <v>0.00332070369314849</v>
      </c>
      <c r="T1531" s="75">
        <f>0.5*(F1530*Q1530+F1531*Q1531)*R1531</f>
        <v>0.020497311285763428</v>
      </c>
      <c r="U1531" s="76">
        <f>U1530+S1531</f>
        <v>6.445969302924731</v>
      </c>
      <c r="V1531" s="76">
        <f>V1530+T1531</f>
        <v>23.83724573870674</v>
      </c>
    </row>
    <row r="1532" spans="1:22" ht="19" customHeight="1">
      <c r="A1532" s="68" t="s">
        <v>372</v>
      </c>
      <c r="B1532" s="74">
        <v>2</v>
      </c>
      <c r="C1532" s="68" t="s">
        <v>363</v>
      </c>
      <c r="D1532" s="68" t="s">
        <v>364</v>
      </c>
      <c r="E1532" s="75">
        <f>60*F1532*'THAM_SO_MOI'!$C$50/(2*PI()*'THAM_SO_MOI'!$C$26)</f>
        <v>2477.665850396165</v>
      </c>
      <c r="F1532" s="75">
        <f>'HANH_TRINH'!$F$826+('THAM_SO_MOI'!$F$50-'HANH_TRINH'!$F$826)*705/'THAM_SO_MOI'!$C$42</f>
        <v>6.177396448534461</v>
      </c>
      <c r="G1532" s="75">
        <f>3.6*F1532</f>
        <v>22.238627214724062</v>
      </c>
      <c r="H1532" s="75">
        <f>'THAM_SO_MOI'!$D$50</f>
        <v>1.8785906709588276</v>
      </c>
      <c r="I1532" s="75">
        <f>IF(F1532&gt;'THAM_SO_MOI'!$C$14,'THAM_SO_MOI'!$C$13*(1+F1532^2/1500),'THAM_SO_MOI'!$C$13)</f>
        <v>0.015</v>
      </c>
      <c r="J1532" s="75">
        <f>'THAM_SO_MOI'!$C$40*('THAM_SO_MOI'!$C$23*(E1532/'THAM_SO_MOI'!$C$22)+'THAM_SO_MOI'!$C$24*(E1532/'THAM_SO_MOI'!$C$22)^2-'THAM_SO_MOI'!$C$25*(E1532/'THAM_SO_MOI'!$C$22)^3)</f>
        <v>110.36350110803593</v>
      </c>
      <c r="K1532" s="75">
        <f>'THAM_SO_MOI'!$C$31*J1532/E1532</f>
        <v>425.4377788952724</v>
      </c>
      <c r="L1532" s="75">
        <f>K1532*'THAM_SO_MOI'!$C$50*'THAM_SO_MOI'!$C$17/'THAM_SO_MOI'!$C$26</f>
        <v>15188.708850257324</v>
      </c>
      <c r="M1532" s="75">
        <f>'THAM_SO_MOI'!$C$15*'THAM_SO_MOI'!$C$16*F1532^2</f>
        <v>111.61866363092105</v>
      </c>
      <c r="N1532" s="75">
        <f>'THAM_SO_MOI'!$C$12*I1532</f>
        <v>1130.112</v>
      </c>
      <c r="O1532" s="75">
        <f>M1532+N1532</f>
        <v>1241.730663630921</v>
      </c>
      <c r="P1532" s="75">
        <f>(MIN(L1532,'THAM_SO_MOI'!$C$41)-O1532)/('THAM_SO_MOI'!$C$11*H1532)</f>
        <v>0.9666889188745367</v>
      </c>
      <c r="Q1532" s="75">
        <f>IF(P1532&gt;0,1/P1532,NA())</f>
        <v>1.034458945866728</v>
      </c>
      <c r="R1532" s="75">
        <f>F1532-F1531</f>
        <v>0.0032106047296860396</v>
      </c>
      <c r="S1532" s="75">
        <f>0.5*(Q1531+Q1532)*R1532</f>
        <v>0.003321060177509457</v>
      </c>
      <c r="T1532" s="75">
        <f>0.5*(F1531*Q1531+F1532*Q1532)*R1532</f>
        <v>0.02051017432687725</v>
      </c>
      <c r="U1532" s="76">
        <f>U1531+S1532</f>
        <v>6.449290363102241</v>
      </c>
      <c r="V1532" s="76">
        <f>V1531+T1532</f>
        <v>23.857755913033618</v>
      </c>
    </row>
    <row r="1533" spans="1:22" ht="19" customHeight="1">
      <c r="A1533" s="68" t="s">
        <v>372</v>
      </c>
      <c r="B1533" s="74">
        <v>2</v>
      </c>
      <c r="C1533" s="68" t="s">
        <v>363</v>
      </c>
      <c r="D1533" s="68" t="s">
        <v>364</v>
      </c>
      <c r="E1533" s="75">
        <f>60*F1533*'THAM_SO_MOI'!$C$50/(2*PI()*'THAM_SO_MOI'!$C$26)</f>
        <v>2478.9535782867315</v>
      </c>
      <c r="F1533" s="75">
        <f>'HANH_TRINH'!$F$826+('THAM_SO_MOI'!$F$50-'HANH_TRINH'!$F$826)*706/'THAM_SO_MOI'!$C$42</f>
        <v>6.180607053264148</v>
      </c>
      <c r="G1533" s="75">
        <f>3.6*F1533</f>
        <v>22.250185391750932</v>
      </c>
      <c r="H1533" s="75">
        <f>'THAM_SO_MOI'!$D$50</f>
        <v>1.8785906709588276</v>
      </c>
      <c r="I1533" s="75">
        <f>IF(F1533&gt;'THAM_SO_MOI'!$C$14,'THAM_SO_MOI'!$C$13*(1+F1533^2/1500),'THAM_SO_MOI'!$C$13)</f>
        <v>0.015</v>
      </c>
      <c r="J1533" s="75">
        <f>'THAM_SO_MOI'!$C$40*('THAM_SO_MOI'!$C$23*(E1533/'THAM_SO_MOI'!$C$22)+'THAM_SO_MOI'!$C$24*(E1533/'THAM_SO_MOI'!$C$22)^2-'THAM_SO_MOI'!$C$25*(E1533/'THAM_SO_MOI'!$C$22)^3)</f>
        <v>110.41075583005352</v>
      </c>
      <c r="K1533" s="75">
        <f>'THAM_SO_MOI'!$C$31*J1533/E1533</f>
        <v>425.3988456955165</v>
      </c>
      <c r="L1533" s="75">
        <f>K1533*'THAM_SO_MOI'!$C$50*'THAM_SO_MOI'!$C$17/'THAM_SO_MOI'!$C$26</f>
        <v>15187.318881935196</v>
      </c>
      <c r="M1533" s="75">
        <f>'THAM_SO_MOI'!$C$15*'THAM_SO_MOI'!$C$16*F1533^2</f>
        <v>111.73471787456123</v>
      </c>
      <c r="N1533" s="75">
        <f>'THAM_SO_MOI'!$C$12*I1533</f>
        <v>1130.112</v>
      </c>
      <c r="O1533" s="75">
        <f>M1533+N1533</f>
        <v>1241.8467178745614</v>
      </c>
      <c r="P1533" s="75">
        <f>(MIN(L1533,'THAM_SO_MOI'!$C$41)-O1533)/('THAM_SO_MOI'!$C$11*H1533)</f>
        <v>0.966584533873971</v>
      </c>
      <c r="Q1533" s="75">
        <f>IF(P1533&gt;0,1/P1533,NA())</f>
        <v>1.0345706608733984</v>
      </c>
      <c r="R1533" s="75">
        <f>F1533-F1532</f>
        <v>0.0032106047296869278</v>
      </c>
      <c r="S1533" s="75">
        <f>0.5*(Q1532+Q1533)*R1533</f>
        <v>0.003321418120631067</v>
      </c>
      <c r="T1533" s="75">
        <f>0.5*(F1532*Q1532+F1533*Q1533)*R1533</f>
        <v>0.02052304867073713</v>
      </c>
      <c r="U1533" s="76">
        <f>U1532+S1533</f>
        <v>6.452611781222872</v>
      </c>
      <c r="V1533" s="76">
        <f>V1532+T1533</f>
        <v>23.878278961704353</v>
      </c>
    </row>
    <row r="1534" spans="1:22" ht="19" customHeight="1">
      <c r="A1534" s="68" t="s">
        <v>372</v>
      </c>
      <c r="B1534" s="74">
        <v>2</v>
      </c>
      <c r="C1534" s="68" t="s">
        <v>363</v>
      </c>
      <c r="D1534" s="68" t="s">
        <v>364</v>
      </c>
      <c r="E1534" s="75">
        <f>60*F1534*'THAM_SO_MOI'!$C$50/(2*PI()*'THAM_SO_MOI'!$C$26)</f>
        <v>2480.241306177298</v>
      </c>
      <c r="F1534" s="75">
        <f>'HANH_TRINH'!$F$826+('THAM_SO_MOI'!$F$50-'HANH_TRINH'!$F$826)*707/'THAM_SO_MOI'!$C$42</f>
        <v>6.183817657993835</v>
      </c>
      <c r="G1534" s="75">
        <f>3.6*F1534</f>
        <v>22.261743568777806</v>
      </c>
      <c r="H1534" s="75">
        <f>'THAM_SO_MOI'!$D$50</f>
        <v>1.8785906709588276</v>
      </c>
      <c r="I1534" s="75">
        <f>IF(F1534&gt;'THAM_SO_MOI'!$C$14,'THAM_SO_MOI'!$C$13*(1+F1534^2/1500),'THAM_SO_MOI'!$C$13)</f>
        <v>0.015</v>
      </c>
      <c r="J1534" s="75">
        <f>'THAM_SO_MOI'!$C$40*('THAM_SO_MOI'!$C$23*(E1534/'THAM_SO_MOI'!$C$22)+'THAM_SO_MOI'!$C$24*(E1534/'THAM_SO_MOI'!$C$22)^2-'THAM_SO_MOI'!$C$25*(E1534/'THAM_SO_MOI'!$C$22)^3)</f>
        <v>110.45795827767513</v>
      </c>
      <c r="K1534" s="75">
        <f>'THAM_SO_MOI'!$C$31*J1534/E1534</f>
        <v>425.35975162142836</v>
      </c>
      <c r="L1534" s="75">
        <f>K1534*'THAM_SO_MOI'!$C$50*'THAM_SO_MOI'!$C$17/'THAM_SO_MOI'!$C$26</f>
        <v>15185.923170180033</v>
      </c>
      <c r="M1534" s="75">
        <f>'THAM_SO_MOI'!$C$15*'THAM_SO_MOI'!$C$16*F1534^2</f>
        <v>111.85083241990036</v>
      </c>
      <c r="N1534" s="75">
        <f>'THAM_SO_MOI'!$C$12*I1534</f>
        <v>1130.112</v>
      </c>
      <c r="O1534" s="75">
        <f>M1534+N1534</f>
        <v>1241.9628324199005</v>
      </c>
      <c r="P1534" s="75">
        <f>(MIN(L1534,'THAM_SO_MOI'!$C$41)-O1534)/('THAM_SO_MOI'!$C$11*H1534)</f>
        <v>0.9664797466066213</v>
      </c>
      <c r="Q1534" s="75">
        <f>IF(P1534&gt;0,1/P1534,NA())</f>
        <v>1.0346828306656923</v>
      </c>
      <c r="R1534" s="75">
        <f>F1534-F1533</f>
        <v>0.0032106047296869278</v>
      </c>
      <c r="S1534" s="75">
        <f>0.5*(Q1533+Q1534)*R1534</f>
        <v>0.0033217775234282974</v>
      </c>
      <c r="T1534" s="75">
        <f>0.5*(F1533*Q1533+F1534*Q1534)*R1534</f>
        <v>0.02053593433705016</v>
      </c>
      <c r="U1534" s="76">
        <f>U1533+S1534</f>
        <v>6.455933558746301</v>
      </c>
      <c r="V1534" s="76">
        <f>V1533+T1534</f>
        <v>23.898814896041404</v>
      </c>
    </row>
    <row r="1535" spans="1:22" ht="19" customHeight="1">
      <c r="A1535" s="68" t="s">
        <v>372</v>
      </c>
      <c r="B1535" s="74">
        <v>2</v>
      </c>
      <c r="C1535" s="68" t="s">
        <v>363</v>
      </c>
      <c r="D1535" s="68" t="s">
        <v>364</v>
      </c>
      <c r="E1535" s="75">
        <f>60*F1535*'THAM_SO_MOI'!$C$50/(2*PI()*'THAM_SO_MOI'!$C$26)</f>
        <v>2481.5290340678653</v>
      </c>
      <c r="F1535" s="75">
        <f>'HANH_TRINH'!$F$826+('THAM_SO_MOI'!$F$50-'HANH_TRINH'!$F$826)*708/'THAM_SO_MOI'!$C$42</f>
        <v>6.187028262723522</v>
      </c>
      <c r="G1535" s="75">
        <f>3.6*F1535</f>
        <v>22.27330174580468</v>
      </c>
      <c r="H1535" s="75">
        <f>'THAM_SO_MOI'!$D$50</f>
        <v>1.8785906709588276</v>
      </c>
      <c r="I1535" s="75">
        <f>IF(F1535&gt;'THAM_SO_MOI'!$C$14,'THAM_SO_MOI'!$C$13*(1+F1535^2/1500),'THAM_SO_MOI'!$C$13)</f>
        <v>0.015</v>
      </c>
      <c r="J1535" s="75">
        <f>'THAM_SO_MOI'!$C$40*('THAM_SO_MOI'!$C$23*(E1535/'THAM_SO_MOI'!$C$22)+'THAM_SO_MOI'!$C$24*(E1535/'THAM_SO_MOI'!$C$22)^2-'THAM_SO_MOI'!$C$25*(E1535/'THAM_SO_MOI'!$C$22)^3)</f>
        <v>110.50510838583112</v>
      </c>
      <c r="K1535" s="75">
        <f>'THAM_SO_MOI'!$C$31*J1535/E1535</f>
        <v>425.32049667300805</v>
      </c>
      <c r="L1535" s="75">
        <f>K1535*'THAM_SO_MOI'!$C$50*'THAM_SO_MOI'!$C$17/'THAM_SO_MOI'!$C$26</f>
        <v>15184.521714991835</v>
      </c>
      <c r="M1535" s="75">
        <f>'THAM_SO_MOI'!$C$15*'THAM_SO_MOI'!$C$16*F1535^2</f>
        <v>111.96700726693845</v>
      </c>
      <c r="N1535" s="75">
        <f>'THAM_SO_MOI'!$C$12*I1535</f>
        <v>1130.112</v>
      </c>
      <c r="O1535" s="75">
        <f>M1535+N1535</f>
        <v>1242.0790072669386</v>
      </c>
      <c r="P1535" s="75">
        <f>(MIN(L1535,'THAM_SO_MOI'!$C$41)-O1535)/('THAM_SO_MOI'!$C$11*H1535)</f>
        <v>0.9663745570724886</v>
      </c>
      <c r="Q1535" s="75">
        <f>IF(P1535&gt;0,1/P1535,NA())</f>
        <v>1.0347954555316268</v>
      </c>
      <c r="R1535" s="75">
        <f>F1535-F1534</f>
        <v>0.0032106047296869278</v>
      </c>
      <c r="S1535" s="75">
        <f>0.5*(Q1534+Q1535)*R1535</f>
        <v>0.0033221383868247555</v>
      </c>
      <c r="T1535" s="75">
        <f>0.5*(F1534*Q1534+F1535*Q1535)*R1535</f>
        <v>0.020548831345588575</v>
      </c>
      <c r="U1535" s="76">
        <f>U1534+S1535</f>
        <v>6.459255697133125</v>
      </c>
      <c r="V1535" s="76">
        <f>V1534+T1535</f>
        <v>23.919363727386994</v>
      </c>
    </row>
    <row r="1536" spans="1:22" ht="19" customHeight="1">
      <c r="A1536" s="68" t="s">
        <v>372</v>
      </c>
      <c r="B1536" s="74">
        <v>2</v>
      </c>
      <c r="C1536" s="68" t="s">
        <v>363</v>
      </c>
      <c r="D1536" s="68" t="s">
        <v>364</v>
      </c>
      <c r="E1536" s="75">
        <f>60*F1536*'THAM_SO_MOI'!$C$50/(2*PI()*'THAM_SO_MOI'!$C$26)</f>
        <v>2482.816761958432</v>
      </c>
      <c r="F1536" s="75">
        <f>'HANH_TRINH'!$F$826+('THAM_SO_MOI'!$F$50-'HANH_TRINH'!$F$826)*709/'THAM_SO_MOI'!$C$42</f>
        <v>6.190238867453209</v>
      </c>
      <c r="G1536" s="75">
        <f>3.6*F1536</f>
        <v>22.28485992283155</v>
      </c>
      <c r="H1536" s="75">
        <f>'THAM_SO_MOI'!$D$50</f>
        <v>1.8785906709588276</v>
      </c>
      <c r="I1536" s="75">
        <f>IF(F1536&gt;'THAM_SO_MOI'!$C$14,'THAM_SO_MOI'!$C$13*(1+F1536^2/1500),'THAM_SO_MOI'!$C$13)</f>
        <v>0.015</v>
      </c>
      <c r="J1536" s="75">
        <f>'THAM_SO_MOI'!$C$40*('THAM_SO_MOI'!$C$23*(E1536/'THAM_SO_MOI'!$C$22)+'THAM_SO_MOI'!$C$24*(E1536/'THAM_SO_MOI'!$C$22)^2-'THAM_SO_MOI'!$C$25*(E1536/'THAM_SO_MOI'!$C$22)^3)</f>
        <v>110.55220608945176</v>
      </c>
      <c r="K1536" s="75">
        <f>'THAM_SO_MOI'!$C$31*J1536/E1536</f>
        <v>425.2810808502555</v>
      </c>
      <c r="L1536" s="75">
        <f>K1536*'THAM_SO_MOI'!$C$50*'THAM_SO_MOI'!$C$17/'THAM_SO_MOI'!$C$26</f>
        <v>15183.1145163706</v>
      </c>
      <c r="M1536" s="75">
        <f>'THAM_SO_MOI'!$C$15*'THAM_SO_MOI'!$C$16*F1536^2</f>
        <v>112.08324241567554</v>
      </c>
      <c r="N1536" s="75">
        <f>'THAM_SO_MOI'!$C$12*I1536</f>
        <v>1130.112</v>
      </c>
      <c r="O1536" s="75">
        <f>M1536+N1536</f>
        <v>1242.1952424156757</v>
      </c>
      <c r="P1536" s="75">
        <f>(MIN(L1536,'THAM_SO_MOI'!$C$41)-O1536)/('THAM_SO_MOI'!$C$11*H1536)</f>
        <v>0.9662689652715719</v>
      </c>
      <c r="Q1536" s="75">
        <f>IF(P1536&gt;0,1/P1536,NA())</f>
        <v>1.0349085357604835</v>
      </c>
      <c r="R1536" s="75">
        <f>F1536-F1535</f>
        <v>0.0032106047296869278</v>
      </c>
      <c r="S1536" s="75">
        <f>0.5*(Q1535+Q1536)*R1536</f>
        <v>0.0033225007117471807</v>
      </c>
      <c r="T1536" s="75">
        <f>0.5*(F1535*Q1535+F1536*Q1536)*R1536</f>
        <v>0.02056173971615585</v>
      </c>
      <c r="U1536" s="76">
        <f>U1535+S1536</f>
        <v>6.462578197844873</v>
      </c>
      <c r="V1536" s="76">
        <f>V1535+T1536</f>
        <v>23.93992546710315</v>
      </c>
    </row>
    <row r="1537" spans="1:22" ht="19" customHeight="1">
      <c r="A1537" s="68" t="s">
        <v>372</v>
      </c>
      <c r="B1537" s="74">
        <v>2</v>
      </c>
      <c r="C1537" s="68" t="s">
        <v>363</v>
      </c>
      <c r="D1537" s="68" t="s">
        <v>364</v>
      </c>
      <c r="E1537" s="75">
        <f>60*F1537*'THAM_SO_MOI'!$C$50/(2*PI()*'THAM_SO_MOI'!$C$26)</f>
        <v>2484.104489848998</v>
      </c>
      <c r="F1537" s="75">
        <f>'HANH_TRINH'!$F$826+('THAM_SO_MOI'!$F$50-'HANH_TRINH'!$F$826)*710/'THAM_SO_MOI'!$C$42</f>
        <v>6.193449472182895</v>
      </c>
      <c r="G1537" s="75">
        <f>3.6*F1537</f>
        <v>22.29641809985842</v>
      </c>
      <c r="H1537" s="75">
        <f>'THAM_SO_MOI'!$D$50</f>
        <v>1.8785906709588276</v>
      </c>
      <c r="I1537" s="75">
        <f>IF(F1537&gt;'THAM_SO_MOI'!$C$14,'THAM_SO_MOI'!$C$13*(1+F1537^2/1500),'THAM_SO_MOI'!$C$13)</f>
        <v>0.015</v>
      </c>
      <c r="J1537" s="75">
        <f>'THAM_SO_MOI'!$C$40*('THAM_SO_MOI'!$C$23*(E1537/'THAM_SO_MOI'!$C$22)+'THAM_SO_MOI'!$C$24*(E1537/'THAM_SO_MOI'!$C$22)^2-'THAM_SO_MOI'!$C$25*(E1537/'THAM_SO_MOI'!$C$22)^3)</f>
        <v>110.59925132346729</v>
      </c>
      <c r="K1537" s="75">
        <f>'THAM_SO_MOI'!$C$31*J1537/E1537</f>
        <v>425.24150415317064</v>
      </c>
      <c r="L1537" s="75">
        <f>K1537*'THAM_SO_MOI'!$C$50*'THAM_SO_MOI'!$C$17/'THAM_SO_MOI'!$C$26</f>
        <v>15181.701574316332</v>
      </c>
      <c r="M1537" s="75">
        <f>'THAM_SO_MOI'!$C$15*'THAM_SO_MOI'!$C$16*F1537^2</f>
        <v>112.19953786611156</v>
      </c>
      <c r="N1537" s="75">
        <f>'THAM_SO_MOI'!$C$12*I1537</f>
        <v>1130.112</v>
      </c>
      <c r="O1537" s="75">
        <f>M1537+N1537</f>
        <v>1242.3115378661116</v>
      </c>
      <c r="P1537" s="75">
        <f>(MIN(L1537,'THAM_SO_MOI'!$C$41)-O1537)/('THAM_SO_MOI'!$C$11*H1537)</f>
        <v>0.9661629712038716</v>
      </c>
      <c r="Q1537" s="75">
        <f>IF(P1537&gt;0,1/P1537,NA())</f>
        <v>1.035022071642806</v>
      </c>
      <c r="R1537" s="75">
        <f>F1537-F1536</f>
        <v>0.0032106047296860396</v>
      </c>
      <c r="S1537" s="75">
        <f>0.5*(Q1536+Q1537)*R1537</f>
        <v>0.0033228644991254493</v>
      </c>
      <c r="T1537" s="75">
        <f>0.5*(F1536*Q1536+F1537*Q1537)*R1537</f>
        <v>0.020574659468586772</v>
      </c>
      <c r="U1537" s="76">
        <f>U1536+S1537</f>
        <v>6.465901062343998</v>
      </c>
      <c r="V1537" s="76">
        <f>V1536+T1537</f>
        <v>23.960500126571738</v>
      </c>
    </row>
    <row r="1538" spans="1:22" ht="19" customHeight="1">
      <c r="A1538" s="68" t="s">
        <v>372</v>
      </c>
      <c r="B1538" s="74">
        <v>2</v>
      </c>
      <c r="C1538" s="68" t="s">
        <v>363</v>
      </c>
      <c r="D1538" s="68" t="s">
        <v>364</v>
      </c>
      <c r="E1538" s="75">
        <f>60*F1538*'THAM_SO_MOI'!$C$50/(2*PI()*'THAM_SO_MOI'!$C$26)</f>
        <v>2485.3922177395652</v>
      </c>
      <c r="F1538" s="75">
        <f>'HANH_TRINH'!$F$826+('THAM_SO_MOI'!$F$50-'HANH_TRINH'!$F$826)*711/'THAM_SO_MOI'!$C$42</f>
        <v>6.196660076912583</v>
      </c>
      <c r="G1538" s="75">
        <f>3.6*F1538</f>
        <v>22.3079762768853</v>
      </c>
      <c r="H1538" s="75">
        <f>'THAM_SO_MOI'!$D$50</f>
        <v>1.8785906709588276</v>
      </c>
      <c r="I1538" s="75">
        <f>IF(F1538&gt;'THAM_SO_MOI'!$C$14,'THAM_SO_MOI'!$C$13*(1+F1538^2/1500),'THAM_SO_MOI'!$C$13)</f>
        <v>0.015</v>
      </c>
      <c r="J1538" s="75">
        <f>'THAM_SO_MOI'!$C$40*('THAM_SO_MOI'!$C$23*(E1538/'THAM_SO_MOI'!$C$22)+'THAM_SO_MOI'!$C$24*(E1538/'THAM_SO_MOI'!$C$22)^2-'THAM_SO_MOI'!$C$25*(E1538/'THAM_SO_MOI'!$C$22)^3)</f>
        <v>110.64624402280809</v>
      </c>
      <c r="K1538" s="75">
        <f>'THAM_SO_MOI'!$C$31*J1538/E1538</f>
        <v>425.2017665817534</v>
      </c>
      <c r="L1538" s="75">
        <f>K1538*'THAM_SO_MOI'!$C$50*'THAM_SO_MOI'!$C$17/'THAM_SO_MOI'!$C$26</f>
        <v>15180.28288882902</v>
      </c>
      <c r="M1538" s="75">
        <f>'THAM_SO_MOI'!$C$15*'THAM_SO_MOI'!$C$16*F1538^2</f>
        <v>112.3158936182466</v>
      </c>
      <c r="N1538" s="75">
        <f>'THAM_SO_MOI'!$C$12*I1538</f>
        <v>1130.112</v>
      </c>
      <c r="O1538" s="75">
        <f>M1538+N1538</f>
        <v>1242.4278936182468</v>
      </c>
      <c r="P1538" s="75">
        <f>(MIN(L1538,'THAM_SO_MOI'!$C$41)-O1538)/('THAM_SO_MOI'!$C$11*H1538)</f>
        <v>0.9660565748693877</v>
      </c>
      <c r="Q1538" s="75">
        <f>IF(P1538&gt;0,1/P1538,NA())</f>
        <v>1.0351360634704045</v>
      </c>
      <c r="R1538" s="75">
        <f>F1538-F1537</f>
        <v>0.003210604729687816</v>
      </c>
      <c r="S1538" s="75">
        <f>0.5*(Q1537+Q1538)*R1538</f>
        <v>0.003323229749898091</v>
      </c>
      <c r="T1538" s="75">
        <f>0.5*(F1537*Q1537+F1538*Q1538)*R1538</f>
        <v>0.020587590622781704</v>
      </c>
      <c r="U1538" s="76">
        <f>U1537+S1538</f>
        <v>6.469224292093896</v>
      </c>
      <c r="V1538" s="76">
        <f>V1537+T1538</f>
        <v>23.98108771719452</v>
      </c>
    </row>
    <row r="1539" spans="1:22" ht="19" customHeight="1">
      <c r="A1539" s="68" t="s">
        <v>372</v>
      </c>
      <c r="B1539" s="74">
        <v>2</v>
      </c>
      <c r="C1539" s="68" t="s">
        <v>363</v>
      </c>
      <c r="D1539" s="68" t="s">
        <v>364</v>
      </c>
      <c r="E1539" s="75">
        <f>60*F1539*'THAM_SO_MOI'!$C$50/(2*PI()*'THAM_SO_MOI'!$C$26)</f>
        <v>2486.6799456301314</v>
      </c>
      <c r="F1539" s="75">
        <f>'HANH_TRINH'!$F$826+('THAM_SO_MOI'!$F$50-'HANH_TRINH'!$F$826)*712/'THAM_SO_MOI'!$C$42</f>
        <v>6.199870681642269</v>
      </c>
      <c r="G1539" s="75">
        <f>3.6*F1539</f>
        <v>22.31953445391217</v>
      </c>
      <c r="H1539" s="75">
        <f>'THAM_SO_MOI'!$D$50</f>
        <v>1.8785906709588276</v>
      </c>
      <c r="I1539" s="75">
        <f>IF(F1539&gt;'THAM_SO_MOI'!$C$14,'THAM_SO_MOI'!$C$13*(1+F1539^2/1500),'THAM_SO_MOI'!$C$13)</f>
        <v>0.015</v>
      </c>
      <c r="J1539" s="75">
        <f>'THAM_SO_MOI'!$C$40*('THAM_SO_MOI'!$C$23*(E1539/'THAM_SO_MOI'!$C$22)+'THAM_SO_MOI'!$C$24*(E1539/'THAM_SO_MOI'!$C$22)^2-'THAM_SO_MOI'!$C$25*(E1539/'THAM_SO_MOI'!$C$22)^3)</f>
        <v>110.69318412240447</v>
      </c>
      <c r="K1539" s="75">
        <f>'THAM_SO_MOI'!$C$31*J1539/E1539</f>
        <v>425.1618681360042</v>
      </c>
      <c r="L1539" s="75">
        <f>K1539*'THAM_SO_MOI'!$C$50*'THAM_SO_MOI'!$C$17/'THAM_SO_MOI'!$C$26</f>
        <v>15178.858459908683</v>
      </c>
      <c r="M1539" s="75">
        <f>'THAM_SO_MOI'!$C$15*'THAM_SO_MOI'!$C$16*F1539^2</f>
        <v>112.43230967208056</v>
      </c>
      <c r="N1539" s="75">
        <f>'THAM_SO_MOI'!$C$12*I1539</f>
        <v>1130.112</v>
      </c>
      <c r="O1539" s="75">
        <f>M1539+N1539</f>
        <v>1242.5443096720805</v>
      </c>
      <c r="P1539" s="75">
        <f>(MIN(L1539,'THAM_SO_MOI'!$C$41)-O1539)/('THAM_SO_MOI'!$C$11*H1539)</f>
        <v>0.9659497762681203</v>
      </c>
      <c r="Q1539" s="75">
        <f>IF(P1539&gt;0,1/P1539,NA())</f>
        <v>1.035250511536356</v>
      </c>
      <c r="R1539" s="75">
        <f>F1539-F1538</f>
        <v>0.0032106047296860396</v>
      </c>
      <c r="S1539" s="75">
        <f>0.5*(Q1538+Q1539)*R1539</f>
        <v>0.003323596464997593</v>
      </c>
      <c r="T1539" s="75">
        <f>0.5*(F1538*Q1538+F1539*Q1539)*R1539</f>
        <v>0.02060053319861559</v>
      </c>
      <c r="U1539" s="76">
        <f>U1538+S1539</f>
        <v>6.472547888558894</v>
      </c>
      <c r="V1539" s="76">
        <f>V1538+T1539</f>
        <v>24.001688250393133</v>
      </c>
    </row>
    <row r="1540" spans="1:22" ht="19" customHeight="1">
      <c r="A1540" s="68" t="s">
        <v>372</v>
      </c>
      <c r="B1540" s="74">
        <v>2</v>
      </c>
      <c r="C1540" s="68" t="s">
        <v>363</v>
      </c>
      <c r="D1540" s="68" t="s">
        <v>364</v>
      </c>
      <c r="E1540" s="75">
        <f>60*F1540*'THAM_SO_MOI'!$C$50/(2*PI()*'THAM_SO_MOI'!$C$26)</f>
        <v>2487.967673520698</v>
      </c>
      <c r="F1540" s="75">
        <f>'HANH_TRINH'!$F$826+('THAM_SO_MOI'!$F$50-'HANH_TRINH'!$F$826)*713/'THAM_SO_MOI'!$C$42</f>
        <v>6.2030812863719555</v>
      </c>
      <c r="G1540" s="75">
        <f>3.6*F1540</f>
        <v>22.33109263093904</v>
      </c>
      <c r="H1540" s="75">
        <f>'THAM_SO_MOI'!$D$50</f>
        <v>1.8785906709588276</v>
      </c>
      <c r="I1540" s="75">
        <f>IF(F1540&gt;'THAM_SO_MOI'!$C$14,'THAM_SO_MOI'!$C$13*(1+F1540^2/1500),'THAM_SO_MOI'!$C$13)</f>
        <v>0.015</v>
      </c>
      <c r="J1540" s="75">
        <f>'THAM_SO_MOI'!$C$40*('THAM_SO_MOI'!$C$23*(E1540/'THAM_SO_MOI'!$C$22)+'THAM_SO_MOI'!$C$24*(E1540/'THAM_SO_MOI'!$C$22)^2-'THAM_SO_MOI'!$C$25*(E1540/'THAM_SO_MOI'!$C$22)^3)</f>
        <v>110.74007155718667</v>
      </c>
      <c r="K1540" s="75">
        <f>'THAM_SO_MOI'!$C$31*J1540/E1540</f>
        <v>425.1218088159225</v>
      </c>
      <c r="L1540" s="75">
        <f>K1540*'THAM_SO_MOI'!$C$50*'THAM_SO_MOI'!$C$17/'THAM_SO_MOI'!$C$26</f>
        <v>15177.4282875553</v>
      </c>
      <c r="M1540" s="75">
        <f>'THAM_SO_MOI'!$C$15*'THAM_SO_MOI'!$C$16*F1540^2</f>
        <v>112.54878602761352</v>
      </c>
      <c r="N1540" s="75">
        <f>'THAM_SO_MOI'!$C$12*I1540</f>
        <v>1130.112</v>
      </c>
      <c r="O1540" s="75">
        <f>M1540+N1540</f>
        <v>1242.6607860276135</v>
      </c>
      <c r="P1540" s="75">
        <f>(MIN(L1540,'THAM_SO_MOI'!$C$41)-O1540)/('THAM_SO_MOI'!$C$11*H1540)</f>
        <v>0.965842575400069</v>
      </c>
      <c r="Q1540" s="75">
        <f>IF(P1540&gt;0,1/P1540,NA())</f>
        <v>1.0353654161350077</v>
      </c>
      <c r="R1540" s="75">
        <f>F1540-F1539</f>
        <v>0.0032106047296869278</v>
      </c>
      <c r="S1540" s="75">
        <f>0.5*(Q1539+Q1540)*R1540</f>
        <v>0.003323964645373383</v>
      </c>
      <c r="T1540" s="75">
        <f>0.5*(F1539*Q1539+F1540*Q1540)*R1540</f>
        <v>0.020613487216080403</v>
      </c>
      <c r="U1540" s="76">
        <f>U1539+S1540</f>
        <v>6.475871853204267</v>
      </c>
      <c r="V1540" s="76">
        <f>V1539+T1540</f>
        <v>24.022301737609215</v>
      </c>
    </row>
    <row r="1541" spans="1:22" ht="19" customHeight="1">
      <c r="A1541" s="68" t="s">
        <v>372</v>
      </c>
      <c r="B1541" s="74">
        <v>2</v>
      </c>
      <c r="C1541" s="68" t="s">
        <v>363</v>
      </c>
      <c r="D1541" s="68" t="s">
        <v>364</v>
      </c>
      <c r="E1541" s="75">
        <f>60*F1541*'THAM_SO_MOI'!$C$50/(2*PI()*'THAM_SO_MOI'!$C$26)</f>
        <v>2489.2554014112648</v>
      </c>
      <c r="F1541" s="75">
        <f>'HANH_TRINH'!$F$826+('THAM_SO_MOI'!$F$50-'HANH_TRINH'!$F$826)*714/'THAM_SO_MOI'!$C$42</f>
        <v>6.2062918911016425</v>
      </c>
      <c r="G1541" s="75">
        <f>3.6*F1541</f>
        <v>22.342650807965914</v>
      </c>
      <c r="H1541" s="75">
        <f>'THAM_SO_MOI'!$D$50</f>
        <v>1.8785906709588276</v>
      </c>
      <c r="I1541" s="75">
        <f>IF(F1541&gt;'THAM_SO_MOI'!$C$14,'THAM_SO_MOI'!$C$13*(1+F1541^2/1500),'THAM_SO_MOI'!$C$13)</f>
        <v>0.015</v>
      </c>
      <c r="J1541" s="75">
        <f>'THAM_SO_MOI'!$C$40*('THAM_SO_MOI'!$C$23*(E1541/'THAM_SO_MOI'!$C$22)+'THAM_SO_MOI'!$C$24*(E1541/'THAM_SO_MOI'!$C$22)^2-'THAM_SO_MOI'!$C$25*(E1541/'THAM_SO_MOI'!$C$22)^3)</f>
        <v>110.78690626208505</v>
      </c>
      <c r="K1541" s="75">
        <f>'THAM_SO_MOI'!$C$31*J1541/E1541</f>
        <v>425.0815886215087</v>
      </c>
      <c r="L1541" s="75">
        <f>K1541*'THAM_SO_MOI'!$C$50*'THAM_SO_MOI'!$C$17/'THAM_SO_MOI'!$C$26</f>
        <v>15175.992371768887</v>
      </c>
      <c r="M1541" s="75">
        <f>'THAM_SO_MOI'!$C$15*'THAM_SO_MOI'!$C$16*F1541^2</f>
        <v>112.66532268484546</v>
      </c>
      <c r="N1541" s="75">
        <f>'THAM_SO_MOI'!$C$12*I1541</f>
        <v>1130.112</v>
      </c>
      <c r="O1541" s="75">
        <f>M1541+N1541</f>
        <v>1242.7773226848456</v>
      </c>
      <c r="P1541" s="75">
        <f>(MIN(L1541,'THAM_SO_MOI'!$C$41)-O1541)/('THAM_SO_MOI'!$C$11*H1541)</f>
        <v>0.9657349722652344</v>
      </c>
      <c r="Q1541" s="75">
        <f>IF(P1541&gt;0,1/P1541,NA())</f>
        <v>1.0354807775619779</v>
      </c>
      <c r="R1541" s="75">
        <f>F1541-F1540</f>
        <v>0.0032106047296869278</v>
      </c>
      <c r="S1541" s="75">
        <f>0.5*(Q1540+Q1541)*R1541</f>
        <v>0.0033243342919688566</v>
      </c>
      <c r="T1541" s="75">
        <f>0.5*(F1540*Q1540+F1541*Q1541)*R1541</f>
        <v>0.02062645269514291</v>
      </c>
      <c r="U1541" s="76">
        <f>U1540+S1541</f>
        <v>6.479196187496235</v>
      </c>
      <c r="V1541" s="76">
        <f>V1540+T1541</f>
        <v>24.04292819030436</v>
      </c>
    </row>
    <row r="1542" spans="1:22" ht="19" customHeight="1">
      <c r="A1542" s="68" t="s">
        <v>372</v>
      </c>
      <c r="B1542" s="74">
        <v>2</v>
      </c>
      <c r="C1542" s="68" t="s">
        <v>363</v>
      </c>
      <c r="D1542" s="68" t="s">
        <v>364</v>
      </c>
      <c r="E1542" s="75">
        <f>60*F1542*'THAM_SO_MOI'!$C$50/(2*PI()*'THAM_SO_MOI'!$C$26)</f>
        <v>2490.5431293018314</v>
      </c>
      <c r="F1542" s="75">
        <f>'HANH_TRINH'!$F$826+('THAM_SO_MOI'!$F$50-'HANH_TRINH'!$F$826)*715/'THAM_SO_MOI'!$C$42</f>
        <v>6.209502495831329</v>
      </c>
      <c r="G1542" s="75">
        <f>3.6*F1542</f>
        <v>22.354208984992788</v>
      </c>
      <c r="H1542" s="75">
        <f>'THAM_SO_MOI'!$D$50</f>
        <v>1.8785906709588276</v>
      </c>
      <c r="I1542" s="75">
        <f>IF(F1542&gt;'THAM_SO_MOI'!$C$14,'THAM_SO_MOI'!$C$13*(1+F1542^2/1500),'THAM_SO_MOI'!$C$13)</f>
        <v>0.015</v>
      </c>
      <c r="J1542" s="75">
        <f>'THAM_SO_MOI'!$C$40*('THAM_SO_MOI'!$C$23*(E1542/'THAM_SO_MOI'!$C$22)+'THAM_SO_MOI'!$C$24*(E1542/'THAM_SO_MOI'!$C$22)^2-'THAM_SO_MOI'!$C$25*(E1542/'THAM_SO_MOI'!$C$22)^3)</f>
        <v>110.83368817202991</v>
      </c>
      <c r="K1542" s="75">
        <f>'THAM_SO_MOI'!$C$31*J1542/E1542</f>
        <v>425.0412075527628</v>
      </c>
      <c r="L1542" s="75">
        <f>K1542*'THAM_SO_MOI'!$C$50*'THAM_SO_MOI'!$C$17/'THAM_SO_MOI'!$C$26</f>
        <v>15174.550712549442</v>
      </c>
      <c r="M1542" s="75">
        <f>'THAM_SO_MOI'!$C$15*'THAM_SO_MOI'!$C$16*F1542^2</f>
        <v>112.78191964377636</v>
      </c>
      <c r="N1542" s="75">
        <f>'THAM_SO_MOI'!$C$12*I1542</f>
        <v>1130.112</v>
      </c>
      <c r="O1542" s="75">
        <f>M1542+N1542</f>
        <v>1242.8939196437764</v>
      </c>
      <c r="P1542" s="75">
        <f>(MIN(L1542,'THAM_SO_MOI'!$C$41)-O1542)/('THAM_SO_MOI'!$C$11*H1542)</f>
        <v>0.9656269668636164</v>
      </c>
      <c r="Q1542" s="75">
        <f>IF(P1542&gt;0,1/P1542,NA())</f>
        <v>1.035596596114158</v>
      </c>
      <c r="R1542" s="75">
        <f>F1542-F1541</f>
        <v>0.0032106047296869278</v>
      </c>
      <c r="S1542" s="75">
        <f>0.5*(Q1541+Q1542)*R1542</f>
        <v>0.0033247054057360917</v>
      </c>
      <c r="T1542" s="75">
        <f>0.5*(F1541*Q1541+F1542*Q1542)*R1542</f>
        <v>0.020639429655835845</v>
      </c>
      <c r="U1542" s="76">
        <f>U1541+S1542</f>
        <v>6.482520892901971</v>
      </c>
      <c r="V1542" s="76">
        <f>V1541+T1542</f>
        <v>24.063567619960196</v>
      </c>
    </row>
    <row r="1543" spans="1:22" ht="19" customHeight="1">
      <c r="A1543" s="68" t="s">
        <v>372</v>
      </c>
      <c r="B1543" s="74">
        <v>2</v>
      </c>
      <c r="C1543" s="68" t="s">
        <v>363</v>
      </c>
      <c r="D1543" s="68" t="s">
        <v>364</v>
      </c>
      <c r="E1543" s="75">
        <f>60*F1543*'THAM_SO_MOI'!$C$50/(2*PI()*'THAM_SO_MOI'!$C$26)</f>
        <v>2491.830857192398</v>
      </c>
      <c r="F1543" s="75">
        <f>'HANH_TRINH'!$F$826+('THAM_SO_MOI'!$F$50-'HANH_TRINH'!$F$826)*716/'THAM_SO_MOI'!$C$42</f>
        <v>6.212713100561016</v>
      </c>
      <c r="G1543" s="75">
        <f>3.6*F1543</f>
        <v>22.365767162019658</v>
      </c>
      <c r="H1543" s="75">
        <f>'THAM_SO_MOI'!$D$50</f>
        <v>1.8785906709588276</v>
      </c>
      <c r="I1543" s="75">
        <f>IF(F1543&gt;'THAM_SO_MOI'!$C$14,'THAM_SO_MOI'!$C$13*(1+F1543^2/1500),'THAM_SO_MOI'!$C$13)</f>
        <v>0.015</v>
      </c>
      <c r="J1543" s="75">
        <f>'THAM_SO_MOI'!$C$40*('THAM_SO_MOI'!$C$23*(E1543/'THAM_SO_MOI'!$C$22)+'THAM_SO_MOI'!$C$24*(E1543/'THAM_SO_MOI'!$C$22)^2-'THAM_SO_MOI'!$C$25*(E1543/'THAM_SO_MOI'!$C$22)^3)</f>
        <v>110.88041722195148</v>
      </c>
      <c r="K1543" s="75">
        <f>'THAM_SO_MOI'!$C$31*J1543/E1543</f>
        <v>425.0006656096843</v>
      </c>
      <c r="L1543" s="75">
        <f>K1543*'THAM_SO_MOI'!$C$50*'THAM_SO_MOI'!$C$17/'THAM_SO_MOI'!$C$26</f>
        <v>15173.103309896953</v>
      </c>
      <c r="M1543" s="75">
        <f>'THAM_SO_MOI'!$C$15*'THAM_SO_MOI'!$C$16*F1543^2</f>
        <v>112.89857690440626</v>
      </c>
      <c r="N1543" s="75">
        <f>'THAM_SO_MOI'!$C$12*I1543</f>
        <v>1130.112</v>
      </c>
      <c r="O1543" s="75">
        <f>M1543+N1543</f>
        <v>1243.0105769044064</v>
      </c>
      <c r="P1543" s="75">
        <f>(MIN(L1543,'THAM_SO_MOI'!$C$41)-O1543)/('THAM_SO_MOI'!$C$11*H1543)</f>
        <v>0.9655185591952142</v>
      </c>
      <c r="Q1543" s="75">
        <f>IF(P1543&gt;0,1/P1543,NA())</f>
        <v>1.0357128720897162</v>
      </c>
      <c r="R1543" s="75">
        <f>F1543-F1542</f>
        <v>0.0032106047296869278</v>
      </c>
      <c r="S1543" s="75">
        <f>0.5*(Q1542+Q1543)*R1543</f>
        <v>0.003325077987630337</v>
      </c>
      <c r="T1543" s="75">
        <f>0.5*(F1542*Q1542+F1543*Q1543)*R1543</f>
        <v>0.02065241811822391</v>
      </c>
      <c r="U1543" s="76">
        <f>U1542+S1543</f>
        <v>6.485845970889601</v>
      </c>
      <c r="V1543" s="76">
        <f>V1542+T1543</f>
        <v>24.08422003807842</v>
      </c>
    </row>
    <row r="1544" spans="1:22" ht="19" customHeight="1">
      <c r="A1544" s="68" t="s">
        <v>372</v>
      </c>
      <c r="B1544" s="74">
        <v>2</v>
      </c>
      <c r="C1544" s="68" t="s">
        <v>363</v>
      </c>
      <c r="D1544" s="68" t="s">
        <v>364</v>
      </c>
      <c r="E1544" s="75">
        <f>60*F1544*'THAM_SO_MOI'!$C$50/(2*PI()*'THAM_SO_MOI'!$C$26)</f>
        <v>2493.1185850829647</v>
      </c>
      <c r="F1544" s="75">
        <f>'HANH_TRINH'!$F$826+('THAM_SO_MOI'!$F$50-'HANH_TRINH'!$F$826)*717/'THAM_SO_MOI'!$C$42</f>
        <v>6.215923705290702</v>
      </c>
      <c r="G1544" s="75">
        <f>3.6*F1544</f>
        <v>22.37732533904653</v>
      </c>
      <c r="H1544" s="75">
        <f>'THAM_SO_MOI'!$D$50</f>
        <v>1.8785906709588276</v>
      </c>
      <c r="I1544" s="75">
        <f>IF(F1544&gt;'THAM_SO_MOI'!$C$14,'THAM_SO_MOI'!$C$13*(1+F1544^2/1500),'THAM_SO_MOI'!$C$13)</f>
        <v>0.015</v>
      </c>
      <c r="J1544" s="75">
        <f>'THAM_SO_MOI'!$C$40*('THAM_SO_MOI'!$C$23*(E1544/'THAM_SO_MOI'!$C$22)+'THAM_SO_MOI'!$C$24*(E1544/'THAM_SO_MOI'!$C$22)^2-'THAM_SO_MOI'!$C$25*(E1544/'THAM_SO_MOI'!$C$22)^3)</f>
        <v>110.92709334678013</v>
      </c>
      <c r="K1544" s="75">
        <f>'THAM_SO_MOI'!$C$31*J1544/E1544</f>
        <v>424.9599627922738</v>
      </c>
      <c r="L1544" s="75">
        <f>K1544*'THAM_SO_MOI'!$C$50*'THAM_SO_MOI'!$C$17/'THAM_SO_MOI'!$C$26</f>
        <v>15171.650163811435</v>
      </c>
      <c r="M1544" s="75">
        <f>'THAM_SO_MOI'!$C$15*'THAM_SO_MOI'!$C$16*F1544^2</f>
        <v>113.01529446673509</v>
      </c>
      <c r="N1544" s="75">
        <f>'THAM_SO_MOI'!$C$12*I1544</f>
        <v>1130.112</v>
      </c>
      <c r="O1544" s="75">
        <f>M1544+N1544</f>
        <v>1243.127294466735</v>
      </c>
      <c r="P1544" s="75">
        <f>(MIN(L1544,'THAM_SO_MOI'!$C$41)-O1544)/('THAM_SO_MOI'!$C$11*H1544)</f>
        <v>0.9654097492600289</v>
      </c>
      <c r="Q1544" s="75">
        <f>IF(P1544&gt;0,1/P1544,NA())</f>
        <v>1.0358296057880956</v>
      </c>
      <c r="R1544" s="75">
        <f>F1544-F1543</f>
        <v>0.0032106047296860396</v>
      </c>
      <c r="S1544" s="75">
        <f>0.5*(Q1543+Q1544)*R1544</f>
        <v>0.0033254520386100206</v>
      </c>
      <c r="T1544" s="75">
        <f>0.5*(F1543*Q1543+F1544*Q1544)*R1544</f>
        <v>0.0206654181024038</v>
      </c>
      <c r="U1544" s="76">
        <f>U1543+S1544</f>
        <v>6.489171422928211</v>
      </c>
      <c r="V1544" s="76">
        <f>V1543+T1544</f>
        <v>24.104885456180824</v>
      </c>
    </row>
    <row r="1545" spans="1:22" ht="19" customHeight="1">
      <c r="A1545" s="68" t="s">
        <v>372</v>
      </c>
      <c r="B1545" s="74">
        <v>2</v>
      </c>
      <c r="C1545" s="68" t="s">
        <v>363</v>
      </c>
      <c r="D1545" s="68" t="s">
        <v>364</v>
      </c>
      <c r="E1545" s="75">
        <f>60*F1545*'THAM_SO_MOI'!$C$50/(2*PI()*'THAM_SO_MOI'!$C$26)</f>
        <v>2494.406312973532</v>
      </c>
      <c r="F1545" s="75">
        <f>'HANH_TRINH'!$F$826+('THAM_SO_MOI'!$F$50-'HANH_TRINH'!$F$826)*718/'THAM_SO_MOI'!$C$42</f>
        <v>6.21913431002039</v>
      </c>
      <c r="G1545" s="75">
        <f>3.6*F1545</f>
        <v>22.388883516073406</v>
      </c>
      <c r="H1545" s="75">
        <f>'THAM_SO_MOI'!$D$50</f>
        <v>1.8785906709588276</v>
      </c>
      <c r="I1545" s="75">
        <f>IF(F1545&gt;'THAM_SO_MOI'!$C$14,'THAM_SO_MOI'!$C$13*(1+F1545^2/1500),'THAM_SO_MOI'!$C$13)</f>
        <v>0.015</v>
      </c>
      <c r="J1545" s="75">
        <f>'THAM_SO_MOI'!$C$40*('THAM_SO_MOI'!$C$23*(E1545/'THAM_SO_MOI'!$C$22)+'THAM_SO_MOI'!$C$24*(E1545/'THAM_SO_MOI'!$C$22)^2-'THAM_SO_MOI'!$C$25*(E1545/'THAM_SO_MOI'!$C$22)^3)</f>
        <v>110.97371648144615</v>
      </c>
      <c r="K1545" s="75">
        <f>'THAM_SO_MOI'!$C$31*J1545/E1545</f>
        <v>424.919099100531</v>
      </c>
      <c r="L1545" s="75">
        <f>K1545*'THAM_SO_MOI'!$C$50*'THAM_SO_MOI'!$C$17/'THAM_SO_MOI'!$C$26</f>
        <v>15170.19127429288</v>
      </c>
      <c r="M1545" s="75">
        <f>'THAM_SO_MOI'!$C$15*'THAM_SO_MOI'!$C$16*F1545^2</f>
        <v>113.13207233076294</v>
      </c>
      <c r="N1545" s="75">
        <f>'THAM_SO_MOI'!$C$12*I1545</f>
        <v>1130.112</v>
      </c>
      <c r="O1545" s="75">
        <f>M1545+N1545</f>
        <v>1243.244072330763</v>
      </c>
      <c r="P1545" s="75">
        <f>(MIN(L1545,'THAM_SO_MOI'!$C$41)-O1545)/('THAM_SO_MOI'!$C$11*H1545)</f>
        <v>0.96530053705806</v>
      </c>
      <c r="Q1545" s="75">
        <f>IF(P1545&gt;0,1/P1545,NA())</f>
        <v>1.0359467975100205</v>
      </c>
      <c r="R1545" s="75">
        <f>F1545-F1544</f>
        <v>0.003210604729687816</v>
      </c>
      <c r="S1545" s="75">
        <f>0.5*(Q1544+Q1545)*R1545</f>
        <v>0.0033258275596422717</v>
      </c>
      <c r="T1545" s="75">
        <f>0.5*(F1544*Q1544+F1545*Q1545)*R1545</f>
        <v>0.020678429628538643</v>
      </c>
      <c r="U1545" s="76">
        <f>U1544+S1545</f>
        <v>6.492497250487854</v>
      </c>
      <c r="V1545" s="76">
        <f>V1544+T1545</f>
        <v>24.125563885809363</v>
      </c>
    </row>
    <row r="1546" spans="1:22" ht="19" customHeight="1">
      <c r="A1546" s="68" t="s">
        <v>372</v>
      </c>
      <c r="B1546" s="74">
        <v>2</v>
      </c>
      <c r="C1546" s="68" t="s">
        <v>363</v>
      </c>
      <c r="D1546" s="68" t="s">
        <v>364</v>
      </c>
      <c r="E1546" s="75">
        <f>60*F1546*'THAM_SO_MOI'!$C$50/(2*PI()*'THAM_SO_MOI'!$C$26)</f>
        <v>2495.694040864098</v>
      </c>
      <c r="F1546" s="75">
        <f>'HANH_TRINH'!$F$826+('THAM_SO_MOI'!$F$50-'HANH_TRINH'!$F$826)*719/'THAM_SO_MOI'!$C$42</f>
        <v>6.222344914750076</v>
      </c>
      <c r="G1546" s="75">
        <f>3.6*F1546</f>
        <v>22.400441693100277</v>
      </c>
      <c r="H1546" s="75">
        <f>'THAM_SO_MOI'!$D$50</f>
        <v>1.8785906709588276</v>
      </c>
      <c r="I1546" s="75">
        <f>IF(F1546&gt;'THAM_SO_MOI'!$C$14,'THAM_SO_MOI'!$C$13*(1+F1546^2/1500),'THAM_SO_MOI'!$C$13)</f>
        <v>0.015</v>
      </c>
      <c r="J1546" s="75">
        <f>'THAM_SO_MOI'!$C$40*('THAM_SO_MOI'!$C$23*(E1546/'THAM_SO_MOI'!$C$22)+'THAM_SO_MOI'!$C$24*(E1546/'THAM_SO_MOI'!$C$22)^2-'THAM_SO_MOI'!$C$25*(E1546/'THAM_SO_MOI'!$C$22)^3)</f>
        <v>111.02028656087978</v>
      </c>
      <c r="K1546" s="75">
        <f>'THAM_SO_MOI'!$C$31*J1546/E1546</f>
        <v>424.8780745344559</v>
      </c>
      <c r="L1546" s="75">
        <f>K1546*'THAM_SO_MOI'!$C$50*'THAM_SO_MOI'!$C$17/'THAM_SO_MOI'!$C$26</f>
        <v>15168.726641341284</v>
      </c>
      <c r="M1546" s="75">
        <f>'THAM_SO_MOI'!$C$15*'THAM_SO_MOI'!$C$16*F1546^2</f>
        <v>113.2489104964897</v>
      </c>
      <c r="N1546" s="75">
        <f>'THAM_SO_MOI'!$C$12*I1546</f>
        <v>1130.112</v>
      </c>
      <c r="O1546" s="75">
        <f>M1546+N1546</f>
        <v>1243.3609104964899</v>
      </c>
      <c r="P1546" s="75">
        <f>(MIN(L1546,'THAM_SO_MOI'!$C$41)-O1546)/('THAM_SO_MOI'!$C$11*H1546)</f>
        <v>0.9651909225893069</v>
      </c>
      <c r="Q1546" s="75">
        <f>IF(P1546&gt;0,1/P1546,NA())</f>
        <v>1.0360644475574958</v>
      </c>
      <c r="R1546" s="75">
        <f>F1546-F1545</f>
        <v>0.0032106047296860396</v>
      </c>
      <c r="S1546" s="75">
        <f>0.5*(Q1545+Q1546)*R1546</f>
        <v>0.003326204551688214</v>
      </c>
      <c r="T1546" s="75">
        <f>0.5*(F1545*Q1545+F1546*Q1546)*R1546</f>
        <v>0.0206914527167666</v>
      </c>
      <c r="U1546" s="76">
        <f>U1545+S1546</f>
        <v>6.495823455039542</v>
      </c>
      <c r="V1546" s="76">
        <f>V1545+T1546</f>
        <v>24.14625533852613</v>
      </c>
    </row>
    <row r="1547" spans="1:22" ht="19" customHeight="1">
      <c r="A1547" s="68" t="s">
        <v>372</v>
      </c>
      <c r="B1547" s="74">
        <v>2</v>
      </c>
      <c r="C1547" s="68" t="s">
        <v>363</v>
      </c>
      <c r="D1547" s="68" t="s">
        <v>364</v>
      </c>
      <c r="E1547" s="75">
        <f>60*F1547*'THAM_SO_MOI'!$C$50/(2*PI()*'THAM_SO_MOI'!$C$26)</f>
        <v>2496.9817687546647</v>
      </c>
      <c r="F1547" s="75">
        <f>'HANH_TRINH'!$F$826+('THAM_SO_MOI'!$F$50-'HANH_TRINH'!$F$826)*720/'THAM_SO_MOI'!$C$42</f>
        <v>6.225555519479763</v>
      </c>
      <c r="G1547" s="75">
        <f>3.6*F1547</f>
        <v>22.411999870127147</v>
      </c>
      <c r="H1547" s="75">
        <f>'THAM_SO_MOI'!$D$50</f>
        <v>1.8785906709588276</v>
      </c>
      <c r="I1547" s="75">
        <f>IF(F1547&gt;'THAM_SO_MOI'!$C$14,'THAM_SO_MOI'!$C$13*(1+F1547^2/1500),'THAM_SO_MOI'!$C$13)</f>
        <v>0.015</v>
      </c>
      <c r="J1547" s="75">
        <f>'THAM_SO_MOI'!$C$40*('THAM_SO_MOI'!$C$23*(E1547/'THAM_SO_MOI'!$C$22)+'THAM_SO_MOI'!$C$24*(E1547/'THAM_SO_MOI'!$C$22)^2-'THAM_SO_MOI'!$C$25*(E1547/'THAM_SO_MOI'!$C$22)^3)</f>
        <v>111.0668035200114</v>
      </c>
      <c r="K1547" s="75">
        <f>'THAM_SO_MOI'!$C$31*J1547/E1547</f>
        <v>424.8368890940485</v>
      </c>
      <c r="L1547" s="75">
        <f>K1547*'THAM_SO_MOI'!$C$50*'THAM_SO_MOI'!$C$17/'THAM_SO_MOI'!$C$26</f>
        <v>15167.256264956653</v>
      </c>
      <c r="M1547" s="75">
        <f>'THAM_SO_MOI'!$C$15*'THAM_SO_MOI'!$C$16*F1547^2</f>
        <v>113.36580896391548</v>
      </c>
      <c r="N1547" s="75">
        <f>'THAM_SO_MOI'!$C$12*I1547</f>
        <v>1130.112</v>
      </c>
      <c r="O1547" s="75">
        <f>M1547+N1547</f>
        <v>1243.4778089639155</v>
      </c>
      <c r="P1547" s="75">
        <f>(MIN(L1547,'THAM_SO_MOI'!$C$41)-O1547)/('THAM_SO_MOI'!$C$11*H1547)</f>
        <v>0.9650809058537705</v>
      </c>
      <c r="Q1547" s="75">
        <f>IF(P1547&gt;0,1/P1547,NA())</f>
        <v>1.0361825562338092</v>
      </c>
      <c r="R1547" s="75">
        <f>F1547-F1546</f>
        <v>0.0032106047296869278</v>
      </c>
      <c r="S1547" s="75">
        <f>0.5*(Q1546+Q1547)*R1547</f>
        <v>0.0033265830157259645</v>
      </c>
      <c r="T1547" s="75">
        <f>0.5*(F1546*Q1546+F1547*Q1547)*R1547</f>
        <v>0.020704487387343967</v>
      </c>
      <c r="U1547" s="76">
        <f>U1546+S1547</f>
        <v>6.499150038055268</v>
      </c>
      <c r="V1547" s="76">
        <f>V1546+T1547</f>
        <v>24.166959825913477</v>
      </c>
    </row>
    <row r="1548" spans="1:22" ht="19" customHeight="1">
      <c r="A1548" s="68" t="s">
        <v>372</v>
      </c>
      <c r="B1548" s="74">
        <v>2</v>
      </c>
      <c r="C1548" s="68" t="s">
        <v>363</v>
      </c>
      <c r="D1548" s="68" t="s">
        <v>364</v>
      </c>
      <c r="E1548" s="75">
        <f>60*F1548*'THAM_SO_MOI'!$C$50/(2*PI()*'THAM_SO_MOI'!$C$26)</f>
        <v>2498.2694966452323</v>
      </c>
      <c r="F1548" s="75">
        <f>'HANH_TRINH'!$F$826+('THAM_SO_MOI'!$F$50-'HANH_TRINH'!$F$826)*721/'THAM_SO_MOI'!$C$42</f>
        <v>6.22876612420945</v>
      </c>
      <c r="G1548" s="75">
        <f>3.6*F1548</f>
        <v>22.42355804715402</v>
      </c>
      <c r="H1548" s="75">
        <f>'THAM_SO_MOI'!$D$50</f>
        <v>1.8785906709588276</v>
      </c>
      <c r="I1548" s="75">
        <f>IF(F1548&gt;'THAM_SO_MOI'!$C$14,'THAM_SO_MOI'!$C$13*(1+F1548^2/1500),'THAM_SO_MOI'!$C$13)</f>
        <v>0.015</v>
      </c>
      <c r="J1548" s="75">
        <f>'THAM_SO_MOI'!$C$40*('THAM_SO_MOI'!$C$23*(E1548/'THAM_SO_MOI'!$C$22)+'THAM_SO_MOI'!$C$24*(E1548/'THAM_SO_MOI'!$C$22)^2-'THAM_SO_MOI'!$C$25*(E1548/'THAM_SO_MOI'!$C$22)^3)</f>
        <v>111.1132672937713</v>
      </c>
      <c r="K1548" s="75">
        <f>'THAM_SO_MOI'!$C$31*J1548/E1548</f>
        <v>424.7955427793089</v>
      </c>
      <c r="L1548" s="75">
        <f>K1548*'THAM_SO_MOI'!$C$50*'THAM_SO_MOI'!$C$17/'THAM_SO_MOI'!$C$26</f>
        <v>15165.780145138988</v>
      </c>
      <c r="M1548" s="75">
        <f>'THAM_SO_MOI'!$C$15*'THAM_SO_MOI'!$C$16*F1548^2</f>
        <v>113.4827677330402</v>
      </c>
      <c r="N1548" s="75">
        <f>'THAM_SO_MOI'!$C$12*I1548</f>
        <v>1130.112</v>
      </c>
      <c r="O1548" s="75">
        <f>M1548+N1548</f>
        <v>1243.5947677330403</v>
      </c>
      <c r="P1548" s="75">
        <f>(MIN(L1548,'THAM_SO_MOI'!$C$41)-O1548)/('THAM_SO_MOI'!$C$11*H1548)</f>
        <v>0.9649704868514506</v>
      </c>
      <c r="Q1548" s="75">
        <f>IF(P1548&gt;0,1/P1548,NA())</f>
        <v>1.0363011238435336</v>
      </c>
      <c r="R1548" s="75">
        <f>F1548-F1547</f>
        <v>0.0032106047296869278</v>
      </c>
      <c r="S1548" s="75">
        <f>0.5*(Q1547+Q1548)*R1548</f>
        <v>0.0033269629527276435</v>
      </c>
      <c r="T1548" s="75">
        <f>0.5*(F1547*Q1547+F1548*Q1548)*R1548</f>
        <v>0.020717533660502246</v>
      </c>
      <c r="U1548" s="76">
        <f>U1547+S1548</f>
        <v>6.502477001007995</v>
      </c>
      <c r="V1548" s="76">
        <f>V1547+T1548</f>
        <v>24.18767735957398</v>
      </c>
    </row>
    <row r="1549" spans="1:22" ht="19" customHeight="1">
      <c r="A1549" s="68" t="s">
        <v>372</v>
      </c>
      <c r="B1549" s="74">
        <v>2</v>
      </c>
      <c r="C1549" s="68" t="s">
        <v>363</v>
      </c>
      <c r="D1549" s="68" t="s">
        <v>364</v>
      </c>
      <c r="E1549" s="75">
        <f>60*F1549*'THAM_SO_MOI'!$C$50/(2*PI()*'THAM_SO_MOI'!$C$26)</f>
        <v>2499.557224535799</v>
      </c>
      <c r="F1549" s="75">
        <f>'HANH_TRINH'!$F$826+('THAM_SO_MOI'!$F$50-'HANH_TRINH'!$F$826)*722/'THAM_SO_MOI'!$C$42</f>
        <v>6.231976728939137</v>
      </c>
      <c r="G1549" s="75">
        <f>3.6*F1549</f>
        <v>22.435116224180895</v>
      </c>
      <c r="H1549" s="75">
        <f>'THAM_SO_MOI'!$D$50</f>
        <v>1.8785906709588276</v>
      </c>
      <c r="I1549" s="75">
        <f>IF(F1549&gt;'THAM_SO_MOI'!$C$14,'THAM_SO_MOI'!$C$13*(1+F1549^2/1500),'THAM_SO_MOI'!$C$13)</f>
        <v>0.015</v>
      </c>
      <c r="J1549" s="75">
        <f>'THAM_SO_MOI'!$C$40*('THAM_SO_MOI'!$C$23*(E1549/'THAM_SO_MOI'!$C$22)+'THAM_SO_MOI'!$C$24*(E1549/'THAM_SO_MOI'!$C$22)^2-'THAM_SO_MOI'!$C$25*(E1549/'THAM_SO_MOI'!$C$22)^3)</f>
        <v>111.15967781708976</v>
      </c>
      <c r="K1549" s="75">
        <f>'THAM_SO_MOI'!$C$31*J1549/E1549</f>
        <v>424.75403559023715</v>
      </c>
      <c r="L1549" s="75">
        <f>K1549*'THAM_SO_MOI'!$C$50*'THAM_SO_MOI'!$C$17/'THAM_SO_MOI'!$C$26</f>
        <v>15164.29828188829</v>
      </c>
      <c r="M1549" s="75">
        <f>'THAM_SO_MOI'!$C$15*'THAM_SO_MOI'!$C$16*F1549^2</f>
        <v>113.59978680386394</v>
      </c>
      <c r="N1549" s="75">
        <f>'THAM_SO_MOI'!$C$12*I1549</f>
        <v>1130.112</v>
      </c>
      <c r="O1549" s="75">
        <f>M1549+N1549</f>
        <v>1243.711786803864</v>
      </c>
      <c r="P1549" s="75">
        <f>(MIN(L1549,'THAM_SO_MOI'!$C$41)-O1549)/('THAM_SO_MOI'!$C$11*H1549)</f>
        <v>0.964859665582347</v>
      </c>
      <c r="Q1549" s="75">
        <f>IF(P1549&gt;0,1/P1549,NA())</f>
        <v>1.0364201506925297</v>
      </c>
      <c r="R1549" s="75">
        <f>F1549-F1548</f>
        <v>0.0032106047296869278</v>
      </c>
      <c r="S1549" s="75">
        <f>0.5*(Q1548+Q1549)*R1549</f>
        <v>0.0033273443636741007</v>
      </c>
      <c r="T1549" s="75">
        <f>0.5*(F1548*Q1548+F1549*Q1549)*R1549</f>
        <v>0.02073059155653982</v>
      </c>
      <c r="U1549" s="76">
        <f>U1548+S1549</f>
        <v>6.505804345371669</v>
      </c>
      <c r="V1549" s="76">
        <f>V1548+T1549</f>
        <v>24.208407951130518</v>
      </c>
    </row>
    <row r="1550" spans="1:22" ht="19" customHeight="1">
      <c r="A1550" s="68" t="s">
        <v>372</v>
      </c>
      <c r="B1550" s="74">
        <v>2</v>
      </c>
      <c r="C1550" s="68" t="s">
        <v>363</v>
      </c>
      <c r="D1550" s="68" t="s">
        <v>364</v>
      </c>
      <c r="E1550" s="75">
        <f>60*F1550*'THAM_SO_MOI'!$C$50/(2*PI()*'THAM_SO_MOI'!$C$26)</f>
        <v>2500.8449524263656</v>
      </c>
      <c r="F1550" s="75">
        <f>'HANH_TRINH'!$F$826+('THAM_SO_MOI'!$F$50-'HANH_TRINH'!$F$826)*723/'THAM_SO_MOI'!$C$42</f>
        <v>6.235187333668824</v>
      </c>
      <c r="G1550" s="75">
        <f>3.6*F1550</f>
        <v>22.446674401207765</v>
      </c>
      <c r="H1550" s="75">
        <f>'THAM_SO_MOI'!$D$50</f>
        <v>1.8785906709588276</v>
      </c>
      <c r="I1550" s="75">
        <f>IF(F1550&gt;'THAM_SO_MOI'!$C$14,'THAM_SO_MOI'!$C$13*(1+F1550^2/1500),'THAM_SO_MOI'!$C$13)</f>
        <v>0.015</v>
      </c>
      <c r="J1550" s="75">
        <f>'THAM_SO_MOI'!$C$40*('THAM_SO_MOI'!$C$23*(E1550/'THAM_SO_MOI'!$C$22)+'THAM_SO_MOI'!$C$24*(E1550/'THAM_SO_MOI'!$C$22)^2-'THAM_SO_MOI'!$C$25*(E1550/'THAM_SO_MOI'!$C$22)^3)</f>
        <v>111.20603502489705</v>
      </c>
      <c r="K1550" s="75">
        <f>'THAM_SO_MOI'!$C$31*J1550/E1550</f>
        <v>424.71236752683296</v>
      </c>
      <c r="L1550" s="75">
        <f>K1550*'THAM_SO_MOI'!$C$50*'THAM_SO_MOI'!$C$17/'THAM_SO_MOI'!$C$26</f>
        <v>15162.810675204551</v>
      </c>
      <c r="M1550" s="75">
        <f>'THAM_SO_MOI'!$C$15*'THAM_SO_MOI'!$C$16*F1550^2</f>
        <v>113.7168661763866</v>
      </c>
      <c r="N1550" s="75">
        <f>'THAM_SO_MOI'!$C$12*I1550</f>
        <v>1130.112</v>
      </c>
      <c r="O1550" s="75">
        <f>M1550+N1550</f>
        <v>1243.8288661763868</v>
      </c>
      <c r="P1550" s="75">
        <f>(MIN(L1550,'THAM_SO_MOI'!$C$41)-O1550)/('THAM_SO_MOI'!$C$11*H1550)</f>
        <v>0.9647484420464598</v>
      </c>
      <c r="Q1550" s="75">
        <f>IF(P1550&gt;0,1/P1550,NA())</f>
        <v>1.0365396370879474</v>
      </c>
      <c r="R1550" s="75">
        <f>F1550-F1549</f>
        <v>0.0032106047296869278</v>
      </c>
      <c r="S1550" s="75">
        <f>0.5*(Q1549+Q1550)*R1550</f>
        <v>0.0033277272495494054</v>
      </c>
      <c r="T1550" s="75">
        <f>0.5*(F1549*Q1549+F1550*Q1550)*R1550</f>
        <v>0.02074366109578771</v>
      </c>
      <c r="U1550" s="76">
        <f>U1549+S1550</f>
        <v>6.5091320726212185</v>
      </c>
      <c r="V1550" s="76">
        <f>V1549+T1550</f>
        <v>24.229151612226307</v>
      </c>
    </row>
    <row r="1551" spans="1:22" ht="19" customHeight="1">
      <c r="A1551" s="68" t="s">
        <v>372</v>
      </c>
      <c r="B1551" s="74">
        <v>2</v>
      </c>
      <c r="C1551" s="68" t="s">
        <v>363</v>
      </c>
      <c r="D1551" s="68" t="s">
        <v>364</v>
      </c>
      <c r="E1551" s="75">
        <f>60*F1551*'THAM_SO_MOI'!$C$50/(2*PI()*'THAM_SO_MOI'!$C$26)</f>
        <v>2502.132680316932</v>
      </c>
      <c r="F1551" s="75">
        <f>'HANH_TRINH'!$F$826+('THAM_SO_MOI'!$F$50-'HANH_TRINH'!$F$826)*724/'THAM_SO_MOI'!$C$42</f>
        <v>6.23839793839851</v>
      </c>
      <c r="G1551" s="75">
        <f>3.6*F1551</f>
        <v>22.458232578234636</v>
      </c>
      <c r="H1551" s="75">
        <f>'THAM_SO_MOI'!$D$50</f>
        <v>1.8785906709588276</v>
      </c>
      <c r="I1551" s="75">
        <f>IF(F1551&gt;'THAM_SO_MOI'!$C$14,'THAM_SO_MOI'!$C$13*(1+F1551^2/1500),'THAM_SO_MOI'!$C$13)</f>
        <v>0.015</v>
      </c>
      <c r="J1551" s="75">
        <f>'THAM_SO_MOI'!$C$40*('THAM_SO_MOI'!$C$23*(E1551/'THAM_SO_MOI'!$C$22)+'THAM_SO_MOI'!$C$24*(E1551/'THAM_SO_MOI'!$C$22)^2-'THAM_SO_MOI'!$C$25*(E1551/'THAM_SO_MOI'!$C$22)^3)</f>
        <v>111.25233885212357</v>
      </c>
      <c r="K1551" s="75">
        <f>'THAM_SO_MOI'!$C$31*J1551/E1551</f>
        <v>424.67053858909685</v>
      </c>
      <c r="L1551" s="75">
        <f>K1551*'THAM_SO_MOI'!$C$50*'THAM_SO_MOI'!$C$17/'THAM_SO_MOI'!$C$26</f>
        <v>15161.317325087786</v>
      </c>
      <c r="M1551" s="75">
        <f>'THAM_SO_MOI'!$C$15*'THAM_SO_MOI'!$C$16*F1551^2</f>
        <v>113.83400585060824</v>
      </c>
      <c r="N1551" s="75">
        <f>'THAM_SO_MOI'!$C$12*I1551</f>
        <v>1130.112</v>
      </c>
      <c r="O1551" s="75">
        <f>M1551+N1551</f>
        <v>1243.9460058506083</v>
      </c>
      <c r="P1551" s="75">
        <f>(MIN(L1551,'THAM_SO_MOI'!$C$41)-O1551)/('THAM_SO_MOI'!$C$11*H1551)</f>
        <v>0.9646368162437895</v>
      </c>
      <c r="Q1551" s="75">
        <f>IF(P1551&gt;0,1/P1551,NA())</f>
        <v>1.0366595833382264</v>
      </c>
      <c r="R1551" s="75">
        <f>F1551-F1550</f>
        <v>0.0032106047296860396</v>
      </c>
      <c r="S1551" s="75">
        <f>0.5*(Q1550+Q1551)*R1551</f>
        <v>0.003328111611340842</v>
      </c>
      <c r="T1551" s="75">
        <f>0.5*(F1550*Q1550+F1551*Q1551)*R1551</f>
        <v>0.020756742298609673</v>
      </c>
      <c r="U1551" s="76">
        <f>U1550+S1551</f>
        <v>6.51246018423256</v>
      </c>
      <c r="V1551" s="76">
        <f>V1550+T1551</f>
        <v>24.249908354524916</v>
      </c>
    </row>
    <row r="1552" spans="1:22" ht="19" customHeight="1">
      <c r="A1552" s="68" t="s">
        <v>372</v>
      </c>
      <c r="B1552" s="74">
        <v>2</v>
      </c>
      <c r="C1552" s="68" t="s">
        <v>363</v>
      </c>
      <c r="D1552" s="68" t="s">
        <v>364</v>
      </c>
      <c r="E1552" s="75">
        <f>60*F1552*'THAM_SO_MOI'!$C$50/(2*PI()*'THAM_SO_MOI'!$C$26)</f>
        <v>2503.420408207499</v>
      </c>
      <c r="F1552" s="75">
        <f>'HANH_TRINH'!$F$826+('THAM_SO_MOI'!$F$50-'HANH_TRINH'!$F$826)*725/'THAM_SO_MOI'!$C$42</f>
        <v>6.241608543128198</v>
      </c>
      <c r="G1552" s="75">
        <f>3.6*F1552</f>
        <v>22.469790755261513</v>
      </c>
      <c r="H1552" s="75">
        <f>'THAM_SO_MOI'!$D$50</f>
        <v>1.8785906709588276</v>
      </c>
      <c r="I1552" s="75">
        <f>IF(F1552&gt;'THAM_SO_MOI'!$C$14,'THAM_SO_MOI'!$C$13*(1+F1552^2/1500),'THAM_SO_MOI'!$C$13)</f>
        <v>0.015</v>
      </c>
      <c r="J1552" s="75">
        <f>'THAM_SO_MOI'!$C$40*('THAM_SO_MOI'!$C$23*(E1552/'THAM_SO_MOI'!$C$22)+'THAM_SO_MOI'!$C$24*(E1552/'THAM_SO_MOI'!$C$22)^2-'THAM_SO_MOI'!$C$25*(E1552/'THAM_SO_MOI'!$C$22)^3)</f>
        <v>111.29858923369949</v>
      </c>
      <c r="K1552" s="75">
        <f>'THAM_SO_MOI'!$C$31*J1552/E1552</f>
        <v>424.6285487770281</v>
      </c>
      <c r="L1552" s="75">
        <f>K1552*'THAM_SO_MOI'!$C$50*'THAM_SO_MOI'!$C$17/'THAM_SO_MOI'!$C$26</f>
        <v>15159.81823153797</v>
      </c>
      <c r="M1552" s="75">
        <f>'THAM_SO_MOI'!$C$15*'THAM_SO_MOI'!$C$16*F1552^2</f>
        <v>113.95120582652889</v>
      </c>
      <c r="N1552" s="75">
        <f>'THAM_SO_MOI'!$C$12*I1552</f>
        <v>1130.112</v>
      </c>
      <c r="O1552" s="75">
        <f>M1552+N1552</f>
        <v>1244.063205826529</v>
      </c>
      <c r="P1552" s="75">
        <f>(MIN(L1552,'THAM_SO_MOI'!$C$41)-O1552)/('THAM_SO_MOI'!$C$11*H1552)</f>
        <v>0.9645247881743345</v>
      </c>
      <c r="Q1552" s="75">
        <f>IF(P1552&gt;0,1/P1552,NA())</f>
        <v>1.0367799897531027</v>
      </c>
      <c r="R1552" s="75">
        <f>F1552-F1551</f>
        <v>0.003210604729687816</v>
      </c>
      <c r="S1552" s="75">
        <f>0.5*(Q1551+Q1552)*R1552</f>
        <v>0.0033284974500444537</v>
      </c>
      <c r="T1552" s="75">
        <f>0.5*(F1551*Q1551+F1552*Q1552)*R1552</f>
        <v>0.02076983518543676</v>
      </c>
      <c r="U1552" s="76">
        <f>U1551+S1552</f>
        <v>6.515788681682604</v>
      </c>
      <c r="V1552" s="76">
        <f>V1551+T1552</f>
        <v>24.270678189710353</v>
      </c>
    </row>
    <row r="1553" spans="1:22" ht="19" customHeight="1">
      <c r="A1553" s="68" t="s">
        <v>372</v>
      </c>
      <c r="B1553" s="74">
        <v>2</v>
      </c>
      <c r="C1553" s="68" t="s">
        <v>363</v>
      </c>
      <c r="D1553" s="68" t="s">
        <v>364</v>
      </c>
      <c r="E1553" s="75">
        <f>60*F1553*'THAM_SO_MOI'!$C$50/(2*PI()*'THAM_SO_MOI'!$C$26)</f>
        <v>2504.708136098065</v>
      </c>
      <c r="F1553" s="75">
        <f>'HANH_TRINH'!$F$826+('THAM_SO_MOI'!$F$50-'HANH_TRINH'!$F$826)*726/'THAM_SO_MOI'!$C$42</f>
        <v>6.244819147857884</v>
      </c>
      <c r="G1553" s="75">
        <f>3.6*F1553</f>
        <v>22.481348932288384</v>
      </c>
      <c r="H1553" s="75">
        <f>'THAM_SO_MOI'!$D$50</f>
        <v>1.8785906709588276</v>
      </c>
      <c r="I1553" s="75">
        <f>IF(F1553&gt;'THAM_SO_MOI'!$C$14,'THAM_SO_MOI'!$C$13*(1+F1553^2/1500),'THAM_SO_MOI'!$C$13)</f>
        <v>0.015</v>
      </c>
      <c r="J1553" s="75">
        <f>'THAM_SO_MOI'!$C$40*('THAM_SO_MOI'!$C$23*(E1553/'THAM_SO_MOI'!$C$22)+'THAM_SO_MOI'!$C$24*(E1553/'THAM_SO_MOI'!$C$22)^2-'THAM_SO_MOI'!$C$25*(E1553/'THAM_SO_MOI'!$C$22)^3)</f>
        <v>111.3447861045552</v>
      </c>
      <c r="K1553" s="75">
        <f>'THAM_SO_MOI'!$C$31*J1553/E1553</f>
        <v>424.5863980906273</v>
      </c>
      <c r="L1553" s="75">
        <f>K1553*'THAM_SO_MOI'!$C$50*'THAM_SO_MOI'!$C$17/'THAM_SO_MOI'!$C$26</f>
        <v>15158.313394555129</v>
      </c>
      <c r="M1553" s="75">
        <f>'THAM_SO_MOI'!$C$15*'THAM_SO_MOI'!$C$16*F1553^2</f>
        <v>114.06846610414847</v>
      </c>
      <c r="N1553" s="75">
        <f>'THAM_SO_MOI'!$C$12*I1553</f>
        <v>1130.112</v>
      </c>
      <c r="O1553" s="75">
        <f>M1553+N1553</f>
        <v>1244.1804661041485</v>
      </c>
      <c r="P1553" s="75">
        <f>(MIN(L1553,'THAM_SO_MOI'!$C$41)-O1553)/('THAM_SO_MOI'!$C$11*H1553)</f>
        <v>0.9644123578380966</v>
      </c>
      <c r="Q1553" s="75">
        <f>IF(P1553&gt;0,1/P1553,NA())</f>
        <v>1.0369008566436035</v>
      </c>
      <c r="R1553" s="75">
        <f>F1553-F1552</f>
        <v>0.0032106047296860396</v>
      </c>
      <c r="S1553" s="75">
        <f>0.5*(Q1552+Q1553)*R1553</f>
        <v>0.003328884766650307</v>
      </c>
      <c r="T1553" s="75">
        <f>0.5*(F1552*Q1552+F1553*Q1553)*R1553</f>
        <v>0.020782939776675526</v>
      </c>
      <c r="U1553" s="76">
        <f>U1552+S1553</f>
        <v>6.519117566449254</v>
      </c>
      <c r="V1553" s="76">
        <f>V1552+T1553</f>
        <v>24.29146112948703</v>
      </c>
    </row>
    <row r="1554" spans="1:22" ht="19" customHeight="1">
      <c r="A1554" s="68" t="s">
        <v>372</v>
      </c>
      <c r="B1554" s="74">
        <v>2</v>
      </c>
      <c r="C1554" s="68" t="s">
        <v>363</v>
      </c>
      <c r="D1554" s="68" t="s">
        <v>364</v>
      </c>
      <c r="E1554" s="75">
        <f>60*F1554*'THAM_SO_MOI'!$C$50/(2*PI()*'THAM_SO_MOI'!$C$26)</f>
        <v>2505.9958639886318</v>
      </c>
      <c r="F1554" s="75">
        <f>'HANH_TRINH'!$F$826+('THAM_SO_MOI'!$F$50-'HANH_TRINH'!$F$826)*727/'THAM_SO_MOI'!$C$42</f>
        <v>6.248029752587571</v>
      </c>
      <c r="G1554" s="75">
        <f>3.6*F1554</f>
        <v>22.492907109315254</v>
      </c>
      <c r="H1554" s="75">
        <f>'THAM_SO_MOI'!$D$50</f>
        <v>1.8785906709588276</v>
      </c>
      <c r="I1554" s="75">
        <f>IF(F1554&gt;'THAM_SO_MOI'!$C$14,'THAM_SO_MOI'!$C$13*(1+F1554^2/1500),'THAM_SO_MOI'!$C$13)</f>
        <v>0.015</v>
      </c>
      <c r="J1554" s="75">
        <f>'THAM_SO_MOI'!$C$40*('THAM_SO_MOI'!$C$23*(E1554/'THAM_SO_MOI'!$C$22)+'THAM_SO_MOI'!$C$24*(E1554/'THAM_SO_MOI'!$C$22)^2-'THAM_SO_MOI'!$C$25*(E1554/'THAM_SO_MOI'!$C$22)^3)</f>
        <v>111.39092939962096</v>
      </c>
      <c r="K1554" s="75">
        <f>'THAM_SO_MOI'!$C$31*J1554/E1554</f>
        <v>424.54408652989423</v>
      </c>
      <c r="L1554" s="75">
        <f>K1554*'THAM_SO_MOI'!$C$50*'THAM_SO_MOI'!$C$17/'THAM_SO_MOI'!$C$26</f>
        <v>15156.802814139248</v>
      </c>
      <c r="M1554" s="75">
        <f>'THAM_SO_MOI'!$C$15*'THAM_SO_MOI'!$C$16*F1554^2</f>
        <v>114.18578668346706</v>
      </c>
      <c r="N1554" s="75">
        <f>'THAM_SO_MOI'!$C$12*I1554</f>
        <v>1130.112</v>
      </c>
      <c r="O1554" s="75">
        <f>M1554+N1554</f>
        <v>1244.2977866834672</v>
      </c>
      <c r="P1554" s="75">
        <f>(MIN(L1554,'THAM_SO_MOI'!$C$41)-O1554)/('THAM_SO_MOI'!$C$11*H1554)</f>
        <v>0.9642995252350748</v>
      </c>
      <c r="Q1554" s="75">
        <f>IF(P1554&gt;0,1/P1554,NA())</f>
        <v>1.0370221843220573</v>
      </c>
      <c r="R1554" s="75">
        <f>F1554-F1553</f>
        <v>0.0032106047296869278</v>
      </c>
      <c r="S1554" s="75">
        <f>0.5*(Q1553+Q1554)*R1554</f>
        <v>0.0033292735621655235</v>
      </c>
      <c r="T1554" s="75">
        <f>0.5*(F1553*Q1553+F1554*Q1554)*R1554</f>
        <v>0.020796056092851744</v>
      </c>
      <c r="U1554" s="76">
        <f>U1553+S1554</f>
        <v>6.52244684001142</v>
      </c>
      <c r="V1554" s="76">
        <f>V1553+T1554</f>
        <v>24.31225718557988</v>
      </c>
    </row>
    <row r="1555" spans="1:22" ht="19" customHeight="1">
      <c r="A1555" s="68" t="s">
        <v>372</v>
      </c>
      <c r="B1555" s="74">
        <v>2</v>
      </c>
      <c r="C1555" s="68" t="s">
        <v>363</v>
      </c>
      <c r="D1555" s="68" t="s">
        <v>364</v>
      </c>
      <c r="E1555" s="75">
        <f>60*F1555*'THAM_SO_MOI'!$C$50/(2*PI()*'THAM_SO_MOI'!$C$26)</f>
        <v>2507.2835918791984</v>
      </c>
      <c r="F1555" s="75">
        <f>'HANH_TRINH'!$F$826+('THAM_SO_MOI'!$F$50-'HANH_TRINH'!$F$826)*728/'THAM_SO_MOI'!$C$42</f>
        <v>6.251240357317258</v>
      </c>
      <c r="G1555" s="75">
        <f>3.6*F1555</f>
        <v>22.50446528634213</v>
      </c>
      <c r="H1555" s="75">
        <f>'THAM_SO_MOI'!$D$50</f>
        <v>1.8785906709588276</v>
      </c>
      <c r="I1555" s="75">
        <f>IF(F1555&gt;'THAM_SO_MOI'!$C$14,'THAM_SO_MOI'!$C$13*(1+F1555^2/1500),'THAM_SO_MOI'!$C$13)</f>
        <v>0.015</v>
      </c>
      <c r="J1555" s="75">
        <f>'THAM_SO_MOI'!$C$40*('THAM_SO_MOI'!$C$23*(E1555/'THAM_SO_MOI'!$C$22)+'THAM_SO_MOI'!$C$24*(E1555/'THAM_SO_MOI'!$C$22)^2-'THAM_SO_MOI'!$C$25*(E1555/'THAM_SO_MOI'!$C$22)^3)</f>
        <v>111.43701905382711</v>
      </c>
      <c r="K1555" s="75">
        <f>'THAM_SO_MOI'!$C$31*J1555/E1555</f>
        <v>424.5016140948289</v>
      </c>
      <c r="L1555" s="75">
        <f>K1555*'THAM_SO_MOI'!$C$50*'THAM_SO_MOI'!$C$17/'THAM_SO_MOI'!$C$26</f>
        <v>15155.286490290331</v>
      </c>
      <c r="M1555" s="75">
        <f>'THAM_SO_MOI'!$C$15*'THAM_SO_MOI'!$C$16*F1555^2</f>
        <v>114.3031675644846</v>
      </c>
      <c r="N1555" s="75">
        <f>'THAM_SO_MOI'!$C$12*I1555</f>
        <v>1130.112</v>
      </c>
      <c r="O1555" s="75">
        <f>M1555+N1555</f>
        <v>1244.4151675644846</v>
      </c>
      <c r="P1555" s="75">
        <f>(MIN(L1555,'THAM_SO_MOI'!$C$41)-O1555)/('THAM_SO_MOI'!$C$11*H1555)</f>
        <v>0.9641862903652695</v>
      </c>
      <c r="Q1555" s="75">
        <f>IF(P1555&gt;0,1/P1555,NA())</f>
        <v>1.037143973102089</v>
      </c>
      <c r="R1555" s="75">
        <f>F1555-F1554</f>
        <v>0.0032106047296869278</v>
      </c>
      <c r="S1555" s="75">
        <f>0.5*(Q1554+Q1555)*R1555</f>
        <v>0.003329663837591263</v>
      </c>
      <c r="T1555" s="75">
        <f>0.5*(F1554*Q1554+F1555*Q1555)*R1555</f>
        <v>0.0208091841544669</v>
      </c>
      <c r="U1555" s="76">
        <f>U1554+S1555</f>
        <v>6.525776503849011</v>
      </c>
      <c r="V1555" s="76">
        <f>V1554+T1555</f>
        <v>24.333066369734347</v>
      </c>
    </row>
    <row r="1556" spans="1:22" ht="19" customHeight="1">
      <c r="A1556" s="68" t="s">
        <v>372</v>
      </c>
      <c r="B1556" s="74">
        <v>2</v>
      </c>
      <c r="C1556" s="68" t="s">
        <v>363</v>
      </c>
      <c r="D1556" s="68" t="s">
        <v>364</v>
      </c>
      <c r="E1556" s="75">
        <f>60*F1556*'THAM_SO_MOI'!$C$50/(2*PI()*'THAM_SO_MOI'!$C$26)</f>
        <v>2508.571319769765</v>
      </c>
      <c r="F1556" s="75">
        <f>'HANH_TRINH'!$F$826+('THAM_SO_MOI'!$F$50-'HANH_TRINH'!$F$826)*729/'THAM_SO_MOI'!$C$42</f>
        <v>6.254450962046945</v>
      </c>
      <c r="G1556" s="75">
        <f>3.6*F1556</f>
        <v>22.516023463369002</v>
      </c>
      <c r="H1556" s="75">
        <f>'THAM_SO_MOI'!$D$50</f>
        <v>1.8785906709588276</v>
      </c>
      <c r="I1556" s="75">
        <f>IF(F1556&gt;'THAM_SO_MOI'!$C$14,'THAM_SO_MOI'!$C$13*(1+F1556^2/1500),'THAM_SO_MOI'!$C$13)</f>
        <v>0.015</v>
      </c>
      <c r="J1556" s="75">
        <f>'THAM_SO_MOI'!$C$40*('THAM_SO_MOI'!$C$23*(E1556/'THAM_SO_MOI'!$C$22)+'THAM_SO_MOI'!$C$24*(E1556/'THAM_SO_MOI'!$C$22)^2-'THAM_SO_MOI'!$C$25*(E1556/'THAM_SO_MOI'!$C$22)^3)</f>
        <v>111.48305500210397</v>
      </c>
      <c r="K1556" s="75">
        <f>'THAM_SO_MOI'!$C$31*J1556/E1556</f>
        <v>424.4589807854314</v>
      </c>
      <c r="L1556" s="75">
        <f>K1556*'THAM_SO_MOI'!$C$50*'THAM_SO_MOI'!$C$17/'THAM_SO_MOI'!$C$26</f>
        <v>15153.764423008382</v>
      </c>
      <c r="M1556" s="75">
        <f>'THAM_SO_MOI'!$C$15*'THAM_SO_MOI'!$C$16*F1556^2</f>
        <v>114.42060874720111</v>
      </c>
      <c r="N1556" s="75">
        <f>'THAM_SO_MOI'!$C$12*I1556</f>
        <v>1130.112</v>
      </c>
      <c r="O1556" s="75">
        <f>M1556+N1556</f>
        <v>1244.5326087472013</v>
      </c>
      <c r="P1556" s="75">
        <f>(MIN(L1556,'THAM_SO_MOI'!$C$41)-O1556)/('THAM_SO_MOI'!$C$11*H1556)</f>
        <v>0.9640726532286809</v>
      </c>
      <c r="Q1556" s="75">
        <f>IF(P1556&gt;0,1/P1556,NA())</f>
        <v>1.0372662232986263</v>
      </c>
      <c r="R1556" s="75">
        <f>F1556-F1555</f>
        <v>0.0032106047296869278</v>
      </c>
      <c r="S1556" s="75">
        <f>0.5*(Q1555+Q1556)*R1556</f>
        <v>0.003330055593937463</v>
      </c>
      <c r="T1556" s="75">
        <f>0.5*(F1555*Q1555+F1556*Q1556)*R1556</f>
        <v>0.020822323982090194</v>
      </c>
      <c r="U1556" s="76">
        <f>U1555+S1556</f>
        <v>6.5291065594429485</v>
      </c>
      <c r="V1556" s="76">
        <f>V1555+T1556</f>
        <v>24.35388869371644</v>
      </c>
    </row>
    <row r="1557" spans="1:22" ht="19" customHeight="1">
      <c r="A1557" s="68" t="s">
        <v>372</v>
      </c>
      <c r="B1557" s="74">
        <v>2</v>
      </c>
      <c r="C1557" s="68" t="s">
        <v>363</v>
      </c>
      <c r="D1557" s="68" t="s">
        <v>364</v>
      </c>
      <c r="E1557" s="75">
        <f>60*F1557*'THAM_SO_MOI'!$C$50/(2*PI()*'THAM_SO_MOI'!$C$26)</f>
        <v>2509.8590476603317</v>
      </c>
      <c r="F1557" s="75">
        <f>'HANH_TRINH'!$F$826+('THAM_SO_MOI'!$F$50-'HANH_TRINH'!$F$826)*730/'THAM_SO_MOI'!$C$42</f>
        <v>6.2576615667766315</v>
      </c>
      <c r="G1557" s="75">
        <f>3.6*F1557</f>
        <v>22.527581640395873</v>
      </c>
      <c r="H1557" s="75">
        <f>'THAM_SO_MOI'!$D$50</f>
        <v>1.8785906709588276</v>
      </c>
      <c r="I1557" s="75">
        <f>IF(F1557&gt;'THAM_SO_MOI'!$C$14,'THAM_SO_MOI'!$C$13*(1+F1557^2/1500),'THAM_SO_MOI'!$C$13)</f>
        <v>0.015</v>
      </c>
      <c r="J1557" s="75">
        <f>'THAM_SO_MOI'!$C$40*('THAM_SO_MOI'!$C$23*(E1557/'THAM_SO_MOI'!$C$22)+'THAM_SO_MOI'!$C$24*(E1557/'THAM_SO_MOI'!$C$22)^2-'THAM_SO_MOI'!$C$25*(E1557/'THAM_SO_MOI'!$C$22)^3)</f>
        <v>111.52903717938175</v>
      </c>
      <c r="K1557" s="75">
        <f>'THAM_SO_MOI'!$C$31*J1557/E1557</f>
        <v>424.4161866017015</v>
      </c>
      <c r="L1557" s="75">
        <f>K1557*'THAM_SO_MOI'!$C$50*'THAM_SO_MOI'!$C$17/'THAM_SO_MOI'!$C$26</f>
        <v>15152.236612293395</v>
      </c>
      <c r="M1557" s="75">
        <f>'THAM_SO_MOI'!$C$15*'THAM_SO_MOI'!$C$16*F1557^2</f>
        <v>114.53811023161661</v>
      </c>
      <c r="N1557" s="75">
        <f>'THAM_SO_MOI'!$C$12*I1557</f>
        <v>1130.112</v>
      </c>
      <c r="O1557" s="75">
        <f>M1557+N1557</f>
        <v>1244.6501102316167</v>
      </c>
      <c r="P1557" s="75">
        <f>(MIN(L1557,'THAM_SO_MOI'!$C$41)-O1557)/('THAM_SO_MOI'!$C$11*H1557)</f>
        <v>0.9639586138253085</v>
      </c>
      <c r="Q1557" s="75">
        <f>IF(P1557&gt;0,1/P1557,NA())</f>
        <v>1.0373889352279009</v>
      </c>
      <c r="R1557" s="75">
        <f>F1557-F1556</f>
        <v>0.0032106047296869278</v>
      </c>
      <c r="S1557" s="75">
        <f>0.5*(Q1556+Q1557)*R1557</f>
        <v>0.003330448832217325</v>
      </c>
      <c r="T1557" s="75">
        <f>0.5*(F1556*Q1556+F1557*Q1557)*R1557</f>
        <v>0.020835475596324236</v>
      </c>
      <c r="U1557" s="76">
        <f>U1556+S1557</f>
        <v>6.532437008275166</v>
      </c>
      <c r="V1557" s="76">
        <f>V1556+T1557</f>
        <v>24.374724169312763</v>
      </c>
    </row>
    <row r="1558" spans="1:22" ht="19" customHeight="1">
      <c r="A1558" s="68" t="s">
        <v>372</v>
      </c>
      <c r="B1558" s="74">
        <v>2</v>
      </c>
      <c r="C1558" s="68" t="s">
        <v>363</v>
      </c>
      <c r="D1558" s="68" t="s">
        <v>364</v>
      </c>
      <c r="E1558" s="75">
        <f>60*F1558*'THAM_SO_MOI'!$C$50/(2*PI()*'THAM_SO_MOI'!$C$26)</f>
        <v>2511.1467755508984</v>
      </c>
      <c r="F1558" s="75">
        <f>'HANH_TRINH'!$F$826+('THAM_SO_MOI'!$F$50-'HANH_TRINH'!$F$826)*731/'THAM_SO_MOI'!$C$42</f>
        <v>6.260872171506318</v>
      </c>
      <c r="G1558" s="75">
        <f>3.6*F1558</f>
        <v>22.539139817422743</v>
      </c>
      <c r="H1558" s="75">
        <f>'THAM_SO_MOI'!$D$50</f>
        <v>1.8785906709588276</v>
      </c>
      <c r="I1558" s="75">
        <f>IF(F1558&gt;'THAM_SO_MOI'!$C$14,'THAM_SO_MOI'!$C$13*(1+F1558^2/1500),'THAM_SO_MOI'!$C$13)</f>
        <v>0.015</v>
      </c>
      <c r="J1558" s="75">
        <f>'THAM_SO_MOI'!$C$40*('THAM_SO_MOI'!$C$23*(E1558/'THAM_SO_MOI'!$C$22)+'THAM_SO_MOI'!$C$24*(E1558/'THAM_SO_MOI'!$C$22)^2-'THAM_SO_MOI'!$C$25*(E1558/'THAM_SO_MOI'!$C$22)^3)</f>
        <v>111.57496552059084</v>
      </c>
      <c r="K1558" s="75">
        <f>'THAM_SO_MOI'!$C$31*J1558/E1558</f>
        <v>424.37323154363946</v>
      </c>
      <c r="L1558" s="75">
        <f>K1558*'THAM_SO_MOI'!$C$50*'THAM_SO_MOI'!$C$17/'THAM_SO_MOI'!$C$26</f>
        <v>15150.703058145371</v>
      </c>
      <c r="M1558" s="75">
        <f>'THAM_SO_MOI'!$C$15*'THAM_SO_MOI'!$C$16*F1558^2</f>
        <v>114.65567201773104</v>
      </c>
      <c r="N1558" s="75">
        <f>'THAM_SO_MOI'!$C$12*I1558</f>
        <v>1130.112</v>
      </c>
      <c r="O1558" s="75">
        <f>M1558+N1558</f>
        <v>1244.767672017731</v>
      </c>
      <c r="P1558" s="75">
        <f>(MIN(L1558,'THAM_SO_MOI'!$C$41)-O1558)/('THAM_SO_MOI'!$C$11*H1558)</f>
        <v>0.9638441721551523</v>
      </c>
      <c r="Q1558" s="75">
        <f>IF(P1558&gt;0,1/P1558,NA())</f>
        <v>1.0375121092074493</v>
      </c>
      <c r="R1558" s="75">
        <f>F1558-F1557</f>
        <v>0.0032106047296860396</v>
      </c>
      <c r="S1558" s="75">
        <f>0.5*(Q1557+Q1558)*R1558</f>
        <v>0.0033308435534473192</v>
      </c>
      <c r="T1558" s="75">
        <f>0.5*(F1557*Q1557+F1558*Q1558)*R1558</f>
        <v>0.020848639017805082</v>
      </c>
      <c r="U1558" s="76">
        <f>U1557+S1558</f>
        <v>6.535767851828614</v>
      </c>
      <c r="V1558" s="76">
        <f>V1557+T1558</f>
        <v>24.39557280833057</v>
      </c>
    </row>
    <row r="1559" spans="1:22" ht="19" customHeight="1">
      <c r="A1559" s="68" t="s">
        <v>372</v>
      </c>
      <c r="B1559" s="74">
        <v>2</v>
      </c>
      <c r="C1559" s="68" t="s">
        <v>363</v>
      </c>
      <c r="D1559" s="68" t="s">
        <v>364</v>
      </c>
      <c r="E1559" s="75">
        <f>60*F1559*'THAM_SO_MOI'!$C$50/(2*PI()*'THAM_SO_MOI'!$C$26)</f>
        <v>2512.4345034414655</v>
      </c>
      <c r="F1559" s="75">
        <f>'HANH_TRINH'!$F$826+('THAM_SO_MOI'!$F$50-'HANH_TRINH'!$F$826)*732/'THAM_SO_MOI'!$C$42</f>
        <v>6.264082776236005</v>
      </c>
      <c r="G1559" s="75">
        <f>3.6*F1559</f>
        <v>22.55069799444962</v>
      </c>
      <c r="H1559" s="75">
        <f>'THAM_SO_MOI'!$D$50</f>
        <v>1.8785906709588276</v>
      </c>
      <c r="I1559" s="75">
        <f>IF(F1559&gt;'THAM_SO_MOI'!$C$14,'THAM_SO_MOI'!$C$13*(1+F1559^2/1500),'THAM_SO_MOI'!$C$13)</f>
        <v>0.015</v>
      </c>
      <c r="J1559" s="75">
        <f>'THAM_SO_MOI'!$C$40*('THAM_SO_MOI'!$C$23*(E1559/'THAM_SO_MOI'!$C$22)+'THAM_SO_MOI'!$C$24*(E1559/'THAM_SO_MOI'!$C$22)^2-'THAM_SO_MOI'!$C$25*(E1559/'THAM_SO_MOI'!$C$22)^3)</f>
        <v>111.6208399606615</v>
      </c>
      <c r="K1559" s="75">
        <f>'THAM_SO_MOI'!$C$31*J1559/E1559</f>
        <v>424.33011561124516</v>
      </c>
      <c r="L1559" s="75">
        <f>K1559*'THAM_SO_MOI'!$C$50*'THAM_SO_MOI'!$C$17/'THAM_SO_MOI'!$C$26</f>
        <v>15149.163760564314</v>
      </c>
      <c r="M1559" s="75">
        <f>'THAM_SO_MOI'!$C$15*'THAM_SO_MOI'!$C$16*F1559^2</f>
        <v>114.77329410554452</v>
      </c>
      <c r="N1559" s="75">
        <f>'THAM_SO_MOI'!$C$12*I1559</f>
        <v>1130.112</v>
      </c>
      <c r="O1559" s="75">
        <f>M1559+N1559</f>
        <v>1244.8852941055445</v>
      </c>
      <c r="P1559" s="75">
        <f>(MIN(L1559,'THAM_SO_MOI'!$C$41)-O1559)/('THAM_SO_MOI'!$C$11*H1559)</f>
        <v>0.9637293282182128</v>
      </c>
      <c r="Q1559" s="75">
        <f>IF(P1559&gt;0,1/P1559,NA())</f>
        <v>1.037635745556116</v>
      </c>
      <c r="R1559" s="75">
        <f>F1559-F1558</f>
        <v>0.003210604729687816</v>
      </c>
      <c r="S1559" s="75">
        <f>0.5*(Q1558+Q1559)*R1559</f>
        <v>0.0033312397586527137</v>
      </c>
      <c r="T1559" s="75">
        <f>0.5*(F1558*Q1558+F1559*Q1559)*R1559</f>
        <v>0.02086181426723696</v>
      </c>
      <c r="U1559" s="76">
        <f>U1558+S1559</f>
        <v>6.539099091587267</v>
      </c>
      <c r="V1559" s="76">
        <f>V1558+T1559</f>
        <v>24.41643462259781</v>
      </c>
    </row>
    <row r="1560" spans="1:22" ht="19" customHeight="1">
      <c r="A1560" s="68" t="s">
        <v>372</v>
      </c>
      <c r="B1560" s="74">
        <v>2</v>
      </c>
      <c r="C1560" s="68" t="s">
        <v>363</v>
      </c>
      <c r="D1560" s="68" t="s">
        <v>364</v>
      </c>
      <c r="E1560" s="75">
        <f>60*F1560*'THAM_SO_MOI'!$C$50/(2*PI()*'THAM_SO_MOI'!$C$26)</f>
        <v>2513.7222313320317</v>
      </c>
      <c r="F1560" s="75">
        <f>'HANH_TRINH'!$F$826+('THAM_SO_MOI'!$F$50-'HANH_TRINH'!$F$826)*733/'THAM_SO_MOI'!$C$42</f>
        <v>6.267293380965691</v>
      </c>
      <c r="G1560" s="75">
        <f>3.6*F1560</f>
        <v>22.56225617147649</v>
      </c>
      <c r="H1560" s="75">
        <f>'THAM_SO_MOI'!$D$50</f>
        <v>1.8785906709588276</v>
      </c>
      <c r="I1560" s="75">
        <f>IF(F1560&gt;'THAM_SO_MOI'!$C$14,'THAM_SO_MOI'!$C$13*(1+F1560^2/1500),'THAM_SO_MOI'!$C$13)</f>
        <v>0.015</v>
      </c>
      <c r="J1560" s="75">
        <f>'THAM_SO_MOI'!$C$40*('THAM_SO_MOI'!$C$23*(E1560/'THAM_SO_MOI'!$C$22)+'THAM_SO_MOI'!$C$24*(E1560/'THAM_SO_MOI'!$C$22)^2-'THAM_SO_MOI'!$C$25*(E1560/'THAM_SO_MOI'!$C$22)^3)</f>
        <v>111.66666043452399</v>
      </c>
      <c r="K1560" s="75">
        <f>'THAM_SO_MOI'!$C$31*J1560/E1560</f>
        <v>424.2868388045185</v>
      </c>
      <c r="L1560" s="75">
        <f>K1560*'THAM_SO_MOI'!$C$50*'THAM_SO_MOI'!$C$17/'THAM_SO_MOI'!$C$26</f>
        <v>15147.618719550213</v>
      </c>
      <c r="M1560" s="75">
        <f>'THAM_SO_MOI'!$C$15*'THAM_SO_MOI'!$C$16*F1560^2</f>
        <v>114.89097649505688</v>
      </c>
      <c r="N1560" s="75">
        <f>'THAM_SO_MOI'!$C$12*I1560</f>
        <v>1130.112</v>
      </c>
      <c r="O1560" s="75">
        <f>M1560+N1560</f>
        <v>1245.002976495057</v>
      </c>
      <c r="P1560" s="75">
        <f>(MIN(L1560,'THAM_SO_MOI'!$C$41)-O1560)/('THAM_SO_MOI'!$C$11*H1560)</f>
        <v>0.9636140820144891</v>
      </c>
      <c r="Q1560" s="75">
        <f>IF(P1560&gt;0,1/P1560,NA())</f>
        <v>1.037759844594056</v>
      </c>
      <c r="R1560" s="75">
        <f>F1560-F1559</f>
        <v>0.0032106047296860396</v>
      </c>
      <c r="S1560" s="75">
        <f>0.5*(Q1559+Q1560)*R1560</f>
        <v>0.0033316374488528452</v>
      </c>
      <c r="T1560" s="75">
        <f>0.5*(F1559*Q1559+F1560*Q1560)*R1560</f>
        <v>0.020875001365300103</v>
      </c>
      <c r="U1560" s="76">
        <f>U1559+S1560</f>
        <v>6.54243072903612</v>
      </c>
      <c r="V1560" s="76">
        <f>V1559+T1560</f>
        <v>24.43730962396311</v>
      </c>
    </row>
    <row r="1561" spans="1:22" ht="19" customHeight="1">
      <c r="A1561" s="68" t="s">
        <v>372</v>
      </c>
      <c r="B1561" s="74">
        <v>2</v>
      </c>
      <c r="C1561" s="68" t="s">
        <v>363</v>
      </c>
      <c r="D1561" s="68" t="s">
        <v>364</v>
      </c>
      <c r="E1561" s="75">
        <f>60*F1561*'THAM_SO_MOI'!$C$50/(2*PI()*'THAM_SO_MOI'!$C$26)</f>
        <v>2515.009959222599</v>
      </c>
      <c r="F1561" s="75">
        <f>'HANH_TRINH'!$F$826+('THAM_SO_MOI'!$F$50-'HANH_TRINH'!$F$826)*734/'THAM_SO_MOI'!$C$42</f>
        <v>6.270503985695379</v>
      </c>
      <c r="G1561" s="75">
        <f>3.6*F1561</f>
        <v>22.573814348503365</v>
      </c>
      <c r="H1561" s="75">
        <f>'THAM_SO_MOI'!$D$50</f>
        <v>1.8785906709588276</v>
      </c>
      <c r="I1561" s="75">
        <f>IF(F1561&gt;'THAM_SO_MOI'!$C$14,'THAM_SO_MOI'!$C$13*(1+F1561^2/1500),'THAM_SO_MOI'!$C$13)</f>
        <v>0.015</v>
      </c>
      <c r="J1561" s="75">
        <f>'THAM_SO_MOI'!$C$40*('THAM_SO_MOI'!$C$23*(E1561/'THAM_SO_MOI'!$C$22)+'THAM_SO_MOI'!$C$24*(E1561/'THAM_SO_MOI'!$C$22)^2-'THAM_SO_MOI'!$C$25*(E1561/'THAM_SO_MOI'!$C$22)^3)</f>
        <v>111.71242687710875</v>
      </c>
      <c r="K1561" s="75">
        <f>'THAM_SO_MOI'!$C$31*J1561/E1561</f>
        <v>424.24340112345976</v>
      </c>
      <c r="L1561" s="75">
        <f>K1561*'THAM_SO_MOI'!$C$50*'THAM_SO_MOI'!$C$17/'THAM_SO_MOI'!$C$26</f>
        <v>15146.067935103087</v>
      </c>
      <c r="M1561" s="75">
        <f>'THAM_SO_MOI'!$C$15*'THAM_SO_MOI'!$C$16*F1561^2</f>
        <v>115.00871918626831</v>
      </c>
      <c r="N1561" s="75">
        <f>'THAM_SO_MOI'!$C$12*I1561</f>
        <v>1130.112</v>
      </c>
      <c r="O1561" s="75">
        <f>M1561+N1561</f>
        <v>1245.1207191862684</v>
      </c>
      <c r="P1561" s="75">
        <f>(MIN(L1561,'THAM_SO_MOI'!$C$41)-O1561)/('THAM_SO_MOI'!$C$11*H1561)</f>
        <v>0.9634984335439823</v>
      </c>
      <c r="Q1561" s="75">
        <f>IF(P1561&gt;0,1/P1561,NA())</f>
        <v>1.0378844066427342</v>
      </c>
      <c r="R1561" s="75">
        <f>F1561-F1560</f>
        <v>0.003210604729687816</v>
      </c>
      <c r="S1561" s="75">
        <f>0.5*(Q1560+Q1561)*R1561</f>
        <v>0.003332036625085082</v>
      </c>
      <c r="T1561" s="75">
        <f>0.5*(F1560*Q1560+F1561*Q1561)*R1561</f>
        <v>0.020888200332800852</v>
      </c>
      <c r="U1561" s="76">
        <f>U1560+S1561</f>
        <v>6.545762765661205</v>
      </c>
      <c r="V1561" s="76">
        <f>V1560+T1561</f>
        <v>24.45819782429591</v>
      </c>
    </row>
    <row r="1562" spans="1:22" ht="19" customHeight="1">
      <c r="A1562" s="68" t="s">
        <v>372</v>
      </c>
      <c r="B1562" s="74">
        <v>2</v>
      </c>
      <c r="C1562" s="68" t="s">
        <v>363</v>
      </c>
      <c r="D1562" s="68" t="s">
        <v>364</v>
      </c>
      <c r="E1562" s="75">
        <f>60*F1562*'THAM_SO_MOI'!$C$50/(2*PI()*'THAM_SO_MOI'!$C$26)</f>
        <v>2516.297687113165</v>
      </c>
      <c r="F1562" s="75">
        <f>'HANH_TRINH'!$F$826+('THAM_SO_MOI'!$F$50-'HANH_TRINH'!$F$826)*735/'THAM_SO_MOI'!$C$42</f>
        <v>6.273714590425065</v>
      </c>
      <c r="G1562" s="75">
        <f>3.6*F1562</f>
        <v>22.585372525530236</v>
      </c>
      <c r="H1562" s="75">
        <f>'THAM_SO_MOI'!$D$50</f>
        <v>1.8785906709588276</v>
      </c>
      <c r="I1562" s="75">
        <f>IF(F1562&gt;'THAM_SO_MOI'!$C$14,'THAM_SO_MOI'!$C$13*(1+F1562^2/1500),'THAM_SO_MOI'!$C$13)</f>
        <v>0.015</v>
      </c>
      <c r="J1562" s="75">
        <f>'THAM_SO_MOI'!$C$40*('THAM_SO_MOI'!$C$23*(E1562/'THAM_SO_MOI'!$C$22)+'THAM_SO_MOI'!$C$24*(E1562/'THAM_SO_MOI'!$C$22)^2-'THAM_SO_MOI'!$C$25*(E1562/'THAM_SO_MOI'!$C$22)^3)</f>
        <v>111.75813922334594</v>
      </c>
      <c r="K1562" s="75">
        <f>'THAM_SO_MOI'!$C$31*J1562/E1562</f>
        <v>424.1998025680687</v>
      </c>
      <c r="L1562" s="75">
        <f>K1562*'THAM_SO_MOI'!$C$50*'THAM_SO_MOI'!$C$17/'THAM_SO_MOI'!$C$26</f>
        <v>15144.51140722292</v>
      </c>
      <c r="M1562" s="75">
        <f>'THAM_SO_MOI'!$C$15*'THAM_SO_MOI'!$C$16*F1562^2</f>
        <v>115.12652217917862</v>
      </c>
      <c r="N1562" s="75">
        <f>'THAM_SO_MOI'!$C$12*I1562</f>
        <v>1130.112</v>
      </c>
      <c r="O1562" s="75">
        <f>M1562+N1562</f>
        <v>1245.2385221791787</v>
      </c>
      <c r="P1562" s="75">
        <f>(MIN(L1562,'THAM_SO_MOI'!$C$41)-O1562)/('THAM_SO_MOI'!$C$11*H1562)</f>
        <v>0.9633823828066919</v>
      </c>
      <c r="Q1562" s="75">
        <f>IF(P1562&gt;0,1/P1562,NA())</f>
        <v>1.0380094320249322</v>
      </c>
      <c r="R1562" s="75">
        <f>F1562-F1561</f>
        <v>0.0032106047296860396</v>
      </c>
      <c r="S1562" s="75">
        <f>0.5*(Q1561+Q1562)*R1562</f>
        <v>0.0033324372883762597</v>
      </c>
      <c r="T1562" s="75">
        <f>0.5*(F1561*Q1561+F1562*Q1562)*R1562</f>
        <v>0.020901411190492828</v>
      </c>
      <c r="U1562" s="76">
        <f>U1561+S1562</f>
        <v>6.549095202949582</v>
      </c>
      <c r="V1562" s="76">
        <f>V1561+T1562</f>
        <v>24.479099235486405</v>
      </c>
    </row>
    <row r="1563" spans="1:22" ht="19" customHeight="1">
      <c r="A1563" s="68" t="s">
        <v>372</v>
      </c>
      <c r="B1563" s="74">
        <v>2</v>
      </c>
      <c r="C1563" s="68" t="s">
        <v>363</v>
      </c>
      <c r="D1563" s="68" t="s">
        <v>364</v>
      </c>
      <c r="E1563" s="75">
        <f>60*F1563*'THAM_SO_MOI'!$C$50/(2*PI()*'THAM_SO_MOI'!$C$26)</f>
        <v>2517.585415003732</v>
      </c>
      <c r="F1563" s="75">
        <f>'HANH_TRINH'!$F$826+('THAM_SO_MOI'!$F$50-'HANH_TRINH'!$F$826)*736/'THAM_SO_MOI'!$C$42</f>
        <v>6.276925195154752</v>
      </c>
      <c r="G1563" s="75">
        <f>3.6*F1563</f>
        <v>22.59693070255711</v>
      </c>
      <c r="H1563" s="75">
        <f>'THAM_SO_MOI'!$D$50</f>
        <v>1.8785906709588276</v>
      </c>
      <c r="I1563" s="75">
        <f>IF(F1563&gt;'THAM_SO_MOI'!$C$14,'THAM_SO_MOI'!$C$13*(1+F1563^2/1500),'THAM_SO_MOI'!$C$13)</f>
        <v>0.015</v>
      </c>
      <c r="J1563" s="75">
        <f>'THAM_SO_MOI'!$C$40*('THAM_SO_MOI'!$C$23*(E1563/'THAM_SO_MOI'!$C$22)+'THAM_SO_MOI'!$C$24*(E1563/'THAM_SO_MOI'!$C$22)^2-'THAM_SO_MOI'!$C$25*(E1563/'THAM_SO_MOI'!$C$22)^3)</f>
        <v>111.80379740816592</v>
      </c>
      <c r="K1563" s="75">
        <f>'THAM_SO_MOI'!$C$31*J1563/E1563</f>
        <v>424.15604313834535</v>
      </c>
      <c r="L1563" s="75">
        <f>K1563*'THAM_SO_MOI'!$C$50*'THAM_SO_MOI'!$C$17/'THAM_SO_MOI'!$C$26</f>
        <v>15142.949135909716</v>
      </c>
      <c r="M1563" s="75">
        <f>'THAM_SO_MOI'!$C$15*'THAM_SO_MOI'!$C$16*F1563^2</f>
        <v>115.24438547378794</v>
      </c>
      <c r="N1563" s="75">
        <f>'THAM_SO_MOI'!$C$12*I1563</f>
        <v>1130.112</v>
      </c>
      <c r="O1563" s="75">
        <f>M1563+N1563</f>
        <v>1245.3563854737881</v>
      </c>
      <c r="P1563" s="75">
        <f>(MIN(L1563,'THAM_SO_MOI'!$C$41)-O1563)/('THAM_SO_MOI'!$C$11*H1563)</f>
        <v>0.9632659298026175</v>
      </c>
      <c r="Q1563" s="75">
        <f>IF(P1563&gt;0,1/P1563,NA())</f>
        <v>1.0381349210647466</v>
      </c>
      <c r="R1563" s="75">
        <f>F1563-F1562</f>
        <v>0.0032106047296869278</v>
      </c>
      <c r="S1563" s="75">
        <f>0.5*(Q1562+Q1563)*R1563</f>
        <v>0.0033328394397712647</v>
      </c>
      <c r="T1563" s="75">
        <f>0.5*(F1562*Q1562+F1563*Q1563)*R1563</f>
        <v>0.02091463395925611</v>
      </c>
      <c r="U1563" s="76">
        <f>U1562+S1563</f>
        <v>6.552428042389353</v>
      </c>
      <c r="V1563" s="76">
        <f>V1562+T1563</f>
        <v>24.500013869445663</v>
      </c>
    </row>
    <row r="1564" spans="1:22" ht="19" customHeight="1">
      <c r="A1564" s="68" t="s">
        <v>372</v>
      </c>
      <c r="B1564" s="74">
        <v>2</v>
      </c>
      <c r="C1564" s="68" t="s">
        <v>363</v>
      </c>
      <c r="D1564" s="68" t="s">
        <v>364</v>
      </c>
      <c r="E1564" s="75">
        <f>60*F1564*'THAM_SO_MOI'!$C$50/(2*PI()*'THAM_SO_MOI'!$C$26)</f>
        <v>2518.873142894299</v>
      </c>
      <c r="F1564" s="75">
        <f>'HANH_TRINH'!$F$826+('THAM_SO_MOI'!$F$50-'HANH_TRINH'!$F$826)*737/'THAM_SO_MOI'!$C$42</f>
        <v>6.280135799884439</v>
      </c>
      <c r="G1564" s="75">
        <f>3.6*F1564</f>
        <v>22.60848887958398</v>
      </c>
      <c r="H1564" s="75">
        <f>'THAM_SO_MOI'!$D$50</f>
        <v>1.8785906709588276</v>
      </c>
      <c r="I1564" s="75">
        <f>IF(F1564&gt;'THAM_SO_MOI'!$C$14,'THAM_SO_MOI'!$C$13*(1+F1564^2/1500),'THAM_SO_MOI'!$C$13)</f>
        <v>0.015</v>
      </c>
      <c r="J1564" s="75">
        <f>'THAM_SO_MOI'!$C$40*('THAM_SO_MOI'!$C$23*(E1564/'THAM_SO_MOI'!$C$22)+'THAM_SO_MOI'!$C$24*(E1564/'THAM_SO_MOI'!$C$22)^2-'THAM_SO_MOI'!$C$25*(E1564/'THAM_SO_MOI'!$C$22)^3)</f>
        <v>111.84940136649895</v>
      </c>
      <c r="K1564" s="75">
        <f>'THAM_SO_MOI'!$C$31*J1564/E1564</f>
        <v>424.11212283428966</v>
      </c>
      <c r="L1564" s="75">
        <f>K1564*'THAM_SO_MOI'!$C$50*'THAM_SO_MOI'!$C$17/'THAM_SO_MOI'!$C$26</f>
        <v>15141.381121163473</v>
      </c>
      <c r="M1564" s="75">
        <f>'THAM_SO_MOI'!$C$15*'THAM_SO_MOI'!$C$16*F1564^2</f>
        <v>115.36230907009625</v>
      </c>
      <c r="N1564" s="75">
        <f>'THAM_SO_MOI'!$C$12*I1564</f>
        <v>1130.112</v>
      </c>
      <c r="O1564" s="75">
        <f>M1564+N1564</f>
        <v>1245.4743090700963</v>
      </c>
      <c r="P1564" s="75">
        <f>(MIN(L1564,'THAM_SO_MOI'!$C$41)-O1564)/('THAM_SO_MOI'!$C$11*H1564)</f>
        <v>0.9631490745317595</v>
      </c>
      <c r="Q1564" s="75">
        <f>IF(P1564&gt;0,1/P1564,NA())</f>
        <v>1.038260874087592</v>
      </c>
      <c r="R1564" s="75">
        <f>F1564-F1563</f>
        <v>0.0032106047296869278</v>
      </c>
      <c r="S1564" s="75">
        <f>0.5*(Q1563+Q1564)*R1564</f>
        <v>0.0033332430803090733</v>
      </c>
      <c r="T1564" s="75">
        <f>0.5*(F1563*Q1563+F1564*Q1564)*R1564</f>
        <v>0.020927868659947075</v>
      </c>
      <c r="U1564" s="76">
        <f>U1563+S1564</f>
        <v>6.5557612854696625</v>
      </c>
      <c r="V1564" s="76">
        <f>V1563+T1564</f>
        <v>24.52094173810561</v>
      </c>
    </row>
    <row r="1565" spans="1:22" ht="19" customHeight="1">
      <c r="A1565" s="68" t="s">
        <v>372</v>
      </c>
      <c r="B1565" s="74">
        <v>2</v>
      </c>
      <c r="C1565" s="68" t="s">
        <v>363</v>
      </c>
      <c r="D1565" s="68" t="s">
        <v>364</v>
      </c>
      <c r="E1565" s="75">
        <f>60*F1565*'THAM_SO_MOI'!$C$50/(2*PI()*'THAM_SO_MOI'!$C$26)</f>
        <v>2520.160870784865</v>
      </c>
      <c r="F1565" s="75">
        <f>'HANH_TRINH'!$F$826+('THAM_SO_MOI'!$F$50-'HANH_TRINH'!$F$826)*738/'THAM_SO_MOI'!$C$42</f>
        <v>6.283346404614125</v>
      </c>
      <c r="G1565" s="75">
        <f>3.6*F1565</f>
        <v>22.62004705661085</v>
      </c>
      <c r="H1565" s="75">
        <f>'THAM_SO_MOI'!$D$50</f>
        <v>1.8785906709588276</v>
      </c>
      <c r="I1565" s="75">
        <f>IF(F1565&gt;'THAM_SO_MOI'!$C$14,'THAM_SO_MOI'!$C$13*(1+F1565^2/1500),'THAM_SO_MOI'!$C$13)</f>
        <v>0.015</v>
      </c>
      <c r="J1565" s="75">
        <f>'THAM_SO_MOI'!$C$40*('THAM_SO_MOI'!$C$23*(E1565/'THAM_SO_MOI'!$C$22)+'THAM_SO_MOI'!$C$24*(E1565/'THAM_SO_MOI'!$C$22)^2-'THAM_SO_MOI'!$C$25*(E1565/'THAM_SO_MOI'!$C$22)^3)</f>
        <v>111.89495103327542</v>
      </c>
      <c r="K1565" s="75">
        <f>'THAM_SO_MOI'!$C$31*J1565/E1565</f>
        <v>424.06804165590205</v>
      </c>
      <c r="L1565" s="75">
        <f>K1565*'THAM_SO_MOI'!$C$50*'THAM_SO_MOI'!$C$17/'THAM_SO_MOI'!$C$26</f>
        <v>15139.807362984206</v>
      </c>
      <c r="M1565" s="75">
        <f>'THAM_SO_MOI'!$C$15*'THAM_SO_MOI'!$C$16*F1565^2</f>
        <v>115.48029296810348</v>
      </c>
      <c r="N1565" s="75">
        <f>'THAM_SO_MOI'!$C$12*I1565</f>
        <v>1130.112</v>
      </c>
      <c r="O1565" s="75">
        <f>M1565+N1565</f>
        <v>1245.5922929681035</v>
      </c>
      <c r="P1565" s="75">
        <f>(MIN(L1565,'THAM_SO_MOI'!$C$41)-O1565)/('THAM_SO_MOI'!$C$11*H1565)</f>
        <v>0.9630318169941187</v>
      </c>
      <c r="Q1565" s="75">
        <f>IF(P1565&gt;0,1/P1565,NA())</f>
        <v>1.0383872914202035</v>
      </c>
      <c r="R1565" s="75">
        <f>F1565-F1564</f>
        <v>0.0032106047296860396</v>
      </c>
      <c r="S1565" s="75">
        <f>0.5*(Q1564+Q1565)*R1565</f>
        <v>0.003333648211036583</v>
      </c>
      <c r="T1565" s="75">
        <f>0.5*(F1564*Q1564+F1565*Q1565)*R1565</f>
        <v>0.020941115313485213</v>
      </c>
      <c r="U1565" s="76">
        <f>U1564+S1565</f>
        <v>6.559094933680699</v>
      </c>
      <c r="V1565" s="76">
        <f>V1564+T1565</f>
        <v>24.541882853419093</v>
      </c>
    </row>
    <row r="1566" spans="1:22" ht="19" customHeight="1">
      <c r="A1566" s="68" t="s">
        <v>372</v>
      </c>
      <c r="B1566" s="74">
        <v>2</v>
      </c>
      <c r="C1566" s="68" t="s">
        <v>363</v>
      </c>
      <c r="D1566" s="68" t="s">
        <v>364</v>
      </c>
      <c r="E1566" s="75">
        <f>60*F1566*'THAM_SO_MOI'!$C$50/(2*PI()*'THAM_SO_MOI'!$C$26)</f>
        <v>2521.4485986754325</v>
      </c>
      <c r="F1566" s="75">
        <f>'HANH_TRINH'!$F$826+('THAM_SO_MOI'!$F$50-'HANH_TRINH'!$F$826)*739/'THAM_SO_MOI'!$C$42</f>
        <v>6.286557009343813</v>
      </c>
      <c r="G1566" s="75">
        <f>3.6*F1566</f>
        <v>22.63160523363773</v>
      </c>
      <c r="H1566" s="75">
        <f>'THAM_SO_MOI'!$D$50</f>
        <v>1.8785906709588276</v>
      </c>
      <c r="I1566" s="75">
        <f>IF(F1566&gt;'THAM_SO_MOI'!$C$14,'THAM_SO_MOI'!$C$13*(1+F1566^2/1500),'THAM_SO_MOI'!$C$13)</f>
        <v>0.015</v>
      </c>
      <c r="J1566" s="75">
        <f>'THAM_SO_MOI'!$C$40*('THAM_SO_MOI'!$C$23*(E1566/'THAM_SO_MOI'!$C$22)+'THAM_SO_MOI'!$C$24*(E1566/'THAM_SO_MOI'!$C$22)^2-'THAM_SO_MOI'!$C$25*(E1566/'THAM_SO_MOI'!$C$22)^3)</f>
        <v>111.94044634342559</v>
      </c>
      <c r="K1566" s="75">
        <f>'THAM_SO_MOI'!$C$31*J1566/E1566</f>
        <v>424.02379960318194</v>
      </c>
      <c r="L1566" s="75">
        <f>K1566*'THAM_SO_MOI'!$C$50*'THAM_SO_MOI'!$C$17/'THAM_SO_MOI'!$C$26</f>
        <v>15138.227861371894</v>
      </c>
      <c r="M1566" s="75">
        <f>'THAM_SO_MOI'!$C$15*'THAM_SO_MOI'!$C$16*F1566^2</f>
        <v>115.59833716780976</v>
      </c>
      <c r="N1566" s="75">
        <f>'THAM_SO_MOI'!$C$12*I1566</f>
        <v>1130.112</v>
      </c>
      <c r="O1566" s="75">
        <f>M1566+N1566</f>
        <v>1245.71033716781</v>
      </c>
      <c r="P1566" s="75">
        <f>(MIN(L1566,'THAM_SO_MOI'!$C$41)-O1566)/('THAM_SO_MOI'!$C$11*H1566)</f>
        <v>0.9629141571896933</v>
      </c>
      <c r="Q1566" s="75">
        <f>IF(P1566&gt;0,1/P1566,NA())</f>
        <v>1.038514173390641</v>
      </c>
      <c r="R1566" s="75">
        <f>F1566-F1565</f>
        <v>0.003210604729687816</v>
      </c>
      <c r="S1566" s="75">
        <f>0.5*(Q1565+Q1566)*R1566</f>
        <v>0.003334054833008625</v>
      </c>
      <c r="T1566" s="75">
        <f>0.5*(F1565*Q1565+F1566*Q1566)*R1566</f>
        <v>0.020954373940853328</v>
      </c>
      <c r="U1566" s="76">
        <f>U1565+S1566</f>
        <v>6.562428988513708</v>
      </c>
      <c r="V1566" s="76">
        <f>V1565+T1566</f>
        <v>24.562837227359946</v>
      </c>
    </row>
    <row r="1567" spans="1:22" ht="19" customHeight="1">
      <c r="A1567" s="68" t="s">
        <v>372</v>
      </c>
      <c r="B1567" s="74">
        <v>2</v>
      </c>
      <c r="C1567" s="68" t="s">
        <v>363</v>
      </c>
      <c r="D1567" s="68" t="s">
        <v>364</v>
      </c>
      <c r="E1567" s="75">
        <f>60*F1567*'THAM_SO_MOI'!$C$50/(2*PI()*'THAM_SO_MOI'!$C$26)</f>
        <v>2522.7363265659988</v>
      </c>
      <c r="F1567" s="75">
        <f>'HANH_TRINH'!$F$826+('THAM_SO_MOI'!$F$50-'HANH_TRINH'!$F$826)*740/'THAM_SO_MOI'!$C$42</f>
        <v>6.289767614073499</v>
      </c>
      <c r="G1567" s="75">
        <f>3.6*F1567</f>
        <v>22.6431634106646</v>
      </c>
      <c r="H1567" s="75">
        <f>'THAM_SO_MOI'!$D$50</f>
        <v>1.8785906709588276</v>
      </c>
      <c r="I1567" s="75">
        <f>IF(F1567&gt;'THAM_SO_MOI'!$C$14,'THAM_SO_MOI'!$C$13*(1+F1567^2/1500),'THAM_SO_MOI'!$C$13)</f>
        <v>0.015</v>
      </c>
      <c r="J1567" s="75">
        <f>'THAM_SO_MOI'!$C$40*('THAM_SO_MOI'!$C$23*(E1567/'THAM_SO_MOI'!$C$22)+'THAM_SO_MOI'!$C$24*(E1567/'THAM_SO_MOI'!$C$22)^2-'THAM_SO_MOI'!$C$25*(E1567/'THAM_SO_MOI'!$C$22)^3)</f>
        <v>111.98588723187969</v>
      </c>
      <c r="K1567" s="75">
        <f>'THAM_SO_MOI'!$C$31*J1567/E1567</f>
        <v>423.9793966761297</v>
      </c>
      <c r="L1567" s="75">
        <f>K1567*'THAM_SO_MOI'!$C$50*'THAM_SO_MOI'!$C$17/'THAM_SO_MOI'!$C$26</f>
        <v>15136.642616326548</v>
      </c>
      <c r="M1567" s="75">
        <f>'THAM_SO_MOI'!$C$15*'THAM_SO_MOI'!$C$16*F1567^2</f>
        <v>115.71644166921494</v>
      </c>
      <c r="N1567" s="75">
        <f>'THAM_SO_MOI'!$C$12*I1567</f>
        <v>1130.112</v>
      </c>
      <c r="O1567" s="75">
        <f>M1567+N1567</f>
        <v>1245.828441669215</v>
      </c>
      <c r="P1567" s="75">
        <f>(MIN(L1567,'THAM_SO_MOI'!$C$41)-O1567)/('THAM_SO_MOI'!$C$11*H1567)</f>
        <v>0.9627960951184847</v>
      </c>
      <c r="Q1567" s="75">
        <f>IF(P1567&gt;0,1/P1567,NA())</f>
        <v>1.038641520328286</v>
      </c>
      <c r="R1567" s="75">
        <f>F1567-F1566</f>
        <v>0.0032106047296860396</v>
      </c>
      <c r="S1567" s="75">
        <f>0.5*(Q1566+Q1567)*R1567</f>
        <v>0.003334462947274137</v>
      </c>
      <c r="T1567" s="75">
        <f>0.5*(F1566*Q1566+F1567*Q1567)*R1567</f>
        <v>0.0209676445630107</v>
      </c>
      <c r="U1567" s="76">
        <f>U1566+S1567</f>
        <v>6.565763451460982</v>
      </c>
      <c r="V1567" s="76">
        <f>V1566+T1567</f>
        <v>24.583804871922958</v>
      </c>
    </row>
    <row r="1568" spans="1:22" ht="19" customHeight="1">
      <c r="A1568" s="68" t="s">
        <v>372</v>
      </c>
      <c r="B1568" s="74">
        <v>2</v>
      </c>
      <c r="C1568" s="68" t="s">
        <v>363</v>
      </c>
      <c r="D1568" s="68" t="s">
        <v>364</v>
      </c>
      <c r="E1568" s="75">
        <f>60*F1568*'THAM_SO_MOI'!$C$50/(2*PI()*'THAM_SO_MOI'!$C$26)</f>
        <v>2524.024054456566</v>
      </c>
      <c r="F1568" s="75">
        <f>'HANH_TRINH'!$F$826+('THAM_SO_MOI'!$F$50-'HANH_TRINH'!$F$826)*741/'THAM_SO_MOI'!$C$42</f>
        <v>6.292978218803187</v>
      </c>
      <c r="G1568" s="75">
        <f>3.6*F1568</f>
        <v>22.654721587691473</v>
      </c>
      <c r="H1568" s="75">
        <f>'THAM_SO_MOI'!$D$50</f>
        <v>1.8785906709588276</v>
      </c>
      <c r="I1568" s="75">
        <f>IF(F1568&gt;'THAM_SO_MOI'!$C$14,'THAM_SO_MOI'!$C$13*(1+F1568^2/1500),'THAM_SO_MOI'!$C$13)</f>
        <v>0.015</v>
      </c>
      <c r="J1568" s="75">
        <f>'THAM_SO_MOI'!$C$40*('THAM_SO_MOI'!$C$23*(E1568/'THAM_SO_MOI'!$C$22)+'THAM_SO_MOI'!$C$24*(E1568/'THAM_SO_MOI'!$C$22)^2-'THAM_SO_MOI'!$C$25*(E1568/'THAM_SO_MOI'!$C$22)^3)</f>
        <v>112.03127363356808</v>
      </c>
      <c r="K1568" s="75">
        <f>'THAM_SO_MOI'!$C$31*J1568/E1568</f>
        <v>423.93483287474504</v>
      </c>
      <c r="L1568" s="75">
        <f>K1568*'THAM_SO_MOI'!$C$50*'THAM_SO_MOI'!$C$17/'THAM_SO_MOI'!$C$26</f>
        <v>15135.051627848165</v>
      </c>
      <c r="M1568" s="75">
        <f>'THAM_SO_MOI'!$C$15*'THAM_SO_MOI'!$C$16*F1568^2</f>
        <v>115.83460647231915</v>
      </c>
      <c r="N1568" s="75">
        <f>'THAM_SO_MOI'!$C$12*I1568</f>
        <v>1130.112</v>
      </c>
      <c r="O1568" s="75">
        <f>M1568+N1568</f>
        <v>1245.9466064723192</v>
      </c>
      <c r="P1568" s="75">
        <f>(MIN(L1568,'THAM_SO_MOI'!$C$41)-O1568)/('THAM_SO_MOI'!$C$11*H1568)</f>
        <v>0.9626776307804926</v>
      </c>
      <c r="Q1568" s="75">
        <f>IF(P1568&gt;0,1/P1568,NA())</f>
        <v>1.0387693325638492</v>
      </c>
      <c r="R1568" s="75">
        <f>F1568-F1567</f>
        <v>0.003210604729687816</v>
      </c>
      <c r="S1568" s="75">
        <f>0.5*(Q1567+Q1568)*R1568</f>
        <v>0.0033348725549001445</v>
      </c>
      <c r="T1568" s="75">
        <f>0.5*(F1567*Q1567+F1568*Q1568)*R1568</f>
        <v>0.020980927201043886</v>
      </c>
      <c r="U1568" s="76">
        <f>U1567+S1568</f>
        <v>6.569098324015882</v>
      </c>
      <c r="V1568" s="76">
        <f>V1567+T1568</f>
        <v>24.604785799124002</v>
      </c>
    </row>
    <row r="1569" spans="1:22" ht="19" customHeight="1">
      <c r="A1569" s="68" t="s">
        <v>372</v>
      </c>
      <c r="B1569" s="74">
        <v>2</v>
      </c>
      <c r="C1569" s="68" t="s">
        <v>363</v>
      </c>
      <c r="D1569" s="68" t="s">
        <v>364</v>
      </c>
      <c r="E1569" s="75">
        <f>60*F1569*'THAM_SO_MOI'!$C$50/(2*PI()*'THAM_SO_MOI'!$C$26)</f>
        <v>2525.311782347132</v>
      </c>
      <c r="F1569" s="75">
        <f>'HANH_TRINH'!$F$826+('THAM_SO_MOI'!$F$50-'HANH_TRINH'!$F$826)*742/'THAM_SO_MOI'!$C$42</f>
        <v>6.296188823532873</v>
      </c>
      <c r="G1569" s="75">
        <f>3.6*F1569</f>
        <v>22.666279764718343</v>
      </c>
      <c r="H1569" s="75">
        <f>'THAM_SO_MOI'!$D$50</f>
        <v>1.8785906709588276</v>
      </c>
      <c r="I1569" s="75">
        <f>IF(F1569&gt;'THAM_SO_MOI'!$C$14,'THAM_SO_MOI'!$C$13*(1+F1569^2/1500),'THAM_SO_MOI'!$C$13)</f>
        <v>0.015</v>
      </c>
      <c r="J1569" s="75">
        <f>'THAM_SO_MOI'!$C$40*('THAM_SO_MOI'!$C$23*(E1569/'THAM_SO_MOI'!$C$22)+'THAM_SO_MOI'!$C$24*(E1569/'THAM_SO_MOI'!$C$22)^2-'THAM_SO_MOI'!$C$25*(E1569/'THAM_SO_MOI'!$C$22)^3)</f>
        <v>112.07660548342109</v>
      </c>
      <c r="K1569" s="75">
        <f>'THAM_SO_MOI'!$C$31*J1569/E1569</f>
        <v>423.89010819902836</v>
      </c>
      <c r="L1569" s="75">
        <f>K1569*'THAM_SO_MOI'!$C$50*'THAM_SO_MOI'!$C$17/'THAM_SO_MOI'!$C$26</f>
        <v>15133.454895936753</v>
      </c>
      <c r="M1569" s="75">
        <f>'THAM_SO_MOI'!$C$15*'THAM_SO_MOI'!$C$16*F1569^2</f>
        <v>115.95283157712228</v>
      </c>
      <c r="N1569" s="75">
        <f>'THAM_SO_MOI'!$C$12*I1569</f>
        <v>1130.112</v>
      </c>
      <c r="O1569" s="75">
        <f>M1569+N1569</f>
        <v>1246.0648315771223</v>
      </c>
      <c r="P1569" s="75">
        <f>(MIN(L1569,'THAM_SO_MOI'!$C$41)-O1569)/('THAM_SO_MOI'!$C$11*H1569)</f>
        <v>0.9625587641757172</v>
      </c>
      <c r="Q1569" s="75">
        <f>IF(P1569&gt;0,1/P1569,NA())</f>
        <v>1.03889761042937</v>
      </c>
      <c r="R1569" s="75">
        <f>F1569-F1568</f>
        <v>0.0032106047296860396</v>
      </c>
      <c r="S1569" s="75">
        <f>0.5*(Q1568+Q1569)*R1569</f>
        <v>0.0033352836569431827</v>
      </c>
      <c r="T1569" s="75">
        <f>0.5*(F1568*Q1568+F1569*Q1569)*R1569</f>
        <v>0.020994221875987106</v>
      </c>
      <c r="U1569" s="76">
        <f>U1568+S1569</f>
        <v>6.572433607672825</v>
      </c>
      <c r="V1569" s="76">
        <f>V1568+T1569</f>
        <v>24.62578002099999</v>
      </c>
    </row>
    <row r="1570" spans="1:22" ht="19" customHeight="1">
      <c r="A1570" s="68" t="s">
        <v>372</v>
      </c>
      <c r="B1570" s="74">
        <v>2</v>
      </c>
      <c r="C1570" s="68" t="s">
        <v>363</v>
      </c>
      <c r="D1570" s="68" t="s">
        <v>364</v>
      </c>
      <c r="E1570" s="75">
        <f>60*F1570*'THAM_SO_MOI'!$C$50/(2*PI()*'THAM_SO_MOI'!$C$26)</f>
        <v>2526.5995102376987</v>
      </c>
      <c r="F1570" s="75">
        <f>'HANH_TRINH'!$F$826+('THAM_SO_MOI'!$F$50-'HANH_TRINH'!$F$826)*743/'THAM_SO_MOI'!$C$42</f>
        <v>6.29939942826256</v>
      </c>
      <c r="G1570" s="75">
        <f>3.6*F1570</f>
        <v>22.677837941745217</v>
      </c>
      <c r="H1570" s="75">
        <f>'THAM_SO_MOI'!$D$50</f>
        <v>1.8785906709588276</v>
      </c>
      <c r="I1570" s="75">
        <f>IF(F1570&gt;'THAM_SO_MOI'!$C$14,'THAM_SO_MOI'!$C$13*(1+F1570^2/1500),'THAM_SO_MOI'!$C$13)</f>
        <v>0.015</v>
      </c>
      <c r="J1570" s="75">
        <f>'THAM_SO_MOI'!$C$40*('THAM_SO_MOI'!$C$23*(E1570/'THAM_SO_MOI'!$C$22)+'THAM_SO_MOI'!$C$24*(E1570/'THAM_SO_MOI'!$C$22)^2-'THAM_SO_MOI'!$C$25*(E1570/'THAM_SO_MOI'!$C$22)^3)</f>
        <v>112.12188271636896</v>
      </c>
      <c r="K1570" s="75">
        <f>'THAM_SO_MOI'!$C$31*J1570/E1570</f>
        <v>423.84522264897925</v>
      </c>
      <c r="L1570" s="75">
        <f>K1570*'THAM_SO_MOI'!$C$50*'THAM_SO_MOI'!$C$17/'THAM_SO_MOI'!$C$26</f>
        <v>15131.852420592297</v>
      </c>
      <c r="M1570" s="75">
        <f>'THAM_SO_MOI'!$C$15*'THAM_SO_MOI'!$C$16*F1570^2</f>
        <v>116.07111698362439</v>
      </c>
      <c r="N1570" s="75">
        <f>'THAM_SO_MOI'!$C$12*I1570</f>
        <v>1130.112</v>
      </c>
      <c r="O1570" s="75">
        <f>M1570+N1570</f>
        <v>1246.1831169836246</v>
      </c>
      <c r="P1570" s="75">
        <f>(MIN(L1570,'THAM_SO_MOI'!$C$41)-O1570)/('THAM_SO_MOI'!$C$11*H1570)</f>
        <v>0.9624394953041575</v>
      </c>
      <c r="Q1570" s="75">
        <f>IF(P1570&gt;0,1/P1570,NA())</f>
        <v>1.0390263542582199</v>
      </c>
      <c r="R1570" s="75">
        <f>F1570-F1569</f>
        <v>0.0032106047296869278</v>
      </c>
      <c r="S1570" s="75">
        <f>0.5*(Q1569+Q1570)*R1570</f>
        <v>0.003335696254477894</v>
      </c>
      <c r="T1570" s="75">
        <f>0.5*(F1569*Q1569+F1570*Q1570)*R1570</f>
        <v>0.02100752860900219</v>
      </c>
      <c r="U1570" s="76">
        <f>U1569+S1570</f>
        <v>6.575769303927303</v>
      </c>
      <c r="V1570" s="76">
        <f>V1569+T1570</f>
        <v>24.64678754960899</v>
      </c>
    </row>
    <row r="1571" spans="1:22" ht="19" customHeight="1">
      <c r="A1571" s="68" t="s">
        <v>372</v>
      </c>
      <c r="B1571" s="74">
        <v>2</v>
      </c>
      <c r="C1571" s="68" t="s">
        <v>363</v>
      </c>
      <c r="D1571" s="68" t="s">
        <v>364</v>
      </c>
      <c r="E1571" s="75">
        <f>60*F1571*'THAM_SO_MOI'!$C$50/(2*PI()*'THAM_SO_MOI'!$C$26)</f>
        <v>2527.8872381282654</v>
      </c>
      <c r="F1571" s="75">
        <f>'HANH_TRINH'!$F$826+('THAM_SO_MOI'!$F$50-'HANH_TRINH'!$F$826)*744/'THAM_SO_MOI'!$C$42</f>
        <v>6.302610032992247</v>
      </c>
      <c r="G1571" s="75">
        <f>3.6*F1571</f>
        <v>22.689396118772088</v>
      </c>
      <c r="H1571" s="75">
        <f>'THAM_SO_MOI'!$D$50</f>
        <v>1.8785906709588276</v>
      </c>
      <c r="I1571" s="75">
        <f>IF(F1571&gt;'THAM_SO_MOI'!$C$14,'THAM_SO_MOI'!$C$13*(1+F1571^2/1500),'THAM_SO_MOI'!$C$13)</f>
        <v>0.015</v>
      </c>
      <c r="J1571" s="75">
        <f>'THAM_SO_MOI'!$C$40*('THAM_SO_MOI'!$C$23*(E1571/'THAM_SO_MOI'!$C$22)+'THAM_SO_MOI'!$C$24*(E1571/'THAM_SO_MOI'!$C$22)^2-'THAM_SO_MOI'!$C$25*(E1571/'THAM_SO_MOI'!$C$22)^3)</f>
        <v>112.16710526734205</v>
      </c>
      <c r="K1571" s="75">
        <f>'THAM_SO_MOI'!$C$31*J1571/E1571</f>
        <v>423.8001762245979</v>
      </c>
      <c r="L1571" s="75">
        <f>K1571*'THAM_SO_MOI'!$C$50*'THAM_SO_MOI'!$C$17/'THAM_SO_MOI'!$C$26</f>
        <v>15130.244201814805</v>
      </c>
      <c r="M1571" s="75">
        <f>'THAM_SO_MOI'!$C$15*'THAM_SO_MOI'!$C$16*F1571^2</f>
        <v>116.18946269182551</v>
      </c>
      <c r="N1571" s="75">
        <f>'THAM_SO_MOI'!$C$12*I1571</f>
        <v>1130.112</v>
      </c>
      <c r="O1571" s="75">
        <f>M1571+N1571</f>
        <v>1246.3014626918257</v>
      </c>
      <c r="P1571" s="75">
        <f>(MIN(L1571,'THAM_SO_MOI'!$C$41)-O1571)/('THAM_SO_MOI'!$C$11*H1571)</f>
        <v>0.9623198241658143</v>
      </c>
      <c r="Q1571" s="75">
        <f>IF(P1571&gt;0,1/P1571,NA())</f>
        <v>1.0391555643851031</v>
      </c>
      <c r="R1571" s="75">
        <f>F1571-F1570</f>
        <v>0.0032106047296869278</v>
      </c>
      <c r="S1571" s="75">
        <f>0.5*(Q1570+Q1571)*R1571</f>
        <v>0.0033361103485730534</v>
      </c>
      <c r="T1571" s="75">
        <f>0.5*(F1570*Q1570+F1571*Q1571)*R1571</f>
        <v>0.021020847421227784</v>
      </c>
      <c r="U1571" s="76">
        <f>U1570+S1571</f>
        <v>6.579105414275876</v>
      </c>
      <c r="V1571" s="76">
        <f>V1570+T1571</f>
        <v>24.667808397030218</v>
      </c>
    </row>
    <row r="1572" spans="1:22" ht="19" customHeight="1">
      <c r="A1572" s="68" t="s">
        <v>372</v>
      </c>
      <c r="B1572" s="74">
        <v>2</v>
      </c>
      <c r="C1572" s="68" t="s">
        <v>363</v>
      </c>
      <c r="D1572" s="68" t="s">
        <v>364</v>
      </c>
      <c r="E1572" s="75">
        <f>60*F1572*'THAM_SO_MOI'!$C$50/(2*PI()*'THAM_SO_MOI'!$C$26)</f>
        <v>2529.174966018832</v>
      </c>
      <c r="F1572" s="75">
        <f>'HANH_TRINH'!$F$826+('THAM_SO_MOI'!$F$50-'HANH_TRINH'!$F$826)*745/'THAM_SO_MOI'!$C$42</f>
        <v>6.305820637721933</v>
      </c>
      <c r="G1572" s="75">
        <f>3.6*F1572</f>
        <v>22.700954295798958</v>
      </c>
      <c r="H1572" s="75">
        <f>'THAM_SO_MOI'!$D$50</f>
        <v>1.8785906709588276</v>
      </c>
      <c r="I1572" s="75">
        <f>IF(F1572&gt;'THAM_SO_MOI'!$C$14,'THAM_SO_MOI'!$C$13*(1+F1572^2/1500),'THAM_SO_MOI'!$C$13)</f>
        <v>0.015</v>
      </c>
      <c r="J1572" s="75">
        <f>'THAM_SO_MOI'!$C$40*('THAM_SO_MOI'!$C$23*(E1572/'THAM_SO_MOI'!$C$22)+'THAM_SO_MOI'!$C$24*(E1572/'THAM_SO_MOI'!$C$22)^2-'THAM_SO_MOI'!$C$25*(E1572/'THAM_SO_MOI'!$C$22)^3)</f>
        <v>112.21227307127063</v>
      </c>
      <c r="K1572" s="75">
        <f>'THAM_SO_MOI'!$C$31*J1572/E1572</f>
        <v>423.75496892588444</v>
      </c>
      <c r="L1572" s="75">
        <f>K1572*'THAM_SO_MOI'!$C$50*'THAM_SO_MOI'!$C$17/'THAM_SO_MOI'!$C$26</f>
        <v>15128.630239604281</v>
      </c>
      <c r="M1572" s="75">
        <f>'THAM_SO_MOI'!$C$15*'THAM_SO_MOI'!$C$16*F1572^2</f>
        <v>116.30786870172555</v>
      </c>
      <c r="N1572" s="75">
        <f>'THAM_SO_MOI'!$C$12*I1572</f>
        <v>1130.112</v>
      </c>
      <c r="O1572" s="75">
        <f>M1572+N1572</f>
        <v>1246.4198687017256</v>
      </c>
      <c r="P1572" s="75">
        <f>(MIN(L1572,'THAM_SO_MOI'!$C$41)-O1572)/('THAM_SO_MOI'!$C$11*H1572)</f>
        <v>0.9621997507606876</v>
      </c>
      <c r="Q1572" s="75">
        <f>IF(P1572&gt;0,1/P1572,NA())</f>
        <v>1.0392852411460598</v>
      </c>
      <c r="R1572" s="75">
        <f>F1572-F1571</f>
        <v>0.0032106047296860396</v>
      </c>
      <c r="S1572" s="75">
        <f>0.5*(Q1571+Q1572)*R1572</f>
        <v>0.0033365259403054072</v>
      </c>
      <c r="T1572" s="75">
        <f>0.5*(F1571*Q1571+F1572*Q1572)*R1572</f>
        <v>0.021034178333866532</v>
      </c>
      <c r="U1572" s="76">
        <f>U1571+S1572</f>
        <v>6.582441940216182</v>
      </c>
      <c r="V1572" s="76">
        <f>V1571+T1572</f>
        <v>24.688842575364085</v>
      </c>
    </row>
    <row r="1573" spans="1:22" ht="19" customHeight="1">
      <c r="A1573" s="68" t="s">
        <v>372</v>
      </c>
      <c r="B1573" s="74">
        <v>2</v>
      </c>
      <c r="C1573" s="68" t="s">
        <v>363</v>
      </c>
      <c r="D1573" s="68" t="s">
        <v>364</v>
      </c>
      <c r="E1573" s="75">
        <f>60*F1573*'THAM_SO_MOI'!$C$50/(2*PI()*'THAM_SO_MOI'!$C$26)</f>
        <v>2530.462693909399</v>
      </c>
      <c r="F1573" s="75">
        <f>'HANH_TRINH'!$F$826+('THAM_SO_MOI'!$F$50-'HANH_TRINH'!$F$826)*746/'THAM_SO_MOI'!$C$42</f>
        <v>6.309031242451621</v>
      </c>
      <c r="G1573" s="75">
        <f>3.6*F1573</f>
        <v>22.712512472825836</v>
      </c>
      <c r="H1573" s="75">
        <f>'THAM_SO_MOI'!$D$50</f>
        <v>1.8785906709588276</v>
      </c>
      <c r="I1573" s="75">
        <f>IF(F1573&gt;'THAM_SO_MOI'!$C$14,'THAM_SO_MOI'!$C$13*(1+F1573^2/1500),'THAM_SO_MOI'!$C$13)</f>
        <v>0.015</v>
      </c>
      <c r="J1573" s="75">
        <f>'THAM_SO_MOI'!$C$40*('THAM_SO_MOI'!$C$23*(E1573/'THAM_SO_MOI'!$C$22)+'THAM_SO_MOI'!$C$24*(E1573/'THAM_SO_MOI'!$C$22)^2-'THAM_SO_MOI'!$C$25*(E1573/'THAM_SO_MOI'!$C$22)^3)</f>
        <v>112.25738606308502</v>
      </c>
      <c r="K1573" s="75">
        <f>'THAM_SO_MOI'!$C$31*J1573/E1573</f>
        <v>423.70960075283864</v>
      </c>
      <c r="L1573" s="75">
        <f>K1573*'THAM_SO_MOI'!$C$50*'THAM_SO_MOI'!$C$17/'THAM_SO_MOI'!$C$26</f>
        <v>15127.010533960722</v>
      </c>
      <c r="M1573" s="75">
        <f>'THAM_SO_MOI'!$C$15*'THAM_SO_MOI'!$C$16*F1573^2</f>
        <v>116.42633501332463</v>
      </c>
      <c r="N1573" s="75">
        <f>'THAM_SO_MOI'!$C$12*I1573</f>
        <v>1130.112</v>
      </c>
      <c r="O1573" s="75">
        <f>M1573+N1573</f>
        <v>1246.5383350133247</v>
      </c>
      <c r="P1573" s="75">
        <f>(MIN(L1573,'THAM_SO_MOI'!$C$41)-O1573)/('THAM_SO_MOI'!$C$11*H1573)</f>
        <v>0.9620792750887777</v>
      </c>
      <c r="Q1573" s="75">
        <f>IF(P1573&gt;0,1/P1573,NA())</f>
        <v>1.0394153848784686</v>
      </c>
      <c r="R1573" s="75">
        <f>F1573-F1572</f>
        <v>0.003210604729687816</v>
      </c>
      <c r="S1573" s="75">
        <f>0.5*(Q1572+Q1573)*R1573</f>
        <v>0.003336943030759688</v>
      </c>
      <c r="T1573" s="75">
        <f>0.5*(F1572*Q1572+F1573*Q1573)*R1573</f>
        <v>0.021047521368185277</v>
      </c>
      <c r="U1573" s="76">
        <f>U1572+S1573</f>
        <v>6.585778883246941</v>
      </c>
      <c r="V1573" s="76">
        <f>V1572+T1573</f>
        <v>24.70989009673227</v>
      </c>
    </row>
    <row r="1574" spans="1:22" ht="19" customHeight="1">
      <c r="A1574" s="68" t="s">
        <v>372</v>
      </c>
      <c r="B1574" s="74">
        <v>2</v>
      </c>
      <c r="C1574" s="68" t="s">
        <v>363</v>
      </c>
      <c r="D1574" s="68" t="s">
        <v>364</v>
      </c>
      <c r="E1574" s="75">
        <f>60*F1574*'THAM_SO_MOI'!$C$50/(2*PI()*'THAM_SO_MOI'!$C$26)</f>
        <v>2531.7504217999654</v>
      </c>
      <c r="F1574" s="75">
        <f>'HANH_TRINH'!$F$826+('THAM_SO_MOI'!$F$50-'HANH_TRINH'!$F$826)*747/'THAM_SO_MOI'!$C$42</f>
        <v>6.312241847181307</v>
      </c>
      <c r="G1574" s="75">
        <f>3.6*F1574</f>
        <v>22.724070649852706</v>
      </c>
      <c r="H1574" s="75">
        <f>'THAM_SO_MOI'!$D$50</f>
        <v>1.8785906709588276</v>
      </c>
      <c r="I1574" s="75">
        <f>IF(F1574&gt;'THAM_SO_MOI'!$C$14,'THAM_SO_MOI'!$C$13*(1+F1574^2/1500),'THAM_SO_MOI'!$C$13)</f>
        <v>0.015</v>
      </c>
      <c r="J1574" s="75">
        <f>'THAM_SO_MOI'!$C$40*('THAM_SO_MOI'!$C$23*(E1574/'THAM_SO_MOI'!$C$22)+'THAM_SO_MOI'!$C$24*(E1574/'THAM_SO_MOI'!$C$22)^2-'THAM_SO_MOI'!$C$25*(E1574/'THAM_SO_MOI'!$C$22)^3)</f>
        <v>112.30244417771547</v>
      </c>
      <c r="K1574" s="75">
        <f>'THAM_SO_MOI'!$C$31*J1574/E1574</f>
        <v>423.66407170546063</v>
      </c>
      <c r="L1574" s="75">
        <f>K1574*'THAM_SO_MOI'!$C$50*'THAM_SO_MOI'!$C$17/'THAM_SO_MOI'!$C$26</f>
        <v>15125.385084884127</v>
      </c>
      <c r="M1574" s="75">
        <f>'THAM_SO_MOI'!$C$15*'THAM_SO_MOI'!$C$16*F1574^2</f>
        <v>116.54486162662262</v>
      </c>
      <c r="N1574" s="75">
        <f>'THAM_SO_MOI'!$C$12*I1574</f>
        <v>1130.112</v>
      </c>
      <c r="O1574" s="75">
        <f>M1574+N1574</f>
        <v>1246.6568616266227</v>
      </c>
      <c r="P1574" s="75">
        <f>(MIN(L1574,'THAM_SO_MOI'!$C$41)-O1574)/('THAM_SO_MOI'!$C$11*H1574)</f>
        <v>0.9619583971500839</v>
      </c>
      <c r="Q1574" s="75">
        <f>IF(P1574&gt;0,1/P1574,NA())</f>
        <v>1.0395459959210491</v>
      </c>
      <c r="R1574" s="75">
        <f>F1574-F1573</f>
        <v>0.0032106047296860396</v>
      </c>
      <c r="S1574" s="75">
        <f>0.5*(Q1573+Q1574)*R1574</f>
        <v>0.0033373616210147757</v>
      </c>
      <c r="T1574" s="75">
        <f>0.5*(F1573*Q1573+F1574*Q1574)*R1574</f>
        <v>0.021060876545427848</v>
      </c>
      <c r="U1574" s="76">
        <f>U1573+S1574</f>
        <v>6.589116244867956</v>
      </c>
      <c r="V1574" s="76">
        <f>V1573+T1574</f>
        <v>24.730950973277697</v>
      </c>
    </row>
    <row r="1575" spans="1:22" ht="19" customHeight="1">
      <c r="A1575" s="68" t="s">
        <v>372</v>
      </c>
      <c r="B1575" s="74">
        <v>2</v>
      </c>
      <c r="C1575" s="68" t="s">
        <v>363</v>
      </c>
      <c r="D1575" s="68" t="s">
        <v>364</v>
      </c>
      <c r="E1575" s="75">
        <f>60*F1575*'THAM_SO_MOI'!$C$50/(2*PI()*'THAM_SO_MOI'!$C$26)</f>
        <v>2533.0381496905325</v>
      </c>
      <c r="F1575" s="75">
        <f>'HANH_TRINH'!$F$826+('THAM_SO_MOI'!$F$50-'HANH_TRINH'!$F$826)*748/'THAM_SO_MOI'!$C$42</f>
        <v>6.3154524519109945</v>
      </c>
      <c r="G1575" s="75">
        <f>3.6*F1575</f>
        <v>22.73562882687958</v>
      </c>
      <c r="H1575" s="75">
        <f>'THAM_SO_MOI'!$D$50</f>
        <v>1.8785906709588276</v>
      </c>
      <c r="I1575" s="75">
        <f>IF(F1575&gt;'THAM_SO_MOI'!$C$14,'THAM_SO_MOI'!$C$13*(1+F1575^2/1500),'THAM_SO_MOI'!$C$13)</f>
        <v>0.015</v>
      </c>
      <c r="J1575" s="75">
        <f>'THAM_SO_MOI'!$C$40*('THAM_SO_MOI'!$C$23*(E1575/'THAM_SO_MOI'!$C$22)+'THAM_SO_MOI'!$C$24*(E1575/'THAM_SO_MOI'!$C$22)^2-'THAM_SO_MOI'!$C$25*(E1575/'THAM_SO_MOI'!$C$22)^3)</f>
        <v>112.34744735009232</v>
      </c>
      <c r="K1575" s="75">
        <f>'THAM_SO_MOI'!$C$31*J1575/E1575</f>
        <v>423.61838178375024</v>
      </c>
      <c r="L1575" s="75">
        <f>K1575*'THAM_SO_MOI'!$C$50*'THAM_SO_MOI'!$C$17/'THAM_SO_MOI'!$C$26</f>
        <v>15123.753892374489</v>
      </c>
      <c r="M1575" s="75">
        <f>'THAM_SO_MOI'!$C$15*'THAM_SO_MOI'!$C$16*F1575^2</f>
        <v>116.66344854161963</v>
      </c>
      <c r="N1575" s="75">
        <f>'THAM_SO_MOI'!$C$12*I1575</f>
        <v>1130.112</v>
      </c>
      <c r="O1575" s="75">
        <f>M1575+N1575</f>
        <v>1246.7754485416197</v>
      </c>
      <c r="P1575" s="75">
        <f>(MIN(L1575,'THAM_SO_MOI'!$C$41)-O1575)/('THAM_SO_MOI'!$C$11*H1575)</f>
        <v>0.9618371169446058</v>
      </c>
      <c r="Q1575" s="75">
        <f>IF(P1575&gt;0,1/P1575,NA())</f>
        <v>1.0396770746138633</v>
      </c>
      <c r="R1575" s="75">
        <f>F1575-F1574</f>
        <v>0.003210604729687816</v>
      </c>
      <c r="S1575" s="75">
        <f>0.5*(Q1574+Q1575)*R1575</f>
        <v>0.0033377817121677065</v>
      </c>
      <c r="T1575" s="75">
        <f>0.5*(F1574*Q1574+F1575*Q1575)*R1575</f>
        <v>0.02107424388696657</v>
      </c>
      <c r="U1575" s="76">
        <f>U1574+S1575</f>
        <v>6.592454026580124</v>
      </c>
      <c r="V1575" s="76">
        <f>V1574+T1575</f>
        <v>24.752025217164665</v>
      </c>
    </row>
    <row r="1576" spans="1:22" ht="19" customHeight="1">
      <c r="A1576" s="68" t="s">
        <v>372</v>
      </c>
      <c r="B1576" s="74">
        <v>2</v>
      </c>
      <c r="C1576" s="68" t="s">
        <v>363</v>
      </c>
      <c r="D1576" s="68" t="s">
        <v>364</v>
      </c>
      <c r="E1576" s="75">
        <f>60*F1576*'THAM_SO_MOI'!$C$50/(2*PI()*'THAM_SO_MOI'!$C$26)</f>
        <v>2534.325877581099</v>
      </c>
      <c r="F1576" s="75">
        <f>'HANH_TRINH'!$F$826+('THAM_SO_MOI'!$F$50-'HANH_TRINH'!$F$826)*749/'THAM_SO_MOI'!$C$42</f>
        <v>6.3186630566406805</v>
      </c>
      <c r="G1576" s="75">
        <f>3.6*F1576</f>
        <v>22.74718700390645</v>
      </c>
      <c r="H1576" s="75">
        <f>'THAM_SO_MOI'!$D$50</f>
        <v>1.8785906709588276</v>
      </c>
      <c r="I1576" s="75">
        <f>IF(F1576&gt;'THAM_SO_MOI'!$C$14,'THAM_SO_MOI'!$C$13*(1+F1576^2/1500),'THAM_SO_MOI'!$C$13)</f>
        <v>0.015</v>
      </c>
      <c r="J1576" s="75">
        <f>'THAM_SO_MOI'!$C$40*('THAM_SO_MOI'!$C$23*(E1576/'THAM_SO_MOI'!$C$22)+'THAM_SO_MOI'!$C$24*(E1576/'THAM_SO_MOI'!$C$22)^2-'THAM_SO_MOI'!$C$25*(E1576/'THAM_SO_MOI'!$C$22)^3)</f>
        <v>112.39239551514589</v>
      </c>
      <c r="K1576" s="75">
        <f>'THAM_SO_MOI'!$C$31*J1576/E1576</f>
        <v>423.5725309877077</v>
      </c>
      <c r="L1576" s="75">
        <f>K1576*'THAM_SO_MOI'!$C$50*'THAM_SO_MOI'!$C$17/'THAM_SO_MOI'!$C$26</f>
        <v>15122.11695643182</v>
      </c>
      <c r="M1576" s="75">
        <f>'THAM_SO_MOI'!$C$15*'THAM_SO_MOI'!$C$16*F1576^2</f>
        <v>116.78209575831556</v>
      </c>
      <c r="N1576" s="75">
        <f>'THAM_SO_MOI'!$C$12*I1576</f>
        <v>1130.112</v>
      </c>
      <c r="O1576" s="75">
        <f>M1576+N1576</f>
        <v>1246.8940957583156</v>
      </c>
      <c r="P1576" s="75">
        <f>(MIN(L1576,'THAM_SO_MOI'!$C$41)-O1576)/('THAM_SO_MOI'!$C$11*H1576)</f>
        <v>0.9617154344723449</v>
      </c>
      <c r="Q1576" s="75">
        <f>IF(P1576&gt;0,1/P1576,NA())</f>
        <v>1.0398086212983162</v>
      </c>
      <c r="R1576" s="75">
        <f>F1576-F1575</f>
        <v>0.0032106047296860396</v>
      </c>
      <c r="S1576" s="75">
        <f>0.5*(Q1575+Q1576)*R1576</f>
        <v>0.0033382033053050543</v>
      </c>
      <c r="T1576" s="75">
        <f>0.5*(F1575*Q1575+F1576*Q1576)*R1576</f>
        <v>0.02108762341412176</v>
      </c>
      <c r="U1576" s="76">
        <f>U1575+S1576</f>
        <v>6.595792229885429</v>
      </c>
      <c r="V1576" s="76">
        <f>V1575+T1576</f>
        <v>24.773112840578786</v>
      </c>
    </row>
    <row r="1577" spans="1:22" ht="19" customHeight="1">
      <c r="A1577" s="68" t="s">
        <v>372</v>
      </c>
      <c r="B1577" s="74">
        <v>2</v>
      </c>
      <c r="C1577" s="68" t="s">
        <v>363</v>
      </c>
      <c r="D1577" s="68" t="s">
        <v>364</v>
      </c>
      <c r="E1577" s="75">
        <f>60*F1577*'THAM_SO_MOI'!$C$50/(2*PI()*'THAM_SO_MOI'!$C$26)</f>
        <v>2535.613605471666</v>
      </c>
      <c r="F1577" s="75">
        <f>'HANH_TRINH'!$F$826+('THAM_SO_MOI'!$F$50-'HANH_TRINH'!$F$826)*750/'THAM_SO_MOI'!$C$42</f>
        <v>6.321873661370367</v>
      </c>
      <c r="G1577" s="75">
        <f>3.6*F1577</f>
        <v>22.758745180933325</v>
      </c>
      <c r="H1577" s="75">
        <f>'THAM_SO_MOI'!$D$50</f>
        <v>1.8785906709588276</v>
      </c>
      <c r="I1577" s="75">
        <f>IF(F1577&gt;'THAM_SO_MOI'!$C$14,'THAM_SO_MOI'!$C$13*(1+F1577^2/1500),'THAM_SO_MOI'!$C$13)</f>
        <v>0.015</v>
      </c>
      <c r="J1577" s="75">
        <f>'THAM_SO_MOI'!$C$40*('THAM_SO_MOI'!$C$23*(E1577/'THAM_SO_MOI'!$C$22)+'THAM_SO_MOI'!$C$24*(E1577/'THAM_SO_MOI'!$C$22)^2-'THAM_SO_MOI'!$C$25*(E1577/'THAM_SO_MOI'!$C$22)^3)</f>
        <v>112.43728860780648</v>
      </c>
      <c r="K1577" s="75">
        <f>'THAM_SO_MOI'!$C$31*J1577/E1577</f>
        <v>423.52651931733294</v>
      </c>
      <c r="L1577" s="75">
        <f>K1577*'THAM_SO_MOI'!$C$50*'THAM_SO_MOI'!$C$17/'THAM_SO_MOI'!$C$26</f>
        <v>15120.474277056119</v>
      </c>
      <c r="M1577" s="75">
        <f>'THAM_SO_MOI'!$C$15*'THAM_SO_MOI'!$C$16*F1577^2</f>
        <v>116.90080327671052</v>
      </c>
      <c r="N1577" s="75">
        <f>'THAM_SO_MOI'!$C$12*I1577</f>
        <v>1130.112</v>
      </c>
      <c r="O1577" s="75">
        <f>M1577+N1577</f>
        <v>1247.0128032767107</v>
      </c>
      <c r="P1577" s="75">
        <f>(MIN(L1577,'THAM_SO_MOI'!$C$41)-O1577)/('THAM_SO_MOI'!$C$11*H1577)</f>
        <v>0.9615933497333002</v>
      </c>
      <c r="Q1577" s="75">
        <f>IF(P1577&gt;0,1/P1577,NA())</f>
        <v>1.0399406363171624</v>
      </c>
      <c r="R1577" s="75">
        <f>F1577-F1576</f>
        <v>0.0032106047296869278</v>
      </c>
      <c r="S1577" s="75">
        <f>0.5*(Q1576+Q1577)*R1577</f>
        <v>0.0033386264015315666</v>
      </c>
      <c r="T1577" s="75">
        <f>0.5*(F1576*Q1576+F1577*Q1577)*R1577</f>
        <v>0.02110101514834256</v>
      </c>
      <c r="U1577" s="76">
        <f>U1576+S1577</f>
        <v>6.599130856286961</v>
      </c>
      <c r="V1577" s="76">
        <f>V1576+T1577</f>
        <v>24.79421385572713</v>
      </c>
    </row>
    <row r="1578" spans="1:22" ht="19" customHeight="1">
      <c r="A1578" s="68" t="s">
        <v>372</v>
      </c>
      <c r="B1578" s="74">
        <v>2</v>
      </c>
      <c r="C1578" s="68" t="s">
        <v>363</v>
      </c>
      <c r="D1578" s="68" t="s">
        <v>364</v>
      </c>
      <c r="E1578" s="75">
        <f>60*F1578*'THAM_SO_MOI'!$C$50/(2*PI()*'THAM_SO_MOI'!$C$26)</f>
        <v>2536.9013333622324</v>
      </c>
      <c r="F1578" s="75">
        <f>'HANH_TRINH'!$F$826+('THAM_SO_MOI'!$F$50-'HANH_TRINH'!$F$826)*751/'THAM_SO_MOI'!$C$42</f>
        <v>6.325084266100054</v>
      </c>
      <c r="G1578" s="75">
        <f>3.6*F1578</f>
        <v>22.770303357960195</v>
      </c>
      <c r="H1578" s="75">
        <f>'THAM_SO_MOI'!$D$50</f>
        <v>1.8785906709588276</v>
      </c>
      <c r="I1578" s="75">
        <f>IF(F1578&gt;'THAM_SO_MOI'!$C$14,'THAM_SO_MOI'!$C$13*(1+F1578^2/1500),'THAM_SO_MOI'!$C$13)</f>
        <v>0.015</v>
      </c>
      <c r="J1578" s="75">
        <f>'THAM_SO_MOI'!$C$40*('THAM_SO_MOI'!$C$23*(E1578/'THAM_SO_MOI'!$C$22)+'THAM_SO_MOI'!$C$24*(E1578/'THAM_SO_MOI'!$C$22)^2-'THAM_SO_MOI'!$C$25*(E1578/'THAM_SO_MOI'!$C$22)^3)</f>
        <v>112.48212656300433</v>
      </c>
      <c r="K1578" s="75">
        <f>'THAM_SO_MOI'!$C$31*J1578/E1578</f>
        <v>423.48034677262586</v>
      </c>
      <c r="L1578" s="75">
        <f>K1578*'THAM_SO_MOI'!$C$50*'THAM_SO_MOI'!$C$17/'THAM_SO_MOI'!$C$26</f>
        <v>15118.82585424738</v>
      </c>
      <c r="M1578" s="75">
        <f>'THAM_SO_MOI'!$C$15*'THAM_SO_MOI'!$C$16*F1578^2</f>
        <v>117.01957109680441</v>
      </c>
      <c r="N1578" s="75">
        <f>'THAM_SO_MOI'!$C$12*I1578</f>
        <v>1130.112</v>
      </c>
      <c r="O1578" s="75">
        <f>M1578+N1578</f>
        <v>1247.1315710968045</v>
      </c>
      <c r="P1578" s="75">
        <f>(MIN(L1578,'THAM_SO_MOI'!$C$41)-O1578)/('THAM_SO_MOI'!$C$11*H1578)</f>
        <v>0.9614708627274722</v>
      </c>
      <c r="Q1578" s="75">
        <f>IF(P1578&gt;0,1/P1578,NA())</f>
        <v>1.0400731200145052</v>
      </c>
      <c r="R1578" s="75">
        <f>F1578-F1577</f>
        <v>0.0032106047296869278</v>
      </c>
      <c r="S1578" s="75">
        <f>0.5*(Q1577+Q1578)*R1578</f>
        <v>0.0033390510019461624</v>
      </c>
      <c r="T1578" s="75">
        <f>0.5*(F1577*Q1577+F1578*Q1578)*R1578</f>
        <v>0.021114419111055452</v>
      </c>
      <c r="U1578" s="76">
        <f>U1577+S1578</f>
        <v>6.602469907288907</v>
      </c>
      <c r="V1578" s="76">
        <f>V1577+T1578</f>
        <v>24.815328274838183</v>
      </c>
    </row>
    <row r="1579" spans="1:22" ht="19" customHeight="1">
      <c r="A1579" s="68" t="s">
        <v>372</v>
      </c>
      <c r="B1579" s="74">
        <v>2</v>
      </c>
      <c r="C1579" s="68" t="s">
        <v>363</v>
      </c>
      <c r="D1579" s="68" t="s">
        <v>364</v>
      </c>
      <c r="E1579" s="75">
        <f>60*F1579*'THAM_SO_MOI'!$C$50/(2*PI()*'THAM_SO_MOI'!$C$26)</f>
        <v>2538.1890612527986</v>
      </c>
      <c r="F1579" s="75">
        <f>'HANH_TRINH'!$F$826+('THAM_SO_MOI'!$F$50-'HANH_TRINH'!$F$826)*752/'THAM_SO_MOI'!$C$42</f>
        <v>6.32829487082974</v>
      </c>
      <c r="G1579" s="75">
        <f>3.6*F1579</f>
        <v>22.781861534987065</v>
      </c>
      <c r="H1579" s="75">
        <f>'THAM_SO_MOI'!$D$50</f>
        <v>1.8785906709588276</v>
      </c>
      <c r="I1579" s="75">
        <f>IF(F1579&gt;'THAM_SO_MOI'!$C$14,'THAM_SO_MOI'!$C$13*(1+F1579^2/1500),'THAM_SO_MOI'!$C$13)</f>
        <v>0.015</v>
      </c>
      <c r="J1579" s="75">
        <f>'THAM_SO_MOI'!$C$40*('THAM_SO_MOI'!$C$23*(E1579/'THAM_SO_MOI'!$C$22)+'THAM_SO_MOI'!$C$24*(E1579/'THAM_SO_MOI'!$C$22)^2-'THAM_SO_MOI'!$C$25*(E1579/'THAM_SO_MOI'!$C$22)^3)</f>
        <v>112.52690931566977</v>
      </c>
      <c r="K1579" s="75">
        <f>'THAM_SO_MOI'!$C$31*J1579/E1579</f>
        <v>423.43401335358664</v>
      </c>
      <c r="L1579" s="75">
        <f>K1579*'THAM_SO_MOI'!$C$50*'THAM_SO_MOI'!$C$17/'THAM_SO_MOI'!$C$26</f>
        <v>15117.171688005605</v>
      </c>
      <c r="M1579" s="75">
        <f>'THAM_SO_MOI'!$C$15*'THAM_SO_MOI'!$C$16*F1579^2</f>
        <v>117.13839921859726</v>
      </c>
      <c r="N1579" s="75">
        <f>'THAM_SO_MOI'!$C$12*I1579</f>
        <v>1130.112</v>
      </c>
      <c r="O1579" s="75">
        <f>M1579+N1579</f>
        <v>1247.2503992185973</v>
      </c>
      <c r="P1579" s="75">
        <f>(MIN(L1579,'THAM_SO_MOI'!$C$41)-O1579)/('THAM_SO_MOI'!$C$11*H1579)</f>
        <v>0.9613479734548603</v>
      </c>
      <c r="Q1579" s="75">
        <f>IF(P1579&gt;0,1/P1579,NA())</f>
        <v>1.0402060727357996</v>
      </c>
      <c r="R1579" s="75">
        <f>F1579-F1578</f>
        <v>0.0032106047296860396</v>
      </c>
      <c r="S1579" s="75">
        <f>0.5*(Q1578+Q1579)*R1579</f>
        <v>0.0033394771076557923</v>
      </c>
      <c r="T1579" s="75">
        <f>0.5*(F1578*Q1578+F1579*Q1579)*R1579</f>
        <v>0.021127835323751818</v>
      </c>
      <c r="U1579" s="76">
        <f>U1578+S1579</f>
        <v>6.605809384396563</v>
      </c>
      <c r="V1579" s="76">
        <f>V1578+T1579</f>
        <v>24.836456110161937</v>
      </c>
    </row>
    <row r="1580" spans="1:22" ht="19" customHeight="1">
      <c r="A1580" s="68" t="s">
        <v>372</v>
      </c>
      <c r="B1580" s="74">
        <v>2</v>
      </c>
      <c r="C1580" s="68" t="s">
        <v>363</v>
      </c>
      <c r="D1580" s="68" t="s">
        <v>364</v>
      </c>
      <c r="E1580" s="75">
        <f>60*F1580*'THAM_SO_MOI'!$C$50/(2*PI()*'THAM_SO_MOI'!$C$26)</f>
        <v>2539.4767891433657</v>
      </c>
      <c r="F1580" s="75">
        <f>'HANH_TRINH'!$F$826+('THAM_SO_MOI'!$F$50-'HANH_TRINH'!$F$826)*753/'THAM_SO_MOI'!$C$42</f>
        <v>6.331505475559428</v>
      </c>
      <c r="G1580" s="75">
        <f>3.6*F1580</f>
        <v>22.793419712013943</v>
      </c>
      <c r="H1580" s="75">
        <f>'THAM_SO_MOI'!$D$50</f>
        <v>1.8785906709588276</v>
      </c>
      <c r="I1580" s="75">
        <f>IF(F1580&gt;'THAM_SO_MOI'!$C$14,'THAM_SO_MOI'!$C$13*(1+F1580^2/1500),'THAM_SO_MOI'!$C$13)</f>
        <v>0.015</v>
      </c>
      <c r="J1580" s="75">
        <f>'THAM_SO_MOI'!$C$40*('THAM_SO_MOI'!$C$23*(E1580/'THAM_SO_MOI'!$C$22)+'THAM_SO_MOI'!$C$24*(E1580/'THAM_SO_MOI'!$C$22)^2-'THAM_SO_MOI'!$C$25*(E1580/'THAM_SO_MOI'!$C$22)^3)</f>
        <v>112.57163680073316</v>
      </c>
      <c r="K1580" s="75">
        <f>'THAM_SO_MOI'!$C$31*J1580/E1580</f>
        <v>423.3875190602151</v>
      </c>
      <c r="L1580" s="75">
        <f>K1580*'THAM_SO_MOI'!$C$50*'THAM_SO_MOI'!$C$17/'THAM_SO_MOI'!$C$26</f>
        <v>15115.51177833079</v>
      </c>
      <c r="M1580" s="75">
        <f>'THAM_SO_MOI'!$C$15*'THAM_SO_MOI'!$C$16*F1580^2</f>
        <v>117.25728764208914</v>
      </c>
      <c r="N1580" s="75">
        <f>'THAM_SO_MOI'!$C$12*I1580</f>
        <v>1130.112</v>
      </c>
      <c r="O1580" s="75">
        <f>M1580+N1580</f>
        <v>1247.3692876420891</v>
      </c>
      <c r="P1580" s="75">
        <f>(MIN(L1580,'THAM_SO_MOI'!$C$41)-O1580)/('THAM_SO_MOI'!$C$11*H1580)</f>
        <v>0.9612246819154644</v>
      </c>
      <c r="Q1580" s="75">
        <f>IF(P1580&gt;0,1/P1580,NA())</f>
        <v>1.0403394948278553</v>
      </c>
      <c r="R1580" s="75">
        <f>F1580-F1579</f>
        <v>0.003210604729687816</v>
      </c>
      <c r="S1580" s="75">
        <f>0.5*(Q1579+Q1580)*R1580</f>
        <v>0.0033399047197754453</v>
      </c>
      <c r="T1580" s="75">
        <f>0.5*(F1579*Q1579+F1580*Q1580)*R1580</f>
        <v>0.02114126380798816</v>
      </c>
      <c r="U1580" s="76">
        <f>U1579+S1580</f>
        <v>6.609149289116338</v>
      </c>
      <c r="V1580" s="76">
        <f>V1579+T1580</f>
        <v>24.857597373969924</v>
      </c>
    </row>
    <row r="1581" spans="1:22" ht="19" customHeight="1">
      <c r="A1581" s="68" t="s">
        <v>372</v>
      </c>
      <c r="B1581" s="74">
        <v>2</v>
      </c>
      <c r="C1581" s="68" t="s">
        <v>363</v>
      </c>
      <c r="D1581" s="68" t="s">
        <v>364</v>
      </c>
      <c r="E1581" s="75">
        <f>60*F1581*'THAM_SO_MOI'!$C$50/(2*PI()*'THAM_SO_MOI'!$C$26)</f>
        <v>2540.764517033932</v>
      </c>
      <c r="F1581" s="75">
        <f>'HANH_TRINH'!$F$826+('THAM_SO_MOI'!$F$50-'HANH_TRINH'!$F$826)*754/'THAM_SO_MOI'!$C$42</f>
        <v>6.334716080289114</v>
      </c>
      <c r="G1581" s="75">
        <f>3.6*F1581</f>
        <v>22.804977889040813</v>
      </c>
      <c r="H1581" s="75">
        <f>'THAM_SO_MOI'!$D$50</f>
        <v>1.8785906709588276</v>
      </c>
      <c r="I1581" s="75">
        <f>IF(F1581&gt;'THAM_SO_MOI'!$C$14,'THAM_SO_MOI'!$C$13*(1+F1581^2/1500),'THAM_SO_MOI'!$C$13)</f>
        <v>0.015</v>
      </c>
      <c r="J1581" s="75">
        <f>'THAM_SO_MOI'!$C$40*('THAM_SO_MOI'!$C$23*(E1581/'THAM_SO_MOI'!$C$22)+'THAM_SO_MOI'!$C$24*(E1581/'THAM_SO_MOI'!$C$22)^2-'THAM_SO_MOI'!$C$25*(E1581/'THAM_SO_MOI'!$C$22)^3)</f>
        <v>112.61630895312474</v>
      </c>
      <c r="K1581" s="75">
        <f>'THAM_SO_MOI'!$C$31*J1581/E1581</f>
        <v>423.3408638925113</v>
      </c>
      <c r="L1581" s="75">
        <f>K1581*'THAM_SO_MOI'!$C$50*'THAM_SO_MOI'!$C$17/'THAM_SO_MOI'!$C$26</f>
        <v>15113.846125222944</v>
      </c>
      <c r="M1581" s="75">
        <f>'THAM_SO_MOI'!$C$15*'THAM_SO_MOI'!$C$16*F1581^2</f>
        <v>117.37623636727993</v>
      </c>
      <c r="N1581" s="75">
        <f>'THAM_SO_MOI'!$C$12*I1581</f>
        <v>1130.112</v>
      </c>
      <c r="O1581" s="75">
        <f>M1581+N1581</f>
        <v>1247.48823636728</v>
      </c>
      <c r="P1581" s="75">
        <f>(MIN(L1581,'THAM_SO_MOI'!$C$41)-O1581)/('THAM_SO_MOI'!$C$11*H1581)</f>
        <v>0.9611009881092856</v>
      </c>
      <c r="Q1581" s="75">
        <f>IF(P1581&gt;0,1/P1581,NA())</f>
        <v>1.040473386638836</v>
      </c>
      <c r="R1581" s="75">
        <f>F1581-F1580</f>
        <v>0.0032106047296860396</v>
      </c>
      <c r="S1581" s="75">
        <f>0.5*(Q1580+Q1581)*R1581</f>
        <v>0.003340333839414298</v>
      </c>
      <c r="T1581" s="75">
        <f>0.5*(F1580*Q1580+F1581*Q1581)*R1581</f>
        <v>0.021154704585298473</v>
      </c>
      <c r="U1581" s="76">
        <f>U1580+S1581</f>
        <v>6.612489622955753</v>
      </c>
      <c r="V1581" s="76">
        <f>V1580+T1581</f>
        <v>24.878752078555223</v>
      </c>
    </row>
    <row r="1582" spans="1:22" ht="19" customHeight="1">
      <c r="A1582" s="68" t="s">
        <v>372</v>
      </c>
      <c r="B1582" s="74">
        <v>2</v>
      </c>
      <c r="C1582" s="68" t="s">
        <v>363</v>
      </c>
      <c r="D1582" s="68" t="s">
        <v>364</v>
      </c>
      <c r="E1582" s="75">
        <f>60*F1582*'THAM_SO_MOI'!$C$50/(2*PI()*'THAM_SO_MOI'!$C$26)</f>
        <v>2542.052244924499</v>
      </c>
      <c r="F1582" s="75">
        <f>'HANH_TRINH'!$F$826+('THAM_SO_MOI'!$F$50-'HANH_TRINH'!$F$826)*755/'THAM_SO_MOI'!$C$42</f>
        <v>6.337926685018802</v>
      </c>
      <c r="G1582" s="75">
        <f>3.6*F1582</f>
        <v>22.816536066067687</v>
      </c>
      <c r="H1582" s="75">
        <f>'THAM_SO_MOI'!$D$50</f>
        <v>1.8785906709588276</v>
      </c>
      <c r="I1582" s="75">
        <f>IF(F1582&gt;'THAM_SO_MOI'!$C$14,'THAM_SO_MOI'!$C$13*(1+F1582^2/1500),'THAM_SO_MOI'!$C$13)</f>
        <v>0.015</v>
      </c>
      <c r="J1582" s="75">
        <f>'THAM_SO_MOI'!$C$40*('THAM_SO_MOI'!$C$23*(E1582/'THAM_SO_MOI'!$C$22)+'THAM_SO_MOI'!$C$24*(E1582/'THAM_SO_MOI'!$C$22)^2-'THAM_SO_MOI'!$C$25*(E1582/'THAM_SO_MOI'!$C$22)^3)</f>
        <v>112.66092570777484</v>
      </c>
      <c r="K1582" s="75">
        <f>'THAM_SO_MOI'!$C$31*J1582/E1582</f>
        <v>423.29404785047524</v>
      </c>
      <c r="L1582" s="75">
        <f>K1582*'THAM_SO_MOI'!$C$50*'THAM_SO_MOI'!$C$17/'THAM_SO_MOI'!$C$26</f>
        <v>15112.174728682061</v>
      </c>
      <c r="M1582" s="75">
        <f>'THAM_SO_MOI'!$C$15*'THAM_SO_MOI'!$C$16*F1582^2</f>
        <v>117.49524539416979</v>
      </c>
      <c r="N1582" s="75">
        <f>'THAM_SO_MOI'!$C$12*I1582</f>
        <v>1130.112</v>
      </c>
      <c r="O1582" s="75">
        <f>M1582+N1582</f>
        <v>1247.60724539417</v>
      </c>
      <c r="P1582" s="75">
        <f>(MIN(L1582,'THAM_SO_MOI'!$C$41)-O1582)/('THAM_SO_MOI'!$C$11*H1582)</f>
        <v>0.9609768920363226</v>
      </c>
      <c r="Q1582" s="75">
        <f>IF(P1582&gt;0,1/P1582,NA())</f>
        <v>1.0406077485182677</v>
      </c>
      <c r="R1582" s="75">
        <f>F1582-F1581</f>
        <v>0.003210604729687816</v>
      </c>
      <c r="S1582" s="75">
        <f>0.5*(Q1581+Q1582)*R1582</f>
        <v>0.0033407644676997426</v>
      </c>
      <c r="T1582" s="75">
        <f>0.5*(F1581*Q1581+F1582*Q1582)*R1582</f>
        <v>0.021168157677346432</v>
      </c>
      <c r="U1582" s="76">
        <f>U1581+S1582</f>
        <v>6.615830387423452</v>
      </c>
      <c r="V1582" s="76">
        <f>V1581+T1582</f>
        <v>24.89992023623257</v>
      </c>
    </row>
    <row r="1583" spans="1:22" ht="19" customHeight="1">
      <c r="A1583" s="68" t="s">
        <v>372</v>
      </c>
      <c r="B1583" s="74">
        <v>2</v>
      </c>
      <c r="C1583" s="68" t="s">
        <v>363</v>
      </c>
      <c r="D1583" s="68" t="s">
        <v>364</v>
      </c>
      <c r="E1583" s="75">
        <f>60*F1583*'THAM_SO_MOI'!$C$50/(2*PI()*'THAM_SO_MOI'!$C$26)</f>
        <v>2543.3399728150653</v>
      </c>
      <c r="F1583" s="75">
        <f>'HANH_TRINH'!$F$826+('THAM_SO_MOI'!$F$50-'HANH_TRINH'!$F$826)*756/'THAM_SO_MOI'!$C$42</f>
        <v>6.341137289748488</v>
      </c>
      <c r="G1583" s="75">
        <f>3.6*F1583</f>
        <v>22.828094243094558</v>
      </c>
      <c r="H1583" s="75">
        <f>'THAM_SO_MOI'!$D$50</f>
        <v>1.8785906709588276</v>
      </c>
      <c r="I1583" s="75">
        <f>IF(F1583&gt;'THAM_SO_MOI'!$C$14,'THAM_SO_MOI'!$C$13*(1+F1583^2/1500),'THAM_SO_MOI'!$C$13)</f>
        <v>0.015</v>
      </c>
      <c r="J1583" s="75">
        <f>'THAM_SO_MOI'!$C$40*('THAM_SO_MOI'!$C$23*(E1583/'THAM_SO_MOI'!$C$22)+'THAM_SO_MOI'!$C$24*(E1583/'THAM_SO_MOI'!$C$22)^2-'THAM_SO_MOI'!$C$25*(E1583/'THAM_SO_MOI'!$C$22)^3)</f>
        <v>112.7054869996137</v>
      </c>
      <c r="K1583" s="75">
        <f>'THAM_SO_MOI'!$C$31*J1583/E1583</f>
        <v>423.247070934107</v>
      </c>
      <c r="L1583" s="75">
        <f>K1583*'THAM_SO_MOI'!$C$50*'THAM_SO_MOI'!$C$17/'THAM_SO_MOI'!$C$26</f>
        <v>15110.49758870814</v>
      </c>
      <c r="M1583" s="75">
        <f>'THAM_SO_MOI'!$C$15*'THAM_SO_MOI'!$C$16*F1583^2</f>
        <v>117.6143147227585</v>
      </c>
      <c r="N1583" s="75">
        <f>'THAM_SO_MOI'!$C$12*I1583</f>
        <v>1130.112</v>
      </c>
      <c r="O1583" s="75">
        <f>M1583+N1583</f>
        <v>1247.7263147227586</v>
      </c>
      <c r="P1583" s="75">
        <f>(MIN(L1583,'THAM_SO_MOI'!$C$41)-O1583)/('THAM_SO_MOI'!$C$11*H1583)</f>
        <v>0.9608523936965762</v>
      </c>
      <c r="Q1583" s="75">
        <f>IF(P1583&gt;0,1/P1583,NA())</f>
        <v>1.0407425808170345</v>
      </c>
      <c r="R1583" s="75">
        <f>F1583-F1582</f>
        <v>0.0032106047296860396</v>
      </c>
      <c r="S1583" s="75">
        <f>0.5*(Q1582+Q1583)*R1583</f>
        <v>0.0033411966057487587</v>
      </c>
      <c r="T1583" s="75">
        <f>0.5*(F1582*Q1582+F1583*Q1583)*R1583</f>
        <v>0.02118162310574417</v>
      </c>
      <c r="U1583" s="76">
        <f>U1582+S1583</f>
        <v>6.619171584029201</v>
      </c>
      <c r="V1583" s="76">
        <f>V1582+T1583</f>
        <v>24.921101859338314</v>
      </c>
    </row>
    <row r="1584" spans="1:22" ht="19" customHeight="1">
      <c r="A1584" s="68" t="s">
        <v>372</v>
      </c>
      <c r="B1584" s="74">
        <v>2</v>
      </c>
      <c r="C1584" s="68" t="s">
        <v>363</v>
      </c>
      <c r="D1584" s="68" t="s">
        <v>364</v>
      </c>
      <c r="E1584" s="75">
        <f>60*F1584*'THAM_SO_MOI'!$C$50/(2*PI()*'THAM_SO_MOI'!$C$26)</f>
        <v>2544.6277007056324</v>
      </c>
      <c r="F1584" s="75">
        <f>'HANH_TRINH'!$F$826+('THAM_SO_MOI'!$F$50-'HANH_TRINH'!$F$826)*757/'THAM_SO_MOI'!$C$42</f>
        <v>6.344347894478175</v>
      </c>
      <c r="G1584" s="75">
        <f>3.6*F1584</f>
        <v>22.839652420121432</v>
      </c>
      <c r="H1584" s="75">
        <f>'THAM_SO_MOI'!$D$50</f>
        <v>1.8785906709588276</v>
      </c>
      <c r="I1584" s="75">
        <f>IF(F1584&gt;'THAM_SO_MOI'!$C$14,'THAM_SO_MOI'!$C$13*(1+F1584^2/1500),'THAM_SO_MOI'!$C$13)</f>
        <v>0.015</v>
      </c>
      <c r="J1584" s="75">
        <f>'THAM_SO_MOI'!$C$40*('THAM_SO_MOI'!$C$23*(E1584/'THAM_SO_MOI'!$C$22)+'THAM_SO_MOI'!$C$24*(E1584/'THAM_SO_MOI'!$C$22)^2-'THAM_SO_MOI'!$C$25*(E1584/'THAM_SO_MOI'!$C$22)^3)</f>
        <v>112.74999276357173</v>
      </c>
      <c r="K1584" s="75">
        <f>'THAM_SO_MOI'!$C$31*J1584/E1584</f>
        <v>423.19993314340644</v>
      </c>
      <c r="L1584" s="75">
        <f>K1584*'THAM_SO_MOI'!$C$50*'THAM_SO_MOI'!$C$17/'THAM_SO_MOI'!$C$26</f>
        <v>15108.814705301185</v>
      </c>
      <c r="M1584" s="75">
        <f>'THAM_SO_MOI'!$C$15*'THAM_SO_MOI'!$C$16*F1584^2</f>
        <v>117.73344435304625</v>
      </c>
      <c r="N1584" s="75">
        <f>'THAM_SO_MOI'!$C$12*I1584</f>
        <v>1130.112</v>
      </c>
      <c r="O1584" s="75">
        <f>M1584+N1584</f>
        <v>1247.8454443530463</v>
      </c>
      <c r="P1584" s="75">
        <f>(MIN(L1584,'THAM_SO_MOI'!$C$41)-O1584)/('THAM_SO_MOI'!$C$11*H1584)</f>
        <v>0.9607274930900462</v>
      </c>
      <c r="Q1584" s="75">
        <f>IF(P1584&gt;0,1/P1584,NA())</f>
        <v>1.0408778838873853</v>
      </c>
      <c r="R1584" s="75">
        <f>F1584-F1583</f>
        <v>0.0032106047296869278</v>
      </c>
      <c r="S1584" s="75">
        <f>0.5*(Q1583+Q1584)*R1584</f>
        <v>0.0033416302546965555</v>
      </c>
      <c r="T1584" s="75">
        <f>0.5*(F1583*Q1583+F1584*Q1584)*R1584</f>
        <v>0.021195100892233792</v>
      </c>
      <c r="U1584" s="76">
        <f>U1583+S1584</f>
        <v>6.622513214283897</v>
      </c>
      <c r="V1584" s="76">
        <f>V1583+T1584</f>
        <v>24.94229696023055</v>
      </c>
    </row>
    <row r="1585" spans="1:22" ht="19" customHeight="1">
      <c r="A1585" s="68" t="s">
        <v>372</v>
      </c>
      <c r="B1585" s="74">
        <v>2</v>
      </c>
      <c r="C1585" s="68" t="s">
        <v>363</v>
      </c>
      <c r="D1585" s="68" t="s">
        <v>364</v>
      </c>
      <c r="E1585" s="75">
        <f>60*F1585*'THAM_SO_MOI'!$C$50/(2*PI()*'THAM_SO_MOI'!$C$26)</f>
        <v>2545.915428596199</v>
      </c>
      <c r="F1585" s="75">
        <f>'HANH_TRINH'!$F$826+('THAM_SO_MOI'!$F$50-'HANH_TRINH'!$F$826)*758/'THAM_SO_MOI'!$C$42</f>
        <v>6.347558499207862</v>
      </c>
      <c r="G1585" s="75">
        <f>3.6*F1585</f>
        <v>22.851210597148302</v>
      </c>
      <c r="H1585" s="75">
        <f>'THAM_SO_MOI'!$D$50</f>
        <v>1.8785906709588276</v>
      </c>
      <c r="I1585" s="75">
        <f>IF(F1585&gt;'THAM_SO_MOI'!$C$14,'THAM_SO_MOI'!$C$13*(1+F1585^2/1500),'THAM_SO_MOI'!$C$13)</f>
        <v>0.015</v>
      </c>
      <c r="J1585" s="75">
        <f>'THAM_SO_MOI'!$C$40*('THAM_SO_MOI'!$C$23*(E1585/'THAM_SO_MOI'!$C$22)+'THAM_SO_MOI'!$C$24*(E1585/'THAM_SO_MOI'!$C$22)^2-'THAM_SO_MOI'!$C$25*(E1585/'THAM_SO_MOI'!$C$22)^3)</f>
        <v>112.79444293457912</v>
      </c>
      <c r="K1585" s="75">
        <f>'THAM_SO_MOI'!$C$31*J1585/E1585</f>
        <v>423.15263447837356</v>
      </c>
      <c r="L1585" s="75">
        <f>K1585*'THAM_SO_MOI'!$C$50*'THAM_SO_MOI'!$C$17/'THAM_SO_MOI'!$C$26</f>
        <v>15107.12607846119</v>
      </c>
      <c r="M1585" s="75">
        <f>'THAM_SO_MOI'!$C$15*'THAM_SO_MOI'!$C$16*F1585^2</f>
        <v>117.85263428503296</v>
      </c>
      <c r="N1585" s="75">
        <f>'THAM_SO_MOI'!$C$12*I1585</f>
        <v>1130.112</v>
      </c>
      <c r="O1585" s="75">
        <f>M1585+N1585</f>
        <v>1247.964634285033</v>
      </c>
      <c r="P1585" s="75">
        <f>(MIN(L1585,'THAM_SO_MOI'!$C$41)-O1585)/('THAM_SO_MOI'!$C$11*H1585)</f>
        <v>0.9606021902167322</v>
      </c>
      <c r="Q1585" s="75">
        <f>IF(P1585&gt;0,1/P1585,NA())</f>
        <v>1.0410136580829352</v>
      </c>
      <c r="R1585" s="75">
        <f>F1585-F1584</f>
        <v>0.0032106047296869278</v>
      </c>
      <c r="S1585" s="75">
        <f>0.5*(Q1584+Q1585)*R1585</f>
        <v>0.0033420654156725614</v>
      </c>
      <c r="T1585" s="75">
        <f>0.5*(F1584*Q1584+F1585*Q1585)*R1585</f>
        <v>0.021208591058535297</v>
      </c>
      <c r="U1585" s="76">
        <f>U1584+S1585</f>
        <v>6.62585527969957</v>
      </c>
      <c r="V1585" s="76">
        <f>V1584+T1585</f>
        <v>24.963505551289085</v>
      </c>
    </row>
    <row r="1586" spans="1:22" ht="19" customHeight="1">
      <c r="A1586" s="68" t="s">
        <v>372</v>
      </c>
      <c r="B1586" s="74">
        <v>2</v>
      </c>
      <c r="C1586" s="68" t="s">
        <v>363</v>
      </c>
      <c r="D1586" s="68" t="s">
        <v>364</v>
      </c>
      <c r="E1586" s="75">
        <f>60*F1586*'THAM_SO_MOI'!$C$50/(2*PI()*'THAM_SO_MOI'!$C$26)</f>
        <v>2547.203156486766</v>
      </c>
      <c r="F1586" s="75">
        <f>'HANH_TRINH'!$F$826+('THAM_SO_MOI'!$F$50-'HANH_TRINH'!$F$826)*759/'THAM_SO_MOI'!$C$42</f>
        <v>6.350769103937549</v>
      </c>
      <c r="G1586" s="75">
        <f>3.6*F1586</f>
        <v>22.862768774175176</v>
      </c>
      <c r="H1586" s="75">
        <f>'THAM_SO_MOI'!$D$50</f>
        <v>1.8785906709588276</v>
      </c>
      <c r="I1586" s="75">
        <f>IF(F1586&gt;'THAM_SO_MOI'!$C$14,'THAM_SO_MOI'!$C$13*(1+F1586^2/1500),'THAM_SO_MOI'!$C$13)</f>
        <v>0.015</v>
      </c>
      <c r="J1586" s="75">
        <f>'THAM_SO_MOI'!$C$40*('THAM_SO_MOI'!$C$23*(E1586/'THAM_SO_MOI'!$C$22)+'THAM_SO_MOI'!$C$24*(E1586/'THAM_SO_MOI'!$C$22)^2-'THAM_SO_MOI'!$C$25*(E1586/'THAM_SO_MOI'!$C$22)^3)</f>
        <v>112.83883744756628</v>
      </c>
      <c r="K1586" s="75">
        <f>'THAM_SO_MOI'!$C$31*J1586/E1586</f>
        <v>423.10517493900863</v>
      </c>
      <c r="L1586" s="75">
        <f>K1586*'THAM_SO_MOI'!$C$50*'THAM_SO_MOI'!$C$17/'THAM_SO_MOI'!$C$26</f>
        <v>15105.431708188167</v>
      </c>
      <c r="M1586" s="75">
        <f>'THAM_SO_MOI'!$C$15*'THAM_SO_MOI'!$C$16*F1586^2</f>
        <v>117.97188451871864</v>
      </c>
      <c r="N1586" s="75">
        <f>'THAM_SO_MOI'!$C$12*I1586</f>
        <v>1130.112</v>
      </c>
      <c r="O1586" s="75">
        <f>M1586+N1586</f>
        <v>1248.0838845187186</v>
      </c>
      <c r="P1586" s="75">
        <f>(MIN(L1586,'THAM_SO_MOI'!$C$41)-O1586)/('THAM_SO_MOI'!$C$11*H1586)</f>
        <v>0.9604764850766355</v>
      </c>
      <c r="Q1586" s="75">
        <f>IF(P1586&gt;0,1/P1586,NA())</f>
        <v>1.0411499037586651</v>
      </c>
      <c r="R1586" s="75">
        <f>F1586-F1585</f>
        <v>0.0032106047296869278</v>
      </c>
      <c r="S1586" s="75">
        <f>0.5*(Q1585+Q1586)*R1586</f>
        <v>0.003342502089815211</v>
      </c>
      <c r="T1586" s="75">
        <f>0.5*(F1585*Q1585+F1586*Q1586)*R1586</f>
        <v>0.021222093626440376</v>
      </c>
      <c r="U1586" s="76">
        <f>U1585+S1586</f>
        <v>6.629197781789385</v>
      </c>
      <c r="V1586" s="76">
        <f>V1585+T1586</f>
        <v>24.984727644915527</v>
      </c>
    </row>
    <row r="1587" spans="1:22" ht="19" customHeight="1">
      <c r="A1587" s="68" t="s">
        <v>372</v>
      </c>
      <c r="B1587" s="74">
        <v>2</v>
      </c>
      <c r="C1587" s="68" t="s">
        <v>363</v>
      </c>
      <c r="D1587" s="68" t="s">
        <v>364</v>
      </c>
      <c r="E1587" s="75">
        <f>60*F1587*'THAM_SO_MOI'!$C$50/(2*PI()*'THAM_SO_MOI'!$C$26)</f>
        <v>2548.490884377333</v>
      </c>
      <c r="F1587" s="75">
        <f>'HANH_TRINH'!$F$826+('THAM_SO_MOI'!$F$50-'HANH_TRINH'!$F$826)*760/'THAM_SO_MOI'!$C$42</f>
        <v>6.353979708667236</v>
      </c>
      <c r="G1587" s="75">
        <f>3.6*F1587</f>
        <v>22.87432695120205</v>
      </c>
      <c r="H1587" s="75">
        <f>'THAM_SO_MOI'!$D$50</f>
        <v>1.8785906709588276</v>
      </c>
      <c r="I1587" s="75">
        <f>IF(F1587&gt;'THAM_SO_MOI'!$C$14,'THAM_SO_MOI'!$C$13*(1+F1587^2/1500),'THAM_SO_MOI'!$C$13)</f>
        <v>0.015</v>
      </c>
      <c r="J1587" s="75">
        <f>'THAM_SO_MOI'!$C$40*('THAM_SO_MOI'!$C$23*(E1587/'THAM_SO_MOI'!$C$22)+'THAM_SO_MOI'!$C$24*(E1587/'THAM_SO_MOI'!$C$22)^2-'THAM_SO_MOI'!$C$25*(E1587/'THAM_SO_MOI'!$C$22)^3)</f>
        <v>112.88317623746343</v>
      </c>
      <c r="K1587" s="75">
        <f>'THAM_SO_MOI'!$C$31*J1587/E1587</f>
        <v>423.0575545253114</v>
      </c>
      <c r="L1587" s="75">
        <f>K1587*'THAM_SO_MOI'!$C$50*'THAM_SO_MOI'!$C$17/'THAM_SO_MOI'!$C$26</f>
        <v>15103.731594482104</v>
      </c>
      <c r="M1587" s="75">
        <f>'THAM_SO_MOI'!$C$15*'THAM_SO_MOI'!$C$16*F1587^2</f>
        <v>118.09119505410331</v>
      </c>
      <c r="N1587" s="75">
        <f>'THAM_SO_MOI'!$C$12*I1587</f>
        <v>1130.112</v>
      </c>
      <c r="O1587" s="75">
        <f>M1587+N1587</f>
        <v>1248.2031950541034</v>
      </c>
      <c r="P1587" s="75">
        <f>(MIN(L1587,'THAM_SO_MOI'!$C$41)-O1587)/('THAM_SO_MOI'!$C$11*H1587)</f>
        <v>0.9603503776697545</v>
      </c>
      <c r="Q1587" s="75">
        <f>IF(P1587&gt;0,1/P1587,NA())</f>
        <v>1.0412866212709297</v>
      </c>
      <c r="R1587" s="75">
        <f>F1587-F1586</f>
        <v>0.0032106047296869278</v>
      </c>
      <c r="S1587" s="75">
        <f>0.5*(Q1586+Q1587)*R1587</f>
        <v>0.003342940278266414</v>
      </c>
      <c r="T1587" s="75">
        <f>0.5*(F1586*Q1586+F1587*Q1587)*R1587</f>
        <v>0.021235608617777405</v>
      </c>
      <c r="U1587" s="76">
        <f>U1586+S1587</f>
        <v>6.6325407220676516</v>
      </c>
      <c r="V1587" s="76">
        <f>V1586+T1587</f>
        <v>25.005963253533306</v>
      </c>
    </row>
    <row r="1588" spans="1:22" ht="19" customHeight="1">
      <c r="A1588" s="68" t="s">
        <v>372</v>
      </c>
      <c r="B1588" s="74">
        <v>2</v>
      </c>
      <c r="C1588" s="68" t="s">
        <v>363</v>
      </c>
      <c r="D1588" s="68" t="s">
        <v>364</v>
      </c>
      <c r="E1588" s="75">
        <f>60*F1588*'THAM_SO_MOI'!$C$50/(2*PI()*'THAM_SO_MOI'!$C$26)</f>
        <v>2549.778612267899</v>
      </c>
      <c r="F1588" s="75">
        <f>'HANH_TRINH'!$F$826+('THAM_SO_MOI'!$F$50-'HANH_TRINH'!$F$826)*761/'THAM_SO_MOI'!$C$42</f>
        <v>6.357190313396922</v>
      </c>
      <c r="G1588" s="75">
        <f>3.6*F1588</f>
        <v>22.88588512822892</v>
      </c>
      <c r="H1588" s="75">
        <f>'THAM_SO_MOI'!$D$50</f>
        <v>1.8785906709588276</v>
      </c>
      <c r="I1588" s="75">
        <f>IF(F1588&gt;'THAM_SO_MOI'!$C$14,'THAM_SO_MOI'!$C$13*(1+F1588^2/1500),'THAM_SO_MOI'!$C$13)</f>
        <v>0.015</v>
      </c>
      <c r="J1588" s="75">
        <f>'THAM_SO_MOI'!$C$40*('THAM_SO_MOI'!$C$23*(E1588/'THAM_SO_MOI'!$C$22)+'THAM_SO_MOI'!$C$24*(E1588/'THAM_SO_MOI'!$C$22)^2-'THAM_SO_MOI'!$C$25*(E1588/'THAM_SO_MOI'!$C$22)^3)</f>
        <v>112.92745923920086</v>
      </c>
      <c r="K1588" s="75">
        <f>'THAM_SO_MOI'!$C$31*J1588/E1588</f>
        <v>423.0097732372818</v>
      </c>
      <c r="L1588" s="75">
        <f>K1588*'THAM_SO_MOI'!$C$50*'THAM_SO_MOI'!$C$17/'THAM_SO_MOI'!$C$26</f>
        <v>15102.025737343005</v>
      </c>
      <c r="M1588" s="75">
        <f>'THAM_SO_MOI'!$C$15*'THAM_SO_MOI'!$C$16*F1588^2</f>
        <v>118.21056589118689</v>
      </c>
      <c r="N1588" s="75">
        <f>'THAM_SO_MOI'!$C$12*I1588</f>
        <v>1130.112</v>
      </c>
      <c r="O1588" s="75">
        <f>M1588+N1588</f>
        <v>1248.322565891187</v>
      </c>
      <c r="P1588" s="75">
        <f>(MIN(L1588,'THAM_SO_MOI'!$C$41)-O1588)/('THAM_SO_MOI'!$C$11*H1588)</f>
        <v>0.9602238679960899</v>
      </c>
      <c r="Q1588" s="75">
        <f>IF(P1588&gt;0,1/P1588,NA())</f>
        <v>1.0414238109774543</v>
      </c>
      <c r="R1588" s="75">
        <f>F1588-F1587</f>
        <v>0.0032106047296860396</v>
      </c>
      <c r="S1588" s="75">
        <f>0.5*(Q1587+Q1588)*R1588</f>
        <v>0.0033433799821715594</v>
      </c>
      <c r="T1588" s="75">
        <f>0.5*(F1587*Q1587+F1588*Q1588)*R1588</f>
        <v>0.021249136054411543</v>
      </c>
      <c r="U1588" s="76">
        <f>U1587+S1588</f>
        <v>6.635884102049823</v>
      </c>
      <c r="V1588" s="76">
        <f>V1587+T1588</f>
        <v>25.027212389587717</v>
      </c>
    </row>
    <row r="1589" spans="1:22" ht="19" customHeight="1">
      <c r="A1589" s="68" t="s">
        <v>372</v>
      </c>
      <c r="B1589" s="74">
        <v>2</v>
      </c>
      <c r="C1589" s="68" t="s">
        <v>363</v>
      </c>
      <c r="D1589" s="68" t="s">
        <v>364</v>
      </c>
      <c r="E1589" s="75">
        <f>60*F1589*'THAM_SO_MOI'!$C$50/(2*PI()*'THAM_SO_MOI'!$C$26)</f>
        <v>2551.066340158466</v>
      </c>
      <c r="F1589" s="75">
        <f>'HANH_TRINH'!$F$826+('THAM_SO_MOI'!$F$50-'HANH_TRINH'!$F$826)*762/'THAM_SO_MOI'!$C$42</f>
        <v>6.36040091812661</v>
      </c>
      <c r="G1589" s="75">
        <f>3.6*F1589</f>
        <v>22.897443305255795</v>
      </c>
      <c r="H1589" s="75">
        <f>'THAM_SO_MOI'!$D$50</f>
        <v>1.8785906709588276</v>
      </c>
      <c r="I1589" s="75">
        <f>IF(F1589&gt;'THAM_SO_MOI'!$C$14,'THAM_SO_MOI'!$C$13*(1+F1589^2/1500),'THAM_SO_MOI'!$C$13)</f>
        <v>0.015</v>
      </c>
      <c r="J1589" s="75">
        <f>'THAM_SO_MOI'!$C$40*('THAM_SO_MOI'!$C$23*(E1589/'THAM_SO_MOI'!$C$22)+'THAM_SO_MOI'!$C$24*(E1589/'THAM_SO_MOI'!$C$22)^2-'THAM_SO_MOI'!$C$25*(E1589/'THAM_SO_MOI'!$C$22)^3)</f>
        <v>112.97168638770894</v>
      </c>
      <c r="K1589" s="75">
        <f>'THAM_SO_MOI'!$C$31*J1589/E1589</f>
        <v>422.96183107492004</v>
      </c>
      <c r="L1589" s="75">
        <f>K1589*'THAM_SO_MOI'!$C$50*'THAM_SO_MOI'!$C$17/'THAM_SO_MOI'!$C$26</f>
        <v>15100.31413677087</v>
      </c>
      <c r="M1589" s="75">
        <f>'THAM_SO_MOI'!$C$15*'THAM_SO_MOI'!$C$16*F1589^2</f>
        <v>118.32999702996953</v>
      </c>
      <c r="N1589" s="75">
        <f>'THAM_SO_MOI'!$C$12*I1589</f>
        <v>1130.112</v>
      </c>
      <c r="O1589" s="75">
        <f>M1589+N1589</f>
        <v>1248.4419970299696</v>
      </c>
      <c r="P1589" s="75">
        <f>(MIN(L1589,'THAM_SO_MOI'!$C$41)-O1589)/('THAM_SO_MOI'!$C$11*H1589)</f>
        <v>0.9600969560556419</v>
      </c>
      <c r="Q1589" s="75">
        <f>IF(P1589&gt;0,1/P1589,NA())</f>
        <v>1.04156147323734</v>
      </c>
      <c r="R1589" s="75">
        <f>F1589-F1588</f>
        <v>0.003210604729687816</v>
      </c>
      <c r="S1589" s="75">
        <f>0.5*(Q1588+Q1589)*R1589</f>
        <v>0.003343821202685069</v>
      </c>
      <c r="T1589" s="75">
        <f>0.5*(F1588*Q1588+F1589*Q1589)*R1589</f>
        <v>0.021262675958280103</v>
      </c>
      <c r="U1589" s="76">
        <f>U1588+S1589</f>
        <v>6.639227923252508</v>
      </c>
      <c r="V1589" s="76">
        <f>V1588+T1589</f>
        <v>25.048475065545997</v>
      </c>
    </row>
    <row r="1590" spans="1:22" ht="19" customHeight="1">
      <c r="A1590" s="68" t="s">
        <v>372</v>
      </c>
      <c r="B1590" s="74">
        <v>2</v>
      </c>
      <c r="C1590" s="68" t="s">
        <v>363</v>
      </c>
      <c r="D1590" s="68" t="s">
        <v>364</v>
      </c>
      <c r="E1590" s="75">
        <f>60*F1590*'THAM_SO_MOI'!$C$50/(2*PI()*'THAM_SO_MOI'!$C$26)</f>
        <v>2552.3540680490323</v>
      </c>
      <c r="F1590" s="75">
        <f>'HANH_TRINH'!$F$826+('THAM_SO_MOI'!$F$50-'HANH_TRINH'!$F$826)*763/'THAM_SO_MOI'!$C$42</f>
        <v>6.363611522856296</v>
      </c>
      <c r="G1590" s="75">
        <f>3.6*F1590</f>
        <v>22.909001482282665</v>
      </c>
      <c r="H1590" s="75">
        <f>'THAM_SO_MOI'!$D$50</f>
        <v>1.8785906709588276</v>
      </c>
      <c r="I1590" s="75">
        <f>IF(F1590&gt;'THAM_SO_MOI'!$C$14,'THAM_SO_MOI'!$C$13*(1+F1590^2/1500),'THAM_SO_MOI'!$C$13)</f>
        <v>0.015</v>
      </c>
      <c r="J1590" s="75">
        <f>'THAM_SO_MOI'!$C$40*('THAM_SO_MOI'!$C$23*(E1590/'THAM_SO_MOI'!$C$22)+'THAM_SO_MOI'!$C$24*(E1590/'THAM_SO_MOI'!$C$22)^2-'THAM_SO_MOI'!$C$25*(E1590/'THAM_SO_MOI'!$C$22)^3)</f>
        <v>113.0158576179179</v>
      </c>
      <c r="K1590" s="75">
        <f>'THAM_SO_MOI'!$C$31*J1590/E1590</f>
        <v>422.913728038226</v>
      </c>
      <c r="L1590" s="75">
        <f>K1590*'THAM_SO_MOI'!$C$50*'THAM_SO_MOI'!$C$17/'THAM_SO_MOI'!$C$26</f>
        <v>15098.596792765698</v>
      </c>
      <c r="M1590" s="75">
        <f>'THAM_SO_MOI'!$C$15*'THAM_SO_MOI'!$C$16*F1590^2</f>
        <v>118.44948847045109</v>
      </c>
      <c r="N1590" s="75">
        <f>'THAM_SO_MOI'!$C$12*I1590</f>
        <v>1130.112</v>
      </c>
      <c r="O1590" s="75">
        <f>M1590+N1590</f>
        <v>1248.5614884704512</v>
      </c>
      <c r="P1590" s="75">
        <f>(MIN(L1590,'THAM_SO_MOI'!$C$41)-O1590)/('THAM_SO_MOI'!$C$11*H1590)</f>
        <v>0.9599696418484103</v>
      </c>
      <c r="Q1590" s="75">
        <f>IF(P1590&gt;0,1/P1590,NA())</f>
        <v>1.0416996084110657</v>
      </c>
      <c r="R1590" s="75">
        <f>F1590-F1589</f>
        <v>0.0032106047296860396</v>
      </c>
      <c r="S1590" s="75">
        <f>0.5*(Q1589+Q1590)*R1590</f>
        <v>0.003344263940955613</v>
      </c>
      <c r="T1590" s="75">
        <f>0.5*(F1589*Q1589+F1590*Q1590)*R1590</f>
        <v>0.021276228351298616</v>
      </c>
      <c r="U1590" s="76">
        <f>U1589+S1590</f>
        <v>6.642572187193464</v>
      </c>
      <c r="V1590" s="76">
        <f>V1589+T1590</f>
        <v>25.069751293897294</v>
      </c>
    </row>
    <row r="1591" spans="1:22" ht="19" customHeight="1">
      <c r="A1591" s="68" t="s">
        <v>372</v>
      </c>
      <c r="B1591" s="74">
        <v>2</v>
      </c>
      <c r="C1591" s="68" t="s">
        <v>363</v>
      </c>
      <c r="D1591" s="68" t="s">
        <v>364</v>
      </c>
      <c r="E1591" s="75">
        <f>60*F1591*'THAM_SO_MOI'!$C$50/(2*PI()*'THAM_SO_MOI'!$C$26)</f>
        <v>2553.6417959395994</v>
      </c>
      <c r="F1591" s="75">
        <f>'HANH_TRINH'!$F$826+('THAM_SO_MOI'!$F$50-'HANH_TRINH'!$F$826)*764/'THAM_SO_MOI'!$C$42</f>
        <v>6.366822127585983</v>
      </c>
      <c r="G1591" s="75">
        <f>3.6*F1591</f>
        <v>22.92055965930954</v>
      </c>
      <c r="H1591" s="75">
        <f>'THAM_SO_MOI'!$D$50</f>
        <v>1.8785906709588276</v>
      </c>
      <c r="I1591" s="75">
        <f>IF(F1591&gt;'THAM_SO_MOI'!$C$14,'THAM_SO_MOI'!$C$13*(1+F1591^2/1500),'THAM_SO_MOI'!$C$13)</f>
        <v>0.015</v>
      </c>
      <c r="J1591" s="75">
        <f>'THAM_SO_MOI'!$C$40*('THAM_SO_MOI'!$C$23*(E1591/'THAM_SO_MOI'!$C$22)+'THAM_SO_MOI'!$C$24*(E1591/'THAM_SO_MOI'!$C$22)^2-'THAM_SO_MOI'!$C$25*(E1591/'THAM_SO_MOI'!$C$22)^3)</f>
        <v>113.05997286475812</v>
      </c>
      <c r="K1591" s="75">
        <f>'THAM_SO_MOI'!$C$31*J1591/E1591</f>
        <v>422.8654641271997</v>
      </c>
      <c r="L1591" s="75">
        <f>K1591*'THAM_SO_MOI'!$C$50*'THAM_SO_MOI'!$C$17/'THAM_SO_MOI'!$C$26</f>
        <v>15096.873705327493</v>
      </c>
      <c r="M1591" s="75">
        <f>'THAM_SO_MOI'!$C$15*'THAM_SO_MOI'!$C$16*F1591^2</f>
        <v>118.56904021263162</v>
      </c>
      <c r="N1591" s="75">
        <f>'THAM_SO_MOI'!$C$12*I1591</f>
        <v>1130.112</v>
      </c>
      <c r="O1591" s="75">
        <f>M1591+N1591</f>
        <v>1248.6810402126316</v>
      </c>
      <c r="P1591" s="75">
        <f>(MIN(L1591,'THAM_SO_MOI'!$C$41)-O1591)/('THAM_SO_MOI'!$C$11*H1591)</f>
        <v>0.9598419253743949</v>
      </c>
      <c r="Q1591" s="75">
        <f>IF(P1591&gt;0,1/P1591,NA())</f>
        <v>1.041838216860491</v>
      </c>
      <c r="R1591" s="75">
        <f>F1591-F1590</f>
        <v>0.0032106047296869278</v>
      </c>
      <c r="S1591" s="75">
        <f>0.5*(Q1590+Q1591)*R1591</f>
        <v>0.0033447081981492375</v>
      </c>
      <c r="T1591" s="75">
        <f>0.5*(F1590*Q1590+F1591*Q1591)*R1591</f>
        <v>0.021289793255507984</v>
      </c>
      <c r="U1591" s="76">
        <f>U1590+S1591</f>
        <v>6.645916895391613</v>
      </c>
      <c r="V1591" s="76">
        <f>V1590+T1591</f>
        <v>25.091041087152803</v>
      </c>
    </row>
    <row r="1592" spans="1:22" ht="19" customHeight="1">
      <c r="A1592" s="68" t="s">
        <v>372</v>
      </c>
      <c r="B1592" s="74">
        <v>2</v>
      </c>
      <c r="C1592" s="68" t="s">
        <v>363</v>
      </c>
      <c r="D1592" s="68" t="s">
        <v>364</v>
      </c>
      <c r="E1592" s="75">
        <f>60*F1592*'THAM_SO_MOI'!$C$50/(2*PI()*'THAM_SO_MOI'!$C$26)</f>
        <v>2554.929523830166</v>
      </c>
      <c r="F1592" s="75">
        <f>'HANH_TRINH'!$F$826+('THAM_SO_MOI'!$F$50-'HANH_TRINH'!$F$826)*765/'THAM_SO_MOI'!$C$42</f>
        <v>6.37003273231567</v>
      </c>
      <c r="G1592" s="75">
        <f>3.6*F1592</f>
        <v>22.93211783633641</v>
      </c>
      <c r="H1592" s="75">
        <f>'THAM_SO_MOI'!$D$50</f>
        <v>1.8785906709588276</v>
      </c>
      <c r="I1592" s="75">
        <f>IF(F1592&gt;'THAM_SO_MOI'!$C$14,'THAM_SO_MOI'!$C$13*(1+F1592^2/1500),'THAM_SO_MOI'!$C$13)</f>
        <v>0.015</v>
      </c>
      <c r="J1592" s="75">
        <f>'THAM_SO_MOI'!$C$40*('THAM_SO_MOI'!$C$23*(E1592/'THAM_SO_MOI'!$C$22)+'THAM_SO_MOI'!$C$24*(E1592/'THAM_SO_MOI'!$C$22)^2-'THAM_SO_MOI'!$C$25*(E1592/'THAM_SO_MOI'!$C$22)^3)</f>
        <v>113.10403206315989</v>
      </c>
      <c r="K1592" s="75">
        <f>'THAM_SO_MOI'!$C$31*J1592/E1592</f>
        <v>422.81703934184134</v>
      </c>
      <c r="L1592" s="75">
        <f>K1592*'THAM_SO_MOI'!$C$50*'THAM_SO_MOI'!$C$17/'THAM_SO_MOI'!$C$26</f>
        <v>15095.144874456257</v>
      </c>
      <c r="M1592" s="75">
        <f>'THAM_SO_MOI'!$C$15*'THAM_SO_MOI'!$C$16*F1592^2</f>
        <v>118.68865225651115</v>
      </c>
      <c r="N1592" s="75">
        <f>'THAM_SO_MOI'!$C$12*I1592</f>
        <v>1130.112</v>
      </c>
      <c r="O1592" s="75">
        <f>M1592+N1592</f>
        <v>1248.8006522565113</v>
      </c>
      <c r="P1592" s="75">
        <f>(MIN(L1592,'THAM_SO_MOI'!$C$41)-O1592)/('THAM_SO_MOI'!$C$11*H1592)</f>
        <v>0.9597138066335966</v>
      </c>
      <c r="Q1592" s="75">
        <f>IF(P1592&gt;0,1/P1592,NA())</f>
        <v>1.0419772989488563</v>
      </c>
      <c r="R1592" s="75">
        <f>F1592-F1591</f>
        <v>0.0032106047296869278</v>
      </c>
      <c r="S1592" s="75">
        <f>0.5*(Q1591+Q1592)*R1592</f>
        <v>0.0033451539754262476</v>
      </c>
      <c r="T1592" s="75">
        <f>0.5*(F1591*Q1591+F1592*Q1592)*R1592</f>
        <v>0.021303370692927506</v>
      </c>
      <c r="U1592" s="76">
        <f>U1591+S1592</f>
        <v>6.64926204936704</v>
      </c>
      <c r="V1592" s="76">
        <f>V1591+T1592</f>
        <v>25.11234445784573</v>
      </c>
    </row>
    <row r="1593" spans="1:22" ht="19" customHeight="1">
      <c r="A1593" s="68" t="s">
        <v>372</v>
      </c>
      <c r="B1593" s="74">
        <v>2</v>
      </c>
      <c r="C1593" s="68" t="s">
        <v>363</v>
      </c>
      <c r="D1593" s="68" t="s">
        <v>364</v>
      </c>
      <c r="E1593" s="75">
        <f>60*F1593*'THAM_SO_MOI'!$C$50/(2*PI()*'THAM_SO_MOI'!$C$26)</f>
        <v>2556.2172517207327</v>
      </c>
      <c r="F1593" s="75">
        <f>'HANH_TRINH'!$F$826+('THAM_SO_MOI'!$F$50-'HANH_TRINH'!$F$826)*766/'THAM_SO_MOI'!$C$42</f>
        <v>6.3732433370453565</v>
      </c>
      <c r="G1593" s="75">
        <f>3.6*F1593</f>
        <v>22.943676013363284</v>
      </c>
      <c r="H1593" s="75">
        <f>'THAM_SO_MOI'!$D$50</f>
        <v>1.8785906709588276</v>
      </c>
      <c r="I1593" s="75">
        <f>IF(F1593&gt;'THAM_SO_MOI'!$C$14,'THAM_SO_MOI'!$C$13*(1+F1593^2/1500),'THAM_SO_MOI'!$C$13)</f>
        <v>0.015</v>
      </c>
      <c r="J1593" s="75">
        <f>'THAM_SO_MOI'!$C$40*('THAM_SO_MOI'!$C$23*(E1593/'THAM_SO_MOI'!$C$22)+'THAM_SO_MOI'!$C$24*(E1593/'THAM_SO_MOI'!$C$22)^2-'THAM_SO_MOI'!$C$25*(E1593/'THAM_SO_MOI'!$C$22)^3)</f>
        <v>113.14803514805342</v>
      </c>
      <c r="K1593" s="75">
        <f>'THAM_SO_MOI'!$C$31*J1593/E1593</f>
        <v>422.7684536821505</v>
      </c>
      <c r="L1593" s="75">
        <f>K1593*'THAM_SO_MOI'!$C$50*'THAM_SO_MOI'!$C$17/'THAM_SO_MOI'!$C$26</f>
        <v>15093.410300151974</v>
      </c>
      <c r="M1593" s="75">
        <f>'THAM_SO_MOI'!$C$15*'THAM_SO_MOI'!$C$16*F1593^2</f>
        <v>118.80832460208963</v>
      </c>
      <c r="N1593" s="75">
        <f>'THAM_SO_MOI'!$C$12*I1593</f>
        <v>1130.112</v>
      </c>
      <c r="O1593" s="75">
        <f>M1593+N1593</f>
        <v>1248.9203246020897</v>
      </c>
      <c r="P1593" s="75">
        <f>(MIN(L1593,'THAM_SO_MOI'!$C$41)-O1593)/('THAM_SO_MOI'!$C$11*H1593)</f>
        <v>0.9595852856260138</v>
      </c>
      <c r="Q1593" s="75">
        <f>IF(P1593&gt;0,1/P1593,NA())</f>
        <v>1.0421168550407904</v>
      </c>
      <c r="R1593" s="75">
        <f>F1593-F1592</f>
        <v>0.0032106047296869278</v>
      </c>
      <c r="S1593" s="75">
        <f>0.5*(Q1592+Q1593)*R1593</f>
        <v>0.003345601273956018</v>
      </c>
      <c r="T1593" s="75">
        <f>0.5*(F1592*Q1592+F1593*Q1593)*R1593</f>
        <v>0.02131696068564919</v>
      </c>
      <c r="U1593" s="76">
        <f>U1592+S1593</f>
        <v>6.652607650640996</v>
      </c>
      <c r="V1593" s="76">
        <f>V1592+T1593</f>
        <v>25.13366141853138</v>
      </c>
    </row>
    <row r="1594" spans="1:22" ht="19" customHeight="1">
      <c r="A1594" s="68" t="s">
        <v>372</v>
      </c>
      <c r="B1594" s="74">
        <v>2</v>
      </c>
      <c r="C1594" s="68" t="s">
        <v>363</v>
      </c>
      <c r="D1594" s="68" t="s">
        <v>364</v>
      </c>
      <c r="E1594" s="75">
        <f>60*F1594*'THAM_SO_MOI'!$C$50/(2*PI()*'THAM_SO_MOI'!$C$26)</f>
        <v>2557.5049796112994</v>
      </c>
      <c r="F1594" s="75">
        <f>'HANH_TRINH'!$F$826+('THAM_SO_MOI'!$F$50-'HANH_TRINH'!$F$826)*767/'THAM_SO_MOI'!$C$42</f>
        <v>6.376453941775043</v>
      </c>
      <c r="G1594" s="75">
        <f>3.6*F1594</f>
        <v>22.955234190390158</v>
      </c>
      <c r="H1594" s="75">
        <f>'THAM_SO_MOI'!$D$50</f>
        <v>1.8785906709588276</v>
      </c>
      <c r="I1594" s="75">
        <f>IF(F1594&gt;'THAM_SO_MOI'!$C$14,'THAM_SO_MOI'!$C$13*(1+F1594^2/1500),'THAM_SO_MOI'!$C$13)</f>
        <v>0.015</v>
      </c>
      <c r="J1594" s="75">
        <f>'THAM_SO_MOI'!$C$40*('THAM_SO_MOI'!$C$23*(E1594/'THAM_SO_MOI'!$C$22)+'THAM_SO_MOI'!$C$24*(E1594/'THAM_SO_MOI'!$C$22)^2-'THAM_SO_MOI'!$C$25*(E1594/'THAM_SO_MOI'!$C$22)^3)</f>
        <v>113.19198205436908</v>
      </c>
      <c r="K1594" s="75">
        <f>'THAM_SO_MOI'!$C$31*J1594/E1594</f>
        <v>422.71970714812744</v>
      </c>
      <c r="L1594" s="75">
        <f>K1594*'THAM_SO_MOI'!$C$50*'THAM_SO_MOI'!$C$17/'THAM_SO_MOI'!$C$26</f>
        <v>15091.669982414662</v>
      </c>
      <c r="M1594" s="75">
        <f>'THAM_SO_MOI'!$C$15*'THAM_SO_MOI'!$C$16*F1594^2</f>
        <v>118.9280572493671</v>
      </c>
      <c r="N1594" s="75">
        <f>'THAM_SO_MOI'!$C$12*I1594</f>
        <v>1130.112</v>
      </c>
      <c r="O1594" s="75">
        <f>M1594+N1594</f>
        <v>1249.0400572493672</v>
      </c>
      <c r="P1594" s="75">
        <f>(MIN(L1594,'THAM_SO_MOI'!$C$41)-O1594)/('THAM_SO_MOI'!$C$11*H1594)</f>
        <v>0.9594563623516478</v>
      </c>
      <c r="Q1594" s="75">
        <f>IF(P1594&gt;0,1/P1594,NA())</f>
        <v>1.0422568855023056</v>
      </c>
      <c r="R1594" s="75">
        <f>F1594-F1593</f>
        <v>0.0032106047296869278</v>
      </c>
      <c r="S1594" s="75">
        <f>0.5*(Q1593+Q1594)*R1594</f>
        <v>0.0033460500949114486</v>
      </c>
      <c r="T1594" s="75">
        <f>0.5*(F1593*Q1593+F1594*Q1594)*R1594</f>
        <v>0.021330563255802515</v>
      </c>
      <c r="U1594" s="76">
        <f>U1593+S1594</f>
        <v>6.655953700735908</v>
      </c>
      <c r="V1594" s="76">
        <f>V1593+T1594</f>
        <v>25.15499198178718</v>
      </c>
    </row>
    <row r="1595" spans="1:22" ht="19" customHeight="1">
      <c r="A1595" s="68" t="s">
        <v>372</v>
      </c>
      <c r="B1595" s="74">
        <v>2</v>
      </c>
      <c r="C1595" s="68" t="s">
        <v>363</v>
      </c>
      <c r="D1595" s="68" t="s">
        <v>364</v>
      </c>
      <c r="E1595" s="75">
        <f>60*F1595*'THAM_SO_MOI'!$C$50/(2*PI()*'THAM_SO_MOI'!$C$26)</f>
        <v>2558.7927075018656</v>
      </c>
      <c r="F1595" s="75">
        <f>'HANH_TRINH'!$F$826+('THAM_SO_MOI'!$F$50-'HANH_TRINH'!$F$826)*768/'THAM_SO_MOI'!$C$42</f>
        <v>6.3796645465047295</v>
      </c>
      <c r="G1595" s="75">
        <f>3.6*F1595</f>
        <v>22.96679236741703</v>
      </c>
      <c r="H1595" s="75">
        <f>'THAM_SO_MOI'!$D$50</f>
        <v>1.8785906709588276</v>
      </c>
      <c r="I1595" s="75">
        <f>IF(F1595&gt;'THAM_SO_MOI'!$C$14,'THAM_SO_MOI'!$C$13*(1+F1595^2/1500),'THAM_SO_MOI'!$C$13)</f>
        <v>0.015</v>
      </c>
      <c r="J1595" s="75">
        <f>'THAM_SO_MOI'!$C$40*('THAM_SO_MOI'!$C$23*(E1595/'THAM_SO_MOI'!$C$22)+'THAM_SO_MOI'!$C$24*(E1595/'THAM_SO_MOI'!$C$22)^2-'THAM_SO_MOI'!$C$25*(E1595/'THAM_SO_MOI'!$C$22)^3)</f>
        <v>113.23587271703717</v>
      </c>
      <c r="K1595" s="75">
        <f>'THAM_SO_MOI'!$C$31*J1595/E1595</f>
        <v>422.67079973977224</v>
      </c>
      <c r="L1595" s="75">
        <f>K1595*'THAM_SO_MOI'!$C$50*'THAM_SO_MOI'!$C$17/'THAM_SO_MOI'!$C$26</f>
        <v>15089.923921244315</v>
      </c>
      <c r="M1595" s="75">
        <f>'THAM_SO_MOI'!$C$15*'THAM_SO_MOI'!$C$16*F1595^2</f>
        <v>119.0478501983435</v>
      </c>
      <c r="N1595" s="75">
        <f>'THAM_SO_MOI'!$C$12*I1595</f>
        <v>1130.112</v>
      </c>
      <c r="O1595" s="75">
        <f>M1595+N1595</f>
        <v>1249.1598501983435</v>
      </c>
      <c r="P1595" s="75">
        <f>(MIN(L1595,'THAM_SO_MOI'!$C$41)-O1595)/('THAM_SO_MOI'!$C$11*H1595)</f>
        <v>0.9593270368104981</v>
      </c>
      <c r="Q1595" s="75">
        <f>IF(P1595&gt;0,1/P1595,NA())</f>
        <v>1.0423973907008066</v>
      </c>
      <c r="R1595" s="75">
        <f>F1595-F1594</f>
        <v>0.0032106047296860396</v>
      </c>
      <c r="S1595" s="75">
        <f>0.5*(Q1594+Q1595)*R1595</f>
        <v>0.00334650043946897</v>
      </c>
      <c r="T1595" s="75">
        <f>0.5*(F1594*Q1594+F1595*Q1595)*R1595</f>
        <v>0.021344178425554545</v>
      </c>
      <c r="U1595" s="76">
        <f>U1594+S1595</f>
        <v>6.659300201175377</v>
      </c>
      <c r="V1595" s="76">
        <f>V1594+T1595</f>
        <v>25.176336160212735</v>
      </c>
    </row>
    <row r="1596" spans="1:22" ht="19" customHeight="1">
      <c r="A1596" s="68" t="s">
        <v>372</v>
      </c>
      <c r="B1596" s="74">
        <v>2</v>
      </c>
      <c r="C1596" s="68" t="s">
        <v>363</v>
      </c>
      <c r="D1596" s="68" t="s">
        <v>364</v>
      </c>
      <c r="E1596" s="75">
        <f>60*F1596*'THAM_SO_MOI'!$C$50/(2*PI()*'THAM_SO_MOI'!$C$26)</f>
        <v>2560.0804353924327</v>
      </c>
      <c r="F1596" s="75">
        <f>'HANH_TRINH'!$F$826+('THAM_SO_MOI'!$F$50-'HANH_TRINH'!$F$826)*769/'THAM_SO_MOI'!$C$42</f>
        <v>6.382875151234417</v>
      </c>
      <c r="G1596" s="75">
        <f>3.6*F1596</f>
        <v>22.978350544443902</v>
      </c>
      <c r="H1596" s="75">
        <f>'THAM_SO_MOI'!$D$50</f>
        <v>1.8785906709588276</v>
      </c>
      <c r="I1596" s="75">
        <f>IF(F1596&gt;'THAM_SO_MOI'!$C$14,'THAM_SO_MOI'!$C$13*(1+F1596^2/1500),'THAM_SO_MOI'!$C$13)</f>
        <v>0.015</v>
      </c>
      <c r="J1596" s="75">
        <f>'THAM_SO_MOI'!$C$40*('THAM_SO_MOI'!$C$23*(E1596/'THAM_SO_MOI'!$C$22)+'THAM_SO_MOI'!$C$24*(E1596/'THAM_SO_MOI'!$C$22)^2-'THAM_SO_MOI'!$C$25*(E1596/'THAM_SO_MOI'!$C$22)^3)</f>
        <v>113.279707070988</v>
      </c>
      <c r="K1596" s="75">
        <f>'THAM_SO_MOI'!$C$31*J1596/E1596</f>
        <v>422.62173145708465</v>
      </c>
      <c r="L1596" s="75">
        <f>K1596*'THAM_SO_MOI'!$C$50*'THAM_SO_MOI'!$C$17/'THAM_SO_MOI'!$C$26</f>
        <v>15088.172116640926</v>
      </c>
      <c r="M1596" s="75">
        <f>'THAM_SO_MOI'!$C$15*'THAM_SO_MOI'!$C$16*F1596^2</f>
        <v>119.16770344901893</v>
      </c>
      <c r="N1596" s="75">
        <f>'THAM_SO_MOI'!$C$12*I1596</f>
        <v>1130.112</v>
      </c>
      <c r="O1596" s="75">
        <f>M1596+N1596</f>
        <v>1249.279703449019</v>
      </c>
      <c r="P1596" s="75">
        <f>(MIN(L1596,'THAM_SO_MOI'!$C$41)-O1596)/('THAM_SO_MOI'!$C$11*H1596)</f>
        <v>0.9591973090025646</v>
      </c>
      <c r="Q1596" s="75">
        <f>IF(P1596&gt;0,1/P1596,NA())</f>
        <v>1.0425383710050904</v>
      </c>
      <c r="R1596" s="75">
        <f>F1596-F1595</f>
        <v>0.003210604729687816</v>
      </c>
      <c r="S1596" s="75">
        <f>0.5*(Q1595+Q1596)*R1596</f>
        <v>0.0033469523088141113</v>
      </c>
      <c r="T1596" s="75">
        <f>0.5*(F1595*Q1595+F1596*Q1596)*R1596</f>
        <v>0.021357806217145527</v>
      </c>
      <c r="U1596" s="76">
        <f>U1595+S1596</f>
        <v>6.662647153484191</v>
      </c>
      <c r="V1596" s="76">
        <f>V1595+T1596</f>
        <v>25.19769396642988</v>
      </c>
    </row>
    <row r="1597" spans="1:22" ht="19" customHeight="1">
      <c r="A1597" s="68" t="s">
        <v>372</v>
      </c>
      <c r="B1597" s="74">
        <v>2</v>
      </c>
      <c r="C1597" s="68" t="s">
        <v>363</v>
      </c>
      <c r="D1597" s="68" t="s">
        <v>364</v>
      </c>
      <c r="E1597" s="75">
        <f>60*F1597*'THAM_SO_MOI'!$C$50/(2*PI()*'THAM_SO_MOI'!$C$26)</f>
        <v>2561.368163282999</v>
      </c>
      <c r="F1597" s="75">
        <f>'HANH_TRINH'!$F$826+('THAM_SO_MOI'!$F$50-'HANH_TRINH'!$F$826)*770/'THAM_SO_MOI'!$C$42</f>
        <v>6.386085755964103</v>
      </c>
      <c r="G1597" s="75">
        <f>3.6*F1597</f>
        <v>22.989908721470773</v>
      </c>
      <c r="H1597" s="75">
        <f>'THAM_SO_MOI'!$D$50</f>
        <v>1.8785906709588276</v>
      </c>
      <c r="I1597" s="75">
        <f>IF(F1597&gt;'THAM_SO_MOI'!$C$14,'THAM_SO_MOI'!$C$13*(1+F1597^2/1500),'THAM_SO_MOI'!$C$13)</f>
        <v>0.015</v>
      </c>
      <c r="J1597" s="75">
        <f>'THAM_SO_MOI'!$C$40*('THAM_SO_MOI'!$C$23*(E1597/'THAM_SO_MOI'!$C$22)+'THAM_SO_MOI'!$C$24*(E1597/'THAM_SO_MOI'!$C$22)^2-'THAM_SO_MOI'!$C$25*(E1597/'THAM_SO_MOI'!$C$22)^3)</f>
        <v>113.32348505115182</v>
      </c>
      <c r="K1597" s="75">
        <f>'THAM_SO_MOI'!$C$31*J1597/E1597</f>
        <v>422.57250230006497</v>
      </c>
      <c r="L1597" s="75">
        <f>K1597*'THAM_SO_MOI'!$C$50*'THAM_SO_MOI'!$C$17/'THAM_SO_MOI'!$C$26</f>
        <v>15086.414568604505</v>
      </c>
      <c r="M1597" s="75">
        <f>'THAM_SO_MOI'!$C$15*'THAM_SO_MOI'!$C$16*F1597^2</f>
        <v>119.28761700139329</v>
      </c>
      <c r="N1597" s="75">
        <f>'THAM_SO_MOI'!$C$12*I1597</f>
        <v>1130.112</v>
      </c>
      <c r="O1597" s="75">
        <f>M1597+N1597</f>
        <v>1249.3996170013934</v>
      </c>
      <c r="P1597" s="75">
        <f>(MIN(L1597,'THAM_SO_MOI'!$C$41)-O1597)/('THAM_SO_MOI'!$C$11*H1597)</f>
        <v>0.9590671789278477</v>
      </c>
      <c r="Q1597" s="75">
        <f>IF(P1597&gt;0,1/P1597,NA())</f>
        <v>1.0426798267853474</v>
      </c>
      <c r="R1597" s="75">
        <f>F1597-F1596</f>
        <v>0.0032106047296860396</v>
      </c>
      <c r="S1597" s="75">
        <f>0.5*(Q1596+Q1597)*R1597</f>
        <v>0.003347405704126689</v>
      </c>
      <c r="T1597" s="75">
        <f>0.5*(F1596*Q1596+F1597*Q1597)*R1597</f>
        <v>0.021371446652794453</v>
      </c>
      <c r="U1597" s="76">
        <f>U1596+S1597</f>
        <v>6.665994559188318</v>
      </c>
      <c r="V1597" s="76">
        <f>V1596+T1597</f>
        <v>25.219065413082674</v>
      </c>
    </row>
    <row r="1598" spans="1:22" ht="19" customHeight="1">
      <c r="A1598" s="68" t="s">
        <v>372</v>
      </c>
      <c r="B1598" s="74">
        <v>2</v>
      </c>
      <c r="C1598" s="68" t="s">
        <v>363</v>
      </c>
      <c r="D1598" s="68" t="s">
        <v>364</v>
      </c>
      <c r="E1598" s="75">
        <f>60*F1598*'THAM_SO_MOI'!$C$50/(2*PI()*'THAM_SO_MOI'!$C$26)</f>
        <v>2562.655891173566</v>
      </c>
      <c r="F1598" s="75">
        <f>'HANH_TRINH'!$F$826+('THAM_SO_MOI'!$F$50-'HANH_TRINH'!$F$826)*771/'THAM_SO_MOI'!$C$42</f>
        <v>6.38929636069379</v>
      </c>
      <c r="G1598" s="75">
        <f>3.6*F1598</f>
        <v>23.001466898497647</v>
      </c>
      <c r="H1598" s="75">
        <f>'THAM_SO_MOI'!$D$50</f>
        <v>1.8785906709588276</v>
      </c>
      <c r="I1598" s="75">
        <f>IF(F1598&gt;'THAM_SO_MOI'!$C$14,'THAM_SO_MOI'!$C$13*(1+F1598^2/1500),'THAM_SO_MOI'!$C$13)</f>
        <v>0.015</v>
      </c>
      <c r="J1598" s="75">
        <f>'THAM_SO_MOI'!$C$40*('THAM_SO_MOI'!$C$23*(E1598/'THAM_SO_MOI'!$C$22)+'THAM_SO_MOI'!$C$24*(E1598/'THAM_SO_MOI'!$C$22)^2-'THAM_SO_MOI'!$C$25*(E1598/'THAM_SO_MOI'!$C$22)^3)</f>
        <v>113.36720659245901</v>
      </c>
      <c r="K1598" s="75">
        <f>'THAM_SO_MOI'!$C$31*J1598/E1598</f>
        <v>422.52311226871285</v>
      </c>
      <c r="L1598" s="75">
        <f>K1598*'THAM_SO_MOI'!$C$50*'THAM_SO_MOI'!$C$17/'THAM_SO_MOI'!$C$26</f>
        <v>15084.651277135046</v>
      </c>
      <c r="M1598" s="75">
        <f>'THAM_SO_MOI'!$C$15*'THAM_SO_MOI'!$C$16*F1598^2</f>
        <v>119.40759085546662</v>
      </c>
      <c r="N1598" s="75">
        <f>'THAM_SO_MOI'!$C$12*I1598</f>
        <v>1130.112</v>
      </c>
      <c r="O1598" s="75">
        <f>M1598+N1598</f>
        <v>1249.5195908554667</v>
      </c>
      <c r="P1598" s="75">
        <f>(MIN(L1598,'THAM_SO_MOI'!$C$41)-O1598)/('THAM_SO_MOI'!$C$11*H1598)</f>
        <v>0.9589366465863469</v>
      </c>
      <c r="Q1598" s="75">
        <f>IF(P1598&gt;0,1/P1598,NA())</f>
        <v>1.042821758413167</v>
      </c>
      <c r="R1598" s="75">
        <f>F1598-F1597</f>
        <v>0.0032106047296869278</v>
      </c>
      <c r="S1598" s="75">
        <f>0.5*(Q1597+Q1598)*R1598</f>
        <v>0.0033478606266039677</v>
      </c>
      <c r="T1598" s="75">
        <f>0.5*(F1597*Q1597+F1598*Q1598)*R1598</f>
        <v>0.021385099754846898</v>
      </c>
      <c r="U1598" s="76">
        <f>U1597+S1598</f>
        <v>6.669342419814922</v>
      </c>
      <c r="V1598" s="76">
        <f>V1597+T1598</f>
        <v>25.240450512837523</v>
      </c>
    </row>
    <row r="1599" spans="1:22" ht="19" customHeight="1">
      <c r="A1599" s="68" t="s">
        <v>372</v>
      </c>
      <c r="B1599" s="74">
        <v>2</v>
      </c>
      <c r="C1599" s="68" t="s">
        <v>363</v>
      </c>
      <c r="D1599" s="68" t="s">
        <v>364</v>
      </c>
      <c r="E1599" s="75">
        <f>60*F1599*'THAM_SO_MOI'!$C$50/(2*PI()*'THAM_SO_MOI'!$C$26)</f>
        <v>2563.9436190641327</v>
      </c>
      <c r="F1599" s="75">
        <f>'HANH_TRINH'!$F$826+('THAM_SO_MOI'!$F$50-'HANH_TRINH'!$F$826)*772/'THAM_SO_MOI'!$C$42</f>
        <v>6.392506965423477</v>
      </c>
      <c r="G1599" s="75">
        <f>3.6*F1599</f>
        <v>23.013025075524517</v>
      </c>
      <c r="H1599" s="75">
        <f>'THAM_SO_MOI'!$D$50</f>
        <v>1.8785906709588276</v>
      </c>
      <c r="I1599" s="75">
        <f>IF(F1599&gt;'THAM_SO_MOI'!$C$14,'THAM_SO_MOI'!$C$13*(1+F1599^2/1500),'THAM_SO_MOI'!$C$13)</f>
        <v>0.015</v>
      </c>
      <c r="J1599" s="75">
        <f>'THAM_SO_MOI'!$C$40*('THAM_SO_MOI'!$C$23*(E1599/'THAM_SO_MOI'!$C$22)+'THAM_SO_MOI'!$C$24*(E1599/'THAM_SO_MOI'!$C$22)^2-'THAM_SO_MOI'!$C$25*(E1599/'THAM_SO_MOI'!$C$22)^3)</f>
        <v>113.4108716298398</v>
      </c>
      <c r="K1599" s="75">
        <f>'THAM_SO_MOI'!$C$31*J1599/E1599</f>
        <v>422.47356136302864</v>
      </c>
      <c r="L1599" s="75">
        <f>K1599*'THAM_SO_MOI'!$C$50*'THAM_SO_MOI'!$C$17/'THAM_SO_MOI'!$C$26</f>
        <v>15082.882242232556</v>
      </c>
      <c r="M1599" s="75">
        <f>'THAM_SO_MOI'!$C$15*'THAM_SO_MOI'!$C$16*F1599^2</f>
        <v>119.52762501123895</v>
      </c>
      <c r="N1599" s="75">
        <f>'THAM_SO_MOI'!$C$12*I1599</f>
        <v>1130.112</v>
      </c>
      <c r="O1599" s="75">
        <f>M1599+N1599</f>
        <v>1249.639625011239</v>
      </c>
      <c r="P1599" s="75">
        <f>(MIN(L1599,'THAM_SO_MOI'!$C$41)-O1599)/('THAM_SO_MOI'!$C$11*H1599)</f>
        <v>0.958805711978063</v>
      </c>
      <c r="Q1599" s="75">
        <f>IF(P1599&gt;0,1/P1599,NA())</f>
        <v>1.0429641662615372</v>
      </c>
      <c r="R1599" s="75">
        <f>F1599-F1598</f>
        <v>0.0032106047296869278</v>
      </c>
      <c r="S1599" s="75">
        <f>0.5*(Q1598+Q1599)*R1599</f>
        <v>0.003348317077437514</v>
      </c>
      <c r="T1599" s="75">
        <f>0.5*(F1598*Q1598+F1599*Q1599)*R1599</f>
        <v>0.02139876554562744</v>
      </c>
      <c r="U1599" s="76">
        <f>U1598+S1599</f>
        <v>6.672690736892359</v>
      </c>
      <c r="V1599" s="76">
        <f>V1598+T1599</f>
        <v>25.26184927838315</v>
      </c>
    </row>
    <row r="1600" spans="1:22" ht="19" customHeight="1">
      <c r="A1600" s="68" t="s">
        <v>372</v>
      </c>
      <c r="B1600" s="74">
        <v>2</v>
      </c>
      <c r="C1600" s="68" t="s">
        <v>363</v>
      </c>
      <c r="D1600" s="68" t="s">
        <v>364</v>
      </c>
      <c r="E1600" s="75">
        <f>60*F1600*'THAM_SO_MOI'!$C$50/(2*PI()*'THAM_SO_MOI'!$C$26)</f>
        <v>2565.2313469546993</v>
      </c>
      <c r="F1600" s="75">
        <f>'HANH_TRINH'!$F$826+('THAM_SO_MOI'!$F$50-'HANH_TRINH'!$F$826)*773/'THAM_SO_MOI'!$C$42</f>
        <v>6.395717570153164</v>
      </c>
      <c r="G1600" s="75">
        <f>3.6*F1600</f>
        <v>23.02458325255139</v>
      </c>
      <c r="H1600" s="75">
        <f>'THAM_SO_MOI'!$D$50</f>
        <v>1.8785906709588276</v>
      </c>
      <c r="I1600" s="75">
        <f>IF(F1600&gt;'THAM_SO_MOI'!$C$14,'THAM_SO_MOI'!$C$13*(1+F1600^2/1500),'THAM_SO_MOI'!$C$13)</f>
        <v>0.015</v>
      </c>
      <c r="J1600" s="75">
        <f>'THAM_SO_MOI'!$C$40*('THAM_SO_MOI'!$C$23*(E1600/'THAM_SO_MOI'!$C$22)+'THAM_SO_MOI'!$C$24*(E1600/'THAM_SO_MOI'!$C$22)^2-'THAM_SO_MOI'!$C$25*(E1600/'THAM_SO_MOI'!$C$22)^3)</f>
        <v>113.45448009822455</v>
      </c>
      <c r="K1600" s="75">
        <f>'THAM_SO_MOI'!$C$31*J1600/E1600</f>
        <v>422.42384958301216</v>
      </c>
      <c r="L1600" s="75">
        <f>K1600*'THAM_SO_MOI'!$C$50*'THAM_SO_MOI'!$C$17/'THAM_SO_MOI'!$C$26</f>
        <v>15081.107463897028</v>
      </c>
      <c r="M1600" s="75">
        <f>'THAM_SO_MOI'!$C$15*'THAM_SO_MOI'!$C$16*F1600^2</f>
        <v>119.64771946871026</v>
      </c>
      <c r="N1600" s="75">
        <f>'THAM_SO_MOI'!$C$12*I1600</f>
        <v>1130.112</v>
      </c>
      <c r="O1600" s="75">
        <f>M1600+N1600</f>
        <v>1249.7597194687103</v>
      </c>
      <c r="P1600" s="75">
        <f>(MIN(L1600,'THAM_SO_MOI'!$C$41)-O1600)/('THAM_SO_MOI'!$C$11*H1600)</f>
        <v>0.9586743751029951</v>
      </c>
      <c r="Q1600" s="75">
        <f>IF(P1600&gt;0,1/P1600,NA())</f>
        <v>1.0431070507048497</v>
      </c>
      <c r="R1600" s="75">
        <f>F1600-F1599</f>
        <v>0.0032106047296869278</v>
      </c>
      <c r="S1600" s="75">
        <f>0.5*(Q1599+Q1600)*R1600</f>
        <v>0.003348775057828023</v>
      </c>
      <c r="T1600" s="75">
        <f>0.5*(F1599*Q1599+F1600*Q1600)*R1600</f>
        <v>0.0214124440475343</v>
      </c>
      <c r="U1600" s="76">
        <f>U1599+S1600</f>
        <v>6.6760395119501865</v>
      </c>
      <c r="V1600" s="76">
        <f>V1599+T1600</f>
        <v>25.283261722430684</v>
      </c>
    </row>
    <row r="1601" spans="1:22" ht="19" customHeight="1">
      <c r="A1601" s="68" t="s">
        <v>372</v>
      </c>
      <c r="B1601" s="74">
        <v>2</v>
      </c>
      <c r="C1601" s="68" t="s">
        <v>363</v>
      </c>
      <c r="D1601" s="68" t="s">
        <v>364</v>
      </c>
      <c r="E1601" s="75">
        <f>60*F1601*'THAM_SO_MOI'!$C$50/(2*PI()*'THAM_SO_MOI'!$C$26)</f>
        <v>2566.519074845266</v>
      </c>
      <c r="F1601" s="75">
        <f>'HANH_TRINH'!$F$826+('THAM_SO_MOI'!$F$50-'HANH_TRINH'!$F$826)*774/'THAM_SO_MOI'!$C$42</f>
        <v>6.398928174882851</v>
      </c>
      <c r="G1601" s="75">
        <f>3.6*F1601</f>
        <v>23.036141429578265</v>
      </c>
      <c r="H1601" s="75">
        <f>'THAM_SO_MOI'!$D$50</f>
        <v>1.8785906709588276</v>
      </c>
      <c r="I1601" s="75">
        <f>IF(F1601&gt;'THAM_SO_MOI'!$C$14,'THAM_SO_MOI'!$C$13*(1+F1601^2/1500),'THAM_SO_MOI'!$C$13)</f>
        <v>0.015</v>
      </c>
      <c r="J1601" s="75">
        <f>'THAM_SO_MOI'!$C$40*('THAM_SO_MOI'!$C$23*(E1601/'THAM_SO_MOI'!$C$22)+'THAM_SO_MOI'!$C$24*(E1601/'THAM_SO_MOI'!$C$22)^2-'THAM_SO_MOI'!$C$25*(E1601/'THAM_SO_MOI'!$C$22)^3)</f>
        <v>113.49803193254351</v>
      </c>
      <c r="K1601" s="75">
        <f>'THAM_SO_MOI'!$C$31*J1601/E1601</f>
        <v>422.37397692866335</v>
      </c>
      <c r="L1601" s="75">
        <f>K1601*'THAM_SO_MOI'!$C$50*'THAM_SO_MOI'!$C$17/'THAM_SO_MOI'!$C$26</f>
        <v>15079.326942128462</v>
      </c>
      <c r="M1601" s="75">
        <f>'THAM_SO_MOI'!$C$15*'THAM_SO_MOI'!$C$16*F1601^2</f>
        <v>119.76787422788051</v>
      </c>
      <c r="N1601" s="75">
        <f>'THAM_SO_MOI'!$C$12*I1601</f>
        <v>1130.112</v>
      </c>
      <c r="O1601" s="75">
        <f>M1601+N1601</f>
        <v>1249.8798742278807</v>
      </c>
      <c r="P1601" s="75">
        <f>(MIN(L1601,'THAM_SO_MOI'!$C$41)-O1601)/('THAM_SO_MOI'!$C$11*H1601)</f>
        <v>0.9585426359611439</v>
      </c>
      <c r="Q1601" s="75">
        <f>IF(P1601&gt;0,1/P1601,NA())</f>
        <v>1.0432504121189</v>
      </c>
      <c r="R1601" s="75">
        <f>F1601-F1600</f>
        <v>0.0032106047296869278</v>
      </c>
      <c r="S1601" s="75">
        <f>0.5*(Q1600+Q1601)*R1601</f>
        <v>0.0033492345689797743</v>
      </c>
      <c r="T1601" s="75">
        <f>0.5*(F1600*Q1600+F1601*Q1601)*R1601</f>
        <v>0.021426135283004046</v>
      </c>
      <c r="U1601" s="76">
        <f>U1600+S1601</f>
        <v>6.679388746519166</v>
      </c>
      <c r="V1601" s="76">
        <f>V1600+T1601</f>
        <v>25.304687857713688</v>
      </c>
    </row>
    <row r="1602" spans="1:22" ht="19" customHeight="1">
      <c r="A1602" s="68" t="s">
        <v>372</v>
      </c>
      <c r="B1602" s="74">
        <v>2</v>
      </c>
      <c r="C1602" s="68" t="s">
        <v>363</v>
      </c>
      <c r="D1602" s="68" t="s">
        <v>364</v>
      </c>
      <c r="E1602" s="75">
        <f>60*F1602*'THAM_SO_MOI'!$C$50/(2*PI()*'THAM_SO_MOI'!$C$26)</f>
        <v>2567.806802735832</v>
      </c>
      <c r="F1602" s="75">
        <f>'HANH_TRINH'!$F$826+('THAM_SO_MOI'!$F$50-'HANH_TRINH'!$F$826)*775/'THAM_SO_MOI'!$C$42</f>
        <v>6.402138779612537</v>
      </c>
      <c r="G1602" s="75">
        <f>3.6*F1602</f>
        <v>23.047699606605136</v>
      </c>
      <c r="H1602" s="75">
        <f>'THAM_SO_MOI'!$D$50</f>
        <v>1.8785906709588276</v>
      </c>
      <c r="I1602" s="75">
        <f>IF(F1602&gt;'THAM_SO_MOI'!$C$14,'THAM_SO_MOI'!$C$13*(1+F1602^2/1500),'THAM_SO_MOI'!$C$13)</f>
        <v>0.015</v>
      </c>
      <c r="J1602" s="75">
        <f>'THAM_SO_MOI'!$C$40*('THAM_SO_MOI'!$C$23*(E1602/'THAM_SO_MOI'!$C$22)+'THAM_SO_MOI'!$C$24*(E1602/'THAM_SO_MOI'!$C$22)^2-'THAM_SO_MOI'!$C$25*(E1602/'THAM_SO_MOI'!$C$22)^3)</f>
        <v>113.54152706772703</v>
      </c>
      <c r="K1602" s="75">
        <f>'THAM_SO_MOI'!$C$31*J1602/E1602</f>
        <v>422.32394339998257</v>
      </c>
      <c r="L1602" s="75">
        <f>K1602*'THAM_SO_MOI'!$C$50*'THAM_SO_MOI'!$C$17/'THAM_SO_MOI'!$C$26</f>
        <v>15077.540676926868</v>
      </c>
      <c r="M1602" s="75">
        <f>'THAM_SO_MOI'!$C$15*'THAM_SO_MOI'!$C$16*F1602^2</f>
        <v>119.88808928874973</v>
      </c>
      <c r="N1602" s="75">
        <f>'THAM_SO_MOI'!$C$12*I1602</f>
        <v>1130.112</v>
      </c>
      <c r="O1602" s="75">
        <f>M1602+N1602</f>
        <v>1250.00008928875</v>
      </c>
      <c r="P1602" s="75">
        <f>(MIN(L1602,'THAM_SO_MOI'!$C$41)-O1602)/('THAM_SO_MOI'!$C$11*H1602)</f>
        <v>0.9584104945525093</v>
      </c>
      <c r="Q1602" s="75">
        <f>IF(P1602&gt;0,1/P1602,NA())</f>
        <v>1.0433942508808913</v>
      </c>
      <c r="R1602" s="75">
        <f>F1602-F1601</f>
        <v>0.0032106047296860396</v>
      </c>
      <c r="S1602" s="75">
        <f>0.5*(Q1601+Q1602)*R1602</f>
        <v>0.003349695612100631</v>
      </c>
      <c r="T1602" s="75">
        <f>0.5*(F1601*Q1601+F1602*Q1602)*R1602</f>
        <v>0.021439839274511662</v>
      </c>
      <c r="U1602" s="76">
        <f>U1601+S1602</f>
        <v>6.682738442131266</v>
      </c>
      <c r="V1602" s="76">
        <f>V1601+T1602</f>
        <v>25.3261276969882</v>
      </c>
    </row>
    <row r="1603" spans="1:22" ht="19" customHeight="1">
      <c r="A1603" s="68" t="s">
        <v>372</v>
      </c>
      <c r="B1603" s="74">
        <v>2</v>
      </c>
      <c r="C1603" s="68" t="s">
        <v>363</v>
      </c>
      <c r="D1603" s="68" t="s">
        <v>364</v>
      </c>
      <c r="E1603" s="75">
        <f>60*F1603*'THAM_SO_MOI'!$C$50/(2*PI()*'THAM_SO_MOI'!$C$26)</f>
        <v>2569.0945306263993</v>
      </c>
      <c r="F1603" s="75">
        <f>'HANH_TRINH'!$F$826+('THAM_SO_MOI'!$F$50-'HANH_TRINH'!$F$826)*776/'THAM_SO_MOI'!$C$42</f>
        <v>6.405349384342225</v>
      </c>
      <c r="G1603" s="75">
        <f>3.6*F1603</f>
        <v>23.05925778363201</v>
      </c>
      <c r="H1603" s="75">
        <f>'THAM_SO_MOI'!$D$50</f>
        <v>1.8785906709588276</v>
      </c>
      <c r="I1603" s="75">
        <f>IF(F1603&gt;'THAM_SO_MOI'!$C$14,'THAM_SO_MOI'!$C$13*(1+F1603^2/1500),'THAM_SO_MOI'!$C$13)</f>
        <v>0.015</v>
      </c>
      <c r="J1603" s="75">
        <f>'THAM_SO_MOI'!$C$40*('THAM_SO_MOI'!$C$23*(E1603/'THAM_SO_MOI'!$C$22)+'THAM_SO_MOI'!$C$24*(E1603/'THAM_SO_MOI'!$C$22)^2-'THAM_SO_MOI'!$C$25*(E1603/'THAM_SO_MOI'!$C$22)^3)</f>
        <v>113.58496543870535</v>
      </c>
      <c r="K1603" s="75">
        <f>'THAM_SO_MOI'!$C$31*J1603/E1603</f>
        <v>422.2737489969692</v>
      </c>
      <c r="L1603" s="75">
        <f>K1603*'THAM_SO_MOI'!$C$50*'THAM_SO_MOI'!$C$17/'THAM_SO_MOI'!$C$26</f>
        <v>15075.748668292228</v>
      </c>
      <c r="M1603" s="75">
        <f>'THAM_SO_MOI'!$C$15*'THAM_SO_MOI'!$C$16*F1603^2</f>
        <v>120.00836465131796</v>
      </c>
      <c r="N1603" s="75">
        <f>'THAM_SO_MOI'!$C$12*I1603</f>
        <v>1130.112</v>
      </c>
      <c r="O1603" s="75">
        <f>M1603+N1603</f>
        <v>1250.1203646513181</v>
      </c>
      <c r="P1603" s="75">
        <f>(MIN(L1603,'THAM_SO_MOI'!$C$41)-O1603)/('THAM_SO_MOI'!$C$11*H1603)</f>
        <v>0.9582779508770904</v>
      </c>
      <c r="Q1603" s="75">
        <f>IF(P1603&gt;0,1/P1603,NA())</f>
        <v>1.0435385673694384</v>
      </c>
      <c r="R1603" s="75">
        <f>F1603-F1602</f>
        <v>0.003210604729687816</v>
      </c>
      <c r="S1603" s="75">
        <f>0.5*(Q1602+Q1603)*R1603</f>
        <v>0.003350158188407616</v>
      </c>
      <c r="T1603" s="75">
        <f>0.5*(F1602*Q1602+F1603*Q1603)*R1603</f>
        <v>0.021453556044606303</v>
      </c>
      <c r="U1603" s="76">
        <f>U1602+S1603</f>
        <v>6.686088600319674</v>
      </c>
      <c r="V1603" s="76">
        <f>V1602+T1603</f>
        <v>25.347581253032804</v>
      </c>
    </row>
    <row r="1604" spans="1:22" ht="19" customHeight="1">
      <c r="A1604" s="68" t="s">
        <v>372</v>
      </c>
      <c r="B1604" s="74">
        <v>2</v>
      </c>
      <c r="C1604" s="68" t="s">
        <v>363</v>
      </c>
      <c r="D1604" s="68" t="s">
        <v>364</v>
      </c>
      <c r="E1604" s="75">
        <f>60*F1604*'THAM_SO_MOI'!$C$50/(2*PI()*'THAM_SO_MOI'!$C$26)</f>
        <v>2570.382258516966</v>
      </c>
      <c r="F1604" s="75">
        <f>'HANH_TRINH'!$F$826+('THAM_SO_MOI'!$F$50-'HANH_TRINH'!$F$826)*777/'THAM_SO_MOI'!$C$42</f>
        <v>6.408559989071911</v>
      </c>
      <c r="G1604" s="75">
        <f>3.6*F1604</f>
        <v>23.07081596065888</v>
      </c>
      <c r="H1604" s="75">
        <f>'THAM_SO_MOI'!$D$50</f>
        <v>1.8785906709588276</v>
      </c>
      <c r="I1604" s="75">
        <f>IF(F1604&gt;'THAM_SO_MOI'!$C$14,'THAM_SO_MOI'!$C$13*(1+F1604^2/1500),'THAM_SO_MOI'!$C$13)</f>
        <v>0.015</v>
      </c>
      <c r="J1604" s="75">
        <f>'THAM_SO_MOI'!$C$40*('THAM_SO_MOI'!$C$23*(E1604/'THAM_SO_MOI'!$C$22)+'THAM_SO_MOI'!$C$24*(E1604/'THAM_SO_MOI'!$C$22)^2-'THAM_SO_MOI'!$C$25*(E1604/'THAM_SO_MOI'!$C$22)^3)</f>
        <v>113.62834698040882</v>
      </c>
      <c r="K1604" s="75">
        <f>'THAM_SO_MOI'!$C$31*J1604/E1604</f>
        <v>422.2233937196237</v>
      </c>
      <c r="L1604" s="75">
        <f>K1604*'THAM_SO_MOI'!$C$50*'THAM_SO_MOI'!$C$17/'THAM_SO_MOI'!$C$26</f>
        <v>15073.950916224556</v>
      </c>
      <c r="M1604" s="75">
        <f>'THAM_SO_MOI'!$C$15*'THAM_SO_MOI'!$C$16*F1604^2</f>
        <v>120.12870031558512</v>
      </c>
      <c r="N1604" s="75">
        <f>'THAM_SO_MOI'!$C$12*I1604</f>
        <v>1130.112</v>
      </c>
      <c r="O1604" s="75">
        <f>M1604+N1604</f>
        <v>1250.2407003155852</v>
      </c>
      <c r="P1604" s="75">
        <f>(MIN(L1604,'THAM_SO_MOI'!$C$41)-O1604)/('THAM_SO_MOI'!$C$11*H1604)</f>
        <v>0.9581450049348881</v>
      </c>
      <c r="Q1604" s="75">
        <f>IF(P1604&gt;0,1/P1604,NA())</f>
        <v>1.0436833619645662</v>
      </c>
      <c r="R1604" s="75">
        <f>F1604-F1603</f>
        <v>0.0032106047296860396</v>
      </c>
      <c r="S1604" s="75">
        <f>0.5*(Q1603+Q1604)*R1604</f>
        <v>0.0033506222991120885</v>
      </c>
      <c r="T1604" s="75">
        <f>0.5*(F1603*Q1603+F1604*Q1604)*R1604</f>
        <v>0.021467285615816453</v>
      </c>
      <c r="U1604" s="76">
        <f>U1603+S1604</f>
        <v>6.689439222618786</v>
      </c>
      <c r="V1604" s="76">
        <f>V1603+T1604</f>
        <v>25.36904853864862</v>
      </c>
    </row>
    <row r="1605" spans="1:22" ht="19" customHeight="1">
      <c r="A1605" s="68" t="s">
        <v>372</v>
      </c>
      <c r="B1605" s="74">
        <v>2</v>
      </c>
      <c r="C1605" s="68" t="s">
        <v>363</v>
      </c>
      <c r="D1605" s="68" t="s">
        <v>364</v>
      </c>
      <c r="E1605" s="75">
        <f>60*F1605*'THAM_SO_MOI'!$C$50/(2*PI()*'THAM_SO_MOI'!$C$26)</f>
        <v>2571.6699864075326</v>
      </c>
      <c r="F1605" s="75">
        <f>'HANH_TRINH'!$F$826+('THAM_SO_MOI'!$F$50-'HANH_TRINH'!$F$826)*778/'THAM_SO_MOI'!$C$42</f>
        <v>6.411770593801598</v>
      </c>
      <c r="G1605" s="75">
        <f>3.6*F1605</f>
        <v>23.082374137685754</v>
      </c>
      <c r="H1605" s="75">
        <f>'THAM_SO_MOI'!$D$50</f>
        <v>1.8785906709588276</v>
      </c>
      <c r="I1605" s="75">
        <f>IF(F1605&gt;'THAM_SO_MOI'!$C$14,'THAM_SO_MOI'!$C$13*(1+F1605^2/1500),'THAM_SO_MOI'!$C$13)</f>
        <v>0.015</v>
      </c>
      <c r="J1605" s="75">
        <f>'THAM_SO_MOI'!$C$40*('THAM_SO_MOI'!$C$23*(E1605/'THAM_SO_MOI'!$C$22)+'THAM_SO_MOI'!$C$24*(E1605/'THAM_SO_MOI'!$C$22)^2-'THAM_SO_MOI'!$C$25*(E1605/'THAM_SO_MOI'!$C$22)^3)</f>
        <v>113.67167162776774</v>
      </c>
      <c r="K1605" s="75">
        <f>'THAM_SO_MOI'!$C$31*J1605/E1605</f>
        <v>422.17287756794593</v>
      </c>
      <c r="L1605" s="75">
        <f>K1605*'THAM_SO_MOI'!$C$50*'THAM_SO_MOI'!$C$17/'THAM_SO_MOI'!$C$26</f>
        <v>15072.147420723846</v>
      </c>
      <c r="M1605" s="75">
        <f>'THAM_SO_MOI'!$C$15*'THAM_SO_MOI'!$C$16*F1605^2</f>
        <v>120.24909628155129</v>
      </c>
      <c r="N1605" s="75">
        <f>'THAM_SO_MOI'!$C$12*I1605</f>
        <v>1130.112</v>
      </c>
      <c r="O1605" s="75">
        <f>M1605+N1605</f>
        <v>1250.3610962815515</v>
      </c>
      <c r="P1605" s="75">
        <f>(MIN(L1605,'THAM_SO_MOI'!$C$41)-O1605)/('THAM_SO_MOI'!$C$11*H1605)</f>
        <v>0.9580116567259022</v>
      </c>
      <c r="Q1605" s="75">
        <f>IF(P1605&gt;0,1/P1605,NA())</f>
        <v>1.0438286350477166</v>
      </c>
      <c r="R1605" s="75">
        <f>F1605-F1604</f>
        <v>0.0032106047296869278</v>
      </c>
      <c r="S1605" s="75">
        <f>0.5*(Q1604+Q1605)*R1605</f>
        <v>0.0033510879454429193</v>
      </c>
      <c r="T1605" s="75">
        <f>0.5*(F1604*Q1604+F1605*Q1605)*R1605</f>
        <v>0.021481028010798413</v>
      </c>
      <c r="U1605" s="76">
        <f>U1604+S1605</f>
        <v>6.692790310564229</v>
      </c>
      <c r="V1605" s="76">
        <f>V1604+T1605</f>
        <v>25.390529566659417</v>
      </c>
    </row>
    <row r="1606" spans="1:22" ht="19" customHeight="1">
      <c r="A1606" s="68" t="s">
        <v>372</v>
      </c>
      <c r="B1606" s="74">
        <v>2</v>
      </c>
      <c r="C1606" s="68" t="s">
        <v>363</v>
      </c>
      <c r="D1606" s="68" t="s">
        <v>364</v>
      </c>
      <c r="E1606" s="75">
        <f>60*F1606*'THAM_SO_MOI'!$C$50/(2*PI()*'THAM_SO_MOI'!$C$26)</f>
        <v>2572.9577142980997</v>
      </c>
      <c r="F1606" s="75">
        <f>'HANH_TRINH'!$F$826+('THAM_SO_MOI'!$F$50-'HANH_TRINH'!$F$826)*779/'THAM_SO_MOI'!$C$42</f>
        <v>6.414981198531285</v>
      </c>
      <c r="G1606" s="75">
        <f>3.6*F1606</f>
        <v>23.093932314712625</v>
      </c>
      <c r="H1606" s="75">
        <f>'THAM_SO_MOI'!$D$50</f>
        <v>1.8785906709588276</v>
      </c>
      <c r="I1606" s="75">
        <f>IF(F1606&gt;'THAM_SO_MOI'!$C$14,'THAM_SO_MOI'!$C$13*(1+F1606^2/1500),'THAM_SO_MOI'!$C$13)</f>
        <v>0.015</v>
      </c>
      <c r="J1606" s="75">
        <f>'THAM_SO_MOI'!$C$40*('THAM_SO_MOI'!$C$23*(E1606/'THAM_SO_MOI'!$C$22)+'THAM_SO_MOI'!$C$24*(E1606/'THAM_SO_MOI'!$C$22)^2-'THAM_SO_MOI'!$C$25*(E1606/'THAM_SO_MOI'!$C$22)^3)</f>
        <v>113.71493931571237</v>
      </c>
      <c r="K1606" s="75">
        <f>'THAM_SO_MOI'!$C$31*J1606/E1606</f>
        <v>422.12220054193585</v>
      </c>
      <c r="L1606" s="75">
        <f>K1606*'THAM_SO_MOI'!$C$50*'THAM_SO_MOI'!$C$17/'THAM_SO_MOI'!$C$26</f>
        <v>15070.3381817901</v>
      </c>
      <c r="M1606" s="75">
        <f>'THAM_SO_MOI'!$C$15*'THAM_SO_MOI'!$C$16*F1606^2</f>
        <v>120.36955254921641</v>
      </c>
      <c r="N1606" s="75">
        <f>'THAM_SO_MOI'!$C$12*I1606</f>
        <v>1130.112</v>
      </c>
      <c r="O1606" s="75">
        <f>M1606+N1606</f>
        <v>1250.4815525492165</v>
      </c>
      <c r="P1606" s="75">
        <f>(MIN(L1606,'THAM_SO_MOI'!$C$41)-O1606)/('THAM_SO_MOI'!$C$11*H1606)</f>
        <v>0.9578779062501326</v>
      </c>
      <c r="Q1606" s="75">
        <f>IF(P1606&gt;0,1/P1606,NA())</f>
        <v>1.043974387001748</v>
      </c>
      <c r="R1606" s="75">
        <f>F1606-F1605</f>
        <v>0.0032106047296869278</v>
      </c>
      <c r="S1606" s="75">
        <f>0.5*(Q1605+Q1606)*R1606</f>
        <v>0.003351555128623336</v>
      </c>
      <c r="T1606" s="75">
        <f>0.5*(F1605*Q1605+F1606*Q1606)*R1606</f>
        <v>0.02149478325218808</v>
      </c>
      <c r="U1606" s="76">
        <f>U1605+S1606</f>
        <v>6.696141865692852</v>
      </c>
      <c r="V1606" s="76">
        <f>V1605+T1606</f>
        <v>25.412024349911604</v>
      </c>
    </row>
    <row r="1607" spans="1:22" ht="19" customHeight="1">
      <c r="A1607" s="68" t="s">
        <v>372</v>
      </c>
      <c r="B1607" s="74">
        <v>2</v>
      </c>
      <c r="C1607" s="68" t="s">
        <v>363</v>
      </c>
      <c r="D1607" s="68" t="s">
        <v>364</v>
      </c>
      <c r="E1607" s="75">
        <f>60*F1607*'THAM_SO_MOI'!$C$50/(2*PI()*'THAM_SO_MOI'!$C$26)</f>
        <v>2574.2454421886664</v>
      </c>
      <c r="F1607" s="75">
        <f>'HANH_TRINH'!$F$826+('THAM_SO_MOI'!$F$50-'HANH_TRINH'!$F$826)*780/'THAM_SO_MOI'!$C$42</f>
        <v>6.418191803260972</v>
      </c>
      <c r="G1607" s="75">
        <f>3.6*F1607</f>
        <v>23.1054904917395</v>
      </c>
      <c r="H1607" s="75">
        <f>'THAM_SO_MOI'!$D$50</f>
        <v>1.8785906709588276</v>
      </c>
      <c r="I1607" s="75">
        <f>IF(F1607&gt;'THAM_SO_MOI'!$C$14,'THAM_SO_MOI'!$C$13*(1+F1607^2/1500),'THAM_SO_MOI'!$C$13)</f>
        <v>0.015</v>
      </c>
      <c r="J1607" s="75">
        <f>'THAM_SO_MOI'!$C$40*('THAM_SO_MOI'!$C$23*(E1607/'THAM_SO_MOI'!$C$22)+'THAM_SO_MOI'!$C$24*(E1607/'THAM_SO_MOI'!$C$22)^2-'THAM_SO_MOI'!$C$25*(E1607/'THAM_SO_MOI'!$C$22)^3)</f>
        <v>113.75814997917306</v>
      </c>
      <c r="K1607" s="75">
        <f>'THAM_SO_MOI'!$C$31*J1607/E1607</f>
        <v>422.07136264159357</v>
      </c>
      <c r="L1607" s="75">
        <f>K1607*'THAM_SO_MOI'!$C$50*'THAM_SO_MOI'!$C$17/'THAM_SO_MOI'!$C$26</f>
        <v>15068.52319942332</v>
      </c>
      <c r="M1607" s="75">
        <f>'THAM_SO_MOI'!$C$15*'THAM_SO_MOI'!$C$16*F1607^2</f>
        <v>120.49006911858051</v>
      </c>
      <c r="N1607" s="75">
        <f>'THAM_SO_MOI'!$C$12*I1607</f>
        <v>1130.112</v>
      </c>
      <c r="O1607" s="75">
        <f>M1607+N1607</f>
        <v>1250.6020691185806</v>
      </c>
      <c r="P1607" s="75">
        <f>(MIN(L1607,'THAM_SO_MOI'!$C$41)-O1607)/('THAM_SO_MOI'!$C$11*H1607)</f>
        <v>0.9577437535075793</v>
      </c>
      <c r="Q1607" s="75">
        <f>IF(P1607&gt;0,1/P1607,NA())</f>
        <v>1.0441206182109402</v>
      </c>
      <c r="R1607" s="75">
        <f>F1607-F1606</f>
        <v>0.0032106047296869278</v>
      </c>
      <c r="S1607" s="75">
        <f>0.5*(Q1606+Q1607)*R1607</f>
        <v>0.0033520238498857533</v>
      </c>
      <c r="T1607" s="75">
        <f>0.5*(F1606*Q1606+F1607*Q1607)*R1607</f>
        <v>0.02150855136269599</v>
      </c>
      <c r="U1607" s="76">
        <f>U1606+S1607</f>
        <v>6.6994938895427385</v>
      </c>
      <c r="V1607" s="76">
        <f>V1606+T1607</f>
        <v>25.4335329012743</v>
      </c>
    </row>
    <row r="1608" spans="1:22" ht="19" customHeight="1">
      <c r="A1608" s="68" t="s">
        <v>372</v>
      </c>
      <c r="B1608" s="74">
        <v>2</v>
      </c>
      <c r="C1608" s="68" t="s">
        <v>363</v>
      </c>
      <c r="D1608" s="68" t="s">
        <v>364</v>
      </c>
      <c r="E1608" s="75">
        <f>60*F1608*'THAM_SO_MOI'!$C$50/(2*PI()*'THAM_SO_MOI'!$C$26)</f>
        <v>2575.533170079233</v>
      </c>
      <c r="F1608" s="75">
        <f>'HANH_TRINH'!$F$826+('THAM_SO_MOI'!$F$50-'HANH_TRINH'!$F$826)*781/'THAM_SO_MOI'!$C$42</f>
        <v>6.421402407990659</v>
      </c>
      <c r="G1608" s="75">
        <f>3.6*F1608</f>
        <v>23.117048668766373</v>
      </c>
      <c r="H1608" s="75">
        <f>'THAM_SO_MOI'!$D$50</f>
        <v>1.8785906709588276</v>
      </c>
      <c r="I1608" s="75">
        <f>IF(F1608&gt;'THAM_SO_MOI'!$C$14,'THAM_SO_MOI'!$C$13*(1+F1608^2/1500),'THAM_SO_MOI'!$C$13)</f>
        <v>0.015</v>
      </c>
      <c r="J1608" s="75">
        <f>'THAM_SO_MOI'!$C$40*('THAM_SO_MOI'!$C$23*(E1608/'THAM_SO_MOI'!$C$22)+'THAM_SO_MOI'!$C$24*(E1608/'THAM_SO_MOI'!$C$22)^2-'THAM_SO_MOI'!$C$25*(E1608/'THAM_SO_MOI'!$C$22)^3)</f>
        <v>113.80130355308009</v>
      </c>
      <c r="K1608" s="75">
        <f>'THAM_SO_MOI'!$C$31*J1608/E1608</f>
        <v>422.02036386691907</v>
      </c>
      <c r="L1608" s="75">
        <f>K1608*'THAM_SO_MOI'!$C$50*'THAM_SO_MOI'!$C$17/'THAM_SO_MOI'!$C$26</f>
        <v>15066.702473623505</v>
      </c>
      <c r="M1608" s="75">
        <f>'THAM_SO_MOI'!$C$15*'THAM_SO_MOI'!$C$16*F1608^2</f>
        <v>120.61064598964357</v>
      </c>
      <c r="N1608" s="75">
        <f>'THAM_SO_MOI'!$C$12*I1608</f>
        <v>1130.112</v>
      </c>
      <c r="O1608" s="75">
        <f>M1608+N1608</f>
        <v>1250.7226459896438</v>
      </c>
      <c r="P1608" s="75">
        <f>(MIN(L1608,'THAM_SO_MOI'!$C$41)-O1608)/('THAM_SO_MOI'!$C$11*H1608)</f>
        <v>0.9576091984982429</v>
      </c>
      <c r="Q1608" s="75">
        <f>IF(P1608&gt;0,1/P1608,NA())</f>
        <v>1.0442673290609947</v>
      </c>
      <c r="R1608" s="75">
        <f>F1608-F1607</f>
        <v>0.0032106047296869278</v>
      </c>
      <c r="S1608" s="75">
        <f>0.5*(Q1607+Q1608)*R1608</f>
        <v>0.003352494110466224</v>
      </c>
      <c r="T1608" s="75">
        <f>0.5*(F1607*Q1607+F1608*Q1608)*R1608</f>
        <v>0.021522332365071888</v>
      </c>
      <c r="U1608" s="76">
        <f>U1607+S1608</f>
        <v>6.702846383653204</v>
      </c>
      <c r="V1608" s="76">
        <f>V1607+T1608</f>
        <v>25.455055233639374</v>
      </c>
    </row>
    <row r="1609" spans="1:22" ht="19" customHeight="1">
      <c r="A1609" s="68" t="s">
        <v>372</v>
      </c>
      <c r="B1609" s="74">
        <v>2</v>
      </c>
      <c r="C1609" s="68" t="s">
        <v>363</v>
      </c>
      <c r="D1609" s="68" t="s">
        <v>364</v>
      </c>
      <c r="E1609" s="75">
        <f>60*F1609*'THAM_SO_MOI'!$C$50/(2*PI()*'THAM_SO_MOI'!$C$26)</f>
        <v>2576.8208979697993</v>
      </c>
      <c r="F1609" s="75">
        <f>'HANH_TRINH'!$F$826+('THAM_SO_MOI'!$F$50-'HANH_TRINH'!$F$826)*782/'THAM_SO_MOI'!$C$42</f>
        <v>6.424613012720345</v>
      </c>
      <c r="G1609" s="75">
        <f>3.6*F1609</f>
        <v>23.128606845793243</v>
      </c>
      <c r="H1609" s="75">
        <f>'THAM_SO_MOI'!$D$50</f>
        <v>1.8785906709588276</v>
      </c>
      <c r="I1609" s="75">
        <f>IF(F1609&gt;'THAM_SO_MOI'!$C$14,'THAM_SO_MOI'!$C$13*(1+F1609^2/1500),'THAM_SO_MOI'!$C$13)</f>
        <v>0.015</v>
      </c>
      <c r="J1609" s="75">
        <f>'THAM_SO_MOI'!$C$40*('THAM_SO_MOI'!$C$23*(E1609/'THAM_SO_MOI'!$C$22)+'THAM_SO_MOI'!$C$24*(E1609/'THAM_SO_MOI'!$C$22)^2-'THAM_SO_MOI'!$C$25*(E1609/'THAM_SO_MOI'!$C$22)^3)</f>
        <v>113.84439997236372</v>
      </c>
      <c r="K1609" s="75">
        <f>'THAM_SO_MOI'!$C$31*J1609/E1609</f>
        <v>421.9692042179123</v>
      </c>
      <c r="L1609" s="75">
        <f>K1609*'THAM_SO_MOI'!$C$50*'THAM_SO_MOI'!$C$17/'THAM_SO_MOI'!$C$26</f>
        <v>15064.876004390653</v>
      </c>
      <c r="M1609" s="75">
        <f>'THAM_SO_MOI'!$C$15*'THAM_SO_MOI'!$C$16*F1609^2</f>
        <v>120.73128316240559</v>
      </c>
      <c r="N1609" s="75">
        <f>'THAM_SO_MOI'!$C$12*I1609</f>
        <v>1130.112</v>
      </c>
      <c r="O1609" s="75">
        <f>M1609+N1609</f>
        <v>1250.8432831624057</v>
      </c>
      <c r="P1609" s="75">
        <f>(MIN(L1609,'THAM_SO_MOI'!$C$41)-O1609)/('THAM_SO_MOI'!$C$11*H1609)</f>
        <v>0.9574742412221224</v>
      </c>
      <c r="Q1609" s="75">
        <f>IF(P1609&gt;0,1/P1609,NA())</f>
        <v>1.0444145199390404</v>
      </c>
      <c r="R1609" s="75">
        <f>F1609-F1608</f>
        <v>0.0032106047296860396</v>
      </c>
      <c r="S1609" s="75">
        <f>0.5*(Q1608+Q1609)*R1609</f>
        <v>0.003352965911604447</v>
      </c>
      <c r="T1609" s="75">
        <f>0.5*(F1608*Q1608+F1609*Q1609)*R1609</f>
        <v>0.021536126282104787</v>
      </c>
      <c r="U1609" s="76">
        <f>U1608+S1609</f>
        <v>6.706199349564809</v>
      </c>
      <c r="V1609" s="76">
        <f>V1608+T1609</f>
        <v>25.47659135992148</v>
      </c>
    </row>
    <row r="1610" spans="1:22" ht="19" customHeight="1">
      <c r="A1610" s="68" t="s">
        <v>372</v>
      </c>
      <c r="B1610" s="74">
        <v>2</v>
      </c>
      <c r="C1610" s="68" t="s">
        <v>363</v>
      </c>
      <c r="D1610" s="68" t="s">
        <v>364</v>
      </c>
      <c r="E1610" s="75">
        <f>60*F1610*'THAM_SO_MOI'!$C$50/(2*PI()*'THAM_SO_MOI'!$C$26)</f>
        <v>2578.1086258603664</v>
      </c>
      <c r="F1610" s="75">
        <f>'HANH_TRINH'!$F$826+('THAM_SO_MOI'!$F$50-'HANH_TRINH'!$F$826)*783/'THAM_SO_MOI'!$C$42</f>
        <v>6.4278236174500325</v>
      </c>
      <c r="G1610" s="75">
        <f>3.6*F1610</f>
        <v>23.140165022820117</v>
      </c>
      <c r="H1610" s="75">
        <f>'THAM_SO_MOI'!$D$50</f>
        <v>1.8785906709588276</v>
      </c>
      <c r="I1610" s="75">
        <f>IF(F1610&gt;'THAM_SO_MOI'!$C$14,'THAM_SO_MOI'!$C$13*(1+F1610^2/1500),'THAM_SO_MOI'!$C$13)</f>
        <v>0.015</v>
      </c>
      <c r="J1610" s="75">
        <f>'THAM_SO_MOI'!$C$40*('THAM_SO_MOI'!$C$23*(E1610/'THAM_SO_MOI'!$C$22)+'THAM_SO_MOI'!$C$24*(E1610/'THAM_SO_MOI'!$C$22)^2-'THAM_SO_MOI'!$C$25*(E1610/'THAM_SO_MOI'!$C$22)^3)</f>
        <v>113.88743917195437</v>
      </c>
      <c r="K1610" s="75">
        <f>'THAM_SO_MOI'!$C$31*J1610/E1610</f>
        <v>421.9178836945734</v>
      </c>
      <c r="L1610" s="75">
        <f>K1610*'THAM_SO_MOI'!$C$50*'THAM_SO_MOI'!$C$17/'THAM_SO_MOI'!$C$26</f>
        <v>15063.043791724767</v>
      </c>
      <c r="M1610" s="75">
        <f>'THAM_SO_MOI'!$C$15*'THAM_SO_MOI'!$C$16*F1610^2</f>
        <v>120.85198063686666</v>
      </c>
      <c r="N1610" s="75">
        <f>'THAM_SO_MOI'!$C$12*I1610</f>
        <v>1130.112</v>
      </c>
      <c r="O1610" s="75">
        <f>M1610+N1610</f>
        <v>1250.9639806368668</v>
      </c>
      <c r="P1610" s="75">
        <f>(MIN(L1610,'THAM_SO_MOI'!$C$41)-O1610)/('THAM_SO_MOI'!$C$11*H1610)</f>
        <v>0.9573388816792187</v>
      </c>
      <c r="Q1610" s="75">
        <f>IF(P1610&gt;0,1/P1610,NA())</f>
        <v>1.0445621912336327</v>
      </c>
      <c r="R1610" s="75">
        <f>F1610-F1609</f>
        <v>0.003210604729687816</v>
      </c>
      <c r="S1610" s="75">
        <f>0.5*(Q1609+Q1610)*R1610</f>
        <v>0.003353439254549342</v>
      </c>
      <c r="T1610" s="75">
        <f>0.5*(F1609*Q1609+F1610*Q1610)*R1610</f>
        <v>0.021549933136658886</v>
      </c>
      <c r="U1610" s="76">
        <f>U1609+S1610</f>
        <v>6.709552788819359</v>
      </c>
      <c r="V1610" s="76">
        <f>V1609+T1610</f>
        <v>25.498141293058136</v>
      </c>
    </row>
    <row r="1611" spans="1:22" ht="19" customHeight="1">
      <c r="A1611" s="68" t="s">
        <v>372</v>
      </c>
      <c r="B1611" s="74">
        <v>2</v>
      </c>
      <c r="C1611" s="68" t="s">
        <v>363</v>
      </c>
      <c r="D1611" s="68" t="s">
        <v>364</v>
      </c>
      <c r="E1611" s="75">
        <f>60*F1611*'THAM_SO_MOI'!$C$50/(2*PI()*'THAM_SO_MOI'!$C$26)</f>
        <v>2579.3963537509326</v>
      </c>
      <c r="F1611" s="75">
        <f>'HANH_TRINH'!$F$826+('THAM_SO_MOI'!$F$50-'HANH_TRINH'!$F$826)*784/'THAM_SO_MOI'!$C$42</f>
        <v>6.4310342221797185</v>
      </c>
      <c r="G1611" s="75">
        <f>3.6*F1611</f>
        <v>23.151723199846987</v>
      </c>
      <c r="H1611" s="75">
        <f>'THAM_SO_MOI'!$D$50</f>
        <v>1.8785906709588276</v>
      </c>
      <c r="I1611" s="75">
        <f>IF(F1611&gt;'THAM_SO_MOI'!$C$14,'THAM_SO_MOI'!$C$13*(1+F1611^2/1500),'THAM_SO_MOI'!$C$13)</f>
        <v>0.015</v>
      </c>
      <c r="J1611" s="75">
        <f>'THAM_SO_MOI'!$C$40*('THAM_SO_MOI'!$C$23*(E1611/'THAM_SO_MOI'!$C$22)+'THAM_SO_MOI'!$C$24*(E1611/'THAM_SO_MOI'!$C$22)^2-'THAM_SO_MOI'!$C$25*(E1611/'THAM_SO_MOI'!$C$22)^3)</f>
        <v>113.93042108678219</v>
      </c>
      <c r="K1611" s="75">
        <f>'THAM_SO_MOI'!$C$31*J1611/E1611</f>
        <v>421.8664022969021</v>
      </c>
      <c r="L1611" s="75">
        <f>K1611*'THAM_SO_MOI'!$C$50*'THAM_SO_MOI'!$C$17/'THAM_SO_MOI'!$C$26</f>
        <v>15061.205835625844</v>
      </c>
      <c r="M1611" s="75">
        <f>'THAM_SO_MOI'!$C$15*'THAM_SO_MOI'!$C$16*F1611^2</f>
        <v>120.97273841302659</v>
      </c>
      <c r="N1611" s="75">
        <f>'THAM_SO_MOI'!$C$12*I1611</f>
        <v>1130.112</v>
      </c>
      <c r="O1611" s="75">
        <f>M1611+N1611</f>
        <v>1251.0847384130266</v>
      </c>
      <c r="P1611" s="75">
        <f>(MIN(L1611,'THAM_SO_MOI'!$C$41)-O1611)/('THAM_SO_MOI'!$C$11*H1611)</f>
        <v>0.9572031198695312</v>
      </c>
      <c r="Q1611" s="75">
        <f>IF(P1611&gt;0,1/P1611,NA())</f>
        <v>1.0447103433347587</v>
      </c>
      <c r="R1611" s="75">
        <f>F1611-F1610</f>
        <v>0.0032106047296860396</v>
      </c>
      <c r="S1611" s="75">
        <f>0.5*(Q1610+Q1611)*R1611</f>
        <v>0.003353914140544209</v>
      </c>
      <c r="T1611" s="75">
        <f>0.5*(F1610*Q1610+F1611*Q1611)*R1611</f>
        <v>0.02156375295157831</v>
      </c>
      <c r="U1611" s="76">
        <f>U1610+S1611</f>
        <v>6.712906702959903</v>
      </c>
      <c r="V1611" s="76">
        <f>V1610+T1611</f>
        <v>25.519705046009715</v>
      </c>
    </row>
    <row r="1612" spans="1:22" ht="19" customHeight="1">
      <c r="A1612" s="68" t="s">
        <v>372</v>
      </c>
      <c r="B1612" s="74">
        <v>2</v>
      </c>
      <c r="C1612" s="68" t="s">
        <v>363</v>
      </c>
      <c r="D1612" s="68" t="s">
        <v>364</v>
      </c>
      <c r="E1612" s="75">
        <f>60*F1612*'THAM_SO_MOI'!$C$50/(2*PI()*'THAM_SO_MOI'!$C$26)</f>
        <v>2580.6840816414997</v>
      </c>
      <c r="F1612" s="75">
        <f>'HANH_TRINH'!$F$826+('THAM_SO_MOI'!$F$50-'HANH_TRINH'!$F$826)*785/'THAM_SO_MOI'!$C$42</f>
        <v>6.4342448269094055</v>
      </c>
      <c r="G1612" s="75">
        <f>3.6*F1612</f>
        <v>23.16328137687386</v>
      </c>
      <c r="H1612" s="75">
        <f>'THAM_SO_MOI'!$D$50</f>
        <v>1.8785906709588276</v>
      </c>
      <c r="I1612" s="75">
        <f>IF(F1612&gt;'THAM_SO_MOI'!$C$14,'THAM_SO_MOI'!$C$13*(1+F1612^2/1500),'THAM_SO_MOI'!$C$13)</f>
        <v>0.015</v>
      </c>
      <c r="J1612" s="75">
        <f>'THAM_SO_MOI'!$C$40*('THAM_SO_MOI'!$C$23*(E1612/'THAM_SO_MOI'!$C$22)+'THAM_SO_MOI'!$C$24*(E1612/'THAM_SO_MOI'!$C$22)^2-'THAM_SO_MOI'!$C$25*(E1612/'THAM_SO_MOI'!$C$22)^3)</f>
        <v>113.9733456517776</v>
      </c>
      <c r="K1612" s="75">
        <f>'THAM_SO_MOI'!$C$31*J1612/E1612</f>
        <v>421.8147600248986</v>
      </c>
      <c r="L1612" s="75">
        <f>K1612*'THAM_SO_MOI'!$C$50*'THAM_SO_MOI'!$C$17/'THAM_SO_MOI'!$C$26</f>
        <v>15059.362136093883</v>
      </c>
      <c r="M1612" s="75">
        <f>'THAM_SO_MOI'!$C$15*'THAM_SO_MOI'!$C$16*F1612^2</f>
        <v>121.09355649088556</v>
      </c>
      <c r="N1612" s="75">
        <f>'THAM_SO_MOI'!$C$12*I1612</f>
        <v>1130.112</v>
      </c>
      <c r="O1612" s="75">
        <f>M1612+N1612</f>
        <v>1251.2055564908856</v>
      </c>
      <c r="P1612" s="75">
        <f>(MIN(L1612,'THAM_SO_MOI'!$C$41)-O1612)/('THAM_SO_MOI'!$C$11*H1612)</f>
        <v>0.9570669557930599</v>
      </c>
      <c r="Q1612" s="75">
        <f>IF(P1612&gt;0,1/P1612,NA())</f>
        <v>1.0448589766338388</v>
      </c>
      <c r="R1612" s="75">
        <f>F1612-F1611</f>
        <v>0.0032106047296869278</v>
      </c>
      <c r="S1612" s="75">
        <f>0.5*(Q1611+Q1612)*R1612</f>
        <v>0.003354390570849938</v>
      </c>
      <c r="T1612" s="75">
        <f>0.5*(F1611*Q1611+F1612*Q1612)*R1612</f>
        <v>0.02157758574983628</v>
      </c>
      <c r="U1612" s="76">
        <f>U1611+S1612</f>
        <v>6.716261093530753</v>
      </c>
      <c r="V1612" s="76">
        <f>V1611+T1612</f>
        <v>25.54128263175955</v>
      </c>
    </row>
    <row r="1613" spans="1:22" ht="19" customHeight="1">
      <c r="A1613" s="68" t="s">
        <v>372</v>
      </c>
      <c r="B1613" s="74">
        <v>2</v>
      </c>
      <c r="C1613" s="68" t="s">
        <v>363</v>
      </c>
      <c r="D1613" s="68" t="s">
        <v>364</v>
      </c>
      <c r="E1613" s="75">
        <f>60*F1613*'THAM_SO_MOI'!$C$50/(2*PI()*'THAM_SO_MOI'!$C$26)</f>
        <v>2581.9718095320663</v>
      </c>
      <c r="F1613" s="75">
        <f>'HANH_TRINH'!$F$826+('THAM_SO_MOI'!$F$50-'HANH_TRINH'!$F$826)*786/'THAM_SO_MOI'!$C$42</f>
        <v>6.437455431639092</v>
      </c>
      <c r="G1613" s="75">
        <f>3.6*F1613</f>
        <v>23.174839553900732</v>
      </c>
      <c r="H1613" s="75">
        <f>'THAM_SO_MOI'!$D$50</f>
        <v>1.8785906709588276</v>
      </c>
      <c r="I1613" s="75">
        <f>IF(F1613&gt;'THAM_SO_MOI'!$C$14,'THAM_SO_MOI'!$C$13*(1+F1613^2/1500),'THAM_SO_MOI'!$C$13)</f>
        <v>0.015</v>
      </c>
      <c r="J1613" s="75">
        <f>'THAM_SO_MOI'!$C$40*('THAM_SO_MOI'!$C$23*(E1613/'THAM_SO_MOI'!$C$22)+'THAM_SO_MOI'!$C$24*(E1613/'THAM_SO_MOI'!$C$22)^2-'THAM_SO_MOI'!$C$25*(E1613/'THAM_SO_MOI'!$C$22)^3)</f>
        <v>114.01621280187088</v>
      </c>
      <c r="K1613" s="75">
        <f>'THAM_SO_MOI'!$C$31*J1613/E1613</f>
        <v>421.76295687856293</v>
      </c>
      <c r="L1613" s="75">
        <f>K1613*'THAM_SO_MOI'!$C$50*'THAM_SO_MOI'!$C$17/'THAM_SO_MOI'!$C$26</f>
        <v>15057.512693128892</v>
      </c>
      <c r="M1613" s="75">
        <f>'THAM_SO_MOI'!$C$15*'THAM_SO_MOI'!$C$16*F1613^2</f>
        <v>121.21443487044351</v>
      </c>
      <c r="N1613" s="75">
        <f>'THAM_SO_MOI'!$C$12*I1613</f>
        <v>1130.112</v>
      </c>
      <c r="O1613" s="75">
        <f>M1613+N1613</f>
        <v>1251.3264348704436</v>
      </c>
      <c r="P1613" s="75">
        <f>(MIN(L1613,'THAM_SO_MOI'!$C$41)-O1613)/('THAM_SO_MOI'!$C$11*H1613)</f>
        <v>0.9569303894498054</v>
      </c>
      <c r="Q1613" s="75">
        <f>IF(P1613&gt;0,1/P1613,NA())</f>
        <v>1.0450080915237292</v>
      </c>
      <c r="R1613" s="75">
        <f>F1613-F1612</f>
        <v>0.0032106047296869278</v>
      </c>
      <c r="S1613" s="75">
        <f>0.5*(Q1612+Q1613)*R1613</f>
        <v>0.00335486854672182</v>
      </c>
      <c r="T1613" s="75">
        <f>0.5*(F1612*Q1612+F1613*Q1613)*R1613</f>
        <v>0.021591431554386167</v>
      </c>
      <c r="U1613" s="76">
        <f>U1612+S1613</f>
        <v>6.719615962077475</v>
      </c>
      <c r="V1613" s="76">
        <f>V1612+T1613</f>
        <v>25.562874063313938</v>
      </c>
    </row>
    <row r="1614" spans="1:22" ht="19" customHeight="1">
      <c r="A1614" s="68" t="s">
        <v>372</v>
      </c>
      <c r="B1614" s="74">
        <v>2</v>
      </c>
      <c r="C1614" s="68" t="s">
        <v>363</v>
      </c>
      <c r="D1614" s="68" t="s">
        <v>364</v>
      </c>
      <c r="E1614" s="75">
        <f>60*F1614*'THAM_SO_MOI'!$C$50/(2*PI()*'THAM_SO_MOI'!$C$26)</f>
        <v>2583.259537422633</v>
      </c>
      <c r="F1614" s="75">
        <f>'HANH_TRINH'!$F$826+('THAM_SO_MOI'!$F$50-'HANH_TRINH'!$F$826)*787/'THAM_SO_MOI'!$C$42</f>
        <v>6.440666036368779</v>
      </c>
      <c r="G1614" s="75">
        <f>3.6*F1614</f>
        <v>23.186397730927606</v>
      </c>
      <c r="H1614" s="75">
        <f>'THAM_SO_MOI'!$D$50</f>
        <v>1.8785906709588276</v>
      </c>
      <c r="I1614" s="75">
        <f>IF(F1614&gt;'THAM_SO_MOI'!$C$14,'THAM_SO_MOI'!$C$13*(1+F1614^2/1500),'THAM_SO_MOI'!$C$13)</f>
        <v>0.015</v>
      </c>
      <c r="J1614" s="75">
        <f>'THAM_SO_MOI'!$C$40*('THAM_SO_MOI'!$C$23*(E1614/'THAM_SO_MOI'!$C$22)+'THAM_SO_MOI'!$C$24*(E1614/'THAM_SO_MOI'!$C$22)^2-'THAM_SO_MOI'!$C$25*(E1614/'THAM_SO_MOI'!$C$22)^3)</f>
        <v>114.05902247199225</v>
      </c>
      <c r="K1614" s="75">
        <f>'THAM_SO_MOI'!$C$31*J1614/E1614</f>
        <v>421.71099285789484</v>
      </c>
      <c r="L1614" s="75">
        <f>K1614*'THAM_SO_MOI'!$C$50*'THAM_SO_MOI'!$C$17/'THAM_SO_MOI'!$C$26</f>
        <v>15055.657506730859</v>
      </c>
      <c r="M1614" s="75">
        <f>'THAM_SO_MOI'!$C$15*'THAM_SO_MOI'!$C$16*F1614^2</f>
        <v>121.3353735517004</v>
      </c>
      <c r="N1614" s="75">
        <f>'THAM_SO_MOI'!$C$12*I1614</f>
        <v>1130.112</v>
      </c>
      <c r="O1614" s="75">
        <f>M1614+N1614</f>
        <v>1251.4473735517004</v>
      </c>
      <c r="P1614" s="75">
        <f>(MIN(L1614,'THAM_SO_MOI'!$C$41)-O1614)/('THAM_SO_MOI'!$C$11*H1614)</f>
        <v>0.9567934208397668</v>
      </c>
      <c r="Q1614" s="75">
        <f>IF(P1614&gt;0,1/P1614,NA())</f>
        <v>1.045157688398726</v>
      </c>
      <c r="R1614" s="75">
        <f>F1614-F1613</f>
        <v>0.0032106047296869278</v>
      </c>
      <c r="S1614" s="75">
        <f>0.5*(Q1613+Q1614)*R1614</f>
        <v>0.0033553480694244004</v>
      </c>
      <c r="T1614" s="75">
        <f>0.5*(F1613*Q1613+F1614*Q1614)*R1614</f>
        <v>0.021605290388257068</v>
      </c>
      <c r="U1614" s="76">
        <f>U1613+S1614</f>
        <v>6.7229713101468995</v>
      </c>
      <c r="V1614" s="76">
        <f>V1613+T1614</f>
        <v>25.584479353702196</v>
      </c>
    </row>
    <row r="1615" spans="1:22" ht="19" customHeight="1">
      <c r="A1615" s="68" t="s">
        <v>372</v>
      </c>
      <c r="B1615" s="74">
        <v>2</v>
      </c>
      <c r="C1615" s="68" t="s">
        <v>363</v>
      </c>
      <c r="D1615" s="68" t="s">
        <v>364</v>
      </c>
      <c r="E1615" s="75">
        <f>60*F1615*'THAM_SO_MOI'!$C$50/(2*PI()*'THAM_SO_MOI'!$C$26)</f>
        <v>2584.5472653131997</v>
      </c>
      <c r="F1615" s="75">
        <f>'HANH_TRINH'!$F$826+('THAM_SO_MOI'!$F$50-'HANH_TRINH'!$F$826)*788/'THAM_SO_MOI'!$C$42</f>
        <v>6.443876641098466</v>
      </c>
      <c r="G1615" s="75">
        <f>3.6*F1615</f>
        <v>23.19795590795448</v>
      </c>
      <c r="H1615" s="75">
        <f>'THAM_SO_MOI'!$D$50</f>
        <v>1.8785906709588276</v>
      </c>
      <c r="I1615" s="75">
        <f>IF(F1615&gt;'THAM_SO_MOI'!$C$14,'THAM_SO_MOI'!$C$13*(1+F1615^2/1500),'THAM_SO_MOI'!$C$13)</f>
        <v>0.015</v>
      </c>
      <c r="J1615" s="75">
        <f>'THAM_SO_MOI'!$C$40*('THAM_SO_MOI'!$C$23*(E1615/'THAM_SO_MOI'!$C$22)+'THAM_SO_MOI'!$C$24*(E1615/'THAM_SO_MOI'!$C$22)^2-'THAM_SO_MOI'!$C$25*(E1615/'THAM_SO_MOI'!$C$22)^3)</f>
        <v>114.10177459707212</v>
      </c>
      <c r="K1615" s="75">
        <f>'THAM_SO_MOI'!$C$31*J1615/E1615</f>
        <v>421.6588679628947</v>
      </c>
      <c r="L1615" s="75">
        <f>K1615*'THAM_SO_MOI'!$C$50*'THAM_SO_MOI'!$C$17/'THAM_SO_MOI'!$C$26</f>
        <v>15053.796576899796</v>
      </c>
      <c r="M1615" s="75">
        <f>'THAM_SO_MOI'!$C$15*'THAM_SO_MOI'!$C$16*F1615^2</f>
        <v>121.4563725346563</v>
      </c>
      <c r="N1615" s="75">
        <f>'THAM_SO_MOI'!$C$12*I1615</f>
        <v>1130.112</v>
      </c>
      <c r="O1615" s="75">
        <f>M1615+N1615</f>
        <v>1251.5683725346564</v>
      </c>
      <c r="P1615" s="75">
        <f>(MIN(L1615,'THAM_SO_MOI'!$C$41)-O1615)/('THAM_SO_MOI'!$C$11*H1615)</f>
        <v>0.9566560499629452</v>
      </c>
      <c r="Q1615" s="75">
        <f>IF(P1615&gt;0,1/P1615,NA())</f>
        <v>1.0453077676545648</v>
      </c>
      <c r="R1615" s="75">
        <f>F1615-F1614</f>
        <v>0.0032106047296869278</v>
      </c>
      <c r="S1615" s="75">
        <f>0.5*(Q1614+Q1615)*R1615</f>
        <v>0.003355829140225918</v>
      </c>
      <c r="T1615" s="75">
        <f>0.5*(F1614*Q1614+F1615*Q1615)*R1615</f>
        <v>0.021619162274518117</v>
      </c>
      <c r="U1615" s="76">
        <f>U1614+S1615</f>
        <v>6.726327139287125</v>
      </c>
      <c r="V1615" s="76">
        <f>V1614+T1615</f>
        <v>25.606098515976715</v>
      </c>
    </row>
    <row r="1616" spans="1:22" ht="19" customHeight="1">
      <c r="A1616" s="68" t="s">
        <v>372</v>
      </c>
      <c r="B1616" s="74">
        <v>2</v>
      </c>
      <c r="C1616" s="68" t="s">
        <v>363</v>
      </c>
      <c r="D1616" s="68" t="s">
        <v>364</v>
      </c>
      <c r="E1616" s="75">
        <f>60*F1616*'THAM_SO_MOI'!$C$50/(2*PI()*'THAM_SO_MOI'!$C$26)</f>
        <v>2585.834993203766</v>
      </c>
      <c r="F1616" s="75">
        <f>'HANH_TRINH'!$F$826+('THAM_SO_MOI'!$F$50-'HANH_TRINH'!$F$826)*789/'THAM_SO_MOI'!$C$42</f>
        <v>6.447087245828152</v>
      </c>
      <c r="G1616" s="75">
        <f>3.6*F1616</f>
        <v>23.20951408498135</v>
      </c>
      <c r="H1616" s="75">
        <f>'THAM_SO_MOI'!$D$50</f>
        <v>1.8785906709588276</v>
      </c>
      <c r="I1616" s="75">
        <f>IF(F1616&gt;'THAM_SO_MOI'!$C$14,'THAM_SO_MOI'!$C$13*(1+F1616^2/1500),'THAM_SO_MOI'!$C$13)</f>
        <v>0.015</v>
      </c>
      <c r="J1616" s="75">
        <f>'THAM_SO_MOI'!$C$40*('THAM_SO_MOI'!$C$23*(E1616/'THAM_SO_MOI'!$C$22)+'THAM_SO_MOI'!$C$24*(E1616/'THAM_SO_MOI'!$C$22)^2-'THAM_SO_MOI'!$C$25*(E1616/'THAM_SO_MOI'!$C$22)^3)</f>
        <v>114.14446911204065</v>
      </c>
      <c r="K1616" s="75">
        <f>'THAM_SO_MOI'!$C$31*J1616/E1616</f>
        <v>421.6065821935621</v>
      </c>
      <c r="L1616" s="75">
        <f>K1616*'THAM_SO_MOI'!$C$50*'THAM_SO_MOI'!$C$17/'THAM_SO_MOI'!$C$26</f>
        <v>15051.929903635688</v>
      </c>
      <c r="M1616" s="75">
        <f>'THAM_SO_MOI'!$C$15*'THAM_SO_MOI'!$C$16*F1616^2</f>
        <v>121.57743181931109</v>
      </c>
      <c r="N1616" s="75">
        <f>'THAM_SO_MOI'!$C$12*I1616</f>
        <v>1130.112</v>
      </c>
      <c r="O1616" s="75">
        <f>M1616+N1616</f>
        <v>1251.6894318193113</v>
      </c>
      <c r="P1616" s="75">
        <f>(MIN(L1616,'THAM_SO_MOI'!$C$41)-O1616)/('THAM_SO_MOI'!$C$11*H1616)</f>
        <v>0.9565182768193393</v>
      </c>
      <c r="Q1616" s="75">
        <f>IF(P1616&gt;0,1/P1616,NA())</f>
        <v>1.0454583296884281</v>
      </c>
      <c r="R1616" s="75">
        <f>F1616-F1615</f>
        <v>0.0032106047296860396</v>
      </c>
      <c r="S1616" s="75">
        <f>0.5*(Q1615+Q1616)*R1616</f>
        <v>0.0033563117603983175</v>
      </c>
      <c r="T1616" s="75">
        <f>0.5*(F1615*Q1615+F1616*Q1616)*R1616</f>
        <v>0.02163304723627862</v>
      </c>
      <c r="U1616" s="76">
        <f>U1615+S1616</f>
        <v>6.729683451047523</v>
      </c>
      <c r="V1616" s="76">
        <f>V1615+T1616</f>
        <v>25.627731563212993</v>
      </c>
    </row>
    <row r="1617" spans="1:29" ht="19" customHeight="1">
      <c r="A1617" s="68" t="s">
        <v>372</v>
      </c>
      <c r="B1617" s="74">
        <v>2</v>
      </c>
      <c r="C1617" s="68" t="s">
        <v>363</v>
      </c>
      <c r="D1617" s="68" t="s">
        <v>364</v>
      </c>
      <c r="E1617" s="75">
        <f>60*F1617*'THAM_SO_MOI'!$C$50/(2*PI()*'THAM_SO_MOI'!$C$26)</f>
        <v>2587.122721094333</v>
      </c>
      <c r="F1617" s="75">
        <f>'HANH_TRINH'!$F$826+('THAM_SO_MOI'!$F$50-'HANH_TRINH'!$F$826)*790/'THAM_SO_MOI'!$C$42</f>
        <v>6.45029785055784</v>
      </c>
      <c r="G1617" s="75">
        <f>3.6*F1617</f>
        <v>23.221072262008224</v>
      </c>
      <c r="H1617" s="75">
        <f>'THAM_SO_MOI'!$D$50</f>
        <v>1.8785906709588276</v>
      </c>
      <c r="I1617" s="75">
        <f>IF(F1617&gt;'THAM_SO_MOI'!$C$14,'THAM_SO_MOI'!$C$13*(1+F1617^2/1500),'THAM_SO_MOI'!$C$13)</f>
        <v>0.015</v>
      </c>
      <c r="J1617" s="75">
        <f>'THAM_SO_MOI'!$C$40*('THAM_SO_MOI'!$C$23*(E1617/'THAM_SO_MOI'!$C$22)+'THAM_SO_MOI'!$C$24*(E1617/'THAM_SO_MOI'!$C$22)^2-'THAM_SO_MOI'!$C$25*(E1617/'THAM_SO_MOI'!$C$22)^3)</f>
        <v>114.18710595182834</v>
      </c>
      <c r="K1617" s="75">
        <f>'THAM_SO_MOI'!$C$31*J1617/E1617</f>
        <v>421.55413554989735</v>
      </c>
      <c r="L1617" s="75">
        <f>K1617*'THAM_SO_MOI'!$C$50*'THAM_SO_MOI'!$C$17/'THAM_SO_MOI'!$C$26</f>
        <v>15050.057486938551</v>
      </c>
      <c r="M1617" s="75">
        <f>'THAM_SO_MOI'!$C$15*'THAM_SO_MOI'!$C$16*F1617^2</f>
        <v>121.69855140566496</v>
      </c>
      <c r="N1617" s="75">
        <f>'THAM_SO_MOI'!$C$12*I1617</f>
        <v>1130.112</v>
      </c>
      <c r="O1617" s="75">
        <f>M1617+N1617</f>
        <v>1251.8105514056651</v>
      </c>
      <c r="P1617" s="75">
        <f>(MIN(L1617,'THAM_SO_MOI'!$C$41)-O1617)/('THAM_SO_MOI'!$C$11*H1617)</f>
        <v>0.9563801014089502</v>
      </c>
      <c r="Q1617" s="75">
        <f>IF(P1617&gt;0,1/P1617,NA())</f>
        <v>1.0456093748989428</v>
      </c>
      <c r="R1617" s="75">
        <f>F1617-F1616</f>
        <v>0.003210604729687816</v>
      </c>
      <c r="S1617" s="75">
        <f>0.5*(Q1616+Q1617)*R1617</f>
        <v>0.003356795931222829</v>
      </c>
      <c r="T1617" s="75">
        <f>0.5*(F1616*Q1616+F1617*Q1617)*R1617</f>
        <v>0.02164694529672408</v>
      </c>
      <c r="U1617" s="76">
        <f>U1616+S1617</f>
        <v>6.733040246978746</v>
      </c>
      <c r="V1617" s="76">
        <f>V1616+T1617</f>
        <v>25.649378508509717</v>
      </c>
    </row>
    <row r="1618" spans="1:29" ht="19" customHeight="1">
      <c r="A1618" s="68" t="s">
        <v>372</v>
      </c>
      <c r="B1618" s="74">
        <v>2</v>
      </c>
      <c r="C1618" s="68" t="s">
        <v>363</v>
      </c>
      <c r="D1618" s="68" t="s">
        <v>364</v>
      </c>
      <c r="E1618" s="75">
        <f>60*F1618*'THAM_SO_MOI'!$C$50/(2*PI()*'THAM_SO_MOI'!$C$26)</f>
        <v>2588.410448984899</v>
      </c>
      <c r="F1618" s="75">
        <f>'HANH_TRINH'!$F$826+('THAM_SO_MOI'!$F$50-'HANH_TRINH'!$F$826)*791/'THAM_SO_MOI'!$C$42</f>
        <v>6.453508455287526</v>
      </c>
      <c r="G1618" s="75">
        <f>3.6*F1618</f>
        <v>23.232630439035095</v>
      </c>
      <c r="H1618" s="75">
        <f>'THAM_SO_MOI'!$D$50</f>
        <v>1.8785906709588276</v>
      </c>
      <c r="I1618" s="75">
        <f>IF(F1618&gt;'THAM_SO_MOI'!$C$14,'THAM_SO_MOI'!$C$13*(1+F1618^2/1500),'THAM_SO_MOI'!$C$13)</f>
        <v>0.015</v>
      </c>
      <c r="J1618" s="75">
        <f>'THAM_SO_MOI'!$C$40*('THAM_SO_MOI'!$C$23*(E1618/'THAM_SO_MOI'!$C$22)+'THAM_SO_MOI'!$C$24*(E1618/'THAM_SO_MOI'!$C$22)^2-'THAM_SO_MOI'!$C$25*(E1618/'THAM_SO_MOI'!$C$22)^3)</f>
        <v>114.22968505136537</v>
      </c>
      <c r="K1618" s="75">
        <f>'THAM_SO_MOI'!$C$31*J1618/E1618</f>
        <v>421.5015280319006</v>
      </c>
      <c r="L1618" s="75">
        <f>K1618*'THAM_SO_MOI'!$C$50*'THAM_SO_MOI'!$C$17/'THAM_SO_MOI'!$C$26</f>
        <v>15048.179326808384</v>
      </c>
      <c r="M1618" s="75">
        <f>'THAM_SO_MOI'!$C$15*'THAM_SO_MOI'!$C$16*F1618^2</f>
        <v>121.81973129371772</v>
      </c>
      <c r="N1618" s="75">
        <f>'THAM_SO_MOI'!$C$12*I1618</f>
        <v>1130.112</v>
      </c>
      <c r="O1618" s="75">
        <f>M1618+N1618</f>
        <v>1251.9317312937178</v>
      </c>
      <c r="P1618" s="75">
        <f>(MIN(L1618,'THAM_SO_MOI'!$C$41)-O1618)/('THAM_SO_MOI'!$C$11*H1618)</f>
        <v>0.9562415237317778</v>
      </c>
      <c r="Q1618" s="75">
        <f>IF(P1618&gt;0,1/P1618,NA())</f>
        <v>1.0457609036861866</v>
      </c>
      <c r="R1618" s="75">
        <f>F1618-F1617</f>
        <v>0.0032106047296860396</v>
      </c>
      <c r="S1618" s="75">
        <f>0.5*(Q1617+Q1618)*R1618</f>
        <v>0.003357281653975114</v>
      </c>
      <c r="T1618" s="75">
        <f>0.5*(F1617*Q1617+F1618*Q1618)*R1618</f>
        <v>0.021660856479020545</v>
      </c>
      <c r="U1618" s="76">
        <f>U1617+S1618</f>
        <v>6.736397528632721</v>
      </c>
      <c r="V1618" s="76">
        <f>V1617+T1618</f>
        <v>25.671039364988737</v>
      </c>
    </row>
    <row r="1619" spans="1:29" ht="19" customHeight="1">
      <c r="A1619" s="68" t="s">
        <v>372</v>
      </c>
      <c r="B1619" s="74">
        <v>2</v>
      </c>
      <c r="C1619" s="68" t="s">
        <v>363</v>
      </c>
      <c r="D1619" s="68" t="s">
        <v>364</v>
      </c>
      <c r="E1619" s="75">
        <f>60*F1619*'THAM_SO_MOI'!$C$50/(2*PI()*'THAM_SO_MOI'!$C$26)</f>
        <v>2589.6981768754663</v>
      </c>
      <c r="F1619" s="75">
        <f>'HANH_TRINH'!$F$826+('THAM_SO_MOI'!$F$50-'HANH_TRINH'!$F$826)*792/'THAM_SO_MOI'!$C$42</f>
        <v>6.456719060017213</v>
      </c>
      <c r="G1619" s="75">
        <f>3.6*F1619</f>
        <v>23.24418861606197</v>
      </c>
      <c r="H1619" s="75">
        <f>'THAM_SO_MOI'!$D$50</f>
        <v>1.8785906709588276</v>
      </c>
      <c r="I1619" s="75">
        <f>IF(F1619&gt;'THAM_SO_MOI'!$C$14,'THAM_SO_MOI'!$C$13*(1+F1619^2/1500),'THAM_SO_MOI'!$C$13)</f>
        <v>0.015</v>
      </c>
      <c r="J1619" s="75">
        <f>'THAM_SO_MOI'!$C$40*('THAM_SO_MOI'!$C$23*(E1619/'THAM_SO_MOI'!$C$22)+'THAM_SO_MOI'!$C$24*(E1619/'THAM_SO_MOI'!$C$22)^2-'THAM_SO_MOI'!$C$25*(E1619/'THAM_SO_MOI'!$C$22)^3)</f>
        <v>114.27220634558202</v>
      </c>
      <c r="K1619" s="75">
        <f>'THAM_SO_MOI'!$C$31*J1619/E1619</f>
        <v>421.4487596395712</v>
      </c>
      <c r="L1619" s="75">
        <f>K1619*'THAM_SO_MOI'!$C$50*'THAM_SO_MOI'!$C$17/'THAM_SO_MOI'!$C$26</f>
        <v>15046.29542324517</v>
      </c>
      <c r="M1619" s="75">
        <f>'THAM_SO_MOI'!$C$15*'THAM_SO_MOI'!$C$16*F1619^2</f>
        <v>121.94097148346948</v>
      </c>
      <c r="N1619" s="75">
        <f>'THAM_SO_MOI'!$C$12*I1619</f>
        <v>1130.112</v>
      </c>
      <c r="O1619" s="75">
        <f>M1619+N1619</f>
        <v>1252.0529714834695</v>
      </c>
      <c r="P1619" s="75">
        <f>(MIN(L1619,'THAM_SO_MOI'!$C$41)-O1619)/('THAM_SO_MOI'!$C$11*H1619)</f>
        <v>0.9561025437878211</v>
      </c>
      <c r="Q1619" s="75">
        <f>IF(P1619&gt;0,1/P1619,NA())</f>
        <v>1.0459129164516905</v>
      </c>
      <c r="R1619" s="75">
        <f>F1619-F1618</f>
        <v>0.0032106047296869278</v>
      </c>
      <c r="S1619" s="75">
        <f>0.5*(Q1618+Q1619)*R1619</f>
        <v>0.003357768929948496</v>
      </c>
      <c r="T1619" s="75">
        <f>0.5*(F1618*Q1618+F1619*Q1619)*R1619</f>
        <v>0.021674780806464452</v>
      </c>
      <c r="U1619" s="76">
        <f>U1618+S1619</f>
        <v>6.739755297562669</v>
      </c>
      <c r="V1619" s="76">
        <f>V1618+T1619</f>
        <v>25.6927141457952</v>
      </c>
    </row>
    <row r="1620" spans="1:29" ht="19" customHeight="1">
      <c r="A1620" s="68" t="s">
        <v>372</v>
      </c>
      <c r="B1620" s="74">
        <v>2</v>
      </c>
      <c r="C1620" s="68" t="s">
        <v>363</v>
      </c>
      <c r="D1620" s="68" t="s">
        <v>364</v>
      </c>
      <c r="E1620" s="75">
        <f>60*F1620*'THAM_SO_MOI'!$C$50/(2*PI()*'THAM_SO_MOI'!$C$26)</f>
        <v>2590.985904766033</v>
      </c>
      <c r="F1620" s="75">
        <f>'HANH_TRINH'!$F$826+('THAM_SO_MOI'!$F$50-'HANH_TRINH'!$F$826)*793/'THAM_SO_MOI'!$C$42</f>
        <v>6.4599296647469</v>
      </c>
      <c r="G1620" s="75">
        <f>3.6*F1620</f>
        <v>23.25574679308884</v>
      </c>
      <c r="H1620" s="75">
        <f>'THAM_SO_MOI'!$D$50</f>
        <v>1.8785906709588276</v>
      </c>
      <c r="I1620" s="75">
        <f>IF(F1620&gt;'THAM_SO_MOI'!$C$14,'THAM_SO_MOI'!$C$13*(1+F1620^2/1500),'THAM_SO_MOI'!$C$13)</f>
        <v>0.015</v>
      </c>
      <c r="J1620" s="75">
        <f>'THAM_SO_MOI'!$C$40*('THAM_SO_MOI'!$C$23*(E1620/'THAM_SO_MOI'!$C$22)+'THAM_SO_MOI'!$C$24*(E1620/'THAM_SO_MOI'!$C$22)^2-'THAM_SO_MOI'!$C$25*(E1620/'THAM_SO_MOI'!$C$22)^3)</f>
        <v>114.31466976940862</v>
      </c>
      <c r="K1620" s="75">
        <f>'THAM_SO_MOI'!$C$31*J1620/E1620</f>
        <v>421.3958303729097</v>
      </c>
      <c r="L1620" s="75">
        <f>K1620*'THAM_SO_MOI'!$C$50*'THAM_SO_MOI'!$C$17/'THAM_SO_MOI'!$C$26</f>
        <v>15044.405776248923</v>
      </c>
      <c r="M1620" s="75">
        <f>'THAM_SO_MOI'!$C$15*'THAM_SO_MOI'!$C$16*F1620^2</f>
        <v>122.06227197492024</v>
      </c>
      <c r="N1620" s="75">
        <f>'THAM_SO_MOI'!$C$12*I1620</f>
        <v>1130.112</v>
      </c>
      <c r="O1620" s="75">
        <f>M1620+N1620</f>
        <v>1252.1742719749204</v>
      </c>
      <c r="P1620" s="75">
        <f>(MIN(L1620,'THAM_SO_MOI'!$C$41)-O1620)/('THAM_SO_MOI'!$C$11*H1620)</f>
        <v>0.9559631615770809</v>
      </c>
      <c r="Q1620" s="75">
        <f>IF(P1620&gt;0,1/P1620,NA())</f>
        <v>1.0460654135984384</v>
      </c>
      <c r="R1620" s="75">
        <f>F1620-F1619</f>
        <v>0.0032106047296869278</v>
      </c>
      <c r="S1620" s="75">
        <f>0.5*(Q1619+Q1620)*R1620</f>
        <v>0.003358257760430752</v>
      </c>
      <c r="T1620" s="75">
        <f>0.5*(F1619*Q1619+F1620*Q1620)*R1620</f>
        <v>0.02168871830233302</v>
      </c>
      <c r="U1620" s="76">
        <f>U1619+S1620</f>
        <v>6.7431135553231005</v>
      </c>
      <c r="V1620" s="76">
        <f>V1619+T1620</f>
        <v>25.714402864097533</v>
      </c>
    </row>
    <row r="1621" spans="1:29" ht="19" customHeight="1">
      <c r="A1621" s="68" t="s">
        <v>372</v>
      </c>
      <c r="B1621" s="74">
        <v>2</v>
      </c>
      <c r="C1621" s="68" t="s">
        <v>363</v>
      </c>
      <c r="D1621" s="68" t="s">
        <v>364</v>
      </c>
      <c r="E1621" s="75">
        <f>60*F1621*'THAM_SO_MOI'!$C$50/(2*PI()*'THAM_SO_MOI'!$C$26)</f>
        <v>2592.2736326565996</v>
      </c>
      <c r="F1621" s="75">
        <f>'HANH_TRINH'!$F$826+('THAM_SO_MOI'!$F$50-'HANH_TRINH'!$F$826)*794/'THAM_SO_MOI'!$C$42</f>
        <v>6.463140269476587</v>
      </c>
      <c r="G1621" s="75">
        <f>3.6*F1621</f>
        <v>23.267304970115713</v>
      </c>
      <c r="H1621" s="75">
        <f>'THAM_SO_MOI'!$D$50</f>
        <v>1.8785906709588276</v>
      </c>
      <c r="I1621" s="75">
        <f>IF(F1621&gt;'THAM_SO_MOI'!$C$14,'THAM_SO_MOI'!$C$13*(1+F1621^2/1500),'THAM_SO_MOI'!$C$13)</f>
        <v>0.015</v>
      </c>
      <c r="J1621" s="75">
        <f>'THAM_SO_MOI'!$C$40*('THAM_SO_MOI'!$C$23*(E1621/'THAM_SO_MOI'!$C$22)+'THAM_SO_MOI'!$C$24*(E1621/'THAM_SO_MOI'!$C$22)^2-'THAM_SO_MOI'!$C$25*(E1621/'THAM_SO_MOI'!$C$22)^3)</f>
        <v>114.3570752577755</v>
      </c>
      <c r="K1621" s="75">
        <f>'THAM_SO_MOI'!$C$31*J1621/E1621</f>
        <v>421.342740231916</v>
      </c>
      <c r="L1621" s="75">
        <f>K1621*'THAM_SO_MOI'!$C$50*'THAM_SO_MOI'!$C$17/'THAM_SO_MOI'!$C$26</f>
        <v>15042.510385819643</v>
      </c>
      <c r="M1621" s="75">
        <f>'THAM_SO_MOI'!$C$15*'THAM_SO_MOI'!$C$16*F1621^2</f>
        <v>122.18363276806993</v>
      </c>
      <c r="N1621" s="75">
        <f>'THAM_SO_MOI'!$C$12*I1621</f>
        <v>1130.112</v>
      </c>
      <c r="O1621" s="75">
        <f>M1621+N1621</f>
        <v>1252.29563276807</v>
      </c>
      <c r="P1621" s="75">
        <f>(MIN(L1621,'THAM_SO_MOI'!$C$41)-O1621)/('THAM_SO_MOI'!$C$11*H1621)</f>
        <v>0.9558233770995576</v>
      </c>
      <c r="Q1621" s="75">
        <f>IF(P1621&gt;0,1/P1621,NA())</f>
        <v>1.0462183955308733</v>
      </c>
      <c r="R1621" s="75">
        <f>F1621-F1620</f>
        <v>0.0032106047296869278</v>
      </c>
      <c r="S1621" s="75">
        <f>0.5*(Q1620+Q1621)*R1621</f>
        <v>0.0033587481467189746</v>
      </c>
      <c r="T1621" s="75">
        <f>0.5*(F1620*Q1620+F1621*Q1621)*R1621</f>
        <v>0.021702668989980196</v>
      </c>
      <c r="U1621" s="76">
        <f>U1620+S1621</f>
        <v>6.74647230346982</v>
      </c>
      <c r="V1621" s="76">
        <f>V1620+T1621</f>
        <v>25.736105533087514</v>
      </c>
    </row>
    <row r="1622" spans="1:29" ht="19" customHeight="1">
      <c r="A1622" s="68" t="s">
        <v>372</v>
      </c>
      <c r="B1622" s="74">
        <v>2</v>
      </c>
      <c r="C1622" s="68" t="s">
        <v>363</v>
      </c>
      <c r="D1622" s="68" t="s">
        <v>364</v>
      </c>
      <c r="E1622" s="75">
        <f>60*F1622*'THAM_SO_MOI'!$C$50/(2*PI()*'THAM_SO_MOI'!$C$26)</f>
        <v>2593.5613605471663</v>
      </c>
      <c r="F1622" s="75">
        <f>'HANH_TRINH'!$F$826+('THAM_SO_MOI'!$F$50-'HANH_TRINH'!$F$826)*795/'THAM_SO_MOI'!$C$42</f>
        <v>6.466350874206274</v>
      </c>
      <c r="G1622" s="75">
        <f>3.6*F1622</f>
        <v>23.278863147142587</v>
      </c>
      <c r="H1622" s="75">
        <f>'THAM_SO_MOI'!$D$50</f>
        <v>1.8785906709588276</v>
      </c>
      <c r="I1622" s="75">
        <f>IF(F1622&gt;'THAM_SO_MOI'!$C$14,'THAM_SO_MOI'!$C$13*(1+F1622^2/1500),'THAM_SO_MOI'!$C$13)</f>
        <v>0.015</v>
      </c>
      <c r="J1622" s="75">
        <f>'THAM_SO_MOI'!$C$40*('THAM_SO_MOI'!$C$23*(E1622/'THAM_SO_MOI'!$C$22)+'THAM_SO_MOI'!$C$24*(E1622/'THAM_SO_MOI'!$C$22)^2-'THAM_SO_MOI'!$C$25*(E1622/'THAM_SO_MOI'!$C$22)^3)</f>
        <v>114.39942274561292</v>
      </c>
      <c r="K1622" s="75">
        <f>'THAM_SO_MOI'!$C$31*J1622/E1622</f>
        <v>421.28948921658997</v>
      </c>
      <c r="L1622" s="75">
        <f>K1622*'THAM_SO_MOI'!$C$50*'THAM_SO_MOI'!$C$17/'THAM_SO_MOI'!$C$26</f>
        <v>15040.609251957323</v>
      </c>
      <c r="M1622" s="75">
        <f>'THAM_SO_MOI'!$C$15*'THAM_SO_MOI'!$C$16*F1622^2</f>
        <v>122.30505386291863</v>
      </c>
      <c r="N1622" s="75">
        <f>'THAM_SO_MOI'!$C$12*I1622</f>
        <v>1130.112</v>
      </c>
      <c r="O1622" s="75">
        <f>M1622+N1622</f>
        <v>1252.4170538629187</v>
      </c>
      <c r="P1622" s="75">
        <f>(MIN(L1622,'THAM_SO_MOI'!$C$41)-O1622)/('THAM_SO_MOI'!$C$11*H1622)</f>
        <v>0.9556831903552501</v>
      </c>
      <c r="Q1622" s="75">
        <f>IF(P1622&gt;0,1/P1622,NA())</f>
        <v>1.0463718626548997</v>
      </c>
      <c r="R1622" s="75">
        <f>F1622-F1621</f>
        <v>0.0032106047296869278</v>
      </c>
      <c r="S1622" s="75">
        <f>0.5*(Q1621+Q1622)*R1622</f>
        <v>0.0033592400901140155</v>
      </c>
      <c r="T1622" s="75">
        <f>0.5*(F1621*Q1621+F1622*Q1622)*R1622</f>
        <v>0.021716632892800906</v>
      </c>
      <c r="U1622" s="76">
        <f>U1621+S1622</f>
        <v>6.749831543559933</v>
      </c>
      <c r="V1622" s="76">
        <f>V1621+T1622</f>
        <v>25.757822165980315</v>
      </c>
    </row>
    <row r="1623" spans="1:29" ht="19" customHeight="1">
      <c r="A1623" s="68" t="s">
        <v>372</v>
      </c>
      <c r="B1623" s="74">
        <v>2</v>
      </c>
      <c r="C1623" s="68" t="s">
        <v>363</v>
      </c>
      <c r="D1623" s="68" t="s">
        <v>364</v>
      </c>
      <c r="E1623" s="75">
        <f>60*F1623*'THAM_SO_MOI'!$C$50/(2*PI()*'THAM_SO_MOI'!$C$26)</f>
        <v>2594.849088437733</v>
      </c>
      <c r="F1623" s="75">
        <f>'HANH_TRINH'!$F$826+('THAM_SO_MOI'!$F$50-'HANH_TRINH'!$F$826)*796/'THAM_SO_MOI'!$C$42</f>
        <v>6.46956147893596</v>
      </c>
      <c r="G1623" s="75">
        <f>3.6*F1623</f>
        <v>23.290421324169458</v>
      </c>
      <c r="H1623" s="75">
        <f>'THAM_SO_MOI'!$D$50</f>
        <v>1.8785906709588276</v>
      </c>
      <c r="I1623" s="75">
        <f>IF(F1623&gt;'THAM_SO_MOI'!$C$14,'THAM_SO_MOI'!$C$13*(1+F1623^2/1500),'THAM_SO_MOI'!$C$13)</f>
        <v>0.015</v>
      </c>
      <c r="J1623" s="75">
        <f>'THAM_SO_MOI'!$C$40*('THAM_SO_MOI'!$C$23*(E1623/'THAM_SO_MOI'!$C$22)+'THAM_SO_MOI'!$C$24*(E1623/'THAM_SO_MOI'!$C$22)^2-'THAM_SO_MOI'!$C$25*(E1623/'THAM_SO_MOI'!$C$22)^3)</f>
        <v>114.44171216785122</v>
      </c>
      <c r="K1623" s="75">
        <f>'THAM_SO_MOI'!$C$31*J1623/E1623</f>
        <v>421.2360773269317</v>
      </c>
      <c r="L1623" s="75">
        <f>K1623*'THAM_SO_MOI'!$C$50*'THAM_SO_MOI'!$C$17/'THAM_SO_MOI'!$C$26</f>
        <v>15038.702374661969</v>
      </c>
      <c r="M1623" s="75">
        <f>'THAM_SO_MOI'!$C$15*'THAM_SO_MOI'!$C$16*F1623^2</f>
        <v>122.42653525946625</v>
      </c>
      <c r="N1623" s="75">
        <f>'THAM_SO_MOI'!$C$12*I1623</f>
        <v>1130.112</v>
      </c>
      <c r="O1623" s="75">
        <f>M1623+N1623</f>
        <v>1252.5385352594662</v>
      </c>
      <c r="P1623" s="75">
        <f>(MIN(L1623,'THAM_SO_MOI'!$C$41)-O1623)/('THAM_SO_MOI'!$C$11*H1623)</f>
        <v>0.9555426013441592</v>
      </c>
      <c r="Q1623" s="75">
        <f>IF(P1623&gt;0,1/P1623,NA())</f>
        <v>1.0465258153778834</v>
      </c>
      <c r="R1623" s="75">
        <f>F1623-F1622</f>
        <v>0.0032106047296860396</v>
      </c>
      <c r="S1623" s="75">
        <f>0.5*(Q1622+Q1623)*R1623</f>
        <v>0.0033597335919204915</v>
      </c>
      <c r="T1623" s="75">
        <f>0.5*(F1622*Q1622+F1623*Q1623)*R1623</f>
        <v>0.02173061003423111</v>
      </c>
      <c r="U1623" s="76">
        <f>U1622+S1623</f>
        <v>6.753191277151854</v>
      </c>
      <c r="V1623" s="76">
        <f>V1622+T1623</f>
        <v>25.779552776014548</v>
      </c>
    </row>
    <row r="1624" spans="1:29" ht="19" customHeight="1">
      <c r="A1624" s="68" t="s">
        <v>372</v>
      </c>
      <c r="B1624" s="74">
        <v>2</v>
      </c>
      <c r="C1624" s="68" t="s">
        <v>363</v>
      </c>
      <c r="D1624" s="68" t="s">
        <v>364</v>
      </c>
      <c r="E1624" s="75">
        <f>60*F1624*'THAM_SO_MOI'!$C$50/(2*PI()*'THAM_SO_MOI'!$C$26)</f>
        <v>2596.1368163282996</v>
      </c>
      <c r="F1624" s="75">
        <f>'HANH_TRINH'!$F$826+('THAM_SO_MOI'!$F$50-'HANH_TRINH'!$F$826)*797/'THAM_SO_MOI'!$C$42</f>
        <v>6.472772083665648</v>
      </c>
      <c r="G1624" s="75">
        <f>3.6*F1624</f>
        <v>23.30197950119633</v>
      </c>
      <c r="H1624" s="75">
        <f>'THAM_SO_MOI'!$D$50</f>
        <v>1.8785906709588276</v>
      </c>
      <c r="I1624" s="75">
        <f>IF(F1624&gt;'THAM_SO_MOI'!$C$14,'THAM_SO_MOI'!$C$13*(1+F1624^2/1500),'THAM_SO_MOI'!$C$13)</f>
        <v>0.015</v>
      </c>
      <c r="J1624" s="75">
        <f>'THAM_SO_MOI'!$C$40*('THAM_SO_MOI'!$C$23*(E1624/'THAM_SO_MOI'!$C$22)+'THAM_SO_MOI'!$C$24*(E1624/'THAM_SO_MOI'!$C$22)^2-'THAM_SO_MOI'!$C$25*(E1624/'THAM_SO_MOI'!$C$22)^3)</f>
        <v>114.48394345942069</v>
      </c>
      <c r="K1624" s="75">
        <f>'THAM_SO_MOI'!$C$31*J1624/E1624</f>
        <v>421.1825045629413</v>
      </c>
      <c r="L1624" s="75">
        <f>K1624*'THAM_SO_MOI'!$C$50*'THAM_SO_MOI'!$C$17/'THAM_SO_MOI'!$C$26</f>
        <v>15036.789753933583</v>
      </c>
      <c r="M1624" s="75">
        <f>'THAM_SO_MOI'!$C$15*'THAM_SO_MOI'!$C$16*F1624^2</f>
        <v>122.54807695771291</v>
      </c>
      <c r="N1624" s="75">
        <f>'THAM_SO_MOI'!$C$12*I1624</f>
        <v>1130.112</v>
      </c>
      <c r="O1624" s="75">
        <f>M1624+N1624</f>
        <v>1252.660076957713</v>
      </c>
      <c r="P1624" s="75">
        <f>(MIN(L1624,'THAM_SO_MOI'!$C$41)-O1624)/('THAM_SO_MOI'!$C$11*H1624)</f>
        <v>0.955401610066285</v>
      </c>
      <c r="Q1624" s="75">
        <f>IF(P1624&gt;0,1/P1624,NA())</f>
        <v>1.0466802541086577</v>
      </c>
      <c r="R1624" s="75">
        <f>F1624-F1623</f>
        <v>0.003210604729687816</v>
      </c>
      <c r="S1624" s="75">
        <f>0.5*(Q1623+Q1624)*R1624</f>
        <v>0.0033602286534523663</v>
      </c>
      <c r="T1624" s="75">
        <f>0.5*(F1623*Q1623+F1624*Q1624)*R1624</f>
        <v>0.021744600437784024</v>
      </c>
      <c r="U1624" s="76">
        <f>U1623+S1624</f>
        <v>6.756551505805306</v>
      </c>
      <c r="V1624" s="76">
        <f>V1623+T1624</f>
        <v>25.801297376452332</v>
      </c>
    </row>
    <row r="1625" spans="1:29" ht="19" customHeight="1">
      <c r="A1625" s="68" t="s">
        <v>372</v>
      </c>
      <c r="B1625" s="74">
        <v>2</v>
      </c>
      <c r="C1625" s="68" t="s">
        <v>363</v>
      </c>
      <c r="D1625" s="68" t="s">
        <v>364</v>
      </c>
      <c r="E1625" s="75">
        <f>60*F1625*'THAM_SO_MOI'!$C$50/(2*PI()*'THAM_SO_MOI'!$C$26)</f>
        <v>2597.4245442188662</v>
      </c>
      <c r="F1625" s="75">
        <f>'HANH_TRINH'!$F$826+('THAM_SO_MOI'!$F$50-'HANH_TRINH'!$F$826)*798/'THAM_SO_MOI'!$C$42</f>
        <v>6.475982688395334</v>
      </c>
      <c r="G1625" s="75">
        <f>3.6*F1625</f>
        <v>23.313537678223202</v>
      </c>
      <c r="H1625" s="75">
        <f>'THAM_SO_MOI'!$D$50</f>
        <v>1.8785906709588276</v>
      </c>
      <c r="I1625" s="75">
        <f>IF(F1625&gt;'THAM_SO_MOI'!$C$14,'THAM_SO_MOI'!$C$13*(1+F1625^2/1500),'THAM_SO_MOI'!$C$13)</f>
        <v>0.015</v>
      </c>
      <c r="J1625" s="75">
        <f>'THAM_SO_MOI'!$C$40*('THAM_SO_MOI'!$C$23*(E1625/'THAM_SO_MOI'!$C$22)+'THAM_SO_MOI'!$C$24*(E1625/'THAM_SO_MOI'!$C$22)^2-'THAM_SO_MOI'!$C$25*(E1625/'THAM_SO_MOI'!$C$22)^3)</f>
        <v>114.52611655525163</v>
      </c>
      <c r="K1625" s="75">
        <f>'THAM_SO_MOI'!$C$31*J1625/E1625</f>
        <v>421.12877092461866</v>
      </c>
      <c r="L1625" s="75">
        <f>K1625*'THAM_SO_MOI'!$C$50*'THAM_SO_MOI'!$C$17/'THAM_SO_MOI'!$C$26</f>
        <v>15034.871389772161</v>
      </c>
      <c r="M1625" s="75">
        <f>'THAM_SO_MOI'!$C$15*'THAM_SO_MOI'!$C$16*F1625^2</f>
        <v>122.66967895765848</v>
      </c>
      <c r="N1625" s="75">
        <f>'THAM_SO_MOI'!$C$12*I1625</f>
        <v>1130.112</v>
      </c>
      <c r="O1625" s="75">
        <f>M1625+N1625</f>
        <v>1252.7816789576586</v>
      </c>
      <c r="P1625" s="75">
        <f>(MIN(L1625,'THAM_SO_MOI'!$C$41)-O1625)/('THAM_SO_MOI'!$C$11*H1625)</f>
        <v>0.9552602165216272</v>
      </c>
      <c r="Q1625" s="75">
        <f>IF(P1625&gt;0,1/P1625,NA())</f>
        <v>1.0468351792575252</v>
      </c>
      <c r="R1625" s="75">
        <f>F1625-F1624</f>
        <v>0.0032106047296860396</v>
      </c>
      <c r="S1625" s="75">
        <f>0.5*(Q1624+Q1625)*R1625</f>
        <v>0.003360725276018093</v>
      </c>
      <c r="T1625" s="75">
        <f>0.5*(F1624*Q1624+F1625*Q1625)*R1625</f>
        <v>0.02175860412695406</v>
      </c>
      <c r="U1625" s="76">
        <f>U1624+S1625</f>
        <v>6.759912231081324</v>
      </c>
      <c r="V1625" s="76">
        <f>V1624+T1625</f>
        <v>25.823055980579287</v>
      </c>
    </row>
    <row r="1626" spans="1:29" ht="19" customHeight="1">
      <c r="A1626" s="68" t="s">
        <v>372</v>
      </c>
      <c r="B1626" s="74">
        <v>2</v>
      </c>
      <c r="C1626" s="68" t="s">
        <v>363</v>
      </c>
      <c r="D1626" s="68" t="s">
        <v>364</v>
      </c>
      <c r="E1626" s="75">
        <f>60*F1626*'THAM_SO_MOI'!$C$50/(2*PI()*'THAM_SO_MOI'!$C$26)</f>
        <v>2598.7122721094333</v>
      </c>
      <c r="F1626" s="75">
        <f>'HANH_TRINH'!$F$826+('THAM_SO_MOI'!$F$50-'HANH_TRINH'!$F$826)*799/'THAM_SO_MOI'!$C$42</f>
        <v>6.479193293125022</v>
      </c>
      <c r="G1626" s="75">
        <f>3.6*F1626</f>
        <v>23.32509585525008</v>
      </c>
      <c r="H1626" s="75">
        <f>'THAM_SO_MOI'!$D$50</f>
        <v>1.8785906709588276</v>
      </c>
      <c r="I1626" s="75">
        <f>IF(F1626&gt;'THAM_SO_MOI'!$C$14,'THAM_SO_MOI'!$C$13*(1+F1626^2/1500),'THAM_SO_MOI'!$C$13)</f>
        <v>0.015</v>
      </c>
      <c r="J1626" s="75">
        <f>'THAM_SO_MOI'!$C$40*('THAM_SO_MOI'!$C$23*(E1626/'THAM_SO_MOI'!$C$22)+'THAM_SO_MOI'!$C$24*(E1626/'THAM_SO_MOI'!$C$22)^2-'THAM_SO_MOI'!$C$25*(E1626/'THAM_SO_MOI'!$C$22)^3)</f>
        <v>114.5682313902743</v>
      </c>
      <c r="K1626" s="75">
        <f>'THAM_SO_MOI'!$C$31*J1626/E1626</f>
        <v>421.07487641196354</v>
      </c>
      <c r="L1626" s="75">
        <f>K1626*'THAM_SO_MOI'!$C$50*'THAM_SO_MOI'!$C$17/'THAM_SO_MOI'!$C$26</f>
        <v>15032.947282177696</v>
      </c>
      <c r="M1626" s="75">
        <f>'THAM_SO_MOI'!$C$15*'THAM_SO_MOI'!$C$16*F1626^2</f>
        <v>122.79134125930307</v>
      </c>
      <c r="N1626" s="75">
        <f>'THAM_SO_MOI'!$C$12*I1626</f>
        <v>1130.112</v>
      </c>
      <c r="O1626" s="75">
        <f>M1626+N1626</f>
        <v>1252.903341259303</v>
      </c>
      <c r="P1626" s="75">
        <f>(MIN(L1626,'THAM_SO_MOI'!$C$41)-O1626)/('THAM_SO_MOI'!$C$11*H1626)</f>
        <v>0.9551184207101852</v>
      </c>
      <c r="Q1626" s="75">
        <f>IF(P1626&gt;0,1/P1626,NA())</f>
        <v>1.0469905912362603</v>
      </c>
      <c r="R1626" s="75">
        <f>F1626-F1625</f>
        <v>0.003210604729687816</v>
      </c>
      <c r="S1626" s="75">
        <f>0.5*(Q1625+Q1626)*R1626</f>
        <v>0.0033612234609447914</v>
      </c>
      <c r="T1626" s="75">
        <f>0.5*(F1625*Q1625+F1626*Q1626)*R1626</f>
        <v>0.02177262112537334</v>
      </c>
      <c r="U1626" s="76">
        <f>U1625+S1626</f>
        <v>6.763273454542269</v>
      </c>
      <c r="V1626" s="76">
        <f>V1625+T1626</f>
        <v>25.84482860170466</v>
      </c>
    </row>
    <row r="1627" spans="1:29" ht="19" customHeight="1">
      <c r="A1627" s="68" t="s">
        <v>372</v>
      </c>
      <c r="B1627" s="74">
        <v>2</v>
      </c>
      <c r="C1627" s="68" t="s">
        <v>363</v>
      </c>
      <c r="D1627" s="68" t="s">
        <v>364</v>
      </c>
      <c r="E1627" s="75">
        <f>60*F1627*'THAM_SO_MOI'!$C$50/(2*PI()*'THAM_SO_MOI'!$C$26)</f>
        <v>2600.0</v>
      </c>
      <c r="F1627" s="75">
        <f>'HANH_TRINH'!$F$826+('THAM_SO_MOI'!$F$50-'HANH_TRINH'!$F$826)*800/'THAM_SO_MOI'!$C$42</f>
        <v>6.482403897854708</v>
      </c>
      <c r="G1627" s="75">
        <f>3.6*F1627</f>
        <v>23.336654032276947</v>
      </c>
      <c r="H1627" s="75">
        <f>'THAM_SO_MOI'!$D$50</f>
        <v>1.8785906709588276</v>
      </c>
      <c r="I1627" s="75">
        <f>IF(F1627&gt;'THAM_SO_MOI'!$C$14,'THAM_SO_MOI'!$C$13*(1+F1627^2/1500),'THAM_SO_MOI'!$C$13)</f>
        <v>0.015</v>
      </c>
      <c r="J1627" s="75">
        <f>'THAM_SO_MOI'!$C$40*('THAM_SO_MOI'!$C$23*(E1627/'THAM_SO_MOI'!$C$22)+'THAM_SO_MOI'!$C$24*(E1627/'THAM_SO_MOI'!$C$22)^2-'THAM_SO_MOI'!$C$25*(E1627/'THAM_SO_MOI'!$C$22)^3)</f>
        <v>114.61028789941905</v>
      </c>
      <c r="K1627" s="75">
        <f>'THAM_SO_MOI'!$C$31*J1627/E1627</f>
        <v>421.0208210249764</v>
      </c>
      <c r="L1627" s="75">
        <f>K1627*'THAM_SO_MOI'!$C$50*'THAM_SO_MOI'!$C$17/'THAM_SO_MOI'!$C$26</f>
        <v>15031.0174311502</v>
      </c>
      <c r="M1627" s="75">
        <f>'THAM_SO_MOI'!$C$15*'THAM_SO_MOI'!$C$16*F1627^2</f>
        <v>122.91306386264658</v>
      </c>
      <c r="N1627" s="75">
        <f>'THAM_SO_MOI'!$C$12*I1627</f>
        <v>1130.112</v>
      </c>
      <c r="O1627" s="75">
        <f>M1627+N1627</f>
        <v>1253.0250638626467</v>
      </c>
      <c r="P1627" s="75">
        <f>(MIN(L1627,'THAM_SO_MOI'!$C$41)-O1627)/('THAM_SO_MOI'!$C$11*H1627)</f>
        <v>0.9549762226319598</v>
      </c>
      <c r="Q1627" s="75">
        <f>IF(P1627&gt;0,1/P1627,NA())</f>
        <v>1.0471464904581107</v>
      </c>
      <c r="R1627" s="75">
        <f>F1627-F1626</f>
        <v>0.0032106047296860396</v>
      </c>
      <c r="S1627" s="75">
        <f>0.5*(Q1626+Q1627)*R1627</f>
        <v>0.0033617232095494343</v>
      </c>
      <c r="T1627" s="75">
        <f>0.5*(F1626*Q1626+F1627*Q1627)*R1627</f>
        <v>0.021786651456625273</v>
      </c>
      <c r="U1627" s="76">
        <f>U1626+S1627</f>
        <v>6.766635177751818</v>
      </c>
      <c r="V1627" s="76">
        <f>V1626+T1627</f>
        <v>25.866615253161285</v>
      </c>
    </row>
    <row r="1628" spans="1:29" ht="19" customHeight="1">
      <c r="A1628" s="68" t="s">
        <v>373</v>
      </c>
      <c r="B1628" s="74">
        <v>2</v>
      </c>
      <c r="C1628" s="68" t="s">
        <v>370</v>
      </c>
      <c r="D1628" s="68" t="s">
        <v>371</v>
      </c>
      <c r="F1628" s="75">
        <f>F1627+S1628*(W1628+2*Y1628+2*AA1628+AC1628)/6</f>
        <v>6.474635558189508</v>
      </c>
      <c r="G1628" s="75">
        <f>3.6*F1628</f>
        <v>23.30868800948223</v>
      </c>
      <c r="H1628" s="75">
        <f>'THAM_SO_MOI'!$C$35</f>
        <v>1.05</v>
      </c>
      <c r="I1628" s="75">
        <f>IF(F1628&gt;'THAM_SO_MOI'!$C$14,'THAM_SO_MOI'!$C$13*(1+F1628^2/1500),'THAM_SO_MOI'!$C$13)</f>
        <v>0.015</v>
      </c>
      <c r="J1628" s="75">
        <f>0</f>
        <v>0.0</v>
      </c>
      <c r="K1628" s="75">
        <f>0</f>
        <v>0.0</v>
      </c>
      <c r="L1628" s="75">
        <f>0</f>
        <v>0.0</v>
      </c>
      <c r="M1628" s="75">
        <f>'THAM_SO_MOI'!$C$15*'THAM_SO_MOI'!$C$16*F1628^2</f>
        <v>122.618648913263</v>
      </c>
      <c r="N1628" s="75">
        <f>'THAM_SO_MOI'!$C$12*I1628</f>
        <v>1130.112</v>
      </c>
      <c r="O1628" s="75">
        <f>M1628+N1628</f>
        <v>1252.7306489132632</v>
      </c>
      <c r="P1628" s="75">
        <f>-O1628/('THAM_SO_MOI'!$C$11*H1628)</f>
        <v>-0.15534854277198204</v>
      </c>
      <c r="R1628" s="75">
        <f>F1628-F1627</f>
        <v>-0.00776833966519952</v>
      </c>
      <c r="S1628" s="75">
        <f>'THAM_SO_MOI'!$C$34/'THAM_SO_MOI'!$C$43</f>
        <v>0.05</v>
      </c>
      <c r="T1628" s="75">
        <f>S1628*(F1627+2*X1628+2*Z1628+AB1628)/6</f>
        <v>0.32392597879489915</v>
      </c>
      <c r="U1628" s="76">
        <f>U1627+S1628</f>
        <v>6.8166351777518175</v>
      </c>
      <c r="V1628" s="76">
        <f>V1627+T1628</f>
        <v>26.190541231956185</v>
      </c>
      <c r="W1628" s="75">
        <f>-('THAM_SO_MOI'!$C$12*IF(F1627&gt;'THAM_SO_MOI'!$C$14,'THAM_SO_MOI'!$C$13*(1+F1627^2/1500),'THAM_SO_MOI'!$C$13)+'THAM_SO_MOI'!$C$15*'THAM_SO_MOI'!$C$16*F1627^2)/('THAM_SO_MOI'!$C$11*'THAM_SO_MOI'!$C$35)</f>
        <v>-0.15538505256233218</v>
      </c>
      <c r="X1628" s="75">
        <f>F1627+S1628*W1628/2</f>
        <v>6.478519271540649</v>
      </c>
      <c r="Y1628" s="75">
        <f>-('THAM_SO_MOI'!$C$12*IF(X1628&gt;'THAM_SO_MOI'!$C$14,'THAM_SO_MOI'!$C$13*(1+X1628^2/1500),'THAM_SO_MOI'!$C$13)+'THAM_SO_MOI'!$C$15*'THAM_SO_MOI'!$C$16*X1628^2)/('THAM_SO_MOI'!$C$11*'THAM_SO_MOI'!$C$35)</f>
        <v>-0.15536679004945333</v>
      </c>
      <c r="Z1628" s="75">
        <f>F1627+S1628*Y1628/2</f>
        <v>6.478519728103471</v>
      </c>
      <c r="AA1628" s="75">
        <f>-('THAM_SO_MOI'!$C$12*IF(Z1628&gt;'THAM_SO_MOI'!$C$14,'THAM_SO_MOI'!$C$13*(1+Z1628^2/1500),'THAM_SO_MOI'!$C$13)+'THAM_SO_MOI'!$C$15*'THAM_SO_MOI'!$C$16*Z1628^2)/('THAM_SO_MOI'!$C$11*'THAM_SO_MOI'!$C$35)</f>
        <v>-0.15536679219521585</v>
      </c>
      <c r="AB1628" s="75">
        <f>F1627+S1628*AA1628</f>
        <v>6.474635558244946</v>
      </c>
      <c r="AC1628" s="75">
        <f>-('THAM_SO_MOI'!$C$12*IF(AB1628&gt;'THAM_SO_MOI'!$C$14,'THAM_SO_MOI'!$C$13*(1+AB1628^2/1500),'THAM_SO_MOI'!$C$13)+'THAM_SO_MOI'!$C$15*'THAM_SO_MOI'!$C$16*AB1628^2)/('THAM_SO_MOI'!$C$11*'THAM_SO_MOI'!$C$35)</f>
        <v>-0.15534854277224244</v>
      </c>
    </row>
    <row r="1629" spans="1:29" ht="19" customHeight="1">
      <c r="A1629" s="68" t="s">
        <v>373</v>
      </c>
      <c r="B1629" s="74">
        <v>2</v>
      </c>
      <c r="C1629" s="68" t="s">
        <v>370</v>
      </c>
      <c r="D1629" s="68" t="s">
        <v>371</v>
      </c>
      <c r="F1629" s="75">
        <f>F1628+S1629*(W1629+2*Y1629+2*AA1629+AC1629)/6</f>
        <v>6.466869042705234</v>
      </c>
      <c r="G1629" s="75">
        <f>3.6*F1629</f>
        <v>23.280728553738843</v>
      </c>
      <c r="H1629" s="75">
        <f>'THAM_SO_MOI'!$C$35</f>
        <v>1.05</v>
      </c>
      <c r="I1629" s="75">
        <f>IF(F1629&gt;'THAM_SO_MOI'!$C$14,'THAM_SO_MOI'!$C$13*(1+F1629^2/1500),'THAM_SO_MOI'!$C$13)</f>
        <v>0.015</v>
      </c>
      <c r="J1629" s="75">
        <f>0</f>
        <v>0.0</v>
      </c>
      <c r="K1629" s="75">
        <f>0</f>
        <v>0.0</v>
      </c>
      <c r="L1629" s="75">
        <f>0</f>
        <v>0.0</v>
      </c>
      <c r="M1629" s="75">
        <f>'THAM_SO_MOI'!$C$15*'THAM_SO_MOI'!$C$16*F1629^2</f>
        <v>122.3246560053355</v>
      </c>
      <c r="N1629" s="75">
        <f>'THAM_SO_MOI'!$C$12*I1629</f>
        <v>1130.112</v>
      </c>
      <c r="O1629" s="75">
        <f>M1629+N1629</f>
        <v>1252.4366560053356</v>
      </c>
      <c r="P1629" s="75">
        <f>-O1629/('THAM_SO_MOI'!$C$11*H1629)</f>
        <v>-0.155312085318122</v>
      </c>
      <c r="R1629" s="75">
        <f>F1629-F1628</f>
        <v>-0.007766515484274095</v>
      </c>
      <c r="S1629" s="75">
        <f>'THAM_SO_MOI'!$C$34/'THAM_SO_MOI'!$C$43</f>
        <v>0.05</v>
      </c>
      <c r="T1629" s="75">
        <f>S1629*(F1628+2*X1629+2*Z1629+AB1629)/6</f>
        <v>0.3235376074270658</v>
      </c>
      <c r="U1629" s="76">
        <f>U1628+S1629</f>
        <v>6.866635177751817</v>
      </c>
      <c r="V1629" s="76">
        <f>V1628+T1629</f>
        <v>26.514078839383252</v>
      </c>
      <c r="W1629" s="75">
        <f>-('THAM_SO_MOI'!$C$12*IF(F1628&gt;'THAM_SO_MOI'!$C$14,'THAM_SO_MOI'!$C$13*(1+F1628^2/1500),'THAM_SO_MOI'!$C$13)+'THAM_SO_MOI'!$C$15*'THAM_SO_MOI'!$C$16*F1628^2)/('THAM_SO_MOI'!$C$11*'THAM_SO_MOI'!$C$35)</f>
        <v>-0.15534854277198204</v>
      </c>
      <c r="X1629" s="75">
        <f>F1628+S1629*W1629/2</f>
        <v>6.470751844620208</v>
      </c>
      <c r="Y1629" s="75">
        <f>-('THAM_SO_MOI'!$C$12*IF(X1629&gt;'THAM_SO_MOI'!$C$14,'THAM_SO_MOI'!$C$13*(1+X1629^2/1500),'THAM_SO_MOI'!$C$13)+'THAM_SO_MOI'!$C$15*'THAM_SO_MOI'!$C$16*X1629^2)/('THAM_SO_MOI'!$C$11*'THAM_SO_MOI'!$C$35)</f>
        <v>-0.15533030643556153</v>
      </c>
      <c r="Z1629" s="75">
        <f>F1628+S1629*Y1629/2</f>
        <v>6.470752300528619</v>
      </c>
      <c r="AA1629" s="75">
        <f>-('THAM_SO_MOI'!$C$12*IF(Z1629&gt;'THAM_SO_MOI'!$C$14,'THAM_SO_MOI'!$C$13*(1+Z1629^2/1500),'THAM_SO_MOI'!$C$13)+'THAM_SO_MOI'!$C$15*'THAM_SO_MOI'!$C$16*Z1629^2)/('THAM_SO_MOI'!$C$11*'THAM_SO_MOI'!$C$35)</f>
        <v>-0.15533030857567953</v>
      </c>
      <c r="AB1629" s="75">
        <f>F1628+S1629*AA1629</f>
        <v>6.466869042760724</v>
      </c>
      <c r="AC1629" s="75">
        <f>-('THAM_SO_MOI'!$C$12*IF(AB1629&gt;'THAM_SO_MOI'!$C$14,'THAM_SO_MOI'!$C$13*(1+AB1629^2/1500),'THAM_SO_MOI'!$C$13)+'THAM_SO_MOI'!$C$15*'THAM_SO_MOI'!$C$16*AB1629^2)/('THAM_SO_MOI'!$C$11*'THAM_SO_MOI'!$C$35)</f>
        <v>-0.15531208531838228</v>
      </c>
    </row>
    <row r="1630" spans="1:29" ht="19" customHeight="1">
      <c r="A1630" s="68" t="s">
        <v>373</v>
      </c>
      <c r="B1630" s="74">
        <v>2</v>
      </c>
      <c r="C1630" s="68" t="s">
        <v>370</v>
      </c>
      <c r="D1630" s="68" t="s">
        <v>371</v>
      </c>
      <c r="F1630" s="75">
        <f>F1629+S1630*(W1630+2*Y1630+2*AA1630+AC1630)/6</f>
        <v>6.459104348786139</v>
      </c>
      <c r="G1630" s="75">
        <f>3.6*F1630</f>
        <v>23.2527756556301</v>
      </c>
      <c r="H1630" s="75">
        <f>'THAM_SO_MOI'!$C$35</f>
        <v>1.05</v>
      </c>
      <c r="I1630" s="75">
        <f>IF(F1630&gt;'THAM_SO_MOI'!$C$14,'THAM_SO_MOI'!$C$13*(1+F1630^2/1500),'THAM_SO_MOI'!$C$13)</f>
        <v>0.015</v>
      </c>
      <c r="J1630" s="75">
        <f>0</f>
        <v>0.0</v>
      </c>
      <c r="K1630" s="75">
        <f>0</f>
        <v>0.0</v>
      </c>
      <c r="L1630" s="75">
        <f>0</f>
        <v>0.0</v>
      </c>
      <c r="M1630" s="75">
        <f>'THAM_SO_MOI'!$C$15*'THAM_SO_MOI'!$C$16*F1630^2</f>
        <v>122.03108479138594</v>
      </c>
      <c r="N1630" s="75">
        <f>'THAM_SO_MOI'!$C$12*I1630</f>
        <v>1130.112</v>
      </c>
      <c r="O1630" s="75">
        <f>M1630+N1630</f>
        <v>1252.143084791386</v>
      </c>
      <c r="P1630" s="75">
        <f>-O1630/('THAM_SO_MOI'!$C$11*H1630)</f>
        <v>-0.15527568015766194</v>
      </c>
      <c r="R1630" s="75">
        <f>F1630-F1629</f>
        <v>-0.0077646939190954</v>
      </c>
      <c r="S1630" s="75">
        <f>'THAM_SO_MOI'!$C$34/'THAM_SO_MOI'!$C$43</f>
        <v>0.05</v>
      </c>
      <c r="T1630" s="75">
        <f>S1630*(F1629+2*X1630+2*Z1630+AB1630)/6</f>
        <v>0.323149327202876</v>
      </c>
      <c r="U1630" s="76">
        <f>U1629+S1630</f>
        <v>6.916635177751817</v>
      </c>
      <c r="V1630" s="76">
        <f>V1629+T1630</f>
        <v>26.83722816658613</v>
      </c>
      <c r="W1630" s="75">
        <f>-('THAM_SO_MOI'!$C$12*IF(F1629&gt;'THAM_SO_MOI'!$C$14,'THAM_SO_MOI'!$C$13*(1+F1629^2/1500),'THAM_SO_MOI'!$C$13)+'THAM_SO_MOI'!$C$15*'THAM_SO_MOI'!$C$16*F1629^2)/('THAM_SO_MOI'!$C$11*'THAM_SO_MOI'!$C$35)</f>
        <v>-0.155312085318122</v>
      </c>
      <c r="X1630" s="75">
        <f>F1629+S1630*W1630/2</f>
        <v>6.462986240572281</v>
      </c>
      <c r="Y1630" s="75">
        <f>-('THAM_SO_MOI'!$C$12*IF(X1630&gt;'THAM_SO_MOI'!$C$14,'THAM_SO_MOI'!$C$13*(1+X1630^2/1500),'THAM_SO_MOI'!$C$13)+'THAM_SO_MOI'!$C$15*'THAM_SO_MOI'!$C$16*X1630^2)/('THAM_SO_MOI'!$C$11*'THAM_SO_MOI'!$C$35)</f>
        <v>-0.15529387513660006</v>
      </c>
      <c r="Z1630" s="75">
        <f>F1629+S1630*Y1630/2</f>
        <v>6.462986695826819</v>
      </c>
      <c r="AA1630" s="75">
        <f>-('THAM_SO_MOI'!$C$12*IF(Z1630&gt;'THAM_SO_MOI'!$C$14,'THAM_SO_MOI'!$C$13*(1+Z1630^2/1500),'THAM_SO_MOI'!$C$13)+'THAM_SO_MOI'!$C$15*'THAM_SO_MOI'!$C$16*Z1630^2)/('THAM_SO_MOI'!$C$11*'THAM_SO_MOI'!$C$35)</f>
        <v>-0.15529387727108396</v>
      </c>
      <c r="AB1630" s="75">
        <f>F1629+S1630*AA1630</f>
        <v>6.45910434884168</v>
      </c>
      <c r="AC1630" s="75">
        <f>-('THAM_SO_MOI'!$C$12*IF(AB1630&gt;'THAM_SO_MOI'!$C$14,'THAM_SO_MOI'!$C$13*(1+AB1630^2/1500),'THAM_SO_MOI'!$C$13)+'THAM_SO_MOI'!$C$15*'THAM_SO_MOI'!$C$16*AB1630^2)/('THAM_SO_MOI'!$C$11*'THAM_SO_MOI'!$C$35)</f>
        <v>-0.1552756801579222</v>
      </c>
    </row>
    <row r="1631" spans="1:29" ht="19" customHeight="1">
      <c r="A1631" s="68" t="s">
        <v>373</v>
      </c>
      <c r="B1631" s="74">
        <v>2</v>
      </c>
      <c r="C1631" s="68" t="s">
        <v>370</v>
      </c>
      <c r="D1631" s="68" t="s">
        <v>371</v>
      </c>
      <c r="F1631" s="75">
        <f>F1630+S1631*(W1631+2*Y1631+2*AA1631+AC1631)/6</f>
        <v>6.451341473818628</v>
      </c>
      <c r="G1631" s="75">
        <f>3.6*F1631</f>
        <v>23.22482930574706</v>
      </c>
      <c r="H1631" s="75">
        <f>'THAM_SO_MOI'!$C$35</f>
        <v>1.05</v>
      </c>
      <c r="I1631" s="75">
        <f>IF(F1631&gt;'THAM_SO_MOI'!$C$14,'THAM_SO_MOI'!$C$13*(1+F1631^2/1500),'THAM_SO_MOI'!$C$13)</f>
        <v>0.015</v>
      </c>
      <c r="J1631" s="75">
        <f>0</f>
        <v>0.0</v>
      </c>
      <c r="K1631" s="75">
        <f>0</f>
        <v>0.0</v>
      </c>
      <c r="L1631" s="75">
        <f>0</f>
        <v>0.0</v>
      </c>
      <c r="M1631" s="75">
        <f>'THAM_SO_MOI'!$C$15*'THAM_SO_MOI'!$C$16*F1631^2</f>
        <v>121.73793492455101</v>
      </c>
      <c r="N1631" s="75">
        <f>'THAM_SO_MOI'!$C$12*I1631</f>
        <v>1130.112</v>
      </c>
      <c r="O1631" s="75">
        <f>M1631+N1631</f>
        <v>1251.849934924551</v>
      </c>
      <c r="P1631" s="75">
        <f>-O1631/('THAM_SO_MOI'!$C$11*H1631)</f>
        <v>-0.15523932724758818</v>
      </c>
      <c r="R1631" s="75">
        <f>F1631-F1630</f>
        <v>-0.007762874967510491</v>
      </c>
      <c r="S1631" s="75">
        <f>'THAM_SO_MOI'!$C$34/'THAM_SO_MOI'!$C$43</f>
        <v>0.05</v>
      </c>
      <c r="T1631" s="75">
        <f>S1631*(F1630+2*X1631+2*Z1631+AB1631)/6</f>
        <v>0.32276113799159634</v>
      </c>
      <c r="U1631" s="76">
        <f>U1630+S1631</f>
        <v>6.966635177751817</v>
      </c>
      <c r="V1631" s="76">
        <f>V1630+T1631</f>
        <v>27.159989304577724</v>
      </c>
      <c r="W1631" s="75">
        <f>-('THAM_SO_MOI'!$C$12*IF(F1630&gt;'THAM_SO_MOI'!$C$14,'THAM_SO_MOI'!$C$13*(1+F1630^2/1500),'THAM_SO_MOI'!$C$13)+'THAM_SO_MOI'!$C$15*'THAM_SO_MOI'!$C$16*F1630^2)/('THAM_SO_MOI'!$C$11*'THAM_SO_MOI'!$C$35)</f>
        <v>-0.15527568015766194</v>
      </c>
      <c r="X1631" s="75">
        <f>F1630+S1631*W1631/2</f>
        <v>6.455222456782197</v>
      </c>
      <c r="Y1631" s="75">
        <f>-('THAM_SO_MOI'!$C$12*IF(X1631&gt;'THAM_SO_MOI'!$C$14,'THAM_SO_MOI'!$C$13*(1+X1631^2/1500),'THAM_SO_MOI'!$C$13)+'THAM_SO_MOI'!$C$15*'THAM_SO_MOI'!$C$16*X1631^2)/('THAM_SO_MOI'!$C$11*'THAM_SO_MOI'!$C$35)</f>
        <v>-0.15525749610951695</v>
      </c>
      <c r="Z1631" s="75">
        <f>F1630+S1631*Y1631/2</f>
        <v>6.455222911383401</v>
      </c>
      <c r="AA1631" s="75">
        <f>-('THAM_SO_MOI'!$C$12*IF(Z1631&gt;'THAM_SO_MOI'!$C$14,'THAM_SO_MOI'!$C$13*(1+Z1631^2/1500),'THAM_SO_MOI'!$C$13)+'THAM_SO_MOI'!$C$15*'THAM_SO_MOI'!$C$16*Z1631^2)/('THAM_SO_MOI'!$C$11*'THAM_SO_MOI'!$C$35)</f>
        <v>-0.15525749823837723</v>
      </c>
      <c r="AB1631" s="75">
        <f>F1630+S1631*AA1631</f>
        <v>6.45134147387422</v>
      </c>
      <c r="AC1631" s="75">
        <f>-('THAM_SO_MOI'!$C$12*IF(AB1631&gt;'THAM_SO_MOI'!$C$14,'THAM_SO_MOI'!$C$13*(1+AB1631^2/1500),'THAM_SO_MOI'!$C$13)+'THAM_SO_MOI'!$C$15*'THAM_SO_MOI'!$C$16*AB1631^2)/('THAM_SO_MOI'!$C$11*'THAM_SO_MOI'!$C$35)</f>
        <v>-0.15523932724784836</v>
      </c>
    </row>
    <row r="1632" spans="1:29" ht="19" customHeight="1">
      <c r="A1632" s="68" t="s">
        <v>373</v>
      </c>
      <c r="B1632" s="74">
        <v>2</v>
      </c>
      <c r="C1632" s="68" t="s">
        <v>370</v>
      </c>
      <c r="D1632" s="68" t="s">
        <v>371</v>
      </c>
      <c r="F1632" s="75">
        <f>F1631+S1632*(W1632+2*Y1632+2*AA1632+AC1632)/6</f>
        <v>6.443580415191256</v>
      </c>
      <c r="G1632" s="75">
        <f>3.6*F1632</f>
        <v>23.196889494688524</v>
      </c>
      <c r="H1632" s="75">
        <f>'THAM_SO_MOI'!$C$35</f>
        <v>1.05</v>
      </c>
      <c r="I1632" s="75">
        <f>IF(F1632&gt;'THAM_SO_MOI'!$C$14,'THAM_SO_MOI'!$C$13*(1+F1632^2/1500),'THAM_SO_MOI'!$C$13)</f>
        <v>0.015</v>
      </c>
      <c r="J1632" s="75">
        <f>0</f>
        <v>0.0</v>
      </c>
      <c r="K1632" s="75">
        <f>0</f>
        <v>0.0</v>
      </c>
      <c r="L1632" s="75">
        <f>0</f>
        <v>0.0</v>
      </c>
      <c r="M1632" s="75">
        <f>'THAM_SO_MOI'!$C$15*'THAM_SO_MOI'!$C$16*F1632^2</f>
        <v>121.44520605858126</v>
      </c>
      <c r="N1632" s="75">
        <f>'THAM_SO_MOI'!$C$12*I1632</f>
        <v>1130.112</v>
      </c>
      <c r="O1632" s="75">
        <f>M1632+N1632</f>
        <v>1251.5572060585814</v>
      </c>
      <c r="P1632" s="75">
        <f>-O1632/('THAM_SO_MOI'!$C$11*H1632)</f>
        <v>-0.15520302654496299</v>
      </c>
      <c r="R1632" s="75">
        <f>F1632-F1631</f>
        <v>-0.007761058627371753</v>
      </c>
      <c r="S1632" s="75">
        <f>'THAM_SO_MOI'!$C$34/'THAM_SO_MOI'!$C$43</f>
        <v>0.05</v>
      </c>
      <c r="T1632" s="75">
        <f>S1632*(F1631+2*X1632+2*Z1632+AB1632)/6</f>
        <v>0.3223730396626008</v>
      </c>
      <c r="U1632" s="76">
        <f>U1631+S1632</f>
        <v>7.016635177751817</v>
      </c>
      <c r="V1632" s="76">
        <f>V1631+T1632</f>
        <v>27.482362344240325</v>
      </c>
      <c r="W1632" s="75">
        <f>-('THAM_SO_MOI'!$C$12*IF(F1631&gt;'THAM_SO_MOI'!$C$14,'THAM_SO_MOI'!$C$13*(1+F1631^2/1500),'THAM_SO_MOI'!$C$13)+'THAM_SO_MOI'!$C$15*'THAM_SO_MOI'!$C$16*F1631^2)/('THAM_SO_MOI'!$C$11*'THAM_SO_MOI'!$C$35)</f>
        <v>-0.15523932724758818</v>
      </c>
      <c r="X1632" s="75">
        <f>F1631+S1632*W1632/2</f>
        <v>6.447460490637439</v>
      </c>
      <c r="Y1632" s="75">
        <f>-('THAM_SO_MOI'!$C$12*IF(X1632&gt;'THAM_SO_MOI'!$C$14,'THAM_SO_MOI'!$C$13*(1+X1632^2/1500),'THAM_SO_MOI'!$C$13)+'THAM_SO_MOI'!$C$15*'THAM_SO_MOI'!$C$16*X1632^2)/('THAM_SO_MOI'!$C$11*'THAM_SO_MOI'!$C$35)</f>
        <v>-0.1552211693113365</v>
      </c>
      <c r="Z1632" s="75">
        <f>F1631+S1632*Y1632/2</f>
        <v>6.447460944585845</v>
      </c>
      <c r="AA1632" s="75">
        <f>-('THAM_SO_MOI'!$C$12*IF(Z1632&gt;'THAM_SO_MOI'!$C$14,'THAM_SO_MOI'!$C$13*(1+Z1632^2/1500),'THAM_SO_MOI'!$C$13)+'THAM_SO_MOI'!$C$15*'THAM_SO_MOI'!$C$16*Z1632^2)/('THAM_SO_MOI'!$C$11*'THAM_SO_MOI'!$C$35)</f>
        <v>-0.15522117143458364</v>
      </c>
      <c r="AB1632" s="75">
        <f>F1631+S1632*AA1632</f>
        <v>6.443580415246899</v>
      </c>
      <c r="AC1632" s="75">
        <f>-('THAM_SO_MOI'!$C$12*IF(AB1632&gt;'THAM_SO_MOI'!$C$14,'THAM_SO_MOI'!$C$13*(1+AB1632^2/1500),'THAM_SO_MOI'!$C$13)+'THAM_SO_MOI'!$C$15*'THAM_SO_MOI'!$C$16*AB1632^2)/('THAM_SO_MOI'!$C$11*'THAM_SO_MOI'!$C$35)</f>
        <v>-0.15520302654522306</v>
      </c>
    </row>
    <row r="1633" spans="1:29" ht="19" customHeight="1">
      <c r="A1633" s="68" t="s">
        <v>373</v>
      </c>
      <c r="B1633" s="74">
        <v>2</v>
      </c>
      <c r="C1633" s="68" t="s">
        <v>370</v>
      </c>
      <c r="D1633" s="68" t="s">
        <v>371</v>
      </c>
      <c r="F1633" s="75">
        <f>F1632+S1633*(W1633+2*Y1633+2*AA1633+AC1633)/6</f>
        <v>6.435821170294722</v>
      </c>
      <c r="G1633" s="75">
        <f>3.6*F1633</f>
        <v>23.168956213061</v>
      </c>
      <c r="H1633" s="75">
        <f>'THAM_SO_MOI'!$C$35</f>
        <v>1.05</v>
      </c>
      <c r="I1633" s="75">
        <f>IF(F1633&gt;'THAM_SO_MOI'!$C$14,'THAM_SO_MOI'!$C$13*(1+F1633^2/1500),'THAM_SO_MOI'!$C$13)</f>
        <v>0.015</v>
      </c>
      <c r="J1633" s="75">
        <f>0</f>
        <v>0.0</v>
      </c>
      <c r="K1633" s="75">
        <f>0</f>
        <v>0.0</v>
      </c>
      <c r="L1633" s="75">
        <f>0</f>
        <v>0.0</v>
      </c>
      <c r="M1633" s="75">
        <f>'THAM_SO_MOI'!$C$15*'THAM_SO_MOI'!$C$16*F1633^2</f>
        <v>121.15289784784017</v>
      </c>
      <c r="N1633" s="75">
        <f>'THAM_SO_MOI'!$C$12*I1633</f>
        <v>1130.112</v>
      </c>
      <c r="O1633" s="75">
        <f>M1633+N1633</f>
        <v>1251.2648978478403</v>
      </c>
      <c r="P1633" s="75">
        <f>-O1633/('THAM_SO_MOI'!$C$11*H1633)</f>
        <v>-0.15516677800692463</v>
      </c>
      <c r="R1633" s="75">
        <f>F1633-F1632</f>
        <v>-0.007759244896534234</v>
      </c>
      <c r="S1633" s="75">
        <f>'THAM_SO_MOI'!$C$34/'THAM_SO_MOI'!$C$43</f>
        <v>0.05</v>
      </c>
      <c r="T1633" s="75">
        <f>S1633*(F1632+2*X1633+2*Z1633+AB1633)/6</f>
        <v>0.3219850320853708</v>
      </c>
      <c r="U1633" s="76">
        <f>U1632+S1633</f>
        <v>7.066635177751817</v>
      </c>
      <c r="V1633" s="76">
        <f>V1632+T1633</f>
        <v>27.804347376325698</v>
      </c>
      <c r="W1633" s="75">
        <f>-('THAM_SO_MOI'!$C$12*IF(F1632&gt;'THAM_SO_MOI'!$C$14,'THAM_SO_MOI'!$C$13*(1+F1632^2/1500),'THAM_SO_MOI'!$C$13)+'THAM_SO_MOI'!$C$15*'THAM_SO_MOI'!$C$16*F1632^2)/('THAM_SO_MOI'!$C$11*'THAM_SO_MOI'!$C$35)</f>
        <v>-0.15520302654496299</v>
      </c>
      <c r="X1633" s="75">
        <f>F1632+S1633*W1633/2</f>
        <v>6.439700339527632</v>
      </c>
      <c r="Y1633" s="75">
        <f>-('THAM_SO_MOI'!$C$12*IF(X1633&gt;'THAM_SO_MOI'!$C$14,'THAM_SO_MOI'!$C$13*(1+X1633^2/1500),'THAM_SO_MOI'!$C$13)+'THAM_SO_MOI'!$C$15*'THAM_SO_MOI'!$C$16*X1633^2)/('THAM_SO_MOI'!$C$11*'THAM_SO_MOI'!$C$35)</f>
        <v>-0.15518489469915905</v>
      </c>
      <c r="Z1633" s="75">
        <f>F1632+S1633*Y1633/2</f>
        <v>6.4397007928237775</v>
      </c>
      <c r="AA1633" s="75">
        <f>-('THAM_SO_MOI'!$C$12*IF(Z1633&gt;'THAM_SO_MOI'!$C$14,'THAM_SO_MOI'!$C$13*(1+Z1633^2/1500),'THAM_SO_MOI'!$C$13)+'THAM_SO_MOI'!$C$15*'THAM_SO_MOI'!$C$16*Z1633^2)/('THAM_SO_MOI'!$C$11*'THAM_SO_MOI'!$C$35)</f>
        <v>-0.15518489681680353</v>
      </c>
      <c r="AB1633" s="75">
        <f>F1632+S1633*AA1633</f>
        <v>6.435821170350416</v>
      </c>
      <c r="AC1633" s="75">
        <f>-('THAM_SO_MOI'!$C$12*IF(AB1633&gt;'THAM_SO_MOI'!$C$14,'THAM_SO_MOI'!$C$13*(1+AB1633^2/1500),'THAM_SO_MOI'!$C$13)+'THAM_SO_MOI'!$C$15*'THAM_SO_MOI'!$C$16*AB1633^2)/('THAM_SO_MOI'!$C$11*'THAM_SO_MOI'!$C$35)</f>
        <v>-0.15516677800718467</v>
      </c>
    </row>
    <row r="1634" spans="1:29" ht="19" customHeight="1">
      <c r="A1634" s="68" t="s">
        <v>373</v>
      </c>
      <c r="B1634" s="74">
        <v>2</v>
      </c>
      <c r="C1634" s="68" t="s">
        <v>370</v>
      </c>
      <c r="D1634" s="68" t="s">
        <v>371</v>
      </c>
      <c r="F1634" s="75">
        <f>F1633+S1634*(W1634+2*Y1634+2*AA1634+AC1634)/6</f>
        <v>6.428063736521867</v>
      </c>
      <c r="G1634" s="75">
        <f>3.6*F1634</f>
        <v>23.141029451478722</v>
      </c>
      <c r="H1634" s="75">
        <f>'THAM_SO_MOI'!$C$35</f>
        <v>1.05</v>
      </c>
      <c r="I1634" s="75">
        <f>IF(F1634&gt;'THAM_SO_MOI'!$C$14,'THAM_SO_MOI'!$C$13*(1+F1634^2/1500),'THAM_SO_MOI'!$C$13)</f>
        <v>0.015</v>
      </c>
      <c r="J1634" s="75">
        <f>0</f>
        <v>0.0</v>
      </c>
      <c r="K1634" s="75">
        <f>0</f>
        <v>0.0</v>
      </c>
      <c r="L1634" s="75">
        <f>0</f>
        <v>0.0</v>
      </c>
      <c r="M1634" s="75">
        <f>'THAM_SO_MOI'!$C$15*'THAM_SO_MOI'!$C$16*F1634^2</f>
        <v>120.86100994730337</v>
      </c>
      <c r="N1634" s="75">
        <f>'THAM_SO_MOI'!$C$12*I1634</f>
        <v>1130.112</v>
      </c>
      <c r="O1634" s="75">
        <f>M1634+N1634</f>
        <v>1250.9730099473034</v>
      </c>
      <c r="P1634" s="75">
        <f>-O1634/('THAM_SO_MOI'!$C$11*H1634)</f>
        <v>-0.15513058159068743</v>
      </c>
      <c r="R1634" s="75">
        <f>F1634-F1633</f>
        <v>-0.0077574337728547604</v>
      </c>
      <c r="S1634" s="75">
        <f>'THAM_SO_MOI'!$C$34/'THAM_SO_MOI'!$C$43</f>
        <v>0.05</v>
      </c>
      <c r="T1634" s="75">
        <f>S1634*(F1633+2*X1634+2*Z1634+AB1634)/6</f>
        <v>0.3215971151294948</v>
      </c>
      <c r="U1634" s="76">
        <f>U1633+S1634</f>
        <v>7.116635177751816</v>
      </c>
      <c r="V1634" s="76">
        <f>V1633+T1634</f>
        <v>28.125944491455193</v>
      </c>
      <c r="W1634" s="75">
        <f>-('THAM_SO_MOI'!$C$12*IF(F1633&gt;'THAM_SO_MOI'!$C$14,'THAM_SO_MOI'!$C$13*(1+F1633^2/1500),'THAM_SO_MOI'!$C$13)+'THAM_SO_MOI'!$C$15*'THAM_SO_MOI'!$C$16*F1633^2)/('THAM_SO_MOI'!$C$11*'THAM_SO_MOI'!$C$35)</f>
        <v>-0.15516677800692463</v>
      </c>
      <c r="X1634" s="75">
        <f>F1633+S1634*W1634/2</f>
        <v>6.431942000844549</v>
      </c>
      <c r="Y1634" s="75">
        <f>-('THAM_SO_MOI'!$C$12*IF(X1634&gt;'THAM_SO_MOI'!$C$14,'THAM_SO_MOI'!$C$13*(1+X1634^2/1500),'THAM_SO_MOI'!$C$13)+'THAM_SO_MOI'!$C$15*'THAM_SO_MOI'!$C$16*X1634^2)/('THAM_SO_MOI'!$C$11*'THAM_SO_MOI'!$C$35)</f>
        <v>-0.15514867223016088</v>
      </c>
      <c r="Z1634" s="75">
        <f>F1633+S1634*Y1634/2</f>
        <v>6.431942453488968</v>
      </c>
      <c r="AA1634" s="75">
        <f>-('THAM_SO_MOI'!$C$12*IF(Z1634&gt;'THAM_SO_MOI'!$C$14,'THAM_SO_MOI'!$C$13*(1+Z1634^2/1500),'THAM_SO_MOI'!$C$13)+'THAM_SO_MOI'!$C$15*'THAM_SO_MOI'!$C$16*Z1634^2)/('THAM_SO_MOI'!$C$11*'THAM_SO_MOI'!$C$35)</f>
        <v>-0.1551486743422131</v>
      </c>
      <c r="AB1634" s="75">
        <f>F1633+S1634*AA1634</f>
        <v>6.428063736577611</v>
      </c>
      <c r="AC1634" s="75">
        <f>-('THAM_SO_MOI'!$C$12*IF(AB1634&gt;'THAM_SO_MOI'!$C$14,'THAM_SO_MOI'!$C$13*(1+AB1634^2/1500),'THAM_SO_MOI'!$C$13)+'THAM_SO_MOI'!$C$15*'THAM_SO_MOI'!$C$16*AB1634^2)/('THAM_SO_MOI'!$C$11*'THAM_SO_MOI'!$C$35)</f>
        <v>-0.1551305815909474</v>
      </c>
    </row>
    <row r="1635" spans="1:29" ht="19" customHeight="1">
      <c r="A1635" s="68" t="s">
        <v>373</v>
      </c>
      <c r="B1635" s="74">
        <v>2</v>
      </c>
      <c r="C1635" s="68" t="s">
        <v>370</v>
      </c>
      <c r="D1635" s="68" t="s">
        <v>371</v>
      </c>
      <c r="F1635" s="75">
        <f>F1634+S1635*(W1635+2*Y1635+2*AA1635+AC1635)/6</f>
        <v>6.420308111267669</v>
      </c>
      <c r="G1635" s="75">
        <f>3.6*F1635</f>
        <v>23.11310920056361</v>
      </c>
      <c r="H1635" s="75">
        <f>'THAM_SO_MOI'!$C$35</f>
        <v>1.05</v>
      </c>
      <c r="I1635" s="75">
        <f>IF(F1635&gt;'THAM_SO_MOI'!$C$14,'THAM_SO_MOI'!$C$13*(1+F1635^2/1500),'THAM_SO_MOI'!$C$13)</f>
        <v>0.015</v>
      </c>
      <c r="J1635" s="75">
        <f>0</f>
        <v>0.0</v>
      </c>
      <c r="K1635" s="75">
        <f>0</f>
        <v>0.0</v>
      </c>
      <c r="L1635" s="75">
        <f>0</f>
        <v>0.0</v>
      </c>
      <c r="M1635" s="75">
        <f>'THAM_SO_MOI'!$C$15*'THAM_SO_MOI'!$C$16*F1635^2</f>
        <v>120.56954201255759</v>
      </c>
      <c r="N1635" s="75">
        <f>'THAM_SO_MOI'!$C$12*I1635</f>
        <v>1130.112</v>
      </c>
      <c r="O1635" s="75">
        <f>M1635+N1635</f>
        <v>1250.6815420125577</v>
      </c>
      <c r="P1635" s="75">
        <f>-O1635/('THAM_SO_MOI'!$C$11*H1635)</f>
        <v>-0.15509443725354138</v>
      </c>
      <c r="R1635" s="75">
        <f>F1635-F1634</f>
        <v>-0.007755625254198151</v>
      </c>
      <c r="S1635" s="75">
        <f>'THAM_SO_MOI'!$C$34/'THAM_SO_MOI'!$C$43</f>
        <v>0.05</v>
      </c>
      <c r="T1635" s="75">
        <f>S1635*(F1634+2*X1635+2*Z1635+AB1635)/6</f>
        <v>0.32120928866466825</v>
      </c>
      <c r="U1635" s="76">
        <f>U1634+S1635</f>
        <v>7.166635177751816</v>
      </c>
      <c r="V1635" s="76">
        <f>V1634+T1635</f>
        <v>28.447153780119862</v>
      </c>
      <c r="W1635" s="75">
        <f>-('THAM_SO_MOI'!$C$12*IF(F1634&gt;'THAM_SO_MOI'!$C$14,'THAM_SO_MOI'!$C$13*(1+F1634^2/1500),'THAM_SO_MOI'!$C$13)+'THAM_SO_MOI'!$C$15*'THAM_SO_MOI'!$C$16*F1634^2)/('THAM_SO_MOI'!$C$11*'THAM_SO_MOI'!$C$35)</f>
        <v>-0.15513058159068743</v>
      </c>
      <c r="X1635" s="75">
        <f>F1634+S1635*W1635/2</f>
        <v>6.4241854719821</v>
      </c>
      <c r="Y1635" s="75">
        <f>-('THAM_SO_MOI'!$C$12*IF(X1635&gt;'THAM_SO_MOI'!$C$14,'THAM_SO_MOI'!$C$13*(1+X1635^2/1500),'THAM_SO_MOI'!$C$13)+'THAM_SO_MOI'!$C$15*'THAM_SO_MOI'!$C$16*X1635^2)/('THAM_SO_MOI'!$C$11*'THAM_SO_MOI'!$C$35)</f>
        <v>-0.15511250186159423</v>
      </c>
      <c r="Z1635" s="75">
        <f>F1634+S1635*Y1635/2</f>
        <v>6.424185923975328</v>
      </c>
      <c r="AA1635" s="75">
        <f>-('THAM_SO_MOI'!$C$12*IF(Z1635&gt;'THAM_SO_MOI'!$C$14,'THAM_SO_MOI'!$C$13*(1+Z1635^2/1500),'THAM_SO_MOI'!$C$13)+'THAM_SO_MOI'!$C$15*'THAM_SO_MOI'!$C$16*Z1635^2)/('THAM_SO_MOI'!$C$11*'THAM_SO_MOI'!$C$35)</f>
        <v>-0.1551125039680646</v>
      </c>
      <c r="AB1635" s="75">
        <f>F1634+S1635*AA1635</f>
        <v>6.420308111323464</v>
      </c>
      <c r="AC1635" s="75">
        <f>-('THAM_SO_MOI'!$C$12*IF(AB1635&gt;'THAM_SO_MOI'!$C$14,'THAM_SO_MOI'!$C$13*(1+AB1635^2/1500),'THAM_SO_MOI'!$C$13)+'THAM_SO_MOI'!$C$15*'THAM_SO_MOI'!$C$16*AB1635^2)/('THAM_SO_MOI'!$C$11*'THAM_SO_MOI'!$C$35)</f>
        <v>-0.15509443725380123</v>
      </c>
    </row>
    <row r="1636" spans="1:29" ht="19" customHeight="1">
      <c r="A1636" s="68" t="s">
        <v>373</v>
      </c>
      <c r="B1636" s="74">
        <v>2</v>
      </c>
      <c r="C1636" s="68" t="s">
        <v>370</v>
      </c>
      <c r="D1636" s="68" t="s">
        <v>371</v>
      </c>
      <c r="F1636" s="75">
        <f>F1635+S1636*(W1636+2*Y1636+2*AA1636+AC1636)/6</f>
        <v>6.412554291929239</v>
      </c>
      <c r="G1636" s="75">
        <f>3.6*F1636</f>
        <v>23.08519545094526</v>
      </c>
      <c r="H1636" s="75">
        <f>'THAM_SO_MOI'!$C$35</f>
        <v>1.05</v>
      </c>
      <c r="I1636" s="75">
        <f>IF(F1636&gt;'THAM_SO_MOI'!$C$14,'THAM_SO_MOI'!$C$13*(1+F1636^2/1500),'THAM_SO_MOI'!$C$13)</f>
        <v>0.015</v>
      </c>
      <c r="J1636" s="75">
        <f>0</f>
        <v>0.0</v>
      </c>
      <c r="K1636" s="75">
        <f>0</f>
        <v>0.0</v>
      </c>
      <c r="L1636" s="75">
        <f>0</f>
        <v>0.0</v>
      </c>
      <c r="M1636" s="75">
        <f>'THAM_SO_MOI'!$C$15*'THAM_SO_MOI'!$C$16*F1636^2</f>
        <v>120.27849369979982</v>
      </c>
      <c r="N1636" s="75">
        <f>'THAM_SO_MOI'!$C$12*I1636</f>
        <v>1130.112</v>
      </c>
      <c r="O1636" s="75">
        <f>M1636+N1636</f>
        <v>1250.3904936998</v>
      </c>
      <c r="P1636" s="75">
        <f>-O1636/('THAM_SO_MOI'!$C$11*H1636)</f>
        <v>-0.15505834495285217</v>
      </c>
      <c r="R1636" s="75">
        <f>F1636-F1635</f>
        <v>-0.007753819338430112</v>
      </c>
      <c r="S1636" s="75">
        <f>'THAM_SO_MOI'!$C$34/'THAM_SO_MOI'!$C$43</f>
        <v>0.05</v>
      </c>
      <c r="T1636" s="75">
        <f>S1636*(F1635+2*X1636+2*Z1636+AB1636)/6</f>
        <v>0.3208215525606935</v>
      </c>
      <c r="U1636" s="76">
        <f>U1635+S1636</f>
        <v>7.216635177751816</v>
      </c>
      <c r="V1636" s="76">
        <f>V1635+T1636</f>
        <v>28.767975332680557</v>
      </c>
      <c r="W1636" s="75">
        <f>-('THAM_SO_MOI'!$C$12*IF(F1635&gt;'THAM_SO_MOI'!$C$14,'THAM_SO_MOI'!$C$13*(1+F1635^2/1500),'THAM_SO_MOI'!$C$13)+'THAM_SO_MOI'!$C$15*'THAM_SO_MOI'!$C$16*F1635^2)/('THAM_SO_MOI'!$C$11*'THAM_SO_MOI'!$C$35)</f>
        <v>-0.15509443725354138</v>
      </c>
      <c r="X1636" s="75">
        <f>F1635+S1636*W1636/2</f>
        <v>6.416430750336331</v>
      </c>
      <c r="Y1636" s="75">
        <f>-('THAM_SO_MOI'!$C$12*IF(X1636&gt;'THAM_SO_MOI'!$C$14,'THAM_SO_MOI'!$C$13*(1+X1636^2/1500),'THAM_SO_MOI'!$C$13)+'THAM_SO_MOI'!$C$15*'THAM_SO_MOI'!$C$16*X1636^2)/('THAM_SO_MOI'!$C$11*'THAM_SO_MOI'!$C$35)</f>
        <v>-0.15507638355078687</v>
      </c>
      <c r="Z1636" s="75">
        <f>F1635+S1636*Y1636/2</f>
        <v>6.4164312016789</v>
      </c>
      <c r="AA1636" s="75">
        <f>-('THAM_SO_MOI'!$C$12*IF(Z1636&gt;'THAM_SO_MOI'!$C$14,'THAM_SO_MOI'!$C$13*(1+Z1636^2/1500),'THAM_SO_MOI'!$C$13)+'THAM_SO_MOI'!$C$15*'THAM_SO_MOI'!$C$16*Z1636^2)/('THAM_SO_MOI'!$C$11*'THAM_SO_MOI'!$C$35)</f>
        <v>-0.15507638565168586</v>
      </c>
      <c r="AB1636" s="75">
        <f>F1635+S1636*AA1636</f>
        <v>6.412554291985085</v>
      </c>
      <c r="AC1636" s="75">
        <f>-('THAM_SO_MOI'!$C$12*IF(AB1636&gt;'THAM_SO_MOI'!$C$14,'THAM_SO_MOI'!$C$13*(1+AB1636^2/1500),'THAM_SO_MOI'!$C$13)+'THAM_SO_MOI'!$C$15*'THAM_SO_MOI'!$C$16*AB1636^2)/('THAM_SO_MOI'!$C$11*'THAM_SO_MOI'!$C$35)</f>
        <v>-0.15505834495311197</v>
      </c>
    </row>
    <row r="1637" spans="1:29" ht="19" customHeight="1">
      <c r="A1637" s="68" t="s">
        <v>373</v>
      </c>
      <c r="B1637" s="74">
        <v>2</v>
      </c>
      <c r="C1637" s="68" t="s">
        <v>370</v>
      </c>
      <c r="D1637" s="68" t="s">
        <v>371</v>
      </c>
      <c r="F1637" s="75">
        <f>F1636+S1637*(W1637+2*Y1637+2*AA1637+AC1637)/6</f>
        <v>6.404802275905819</v>
      </c>
      <c r="G1637" s="75">
        <f>3.6*F1637</f>
        <v>23.05728819326095</v>
      </c>
      <c r="H1637" s="75">
        <f>'THAM_SO_MOI'!$C$35</f>
        <v>1.05</v>
      </c>
      <c r="I1637" s="75">
        <f>IF(F1637&gt;'THAM_SO_MOI'!$C$14,'THAM_SO_MOI'!$C$13*(1+F1637^2/1500),'THAM_SO_MOI'!$C$13)</f>
        <v>0.015</v>
      </c>
      <c r="J1637" s="75">
        <f>0</f>
        <v>0.0</v>
      </c>
      <c r="K1637" s="75">
        <f>0</f>
        <v>0.0</v>
      </c>
      <c r="L1637" s="75">
        <f>0</f>
        <v>0.0</v>
      </c>
      <c r="M1637" s="75">
        <f>'THAM_SO_MOI'!$C$15*'THAM_SO_MOI'!$C$16*F1637^2</f>
        <v>119.98786466583645</v>
      </c>
      <c r="N1637" s="75">
        <f>'THAM_SO_MOI'!$C$12*I1637</f>
        <v>1130.112</v>
      </c>
      <c r="O1637" s="75">
        <f>M1637+N1637</f>
        <v>1250.0998646658365</v>
      </c>
      <c r="P1637" s="75">
        <f>-O1637/('THAM_SO_MOI'!$C$11*H1637)</f>
        <v>-0.1550223046460611</v>
      </c>
      <c r="R1637" s="75">
        <f>F1637-F1636</f>
        <v>-0.007752016023419905</v>
      </c>
      <c r="S1637" s="75">
        <f>'THAM_SO_MOI'!$C$34/'THAM_SO_MOI'!$C$43</f>
        <v>0.05</v>
      </c>
      <c r="T1637" s="75">
        <f>S1637*(F1636+2*X1637+2*Z1637+AB1637)/6</f>
        <v>0.32043390668747923</v>
      </c>
      <c r="U1637" s="76">
        <f>U1636+S1637</f>
        <v>7.266635177751816</v>
      </c>
      <c r="V1637" s="76">
        <f>V1636+T1637</f>
        <v>29.088409239368037</v>
      </c>
      <c r="W1637" s="75">
        <f>-('THAM_SO_MOI'!$C$12*IF(F1636&gt;'THAM_SO_MOI'!$C$14,'THAM_SO_MOI'!$C$13*(1+F1636^2/1500),'THAM_SO_MOI'!$C$13)+'THAM_SO_MOI'!$C$15*'THAM_SO_MOI'!$C$16*F1636^2)/('THAM_SO_MOI'!$C$11*'THAM_SO_MOI'!$C$35)</f>
        <v>-0.15505834495285217</v>
      </c>
      <c r="X1637" s="75">
        <f>F1636+S1637*W1637/2</f>
        <v>6.4086778333054175</v>
      </c>
      <c r="Y1637" s="75">
        <f>-('THAM_SO_MOI'!$C$12*IF(X1637&gt;'THAM_SO_MOI'!$C$14,'THAM_SO_MOI'!$C$13*(1+X1637^2/1500),'THAM_SO_MOI'!$C$13)+'THAM_SO_MOI'!$C$15*'THAM_SO_MOI'!$C$16*X1637^2)/('THAM_SO_MOI'!$C$11*'THAM_SO_MOI'!$C$35)</f>
        <v>-0.1550403172551424</v>
      </c>
      <c r="Z1637" s="75">
        <f>F1636+S1637*Y1637/2</f>
        <v>6.408678283997861</v>
      </c>
      <c r="AA1637" s="75">
        <f>-('THAM_SO_MOI'!$C$12*IF(Z1637&gt;'THAM_SO_MOI'!$C$14,'THAM_SO_MOI'!$C$13*(1+Z1637^2/1500),'THAM_SO_MOI'!$C$13)+'THAM_SO_MOI'!$C$15*'THAM_SO_MOI'!$C$16*Z1637^2)/('THAM_SO_MOI'!$C$11*'THAM_SO_MOI'!$C$35)</f>
        <v>-0.15504031935048032</v>
      </c>
      <c r="AB1637" s="75">
        <f>F1636+S1637*AA1637</f>
        <v>6.404802275961715</v>
      </c>
      <c r="AC1637" s="75">
        <f>-('THAM_SO_MOI'!$C$12*IF(AB1637&gt;'THAM_SO_MOI'!$C$14,'THAM_SO_MOI'!$C$13*(1+AB1637^2/1500),'THAM_SO_MOI'!$C$13)+'THAM_SO_MOI'!$C$15*'THAM_SO_MOI'!$C$16*AB1637^2)/('THAM_SO_MOI'!$C$11*'THAM_SO_MOI'!$C$35)</f>
        <v>-0.1550223046463208</v>
      </c>
    </row>
    <row r="1638" spans="1:29" ht="19" customHeight="1">
      <c r="A1638" s="68" t="s">
        <v>373</v>
      </c>
      <c r="B1638" s="74">
        <v>2</v>
      </c>
      <c r="C1638" s="68" t="s">
        <v>370</v>
      </c>
      <c r="D1638" s="68" t="s">
        <v>371</v>
      </c>
      <c r="F1638" s="75">
        <f>F1637+S1638*(W1638+2*Y1638+2*AA1638+AC1638)/6</f>
        <v>6.397052060598776</v>
      </c>
      <c r="G1638" s="75">
        <f>3.6*F1638</f>
        <v>23.029387418155594</v>
      </c>
      <c r="H1638" s="75">
        <f>'THAM_SO_MOI'!$C$35</f>
        <v>1.05</v>
      </c>
      <c r="I1638" s="75">
        <f>IF(F1638&gt;'THAM_SO_MOI'!$C$14,'THAM_SO_MOI'!$C$13*(1+F1638^2/1500),'THAM_SO_MOI'!$C$13)</f>
        <v>0.015</v>
      </c>
      <c r="J1638" s="75">
        <f>0</f>
        <v>0.0</v>
      </c>
      <c r="K1638" s="75">
        <f>0</f>
        <v>0.0</v>
      </c>
      <c r="L1638" s="75">
        <f>0</f>
        <v>0.0</v>
      </c>
      <c r="M1638" s="75">
        <f>'THAM_SO_MOI'!$C$15*'THAM_SO_MOI'!$C$16*F1638^2</f>
        <v>119.69765456808233</v>
      </c>
      <c r="N1638" s="75">
        <f>'THAM_SO_MOI'!$C$12*I1638</f>
        <v>1130.112</v>
      </c>
      <c r="O1638" s="75">
        <f>M1638+N1638</f>
        <v>1249.8096545680824</v>
      </c>
      <c r="P1638" s="75">
        <f>-O1638/('THAM_SO_MOI'!$C$11*H1638)</f>
        <v>-0.15498631629068482</v>
      </c>
      <c r="R1638" s="75">
        <f>F1638-F1637</f>
        <v>-0.007750215307043007</v>
      </c>
      <c r="S1638" s="75">
        <f>'THAM_SO_MOI'!$C$34/'THAM_SO_MOI'!$C$43</f>
        <v>0.05</v>
      </c>
      <c r="T1638" s="75">
        <f>S1638*(F1637+2*X1638+2*Z1638+AB1638)/6</f>
        <v>0.3200463509150409</v>
      </c>
      <c r="U1638" s="76">
        <f>U1637+S1638</f>
        <v>7.316635177751816</v>
      </c>
      <c r="V1638" s="76">
        <f>V1637+T1638</f>
        <v>29.40845559028308</v>
      </c>
      <c r="W1638" s="75">
        <f>-('THAM_SO_MOI'!$C$12*IF(F1637&gt;'THAM_SO_MOI'!$C$14,'THAM_SO_MOI'!$C$13*(1+F1637^2/1500),'THAM_SO_MOI'!$C$13)+'THAM_SO_MOI'!$C$15*'THAM_SO_MOI'!$C$16*F1637^2)/('THAM_SO_MOI'!$C$11*'THAM_SO_MOI'!$C$35)</f>
        <v>-0.1550223046460611</v>
      </c>
      <c r="X1638" s="75">
        <f>F1637+S1638*W1638/2</f>
        <v>6.400926718289668</v>
      </c>
      <c r="Y1638" s="75">
        <f>-('THAM_SO_MOI'!$C$12*IF(X1638&gt;'THAM_SO_MOI'!$C$14,'THAM_SO_MOI'!$C$13*(1+X1638^2/1500),'THAM_SO_MOI'!$C$13)+'THAM_SO_MOI'!$C$15*'THAM_SO_MOI'!$C$16*X1638^2)/('THAM_SO_MOI'!$C$11*'THAM_SO_MOI'!$C$35)</f>
        <v>-0.15500430293213976</v>
      </c>
      <c r="Z1638" s="75">
        <f>F1637+S1638*Y1638/2</f>
        <v>6.400927168332515</v>
      </c>
      <c r="AA1638" s="75">
        <f>-('THAM_SO_MOI'!$C$12*IF(Z1638&gt;'THAM_SO_MOI'!$C$14,'THAM_SO_MOI'!$C$13*(1+Z1638^2/1500),'THAM_SO_MOI'!$C$13)+'THAM_SO_MOI'!$C$15*'THAM_SO_MOI'!$C$16*Z1638^2)/('THAM_SO_MOI'!$C$11*'THAM_SO_MOI'!$C$35)</f>
        <v>-0.15500430502192705</v>
      </c>
      <c r="AB1638" s="75">
        <f>F1637+S1638*AA1638</f>
        <v>6.3970520606547225</v>
      </c>
      <c r="AC1638" s="75">
        <f>-('THAM_SO_MOI'!$C$12*IF(AB1638&gt;'THAM_SO_MOI'!$C$14,'THAM_SO_MOI'!$C$13*(1+AB1638^2/1500),'THAM_SO_MOI'!$C$13)+'THAM_SO_MOI'!$C$15*'THAM_SO_MOI'!$C$16*AB1638^2)/('THAM_SO_MOI'!$C$11*'THAM_SO_MOI'!$C$35)</f>
        <v>-0.15498631629094445</v>
      </c>
    </row>
    <row r="1639" spans="1:29" ht="19" customHeight="1">
      <c r="A1639" s="68" t="s">
        <v>373</v>
      </c>
      <c r="B1639" s="74">
        <v>2</v>
      </c>
      <c r="C1639" s="68" t="s">
        <v>370</v>
      </c>
      <c r="D1639" s="68" t="s">
        <v>371</v>
      </c>
      <c r="F1639" s="75">
        <f>F1638+S1639*(W1639+2*Y1639+2*AA1639+AC1639)/6</f>
        <v>6.3893036434116</v>
      </c>
      <c r="G1639" s="75">
        <f>3.6*F1639</f>
        <v>23.00149311628176</v>
      </c>
      <c r="H1639" s="75">
        <f>'THAM_SO_MOI'!$C$35</f>
        <v>1.05</v>
      </c>
      <c r="I1639" s="75">
        <f>IF(F1639&gt;'THAM_SO_MOI'!$C$14,'THAM_SO_MOI'!$C$13*(1+F1639^2/1500),'THAM_SO_MOI'!$C$13)</f>
        <v>0.015</v>
      </c>
      <c r="J1639" s="75">
        <f>0</f>
        <v>0.0</v>
      </c>
      <c r="K1639" s="75">
        <f>0</f>
        <v>0.0</v>
      </c>
      <c r="L1639" s="75">
        <f>0</f>
        <v>0.0</v>
      </c>
      <c r="M1639" s="75">
        <f>'THAM_SO_MOI'!$C$15*'THAM_SO_MOI'!$C$16*F1639^2</f>
        <v>119.40786306455979</v>
      </c>
      <c r="N1639" s="75">
        <f>'THAM_SO_MOI'!$C$12*I1639</f>
        <v>1130.112</v>
      </c>
      <c r="O1639" s="75">
        <f>M1639+N1639</f>
        <v>1249.5198630645598</v>
      </c>
      <c r="P1639" s="75">
        <f>-O1639/('THAM_SO_MOI'!$C$11*H1639)</f>
        <v>-0.15495037984431545</v>
      </c>
      <c r="R1639" s="75">
        <f>F1639-F1638</f>
        <v>-0.007748417187175782</v>
      </c>
      <c r="S1639" s="75">
        <f>'THAM_SO_MOI'!$C$34/'THAM_SO_MOI'!$C$43</f>
        <v>0.05</v>
      </c>
      <c r="T1639" s="75">
        <f>S1639*(F1638+2*X1639+2*Z1639+AB1639)/6</f>
        <v>0.3196588851134998</v>
      </c>
      <c r="U1639" s="76">
        <f>U1638+S1639</f>
        <v>7.3666351777518155</v>
      </c>
      <c r="V1639" s="76">
        <f>V1638+T1639</f>
        <v>29.72811447539658</v>
      </c>
      <c r="W1639" s="75">
        <f>-('THAM_SO_MOI'!$C$12*IF(F1638&gt;'THAM_SO_MOI'!$C$14,'THAM_SO_MOI'!$C$13*(1+F1638^2/1500),'THAM_SO_MOI'!$C$13)+'THAM_SO_MOI'!$C$15*'THAM_SO_MOI'!$C$16*F1638^2)/('THAM_SO_MOI'!$C$11*'THAM_SO_MOI'!$C$35)</f>
        <v>-0.15498631629068482</v>
      </c>
      <c r="X1639" s="75">
        <f>F1638+S1639*W1639/2</f>
        <v>6.393177402691509</v>
      </c>
      <c r="Y1639" s="75">
        <f>-('THAM_SO_MOI'!$C$12*IF(X1639&gt;'THAM_SO_MOI'!$C$14,'THAM_SO_MOI'!$C$13*(1+X1639^2/1500),'THAM_SO_MOI'!$C$13)+'THAM_SO_MOI'!$C$15*'THAM_SO_MOI'!$C$16*X1639^2)/('THAM_SO_MOI'!$C$11*'THAM_SO_MOI'!$C$35)</f>
        <v>-0.15496834053933342</v>
      </c>
      <c r="Z1639" s="75">
        <f>F1638+S1639*Y1639/2</f>
        <v>6.393177852085293</v>
      </c>
      <c r="AA1639" s="75">
        <f>-('THAM_SO_MOI'!$C$12*IF(Z1639&gt;'THAM_SO_MOI'!$C$14,'THAM_SO_MOI'!$C$13*(1+Z1639^2/1500),'THAM_SO_MOI'!$C$13)+'THAM_SO_MOI'!$C$15*'THAM_SO_MOI'!$C$16*Z1639^2)/('THAM_SO_MOI'!$C$11*'THAM_SO_MOI'!$C$35)</f>
        <v>-0.15496834262358042</v>
      </c>
      <c r="AB1639" s="75">
        <f>F1638+S1639*AA1639</f>
        <v>6.389303643467597</v>
      </c>
      <c r="AC1639" s="75">
        <f>-('THAM_SO_MOI'!$C$12*IF(AB1639&gt;'THAM_SO_MOI'!$C$14,'THAM_SO_MOI'!$C$13*(1+AB1639^2/1500),'THAM_SO_MOI'!$C$13)+'THAM_SO_MOI'!$C$15*'THAM_SO_MOI'!$C$16*AB1639^2)/('THAM_SO_MOI'!$C$11*'THAM_SO_MOI'!$C$35)</f>
        <v>-0.15495037984457502</v>
      </c>
    </row>
    <row r="1640" spans="1:29" ht="19" customHeight="1">
      <c r="A1640" s="68" t="s">
        <v>373</v>
      </c>
      <c r="B1640" s="74">
        <v>2</v>
      </c>
      <c r="C1640" s="68" t="s">
        <v>370</v>
      </c>
      <c r="D1640" s="68" t="s">
        <v>371</v>
      </c>
      <c r="F1640" s="75">
        <f>F1639+S1640*(W1640+2*Y1640+2*AA1640+AC1640)/6</f>
        <v>6.3815570217499005</v>
      </c>
      <c r="G1640" s="75">
        <f>3.6*F1640</f>
        <v>22.973605278299644</v>
      </c>
      <c r="H1640" s="75">
        <f>'THAM_SO_MOI'!$C$35</f>
        <v>1.05</v>
      </c>
      <c r="I1640" s="75">
        <f>IF(F1640&gt;'THAM_SO_MOI'!$C$14,'THAM_SO_MOI'!$C$13*(1+F1640^2/1500),'THAM_SO_MOI'!$C$13)</f>
        <v>0.015</v>
      </c>
      <c r="J1640" s="75">
        <f>0</f>
        <v>0.0</v>
      </c>
      <c r="K1640" s="75">
        <f>0</f>
        <v>0.0</v>
      </c>
      <c r="L1640" s="75">
        <f>0</f>
        <v>0.0</v>
      </c>
      <c r="M1640" s="75">
        <f>'THAM_SO_MOI'!$C$15*'THAM_SO_MOI'!$C$16*F1640^2</f>
        <v>119.11848981389798</v>
      </c>
      <c r="N1640" s="75">
        <f>'THAM_SO_MOI'!$C$12*I1640</f>
        <v>1130.112</v>
      </c>
      <c r="O1640" s="75">
        <f>M1640+N1640</f>
        <v>1249.230489813898</v>
      </c>
      <c r="P1640" s="75">
        <f>-O1640/('THAM_SO_MOI'!$C$11*H1640)</f>
        <v>-0.15491449526462028</v>
      </c>
      <c r="R1640" s="75">
        <f>F1640-F1639</f>
        <v>-0.007746621661699926</v>
      </c>
      <c r="S1640" s="75">
        <f>'THAM_SO_MOI'!$C$34/'THAM_SO_MOI'!$C$43</f>
        <v>0.05</v>
      </c>
      <c r="T1640" s="75">
        <f>S1640*(F1639+2*X1640+2*Z1640+AB1640)/6</f>
        <v>0.3192715091530835</v>
      </c>
      <c r="U1640" s="76">
        <f>U1639+S1640</f>
        <v>7.416635177751815</v>
      </c>
      <c r="V1640" s="76">
        <f>V1639+T1640</f>
        <v>30.047385984549663</v>
      </c>
      <c r="W1640" s="75">
        <f>-('THAM_SO_MOI'!$C$12*IF(F1639&gt;'THAM_SO_MOI'!$C$14,'THAM_SO_MOI'!$C$13*(1+F1639^2/1500),'THAM_SO_MOI'!$C$13)+'THAM_SO_MOI'!$C$15*'THAM_SO_MOI'!$C$16*F1639^2)/('THAM_SO_MOI'!$C$11*'THAM_SO_MOI'!$C$35)</f>
        <v>-0.15495037984431545</v>
      </c>
      <c r="X1640" s="75">
        <f>F1639+S1640*W1640/2</f>
        <v>6.385429883915492</v>
      </c>
      <c r="Y1640" s="75">
        <f>-('THAM_SO_MOI'!$C$12*IF(X1640&gt;'THAM_SO_MOI'!$C$14,'THAM_SO_MOI'!$C$13*(1+X1640^2/1500),'THAM_SO_MOI'!$C$13)+'THAM_SO_MOI'!$C$15*'THAM_SO_MOI'!$C$16*X1640^2)/('THAM_SO_MOI'!$C$11*'THAM_SO_MOI'!$C$35)</f>
        <v>-0.15493243003435306</v>
      </c>
      <c r="Z1640" s="75">
        <f>F1639+S1640*Y1640/2</f>
        <v>6.385430332660742</v>
      </c>
      <c r="AA1640" s="75">
        <f>-('THAM_SO_MOI'!$C$12*IF(Z1640&gt;'THAM_SO_MOI'!$C$14,'THAM_SO_MOI'!$C$13*(1+Z1640^2/1500),'THAM_SO_MOI'!$C$13)+'THAM_SO_MOI'!$C$15*'THAM_SO_MOI'!$C$16*Z1640^2)/('THAM_SO_MOI'!$C$11*'THAM_SO_MOI'!$C$35)</f>
        <v>-0.15493243211307003</v>
      </c>
      <c r="AB1640" s="75">
        <f>F1639+S1640*AA1640</f>
        <v>6.381557021805947</v>
      </c>
      <c r="AC1640" s="75">
        <f>-('THAM_SO_MOI'!$C$12*IF(AB1640&gt;'THAM_SO_MOI'!$C$14,'THAM_SO_MOI'!$C$13*(1+AB1640^2/1500),'THAM_SO_MOI'!$C$13)+'THAM_SO_MOI'!$C$15*'THAM_SO_MOI'!$C$16*AB1640^2)/('THAM_SO_MOI'!$C$11*'THAM_SO_MOI'!$C$35)</f>
        <v>-0.15491449526487977</v>
      </c>
    </row>
    <row r="1641" spans="1:29" ht="19" customHeight="1">
      <c r="A1641" s="68" t="s">
        <v>373</v>
      </c>
      <c r="B1641" s="74">
        <v>2</v>
      </c>
      <c r="C1641" s="68" t="s">
        <v>370</v>
      </c>
      <c r="D1641" s="68" t="s">
        <v>371</v>
      </c>
      <c r="F1641" s="75">
        <f>F1640+S1641*(W1641+2*Y1641+2*AA1641+AC1641)/6</f>
        <v>6.373812193021399</v>
      </c>
      <c r="G1641" s="75">
        <f>3.6*F1641</f>
        <v>22.945723894877037</v>
      </c>
      <c r="H1641" s="75">
        <f>'THAM_SO_MOI'!$C$35</f>
        <v>1.05</v>
      </c>
      <c r="I1641" s="75">
        <f>IF(F1641&gt;'THAM_SO_MOI'!$C$14,'THAM_SO_MOI'!$C$13*(1+F1641^2/1500),'THAM_SO_MOI'!$C$13)</f>
        <v>0.015</v>
      </c>
      <c r="J1641" s="75">
        <f>0</f>
        <v>0.0</v>
      </c>
      <c r="K1641" s="75">
        <f>0</f>
        <v>0.0</v>
      </c>
      <c r="L1641" s="75">
        <f>0</f>
        <v>0.0</v>
      </c>
      <c r="M1641" s="75">
        <f>'THAM_SO_MOI'!$C$15*'THAM_SO_MOI'!$C$16*F1641^2</f>
        <v>118.82953447533164</v>
      </c>
      <c r="N1641" s="75">
        <f>'THAM_SO_MOI'!$C$12*I1641</f>
        <v>1130.112</v>
      </c>
      <c r="O1641" s="75">
        <f>M1641+N1641</f>
        <v>1248.9415344753318</v>
      </c>
      <c r="P1641" s="75">
        <f>-O1641/('THAM_SO_MOI'!$C$11*H1641)</f>
        <v>-0.15487866250934174</v>
      </c>
      <c r="R1641" s="75">
        <f>F1641-F1640</f>
        <v>-0.007744828728501574</v>
      </c>
      <c r="S1641" s="75">
        <f>'THAM_SO_MOI'!$C$34/'THAM_SO_MOI'!$C$43</f>
        <v>0.05</v>
      </c>
      <c r="T1641" s="75">
        <f>S1641*(F1640+2*X1641+2*Z1641+AB1641)/6</f>
        <v>0.31888422290412527</v>
      </c>
      <c r="U1641" s="76">
        <f>U1640+S1641</f>
        <v>7.466635177751815</v>
      </c>
      <c r="V1641" s="76">
        <f>V1640+T1641</f>
        <v>30.366270207453788</v>
      </c>
      <c r="W1641" s="75">
        <f>-('THAM_SO_MOI'!$C$12*IF(F1640&gt;'THAM_SO_MOI'!$C$14,'THAM_SO_MOI'!$C$13*(1+F1640^2/1500),'THAM_SO_MOI'!$C$13)+'THAM_SO_MOI'!$C$15*'THAM_SO_MOI'!$C$16*F1640^2)/('THAM_SO_MOI'!$C$11*'THAM_SO_MOI'!$C$35)</f>
        <v>-0.15491449526462028</v>
      </c>
      <c r="X1641" s="75">
        <f>F1640+S1641*W1641/2</f>
        <v>6.377684159368285</v>
      </c>
      <c r="Y1641" s="75">
        <f>-('THAM_SO_MOI'!$C$12*IF(X1641&gt;'THAM_SO_MOI'!$C$14,'THAM_SO_MOI'!$C$13*(1+X1641^2/1500),'THAM_SO_MOI'!$C$13)+'THAM_SO_MOI'!$C$15*'THAM_SO_MOI'!$C$16*X1641^2)/('THAM_SO_MOI'!$C$11*'THAM_SO_MOI'!$C$35)</f>
        <v>-0.15489657137490356</v>
      </c>
      <c r="Z1641" s="75">
        <f>F1640+S1641*Y1641/2</f>
        <v>6.377684607465528</v>
      </c>
      <c r="AA1641" s="75">
        <f>-('THAM_SO_MOI'!$C$12*IF(Z1641&gt;'THAM_SO_MOI'!$C$14,'THAM_SO_MOI'!$C$13*(1+Z1641^2/1500),'THAM_SO_MOI'!$C$13)+'THAM_SO_MOI'!$C$15*'THAM_SO_MOI'!$C$16*Z1641^2)/('THAM_SO_MOI'!$C$11*'THAM_SO_MOI'!$C$35)</f>
        <v>-0.15489657344810087</v>
      </c>
      <c r="AB1641" s="75">
        <f>F1640+S1641*AA1641</f>
        <v>6.373812193077495</v>
      </c>
      <c r="AC1641" s="75">
        <f>-('THAM_SO_MOI'!$C$12*IF(AB1641&gt;'THAM_SO_MOI'!$C$14,'THAM_SO_MOI'!$C$13*(1+AB1641^2/1500),'THAM_SO_MOI'!$C$13)+'THAM_SO_MOI'!$C$15*'THAM_SO_MOI'!$C$16*AB1641^2)/('THAM_SO_MOI'!$C$11*'THAM_SO_MOI'!$C$35)</f>
        <v>-0.1548786625096011</v>
      </c>
    </row>
    <row r="1642" spans="1:29" ht="19" customHeight="1">
      <c r="A1642" s="68" t="s">
        <v>373</v>
      </c>
      <c r="B1642" s="74">
        <v>2</v>
      </c>
      <c r="C1642" s="68" t="s">
        <v>370</v>
      </c>
      <c r="D1642" s="68" t="s">
        <v>371</v>
      </c>
      <c r="F1642" s="75">
        <f>F1641+S1642*(W1642+2*Y1642+2*AA1642+AC1642)/6</f>
        <v>6.366069154635929</v>
      </c>
      <c r="G1642" s="75">
        <f>3.6*F1642</f>
        <v>22.917848956689348</v>
      </c>
      <c r="H1642" s="75">
        <f>'THAM_SO_MOI'!$C$35</f>
        <v>1.05</v>
      </c>
      <c r="I1642" s="75">
        <f>IF(F1642&gt;'THAM_SO_MOI'!$C$14,'THAM_SO_MOI'!$C$13*(1+F1642^2/1500),'THAM_SO_MOI'!$C$13)</f>
        <v>0.015</v>
      </c>
      <c r="J1642" s="75">
        <f>0</f>
        <v>0.0</v>
      </c>
      <c r="K1642" s="75">
        <f>0</f>
        <v>0.0</v>
      </c>
      <c r="L1642" s="75">
        <f>0</f>
        <v>0.0</v>
      </c>
      <c r="M1642" s="75">
        <f>'THAM_SO_MOI'!$C$15*'THAM_SO_MOI'!$C$16*F1642^2</f>
        <v>118.54099670870055</v>
      </c>
      <c r="N1642" s="75">
        <f>'THAM_SO_MOI'!$C$12*I1642</f>
        <v>1130.112</v>
      </c>
      <c r="O1642" s="75">
        <f>M1642+N1642</f>
        <v>1248.6529967087006</v>
      </c>
      <c r="P1642" s="75">
        <f>-O1642/('THAM_SO_MOI'!$C$11*H1642)</f>
        <v>-0.1548428815362972</v>
      </c>
      <c r="R1642" s="75">
        <f>F1642-F1641</f>
        <v>-0.007743038385469525</v>
      </c>
      <c r="S1642" s="75">
        <f>'THAM_SO_MOI'!$C$34/'THAM_SO_MOI'!$C$43</f>
        <v>0.05</v>
      </c>
      <c r="T1642" s="75">
        <f>S1642*(F1641+2*X1642+2*Z1642+AB1642)/6</f>
        <v>0.3184970262370639</v>
      </c>
      <c r="U1642" s="76">
        <f>U1641+S1642</f>
        <v>7.516635177751815</v>
      </c>
      <c r="V1642" s="76">
        <f>V1641+T1642</f>
        <v>30.684767233690852</v>
      </c>
      <c r="W1642" s="75">
        <f>-('THAM_SO_MOI'!$C$12*IF(F1641&gt;'THAM_SO_MOI'!$C$14,'THAM_SO_MOI'!$C$13*(1+F1641^2/1500),'THAM_SO_MOI'!$C$13)+'THAM_SO_MOI'!$C$15*'THAM_SO_MOI'!$C$16*F1641^2)/('THAM_SO_MOI'!$C$11*'THAM_SO_MOI'!$C$35)</f>
        <v>-0.15487866250934174</v>
      </c>
      <c r="X1642" s="75">
        <f>F1641+S1642*W1642/2</f>
        <v>6.369940226458666</v>
      </c>
      <c r="Y1642" s="75">
        <f>-('THAM_SO_MOI'!$C$12*IF(X1642&gt;'THAM_SO_MOI'!$C$14,'THAM_SO_MOI'!$C$13*(1+X1642^2/1500),'THAM_SO_MOI'!$C$13)+'THAM_SO_MOI'!$C$15*'THAM_SO_MOI'!$C$16*X1642^2)/('THAM_SO_MOI'!$C$11*'THAM_SO_MOI'!$C$35)</f>
        <v>-0.15486076451876482</v>
      </c>
      <c r="Z1642" s="75">
        <f>F1641+S1642*Y1642/2</f>
        <v>6.36994067390843</v>
      </c>
      <c r="AA1642" s="75">
        <f>-('THAM_SO_MOI'!$C$12*IF(Z1642&gt;'THAM_SO_MOI'!$C$14,'THAM_SO_MOI'!$C$13*(1+Z1642^2/1500),'THAM_SO_MOI'!$C$13)+'THAM_SO_MOI'!$C$15*'THAM_SO_MOI'!$C$16*Z1642^2)/('THAM_SO_MOI'!$C$11*'THAM_SO_MOI'!$C$35)</f>
        <v>-0.1548607665864528</v>
      </c>
      <c r="AB1642" s="75">
        <f>F1641+S1642*AA1642</f>
        <v>6.3660691546920765</v>
      </c>
      <c r="AC1642" s="75">
        <f>-('THAM_SO_MOI'!$C$12*IF(AB1642&gt;'THAM_SO_MOI'!$C$14,'THAM_SO_MOI'!$C$13*(1+AB1642^2/1500),'THAM_SO_MOI'!$C$13)+'THAM_SO_MOI'!$C$15*'THAM_SO_MOI'!$C$16*AB1642^2)/('THAM_SO_MOI'!$C$11*'THAM_SO_MOI'!$C$35)</f>
        <v>-0.15484288153655648</v>
      </c>
    </row>
    <row r="1643" spans="1:29" ht="19" customHeight="1">
      <c r="A1643" s="68" t="s">
        <v>373</v>
      </c>
      <c r="B1643" s="74">
        <v>2</v>
      </c>
      <c r="C1643" s="68" t="s">
        <v>370</v>
      </c>
      <c r="D1643" s="68" t="s">
        <v>371</v>
      </c>
      <c r="F1643" s="75">
        <f>F1642+S1643*(W1643+2*Y1643+2*AA1643+AC1643)/6</f>
        <v>6.358327904005434</v>
      </c>
      <c r="G1643" s="75">
        <f>3.6*F1643</f>
        <v>22.889980454419565</v>
      </c>
      <c r="H1643" s="75">
        <f>'THAM_SO_MOI'!$C$35</f>
        <v>1.05</v>
      </c>
      <c r="I1643" s="75">
        <f>IF(F1643&gt;'THAM_SO_MOI'!$C$14,'THAM_SO_MOI'!$C$13*(1+F1643^2/1500),'THAM_SO_MOI'!$C$13)</f>
        <v>0.015</v>
      </c>
      <c r="J1643" s="75">
        <f>0</f>
        <v>0.0</v>
      </c>
      <c r="K1643" s="75">
        <f>0</f>
        <v>0.0</v>
      </c>
      <c r="L1643" s="75">
        <f>0</f>
        <v>0.0</v>
      </c>
      <c r="M1643" s="75">
        <f>'THAM_SO_MOI'!$C$15*'THAM_SO_MOI'!$C$16*F1643^2</f>
        <v>118.25287617444835</v>
      </c>
      <c r="N1643" s="75">
        <f>'THAM_SO_MOI'!$C$12*I1643</f>
        <v>1130.112</v>
      </c>
      <c r="O1643" s="75">
        <f>M1643+N1643</f>
        <v>1248.3648761744485</v>
      </c>
      <c r="P1643" s="75">
        <f>-O1643/('THAM_SO_MOI'!$C$11*H1643)</f>
        <v>-0.15480715230337902</v>
      </c>
      <c r="R1643" s="75">
        <f>F1643-F1642</f>
        <v>-0.007741250630495244</v>
      </c>
      <c r="S1643" s="75">
        <f>'THAM_SO_MOI'!$C$34/'THAM_SO_MOI'!$C$43</f>
        <v>0.05</v>
      </c>
      <c r="T1643" s="75">
        <f>S1643*(F1642+2*X1643+2*Z1643+AB1643)/6</f>
        <v>0.31810991902244395</v>
      </c>
      <c r="U1643" s="76">
        <f>U1642+S1643</f>
        <v>7.566635177751815</v>
      </c>
      <c r="V1643" s="76">
        <f>V1642+T1643</f>
        <v>31.002877152713296</v>
      </c>
      <c r="W1643" s="75">
        <f>-('THAM_SO_MOI'!$C$12*IF(F1642&gt;'THAM_SO_MOI'!$C$14,'THAM_SO_MOI'!$C$13*(1+F1642^2/1500),'THAM_SO_MOI'!$C$13)+'THAM_SO_MOI'!$C$15*'THAM_SO_MOI'!$C$16*F1642^2)/('THAM_SO_MOI'!$C$11*'THAM_SO_MOI'!$C$35)</f>
        <v>-0.1548428815362972</v>
      </c>
      <c r="X1643" s="75">
        <f>F1642+S1643*W1643/2</f>
        <v>6.362198082597522</v>
      </c>
      <c r="Y1643" s="75">
        <f>-('THAM_SO_MOI'!$C$12*IF(X1643&gt;'THAM_SO_MOI'!$C$14,'THAM_SO_MOI'!$C$13*(1+X1643^2/1500),'THAM_SO_MOI'!$C$13)+'THAM_SO_MOI'!$C$15*'THAM_SO_MOI'!$C$16*X1643^2)/('THAM_SO_MOI'!$C$11*'THAM_SO_MOI'!$C$35)</f>
        <v>-0.15482500942379182</v>
      </c>
      <c r="Z1643" s="75">
        <f>F1642+S1643*Y1643/2</f>
        <v>6.3621985294003345</v>
      </c>
      <c r="AA1643" s="75">
        <f>-('THAM_SO_MOI'!$C$12*IF(Z1643&gt;'THAM_SO_MOI'!$C$14,'THAM_SO_MOI'!$C$13*(1+Z1643^2/1500),'THAM_SO_MOI'!$C$13)+'THAM_SO_MOI'!$C$15*'THAM_SO_MOI'!$C$16*Z1643^2)/('THAM_SO_MOI'!$C$11*'THAM_SO_MOI'!$C$35)</f>
        <v>-0.15482501148598074</v>
      </c>
      <c r="AB1643" s="75">
        <f>F1642+S1643*AA1643</f>
        <v>6.35832790406163</v>
      </c>
      <c r="AC1643" s="75">
        <f>-('THAM_SO_MOI'!$C$12*IF(AB1643&gt;'THAM_SO_MOI'!$C$14,'THAM_SO_MOI'!$C$13*(1+AB1643^2/1500),'THAM_SO_MOI'!$C$13)+'THAM_SO_MOI'!$C$15*'THAM_SO_MOI'!$C$16*AB1643^2)/('THAM_SO_MOI'!$C$11*'THAM_SO_MOI'!$C$35)</f>
        <v>-0.15480715230363823</v>
      </c>
    </row>
    <row r="1644" spans="1:29" ht="19" customHeight="1">
      <c r="A1644" s="68" t="s">
        <v>373</v>
      </c>
      <c r="B1644" s="74">
        <v>2</v>
      </c>
      <c r="C1644" s="68" t="s">
        <v>370</v>
      </c>
      <c r="D1644" s="68" t="s">
        <v>371</v>
      </c>
      <c r="F1644" s="75">
        <f>F1643+S1644*(W1644+2*Y1644+2*AA1644+AC1644)/6</f>
        <v>6.350588438543957</v>
      </c>
      <c r="G1644" s="75">
        <f>3.6*F1644</f>
        <v>22.862118378758247</v>
      </c>
      <c r="H1644" s="75">
        <f>'THAM_SO_MOI'!$C$35</f>
        <v>1.05</v>
      </c>
      <c r="I1644" s="75">
        <f>IF(F1644&gt;'THAM_SO_MOI'!$C$14,'THAM_SO_MOI'!$C$13*(1+F1644^2/1500),'THAM_SO_MOI'!$C$13)</f>
        <v>0.015</v>
      </c>
      <c r="J1644" s="75">
        <f>0</f>
        <v>0.0</v>
      </c>
      <c r="K1644" s="75">
        <f>0</f>
        <v>0.0</v>
      </c>
      <c r="L1644" s="75">
        <f>0</f>
        <v>0.0</v>
      </c>
      <c r="M1644" s="75">
        <f>'THAM_SO_MOI'!$C$15*'THAM_SO_MOI'!$C$16*F1644^2</f>
        <v>117.96517253362191</v>
      </c>
      <c r="N1644" s="75">
        <f>'THAM_SO_MOI'!$C$12*I1644</f>
        <v>1130.112</v>
      </c>
      <c r="O1644" s="75">
        <f>M1644+N1644</f>
        <v>1248.077172533622</v>
      </c>
      <c r="P1644" s="75">
        <f>-O1644/('THAM_SO_MOI'!$C$11*H1644)</f>
        <v>-0.1547714747685543</v>
      </c>
      <c r="R1644" s="75">
        <f>F1644-F1643</f>
        <v>-0.007739465461477302</v>
      </c>
      <c r="S1644" s="75">
        <f>'THAM_SO_MOI'!$C$34/'THAM_SO_MOI'!$C$43</f>
        <v>0.05</v>
      </c>
      <c r="T1644" s="75">
        <f>S1644*(F1643+2*X1644+2*Z1644+AB1644)/6</f>
        <v>0.3177229011309151</v>
      </c>
      <c r="U1644" s="76">
        <f>U1643+S1644</f>
        <v>7.616635177751815</v>
      </c>
      <c r="V1644" s="76">
        <f>V1643+T1644</f>
        <v>31.32060005384421</v>
      </c>
      <c r="W1644" s="75">
        <f>-('THAM_SO_MOI'!$C$12*IF(F1643&gt;'THAM_SO_MOI'!$C$14,'THAM_SO_MOI'!$C$13*(1+F1643^2/1500),'THAM_SO_MOI'!$C$13)+'THAM_SO_MOI'!$C$15*'THAM_SO_MOI'!$C$16*F1643^2)/('THAM_SO_MOI'!$C$11*'THAM_SO_MOI'!$C$35)</f>
        <v>-0.15480715230337902</v>
      </c>
      <c r="X1644" s="75">
        <f>F1643+S1644*W1644/2</f>
        <v>6.354457725197849</v>
      </c>
      <c r="Y1644" s="75">
        <f>-('THAM_SO_MOI'!$C$12*IF(X1644&gt;'THAM_SO_MOI'!$C$14,'THAM_SO_MOI'!$C$13*(1+X1644^2/1500),'THAM_SO_MOI'!$C$13)+'THAM_SO_MOI'!$C$15*'THAM_SO_MOI'!$C$16*X1644^2)/('THAM_SO_MOI'!$C$11*'THAM_SO_MOI'!$C$35)</f>
        <v>-0.15478930604791427</v>
      </c>
      <c r="Z1644" s="75">
        <f>F1643+S1644*Y1644/2</f>
        <v>6.354458171354236</v>
      </c>
      <c r="AA1644" s="75">
        <f>-('THAM_SO_MOI'!$C$12*IF(Z1644&gt;'THAM_SO_MOI'!$C$14,'THAM_SO_MOI'!$C$13*(1+Z1644^2/1500),'THAM_SO_MOI'!$C$13)+'THAM_SO_MOI'!$C$15*'THAM_SO_MOI'!$C$16*Z1644^2)/('THAM_SO_MOI'!$C$11*'THAM_SO_MOI'!$C$35)</f>
        <v>-0.15478930810461436</v>
      </c>
      <c r="AB1644" s="75">
        <f>F1643+S1644*AA1644</f>
        <v>6.350588438600203</v>
      </c>
      <c r="AC1644" s="75">
        <f>-('THAM_SO_MOI'!$C$12*IF(AB1644&gt;'THAM_SO_MOI'!$C$14,'THAM_SO_MOI'!$C$13*(1+AB1644^2/1500),'THAM_SO_MOI'!$C$13)+'THAM_SO_MOI'!$C$15*'THAM_SO_MOI'!$C$16*AB1644^2)/('THAM_SO_MOI'!$C$11*'THAM_SO_MOI'!$C$35)</f>
        <v>-0.15477147476881342</v>
      </c>
    </row>
    <row r="1645" spans="1:29" ht="19" customHeight="1">
      <c r="A1645" s="68" t="s">
        <v>373</v>
      </c>
      <c r="B1645" s="74">
        <v>2</v>
      </c>
      <c r="C1645" s="68" t="s">
        <v>370</v>
      </c>
      <c r="D1645" s="68" t="s">
        <v>371</v>
      </c>
      <c r="F1645" s="75">
        <f>F1644+S1645*(W1645+2*Y1645+2*AA1645+AC1645)/6</f>
        <v>6.342850755667643</v>
      </c>
      <c r="G1645" s="75">
        <f>3.6*F1645</f>
        <v>22.834262720403515</v>
      </c>
      <c r="H1645" s="75">
        <f>'THAM_SO_MOI'!$C$35</f>
        <v>1.05</v>
      </c>
      <c r="I1645" s="75">
        <f>IF(F1645&gt;'THAM_SO_MOI'!$C$14,'THAM_SO_MOI'!$C$13*(1+F1645^2/1500),'THAM_SO_MOI'!$C$13)</f>
        <v>0.015</v>
      </c>
      <c r="J1645" s="75">
        <f>0</f>
        <v>0.0</v>
      </c>
      <c r="K1645" s="75">
        <f>0</f>
        <v>0.0</v>
      </c>
      <c r="L1645" s="75">
        <f>0</f>
        <v>0.0</v>
      </c>
      <c r="M1645" s="75">
        <f>'THAM_SO_MOI'!$C$15*'THAM_SO_MOI'!$C$16*F1645^2</f>
        <v>117.67788544787024</v>
      </c>
      <c r="N1645" s="75">
        <f>'THAM_SO_MOI'!$C$12*I1645</f>
        <v>1130.112</v>
      </c>
      <c r="O1645" s="75">
        <f>M1645+N1645</f>
        <v>1247.7898854478703</v>
      </c>
      <c r="P1645" s="75">
        <f>-O1645/('THAM_SO_MOI'!$C$11*H1645)</f>
        <v>-0.15473584888986489</v>
      </c>
      <c r="R1645" s="75">
        <f>F1645-F1644</f>
        <v>-0.007737682876314267</v>
      </c>
      <c r="S1645" s="75">
        <f>'THAM_SO_MOI'!$C$34/'THAM_SO_MOI'!$C$43</f>
        <v>0.05</v>
      </c>
      <c r="T1645" s="75">
        <f>S1645*(F1644+2*X1645+2*Z1645+AB1645)/6</f>
        <v>0.317335972433232</v>
      </c>
      <c r="U1645" s="76">
        <f>U1644+S1645</f>
        <v>7.6666351777518145</v>
      </c>
      <c r="V1645" s="76">
        <f>V1644+T1645</f>
        <v>31.63793602627744</v>
      </c>
      <c r="W1645" s="75">
        <f>-('THAM_SO_MOI'!$C$12*IF(F1644&gt;'THAM_SO_MOI'!$C$14,'THAM_SO_MOI'!$C$13*(1+F1644^2/1500),'THAM_SO_MOI'!$C$13)+'THAM_SO_MOI'!$C$15*'THAM_SO_MOI'!$C$16*F1644^2)/('THAM_SO_MOI'!$C$11*'THAM_SO_MOI'!$C$35)</f>
        <v>-0.1547714747685543</v>
      </c>
      <c r="X1645" s="75">
        <f>F1644+S1645*W1645/2</f>
        <v>6.346719151674743</v>
      </c>
      <c r="Y1645" s="75">
        <f>-('THAM_SO_MOI'!$C$12*IF(X1645&gt;'THAM_SO_MOI'!$C$14,'THAM_SO_MOI'!$C$13*(1+X1645^2/1500),'THAM_SO_MOI'!$C$13)+'THAM_SO_MOI'!$C$15*'THAM_SO_MOI'!$C$16*X1645^2)/('THAM_SO_MOI'!$C$11*'THAM_SO_MOI'!$C$35)</f>
        <v>-0.15475365434913657</v>
      </c>
      <c r="Z1645" s="75">
        <f>F1644+S1645*Y1645/2</f>
        <v>6.346719597185229</v>
      </c>
      <c r="AA1645" s="75">
        <f>-('THAM_SO_MOI'!$C$12*IF(Z1645&gt;'THAM_SO_MOI'!$C$14,'THAM_SO_MOI'!$C$13*(1+Z1645^2/1500),'THAM_SO_MOI'!$C$13)+'THAM_SO_MOI'!$C$15*'THAM_SO_MOI'!$C$16*Z1645^2)/('THAM_SO_MOI'!$C$11*'THAM_SO_MOI'!$C$35)</f>
        <v>-0.15475365640035812</v>
      </c>
      <c r="AB1645" s="75">
        <f>F1644+S1645*AA1645</f>
        <v>6.342850755723939</v>
      </c>
      <c r="AC1645" s="75">
        <f>-('THAM_SO_MOI'!$C$12*IF(AB1645&gt;'THAM_SO_MOI'!$C$14,'THAM_SO_MOI'!$C$13*(1+AB1645^2/1500),'THAM_SO_MOI'!$C$13)+'THAM_SO_MOI'!$C$15*'THAM_SO_MOI'!$C$16*AB1645^2)/('THAM_SO_MOI'!$C$11*'THAM_SO_MOI'!$C$35)</f>
        <v>-0.1547358488901239</v>
      </c>
    </row>
    <row r="1646" spans="1:29" ht="19" customHeight="1">
      <c r="A1646" s="68" t="s">
        <v>373</v>
      </c>
      <c r="B1646" s="74">
        <v>2</v>
      </c>
      <c r="C1646" s="68" t="s">
        <v>370</v>
      </c>
      <c r="D1646" s="68" t="s">
        <v>371</v>
      </c>
      <c r="F1646" s="75">
        <f>F1645+S1646*(W1646+2*Y1646+2*AA1646+AC1646)/6</f>
        <v>6.3351148527947325</v>
      </c>
      <c r="G1646" s="75">
        <f>3.6*F1646</f>
        <v>22.806413470061038</v>
      </c>
      <c r="H1646" s="75">
        <f>'THAM_SO_MOI'!$C$35</f>
        <v>1.05</v>
      </c>
      <c r="I1646" s="75">
        <f>IF(F1646&gt;'THAM_SO_MOI'!$C$14,'THAM_SO_MOI'!$C$13*(1+F1646^2/1500),'THAM_SO_MOI'!$C$13)</f>
        <v>0.015</v>
      </c>
      <c r="J1646" s="75">
        <f>0</f>
        <v>0.0</v>
      </c>
      <c r="K1646" s="75">
        <f>0</f>
        <v>0.0</v>
      </c>
      <c r="L1646" s="75">
        <f>0</f>
        <v>0.0</v>
      </c>
      <c r="M1646" s="75">
        <f>'THAM_SO_MOI'!$C$15*'THAM_SO_MOI'!$C$16*F1646^2</f>
        <v>117.39101457944376</v>
      </c>
      <c r="N1646" s="75">
        <f>'THAM_SO_MOI'!$C$12*I1646</f>
        <v>1130.112</v>
      </c>
      <c r="O1646" s="75">
        <f>M1646+N1646</f>
        <v>1247.5030145794437</v>
      </c>
      <c r="P1646" s="75">
        <f>-O1646/('THAM_SO_MOI'!$C$11*H1646)</f>
        <v>-0.15470027462542704</v>
      </c>
      <c r="R1646" s="75">
        <f>F1646-F1645</f>
        <v>-0.007735902872910039</v>
      </c>
      <c r="S1646" s="75">
        <f>'THAM_SO_MOI'!$C$34/'THAM_SO_MOI'!$C$43</f>
        <v>0.05</v>
      </c>
      <c r="T1646" s="75">
        <f>S1646*(F1645+2*X1646+2*Z1646+AB1646)/6</f>
        <v>0.31694913280025433</v>
      </c>
      <c r="U1646" s="76">
        <f>U1645+S1646</f>
        <v>7.716635177751814</v>
      </c>
      <c r="V1646" s="76">
        <f>V1645+T1646</f>
        <v>31.954885159077694</v>
      </c>
      <c r="W1646" s="75">
        <f>-('THAM_SO_MOI'!$C$12*IF(F1645&gt;'THAM_SO_MOI'!$C$14,'THAM_SO_MOI'!$C$13*(1+F1645^2/1500),'THAM_SO_MOI'!$C$13)+'THAM_SO_MOI'!$C$15*'THAM_SO_MOI'!$C$16*F1645^2)/('THAM_SO_MOI'!$C$11*'THAM_SO_MOI'!$C$35)</f>
        <v>-0.15473584888986489</v>
      </c>
      <c r="X1646" s="75">
        <f>F1645+S1646*W1646/2</f>
        <v>6.338982359445396</v>
      </c>
      <c r="Y1646" s="75">
        <f>-('THAM_SO_MOI'!$C$12*IF(X1646&gt;'THAM_SO_MOI'!$C$14,'THAM_SO_MOI'!$C$13*(1+X1646^2/1500),'THAM_SO_MOI'!$C$13)+'THAM_SO_MOI'!$C$15*'THAM_SO_MOI'!$C$16*X1646^2)/('THAM_SO_MOI'!$C$11*'THAM_SO_MOI'!$C$35)</f>
        <v>-0.15471805428553795</v>
      </c>
      <c r="Z1646" s="75">
        <f>F1645+S1646*Y1646/2</f>
        <v>6.338982804310504</v>
      </c>
      <c r="AA1646" s="75">
        <f>-('THAM_SO_MOI'!$C$12*IF(Z1646&gt;'THAM_SO_MOI'!$C$14,'THAM_SO_MOI'!$C$13*(1+Z1646^2/1500),'THAM_SO_MOI'!$C$13)+'THAM_SO_MOI'!$C$15*'THAM_SO_MOI'!$C$16*Z1646^2)/('THAM_SO_MOI'!$C$11*'THAM_SO_MOI'!$C$35)</f>
        <v>-0.15471805633129118</v>
      </c>
      <c r="AB1646" s="75">
        <f>F1645+S1646*AA1646</f>
        <v>6.335114852851078</v>
      </c>
      <c r="AC1646" s="75">
        <f>-('THAM_SO_MOI'!$C$12*IF(AB1646&gt;'THAM_SO_MOI'!$C$14,'THAM_SO_MOI'!$C$13*(1+AB1646^2/1500),'THAM_SO_MOI'!$C$13)+'THAM_SO_MOI'!$C$15*'THAM_SO_MOI'!$C$16*AB1646^2)/('THAM_SO_MOI'!$C$11*'THAM_SO_MOI'!$C$35)</f>
        <v>-0.154700274625686</v>
      </c>
    </row>
    <row r="1647" spans="1:29" ht="19" customHeight="1">
      <c r="A1647" s="68" t="s">
        <v>373</v>
      </c>
      <c r="B1647" s="74">
        <v>2</v>
      </c>
      <c r="C1647" s="68" t="s">
        <v>370</v>
      </c>
      <c r="D1647" s="68" t="s">
        <v>371</v>
      </c>
      <c r="F1647" s="75">
        <f>F1646+S1647*(W1647+2*Y1647+2*AA1647+AC1647)/6</f>
        <v>6.32738072734556</v>
      </c>
      <c r="G1647" s="75">
        <f>3.6*F1647</f>
        <v>22.778570618444014</v>
      </c>
      <c r="H1647" s="75">
        <f>'THAM_SO_MOI'!$C$35</f>
        <v>1.05</v>
      </c>
      <c r="I1647" s="75">
        <f>IF(F1647&gt;'THAM_SO_MOI'!$C$14,'THAM_SO_MOI'!$C$13*(1+F1647^2/1500),'THAM_SO_MOI'!$C$13)</f>
        <v>0.015</v>
      </c>
      <c r="J1647" s="75">
        <f>0</f>
        <v>0.0</v>
      </c>
      <c r="K1647" s="75">
        <f>0</f>
        <v>0.0</v>
      </c>
      <c r="L1647" s="75">
        <f>0</f>
        <v>0.0</v>
      </c>
      <c r="M1647" s="75">
        <f>'THAM_SO_MOI'!$C$15*'THAM_SO_MOI'!$C$16*F1647^2</f>
        <v>117.10455959119328</v>
      </c>
      <c r="N1647" s="75">
        <f>'THAM_SO_MOI'!$C$12*I1647</f>
        <v>1130.112</v>
      </c>
      <c r="O1647" s="75">
        <f>M1647+N1647</f>
        <v>1247.2165595911933</v>
      </c>
      <c r="P1647" s="75">
        <f>-O1647/('THAM_SO_MOI'!$C$11*H1647)</f>
        <v>-0.1546647519334317</v>
      </c>
      <c r="R1647" s="75">
        <f>F1647-F1646</f>
        <v>-0.007734125449172957</v>
      </c>
      <c r="S1647" s="75">
        <f>'THAM_SO_MOI'!$C$34/'THAM_SO_MOI'!$C$43</f>
        <v>0.05</v>
      </c>
      <c r="T1647" s="75">
        <f>S1647*(F1646+2*X1647+2*Z1647+AB1647)/6</f>
        <v>0.3165623821029465</v>
      </c>
      <c r="U1647" s="76">
        <f>U1646+S1647</f>
        <v>7.766635177751814</v>
      </c>
      <c r="V1647" s="76">
        <f>V1646+T1647</f>
        <v>32.27144754118064</v>
      </c>
      <c r="W1647" s="75">
        <f>-('THAM_SO_MOI'!$C$12*IF(F1646&gt;'THAM_SO_MOI'!$C$14,'THAM_SO_MOI'!$C$13*(1+F1646^2/1500),'THAM_SO_MOI'!$C$13)+'THAM_SO_MOI'!$C$15*'THAM_SO_MOI'!$C$16*F1646^2)/('THAM_SO_MOI'!$C$11*'THAM_SO_MOI'!$C$35)</f>
        <v>-0.15470027462542704</v>
      </c>
      <c r="X1647" s="75">
        <f>F1646+S1647*W1647/2</f>
        <v>6.331247345929097</v>
      </c>
      <c r="Y1647" s="75">
        <f>-('THAM_SO_MOI'!$C$12*IF(X1647&gt;'THAM_SO_MOI'!$C$14,'THAM_SO_MOI'!$C$13*(1+X1647^2/1500),'THAM_SO_MOI'!$C$13)+'THAM_SO_MOI'!$C$15*'THAM_SO_MOI'!$C$16*X1647^2)/('THAM_SO_MOI'!$C$11*'THAM_SO_MOI'!$C$35)</f>
        <v>-0.1546825058152719</v>
      </c>
      <c r="Z1647" s="75">
        <f>F1646+S1647*Y1647/2</f>
        <v>6.331247790149351</v>
      </c>
      <c r="AA1647" s="75">
        <f>-('THAM_SO_MOI'!$C$12*IF(Z1647&gt;'THAM_SO_MOI'!$C$14,'THAM_SO_MOI'!$C$13*(1+Z1647^2/1500),'THAM_SO_MOI'!$C$13)+'THAM_SO_MOI'!$C$15*'THAM_SO_MOI'!$C$16*Z1647^2)/('THAM_SO_MOI'!$C$11*'THAM_SO_MOI'!$C$35)</f>
        <v>-0.15468250785556706</v>
      </c>
      <c r="AB1647" s="75">
        <f>F1646+S1647*AA1647</f>
        <v>6.3273807274019545</v>
      </c>
      <c r="AC1647" s="75">
        <f>-('THAM_SO_MOI'!$C$12*IF(AB1647&gt;'THAM_SO_MOI'!$C$14,'THAM_SO_MOI'!$C$13*(1+AB1647^2/1500),'THAM_SO_MOI'!$C$13)+'THAM_SO_MOI'!$C$15*'THAM_SO_MOI'!$C$16*AB1647^2)/('THAM_SO_MOI'!$C$11*'THAM_SO_MOI'!$C$35)</f>
        <v>-0.1546647519336906</v>
      </c>
    </row>
    <row r="1648" spans="1:29" ht="19" customHeight="1">
      <c r="A1648" s="68" t="s">
        <v>374</v>
      </c>
      <c r="B1648" s="74">
        <v>3</v>
      </c>
      <c r="C1648" s="68" t="s">
        <v>363</v>
      </c>
      <c r="D1648" s="68" t="s">
        <v>364</v>
      </c>
      <c r="E1648" s="75">
        <f>60*F1648*'THAM_SO_MOI'!$C$51/(2*PI()*'THAM_SO_MOI'!$C$26)</f>
        <v>1589.3988305026999</v>
      </c>
      <c r="F1648" s="75">
        <f>'HANH_TRINH'!$F$1647+('THAM_SO_MOI'!$F$51-'HANH_TRINH'!$F$1647)*0/'THAM_SO_MOI'!$C$42</f>
        <v>6.32738072734556</v>
      </c>
      <c r="G1648" s="75">
        <f>3.6*F1648</f>
        <v>22.778570618444014</v>
      </c>
      <c r="H1648" s="75">
        <f>'THAM_SO_MOI'!$D$51</f>
        <v>1.375</v>
      </c>
      <c r="I1648" s="75">
        <f>IF(F1648&gt;'THAM_SO_MOI'!$C$14,'THAM_SO_MOI'!$C$13*(1+F1648^2/1500),'THAM_SO_MOI'!$C$13)</f>
        <v>0.015</v>
      </c>
      <c r="J1648" s="75">
        <f>'THAM_SO_MOI'!$C$40*('THAM_SO_MOI'!$C$23*(E1648/'THAM_SO_MOI'!$C$22)+'THAM_SO_MOI'!$C$24*(E1648/'THAM_SO_MOI'!$C$22)^2-'THAM_SO_MOI'!$C$25*(E1648/'THAM_SO_MOI'!$C$22)^3)</f>
        <v>68.88792403796113</v>
      </c>
      <c r="K1648" s="75">
        <f>'THAM_SO_MOI'!$C$31*J1648/E1648</f>
        <v>413.96490723380157</v>
      </c>
      <c r="L1648" s="75">
        <f>K1648*'THAM_SO_MOI'!$C$51*'THAM_SO_MOI'!$C$17/'THAM_SO_MOI'!$C$26</f>
        <v>9255.92851835996</v>
      </c>
      <c r="M1648" s="75">
        <f>'THAM_SO_MOI'!$C$15*'THAM_SO_MOI'!$C$16*F1648^2</f>
        <v>117.10455959119328</v>
      </c>
      <c r="N1648" s="75">
        <f>'THAM_SO_MOI'!$C$12*I1648</f>
        <v>1130.112</v>
      </c>
      <c r="O1648" s="75">
        <f>M1648+N1648</f>
        <v>1247.2165595911933</v>
      </c>
      <c r="P1648" s="75">
        <f>(MIN(L1648,'THAM_SO_MOI'!$C$41)-O1648)/('THAM_SO_MOI'!$C$11*H1648)</f>
        <v>0.7584007536712848</v>
      </c>
      <c r="Q1648" s="75">
        <f>IF(P1648&gt;0,1/P1648,NA())</f>
        <v>1.318564090501197</v>
      </c>
      <c r="R1648" s="75">
        <f>0</f>
        <v>0.0</v>
      </c>
      <c r="S1648" s="75">
        <f>0</f>
        <v>0.0</v>
      </c>
      <c r="T1648" s="75">
        <f>0</f>
        <v>0.0</v>
      </c>
      <c r="U1648" s="76">
        <f>U1647+S1648</f>
        <v>7.766635177751814</v>
      </c>
      <c r="V1648" s="76">
        <f>V1647+T1648</f>
        <v>32.27144754118064</v>
      </c>
    </row>
    <row r="1649" spans="1:22" ht="19" customHeight="1">
      <c r="A1649" s="68" t="s">
        <v>374</v>
      </c>
      <c r="B1649" s="74">
        <v>3</v>
      </c>
      <c r="C1649" s="68" t="s">
        <v>363</v>
      </c>
      <c r="D1649" s="68" t="s">
        <v>364</v>
      </c>
      <c r="E1649" s="75">
        <f>60*F1649*'THAM_SO_MOI'!$C$51/(2*PI()*'THAM_SO_MOI'!$C$26)</f>
        <v>1590.6620819645716</v>
      </c>
      <c r="F1649" s="75">
        <f>'HANH_TRINH'!$F$1647+('THAM_SO_MOI'!$F$51-'HANH_TRINH'!$F$1647)*1/'THAM_SO_MOI'!$C$42</f>
        <v>6.332409718685077</v>
      </c>
      <c r="G1649" s="75">
        <f>3.6*F1649</f>
        <v>22.79667498726628</v>
      </c>
      <c r="H1649" s="75">
        <f>'THAM_SO_MOI'!$D$51</f>
        <v>1.375</v>
      </c>
      <c r="I1649" s="75">
        <f>IF(F1649&gt;'THAM_SO_MOI'!$C$14,'THAM_SO_MOI'!$C$13*(1+F1649^2/1500),'THAM_SO_MOI'!$C$13)</f>
        <v>0.015</v>
      </c>
      <c r="J1649" s="75">
        <f>'THAM_SO_MOI'!$C$40*('THAM_SO_MOI'!$C$23*(E1649/'THAM_SO_MOI'!$C$22)+'THAM_SO_MOI'!$C$24*(E1649/'THAM_SO_MOI'!$C$22)^2-'THAM_SO_MOI'!$C$25*(E1649/'THAM_SO_MOI'!$C$22)^3)</f>
        <v>68.95444545691102</v>
      </c>
      <c r="K1649" s="75">
        <f>'THAM_SO_MOI'!$C$31*J1649/E1649</f>
        <v>414.03557644982817</v>
      </c>
      <c r="L1649" s="75">
        <f>K1649*'THAM_SO_MOI'!$C$51*'THAM_SO_MOI'!$C$17/'THAM_SO_MOI'!$C$26</f>
        <v>9257.508626240025</v>
      </c>
      <c r="M1649" s="75">
        <f>'THAM_SO_MOI'!$C$15*'THAM_SO_MOI'!$C$16*F1649^2</f>
        <v>117.29078257249438</v>
      </c>
      <c r="N1649" s="75">
        <f>'THAM_SO_MOI'!$C$12*I1649</f>
        <v>1130.112</v>
      </c>
      <c r="O1649" s="75">
        <f>M1649+N1649</f>
        <v>1247.4027825724945</v>
      </c>
      <c r="P1649" s="75">
        <f>(MIN(L1649,'THAM_SO_MOI'!$C$41)-O1649)/('THAM_SO_MOI'!$C$11*H1649)</f>
        <v>0.758532750347304</v>
      </c>
      <c r="Q1649" s="75">
        <f>IF(P1649&gt;0,1/P1649,NA())</f>
        <v>1.3183346395289288</v>
      </c>
      <c r="R1649" s="75">
        <f>F1649-F1648</f>
        <v>0.005028991339517397</v>
      </c>
      <c r="S1649" s="75">
        <f>0.5*(Q1648+Q1649)*R1649</f>
        <v>0.006630470438252962</v>
      </c>
      <c r="T1649" s="75">
        <f>0.5*(F1648*Q1648+F1649*Q1649)*R1649</f>
        <v>0.041970181702694696</v>
      </c>
      <c r="U1649" s="76">
        <f>U1648+S1649</f>
        <v>7.773265648190067</v>
      </c>
      <c r="V1649" s="76">
        <f>V1648+T1649</f>
        <v>32.31341772288334</v>
      </c>
    </row>
    <row r="1650" spans="1:22" ht="19" customHeight="1">
      <c r="A1650" s="68" t="s">
        <v>374</v>
      </c>
      <c r="B1650" s="74">
        <v>3</v>
      </c>
      <c r="C1650" s="68" t="s">
        <v>363</v>
      </c>
      <c r="D1650" s="68" t="s">
        <v>364</v>
      </c>
      <c r="E1650" s="75">
        <f>60*F1650*'THAM_SO_MOI'!$C$51/(2*PI()*'THAM_SO_MOI'!$C$26)</f>
        <v>1591.9253334264433</v>
      </c>
      <c r="F1650" s="75">
        <f>'HANH_TRINH'!$F$1647+('THAM_SO_MOI'!$F$51-'HANH_TRINH'!$F$1647)*2/'THAM_SO_MOI'!$C$42</f>
        <v>6.337438710024595</v>
      </c>
      <c r="G1650" s="75">
        <f>3.6*F1650</f>
        <v>22.814779356088543</v>
      </c>
      <c r="H1650" s="75">
        <f>'THAM_SO_MOI'!$D$51</f>
        <v>1.375</v>
      </c>
      <c r="I1650" s="75">
        <f>IF(F1650&gt;'THAM_SO_MOI'!$C$14,'THAM_SO_MOI'!$C$13*(1+F1650^2/1500),'THAM_SO_MOI'!$C$13)</f>
        <v>0.015</v>
      </c>
      <c r="J1650" s="75">
        <f>'THAM_SO_MOI'!$C$40*('THAM_SO_MOI'!$C$23*(E1650/'THAM_SO_MOI'!$C$22)+'THAM_SO_MOI'!$C$24*(E1650/'THAM_SO_MOI'!$C$22)^2-'THAM_SO_MOI'!$C$25*(E1650/'THAM_SO_MOI'!$C$22)^3)</f>
        <v>69.02095976559451</v>
      </c>
      <c r="K1650" s="75">
        <f>'THAM_SO_MOI'!$C$31*J1650/E1650</f>
        <v>414.10609084902416</v>
      </c>
      <c r="L1650" s="75">
        <f>K1650*'THAM_SO_MOI'!$C$51*'THAM_SO_MOI'!$C$17/'THAM_SO_MOI'!$C$26</f>
        <v>9259.08527253798</v>
      </c>
      <c r="M1650" s="75">
        <f>'THAM_SO_MOI'!$C$15*'THAM_SO_MOI'!$C$16*F1650^2</f>
        <v>117.47715350470577</v>
      </c>
      <c r="N1650" s="75">
        <f>'THAM_SO_MOI'!$C$12*I1650</f>
        <v>1130.112</v>
      </c>
      <c r="O1650" s="75">
        <f>M1650+N1650</f>
        <v>1247.5891535047058</v>
      </c>
      <c r="P1650" s="75">
        <f>(MIN(L1650,'THAM_SO_MOI'!$C$41)-O1650)/('THAM_SO_MOI'!$C$11*H1650)</f>
        <v>0.7586644052114843</v>
      </c>
      <c r="Q1650" s="75">
        <f>IF(P1650&gt;0,1/P1650,NA())</f>
        <v>1.3181058622636201</v>
      </c>
      <c r="R1650" s="75">
        <f>F1650-F1649</f>
        <v>0.005028991339518285</v>
      </c>
      <c r="S1650" s="75">
        <f>0.5*(Q1649+Q1650)*R1650</f>
        <v>0.006629318225334985</v>
      </c>
      <c r="T1650" s="75">
        <f>0.5*(F1649*Q1649+F1650*Q1650)*R1650</f>
        <v>0.04199622710385105</v>
      </c>
      <c r="U1650" s="76">
        <f>U1649+S1650</f>
        <v>7.7798949664154025</v>
      </c>
      <c r="V1650" s="76">
        <f>V1649+T1650</f>
        <v>32.35541394998719</v>
      </c>
    </row>
    <row r="1651" spans="1:22" ht="19" customHeight="1">
      <c r="A1651" s="68" t="s">
        <v>374</v>
      </c>
      <c r="B1651" s="74">
        <v>3</v>
      </c>
      <c r="C1651" s="68" t="s">
        <v>363</v>
      </c>
      <c r="D1651" s="68" t="s">
        <v>364</v>
      </c>
      <c r="E1651" s="75">
        <f>60*F1651*'THAM_SO_MOI'!$C$51/(2*PI()*'THAM_SO_MOI'!$C$26)</f>
        <v>1593.1885848883148</v>
      </c>
      <c r="F1651" s="75">
        <f>'HANH_TRINH'!$F$1647+('THAM_SO_MOI'!$F$51-'HANH_TRINH'!$F$1647)*3/'THAM_SO_MOI'!$C$42</f>
        <v>6.342467701364113</v>
      </c>
      <c r="G1651" s="75">
        <f>3.6*F1651</f>
        <v>22.832883724910808</v>
      </c>
      <c r="H1651" s="75">
        <f>'THAM_SO_MOI'!$D$51</f>
        <v>1.375</v>
      </c>
      <c r="I1651" s="75">
        <f>IF(F1651&gt;'THAM_SO_MOI'!$C$14,'THAM_SO_MOI'!$C$13*(1+F1651^2/1500),'THAM_SO_MOI'!$C$13)</f>
        <v>0.015</v>
      </c>
      <c r="J1651" s="75">
        <f>'THAM_SO_MOI'!$C$40*('THAM_SO_MOI'!$C$23*(E1651/'THAM_SO_MOI'!$C$22)+'THAM_SO_MOI'!$C$24*(E1651/'THAM_SO_MOI'!$C$22)^2-'THAM_SO_MOI'!$C$25*(E1651/'THAM_SO_MOI'!$C$22)^3)</f>
        <v>69.08746690258228</v>
      </c>
      <c r="K1651" s="75">
        <f>'THAM_SO_MOI'!$C$31*J1651/E1651</f>
        <v>414.1764504313896</v>
      </c>
      <c r="L1651" s="75">
        <f>K1651*'THAM_SO_MOI'!$C$51*'THAM_SO_MOI'!$C$17/'THAM_SO_MOI'!$C$26</f>
        <v>9260.658457253823</v>
      </c>
      <c r="M1651" s="75">
        <f>'THAM_SO_MOI'!$C$15*'THAM_SO_MOI'!$C$16*F1651^2</f>
        <v>117.6636723878274</v>
      </c>
      <c r="N1651" s="75">
        <f>'THAM_SO_MOI'!$C$12*I1651</f>
        <v>1130.112</v>
      </c>
      <c r="O1651" s="75">
        <f>M1651+N1651</f>
        <v>1247.7756723878274</v>
      </c>
      <c r="P1651" s="75">
        <f>(MIN(L1651,'THAM_SO_MOI'!$C$41)-O1651)/('THAM_SO_MOI'!$C$11*H1651)</f>
        <v>0.7587957182638253</v>
      </c>
      <c r="Q1651" s="75">
        <f>IF(P1651&gt;0,1/P1651,NA())</f>
        <v>1.3178777580454275</v>
      </c>
      <c r="R1651" s="75">
        <f>F1651-F1650</f>
        <v>0.005028991339517397</v>
      </c>
      <c r="S1651" s="75">
        <f>0.5*(Q1650+Q1651)*R1651</f>
        <v>0.006628169398821957</v>
      </c>
      <c r="T1651" s="75">
        <f>0.5*(F1650*Q1650+F1651*Q1651)*R1651</f>
        <v>0.04202228238571458</v>
      </c>
      <c r="U1651" s="76">
        <f>U1650+S1651</f>
        <v>7.786523135814225</v>
      </c>
      <c r="V1651" s="76">
        <f>V1650+T1651</f>
        <v>32.397436232372904</v>
      </c>
    </row>
    <row r="1652" spans="1:22" ht="19" customHeight="1">
      <c r="A1652" s="68" t="s">
        <v>374</v>
      </c>
      <c r="B1652" s="74">
        <v>3</v>
      </c>
      <c r="C1652" s="68" t="s">
        <v>363</v>
      </c>
      <c r="D1652" s="68" t="s">
        <v>364</v>
      </c>
      <c r="E1652" s="75">
        <f>60*F1652*'THAM_SO_MOI'!$C$51/(2*PI()*'THAM_SO_MOI'!$C$26)</f>
        <v>1594.4518363501863</v>
      </c>
      <c r="F1652" s="75">
        <f>'HANH_TRINH'!$F$1647+('THAM_SO_MOI'!$F$51-'HANH_TRINH'!$F$1647)*4/'THAM_SO_MOI'!$C$42</f>
        <v>6.34749669270363</v>
      </c>
      <c r="G1652" s="75">
        <f>3.6*F1652</f>
        <v>22.85098809373307</v>
      </c>
      <c r="H1652" s="75">
        <f>'THAM_SO_MOI'!$D$51</f>
        <v>1.375</v>
      </c>
      <c r="I1652" s="75">
        <f>IF(F1652&gt;'THAM_SO_MOI'!$C$14,'THAM_SO_MOI'!$C$13*(1+F1652^2/1500),'THAM_SO_MOI'!$C$13)</f>
        <v>0.015</v>
      </c>
      <c r="J1652" s="75">
        <f>'THAM_SO_MOI'!$C$40*('THAM_SO_MOI'!$C$23*(E1652/'THAM_SO_MOI'!$C$22)+'THAM_SO_MOI'!$C$24*(E1652/'THAM_SO_MOI'!$C$22)^2-'THAM_SO_MOI'!$C$25*(E1652/'THAM_SO_MOI'!$C$22)^3)</f>
        <v>69.15396680644501</v>
      </c>
      <c r="K1652" s="75">
        <f>'THAM_SO_MOI'!$C$31*J1652/E1652</f>
        <v>414.24665519692485</v>
      </c>
      <c r="L1652" s="75">
        <f>K1652*'THAM_SO_MOI'!$C$51*'THAM_SO_MOI'!$C$17/'THAM_SO_MOI'!$C$26</f>
        <v>9262.228180387567</v>
      </c>
      <c r="M1652" s="75">
        <f>'THAM_SO_MOI'!$C$15*'THAM_SO_MOI'!$C$16*F1652^2</f>
        <v>117.8503392218593</v>
      </c>
      <c r="N1652" s="75">
        <f>'THAM_SO_MOI'!$C$12*I1652</f>
        <v>1130.112</v>
      </c>
      <c r="O1652" s="75">
        <f>M1652+N1652</f>
        <v>1247.9623392218593</v>
      </c>
      <c r="P1652" s="75">
        <f>(MIN(L1652,'THAM_SO_MOI'!$C$41)-O1652)/('THAM_SO_MOI'!$C$11*H1652)</f>
        <v>0.7589266895043284</v>
      </c>
      <c r="Q1652" s="75">
        <f>IF(P1652&gt;0,1/P1652,NA())</f>
        <v>1.3176503262167811</v>
      </c>
      <c r="R1652" s="75">
        <f>F1652-F1651</f>
        <v>0.005028991339517397</v>
      </c>
      <c r="S1652" s="75">
        <f>0.5*(Q1651+Q1652)*R1652</f>
        <v>0.0066270239554047615</v>
      </c>
      <c r="T1652" s="75">
        <f>0.5*(F1651*Q1651+F1652*Q1652)*R1652</f>
        <v>0.0420483475783796</v>
      </c>
      <c r="U1652" s="76">
        <f>U1651+S1652</f>
        <v>7.793150159769629</v>
      </c>
      <c r="V1652" s="76">
        <f>V1651+T1652</f>
        <v>32.439484579951284</v>
      </c>
    </row>
    <row r="1653" spans="1:22" ht="19" customHeight="1">
      <c r="A1653" s="68" t="s">
        <v>374</v>
      </c>
      <c r="B1653" s="74">
        <v>3</v>
      </c>
      <c r="C1653" s="68" t="s">
        <v>363</v>
      </c>
      <c r="D1653" s="68" t="s">
        <v>364</v>
      </c>
      <c r="E1653" s="75">
        <f>60*F1653*'THAM_SO_MOI'!$C$51/(2*PI()*'THAM_SO_MOI'!$C$26)</f>
        <v>1595.7150878120583</v>
      </c>
      <c r="F1653" s="75">
        <f>'HANH_TRINH'!$F$1647+('THAM_SO_MOI'!$F$51-'HANH_TRINH'!$F$1647)*5/'THAM_SO_MOI'!$C$42</f>
        <v>6.352525684043148</v>
      </c>
      <c r="G1653" s="75">
        <f>3.6*F1653</f>
        <v>22.869092462555333</v>
      </c>
      <c r="H1653" s="75">
        <f>'THAM_SO_MOI'!$D$51</f>
        <v>1.375</v>
      </c>
      <c r="I1653" s="75">
        <f>IF(F1653&gt;'THAM_SO_MOI'!$C$14,'THAM_SO_MOI'!$C$13*(1+F1653^2/1500),'THAM_SO_MOI'!$C$13)</f>
        <v>0.015</v>
      </c>
      <c r="J1653" s="75">
        <f>'THAM_SO_MOI'!$C$40*('THAM_SO_MOI'!$C$23*(E1653/'THAM_SO_MOI'!$C$22)+'THAM_SO_MOI'!$C$24*(E1653/'THAM_SO_MOI'!$C$22)^2-'THAM_SO_MOI'!$C$25*(E1653/'THAM_SO_MOI'!$C$22)^3)</f>
        <v>69.22045941575333</v>
      </c>
      <c r="K1653" s="75">
        <f>'THAM_SO_MOI'!$C$31*J1653/E1653</f>
        <v>414.3167051456294</v>
      </c>
      <c r="L1653" s="75">
        <f>K1653*'THAM_SO_MOI'!$C$51*'THAM_SO_MOI'!$C$17/'THAM_SO_MOI'!$C$26</f>
        <v>9263.794441939193</v>
      </c>
      <c r="M1653" s="75">
        <f>'THAM_SO_MOI'!$C$15*'THAM_SO_MOI'!$C$16*F1653^2</f>
        <v>118.03715400680154</v>
      </c>
      <c r="N1653" s="75">
        <f>'THAM_SO_MOI'!$C$12*I1653</f>
        <v>1130.112</v>
      </c>
      <c r="O1653" s="75">
        <f>M1653+N1653</f>
        <v>1248.1491540068016</v>
      </c>
      <c r="P1653" s="75">
        <f>(MIN(L1653,'THAM_SO_MOI'!$C$41)-O1653)/('THAM_SO_MOI'!$C$11*H1653)</f>
        <v>0.7590573189329917</v>
      </c>
      <c r="Q1653" s="75">
        <f>IF(P1653&gt;0,1/P1653,NA())</f>
        <v>1.317423566122387</v>
      </c>
      <c r="R1653" s="75">
        <f>F1653-F1652</f>
        <v>0.005028991339518285</v>
      </c>
      <c r="S1653" s="75">
        <f>0.5*(Q1652+Q1653)*R1653</f>
        <v>0.006625881891782207</v>
      </c>
      <c r="T1653" s="75">
        <f>0.5*(F1652*Q1652+F1653*Q1653)*R1653</f>
        <v>0.04207442271192422</v>
      </c>
      <c r="U1653" s="76">
        <f>U1652+S1653</f>
        <v>7.799776041661412</v>
      </c>
      <c r="V1653" s="76">
        <f>V1652+T1653</f>
        <v>32.48155900266321</v>
      </c>
    </row>
    <row r="1654" spans="1:22" ht="19" customHeight="1">
      <c r="A1654" s="68" t="s">
        <v>374</v>
      </c>
      <c r="B1654" s="74">
        <v>3</v>
      </c>
      <c r="C1654" s="68" t="s">
        <v>363</v>
      </c>
      <c r="D1654" s="68" t="s">
        <v>364</v>
      </c>
      <c r="E1654" s="75">
        <f>60*F1654*'THAM_SO_MOI'!$C$51/(2*PI()*'THAM_SO_MOI'!$C$26)</f>
        <v>1596.9783392739298</v>
      </c>
      <c r="F1654" s="75">
        <f>'HANH_TRINH'!$F$1647+('THAM_SO_MOI'!$F$51-'HANH_TRINH'!$F$1647)*6/'THAM_SO_MOI'!$C$42</f>
        <v>6.357554675382666</v>
      </c>
      <c r="G1654" s="75">
        <f>3.6*F1654</f>
        <v>22.887196831377597</v>
      </c>
      <c r="H1654" s="75">
        <f>'THAM_SO_MOI'!$D$51</f>
        <v>1.375</v>
      </c>
      <c r="I1654" s="75">
        <f>IF(F1654&gt;'THAM_SO_MOI'!$C$14,'THAM_SO_MOI'!$C$13*(1+F1654^2/1500),'THAM_SO_MOI'!$C$13)</f>
        <v>0.015</v>
      </c>
      <c r="J1654" s="75">
        <f>'THAM_SO_MOI'!$C$40*('THAM_SO_MOI'!$C$23*(E1654/'THAM_SO_MOI'!$C$22)+'THAM_SO_MOI'!$C$24*(E1654/'THAM_SO_MOI'!$C$22)^2-'THAM_SO_MOI'!$C$25*(E1654/'THAM_SO_MOI'!$C$22)^3)</f>
        <v>69.28694466907783</v>
      </c>
      <c r="K1654" s="75">
        <f>'THAM_SO_MOI'!$C$31*J1654/E1654</f>
        <v>414.38660027750336</v>
      </c>
      <c r="L1654" s="75">
        <f>K1654*'THAM_SO_MOI'!$C$51*'THAM_SO_MOI'!$C$17/'THAM_SO_MOI'!$C$26</f>
        <v>9265.357241908712</v>
      </c>
      <c r="M1654" s="75">
        <f>'THAM_SO_MOI'!$C$15*'THAM_SO_MOI'!$C$16*F1654^2</f>
        <v>118.22411674265399</v>
      </c>
      <c r="N1654" s="75">
        <f>'THAM_SO_MOI'!$C$12*I1654</f>
        <v>1130.112</v>
      </c>
      <c r="O1654" s="75">
        <f>M1654+N1654</f>
        <v>1248.336116742654</v>
      </c>
      <c r="P1654" s="75">
        <f>(MIN(L1654,'THAM_SO_MOI'!$C$41)-O1654)/('THAM_SO_MOI'!$C$11*H1654)</f>
        <v>0.7591876065498161</v>
      </c>
      <c r="Q1654" s="75">
        <f>IF(P1654&gt;0,1/P1654,NA())</f>
        <v>1.3171974771092136</v>
      </c>
      <c r="R1654" s="75">
        <f>F1654-F1653</f>
        <v>0.005028991339517397</v>
      </c>
      <c r="S1654" s="75">
        <f>0.5*(Q1653+Q1654)*R1654</f>
        <v>0.006624743204661004</v>
      </c>
      <c r="T1654" s="75">
        <f>0.5*(F1653*Q1653+F1654*Q1654)*R1654</f>
        <v>0.04210050781641034</v>
      </c>
      <c r="U1654" s="76">
        <f>U1653+S1654</f>
        <v>7.806400784866073</v>
      </c>
      <c r="V1654" s="76">
        <f>V1653+T1654</f>
        <v>32.52365951047962</v>
      </c>
    </row>
    <row r="1655" spans="1:22" ht="19" customHeight="1">
      <c r="A1655" s="68" t="s">
        <v>374</v>
      </c>
      <c r="B1655" s="74">
        <v>3</v>
      </c>
      <c r="C1655" s="68" t="s">
        <v>363</v>
      </c>
      <c r="D1655" s="68" t="s">
        <v>364</v>
      </c>
      <c r="E1655" s="75">
        <f>60*F1655*'THAM_SO_MOI'!$C$51/(2*PI()*'THAM_SO_MOI'!$C$26)</f>
        <v>1598.241590735801</v>
      </c>
      <c r="F1655" s="75">
        <f>'HANH_TRINH'!$F$1647+('THAM_SO_MOI'!$F$51-'HANH_TRINH'!$F$1647)*7/'THAM_SO_MOI'!$C$42</f>
        <v>6.362583666722183</v>
      </c>
      <c r="G1655" s="75">
        <f>3.6*F1655</f>
        <v>22.905301200199858</v>
      </c>
      <c r="H1655" s="75">
        <f>'THAM_SO_MOI'!$D$51</f>
        <v>1.375</v>
      </c>
      <c r="I1655" s="75">
        <f>IF(F1655&gt;'THAM_SO_MOI'!$C$14,'THAM_SO_MOI'!$C$13*(1+F1655^2/1500),'THAM_SO_MOI'!$C$13)</f>
        <v>0.015</v>
      </c>
      <c r="J1655" s="75">
        <f>'THAM_SO_MOI'!$C$40*('THAM_SO_MOI'!$C$23*(E1655/'THAM_SO_MOI'!$C$22)+'THAM_SO_MOI'!$C$24*(E1655/'THAM_SO_MOI'!$C$22)^2-'THAM_SO_MOI'!$C$25*(E1655/'THAM_SO_MOI'!$C$22)^3)</f>
        <v>69.3534225049892</v>
      </c>
      <c r="K1655" s="75">
        <f>'THAM_SO_MOI'!$C$31*J1655/E1655</f>
        <v>414.45634059254684</v>
      </c>
      <c r="L1655" s="75">
        <f>K1655*'THAM_SO_MOI'!$C$51*'THAM_SO_MOI'!$C$17/'THAM_SO_MOI'!$C$26</f>
        <v>9266.916580296125</v>
      </c>
      <c r="M1655" s="75">
        <f>'THAM_SO_MOI'!$C$15*'THAM_SO_MOI'!$C$16*F1655^2</f>
        <v>118.41122742941673</v>
      </c>
      <c r="N1655" s="75">
        <f>'THAM_SO_MOI'!$C$12*I1655</f>
        <v>1130.112</v>
      </c>
      <c r="O1655" s="75">
        <f>M1655+N1655</f>
        <v>1248.5232274294167</v>
      </c>
      <c r="P1655" s="75">
        <f>(MIN(L1655,'THAM_SO_MOI'!$C$41)-O1655)/('THAM_SO_MOI'!$C$11*H1655)</f>
        <v>0.7593175523548019</v>
      </c>
      <c r="Q1655" s="75">
        <f>IF(P1655&gt;0,1/P1655,NA())</f>
        <v>1.3169720585264908</v>
      </c>
      <c r="R1655" s="75">
        <f>F1655-F1654</f>
        <v>0.005028991339517397</v>
      </c>
      <c r="S1655" s="75">
        <f>0.5*(Q1654+Q1655)*R1655</f>
        <v>0.006623607890766261</v>
      </c>
      <c r="T1655" s="75">
        <f>0.5*(F1654*Q1654+F1655*Q1655)*R1655</f>
        <v>0.04212660292195059</v>
      </c>
      <c r="U1655" s="76">
        <f>U1654+S1655</f>
        <v>7.813024392756839</v>
      </c>
      <c r="V1655" s="76">
        <f>V1654+T1655</f>
        <v>32.56578611340157</v>
      </c>
    </row>
    <row r="1656" spans="1:22" ht="19" customHeight="1">
      <c r="A1656" s="68" t="s">
        <v>374</v>
      </c>
      <c r="B1656" s="74">
        <v>3</v>
      </c>
      <c r="C1656" s="68" t="s">
        <v>363</v>
      </c>
      <c r="D1656" s="68" t="s">
        <v>364</v>
      </c>
      <c r="E1656" s="75">
        <f>60*F1656*'THAM_SO_MOI'!$C$51/(2*PI()*'THAM_SO_MOI'!$C$26)</f>
        <v>1599.504842197673</v>
      </c>
      <c r="F1656" s="75">
        <f>'HANH_TRINH'!$F$1647+('THAM_SO_MOI'!$F$51-'HANH_TRINH'!$F$1647)*8/'THAM_SO_MOI'!$C$42</f>
        <v>6.367612658061701</v>
      </c>
      <c r="G1656" s="75">
        <f>3.6*F1656</f>
        <v>22.923405569022126</v>
      </c>
      <c r="H1656" s="75">
        <f>'THAM_SO_MOI'!$D$51</f>
        <v>1.375</v>
      </c>
      <c r="I1656" s="75">
        <f>IF(F1656&gt;'THAM_SO_MOI'!$C$14,'THAM_SO_MOI'!$C$13*(1+F1656^2/1500),'THAM_SO_MOI'!$C$13)</f>
        <v>0.015</v>
      </c>
      <c r="J1656" s="75">
        <f>'THAM_SO_MOI'!$C$40*('THAM_SO_MOI'!$C$23*(E1656/'THAM_SO_MOI'!$C$22)+'THAM_SO_MOI'!$C$24*(E1656/'THAM_SO_MOI'!$C$22)^2-'THAM_SO_MOI'!$C$25*(E1656/'THAM_SO_MOI'!$C$22)^3)</f>
        <v>69.41989286205812</v>
      </c>
      <c r="K1656" s="75">
        <f>'THAM_SO_MOI'!$C$31*J1656/E1656</f>
        <v>414.52592609075975</v>
      </c>
      <c r="L1656" s="75">
        <f>K1656*'THAM_SO_MOI'!$C$51*'THAM_SO_MOI'!$C$17/'THAM_SO_MOI'!$C$26</f>
        <v>9268.472457101423</v>
      </c>
      <c r="M1656" s="75">
        <f>'THAM_SO_MOI'!$C$15*'THAM_SO_MOI'!$C$16*F1656^2</f>
        <v>118.59848606708975</v>
      </c>
      <c r="N1656" s="75">
        <f>'THAM_SO_MOI'!$C$12*I1656</f>
        <v>1130.112</v>
      </c>
      <c r="O1656" s="75">
        <f>M1656+N1656</f>
        <v>1248.7104860670897</v>
      </c>
      <c r="P1656" s="75">
        <f>(MIN(L1656,'THAM_SO_MOI'!$C$41)-O1656)/('THAM_SO_MOI'!$C$11*H1656)</f>
        <v>0.7594471563479481</v>
      </c>
      <c r="Q1656" s="75">
        <f>IF(P1656&gt;0,1/P1656,NA())</f>
        <v>1.3167473097257083</v>
      </c>
      <c r="R1656" s="75">
        <f>F1656-F1655</f>
        <v>0.005028991339518285</v>
      </c>
      <c r="S1656" s="75">
        <f>0.5*(Q1655+Q1656)*R1656</f>
        <v>0.006622475946830939</v>
      </c>
      <c r="T1656" s="75">
        <f>0.5*(F1655*Q1655+F1656*Q1656)*R1656</f>
        <v>0.0421527080586418</v>
      </c>
      <c r="U1656" s="76">
        <f>U1655+S1656</f>
        <v>7.8196468687036695</v>
      </c>
      <c r="V1656" s="76">
        <f>V1655+T1656</f>
        <v>32.607938821460216</v>
      </c>
    </row>
    <row r="1657" spans="1:22" ht="19" customHeight="1">
      <c r="A1657" s="68" t="s">
        <v>374</v>
      </c>
      <c r="B1657" s="74">
        <v>3</v>
      </c>
      <c r="C1657" s="68" t="s">
        <v>363</v>
      </c>
      <c r="D1657" s="68" t="s">
        <v>364</v>
      </c>
      <c r="E1657" s="75">
        <f>60*F1657*'THAM_SO_MOI'!$C$51/(2*PI()*'THAM_SO_MOI'!$C$26)</f>
        <v>1600.7680936595445</v>
      </c>
      <c r="F1657" s="75">
        <f>'HANH_TRINH'!$F$1647+('THAM_SO_MOI'!$F$51-'HANH_TRINH'!$F$1647)*9/'THAM_SO_MOI'!$C$42</f>
        <v>6.372641649401219</v>
      </c>
      <c r="G1657" s="75">
        <f>3.6*F1657</f>
        <v>22.941509937844387</v>
      </c>
      <c r="H1657" s="75">
        <f>'THAM_SO_MOI'!$D$51</f>
        <v>1.375</v>
      </c>
      <c r="I1657" s="75">
        <f>IF(F1657&gt;'THAM_SO_MOI'!$C$14,'THAM_SO_MOI'!$C$13*(1+F1657^2/1500),'THAM_SO_MOI'!$C$13)</f>
        <v>0.015</v>
      </c>
      <c r="J1657" s="75">
        <f>'THAM_SO_MOI'!$C$40*('THAM_SO_MOI'!$C$23*(E1657/'THAM_SO_MOI'!$C$22)+'THAM_SO_MOI'!$C$24*(E1657/'THAM_SO_MOI'!$C$22)^2-'THAM_SO_MOI'!$C$25*(E1657/'THAM_SO_MOI'!$C$22)^3)</f>
        <v>69.48635567885523</v>
      </c>
      <c r="K1657" s="75">
        <f>'THAM_SO_MOI'!$C$31*J1657/E1657</f>
        <v>414.5953567721424</v>
      </c>
      <c r="L1657" s="75">
        <f>K1657*'THAM_SO_MOI'!$C$51*'THAM_SO_MOI'!$C$17/'THAM_SO_MOI'!$C$26</f>
        <v>9270.02487232462</v>
      </c>
      <c r="M1657" s="75">
        <f>'THAM_SO_MOI'!$C$15*'THAM_SO_MOI'!$C$16*F1657^2</f>
        <v>118.78589265567305</v>
      </c>
      <c r="N1657" s="75">
        <f>'THAM_SO_MOI'!$C$12*I1657</f>
        <v>1130.112</v>
      </c>
      <c r="O1657" s="75">
        <f>M1657+N1657</f>
        <v>1248.897892655673</v>
      </c>
      <c r="P1657" s="75">
        <f>(MIN(L1657,'THAM_SO_MOI'!$C$41)-O1657)/('THAM_SO_MOI'!$C$11*H1657)</f>
        <v>0.7595764185292564</v>
      </c>
      <c r="Q1657" s="75">
        <f>IF(P1657&gt;0,1/P1657,NA())</f>
        <v>1.3165232300606016</v>
      </c>
      <c r="R1657" s="75">
        <f>F1657-F1656</f>
        <v>0.005028991339517397</v>
      </c>
      <c r="S1657" s="75">
        <f>0.5*(Q1656+Q1657)*R1657</f>
        <v>0.006621347369595827</v>
      </c>
      <c r="T1657" s="75">
        <f>0.5*(F1656*Q1656+F1657*Q1657)*R1657</f>
        <v>0.042178823256564836</v>
      </c>
      <c r="U1657" s="76">
        <f>U1656+S1657</f>
        <v>7.826268216073266</v>
      </c>
      <c r="V1657" s="76">
        <f>V1656+T1657</f>
        <v>32.65011764471678</v>
      </c>
    </row>
    <row r="1658" spans="1:22" ht="19" customHeight="1">
      <c r="A1658" s="68" t="s">
        <v>374</v>
      </c>
      <c r="B1658" s="74">
        <v>3</v>
      </c>
      <c r="C1658" s="68" t="s">
        <v>363</v>
      </c>
      <c r="D1658" s="68" t="s">
        <v>364</v>
      </c>
      <c r="E1658" s="75">
        <f>60*F1658*'THAM_SO_MOI'!$C$51/(2*PI()*'THAM_SO_MOI'!$C$26)</f>
        <v>1602.0313451214163</v>
      </c>
      <c r="F1658" s="75">
        <f>'HANH_TRINH'!$F$1647+('THAM_SO_MOI'!$F$51-'HANH_TRINH'!$F$1647)*10/'THAM_SO_MOI'!$C$42</f>
        <v>6.377670640740736</v>
      </c>
      <c r="G1658" s="75">
        <f>3.6*F1658</f>
        <v>22.95961430666665</v>
      </c>
      <c r="H1658" s="75">
        <f>'THAM_SO_MOI'!$D$51</f>
        <v>1.375</v>
      </c>
      <c r="I1658" s="75">
        <f>IF(F1658&gt;'THAM_SO_MOI'!$C$14,'THAM_SO_MOI'!$C$13*(1+F1658^2/1500),'THAM_SO_MOI'!$C$13)</f>
        <v>0.015</v>
      </c>
      <c r="J1658" s="75">
        <f>'THAM_SO_MOI'!$C$40*('THAM_SO_MOI'!$C$23*(E1658/'THAM_SO_MOI'!$C$22)+'THAM_SO_MOI'!$C$24*(E1658/'THAM_SO_MOI'!$C$22)^2-'THAM_SO_MOI'!$C$25*(E1658/'THAM_SO_MOI'!$C$22)^3)</f>
        <v>69.55281089395116</v>
      </c>
      <c r="K1658" s="75">
        <f>'THAM_SO_MOI'!$C$31*J1658/E1658</f>
        <v>414.66463263669436</v>
      </c>
      <c r="L1658" s="75">
        <f>K1658*'THAM_SO_MOI'!$C$51*'THAM_SO_MOI'!$C$17/'THAM_SO_MOI'!$C$26</f>
        <v>9271.573825965705</v>
      </c>
      <c r="M1658" s="75">
        <f>'THAM_SO_MOI'!$C$15*'THAM_SO_MOI'!$C$16*F1658^2</f>
        <v>118.97344719516659</v>
      </c>
      <c r="N1658" s="75">
        <f>'THAM_SO_MOI'!$C$12*I1658</f>
        <v>1130.112</v>
      </c>
      <c r="O1658" s="75">
        <f>M1658+N1658</f>
        <v>1249.0854471951666</v>
      </c>
      <c r="P1658" s="75">
        <f>(MIN(L1658,'THAM_SO_MOI'!$C$41)-O1658)/('THAM_SO_MOI'!$C$11*H1658)</f>
        <v>0.7597053388987252</v>
      </c>
      <c r="Q1658" s="75">
        <f>IF(P1658&gt;0,1/P1658,NA())</f>
        <v>1.3162998188871595</v>
      </c>
      <c r="R1658" s="75">
        <f>F1658-F1657</f>
        <v>0.005028991339517397</v>
      </c>
      <c r="S1658" s="75">
        <f>0.5*(Q1657+Q1658)*R1658</f>
        <v>0.0066202221558200386</v>
      </c>
      <c r="T1658" s="75">
        <f>0.5*(F1657*Q1657+F1658*Q1658)*R1658</f>
        <v>0.04220494854585191</v>
      </c>
      <c r="U1658" s="76">
        <f>U1657+S1658</f>
        <v>7.8328884382290855</v>
      </c>
      <c r="V1658" s="76">
        <f>V1657+T1658</f>
        <v>32.69232259326263</v>
      </c>
    </row>
    <row r="1659" spans="1:22" ht="19" customHeight="1">
      <c r="A1659" s="68" t="s">
        <v>374</v>
      </c>
      <c r="B1659" s="74">
        <v>3</v>
      </c>
      <c r="C1659" s="68" t="s">
        <v>363</v>
      </c>
      <c r="D1659" s="68" t="s">
        <v>364</v>
      </c>
      <c r="E1659" s="75">
        <f>60*F1659*'THAM_SO_MOI'!$C$51/(2*PI()*'THAM_SO_MOI'!$C$26)</f>
        <v>1603.2945965832878</v>
      </c>
      <c r="F1659" s="75">
        <f>'HANH_TRINH'!$F$1647+('THAM_SO_MOI'!$F$51-'HANH_TRINH'!$F$1647)*11/'THAM_SO_MOI'!$C$42</f>
        <v>6.3826996320802545</v>
      </c>
      <c r="G1659" s="75">
        <f>3.6*F1659</f>
        <v>22.977718675488916</v>
      </c>
      <c r="H1659" s="75">
        <f>'THAM_SO_MOI'!$D$51</f>
        <v>1.375</v>
      </c>
      <c r="I1659" s="75">
        <f>IF(F1659&gt;'THAM_SO_MOI'!$C$14,'THAM_SO_MOI'!$C$13*(1+F1659^2/1500),'THAM_SO_MOI'!$C$13)</f>
        <v>0.015</v>
      </c>
      <c r="J1659" s="75">
        <f>'THAM_SO_MOI'!$C$40*('THAM_SO_MOI'!$C$23*(E1659/'THAM_SO_MOI'!$C$22)+'THAM_SO_MOI'!$C$24*(E1659/'THAM_SO_MOI'!$C$22)^2-'THAM_SO_MOI'!$C$25*(E1659/'THAM_SO_MOI'!$C$22)^3)</f>
        <v>69.61925844591656</v>
      </c>
      <c r="K1659" s="75">
        <f>'THAM_SO_MOI'!$C$31*J1659/E1659</f>
        <v>414.73375368441583</v>
      </c>
      <c r="L1659" s="75">
        <f>K1659*'THAM_SO_MOI'!$C$51*'THAM_SO_MOI'!$C$17/'THAM_SO_MOI'!$C$26</f>
        <v>9273.11931802468</v>
      </c>
      <c r="M1659" s="75">
        <f>'THAM_SO_MOI'!$C$15*'THAM_SO_MOI'!$C$16*F1659^2</f>
        <v>119.16114968557046</v>
      </c>
      <c r="N1659" s="75">
        <f>'THAM_SO_MOI'!$C$12*I1659</f>
        <v>1130.112</v>
      </c>
      <c r="O1659" s="75">
        <f>M1659+N1659</f>
        <v>1249.2731496855706</v>
      </c>
      <c r="P1659" s="75">
        <f>(MIN(L1659,'THAM_SO_MOI'!$C$41)-O1659)/('THAM_SO_MOI'!$C$11*H1659)</f>
        <v>0.7598339174563549</v>
      </c>
      <c r="Q1659" s="75">
        <f>IF(P1659&gt;0,1/P1659,NA())</f>
        <v>1.3160770755636086</v>
      </c>
      <c r="R1659" s="75">
        <f>F1659-F1658</f>
        <v>0.005028991339518285</v>
      </c>
      <c r="S1659" s="75">
        <f>0.5*(Q1658+Q1659)*R1659</f>
        <v>0.006619100302270476</v>
      </c>
      <c r="T1659" s="75">
        <f>0.5*(F1658*Q1658+F1659*Q1659)*R1659</f>
        <v>0.04223108395661967</v>
      </c>
      <c r="U1659" s="76">
        <f>U1658+S1659</f>
        <v>7.839507538531356</v>
      </c>
      <c r="V1659" s="76">
        <f>V1658+T1659</f>
        <v>32.73455367721925</v>
      </c>
    </row>
    <row r="1660" spans="1:22" ht="19" customHeight="1">
      <c r="A1660" s="68" t="s">
        <v>374</v>
      </c>
      <c r="B1660" s="74">
        <v>3</v>
      </c>
      <c r="C1660" s="68" t="s">
        <v>363</v>
      </c>
      <c r="D1660" s="68" t="s">
        <v>364</v>
      </c>
      <c r="E1660" s="75">
        <f>60*F1660*'THAM_SO_MOI'!$C$51/(2*PI()*'THAM_SO_MOI'!$C$26)</f>
        <v>1604.5578480451593</v>
      </c>
      <c r="F1660" s="75">
        <f>'HANH_TRINH'!$F$1647+('THAM_SO_MOI'!$F$51-'HANH_TRINH'!$F$1647)*12/'THAM_SO_MOI'!$C$42</f>
        <v>6.387728623419772</v>
      </c>
      <c r="G1660" s="75">
        <f>3.6*F1660</f>
        <v>22.99582304431118</v>
      </c>
      <c r="H1660" s="75">
        <f>'THAM_SO_MOI'!$D$51</f>
        <v>1.375</v>
      </c>
      <c r="I1660" s="75">
        <f>IF(F1660&gt;'THAM_SO_MOI'!$C$14,'THAM_SO_MOI'!$C$13*(1+F1660^2/1500),'THAM_SO_MOI'!$C$13)</f>
        <v>0.015</v>
      </c>
      <c r="J1660" s="75">
        <f>'THAM_SO_MOI'!$C$40*('THAM_SO_MOI'!$C$23*(E1660/'THAM_SO_MOI'!$C$22)+'THAM_SO_MOI'!$C$24*(E1660/'THAM_SO_MOI'!$C$22)^2-'THAM_SO_MOI'!$C$25*(E1660/'THAM_SO_MOI'!$C$22)^3)</f>
        <v>69.6856982733221</v>
      </c>
      <c r="K1660" s="75">
        <f>'THAM_SO_MOI'!$C$31*J1660/E1660</f>
        <v>414.8027199153068</v>
      </c>
      <c r="L1660" s="75">
        <f>K1660*'THAM_SO_MOI'!$C$51*'THAM_SO_MOI'!$C$17/'THAM_SO_MOI'!$C$26</f>
        <v>9274.661348501546</v>
      </c>
      <c r="M1660" s="75">
        <f>'THAM_SO_MOI'!$C$15*'THAM_SO_MOI'!$C$16*F1660^2</f>
        <v>119.34900012688455</v>
      </c>
      <c r="N1660" s="75">
        <f>'THAM_SO_MOI'!$C$12*I1660</f>
        <v>1130.112</v>
      </c>
      <c r="O1660" s="75">
        <f>M1660+N1660</f>
        <v>1249.4610001268845</v>
      </c>
      <c r="P1660" s="75">
        <f>(MIN(L1660,'THAM_SO_MOI'!$C$41)-O1660)/('THAM_SO_MOI'!$C$11*H1660)</f>
        <v>0.7599621542021461</v>
      </c>
      <c r="Q1660" s="75">
        <f>IF(P1660&gt;0,1/P1660,NA())</f>
        <v>1.3158549994504136</v>
      </c>
      <c r="R1660" s="75">
        <f>F1660-F1659</f>
        <v>0.005028991339517397</v>
      </c>
      <c r="S1660" s="75">
        <f>0.5*(Q1659+Q1660)*R1660</f>
        <v>0.0066179818057217855</v>
      </c>
      <c r="T1660" s="75">
        <f>0.5*(F1659*Q1659+F1660*Q1660)*R1660</f>
        <v>0.04225722951896921</v>
      </c>
      <c r="U1660" s="76">
        <f>U1659+S1660</f>
        <v>7.846125520337077</v>
      </c>
      <c r="V1660" s="76">
        <f>V1659+T1660</f>
        <v>32.77681090673822</v>
      </c>
    </row>
    <row r="1661" spans="1:22" ht="19" customHeight="1">
      <c r="A1661" s="68" t="s">
        <v>374</v>
      </c>
      <c r="B1661" s="74">
        <v>3</v>
      </c>
      <c r="C1661" s="68" t="s">
        <v>363</v>
      </c>
      <c r="D1661" s="68" t="s">
        <v>364</v>
      </c>
      <c r="E1661" s="75">
        <f>60*F1661*'THAM_SO_MOI'!$C$51/(2*PI()*'THAM_SO_MOI'!$C$26)</f>
        <v>1605.821099507031</v>
      </c>
      <c r="F1661" s="75">
        <f>'HANH_TRINH'!$F$1647+('THAM_SO_MOI'!$F$51-'HANH_TRINH'!$F$1647)*13/'THAM_SO_MOI'!$C$42</f>
        <v>6.392757614759289</v>
      </c>
      <c r="G1661" s="75">
        <f>3.6*F1661</f>
        <v>23.01392741313344</v>
      </c>
      <c r="H1661" s="75">
        <f>'THAM_SO_MOI'!$D$51</f>
        <v>1.375</v>
      </c>
      <c r="I1661" s="75">
        <f>IF(F1661&gt;'THAM_SO_MOI'!$C$14,'THAM_SO_MOI'!$C$13*(1+F1661^2/1500),'THAM_SO_MOI'!$C$13)</f>
        <v>0.015</v>
      </c>
      <c r="J1661" s="75">
        <f>'THAM_SO_MOI'!$C$40*('THAM_SO_MOI'!$C$23*(E1661/'THAM_SO_MOI'!$C$22)+'THAM_SO_MOI'!$C$24*(E1661/'THAM_SO_MOI'!$C$22)^2-'THAM_SO_MOI'!$C$25*(E1661/'THAM_SO_MOI'!$C$22)^3)</f>
        <v>69.75213031473842</v>
      </c>
      <c r="K1661" s="75">
        <f>'THAM_SO_MOI'!$C$31*J1661/E1661</f>
        <v>414.8715313293673</v>
      </c>
      <c r="L1661" s="75">
        <f>K1661*'THAM_SO_MOI'!$C$51*'THAM_SO_MOI'!$C$17/'THAM_SO_MOI'!$C$26</f>
        <v>9276.199917396303</v>
      </c>
      <c r="M1661" s="75">
        <f>'THAM_SO_MOI'!$C$15*'THAM_SO_MOI'!$C$16*F1661^2</f>
        <v>119.53699851910893</v>
      </c>
      <c r="N1661" s="75">
        <f>'THAM_SO_MOI'!$C$12*I1661</f>
        <v>1130.112</v>
      </c>
      <c r="O1661" s="75">
        <f>M1661+N1661</f>
        <v>1249.648998519109</v>
      </c>
      <c r="P1661" s="75">
        <f>(MIN(L1661,'THAM_SO_MOI'!$C$41)-O1661)/('THAM_SO_MOI'!$C$11*H1661)</f>
        <v>0.760090049136098</v>
      </c>
      <c r="Q1661" s="75">
        <f>IF(P1661&gt;0,1/P1661,NA())</f>
        <v>1.3156335899102725</v>
      </c>
      <c r="R1661" s="75">
        <f>F1661-F1660</f>
        <v>0.005028991339517397</v>
      </c>
      <c r="S1661" s="75">
        <f>0.5*(Q1660+Q1661)*R1661</f>
        <v>0.0066168666629668705</v>
      </c>
      <c r="T1661" s="75">
        <f>0.5*(F1660*Q1660+F1661*Q1661)*R1661</f>
        <v>0.0422833852630534</v>
      </c>
      <c r="U1661" s="76">
        <f>U1660+S1661</f>
        <v>7.852742387000044</v>
      </c>
      <c r="V1661" s="76">
        <f>V1660+T1661</f>
        <v>32.819094292001274</v>
      </c>
    </row>
    <row r="1662" spans="1:22" ht="19" customHeight="1">
      <c r="A1662" s="68" t="s">
        <v>374</v>
      </c>
      <c r="B1662" s="74">
        <v>3</v>
      </c>
      <c r="C1662" s="68" t="s">
        <v>363</v>
      </c>
      <c r="D1662" s="68" t="s">
        <v>364</v>
      </c>
      <c r="E1662" s="75">
        <f>60*F1662*'THAM_SO_MOI'!$C$51/(2*PI()*'THAM_SO_MOI'!$C$26)</f>
        <v>1607.0843509689028</v>
      </c>
      <c r="F1662" s="75">
        <f>'HANH_TRINH'!$F$1647+('THAM_SO_MOI'!$F$51-'HANH_TRINH'!$F$1647)*14/'THAM_SO_MOI'!$C$42</f>
        <v>6.397786606098808</v>
      </c>
      <c r="G1662" s="75">
        <f>3.6*F1662</f>
        <v>23.03203178195571</v>
      </c>
      <c r="H1662" s="75">
        <f>'THAM_SO_MOI'!$D$51</f>
        <v>1.375</v>
      </c>
      <c r="I1662" s="75">
        <f>IF(F1662&gt;'THAM_SO_MOI'!$C$14,'THAM_SO_MOI'!$C$13*(1+F1662^2/1500),'THAM_SO_MOI'!$C$13)</f>
        <v>0.015</v>
      </c>
      <c r="J1662" s="75">
        <f>'THAM_SO_MOI'!$C$40*('THAM_SO_MOI'!$C$23*(E1662/'THAM_SO_MOI'!$C$22)+'THAM_SO_MOI'!$C$24*(E1662/'THAM_SO_MOI'!$C$22)^2-'THAM_SO_MOI'!$C$25*(E1662/'THAM_SO_MOI'!$C$22)^3)</f>
        <v>69.81855450873616</v>
      </c>
      <c r="K1662" s="75">
        <f>'THAM_SO_MOI'!$C$31*J1662/E1662</f>
        <v>414.94018792659716</v>
      </c>
      <c r="L1662" s="75">
        <f>K1662*'THAM_SO_MOI'!$C$51*'THAM_SO_MOI'!$C$17/'THAM_SO_MOI'!$C$26</f>
        <v>9277.735024708947</v>
      </c>
      <c r="M1662" s="75">
        <f>'THAM_SO_MOI'!$C$15*'THAM_SO_MOI'!$C$16*F1662^2</f>
        <v>119.72514486224361</v>
      </c>
      <c r="N1662" s="75">
        <f>'THAM_SO_MOI'!$C$12*I1662</f>
        <v>1130.112</v>
      </c>
      <c r="O1662" s="75">
        <f>M1662+N1662</f>
        <v>1249.8371448622438</v>
      </c>
      <c r="P1662" s="75">
        <f>(MIN(L1662,'THAM_SO_MOI'!$C$41)-O1662)/('THAM_SO_MOI'!$C$11*H1662)</f>
        <v>0.7602176022582107</v>
      </c>
      <c r="Q1662" s="75">
        <f>IF(P1662&gt;0,1/P1662,NA())</f>
        <v>1.3154128463081105</v>
      </c>
      <c r="R1662" s="75">
        <f>F1662-F1661</f>
        <v>0.005028991339518285</v>
      </c>
      <c r="S1662" s="75">
        <f>0.5*(Q1661+Q1662)*R1662</f>
        <v>0.006615754870806348</v>
      </c>
      <c r="T1662" s="75">
        <f>0.5*(F1661*Q1661+F1662*Q1662)*R1662</f>
        <v>0.04230955121900994</v>
      </c>
      <c r="U1662" s="76">
        <f>U1661+S1662</f>
        <v>7.8593581418708505</v>
      </c>
      <c r="V1662" s="76">
        <f>V1661+T1662</f>
        <v>32.86140384322029</v>
      </c>
    </row>
    <row r="1663" spans="1:22" ht="19" customHeight="1">
      <c r="A1663" s="68" t="s">
        <v>374</v>
      </c>
      <c r="B1663" s="74">
        <v>3</v>
      </c>
      <c r="C1663" s="68" t="s">
        <v>363</v>
      </c>
      <c r="D1663" s="68" t="s">
        <v>364</v>
      </c>
      <c r="E1663" s="75">
        <f>60*F1663*'THAM_SO_MOI'!$C$51/(2*PI()*'THAM_SO_MOI'!$C$26)</f>
        <v>1608.3476024307743</v>
      </c>
      <c r="F1663" s="75">
        <f>'HANH_TRINH'!$F$1647+('THAM_SO_MOI'!$F$51-'HANH_TRINH'!$F$1647)*15/'THAM_SO_MOI'!$C$42</f>
        <v>6.402815597438325</v>
      </c>
      <c r="G1663" s="75">
        <f>3.6*F1663</f>
        <v>23.05013615077797</v>
      </c>
      <c r="H1663" s="75">
        <f>'THAM_SO_MOI'!$D$51</f>
        <v>1.375</v>
      </c>
      <c r="I1663" s="75">
        <f>IF(F1663&gt;'THAM_SO_MOI'!$C$14,'THAM_SO_MOI'!$C$13*(1+F1663^2/1500),'THAM_SO_MOI'!$C$13)</f>
        <v>0.015</v>
      </c>
      <c r="J1663" s="75">
        <f>'THAM_SO_MOI'!$C$40*('THAM_SO_MOI'!$C$23*(E1663/'THAM_SO_MOI'!$C$22)+'THAM_SO_MOI'!$C$24*(E1663/'THAM_SO_MOI'!$C$22)^2-'THAM_SO_MOI'!$C$25*(E1663/'THAM_SO_MOI'!$C$22)^3)</f>
        <v>69.88497079388598</v>
      </c>
      <c r="K1663" s="75">
        <f>'THAM_SO_MOI'!$C$31*J1663/E1663</f>
        <v>415.0086897069967</v>
      </c>
      <c r="L1663" s="75">
        <f>K1663*'THAM_SO_MOI'!$C$51*'THAM_SO_MOI'!$C$17/'THAM_SO_MOI'!$C$26</f>
        <v>9279.266670439489</v>
      </c>
      <c r="M1663" s="75">
        <f>'THAM_SO_MOI'!$C$15*'THAM_SO_MOI'!$C$16*F1663^2</f>
        <v>119.91343915628853</v>
      </c>
      <c r="N1663" s="75">
        <f>'THAM_SO_MOI'!$C$12*I1663</f>
        <v>1130.112</v>
      </c>
      <c r="O1663" s="75">
        <f>M1663+N1663</f>
        <v>1250.0254391562887</v>
      </c>
      <c r="P1663" s="75">
        <f>(MIN(L1663,'THAM_SO_MOI'!$C$41)-O1663)/('THAM_SO_MOI'!$C$11*H1663)</f>
        <v>0.7603448135684848</v>
      </c>
      <c r="Q1663" s="75">
        <f>IF(P1663&gt;0,1/P1663,NA())</f>
        <v>1.3151927680110747</v>
      </c>
      <c r="R1663" s="75">
        <f>F1663-F1662</f>
        <v>0.005028991339517397</v>
      </c>
      <c r="S1663" s="75">
        <f>0.5*(Q1662+Q1663)*R1663</f>
        <v>0.006614646426048512</v>
      </c>
      <c r="T1663" s="75">
        <f>0.5*(F1662*Q1662+F1663*Q1663)*R1663</f>
        <v>0.04233572741696129</v>
      </c>
      <c r="U1663" s="76">
        <f>U1662+S1663</f>
        <v>7.865972788296899</v>
      </c>
      <c r="V1663" s="76">
        <f>V1662+T1663</f>
        <v>32.90373957063725</v>
      </c>
    </row>
    <row r="1664" spans="1:22" ht="19" customHeight="1">
      <c r="A1664" s="68" t="s">
        <v>374</v>
      </c>
      <c r="B1664" s="74">
        <v>3</v>
      </c>
      <c r="C1664" s="68" t="s">
        <v>363</v>
      </c>
      <c r="D1664" s="68" t="s">
        <v>364</v>
      </c>
      <c r="E1664" s="75">
        <f>60*F1664*'THAM_SO_MOI'!$C$51/(2*PI()*'THAM_SO_MOI'!$C$26)</f>
        <v>1609.6108538926458</v>
      </c>
      <c r="F1664" s="75">
        <f>'HANH_TRINH'!$F$1647+('THAM_SO_MOI'!$F$51-'HANH_TRINH'!$F$1647)*16/'THAM_SO_MOI'!$C$42</f>
        <v>6.407844588777842</v>
      </c>
      <c r="G1664" s="75">
        <f>3.6*F1664</f>
        <v>23.068240519600234</v>
      </c>
      <c r="H1664" s="75">
        <f>'THAM_SO_MOI'!$D$51</f>
        <v>1.375</v>
      </c>
      <c r="I1664" s="75">
        <f>IF(F1664&gt;'THAM_SO_MOI'!$C$14,'THAM_SO_MOI'!$C$13*(1+F1664^2/1500),'THAM_SO_MOI'!$C$13)</f>
        <v>0.015</v>
      </c>
      <c r="J1664" s="75">
        <f>'THAM_SO_MOI'!$C$40*('THAM_SO_MOI'!$C$23*(E1664/'THAM_SO_MOI'!$C$22)+'THAM_SO_MOI'!$C$24*(E1664/'THAM_SO_MOI'!$C$22)^2-'THAM_SO_MOI'!$C$25*(E1664/'THAM_SO_MOI'!$C$22)^3)</f>
        <v>69.95137910875853</v>
      </c>
      <c r="K1664" s="75">
        <f>'THAM_SO_MOI'!$C$31*J1664/E1664</f>
        <v>415.0770366705656</v>
      </c>
      <c r="L1664" s="75">
        <f>K1664*'THAM_SO_MOI'!$C$51*'THAM_SO_MOI'!$C$17/'THAM_SO_MOI'!$C$26</f>
        <v>9280.794854587917</v>
      </c>
      <c r="M1664" s="75">
        <f>'THAM_SO_MOI'!$C$15*'THAM_SO_MOI'!$C$16*F1664^2</f>
        <v>120.10188140124372</v>
      </c>
      <c r="N1664" s="75">
        <f>'THAM_SO_MOI'!$C$12*I1664</f>
        <v>1130.112</v>
      </c>
      <c r="O1664" s="75">
        <f>M1664+N1664</f>
        <v>1250.2138814012437</v>
      </c>
      <c r="P1664" s="75">
        <f>(MIN(L1664,'THAM_SO_MOI'!$C$41)-O1664)/('THAM_SO_MOI'!$C$11*H1664)</f>
        <v>0.7604716830669198</v>
      </c>
      <c r="Q1664" s="75">
        <f>IF(P1664&gt;0,1/P1664,NA())</f>
        <v>1.3149733543885318</v>
      </c>
      <c r="R1664" s="75">
        <f>F1664-F1663</f>
        <v>0.005028991339517397</v>
      </c>
      <c r="S1664" s="75">
        <f>0.5*(Q1663+Q1664)*R1664</f>
        <v>0.006613541325519837</v>
      </c>
      <c r="T1664" s="75">
        <f>0.5*(F1663*Q1663+F1664*Q1664)*R1664</f>
        <v>0.04236191388708215</v>
      </c>
      <c r="U1664" s="76">
        <f>U1663+S1664</f>
        <v>7.872586329622419</v>
      </c>
      <c r="V1664" s="76">
        <f>V1663+T1664</f>
        <v>32.946101484524334</v>
      </c>
    </row>
    <row r="1665" spans="1:22" ht="19" customHeight="1">
      <c r="A1665" s="68" t="s">
        <v>374</v>
      </c>
      <c r="B1665" s="74">
        <v>3</v>
      </c>
      <c r="C1665" s="68" t="s">
        <v>363</v>
      </c>
      <c r="D1665" s="68" t="s">
        <v>364</v>
      </c>
      <c r="E1665" s="75">
        <f>60*F1665*'THAM_SO_MOI'!$C$51/(2*PI()*'THAM_SO_MOI'!$C$26)</f>
        <v>1610.8741053545177</v>
      </c>
      <c r="F1665" s="75">
        <f>'HANH_TRINH'!$F$1647+('THAM_SO_MOI'!$F$51-'HANH_TRINH'!$F$1647)*17/'THAM_SO_MOI'!$C$42</f>
        <v>6.412873580117361</v>
      </c>
      <c r="G1665" s="75">
        <f>3.6*F1665</f>
        <v>23.0863448884225</v>
      </c>
      <c r="H1665" s="75">
        <f>'THAM_SO_MOI'!$D$51</f>
        <v>1.375</v>
      </c>
      <c r="I1665" s="75">
        <f>IF(F1665&gt;'THAM_SO_MOI'!$C$14,'THAM_SO_MOI'!$C$13*(1+F1665^2/1500),'THAM_SO_MOI'!$C$13)</f>
        <v>0.015</v>
      </c>
      <c r="J1665" s="75">
        <f>'THAM_SO_MOI'!$C$40*('THAM_SO_MOI'!$C$23*(E1665/'THAM_SO_MOI'!$C$22)+'THAM_SO_MOI'!$C$24*(E1665/'THAM_SO_MOI'!$C$22)^2-'THAM_SO_MOI'!$C$25*(E1665/'THAM_SO_MOI'!$C$22)^3)</f>
        <v>70.01777939192452</v>
      </c>
      <c r="K1665" s="75">
        <f>'THAM_SO_MOI'!$C$31*J1665/E1665</f>
        <v>415.14522881730426</v>
      </c>
      <c r="L1665" s="75">
        <f>K1665*'THAM_SO_MOI'!$C$51*'THAM_SO_MOI'!$C$17/'THAM_SO_MOI'!$C$26</f>
        <v>9282.319577154245</v>
      </c>
      <c r="M1665" s="75">
        <f>'THAM_SO_MOI'!$C$15*'THAM_SO_MOI'!$C$16*F1665^2</f>
        <v>120.29047159710925</v>
      </c>
      <c r="N1665" s="75">
        <f>'THAM_SO_MOI'!$C$12*I1665</f>
        <v>1130.112</v>
      </c>
      <c r="O1665" s="75">
        <f>M1665+N1665</f>
        <v>1250.4024715971093</v>
      </c>
      <c r="P1665" s="75">
        <f>(MIN(L1665,'THAM_SO_MOI'!$C$41)-O1665)/('THAM_SO_MOI'!$C$11*H1665)</f>
        <v>0.7605982107535166</v>
      </c>
      <c r="Q1665" s="75">
        <f>IF(P1665&gt;0,1/P1665,NA())</f>
        <v>1.3147546048120604</v>
      </c>
      <c r="R1665" s="75">
        <f>F1665-F1664</f>
        <v>0.005028991339518285</v>
      </c>
      <c r="S1665" s="75">
        <f>0.5*(Q1664+Q1665)*R1665</f>
        <v>0.006612439566054436</v>
      </c>
      <c r="T1665" s="75">
        <f>0.5*(F1664*Q1664+F1665*Q1665)*R1665</f>
        <v>0.04238811065953238</v>
      </c>
      <c r="U1665" s="76">
        <f>U1664+S1665</f>
        <v>7.8791987691884735</v>
      </c>
      <c r="V1665" s="76">
        <f>V1664+T1665</f>
        <v>32.988489595183864</v>
      </c>
    </row>
    <row r="1666" spans="1:22" ht="19" customHeight="1">
      <c r="A1666" s="68" t="s">
        <v>374</v>
      </c>
      <c r="B1666" s="74">
        <v>3</v>
      </c>
      <c r="C1666" s="68" t="s">
        <v>363</v>
      </c>
      <c r="D1666" s="68" t="s">
        <v>364</v>
      </c>
      <c r="E1666" s="75">
        <f>60*F1666*'THAM_SO_MOI'!$C$51/(2*PI()*'THAM_SO_MOI'!$C$26)</f>
        <v>1612.1373568163892</v>
      </c>
      <c r="F1666" s="75">
        <f>'HANH_TRINH'!$F$1647+('THAM_SO_MOI'!$F$51-'HANH_TRINH'!$F$1647)*18/'THAM_SO_MOI'!$C$42</f>
        <v>6.417902571456878</v>
      </c>
      <c r="G1666" s="75">
        <f>3.6*F1666</f>
        <v>23.104449257244763</v>
      </c>
      <c r="H1666" s="75">
        <f>'THAM_SO_MOI'!$D$51</f>
        <v>1.375</v>
      </c>
      <c r="I1666" s="75">
        <f>IF(F1666&gt;'THAM_SO_MOI'!$C$14,'THAM_SO_MOI'!$C$13*(1+F1666^2/1500),'THAM_SO_MOI'!$C$13)</f>
        <v>0.015</v>
      </c>
      <c r="J1666" s="75">
        <f>'THAM_SO_MOI'!$C$40*('THAM_SO_MOI'!$C$23*(E1666/'THAM_SO_MOI'!$C$22)+'THAM_SO_MOI'!$C$24*(E1666/'THAM_SO_MOI'!$C$22)^2-'THAM_SO_MOI'!$C$25*(E1666/'THAM_SO_MOI'!$C$22)^3)</f>
        <v>70.08417158195445</v>
      </c>
      <c r="K1666" s="75">
        <f>'THAM_SO_MOI'!$C$31*J1666/E1666</f>
        <v>415.213266147212</v>
      </c>
      <c r="L1666" s="75">
        <f>K1666*'THAM_SO_MOI'!$C$51*'THAM_SO_MOI'!$C$17/'THAM_SO_MOI'!$C$26</f>
        <v>9283.840838138454</v>
      </c>
      <c r="M1666" s="75">
        <f>'THAM_SO_MOI'!$C$15*'THAM_SO_MOI'!$C$16*F1666^2</f>
        <v>120.47920974388497</v>
      </c>
      <c r="N1666" s="75">
        <f>'THAM_SO_MOI'!$C$12*I1666</f>
        <v>1130.112</v>
      </c>
      <c r="O1666" s="75">
        <f>M1666+N1666</f>
        <v>1250.591209743885</v>
      </c>
      <c r="P1666" s="75">
        <f>(MIN(L1666,'THAM_SO_MOI'!$C$41)-O1666)/('THAM_SO_MOI'!$C$11*H1666)</f>
        <v>0.7607243966282735</v>
      </c>
      <c r="Q1666" s="75">
        <f>IF(P1666&gt;0,1/P1666,NA())</f>
        <v>1.314536518655452</v>
      </c>
      <c r="R1666" s="75">
        <f>F1666-F1665</f>
        <v>0.005028991339517397</v>
      </c>
      <c r="S1666" s="75">
        <f>0.5*(Q1665+Q1666)*R1666</f>
        <v>0.006611341144494043</v>
      </c>
      <c r="T1666" s="75">
        <f>0.5*(F1665*Q1665+F1666*Q1666)*R1666</f>
        <v>0.042414317764457025</v>
      </c>
      <c r="U1666" s="76">
        <f>U1665+S1666</f>
        <v>7.885810110332968</v>
      </c>
      <c r="V1666" s="76">
        <f>V1665+T1666</f>
        <v>33.03090391294832</v>
      </c>
    </row>
    <row r="1667" spans="1:22" ht="19" customHeight="1">
      <c r="A1667" s="68" t="s">
        <v>374</v>
      </c>
      <c r="B1667" s="74">
        <v>3</v>
      </c>
      <c r="C1667" s="68" t="s">
        <v>363</v>
      </c>
      <c r="D1667" s="68" t="s">
        <v>364</v>
      </c>
      <c r="E1667" s="75">
        <f>60*F1667*'THAM_SO_MOI'!$C$51/(2*PI()*'THAM_SO_MOI'!$C$26)</f>
        <v>1613.4006082782607</v>
      </c>
      <c r="F1667" s="75">
        <f>'HANH_TRINH'!$F$1647+('THAM_SO_MOI'!$F$51-'HANH_TRINH'!$F$1647)*19/'THAM_SO_MOI'!$C$42</f>
        <v>6.422931562796395</v>
      </c>
      <c r="G1667" s="75">
        <f>3.6*F1667</f>
        <v>23.122553626067024</v>
      </c>
      <c r="H1667" s="75">
        <f>'THAM_SO_MOI'!$D$51</f>
        <v>1.375</v>
      </c>
      <c r="I1667" s="75">
        <f>IF(F1667&gt;'THAM_SO_MOI'!$C$14,'THAM_SO_MOI'!$C$13*(1+F1667^2/1500),'THAM_SO_MOI'!$C$13)</f>
        <v>0.015</v>
      </c>
      <c r="J1667" s="75">
        <f>'THAM_SO_MOI'!$C$40*('THAM_SO_MOI'!$C$23*(E1667/'THAM_SO_MOI'!$C$22)+'THAM_SO_MOI'!$C$24*(E1667/'THAM_SO_MOI'!$C$22)^2-'THAM_SO_MOI'!$C$25*(E1667/'THAM_SO_MOI'!$C$22)^3)</f>
        <v>70.1505556174191</v>
      </c>
      <c r="K1667" s="75">
        <f>'THAM_SO_MOI'!$C$31*J1667/E1667</f>
        <v>415.28114866028943</v>
      </c>
      <c r="L1667" s="75">
        <f>K1667*'THAM_SO_MOI'!$C$51*'THAM_SO_MOI'!$C$17/'THAM_SO_MOI'!$C$26</f>
        <v>9285.358637540558</v>
      </c>
      <c r="M1667" s="75">
        <f>'THAM_SO_MOI'!$C$15*'THAM_SO_MOI'!$C$16*F1667^2</f>
        <v>120.66809584157099</v>
      </c>
      <c r="N1667" s="75">
        <f>'THAM_SO_MOI'!$C$12*I1667</f>
        <v>1130.112</v>
      </c>
      <c r="O1667" s="75">
        <f>M1667+N1667</f>
        <v>1250.780095841571</v>
      </c>
      <c r="P1667" s="75">
        <f>(MIN(L1667,'THAM_SO_MOI'!$C$41)-O1667)/('THAM_SO_MOI'!$C$11*H1667)</f>
        <v>0.7608502406911919</v>
      </c>
      <c r="Q1667" s="75">
        <f>IF(P1667&gt;0,1/P1667,NA())</f>
        <v>1.3143190952946973</v>
      </c>
      <c r="R1667" s="75">
        <f>F1667-F1666</f>
        <v>0.005028991339517397</v>
      </c>
      <c r="S1667" s="75">
        <f>0.5*(Q1666+Q1667)*R1667</f>
        <v>0.006610246057698495</v>
      </c>
      <c r="T1667" s="75">
        <f>0.5*(F1666*Q1666+F1667*Q1667)*R1667</f>
        <v>0.04244053523205381</v>
      </c>
      <c r="U1667" s="76">
        <f>U1666+S1667</f>
        <v>7.892420356390667</v>
      </c>
      <c r="V1667" s="76">
        <f>V1666+T1667</f>
        <v>33.07334444818037</v>
      </c>
    </row>
    <row r="1668" spans="1:22" ht="19" customHeight="1">
      <c r="A1668" s="68" t="s">
        <v>374</v>
      </c>
      <c r="B1668" s="74">
        <v>3</v>
      </c>
      <c r="C1668" s="68" t="s">
        <v>363</v>
      </c>
      <c r="D1668" s="68" t="s">
        <v>364</v>
      </c>
      <c r="E1668" s="75">
        <f>60*F1668*'THAM_SO_MOI'!$C$51/(2*PI()*'THAM_SO_MOI'!$C$26)</f>
        <v>1614.6638597401327</v>
      </c>
      <c r="F1668" s="75">
        <f>'HANH_TRINH'!$F$1647+('THAM_SO_MOI'!$F$51-'HANH_TRINH'!$F$1647)*20/'THAM_SO_MOI'!$C$42</f>
        <v>6.427960554135914</v>
      </c>
      <c r="G1668" s="75">
        <f>3.6*F1668</f>
        <v>23.14065799488929</v>
      </c>
      <c r="H1668" s="75">
        <f>'THAM_SO_MOI'!$D$51</f>
        <v>1.375</v>
      </c>
      <c r="I1668" s="75">
        <f>IF(F1668&gt;'THAM_SO_MOI'!$C$14,'THAM_SO_MOI'!$C$13*(1+F1668^2/1500),'THAM_SO_MOI'!$C$13)</f>
        <v>0.015</v>
      </c>
      <c r="J1668" s="75">
        <f>'THAM_SO_MOI'!$C$40*('THAM_SO_MOI'!$C$23*(E1668/'THAM_SO_MOI'!$C$22)+'THAM_SO_MOI'!$C$24*(E1668/'THAM_SO_MOI'!$C$22)^2-'THAM_SO_MOI'!$C$25*(E1668/'THAM_SO_MOI'!$C$22)^3)</f>
        <v>70.21693143688908</v>
      </c>
      <c r="K1668" s="75">
        <f>'THAM_SO_MOI'!$C$31*J1668/E1668</f>
        <v>415.3488763565363</v>
      </c>
      <c r="L1668" s="75">
        <f>K1668*'THAM_SO_MOI'!$C$51*'THAM_SO_MOI'!$C$17/'THAM_SO_MOI'!$C$26</f>
        <v>9286.87297536055</v>
      </c>
      <c r="M1668" s="75">
        <f>'THAM_SO_MOI'!$C$15*'THAM_SO_MOI'!$C$16*F1668^2</f>
        <v>120.85712989016731</v>
      </c>
      <c r="N1668" s="75">
        <f>'THAM_SO_MOI'!$C$12*I1668</f>
        <v>1130.112</v>
      </c>
      <c r="O1668" s="75">
        <f>M1668+N1668</f>
        <v>1250.9691298901673</v>
      </c>
      <c r="P1668" s="75">
        <f>(MIN(L1668,'THAM_SO_MOI'!$C$41)-O1668)/('THAM_SO_MOI'!$C$11*H1668)</f>
        <v>0.760975742942271</v>
      </c>
      <c r="Q1668" s="75">
        <f>IF(P1668&gt;0,1/P1668,NA())</f>
        <v>1.3141023341079898</v>
      </c>
      <c r="R1668" s="75">
        <f>F1668-F1667</f>
        <v>0.005028991339518285</v>
      </c>
      <c r="S1668" s="75">
        <f>0.5*(Q1667+Q1668)*R1668</f>
        <v>0.006609154302535192</v>
      </c>
      <c r="T1668" s="75">
        <f>0.5*(F1667*Q1667+F1668*Q1668)*R1668</f>
        <v>0.042466763092505924</v>
      </c>
      <c r="U1668" s="76">
        <f>U1667+S1668</f>
        <v>7.899029510693202</v>
      </c>
      <c r="V1668" s="76">
        <f>V1667+T1668</f>
        <v>33.11581121127288</v>
      </c>
    </row>
    <row r="1669" spans="1:22" ht="19" customHeight="1">
      <c r="A1669" s="68" t="s">
        <v>374</v>
      </c>
      <c r="B1669" s="74">
        <v>3</v>
      </c>
      <c r="C1669" s="68" t="s">
        <v>363</v>
      </c>
      <c r="D1669" s="68" t="s">
        <v>364</v>
      </c>
      <c r="E1669" s="75">
        <f>60*F1669*'THAM_SO_MOI'!$C$51/(2*PI()*'THAM_SO_MOI'!$C$26)</f>
        <v>1615.927111202004</v>
      </c>
      <c r="F1669" s="75">
        <f>'HANH_TRINH'!$F$1647+('THAM_SO_MOI'!$F$51-'HANH_TRINH'!$F$1647)*21/'THAM_SO_MOI'!$C$42</f>
        <v>6.432989545475431</v>
      </c>
      <c r="G1669" s="75">
        <f>3.6*F1669</f>
        <v>23.158762363711553</v>
      </c>
      <c r="H1669" s="75">
        <f>'THAM_SO_MOI'!$D$51</f>
        <v>1.375</v>
      </c>
      <c r="I1669" s="75">
        <f>IF(F1669&gt;'THAM_SO_MOI'!$C$14,'THAM_SO_MOI'!$C$13*(1+F1669^2/1500),'THAM_SO_MOI'!$C$13)</f>
        <v>0.015</v>
      </c>
      <c r="J1669" s="75">
        <f>'THAM_SO_MOI'!$C$40*('THAM_SO_MOI'!$C$23*(E1669/'THAM_SO_MOI'!$C$22)+'THAM_SO_MOI'!$C$24*(E1669/'THAM_SO_MOI'!$C$22)^2-'THAM_SO_MOI'!$C$25*(E1669/'THAM_SO_MOI'!$C$22)^3)</f>
        <v>70.28329897893505</v>
      </c>
      <c r="K1669" s="75">
        <f>'THAM_SO_MOI'!$C$31*J1669/E1669</f>
        <v>415.4164492359528</v>
      </c>
      <c r="L1669" s="75">
        <f>K1669*'THAM_SO_MOI'!$C$51*'THAM_SO_MOI'!$C$17/'THAM_SO_MOI'!$C$26</f>
        <v>9288.383851598437</v>
      </c>
      <c r="M1669" s="75">
        <f>'THAM_SO_MOI'!$C$15*'THAM_SO_MOI'!$C$16*F1669^2</f>
        <v>121.04631188967389</v>
      </c>
      <c r="N1669" s="75">
        <f>'THAM_SO_MOI'!$C$12*I1669</f>
        <v>1130.112</v>
      </c>
      <c r="O1669" s="75">
        <f>M1669+N1669</f>
        <v>1251.158311889674</v>
      </c>
      <c r="P1669" s="75">
        <f>(MIN(L1669,'THAM_SO_MOI'!$C$41)-O1669)/('THAM_SO_MOI'!$C$11*H1669)</f>
        <v>0.7611009033815117</v>
      </c>
      <c r="Q1669" s="75">
        <f>IF(P1669&gt;0,1/P1669,NA())</f>
        <v>1.3138862344757158</v>
      </c>
      <c r="R1669" s="75">
        <f>F1669-F1668</f>
        <v>0.005028991339517397</v>
      </c>
      <c r="S1669" s="75">
        <f>0.5*(Q1668+Q1669)*R1669</f>
        <v>0.006608065875879088</v>
      </c>
      <c r="T1669" s="75">
        <f>0.5*(F1668*Q1668+F1669*Q1669)*R1669</f>
        <v>0.042493001375982095</v>
      </c>
      <c r="U1669" s="76">
        <f>U1668+S1669</f>
        <v>7.905637576569081</v>
      </c>
      <c r="V1669" s="76">
        <f>V1668+T1669</f>
        <v>33.15830421264886</v>
      </c>
    </row>
    <row r="1670" spans="1:22" ht="19" customHeight="1">
      <c r="A1670" s="68" t="s">
        <v>374</v>
      </c>
      <c r="B1670" s="74">
        <v>3</v>
      </c>
      <c r="C1670" s="68" t="s">
        <v>363</v>
      </c>
      <c r="D1670" s="68" t="s">
        <v>364</v>
      </c>
      <c r="E1670" s="75">
        <f>60*F1670*'THAM_SO_MOI'!$C$51/(2*PI()*'THAM_SO_MOI'!$C$26)</f>
        <v>1617.1903626638755</v>
      </c>
      <c r="F1670" s="75">
        <f>'HANH_TRINH'!$F$1647+('THAM_SO_MOI'!$F$51-'HANH_TRINH'!$F$1647)*22/'THAM_SO_MOI'!$C$42</f>
        <v>6.4380185368149485</v>
      </c>
      <c r="G1670" s="75">
        <f>3.6*F1670</f>
        <v>23.176866732533814</v>
      </c>
      <c r="H1670" s="75">
        <f>'THAM_SO_MOI'!$D$51</f>
        <v>1.375</v>
      </c>
      <c r="I1670" s="75">
        <f>IF(F1670&gt;'THAM_SO_MOI'!$C$14,'THAM_SO_MOI'!$C$13*(1+F1670^2/1500),'THAM_SO_MOI'!$C$13)</f>
        <v>0.015</v>
      </c>
      <c r="J1670" s="75">
        <f>'THAM_SO_MOI'!$C$40*('THAM_SO_MOI'!$C$23*(E1670/'THAM_SO_MOI'!$C$22)+'THAM_SO_MOI'!$C$24*(E1670/'THAM_SO_MOI'!$C$22)^2-'THAM_SO_MOI'!$C$25*(E1670/'THAM_SO_MOI'!$C$22)^3)</f>
        <v>70.34965818212763</v>
      </c>
      <c r="K1670" s="75">
        <f>'THAM_SO_MOI'!$C$31*J1670/E1670</f>
        <v>415.48386729853866</v>
      </c>
      <c r="L1670" s="75">
        <f>K1670*'THAM_SO_MOI'!$C$51*'THAM_SO_MOI'!$C$17/'THAM_SO_MOI'!$C$26</f>
        <v>9289.891266254213</v>
      </c>
      <c r="M1670" s="75">
        <f>'THAM_SO_MOI'!$C$15*'THAM_SO_MOI'!$C$16*F1670^2</f>
        <v>121.23564184009071</v>
      </c>
      <c r="N1670" s="75">
        <f>'THAM_SO_MOI'!$C$12*I1670</f>
        <v>1130.112</v>
      </c>
      <c r="O1670" s="75">
        <f>M1670+N1670</f>
        <v>1251.3476418400908</v>
      </c>
      <c r="P1670" s="75">
        <f>(MIN(L1670,'THAM_SO_MOI'!$C$41)-O1670)/('THAM_SO_MOI'!$C$11*H1670)</f>
        <v>0.7612257220089131</v>
      </c>
      <c r="Q1670" s="75">
        <f>IF(P1670&gt;0,1/P1670,NA())</f>
        <v>1.3136707957804545</v>
      </c>
      <c r="R1670" s="75">
        <f>F1670-F1669</f>
        <v>0.005028991339517397</v>
      </c>
      <c r="S1670" s="75">
        <f>0.5*(Q1669+Q1670)*R1670</f>
        <v>0.006606980774623166</v>
      </c>
      <c r="T1670" s="75">
        <f>0.5*(F1669*Q1669+F1670*Q1670)*R1670</f>
        <v>0.04251925011270421</v>
      </c>
      <c r="U1670" s="76">
        <f>U1669+S1670</f>
        <v>7.912244557343704</v>
      </c>
      <c r="V1670" s="76">
        <f>V1669+T1670</f>
        <v>33.20082346276156</v>
      </c>
    </row>
    <row r="1671" spans="1:22" ht="19" customHeight="1">
      <c r="A1671" s="68" t="s">
        <v>374</v>
      </c>
      <c r="B1671" s="74">
        <v>3</v>
      </c>
      <c r="C1671" s="68" t="s">
        <v>363</v>
      </c>
      <c r="D1671" s="68" t="s">
        <v>364</v>
      </c>
      <c r="E1671" s="75">
        <f>60*F1671*'THAM_SO_MOI'!$C$51/(2*PI()*'THAM_SO_MOI'!$C$26)</f>
        <v>1618.4536141257474</v>
      </c>
      <c r="F1671" s="75">
        <f>'HANH_TRINH'!$F$1647+('THAM_SO_MOI'!$F$51-'HANH_TRINH'!$F$1647)*23/'THAM_SO_MOI'!$C$42</f>
        <v>6.443047528154467</v>
      </c>
      <c r="G1671" s="75">
        <f>3.6*F1671</f>
        <v>23.19497110135608</v>
      </c>
      <c r="H1671" s="75">
        <f>'THAM_SO_MOI'!$D$51</f>
        <v>1.375</v>
      </c>
      <c r="I1671" s="75">
        <f>IF(F1671&gt;'THAM_SO_MOI'!$C$14,'THAM_SO_MOI'!$C$13*(1+F1671^2/1500),'THAM_SO_MOI'!$C$13)</f>
        <v>0.015</v>
      </c>
      <c r="J1671" s="75">
        <f>'THAM_SO_MOI'!$C$40*('THAM_SO_MOI'!$C$23*(E1671/'THAM_SO_MOI'!$C$22)+'THAM_SO_MOI'!$C$24*(E1671/'THAM_SO_MOI'!$C$22)^2-'THAM_SO_MOI'!$C$25*(E1671/'THAM_SO_MOI'!$C$22)^3)</f>
        <v>70.41600898503752</v>
      </c>
      <c r="K1671" s="75">
        <f>'THAM_SO_MOI'!$C$31*J1671/E1671</f>
        <v>415.55113054429404</v>
      </c>
      <c r="L1671" s="75">
        <f>K1671*'THAM_SO_MOI'!$C$51*'THAM_SO_MOI'!$C$17/'THAM_SO_MOI'!$C$26</f>
        <v>9291.395219327882</v>
      </c>
      <c r="M1671" s="75">
        <f>'THAM_SO_MOI'!$C$15*'THAM_SO_MOI'!$C$16*F1671^2</f>
        <v>121.42511974141787</v>
      </c>
      <c r="N1671" s="75">
        <f>'THAM_SO_MOI'!$C$12*I1671</f>
        <v>1130.112</v>
      </c>
      <c r="O1671" s="75">
        <f>M1671+N1671</f>
        <v>1251.5371197414179</v>
      </c>
      <c r="P1671" s="75">
        <f>(MIN(L1671,'THAM_SO_MOI'!$C$41)-O1671)/('THAM_SO_MOI'!$C$11*H1671)</f>
        <v>0.7613501988244757</v>
      </c>
      <c r="Q1671" s="75">
        <f>IF(P1671&gt;0,1/P1671,NA())</f>
        <v>1.3134560174069692</v>
      </c>
      <c r="R1671" s="75">
        <f>F1671-F1670</f>
        <v>0.005028991339518285</v>
      </c>
      <c r="S1671" s="75">
        <f>0.5*(Q1670+Q1671)*R1671</f>
        <v>0.0066058989956679125</v>
      </c>
      <c r="T1671" s="75">
        <f>0.5*(F1670*Q1670+F1671*Q1671)*R1671</f>
        <v>0.042545509332880004</v>
      </c>
      <c r="U1671" s="76">
        <f>U1670+S1671</f>
        <v>7.918850456339372</v>
      </c>
      <c r="V1671" s="76">
        <f>V1670+T1671</f>
        <v>33.243368972094444</v>
      </c>
    </row>
    <row r="1672" spans="1:22" ht="19" customHeight="1">
      <c r="A1672" s="68" t="s">
        <v>374</v>
      </c>
      <c r="B1672" s="74">
        <v>3</v>
      </c>
      <c r="C1672" s="68" t="s">
        <v>363</v>
      </c>
      <c r="D1672" s="68" t="s">
        <v>364</v>
      </c>
      <c r="E1672" s="75">
        <f>60*F1672*'THAM_SO_MOI'!$C$51/(2*PI()*'THAM_SO_MOI'!$C$26)</f>
        <v>1619.7168655876192</v>
      </c>
      <c r="F1672" s="75">
        <f>'HANH_TRINH'!$F$1647+('THAM_SO_MOI'!$F$51-'HANH_TRINH'!$F$1647)*24/'THAM_SO_MOI'!$C$42</f>
        <v>6.448076519493984</v>
      </c>
      <c r="G1672" s="75">
        <f>3.6*F1672</f>
        <v>23.213075470178342</v>
      </c>
      <c r="H1672" s="75">
        <f>'THAM_SO_MOI'!$D$51</f>
        <v>1.375</v>
      </c>
      <c r="I1672" s="75">
        <f>IF(F1672&gt;'THAM_SO_MOI'!$C$14,'THAM_SO_MOI'!$C$13*(1+F1672^2/1500),'THAM_SO_MOI'!$C$13)</f>
        <v>0.015</v>
      </c>
      <c r="J1672" s="75">
        <f>'THAM_SO_MOI'!$C$40*('THAM_SO_MOI'!$C$23*(E1672/'THAM_SO_MOI'!$C$22)+'THAM_SO_MOI'!$C$24*(E1672/'THAM_SO_MOI'!$C$22)^2-'THAM_SO_MOI'!$C$25*(E1672/'THAM_SO_MOI'!$C$22)^3)</f>
        <v>70.48235132623535</v>
      </c>
      <c r="K1672" s="75">
        <f>'THAM_SO_MOI'!$C$31*J1672/E1672</f>
        <v>415.61823897321904</v>
      </c>
      <c r="L1672" s="75">
        <f>K1672*'THAM_SO_MOI'!$C$51*'THAM_SO_MOI'!$C$17/'THAM_SO_MOI'!$C$26</f>
        <v>9292.895710819443</v>
      </c>
      <c r="M1672" s="75">
        <f>'THAM_SO_MOI'!$C$15*'THAM_SO_MOI'!$C$16*F1672^2</f>
        <v>121.61474559365524</v>
      </c>
      <c r="N1672" s="75">
        <f>'THAM_SO_MOI'!$C$12*I1672</f>
        <v>1130.112</v>
      </c>
      <c r="O1672" s="75">
        <f>M1672+N1672</f>
        <v>1251.7267455936553</v>
      </c>
      <c r="P1672" s="75">
        <f>(MIN(L1672,'THAM_SO_MOI'!$C$41)-O1672)/('THAM_SO_MOI'!$C$11*H1672)</f>
        <v>0.7614743338281995</v>
      </c>
      <c r="Q1672" s="75">
        <f>IF(P1672&gt;0,1/P1672,NA())</f>
        <v>1.3132418987422045</v>
      </c>
      <c r="R1672" s="75">
        <f>F1672-F1671</f>
        <v>0.005028991339517397</v>
      </c>
      <c r="S1672" s="75">
        <f>0.5*(Q1671+Q1672)*R1672</f>
        <v>0.006604820535921293</v>
      </c>
      <c r="T1672" s="75">
        <f>0.5*(F1671*Q1671+F1672*Q1672)*R1672</f>
        <v>0.04257177906670305</v>
      </c>
      <c r="U1672" s="76">
        <f>U1671+S1672</f>
        <v>7.925455276875293</v>
      </c>
      <c r="V1672" s="76">
        <f>V1671+T1672</f>
        <v>33.28594075116115</v>
      </c>
    </row>
    <row r="1673" spans="1:22" ht="19" customHeight="1">
      <c r="A1673" s="68" t="s">
        <v>374</v>
      </c>
      <c r="B1673" s="74">
        <v>3</v>
      </c>
      <c r="C1673" s="68" t="s">
        <v>363</v>
      </c>
      <c r="D1673" s="68" t="s">
        <v>364</v>
      </c>
      <c r="E1673" s="75">
        <f>60*F1673*'THAM_SO_MOI'!$C$51/(2*PI()*'THAM_SO_MOI'!$C$26)</f>
        <v>1620.9801170494907</v>
      </c>
      <c r="F1673" s="75">
        <f>'HANH_TRINH'!$F$1647+('THAM_SO_MOI'!$F$51-'HANH_TRINH'!$F$1647)*25/'THAM_SO_MOI'!$C$42</f>
        <v>6.453105510833502</v>
      </c>
      <c r="G1673" s="75">
        <f>3.6*F1673</f>
        <v>23.231179839000607</v>
      </c>
      <c r="H1673" s="75">
        <f>'THAM_SO_MOI'!$D$51</f>
        <v>1.375</v>
      </c>
      <c r="I1673" s="75">
        <f>IF(F1673&gt;'THAM_SO_MOI'!$C$14,'THAM_SO_MOI'!$C$13*(1+F1673^2/1500),'THAM_SO_MOI'!$C$13)</f>
        <v>0.015</v>
      </c>
      <c r="J1673" s="75">
        <f>'THAM_SO_MOI'!$C$40*('THAM_SO_MOI'!$C$23*(E1673/'THAM_SO_MOI'!$C$22)+'THAM_SO_MOI'!$C$24*(E1673/'THAM_SO_MOI'!$C$22)^2-'THAM_SO_MOI'!$C$25*(E1673/'THAM_SO_MOI'!$C$22)^3)</f>
        <v>70.54868514429172</v>
      </c>
      <c r="K1673" s="75">
        <f>'THAM_SO_MOI'!$C$31*J1673/E1673</f>
        <v>415.6851925853133</v>
      </c>
      <c r="L1673" s="75">
        <f>K1673*'THAM_SO_MOI'!$C$51*'THAM_SO_MOI'!$C$17/'THAM_SO_MOI'!$C$26</f>
        <v>9294.39274072889</v>
      </c>
      <c r="M1673" s="75">
        <f>'THAM_SO_MOI'!$C$15*'THAM_SO_MOI'!$C$16*F1673^2</f>
        <v>121.80451939680292</v>
      </c>
      <c r="N1673" s="75">
        <f>'THAM_SO_MOI'!$C$12*I1673</f>
        <v>1130.112</v>
      </c>
      <c r="O1673" s="75">
        <f>M1673+N1673</f>
        <v>1251.916519396803</v>
      </c>
      <c r="P1673" s="75">
        <f>(MIN(L1673,'THAM_SO_MOI'!$C$41)-O1673)/('THAM_SO_MOI'!$C$11*H1673)</f>
        <v>0.761598127020084</v>
      </c>
      <c r="Q1673" s="75">
        <f>IF(P1673&gt;0,1/P1673,NA())</f>
        <v>1.3130284391752833</v>
      </c>
      <c r="R1673" s="75">
        <f>F1673-F1672</f>
        <v>0.005028991339517397</v>
      </c>
      <c r="S1673" s="75">
        <f>0.5*(Q1672+Q1673)*R1673</f>
        <v>0.006603745392309237</v>
      </c>
      <c r="T1673" s="75">
        <f>0.5*(F1672*Q1672+F1673*Q1673)*R1673</f>
        <v>0.04259805934442058</v>
      </c>
      <c r="U1673" s="76">
        <f>U1672+S1673</f>
        <v>7.932059022267602</v>
      </c>
      <c r="V1673" s="76">
        <f>V1672+T1673</f>
        <v>33.32853881050557</v>
      </c>
    </row>
    <row r="1674" spans="1:22" ht="19" customHeight="1">
      <c r="A1674" s="68" t="s">
        <v>374</v>
      </c>
      <c r="B1674" s="74">
        <v>3</v>
      </c>
      <c r="C1674" s="68" t="s">
        <v>363</v>
      </c>
      <c r="D1674" s="68" t="s">
        <v>364</v>
      </c>
      <c r="E1674" s="75">
        <f>60*F1674*'THAM_SO_MOI'!$C$51/(2*PI()*'THAM_SO_MOI'!$C$26)</f>
        <v>1622.2433685113622</v>
      </c>
      <c r="F1674" s="75">
        <f>'HANH_TRINH'!$F$1647+('THAM_SO_MOI'!$F$51-'HANH_TRINH'!$F$1647)*26/'THAM_SO_MOI'!$C$42</f>
        <v>6.45813450217302</v>
      </c>
      <c r="G1674" s="75">
        <f>3.6*F1674</f>
        <v>23.24928420782287</v>
      </c>
      <c r="H1674" s="75">
        <f>'THAM_SO_MOI'!$D$51</f>
        <v>1.375</v>
      </c>
      <c r="I1674" s="75">
        <f>IF(F1674&gt;'THAM_SO_MOI'!$C$14,'THAM_SO_MOI'!$C$13*(1+F1674^2/1500),'THAM_SO_MOI'!$C$13)</f>
        <v>0.015</v>
      </c>
      <c r="J1674" s="75">
        <f>'THAM_SO_MOI'!$C$40*('THAM_SO_MOI'!$C$23*(E1674/'THAM_SO_MOI'!$C$22)+'THAM_SO_MOI'!$C$24*(E1674/'THAM_SO_MOI'!$C$22)^2-'THAM_SO_MOI'!$C$25*(E1674/'THAM_SO_MOI'!$C$22)^3)</f>
        <v>70.61501037777734</v>
      </c>
      <c r="K1674" s="75">
        <f>'THAM_SO_MOI'!$C$31*J1674/E1674</f>
        <v>415.7519913805772</v>
      </c>
      <c r="L1674" s="75">
        <f>K1674*'THAM_SO_MOI'!$C$51*'THAM_SO_MOI'!$C$17/'THAM_SO_MOI'!$C$26</f>
        <v>9295.88630905623</v>
      </c>
      <c r="M1674" s="75">
        <f>'THAM_SO_MOI'!$C$15*'THAM_SO_MOI'!$C$16*F1674^2</f>
        <v>121.99444115086087</v>
      </c>
      <c r="N1674" s="75">
        <f>'THAM_SO_MOI'!$C$12*I1674</f>
        <v>1130.112</v>
      </c>
      <c r="O1674" s="75">
        <f>M1674+N1674</f>
        <v>1252.106441150861</v>
      </c>
      <c r="P1674" s="75">
        <f>(MIN(L1674,'THAM_SO_MOI'!$C$41)-O1674)/('THAM_SO_MOI'!$C$11*H1674)</f>
        <v>0.7617215784001297</v>
      </c>
      <c r="Q1674" s="75">
        <f>IF(P1674&gt;0,1/P1674,NA())</f>
        <v>1.3128156380974985</v>
      </c>
      <c r="R1674" s="75">
        <f>F1674-F1673</f>
        <v>0.005028991339518285</v>
      </c>
      <c r="S1674" s="75">
        <f>0.5*(Q1673+Q1674)*R1674</f>
        <v>0.006602673561765101</v>
      </c>
      <c r="T1674" s="75">
        <f>0.5*(F1673*Q1673+F1674*Q1674)*R1674</f>
        <v>0.042624350196266016</v>
      </c>
      <c r="U1674" s="76">
        <f>U1673+S1674</f>
        <v>7.938661695829367</v>
      </c>
      <c r="V1674" s="76">
        <f>V1673+T1674</f>
        <v>33.37116316070183</v>
      </c>
    </row>
    <row r="1675" spans="1:22" ht="19" customHeight="1">
      <c r="A1675" s="68" t="s">
        <v>374</v>
      </c>
      <c r="B1675" s="74">
        <v>3</v>
      </c>
      <c r="C1675" s="68" t="s">
        <v>363</v>
      </c>
      <c r="D1675" s="68" t="s">
        <v>364</v>
      </c>
      <c r="E1675" s="75">
        <f>60*F1675*'THAM_SO_MOI'!$C$51/(2*PI()*'THAM_SO_MOI'!$C$26)</f>
        <v>1623.506619973234</v>
      </c>
      <c r="F1675" s="75">
        <f>'HANH_TRINH'!$F$1647+('THAM_SO_MOI'!$F$51-'HANH_TRINH'!$F$1647)*27/'THAM_SO_MOI'!$C$42</f>
        <v>6.463163493512537</v>
      </c>
      <c r="G1675" s="75">
        <f>3.6*F1675</f>
        <v>23.267388576645136</v>
      </c>
      <c r="H1675" s="75">
        <f>'THAM_SO_MOI'!$D$51</f>
        <v>1.375</v>
      </c>
      <c r="I1675" s="75">
        <f>IF(F1675&gt;'THAM_SO_MOI'!$C$14,'THAM_SO_MOI'!$C$13*(1+F1675^2/1500),'THAM_SO_MOI'!$C$13)</f>
        <v>0.015</v>
      </c>
      <c r="J1675" s="75">
        <f>'THAM_SO_MOI'!$C$40*('THAM_SO_MOI'!$C$23*(E1675/'THAM_SO_MOI'!$C$22)+'THAM_SO_MOI'!$C$24*(E1675/'THAM_SO_MOI'!$C$22)^2-'THAM_SO_MOI'!$C$25*(E1675/'THAM_SO_MOI'!$C$22)^3)</f>
        <v>70.68132696526285</v>
      </c>
      <c r="K1675" s="75">
        <f>'THAM_SO_MOI'!$C$31*J1675/E1675</f>
        <v>415.81863535901056</v>
      </c>
      <c r="L1675" s="75">
        <f>K1675*'THAM_SO_MOI'!$C$51*'THAM_SO_MOI'!$C$17/'THAM_SO_MOI'!$C$26</f>
        <v>9297.376415801462</v>
      </c>
      <c r="M1675" s="75">
        <f>'THAM_SO_MOI'!$C$15*'THAM_SO_MOI'!$C$16*F1675^2</f>
        <v>122.18451085582909</v>
      </c>
      <c r="N1675" s="75">
        <f>'THAM_SO_MOI'!$C$12*I1675</f>
        <v>1130.112</v>
      </c>
      <c r="O1675" s="75">
        <f>M1675+N1675</f>
        <v>1252.2965108558292</v>
      </c>
      <c r="P1675" s="75">
        <f>(MIN(L1675,'THAM_SO_MOI'!$C$41)-O1675)/('THAM_SO_MOI'!$C$11*H1675)</f>
        <v>0.7618446879683365</v>
      </c>
      <c r="Q1675" s="75">
        <f>IF(P1675&gt;0,1/P1675,NA())</f>
        <v>1.3126034949023122</v>
      </c>
      <c r="R1675" s="75">
        <f>F1675-F1674</f>
        <v>0.005028991339517397</v>
      </c>
      <c r="S1675" s="75">
        <f>0.5*(Q1674+Q1675)*R1675</f>
        <v>0.00660160504122966</v>
      </c>
      <c r="T1675" s="75">
        <f>0.5*(F1674*Q1674+F1675*Q1675)*R1675</f>
        <v>0.042650651652458904</v>
      </c>
      <c r="U1675" s="76">
        <f>U1674+S1675</f>
        <v>7.945263300870597</v>
      </c>
      <c r="V1675" s="76">
        <f>V1674+T1675</f>
        <v>33.41381381235429</v>
      </c>
    </row>
    <row r="1676" spans="1:22" ht="19" customHeight="1">
      <c r="A1676" s="68" t="s">
        <v>374</v>
      </c>
      <c r="B1676" s="74">
        <v>3</v>
      </c>
      <c r="C1676" s="68" t="s">
        <v>363</v>
      </c>
      <c r="D1676" s="68" t="s">
        <v>364</v>
      </c>
      <c r="E1676" s="75">
        <f>60*F1676*'THAM_SO_MOI'!$C$51/(2*PI()*'THAM_SO_MOI'!$C$26)</f>
        <v>1624.7698714351054</v>
      </c>
      <c r="F1676" s="75">
        <f>'HANH_TRINH'!$F$1647+('THAM_SO_MOI'!$F$51-'HANH_TRINH'!$F$1647)*28/'THAM_SO_MOI'!$C$42</f>
        <v>6.468192484852055</v>
      </c>
      <c r="G1676" s="75">
        <f>3.6*F1676</f>
        <v>23.285492945467396</v>
      </c>
      <c r="H1676" s="75">
        <f>'THAM_SO_MOI'!$D$51</f>
        <v>1.375</v>
      </c>
      <c r="I1676" s="75">
        <f>IF(F1676&gt;'THAM_SO_MOI'!$C$14,'THAM_SO_MOI'!$C$13*(1+F1676^2/1500),'THAM_SO_MOI'!$C$13)</f>
        <v>0.015</v>
      </c>
      <c r="J1676" s="75">
        <f>'THAM_SO_MOI'!$C$40*('THAM_SO_MOI'!$C$23*(E1676/'THAM_SO_MOI'!$C$22)+'THAM_SO_MOI'!$C$24*(E1676/'THAM_SO_MOI'!$C$22)^2-'THAM_SO_MOI'!$C$25*(E1676/'THAM_SO_MOI'!$C$22)^3)</f>
        <v>70.7476348453189</v>
      </c>
      <c r="K1676" s="75">
        <f>'THAM_SO_MOI'!$C$31*J1676/E1676</f>
        <v>415.8851245206135</v>
      </c>
      <c r="L1676" s="75">
        <f>K1676*'THAM_SO_MOI'!$C$51*'THAM_SO_MOI'!$C$17/'THAM_SO_MOI'!$C$26</f>
        <v>9298.863060964588</v>
      </c>
      <c r="M1676" s="75">
        <f>'THAM_SO_MOI'!$C$15*'THAM_SO_MOI'!$C$16*F1676^2</f>
        <v>122.37472851170754</v>
      </c>
      <c r="N1676" s="75">
        <f>'THAM_SO_MOI'!$C$12*I1676</f>
        <v>1130.112</v>
      </c>
      <c r="O1676" s="75">
        <f>M1676+N1676</f>
        <v>1252.4867285117077</v>
      </c>
      <c r="P1676" s="75">
        <f>(MIN(L1676,'THAM_SO_MOI'!$C$41)-O1676)/('THAM_SO_MOI'!$C$11*H1676)</f>
        <v>0.7619674557247046</v>
      </c>
      <c r="Q1676" s="75">
        <f>IF(P1676&gt;0,1/P1676,NA())</f>
        <v>1.312392008985349</v>
      </c>
      <c r="R1676" s="75">
        <f>F1676-F1675</f>
        <v>0.005028991339517397</v>
      </c>
      <c r="S1676" s="75">
        <f>0.5*(Q1675+Q1676)*R1676</f>
        <v>0.006600539827661576</v>
      </c>
      <c r="T1676" s="75">
        <f>0.5*(F1675*Q1675+F1676*Q1676)*R1676</f>
        <v>0.04267696374327299</v>
      </c>
      <c r="U1676" s="76">
        <f>U1675+S1676</f>
        <v>7.951863840698258</v>
      </c>
      <c r="V1676" s="76">
        <f>V1675+T1676</f>
        <v>33.45649077609757</v>
      </c>
    </row>
    <row r="1677" spans="1:22" ht="19" customHeight="1">
      <c r="A1677" s="68" t="s">
        <v>374</v>
      </c>
      <c r="B1677" s="74">
        <v>3</v>
      </c>
      <c r="C1677" s="68" t="s">
        <v>363</v>
      </c>
      <c r="D1677" s="68" t="s">
        <v>364</v>
      </c>
      <c r="E1677" s="75">
        <f>60*F1677*'THAM_SO_MOI'!$C$51/(2*PI()*'THAM_SO_MOI'!$C$26)</f>
        <v>1626.0331228969771</v>
      </c>
      <c r="F1677" s="75">
        <f>'HANH_TRINH'!$F$1647+('THAM_SO_MOI'!$F$51-'HANH_TRINH'!$F$1647)*29/'THAM_SO_MOI'!$C$42</f>
        <v>6.473221476191573</v>
      </c>
      <c r="G1677" s="75">
        <f>3.6*F1677</f>
        <v>23.303597314289664</v>
      </c>
      <c r="H1677" s="75">
        <f>'THAM_SO_MOI'!$D$51</f>
        <v>1.375</v>
      </c>
      <c r="I1677" s="75">
        <f>IF(F1677&gt;'THAM_SO_MOI'!$C$14,'THAM_SO_MOI'!$C$13*(1+F1677^2/1500),'THAM_SO_MOI'!$C$13)</f>
        <v>0.015</v>
      </c>
      <c r="J1677" s="75">
        <f>'THAM_SO_MOI'!$C$40*('THAM_SO_MOI'!$C$23*(E1677/'THAM_SO_MOI'!$C$22)+'THAM_SO_MOI'!$C$24*(E1677/'THAM_SO_MOI'!$C$22)^2-'THAM_SO_MOI'!$C$25*(E1677/'THAM_SO_MOI'!$C$22)^3)</f>
        <v>70.81393395651615</v>
      </c>
      <c r="K1677" s="75">
        <f>'THAM_SO_MOI'!$C$31*J1677/E1677</f>
        <v>415.951458865386</v>
      </c>
      <c r="L1677" s="75">
        <f>K1677*'THAM_SO_MOI'!$C$51*'THAM_SO_MOI'!$C$17/'THAM_SO_MOI'!$C$26</f>
        <v>9300.346244545603</v>
      </c>
      <c r="M1677" s="75">
        <f>'THAM_SO_MOI'!$C$15*'THAM_SO_MOI'!$C$16*F1677^2</f>
        <v>122.56509411849636</v>
      </c>
      <c r="N1677" s="75">
        <f>'THAM_SO_MOI'!$C$12*I1677</f>
        <v>1130.112</v>
      </c>
      <c r="O1677" s="75">
        <f>M1677+N1677</f>
        <v>1252.6770941184964</v>
      </c>
      <c r="P1677" s="75">
        <f>(MIN(L1677,'THAM_SO_MOI'!$C$41)-O1677)/('THAM_SO_MOI'!$C$11*H1677)</f>
        <v>0.7620898816692335</v>
      </c>
      <c r="Q1677" s="75">
        <f>IF(P1677&gt;0,1/P1677,NA())</f>
        <v>1.3121811797443934</v>
      </c>
      <c r="R1677" s="75">
        <f>F1677-F1676</f>
        <v>0.005028991339518285</v>
      </c>
      <c r="S1677" s="75">
        <f>0.5*(Q1676+Q1677)*R1677</f>
        <v>0.006599477918026881</v>
      </c>
      <c r="T1677" s="75">
        <f>0.5*(F1676*Q1676+F1677*Q1677)*R1677</f>
        <v>0.042703286498968505</v>
      </c>
      <c r="U1677" s="76">
        <f>U1676+S1677</f>
        <v>7.9584633186162845</v>
      </c>
      <c r="V1677" s="76">
        <f>V1676+T1677</f>
        <v>33.49919406259654</v>
      </c>
    </row>
    <row r="1678" spans="1:22" ht="19" customHeight="1">
      <c r="A1678" s="68" t="s">
        <v>374</v>
      </c>
      <c r="B1678" s="74">
        <v>3</v>
      </c>
      <c r="C1678" s="68" t="s">
        <v>363</v>
      </c>
      <c r="D1678" s="68" t="s">
        <v>364</v>
      </c>
      <c r="E1678" s="75">
        <f>60*F1678*'THAM_SO_MOI'!$C$51/(2*PI()*'THAM_SO_MOI'!$C$26)</f>
        <v>1627.2963743588487</v>
      </c>
      <c r="F1678" s="75">
        <f>'HANH_TRINH'!$F$1647+('THAM_SO_MOI'!$F$51-'HANH_TRINH'!$F$1647)*30/'THAM_SO_MOI'!$C$42</f>
        <v>6.47825046753109</v>
      </c>
      <c r="G1678" s="75">
        <f>3.6*F1678</f>
        <v>23.321701683111925</v>
      </c>
      <c r="H1678" s="75">
        <f>'THAM_SO_MOI'!$D$51</f>
        <v>1.375</v>
      </c>
      <c r="I1678" s="75">
        <f>IF(F1678&gt;'THAM_SO_MOI'!$C$14,'THAM_SO_MOI'!$C$13*(1+F1678^2/1500),'THAM_SO_MOI'!$C$13)</f>
        <v>0.015</v>
      </c>
      <c r="J1678" s="75">
        <f>'THAM_SO_MOI'!$C$40*('THAM_SO_MOI'!$C$23*(E1678/'THAM_SO_MOI'!$C$22)+'THAM_SO_MOI'!$C$24*(E1678/'THAM_SO_MOI'!$C$22)^2-'THAM_SO_MOI'!$C$25*(E1678/'THAM_SO_MOI'!$C$22)^3)</f>
        <v>70.88022423742518</v>
      </c>
      <c r="K1678" s="75">
        <f>'THAM_SO_MOI'!$C$31*J1678/E1678</f>
        <v>416.0176383933276</v>
      </c>
      <c r="L1678" s="75">
        <f>K1678*'THAM_SO_MOI'!$C$51*'THAM_SO_MOI'!$C$17/'THAM_SO_MOI'!$C$26</f>
        <v>9301.825966544504</v>
      </c>
      <c r="M1678" s="75">
        <f>'THAM_SO_MOI'!$C$15*'THAM_SO_MOI'!$C$16*F1678^2</f>
        <v>122.75560767619537</v>
      </c>
      <c r="N1678" s="75">
        <f>'THAM_SO_MOI'!$C$12*I1678</f>
        <v>1130.112</v>
      </c>
      <c r="O1678" s="75">
        <f>M1678+N1678</f>
        <v>1252.8676076761953</v>
      </c>
      <c r="P1678" s="75">
        <f>(MIN(L1678,'THAM_SO_MOI'!$C$41)-O1678)/('THAM_SO_MOI'!$C$11*H1678)</f>
        <v>0.7622119658019231</v>
      </c>
      <c r="Q1678" s="75">
        <f>IF(P1678&gt;0,1/P1678,NA())</f>
        <v>1.311971006579384</v>
      </c>
      <c r="R1678" s="75">
        <f>F1678-F1677</f>
        <v>0.005028991339517397</v>
      </c>
      <c r="S1678" s="75">
        <f>0.5*(Q1677+Q1678)*R1678</f>
        <v>0.006598419309298959</v>
      </c>
      <c r="T1678" s="75">
        <f>0.5*(F1677*Q1677+F1678*Q1678)*R1678</f>
        <v>0.04272961994979223</v>
      </c>
      <c r="U1678" s="76">
        <f>U1677+S1678</f>
        <v>7.965061737925583</v>
      </c>
      <c r="V1678" s="76">
        <f>V1677+T1678</f>
        <v>33.541923682546326</v>
      </c>
    </row>
    <row r="1679" spans="1:22" ht="19" customHeight="1">
      <c r="A1679" s="68" t="s">
        <v>374</v>
      </c>
      <c r="B1679" s="74">
        <v>3</v>
      </c>
      <c r="C1679" s="68" t="s">
        <v>363</v>
      </c>
      <c r="D1679" s="68" t="s">
        <v>364</v>
      </c>
      <c r="E1679" s="75">
        <f>60*F1679*'THAM_SO_MOI'!$C$51/(2*PI()*'THAM_SO_MOI'!$C$26)</f>
        <v>1628.5596258207202</v>
      </c>
      <c r="F1679" s="75">
        <f>'HANH_TRINH'!$F$1647+('THAM_SO_MOI'!$F$51-'HANH_TRINH'!$F$1647)*31/'THAM_SO_MOI'!$C$42</f>
        <v>6.483279458870608</v>
      </c>
      <c r="G1679" s="75">
        <f>3.6*F1679</f>
        <v>23.33980605193419</v>
      </c>
      <c r="H1679" s="75">
        <f>'THAM_SO_MOI'!$D$51</f>
        <v>1.375</v>
      </c>
      <c r="I1679" s="75">
        <f>IF(F1679&gt;'THAM_SO_MOI'!$C$14,'THAM_SO_MOI'!$C$13*(1+F1679^2/1500),'THAM_SO_MOI'!$C$13)</f>
        <v>0.015</v>
      </c>
      <c r="J1679" s="75">
        <f>'THAM_SO_MOI'!$C$40*('THAM_SO_MOI'!$C$23*(E1679/'THAM_SO_MOI'!$C$22)+'THAM_SO_MOI'!$C$24*(E1679/'THAM_SO_MOI'!$C$22)^2-'THAM_SO_MOI'!$C$25*(E1679/'THAM_SO_MOI'!$C$22)^3)</f>
        <v>70.94650562661674</v>
      </c>
      <c r="K1679" s="75">
        <f>'THAM_SO_MOI'!$C$31*J1679/E1679</f>
        <v>416.0836631044391</v>
      </c>
      <c r="L1679" s="75">
        <f>K1679*'THAM_SO_MOI'!$C$51*'THAM_SO_MOI'!$C$17/'THAM_SO_MOI'!$C$26</f>
        <v>9303.302226961303</v>
      </c>
      <c r="M1679" s="75">
        <f>'THAM_SO_MOI'!$C$15*'THAM_SO_MOI'!$C$16*F1679^2</f>
        <v>122.94626918480468</v>
      </c>
      <c r="N1679" s="75">
        <f>'THAM_SO_MOI'!$C$12*I1679</f>
        <v>1130.112</v>
      </c>
      <c r="O1679" s="75">
        <f>M1679+N1679</f>
        <v>1253.0582691848047</v>
      </c>
      <c r="P1679" s="75">
        <f>(MIN(L1679,'THAM_SO_MOI'!$C$41)-O1679)/('THAM_SO_MOI'!$C$11*H1679)</f>
        <v>0.7623337081227746</v>
      </c>
      <c r="Q1679" s="75">
        <f>IF(P1679&gt;0,1/P1679,NA())</f>
        <v>1.3117614888924065</v>
      </c>
      <c r="R1679" s="75">
        <f>F1679-F1678</f>
        <v>0.005028991339517397</v>
      </c>
      <c r="S1679" s="75">
        <f>0.5*(Q1678+Q1679)*R1679</f>
        <v>0.006597363998469</v>
      </c>
      <c r="T1679" s="75">
        <f>0.5*(F1678*Q1678+F1679*Q1679)*R1679</f>
        <v>0.042755964126045494</v>
      </c>
      <c r="U1679" s="76">
        <f>U1678+S1679</f>
        <v>7.971659101924052</v>
      </c>
      <c r="V1679" s="76">
        <f>V1678+T1679</f>
        <v>33.58467964667237</v>
      </c>
    </row>
    <row r="1680" spans="1:22" ht="19" customHeight="1">
      <c r="A1680" s="68" t="s">
        <v>374</v>
      </c>
      <c r="B1680" s="74">
        <v>3</v>
      </c>
      <c r="C1680" s="68" t="s">
        <v>363</v>
      </c>
      <c r="D1680" s="68" t="s">
        <v>364</v>
      </c>
      <c r="E1680" s="75">
        <f>60*F1680*'THAM_SO_MOI'!$C$51/(2*PI()*'THAM_SO_MOI'!$C$26)</f>
        <v>1629.8228772825921</v>
      </c>
      <c r="F1680" s="75">
        <f>'HANH_TRINH'!$F$1647+('THAM_SO_MOI'!$F$51-'HANH_TRINH'!$F$1647)*32/'THAM_SO_MOI'!$C$42</f>
        <v>6.488308450210126</v>
      </c>
      <c r="G1680" s="75">
        <f>3.6*F1680</f>
        <v>23.357910420756454</v>
      </c>
      <c r="H1680" s="75">
        <f>'THAM_SO_MOI'!$D$51</f>
        <v>1.375</v>
      </c>
      <c r="I1680" s="75">
        <f>IF(F1680&gt;'THAM_SO_MOI'!$C$14,'THAM_SO_MOI'!$C$13*(1+F1680^2/1500),'THAM_SO_MOI'!$C$13)</f>
        <v>0.015</v>
      </c>
      <c r="J1680" s="75">
        <f>'THAM_SO_MOI'!$C$40*('THAM_SO_MOI'!$C$23*(E1680/'THAM_SO_MOI'!$C$22)+'THAM_SO_MOI'!$C$24*(E1680/'THAM_SO_MOI'!$C$22)^2-'THAM_SO_MOI'!$C$25*(E1680/'THAM_SO_MOI'!$C$22)^3)</f>
        <v>71.01277806266144</v>
      </c>
      <c r="K1680" s="75">
        <f>'THAM_SO_MOI'!$C$31*J1680/E1680</f>
        <v>416.14953299871996</v>
      </c>
      <c r="L1680" s="75">
        <f>K1680*'THAM_SO_MOI'!$C$51*'THAM_SO_MOI'!$C$17/'THAM_SO_MOI'!$C$26</f>
        <v>9304.77502579599</v>
      </c>
      <c r="M1680" s="75">
        <f>'THAM_SO_MOI'!$C$15*'THAM_SO_MOI'!$C$16*F1680^2</f>
        <v>123.13707864432428</v>
      </c>
      <c r="N1680" s="75">
        <f>'THAM_SO_MOI'!$C$12*I1680</f>
        <v>1130.112</v>
      </c>
      <c r="O1680" s="75">
        <f>M1680+N1680</f>
        <v>1253.2490786443243</v>
      </c>
      <c r="P1680" s="75">
        <f>(MIN(L1680,'THAM_SO_MOI'!$C$41)-O1680)/('THAM_SO_MOI'!$C$11*H1680)</f>
        <v>0.7624551086317866</v>
      </c>
      <c r="Q1680" s="75">
        <f>IF(P1680&gt;0,1/P1680,NA())</f>
        <v>1.311552626087697</v>
      </c>
      <c r="R1680" s="75">
        <f>F1680-F1679</f>
        <v>0.005028991339518285</v>
      </c>
      <c r="S1680" s="75">
        <f>0.5*(Q1679+Q1680)*R1680</f>
        <v>0.0065963119825355075</v>
      </c>
      <c r="T1680" s="75">
        <f>0.5*(F1679*Q1679+F1680*Q1680)*R1680</f>
        <v>0.04278231905801653</v>
      </c>
      <c r="U1680" s="76">
        <f>U1679+S1680</f>
        <v>7.978255413906588</v>
      </c>
      <c r="V1680" s="76">
        <f>V1679+T1680</f>
        <v>33.62746196573039</v>
      </c>
    </row>
    <row r="1681" spans="1:22" ht="19" customHeight="1">
      <c r="A1681" s="68" t="s">
        <v>374</v>
      </c>
      <c r="B1681" s="74">
        <v>3</v>
      </c>
      <c r="C1681" s="68" t="s">
        <v>363</v>
      </c>
      <c r="D1681" s="68" t="s">
        <v>364</v>
      </c>
      <c r="E1681" s="75">
        <f>60*F1681*'THAM_SO_MOI'!$C$51/(2*PI()*'THAM_SO_MOI'!$C$26)</f>
        <v>1631.0861287444636</v>
      </c>
      <c r="F1681" s="75">
        <f>'HANH_TRINH'!$F$1647+('THAM_SO_MOI'!$F$51-'HANH_TRINH'!$F$1647)*33/'THAM_SO_MOI'!$C$42</f>
        <v>6.493337441549643</v>
      </c>
      <c r="G1681" s="75">
        <f>3.6*F1681</f>
        <v>23.37601478957872</v>
      </c>
      <c r="H1681" s="75">
        <f>'THAM_SO_MOI'!$D$51</f>
        <v>1.375</v>
      </c>
      <c r="I1681" s="75">
        <f>IF(F1681&gt;'THAM_SO_MOI'!$C$14,'THAM_SO_MOI'!$C$13*(1+F1681^2/1500),'THAM_SO_MOI'!$C$13)</f>
        <v>0.015</v>
      </c>
      <c r="J1681" s="75">
        <f>'THAM_SO_MOI'!$C$40*('THAM_SO_MOI'!$C$23*(E1681/'THAM_SO_MOI'!$C$22)+'THAM_SO_MOI'!$C$24*(E1681/'THAM_SO_MOI'!$C$22)^2-'THAM_SO_MOI'!$C$25*(E1681/'THAM_SO_MOI'!$C$22)^3)</f>
        <v>71.0790414841299</v>
      </c>
      <c r="K1681" s="75">
        <f>'THAM_SO_MOI'!$C$31*J1681/E1681</f>
        <v>416.2152480761703</v>
      </c>
      <c r="L1681" s="75">
        <f>K1681*'THAM_SO_MOI'!$C$51*'THAM_SO_MOI'!$C$17/'THAM_SO_MOI'!$C$26</f>
        <v>9306.244363048569</v>
      </c>
      <c r="M1681" s="75">
        <f>'THAM_SO_MOI'!$C$15*'THAM_SO_MOI'!$C$16*F1681^2</f>
        <v>123.32803605475414</v>
      </c>
      <c r="N1681" s="75">
        <f>'THAM_SO_MOI'!$C$12*I1681</f>
        <v>1130.112</v>
      </c>
      <c r="O1681" s="75">
        <f>M1681+N1681</f>
        <v>1253.4400360547543</v>
      </c>
      <c r="P1681" s="75">
        <f>(MIN(L1681,'THAM_SO_MOI'!$C$41)-O1681)/('THAM_SO_MOI'!$C$11*H1681)</f>
        <v>0.7625761673289597</v>
      </c>
      <c r="Q1681" s="75">
        <f>IF(P1681&gt;0,1/P1681,NA())</f>
        <v>1.3113444175716293</v>
      </c>
      <c r="R1681" s="75">
        <f>F1681-F1680</f>
        <v>0.005028991339517397</v>
      </c>
      <c r="S1681" s="75">
        <f>0.5*(Q1680+Q1681)*R1681</f>
        <v>0.006595263258504268</v>
      </c>
      <c r="T1681" s="75">
        <f>0.5*(F1680*Q1680+F1681*Q1681)*R1681</f>
        <v>0.04280868477598046</v>
      </c>
      <c r="U1681" s="76">
        <f>U1680+S1681</f>
        <v>7.984850677165093</v>
      </c>
      <c r="V1681" s="76">
        <f>V1680+T1681</f>
        <v>33.67027065050637</v>
      </c>
    </row>
    <row r="1682" spans="1:22" ht="19" customHeight="1">
      <c r="A1682" s="68" t="s">
        <v>374</v>
      </c>
      <c r="B1682" s="74">
        <v>3</v>
      </c>
      <c r="C1682" s="68" t="s">
        <v>363</v>
      </c>
      <c r="D1682" s="68" t="s">
        <v>364</v>
      </c>
      <c r="E1682" s="75">
        <f>60*F1682*'THAM_SO_MOI'!$C$51/(2*PI()*'THAM_SO_MOI'!$C$26)</f>
        <v>1632.3493802063351</v>
      </c>
      <c r="F1682" s="75">
        <f>'HANH_TRINH'!$F$1647+('THAM_SO_MOI'!$F$51-'HANH_TRINH'!$F$1647)*34/'THAM_SO_MOI'!$C$42</f>
        <v>6.498366432889161</v>
      </c>
      <c r="G1682" s="75">
        <f>3.6*F1682</f>
        <v>23.39411915840098</v>
      </c>
      <c r="H1682" s="75">
        <f>'THAM_SO_MOI'!$D$51</f>
        <v>1.375</v>
      </c>
      <c r="I1682" s="75">
        <f>IF(F1682&gt;'THAM_SO_MOI'!$C$14,'THAM_SO_MOI'!$C$13*(1+F1682^2/1500),'THAM_SO_MOI'!$C$13)</f>
        <v>0.015</v>
      </c>
      <c r="J1682" s="75">
        <f>'THAM_SO_MOI'!$C$40*('THAM_SO_MOI'!$C$23*(E1682/'THAM_SO_MOI'!$C$22)+'THAM_SO_MOI'!$C$24*(E1682/'THAM_SO_MOI'!$C$22)^2-'THAM_SO_MOI'!$C$25*(E1682/'THAM_SO_MOI'!$C$22)^3)</f>
        <v>71.14529582959277</v>
      </c>
      <c r="K1682" s="75">
        <f>'THAM_SO_MOI'!$C$31*J1682/E1682</f>
        <v>416.28080833678996</v>
      </c>
      <c r="L1682" s="75">
        <f>K1682*'THAM_SO_MOI'!$C$51*'THAM_SO_MOI'!$C$17/'THAM_SO_MOI'!$C$26</f>
        <v>9307.710238719035</v>
      </c>
      <c r="M1682" s="75">
        <f>'THAM_SO_MOI'!$C$15*'THAM_SO_MOI'!$C$16*F1682^2</f>
        <v>123.51914141609424</v>
      </c>
      <c r="N1682" s="75">
        <f>'THAM_SO_MOI'!$C$12*I1682</f>
        <v>1130.112</v>
      </c>
      <c r="O1682" s="75">
        <f>M1682+N1682</f>
        <v>1253.6311414160944</v>
      </c>
      <c r="P1682" s="75">
        <f>(MIN(L1682,'THAM_SO_MOI'!$C$41)-O1682)/('THAM_SO_MOI'!$C$11*H1682)</f>
        <v>0.7626968842142936</v>
      </c>
      <c r="Q1682" s="75">
        <f>IF(P1682&gt;0,1/P1682,NA())</f>
        <v>1.3111368627527156</v>
      </c>
      <c r="R1682" s="75">
        <f>F1682-F1681</f>
        <v>0.005028991339517397</v>
      </c>
      <c r="S1682" s="75">
        <f>0.5*(Q1681+Q1682)*R1682</f>
        <v>0.006594217823398812</v>
      </c>
      <c r="T1682" s="75">
        <f>0.5*(F1681*Q1681+F1682*Q1682)*R1682</f>
        <v>0.04283506131026743</v>
      </c>
      <c r="U1682" s="76">
        <f>U1681+S1682</f>
        <v>7.991444894988492</v>
      </c>
      <c r="V1682" s="76">
        <f>V1681+T1682</f>
        <v>33.71310571181664</v>
      </c>
    </row>
    <row r="1683" spans="1:22" ht="19" customHeight="1">
      <c r="A1683" s="68" t="s">
        <v>374</v>
      </c>
      <c r="B1683" s="74">
        <v>3</v>
      </c>
      <c r="C1683" s="68" t="s">
        <v>363</v>
      </c>
      <c r="D1683" s="68" t="s">
        <v>364</v>
      </c>
      <c r="E1683" s="75">
        <f>60*F1683*'THAM_SO_MOI'!$C$51/(2*PI()*'THAM_SO_MOI'!$C$26)</f>
        <v>1633.6126316682069</v>
      </c>
      <c r="F1683" s="75">
        <f>'HANH_TRINH'!$F$1647+('THAM_SO_MOI'!$F$51-'HANH_TRINH'!$F$1647)*35/'THAM_SO_MOI'!$C$42</f>
        <v>6.503395424228679</v>
      </c>
      <c r="G1683" s="75">
        <f>3.6*F1683</f>
        <v>23.412223527223244</v>
      </c>
      <c r="H1683" s="75">
        <f>'THAM_SO_MOI'!$D$51</f>
        <v>1.375</v>
      </c>
      <c r="I1683" s="75">
        <f>IF(F1683&gt;'THAM_SO_MOI'!$C$14,'THAM_SO_MOI'!$C$13*(1+F1683^2/1500),'THAM_SO_MOI'!$C$13)</f>
        <v>0.015</v>
      </c>
      <c r="J1683" s="75">
        <f>'THAM_SO_MOI'!$C$40*('THAM_SO_MOI'!$C$23*(E1683/'THAM_SO_MOI'!$C$22)+'THAM_SO_MOI'!$C$24*(E1683/'THAM_SO_MOI'!$C$22)^2-'THAM_SO_MOI'!$C$25*(E1683/'THAM_SO_MOI'!$C$22)^3)</f>
        <v>71.21154103762076</v>
      </c>
      <c r="K1683" s="75">
        <f>'THAM_SO_MOI'!$C$31*J1683/E1683</f>
        <v>416.3462137805793</v>
      </c>
      <c r="L1683" s="75">
        <f>K1683*'THAM_SO_MOI'!$C$51*'THAM_SO_MOI'!$C$17/'THAM_SO_MOI'!$C$26</f>
        <v>9309.172652807396</v>
      </c>
      <c r="M1683" s="75">
        <f>'THAM_SO_MOI'!$C$15*'THAM_SO_MOI'!$C$16*F1683^2</f>
        <v>123.7103947283447</v>
      </c>
      <c r="N1683" s="75">
        <f>'THAM_SO_MOI'!$C$12*I1683</f>
        <v>1130.112</v>
      </c>
      <c r="O1683" s="75">
        <f>M1683+N1683</f>
        <v>1253.8223947283448</v>
      </c>
      <c r="P1683" s="75">
        <f>(MIN(L1683,'THAM_SO_MOI'!$C$41)-O1683)/('THAM_SO_MOI'!$C$11*H1683)</f>
        <v>0.7628172592877889</v>
      </c>
      <c r="Q1683" s="75">
        <f>IF(P1683&gt;0,1/P1683,NA())</f>
        <v>1.3109299610415985</v>
      </c>
      <c r="R1683" s="75">
        <f>F1683-F1682</f>
        <v>0.005028991339518285</v>
      </c>
      <c r="S1683" s="75">
        <f>0.5*(Q1682+Q1683)*R1683</f>
        <v>0.006593175674249911</v>
      </c>
      <c r="T1683" s="75">
        <f>0.5*(F1682*Q1682+F1683*Q1683)*R1683</f>
        <v>0.042861448691194785</v>
      </c>
      <c r="U1683" s="76">
        <f>U1682+S1683</f>
        <v>7.998038070662742</v>
      </c>
      <c r="V1683" s="76">
        <f>V1682+T1683</f>
        <v>33.755967160507836</v>
      </c>
    </row>
    <row r="1684" spans="1:22" ht="19" customHeight="1">
      <c r="A1684" s="68" t="s">
        <v>374</v>
      </c>
      <c r="B1684" s="74">
        <v>3</v>
      </c>
      <c r="C1684" s="68" t="s">
        <v>363</v>
      </c>
      <c r="D1684" s="68" t="s">
        <v>364</v>
      </c>
      <c r="E1684" s="75">
        <f>60*F1684*'THAM_SO_MOI'!$C$51/(2*PI()*'THAM_SO_MOI'!$C$26)</f>
        <v>1634.8758831300784</v>
      </c>
      <c r="F1684" s="75">
        <f>'HANH_TRINH'!$F$1647+('THAM_SO_MOI'!$F$51-'HANH_TRINH'!$F$1647)*36/'THAM_SO_MOI'!$C$42</f>
        <v>6.5084244155681965</v>
      </c>
      <c r="G1684" s="75">
        <f>3.6*F1684</f>
        <v>23.430327896045508</v>
      </c>
      <c r="H1684" s="75">
        <f>'THAM_SO_MOI'!$D$51</f>
        <v>1.375</v>
      </c>
      <c r="I1684" s="75">
        <f>IF(F1684&gt;'THAM_SO_MOI'!$C$14,'THAM_SO_MOI'!$C$13*(1+F1684^2/1500),'THAM_SO_MOI'!$C$13)</f>
        <v>0.015</v>
      </c>
      <c r="J1684" s="75">
        <f>'THAM_SO_MOI'!$C$40*('THAM_SO_MOI'!$C$23*(E1684/'THAM_SO_MOI'!$C$22)+'THAM_SO_MOI'!$C$24*(E1684/'THAM_SO_MOI'!$C$22)^2-'THAM_SO_MOI'!$C$25*(E1684/'THAM_SO_MOI'!$C$22)^3)</f>
        <v>71.27777704678451</v>
      </c>
      <c r="K1684" s="75">
        <f>'THAM_SO_MOI'!$C$31*J1684/E1684</f>
        <v>416.4114644075383</v>
      </c>
      <c r="L1684" s="75">
        <f>K1684*'THAM_SO_MOI'!$C$51*'THAM_SO_MOI'!$C$17/'THAM_SO_MOI'!$C$26</f>
        <v>9310.631605313652</v>
      </c>
      <c r="M1684" s="75">
        <f>'THAM_SO_MOI'!$C$15*'THAM_SO_MOI'!$C$16*F1684^2</f>
        <v>123.90179599150535</v>
      </c>
      <c r="N1684" s="75">
        <f>'THAM_SO_MOI'!$C$12*I1684</f>
        <v>1130.112</v>
      </c>
      <c r="O1684" s="75">
        <f>M1684+N1684</f>
        <v>1254.0137959915055</v>
      </c>
      <c r="P1684" s="75">
        <f>(MIN(L1684,'THAM_SO_MOI'!$C$41)-O1684)/('THAM_SO_MOI'!$C$11*H1684)</f>
        <v>0.7629372925494458</v>
      </c>
      <c r="Q1684" s="75">
        <f>IF(P1684&gt;0,1/P1684,NA())</f>
        <v>1.31072371185105</v>
      </c>
      <c r="R1684" s="75">
        <f>F1684-F1683</f>
        <v>0.005028991339517397</v>
      </c>
      <c r="S1684" s="75">
        <f>0.5*(Q1683+Q1684)*R1684</f>
        <v>0.006592136808095552</v>
      </c>
      <c r="T1684" s="75">
        <f>0.5*(F1683*Q1683+F1684*Q1684)*R1684</f>
        <v>0.042887846949067096</v>
      </c>
      <c r="U1684" s="76">
        <f>U1683+S1684</f>
        <v>8.004630207470838</v>
      </c>
      <c r="V1684" s="76">
        <f>V1683+T1684</f>
        <v>33.7988550074569</v>
      </c>
    </row>
    <row r="1685" spans="1:22" ht="19" customHeight="1">
      <c r="A1685" s="68" t="s">
        <v>374</v>
      </c>
      <c r="B1685" s="74">
        <v>3</v>
      </c>
      <c r="C1685" s="68" t="s">
        <v>363</v>
      </c>
      <c r="D1685" s="68" t="s">
        <v>364</v>
      </c>
      <c r="E1685" s="75">
        <f>60*F1685*'THAM_SO_MOI'!$C$51/(2*PI()*'THAM_SO_MOI'!$C$26)</f>
        <v>1636.13913459195</v>
      </c>
      <c r="F1685" s="75">
        <f>'HANH_TRINH'!$F$1647+('THAM_SO_MOI'!$F$51-'HANH_TRINH'!$F$1647)*37/'THAM_SO_MOI'!$C$42</f>
        <v>6.513453406907714</v>
      </c>
      <c r="G1685" s="75">
        <f>3.6*F1685</f>
        <v>23.44843226486777</v>
      </c>
      <c r="H1685" s="75">
        <f>'THAM_SO_MOI'!$D$51</f>
        <v>1.375</v>
      </c>
      <c r="I1685" s="75">
        <f>IF(F1685&gt;'THAM_SO_MOI'!$C$14,'THAM_SO_MOI'!$C$13*(1+F1685^2/1500),'THAM_SO_MOI'!$C$13)</f>
        <v>0.015</v>
      </c>
      <c r="J1685" s="75">
        <f>'THAM_SO_MOI'!$C$40*('THAM_SO_MOI'!$C$23*(E1685/'THAM_SO_MOI'!$C$22)+'THAM_SO_MOI'!$C$24*(E1685/'THAM_SO_MOI'!$C$22)^2-'THAM_SO_MOI'!$C$25*(E1685/'THAM_SO_MOI'!$C$22)^3)</f>
        <v>71.34400379565459</v>
      </c>
      <c r="K1685" s="75">
        <f>'THAM_SO_MOI'!$C$31*J1685/E1685</f>
        <v>416.47656021766636</v>
      </c>
      <c r="L1685" s="75">
        <f>K1685*'THAM_SO_MOI'!$C$51*'THAM_SO_MOI'!$C$17/'THAM_SO_MOI'!$C$26</f>
        <v>9312.087096237789</v>
      </c>
      <c r="M1685" s="75">
        <f>'THAM_SO_MOI'!$C$15*'THAM_SO_MOI'!$C$16*F1685^2</f>
        <v>124.0933452055763</v>
      </c>
      <c r="N1685" s="75">
        <f>'THAM_SO_MOI'!$C$12*I1685</f>
        <v>1130.112</v>
      </c>
      <c r="O1685" s="75">
        <f>M1685+N1685</f>
        <v>1254.2053452055764</v>
      </c>
      <c r="P1685" s="75">
        <f>(MIN(L1685,'THAM_SO_MOI'!$C$41)-O1685)/('THAM_SO_MOI'!$C$11*H1685)</f>
        <v>0.7630569839992626</v>
      </c>
      <c r="Q1685" s="75">
        <f>IF(P1685&gt;0,1/P1685,NA())</f>
        <v>1.3105181145959688</v>
      </c>
      <c r="R1685" s="75">
        <f>F1685-F1684</f>
        <v>0.005028991339517397</v>
      </c>
      <c r="S1685" s="75">
        <f>0.5*(Q1684+Q1685)*R1685</f>
        <v>0.006591101221991411</v>
      </c>
      <c r="T1685" s="75">
        <f>0.5*(F1684*Q1684+F1685*Q1685)*R1685</f>
        <v>0.042914256114244514</v>
      </c>
      <c r="U1685" s="76">
        <f>U1684+S1685</f>
        <v>8.011221308692829</v>
      </c>
      <c r="V1685" s="76">
        <f>V1684+T1685</f>
        <v>33.841769263571145</v>
      </c>
    </row>
    <row r="1686" spans="1:22" ht="19" customHeight="1">
      <c r="A1686" s="68" t="s">
        <v>374</v>
      </c>
      <c r="B1686" s="74">
        <v>3</v>
      </c>
      <c r="C1686" s="68" t="s">
        <v>363</v>
      </c>
      <c r="D1686" s="68" t="s">
        <v>364</v>
      </c>
      <c r="E1686" s="75">
        <f>60*F1686*'THAM_SO_MOI'!$C$51/(2*PI()*'THAM_SO_MOI'!$C$26)</f>
        <v>1637.4023860538218</v>
      </c>
      <c r="F1686" s="75">
        <f>'HANH_TRINH'!$F$1647+('THAM_SO_MOI'!$F$51-'HANH_TRINH'!$F$1647)*38/'THAM_SO_MOI'!$C$42</f>
        <v>6.518482398247232</v>
      </c>
      <c r="G1686" s="75">
        <f>3.6*F1686</f>
        <v>23.466536633690037</v>
      </c>
      <c r="H1686" s="75">
        <f>'THAM_SO_MOI'!$D$51</f>
        <v>1.375</v>
      </c>
      <c r="I1686" s="75">
        <f>IF(F1686&gt;'THAM_SO_MOI'!$C$14,'THAM_SO_MOI'!$C$13*(1+F1686^2/1500),'THAM_SO_MOI'!$C$13)</f>
        <v>0.015</v>
      </c>
      <c r="J1686" s="75">
        <f>'THAM_SO_MOI'!$C$40*('THAM_SO_MOI'!$C$23*(E1686/'THAM_SO_MOI'!$C$22)+'THAM_SO_MOI'!$C$24*(E1686/'THAM_SO_MOI'!$C$22)^2-'THAM_SO_MOI'!$C$25*(E1686/'THAM_SO_MOI'!$C$22)^3)</f>
        <v>71.41022122280175</v>
      </c>
      <c r="K1686" s="75">
        <f>'THAM_SO_MOI'!$C$31*J1686/E1686</f>
        <v>416.54150121096427</v>
      </c>
      <c r="L1686" s="75">
        <f>K1686*'THAM_SO_MOI'!$C$51*'THAM_SO_MOI'!$C$17/'THAM_SO_MOI'!$C$26</f>
        <v>9313.539125579826</v>
      </c>
      <c r="M1686" s="75">
        <f>'THAM_SO_MOI'!$C$15*'THAM_SO_MOI'!$C$16*F1686^2</f>
        <v>124.28504237055755</v>
      </c>
      <c r="N1686" s="75">
        <f>'THAM_SO_MOI'!$C$12*I1686</f>
        <v>1130.112</v>
      </c>
      <c r="O1686" s="75">
        <f>M1686+N1686</f>
        <v>1254.3970423705575</v>
      </c>
      <c r="P1686" s="75">
        <f>(MIN(L1686,'THAM_SO_MOI'!$C$41)-O1686)/('THAM_SO_MOI'!$C$11*H1686)</f>
        <v>0.7631763336372414</v>
      </c>
      <c r="Q1686" s="75">
        <f>IF(P1686&gt;0,1/P1686,NA())</f>
        <v>1.3103131686933671</v>
      </c>
      <c r="R1686" s="75">
        <f>F1686-F1685</f>
        <v>0.005028991339518285</v>
      </c>
      <c r="S1686" s="75">
        <f>0.5*(Q1685+Q1686)*R1686</f>
        <v>0.006590068913000332</v>
      </c>
      <c r="T1686" s="75">
        <f>0.5*(F1685*Q1685+F1686*Q1686)*R1686</f>
        <v>0.04294067621707468</v>
      </c>
      <c r="U1686" s="76">
        <f>U1685+S1686</f>
        <v>8.01781137760583</v>
      </c>
      <c r="V1686" s="76">
        <f>V1685+T1686</f>
        <v>33.884709939788216</v>
      </c>
    </row>
    <row r="1687" spans="1:22" ht="19" customHeight="1">
      <c r="A1687" s="68" t="s">
        <v>374</v>
      </c>
      <c r="B1687" s="74">
        <v>3</v>
      </c>
      <c r="C1687" s="68" t="s">
        <v>363</v>
      </c>
      <c r="D1687" s="68" t="s">
        <v>364</v>
      </c>
      <c r="E1687" s="75">
        <f>60*F1687*'THAM_SO_MOI'!$C$51/(2*PI()*'THAM_SO_MOI'!$C$26)</f>
        <v>1638.6656375156936</v>
      </c>
      <c r="F1687" s="75">
        <f>'HANH_TRINH'!$F$1647+('THAM_SO_MOI'!$F$51-'HANH_TRINH'!$F$1647)*39/'THAM_SO_MOI'!$C$42</f>
        <v>6.52351138958675</v>
      </c>
      <c r="G1687" s="75">
        <f>3.6*F1687</f>
        <v>23.484641002512298</v>
      </c>
      <c r="H1687" s="75">
        <f>'THAM_SO_MOI'!$D$51</f>
        <v>1.375</v>
      </c>
      <c r="I1687" s="75">
        <f>IF(F1687&gt;'THAM_SO_MOI'!$C$14,'THAM_SO_MOI'!$C$13*(1+F1687^2/1500),'THAM_SO_MOI'!$C$13)</f>
        <v>0.015</v>
      </c>
      <c r="J1687" s="75">
        <f>'THAM_SO_MOI'!$C$40*('THAM_SO_MOI'!$C$23*(E1687/'THAM_SO_MOI'!$C$22)+'THAM_SO_MOI'!$C$24*(E1687/'THAM_SO_MOI'!$C$22)^2-'THAM_SO_MOI'!$C$25*(E1687/'THAM_SO_MOI'!$C$22)^3)</f>
        <v>71.47642926679661</v>
      </c>
      <c r="K1687" s="75">
        <f>'THAM_SO_MOI'!$C$31*J1687/E1687</f>
        <v>416.6062873874316</v>
      </c>
      <c r="L1687" s="75">
        <f>K1687*'THAM_SO_MOI'!$C$51*'THAM_SO_MOI'!$C$17/'THAM_SO_MOI'!$C$26</f>
        <v>9314.98769333975</v>
      </c>
      <c r="M1687" s="75">
        <f>'THAM_SO_MOI'!$C$15*'THAM_SO_MOI'!$C$16*F1687^2</f>
        <v>124.47688748644904</v>
      </c>
      <c r="N1687" s="75">
        <f>'THAM_SO_MOI'!$C$12*I1687</f>
        <v>1130.112</v>
      </c>
      <c r="O1687" s="75">
        <f>M1687+N1687</f>
        <v>1254.588887486449</v>
      </c>
      <c r="P1687" s="75">
        <f>(MIN(L1687,'THAM_SO_MOI'!$C$41)-O1687)/('THAM_SO_MOI'!$C$11*H1687)</f>
        <v>0.7632953414633807</v>
      </c>
      <c r="Q1687" s="75">
        <f>IF(P1687&gt;0,1/P1687,NA())</f>
        <v>1.3101088735623774</v>
      </c>
      <c r="R1687" s="75">
        <f>F1687-F1686</f>
        <v>0.005028991339517397</v>
      </c>
      <c r="S1687" s="75">
        <f>0.5*(Q1686+Q1687)*R1687</f>
        <v>0.006589039878192314</v>
      </c>
      <c r="T1687" s="75">
        <f>0.5*(F1686*Q1686+F1687*Q1687)*R1687</f>
        <v>0.042967107287892804</v>
      </c>
      <c r="U1687" s="76">
        <f>U1686+S1687</f>
        <v>8.024400417484022</v>
      </c>
      <c r="V1687" s="76">
        <f>V1686+T1687</f>
        <v>33.92767704707611</v>
      </c>
    </row>
    <row r="1688" spans="1:22" ht="19" customHeight="1">
      <c r="A1688" s="68" t="s">
        <v>374</v>
      </c>
      <c r="B1688" s="74">
        <v>3</v>
      </c>
      <c r="C1688" s="68" t="s">
        <v>363</v>
      </c>
      <c r="D1688" s="68" t="s">
        <v>364</v>
      </c>
      <c r="E1688" s="75">
        <f>60*F1688*'THAM_SO_MOI'!$C$51/(2*PI()*'THAM_SO_MOI'!$C$26)</f>
        <v>1639.9288889775648</v>
      </c>
      <c r="F1688" s="75">
        <f>'HANH_TRINH'!$F$1647+('THAM_SO_MOI'!$F$51-'HANH_TRINH'!$F$1647)*40/'THAM_SO_MOI'!$C$42</f>
        <v>6.528540380926267</v>
      </c>
      <c r="G1688" s="75">
        <f>3.6*F1688</f>
        <v>23.502745371334562</v>
      </c>
      <c r="H1688" s="75">
        <f>'THAM_SO_MOI'!$D$51</f>
        <v>1.375</v>
      </c>
      <c r="I1688" s="75">
        <f>IF(F1688&gt;'THAM_SO_MOI'!$C$14,'THAM_SO_MOI'!$C$13*(1+F1688^2/1500),'THAM_SO_MOI'!$C$13)</f>
        <v>0.015</v>
      </c>
      <c r="J1688" s="75">
        <f>'THAM_SO_MOI'!$C$40*('THAM_SO_MOI'!$C$23*(E1688/'THAM_SO_MOI'!$C$22)+'THAM_SO_MOI'!$C$24*(E1688/'THAM_SO_MOI'!$C$22)^2-'THAM_SO_MOI'!$C$25*(E1688/'THAM_SO_MOI'!$C$22)^3)</f>
        <v>71.54262786620976</v>
      </c>
      <c r="K1688" s="75">
        <f>'THAM_SO_MOI'!$C$31*J1688/E1688</f>
        <v>416.67091874706836</v>
      </c>
      <c r="L1688" s="75">
        <f>K1688*'THAM_SO_MOI'!$C$51*'THAM_SO_MOI'!$C$17/'THAM_SO_MOI'!$C$26</f>
        <v>9316.432799517564</v>
      </c>
      <c r="M1688" s="75">
        <f>'THAM_SO_MOI'!$C$15*'THAM_SO_MOI'!$C$16*F1688^2</f>
        <v>124.6688805532508</v>
      </c>
      <c r="N1688" s="75">
        <f>'THAM_SO_MOI'!$C$12*I1688</f>
        <v>1130.112</v>
      </c>
      <c r="O1688" s="75">
        <f>M1688+N1688</f>
        <v>1254.7808805532509</v>
      </c>
      <c r="P1688" s="75">
        <f>(MIN(L1688,'THAM_SO_MOI'!$C$41)-O1688)/('THAM_SO_MOI'!$C$11*H1688)</f>
        <v>0.7634140074776813</v>
      </c>
      <c r="Q1688" s="75">
        <f>IF(P1688&gt;0,1/P1688,NA())</f>
        <v>1.3099052286242407</v>
      </c>
      <c r="R1688" s="75">
        <f>F1688-F1687</f>
        <v>0.005028991339517397</v>
      </c>
      <c r="S1688" s="75">
        <f>0.5*(Q1687+Q1688)*R1688</f>
        <v>0.006588014114654975</v>
      </c>
      <c r="T1688" s="75">
        <f>0.5*(F1687*Q1687+F1688*Q1688)*R1688</f>
        <v>0.042993549357090106</v>
      </c>
      <c r="U1688" s="76">
        <f>U1687+S1688</f>
        <v>8.030988431598677</v>
      </c>
      <c r="V1688" s="76">
        <f>V1687+T1688</f>
        <v>33.9706705964332</v>
      </c>
    </row>
    <row r="1689" spans="1:22" ht="19" customHeight="1">
      <c r="A1689" s="68" t="s">
        <v>374</v>
      </c>
      <c r="B1689" s="74">
        <v>3</v>
      </c>
      <c r="C1689" s="68" t="s">
        <v>363</v>
      </c>
      <c r="D1689" s="68" t="s">
        <v>364</v>
      </c>
      <c r="E1689" s="75">
        <f>60*F1689*'THAM_SO_MOI'!$C$51/(2*PI()*'THAM_SO_MOI'!$C$26)</f>
        <v>1641.1921404394366</v>
      </c>
      <c r="F1689" s="75">
        <f>'HANH_TRINH'!$F$1647+('THAM_SO_MOI'!$F$51-'HANH_TRINH'!$F$1647)*41/'THAM_SO_MOI'!$C$42</f>
        <v>6.533569372265785</v>
      </c>
      <c r="G1689" s="75">
        <f>3.6*F1689</f>
        <v>23.520849740156827</v>
      </c>
      <c r="H1689" s="75">
        <f>'THAM_SO_MOI'!$D$51</f>
        <v>1.375</v>
      </c>
      <c r="I1689" s="75">
        <f>IF(F1689&gt;'THAM_SO_MOI'!$C$14,'THAM_SO_MOI'!$C$13*(1+F1689^2/1500),'THAM_SO_MOI'!$C$13)</f>
        <v>0.015</v>
      </c>
      <c r="J1689" s="75">
        <f>'THAM_SO_MOI'!$C$40*('THAM_SO_MOI'!$C$23*(E1689/'THAM_SO_MOI'!$C$22)+'THAM_SO_MOI'!$C$24*(E1689/'THAM_SO_MOI'!$C$22)^2-'THAM_SO_MOI'!$C$25*(E1689/'THAM_SO_MOI'!$C$22)^3)</f>
        <v>71.60881695961191</v>
      </c>
      <c r="K1689" s="75">
        <f>'THAM_SO_MOI'!$C$31*J1689/E1689</f>
        <v>416.7353952898746</v>
      </c>
      <c r="L1689" s="75">
        <f>K1689*'THAM_SO_MOI'!$C$51*'THAM_SO_MOI'!$C$17/'THAM_SO_MOI'!$C$26</f>
        <v>9317.874444113271</v>
      </c>
      <c r="M1689" s="75">
        <f>'THAM_SO_MOI'!$C$15*'THAM_SO_MOI'!$C$16*F1689^2</f>
        <v>124.86102157096289</v>
      </c>
      <c r="N1689" s="75">
        <f>'THAM_SO_MOI'!$C$12*I1689</f>
        <v>1130.112</v>
      </c>
      <c r="O1689" s="75">
        <f>M1689+N1689</f>
        <v>1254.973021570963</v>
      </c>
      <c r="P1689" s="75">
        <f>(MIN(L1689,'THAM_SO_MOI'!$C$41)-O1689)/('THAM_SO_MOI'!$C$11*H1689)</f>
        <v>0.7635323316801428</v>
      </c>
      <c r="Q1689" s="75">
        <f>IF(P1689&gt;0,1/P1689,NA())</f>
        <v>1.3097022333023058</v>
      </c>
      <c r="R1689" s="75">
        <f>F1689-F1688</f>
        <v>0.005028991339518285</v>
      </c>
      <c r="S1689" s="75">
        <f>0.5*(Q1688+Q1689)*R1689</f>
        <v>0.006586991619483039</v>
      </c>
      <c r="T1689" s="75">
        <f>0.5*(F1688*Q1688+F1689*Q1689)*R1689</f>
        <v>0.043020002455045676</v>
      </c>
      <c r="U1689" s="76">
        <f>U1688+S1689</f>
        <v>8.037575423218161</v>
      </c>
      <c r="V1689" s="76">
        <f>V1688+T1689</f>
        <v>34.013690598888246</v>
      </c>
    </row>
    <row r="1690" spans="1:22" ht="19" customHeight="1">
      <c r="A1690" s="68" t="s">
        <v>374</v>
      </c>
      <c r="B1690" s="74">
        <v>3</v>
      </c>
      <c r="C1690" s="68" t="s">
        <v>363</v>
      </c>
      <c r="D1690" s="68" t="s">
        <v>364</v>
      </c>
      <c r="E1690" s="75">
        <f>60*F1690*'THAM_SO_MOI'!$C$51/(2*PI()*'THAM_SO_MOI'!$C$26)</f>
        <v>1642.4553919013083</v>
      </c>
      <c r="F1690" s="75">
        <f>'HANH_TRINH'!$F$1647+('THAM_SO_MOI'!$F$51-'HANH_TRINH'!$F$1647)*42/'THAM_SO_MOI'!$C$42</f>
        <v>6.538598363605303</v>
      </c>
      <c r="G1690" s="75">
        <f>3.6*F1690</f>
        <v>23.53895410897909</v>
      </c>
      <c r="H1690" s="75">
        <f>'THAM_SO_MOI'!$D$51</f>
        <v>1.375</v>
      </c>
      <c r="I1690" s="75">
        <f>IF(F1690&gt;'THAM_SO_MOI'!$C$14,'THAM_SO_MOI'!$C$13*(1+F1690^2/1500),'THAM_SO_MOI'!$C$13)</f>
        <v>0.015</v>
      </c>
      <c r="J1690" s="75">
        <f>'THAM_SO_MOI'!$C$40*('THAM_SO_MOI'!$C$23*(E1690/'THAM_SO_MOI'!$C$22)+'THAM_SO_MOI'!$C$24*(E1690/'THAM_SO_MOI'!$C$22)^2-'THAM_SO_MOI'!$C$25*(E1690/'THAM_SO_MOI'!$C$22)^3)</f>
        <v>71.6749964855737</v>
      </c>
      <c r="K1690" s="75">
        <f>'THAM_SO_MOI'!$C$31*J1690/E1690</f>
        <v>416.79971701585026</v>
      </c>
      <c r="L1690" s="75">
        <f>K1690*'THAM_SO_MOI'!$C$51*'THAM_SO_MOI'!$C$17/'THAM_SO_MOI'!$C$26</f>
        <v>9319.312627126868</v>
      </c>
      <c r="M1690" s="75">
        <f>'THAM_SO_MOI'!$C$15*'THAM_SO_MOI'!$C$16*F1690^2</f>
        <v>125.05331053958518</v>
      </c>
      <c r="N1690" s="75">
        <f>'THAM_SO_MOI'!$C$12*I1690</f>
        <v>1130.112</v>
      </c>
      <c r="O1690" s="75">
        <f>M1690+N1690</f>
        <v>1255.1653105395853</v>
      </c>
      <c r="P1690" s="75">
        <f>(MIN(L1690,'THAM_SO_MOI'!$C$41)-O1690)/('THAM_SO_MOI'!$C$11*H1690)</f>
        <v>0.7636503140707656</v>
      </c>
      <c r="Q1690" s="75">
        <f>IF(P1690&gt;0,1/P1690,NA())</f>
        <v>1.3094998870220231</v>
      </c>
      <c r="R1690" s="75">
        <f>F1690-F1689</f>
        <v>0.005028991339517397</v>
      </c>
      <c r="S1690" s="75">
        <f>0.5*(Q1689+Q1690)*R1690</f>
        <v>0.006585972389778326</v>
      </c>
      <c r="T1690" s="75">
        <f>0.5*(F1689*Q1689+F1690*Q1690)*R1690</f>
        <v>0.04304646661212653</v>
      </c>
      <c r="U1690" s="76">
        <f>U1689+S1690</f>
        <v>8.04416139560794</v>
      </c>
      <c r="V1690" s="76">
        <f>V1689+T1690</f>
        <v>34.05673706550037</v>
      </c>
    </row>
    <row r="1691" spans="1:22" ht="19" customHeight="1">
      <c r="A1691" s="68" t="s">
        <v>374</v>
      </c>
      <c r="B1691" s="74">
        <v>3</v>
      </c>
      <c r="C1691" s="68" t="s">
        <v>363</v>
      </c>
      <c r="D1691" s="68" t="s">
        <v>364</v>
      </c>
      <c r="E1691" s="75">
        <f>60*F1691*'THAM_SO_MOI'!$C$51/(2*PI()*'THAM_SO_MOI'!$C$26)</f>
        <v>1643.7186433631798</v>
      </c>
      <c r="F1691" s="75">
        <f>'HANH_TRINH'!$F$1647+('THAM_SO_MOI'!$F$51-'HANH_TRINH'!$F$1647)*43/'THAM_SO_MOI'!$C$42</f>
        <v>6.54362735494482</v>
      </c>
      <c r="G1691" s="75">
        <f>3.6*F1691</f>
        <v>23.557058477801352</v>
      </c>
      <c r="H1691" s="75">
        <f>'THAM_SO_MOI'!$D$51</f>
        <v>1.375</v>
      </c>
      <c r="I1691" s="75">
        <f>IF(F1691&gt;'THAM_SO_MOI'!$C$14,'THAM_SO_MOI'!$C$13*(1+F1691^2/1500),'THAM_SO_MOI'!$C$13)</f>
        <v>0.015</v>
      </c>
      <c r="J1691" s="75">
        <f>'THAM_SO_MOI'!$C$40*('THAM_SO_MOI'!$C$23*(E1691/'THAM_SO_MOI'!$C$22)+'THAM_SO_MOI'!$C$24*(E1691/'THAM_SO_MOI'!$C$22)^2-'THAM_SO_MOI'!$C$25*(E1691/'THAM_SO_MOI'!$C$22)^3)</f>
        <v>71.74116638266578</v>
      </c>
      <c r="K1691" s="75">
        <f>'THAM_SO_MOI'!$C$31*J1691/E1691</f>
        <v>416.8638839249956</v>
      </c>
      <c r="L1691" s="75">
        <f>K1691*'THAM_SO_MOI'!$C$51*'THAM_SO_MOI'!$C$17/'THAM_SO_MOI'!$C$26</f>
        <v>9320.747348558358</v>
      </c>
      <c r="M1691" s="75">
        <f>'THAM_SO_MOI'!$C$15*'THAM_SO_MOI'!$C$16*F1691^2</f>
        <v>125.24574745911778</v>
      </c>
      <c r="N1691" s="75">
        <f>'THAM_SO_MOI'!$C$12*I1691</f>
        <v>1130.112</v>
      </c>
      <c r="O1691" s="75">
        <f>M1691+N1691</f>
        <v>1255.357747459118</v>
      </c>
      <c r="P1691" s="75">
        <f>(MIN(L1691,'THAM_SO_MOI'!$C$41)-O1691)/('THAM_SO_MOI'!$C$11*H1691)</f>
        <v>0.7637679546495493</v>
      </c>
      <c r="Q1691" s="75">
        <f>IF(P1691&gt;0,1/P1691,NA())</f>
        <v>1.3092981892109423</v>
      </c>
      <c r="R1691" s="75">
        <f>F1691-F1690</f>
        <v>0.005028991339517397</v>
      </c>
      <c r="S1691" s="75">
        <f>0.5*(Q1690+Q1691)*R1691</f>
        <v>0.006584956422660202</v>
      </c>
      <c r="T1691" s="75">
        <f>0.5*(F1690*Q1690+F1691*Q1691)*R1691</f>
        <v>0.043072941858756125</v>
      </c>
      <c r="U1691" s="76">
        <f>U1690+S1691</f>
        <v>8.0507463520306</v>
      </c>
      <c r="V1691" s="76">
        <f>V1690+T1691</f>
        <v>34.099810007359125</v>
      </c>
    </row>
    <row r="1692" spans="1:22" ht="19" customHeight="1">
      <c r="A1692" s="68" t="s">
        <v>374</v>
      </c>
      <c r="B1692" s="74">
        <v>3</v>
      </c>
      <c r="C1692" s="68" t="s">
        <v>363</v>
      </c>
      <c r="D1692" s="68" t="s">
        <v>364</v>
      </c>
      <c r="E1692" s="75">
        <f>60*F1692*'THAM_SO_MOI'!$C$51/(2*PI()*'THAM_SO_MOI'!$C$26)</f>
        <v>1644.9818948250515</v>
      </c>
      <c r="F1692" s="75">
        <f>'HANH_TRINH'!$F$1647+('THAM_SO_MOI'!$F$51-'HANH_TRINH'!$F$1647)*44/'THAM_SO_MOI'!$C$42</f>
        <v>6.548656346284338</v>
      </c>
      <c r="G1692" s="75">
        <f>3.6*F1692</f>
        <v>23.57516284662362</v>
      </c>
      <c r="H1692" s="75">
        <f>'THAM_SO_MOI'!$D$51</f>
        <v>1.375</v>
      </c>
      <c r="I1692" s="75">
        <f>IF(F1692&gt;'THAM_SO_MOI'!$C$14,'THAM_SO_MOI'!$C$13*(1+F1692^2/1500),'THAM_SO_MOI'!$C$13)</f>
        <v>0.015</v>
      </c>
      <c r="J1692" s="75">
        <f>'THAM_SO_MOI'!$C$40*('THAM_SO_MOI'!$C$23*(E1692/'THAM_SO_MOI'!$C$22)+'THAM_SO_MOI'!$C$24*(E1692/'THAM_SO_MOI'!$C$22)^2-'THAM_SO_MOI'!$C$25*(E1692/'THAM_SO_MOI'!$C$22)^3)</f>
        <v>71.80732658945881</v>
      </c>
      <c r="K1692" s="75">
        <f>'THAM_SO_MOI'!$C$31*J1692/E1692</f>
        <v>416.92789601731033</v>
      </c>
      <c r="L1692" s="75">
        <f>K1692*'THAM_SO_MOI'!$C$51*'THAM_SO_MOI'!$C$17/'THAM_SO_MOI'!$C$26</f>
        <v>9322.178608407738</v>
      </c>
      <c r="M1692" s="75">
        <f>'THAM_SO_MOI'!$C$15*'THAM_SO_MOI'!$C$16*F1692^2</f>
        <v>125.43833232956067</v>
      </c>
      <c r="N1692" s="75">
        <f>'THAM_SO_MOI'!$C$12*I1692</f>
        <v>1130.112</v>
      </c>
      <c r="O1692" s="75">
        <f>M1692+N1692</f>
        <v>1255.5503323295607</v>
      </c>
      <c r="P1692" s="75">
        <f>(MIN(L1692,'THAM_SO_MOI'!$C$41)-O1692)/('THAM_SO_MOI'!$C$11*H1692)</f>
        <v>0.763885253416494</v>
      </c>
      <c r="Q1692" s="75">
        <f>IF(P1692&gt;0,1/P1692,NA())</f>
        <v>1.3090971392987067</v>
      </c>
      <c r="R1692" s="75">
        <f>F1692-F1691</f>
        <v>0.005028991339518285</v>
      </c>
      <c r="S1692" s="75">
        <f>0.5*(Q1691+Q1692)*R1692</f>
        <v>0.006583943715255081</v>
      </c>
      <c r="T1692" s="75">
        <f>0.5*(F1691*Q1691+F1692*Q1692)*R1692</f>
        <v>0.04309942822534615</v>
      </c>
      <c r="U1692" s="76">
        <f>U1691+S1692</f>
        <v>8.057330295745855</v>
      </c>
      <c r="V1692" s="76">
        <f>V1691+T1692</f>
        <v>34.14290943558447</v>
      </c>
    </row>
    <row r="1693" spans="1:22" ht="19" customHeight="1">
      <c r="A1693" s="68" t="s">
        <v>374</v>
      </c>
      <c r="B1693" s="74">
        <v>3</v>
      </c>
      <c r="C1693" s="68" t="s">
        <v>363</v>
      </c>
      <c r="D1693" s="68" t="s">
        <v>364</v>
      </c>
      <c r="E1693" s="75">
        <f>60*F1693*'THAM_SO_MOI'!$C$51/(2*PI()*'THAM_SO_MOI'!$C$26)</f>
        <v>1646.245146286923</v>
      </c>
      <c r="F1693" s="75">
        <f>'HANH_TRINH'!$F$1647+('THAM_SO_MOI'!$F$51-'HANH_TRINH'!$F$1647)*45/'THAM_SO_MOI'!$C$42</f>
        <v>6.553685337623856</v>
      </c>
      <c r="G1693" s="75">
        <f>3.6*F1693</f>
        <v>23.59326721544588</v>
      </c>
      <c r="H1693" s="75">
        <f>'THAM_SO_MOI'!$D$51</f>
        <v>1.375</v>
      </c>
      <c r="I1693" s="75">
        <f>IF(F1693&gt;'THAM_SO_MOI'!$C$14,'THAM_SO_MOI'!$C$13*(1+F1693^2/1500),'THAM_SO_MOI'!$C$13)</f>
        <v>0.015</v>
      </c>
      <c r="J1693" s="75">
        <f>'THAM_SO_MOI'!$C$40*('THAM_SO_MOI'!$C$23*(E1693/'THAM_SO_MOI'!$C$22)+'THAM_SO_MOI'!$C$24*(E1693/'THAM_SO_MOI'!$C$22)^2-'THAM_SO_MOI'!$C$25*(E1693/'THAM_SO_MOI'!$C$22)^3)</f>
        <v>71.87347704452341</v>
      </c>
      <c r="K1693" s="75">
        <f>'THAM_SO_MOI'!$C$31*J1693/E1693</f>
        <v>416.9917532927946</v>
      </c>
      <c r="L1693" s="75">
        <f>K1693*'THAM_SO_MOI'!$C$51*'THAM_SO_MOI'!$C$17/'THAM_SO_MOI'!$C$26</f>
        <v>9323.606406675008</v>
      </c>
      <c r="M1693" s="75">
        <f>'THAM_SO_MOI'!$C$15*'THAM_SO_MOI'!$C$16*F1693^2</f>
        <v>125.63106515091381</v>
      </c>
      <c r="N1693" s="75">
        <f>'THAM_SO_MOI'!$C$12*I1693</f>
        <v>1130.112</v>
      </c>
      <c r="O1693" s="75">
        <f>M1693+N1693</f>
        <v>1255.743065150914</v>
      </c>
      <c r="P1693" s="75">
        <f>(MIN(L1693,'THAM_SO_MOI'!$C$41)-O1693)/('THAM_SO_MOI'!$C$11*H1693)</f>
        <v>0.7640022103715998</v>
      </c>
      <c r="Q1693" s="75">
        <f>IF(P1693&gt;0,1/P1693,NA())</f>
        <v>1.3088967367170499</v>
      </c>
      <c r="R1693" s="75">
        <f>F1693-F1692</f>
        <v>0.005028991339517397</v>
      </c>
      <c r="S1693" s="75">
        <f>0.5*(Q1692+Q1693)*R1693</f>
        <v>0.006582934264696411</v>
      </c>
      <c r="T1693" s="75">
        <f>0.5*(F1692*Q1692+F1693*Q1693)*R1693</f>
        <v>0.04312592574229657</v>
      </c>
      <c r="U1693" s="76">
        <f>U1692+S1693</f>
        <v>8.06391323001055</v>
      </c>
      <c r="V1693" s="76">
        <f>V1692+T1693</f>
        <v>34.186035361326766</v>
      </c>
    </row>
    <row r="1694" spans="1:22" ht="19" customHeight="1">
      <c r="A1694" s="68" t="s">
        <v>374</v>
      </c>
      <c r="B1694" s="74">
        <v>3</v>
      </c>
      <c r="C1694" s="68" t="s">
        <v>363</v>
      </c>
      <c r="D1694" s="68" t="s">
        <v>364</v>
      </c>
      <c r="E1694" s="75">
        <f>60*F1694*'THAM_SO_MOI'!$C$51/(2*PI()*'THAM_SO_MOI'!$C$26)</f>
        <v>1647.5083977487948</v>
      </c>
      <c r="F1694" s="75">
        <f>'HANH_TRINH'!$F$1647+('THAM_SO_MOI'!$F$51-'HANH_TRINH'!$F$1647)*46/'THAM_SO_MOI'!$C$42</f>
        <v>6.558714328963373</v>
      </c>
      <c r="G1694" s="75">
        <f>3.6*F1694</f>
        <v>23.611371584268145</v>
      </c>
      <c r="H1694" s="75">
        <f>'THAM_SO_MOI'!$D$51</f>
        <v>1.375</v>
      </c>
      <c r="I1694" s="75">
        <f>IF(F1694&gt;'THAM_SO_MOI'!$C$14,'THAM_SO_MOI'!$C$13*(1+F1694^2/1500),'THAM_SO_MOI'!$C$13)</f>
        <v>0.015</v>
      </c>
      <c r="J1694" s="75">
        <f>'THAM_SO_MOI'!$C$40*('THAM_SO_MOI'!$C$23*(E1694/'THAM_SO_MOI'!$C$22)+'THAM_SO_MOI'!$C$24*(E1694/'THAM_SO_MOI'!$C$22)^2-'THAM_SO_MOI'!$C$25*(E1694/'THAM_SO_MOI'!$C$22)^3)</f>
        <v>71.93961768643027</v>
      </c>
      <c r="K1694" s="75">
        <f>'THAM_SO_MOI'!$C$31*J1694/E1694</f>
        <v>417.0554557514484</v>
      </c>
      <c r="L1694" s="75">
        <f>K1694*'THAM_SO_MOI'!$C$51*'THAM_SO_MOI'!$C$17/'THAM_SO_MOI'!$C$26</f>
        <v>9325.030743360172</v>
      </c>
      <c r="M1694" s="75">
        <f>'THAM_SO_MOI'!$C$15*'THAM_SO_MOI'!$C$16*F1694^2</f>
        <v>125.8239459231772</v>
      </c>
      <c r="N1694" s="75">
        <f>'THAM_SO_MOI'!$C$12*I1694</f>
        <v>1130.112</v>
      </c>
      <c r="O1694" s="75">
        <f>M1694+N1694</f>
        <v>1255.9359459231773</v>
      </c>
      <c r="P1694" s="75">
        <f>(MIN(L1694,'THAM_SO_MOI'!$C$41)-O1694)/('THAM_SO_MOI'!$C$11*H1694)</f>
        <v>0.7641188255148669</v>
      </c>
      <c r="Q1694" s="75">
        <f>IF(P1694&gt;0,1/P1694,NA())</f>
        <v>1.3086969808997904</v>
      </c>
      <c r="R1694" s="75">
        <f>F1694-F1693</f>
        <v>0.005028991339517397</v>
      </c>
      <c r="S1694" s="75">
        <f>0.5*(Q1693+Q1694)*R1694</f>
        <v>0.006581928068135117</v>
      </c>
      <c r="T1694" s="75">
        <f>0.5*(F1693*Q1693+F1694*Q1694)*R1694</f>
        <v>0.04315243444006422</v>
      </c>
      <c r="U1694" s="76">
        <f>U1693+S1694</f>
        <v>8.070495158078685</v>
      </c>
      <c r="V1694" s="76">
        <f>V1693+T1694</f>
        <v>34.22918779576683</v>
      </c>
    </row>
    <row r="1695" spans="1:22" ht="19" customHeight="1">
      <c r="A1695" s="68" t="s">
        <v>374</v>
      </c>
      <c r="B1695" s="74">
        <v>3</v>
      </c>
      <c r="C1695" s="68" t="s">
        <v>363</v>
      </c>
      <c r="D1695" s="68" t="s">
        <v>364</v>
      </c>
      <c r="E1695" s="75">
        <f>60*F1695*'THAM_SO_MOI'!$C$51/(2*PI()*'THAM_SO_MOI'!$C$26)</f>
        <v>1648.7716492106665</v>
      </c>
      <c r="F1695" s="75">
        <f>'HANH_TRINH'!$F$1647+('THAM_SO_MOI'!$F$51-'HANH_TRINH'!$F$1647)*47/'THAM_SO_MOI'!$C$42</f>
        <v>6.563743320302891</v>
      </c>
      <c r="G1695" s="75">
        <f>3.6*F1695</f>
        <v>23.62947595309041</v>
      </c>
      <c r="H1695" s="75">
        <f>'THAM_SO_MOI'!$D$51</f>
        <v>1.375</v>
      </c>
      <c r="I1695" s="75">
        <f>IF(F1695&gt;'THAM_SO_MOI'!$C$14,'THAM_SO_MOI'!$C$13*(1+F1695^2/1500),'THAM_SO_MOI'!$C$13)</f>
        <v>0.015</v>
      </c>
      <c r="J1695" s="75">
        <f>'THAM_SO_MOI'!$C$40*('THAM_SO_MOI'!$C$23*(E1695/'THAM_SO_MOI'!$C$22)+'THAM_SO_MOI'!$C$24*(E1695/'THAM_SO_MOI'!$C$22)^2-'THAM_SO_MOI'!$C$25*(E1695/'THAM_SO_MOI'!$C$22)^3)</f>
        <v>72.00574845374999</v>
      </c>
      <c r="K1695" s="75">
        <f>'THAM_SO_MOI'!$C$31*J1695/E1695</f>
        <v>417.11900339327144</v>
      </c>
      <c r="L1695" s="75">
        <f>K1695*'THAM_SO_MOI'!$C$51*'THAM_SO_MOI'!$C$17/'THAM_SO_MOI'!$C$26</f>
        <v>9326.451618463221</v>
      </c>
      <c r="M1695" s="75">
        <f>'THAM_SO_MOI'!$C$15*'THAM_SO_MOI'!$C$16*F1695^2</f>
        <v>126.01697464635093</v>
      </c>
      <c r="N1695" s="75">
        <f>'THAM_SO_MOI'!$C$12*I1695</f>
        <v>1130.112</v>
      </c>
      <c r="O1695" s="75">
        <f>M1695+N1695</f>
        <v>1256.128974646351</v>
      </c>
      <c r="P1695" s="75">
        <f>(MIN(L1695,'THAM_SO_MOI'!$C$41)-O1695)/('THAM_SO_MOI'!$C$11*H1695)</f>
        <v>0.7642350988462946</v>
      </c>
      <c r="Q1695" s="75">
        <f>IF(P1695&gt;0,1/P1695,NA())</f>
        <v>1.3084978712828306</v>
      </c>
      <c r="R1695" s="75">
        <f>F1695-F1694</f>
        <v>0.005028991339518285</v>
      </c>
      <c r="S1695" s="75">
        <f>0.5*(Q1694+Q1695)*R1695</f>
        <v>0.006580925122729119</v>
      </c>
      <c r="T1695" s="75">
        <f>0.5*(F1694*Q1694+F1695*Q1695)*R1695</f>
        <v>0.04317895434909455</v>
      </c>
      <c r="U1695" s="76">
        <f>U1694+S1695</f>
        <v>8.077076083201414</v>
      </c>
      <c r="V1695" s="76">
        <f>V1694+T1695</f>
        <v>34.27236675011593</v>
      </c>
    </row>
    <row r="1696" spans="1:22" ht="19" customHeight="1">
      <c r="A1696" s="68" t="s">
        <v>374</v>
      </c>
      <c r="B1696" s="74">
        <v>3</v>
      </c>
      <c r="C1696" s="68" t="s">
        <v>363</v>
      </c>
      <c r="D1696" s="68" t="s">
        <v>364</v>
      </c>
      <c r="E1696" s="75">
        <f>60*F1696*'THAM_SO_MOI'!$C$51/(2*PI()*'THAM_SO_MOI'!$C$26)</f>
        <v>1650.034900672538</v>
      </c>
      <c r="F1696" s="75">
        <f>'HANH_TRINH'!$F$1647+('THAM_SO_MOI'!$F$51-'HANH_TRINH'!$F$1647)*48/'THAM_SO_MOI'!$C$42</f>
        <v>6.568772311642409</v>
      </c>
      <c r="G1696" s="75">
        <f>3.6*F1696</f>
        <v>23.647580321912674</v>
      </c>
      <c r="H1696" s="75">
        <f>'THAM_SO_MOI'!$D$51</f>
        <v>1.375</v>
      </c>
      <c r="I1696" s="75">
        <f>IF(F1696&gt;'THAM_SO_MOI'!$C$14,'THAM_SO_MOI'!$C$13*(1+F1696^2/1500),'THAM_SO_MOI'!$C$13)</f>
        <v>0.015</v>
      </c>
      <c r="J1696" s="75">
        <f>'THAM_SO_MOI'!$C$40*('THAM_SO_MOI'!$C$23*(E1696/'THAM_SO_MOI'!$C$22)+'THAM_SO_MOI'!$C$24*(E1696/'THAM_SO_MOI'!$C$22)^2-'THAM_SO_MOI'!$C$25*(E1696/'THAM_SO_MOI'!$C$22)^3)</f>
        <v>72.07186928505328</v>
      </c>
      <c r="K1696" s="75">
        <f>'THAM_SO_MOI'!$C$31*J1696/E1696</f>
        <v>417.1823962182643</v>
      </c>
      <c r="L1696" s="75">
        <f>K1696*'THAM_SO_MOI'!$C$51*'THAM_SO_MOI'!$C$17/'THAM_SO_MOI'!$C$26</f>
        <v>9327.869031984168</v>
      </c>
      <c r="M1696" s="75">
        <f>'THAM_SO_MOI'!$C$15*'THAM_SO_MOI'!$C$16*F1696^2</f>
        <v>126.21015132043487</v>
      </c>
      <c r="N1696" s="75">
        <f>'THAM_SO_MOI'!$C$12*I1696</f>
        <v>1130.112</v>
      </c>
      <c r="O1696" s="75">
        <f>M1696+N1696</f>
        <v>1256.3221513204348</v>
      </c>
      <c r="P1696" s="75">
        <f>(MIN(L1696,'THAM_SO_MOI'!$C$41)-O1696)/('THAM_SO_MOI'!$C$11*H1696)</f>
        <v>0.7643510303658839</v>
      </c>
      <c r="Q1696" s="75">
        <f>IF(P1696&gt;0,1/P1696,NA())</f>
        <v>1.308299407304147</v>
      </c>
      <c r="R1696" s="75">
        <f>F1696-F1695</f>
        <v>0.005028991339517397</v>
      </c>
      <c r="S1696" s="75">
        <f>0.5*(Q1695+Q1696)*R1696</f>
        <v>0.006579925425643301</v>
      </c>
      <c r="T1696" s="75">
        <f>0.5*(F1695*Q1695+F1696*Q1696)*R1696</f>
        <v>0.04320548549982158</v>
      </c>
      <c r="U1696" s="76">
        <f>U1695+S1696</f>
        <v>8.083656008627058</v>
      </c>
      <c r="V1696" s="76">
        <f>V1695+T1696</f>
        <v>34.31557223561575</v>
      </c>
    </row>
    <row r="1697" spans="1:22" ht="19" customHeight="1">
      <c r="A1697" s="68" t="s">
        <v>374</v>
      </c>
      <c r="B1697" s="74">
        <v>3</v>
      </c>
      <c r="C1697" s="68" t="s">
        <v>363</v>
      </c>
      <c r="D1697" s="68" t="s">
        <v>364</v>
      </c>
      <c r="E1697" s="75">
        <f>60*F1697*'THAM_SO_MOI'!$C$51/(2*PI()*'THAM_SO_MOI'!$C$26)</f>
        <v>1651.2981521344095</v>
      </c>
      <c r="F1697" s="75">
        <f>'HANH_TRINH'!$F$1647+('THAM_SO_MOI'!$F$51-'HANH_TRINH'!$F$1647)*49/'THAM_SO_MOI'!$C$42</f>
        <v>6.573801302981926</v>
      </c>
      <c r="G1697" s="75">
        <f>3.6*F1697</f>
        <v>23.665684690734935</v>
      </c>
      <c r="H1697" s="75">
        <f>'THAM_SO_MOI'!$D$51</f>
        <v>1.375</v>
      </c>
      <c r="I1697" s="75">
        <f>IF(F1697&gt;'THAM_SO_MOI'!$C$14,'THAM_SO_MOI'!$C$13*(1+F1697^2/1500),'THAM_SO_MOI'!$C$13)</f>
        <v>0.015</v>
      </c>
      <c r="J1697" s="75">
        <f>'THAM_SO_MOI'!$C$40*('THAM_SO_MOI'!$C$23*(E1697/'THAM_SO_MOI'!$C$22)+'THAM_SO_MOI'!$C$24*(E1697/'THAM_SO_MOI'!$C$22)^2-'THAM_SO_MOI'!$C$25*(E1697/'THAM_SO_MOI'!$C$22)^3)</f>
        <v>72.13798011891073</v>
      </c>
      <c r="K1697" s="75">
        <f>'THAM_SO_MOI'!$C$31*J1697/E1697</f>
        <v>417.2456342264265</v>
      </c>
      <c r="L1697" s="75">
        <f>K1697*'THAM_SO_MOI'!$C$51*'THAM_SO_MOI'!$C$17/'THAM_SO_MOI'!$C$26</f>
        <v>9329.282983923002</v>
      </c>
      <c r="M1697" s="75">
        <f>'THAM_SO_MOI'!$C$15*'THAM_SO_MOI'!$C$16*F1697^2</f>
        <v>126.40347594542911</v>
      </c>
      <c r="N1697" s="75">
        <f>'THAM_SO_MOI'!$C$12*I1697</f>
        <v>1130.112</v>
      </c>
      <c r="O1697" s="75">
        <f>M1697+N1697</f>
        <v>1256.5154759454292</v>
      </c>
      <c r="P1697" s="75">
        <f>(MIN(L1697,'THAM_SO_MOI'!$C$41)-O1697)/('THAM_SO_MOI'!$C$11*H1697)</f>
        <v>0.7644666200736336</v>
      </c>
      <c r="Q1697" s="75">
        <f>IF(P1697&gt;0,1/P1697,NA())</f>
        <v>1.308101588403794</v>
      </c>
      <c r="R1697" s="75">
        <f>F1697-F1696</f>
        <v>0.005028991339517397</v>
      </c>
      <c r="S1697" s="75">
        <f>0.5*(Q1696+Q1697)*R1697</f>
        <v>0.006578928974059965</v>
      </c>
      <c r="T1697" s="75">
        <f>0.5*(F1696*Q1696+F1697*Q1697)*R1697</f>
        <v>0.043232027922736734</v>
      </c>
      <c r="U1697" s="76">
        <f>U1696+S1697</f>
        <v>8.090234937601117</v>
      </c>
      <c r="V1697" s="76">
        <f>V1696+T1697</f>
        <v>34.35880426353848</v>
      </c>
    </row>
    <row r="1698" spans="1:22" ht="19" customHeight="1">
      <c r="A1698" s="68" t="s">
        <v>374</v>
      </c>
      <c r="B1698" s="74">
        <v>3</v>
      </c>
      <c r="C1698" s="68" t="s">
        <v>363</v>
      </c>
      <c r="D1698" s="68" t="s">
        <v>364</v>
      </c>
      <c r="E1698" s="75">
        <f>60*F1698*'THAM_SO_MOI'!$C$51/(2*PI()*'THAM_SO_MOI'!$C$26)</f>
        <v>1652.561403596281</v>
      </c>
      <c r="F1698" s="75">
        <f>'HANH_TRINH'!$F$1647+('THAM_SO_MOI'!$F$51-'HANH_TRINH'!$F$1647)*50/'THAM_SO_MOI'!$C$42</f>
        <v>6.578830294321444</v>
      </c>
      <c r="G1698" s="75">
        <f>3.6*F1698</f>
        <v>23.6837890595572</v>
      </c>
      <c r="H1698" s="75">
        <f>'THAM_SO_MOI'!$D$51</f>
        <v>1.375</v>
      </c>
      <c r="I1698" s="75">
        <f>IF(F1698&gt;'THAM_SO_MOI'!$C$14,'THAM_SO_MOI'!$C$13*(1+F1698^2/1500),'THAM_SO_MOI'!$C$13)</f>
        <v>0.015</v>
      </c>
      <c r="J1698" s="75">
        <f>'THAM_SO_MOI'!$C$40*('THAM_SO_MOI'!$C$23*(E1698/'THAM_SO_MOI'!$C$22)+'THAM_SO_MOI'!$C$24*(E1698/'THAM_SO_MOI'!$C$22)^2-'THAM_SO_MOI'!$C$25*(E1698/'THAM_SO_MOI'!$C$22)^3)</f>
        <v>72.20408089389305</v>
      </c>
      <c r="K1698" s="75">
        <f>'THAM_SO_MOI'!$C$31*J1698/E1698</f>
        <v>417.30871741775826</v>
      </c>
      <c r="L1698" s="75">
        <f>K1698*'THAM_SO_MOI'!$C$51*'THAM_SO_MOI'!$C$17/'THAM_SO_MOI'!$C$26</f>
        <v>9330.693474279731</v>
      </c>
      <c r="M1698" s="75">
        <f>'THAM_SO_MOI'!$C$15*'THAM_SO_MOI'!$C$16*F1698^2</f>
        <v>126.59694852133362</v>
      </c>
      <c r="N1698" s="75">
        <f>'THAM_SO_MOI'!$C$12*I1698</f>
        <v>1130.112</v>
      </c>
      <c r="O1698" s="75">
        <f>M1698+N1698</f>
        <v>1256.7089485213337</v>
      </c>
      <c r="P1698" s="75">
        <f>(MIN(L1698,'THAM_SO_MOI'!$C$41)-O1698)/('THAM_SO_MOI'!$C$11*H1698)</f>
        <v>0.7645818679695452</v>
      </c>
      <c r="Q1698" s="75">
        <f>IF(P1698&gt;0,1/P1698,NA())</f>
        <v>1.307904414023891</v>
      </c>
      <c r="R1698" s="75">
        <f>F1698-F1697</f>
        <v>0.005028991339517397</v>
      </c>
      <c r="S1698" s="75">
        <f>0.5*(Q1697+Q1698)*R1698</f>
        <v>0.006577935765167178</v>
      </c>
      <c r="T1698" s="75">
        <f>0.5*(F1697*Q1697+F1698*Q1698)*R1698</f>
        <v>0.04325858164831268</v>
      </c>
      <c r="U1698" s="76">
        <f>U1697+S1698</f>
        <v>8.096812873366284</v>
      </c>
      <c r="V1698" s="76">
        <f>V1697+T1698</f>
        <v>34.40206284518679</v>
      </c>
    </row>
    <row r="1699" spans="1:22" ht="19" customHeight="1">
      <c r="A1699" s="68" t="s">
        <v>374</v>
      </c>
      <c r="B1699" s="74">
        <v>3</v>
      </c>
      <c r="C1699" s="68" t="s">
        <v>363</v>
      </c>
      <c r="D1699" s="68" t="s">
        <v>364</v>
      </c>
      <c r="E1699" s="75">
        <f>60*F1699*'THAM_SO_MOI'!$C$51/(2*PI()*'THAM_SO_MOI'!$C$26)</f>
        <v>1653.8246550581528</v>
      </c>
      <c r="F1699" s="75">
        <f>'HANH_TRINH'!$F$1647+('THAM_SO_MOI'!$F$51-'HANH_TRINH'!$F$1647)*51/'THAM_SO_MOI'!$C$42</f>
        <v>6.583859285660962</v>
      </c>
      <c r="G1699" s="75">
        <f>3.6*F1699</f>
        <v>23.701893428379464</v>
      </c>
      <c r="H1699" s="75">
        <f>'THAM_SO_MOI'!$D$51</f>
        <v>1.375</v>
      </c>
      <c r="I1699" s="75">
        <f>IF(F1699&gt;'THAM_SO_MOI'!$C$14,'THAM_SO_MOI'!$C$13*(1+F1699^2/1500),'THAM_SO_MOI'!$C$13)</f>
        <v>0.015</v>
      </c>
      <c r="J1699" s="75">
        <f>'THAM_SO_MOI'!$C$40*('THAM_SO_MOI'!$C$23*(E1699/'THAM_SO_MOI'!$C$22)+'THAM_SO_MOI'!$C$24*(E1699/'THAM_SO_MOI'!$C$22)^2-'THAM_SO_MOI'!$C$25*(E1699/'THAM_SO_MOI'!$C$22)^3)</f>
        <v>72.27017154857083</v>
      </c>
      <c r="K1699" s="75">
        <f>'THAM_SO_MOI'!$C$31*J1699/E1699</f>
        <v>417.3716457922593</v>
      </c>
      <c r="L1699" s="75">
        <f>K1699*'THAM_SO_MOI'!$C$51*'THAM_SO_MOI'!$C$17/'THAM_SO_MOI'!$C$26</f>
        <v>9332.100503054346</v>
      </c>
      <c r="M1699" s="75">
        <f>'THAM_SO_MOI'!$C$15*'THAM_SO_MOI'!$C$16*F1699^2</f>
        <v>126.79056904814843</v>
      </c>
      <c r="N1699" s="75">
        <f>'THAM_SO_MOI'!$C$12*I1699</f>
        <v>1130.112</v>
      </c>
      <c r="O1699" s="75">
        <f>M1699+N1699</f>
        <v>1256.9025690481485</v>
      </c>
      <c r="P1699" s="75">
        <f>(MIN(L1699,'THAM_SO_MOI'!$C$41)-O1699)/('THAM_SO_MOI'!$C$11*H1699)</f>
        <v>0.764696774053617</v>
      </c>
      <c r="Q1699" s="75">
        <f>IF(P1699&gt;0,1/P1699,NA())</f>
        <v>1.307707883608627</v>
      </c>
      <c r="R1699" s="75">
        <f>F1699-F1698</f>
        <v>0.005028991339518285</v>
      </c>
      <c r="S1699" s="75">
        <f>0.5*(Q1698+Q1699)*R1699</f>
        <v>0.006576945796165729</v>
      </c>
      <c r="T1699" s="75">
        <f>0.5*(F1698*Q1698+F1699*Q1699)*R1699</f>
        <v>0.04328514670704927</v>
      </c>
      <c r="U1699" s="76">
        <f>U1698+S1699</f>
        <v>8.10338981916245</v>
      </c>
      <c r="V1699" s="76">
        <f>V1698+T1699</f>
        <v>34.44534799189384</v>
      </c>
    </row>
    <row r="1700" spans="1:22" ht="19" customHeight="1">
      <c r="A1700" s="68" t="s">
        <v>374</v>
      </c>
      <c r="B1700" s="74">
        <v>3</v>
      </c>
      <c r="C1700" s="68" t="s">
        <v>363</v>
      </c>
      <c r="D1700" s="68" t="s">
        <v>364</v>
      </c>
      <c r="E1700" s="75">
        <f>60*F1700*'THAM_SO_MOI'!$C$51/(2*PI()*'THAM_SO_MOI'!$C$26)</f>
        <v>1655.0879065200245</v>
      </c>
      <c r="F1700" s="75">
        <f>'HANH_TRINH'!$F$1647+('THAM_SO_MOI'!$F$51-'HANH_TRINH'!$F$1647)*52/'THAM_SO_MOI'!$C$42</f>
        <v>6.588888277000479</v>
      </c>
      <c r="G1700" s="75">
        <f>3.6*F1700</f>
        <v>23.719997797201724</v>
      </c>
      <c r="H1700" s="75">
        <f>'THAM_SO_MOI'!$D$51</f>
        <v>1.375</v>
      </c>
      <c r="I1700" s="75">
        <f>IF(F1700&gt;'THAM_SO_MOI'!$C$14,'THAM_SO_MOI'!$C$13*(1+F1700^2/1500),'THAM_SO_MOI'!$C$13)</f>
        <v>0.015</v>
      </c>
      <c r="J1700" s="75">
        <f>'THAM_SO_MOI'!$C$40*('THAM_SO_MOI'!$C$23*(E1700/'THAM_SO_MOI'!$C$22)+'THAM_SO_MOI'!$C$24*(E1700/'THAM_SO_MOI'!$C$22)^2-'THAM_SO_MOI'!$C$25*(E1700/'THAM_SO_MOI'!$C$22)^3)</f>
        <v>72.33625202151478</v>
      </c>
      <c r="K1700" s="75">
        <f>'THAM_SO_MOI'!$C$31*J1700/E1700</f>
        <v>417.4344193499301</v>
      </c>
      <c r="L1700" s="75">
        <f>K1700*'THAM_SO_MOI'!$C$51*'THAM_SO_MOI'!$C$17/'THAM_SO_MOI'!$C$26</f>
        <v>9333.504070246854</v>
      </c>
      <c r="M1700" s="75">
        <f>'THAM_SO_MOI'!$C$15*'THAM_SO_MOI'!$C$16*F1700^2</f>
        <v>126.98433752587346</v>
      </c>
      <c r="N1700" s="75">
        <f>'THAM_SO_MOI'!$C$12*I1700</f>
        <v>1130.112</v>
      </c>
      <c r="O1700" s="75">
        <f>M1700+N1700</f>
        <v>1257.0963375258734</v>
      </c>
      <c r="P1700" s="75">
        <f>(MIN(L1700,'THAM_SO_MOI'!$C$41)-O1700)/('THAM_SO_MOI'!$C$11*H1700)</f>
        <v>0.7648113383258505</v>
      </c>
      <c r="Q1700" s="75">
        <f>IF(P1700&gt;0,1/P1700,NA())</f>
        <v>1.3075119966042483</v>
      </c>
      <c r="R1700" s="75">
        <f>F1700-F1699</f>
        <v>0.005028991339517397</v>
      </c>
      <c r="S1700" s="75">
        <f>0.5*(Q1699+Q1700)*R1700</f>
        <v>0.006575959064262137</v>
      </c>
      <c r="T1700" s="75">
        <f>0.5*(F1699*Q1699+F1700*Q1700)*R1700</f>
        <v>0.04331172312942774</v>
      </c>
      <c r="U1700" s="76">
        <f>U1699+S1700</f>
        <v>8.109965778226712</v>
      </c>
      <c r="V1700" s="76">
        <f>V1699+T1700</f>
        <v>34.48865971502327</v>
      </c>
    </row>
    <row r="1701" spans="1:22" ht="19" customHeight="1">
      <c r="A1701" s="68" t="s">
        <v>374</v>
      </c>
      <c r="B1701" s="74">
        <v>3</v>
      </c>
      <c r="C1701" s="68" t="s">
        <v>363</v>
      </c>
      <c r="D1701" s="68" t="s">
        <v>364</v>
      </c>
      <c r="E1701" s="75">
        <f>60*F1701*'THAM_SO_MOI'!$C$51/(2*PI()*'THAM_SO_MOI'!$C$26)</f>
        <v>1656.351157981896</v>
      </c>
      <c r="F1701" s="75">
        <f>'HANH_TRINH'!$F$1647+('THAM_SO_MOI'!$F$51-'HANH_TRINH'!$F$1647)*53/'THAM_SO_MOI'!$C$42</f>
        <v>6.593917268339997</v>
      </c>
      <c r="G1701" s="75">
        <f>3.6*F1701</f>
        <v>23.73810216602399</v>
      </c>
      <c r="H1701" s="75">
        <f>'THAM_SO_MOI'!$D$51</f>
        <v>1.375</v>
      </c>
      <c r="I1701" s="75">
        <f>IF(F1701&gt;'THAM_SO_MOI'!$C$14,'THAM_SO_MOI'!$C$13*(1+F1701^2/1500),'THAM_SO_MOI'!$C$13)</f>
        <v>0.015</v>
      </c>
      <c r="J1701" s="75">
        <f>'THAM_SO_MOI'!$C$40*('THAM_SO_MOI'!$C$23*(E1701/'THAM_SO_MOI'!$C$22)+'THAM_SO_MOI'!$C$24*(E1701/'THAM_SO_MOI'!$C$22)^2-'THAM_SO_MOI'!$C$25*(E1701/'THAM_SO_MOI'!$C$22)^3)</f>
        <v>72.4023222512955</v>
      </c>
      <c r="K1701" s="75">
        <f>'THAM_SO_MOI'!$C$31*J1701/E1701</f>
        <v>417.4970380907703</v>
      </c>
      <c r="L1701" s="75">
        <f>K1701*'THAM_SO_MOI'!$C$51*'THAM_SO_MOI'!$C$17/'THAM_SO_MOI'!$C$26</f>
        <v>9334.904175857253</v>
      </c>
      <c r="M1701" s="75">
        <f>'THAM_SO_MOI'!$C$15*'THAM_SO_MOI'!$C$16*F1701^2</f>
        <v>127.17825395450879</v>
      </c>
      <c r="N1701" s="75">
        <f>'THAM_SO_MOI'!$C$12*I1701</f>
        <v>1130.112</v>
      </c>
      <c r="O1701" s="75">
        <f>M1701+N1701</f>
        <v>1257.290253954509</v>
      </c>
      <c r="P1701" s="75">
        <f>(MIN(L1701,'THAM_SO_MOI'!$C$41)-O1701)/('THAM_SO_MOI'!$C$11*H1701)</f>
        <v>0.7649255607862446</v>
      </c>
      <c r="Q1701" s="75">
        <f>IF(P1701&gt;0,1/P1701,NA())</f>
        <v>1.3073167524590619</v>
      </c>
      <c r="R1701" s="75">
        <f>F1701-F1700</f>
        <v>0.005028991339517397</v>
      </c>
      <c r="S1701" s="75">
        <f>0.5*(Q1700+Q1701)*R1701</f>
        <v>0.006574975566680248</v>
      </c>
      <c r="T1701" s="75">
        <f>0.5*(F1700*Q1700+F1701*Q1701)*R1701</f>
        <v>0.04333831094598735</v>
      </c>
      <c r="U1701" s="76">
        <f>U1700+S1701</f>
        <v>8.116540753793393</v>
      </c>
      <c r="V1701" s="76">
        <f>V1700+T1701</f>
        <v>34.53199802596925</v>
      </c>
    </row>
    <row r="1702" spans="1:22" ht="19" customHeight="1">
      <c r="A1702" s="68" t="s">
        <v>374</v>
      </c>
      <c r="B1702" s="74">
        <v>3</v>
      </c>
      <c r="C1702" s="68" t="s">
        <v>363</v>
      </c>
      <c r="D1702" s="68" t="s">
        <v>364</v>
      </c>
      <c r="E1702" s="75">
        <f>60*F1702*'THAM_SO_MOI'!$C$51/(2*PI()*'THAM_SO_MOI'!$C$26)</f>
        <v>1657.614409443768</v>
      </c>
      <c r="F1702" s="75">
        <f>'HANH_TRINH'!$F$1647+('THAM_SO_MOI'!$F$51-'HANH_TRINH'!$F$1647)*54/'THAM_SO_MOI'!$C$42</f>
        <v>6.598946259679515</v>
      </c>
      <c r="G1702" s="75">
        <f>3.6*F1702</f>
        <v>23.756206534846253</v>
      </c>
      <c r="H1702" s="75">
        <f>'THAM_SO_MOI'!$D$51</f>
        <v>1.375</v>
      </c>
      <c r="I1702" s="75">
        <f>IF(F1702&gt;'THAM_SO_MOI'!$C$14,'THAM_SO_MOI'!$C$13*(1+F1702^2/1500),'THAM_SO_MOI'!$C$13)</f>
        <v>0.015</v>
      </c>
      <c r="J1702" s="75">
        <f>'THAM_SO_MOI'!$C$40*('THAM_SO_MOI'!$C$23*(E1702/'THAM_SO_MOI'!$C$22)+'THAM_SO_MOI'!$C$24*(E1702/'THAM_SO_MOI'!$C$22)^2-'THAM_SO_MOI'!$C$25*(E1702/'THAM_SO_MOI'!$C$22)^3)</f>
        <v>72.46838217648369</v>
      </c>
      <c r="K1702" s="75">
        <f>'THAM_SO_MOI'!$C$31*J1702/E1702</f>
        <v>417.55950201478</v>
      </c>
      <c r="L1702" s="75">
        <f>K1702*'THAM_SO_MOI'!$C$51*'THAM_SO_MOI'!$C$17/'THAM_SO_MOI'!$C$26</f>
        <v>9336.300819885544</v>
      </c>
      <c r="M1702" s="75">
        <f>'THAM_SO_MOI'!$C$15*'THAM_SO_MOI'!$C$16*F1702^2</f>
        <v>127.37231833405441</v>
      </c>
      <c r="N1702" s="75">
        <f>'THAM_SO_MOI'!$C$12*I1702</f>
        <v>1130.112</v>
      </c>
      <c r="O1702" s="75">
        <f>M1702+N1702</f>
        <v>1257.4843183340545</v>
      </c>
      <c r="P1702" s="75">
        <f>(MIN(L1702,'THAM_SO_MOI'!$C$41)-O1702)/('THAM_SO_MOI'!$C$11*H1702)</f>
        <v>0.7650394414348001</v>
      </c>
      <c r="Q1702" s="75">
        <f>IF(P1702&gt;0,1/P1702,NA())</f>
        <v>1.3071221506234254</v>
      </c>
      <c r="R1702" s="75">
        <f>F1702-F1701</f>
        <v>0.005028991339518285</v>
      </c>
      <c r="S1702" s="75">
        <f>0.5*(Q1701+Q1702)*R1702</f>
        <v>0.006573995300650757</v>
      </c>
      <c r="T1702" s="75">
        <f>0.5*(F1701*Q1701+F1702*Q1702)*R1702</f>
        <v>0.043364910187256724</v>
      </c>
      <c r="U1702" s="76">
        <f>U1701+S1702</f>
        <v>8.123114749094043</v>
      </c>
      <c r="V1702" s="76">
        <f>V1701+T1702</f>
        <v>34.57536293615651</v>
      </c>
    </row>
    <row r="1703" spans="1:22" ht="19" customHeight="1">
      <c r="A1703" s="68" t="s">
        <v>374</v>
      </c>
      <c r="B1703" s="74">
        <v>3</v>
      </c>
      <c r="C1703" s="68" t="s">
        <v>363</v>
      </c>
      <c r="D1703" s="68" t="s">
        <v>364</v>
      </c>
      <c r="E1703" s="75">
        <f>60*F1703*'THAM_SO_MOI'!$C$51/(2*PI()*'THAM_SO_MOI'!$C$26)</f>
        <v>1658.8776609056392</v>
      </c>
      <c r="F1703" s="75">
        <f>'HANH_TRINH'!$F$1647+('THAM_SO_MOI'!$F$51-'HANH_TRINH'!$F$1647)*55/'THAM_SO_MOI'!$C$42</f>
        <v>6.603975251019032</v>
      </c>
      <c r="G1703" s="75">
        <f>3.6*F1703</f>
        <v>23.774310903668518</v>
      </c>
      <c r="H1703" s="75">
        <f>'THAM_SO_MOI'!$D$51</f>
        <v>1.375</v>
      </c>
      <c r="I1703" s="75">
        <f>IF(F1703&gt;'THAM_SO_MOI'!$C$14,'THAM_SO_MOI'!$C$13*(1+F1703^2/1500),'THAM_SO_MOI'!$C$13)</f>
        <v>0.015</v>
      </c>
      <c r="J1703" s="75">
        <f>'THAM_SO_MOI'!$C$40*('THAM_SO_MOI'!$C$23*(E1703/'THAM_SO_MOI'!$C$22)+'THAM_SO_MOI'!$C$24*(E1703/'THAM_SO_MOI'!$C$22)^2-'THAM_SO_MOI'!$C$25*(E1703/'THAM_SO_MOI'!$C$22)^3)</f>
        <v>72.53443173564992</v>
      </c>
      <c r="K1703" s="75">
        <f>'THAM_SO_MOI'!$C$31*J1703/E1703</f>
        <v>417.62181112195907</v>
      </c>
      <c r="L1703" s="75">
        <f>K1703*'THAM_SO_MOI'!$C$51*'THAM_SO_MOI'!$C$17/'THAM_SO_MOI'!$C$26</f>
        <v>9337.694002331724</v>
      </c>
      <c r="M1703" s="75">
        <f>'THAM_SO_MOI'!$C$15*'THAM_SO_MOI'!$C$16*F1703^2</f>
        <v>127.5665306645103</v>
      </c>
      <c r="N1703" s="75">
        <f>'THAM_SO_MOI'!$C$12*I1703</f>
        <v>1130.112</v>
      </c>
      <c r="O1703" s="75">
        <f>M1703+N1703</f>
        <v>1257.6785306645104</v>
      </c>
      <c r="P1703" s="75">
        <f>(MIN(L1703,'THAM_SO_MOI'!$C$41)-O1703)/('THAM_SO_MOI'!$C$11*H1703)</f>
        <v>0.7651529802715165</v>
      </c>
      <c r="Q1703" s="75">
        <f>IF(P1703&gt;0,1/P1703,NA())</f>
        <v>1.3069281905497478</v>
      </c>
      <c r="R1703" s="75">
        <f>F1703-F1702</f>
        <v>0.005028991339517397</v>
      </c>
      <c r="S1703" s="75">
        <f>0.5*(Q1702+Q1703)*R1703</f>
        <v>0.006573018263411192</v>
      </c>
      <c r="T1703" s="75">
        <f>0.5*(F1702*Q1702+F1703*Q1703)*R1703</f>
        <v>0.0433915208837539</v>
      </c>
      <c r="U1703" s="76">
        <f>U1702+S1703</f>
        <v>8.129687767357455</v>
      </c>
      <c r="V1703" s="76">
        <f>V1702+T1703</f>
        <v>34.61875445704026</v>
      </c>
    </row>
    <row r="1704" spans="1:22" ht="19" customHeight="1">
      <c r="A1704" s="68" t="s">
        <v>374</v>
      </c>
      <c r="B1704" s="74">
        <v>3</v>
      </c>
      <c r="C1704" s="68" t="s">
        <v>363</v>
      </c>
      <c r="D1704" s="68" t="s">
        <v>364</v>
      </c>
      <c r="E1704" s="75">
        <f>60*F1704*'THAM_SO_MOI'!$C$51/(2*PI()*'THAM_SO_MOI'!$C$26)</f>
        <v>1660.1409123675107</v>
      </c>
      <c r="F1704" s="75">
        <f>'HANH_TRINH'!$F$1647+('THAM_SO_MOI'!$F$51-'HANH_TRINH'!$F$1647)*56/'THAM_SO_MOI'!$C$42</f>
        <v>6.60900424235855</v>
      </c>
      <c r="G1704" s="75">
        <f>3.6*F1704</f>
        <v>23.79241527249078</v>
      </c>
      <c r="H1704" s="75">
        <f>'THAM_SO_MOI'!$D$51</f>
        <v>1.375</v>
      </c>
      <c r="I1704" s="75">
        <f>IF(F1704&gt;'THAM_SO_MOI'!$C$14,'THAM_SO_MOI'!$C$13*(1+F1704^2/1500),'THAM_SO_MOI'!$C$13)</f>
        <v>0.015</v>
      </c>
      <c r="J1704" s="75">
        <f>'THAM_SO_MOI'!$C$40*('THAM_SO_MOI'!$C$23*(E1704/'THAM_SO_MOI'!$C$22)+'THAM_SO_MOI'!$C$24*(E1704/'THAM_SO_MOI'!$C$22)^2-'THAM_SO_MOI'!$C$25*(E1704/'THAM_SO_MOI'!$C$22)^3)</f>
        <v>72.6004708673649</v>
      </c>
      <c r="K1704" s="75">
        <f>'THAM_SO_MOI'!$C$31*J1704/E1704</f>
        <v>417.6839654123077</v>
      </c>
      <c r="L1704" s="75">
        <f>K1704*'THAM_SO_MOI'!$C$51*'THAM_SO_MOI'!$C$17/'THAM_SO_MOI'!$C$26</f>
        <v>9339.083723195796</v>
      </c>
      <c r="M1704" s="75">
        <f>'THAM_SO_MOI'!$C$15*'THAM_SO_MOI'!$C$16*F1704^2</f>
        <v>127.76089094587645</v>
      </c>
      <c r="N1704" s="75">
        <f>'THAM_SO_MOI'!$C$12*I1704</f>
        <v>1130.112</v>
      </c>
      <c r="O1704" s="75">
        <f>M1704+N1704</f>
        <v>1257.8728909458766</v>
      </c>
      <c r="P1704" s="75">
        <f>(MIN(L1704,'THAM_SO_MOI'!$C$41)-O1704)/('THAM_SO_MOI'!$C$11*H1704)</f>
        <v>0.7652661772963939</v>
      </c>
      <c r="Q1704" s="75">
        <f>IF(P1704&gt;0,1/P1704,NA())</f>
        <v>1.3067348716924827</v>
      </c>
      <c r="R1704" s="75">
        <f>F1704-F1703</f>
        <v>0.005028991339517397</v>
      </c>
      <c r="S1704" s="75">
        <f>0.5*(Q1703+Q1704)*R1704</f>
        <v>0.0065720444522163485</v>
      </c>
      <c r="T1704" s="75">
        <f>0.5*(F1703*Q1703+F1704*Q1704)*R1704</f>
        <v>0.04341814306605535</v>
      </c>
      <c r="U1704" s="76">
        <f>U1703+S1704</f>
        <v>8.136259811809671</v>
      </c>
      <c r="V1704" s="76">
        <f>V1703+T1704</f>
        <v>34.66217260010632</v>
      </c>
    </row>
    <row r="1705" spans="1:22" ht="19" customHeight="1">
      <c r="A1705" s="68" t="s">
        <v>374</v>
      </c>
      <c r="B1705" s="74">
        <v>3</v>
      </c>
      <c r="C1705" s="68" t="s">
        <v>363</v>
      </c>
      <c r="D1705" s="68" t="s">
        <v>364</v>
      </c>
      <c r="E1705" s="75">
        <f>60*F1705*'THAM_SO_MOI'!$C$51/(2*PI()*'THAM_SO_MOI'!$C$26)</f>
        <v>1661.4041638293827</v>
      </c>
      <c r="F1705" s="75">
        <f>'HANH_TRINH'!$F$1647+('THAM_SO_MOI'!$F$51-'HANH_TRINH'!$F$1647)*57/'THAM_SO_MOI'!$C$42</f>
        <v>6.614033233698068</v>
      </c>
      <c r="G1705" s="75">
        <f>3.6*F1705</f>
        <v>23.810519641313046</v>
      </c>
      <c r="H1705" s="75">
        <f>'THAM_SO_MOI'!$D$51</f>
        <v>1.375</v>
      </c>
      <c r="I1705" s="75">
        <f>IF(F1705&gt;'THAM_SO_MOI'!$C$14,'THAM_SO_MOI'!$C$13*(1+F1705^2/1500),'THAM_SO_MOI'!$C$13)</f>
        <v>0.015</v>
      </c>
      <c r="J1705" s="75">
        <f>'THAM_SO_MOI'!$C$40*('THAM_SO_MOI'!$C$23*(E1705/'THAM_SO_MOI'!$C$22)+'THAM_SO_MOI'!$C$24*(E1705/'THAM_SO_MOI'!$C$22)^2-'THAM_SO_MOI'!$C$25*(E1705/'THAM_SO_MOI'!$C$22)^3)</f>
        <v>72.66649951019932</v>
      </c>
      <c r="K1705" s="75">
        <f>'THAM_SO_MOI'!$C$31*J1705/E1705</f>
        <v>417.74596488582586</v>
      </c>
      <c r="L1705" s="75">
        <f>K1705*'THAM_SO_MOI'!$C$51*'THAM_SO_MOI'!$C$17/'THAM_SO_MOI'!$C$26</f>
        <v>9340.469982477758</v>
      </c>
      <c r="M1705" s="75">
        <f>'THAM_SO_MOI'!$C$15*'THAM_SO_MOI'!$C$16*F1705^2</f>
        <v>127.95539917815289</v>
      </c>
      <c r="N1705" s="75">
        <f>'THAM_SO_MOI'!$C$12*I1705</f>
        <v>1130.112</v>
      </c>
      <c r="O1705" s="75">
        <f>M1705+N1705</f>
        <v>1258.067399178153</v>
      </c>
      <c r="P1705" s="75">
        <f>(MIN(L1705,'THAM_SO_MOI'!$C$41)-O1705)/('THAM_SO_MOI'!$C$11*H1705)</f>
        <v>0.7653790325094324</v>
      </c>
      <c r="Q1705" s="75">
        <f>IF(P1705&gt;0,1/P1705,NA())</f>
        <v>1.3065421935081245</v>
      </c>
      <c r="R1705" s="75">
        <f>F1705-F1704</f>
        <v>0.005028991339518285</v>
      </c>
      <c r="S1705" s="75">
        <f>0.5*(Q1704+Q1705)*R1705</f>
        <v>0.0065710738643278074</v>
      </c>
      <c r="T1705" s="75">
        <f>0.5*(F1704*Q1704+F1705*Q1705)*R1705</f>
        <v>0.04344477676472725</v>
      </c>
      <c r="U1705" s="76">
        <f>U1704+S1705</f>
        <v>8.142830885673998</v>
      </c>
      <c r="V1705" s="76">
        <f>V1704+T1705</f>
        <v>34.70561737687105</v>
      </c>
    </row>
    <row r="1706" spans="1:22" ht="19" customHeight="1">
      <c r="A1706" s="68" t="s">
        <v>374</v>
      </c>
      <c r="B1706" s="74">
        <v>3</v>
      </c>
      <c r="C1706" s="68" t="s">
        <v>363</v>
      </c>
      <c r="D1706" s="68" t="s">
        <v>364</v>
      </c>
      <c r="E1706" s="75">
        <f>60*F1706*'THAM_SO_MOI'!$C$51/(2*PI()*'THAM_SO_MOI'!$C$26)</f>
        <v>1662.667415291254</v>
      </c>
      <c r="F1706" s="75">
        <f>'HANH_TRINH'!$F$1647+('THAM_SO_MOI'!$F$51-'HANH_TRINH'!$F$1647)*58/'THAM_SO_MOI'!$C$42</f>
        <v>6.6190622250375855</v>
      </c>
      <c r="G1706" s="75">
        <f>3.6*F1706</f>
        <v>23.828624010135307</v>
      </c>
      <c r="H1706" s="75">
        <f>'THAM_SO_MOI'!$D$51</f>
        <v>1.375</v>
      </c>
      <c r="I1706" s="75">
        <f>IF(F1706&gt;'THAM_SO_MOI'!$C$14,'THAM_SO_MOI'!$C$13*(1+F1706^2/1500),'THAM_SO_MOI'!$C$13)</f>
        <v>0.015</v>
      </c>
      <c r="J1706" s="75">
        <f>'THAM_SO_MOI'!$C$40*('THAM_SO_MOI'!$C$23*(E1706/'THAM_SO_MOI'!$C$22)+'THAM_SO_MOI'!$C$24*(E1706/'THAM_SO_MOI'!$C$22)^2-'THAM_SO_MOI'!$C$25*(E1706/'THAM_SO_MOI'!$C$22)^3)</f>
        <v>72.73251760272376</v>
      </c>
      <c r="K1706" s="75">
        <f>'THAM_SO_MOI'!$C$31*J1706/E1706</f>
        <v>417.80780954251367</v>
      </c>
      <c r="L1706" s="75">
        <f>K1706*'THAM_SO_MOI'!$C$51*'THAM_SO_MOI'!$C$17/'THAM_SO_MOI'!$C$26</f>
        <v>9341.852780177618</v>
      </c>
      <c r="M1706" s="75">
        <f>'THAM_SO_MOI'!$C$15*'THAM_SO_MOI'!$C$16*F1706^2</f>
        <v>128.15005536133958</v>
      </c>
      <c r="N1706" s="75">
        <f>'THAM_SO_MOI'!$C$12*I1706</f>
        <v>1130.112</v>
      </c>
      <c r="O1706" s="75">
        <f>M1706+N1706</f>
        <v>1258.2620553613397</v>
      </c>
      <c r="P1706" s="75">
        <f>(MIN(L1706,'THAM_SO_MOI'!$C$41)-O1706)/('THAM_SO_MOI'!$C$11*H1706)</f>
        <v>0.7654915459106324</v>
      </c>
      <c r="Q1706" s="75">
        <f>IF(P1706&gt;0,1/P1706,NA())</f>
        <v>1.3063501554552053</v>
      </c>
      <c r="R1706" s="75">
        <f>F1706-F1705</f>
        <v>0.005028991339517397</v>
      </c>
      <c r="S1706" s="75">
        <f>0.5*(Q1705+Q1706)*R1706</f>
        <v>0.006570106497013927</v>
      </c>
      <c r="T1706" s="75">
        <f>0.5*(F1705*Q1705+F1706*Q1706)*R1706</f>
        <v>0.04347142201032552</v>
      </c>
      <c r="U1706" s="76">
        <f>U1705+S1706</f>
        <v>8.149400992171012</v>
      </c>
      <c r="V1706" s="76">
        <f>V1705+T1706</f>
        <v>34.749088798881374</v>
      </c>
    </row>
    <row r="1707" spans="1:22" ht="19" customHeight="1">
      <c r="A1707" s="68" t="s">
        <v>374</v>
      </c>
      <c r="B1707" s="74">
        <v>3</v>
      </c>
      <c r="C1707" s="68" t="s">
        <v>363</v>
      </c>
      <c r="D1707" s="68" t="s">
        <v>364</v>
      </c>
      <c r="E1707" s="75">
        <f>60*F1707*'THAM_SO_MOI'!$C$51/(2*PI()*'THAM_SO_MOI'!$C$26)</f>
        <v>1663.9306667531255</v>
      </c>
      <c r="F1707" s="75">
        <f>'HANH_TRINH'!$F$1647+('THAM_SO_MOI'!$F$51-'HANH_TRINH'!$F$1647)*59/'THAM_SO_MOI'!$C$42</f>
        <v>6.624091216377103</v>
      </c>
      <c r="G1707" s="75">
        <f>3.6*F1707</f>
        <v>23.84672837895757</v>
      </c>
      <c r="H1707" s="75">
        <f>'THAM_SO_MOI'!$D$51</f>
        <v>1.375</v>
      </c>
      <c r="I1707" s="75">
        <f>IF(F1707&gt;'THAM_SO_MOI'!$C$14,'THAM_SO_MOI'!$C$13*(1+F1707^2/1500),'THAM_SO_MOI'!$C$13)</f>
        <v>0.015</v>
      </c>
      <c r="J1707" s="75">
        <f>'THAM_SO_MOI'!$C$40*('THAM_SO_MOI'!$C$23*(E1707/'THAM_SO_MOI'!$C$22)+'THAM_SO_MOI'!$C$24*(E1707/'THAM_SO_MOI'!$C$22)^2-'THAM_SO_MOI'!$C$25*(E1707/'THAM_SO_MOI'!$C$22)^3)</f>
        <v>72.79852508350886</v>
      </c>
      <c r="K1707" s="75">
        <f>'THAM_SO_MOI'!$C$31*J1707/E1707</f>
        <v>417.86949938237075</v>
      </c>
      <c r="L1707" s="75">
        <f>K1707*'THAM_SO_MOI'!$C$51*'THAM_SO_MOI'!$C$17/'THAM_SO_MOI'!$C$26</f>
        <v>9343.232116295361</v>
      </c>
      <c r="M1707" s="75">
        <f>'THAM_SO_MOI'!$C$15*'THAM_SO_MOI'!$C$16*F1707^2</f>
        <v>128.34485949543654</v>
      </c>
      <c r="N1707" s="75">
        <f>'THAM_SO_MOI'!$C$12*I1707</f>
        <v>1130.112</v>
      </c>
      <c r="O1707" s="75">
        <f>M1707+N1707</f>
        <v>1258.4568594954367</v>
      </c>
      <c r="P1707" s="75">
        <f>(MIN(L1707,'THAM_SO_MOI'!$C$41)-O1707)/('THAM_SO_MOI'!$C$11*H1707)</f>
        <v>0.7656037174999928</v>
      </c>
      <c r="Q1707" s="75">
        <f>IF(P1707&gt;0,1/P1707,NA())</f>
        <v>1.3061587569942925</v>
      </c>
      <c r="R1707" s="75">
        <f>F1707-F1706</f>
        <v>0.005028991339517397</v>
      </c>
      <c r="S1707" s="75">
        <f>0.5*(Q1706+Q1707)*R1707</f>
        <v>0.006569142347560269</v>
      </c>
      <c r="T1707" s="75">
        <f>0.5*(F1706*Q1706+F1707*Q1707)*R1707</f>
        <v>0.04349807883346503</v>
      </c>
      <c r="U1707" s="76">
        <f>U1706+S1707</f>
        <v>8.155970134518572</v>
      </c>
      <c r="V1707" s="76">
        <f>V1706+T1707</f>
        <v>34.79258687771484</v>
      </c>
    </row>
    <row r="1708" spans="1:22" ht="19" customHeight="1">
      <c r="A1708" s="68" t="s">
        <v>374</v>
      </c>
      <c r="B1708" s="74">
        <v>3</v>
      </c>
      <c r="C1708" s="68" t="s">
        <v>363</v>
      </c>
      <c r="D1708" s="68" t="s">
        <v>364</v>
      </c>
      <c r="E1708" s="75">
        <f>60*F1708*'THAM_SO_MOI'!$C$51/(2*PI()*'THAM_SO_MOI'!$C$26)</f>
        <v>1665.1939182149974</v>
      </c>
      <c r="F1708" s="75">
        <f>'HANH_TRINH'!$F$1647+('THAM_SO_MOI'!$F$51-'HANH_TRINH'!$F$1647)*60/'THAM_SO_MOI'!$C$42</f>
        <v>6.629120207716621</v>
      </c>
      <c r="G1708" s="75">
        <f>3.6*F1708</f>
        <v>23.864832747779836</v>
      </c>
      <c r="H1708" s="75">
        <f>'THAM_SO_MOI'!$D$51</f>
        <v>1.375</v>
      </c>
      <c r="I1708" s="75">
        <f>IF(F1708&gt;'THAM_SO_MOI'!$C$14,'THAM_SO_MOI'!$C$13*(1+F1708^2/1500),'THAM_SO_MOI'!$C$13)</f>
        <v>0.015</v>
      </c>
      <c r="J1708" s="75">
        <f>'THAM_SO_MOI'!$C$40*('THAM_SO_MOI'!$C$23*(E1708/'THAM_SO_MOI'!$C$22)+'THAM_SO_MOI'!$C$24*(E1708/'THAM_SO_MOI'!$C$22)^2-'THAM_SO_MOI'!$C$25*(E1708/'THAM_SO_MOI'!$C$22)^3)</f>
        <v>72.86452189112535</v>
      </c>
      <c r="K1708" s="75">
        <f>'THAM_SO_MOI'!$C$31*J1708/E1708</f>
        <v>417.9310344053974</v>
      </c>
      <c r="L1708" s="75">
        <f>K1708*'THAM_SO_MOI'!$C$51*'THAM_SO_MOI'!$C$17/'THAM_SO_MOI'!$C$26</f>
        <v>9344.607990830998</v>
      </c>
      <c r="M1708" s="75">
        <f>'THAM_SO_MOI'!$C$15*'THAM_SO_MOI'!$C$16*F1708^2</f>
        <v>128.53981158044382</v>
      </c>
      <c r="N1708" s="75">
        <f>'THAM_SO_MOI'!$C$12*I1708</f>
        <v>1130.112</v>
      </c>
      <c r="O1708" s="75">
        <f>M1708+N1708</f>
        <v>1258.6518115804438</v>
      </c>
      <c r="P1708" s="75">
        <f>(MIN(L1708,'THAM_SO_MOI'!$C$41)-O1708)/('THAM_SO_MOI'!$C$11*H1708)</f>
        <v>0.7657155472775147</v>
      </c>
      <c r="Q1708" s="75">
        <f>IF(P1708&gt;0,1/P1708,NA())</f>
        <v>1.3059679975879799</v>
      </c>
      <c r="R1708" s="75">
        <f>F1708-F1707</f>
        <v>0.005028991339518285</v>
      </c>
      <c r="S1708" s="75">
        <f>0.5*(Q1707+Q1708)*R1708</f>
        <v>0.006568181413259126</v>
      </c>
      <c r="T1708" s="75">
        <f>0.5*(F1707*Q1707+F1708*Q1708)*R1708</f>
        <v>0.04352474726475066</v>
      </c>
      <c r="U1708" s="76">
        <f>U1707+S1708</f>
        <v>8.162538315931831</v>
      </c>
      <c r="V1708" s="76">
        <f>V1707+T1708</f>
        <v>34.83611162497959</v>
      </c>
    </row>
    <row r="1709" spans="1:22" ht="19" customHeight="1">
      <c r="A1709" s="68" t="s">
        <v>374</v>
      </c>
      <c r="B1709" s="74">
        <v>3</v>
      </c>
      <c r="C1709" s="68" t="s">
        <v>363</v>
      </c>
      <c r="D1709" s="68" t="s">
        <v>364</v>
      </c>
      <c r="E1709" s="75">
        <f>60*F1709*'THAM_SO_MOI'!$C$51/(2*PI()*'THAM_SO_MOI'!$C$26)</f>
        <v>1666.457169676869</v>
      </c>
      <c r="F1709" s="75">
        <f>'HANH_TRINH'!$F$1647+('THAM_SO_MOI'!$F$51-'HANH_TRINH'!$F$1647)*61/'THAM_SO_MOI'!$C$42</f>
        <v>6.6341491990561385</v>
      </c>
      <c r="G1709" s="75">
        <f>3.6*F1709</f>
        <v>23.8829371166021</v>
      </c>
      <c r="H1709" s="75">
        <f>'THAM_SO_MOI'!$D$51</f>
        <v>1.375</v>
      </c>
      <c r="I1709" s="75">
        <f>IF(F1709&gt;'THAM_SO_MOI'!$C$14,'THAM_SO_MOI'!$C$13*(1+F1709^2/1500),'THAM_SO_MOI'!$C$13)</f>
        <v>0.015</v>
      </c>
      <c r="J1709" s="75">
        <f>'THAM_SO_MOI'!$C$40*('THAM_SO_MOI'!$C$23*(E1709/'THAM_SO_MOI'!$C$22)+'THAM_SO_MOI'!$C$24*(E1709/'THAM_SO_MOI'!$C$22)^2-'THAM_SO_MOI'!$C$25*(E1709/'THAM_SO_MOI'!$C$22)^3)</f>
        <v>72.93050796414379</v>
      </c>
      <c r="K1709" s="75">
        <f>'THAM_SO_MOI'!$C$31*J1709/E1709</f>
        <v>417.9924146115934</v>
      </c>
      <c r="L1709" s="75">
        <f>K1709*'THAM_SO_MOI'!$C$51*'THAM_SO_MOI'!$C$17/'THAM_SO_MOI'!$C$26</f>
        <v>9345.980403784522</v>
      </c>
      <c r="M1709" s="75">
        <f>'THAM_SO_MOI'!$C$15*'THAM_SO_MOI'!$C$16*F1709^2</f>
        <v>128.73491161636133</v>
      </c>
      <c r="N1709" s="75">
        <f>'THAM_SO_MOI'!$C$12*I1709</f>
        <v>1130.112</v>
      </c>
      <c r="O1709" s="75">
        <f>M1709+N1709</f>
        <v>1258.8469116163615</v>
      </c>
      <c r="P1709" s="75">
        <f>(MIN(L1709,'THAM_SO_MOI'!$C$41)-O1709)/('THAM_SO_MOI'!$C$11*H1709)</f>
        <v>0.7658270352431972</v>
      </c>
      <c r="Q1709" s="75">
        <f>IF(P1709&gt;0,1/P1709,NA())</f>
        <v>1.3057778767008905</v>
      </c>
      <c r="R1709" s="75">
        <f>F1709-F1708</f>
        <v>0.005028991339517397</v>
      </c>
      <c r="S1709" s="75">
        <f>0.5*(Q1708+Q1709)*R1709</f>
        <v>0.006567223691409511</v>
      </c>
      <c r="T1709" s="75">
        <f>0.5*(F1708*Q1708+F1709*Q1709)*R1709</f>
        <v>0.04355142733477738</v>
      </c>
      <c r="U1709" s="76">
        <f>U1708+S1709</f>
        <v>8.16910553962324</v>
      </c>
      <c r="V1709" s="76">
        <f>V1708+T1709</f>
        <v>34.87966305231436</v>
      </c>
    </row>
    <row r="1710" spans="1:22" ht="19" customHeight="1">
      <c r="A1710" s="68" t="s">
        <v>374</v>
      </c>
      <c r="B1710" s="74">
        <v>3</v>
      </c>
      <c r="C1710" s="68" t="s">
        <v>363</v>
      </c>
      <c r="D1710" s="68" t="s">
        <v>364</v>
      </c>
      <c r="E1710" s="75">
        <f>60*F1710*'THAM_SO_MOI'!$C$51/(2*PI()*'THAM_SO_MOI'!$C$26)</f>
        <v>1667.7204211387407</v>
      </c>
      <c r="F1710" s="75">
        <f>'HANH_TRINH'!$F$1647+('THAM_SO_MOI'!$F$51-'HANH_TRINH'!$F$1647)*62/'THAM_SO_MOI'!$C$42</f>
        <v>6.639178190395656</v>
      </c>
      <c r="G1710" s="75">
        <f>3.6*F1710</f>
        <v>23.90104148542436</v>
      </c>
      <c r="H1710" s="75">
        <f>'THAM_SO_MOI'!$D$51</f>
        <v>1.375</v>
      </c>
      <c r="I1710" s="75">
        <f>IF(F1710&gt;'THAM_SO_MOI'!$C$14,'THAM_SO_MOI'!$C$13*(1+F1710^2/1500),'THAM_SO_MOI'!$C$13)</f>
        <v>0.015</v>
      </c>
      <c r="J1710" s="75">
        <f>'THAM_SO_MOI'!$C$40*('THAM_SO_MOI'!$C$23*(E1710/'THAM_SO_MOI'!$C$22)+'THAM_SO_MOI'!$C$24*(E1710/'THAM_SO_MOI'!$C$22)^2-'THAM_SO_MOI'!$C$25*(E1710/'THAM_SO_MOI'!$C$22)^3)</f>
        <v>72.99648324113491</v>
      </c>
      <c r="K1710" s="75">
        <f>'THAM_SO_MOI'!$C$31*J1710/E1710</f>
        <v>418.05364000095915</v>
      </c>
      <c r="L1710" s="75">
        <f>K1710*'THAM_SO_MOI'!$C$51*'THAM_SO_MOI'!$C$17/'THAM_SO_MOI'!$C$26</f>
        <v>9347.349355155944</v>
      </c>
      <c r="M1710" s="75">
        <f>'THAM_SO_MOI'!$C$15*'THAM_SO_MOI'!$C$16*F1710^2</f>
        <v>128.93015960318914</v>
      </c>
      <c r="N1710" s="75">
        <f>'THAM_SO_MOI'!$C$12*I1710</f>
        <v>1130.112</v>
      </c>
      <c r="O1710" s="75">
        <f>M1710+N1710</f>
        <v>1259.0421596031892</v>
      </c>
      <c r="P1710" s="75">
        <f>(MIN(L1710,'THAM_SO_MOI'!$C$41)-O1710)/('THAM_SO_MOI'!$C$11*H1710)</f>
        <v>0.7659381813970412</v>
      </c>
      <c r="Q1710" s="75">
        <f>IF(P1710&gt;0,1/P1710,NA())</f>
        <v>1.3055883937996657</v>
      </c>
      <c r="R1710" s="75">
        <f>F1710-F1709</f>
        <v>0.005028991339517397</v>
      </c>
      <c r="S1710" s="75">
        <f>0.5*(Q1709+Q1710)*R1710</f>
        <v>0.0065662691793275715</v>
      </c>
      <c r="T1710" s="75">
        <f>0.5*(F1709*Q1709+F1710*Q1710)*R1710</f>
        <v>0.04357811907419955</v>
      </c>
      <c r="U1710" s="76">
        <f>U1709+S1710</f>
        <v>8.175671808802567</v>
      </c>
      <c r="V1710" s="76">
        <f>V1709+T1710</f>
        <v>34.92324117138856</v>
      </c>
    </row>
    <row r="1711" spans="1:22" ht="19" customHeight="1">
      <c r="A1711" s="68" t="s">
        <v>374</v>
      </c>
      <c r="B1711" s="74">
        <v>3</v>
      </c>
      <c r="C1711" s="68" t="s">
        <v>363</v>
      </c>
      <c r="D1711" s="68" t="s">
        <v>364</v>
      </c>
      <c r="E1711" s="75">
        <f>60*F1711*'THAM_SO_MOI'!$C$51/(2*PI()*'THAM_SO_MOI'!$C$26)</f>
        <v>1668.9836726006124</v>
      </c>
      <c r="F1711" s="75">
        <f>'HANH_TRINH'!$F$1647+('THAM_SO_MOI'!$F$51-'HANH_TRINH'!$F$1647)*63/'THAM_SO_MOI'!$C$42</f>
        <v>6.644207181735174</v>
      </c>
      <c r="G1711" s="75">
        <f>3.6*F1711</f>
        <v>23.91914585424663</v>
      </c>
      <c r="H1711" s="75">
        <f>'THAM_SO_MOI'!$D$51</f>
        <v>1.375</v>
      </c>
      <c r="I1711" s="75">
        <f>IF(F1711&gt;'THAM_SO_MOI'!$C$14,'THAM_SO_MOI'!$C$13*(1+F1711^2/1500),'THAM_SO_MOI'!$C$13)</f>
        <v>0.015</v>
      </c>
      <c r="J1711" s="75">
        <f>'THAM_SO_MOI'!$C$40*('THAM_SO_MOI'!$C$23*(E1711/'THAM_SO_MOI'!$C$22)+'THAM_SO_MOI'!$C$24*(E1711/'THAM_SO_MOI'!$C$22)^2-'THAM_SO_MOI'!$C$25*(E1711/'THAM_SO_MOI'!$C$22)^3)</f>
        <v>73.06244766066932</v>
      </c>
      <c r="K1711" s="75">
        <f>'THAM_SO_MOI'!$C$31*J1711/E1711</f>
        <v>418.1147105734942</v>
      </c>
      <c r="L1711" s="75">
        <f>K1711*'THAM_SO_MOI'!$C$51*'THAM_SO_MOI'!$C$17/'THAM_SO_MOI'!$C$26</f>
        <v>9348.714844945252</v>
      </c>
      <c r="M1711" s="75">
        <f>'THAM_SO_MOI'!$C$15*'THAM_SO_MOI'!$C$16*F1711^2</f>
        <v>129.12555554092722</v>
      </c>
      <c r="N1711" s="75">
        <f>'THAM_SO_MOI'!$C$12*I1711</f>
        <v>1130.112</v>
      </c>
      <c r="O1711" s="75">
        <f>M1711+N1711</f>
        <v>1259.2375555409274</v>
      </c>
      <c r="P1711" s="75">
        <f>(MIN(L1711,'THAM_SO_MOI'!$C$41)-O1711)/('THAM_SO_MOI'!$C$11*H1711)</f>
        <v>0.7660489857390459</v>
      </c>
      <c r="Q1711" s="75">
        <f>IF(P1711&gt;0,1/P1711,NA())</f>
        <v>1.3053995483529683</v>
      </c>
      <c r="R1711" s="75">
        <f>F1711-F1710</f>
        <v>0.005028991339518285</v>
      </c>
      <c r="S1711" s="75">
        <f>0.5*(Q1710+Q1711)*R1711</f>
        <v>0.006565317874336132</v>
      </c>
      <c r="T1711" s="75">
        <f>0.5*(F1710*Q1710+F1711*Q1711)*R1711</f>
        <v>0.043604822513661906</v>
      </c>
      <c r="U1711" s="76">
        <f>U1710+S1711</f>
        <v>8.182237126676904</v>
      </c>
      <c r="V1711" s="76">
        <f>V1710+T1711</f>
        <v>34.966845993902226</v>
      </c>
    </row>
    <row r="1712" spans="1:22" ht="19" customHeight="1">
      <c r="A1712" s="68" t="s">
        <v>374</v>
      </c>
      <c r="B1712" s="74">
        <v>3</v>
      </c>
      <c r="C1712" s="68" t="s">
        <v>363</v>
      </c>
      <c r="D1712" s="68" t="s">
        <v>364</v>
      </c>
      <c r="E1712" s="75">
        <f>60*F1712*'THAM_SO_MOI'!$C$51/(2*PI()*'THAM_SO_MOI'!$C$26)</f>
        <v>1670.2469240624837</v>
      </c>
      <c r="F1712" s="75">
        <f>'HANH_TRINH'!$F$1647+('THAM_SO_MOI'!$F$51-'HANH_TRINH'!$F$1647)*64/'THAM_SO_MOI'!$C$42</f>
        <v>6.649236173074692</v>
      </c>
      <c r="G1712" s="75">
        <f>3.6*F1712</f>
        <v>23.93725022306889</v>
      </c>
      <c r="H1712" s="75">
        <f>'THAM_SO_MOI'!$D$51</f>
        <v>1.375</v>
      </c>
      <c r="I1712" s="75">
        <f>IF(F1712&gt;'THAM_SO_MOI'!$C$14,'THAM_SO_MOI'!$C$13*(1+F1712^2/1500),'THAM_SO_MOI'!$C$13)</f>
        <v>0.015</v>
      </c>
      <c r="J1712" s="75">
        <f>'THAM_SO_MOI'!$C$40*('THAM_SO_MOI'!$C$23*(E1712/'THAM_SO_MOI'!$C$22)+'THAM_SO_MOI'!$C$24*(E1712/'THAM_SO_MOI'!$C$22)^2-'THAM_SO_MOI'!$C$25*(E1712/'THAM_SO_MOI'!$C$22)^3)</f>
        <v>73.12840116131765</v>
      </c>
      <c r="K1712" s="75">
        <f>'THAM_SO_MOI'!$C$31*J1712/E1712</f>
        <v>418.17562632919885</v>
      </c>
      <c r="L1712" s="75">
        <f>K1712*'THAM_SO_MOI'!$C$51*'THAM_SO_MOI'!$C$17/'THAM_SO_MOI'!$C$26</f>
        <v>9350.076873152455</v>
      </c>
      <c r="M1712" s="75">
        <f>'THAM_SO_MOI'!$C$15*'THAM_SO_MOI'!$C$16*F1712^2</f>
        <v>129.32109942957553</v>
      </c>
      <c r="N1712" s="75">
        <f>'THAM_SO_MOI'!$C$12*I1712</f>
        <v>1130.112</v>
      </c>
      <c r="O1712" s="75">
        <f>M1712+N1712</f>
        <v>1259.4330994295756</v>
      </c>
      <c r="P1712" s="75">
        <f>(MIN(L1712,'THAM_SO_MOI'!$C$41)-O1712)/('THAM_SO_MOI'!$C$11*H1712)</f>
        <v>0.7661594482692121</v>
      </c>
      <c r="Q1712" s="75">
        <f>IF(P1712&gt;0,1/P1712,NA())</f>
        <v>1.3052113398314724</v>
      </c>
      <c r="R1712" s="75">
        <f>F1712-F1711</f>
        <v>0.005028991339517397</v>
      </c>
      <c r="S1712" s="75">
        <f>0.5*(Q1711+Q1712)*R1712</f>
        <v>0.0065643697737646865</v>
      </c>
      <c r="T1712" s="75">
        <f>0.5*(F1711*Q1711+F1712*Q1712)*R1712</f>
        <v>0.043631537683799605</v>
      </c>
      <c r="U1712" s="76">
        <f>U1711+S1712</f>
        <v>8.188801496450669</v>
      </c>
      <c r="V1712" s="76">
        <f>V1711+T1712</f>
        <v>35.01047753158603</v>
      </c>
    </row>
    <row r="1713" spans="1:22" ht="19" customHeight="1">
      <c r="A1713" s="68" t="s">
        <v>374</v>
      </c>
      <c r="B1713" s="74">
        <v>3</v>
      </c>
      <c r="C1713" s="68" t="s">
        <v>363</v>
      </c>
      <c r="D1713" s="68" t="s">
        <v>364</v>
      </c>
      <c r="E1713" s="75">
        <f>60*F1713*'THAM_SO_MOI'!$C$51/(2*PI()*'THAM_SO_MOI'!$C$26)</f>
        <v>1671.5101755243554</v>
      </c>
      <c r="F1713" s="75">
        <f>'HANH_TRINH'!$F$1647+('THAM_SO_MOI'!$F$51-'HANH_TRINH'!$F$1647)*65/'THAM_SO_MOI'!$C$42</f>
        <v>6.654265164414209</v>
      </c>
      <c r="G1713" s="75">
        <f>3.6*F1713</f>
        <v>23.955354591891155</v>
      </c>
      <c r="H1713" s="75">
        <f>'THAM_SO_MOI'!$D$51</f>
        <v>1.375</v>
      </c>
      <c r="I1713" s="75">
        <f>IF(F1713&gt;'THAM_SO_MOI'!$C$14,'THAM_SO_MOI'!$C$13*(1+F1713^2/1500),'THAM_SO_MOI'!$C$13)</f>
        <v>0.015</v>
      </c>
      <c r="J1713" s="75">
        <f>'THAM_SO_MOI'!$C$40*('THAM_SO_MOI'!$C$23*(E1713/'THAM_SO_MOI'!$C$22)+'THAM_SO_MOI'!$C$24*(E1713/'THAM_SO_MOI'!$C$22)^2-'THAM_SO_MOI'!$C$25*(E1713/'THAM_SO_MOI'!$C$22)^3)</f>
        <v>73.19434368165058</v>
      </c>
      <c r="K1713" s="75">
        <f>'THAM_SO_MOI'!$C$31*J1713/E1713</f>
        <v>418.2363872680729</v>
      </c>
      <c r="L1713" s="75">
        <f>K1713*'THAM_SO_MOI'!$C$51*'THAM_SO_MOI'!$C$17/'THAM_SO_MOI'!$C$26</f>
        <v>9351.435439777548</v>
      </c>
      <c r="M1713" s="75">
        <f>'THAM_SO_MOI'!$C$15*'THAM_SO_MOI'!$C$16*F1713^2</f>
        <v>129.51679126913416</v>
      </c>
      <c r="N1713" s="75">
        <f>'THAM_SO_MOI'!$C$12*I1713</f>
        <v>1130.112</v>
      </c>
      <c r="O1713" s="75">
        <f>M1713+N1713</f>
        <v>1259.6287912691341</v>
      </c>
      <c r="P1713" s="75">
        <f>(MIN(L1713,'THAM_SO_MOI'!$C$41)-O1713)/('THAM_SO_MOI'!$C$11*H1713)</f>
        <v>0.7662695689875392</v>
      </c>
      <c r="Q1713" s="75">
        <f>IF(P1713&gt;0,1/P1713,NA())</f>
        <v>1.3050237677078649</v>
      </c>
      <c r="R1713" s="75">
        <f>F1713-F1712</f>
        <v>0.005028991339517397</v>
      </c>
      <c r="S1713" s="75">
        <f>0.5*(Q1712+Q1713)*R1713</f>
        <v>0.006563424874959794</v>
      </c>
      <c r="T1713" s="75">
        <f>0.5*(F1712*Q1712+F1713*Q1713)*R1713</f>
        <v>0.04365826461530767</v>
      </c>
      <c r="U1713" s="76">
        <f>U1712+S1713</f>
        <v>8.195364921325629</v>
      </c>
      <c r="V1713" s="76">
        <f>V1712+T1713</f>
        <v>35.05413579620134</v>
      </c>
    </row>
    <row r="1714" spans="1:22" ht="19" customHeight="1">
      <c r="A1714" s="68" t="s">
        <v>374</v>
      </c>
      <c r="B1714" s="74">
        <v>3</v>
      </c>
      <c r="C1714" s="68" t="s">
        <v>363</v>
      </c>
      <c r="D1714" s="68" t="s">
        <v>364</v>
      </c>
      <c r="E1714" s="75">
        <f>60*F1714*'THAM_SO_MOI'!$C$51/(2*PI()*'THAM_SO_MOI'!$C$26)</f>
        <v>1672.7734269862272</v>
      </c>
      <c r="F1714" s="75">
        <f>'HANH_TRINH'!$F$1647+('THAM_SO_MOI'!$F$51-'HANH_TRINH'!$F$1647)*66/'THAM_SO_MOI'!$C$42</f>
        <v>6.659294155753727</v>
      </c>
      <c r="G1714" s="75">
        <f>3.6*F1714</f>
        <v>23.97345896071342</v>
      </c>
      <c r="H1714" s="75">
        <f>'THAM_SO_MOI'!$D$51</f>
        <v>1.375</v>
      </c>
      <c r="I1714" s="75">
        <f>IF(F1714&gt;'THAM_SO_MOI'!$C$14,'THAM_SO_MOI'!$C$13*(1+F1714^2/1500),'THAM_SO_MOI'!$C$13)</f>
        <v>0.015</v>
      </c>
      <c r="J1714" s="75">
        <f>'THAM_SO_MOI'!$C$40*('THAM_SO_MOI'!$C$23*(E1714/'THAM_SO_MOI'!$C$22)+'THAM_SO_MOI'!$C$24*(E1714/'THAM_SO_MOI'!$C$22)^2-'THAM_SO_MOI'!$C$25*(E1714/'THAM_SO_MOI'!$C$22)^3)</f>
        <v>73.26027516023876</v>
      </c>
      <c r="K1714" s="75">
        <f>'THAM_SO_MOI'!$C$31*J1714/E1714</f>
        <v>418.29699339011654</v>
      </c>
      <c r="L1714" s="75">
        <f>K1714*'THAM_SO_MOI'!$C$51*'THAM_SO_MOI'!$C$17/'THAM_SO_MOI'!$C$26</f>
        <v>9352.79054482053</v>
      </c>
      <c r="M1714" s="75">
        <f>'THAM_SO_MOI'!$C$15*'THAM_SO_MOI'!$C$16*F1714^2</f>
        <v>129.71263105960307</v>
      </c>
      <c r="N1714" s="75">
        <f>'THAM_SO_MOI'!$C$12*I1714</f>
        <v>1130.112</v>
      </c>
      <c r="O1714" s="75">
        <f>M1714+N1714</f>
        <v>1259.8246310596032</v>
      </c>
      <c r="P1714" s="75">
        <f>(MIN(L1714,'THAM_SO_MOI'!$C$41)-O1714)/('THAM_SO_MOI'!$C$11*H1714)</f>
        <v>0.7663793478940271</v>
      </c>
      <c r="Q1714" s="75">
        <f>IF(P1714&gt;0,1/P1714,NA())</f>
        <v>1.304836831456838</v>
      </c>
      <c r="R1714" s="75">
        <f>F1714-F1713</f>
        <v>0.005028991339518285</v>
      </c>
      <c r="S1714" s="75">
        <f>0.5*(Q1713+Q1714)*R1714</f>
        <v>0.006562483175274647</v>
      </c>
      <c r="T1714" s="75">
        <f>0.5*(F1713*Q1713+F1714*Q1714)*R1714</f>
        <v>0.04368500333887184</v>
      </c>
      <c r="U1714" s="76">
        <f>U1713+S1714</f>
        <v>8.201927404500903</v>
      </c>
      <c r="V1714" s="76">
        <f>V1713+T1714</f>
        <v>35.09782079954021</v>
      </c>
    </row>
    <row r="1715" spans="1:22" ht="19" customHeight="1">
      <c r="A1715" s="68" t="s">
        <v>374</v>
      </c>
      <c r="B1715" s="74">
        <v>3</v>
      </c>
      <c r="C1715" s="68" t="s">
        <v>363</v>
      </c>
      <c r="D1715" s="68" t="s">
        <v>364</v>
      </c>
      <c r="E1715" s="75">
        <f>60*F1715*'THAM_SO_MOI'!$C$51/(2*PI()*'THAM_SO_MOI'!$C$26)</f>
        <v>1674.0366784480989</v>
      </c>
      <c r="F1715" s="75">
        <f>'HANH_TRINH'!$F$1647+('THAM_SO_MOI'!$F$51-'HANH_TRINH'!$F$1647)*67/'THAM_SO_MOI'!$C$42</f>
        <v>6.664323147093245</v>
      </c>
      <c r="G1715" s="75">
        <f>3.6*F1715</f>
        <v>23.99156332953568</v>
      </c>
      <c r="H1715" s="75">
        <f>'THAM_SO_MOI'!$D$51</f>
        <v>1.375</v>
      </c>
      <c r="I1715" s="75">
        <f>IF(F1715&gt;'THAM_SO_MOI'!$C$14,'THAM_SO_MOI'!$C$13*(1+F1715^2/1500),'THAM_SO_MOI'!$C$13)</f>
        <v>0.015</v>
      </c>
      <c r="J1715" s="75">
        <f>'THAM_SO_MOI'!$C$40*('THAM_SO_MOI'!$C$23*(E1715/'THAM_SO_MOI'!$C$22)+'THAM_SO_MOI'!$C$24*(E1715/'THAM_SO_MOI'!$C$22)^2-'THAM_SO_MOI'!$C$25*(E1715/'THAM_SO_MOI'!$C$22)^3)</f>
        <v>73.32619553565286</v>
      </c>
      <c r="K1715" s="75">
        <f>'THAM_SO_MOI'!$C$31*J1715/E1715</f>
        <v>418.35744469532966</v>
      </c>
      <c r="L1715" s="75">
        <f>K1715*'THAM_SO_MOI'!$C$51*'THAM_SO_MOI'!$C$17/'THAM_SO_MOI'!$C$26</f>
        <v>9354.142188281403</v>
      </c>
      <c r="M1715" s="75">
        <f>'THAM_SO_MOI'!$C$15*'THAM_SO_MOI'!$C$16*F1715^2</f>
        <v>129.90861880098223</v>
      </c>
      <c r="N1715" s="75">
        <f>'THAM_SO_MOI'!$C$12*I1715</f>
        <v>1130.112</v>
      </c>
      <c r="O1715" s="75">
        <f>M1715+N1715</f>
        <v>1260.0206188009822</v>
      </c>
      <c r="P1715" s="75">
        <f>(MIN(L1715,'THAM_SO_MOI'!$C$41)-O1715)/('THAM_SO_MOI'!$C$11*H1715)</f>
        <v>0.7664887849886762</v>
      </c>
      <c r="Q1715" s="75">
        <f>IF(P1715&gt;0,1/P1715,NA())</f>
        <v>1.3046505305550864</v>
      </c>
      <c r="R1715" s="75">
        <f>F1715-F1714</f>
        <v>0.005028991339517397</v>
      </c>
      <c r="S1715" s="75">
        <f>0.5*(Q1714+Q1715)*R1715</f>
        <v>0.006561544672069032</v>
      </c>
      <c r="T1715" s="75">
        <f>0.5*(F1714*Q1714+F1715*Q1715)*R1715</f>
        <v>0.043711753885168604</v>
      </c>
      <c r="U1715" s="76">
        <f>U1714+S1715</f>
        <v>8.208488949172972</v>
      </c>
      <c r="V1715" s="76">
        <f>V1714+T1715</f>
        <v>35.14153255342538</v>
      </c>
    </row>
    <row r="1716" spans="1:22" ht="19" customHeight="1">
      <c r="A1716" s="68" t="s">
        <v>374</v>
      </c>
      <c r="B1716" s="74">
        <v>3</v>
      </c>
      <c r="C1716" s="68" t="s">
        <v>363</v>
      </c>
      <c r="D1716" s="68" t="s">
        <v>364</v>
      </c>
      <c r="E1716" s="75">
        <f>60*F1716*'THAM_SO_MOI'!$C$51/(2*PI()*'THAM_SO_MOI'!$C$26)</f>
        <v>1675.2999299099704</v>
      </c>
      <c r="F1716" s="75">
        <f>'HANH_TRINH'!$F$1647+('THAM_SO_MOI'!$F$51-'HANH_TRINH'!$F$1647)*68/'THAM_SO_MOI'!$C$42</f>
        <v>6.669352138432762</v>
      </c>
      <c r="G1716" s="75">
        <f>3.6*F1716</f>
        <v>24.009667698357944</v>
      </c>
      <c r="H1716" s="75">
        <f>'THAM_SO_MOI'!$D$51</f>
        <v>1.375</v>
      </c>
      <c r="I1716" s="75">
        <f>IF(F1716&gt;'THAM_SO_MOI'!$C$14,'THAM_SO_MOI'!$C$13*(1+F1716^2/1500),'THAM_SO_MOI'!$C$13)</f>
        <v>0.015</v>
      </c>
      <c r="J1716" s="75">
        <f>'THAM_SO_MOI'!$C$40*('THAM_SO_MOI'!$C$23*(E1716/'THAM_SO_MOI'!$C$22)+'THAM_SO_MOI'!$C$24*(E1716/'THAM_SO_MOI'!$C$22)^2-'THAM_SO_MOI'!$C$25*(E1716/'THAM_SO_MOI'!$C$22)^3)</f>
        <v>73.39210474646349</v>
      </c>
      <c r="K1716" s="75">
        <f>'THAM_SO_MOI'!$C$31*J1716/E1716</f>
        <v>418.41774118371234</v>
      </c>
      <c r="L1716" s="75">
        <f>K1716*'THAM_SO_MOI'!$C$51*'THAM_SO_MOI'!$C$17/'THAM_SO_MOI'!$C$26</f>
        <v>9355.490370160172</v>
      </c>
      <c r="M1716" s="75">
        <f>'THAM_SO_MOI'!$C$15*'THAM_SO_MOI'!$C$16*F1716^2</f>
        <v>130.10475449327166</v>
      </c>
      <c r="N1716" s="75">
        <f>'THAM_SO_MOI'!$C$12*I1716</f>
        <v>1130.112</v>
      </c>
      <c r="O1716" s="75">
        <f>M1716+N1716</f>
        <v>1260.2167544932718</v>
      </c>
      <c r="P1716" s="75">
        <f>(MIN(L1716,'THAM_SO_MOI'!$C$41)-O1716)/('THAM_SO_MOI'!$C$11*H1716)</f>
        <v>0.7665978802714868</v>
      </c>
      <c r="Q1716" s="75">
        <f>IF(P1716&gt;0,1/P1716,NA())</f>
        <v>1.3044648644813042</v>
      </c>
      <c r="R1716" s="75">
        <f>F1716-F1715</f>
        <v>0.005028991339517397</v>
      </c>
      <c r="S1716" s="75">
        <f>0.5*(Q1715+Q1716)*R1716</f>
        <v>0.006560609362719759</v>
      </c>
      <c r="T1716" s="75">
        <f>0.5*(F1715*Q1715+F1716*Q1716)*R1716</f>
        <v>0.04373851628493475</v>
      </c>
      <c r="U1716" s="76">
        <f>U1715+S1716</f>
        <v>8.215049558535693</v>
      </c>
      <c r="V1716" s="76">
        <f>V1715+T1716</f>
        <v>35.18527106971031</v>
      </c>
    </row>
    <row r="1717" spans="1:22" ht="19" customHeight="1">
      <c r="A1717" s="68" t="s">
        <v>374</v>
      </c>
      <c r="B1717" s="74">
        <v>3</v>
      </c>
      <c r="C1717" s="68" t="s">
        <v>363</v>
      </c>
      <c r="D1717" s="68" t="s">
        <v>364</v>
      </c>
      <c r="E1717" s="75">
        <f>60*F1717*'THAM_SO_MOI'!$C$51/(2*PI()*'THAM_SO_MOI'!$C$26)</f>
        <v>1676.5631813718421</v>
      </c>
      <c r="F1717" s="75">
        <f>'HANH_TRINH'!$F$1647+('THAM_SO_MOI'!$F$51-'HANH_TRINH'!$F$1647)*69/'THAM_SO_MOI'!$C$42</f>
        <v>6.67438112977228</v>
      </c>
      <c r="G1717" s="75">
        <f>3.6*F1717</f>
        <v>24.02777206718021</v>
      </c>
      <c r="H1717" s="75">
        <f>'THAM_SO_MOI'!$D$51</f>
        <v>1.375</v>
      </c>
      <c r="I1717" s="75">
        <f>IF(F1717&gt;'THAM_SO_MOI'!$C$14,'THAM_SO_MOI'!$C$13*(1+F1717^2/1500),'THAM_SO_MOI'!$C$13)</f>
        <v>0.015</v>
      </c>
      <c r="J1717" s="75">
        <f>'THAM_SO_MOI'!$C$40*('THAM_SO_MOI'!$C$23*(E1717/'THAM_SO_MOI'!$C$22)+'THAM_SO_MOI'!$C$24*(E1717/'THAM_SO_MOI'!$C$22)^2-'THAM_SO_MOI'!$C$25*(E1717/'THAM_SO_MOI'!$C$22)^3)</f>
        <v>73.45800273124131</v>
      </c>
      <c r="K1717" s="75">
        <f>'THAM_SO_MOI'!$C$31*J1717/E1717</f>
        <v>418.47788285526434</v>
      </c>
      <c r="L1717" s="75">
        <f>K1717*'THAM_SO_MOI'!$C$51*'THAM_SO_MOI'!$C$17/'THAM_SO_MOI'!$C$26</f>
        <v>9356.835090456827</v>
      </c>
      <c r="M1717" s="75">
        <f>'THAM_SO_MOI'!$C$15*'THAM_SO_MOI'!$C$16*F1717^2</f>
        <v>130.3010381364714</v>
      </c>
      <c r="N1717" s="75">
        <f>'THAM_SO_MOI'!$C$12*I1717</f>
        <v>1130.112</v>
      </c>
      <c r="O1717" s="75">
        <f>M1717+N1717</f>
        <v>1260.4130381364714</v>
      </c>
      <c r="P1717" s="75">
        <f>(MIN(L1717,'THAM_SO_MOI'!$C$41)-O1717)/('THAM_SO_MOI'!$C$11*H1717)</f>
        <v>0.766706633742458</v>
      </c>
      <c r="Q1717" s="75">
        <f>IF(P1717&gt;0,1/P1717,NA())</f>
        <v>1.304279832716182</v>
      </c>
      <c r="R1717" s="75">
        <f>F1717-F1716</f>
        <v>0.005028991339518285</v>
      </c>
      <c r="S1717" s="75">
        <f>0.5*(Q1716+Q1717)*R1717</f>
        <v>0.006559677244610204</v>
      </c>
      <c r="T1717" s="75">
        <f>0.5*(F1716*Q1716+F1717*Q1717)*R1717</f>
        <v>0.043765290568898184</v>
      </c>
      <c r="U1717" s="76">
        <f>U1716+S1717</f>
        <v>8.221609235780303</v>
      </c>
      <c r="V1717" s="76">
        <f>V1716+T1717</f>
        <v>35.22903636027921</v>
      </c>
    </row>
    <row r="1718" spans="1:22" ht="19" customHeight="1">
      <c r="A1718" s="68" t="s">
        <v>374</v>
      </c>
      <c r="B1718" s="74">
        <v>3</v>
      </c>
      <c r="C1718" s="68" t="s">
        <v>363</v>
      </c>
      <c r="D1718" s="68" t="s">
        <v>364</v>
      </c>
      <c r="E1718" s="75">
        <f>60*F1718*'THAM_SO_MOI'!$C$51/(2*PI()*'THAM_SO_MOI'!$C$26)</f>
        <v>1677.8264328337134</v>
      </c>
      <c r="F1718" s="75">
        <f>'HANH_TRINH'!$F$1647+('THAM_SO_MOI'!$F$51-'HANH_TRINH'!$F$1647)*70/'THAM_SO_MOI'!$C$42</f>
        <v>6.679410121111798</v>
      </c>
      <c r="G1718" s="75">
        <f>3.6*F1718</f>
        <v>24.045876436002473</v>
      </c>
      <c r="H1718" s="75">
        <f>'THAM_SO_MOI'!$D$51</f>
        <v>1.375</v>
      </c>
      <c r="I1718" s="75">
        <f>IF(F1718&gt;'THAM_SO_MOI'!$C$14,'THAM_SO_MOI'!$C$13*(1+F1718^2/1500),'THAM_SO_MOI'!$C$13)</f>
        <v>0.015</v>
      </c>
      <c r="J1718" s="75">
        <f>'THAM_SO_MOI'!$C$40*('THAM_SO_MOI'!$C$23*(E1718/'THAM_SO_MOI'!$C$22)+'THAM_SO_MOI'!$C$24*(E1718/'THAM_SO_MOI'!$C$22)^2-'THAM_SO_MOI'!$C$25*(E1718/'THAM_SO_MOI'!$C$22)^3)</f>
        <v>73.52388942855694</v>
      </c>
      <c r="K1718" s="75">
        <f>'THAM_SO_MOI'!$C$31*J1718/E1718</f>
        <v>418.5378697099859</v>
      </c>
      <c r="L1718" s="75">
        <f>K1718*'THAM_SO_MOI'!$C$51*'THAM_SO_MOI'!$C$17/'THAM_SO_MOI'!$C$26</f>
        <v>9358.176349171374</v>
      </c>
      <c r="M1718" s="75">
        <f>'THAM_SO_MOI'!$C$15*'THAM_SO_MOI'!$C$16*F1718^2</f>
        <v>130.49746973058137</v>
      </c>
      <c r="N1718" s="75">
        <f>'THAM_SO_MOI'!$C$12*I1718</f>
        <v>1130.112</v>
      </c>
      <c r="O1718" s="75">
        <f>M1718+N1718</f>
        <v>1260.6094697305814</v>
      </c>
      <c r="P1718" s="75">
        <f>(MIN(L1718,'THAM_SO_MOI'!$C$41)-O1718)/('THAM_SO_MOI'!$C$11*H1718)</f>
        <v>0.7668150454015903</v>
      </c>
      <c r="Q1718" s="75">
        <f>IF(P1718&gt;0,1/P1718,NA())</f>
        <v>1.3040954347423999</v>
      </c>
      <c r="R1718" s="75">
        <f>F1718-F1717</f>
        <v>0.005028991339517397</v>
      </c>
      <c r="S1718" s="75">
        <f>0.5*(Q1717+Q1718)*R1718</f>
        <v>0.006558748315130291</v>
      </c>
      <c r="T1718" s="75">
        <f>0.5*(F1717*Q1717+F1718*Q1718)*R1718</f>
        <v>0.04379207676777784</v>
      </c>
      <c r="U1718" s="76">
        <f>U1717+S1718</f>
        <v>8.228167984095434</v>
      </c>
      <c r="V1718" s="76">
        <f>V1717+T1718</f>
        <v>35.27282843704699</v>
      </c>
    </row>
    <row r="1719" spans="1:22" ht="19" customHeight="1">
      <c r="A1719" s="68" t="s">
        <v>374</v>
      </c>
      <c r="B1719" s="74">
        <v>3</v>
      </c>
      <c r="C1719" s="68" t="s">
        <v>363</v>
      </c>
      <c r="D1719" s="68" t="s">
        <v>364</v>
      </c>
      <c r="E1719" s="75">
        <f>60*F1719*'THAM_SO_MOI'!$C$51/(2*PI()*'THAM_SO_MOI'!$C$26)</f>
        <v>1679.0896842955851</v>
      </c>
      <c r="F1719" s="75">
        <f>'HANH_TRINH'!$F$1647+('THAM_SO_MOI'!$F$51-'HANH_TRINH'!$F$1647)*71/'THAM_SO_MOI'!$C$42</f>
        <v>6.684439112451315</v>
      </c>
      <c r="G1719" s="75">
        <f>3.6*F1719</f>
        <v>24.063980804824734</v>
      </c>
      <c r="H1719" s="75">
        <f>'THAM_SO_MOI'!$D$51</f>
        <v>1.375</v>
      </c>
      <c r="I1719" s="75">
        <f>IF(F1719&gt;'THAM_SO_MOI'!$C$14,'THAM_SO_MOI'!$C$13*(1+F1719^2/1500),'THAM_SO_MOI'!$C$13)</f>
        <v>0.015</v>
      </c>
      <c r="J1719" s="75">
        <f>'THAM_SO_MOI'!$C$40*('THAM_SO_MOI'!$C$23*(E1719/'THAM_SO_MOI'!$C$22)+'THAM_SO_MOI'!$C$24*(E1719/'THAM_SO_MOI'!$C$22)^2-'THAM_SO_MOI'!$C$25*(E1719/'THAM_SO_MOI'!$C$22)^3)</f>
        <v>73.5897647769811</v>
      </c>
      <c r="K1719" s="75">
        <f>'THAM_SO_MOI'!$C$31*J1719/E1719</f>
        <v>418.59770174787695</v>
      </c>
      <c r="L1719" s="75">
        <f>K1719*'THAM_SO_MOI'!$C$51*'THAM_SO_MOI'!$C$17/'THAM_SO_MOI'!$C$26</f>
        <v>9359.514146303813</v>
      </c>
      <c r="M1719" s="75">
        <f>'THAM_SO_MOI'!$C$15*'THAM_SO_MOI'!$C$16*F1719^2</f>
        <v>130.69404927560163</v>
      </c>
      <c r="N1719" s="75">
        <f>'THAM_SO_MOI'!$C$12*I1719</f>
        <v>1130.112</v>
      </c>
      <c r="O1719" s="75">
        <f>M1719+N1719</f>
        <v>1260.8060492756017</v>
      </c>
      <c r="P1719" s="75">
        <f>(MIN(L1719,'THAM_SO_MOI'!$C$41)-O1719)/('THAM_SO_MOI'!$C$11*H1719)</f>
        <v>0.7669231152488836</v>
      </c>
      <c r="Q1719" s="75">
        <f>IF(P1719&gt;0,1/P1719,NA())</f>
        <v>1.3039116700446274</v>
      </c>
      <c r="R1719" s="75">
        <f>F1719-F1718</f>
        <v>0.005028991339517397</v>
      </c>
      <c r="S1719" s="75">
        <f>0.5*(Q1718+Q1719)*R1719</f>
        <v>0.0065578225716869</v>
      </c>
      <c r="T1719" s="75">
        <f>0.5*(F1718*Q1718+F1719*Q1719)*R1719</f>
        <v>0.04381887491235349</v>
      </c>
      <c r="U1719" s="76">
        <f>U1718+S1719</f>
        <v>8.23472580666712</v>
      </c>
      <c r="V1719" s="76">
        <f>V1718+T1719</f>
        <v>35.31664731195934</v>
      </c>
    </row>
    <row r="1720" spans="1:22" ht="19" customHeight="1">
      <c r="A1720" s="68" t="s">
        <v>374</v>
      </c>
      <c r="B1720" s="74">
        <v>3</v>
      </c>
      <c r="C1720" s="68" t="s">
        <v>363</v>
      </c>
      <c r="D1720" s="68" t="s">
        <v>364</v>
      </c>
      <c r="E1720" s="75">
        <f>60*F1720*'THAM_SO_MOI'!$C$51/(2*PI()*'THAM_SO_MOI'!$C$26)</f>
        <v>1680.3529357574569</v>
      </c>
      <c r="F1720" s="75">
        <f>'HANH_TRINH'!$F$1647+('THAM_SO_MOI'!$F$51-'HANH_TRINH'!$F$1647)*72/'THAM_SO_MOI'!$C$42</f>
        <v>6.6894681037908335</v>
      </c>
      <c r="G1720" s="75">
        <f>3.6*F1720</f>
        <v>24.082085173647002</v>
      </c>
      <c r="H1720" s="75">
        <f>'THAM_SO_MOI'!$D$51</f>
        <v>1.375</v>
      </c>
      <c r="I1720" s="75">
        <f>IF(F1720&gt;'THAM_SO_MOI'!$C$14,'THAM_SO_MOI'!$C$13*(1+F1720^2/1500),'THAM_SO_MOI'!$C$13)</f>
        <v>0.015</v>
      </c>
      <c r="J1720" s="75">
        <f>'THAM_SO_MOI'!$C$40*('THAM_SO_MOI'!$C$23*(E1720/'THAM_SO_MOI'!$C$22)+'THAM_SO_MOI'!$C$24*(E1720/'THAM_SO_MOI'!$C$22)^2-'THAM_SO_MOI'!$C$25*(E1720/'THAM_SO_MOI'!$C$22)^3)</f>
        <v>73.6556287150844</v>
      </c>
      <c r="K1720" s="75">
        <f>'THAM_SO_MOI'!$C$31*J1720/E1720</f>
        <v>418.6573789689375</v>
      </c>
      <c r="L1720" s="75">
        <f>K1720*'THAM_SO_MOI'!$C$51*'THAM_SO_MOI'!$C$17/'THAM_SO_MOI'!$C$26</f>
        <v>9360.84848185414</v>
      </c>
      <c r="M1720" s="75">
        <f>'THAM_SO_MOI'!$C$15*'THAM_SO_MOI'!$C$16*F1720^2</f>
        <v>130.89077677153216</v>
      </c>
      <c r="N1720" s="75">
        <f>'THAM_SO_MOI'!$C$12*I1720</f>
        <v>1130.112</v>
      </c>
      <c r="O1720" s="75">
        <f>M1720+N1720</f>
        <v>1261.0027767715324</v>
      </c>
      <c r="P1720" s="75">
        <f>(MIN(L1720,'THAM_SO_MOI'!$C$41)-O1720)/('THAM_SO_MOI'!$C$11*H1720)</f>
        <v>0.7670308432843379</v>
      </c>
      <c r="Q1720" s="75">
        <f>IF(P1720&gt;0,1/P1720,NA())</f>
        <v>1.3037285381095172</v>
      </c>
      <c r="R1720" s="75">
        <f>F1720-F1719</f>
        <v>0.005028991339518285</v>
      </c>
      <c r="S1720" s="75">
        <f>0.5*(Q1719+Q1720)*R1720</f>
        <v>0.006556900011693426</v>
      </c>
      <c r="T1720" s="75">
        <f>0.5*(F1719*Q1719+F1720*Q1720)*R1720</f>
        <v>0.043845685033396295</v>
      </c>
      <c r="U1720" s="76">
        <f>U1719+S1720</f>
        <v>8.241282706678813</v>
      </c>
      <c r="V1720" s="76">
        <f>V1719+T1720</f>
        <v>35.36049299699274</v>
      </c>
    </row>
    <row r="1721" spans="1:22" ht="19" customHeight="1">
      <c r="A1721" s="68" t="s">
        <v>374</v>
      </c>
      <c r="B1721" s="74">
        <v>3</v>
      </c>
      <c r="C1721" s="68" t="s">
        <v>363</v>
      </c>
      <c r="D1721" s="68" t="s">
        <v>364</v>
      </c>
      <c r="E1721" s="75">
        <f>60*F1721*'THAM_SO_MOI'!$C$51/(2*PI()*'THAM_SO_MOI'!$C$26)</f>
        <v>1681.6161872193286</v>
      </c>
      <c r="F1721" s="75">
        <f>'HANH_TRINH'!$F$1647+('THAM_SO_MOI'!$F$51-'HANH_TRINH'!$F$1647)*73/'THAM_SO_MOI'!$C$42</f>
        <v>6.694497095130351</v>
      </c>
      <c r="G1721" s="75">
        <f>3.6*F1721</f>
        <v>24.100189542469263</v>
      </c>
      <c r="H1721" s="75">
        <f>'THAM_SO_MOI'!$D$51</f>
        <v>1.375</v>
      </c>
      <c r="I1721" s="75">
        <f>IF(F1721&gt;'THAM_SO_MOI'!$C$14,'THAM_SO_MOI'!$C$13*(1+F1721^2/1500),'THAM_SO_MOI'!$C$13)</f>
        <v>0.015</v>
      </c>
      <c r="J1721" s="75">
        <f>'THAM_SO_MOI'!$C$40*('THAM_SO_MOI'!$C$23*(E1721/'THAM_SO_MOI'!$C$22)+'THAM_SO_MOI'!$C$24*(E1721/'THAM_SO_MOI'!$C$22)^2-'THAM_SO_MOI'!$C$25*(E1721/'THAM_SO_MOI'!$C$22)^3)</f>
        <v>73.72148118143751</v>
      </c>
      <c r="K1721" s="75">
        <f>'THAM_SO_MOI'!$C$31*J1721/E1721</f>
        <v>418.71690137316756</v>
      </c>
      <c r="L1721" s="75">
        <f>K1721*'THAM_SO_MOI'!$C$51*'THAM_SO_MOI'!$C$17/'THAM_SO_MOI'!$C$26</f>
        <v>9362.179355822362</v>
      </c>
      <c r="M1721" s="75">
        <f>'THAM_SO_MOI'!$C$15*'THAM_SO_MOI'!$C$16*F1721^2</f>
        <v>131.08765221837297</v>
      </c>
      <c r="N1721" s="75">
        <f>'THAM_SO_MOI'!$C$12*I1721</f>
        <v>1130.112</v>
      </c>
      <c r="O1721" s="75">
        <f>M1721+N1721</f>
        <v>1261.199652218373</v>
      </c>
      <c r="P1721" s="75">
        <f>(MIN(L1721,'THAM_SO_MOI'!$C$41)-O1721)/('THAM_SO_MOI'!$C$11*H1721)</f>
        <v>0.7671382295079534</v>
      </c>
      <c r="Q1721" s="75">
        <f>IF(P1721&gt;0,1/P1721,NA())</f>
        <v>1.3035460384257025</v>
      </c>
      <c r="R1721" s="75">
        <f>F1721-F1720</f>
        <v>0.005028991339517397</v>
      </c>
      <c r="S1721" s="75">
        <f>0.5*(Q1720+Q1721)*R1721</f>
        <v>0.006555980632569755</v>
      </c>
      <c r="T1721" s="75">
        <f>0.5*(F1720*Q1720+F1721*Q1721)*R1721</f>
        <v>0.04387250716166879</v>
      </c>
      <c r="U1721" s="76">
        <f>U1720+S1721</f>
        <v>8.247838687311383</v>
      </c>
      <c r="V1721" s="76">
        <f>V1720+T1721</f>
        <v>35.404365504154406</v>
      </c>
    </row>
    <row r="1722" spans="1:22" ht="19" customHeight="1">
      <c r="A1722" s="68" t="s">
        <v>374</v>
      </c>
      <c r="B1722" s="74">
        <v>3</v>
      </c>
      <c r="C1722" s="68" t="s">
        <v>363</v>
      </c>
      <c r="D1722" s="68" t="s">
        <v>364</v>
      </c>
      <c r="E1722" s="75">
        <f>60*F1722*'THAM_SO_MOI'!$C$51/(2*PI()*'THAM_SO_MOI'!$C$26)</f>
        <v>1682.8794386812</v>
      </c>
      <c r="F1722" s="75">
        <f>'HANH_TRINH'!$F$1647+('THAM_SO_MOI'!$F$51-'HANH_TRINH'!$F$1647)*74/'THAM_SO_MOI'!$C$42</f>
        <v>6.699526086469868</v>
      </c>
      <c r="G1722" s="75">
        <f>3.6*F1722</f>
        <v>24.118293911291527</v>
      </c>
      <c r="H1722" s="75">
        <f>'THAM_SO_MOI'!$D$51</f>
        <v>1.375</v>
      </c>
      <c r="I1722" s="75">
        <f>IF(F1722&gt;'THAM_SO_MOI'!$C$14,'THAM_SO_MOI'!$C$13*(1+F1722^2/1500),'THAM_SO_MOI'!$C$13)</f>
        <v>0.015</v>
      </c>
      <c r="J1722" s="75">
        <f>'THAM_SO_MOI'!$C$40*('THAM_SO_MOI'!$C$23*(E1722/'THAM_SO_MOI'!$C$22)+'THAM_SO_MOI'!$C$24*(E1722/'THAM_SO_MOI'!$C$22)^2-'THAM_SO_MOI'!$C$25*(E1722/'THAM_SO_MOI'!$C$22)^3)</f>
        <v>73.78732211461106</v>
      </c>
      <c r="K1722" s="75">
        <f>'THAM_SO_MOI'!$C$31*J1722/E1722</f>
        <v>418.7762689605671</v>
      </c>
      <c r="L1722" s="75">
        <f>K1722*'THAM_SO_MOI'!$C$51*'THAM_SO_MOI'!$C$17/'THAM_SO_MOI'!$C$26</f>
        <v>9363.506768208472</v>
      </c>
      <c r="M1722" s="75">
        <f>'THAM_SO_MOI'!$C$15*'THAM_SO_MOI'!$C$16*F1722^2</f>
        <v>131.28467561612405</v>
      </c>
      <c r="N1722" s="75">
        <f>'THAM_SO_MOI'!$C$12*I1722</f>
        <v>1130.112</v>
      </c>
      <c r="O1722" s="75">
        <f>M1722+N1722</f>
        <v>1261.3966756161242</v>
      </c>
      <c r="P1722" s="75">
        <f>(MIN(L1722,'THAM_SO_MOI'!$C$41)-O1722)/('THAM_SO_MOI'!$C$11*H1722)</f>
        <v>0.76724527391973</v>
      </c>
      <c r="Q1722" s="75">
        <f>IF(P1722&gt;0,1/P1722,NA())</f>
        <v>1.3033641704837937</v>
      </c>
      <c r="R1722" s="75">
        <f>F1722-F1721</f>
        <v>0.005028991339517397</v>
      </c>
      <c r="S1722" s="75">
        <f>0.5*(Q1721+Q1722)*R1722</f>
        <v>0.006555064431752671</v>
      </c>
      <c r="T1722" s="75">
        <f>0.5*(F1721*Q1721+F1722*Q1722)*R1722</f>
        <v>0.043899341327994834</v>
      </c>
      <c r="U1722" s="76">
        <f>U1721+S1722</f>
        <v>8.254393751743136</v>
      </c>
      <c r="V1722" s="76">
        <f>V1721+T1722</f>
        <v>35.4482648454824</v>
      </c>
    </row>
    <row r="1723" spans="1:22" ht="19" customHeight="1">
      <c r="A1723" s="68" t="s">
        <v>374</v>
      </c>
      <c r="B1723" s="74">
        <v>3</v>
      </c>
      <c r="C1723" s="68" t="s">
        <v>363</v>
      </c>
      <c r="D1723" s="68" t="s">
        <v>364</v>
      </c>
      <c r="E1723" s="75">
        <f>60*F1723*'THAM_SO_MOI'!$C$51/(2*PI()*'THAM_SO_MOI'!$C$26)</f>
        <v>1684.1426901430718</v>
      </c>
      <c r="F1723" s="75">
        <f>'HANH_TRINH'!$F$1647+('THAM_SO_MOI'!$F$51-'HANH_TRINH'!$F$1647)*75/'THAM_SO_MOI'!$C$42</f>
        <v>6.7045550778093865</v>
      </c>
      <c r="G1723" s="75">
        <f>3.6*F1723</f>
        <v>24.13639828011379</v>
      </c>
      <c r="H1723" s="75">
        <f>'THAM_SO_MOI'!$D$51</f>
        <v>1.375</v>
      </c>
      <c r="I1723" s="75">
        <f>IF(F1723&gt;'THAM_SO_MOI'!$C$14,'THAM_SO_MOI'!$C$13*(1+F1723^2/1500),'THAM_SO_MOI'!$C$13)</f>
        <v>0.015</v>
      </c>
      <c r="J1723" s="75">
        <f>'THAM_SO_MOI'!$C$40*('THAM_SO_MOI'!$C$23*(E1723/'THAM_SO_MOI'!$C$22)+'THAM_SO_MOI'!$C$24*(E1723/'THAM_SO_MOI'!$C$22)^2-'THAM_SO_MOI'!$C$25*(E1723/'THAM_SO_MOI'!$C$22)^3)</f>
        <v>73.8531514531757</v>
      </c>
      <c r="K1723" s="75">
        <f>'THAM_SO_MOI'!$C$31*J1723/E1723</f>
        <v>418.8354817311361</v>
      </c>
      <c r="L1723" s="75">
        <f>K1723*'THAM_SO_MOI'!$C$51*'THAM_SO_MOI'!$C$17/'THAM_SO_MOI'!$C$26</f>
        <v>9364.830719012474</v>
      </c>
      <c r="M1723" s="75">
        <f>'THAM_SO_MOI'!$C$15*'THAM_SO_MOI'!$C$16*F1723^2</f>
        <v>131.48184696478543</v>
      </c>
      <c r="N1723" s="75">
        <f>'THAM_SO_MOI'!$C$12*I1723</f>
        <v>1130.112</v>
      </c>
      <c r="O1723" s="75">
        <f>M1723+N1723</f>
        <v>1261.5938469647856</v>
      </c>
      <c r="P1723" s="75">
        <f>(MIN(L1723,'THAM_SO_MOI'!$C$41)-O1723)/('THAM_SO_MOI'!$C$11*H1723)</f>
        <v>0.7673519765196675</v>
      </c>
      <c r="Q1723" s="75">
        <f>IF(P1723&gt;0,1/P1723,NA())</f>
        <v>1.3031829337763747</v>
      </c>
      <c r="R1723" s="75">
        <f>F1723-F1722</f>
        <v>0.005028991339518285</v>
      </c>
      <c r="S1723" s="75">
        <f>0.5*(Q1722+Q1723)*R1723</f>
        <v>0.006554151406685426</v>
      </c>
      <c r="T1723" s="75">
        <f>0.5*(F1722*Q1722+F1723*Q1723)*R1723</f>
        <v>0.043926187563190014</v>
      </c>
      <c r="U1723" s="76">
        <f>U1722+S1723</f>
        <v>8.260947903149821</v>
      </c>
      <c r="V1723" s="76">
        <f>V1722+T1723</f>
        <v>35.492191033045586</v>
      </c>
    </row>
    <row r="1724" spans="1:22" ht="19" customHeight="1">
      <c r="A1724" s="68" t="s">
        <v>374</v>
      </c>
      <c r="B1724" s="74">
        <v>3</v>
      </c>
      <c r="C1724" s="68" t="s">
        <v>363</v>
      </c>
      <c r="D1724" s="68" t="s">
        <v>364</v>
      </c>
      <c r="E1724" s="75">
        <f>60*F1724*'THAM_SO_MOI'!$C$51/(2*PI()*'THAM_SO_MOI'!$C$26)</f>
        <v>1685.4059416049436</v>
      </c>
      <c r="F1724" s="75">
        <f>'HANH_TRINH'!$F$1647+('THAM_SO_MOI'!$F$51-'HANH_TRINH'!$F$1647)*76/'THAM_SO_MOI'!$C$42</f>
        <v>6.709584069148904</v>
      </c>
      <c r="G1724" s="75">
        <f>3.6*F1724</f>
        <v>24.154502648936056</v>
      </c>
      <c r="H1724" s="75">
        <f>'THAM_SO_MOI'!$D$51</f>
        <v>1.375</v>
      </c>
      <c r="I1724" s="75">
        <f>IF(F1724&gt;'THAM_SO_MOI'!$C$14,'THAM_SO_MOI'!$C$13*(1+F1724^2/1500),'THAM_SO_MOI'!$C$13)</f>
        <v>0.015</v>
      </c>
      <c r="J1724" s="75">
        <f>'THAM_SO_MOI'!$C$40*('THAM_SO_MOI'!$C$23*(E1724/'THAM_SO_MOI'!$C$22)+'THAM_SO_MOI'!$C$24*(E1724/'THAM_SO_MOI'!$C$22)^2-'THAM_SO_MOI'!$C$25*(E1724/'THAM_SO_MOI'!$C$22)^3)</f>
        <v>73.91896913570208</v>
      </c>
      <c r="K1724" s="75">
        <f>'THAM_SO_MOI'!$C$31*J1724/E1724</f>
        <v>418.8945396848746</v>
      </c>
      <c r="L1724" s="75">
        <f>K1724*'THAM_SO_MOI'!$C$51*'THAM_SO_MOI'!$C$17/'THAM_SO_MOI'!$C$26</f>
        <v>9366.151208234367</v>
      </c>
      <c r="M1724" s="75">
        <f>'THAM_SO_MOI'!$C$15*'THAM_SO_MOI'!$C$16*F1724^2</f>
        <v>131.67916626435706</v>
      </c>
      <c r="N1724" s="75">
        <f>'THAM_SO_MOI'!$C$12*I1724</f>
        <v>1130.112</v>
      </c>
      <c r="O1724" s="75">
        <f>M1724+N1724</f>
        <v>1261.7911662643571</v>
      </c>
      <c r="P1724" s="75">
        <f>(MIN(L1724,'THAM_SO_MOI'!$C$41)-O1724)/('THAM_SO_MOI'!$C$11*H1724)</f>
        <v>0.767458337307766</v>
      </c>
      <c r="Q1724" s="75">
        <f>IF(P1724&gt;0,1/P1724,NA())</f>
        <v>1.3030023277979976</v>
      </c>
      <c r="R1724" s="75">
        <f>F1724-F1723</f>
        <v>0.005028991339517397</v>
      </c>
      <c r="S1724" s="75">
        <f>0.5*(Q1723+Q1724)*R1724</f>
        <v>0.0065532415548177</v>
      </c>
      <c r="T1724" s="75">
        <f>0.5*(F1723*Q1723+F1724*Q1724)*R1724</f>
        <v>0.04395304589806163</v>
      </c>
      <c r="U1724" s="76">
        <f>U1723+S1724</f>
        <v>8.267501144704639</v>
      </c>
      <c r="V1724" s="76">
        <f>V1723+T1724</f>
        <v>35.53614407894365</v>
      </c>
    </row>
    <row r="1725" spans="1:22" ht="19" customHeight="1">
      <c r="A1725" s="68" t="s">
        <v>374</v>
      </c>
      <c r="B1725" s="74">
        <v>3</v>
      </c>
      <c r="C1725" s="68" t="s">
        <v>363</v>
      </c>
      <c r="D1725" s="68" t="s">
        <v>364</v>
      </c>
      <c r="E1725" s="75">
        <f>60*F1725*'THAM_SO_MOI'!$C$51/(2*PI()*'THAM_SO_MOI'!$C$26)</f>
        <v>1686.6691930668148</v>
      </c>
      <c r="F1725" s="75">
        <f>'HANH_TRINH'!$F$1647+('THAM_SO_MOI'!$F$51-'HANH_TRINH'!$F$1647)*77/'THAM_SO_MOI'!$C$42</f>
        <v>6.714613060488421</v>
      </c>
      <c r="G1725" s="75">
        <f>3.6*F1725</f>
        <v>24.172607017758317</v>
      </c>
      <c r="H1725" s="75">
        <f>'THAM_SO_MOI'!$D$51</f>
        <v>1.375</v>
      </c>
      <c r="I1725" s="75">
        <f>IF(F1725&gt;'THAM_SO_MOI'!$C$14,'THAM_SO_MOI'!$C$13*(1+F1725^2/1500),'THAM_SO_MOI'!$C$13)</f>
        <v>0.015</v>
      </c>
      <c r="J1725" s="75">
        <f>'THAM_SO_MOI'!$C$40*('THAM_SO_MOI'!$C$23*(E1725/'THAM_SO_MOI'!$C$22)+'THAM_SO_MOI'!$C$24*(E1725/'THAM_SO_MOI'!$C$22)^2-'THAM_SO_MOI'!$C$25*(E1725/'THAM_SO_MOI'!$C$22)^3)</f>
        <v>73.98477510076088</v>
      </c>
      <c r="K1725" s="75">
        <f>'THAM_SO_MOI'!$C$31*J1725/E1725</f>
        <v>418.9534428217828</v>
      </c>
      <c r="L1725" s="75">
        <f>K1725*'THAM_SO_MOI'!$C$51*'THAM_SO_MOI'!$C$17/'THAM_SO_MOI'!$C$26</f>
        <v>9367.468235874156</v>
      </c>
      <c r="M1725" s="75">
        <f>'THAM_SO_MOI'!$C$15*'THAM_SO_MOI'!$C$16*F1725^2</f>
        <v>131.87663351483894</v>
      </c>
      <c r="N1725" s="75">
        <f>'THAM_SO_MOI'!$C$12*I1725</f>
        <v>1130.112</v>
      </c>
      <c r="O1725" s="75">
        <f>M1725+N1725</f>
        <v>1261.988633514839</v>
      </c>
      <c r="P1725" s="75">
        <f>(MIN(L1725,'THAM_SO_MOI'!$C$41)-O1725)/('THAM_SO_MOI'!$C$11*H1725)</f>
        <v>0.7675643562840262</v>
      </c>
      <c r="Q1725" s="75">
        <f>IF(P1725&gt;0,1/P1725,NA())</f>
        <v>1.3028223520451805</v>
      </c>
      <c r="R1725" s="75">
        <f>F1725-F1724</f>
        <v>0.005028991339517397</v>
      </c>
      <c r="S1725" s="75">
        <f>0.5*(Q1724+Q1725)*R1725</f>
        <v>0.006552334873616019</v>
      </c>
      <c r="T1725" s="75">
        <f>0.5*(F1724*Q1724+F1725*Q1725)*R1725</f>
        <v>0.04397991636347873</v>
      </c>
      <c r="U1725" s="76">
        <f>U1724+S1725</f>
        <v>8.274053479578255</v>
      </c>
      <c r="V1725" s="76">
        <f>V1724+T1725</f>
        <v>35.580123995307126</v>
      </c>
    </row>
    <row r="1726" spans="1:22" ht="19" customHeight="1">
      <c r="A1726" s="68" t="s">
        <v>374</v>
      </c>
      <c r="B1726" s="74">
        <v>3</v>
      </c>
      <c r="C1726" s="68" t="s">
        <v>363</v>
      </c>
      <c r="D1726" s="68" t="s">
        <v>364</v>
      </c>
      <c r="E1726" s="75">
        <f>60*F1726*'THAM_SO_MOI'!$C$51/(2*PI()*'THAM_SO_MOI'!$C$26)</f>
        <v>1687.9324445286866</v>
      </c>
      <c r="F1726" s="75">
        <f>'HANH_TRINH'!$F$1647+('THAM_SO_MOI'!$F$51-'HANH_TRINH'!$F$1647)*78/'THAM_SO_MOI'!$C$42</f>
        <v>6.71964205182794</v>
      </c>
      <c r="G1726" s="75">
        <f>3.6*F1726</f>
        <v>24.190711386580585</v>
      </c>
      <c r="H1726" s="75">
        <f>'THAM_SO_MOI'!$D$51</f>
        <v>1.375</v>
      </c>
      <c r="I1726" s="75">
        <f>IF(F1726&gt;'THAM_SO_MOI'!$C$14,'THAM_SO_MOI'!$C$13*(1+F1726^2/1500),'THAM_SO_MOI'!$C$13)</f>
        <v>0.015</v>
      </c>
      <c r="J1726" s="75">
        <f>'THAM_SO_MOI'!$C$40*('THAM_SO_MOI'!$C$23*(E1726/'THAM_SO_MOI'!$C$22)+'THAM_SO_MOI'!$C$24*(E1726/'THAM_SO_MOI'!$C$22)^2-'THAM_SO_MOI'!$C$25*(E1726/'THAM_SO_MOI'!$C$22)^3)</f>
        <v>74.0505692869227</v>
      </c>
      <c r="K1726" s="75">
        <f>'THAM_SO_MOI'!$C$31*J1726/E1726</f>
        <v>419.0121911418601</v>
      </c>
      <c r="L1726" s="75">
        <f>K1726*'THAM_SO_MOI'!$C$51*'THAM_SO_MOI'!$C$17/'THAM_SO_MOI'!$C$26</f>
        <v>9368.78180193183</v>
      </c>
      <c r="M1726" s="75">
        <f>'THAM_SO_MOI'!$C$15*'THAM_SO_MOI'!$C$16*F1726^2</f>
        <v>132.07424871623112</v>
      </c>
      <c r="N1726" s="75">
        <f>'THAM_SO_MOI'!$C$12*I1726</f>
        <v>1130.112</v>
      </c>
      <c r="O1726" s="75">
        <f>M1726+N1726</f>
        <v>1262.1862487162311</v>
      </c>
      <c r="P1726" s="75">
        <f>(MIN(L1726,'THAM_SO_MOI'!$C$41)-O1726)/('THAM_SO_MOI'!$C$11*H1726)</f>
        <v>0.7676700334484468</v>
      </c>
      <c r="Q1726" s="75">
        <f>IF(P1726&gt;0,1/P1726,NA())</f>
        <v>1.3026430060164065</v>
      </c>
      <c r="R1726" s="75">
        <f>F1726-F1725</f>
        <v>0.005028991339518285</v>
      </c>
      <c r="S1726" s="75">
        <f>0.5*(Q1725+Q1726)*R1726</f>
        <v>0.0065514313605533146</v>
      </c>
      <c r="T1726" s="75">
        <f>0.5*(F1725*Q1725+F1726*Q1726)*R1726</f>
        <v>0.04400679899030248</v>
      </c>
      <c r="U1726" s="76">
        <f>U1725+S1726</f>
        <v>8.280604910938807</v>
      </c>
      <c r="V1726" s="76">
        <f>V1725+T1726</f>
        <v>35.62413079429743</v>
      </c>
    </row>
    <row r="1727" spans="1:22" ht="19" customHeight="1">
      <c r="A1727" s="68" t="s">
        <v>374</v>
      </c>
      <c r="B1727" s="74">
        <v>3</v>
      </c>
      <c r="C1727" s="68" t="s">
        <v>363</v>
      </c>
      <c r="D1727" s="68" t="s">
        <v>364</v>
      </c>
      <c r="E1727" s="75">
        <f>60*F1727*'THAM_SO_MOI'!$C$51/(2*PI()*'THAM_SO_MOI'!$C$26)</f>
        <v>1689.1956959905583</v>
      </c>
      <c r="F1727" s="75">
        <f>'HANH_TRINH'!$F$1647+('THAM_SO_MOI'!$F$51-'HANH_TRINH'!$F$1647)*79/'THAM_SO_MOI'!$C$42</f>
        <v>6.724671043167457</v>
      </c>
      <c r="G1727" s="75">
        <f>3.6*F1727</f>
        <v>24.208815755402846</v>
      </c>
      <c r="H1727" s="75">
        <f>'THAM_SO_MOI'!$D$51</f>
        <v>1.375</v>
      </c>
      <c r="I1727" s="75">
        <f>IF(F1727&gt;'THAM_SO_MOI'!$C$14,'THAM_SO_MOI'!$C$13*(1+F1727^2/1500),'THAM_SO_MOI'!$C$13)</f>
        <v>0.015</v>
      </c>
      <c r="J1727" s="75">
        <f>'THAM_SO_MOI'!$C$40*('THAM_SO_MOI'!$C$23*(E1727/'THAM_SO_MOI'!$C$22)+'THAM_SO_MOI'!$C$24*(E1727/'THAM_SO_MOI'!$C$22)^2-'THAM_SO_MOI'!$C$25*(E1727/'THAM_SO_MOI'!$C$22)^3)</f>
        <v>74.11635163275824</v>
      </c>
      <c r="K1727" s="75">
        <f>'THAM_SO_MOI'!$C$31*J1727/E1727</f>
        <v>419.07078464510715</v>
      </c>
      <c r="L1727" s="75">
        <f>K1727*'THAM_SO_MOI'!$C$51*'THAM_SO_MOI'!$C$17/'THAM_SO_MOI'!$C$26</f>
        <v>9370.091906407395</v>
      </c>
      <c r="M1727" s="75">
        <f>'THAM_SO_MOI'!$C$15*'THAM_SO_MOI'!$C$16*F1727^2</f>
        <v>132.27201186853358</v>
      </c>
      <c r="N1727" s="75">
        <f>'THAM_SO_MOI'!$C$12*I1727</f>
        <v>1130.112</v>
      </c>
      <c r="O1727" s="75">
        <f>M1727+N1727</f>
        <v>1262.3840118685337</v>
      </c>
      <c r="P1727" s="75">
        <f>(MIN(L1727,'THAM_SO_MOI'!$C$41)-O1727)/('THAM_SO_MOI'!$C$11*H1727)</f>
        <v>0.7677753688010285</v>
      </c>
      <c r="Q1727" s="75">
        <f>IF(P1727&gt;0,1/P1727,NA())</f>
        <v>1.3024642892121137</v>
      </c>
      <c r="R1727" s="75">
        <f>F1727-F1726</f>
        <v>0.005028991339517397</v>
      </c>
      <c r="S1727" s="75">
        <f>0.5*(Q1726+Q1727)*R1727</f>
        <v>0.006550531013108909</v>
      </c>
      <c r="T1727" s="75">
        <f>0.5*(F1726*Q1726+F1727*Q1727)*R1727</f>
        <v>0.0440336938093861</v>
      </c>
      <c r="U1727" s="76">
        <f>U1726+S1727</f>
        <v>8.287155441951917</v>
      </c>
      <c r="V1727" s="76">
        <f>V1726+T1727</f>
        <v>35.66816448810682</v>
      </c>
    </row>
    <row r="1728" spans="1:22" ht="19" customHeight="1">
      <c r="A1728" s="68" t="s">
        <v>374</v>
      </c>
      <c r="B1728" s="74">
        <v>3</v>
      </c>
      <c r="C1728" s="68" t="s">
        <v>363</v>
      </c>
      <c r="D1728" s="68" t="s">
        <v>364</v>
      </c>
      <c r="E1728" s="75">
        <f>60*F1728*'THAM_SO_MOI'!$C$51/(2*PI()*'THAM_SO_MOI'!$C$26)</f>
        <v>1690.4589474524298</v>
      </c>
      <c r="F1728" s="75">
        <f>'HANH_TRINH'!$F$1647+('THAM_SO_MOI'!$F$51-'HANH_TRINH'!$F$1647)*80/'THAM_SO_MOI'!$C$42</f>
        <v>6.729700034506974</v>
      </c>
      <c r="G1728" s="75">
        <f>3.6*F1728</f>
        <v>24.22692012422511</v>
      </c>
      <c r="H1728" s="75">
        <f>'THAM_SO_MOI'!$D$51</f>
        <v>1.375</v>
      </c>
      <c r="I1728" s="75">
        <f>IF(F1728&gt;'THAM_SO_MOI'!$C$14,'THAM_SO_MOI'!$C$13*(1+F1728^2/1500),'THAM_SO_MOI'!$C$13)</f>
        <v>0.015</v>
      </c>
      <c r="J1728" s="75">
        <f>'THAM_SO_MOI'!$C$40*('THAM_SO_MOI'!$C$23*(E1728/'THAM_SO_MOI'!$C$22)+'THAM_SO_MOI'!$C$24*(E1728/'THAM_SO_MOI'!$C$22)^2-'THAM_SO_MOI'!$C$25*(E1728/'THAM_SO_MOI'!$C$22)^3)</f>
        <v>74.18212207683813</v>
      </c>
      <c r="K1728" s="75">
        <f>'THAM_SO_MOI'!$C$31*J1728/E1728</f>
        <v>419.1292233315237</v>
      </c>
      <c r="L1728" s="75">
        <f>K1728*'THAM_SO_MOI'!$C$51*'THAM_SO_MOI'!$C$17/'THAM_SO_MOI'!$C$26</f>
        <v>9371.398549300853</v>
      </c>
      <c r="M1728" s="75">
        <f>'THAM_SO_MOI'!$C$15*'THAM_SO_MOI'!$C$16*F1728^2</f>
        <v>132.4699229717463</v>
      </c>
      <c r="N1728" s="75">
        <f>'THAM_SO_MOI'!$C$12*I1728</f>
        <v>1130.112</v>
      </c>
      <c r="O1728" s="75">
        <f>M1728+N1728</f>
        <v>1262.5819229717463</v>
      </c>
      <c r="P1728" s="75">
        <f>(MIN(L1728,'THAM_SO_MOI'!$C$41)-O1728)/('THAM_SO_MOI'!$C$11*H1728)</f>
        <v>0.7678803623417715</v>
      </c>
      <c r="Q1728" s="75">
        <f>IF(P1728&gt;0,1/P1728,NA())</f>
        <v>1.3022862011346967</v>
      </c>
      <c r="R1728" s="75">
        <f>F1728-F1727</f>
        <v>0.005028991339517397</v>
      </c>
      <c r="S1728" s="75">
        <f>0.5*(Q1727+Q1728)*R1728</f>
        <v>0.006549633828778901</v>
      </c>
      <c r="T1728" s="75">
        <f>0.5*(F1727*Q1727+F1728*Q1728)*R1728</f>
        <v>0.04406060085164502</v>
      </c>
      <c r="U1728" s="76">
        <f>U1727+S1728</f>
        <v>8.293705075780696</v>
      </c>
      <c r="V1728" s="76">
        <f>V1727+T1728</f>
        <v>35.71222508895846</v>
      </c>
    </row>
    <row r="1729" spans="1:22" ht="19" customHeight="1">
      <c r="A1729" s="68" t="s">
        <v>374</v>
      </c>
      <c r="B1729" s="74">
        <v>3</v>
      </c>
      <c r="C1729" s="68" t="s">
        <v>363</v>
      </c>
      <c r="D1729" s="68" t="s">
        <v>364</v>
      </c>
      <c r="E1729" s="75">
        <f>60*F1729*'THAM_SO_MOI'!$C$51/(2*PI()*'THAM_SO_MOI'!$C$26)</f>
        <v>1691.7221989143018</v>
      </c>
      <c r="F1729" s="75">
        <f>'HANH_TRINH'!$F$1647+('THAM_SO_MOI'!$F$51-'HANH_TRINH'!$F$1647)*81/'THAM_SO_MOI'!$C$42</f>
        <v>6.734729025846493</v>
      </c>
      <c r="G1729" s="75">
        <f>3.6*F1729</f>
        <v>24.245024493047374</v>
      </c>
      <c r="H1729" s="75">
        <f>'THAM_SO_MOI'!$D$51</f>
        <v>1.375</v>
      </c>
      <c r="I1729" s="75">
        <f>IF(F1729&gt;'THAM_SO_MOI'!$C$14,'THAM_SO_MOI'!$C$13*(1+F1729^2/1500),'THAM_SO_MOI'!$C$13)</f>
        <v>0.015</v>
      </c>
      <c r="J1729" s="75">
        <f>'THAM_SO_MOI'!$C$40*('THAM_SO_MOI'!$C$23*(E1729/'THAM_SO_MOI'!$C$22)+'THAM_SO_MOI'!$C$24*(E1729/'THAM_SO_MOI'!$C$22)^2-'THAM_SO_MOI'!$C$25*(E1729/'THAM_SO_MOI'!$C$22)^3)</f>
        <v>74.247880557733</v>
      </c>
      <c r="K1729" s="75">
        <f>'THAM_SO_MOI'!$C$31*J1729/E1729</f>
        <v>419.18750720110955</v>
      </c>
      <c r="L1729" s="75">
        <f>K1729*'THAM_SO_MOI'!$C$51*'THAM_SO_MOI'!$C$17/'THAM_SO_MOI'!$C$26</f>
        <v>9372.7017306122</v>
      </c>
      <c r="M1729" s="75">
        <f>'THAM_SO_MOI'!$C$15*'THAM_SO_MOI'!$C$16*F1729^2</f>
        <v>132.66798202586932</v>
      </c>
      <c r="N1729" s="75">
        <f>'THAM_SO_MOI'!$C$12*I1729</f>
        <v>1130.112</v>
      </c>
      <c r="O1729" s="75">
        <f>M1729+N1729</f>
        <v>1262.7799820258695</v>
      </c>
      <c r="P1729" s="75">
        <f>(MIN(L1729,'THAM_SO_MOI'!$C$41)-O1729)/('THAM_SO_MOI'!$C$11*H1729)</f>
        <v>0.7679850140706753</v>
      </c>
      <c r="Q1729" s="75">
        <f>IF(P1729&gt;0,1/P1729,NA())</f>
        <v>1.3021087412885026</v>
      </c>
      <c r="R1729" s="75">
        <f>F1729-F1728</f>
        <v>0.005028991339518285</v>
      </c>
      <c r="S1729" s="75">
        <f>0.5*(Q1728+Q1729)*R1729</f>
        <v>0.0065487398050657454</v>
      </c>
      <c r="T1729" s="75">
        <f>0.5*(F1728*Q1728+F1729*Q1729)*R1729</f>
        <v>0.04408752014798704</v>
      </c>
      <c r="U1729" s="76">
        <f>U1728+S1729</f>
        <v>8.300253815585762</v>
      </c>
      <c r="V1729" s="76">
        <f>V1728+T1729</f>
        <v>35.75631260910645</v>
      </c>
    </row>
    <row r="1730" spans="1:22" ht="19" customHeight="1">
      <c r="A1730" s="68" t="s">
        <v>374</v>
      </c>
      <c r="B1730" s="74">
        <v>3</v>
      </c>
      <c r="C1730" s="68" t="s">
        <v>363</v>
      </c>
      <c r="D1730" s="68" t="s">
        <v>364</v>
      </c>
      <c r="E1730" s="75">
        <f>60*F1730*'THAM_SO_MOI'!$C$51/(2*PI()*'THAM_SO_MOI'!$C$26)</f>
        <v>1692.9854503761733</v>
      </c>
      <c r="F1730" s="75">
        <f>'HANH_TRINH'!$F$1647+('THAM_SO_MOI'!$F$51-'HANH_TRINH'!$F$1647)*82/'THAM_SO_MOI'!$C$42</f>
        <v>6.73975801718601</v>
      </c>
      <c r="G1730" s="75">
        <f>3.6*F1730</f>
        <v>24.263128861869635</v>
      </c>
      <c r="H1730" s="75">
        <f>'THAM_SO_MOI'!$D$51</f>
        <v>1.375</v>
      </c>
      <c r="I1730" s="75">
        <f>IF(F1730&gt;'THAM_SO_MOI'!$C$14,'THAM_SO_MOI'!$C$13*(1+F1730^2/1500),'THAM_SO_MOI'!$C$13)</f>
        <v>0.015</v>
      </c>
      <c r="J1730" s="75">
        <f>'THAM_SO_MOI'!$C$40*('THAM_SO_MOI'!$C$23*(E1730/'THAM_SO_MOI'!$C$22)+'THAM_SO_MOI'!$C$24*(E1730/'THAM_SO_MOI'!$C$22)^2-'THAM_SO_MOI'!$C$25*(E1730/'THAM_SO_MOI'!$C$22)^3)</f>
        <v>74.31362701401352</v>
      </c>
      <c r="K1730" s="75">
        <f>'THAM_SO_MOI'!$C$31*J1730/E1730</f>
        <v>419.24563625386503</v>
      </c>
      <c r="L1730" s="75">
        <f>K1730*'THAM_SO_MOI'!$C$51*'THAM_SO_MOI'!$C$17/'THAM_SO_MOI'!$C$26</f>
        <v>9374.001450341439</v>
      </c>
      <c r="M1730" s="75">
        <f>'THAM_SO_MOI'!$C$15*'THAM_SO_MOI'!$C$16*F1730^2</f>
        <v>132.86618903090258</v>
      </c>
      <c r="N1730" s="75">
        <f>'THAM_SO_MOI'!$C$12*I1730</f>
        <v>1130.112</v>
      </c>
      <c r="O1730" s="75">
        <f>M1730+N1730</f>
        <v>1262.9781890309027</v>
      </c>
      <c r="P1730" s="75">
        <f>(MIN(L1730,'THAM_SO_MOI'!$C$41)-O1730)/('THAM_SO_MOI'!$C$11*H1730)</f>
        <v>0.7680893239877401</v>
      </c>
      <c r="Q1730" s="75">
        <f>IF(P1730&gt;0,1/P1730,NA())</f>
        <v>1.3019319091798254</v>
      </c>
      <c r="R1730" s="75">
        <f>F1730-F1729</f>
        <v>0.005028991339517397</v>
      </c>
      <c r="S1730" s="75">
        <f>0.5*(Q1729+Q1730)*R1730</f>
        <v>0.006547848939478235</v>
      </c>
      <c r="T1730" s="75">
        <f>0.5*(F1729*Q1729+F1730*Q1730)*R1730</f>
        <v>0.044114451729312464</v>
      </c>
      <c r="U1730" s="76">
        <f>U1729+S1730</f>
        <v>8.30680166452524</v>
      </c>
      <c r="V1730" s="76">
        <f>V1729+T1730</f>
        <v>35.800427060835766</v>
      </c>
    </row>
    <row r="1731" spans="1:22" ht="19" customHeight="1">
      <c r="A1731" s="68" t="s">
        <v>374</v>
      </c>
      <c r="B1731" s="74">
        <v>3</v>
      </c>
      <c r="C1731" s="68" t="s">
        <v>363</v>
      </c>
      <c r="D1731" s="68" t="s">
        <v>364</v>
      </c>
      <c r="E1731" s="75">
        <f>60*F1731*'THAM_SO_MOI'!$C$51/(2*PI()*'THAM_SO_MOI'!$C$26)</f>
        <v>1694.248701838045</v>
      </c>
      <c r="F1731" s="75">
        <f>'HANH_TRINH'!$F$1647+('THAM_SO_MOI'!$F$51-'HANH_TRINH'!$F$1647)*83/'THAM_SO_MOI'!$C$42</f>
        <v>6.7447870085255275</v>
      </c>
      <c r="G1731" s="75">
        <f>3.6*F1731</f>
        <v>24.2812332306919</v>
      </c>
      <c r="H1731" s="75">
        <f>'THAM_SO_MOI'!$D$51</f>
        <v>1.375</v>
      </c>
      <c r="I1731" s="75">
        <f>IF(F1731&gt;'THAM_SO_MOI'!$C$14,'THAM_SO_MOI'!$C$13*(1+F1731^2/1500),'THAM_SO_MOI'!$C$13)</f>
        <v>0.015</v>
      </c>
      <c r="J1731" s="75">
        <f>'THAM_SO_MOI'!$C$40*('THAM_SO_MOI'!$C$23*(E1731/'THAM_SO_MOI'!$C$22)+'THAM_SO_MOI'!$C$24*(E1731/'THAM_SO_MOI'!$C$22)^2-'THAM_SO_MOI'!$C$25*(E1731/'THAM_SO_MOI'!$C$22)^3)</f>
        <v>74.37936138425037</v>
      </c>
      <c r="K1731" s="75">
        <f>'THAM_SO_MOI'!$C$31*J1731/E1731</f>
        <v>419.3036104897901</v>
      </c>
      <c r="L1731" s="75">
        <f>K1731*'THAM_SO_MOI'!$C$51*'THAM_SO_MOI'!$C$17/'THAM_SO_MOI'!$C$26</f>
        <v>9375.297708488573</v>
      </c>
      <c r="M1731" s="75">
        <f>'THAM_SO_MOI'!$C$15*'THAM_SO_MOI'!$C$16*F1731^2</f>
        <v>133.0645439868461</v>
      </c>
      <c r="N1731" s="75">
        <f>'THAM_SO_MOI'!$C$12*I1731</f>
        <v>1130.112</v>
      </c>
      <c r="O1731" s="75">
        <f>M1731+N1731</f>
        <v>1263.1765439868461</v>
      </c>
      <c r="P1731" s="75">
        <f>(MIN(L1731,'THAM_SO_MOI'!$C$41)-O1731)/('THAM_SO_MOI'!$C$11*H1731)</f>
        <v>0.7681932920929666</v>
      </c>
      <c r="Q1731" s="75">
        <f>IF(P1731&gt;0,1/P1731,NA())</f>
        <v>1.3017557043169028</v>
      </c>
      <c r="R1731" s="75">
        <f>F1731-F1730</f>
        <v>0.005028991339517397</v>
      </c>
      <c r="S1731" s="75">
        <f>0.5*(Q1730+Q1731)*R1731</f>
        <v>0.0065469612295418825</v>
      </c>
      <c r="T1731" s="75">
        <f>0.5*(F1730*Q1730+F1731*Q1731)*R1731</f>
        <v>0.04414139562658419</v>
      </c>
      <c r="U1731" s="76">
        <f>U1730+S1731</f>
        <v>8.313348625754783</v>
      </c>
      <c r="V1731" s="76">
        <f>V1730+T1731</f>
        <v>35.84456845646235</v>
      </c>
    </row>
    <row r="1732" spans="1:22" ht="19" customHeight="1">
      <c r="A1732" s="68" t="s">
        <v>374</v>
      </c>
      <c r="B1732" s="74">
        <v>3</v>
      </c>
      <c r="C1732" s="68" t="s">
        <v>363</v>
      </c>
      <c r="D1732" s="68" t="s">
        <v>364</v>
      </c>
      <c r="E1732" s="75">
        <f>60*F1732*'THAM_SO_MOI'!$C$51/(2*PI()*'THAM_SO_MOI'!$C$26)</f>
        <v>1695.5119532999163</v>
      </c>
      <c r="F1732" s="75">
        <f>'HANH_TRINH'!$F$1647+('THAM_SO_MOI'!$F$51-'HANH_TRINH'!$F$1647)*84/'THAM_SO_MOI'!$C$42</f>
        <v>6.749815999865046</v>
      </c>
      <c r="G1732" s="75">
        <f>3.6*F1732</f>
        <v>24.299337599514164</v>
      </c>
      <c r="H1732" s="75">
        <f>'THAM_SO_MOI'!$D$51</f>
        <v>1.375</v>
      </c>
      <c r="I1732" s="75">
        <f>IF(F1732&gt;'THAM_SO_MOI'!$C$14,'THAM_SO_MOI'!$C$13*(1+F1732^2/1500),'THAM_SO_MOI'!$C$13)</f>
        <v>0.015</v>
      </c>
      <c r="J1732" s="75">
        <f>'THAM_SO_MOI'!$C$40*('THAM_SO_MOI'!$C$23*(E1732/'THAM_SO_MOI'!$C$22)+'THAM_SO_MOI'!$C$24*(E1732/'THAM_SO_MOI'!$C$22)^2-'THAM_SO_MOI'!$C$25*(E1732/'THAM_SO_MOI'!$C$22)^3)</f>
        <v>74.44508360701413</v>
      </c>
      <c r="K1732" s="75">
        <f>'THAM_SO_MOI'!$C$31*J1732/E1732</f>
        <v>419.36142990888453</v>
      </c>
      <c r="L1732" s="75">
        <f>K1732*'THAM_SO_MOI'!$C$51*'THAM_SO_MOI'!$C$17/'THAM_SO_MOI'!$C$26</f>
        <v>9376.590505053595</v>
      </c>
      <c r="M1732" s="75">
        <f>'THAM_SO_MOI'!$C$15*'THAM_SO_MOI'!$C$16*F1732^2</f>
        <v>133.26304689369994</v>
      </c>
      <c r="N1732" s="75">
        <f>'THAM_SO_MOI'!$C$12*I1732</f>
        <v>1130.112</v>
      </c>
      <c r="O1732" s="75">
        <f>M1732+N1732</f>
        <v>1263.3750468937</v>
      </c>
      <c r="P1732" s="75">
        <f>(MIN(L1732,'THAM_SO_MOI'!$C$41)-O1732)/('THAM_SO_MOI'!$C$11*H1732)</f>
        <v>0.7682969183863536</v>
      </c>
      <c r="Q1732" s="75">
        <f>IF(P1732&gt;0,1/P1732,NA())</f>
        <v>1.3015801262099165</v>
      </c>
      <c r="R1732" s="75">
        <f>F1732-F1731</f>
        <v>0.005028991339518285</v>
      </c>
      <c r="S1732" s="75">
        <f>0.5*(Q1731+Q1732)*R1732</f>
        <v>0.006546076672788508</v>
      </c>
      <c r="T1732" s="75">
        <f>0.5*(F1731*Q1731+F1732*Q1732)*R1732</f>
        <v>0.0441683518707579</v>
      </c>
      <c r="U1732" s="76">
        <f>U1731+S1732</f>
        <v>8.319894702427572</v>
      </c>
      <c r="V1732" s="76">
        <f>V1731+T1732</f>
        <v>35.88873680833311</v>
      </c>
    </row>
    <row r="1733" spans="1:22" ht="19" customHeight="1">
      <c r="A1733" s="68" t="s">
        <v>374</v>
      </c>
      <c r="B1733" s="74">
        <v>3</v>
      </c>
      <c r="C1733" s="68" t="s">
        <v>363</v>
      </c>
      <c r="D1733" s="68" t="s">
        <v>364</v>
      </c>
      <c r="E1733" s="75">
        <f>60*F1733*'THAM_SO_MOI'!$C$51/(2*PI()*'THAM_SO_MOI'!$C$26)</f>
        <v>1696.775204761788</v>
      </c>
      <c r="F1733" s="75">
        <f>'HANH_TRINH'!$F$1647+('THAM_SO_MOI'!$F$51-'HANH_TRINH'!$F$1647)*85/'THAM_SO_MOI'!$C$42</f>
        <v>6.754844991204563</v>
      </c>
      <c r="G1733" s="75">
        <f>3.6*F1733</f>
        <v>24.31744196833643</v>
      </c>
      <c r="H1733" s="75">
        <f>'THAM_SO_MOI'!$D$51</f>
        <v>1.375</v>
      </c>
      <c r="I1733" s="75">
        <f>IF(F1733&gt;'THAM_SO_MOI'!$C$14,'THAM_SO_MOI'!$C$13*(1+F1733^2/1500),'THAM_SO_MOI'!$C$13)</f>
        <v>0.015</v>
      </c>
      <c r="J1733" s="75">
        <f>'THAM_SO_MOI'!$C$40*('THAM_SO_MOI'!$C$23*(E1733/'THAM_SO_MOI'!$C$22)+'THAM_SO_MOI'!$C$24*(E1733/'THAM_SO_MOI'!$C$22)^2-'THAM_SO_MOI'!$C$25*(E1733/'THAM_SO_MOI'!$C$22)^3)</f>
        <v>74.5107936208755</v>
      </c>
      <c r="K1733" s="75">
        <f>'THAM_SO_MOI'!$C$31*J1733/E1733</f>
        <v>419.4190945111485</v>
      </c>
      <c r="L1733" s="75">
        <f>K1733*'THAM_SO_MOI'!$C$51*'THAM_SO_MOI'!$C$17/'THAM_SO_MOI'!$C$26</f>
        <v>9377.879840036507</v>
      </c>
      <c r="M1733" s="75">
        <f>'THAM_SO_MOI'!$C$15*'THAM_SO_MOI'!$C$16*F1733^2</f>
        <v>133.46169775146404</v>
      </c>
      <c r="N1733" s="75">
        <f>'THAM_SO_MOI'!$C$12*I1733</f>
        <v>1130.112</v>
      </c>
      <c r="O1733" s="75">
        <f>M1733+N1733</f>
        <v>1263.5736977514641</v>
      </c>
      <c r="P1733" s="75">
        <f>(MIN(L1733,'THAM_SO_MOI'!$C$41)-O1733)/('THAM_SO_MOI'!$C$11*H1733)</f>
        <v>0.7684002028679018</v>
      </c>
      <c r="Q1733" s="75">
        <f>IF(P1733&gt;0,1/P1733,NA())</f>
        <v>1.3014051743709825</v>
      </c>
      <c r="R1733" s="75">
        <f>F1733-F1732</f>
        <v>0.005028991339517397</v>
      </c>
      <c r="S1733" s="75">
        <f>0.5*(Q1732+Q1733)*R1733</f>
        <v>0.006545195266756215</v>
      </c>
      <c r="T1733" s="75">
        <f>0.5*(F1732*Q1732+F1733*Q1733)*R1733</f>
        <v>0.04419532049278207</v>
      </c>
      <c r="U1733" s="76">
        <f>U1732+S1733</f>
        <v>8.326439897694328</v>
      </c>
      <c r="V1733" s="76">
        <f>V1732+T1733</f>
        <v>35.93293212882589</v>
      </c>
    </row>
    <row r="1734" spans="1:22" ht="19" customHeight="1">
      <c r="A1734" s="68" t="s">
        <v>374</v>
      </c>
      <c r="B1734" s="74">
        <v>3</v>
      </c>
      <c r="C1734" s="68" t="s">
        <v>363</v>
      </c>
      <c r="D1734" s="68" t="s">
        <v>364</v>
      </c>
      <c r="E1734" s="75">
        <f>60*F1734*'THAM_SO_MOI'!$C$51/(2*PI()*'THAM_SO_MOI'!$C$26)</f>
        <v>1698.0384562236598</v>
      </c>
      <c r="F1734" s="75">
        <f>'HANH_TRINH'!$F$1647+('THAM_SO_MOI'!$F$51-'HANH_TRINH'!$F$1647)*86/'THAM_SO_MOI'!$C$42</f>
        <v>6.759873982544081</v>
      </c>
      <c r="G1734" s="75">
        <f>3.6*F1734</f>
        <v>24.33554633715869</v>
      </c>
      <c r="H1734" s="75">
        <f>'THAM_SO_MOI'!$D$51</f>
        <v>1.375</v>
      </c>
      <c r="I1734" s="75">
        <f>IF(F1734&gt;'THAM_SO_MOI'!$C$14,'THAM_SO_MOI'!$C$13*(1+F1734^2/1500),'THAM_SO_MOI'!$C$13)</f>
        <v>0.015</v>
      </c>
      <c r="J1734" s="75">
        <f>'THAM_SO_MOI'!$C$40*('THAM_SO_MOI'!$C$23*(E1734/'THAM_SO_MOI'!$C$22)+'THAM_SO_MOI'!$C$24*(E1734/'THAM_SO_MOI'!$C$22)^2-'THAM_SO_MOI'!$C$25*(E1734/'THAM_SO_MOI'!$C$22)^3)</f>
        <v>74.57649136440513</v>
      </c>
      <c r="K1734" s="75">
        <f>'THAM_SO_MOI'!$C$31*J1734/E1734</f>
        <v>419.4766042965819</v>
      </c>
      <c r="L1734" s="75">
        <f>K1734*'THAM_SO_MOI'!$C$51*'THAM_SO_MOI'!$C$17/'THAM_SO_MOI'!$C$26</f>
        <v>9379.165713437309</v>
      </c>
      <c r="M1734" s="75">
        <f>'THAM_SO_MOI'!$C$15*'THAM_SO_MOI'!$C$16*F1734^2</f>
        <v>133.6604965601384</v>
      </c>
      <c r="N1734" s="75">
        <f>'THAM_SO_MOI'!$C$12*I1734</f>
        <v>1130.112</v>
      </c>
      <c r="O1734" s="75">
        <f>M1734+N1734</f>
        <v>1263.7724965601385</v>
      </c>
      <c r="P1734" s="75">
        <f>(MIN(L1734,'THAM_SO_MOI'!$C$41)-O1734)/('THAM_SO_MOI'!$C$11*H1734)</f>
        <v>0.7685031455376109</v>
      </c>
      <c r="Q1734" s="75">
        <f>IF(P1734&gt;0,1/P1734,NA())</f>
        <v>1.3012308483141524</v>
      </c>
      <c r="R1734" s="75">
        <f>F1734-F1733</f>
        <v>0.005028991339517397</v>
      </c>
      <c r="S1734" s="75">
        <f>0.5*(Q1733+Q1734)*R1734</f>
        <v>0.006544317008999774</v>
      </c>
      <c r="T1734" s="75">
        <f>0.5*(F1733*Q1733+F1734*Q1734)*R1734</f>
        <v>0.04422230152366825</v>
      </c>
      <c r="U1734" s="76">
        <f>U1733+S1734</f>
        <v>8.332984214703329</v>
      </c>
      <c r="V1734" s="76">
        <f>V1733+T1734</f>
        <v>35.97715443034956</v>
      </c>
    </row>
    <row r="1735" spans="1:22" ht="19" customHeight="1">
      <c r="A1735" s="68" t="s">
        <v>374</v>
      </c>
      <c r="B1735" s="74">
        <v>3</v>
      </c>
      <c r="C1735" s="68" t="s">
        <v>363</v>
      </c>
      <c r="D1735" s="68" t="s">
        <v>364</v>
      </c>
      <c r="E1735" s="75">
        <f>60*F1735*'THAM_SO_MOI'!$C$51/(2*PI()*'THAM_SO_MOI'!$C$26)</f>
        <v>1699.3017076855315</v>
      </c>
      <c r="F1735" s="75">
        <f>'HANH_TRINH'!$F$1647+('THAM_SO_MOI'!$F$51-'HANH_TRINH'!$F$1647)*87/'THAM_SO_MOI'!$C$42</f>
        <v>6.764902973883599</v>
      </c>
      <c r="G1735" s="75">
        <f>3.6*F1735</f>
        <v>24.353650705980957</v>
      </c>
      <c r="H1735" s="75">
        <f>'THAM_SO_MOI'!$D$51</f>
        <v>1.375</v>
      </c>
      <c r="I1735" s="75">
        <f>IF(F1735&gt;'THAM_SO_MOI'!$C$14,'THAM_SO_MOI'!$C$13*(1+F1735^2/1500),'THAM_SO_MOI'!$C$13)</f>
        <v>0.015</v>
      </c>
      <c r="J1735" s="75">
        <f>'THAM_SO_MOI'!$C$40*('THAM_SO_MOI'!$C$23*(E1735/'THAM_SO_MOI'!$C$22)+'THAM_SO_MOI'!$C$24*(E1735/'THAM_SO_MOI'!$C$22)^2-'THAM_SO_MOI'!$C$25*(E1735/'THAM_SO_MOI'!$C$22)^3)</f>
        <v>74.64217677617366</v>
      </c>
      <c r="K1735" s="75">
        <f>'THAM_SO_MOI'!$C$31*J1735/E1735</f>
        <v>419.5339592651849</v>
      </c>
      <c r="L1735" s="75">
        <f>K1735*'THAM_SO_MOI'!$C$51*'THAM_SO_MOI'!$C$17/'THAM_SO_MOI'!$C$26</f>
        <v>9380.448125256005</v>
      </c>
      <c r="M1735" s="75">
        <f>'THAM_SO_MOI'!$C$15*'THAM_SO_MOI'!$C$16*F1735^2</f>
        <v>133.85944331972306</v>
      </c>
      <c r="N1735" s="75">
        <f>'THAM_SO_MOI'!$C$12*I1735</f>
        <v>1130.112</v>
      </c>
      <c r="O1735" s="75">
        <f>M1735+N1735</f>
        <v>1263.9714433197232</v>
      </c>
      <c r="P1735" s="75">
        <f>(MIN(L1735,'THAM_SO_MOI'!$C$41)-O1735)/('THAM_SO_MOI'!$C$11*H1735)</f>
        <v>0.7686057463954813</v>
      </c>
      <c r="Q1735" s="75">
        <f>IF(P1735&gt;0,1/P1735,NA())</f>
        <v>1.3010571475554078</v>
      </c>
      <c r="R1735" s="75">
        <f>F1735-F1734</f>
        <v>0.005028991339518285</v>
      </c>
      <c r="S1735" s="75">
        <f>0.5*(Q1734+Q1735)*R1735</f>
        <v>0.006543441897080207</v>
      </c>
      <c r="T1735" s="75">
        <f>0.5*(F1734*Q1734+F1735*Q1735)*R1735</f>
        <v>0.044249294994421116</v>
      </c>
      <c r="U1735" s="76">
        <f>U1734+S1735</f>
        <v>8.339527656600408</v>
      </c>
      <c r="V1735" s="76">
        <f>V1734+T1735</f>
        <v>36.02140372534398</v>
      </c>
    </row>
    <row r="1736" spans="1:22" ht="19" customHeight="1">
      <c r="A1736" s="68" t="s">
        <v>374</v>
      </c>
      <c r="B1736" s="74">
        <v>3</v>
      </c>
      <c r="C1736" s="68" t="s">
        <v>363</v>
      </c>
      <c r="D1736" s="68" t="s">
        <v>364</v>
      </c>
      <c r="E1736" s="75">
        <f>60*F1736*'THAM_SO_MOI'!$C$51/(2*PI()*'THAM_SO_MOI'!$C$26)</f>
        <v>1700.564959147403</v>
      </c>
      <c r="F1736" s="75">
        <f>'HANH_TRINH'!$F$1647+('THAM_SO_MOI'!$F$51-'HANH_TRINH'!$F$1647)*88/'THAM_SO_MOI'!$C$42</f>
        <v>6.769931965223116</v>
      </c>
      <c r="G1736" s="75">
        <f>3.6*F1736</f>
        <v>24.371755074803218</v>
      </c>
      <c r="H1736" s="75">
        <f>'THAM_SO_MOI'!$D$51</f>
        <v>1.375</v>
      </c>
      <c r="I1736" s="75">
        <f>IF(F1736&gt;'THAM_SO_MOI'!$C$14,'THAM_SO_MOI'!$C$13*(1+F1736^2/1500),'THAM_SO_MOI'!$C$13)</f>
        <v>0.015</v>
      </c>
      <c r="J1736" s="75">
        <f>'THAM_SO_MOI'!$C$40*('THAM_SO_MOI'!$C$23*(E1736/'THAM_SO_MOI'!$C$22)+'THAM_SO_MOI'!$C$24*(E1736/'THAM_SO_MOI'!$C$22)^2-'THAM_SO_MOI'!$C$25*(E1736/'THAM_SO_MOI'!$C$22)^3)</f>
        <v>74.70784979475174</v>
      </c>
      <c r="K1736" s="75">
        <f>'THAM_SO_MOI'!$C$31*J1736/E1736</f>
        <v>419.59115941695734</v>
      </c>
      <c r="L1736" s="75">
        <f>K1736*'THAM_SO_MOI'!$C$51*'THAM_SO_MOI'!$C$17/'THAM_SO_MOI'!$C$26</f>
        <v>9381.727075492592</v>
      </c>
      <c r="M1736" s="75">
        <f>'THAM_SO_MOI'!$C$15*'THAM_SO_MOI'!$C$16*F1736^2</f>
        <v>134.05853803021796</v>
      </c>
      <c r="N1736" s="75">
        <f>'THAM_SO_MOI'!$C$12*I1736</f>
        <v>1130.112</v>
      </c>
      <c r="O1736" s="75">
        <f>M1736+N1736</f>
        <v>1264.170538030218</v>
      </c>
      <c r="P1736" s="75">
        <f>(MIN(L1736,'THAM_SO_MOI'!$C$41)-O1736)/('THAM_SO_MOI'!$C$11*H1736)</f>
        <v>0.7687080054415126</v>
      </c>
      <c r="Q1736" s="75">
        <f>IF(P1736&gt;0,1/P1736,NA())</f>
        <v>1.3008840716126577</v>
      </c>
      <c r="R1736" s="75">
        <f>F1736-F1735</f>
        <v>0.005028991339517397</v>
      </c>
      <c r="S1736" s="75">
        <f>0.5*(Q1735+Q1736)*R1736</f>
        <v>0.006542569928564769</v>
      </c>
      <c r="T1736" s="75">
        <f>0.5*(F1735*Q1735+F1736*Q1736)*R1736</f>
        <v>0.04427630093603841</v>
      </c>
      <c r="U1736" s="76">
        <f>U1735+S1736</f>
        <v>8.346070226528973</v>
      </c>
      <c r="V1736" s="76">
        <f>V1735+T1736</f>
        <v>36.06568002628002</v>
      </c>
    </row>
    <row r="1737" spans="1:22" ht="19" customHeight="1">
      <c r="A1737" s="68" t="s">
        <v>374</v>
      </c>
      <c r="B1737" s="74">
        <v>3</v>
      </c>
      <c r="C1737" s="68" t="s">
        <v>363</v>
      </c>
      <c r="D1737" s="68" t="s">
        <v>364</v>
      </c>
      <c r="E1737" s="75">
        <f>60*F1737*'THAM_SO_MOI'!$C$51/(2*PI()*'THAM_SO_MOI'!$C$26)</f>
        <v>1701.8282106092743</v>
      </c>
      <c r="F1737" s="75">
        <f>'HANH_TRINH'!$F$1647+('THAM_SO_MOI'!$F$51-'HANH_TRINH'!$F$1647)*89/'THAM_SO_MOI'!$C$42</f>
        <v>6.774960956562634</v>
      </c>
      <c r="G1737" s="75">
        <f>3.6*F1737</f>
        <v>24.389859443625483</v>
      </c>
      <c r="H1737" s="75">
        <f>'THAM_SO_MOI'!$D$51</f>
        <v>1.375</v>
      </c>
      <c r="I1737" s="75">
        <f>IF(F1737&gt;'THAM_SO_MOI'!$C$14,'THAM_SO_MOI'!$C$13*(1+F1737^2/1500),'THAM_SO_MOI'!$C$13)</f>
        <v>0.015</v>
      </c>
      <c r="J1737" s="75">
        <f>'THAM_SO_MOI'!$C$40*('THAM_SO_MOI'!$C$23*(E1737/'THAM_SO_MOI'!$C$22)+'THAM_SO_MOI'!$C$24*(E1737/'THAM_SO_MOI'!$C$22)^2-'THAM_SO_MOI'!$C$25*(E1737/'THAM_SO_MOI'!$C$22)^3)</f>
        <v>74.77351035871001</v>
      </c>
      <c r="K1737" s="75">
        <f>'THAM_SO_MOI'!$C$31*J1737/E1737</f>
        <v>419.64820475189936</v>
      </c>
      <c r="L1737" s="75">
        <f>K1737*'THAM_SO_MOI'!$C$51*'THAM_SO_MOI'!$C$17/'THAM_SO_MOI'!$C$26</f>
        <v>9383.002564147071</v>
      </c>
      <c r="M1737" s="75">
        <f>'THAM_SO_MOI'!$C$15*'THAM_SO_MOI'!$C$16*F1737^2</f>
        <v>134.25778069162314</v>
      </c>
      <c r="N1737" s="75">
        <f>'THAM_SO_MOI'!$C$12*I1737</f>
        <v>1130.112</v>
      </c>
      <c r="O1737" s="75">
        <f>M1737+N1737</f>
        <v>1264.3697806916232</v>
      </c>
      <c r="P1737" s="75">
        <f>(MIN(L1737,'THAM_SO_MOI'!$C$41)-O1737)/('THAM_SO_MOI'!$C$11*H1737)</f>
        <v>0.7688099226757052</v>
      </c>
      <c r="Q1737" s="75">
        <f>IF(P1737&gt;0,1/P1737,NA())</f>
        <v>1.3007116200057345</v>
      </c>
      <c r="R1737" s="75">
        <f>F1737-F1736</f>
        <v>0.005028991339517397</v>
      </c>
      <c r="S1737" s="75">
        <f>0.5*(Q1736+Q1737)*R1737</f>
        <v>0.006541701101037334</v>
      </c>
      <c r="T1737" s="75">
        <f>0.5*(F1736*Q1736+F1737*Q1737)*R1737</f>
        <v>0.04430331937958153</v>
      </c>
      <c r="U1737" s="76">
        <f>U1736+S1737</f>
        <v>8.35261192763001</v>
      </c>
      <c r="V1737" s="76">
        <f>V1736+T1737</f>
        <v>36.1099833456596</v>
      </c>
    </row>
    <row r="1738" spans="1:22" ht="19" customHeight="1">
      <c r="A1738" s="68" t="s">
        <v>374</v>
      </c>
      <c r="B1738" s="74">
        <v>3</v>
      </c>
      <c r="C1738" s="68" t="s">
        <v>363</v>
      </c>
      <c r="D1738" s="68" t="s">
        <v>364</v>
      </c>
      <c r="E1738" s="75">
        <f>60*F1738*'THAM_SO_MOI'!$C$51/(2*PI()*'THAM_SO_MOI'!$C$26)</f>
        <v>1703.0914620711465</v>
      </c>
      <c r="F1738" s="75">
        <f>'HANH_TRINH'!$F$1647+('THAM_SO_MOI'!$F$51-'HANH_TRINH'!$F$1647)*90/'THAM_SO_MOI'!$C$42</f>
        <v>6.779989947902152</v>
      </c>
      <c r="G1738" s="75">
        <f>3.6*F1738</f>
        <v>24.407963812447747</v>
      </c>
      <c r="H1738" s="75">
        <f>'THAM_SO_MOI'!$D$51</f>
        <v>1.375</v>
      </c>
      <c r="I1738" s="75">
        <f>IF(F1738&gt;'THAM_SO_MOI'!$C$14,'THAM_SO_MOI'!$C$13*(1+F1738^2/1500),'THAM_SO_MOI'!$C$13)</f>
        <v>0.015</v>
      </c>
      <c r="J1738" s="75">
        <f>'THAM_SO_MOI'!$C$40*('THAM_SO_MOI'!$C$23*(E1738/'THAM_SO_MOI'!$C$22)+'THAM_SO_MOI'!$C$24*(E1738/'THAM_SO_MOI'!$C$22)^2-'THAM_SO_MOI'!$C$25*(E1738/'THAM_SO_MOI'!$C$22)^3)</f>
        <v>74.83915840661918</v>
      </c>
      <c r="K1738" s="75">
        <f>'THAM_SO_MOI'!$C$31*J1738/E1738</f>
        <v>419.7050952700109</v>
      </c>
      <c r="L1738" s="75">
        <f>K1738*'THAM_SO_MOI'!$C$51*'THAM_SO_MOI'!$C$17/'THAM_SO_MOI'!$C$26</f>
        <v>9384.27459121944</v>
      </c>
      <c r="M1738" s="75">
        <f>'THAM_SO_MOI'!$C$15*'THAM_SO_MOI'!$C$16*F1738^2</f>
        <v>134.45717130393862</v>
      </c>
      <c r="N1738" s="75">
        <f>'THAM_SO_MOI'!$C$12*I1738</f>
        <v>1130.112</v>
      </c>
      <c r="O1738" s="75">
        <f>M1738+N1738</f>
        <v>1264.5691713039387</v>
      </c>
      <c r="P1738" s="75">
        <f>(MIN(L1738,'THAM_SO_MOI'!$C$41)-O1738)/('THAM_SO_MOI'!$C$11*H1738)</f>
        <v>0.7689114980980589</v>
      </c>
      <c r="Q1738" s="75">
        <f>IF(P1738&gt;0,1/P1738,NA())</f>
        <v>1.300539792256391</v>
      </c>
      <c r="R1738" s="75">
        <f>F1738-F1737</f>
        <v>0.005028991339518285</v>
      </c>
      <c r="S1738" s="75">
        <f>0.5*(Q1737+Q1738)*R1738</f>
        <v>0.006540835412087968</v>
      </c>
      <c r="T1738" s="75">
        <f>0.5*(F1737*Q1737+F1738*Q1738)*R1738</f>
        <v>0.044330350356105226</v>
      </c>
      <c r="U1738" s="76">
        <f>U1737+S1738</f>
        <v>8.359152763042097</v>
      </c>
      <c r="V1738" s="76">
        <f>V1737+T1738</f>
        <v>36.154313696015706</v>
      </c>
    </row>
    <row r="1739" spans="1:22" ht="19" customHeight="1">
      <c r="A1739" s="68" t="s">
        <v>374</v>
      </c>
      <c r="B1739" s="74">
        <v>3</v>
      </c>
      <c r="C1739" s="68" t="s">
        <v>363</v>
      </c>
      <c r="D1739" s="68" t="s">
        <v>364</v>
      </c>
      <c r="E1739" s="75">
        <f>60*F1739*'THAM_SO_MOI'!$C$51/(2*PI()*'THAM_SO_MOI'!$C$26)</f>
        <v>1704.3547135330177</v>
      </c>
      <c r="F1739" s="75">
        <f>'HANH_TRINH'!$F$1647+('THAM_SO_MOI'!$F$51-'HANH_TRINH'!$F$1647)*91/'THAM_SO_MOI'!$C$42</f>
        <v>6.785018939241669</v>
      </c>
      <c r="G1739" s="75">
        <f>3.6*F1739</f>
        <v>24.42606818127001</v>
      </c>
      <c r="H1739" s="75">
        <f>'THAM_SO_MOI'!$D$51</f>
        <v>1.375</v>
      </c>
      <c r="I1739" s="75">
        <f>IF(F1739&gt;'THAM_SO_MOI'!$C$14,'THAM_SO_MOI'!$C$13*(1+F1739^2/1500),'THAM_SO_MOI'!$C$13)</f>
        <v>0.015</v>
      </c>
      <c r="J1739" s="75">
        <f>'THAM_SO_MOI'!$C$40*('THAM_SO_MOI'!$C$23*(E1739/'THAM_SO_MOI'!$C$22)+'THAM_SO_MOI'!$C$24*(E1739/'THAM_SO_MOI'!$C$22)^2-'THAM_SO_MOI'!$C$25*(E1739/'THAM_SO_MOI'!$C$22)^3)</f>
        <v>74.90479387704978</v>
      </c>
      <c r="K1739" s="75">
        <f>'THAM_SO_MOI'!$C$31*J1739/E1739</f>
        <v>419.7618309712917</v>
      </c>
      <c r="L1739" s="75">
        <f>K1739*'THAM_SO_MOI'!$C$51*'THAM_SO_MOI'!$C$17/'THAM_SO_MOI'!$C$26</f>
        <v>9385.543156709698</v>
      </c>
      <c r="M1739" s="75">
        <f>'THAM_SO_MOI'!$C$15*'THAM_SO_MOI'!$C$16*F1739^2</f>
        <v>134.65670986716435</v>
      </c>
      <c r="N1739" s="75">
        <f>'THAM_SO_MOI'!$C$12*I1739</f>
        <v>1130.112</v>
      </c>
      <c r="O1739" s="75">
        <f>M1739+N1739</f>
        <v>1264.7687098671645</v>
      </c>
      <c r="P1739" s="75">
        <f>(MIN(L1739,'THAM_SO_MOI'!$C$41)-O1739)/('THAM_SO_MOI'!$C$11*H1739)</f>
        <v>0.7690127317085733</v>
      </c>
      <c r="Q1739" s="75">
        <f>IF(P1739&gt;0,1/P1739,NA())</f>
        <v>1.300368587888298</v>
      </c>
      <c r="R1739" s="75">
        <f>F1739-F1738</f>
        <v>0.005028991339517397</v>
      </c>
      <c r="S1739" s="75">
        <f>0.5*(Q1738+Q1739)*R1739</f>
        <v>0.006539972859312931</v>
      </c>
      <c r="T1739" s="75">
        <f>0.5*(F1738*Q1738+F1739*Q1739)*R1739</f>
        <v>0.04435739389665777</v>
      </c>
      <c r="U1739" s="76">
        <f>U1738+S1739</f>
        <v>8.36569273590141</v>
      </c>
      <c r="V1739" s="76">
        <f>V1738+T1739</f>
        <v>36.19867108991237</v>
      </c>
    </row>
    <row r="1740" spans="1:22" ht="19" customHeight="1">
      <c r="A1740" s="68" t="s">
        <v>374</v>
      </c>
      <c r="B1740" s="74">
        <v>3</v>
      </c>
      <c r="C1740" s="68" t="s">
        <v>363</v>
      </c>
      <c r="D1740" s="68" t="s">
        <v>364</v>
      </c>
      <c r="E1740" s="75">
        <f>60*F1740*'THAM_SO_MOI'!$C$51/(2*PI()*'THAM_SO_MOI'!$C$26)</f>
        <v>1705.6179649948895</v>
      </c>
      <c r="F1740" s="75">
        <f>'HANH_TRINH'!$F$1647+('THAM_SO_MOI'!$F$51-'HANH_TRINH'!$F$1647)*92/'THAM_SO_MOI'!$C$42</f>
        <v>6.790047930581187</v>
      </c>
      <c r="G1740" s="75">
        <f>3.6*F1740</f>
        <v>24.444172550092272</v>
      </c>
      <c r="H1740" s="75">
        <f>'THAM_SO_MOI'!$D$51</f>
        <v>1.375</v>
      </c>
      <c r="I1740" s="75">
        <f>IF(F1740&gt;'THAM_SO_MOI'!$C$14,'THAM_SO_MOI'!$C$13*(1+F1740^2/1500),'THAM_SO_MOI'!$C$13)</f>
        <v>0.015</v>
      </c>
      <c r="J1740" s="75">
        <f>'THAM_SO_MOI'!$C$40*('THAM_SO_MOI'!$C$23*(E1740/'THAM_SO_MOI'!$C$22)+'THAM_SO_MOI'!$C$24*(E1740/'THAM_SO_MOI'!$C$22)^2-'THAM_SO_MOI'!$C$25*(E1740/'THAM_SO_MOI'!$C$22)^3)</f>
        <v>74.97041670857257</v>
      </c>
      <c r="K1740" s="75">
        <f>'THAM_SO_MOI'!$C$31*J1740/E1740</f>
        <v>419.81841185574217</v>
      </c>
      <c r="L1740" s="75">
        <f>K1740*'THAM_SO_MOI'!$C$51*'THAM_SO_MOI'!$C$17/'THAM_SO_MOI'!$C$26</f>
        <v>9386.80826061785</v>
      </c>
      <c r="M1740" s="75">
        <f>'THAM_SO_MOI'!$C$15*'THAM_SO_MOI'!$C$16*F1740^2</f>
        <v>134.85639638130036</v>
      </c>
      <c r="N1740" s="75">
        <f>'THAM_SO_MOI'!$C$12*I1740</f>
        <v>1130.112</v>
      </c>
      <c r="O1740" s="75">
        <f>M1740+N1740</f>
        <v>1264.9683963813004</v>
      </c>
      <c r="P1740" s="75">
        <f>(MIN(L1740,'THAM_SO_MOI'!$C$41)-O1740)/('THAM_SO_MOI'!$C$11*H1740)</f>
        <v>0.769113623507249</v>
      </c>
      <c r="Q1740" s="75">
        <f>IF(P1740&gt;0,1/P1740,NA())</f>
        <v>1.3001980064270373</v>
      </c>
      <c r="R1740" s="75">
        <f>F1740-F1739</f>
        <v>0.005028991339517397</v>
      </c>
      <c r="S1740" s="75">
        <f>0.5*(Q1739+Q1740)*R1740</f>
        <v>0.006539113440325037</v>
      </c>
      <c r="T1740" s="75">
        <f>0.5*(F1739*Q1739+F1740*Q1740)*R1740</f>
        <v>0.04438445003235145</v>
      </c>
      <c r="U1740" s="76">
        <f>U1739+S1740</f>
        <v>8.372231849341736</v>
      </c>
      <c r="V1740" s="76">
        <f>V1739+T1740</f>
        <v>36.24305553994472</v>
      </c>
    </row>
    <row r="1741" spans="1:22" ht="19" customHeight="1">
      <c r="A1741" s="68" t="s">
        <v>374</v>
      </c>
      <c r="B1741" s="74">
        <v>3</v>
      </c>
      <c r="C1741" s="68" t="s">
        <v>363</v>
      </c>
      <c r="D1741" s="68" t="s">
        <v>364</v>
      </c>
      <c r="E1741" s="75">
        <f>60*F1741*'THAM_SO_MOI'!$C$51/(2*PI()*'THAM_SO_MOI'!$C$26)</f>
        <v>1706.8812164567612</v>
      </c>
      <c r="F1741" s="75">
        <f>'HANH_TRINH'!$F$1647+('THAM_SO_MOI'!$F$51-'HANH_TRINH'!$F$1647)*93/'THAM_SO_MOI'!$C$42</f>
        <v>6.795076921920705</v>
      </c>
      <c r="G1741" s="75">
        <f>3.6*F1741</f>
        <v>24.46227691891454</v>
      </c>
      <c r="H1741" s="75">
        <f>'THAM_SO_MOI'!$D$51</f>
        <v>1.375</v>
      </c>
      <c r="I1741" s="75">
        <f>IF(F1741&gt;'THAM_SO_MOI'!$C$14,'THAM_SO_MOI'!$C$13*(1+F1741^2/1500),'THAM_SO_MOI'!$C$13)</f>
        <v>0.015</v>
      </c>
      <c r="J1741" s="75">
        <f>'THAM_SO_MOI'!$C$40*('THAM_SO_MOI'!$C$23*(E1741/'THAM_SO_MOI'!$C$22)+'THAM_SO_MOI'!$C$24*(E1741/'THAM_SO_MOI'!$C$22)^2-'THAM_SO_MOI'!$C$25*(E1741/'THAM_SO_MOI'!$C$22)^3)</f>
        <v>75.03602683975812</v>
      </c>
      <c r="K1741" s="75">
        <f>'THAM_SO_MOI'!$C$31*J1741/E1741</f>
        <v>419.87483792336184</v>
      </c>
      <c r="L1741" s="75">
        <f>K1741*'THAM_SO_MOI'!$C$51*'THAM_SO_MOI'!$C$17/'THAM_SO_MOI'!$C$26</f>
        <v>9388.069902943886</v>
      </c>
      <c r="M1741" s="75">
        <f>'THAM_SO_MOI'!$C$15*'THAM_SO_MOI'!$C$16*F1741^2</f>
        <v>135.05623084634664</v>
      </c>
      <c r="N1741" s="75">
        <f>'THAM_SO_MOI'!$C$12*I1741</f>
        <v>1130.112</v>
      </c>
      <c r="O1741" s="75">
        <f>M1741+N1741</f>
        <v>1265.1682308463467</v>
      </c>
      <c r="P1741" s="75">
        <f>(MIN(L1741,'THAM_SO_MOI'!$C$41)-O1741)/('THAM_SO_MOI'!$C$11*H1741)</f>
        <v>0.769214173494085</v>
      </c>
      <c r="Q1741" s="75">
        <f>IF(P1741&gt;0,1/P1741,NA())</f>
        <v>1.3000280474001038</v>
      </c>
      <c r="R1741" s="75">
        <f>F1741-F1740</f>
        <v>0.005028991339518285</v>
      </c>
      <c r="S1741" s="75">
        <f>0.5*(Q1740+Q1741)*R1741</f>
        <v>0.006538257152743249</v>
      </c>
      <c r="T1741" s="75">
        <f>0.5*(F1740*Q1740+F1741*Q1741)*R1741</f>
        <v>0.04441151879429231</v>
      </c>
      <c r="U1741" s="76">
        <f>U1740+S1741</f>
        <v>8.378770106494478</v>
      </c>
      <c r="V1741" s="76">
        <f>V1740+T1741</f>
        <v>36.28746705873901</v>
      </c>
    </row>
    <row r="1742" spans="1:22" ht="19" customHeight="1">
      <c r="A1742" s="68" t="s">
        <v>374</v>
      </c>
      <c r="B1742" s="74">
        <v>3</v>
      </c>
      <c r="C1742" s="68" t="s">
        <v>363</v>
      </c>
      <c r="D1742" s="68" t="s">
        <v>364</v>
      </c>
      <c r="E1742" s="75">
        <f>60*F1742*'THAM_SO_MOI'!$C$51/(2*PI()*'THAM_SO_MOI'!$C$26)</f>
        <v>1708.1444679186325</v>
      </c>
      <c r="F1742" s="75">
        <f>'HANH_TRINH'!$F$1647+('THAM_SO_MOI'!$F$51-'HANH_TRINH'!$F$1647)*94/'THAM_SO_MOI'!$C$42</f>
        <v>6.800105913260222</v>
      </c>
      <c r="G1742" s="75">
        <f>3.6*F1742</f>
        <v>24.4803812877368</v>
      </c>
      <c r="H1742" s="75">
        <f>'THAM_SO_MOI'!$D$51</f>
        <v>1.375</v>
      </c>
      <c r="I1742" s="75">
        <f>IF(F1742&gt;'THAM_SO_MOI'!$C$14,'THAM_SO_MOI'!$C$13*(1+F1742^2/1500),'THAM_SO_MOI'!$C$13)</f>
        <v>0.015</v>
      </c>
      <c r="J1742" s="75">
        <f>'THAM_SO_MOI'!$C$40*('THAM_SO_MOI'!$C$23*(E1742/'THAM_SO_MOI'!$C$22)+'THAM_SO_MOI'!$C$24*(E1742/'THAM_SO_MOI'!$C$22)^2-'THAM_SO_MOI'!$C$25*(E1742/'THAM_SO_MOI'!$C$22)^3)</f>
        <v>75.10162420917719</v>
      </c>
      <c r="K1742" s="75">
        <f>'THAM_SO_MOI'!$C$31*J1742/E1742</f>
        <v>419.9311091741515</v>
      </c>
      <c r="L1742" s="75">
        <f>K1742*'THAM_SO_MOI'!$C$51*'THAM_SO_MOI'!$C$17/'THAM_SO_MOI'!$C$26</f>
        <v>9389.328083687826</v>
      </c>
      <c r="M1742" s="75">
        <f>'THAM_SO_MOI'!$C$15*'THAM_SO_MOI'!$C$16*F1742^2</f>
        <v>135.2562132623032</v>
      </c>
      <c r="N1742" s="75">
        <f>'THAM_SO_MOI'!$C$12*I1742</f>
        <v>1130.112</v>
      </c>
      <c r="O1742" s="75">
        <f>M1742+N1742</f>
        <v>1265.3682132623032</v>
      </c>
      <c r="P1742" s="75">
        <f>(MIN(L1742,'THAM_SO_MOI'!$C$41)-O1742)/('THAM_SO_MOI'!$C$11*H1742)</f>
        <v>0.7693143816690836</v>
      </c>
      <c r="Q1742" s="75">
        <f>IF(P1742&gt;0,1/P1742,NA())</f>
        <v>1.299858710336894</v>
      </c>
      <c r="R1742" s="75">
        <f>F1742-F1741</f>
        <v>0.005028991339517397</v>
      </c>
      <c r="S1742" s="75">
        <f>0.5*(Q1741+Q1742)*R1742</f>
        <v>0.006537403994192663</v>
      </c>
      <c r="T1742" s="75">
        <f>0.5*(F1741*Q1741+F1742*Q1742)*R1742</f>
        <v>0.04443860021358016</v>
      </c>
      <c r="U1742" s="76">
        <f>U1741+S1742</f>
        <v>8.385307510488671</v>
      </c>
      <c r="V1742" s="76">
        <f>V1741+T1742</f>
        <v>36.33190565895259</v>
      </c>
    </row>
    <row r="1743" spans="1:22" ht="19" customHeight="1">
      <c r="A1743" s="68" t="s">
        <v>374</v>
      </c>
      <c r="B1743" s="74">
        <v>3</v>
      </c>
      <c r="C1743" s="68" t="s">
        <v>363</v>
      </c>
      <c r="D1743" s="68" t="s">
        <v>364</v>
      </c>
      <c r="E1743" s="75">
        <f>60*F1743*'THAM_SO_MOI'!$C$51/(2*PI()*'THAM_SO_MOI'!$C$26)</f>
        <v>1709.4077193805042</v>
      </c>
      <c r="F1743" s="75">
        <f>'HANH_TRINH'!$F$1647+('THAM_SO_MOI'!$F$51-'HANH_TRINH'!$F$1647)*95/'THAM_SO_MOI'!$C$42</f>
        <v>6.80513490459974</v>
      </c>
      <c r="G1743" s="75">
        <f>3.6*F1743</f>
        <v>24.498485656559065</v>
      </c>
      <c r="H1743" s="75">
        <f>'THAM_SO_MOI'!$D$51</f>
        <v>1.375</v>
      </c>
      <c r="I1743" s="75">
        <f>IF(F1743&gt;'THAM_SO_MOI'!$C$14,'THAM_SO_MOI'!$C$13*(1+F1743^2/1500),'THAM_SO_MOI'!$C$13)</f>
        <v>0.015</v>
      </c>
      <c r="J1743" s="75">
        <f>'THAM_SO_MOI'!$C$40*('THAM_SO_MOI'!$C$23*(E1743/'THAM_SO_MOI'!$C$22)+'THAM_SO_MOI'!$C$24*(E1743/'THAM_SO_MOI'!$C$22)^2-'THAM_SO_MOI'!$C$25*(E1743/'THAM_SO_MOI'!$C$22)^3)</f>
        <v>75.16720875540028</v>
      </c>
      <c r="K1743" s="75">
        <f>'THAM_SO_MOI'!$C$31*J1743/E1743</f>
        <v>419.98722560811007</v>
      </c>
      <c r="L1743" s="75">
        <f>K1743*'THAM_SO_MOI'!$C$51*'THAM_SO_MOI'!$C$17/'THAM_SO_MOI'!$C$26</f>
        <v>9390.582802849642</v>
      </c>
      <c r="M1743" s="75">
        <f>'THAM_SO_MOI'!$C$15*'THAM_SO_MOI'!$C$16*F1743^2</f>
        <v>135.45634362917002</v>
      </c>
      <c r="N1743" s="75">
        <f>'THAM_SO_MOI'!$C$12*I1743</f>
        <v>1130.112</v>
      </c>
      <c r="O1743" s="75">
        <f>M1743+N1743</f>
        <v>1265.5683436291702</v>
      </c>
      <c r="P1743" s="75">
        <f>(MIN(L1743,'THAM_SO_MOI'!$C$41)-O1743)/('THAM_SO_MOI'!$C$11*H1743)</f>
        <v>0.7694142480322416</v>
      </c>
      <c r="Q1743" s="75">
        <f>IF(P1743&gt;0,1/P1743,NA())</f>
        <v>1.2996899947687166</v>
      </c>
      <c r="R1743" s="75">
        <f>F1743-F1742</f>
        <v>0.005028991339517397</v>
      </c>
      <c r="S1743" s="75">
        <f>0.5*(Q1742+Q1743)*R1743</f>
        <v>0.00653655396231489</v>
      </c>
      <c r="T1743" s="75">
        <f>0.5*(F1742*Q1742+F1743*Q1743)*R1743</f>
        <v>0.04446569432137942</v>
      </c>
      <c r="U1743" s="76">
        <f>U1742+S1743</f>
        <v>8.391844064450986</v>
      </c>
      <c r="V1743" s="76">
        <f>V1742+T1743</f>
        <v>36.376371353273974</v>
      </c>
    </row>
    <row r="1744" spans="1:22" ht="19" customHeight="1">
      <c r="A1744" s="68" t="s">
        <v>374</v>
      </c>
      <c r="B1744" s="74">
        <v>3</v>
      </c>
      <c r="C1744" s="68" t="s">
        <v>363</v>
      </c>
      <c r="D1744" s="68" t="s">
        <v>364</v>
      </c>
      <c r="E1744" s="75">
        <f>60*F1744*'THAM_SO_MOI'!$C$51/(2*PI()*'THAM_SO_MOI'!$C$26)</f>
        <v>1710.670970842376</v>
      </c>
      <c r="F1744" s="75">
        <f>'HANH_TRINH'!$F$1647+('THAM_SO_MOI'!$F$51-'HANH_TRINH'!$F$1647)*96/'THAM_SO_MOI'!$C$42</f>
        <v>6.810163895939258</v>
      </c>
      <c r="G1744" s="75">
        <f>3.6*F1744</f>
        <v>24.51659002538133</v>
      </c>
      <c r="H1744" s="75">
        <f>'THAM_SO_MOI'!$D$51</f>
        <v>1.375</v>
      </c>
      <c r="I1744" s="75">
        <f>IF(F1744&gt;'THAM_SO_MOI'!$C$14,'THAM_SO_MOI'!$C$13*(1+F1744^2/1500),'THAM_SO_MOI'!$C$13)</f>
        <v>0.015</v>
      </c>
      <c r="J1744" s="75">
        <f>'THAM_SO_MOI'!$C$40*('THAM_SO_MOI'!$C$23*(E1744/'THAM_SO_MOI'!$C$22)+'THAM_SO_MOI'!$C$24*(E1744/'THAM_SO_MOI'!$C$22)^2-'THAM_SO_MOI'!$C$25*(E1744/'THAM_SO_MOI'!$C$22)^3)</f>
        <v>75.2327804169982</v>
      </c>
      <c r="K1744" s="75">
        <f>'THAM_SO_MOI'!$C$31*J1744/E1744</f>
        <v>420.04318722523857</v>
      </c>
      <c r="L1744" s="75">
        <f>K1744*'THAM_SO_MOI'!$C$51*'THAM_SO_MOI'!$C$17/'THAM_SO_MOI'!$C$26</f>
        <v>9391.834060429359</v>
      </c>
      <c r="M1744" s="75">
        <f>'THAM_SO_MOI'!$C$15*'THAM_SO_MOI'!$C$16*F1744^2</f>
        <v>135.65662194694715</v>
      </c>
      <c r="N1744" s="75">
        <f>'THAM_SO_MOI'!$C$12*I1744</f>
        <v>1130.112</v>
      </c>
      <c r="O1744" s="75">
        <f>M1744+N1744</f>
        <v>1265.7686219469472</v>
      </c>
      <c r="P1744" s="75">
        <f>(MIN(L1744,'THAM_SO_MOI'!$C$41)-O1744)/('THAM_SO_MOI'!$C$11*H1744)</f>
        <v>0.7695137725835617</v>
      </c>
      <c r="Q1744" s="75">
        <f>IF(P1744&gt;0,1/P1744,NA())</f>
        <v>1.2995219002287703</v>
      </c>
      <c r="R1744" s="75">
        <f>F1744-F1743</f>
        <v>0.005028991339518285</v>
      </c>
      <c r="S1744" s="75">
        <f>0.5*(Q1743+Q1744)*R1744</f>
        <v>0.006535707054757637</v>
      </c>
      <c r="T1744" s="75">
        <f>0.5*(F1743*Q1743+F1744*Q1744)*R1744</f>
        <v>0.04449280114884854</v>
      </c>
      <c r="U1744" s="76">
        <f>U1743+S1744</f>
        <v>8.398379771505743</v>
      </c>
      <c r="V1744" s="76">
        <f>V1743+T1744</f>
        <v>36.42086415442282</v>
      </c>
    </row>
    <row r="1745" spans="1:22" ht="19" customHeight="1">
      <c r="A1745" s="68" t="s">
        <v>374</v>
      </c>
      <c r="B1745" s="74">
        <v>3</v>
      </c>
      <c r="C1745" s="68" t="s">
        <v>363</v>
      </c>
      <c r="D1745" s="68" t="s">
        <v>364</v>
      </c>
      <c r="E1745" s="75">
        <f>60*F1745*'THAM_SO_MOI'!$C$51/(2*PI()*'THAM_SO_MOI'!$C$26)</f>
        <v>1711.9342223042477</v>
      </c>
      <c r="F1745" s="75">
        <f>'HANH_TRINH'!$F$1647+('THAM_SO_MOI'!$F$51-'HANH_TRINH'!$F$1647)*97/'THAM_SO_MOI'!$C$42</f>
        <v>6.8151928872787755</v>
      </c>
      <c r="G1745" s="75">
        <f>3.6*F1745</f>
        <v>24.53469439420359</v>
      </c>
      <c r="H1745" s="75">
        <f>'THAM_SO_MOI'!$D$51</f>
        <v>1.375</v>
      </c>
      <c r="I1745" s="75">
        <f>IF(F1745&gt;'THAM_SO_MOI'!$C$14,'THAM_SO_MOI'!$C$13*(1+F1745^2/1500),'THAM_SO_MOI'!$C$13)</f>
        <v>0.015</v>
      </c>
      <c r="J1745" s="75">
        <f>'THAM_SO_MOI'!$C$40*('THAM_SO_MOI'!$C$23*(E1745/'THAM_SO_MOI'!$C$22)+'THAM_SO_MOI'!$C$24*(E1745/'THAM_SO_MOI'!$C$22)^2-'THAM_SO_MOI'!$C$25*(E1745/'THAM_SO_MOI'!$C$22)^3)</f>
        <v>75.29833913254151</v>
      </c>
      <c r="K1745" s="75">
        <f>'THAM_SO_MOI'!$C$31*J1745/E1745</f>
        <v>420.09899402553657</v>
      </c>
      <c r="L1745" s="75">
        <f>K1745*'THAM_SO_MOI'!$C$51*'THAM_SO_MOI'!$C$17/'THAM_SO_MOI'!$C$26</f>
        <v>9393.081856426968</v>
      </c>
      <c r="M1745" s="75">
        <f>'THAM_SO_MOI'!$C$15*'THAM_SO_MOI'!$C$16*F1745^2</f>
        <v>135.8570482156345</v>
      </c>
      <c r="N1745" s="75">
        <f>'THAM_SO_MOI'!$C$12*I1745</f>
        <v>1130.112</v>
      </c>
      <c r="O1745" s="75">
        <f>M1745+N1745</f>
        <v>1265.9690482156345</v>
      </c>
      <c r="P1745" s="75">
        <f>(MIN(L1745,'THAM_SO_MOI'!$C$41)-O1745)/('THAM_SO_MOI'!$C$11*H1745)</f>
        <v>0.7696129553230431</v>
      </c>
      <c r="Q1745" s="75">
        <f>IF(P1745&gt;0,1/P1745,NA())</f>
        <v>1.2993544262521575</v>
      </c>
      <c r="R1745" s="75">
        <f>F1745-F1744</f>
        <v>0.005028991339517397</v>
      </c>
      <c r="S1745" s="75">
        <f>0.5*(Q1744+Q1745)*R1745</f>
        <v>0.006534863269174686</v>
      </c>
      <c r="T1745" s="75">
        <f>0.5*(F1744*Q1744+F1745*Q1745)*R1745</f>
        <v>0.04451992072714006</v>
      </c>
      <c r="U1745" s="76">
        <f>U1744+S1745</f>
        <v>8.404914634774919</v>
      </c>
      <c r="V1745" s="76">
        <f>V1744+T1745</f>
        <v>36.46538407514996</v>
      </c>
    </row>
    <row r="1746" spans="1:22" ht="19" customHeight="1">
      <c r="A1746" s="68" t="s">
        <v>374</v>
      </c>
      <c r="B1746" s="74">
        <v>3</v>
      </c>
      <c r="C1746" s="68" t="s">
        <v>363</v>
      </c>
      <c r="D1746" s="68" t="s">
        <v>364</v>
      </c>
      <c r="E1746" s="75">
        <f>60*F1746*'THAM_SO_MOI'!$C$51/(2*PI()*'THAM_SO_MOI'!$C$26)</f>
        <v>1713.1974737661192</v>
      </c>
      <c r="F1746" s="75">
        <f>'HANH_TRINH'!$F$1647+('THAM_SO_MOI'!$F$51-'HANH_TRINH'!$F$1647)*98/'THAM_SO_MOI'!$C$42</f>
        <v>6.820221878618293</v>
      </c>
      <c r="G1746" s="75">
        <f>3.6*F1746</f>
        <v>24.552798763025855</v>
      </c>
      <c r="H1746" s="75">
        <f>'THAM_SO_MOI'!$D$51</f>
        <v>1.375</v>
      </c>
      <c r="I1746" s="75">
        <f>IF(F1746&gt;'THAM_SO_MOI'!$C$14,'THAM_SO_MOI'!$C$13*(1+F1746^2/1500),'THAM_SO_MOI'!$C$13)</f>
        <v>0.015</v>
      </c>
      <c r="J1746" s="75">
        <f>'THAM_SO_MOI'!$C$40*('THAM_SO_MOI'!$C$23*(E1746/'THAM_SO_MOI'!$C$22)+'THAM_SO_MOI'!$C$24*(E1746/'THAM_SO_MOI'!$C$22)^2-'THAM_SO_MOI'!$C$25*(E1746/'THAM_SO_MOI'!$C$22)^3)</f>
        <v>75.36388484060085</v>
      </c>
      <c r="K1746" s="75">
        <f>'THAM_SO_MOI'!$C$31*J1746/E1746</f>
        <v>420.1546460090039</v>
      </c>
      <c r="L1746" s="75">
        <f>K1746*'THAM_SO_MOI'!$C$51*'THAM_SO_MOI'!$C$17/'THAM_SO_MOI'!$C$26</f>
        <v>9394.326190842463</v>
      </c>
      <c r="M1746" s="75">
        <f>'THAM_SO_MOI'!$C$15*'THAM_SO_MOI'!$C$16*F1746^2</f>
        <v>136.05762243523216</v>
      </c>
      <c r="N1746" s="75">
        <f>'THAM_SO_MOI'!$C$12*I1746</f>
        <v>1130.112</v>
      </c>
      <c r="O1746" s="75">
        <f>M1746+N1746</f>
        <v>1266.1696224352322</v>
      </c>
      <c r="P1746" s="75">
        <f>(MIN(L1746,'THAM_SO_MOI'!$C$41)-O1746)/('THAM_SO_MOI'!$C$11*H1746)</f>
        <v>0.7697117962506848</v>
      </c>
      <c r="Q1746" s="75">
        <f>IF(P1746&gt;0,1/P1746,NA())</f>
        <v>1.2991875723758735</v>
      </c>
      <c r="R1746" s="75">
        <f>F1746-F1745</f>
        <v>0.005028991339517397</v>
      </c>
      <c r="S1746" s="75">
        <f>0.5*(Q1745+Q1746)*R1746</f>
        <v>0.006534022603236297</v>
      </c>
      <c r="T1746" s="75">
        <f>0.5*(F1745*Q1745+F1746*Q1746)*R1746</f>
        <v>0.04454705308747163</v>
      </c>
      <c r="U1746" s="76">
        <f>U1745+S1746</f>
        <v>8.411448657378156</v>
      </c>
      <c r="V1746" s="76">
        <f>V1745+T1746</f>
        <v>36.50993112823743</v>
      </c>
    </row>
    <row r="1747" spans="1:22" ht="19" customHeight="1">
      <c r="A1747" s="68" t="s">
        <v>374</v>
      </c>
      <c r="B1747" s="74">
        <v>3</v>
      </c>
      <c r="C1747" s="68" t="s">
        <v>363</v>
      </c>
      <c r="D1747" s="68" t="s">
        <v>364</v>
      </c>
      <c r="E1747" s="75">
        <f>60*F1747*'THAM_SO_MOI'!$C$51/(2*PI()*'THAM_SO_MOI'!$C$26)</f>
        <v>1714.460725227991</v>
      </c>
      <c r="F1747" s="75">
        <f>'HANH_TRINH'!$F$1647+('THAM_SO_MOI'!$F$51-'HANH_TRINH'!$F$1647)*99/'THAM_SO_MOI'!$C$42</f>
        <v>6.825250869957811</v>
      </c>
      <c r="G1747" s="75">
        <f>3.6*F1747</f>
        <v>24.57090313184812</v>
      </c>
      <c r="H1747" s="75">
        <f>'THAM_SO_MOI'!$D$51</f>
        <v>1.375</v>
      </c>
      <c r="I1747" s="75">
        <f>IF(F1747&gt;'THAM_SO_MOI'!$C$14,'THAM_SO_MOI'!$C$13*(1+F1747^2/1500),'THAM_SO_MOI'!$C$13)</f>
        <v>0.015</v>
      </c>
      <c r="J1747" s="75">
        <f>'THAM_SO_MOI'!$C$40*('THAM_SO_MOI'!$C$23*(E1747/'THAM_SO_MOI'!$C$22)+'THAM_SO_MOI'!$C$24*(E1747/'THAM_SO_MOI'!$C$22)^2-'THAM_SO_MOI'!$C$25*(E1747/'THAM_SO_MOI'!$C$22)^3)</f>
        <v>75.4294174797469</v>
      </c>
      <c r="K1747" s="75">
        <f>'THAM_SO_MOI'!$C$31*J1747/E1747</f>
        <v>420.2101431756408</v>
      </c>
      <c r="L1747" s="75">
        <f>K1747*'THAM_SO_MOI'!$C$51*'THAM_SO_MOI'!$C$17/'THAM_SO_MOI'!$C$26</f>
        <v>9395.567063675851</v>
      </c>
      <c r="M1747" s="75">
        <f>'THAM_SO_MOI'!$C$15*'THAM_SO_MOI'!$C$16*F1747^2</f>
        <v>136.2583446057401</v>
      </c>
      <c r="N1747" s="75">
        <f>'THAM_SO_MOI'!$C$12*I1747</f>
        <v>1130.112</v>
      </c>
      <c r="O1747" s="75">
        <f>M1747+N1747</f>
        <v>1266.3703446057402</v>
      </c>
      <c r="P1747" s="75">
        <f>(MIN(L1747,'THAM_SO_MOI'!$C$41)-O1747)/('THAM_SO_MOI'!$C$11*H1747)</f>
        <v>0.7698102953664878</v>
      </c>
      <c r="Q1747" s="75">
        <f>IF(P1747&gt;0,1/P1747,NA())</f>
        <v>1.2990213381388</v>
      </c>
      <c r="R1747" s="75">
        <f>F1747-F1746</f>
        <v>0.005028991339518285</v>
      </c>
      <c r="S1747" s="75">
        <f>0.5*(Q1746+Q1747)*R1747</f>
        <v>0.006533185054618766</v>
      </c>
      <c r="T1747" s="75">
        <f>0.5*(F1746*Q1746+F1747*Q1747)*R1747</f>
        <v>0.04457419826105523</v>
      </c>
      <c r="U1747" s="76">
        <f>U1746+S1747</f>
        <v>8.417981842432773</v>
      </c>
      <c r="V1747" s="76">
        <f>V1746+T1747</f>
        <v>36.554505326498486</v>
      </c>
    </row>
    <row r="1748" spans="1:22" ht="19" customHeight="1">
      <c r="A1748" s="68" t="s">
        <v>374</v>
      </c>
      <c r="B1748" s="74">
        <v>3</v>
      </c>
      <c r="C1748" s="68" t="s">
        <v>363</v>
      </c>
      <c r="D1748" s="68" t="s">
        <v>364</v>
      </c>
      <c r="E1748" s="75">
        <f>60*F1748*'THAM_SO_MOI'!$C$51/(2*PI()*'THAM_SO_MOI'!$C$26)</f>
        <v>1715.7239766898626</v>
      </c>
      <c r="F1748" s="75">
        <f>'HANH_TRINH'!$F$1647+('THAM_SO_MOI'!$F$51-'HANH_TRINH'!$F$1647)*100/'THAM_SO_MOI'!$C$42</f>
        <v>6.830279861297329</v>
      </c>
      <c r="G1748" s="75">
        <f>3.6*F1748</f>
        <v>24.589007500670384</v>
      </c>
      <c r="H1748" s="75">
        <f>'THAM_SO_MOI'!$D$51</f>
        <v>1.375</v>
      </c>
      <c r="I1748" s="75">
        <f>IF(F1748&gt;'THAM_SO_MOI'!$C$14,'THAM_SO_MOI'!$C$13*(1+F1748^2/1500),'THAM_SO_MOI'!$C$13)</f>
        <v>0.015</v>
      </c>
      <c r="J1748" s="75">
        <f>'THAM_SO_MOI'!$C$40*('THAM_SO_MOI'!$C$23*(E1748/'THAM_SO_MOI'!$C$22)+'THAM_SO_MOI'!$C$24*(E1748/'THAM_SO_MOI'!$C$22)^2-'THAM_SO_MOI'!$C$25*(E1748/'THAM_SO_MOI'!$C$22)^3)</f>
        <v>75.49493698855031</v>
      </c>
      <c r="K1748" s="75">
        <f>'THAM_SO_MOI'!$C$31*J1748/E1748</f>
        <v>420.2654855254471</v>
      </c>
      <c r="L1748" s="75">
        <f>K1748*'THAM_SO_MOI'!$C$51*'THAM_SO_MOI'!$C$17/'THAM_SO_MOI'!$C$26</f>
        <v>9396.804474927128</v>
      </c>
      <c r="M1748" s="75">
        <f>'THAM_SO_MOI'!$C$15*'THAM_SO_MOI'!$C$16*F1748^2</f>
        <v>136.4592147271583</v>
      </c>
      <c r="N1748" s="75">
        <f>'THAM_SO_MOI'!$C$12*I1748</f>
        <v>1130.112</v>
      </c>
      <c r="O1748" s="75">
        <f>M1748+N1748</f>
        <v>1266.5712147271583</v>
      </c>
      <c r="P1748" s="75">
        <f>(MIN(L1748,'THAM_SO_MOI'!$C$41)-O1748)/('THAM_SO_MOI'!$C$11*H1748)</f>
        <v>0.7699084526704517</v>
      </c>
      <c r="Q1748" s="75">
        <f>IF(P1748&gt;0,1/P1748,NA())</f>
        <v>1.29885572308171</v>
      </c>
      <c r="R1748" s="75">
        <f>F1748-F1747</f>
        <v>0.005028991339517397</v>
      </c>
      <c r="S1748" s="75">
        <f>0.5*(Q1747+Q1748)*R1748</f>
        <v>0.006532350621004425</v>
      </c>
      <c r="T1748" s="75">
        <f>0.5*(F1747*Q1747+F1748*Q1748)*R1748</f>
        <v>0.04460135627909736</v>
      </c>
      <c r="U1748" s="76">
        <f>U1747+S1748</f>
        <v>8.424514193053778</v>
      </c>
      <c r="V1748" s="76">
        <f>V1747+T1748</f>
        <v>36.59910668277758</v>
      </c>
    </row>
    <row r="1749" spans="1:22" ht="19" customHeight="1">
      <c r="A1749" s="68" t="s">
        <v>374</v>
      </c>
      <c r="B1749" s="74">
        <v>3</v>
      </c>
      <c r="C1749" s="68" t="s">
        <v>363</v>
      </c>
      <c r="D1749" s="68" t="s">
        <v>364</v>
      </c>
      <c r="E1749" s="75">
        <f>60*F1749*'THAM_SO_MOI'!$C$51/(2*PI()*'THAM_SO_MOI'!$C$26)</f>
        <v>1716.987228151734</v>
      </c>
      <c r="F1749" s="75">
        <f>'HANH_TRINH'!$F$1647+('THAM_SO_MOI'!$F$51-'HANH_TRINH'!$F$1647)*101/'THAM_SO_MOI'!$C$42</f>
        <v>6.835308852636846</v>
      </c>
      <c r="G1749" s="75">
        <f>3.6*F1749</f>
        <v>24.607111869492645</v>
      </c>
      <c r="H1749" s="75">
        <f>'THAM_SO_MOI'!$D$51</f>
        <v>1.375</v>
      </c>
      <c r="I1749" s="75">
        <f>IF(F1749&gt;'THAM_SO_MOI'!$C$14,'THAM_SO_MOI'!$C$13*(1+F1749^2/1500),'THAM_SO_MOI'!$C$13)</f>
        <v>0.015</v>
      </c>
      <c r="J1749" s="75">
        <f>'THAM_SO_MOI'!$C$40*('THAM_SO_MOI'!$C$23*(E1749/'THAM_SO_MOI'!$C$22)+'THAM_SO_MOI'!$C$24*(E1749/'THAM_SO_MOI'!$C$22)^2-'THAM_SO_MOI'!$C$25*(E1749/'THAM_SO_MOI'!$C$22)^3)</f>
        <v>75.56044330558169</v>
      </c>
      <c r="K1749" s="75">
        <f>'THAM_SO_MOI'!$C$31*J1749/E1749</f>
        <v>420.32067305842287</v>
      </c>
      <c r="L1749" s="75">
        <f>K1749*'THAM_SO_MOI'!$C$51*'THAM_SO_MOI'!$C$17/'THAM_SO_MOI'!$C$26</f>
        <v>9398.038424596296</v>
      </c>
      <c r="M1749" s="75">
        <f>'THAM_SO_MOI'!$C$15*'THAM_SO_MOI'!$C$16*F1749^2</f>
        <v>136.66023279948675</v>
      </c>
      <c r="N1749" s="75">
        <f>'THAM_SO_MOI'!$C$12*I1749</f>
        <v>1130.112</v>
      </c>
      <c r="O1749" s="75">
        <f>M1749+N1749</f>
        <v>1266.7722327994868</v>
      </c>
      <c r="P1749" s="75">
        <f>(MIN(L1749,'THAM_SO_MOI'!$C$41)-O1749)/('THAM_SO_MOI'!$C$11*H1749)</f>
        <v>0.7700062681625767</v>
      </c>
      <c r="Q1749" s="75">
        <f>IF(P1749&gt;0,1/P1749,NA())</f>
        <v>1.2986907267472572</v>
      </c>
      <c r="R1749" s="75">
        <f>F1749-F1748</f>
        <v>0.005028991339517397</v>
      </c>
      <c r="S1749" s="75">
        <f>0.5*(Q1748+Q1749)*R1749</f>
        <v>0.0065315193000920185</v>
      </c>
      <c r="T1749" s="75">
        <f>0.5*(F1748*Q1748+F1749*Q1749)*R1749</f>
        <v>0.044628527172869935</v>
      </c>
      <c r="U1749" s="76">
        <f>U1748+S1749</f>
        <v>8.43104571235387</v>
      </c>
      <c r="V1749" s="76">
        <f>V1748+T1749</f>
        <v>36.64373520995045</v>
      </c>
    </row>
    <row r="1750" spans="1:22" ht="19" customHeight="1">
      <c r="A1750" s="68" t="s">
        <v>374</v>
      </c>
      <c r="B1750" s="74">
        <v>3</v>
      </c>
      <c r="C1750" s="68" t="s">
        <v>363</v>
      </c>
      <c r="D1750" s="68" t="s">
        <v>364</v>
      </c>
      <c r="E1750" s="75">
        <f>60*F1750*'THAM_SO_MOI'!$C$51/(2*PI()*'THAM_SO_MOI'!$C$26)</f>
        <v>1718.2504796136056</v>
      </c>
      <c r="F1750" s="75">
        <f>'HANH_TRINH'!$F$1647+('THAM_SO_MOI'!$F$51-'HANH_TRINH'!$F$1647)*102/'THAM_SO_MOI'!$C$42</f>
        <v>6.840337843976364</v>
      </c>
      <c r="G1750" s="75">
        <f>3.6*F1750</f>
        <v>24.625216238314913</v>
      </c>
      <c r="H1750" s="75">
        <f>'THAM_SO_MOI'!$D$51</f>
        <v>1.375</v>
      </c>
      <c r="I1750" s="75">
        <f>IF(F1750&gt;'THAM_SO_MOI'!$C$14,'THAM_SO_MOI'!$C$13*(1+F1750^2/1500),'THAM_SO_MOI'!$C$13)</f>
        <v>0.015</v>
      </c>
      <c r="J1750" s="75">
        <f>'THAM_SO_MOI'!$C$40*('THAM_SO_MOI'!$C$23*(E1750/'THAM_SO_MOI'!$C$22)+'THAM_SO_MOI'!$C$24*(E1750/'THAM_SO_MOI'!$C$22)^2-'THAM_SO_MOI'!$C$25*(E1750/'THAM_SO_MOI'!$C$22)^3)</f>
        <v>75.62593636941175</v>
      </c>
      <c r="K1750" s="75">
        <f>'THAM_SO_MOI'!$C$31*J1750/E1750</f>
        <v>420.3757057745682</v>
      </c>
      <c r="L1750" s="75">
        <f>K1750*'THAM_SO_MOI'!$C$51*'THAM_SO_MOI'!$C$17/'THAM_SO_MOI'!$C$26</f>
        <v>9399.268912683357</v>
      </c>
      <c r="M1750" s="75">
        <f>'THAM_SO_MOI'!$C$15*'THAM_SO_MOI'!$C$16*F1750^2</f>
        <v>136.86139882272553</v>
      </c>
      <c r="N1750" s="75">
        <f>'THAM_SO_MOI'!$C$12*I1750</f>
        <v>1130.112</v>
      </c>
      <c r="O1750" s="75">
        <f>M1750+N1750</f>
        <v>1266.9733988227256</v>
      </c>
      <c r="P1750" s="75">
        <f>(MIN(L1750,'THAM_SO_MOI'!$C$41)-O1750)/('THAM_SO_MOI'!$C$11*H1750)</f>
        <v>0.7701037418428628</v>
      </c>
      <c r="Q1750" s="75">
        <f>IF(P1750&gt;0,1/P1750,NA())</f>
        <v>1.2985263486799767</v>
      </c>
      <c r="R1750" s="75">
        <f>F1750-F1749</f>
        <v>0.005028991339518285</v>
      </c>
      <c r="S1750" s="75">
        <f>0.5*(Q1749+Q1750)*R1750</f>
        <v>0.006530691089586284</v>
      </c>
      <c r="T1750" s="75">
        <f>0.5*(F1749*Q1749+F1750*Q1750)*R1750</f>
        <v>0.04465571097363969</v>
      </c>
      <c r="U1750" s="76">
        <f>U1749+S1750</f>
        <v>8.437576403443456</v>
      </c>
      <c r="V1750" s="76">
        <f>V1749+T1750</f>
        <v>36.68839092092409</v>
      </c>
    </row>
    <row r="1751" spans="1:22" ht="19" customHeight="1">
      <c r="A1751" s="68" t="s">
        <v>374</v>
      </c>
      <c r="B1751" s="74">
        <v>3</v>
      </c>
      <c r="C1751" s="68" t="s">
        <v>363</v>
      </c>
      <c r="D1751" s="68" t="s">
        <v>364</v>
      </c>
      <c r="E1751" s="75">
        <f>60*F1751*'THAM_SO_MOI'!$C$51/(2*PI()*'THAM_SO_MOI'!$C$26)</f>
        <v>1719.5137310754772</v>
      </c>
      <c r="F1751" s="75">
        <f>'HANH_TRINH'!$F$1647+('THAM_SO_MOI'!$F$51-'HANH_TRINH'!$F$1647)*103/'THAM_SO_MOI'!$C$42</f>
        <v>6.845366835315882</v>
      </c>
      <c r="G1751" s="75">
        <f>3.6*F1751</f>
        <v>24.643320607137174</v>
      </c>
      <c r="H1751" s="75">
        <f>'THAM_SO_MOI'!$D$51</f>
        <v>1.375</v>
      </c>
      <c r="I1751" s="75">
        <f>IF(F1751&gt;'THAM_SO_MOI'!$C$14,'THAM_SO_MOI'!$C$13*(1+F1751^2/1500),'THAM_SO_MOI'!$C$13)</f>
        <v>0.015</v>
      </c>
      <c r="J1751" s="75">
        <f>'THAM_SO_MOI'!$C$40*('THAM_SO_MOI'!$C$23*(E1751/'THAM_SO_MOI'!$C$22)+'THAM_SO_MOI'!$C$24*(E1751/'THAM_SO_MOI'!$C$22)^2-'THAM_SO_MOI'!$C$25*(E1751/'THAM_SO_MOI'!$C$22)^3)</f>
        <v>75.69141611861112</v>
      </c>
      <c r="K1751" s="75">
        <f>'THAM_SO_MOI'!$C$31*J1751/E1751</f>
        <v>420.43058367388306</v>
      </c>
      <c r="L1751" s="75">
        <f>K1751*'THAM_SO_MOI'!$C$51*'THAM_SO_MOI'!$C$17/'THAM_SO_MOI'!$C$26</f>
        <v>9400.495939188311</v>
      </c>
      <c r="M1751" s="75">
        <f>'THAM_SO_MOI'!$C$15*'THAM_SO_MOI'!$C$16*F1751^2</f>
        <v>137.06271279687454</v>
      </c>
      <c r="N1751" s="75">
        <f>'THAM_SO_MOI'!$C$12*I1751</f>
        <v>1130.112</v>
      </c>
      <c r="O1751" s="75">
        <f>M1751+N1751</f>
        <v>1267.1747127968747</v>
      </c>
      <c r="P1751" s="75">
        <f>(MIN(L1751,'THAM_SO_MOI'!$C$41)-O1751)/('THAM_SO_MOI'!$C$11*H1751)</f>
        <v>0.7702008737113103</v>
      </c>
      <c r="Q1751" s="75">
        <f>IF(P1751&gt;0,1/P1751,NA())</f>
        <v>1.298362588426281</v>
      </c>
      <c r="R1751" s="75">
        <f>F1751-F1750</f>
        <v>0.005028991339517397</v>
      </c>
      <c r="S1751" s="75">
        <f>0.5*(Q1750+Q1751)*R1751</f>
        <v>0.006529865987197954</v>
      </c>
      <c r="T1751" s="75">
        <f>0.5*(F1750*Q1750+F1751*Q1751)*R1751</f>
        <v>0.0446829077126681</v>
      </c>
      <c r="U1751" s="76">
        <f>U1750+S1751</f>
        <v>8.444106269430653</v>
      </c>
      <c r="V1751" s="76">
        <f>V1750+T1751</f>
        <v>36.73307382863676</v>
      </c>
    </row>
    <row r="1752" spans="1:22" ht="19" customHeight="1">
      <c r="A1752" s="68" t="s">
        <v>374</v>
      </c>
      <c r="B1752" s="74">
        <v>3</v>
      </c>
      <c r="C1752" s="68" t="s">
        <v>363</v>
      </c>
      <c r="D1752" s="68" t="s">
        <v>364</v>
      </c>
      <c r="E1752" s="75">
        <f>60*F1752*'THAM_SO_MOI'!$C$51/(2*PI()*'THAM_SO_MOI'!$C$26)</f>
        <v>1720.7769825373489</v>
      </c>
      <c r="F1752" s="75">
        <f>'HANH_TRINH'!$F$1647+('THAM_SO_MOI'!$F$51-'HANH_TRINH'!$F$1647)*104/'THAM_SO_MOI'!$C$42</f>
        <v>6.850395826655399</v>
      </c>
      <c r="G1752" s="75">
        <f>3.6*F1752</f>
        <v>24.661424975959438</v>
      </c>
      <c r="H1752" s="75">
        <f>'THAM_SO_MOI'!$D$51</f>
        <v>1.375</v>
      </c>
      <c r="I1752" s="75">
        <f>IF(F1752&gt;'THAM_SO_MOI'!$C$14,'THAM_SO_MOI'!$C$13*(1+F1752^2/1500),'THAM_SO_MOI'!$C$13)</f>
        <v>0.015</v>
      </c>
      <c r="J1752" s="75">
        <f>'THAM_SO_MOI'!$C$40*('THAM_SO_MOI'!$C$23*(E1752/'THAM_SO_MOI'!$C$22)+'THAM_SO_MOI'!$C$24*(E1752/'THAM_SO_MOI'!$C$22)^2-'THAM_SO_MOI'!$C$25*(E1752/'THAM_SO_MOI'!$C$22)^3)</f>
        <v>75.75688249175045</v>
      </c>
      <c r="K1752" s="75">
        <f>'THAM_SO_MOI'!$C$31*J1752/E1752</f>
        <v>420.4853067563674</v>
      </c>
      <c r="L1752" s="75">
        <f>K1752*'THAM_SO_MOI'!$C$51*'THAM_SO_MOI'!$C$17/'THAM_SO_MOI'!$C$26</f>
        <v>9401.719504111154</v>
      </c>
      <c r="M1752" s="75">
        <f>'THAM_SO_MOI'!$C$15*'THAM_SO_MOI'!$C$16*F1752^2</f>
        <v>137.2641747219338</v>
      </c>
      <c r="N1752" s="75">
        <f>'THAM_SO_MOI'!$C$12*I1752</f>
        <v>1130.112</v>
      </c>
      <c r="O1752" s="75">
        <f>M1752+N1752</f>
        <v>1267.376174721934</v>
      </c>
      <c r="P1752" s="75">
        <f>(MIN(L1752,'THAM_SO_MOI'!$C$41)-O1752)/('THAM_SO_MOI'!$C$11*H1752)</f>
        <v>0.7702976637679186</v>
      </c>
      <c r="Q1752" s="75">
        <f>IF(P1752&gt;0,1/P1752,NA())</f>
        <v>1.2981994455344577</v>
      </c>
      <c r="R1752" s="75">
        <f>F1752-F1751</f>
        <v>0.005028991339517397</v>
      </c>
      <c r="S1752" s="75">
        <f>0.5*(Q1751+Q1752)*R1752</f>
        <v>0.006529043990654116</v>
      </c>
      <c r="T1752" s="75">
        <f>0.5*(F1751*Q1751+F1752*Q1752)*R1752</f>
        <v>0.044710117421282614</v>
      </c>
      <c r="U1752" s="76">
        <f>U1751+S1752</f>
        <v>8.450635313421307</v>
      </c>
      <c r="V1752" s="76">
        <f>V1751+T1752</f>
        <v>36.777783946058044</v>
      </c>
    </row>
    <row r="1753" spans="1:22" ht="19" customHeight="1">
      <c r="A1753" s="68" t="s">
        <v>374</v>
      </c>
      <c r="B1753" s="74">
        <v>3</v>
      </c>
      <c r="C1753" s="68" t="s">
        <v>363</v>
      </c>
      <c r="D1753" s="68" t="s">
        <v>364</v>
      </c>
      <c r="E1753" s="75">
        <f>60*F1753*'THAM_SO_MOI'!$C$51/(2*PI()*'THAM_SO_MOI'!$C$26)</f>
        <v>1722.0402339992206</v>
      </c>
      <c r="F1753" s="75">
        <f>'HANH_TRINH'!$F$1647+('THAM_SO_MOI'!$F$51-'HANH_TRINH'!$F$1647)*105/'THAM_SO_MOI'!$C$42</f>
        <v>6.855424817994917</v>
      </c>
      <c r="G1753" s="75">
        <f>3.6*F1753</f>
        <v>24.679529344781702</v>
      </c>
      <c r="H1753" s="75">
        <f>'THAM_SO_MOI'!$D$51</f>
        <v>1.375</v>
      </c>
      <c r="I1753" s="75">
        <f>IF(F1753&gt;'THAM_SO_MOI'!$C$14,'THAM_SO_MOI'!$C$13*(1+F1753^2/1500),'THAM_SO_MOI'!$C$13)</f>
        <v>0.015</v>
      </c>
      <c r="J1753" s="75">
        <f>'THAM_SO_MOI'!$C$40*('THAM_SO_MOI'!$C$23*(E1753/'THAM_SO_MOI'!$C$22)+'THAM_SO_MOI'!$C$24*(E1753/'THAM_SO_MOI'!$C$22)^2-'THAM_SO_MOI'!$C$25*(E1753/'THAM_SO_MOI'!$C$22)^3)</f>
        <v>75.82233542740036</v>
      </c>
      <c r="K1753" s="75">
        <f>'THAM_SO_MOI'!$C$31*J1753/E1753</f>
        <v>420.53987502202114</v>
      </c>
      <c r="L1753" s="75">
        <f>K1753*'THAM_SO_MOI'!$C$51*'THAM_SO_MOI'!$C$17/'THAM_SO_MOI'!$C$26</f>
        <v>9402.939607451886</v>
      </c>
      <c r="M1753" s="75">
        <f>'THAM_SO_MOI'!$C$15*'THAM_SO_MOI'!$C$16*F1753^2</f>
        <v>137.4657845979034</v>
      </c>
      <c r="N1753" s="75">
        <f>'THAM_SO_MOI'!$C$12*I1753</f>
        <v>1130.112</v>
      </c>
      <c r="O1753" s="75">
        <f>M1753+N1753</f>
        <v>1267.5777845979035</v>
      </c>
      <c r="P1753" s="75">
        <f>(MIN(L1753,'THAM_SO_MOI'!$C$41)-O1753)/('THAM_SO_MOI'!$C$11*H1753)</f>
        <v>0.7703941120126877</v>
      </c>
      <c r="Q1753" s="75">
        <f>IF(P1753&gt;0,1/P1753,NA())</f>
        <v>1.2980369195546642</v>
      </c>
      <c r="R1753" s="75">
        <f>F1753-F1752</f>
        <v>0.005028991339518285</v>
      </c>
      <c r="S1753" s="75">
        <f>0.5*(Q1752+Q1753)*R1753</f>
        <v>0.006528225097687813</v>
      </c>
      <c r="T1753" s="75">
        <f>0.5*(F1752*Q1752+F1753*Q1753)*R1753</f>
        <v>0.04473734013080584</v>
      </c>
      <c r="U1753" s="76">
        <f>U1752+S1753</f>
        <v>8.457163538518994</v>
      </c>
      <c r="V1753" s="76">
        <f>V1752+T1753</f>
        <v>36.82252128618885</v>
      </c>
    </row>
    <row r="1754" spans="1:22" ht="19" customHeight="1">
      <c r="A1754" s="68" t="s">
        <v>374</v>
      </c>
      <c r="B1754" s="74">
        <v>3</v>
      </c>
      <c r="C1754" s="68" t="s">
        <v>363</v>
      </c>
      <c r="D1754" s="68" t="s">
        <v>364</v>
      </c>
      <c r="E1754" s="75">
        <f>60*F1754*'THAM_SO_MOI'!$C$51/(2*PI()*'THAM_SO_MOI'!$C$26)</f>
        <v>1723.3034854610924</v>
      </c>
      <c r="F1754" s="75">
        <f>'HANH_TRINH'!$F$1647+('THAM_SO_MOI'!$F$51-'HANH_TRINH'!$F$1647)*106/'THAM_SO_MOI'!$C$42</f>
        <v>6.860453809334435</v>
      </c>
      <c r="G1754" s="75">
        <f>3.6*F1754</f>
        <v>24.697633713603967</v>
      </c>
      <c r="H1754" s="75">
        <f>'THAM_SO_MOI'!$D$51</f>
        <v>1.375</v>
      </c>
      <c r="I1754" s="75">
        <f>IF(F1754&gt;'THAM_SO_MOI'!$C$14,'THAM_SO_MOI'!$C$13*(1+F1754^2/1500),'THAM_SO_MOI'!$C$13)</f>
        <v>0.015</v>
      </c>
      <c r="J1754" s="75">
        <f>'THAM_SO_MOI'!$C$40*('THAM_SO_MOI'!$C$23*(E1754/'THAM_SO_MOI'!$C$22)+'THAM_SO_MOI'!$C$24*(E1754/'THAM_SO_MOI'!$C$22)^2-'THAM_SO_MOI'!$C$25*(E1754/'THAM_SO_MOI'!$C$22)^3)</f>
        <v>75.88777486413157</v>
      </c>
      <c r="K1754" s="75">
        <f>'THAM_SO_MOI'!$C$31*J1754/E1754</f>
        <v>420.59428847084456</v>
      </c>
      <c r="L1754" s="75">
        <f>K1754*'THAM_SO_MOI'!$C$51*'THAM_SO_MOI'!$C$17/'THAM_SO_MOI'!$C$26</f>
        <v>9404.156249210513</v>
      </c>
      <c r="M1754" s="75">
        <f>'THAM_SO_MOI'!$C$15*'THAM_SO_MOI'!$C$16*F1754^2</f>
        <v>137.66754242478325</v>
      </c>
      <c r="N1754" s="75">
        <f>'THAM_SO_MOI'!$C$12*I1754</f>
        <v>1130.112</v>
      </c>
      <c r="O1754" s="75">
        <f>M1754+N1754</f>
        <v>1267.7795424247834</v>
      </c>
      <c r="P1754" s="75">
        <f>(MIN(L1754,'THAM_SO_MOI'!$C$41)-O1754)/('THAM_SO_MOI'!$C$11*H1754)</f>
        <v>0.7704902184456184</v>
      </c>
      <c r="Q1754" s="75">
        <f>IF(P1754&gt;0,1/P1754,NA())</f>
        <v>1.2978750100389245</v>
      </c>
      <c r="R1754" s="75">
        <f>F1754-F1753</f>
        <v>0.005028991339517397</v>
      </c>
      <c r="S1754" s="75">
        <f>0.5*(Q1753+Q1754)*R1754</f>
        <v>0.006527409306038026</v>
      </c>
      <c r="T1754" s="75">
        <f>0.5*(F1753*Q1753+F1754*Q1754)*R1754</f>
        <v>0.04476457587255541</v>
      </c>
      <c r="U1754" s="76">
        <f>U1753+S1754</f>
        <v>8.463690947825032</v>
      </c>
      <c r="V1754" s="76">
        <f>V1753+T1754</f>
        <v>36.86728586206141</v>
      </c>
    </row>
    <row r="1755" spans="1:22" ht="19" customHeight="1">
      <c r="A1755" s="68" t="s">
        <v>374</v>
      </c>
      <c r="B1755" s="74">
        <v>3</v>
      </c>
      <c r="C1755" s="68" t="s">
        <v>363</v>
      </c>
      <c r="D1755" s="68" t="s">
        <v>364</v>
      </c>
      <c r="E1755" s="75">
        <f>60*F1755*'THAM_SO_MOI'!$C$51/(2*PI()*'THAM_SO_MOI'!$C$26)</f>
        <v>1724.5667369229636</v>
      </c>
      <c r="F1755" s="75">
        <f>'HANH_TRINH'!$F$1647+('THAM_SO_MOI'!$F$51-'HANH_TRINH'!$F$1647)*107/'THAM_SO_MOI'!$C$42</f>
        <v>6.865482800673952</v>
      </c>
      <c r="G1755" s="75">
        <f>3.6*F1755</f>
        <v>24.715738082426228</v>
      </c>
      <c r="H1755" s="75">
        <f>'THAM_SO_MOI'!$D$51</f>
        <v>1.375</v>
      </c>
      <c r="I1755" s="75">
        <f>IF(F1755&gt;'THAM_SO_MOI'!$C$14,'THAM_SO_MOI'!$C$13*(1+F1755^2/1500),'THAM_SO_MOI'!$C$13)</f>
        <v>0.015</v>
      </c>
      <c r="J1755" s="75">
        <f>'THAM_SO_MOI'!$C$40*('THAM_SO_MOI'!$C$23*(E1755/'THAM_SO_MOI'!$C$22)+'THAM_SO_MOI'!$C$24*(E1755/'THAM_SO_MOI'!$C$22)^2-'THAM_SO_MOI'!$C$25*(E1755/'THAM_SO_MOI'!$C$22)^3)</f>
        <v>75.95320074051462</v>
      </c>
      <c r="K1755" s="75">
        <f>'THAM_SO_MOI'!$C$31*J1755/E1755</f>
        <v>420.6485471028372</v>
      </c>
      <c r="L1755" s="75">
        <f>K1755*'THAM_SO_MOI'!$C$51*'THAM_SO_MOI'!$C$17/'THAM_SO_MOI'!$C$26</f>
        <v>9405.369429387025</v>
      </c>
      <c r="M1755" s="75">
        <f>'THAM_SO_MOI'!$C$15*'THAM_SO_MOI'!$C$16*F1755^2</f>
        <v>137.86944820257332</v>
      </c>
      <c r="N1755" s="75">
        <f>'THAM_SO_MOI'!$C$12*I1755</f>
        <v>1130.112</v>
      </c>
      <c r="O1755" s="75">
        <f>M1755+N1755</f>
        <v>1267.9814482025733</v>
      </c>
      <c r="P1755" s="75">
        <f>(MIN(L1755,'THAM_SO_MOI'!$C$41)-O1755)/('THAM_SO_MOI'!$C$11*H1755)</f>
        <v>0.7705859830667094</v>
      </c>
      <c r="Q1755" s="75">
        <f>IF(P1755&gt;0,1/P1755,NA())</f>
        <v>1.2977137165411303</v>
      </c>
      <c r="R1755" s="75">
        <f>F1755-F1754</f>
        <v>0.005028991339517397</v>
      </c>
      <c r="S1755" s="75">
        <f>0.5*(Q1754+Q1755)*R1755</f>
        <v>0.006526596613460042</v>
      </c>
      <c r="T1755" s="75">
        <f>0.5*(F1754*Q1754+F1755*Q1755)*R1755</f>
        <v>0.04479182467791543</v>
      </c>
      <c r="U1755" s="76">
        <f>U1754+S1755</f>
        <v>8.470217544438492</v>
      </c>
      <c r="V1755" s="76">
        <f>V1754+T1755</f>
        <v>36.91207768673932</v>
      </c>
    </row>
    <row r="1756" spans="1:22" ht="19" customHeight="1">
      <c r="A1756" s="68" t="s">
        <v>374</v>
      </c>
      <c r="B1756" s="74">
        <v>3</v>
      </c>
      <c r="C1756" s="68" t="s">
        <v>363</v>
      </c>
      <c r="D1756" s="68" t="s">
        <v>364</v>
      </c>
      <c r="E1756" s="75">
        <f>60*F1756*'THAM_SO_MOI'!$C$51/(2*PI()*'THAM_SO_MOI'!$C$26)</f>
        <v>1725.8299883848354</v>
      </c>
      <c r="F1756" s="75">
        <f>'HANH_TRINH'!$F$1647+('THAM_SO_MOI'!$F$51-'HANH_TRINH'!$F$1647)*108/'THAM_SO_MOI'!$C$42</f>
        <v>6.87051179201347</v>
      </c>
      <c r="G1756" s="75">
        <f>3.6*F1756</f>
        <v>24.733842451248496</v>
      </c>
      <c r="H1756" s="75">
        <f>'THAM_SO_MOI'!$D$51</f>
        <v>1.375</v>
      </c>
      <c r="I1756" s="75">
        <f>IF(F1756&gt;'THAM_SO_MOI'!$C$14,'THAM_SO_MOI'!$C$13*(1+F1756^2/1500),'THAM_SO_MOI'!$C$13)</f>
        <v>0.015</v>
      </c>
      <c r="J1756" s="75">
        <f>'THAM_SO_MOI'!$C$40*('THAM_SO_MOI'!$C$23*(E1756/'THAM_SO_MOI'!$C$22)+'THAM_SO_MOI'!$C$24*(E1756/'THAM_SO_MOI'!$C$22)^2-'THAM_SO_MOI'!$C$25*(E1756/'THAM_SO_MOI'!$C$22)^3)</f>
        <v>76.0186129951203</v>
      </c>
      <c r="K1756" s="75">
        <f>'THAM_SO_MOI'!$C$31*J1756/E1756</f>
        <v>420.7026509179997</v>
      </c>
      <c r="L1756" s="75">
        <f>K1756*'THAM_SO_MOI'!$C$51*'THAM_SO_MOI'!$C$17/'THAM_SO_MOI'!$C$26</f>
        <v>9406.579147981436</v>
      </c>
      <c r="M1756" s="75">
        <f>'THAM_SO_MOI'!$C$15*'THAM_SO_MOI'!$C$16*F1756^2</f>
        <v>138.07150193127376</v>
      </c>
      <c r="N1756" s="75">
        <f>'THAM_SO_MOI'!$C$12*I1756</f>
        <v>1130.112</v>
      </c>
      <c r="O1756" s="75">
        <f>M1756+N1756</f>
        <v>1268.183501931274</v>
      </c>
      <c r="P1756" s="75">
        <f>(MIN(L1756,'THAM_SO_MOI'!$C$41)-O1756)/('THAM_SO_MOI'!$C$11*H1756)</f>
        <v>0.7706814058759623</v>
      </c>
      <c r="Q1756" s="75">
        <f>IF(P1756&gt;0,1/P1756,NA())</f>
        <v>1.2975530386170306</v>
      </c>
      <c r="R1756" s="75">
        <f>F1756-F1755</f>
        <v>0.005028991339518285</v>
      </c>
      <c r="S1756" s="75">
        <f>0.5*(Q1755+Q1756)*R1756</f>
        <v>0.006525787017715057</v>
      </c>
      <c r="T1756" s="75">
        <f>0.5*(F1755*Q1755+F1756*Q1756)*R1756</f>
        <v>0.04481908657826544</v>
      </c>
      <c r="U1756" s="76">
        <f>U1755+S1756</f>
        <v>8.476743331456207</v>
      </c>
      <c r="V1756" s="76">
        <f>V1755+T1756</f>
        <v>36.95689677331759</v>
      </c>
    </row>
    <row r="1757" spans="1:22" ht="19" customHeight="1">
      <c r="A1757" s="68" t="s">
        <v>374</v>
      </c>
      <c r="B1757" s="74">
        <v>3</v>
      </c>
      <c r="C1757" s="68" t="s">
        <v>363</v>
      </c>
      <c r="D1757" s="68" t="s">
        <v>364</v>
      </c>
      <c r="E1757" s="75">
        <f>60*F1757*'THAM_SO_MOI'!$C$51/(2*PI()*'THAM_SO_MOI'!$C$26)</f>
        <v>1727.093239846707</v>
      </c>
      <c r="F1757" s="75">
        <f>'HANH_TRINH'!$F$1647+('THAM_SO_MOI'!$F$51-'HANH_TRINH'!$F$1647)*109/'THAM_SO_MOI'!$C$42</f>
        <v>6.875540783352988</v>
      </c>
      <c r="G1757" s="75">
        <f>3.6*F1757</f>
        <v>24.751946820070756</v>
      </c>
      <c r="H1757" s="75">
        <f>'THAM_SO_MOI'!$D$51</f>
        <v>1.375</v>
      </c>
      <c r="I1757" s="75">
        <f>IF(F1757&gt;'THAM_SO_MOI'!$C$14,'THAM_SO_MOI'!$C$13*(1+F1757^2/1500),'THAM_SO_MOI'!$C$13)</f>
        <v>0.015</v>
      </c>
      <c r="J1757" s="75">
        <f>'THAM_SO_MOI'!$C$40*('THAM_SO_MOI'!$C$23*(E1757/'THAM_SO_MOI'!$C$22)+'THAM_SO_MOI'!$C$24*(E1757/'THAM_SO_MOI'!$C$22)^2-'THAM_SO_MOI'!$C$25*(E1757/'THAM_SO_MOI'!$C$22)^3)</f>
        <v>76.08401156651917</v>
      </c>
      <c r="K1757" s="75">
        <f>'THAM_SO_MOI'!$C$31*J1757/E1757</f>
        <v>420.75659991633154</v>
      </c>
      <c r="L1757" s="75">
        <f>K1757*'THAM_SO_MOI'!$C$51*'THAM_SO_MOI'!$C$17/'THAM_SO_MOI'!$C$26</f>
        <v>9407.785404993738</v>
      </c>
      <c r="M1757" s="75">
        <f>'THAM_SO_MOI'!$C$15*'THAM_SO_MOI'!$C$16*F1757^2</f>
        <v>138.27370361088438</v>
      </c>
      <c r="N1757" s="75">
        <f>'THAM_SO_MOI'!$C$12*I1757</f>
        <v>1130.112</v>
      </c>
      <c r="O1757" s="75">
        <f>M1757+N1757</f>
        <v>1268.3857036108845</v>
      </c>
      <c r="P1757" s="75">
        <f>(MIN(L1757,'THAM_SO_MOI'!$C$41)-O1757)/('THAM_SO_MOI'!$C$11*H1757)</f>
        <v>0.7707764868733762</v>
      </c>
      <c r="Q1757" s="75">
        <f>IF(P1757&gt;0,1/P1757,NA())</f>
        <v>1.2973929758242364</v>
      </c>
      <c r="R1757" s="75">
        <f>F1757-F1756</f>
        <v>0.005028991339517397</v>
      </c>
      <c r="S1757" s="75">
        <f>0.5*(Q1756+Q1757)*R1757</f>
        <v>0.006524980516570159</v>
      </c>
      <c r="T1757" s="75">
        <f>0.5*(F1756*Q1756+F1757*Q1757)*R1757</f>
        <v>0.04484636160498043</v>
      </c>
      <c r="U1757" s="76">
        <f>U1756+S1757</f>
        <v>8.483268311972777</v>
      </c>
      <c r="V1757" s="76">
        <f>V1756+T1757</f>
        <v>37.00174313492257</v>
      </c>
    </row>
    <row r="1758" spans="1:22" ht="19" customHeight="1">
      <c r="A1758" s="68" t="s">
        <v>374</v>
      </c>
      <c r="B1758" s="74">
        <v>3</v>
      </c>
      <c r="C1758" s="68" t="s">
        <v>363</v>
      </c>
      <c r="D1758" s="68" t="s">
        <v>364</v>
      </c>
      <c r="E1758" s="75">
        <f>60*F1758*'THAM_SO_MOI'!$C$51/(2*PI()*'THAM_SO_MOI'!$C$26)</f>
        <v>1728.3564913085786</v>
      </c>
      <c r="F1758" s="75">
        <f>'HANH_TRINH'!$F$1647+('THAM_SO_MOI'!$F$51-'HANH_TRINH'!$F$1647)*110/'THAM_SO_MOI'!$C$42</f>
        <v>6.880569774692505</v>
      </c>
      <c r="G1758" s="75">
        <f>3.6*F1758</f>
        <v>24.77005118889302</v>
      </c>
      <c r="H1758" s="75">
        <f>'THAM_SO_MOI'!$D$51</f>
        <v>1.375</v>
      </c>
      <c r="I1758" s="75">
        <f>IF(F1758&gt;'THAM_SO_MOI'!$C$14,'THAM_SO_MOI'!$C$13*(1+F1758^2/1500),'THAM_SO_MOI'!$C$13)</f>
        <v>0.015</v>
      </c>
      <c r="J1758" s="75">
        <f>'THAM_SO_MOI'!$C$40*('THAM_SO_MOI'!$C$23*(E1758/'THAM_SO_MOI'!$C$22)+'THAM_SO_MOI'!$C$24*(E1758/'THAM_SO_MOI'!$C$22)^2-'THAM_SO_MOI'!$C$25*(E1758/'THAM_SO_MOI'!$C$22)^3)</f>
        <v>76.14939639328185</v>
      </c>
      <c r="K1758" s="75">
        <f>'THAM_SO_MOI'!$C$31*J1758/E1758</f>
        <v>420.8103940978327</v>
      </c>
      <c r="L1758" s="75">
        <f>K1758*'THAM_SO_MOI'!$C$51*'THAM_SO_MOI'!$C$17/'THAM_SO_MOI'!$C$26</f>
        <v>9408.988200423924</v>
      </c>
      <c r="M1758" s="75">
        <f>'THAM_SO_MOI'!$C$15*'THAM_SO_MOI'!$C$16*F1758^2</f>
        <v>138.47605324140534</v>
      </c>
      <c r="N1758" s="75">
        <f>'THAM_SO_MOI'!$C$12*I1758</f>
        <v>1130.112</v>
      </c>
      <c r="O1758" s="75">
        <f>M1758+N1758</f>
        <v>1268.5880532414053</v>
      </c>
      <c r="P1758" s="75">
        <f>(MIN(L1758,'THAM_SO_MOI'!$C$41)-O1758)/('THAM_SO_MOI'!$C$11*H1758)</f>
        <v>0.7708712260589506</v>
      </c>
      <c r="Q1758" s="75">
        <f>IF(P1758&gt;0,1/P1758,NA())</f>
        <v>1.297233527722213</v>
      </c>
      <c r="R1758" s="75">
        <f>F1758-F1757</f>
        <v>0.005028991339517397</v>
      </c>
      <c r="S1758" s="75">
        <f>0.5*(Q1757+Q1758)*R1758</f>
        <v>0.0065241771078086985</v>
      </c>
      <c r="T1758" s="75">
        <f>0.5*(F1757*Q1757+F1758*Q1758)*R1758</f>
        <v>0.044873649789502305</v>
      </c>
      <c r="U1758" s="76">
        <f>U1757+S1758</f>
        <v>8.489792489080585</v>
      </c>
      <c r="V1758" s="76">
        <f>V1757+T1758</f>
        <v>37.04661678471207</v>
      </c>
    </row>
    <row r="1759" spans="1:22" ht="19" customHeight="1">
      <c r="A1759" s="68" t="s">
        <v>374</v>
      </c>
      <c r="B1759" s="74">
        <v>3</v>
      </c>
      <c r="C1759" s="68" t="s">
        <v>363</v>
      </c>
      <c r="D1759" s="68" t="s">
        <v>364</v>
      </c>
      <c r="E1759" s="75">
        <f>60*F1759*'THAM_SO_MOI'!$C$51/(2*PI()*'THAM_SO_MOI'!$C$26)</f>
        <v>1729.6197427704506</v>
      </c>
      <c r="F1759" s="75">
        <f>'HANH_TRINH'!$F$1647+('THAM_SO_MOI'!$F$51-'HANH_TRINH'!$F$1647)*111/'THAM_SO_MOI'!$C$42</f>
        <v>6.8855987660320235</v>
      </c>
      <c r="G1759" s="75">
        <f>3.6*F1759</f>
        <v>24.788155557715285</v>
      </c>
      <c r="H1759" s="75">
        <f>'THAM_SO_MOI'!$D$51</f>
        <v>1.375</v>
      </c>
      <c r="I1759" s="75">
        <f>IF(F1759&gt;'THAM_SO_MOI'!$C$14,'THAM_SO_MOI'!$C$13*(1+F1759^2/1500),'THAM_SO_MOI'!$C$13)</f>
        <v>0.015</v>
      </c>
      <c r="J1759" s="75">
        <f>'THAM_SO_MOI'!$C$40*('THAM_SO_MOI'!$C$23*(E1759/'THAM_SO_MOI'!$C$22)+'THAM_SO_MOI'!$C$24*(E1759/'THAM_SO_MOI'!$C$22)^2-'THAM_SO_MOI'!$C$25*(E1759/'THAM_SO_MOI'!$C$22)^3)</f>
        <v>76.21476741397908</v>
      </c>
      <c r="K1759" s="75">
        <f>'THAM_SO_MOI'!$C$31*J1759/E1759</f>
        <v>420.86403346250347</v>
      </c>
      <c r="L1759" s="75">
        <f>K1759*'THAM_SO_MOI'!$C$51*'THAM_SO_MOI'!$C$17/'THAM_SO_MOI'!$C$26</f>
        <v>9410.187534272003</v>
      </c>
      <c r="M1759" s="75">
        <f>'THAM_SO_MOI'!$C$15*'THAM_SO_MOI'!$C$16*F1759^2</f>
        <v>138.67855082283654</v>
      </c>
      <c r="N1759" s="75">
        <f>'THAM_SO_MOI'!$C$12*I1759</f>
        <v>1130.112</v>
      </c>
      <c r="O1759" s="75">
        <f>M1759+N1759</f>
        <v>1268.7905508228366</v>
      </c>
      <c r="P1759" s="75">
        <f>(MIN(L1759,'THAM_SO_MOI'!$C$41)-O1759)/('THAM_SO_MOI'!$C$11*H1759)</f>
        <v>0.7709656234326862</v>
      </c>
      <c r="Q1759" s="75">
        <f>IF(P1759&gt;0,1/P1759,NA())</f>
        <v>1.2970746938722761</v>
      </c>
      <c r="R1759" s="75">
        <f>F1759-F1758</f>
        <v>0.005028991339518285</v>
      </c>
      <c r="S1759" s="75">
        <f>0.5*(Q1758+Q1759)*R1759</f>
        <v>0.006523376789219885</v>
      </c>
      <c r="T1759" s="75">
        <f>0.5*(F1758*Q1758+F1759*Q1759)*R1759</f>
        <v>0.044900951163268726</v>
      </c>
      <c r="U1759" s="76">
        <f>U1758+S1759</f>
        <v>8.496315865869805</v>
      </c>
      <c r="V1759" s="76">
        <f>V1758+T1759</f>
        <v>37.09151773587534</v>
      </c>
    </row>
    <row r="1760" spans="1:22" ht="19" customHeight="1">
      <c r="A1760" s="68" t="s">
        <v>374</v>
      </c>
      <c r="B1760" s="74">
        <v>3</v>
      </c>
      <c r="C1760" s="68" t="s">
        <v>363</v>
      </c>
      <c r="D1760" s="68" t="s">
        <v>364</v>
      </c>
      <c r="E1760" s="75">
        <f>60*F1760*'THAM_SO_MOI'!$C$51/(2*PI()*'THAM_SO_MOI'!$C$26)</f>
        <v>1730.882994232322</v>
      </c>
      <c r="F1760" s="75">
        <f>'HANH_TRINH'!$F$1647+('THAM_SO_MOI'!$F$51-'HANH_TRINH'!$F$1647)*112/'THAM_SO_MOI'!$C$42</f>
        <v>6.890627757371541</v>
      </c>
      <c r="G1760" s="75">
        <f>3.6*F1760</f>
        <v>24.806259926537546</v>
      </c>
      <c r="H1760" s="75">
        <f>'THAM_SO_MOI'!$D$51</f>
        <v>1.375</v>
      </c>
      <c r="I1760" s="75">
        <f>IF(F1760&gt;'THAM_SO_MOI'!$C$14,'THAM_SO_MOI'!$C$13*(1+F1760^2/1500),'THAM_SO_MOI'!$C$13)</f>
        <v>0.015</v>
      </c>
      <c r="J1760" s="75">
        <f>'THAM_SO_MOI'!$C$40*('THAM_SO_MOI'!$C$23*(E1760/'THAM_SO_MOI'!$C$22)+'THAM_SO_MOI'!$C$24*(E1760/'THAM_SO_MOI'!$C$22)^2-'THAM_SO_MOI'!$C$25*(E1760/'THAM_SO_MOI'!$C$22)^3)</f>
        <v>76.28012456718143</v>
      </c>
      <c r="K1760" s="75">
        <f>'THAM_SO_MOI'!$C$31*J1760/E1760</f>
        <v>420.9175180103437</v>
      </c>
      <c r="L1760" s="75">
        <f>K1760*'THAM_SO_MOI'!$C$51*'THAM_SO_MOI'!$C$17/'THAM_SO_MOI'!$C$26</f>
        <v>9411.383406537974</v>
      </c>
      <c r="M1760" s="75">
        <f>'THAM_SO_MOI'!$C$15*'THAM_SO_MOI'!$C$16*F1760^2</f>
        <v>138.88119635517805</v>
      </c>
      <c r="N1760" s="75">
        <f>'THAM_SO_MOI'!$C$12*I1760</f>
        <v>1130.112</v>
      </c>
      <c r="O1760" s="75">
        <f>M1760+N1760</f>
        <v>1268.993196355178</v>
      </c>
      <c r="P1760" s="75">
        <f>(MIN(L1760,'THAM_SO_MOI'!$C$41)-O1760)/('THAM_SO_MOI'!$C$11*H1760)</f>
        <v>0.7710596789945829</v>
      </c>
      <c r="Q1760" s="75">
        <f>IF(P1760&gt;0,1/P1760,NA())</f>
        <v>1.2969164738375918</v>
      </c>
      <c r="R1760" s="75">
        <f>F1760-F1759</f>
        <v>0.005028991339517397</v>
      </c>
      <c r="S1760" s="75">
        <f>0.5*(Q1759+Q1760)*R1760</f>
        <v>0.006522579558598773</v>
      </c>
      <c r="T1760" s="75">
        <f>0.5*(F1759*Q1759+F1760*Q1760)*R1760</f>
        <v>0.04492826575771318</v>
      </c>
      <c r="U1760" s="76">
        <f>U1759+S1760</f>
        <v>8.502838445428404</v>
      </c>
      <c r="V1760" s="76">
        <f>V1759+T1760</f>
        <v>37.136446001633054</v>
      </c>
    </row>
    <row r="1761" spans="1:22" ht="19" customHeight="1">
      <c r="A1761" s="68" t="s">
        <v>374</v>
      </c>
      <c r="B1761" s="74">
        <v>3</v>
      </c>
      <c r="C1761" s="68" t="s">
        <v>363</v>
      </c>
      <c r="D1761" s="68" t="s">
        <v>364</v>
      </c>
      <c r="E1761" s="75">
        <f>60*F1761*'THAM_SO_MOI'!$C$51/(2*PI()*'THAM_SO_MOI'!$C$26)</f>
        <v>1732.1462456941933</v>
      </c>
      <c r="F1761" s="75">
        <f>'HANH_TRINH'!$F$1647+('THAM_SO_MOI'!$F$51-'HANH_TRINH'!$F$1647)*113/'THAM_SO_MOI'!$C$42</f>
        <v>6.895656748711058</v>
      </c>
      <c r="G1761" s="75">
        <f>3.6*F1761</f>
        <v>24.82436429535981</v>
      </c>
      <c r="H1761" s="75">
        <f>'THAM_SO_MOI'!$D$51</f>
        <v>1.375</v>
      </c>
      <c r="I1761" s="75">
        <f>IF(F1761&gt;'THAM_SO_MOI'!$C$14,'THAM_SO_MOI'!$C$13*(1+F1761^2/1500),'THAM_SO_MOI'!$C$13)</f>
        <v>0.015</v>
      </c>
      <c r="J1761" s="75">
        <f>'THAM_SO_MOI'!$C$40*('THAM_SO_MOI'!$C$23*(E1761/'THAM_SO_MOI'!$C$22)+'THAM_SO_MOI'!$C$24*(E1761/'THAM_SO_MOI'!$C$22)^2-'THAM_SO_MOI'!$C$25*(E1761/'THAM_SO_MOI'!$C$22)^3)</f>
        <v>76.3454677914596</v>
      </c>
      <c r="K1761" s="75">
        <f>'THAM_SO_MOI'!$C$31*J1761/E1761</f>
        <v>420.97084774135345</v>
      </c>
      <c r="L1761" s="75">
        <f>K1761*'THAM_SO_MOI'!$C$51*'THAM_SO_MOI'!$C$17/'THAM_SO_MOI'!$C$26</f>
        <v>9412.575817221837</v>
      </c>
      <c r="M1761" s="75">
        <f>'THAM_SO_MOI'!$C$15*'THAM_SO_MOI'!$C$16*F1761^2</f>
        <v>139.08398983842977</v>
      </c>
      <c r="N1761" s="75">
        <f>'THAM_SO_MOI'!$C$12*I1761</f>
        <v>1130.112</v>
      </c>
      <c r="O1761" s="75">
        <f>M1761+N1761</f>
        <v>1269.1959898384298</v>
      </c>
      <c r="P1761" s="75">
        <f>(MIN(L1761,'THAM_SO_MOI'!$C$41)-O1761)/('THAM_SO_MOI'!$C$11*H1761)</f>
        <v>0.7711533927446409</v>
      </c>
      <c r="Q1761" s="75">
        <f>IF(P1761&gt;0,1/P1761,NA())</f>
        <v>1.2967588671831716</v>
      </c>
      <c r="R1761" s="75">
        <f>F1761-F1760</f>
        <v>0.005028991339517397</v>
      </c>
      <c r="S1761" s="75">
        <f>0.5*(Q1760+Q1761)*R1761</f>
        <v>0.006521785413756625</v>
      </c>
      <c r="T1761" s="75">
        <f>0.5*(F1760*Q1760+F1761*Q1761)*R1761</f>
        <v>0.04495559360433645</v>
      </c>
      <c r="U1761" s="76">
        <f>U1760+S1761</f>
        <v>8.50936023084216</v>
      </c>
      <c r="V1761" s="76">
        <f>V1760+T1761</f>
        <v>37.18140159523739</v>
      </c>
    </row>
    <row r="1762" spans="1:22" ht="19" customHeight="1">
      <c r="A1762" s="68" t="s">
        <v>374</v>
      </c>
      <c r="B1762" s="74">
        <v>3</v>
      </c>
      <c r="C1762" s="68" t="s">
        <v>363</v>
      </c>
      <c r="D1762" s="68" t="s">
        <v>364</v>
      </c>
      <c r="E1762" s="75">
        <f>60*F1762*'THAM_SO_MOI'!$C$51/(2*PI()*'THAM_SO_MOI'!$C$26)</f>
        <v>1733.409497156065</v>
      </c>
      <c r="F1762" s="75">
        <f>'HANH_TRINH'!$F$1647+('THAM_SO_MOI'!$F$51-'HANH_TRINH'!$F$1647)*114/'THAM_SO_MOI'!$C$42</f>
        <v>6.9006857400505766</v>
      </c>
      <c r="G1762" s="75">
        <f>3.6*F1762</f>
        <v>24.842468664182075</v>
      </c>
      <c r="H1762" s="75">
        <f>'THAM_SO_MOI'!$D$51</f>
        <v>1.375</v>
      </c>
      <c r="I1762" s="75">
        <f>IF(F1762&gt;'THAM_SO_MOI'!$C$14,'THAM_SO_MOI'!$C$13*(1+F1762^2/1500),'THAM_SO_MOI'!$C$13)</f>
        <v>0.015</v>
      </c>
      <c r="J1762" s="75">
        <f>'THAM_SO_MOI'!$C$40*('THAM_SO_MOI'!$C$23*(E1762/'THAM_SO_MOI'!$C$22)+'THAM_SO_MOI'!$C$24*(E1762/'THAM_SO_MOI'!$C$22)^2-'THAM_SO_MOI'!$C$25*(E1762/'THAM_SO_MOI'!$C$22)^3)</f>
        <v>76.41079702538424</v>
      </c>
      <c r="K1762" s="75">
        <f>'THAM_SO_MOI'!$C$31*J1762/E1762</f>
        <v>421.02402265553275</v>
      </c>
      <c r="L1762" s="75">
        <f>K1762*'THAM_SO_MOI'!$C$51*'THAM_SO_MOI'!$C$17/'THAM_SO_MOI'!$C$26</f>
        <v>9413.764766323591</v>
      </c>
      <c r="M1762" s="75">
        <f>'THAM_SO_MOI'!$C$15*'THAM_SO_MOI'!$C$16*F1762^2</f>
        <v>139.28693127259183</v>
      </c>
      <c r="N1762" s="75">
        <f>'THAM_SO_MOI'!$C$12*I1762</f>
        <v>1130.112</v>
      </c>
      <c r="O1762" s="75">
        <f>M1762+N1762</f>
        <v>1269.3989312725919</v>
      </c>
      <c r="P1762" s="75">
        <f>(MIN(L1762,'THAM_SO_MOI'!$C$41)-O1762)/('THAM_SO_MOI'!$C$11*H1762)</f>
        <v>0.7712467646828597</v>
      </c>
      <c r="Q1762" s="75">
        <f>IF(P1762&gt;0,1/P1762,NA())</f>
        <v>1.2966018734758709</v>
      </c>
      <c r="R1762" s="75">
        <f>F1762-F1761</f>
        <v>0.005028991339518285</v>
      </c>
      <c r="S1762" s="75">
        <f>0.5*(Q1761+Q1762)*R1762</f>
        <v>0.006520994352510524</v>
      </c>
      <c r="T1762" s="75">
        <f>0.5*(F1761*Q1761+F1762*Q1762)*R1762</f>
        <v>0.04498293473463551</v>
      </c>
      <c r="U1762" s="76">
        <f>U1761+S1762</f>
        <v>8.51588122519467</v>
      </c>
      <c r="V1762" s="76">
        <f>V1761+T1762</f>
        <v>37.22638452997202</v>
      </c>
    </row>
    <row r="1763" spans="1:22" ht="19" customHeight="1">
      <c r="A1763" s="68" t="s">
        <v>374</v>
      </c>
      <c r="B1763" s="74">
        <v>3</v>
      </c>
      <c r="C1763" s="68" t="s">
        <v>363</v>
      </c>
      <c r="D1763" s="68" t="s">
        <v>364</v>
      </c>
      <c r="E1763" s="75">
        <f>60*F1763*'THAM_SO_MOI'!$C$51/(2*PI()*'THAM_SO_MOI'!$C$26)</f>
        <v>1734.6727486179368</v>
      </c>
      <c r="F1763" s="75">
        <f>'HANH_TRINH'!$F$1647+('THAM_SO_MOI'!$F$51-'HANH_TRINH'!$F$1647)*115/'THAM_SO_MOI'!$C$42</f>
        <v>6.905714731390094</v>
      </c>
      <c r="G1763" s="75">
        <f>3.6*F1763</f>
        <v>24.86057303300434</v>
      </c>
      <c r="H1763" s="75">
        <f>'THAM_SO_MOI'!$D$51</f>
        <v>1.375</v>
      </c>
      <c r="I1763" s="75">
        <f>IF(F1763&gt;'THAM_SO_MOI'!$C$14,'THAM_SO_MOI'!$C$13*(1+F1763^2/1500),'THAM_SO_MOI'!$C$13)</f>
        <v>0.015</v>
      </c>
      <c r="J1763" s="75">
        <f>'THAM_SO_MOI'!$C$40*('THAM_SO_MOI'!$C$23*(E1763/'THAM_SO_MOI'!$C$22)+'THAM_SO_MOI'!$C$24*(E1763/'THAM_SO_MOI'!$C$22)^2-'THAM_SO_MOI'!$C$25*(E1763/'THAM_SO_MOI'!$C$22)^3)</f>
        <v>76.47611220752601</v>
      </c>
      <c r="K1763" s="75">
        <f>'THAM_SO_MOI'!$C$31*J1763/E1763</f>
        <v>421.07704275288165</v>
      </c>
      <c r="L1763" s="75">
        <f>K1763*'THAM_SO_MOI'!$C$51*'THAM_SO_MOI'!$C$17/'THAM_SO_MOI'!$C$26</f>
        <v>9414.950253843239</v>
      </c>
      <c r="M1763" s="75">
        <f>'THAM_SO_MOI'!$C$15*'THAM_SO_MOI'!$C$16*F1763^2</f>
        <v>139.4900206576641</v>
      </c>
      <c r="N1763" s="75">
        <f>'THAM_SO_MOI'!$C$12*I1763</f>
        <v>1130.112</v>
      </c>
      <c r="O1763" s="75">
        <f>M1763+N1763</f>
        <v>1269.602020657664</v>
      </c>
      <c r="P1763" s="75">
        <f>(MIN(L1763,'THAM_SO_MOI'!$C$41)-O1763)/('THAM_SO_MOI'!$C$11*H1763)</f>
        <v>0.7713397948092401</v>
      </c>
      <c r="Q1763" s="75">
        <f>IF(P1763&gt;0,1/P1763,NA())</f>
        <v>1.2964454922843827</v>
      </c>
      <c r="R1763" s="75">
        <f>F1763-F1762</f>
        <v>0.005028991339517397</v>
      </c>
      <c r="S1763" s="75">
        <f>0.5*(Q1762+Q1763)*R1763</f>
        <v>0.006520206372683357</v>
      </c>
      <c r="T1763" s="75">
        <f>0.5*(F1762*Q1762+F1763*Q1763)*R1763</f>
        <v>0.04501028918010343</v>
      </c>
      <c r="U1763" s="76">
        <f>U1762+S1763</f>
        <v>8.522401431567353</v>
      </c>
      <c r="V1763" s="76">
        <f>V1762+T1763</f>
        <v>37.27139481915213</v>
      </c>
    </row>
    <row r="1764" spans="1:22" ht="19" customHeight="1">
      <c r="A1764" s="68" t="s">
        <v>374</v>
      </c>
      <c r="B1764" s="74">
        <v>3</v>
      </c>
      <c r="C1764" s="68" t="s">
        <v>363</v>
      </c>
      <c r="D1764" s="68" t="s">
        <v>364</v>
      </c>
      <c r="E1764" s="75">
        <f>60*F1764*'THAM_SO_MOI'!$C$51/(2*PI()*'THAM_SO_MOI'!$C$26)</f>
        <v>1735.9360000798085</v>
      </c>
      <c r="F1764" s="75">
        <f>'HANH_TRINH'!$F$1647+('THAM_SO_MOI'!$F$51-'HANH_TRINH'!$F$1647)*116/'THAM_SO_MOI'!$C$42</f>
        <v>6.910743722729611</v>
      </c>
      <c r="G1764" s="75">
        <f>3.6*F1764</f>
        <v>24.8786774018266</v>
      </c>
      <c r="H1764" s="75">
        <f>'THAM_SO_MOI'!$D$51</f>
        <v>1.375</v>
      </c>
      <c r="I1764" s="75">
        <f>IF(F1764&gt;'THAM_SO_MOI'!$C$14,'THAM_SO_MOI'!$C$13*(1+F1764^2/1500),'THAM_SO_MOI'!$C$13)</f>
        <v>0.015</v>
      </c>
      <c r="J1764" s="75">
        <f>'THAM_SO_MOI'!$C$40*('THAM_SO_MOI'!$C$23*(E1764/'THAM_SO_MOI'!$C$22)+'THAM_SO_MOI'!$C$24*(E1764/'THAM_SO_MOI'!$C$22)^2-'THAM_SO_MOI'!$C$25*(E1764/'THAM_SO_MOI'!$C$22)^3)</f>
        <v>76.54141327645549</v>
      </c>
      <c r="K1764" s="75">
        <f>'THAM_SO_MOI'!$C$31*J1764/E1764</f>
        <v>421.1299080333997</v>
      </c>
      <c r="L1764" s="75">
        <f>K1764*'THAM_SO_MOI'!$C$51*'THAM_SO_MOI'!$C$17/'THAM_SO_MOI'!$C$26</f>
        <v>9416.13227978077</v>
      </c>
      <c r="M1764" s="75">
        <f>'THAM_SO_MOI'!$C$15*'THAM_SO_MOI'!$C$16*F1764^2</f>
        <v>139.69325799364668</v>
      </c>
      <c r="N1764" s="75">
        <f>'THAM_SO_MOI'!$C$12*I1764</f>
        <v>1130.112</v>
      </c>
      <c r="O1764" s="75">
        <f>M1764+N1764</f>
        <v>1269.8052579936468</v>
      </c>
      <c r="P1764" s="75">
        <f>(MIN(L1764,'THAM_SO_MOI'!$C$41)-O1764)/('THAM_SO_MOI'!$C$11*H1764)</f>
        <v>0.7714324831237805</v>
      </c>
      <c r="Q1764" s="75">
        <f>IF(P1764&gt;0,1/P1764,NA())</f>
        <v>1.296289723179241</v>
      </c>
      <c r="R1764" s="75">
        <f>F1764-F1763</f>
        <v>0.005028991339517397</v>
      </c>
      <c r="S1764" s="75">
        <f>0.5*(Q1763+Q1764)*R1764</f>
        <v>0.006519421472114167</v>
      </c>
      <c r="T1764" s="75">
        <f>0.5*(F1763*Q1763+F1764*Q1764)*R1764</f>
        <v>0.04503765697230114</v>
      </c>
      <c r="U1764" s="76">
        <f>U1763+S1764</f>
        <v>8.528920853039468</v>
      </c>
      <c r="V1764" s="76">
        <f>V1763+T1764</f>
        <v>37.316432476124426</v>
      </c>
    </row>
    <row r="1765" spans="1:22" ht="19" customHeight="1">
      <c r="A1765" s="68" t="s">
        <v>374</v>
      </c>
      <c r="B1765" s="74">
        <v>3</v>
      </c>
      <c r="C1765" s="68" t="s">
        <v>363</v>
      </c>
      <c r="D1765" s="68" t="s">
        <v>364</v>
      </c>
      <c r="E1765" s="75">
        <f>60*F1765*'THAM_SO_MOI'!$C$51/(2*PI()*'THAM_SO_MOI'!$C$26)</f>
        <v>1737.19925154168</v>
      </c>
      <c r="F1765" s="75">
        <f>'HANH_TRINH'!$F$1647+('THAM_SO_MOI'!$F$51-'HANH_TRINH'!$F$1647)*117/'THAM_SO_MOI'!$C$42</f>
        <v>6.91577271406913</v>
      </c>
      <c r="G1765" s="75">
        <f>3.6*F1765</f>
        <v>24.896781770648868</v>
      </c>
      <c r="H1765" s="75">
        <f>'THAM_SO_MOI'!$D$51</f>
        <v>1.375</v>
      </c>
      <c r="I1765" s="75">
        <f>IF(F1765&gt;'THAM_SO_MOI'!$C$14,'THAM_SO_MOI'!$C$13*(1+F1765^2/1500),'THAM_SO_MOI'!$C$13)</f>
        <v>0.015</v>
      </c>
      <c r="J1765" s="75">
        <f>'THAM_SO_MOI'!$C$40*('THAM_SO_MOI'!$C$23*(E1765/'THAM_SO_MOI'!$C$22)+'THAM_SO_MOI'!$C$24*(E1765/'THAM_SO_MOI'!$C$22)^2-'THAM_SO_MOI'!$C$25*(E1765/'THAM_SO_MOI'!$C$22)^3)</f>
        <v>76.60670017074338</v>
      </c>
      <c r="K1765" s="75">
        <f>'THAM_SO_MOI'!$C$31*J1765/E1765</f>
        <v>421.18261849708733</v>
      </c>
      <c r="L1765" s="75">
        <f>K1765*'THAM_SO_MOI'!$C$51*'THAM_SO_MOI'!$C$17/'THAM_SO_MOI'!$C$26</f>
        <v>9417.310844136195</v>
      </c>
      <c r="M1765" s="75">
        <f>'THAM_SO_MOI'!$C$15*'THAM_SO_MOI'!$C$16*F1765^2</f>
        <v>139.89664328053956</v>
      </c>
      <c r="N1765" s="75">
        <f>'THAM_SO_MOI'!$C$12*I1765</f>
        <v>1130.112</v>
      </c>
      <c r="O1765" s="75">
        <f>M1765+N1765</f>
        <v>1270.0086432805397</v>
      </c>
      <c r="P1765" s="75">
        <f>(MIN(L1765,'THAM_SO_MOI'!$C$41)-O1765)/('THAM_SO_MOI'!$C$11*H1765)</f>
        <v>0.7715248296264825</v>
      </c>
      <c r="Q1765" s="75">
        <f>IF(P1765&gt;0,1/P1765,NA())</f>
        <v>1.2961345657328085</v>
      </c>
      <c r="R1765" s="75">
        <f>F1765-F1764</f>
        <v>0.005028991339518285</v>
      </c>
      <c r="S1765" s="75">
        <f>0.5*(Q1764+Q1765)*R1765</f>
        <v>0.006518639648647772</v>
      </c>
      <c r="T1765" s="75">
        <f>0.5*(F1764*Q1764+F1765*Q1765)*R1765</f>
        <v>0.04506503814278601</v>
      </c>
      <c r="U1765" s="76">
        <f>U1764+S1765</f>
        <v>8.535439492688116</v>
      </c>
      <c r="V1765" s="76">
        <f>V1764+T1765</f>
        <v>37.361497514267214</v>
      </c>
    </row>
    <row r="1766" spans="1:22" ht="19" customHeight="1">
      <c r="A1766" s="68" t="s">
        <v>374</v>
      </c>
      <c r="B1766" s="74">
        <v>3</v>
      </c>
      <c r="C1766" s="68" t="s">
        <v>363</v>
      </c>
      <c r="D1766" s="68" t="s">
        <v>364</v>
      </c>
      <c r="E1766" s="75">
        <f>60*F1766*'THAM_SO_MOI'!$C$51/(2*PI()*'THAM_SO_MOI'!$C$26)</f>
        <v>1738.4625030035518</v>
      </c>
      <c r="F1766" s="75">
        <f>'HANH_TRINH'!$F$1647+('THAM_SO_MOI'!$F$51-'HANH_TRINH'!$F$1647)*118/'THAM_SO_MOI'!$C$42</f>
        <v>6.920801705408647</v>
      </c>
      <c r="G1766" s="75">
        <f>3.6*F1766</f>
        <v>24.91488613947113</v>
      </c>
      <c r="H1766" s="75">
        <f>'THAM_SO_MOI'!$D$51</f>
        <v>1.375</v>
      </c>
      <c r="I1766" s="75">
        <f>IF(F1766&gt;'THAM_SO_MOI'!$C$14,'THAM_SO_MOI'!$C$13*(1+F1766^2/1500),'THAM_SO_MOI'!$C$13)</f>
        <v>0.015</v>
      </c>
      <c r="J1766" s="75">
        <f>'THAM_SO_MOI'!$C$40*('THAM_SO_MOI'!$C$23*(E1766/'THAM_SO_MOI'!$C$22)+'THAM_SO_MOI'!$C$24*(E1766/'THAM_SO_MOI'!$C$22)^2-'THAM_SO_MOI'!$C$25*(E1766/'THAM_SO_MOI'!$C$22)^3)</f>
        <v>76.67197282896036</v>
      </c>
      <c r="K1766" s="75">
        <f>'THAM_SO_MOI'!$C$31*J1766/E1766</f>
        <v>421.2351741439446</v>
      </c>
      <c r="L1766" s="75">
        <f>K1766*'THAM_SO_MOI'!$C$51*'THAM_SO_MOI'!$C$17/'THAM_SO_MOI'!$C$26</f>
        <v>9418.485946909515</v>
      </c>
      <c r="M1766" s="75">
        <f>'THAM_SO_MOI'!$C$15*'THAM_SO_MOI'!$C$16*F1766^2</f>
        <v>140.1001765183427</v>
      </c>
      <c r="N1766" s="75">
        <f>'THAM_SO_MOI'!$C$12*I1766</f>
        <v>1130.112</v>
      </c>
      <c r="O1766" s="75">
        <f>M1766+N1766</f>
        <v>1270.2121765183429</v>
      </c>
      <c r="P1766" s="75">
        <f>(MIN(L1766,'THAM_SO_MOI'!$C$41)-O1766)/('THAM_SO_MOI'!$C$11*H1766)</f>
        <v>0.7716168343173458</v>
      </c>
      <c r="Q1766" s="75">
        <f>IF(P1766&gt;0,1/P1766,NA())</f>
        <v>1.2959800195192814</v>
      </c>
      <c r="R1766" s="75">
        <f>F1766-F1765</f>
        <v>0.005028991339517397</v>
      </c>
      <c r="S1766" s="75">
        <f>0.5*(Q1765+Q1766)*R1766</f>
        <v>0.006517860900134745</v>
      </c>
      <c r="T1766" s="75">
        <f>0.5*(F1765*Q1765+F1766*Q1766)*R1766</f>
        <v>0.045092432723111836</v>
      </c>
      <c r="U1766" s="76">
        <f>U1765+S1766</f>
        <v>8.54195735358825</v>
      </c>
      <c r="V1766" s="76">
        <f>V1765+T1766</f>
        <v>37.40658994699032</v>
      </c>
    </row>
    <row r="1767" spans="1:22" ht="19" customHeight="1">
      <c r="A1767" s="68" t="s">
        <v>374</v>
      </c>
      <c r="B1767" s="74">
        <v>3</v>
      </c>
      <c r="C1767" s="68" t="s">
        <v>363</v>
      </c>
      <c r="D1767" s="68" t="s">
        <v>364</v>
      </c>
      <c r="E1767" s="75">
        <f>60*F1767*'THAM_SO_MOI'!$C$51/(2*PI()*'THAM_SO_MOI'!$C$26)</f>
        <v>1739.7257544654235</v>
      </c>
      <c r="F1767" s="75">
        <f>'HANH_TRINH'!$F$1647+('THAM_SO_MOI'!$F$51-'HANH_TRINH'!$F$1647)*119/'THAM_SO_MOI'!$C$42</f>
        <v>6.925830696748164</v>
      </c>
      <c r="G1767" s="75">
        <f>3.6*F1767</f>
        <v>24.932990508293393</v>
      </c>
      <c r="H1767" s="75">
        <f>'THAM_SO_MOI'!$D$51</f>
        <v>1.375</v>
      </c>
      <c r="I1767" s="75">
        <f>IF(F1767&gt;'THAM_SO_MOI'!$C$14,'THAM_SO_MOI'!$C$13*(1+F1767^2/1500),'THAM_SO_MOI'!$C$13)</f>
        <v>0.015</v>
      </c>
      <c r="J1767" s="75">
        <f>'THAM_SO_MOI'!$C$40*('THAM_SO_MOI'!$C$23*(E1767/'THAM_SO_MOI'!$C$22)+'THAM_SO_MOI'!$C$24*(E1767/'THAM_SO_MOI'!$C$22)^2-'THAM_SO_MOI'!$C$25*(E1767/'THAM_SO_MOI'!$C$22)^3)</f>
        <v>76.73723118967706</v>
      </c>
      <c r="K1767" s="75">
        <f>'THAM_SO_MOI'!$C$31*J1767/E1767</f>
        <v>421.28757497397146</v>
      </c>
      <c r="L1767" s="75">
        <f>K1767*'THAM_SO_MOI'!$C$51*'THAM_SO_MOI'!$C$17/'THAM_SO_MOI'!$C$26</f>
        <v>9419.657588100725</v>
      </c>
      <c r="M1767" s="75">
        <f>'THAM_SO_MOI'!$C$15*'THAM_SO_MOI'!$C$16*F1767^2</f>
        <v>140.30385770705607</v>
      </c>
      <c r="N1767" s="75">
        <f>'THAM_SO_MOI'!$C$12*I1767</f>
        <v>1130.112</v>
      </c>
      <c r="O1767" s="75">
        <f>M1767+N1767</f>
        <v>1270.4158577070561</v>
      </c>
      <c r="P1767" s="75">
        <f>(MIN(L1767,'THAM_SO_MOI'!$C$41)-O1767)/('THAM_SO_MOI'!$C$11*H1767)</f>
        <v>0.7717084971963701</v>
      </c>
      <c r="Q1767" s="75">
        <f>IF(P1767&gt;0,1/P1767,NA())</f>
        <v>1.295826084114684</v>
      </c>
      <c r="R1767" s="75">
        <f>F1767-F1766</f>
        <v>0.005028991339517397</v>
      </c>
      <c r="S1767" s="75">
        <f>0.5*(Q1766+Q1767)*R1767</f>
        <v>0.0065170852244417704</v>
      </c>
      <c r="T1767" s="75">
        <f>0.5*(F1766*Q1766+F1767*Q1767)*R1767</f>
        <v>0.045119840744900795</v>
      </c>
      <c r="U1767" s="76">
        <f>U1766+S1767</f>
        <v>8.548474438812692</v>
      </c>
      <c r="V1767" s="76">
        <f>V1766+T1767</f>
        <v>37.451709787735226</v>
      </c>
    </row>
    <row r="1768" spans="1:22" ht="19" customHeight="1">
      <c r="A1768" s="68" t="s">
        <v>374</v>
      </c>
      <c r="B1768" s="74">
        <v>3</v>
      </c>
      <c r="C1768" s="68" t="s">
        <v>363</v>
      </c>
      <c r="D1768" s="68" t="s">
        <v>364</v>
      </c>
      <c r="E1768" s="75">
        <f>60*F1768*'THAM_SO_MOI'!$C$51/(2*PI()*'THAM_SO_MOI'!$C$26)</f>
        <v>1740.9890059272952</v>
      </c>
      <c r="F1768" s="75">
        <f>'HANH_TRINH'!$F$1647+('THAM_SO_MOI'!$F$51-'HANH_TRINH'!$F$1647)*120/'THAM_SO_MOI'!$C$42</f>
        <v>6.930859688087683</v>
      </c>
      <c r="G1768" s="75">
        <f>3.6*F1768</f>
        <v>24.951094877115658</v>
      </c>
      <c r="H1768" s="75">
        <f>'THAM_SO_MOI'!$D$51</f>
        <v>1.375</v>
      </c>
      <c r="I1768" s="75">
        <f>IF(F1768&gt;'THAM_SO_MOI'!$C$14,'THAM_SO_MOI'!$C$13*(1+F1768^2/1500),'THAM_SO_MOI'!$C$13)</f>
        <v>0.015</v>
      </c>
      <c r="J1768" s="75">
        <f>'THAM_SO_MOI'!$C$40*('THAM_SO_MOI'!$C$23*(E1768/'THAM_SO_MOI'!$C$22)+'THAM_SO_MOI'!$C$24*(E1768/'THAM_SO_MOI'!$C$22)^2-'THAM_SO_MOI'!$C$25*(E1768/'THAM_SO_MOI'!$C$22)^3)</f>
        <v>76.8024751914641</v>
      </c>
      <c r="K1768" s="75">
        <f>'THAM_SO_MOI'!$C$31*J1768/E1768</f>
        <v>421.3398209871676</v>
      </c>
      <c r="L1768" s="75">
        <f>K1768*'THAM_SO_MOI'!$C$51*'THAM_SO_MOI'!$C$17/'THAM_SO_MOI'!$C$26</f>
        <v>9420.825767709825</v>
      </c>
      <c r="M1768" s="75">
        <f>'THAM_SO_MOI'!$C$15*'THAM_SO_MOI'!$C$16*F1768^2</f>
        <v>140.50768684667977</v>
      </c>
      <c r="N1768" s="75">
        <f>'THAM_SO_MOI'!$C$12*I1768</f>
        <v>1130.112</v>
      </c>
      <c r="O1768" s="75">
        <f>M1768+N1768</f>
        <v>1270.6196868466798</v>
      </c>
      <c r="P1768" s="75">
        <f>(MIN(L1768,'THAM_SO_MOI'!$C$41)-O1768)/('THAM_SO_MOI'!$C$11*H1768)</f>
        <v>0.7717998182635553</v>
      </c>
      <c r="Q1768" s="75">
        <f>IF(P1768&gt;0,1/P1768,NA())</f>
        <v>1.2956727590968655</v>
      </c>
      <c r="R1768" s="75">
        <f>F1768-F1767</f>
        <v>0.005028991339518285</v>
      </c>
      <c r="S1768" s="75">
        <f>0.5*(Q1767+Q1768)*R1768</f>
        <v>0.006516312619441268</v>
      </c>
      <c r="T1768" s="75">
        <f>0.5*(F1767*Q1767+F1768*Q1768)*R1768</f>
        <v>0.04514726223977183</v>
      </c>
      <c r="U1768" s="76">
        <f>U1767+S1768</f>
        <v>8.554990751432133</v>
      </c>
      <c r="V1768" s="76">
        <f>V1767+T1768</f>
        <v>37.496857049975</v>
      </c>
    </row>
    <row r="1769" spans="1:22" ht="19" customHeight="1">
      <c r="A1769" s="68" t="s">
        <v>374</v>
      </c>
      <c r="B1769" s="74">
        <v>3</v>
      </c>
      <c r="C1769" s="68" t="s">
        <v>363</v>
      </c>
      <c r="D1769" s="68" t="s">
        <v>364</v>
      </c>
      <c r="E1769" s="75">
        <f>60*F1769*'THAM_SO_MOI'!$C$51/(2*PI()*'THAM_SO_MOI'!$C$26)</f>
        <v>1742.2522573891665</v>
      </c>
      <c r="F1769" s="75">
        <f>'HANH_TRINH'!$F$1647+('THAM_SO_MOI'!$F$51-'HANH_TRINH'!$F$1647)*121/'THAM_SO_MOI'!$C$42</f>
        <v>6.9358886794272</v>
      </c>
      <c r="G1769" s="75">
        <f>3.6*F1769</f>
        <v>24.969199245937922</v>
      </c>
      <c r="H1769" s="75">
        <f>'THAM_SO_MOI'!$D$51</f>
        <v>1.375</v>
      </c>
      <c r="I1769" s="75">
        <f>IF(F1769&gt;'THAM_SO_MOI'!$C$14,'THAM_SO_MOI'!$C$13*(1+F1769^2/1500),'THAM_SO_MOI'!$C$13)</f>
        <v>0.015</v>
      </c>
      <c r="J1769" s="75">
        <f>'THAM_SO_MOI'!$C$40*('THAM_SO_MOI'!$C$23*(E1769/'THAM_SO_MOI'!$C$22)+'THAM_SO_MOI'!$C$24*(E1769/'THAM_SO_MOI'!$C$22)^2-'THAM_SO_MOI'!$C$25*(E1769/'THAM_SO_MOI'!$C$22)^3)</f>
        <v>76.86770477289214</v>
      </c>
      <c r="K1769" s="75">
        <f>'THAM_SO_MOI'!$C$31*J1769/E1769</f>
        <v>421.3919121835334</v>
      </c>
      <c r="L1769" s="75">
        <f>K1769*'THAM_SO_MOI'!$C$51*'THAM_SO_MOI'!$C$17/'THAM_SO_MOI'!$C$26</f>
        <v>9421.990485736816</v>
      </c>
      <c r="M1769" s="75">
        <f>'THAM_SO_MOI'!$C$15*'THAM_SO_MOI'!$C$16*F1769^2</f>
        <v>140.7116639372137</v>
      </c>
      <c r="N1769" s="75">
        <f>'THAM_SO_MOI'!$C$12*I1769</f>
        <v>1130.112</v>
      </c>
      <c r="O1769" s="75">
        <f>M1769+N1769</f>
        <v>1270.8236639372137</v>
      </c>
      <c r="P1769" s="75">
        <f>(MIN(L1769,'THAM_SO_MOI'!$C$41)-O1769)/('THAM_SO_MOI'!$C$11*H1769)</f>
        <v>0.7718907975189017</v>
      </c>
      <c r="Q1769" s="75">
        <f>IF(P1769&gt;0,1/P1769,NA())</f>
        <v>1.2955200440454953</v>
      </c>
      <c r="R1769" s="75">
        <f>F1769-F1768</f>
        <v>0.005028991339517397</v>
      </c>
      <c r="S1769" s="75">
        <f>0.5*(Q1768+Q1769)*R1769</f>
        <v>0.00651554308301137</v>
      </c>
      <c r="T1769" s="75">
        <f>0.5*(F1768*Q1768+F1769*Q1769)*R1769</f>
        <v>0.0451746972393407</v>
      </c>
      <c r="U1769" s="76">
        <f>U1768+S1769</f>
        <v>8.561506294515144</v>
      </c>
      <c r="V1769" s="76">
        <f>V1768+T1769</f>
        <v>37.54203174721434</v>
      </c>
    </row>
    <row r="1770" spans="1:22" ht="19" customHeight="1">
      <c r="A1770" s="68" t="s">
        <v>374</v>
      </c>
      <c r="B1770" s="74">
        <v>3</v>
      </c>
      <c r="C1770" s="68" t="s">
        <v>363</v>
      </c>
      <c r="D1770" s="68" t="s">
        <v>364</v>
      </c>
      <c r="E1770" s="75">
        <f>60*F1770*'THAM_SO_MOI'!$C$51/(2*PI()*'THAM_SO_MOI'!$C$26)</f>
        <v>1743.5155088510378</v>
      </c>
      <c r="F1770" s="75">
        <f>'HANH_TRINH'!$F$1647+('THAM_SO_MOI'!$F$51-'HANH_TRINH'!$F$1647)*122/'THAM_SO_MOI'!$C$42</f>
        <v>6.9409176707667175</v>
      </c>
      <c r="G1770" s="75">
        <f>3.6*F1770</f>
        <v>24.987303614760183</v>
      </c>
      <c r="H1770" s="75">
        <f>'THAM_SO_MOI'!$D$51</f>
        <v>1.375</v>
      </c>
      <c r="I1770" s="75">
        <f>IF(F1770&gt;'THAM_SO_MOI'!$C$14,'THAM_SO_MOI'!$C$13*(1+F1770^2/1500),'THAM_SO_MOI'!$C$13)</f>
        <v>0.015</v>
      </c>
      <c r="J1770" s="75">
        <f>'THAM_SO_MOI'!$C$40*('THAM_SO_MOI'!$C$23*(E1770/'THAM_SO_MOI'!$C$22)+'THAM_SO_MOI'!$C$24*(E1770/'THAM_SO_MOI'!$C$22)^2-'THAM_SO_MOI'!$C$25*(E1770/'THAM_SO_MOI'!$C$22)^3)</f>
        <v>76.93291987253183</v>
      </c>
      <c r="K1770" s="75">
        <f>'THAM_SO_MOI'!$C$31*J1770/E1770</f>
        <v>421.44384856306857</v>
      </c>
      <c r="L1770" s="75">
        <f>K1770*'THAM_SO_MOI'!$C$51*'THAM_SO_MOI'!$C$17/'THAM_SO_MOI'!$C$26</f>
        <v>9423.151742181699</v>
      </c>
      <c r="M1770" s="75">
        <f>'THAM_SO_MOI'!$C$15*'THAM_SO_MOI'!$C$16*F1770^2</f>
        <v>140.91578897865793</v>
      </c>
      <c r="N1770" s="75">
        <f>'THAM_SO_MOI'!$C$12*I1770</f>
        <v>1130.112</v>
      </c>
      <c r="O1770" s="75">
        <f>M1770+N1770</f>
        <v>1271.027788978658</v>
      </c>
      <c r="P1770" s="75">
        <f>(MIN(L1770,'THAM_SO_MOI'!$C$41)-O1770)/('THAM_SO_MOI'!$C$11*H1770)</f>
        <v>0.7719814349624091</v>
      </c>
      <c r="Q1770" s="75">
        <f>IF(P1770&gt;0,1/P1770,NA())</f>
        <v>1.2953679385420636</v>
      </c>
      <c r="R1770" s="75">
        <f>F1770-F1769</f>
        <v>0.005028991339517397</v>
      </c>
      <c r="S1770" s="75">
        <f>0.5*(Q1769+Q1770)*R1770</f>
        <v>0.006514776613046266</v>
      </c>
      <c r="T1770" s="75">
        <f>0.5*(F1769*Q1769+F1770*Q1770)*R1770</f>
        <v>0.04520214577529191</v>
      </c>
      <c r="U1770" s="76">
        <f>U1769+S1770</f>
        <v>8.568021071128191</v>
      </c>
      <c r="V1770" s="76">
        <f>V1769+T1770</f>
        <v>37.58723389298963</v>
      </c>
    </row>
    <row r="1771" spans="1:22" ht="19" customHeight="1">
      <c r="A1771" s="68" t="s">
        <v>374</v>
      </c>
      <c r="B1771" s="74">
        <v>3</v>
      </c>
      <c r="C1771" s="68" t="s">
        <v>363</v>
      </c>
      <c r="D1771" s="68" t="s">
        <v>364</v>
      </c>
      <c r="E1771" s="75">
        <f>60*F1771*'THAM_SO_MOI'!$C$51/(2*PI()*'THAM_SO_MOI'!$C$26)</f>
        <v>1744.77876031291</v>
      </c>
      <c r="F1771" s="75">
        <f>'HANH_TRINH'!$F$1647+('THAM_SO_MOI'!$F$51-'HANH_TRINH'!$F$1647)*123/'THAM_SO_MOI'!$C$42</f>
        <v>6.945946662106236</v>
      </c>
      <c r="G1771" s="75">
        <f>3.6*F1771</f>
        <v>25.00540798358245</v>
      </c>
      <c r="H1771" s="75">
        <f>'THAM_SO_MOI'!$D$51</f>
        <v>1.375</v>
      </c>
      <c r="I1771" s="75">
        <f>IF(F1771&gt;'THAM_SO_MOI'!$C$14,'THAM_SO_MOI'!$C$13*(1+F1771^2/1500),'THAM_SO_MOI'!$C$13)</f>
        <v>0.015</v>
      </c>
      <c r="J1771" s="75">
        <f>'THAM_SO_MOI'!$C$40*('THAM_SO_MOI'!$C$23*(E1771/'THAM_SO_MOI'!$C$22)+'THAM_SO_MOI'!$C$24*(E1771/'THAM_SO_MOI'!$C$22)^2-'THAM_SO_MOI'!$C$25*(E1771/'THAM_SO_MOI'!$C$22)^3)</f>
        <v>76.99812042895388</v>
      </c>
      <c r="K1771" s="75">
        <f>'THAM_SO_MOI'!$C$31*J1771/E1771</f>
        <v>421.49563012577335</v>
      </c>
      <c r="L1771" s="75">
        <f>K1771*'THAM_SO_MOI'!$C$51*'THAM_SO_MOI'!$C$17/'THAM_SO_MOI'!$C$26</f>
        <v>9424.309537044473</v>
      </c>
      <c r="M1771" s="75">
        <f>'THAM_SO_MOI'!$C$15*'THAM_SO_MOI'!$C$16*F1771^2</f>
        <v>141.12006197101243</v>
      </c>
      <c r="N1771" s="75">
        <f>'THAM_SO_MOI'!$C$12*I1771</f>
        <v>1130.112</v>
      </c>
      <c r="O1771" s="75">
        <f>M1771+N1771</f>
        <v>1271.2320619710126</v>
      </c>
      <c r="P1771" s="75">
        <f>(MIN(L1771,'THAM_SO_MOI'!$C$41)-O1771)/('THAM_SO_MOI'!$C$11*H1771)</f>
        <v>0.7720717305940777</v>
      </c>
      <c r="Q1771" s="75">
        <f>IF(P1771&gt;0,1/P1771,NA())</f>
        <v>1.2952164421698755</v>
      </c>
      <c r="R1771" s="75">
        <f>F1771-F1770</f>
        <v>0.005028991339518285</v>
      </c>
      <c r="S1771" s="75">
        <f>0.5*(Q1770+Q1771)*R1771</f>
        <v>0.006514013207445841</v>
      </c>
      <c r="T1771" s="75">
        <f>0.5*(F1770*Q1770+F1771*Q1771)*R1771</f>
        <v>0.045229607879307125</v>
      </c>
      <c r="U1771" s="76">
        <f>U1770+S1771</f>
        <v>8.574535084335636</v>
      </c>
      <c r="V1771" s="76">
        <f>V1770+T1771</f>
        <v>37.63246350086894</v>
      </c>
    </row>
    <row r="1772" spans="1:22" ht="19" customHeight="1">
      <c r="A1772" s="68" t="s">
        <v>374</v>
      </c>
      <c r="B1772" s="74">
        <v>3</v>
      </c>
      <c r="C1772" s="68" t="s">
        <v>363</v>
      </c>
      <c r="D1772" s="68" t="s">
        <v>364</v>
      </c>
      <c r="E1772" s="75">
        <f>60*F1772*'THAM_SO_MOI'!$C$51/(2*PI()*'THAM_SO_MOI'!$C$26)</f>
        <v>1746.0420117747813</v>
      </c>
      <c r="F1772" s="75">
        <f>'HANH_TRINH'!$F$1647+('THAM_SO_MOI'!$F$51-'HANH_TRINH'!$F$1647)*124/'THAM_SO_MOI'!$C$42</f>
        <v>6.950975653445753</v>
      </c>
      <c r="G1772" s="75">
        <f>3.6*F1772</f>
        <v>25.023512352404712</v>
      </c>
      <c r="H1772" s="75">
        <f>'THAM_SO_MOI'!$D$51</f>
        <v>1.375</v>
      </c>
      <c r="I1772" s="75">
        <f>IF(F1772&gt;'THAM_SO_MOI'!$C$14,'THAM_SO_MOI'!$C$13*(1+F1772^2/1500),'THAM_SO_MOI'!$C$13)</f>
        <v>0.015</v>
      </c>
      <c r="J1772" s="75">
        <f>'THAM_SO_MOI'!$C$40*('THAM_SO_MOI'!$C$23*(E1772/'THAM_SO_MOI'!$C$22)+'THAM_SO_MOI'!$C$24*(E1772/'THAM_SO_MOI'!$C$22)^2-'THAM_SO_MOI'!$C$25*(E1772/'THAM_SO_MOI'!$C$22)^3)</f>
        <v>77.06330638072882</v>
      </c>
      <c r="K1772" s="75">
        <f>'THAM_SO_MOI'!$C$31*J1772/E1772</f>
        <v>421.54725687164733</v>
      </c>
      <c r="L1772" s="75">
        <f>K1772*'THAM_SO_MOI'!$C$51*'THAM_SO_MOI'!$C$17/'THAM_SO_MOI'!$C$26</f>
        <v>9425.463870325131</v>
      </c>
      <c r="M1772" s="75">
        <f>'THAM_SO_MOI'!$C$15*'THAM_SO_MOI'!$C$16*F1772^2</f>
        <v>141.32448291427718</v>
      </c>
      <c r="N1772" s="75">
        <f>'THAM_SO_MOI'!$C$12*I1772</f>
        <v>1130.112</v>
      </c>
      <c r="O1772" s="75">
        <f>M1772+N1772</f>
        <v>1271.4364829142773</v>
      </c>
      <c r="P1772" s="75">
        <f>(MIN(L1772,'THAM_SO_MOI'!$C$41)-O1772)/('THAM_SO_MOI'!$C$11*H1772)</f>
        <v>0.7721616844139066</v>
      </c>
      <c r="Q1772" s="75">
        <f>IF(P1772&gt;0,1/P1772,NA())</f>
        <v>1.2950655545140515</v>
      </c>
      <c r="R1772" s="75">
        <f>F1772-F1771</f>
        <v>0.005028991339517397</v>
      </c>
      <c r="S1772" s="75">
        <f>0.5*(Q1771+Q1772)*R1772</f>
        <v>0.0065132528641156495</v>
      </c>
      <c r="T1772" s="75">
        <f>0.5*(F1771*Q1771+F1772*Q1772)*R1772</f>
        <v>0.045257083583065204</v>
      </c>
      <c r="U1772" s="76">
        <f>U1771+S1772</f>
        <v>8.581048337199752</v>
      </c>
      <c r="V1772" s="76">
        <f>V1771+T1772</f>
        <v>37.677720584452004</v>
      </c>
    </row>
    <row r="1773" spans="1:22" ht="19" customHeight="1">
      <c r="A1773" s="68" t="s">
        <v>374</v>
      </c>
      <c r="B1773" s="74">
        <v>3</v>
      </c>
      <c r="C1773" s="68" t="s">
        <v>363</v>
      </c>
      <c r="D1773" s="68" t="s">
        <v>364</v>
      </c>
      <c r="E1773" s="75">
        <f>60*F1773*'THAM_SO_MOI'!$C$51/(2*PI()*'THAM_SO_MOI'!$C$26)</f>
        <v>1747.305263236653</v>
      </c>
      <c r="F1773" s="75">
        <f>'HANH_TRINH'!$F$1647+('THAM_SO_MOI'!$F$51-'HANH_TRINH'!$F$1647)*125/'THAM_SO_MOI'!$C$42</f>
        <v>6.956004644785271</v>
      </c>
      <c r="G1773" s="75">
        <f>3.6*F1773</f>
        <v>25.041616721226976</v>
      </c>
      <c r="H1773" s="75">
        <f>'THAM_SO_MOI'!$D$51</f>
        <v>1.375</v>
      </c>
      <c r="I1773" s="75">
        <f>IF(F1773&gt;'THAM_SO_MOI'!$C$14,'THAM_SO_MOI'!$C$13*(1+F1773^2/1500),'THAM_SO_MOI'!$C$13)</f>
        <v>0.015</v>
      </c>
      <c r="J1773" s="75">
        <f>'THAM_SO_MOI'!$C$40*('THAM_SO_MOI'!$C$23*(E1773/'THAM_SO_MOI'!$C$22)+'THAM_SO_MOI'!$C$24*(E1773/'THAM_SO_MOI'!$C$22)^2-'THAM_SO_MOI'!$C$25*(E1773/'THAM_SO_MOI'!$C$22)^3)</f>
        <v>77.12847766642741</v>
      </c>
      <c r="K1773" s="75">
        <f>'THAM_SO_MOI'!$C$31*J1773/E1773</f>
        <v>421.598728800691</v>
      </c>
      <c r="L1773" s="75">
        <f>K1773*'THAM_SO_MOI'!$C$51*'THAM_SO_MOI'!$C$17/'THAM_SO_MOI'!$C$26</f>
        <v>9426.614742023687</v>
      </c>
      <c r="M1773" s="75">
        <f>'THAM_SO_MOI'!$C$15*'THAM_SO_MOI'!$C$16*F1773^2</f>
        <v>141.5290518084522</v>
      </c>
      <c r="N1773" s="75">
        <f>'THAM_SO_MOI'!$C$12*I1773</f>
        <v>1130.112</v>
      </c>
      <c r="O1773" s="75">
        <f>M1773+N1773</f>
        <v>1271.6410518084522</v>
      </c>
      <c r="P1773" s="75">
        <f>(MIN(L1773,'THAM_SO_MOI'!$C$41)-O1773)/('THAM_SO_MOI'!$C$11*H1773)</f>
        <v>0.7722512964218972</v>
      </c>
      <c r="Q1773" s="75">
        <f>IF(P1773&gt;0,1/P1773,NA())</f>
        <v>1.294915275161518</v>
      </c>
      <c r="R1773" s="75">
        <f>F1773-F1772</f>
        <v>0.005028991339517397</v>
      </c>
      <c r="S1773" s="75">
        <f>0.5*(Q1772+Q1773)*R1773</f>
        <v>0.006512495580977261</v>
      </c>
      <c r="T1773" s="75">
        <f>0.5*(F1772*Q1772+F1773*Q1773)*R1773</f>
        <v>0.045284572918314156</v>
      </c>
      <c r="U1773" s="76">
        <f>U1772+S1773</f>
        <v>8.58756083278073</v>
      </c>
      <c r="V1773" s="76">
        <f>V1772+T1773</f>
        <v>37.72300515737032</v>
      </c>
    </row>
    <row r="1774" spans="1:22" ht="19" customHeight="1">
      <c r="A1774" s="68" t="s">
        <v>374</v>
      </c>
      <c r="B1774" s="74">
        <v>3</v>
      </c>
      <c r="C1774" s="68" t="s">
        <v>363</v>
      </c>
      <c r="D1774" s="68" t="s">
        <v>364</v>
      </c>
      <c r="E1774" s="75">
        <f>60*F1774*'THAM_SO_MOI'!$C$51/(2*PI()*'THAM_SO_MOI'!$C$26)</f>
        <v>1748.568514698525</v>
      </c>
      <c r="F1774" s="75">
        <f>'HANH_TRINH'!$F$1647+('THAM_SO_MOI'!$F$51-'HANH_TRINH'!$F$1647)*126/'THAM_SO_MOI'!$C$42</f>
        <v>6.961033636124789</v>
      </c>
      <c r="G1774" s="75">
        <f>3.6*F1774</f>
        <v>25.05972109004924</v>
      </c>
      <c r="H1774" s="75">
        <f>'THAM_SO_MOI'!$D$51</f>
        <v>1.375</v>
      </c>
      <c r="I1774" s="75">
        <f>IF(F1774&gt;'THAM_SO_MOI'!$C$14,'THAM_SO_MOI'!$C$13*(1+F1774^2/1500),'THAM_SO_MOI'!$C$13)</f>
        <v>0.015</v>
      </c>
      <c r="J1774" s="75">
        <f>'THAM_SO_MOI'!$C$40*('THAM_SO_MOI'!$C$23*(E1774/'THAM_SO_MOI'!$C$22)+'THAM_SO_MOI'!$C$24*(E1774/'THAM_SO_MOI'!$C$22)^2-'THAM_SO_MOI'!$C$25*(E1774/'THAM_SO_MOI'!$C$22)^3)</f>
        <v>77.19363422462028</v>
      </c>
      <c r="K1774" s="75">
        <f>'THAM_SO_MOI'!$C$31*J1774/E1774</f>
        <v>421.6500459129042</v>
      </c>
      <c r="L1774" s="75">
        <f>K1774*'THAM_SO_MOI'!$C$51*'THAM_SO_MOI'!$C$17/'THAM_SO_MOI'!$C$26</f>
        <v>9427.762152140134</v>
      </c>
      <c r="M1774" s="75">
        <f>'THAM_SO_MOI'!$C$15*'THAM_SO_MOI'!$C$16*F1774^2</f>
        <v>141.73376865353757</v>
      </c>
      <c r="N1774" s="75">
        <f>'THAM_SO_MOI'!$C$12*I1774</f>
        <v>1130.112</v>
      </c>
      <c r="O1774" s="75">
        <f>M1774+N1774</f>
        <v>1271.8457686535376</v>
      </c>
      <c r="P1774" s="75">
        <f>(MIN(L1774,'THAM_SO_MOI'!$C$41)-O1774)/('THAM_SO_MOI'!$C$11*H1774)</f>
        <v>0.772340566618049</v>
      </c>
      <c r="Q1774" s="75">
        <f>IF(P1774&gt;0,1/P1774,NA())</f>
        <v>1.2947656037010122</v>
      </c>
      <c r="R1774" s="75">
        <f>F1774-F1773</f>
        <v>0.005028991339518285</v>
      </c>
      <c r="S1774" s="75">
        <f>0.5*(Q1773+Q1774)*R1774</f>
        <v>0.006511741355957883</v>
      </c>
      <c r="T1774" s="75">
        <f>0.5*(F1773*Q1773+F1774*Q1774)*R1774</f>
        <v>0.0453120759167995</v>
      </c>
      <c r="U1774" s="76">
        <f>U1773+S1774</f>
        <v>8.594072574136687</v>
      </c>
      <c r="V1774" s="76">
        <f>V1773+T1774</f>
        <v>37.768317233287114</v>
      </c>
    </row>
    <row r="1775" spans="1:22" ht="19" customHeight="1">
      <c r="A1775" s="68" t="s">
        <v>374</v>
      </c>
      <c r="B1775" s="74">
        <v>3</v>
      </c>
      <c r="C1775" s="68" t="s">
        <v>363</v>
      </c>
      <c r="D1775" s="68" t="s">
        <v>364</v>
      </c>
      <c r="E1775" s="75">
        <f>60*F1775*'THAM_SO_MOI'!$C$51/(2*PI()*'THAM_SO_MOI'!$C$26)</f>
        <v>1749.8317661603962</v>
      </c>
      <c r="F1775" s="75">
        <f>'HANH_TRINH'!$F$1647+('THAM_SO_MOI'!$F$51-'HANH_TRINH'!$F$1647)*127/'THAM_SO_MOI'!$C$42</f>
        <v>6.966062627464306</v>
      </c>
      <c r="G1775" s="75">
        <f>3.6*F1775</f>
        <v>25.0778254588715</v>
      </c>
      <c r="H1775" s="75">
        <f>'THAM_SO_MOI'!$D$51</f>
        <v>1.375</v>
      </c>
      <c r="I1775" s="75">
        <f>IF(F1775&gt;'THAM_SO_MOI'!$C$14,'THAM_SO_MOI'!$C$13*(1+F1775^2/1500),'THAM_SO_MOI'!$C$13)</f>
        <v>0.015</v>
      </c>
      <c r="J1775" s="75">
        <f>'THAM_SO_MOI'!$C$40*('THAM_SO_MOI'!$C$23*(E1775/'THAM_SO_MOI'!$C$22)+'THAM_SO_MOI'!$C$24*(E1775/'THAM_SO_MOI'!$C$22)^2-'THAM_SO_MOI'!$C$25*(E1775/'THAM_SO_MOI'!$C$22)^3)</f>
        <v>77.25877599387803</v>
      </c>
      <c r="K1775" s="75">
        <f>'THAM_SO_MOI'!$C$31*J1775/E1775</f>
        <v>421.7012082082869</v>
      </c>
      <c r="L1775" s="75">
        <f>K1775*'THAM_SO_MOI'!$C$51*'THAM_SO_MOI'!$C$17/'THAM_SO_MOI'!$C$26</f>
        <v>9428.906100674472</v>
      </c>
      <c r="M1775" s="75">
        <f>'THAM_SO_MOI'!$C$15*'THAM_SO_MOI'!$C$16*F1775^2</f>
        <v>141.93863344953314</v>
      </c>
      <c r="N1775" s="75">
        <f>'THAM_SO_MOI'!$C$12*I1775</f>
        <v>1130.112</v>
      </c>
      <c r="O1775" s="75">
        <f>M1775+N1775</f>
        <v>1272.0506334495333</v>
      </c>
      <c r="P1775" s="75">
        <f>(MIN(L1775,'THAM_SO_MOI'!$C$41)-O1775)/('THAM_SO_MOI'!$C$11*H1775)</f>
        <v>0.7724294950023616</v>
      </c>
      <c r="Q1775" s="75">
        <f>IF(P1775&gt;0,1/P1775,NA())</f>
        <v>1.2946165397230756</v>
      </c>
      <c r="R1775" s="75">
        <f>F1775-F1774</f>
        <v>0.005028991339517397</v>
      </c>
      <c r="S1775" s="75">
        <f>0.5*(Q1774+Q1775)*R1775</f>
        <v>0.006510990186990365</v>
      </c>
      <c r="T1775" s="75">
        <f>0.5*(F1774*Q1774+F1775*Q1775)*R1775</f>
        <v>0.045339592610264295</v>
      </c>
      <c r="U1775" s="76">
        <f>U1774+S1775</f>
        <v>8.600583564323678</v>
      </c>
      <c r="V1775" s="76">
        <f>V1774+T1775</f>
        <v>37.813656825897375</v>
      </c>
    </row>
    <row r="1776" spans="1:22" ht="19" customHeight="1">
      <c r="A1776" s="68" t="s">
        <v>374</v>
      </c>
      <c r="B1776" s="74">
        <v>3</v>
      </c>
      <c r="C1776" s="68" t="s">
        <v>363</v>
      </c>
      <c r="D1776" s="68" t="s">
        <v>364</v>
      </c>
      <c r="E1776" s="75">
        <f>60*F1776*'THAM_SO_MOI'!$C$51/(2*PI()*'THAM_SO_MOI'!$C$26)</f>
        <v>1751.095017622268</v>
      </c>
      <c r="F1776" s="75">
        <f>'HANH_TRINH'!$F$1647+('THAM_SO_MOI'!$F$51-'HANH_TRINH'!$F$1647)*128/'THAM_SO_MOI'!$C$42</f>
        <v>6.971091618803824</v>
      </c>
      <c r="G1776" s="75">
        <f>3.6*F1776</f>
        <v>25.095929827693766</v>
      </c>
      <c r="H1776" s="75">
        <f>'THAM_SO_MOI'!$D$51</f>
        <v>1.375</v>
      </c>
      <c r="I1776" s="75">
        <f>IF(F1776&gt;'THAM_SO_MOI'!$C$14,'THAM_SO_MOI'!$C$13*(1+F1776^2/1500),'THAM_SO_MOI'!$C$13)</f>
        <v>0.015</v>
      </c>
      <c r="J1776" s="75">
        <f>'THAM_SO_MOI'!$C$40*('THAM_SO_MOI'!$C$23*(E1776/'THAM_SO_MOI'!$C$22)+'THAM_SO_MOI'!$C$24*(E1776/'THAM_SO_MOI'!$C$22)^2-'THAM_SO_MOI'!$C$25*(E1776/'THAM_SO_MOI'!$C$22)^3)</f>
        <v>77.32390291277136</v>
      </c>
      <c r="K1776" s="75">
        <f>'THAM_SO_MOI'!$C$31*J1776/E1776</f>
        <v>421.752215686839</v>
      </c>
      <c r="L1776" s="75">
        <f>K1776*'THAM_SO_MOI'!$C$51*'THAM_SO_MOI'!$C$17/'THAM_SO_MOI'!$C$26</f>
        <v>9430.046587626699</v>
      </c>
      <c r="M1776" s="75">
        <f>'THAM_SO_MOI'!$C$15*'THAM_SO_MOI'!$C$16*F1776^2</f>
        <v>142.143646196439</v>
      </c>
      <c r="N1776" s="75">
        <f>'THAM_SO_MOI'!$C$12*I1776</f>
        <v>1130.112</v>
      </c>
      <c r="O1776" s="75">
        <f>M1776+N1776</f>
        <v>1272.255646196439</v>
      </c>
      <c r="P1776" s="75">
        <f>(MIN(L1776,'THAM_SO_MOI'!$C$41)-O1776)/('THAM_SO_MOI'!$C$11*H1776)</f>
        <v>0.7725180815748353</v>
      </c>
      <c r="Q1776" s="75">
        <f>IF(P1776&gt;0,1/P1776,NA())</f>
        <v>1.29446808282005</v>
      </c>
      <c r="R1776" s="75">
        <f>F1776-F1775</f>
        <v>0.005028991339517397</v>
      </c>
      <c r="S1776" s="75">
        <f>0.5*(Q1775+Q1776)*R1776</f>
        <v>0.006510242072023524</v>
      </c>
      <c r="T1776" s="75">
        <f>0.5*(F1775*Q1775+F1776*Q1776)*R1776</f>
        <v>0.04536712303052129</v>
      </c>
      <c r="U1776" s="76">
        <f>U1775+S1776</f>
        <v>8.607093806395701</v>
      </c>
      <c r="V1776" s="76">
        <f>V1775+T1776</f>
        <v>37.8590239489279</v>
      </c>
    </row>
    <row r="1777" spans="1:22" ht="19" customHeight="1">
      <c r="A1777" s="68" t="s">
        <v>374</v>
      </c>
      <c r="B1777" s="74">
        <v>3</v>
      </c>
      <c r="C1777" s="68" t="s">
        <v>363</v>
      </c>
      <c r="D1777" s="68" t="s">
        <v>364</v>
      </c>
      <c r="E1777" s="75">
        <f>60*F1777*'THAM_SO_MOI'!$C$51/(2*PI()*'THAM_SO_MOI'!$C$26)</f>
        <v>1752.3582690841397</v>
      </c>
      <c r="F1777" s="75">
        <f>'HANH_TRINH'!$F$1647+('THAM_SO_MOI'!$F$51-'HANH_TRINH'!$F$1647)*129/'THAM_SO_MOI'!$C$42</f>
        <v>6.976120610143342</v>
      </c>
      <c r="G1777" s="75">
        <f>3.6*F1777</f>
        <v>25.11403419651603</v>
      </c>
      <c r="H1777" s="75">
        <f>'THAM_SO_MOI'!$D$51</f>
        <v>1.375</v>
      </c>
      <c r="I1777" s="75">
        <f>IF(F1777&gt;'THAM_SO_MOI'!$C$14,'THAM_SO_MOI'!$C$13*(1+F1777^2/1500),'THAM_SO_MOI'!$C$13)</f>
        <v>0.015</v>
      </c>
      <c r="J1777" s="75">
        <f>'THAM_SO_MOI'!$C$40*('THAM_SO_MOI'!$C$23*(E1777/'THAM_SO_MOI'!$C$22)+'THAM_SO_MOI'!$C$24*(E1777/'THAM_SO_MOI'!$C$22)^2-'THAM_SO_MOI'!$C$25*(E1777/'THAM_SO_MOI'!$C$22)^3)</f>
        <v>77.3890149198709</v>
      </c>
      <c r="K1777" s="75">
        <f>'THAM_SO_MOI'!$C$31*J1777/E1777</f>
        <v>421.80306834856077</v>
      </c>
      <c r="L1777" s="75">
        <f>K1777*'THAM_SO_MOI'!$C$51*'THAM_SO_MOI'!$C$17/'THAM_SO_MOI'!$C$26</f>
        <v>9431.183612996821</v>
      </c>
      <c r="M1777" s="75">
        <f>'THAM_SO_MOI'!$C$15*'THAM_SO_MOI'!$C$16*F1777^2</f>
        <v>142.34880689425515</v>
      </c>
      <c r="N1777" s="75">
        <f>'THAM_SO_MOI'!$C$12*I1777</f>
        <v>1130.112</v>
      </c>
      <c r="O1777" s="75">
        <f>M1777+N1777</f>
        <v>1272.4608068942553</v>
      </c>
      <c r="P1777" s="75">
        <f>(MIN(L1777,'THAM_SO_MOI'!$C$41)-O1777)/('THAM_SO_MOI'!$C$11*H1777)</f>
        <v>0.7726063263354703</v>
      </c>
      <c r="Q1777" s="75">
        <f>IF(P1777&gt;0,1/P1777,NA())</f>
        <v>1.2943202325860763</v>
      </c>
      <c r="R1777" s="75">
        <f>F1777-F1776</f>
        <v>0.005028991339518285</v>
      </c>
      <c r="S1777" s="75">
        <f>0.5*(Q1776+Q1777)*R1777</f>
        <v>0.006509497009011769</v>
      </c>
      <c r="T1777" s="75">
        <f>0.5*(F1776*Q1776+F1777*Q1777)*R1777</f>
        <v>0.045394667209381005</v>
      </c>
      <c r="U1777" s="76">
        <f>U1776+S1777</f>
        <v>8.613603303404712</v>
      </c>
      <c r="V1777" s="76">
        <f>V1776+T1777</f>
        <v>37.90441861613728</v>
      </c>
    </row>
    <row r="1778" spans="1:22" ht="19" customHeight="1">
      <c r="A1778" s="68" t="s">
        <v>374</v>
      </c>
      <c r="B1778" s="74">
        <v>3</v>
      </c>
      <c r="C1778" s="68" t="s">
        <v>363</v>
      </c>
      <c r="D1778" s="68" t="s">
        <v>364</v>
      </c>
      <c r="E1778" s="75">
        <f>60*F1778*'THAM_SO_MOI'!$C$51/(2*PI()*'THAM_SO_MOI'!$C$26)</f>
        <v>1753.6215205460114</v>
      </c>
      <c r="F1778" s="75">
        <f>'HANH_TRINH'!$F$1647+('THAM_SO_MOI'!$F$51-'HANH_TRINH'!$F$1647)*130/'THAM_SO_MOI'!$C$42</f>
        <v>6.981149601482859</v>
      </c>
      <c r="G1778" s="75">
        <f>3.6*F1778</f>
        <v>25.132138565338295</v>
      </c>
      <c r="H1778" s="75">
        <f>'THAM_SO_MOI'!$D$51</f>
        <v>1.375</v>
      </c>
      <c r="I1778" s="75">
        <f>IF(F1778&gt;'THAM_SO_MOI'!$C$14,'THAM_SO_MOI'!$C$13*(1+F1778^2/1500),'THAM_SO_MOI'!$C$13)</f>
        <v>0.015</v>
      </c>
      <c r="J1778" s="75">
        <f>'THAM_SO_MOI'!$C$40*('THAM_SO_MOI'!$C$23*(E1778/'THAM_SO_MOI'!$C$22)+'THAM_SO_MOI'!$C$24*(E1778/'THAM_SO_MOI'!$C$22)^2-'THAM_SO_MOI'!$C$25*(E1778/'THAM_SO_MOI'!$C$22)^3)</f>
        <v>77.4541119537473</v>
      </c>
      <c r="K1778" s="75">
        <f>'THAM_SO_MOI'!$C$31*J1778/E1778</f>
        <v>421.85376619345186</v>
      </c>
      <c r="L1778" s="75">
        <f>K1778*'THAM_SO_MOI'!$C$51*'THAM_SO_MOI'!$C$17/'THAM_SO_MOI'!$C$26</f>
        <v>9432.31717678483</v>
      </c>
      <c r="M1778" s="75">
        <f>'THAM_SO_MOI'!$C$15*'THAM_SO_MOI'!$C$16*F1778^2</f>
        <v>142.55411554298155</v>
      </c>
      <c r="N1778" s="75">
        <f>'THAM_SO_MOI'!$C$12*I1778</f>
        <v>1130.112</v>
      </c>
      <c r="O1778" s="75">
        <f>M1778+N1778</f>
        <v>1272.6661155429815</v>
      </c>
      <c r="P1778" s="75">
        <f>(MIN(L1778,'THAM_SO_MOI'!$C$41)-O1778)/('THAM_SO_MOI'!$C$11*H1778)</f>
        <v>0.772694229284266</v>
      </c>
      <c r="Q1778" s="75">
        <f>IF(P1778&gt;0,1/P1778,NA())</f>
        <v>1.2941729886170932</v>
      </c>
      <c r="R1778" s="75">
        <f>F1778-F1777</f>
        <v>0.005028991339517397</v>
      </c>
      <c r="S1778" s="75">
        <f>0.5*(Q1777+Q1778)*R1778</f>
        <v>0.006508754995915114</v>
      </c>
      <c r="T1778" s="75">
        <f>0.5*(F1777*Q1777+F1778*Q1778)*R1778</f>
        <v>0.045422225178651875</v>
      </c>
      <c r="U1778" s="76">
        <f>U1777+S1778</f>
        <v>8.620112058400627</v>
      </c>
      <c r="V1778" s="76">
        <f>V1777+T1778</f>
        <v>37.94984084131593</v>
      </c>
    </row>
    <row r="1779" spans="1:22" ht="19" customHeight="1">
      <c r="A1779" s="68" t="s">
        <v>374</v>
      </c>
      <c r="B1779" s="74">
        <v>3</v>
      </c>
      <c r="C1779" s="68" t="s">
        <v>363</v>
      </c>
      <c r="D1779" s="68" t="s">
        <v>364</v>
      </c>
      <c r="E1779" s="75">
        <f>60*F1779*'THAM_SO_MOI'!$C$51/(2*PI()*'THAM_SO_MOI'!$C$26)</f>
        <v>1754.8847720078827</v>
      </c>
      <c r="F1779" s="75">
        <f>'HANH_TRINH'!$F$1647+('THAM_SO_MOI'!$F$51-'HANH_TRINH'!$F$1647)*131/'THAM_SO_MOI'!$C$42</f>
        <v>6.986178592822377</v>
      </c>
      <c r="G1779" s="75">
        <f>3.6*F1779</f>
        <v>25.150242934160556</v>
      </c>
      <c r="H1779" s="75">
        <f>'THAM_SO_MOI'!$D$51</f>
        <v>1.375</v>
      </c>
      <c r="I1779" s="75">
        <f>IF(F1779&gt;'THAM_SO_MOI'!$C$14,'THAM_SO_MOI'!$C$13*(1+F1779^2/1500),'THAM_SO_MOI'!$C$13)</f>
        <v>0.015</v>
      </c>
      <c r="J1779" s="75">
        <f>'THAM_SO_MOI'!$C$40*('THAM_SO_MOI'!$C$23*(E1779/'THAM_SO_MOI'!$C$22)+'THAM_SO_MOI'!$C$24*(E1779/'THAM_SO_MOI'!$C$22)^2-'THAM_SO_MOI'!$C$25*(E1779/'THAM_SO_MOI'!$C$22)^3)</f>
        <v>77.5191939529712</v>
      </c>
      <c r="K1779" s="75">
        <f>'THAM_SO_MOI'!$C$31*J1779/E1779</f>
        <v>421.90430922151245</v>
      </c>
      <c r="L1779" s="75">
        <f>K1779*'THAM_SO_MOI'!$C$51*'THAM_SO_MOI'!$C$17/'THAM_SO_MOI'!$C$26</f>
        <v>9433.44727899073</v>
      </c>
      <c r="M1779" s="75">
        <f>'THAM_SO_MOI'!$C$15*'THAM_SO_MOI'!$C$16*F1779^2</f>
        <v>142.75957214261823</v>
      </c>
      <c r="N1779" s="75">
        <f>'THAM_SO_MOI'!$C$12*I1779</f>
        <v>1130.112</v>
      </c>
      <c r="O1779" s="75">
        <f>M1779+N1779</f>
        <v>1272.8715721426183</v>
      </c>
      <c r="P1779" s="75">
        <f>(MIN(L1779,'THAM_SO_MOI'!$C$41)-O1779)/('THAM_SO_MOI'!$C$11*H1779)</f>
        <v>0.7727817904212226</v>
      </c>
      <c r="Q1779" s="75">
        <f>IF(P1779&gt;0,1/P1779,NA())</f>
        <v>1.2940263505108303</v>
      </c>
      <c r="R1779" s="75">
        <f>F1779-F1778</f>
        <v>0.005028991339517397</v>
      </c>
      <c r="S1779" s="75">
        <f>0.5*(Q1778+Q1779)*R1779</f>
        <v>0.006508016030709488</v>
      </c>
      <c r="T1779" s="75">
        <f>0.5*(F1778*Q1778+F1779*Q1779)*R1779</f>
        <v>0.04544979697021248</v>
      </c>
      <c r="U1779" s="76">
        <f>U1778+S1779</f>
        <v>8.626620074431337</v>
      </c>
      <c r="V1779" s="76">
        <f>V1778+T1779</f>
        <v>37.99529063828614</v>
      </c>
    </row>
    <row r="1780" spans="1:22" ht="19" customHeight="1">
      <c r="A1780" s="68" t="s">
        <v>374</v>
      </c>
      <c r="B1780" s="74">
        <v>3</v>
      </c>
      <c r="C1780" s="68" t="s">
        <v>363</v>
      </c>
      <c r="D1780" s="68" t="s">
        <v>364</v>
      </c>
      <c r="E1780" s="75">
        <f>60*F1780*'THAM_SO_MOI'!$C$51/(2*PI()*'THAM_SO_MOI'!$C$26)</f>
        <v>1756.1480234697544</v>
      </c>
      <c r="F1780" s="75">
        <f>'HANH_TRINH'!$F$1647+('THAM_SO_MOI'!$F$51-'HANH_TRINH'!$F$1647)*132/'THAM_SO_MOI'!$C$42</f>
        <v>6.991207584161895</v>
      </c>
      <c r="G1780" s="75">
        <f>3.6*F1780</f>
        <v>25.168347302982824</v>
      </c>
      <c r="H1780" s="75">
        <f>'THAM_SO_MOI'!$D$51</f>
        <v>1.375</v>
      </c>
      <c r="I1780" s="75">
        <f>IF(F1780&gt;'THAM_SO_MOI'!$C$14,'THAM_SO_MOI'!$C$13*(1+F1780^2/1500),'THAM_SO_MOI'!$C$13)</f>
        <v>0.015</v>
      </c>
      <c r="J1780" s="75">
        <f>'THAM_SO_MOI'!$C$40*('THAM_SO_MOI'!$C$23*(E1780/'THAM_SO_MOI'!$C$22)+'THAM_SO_MOI'!$C$24*(E1780/'THAM_SO_MOI'!$C$22)^2-'THAM_SO_MOI'!$C$25*(E1780/'THAM_SO_MOI'!$C$22)^3)</f>
        <v>77.58426085611326</v>
      </c>
      <c r="K1780" s="75">
        <f>'THAM_SO_MOI'!$C$31*J1780/E1780</f>
        <v>421.95469743274253</v>
      </c>
      <c r="L1780" s="75">
        <f>K1780*'THAM_SO_MOI'!$C$51*'THAM_SO_MOI'!$C$17/'THAM_SO_MOI'!$C$26</f>
        <v>9434.573919614522</v>
      </c>
      <c r="M1780" s="75">
        <f>'THAM_SO_MOI'!$C$15*'THAM_SO_MOI'!$C$16*F1780^2</f>
        <v>142.9651766931652</v>
      </c>
      <c r="N1780" s="75">
        <f>'THAM_SO_MOI'!$C$12*I1780</f>
        <v>1130.112</v>
      </c>
      <c r="O1780" s="75">
        <f>M1780+N1780</f>
        <v>1273.0771766931653</v>
      </c>
      <c r="P1780" s="75">
        <f>(MIN(L1780,'THAM_SO_MOI'!$C$41)-O1780)/('THAM_SO_MOI'!$C$11*H1780)</f>
        <v>0.7728690097463405</v>
      </c>
      <c r="Q1780" s="75">
        <f>IF(P1780&gt;0,1/P1780,NA())</f>
        <v>1.2938803178668077</v>
      </c>
      <c r="R1780" s="75">
        <f>F1780-F1779</f>
        <v>0.005028991339518285</v>
      </c>
      <c r="S1780" s="75">
        <f>0.5*(Q1779+Q1780)*R1780</f>
        <v>0.00650728011137638</v>
      </c>
      <c r="T1780" s="75">
        <f>0.5*(F1779*Q1779+F1780*Q1780)*R1780</f>
        <v>0.04547738261593953</v>
      </c>
      <c r="U1780" s="76">
        <f>U1779+S1780</f>
        <v>8.633127354542713</v>
      </c>
      <c r="V1780" s="76">
        <f>V1779+T1780</f>
        <v>38.040768020902085</v>
      </c>
    </row>
    <row r="1781" spans="1:22" ht="19" customHeight="1">
      <c r="A1781" s="68" t="s">
        <v>374</v>
      </c>
      <c r="B1781" s="74">
        <v>3</v>
      </c>
      <c r="C1781" s="68" t="s">
        <v>363</v>
      </c>
      <c r="D1781" s="68" t="s">
        <v>364</v>
      </c>
      <c r="E1781" s="75">
        <f>60*F1781*'THAM_SO_MOI'!$C$51/(2*PI()*'THAM_SO_MOI'!$C$26)</f>
        <v>1757.411274931626</v>
      </c>
      <c r="F1781" s="75">
        <f>'HANH_TRINH'!$F$1647+('THAM_SO_MOI'!$F$51-'HANH_TRINH'!$F$1647)*133/'THAM_SO_MOI'!$C$42</f>
        <v>6.996236575501412</v>
      </c>
      <c r="G1781" s="75">
        <f>3.6*F1781</f>
        <v>25.186451671805084</v>
      </c>
      <c r="H1781" s="75">
        <f>'THAM_SO_MOI'!$D$51</f>
        <v>1.375</v>
      </c>
      <c r="I1781" s="75">
        <f>IF(F1781&gt;'THAM_SO_MOI'!$C$14,'THAM_SO_MOI'!$C$13*(1+F1781^2/1500),'THAM_SO_MOI'!$C$13)</f>
        <v>0.015</v>
      </c>
      <c r="J1781" s="75">
        <f>'THAM_SO_MOI'!$C$40*('THAM_SO_MOI'!$C$23*(E1781/'THAM_SO_MOI'!$C$22)+'THAM_SO_MOI'!$C$24*(E1781/'THAM_SO_MOI'!$C$22)^2-'THAM_SO_MOI'!$C$25*(E1781/'THAM_SO_MOI'!$C$22)^3)</f>
        <v>77.64931260174417</v>
      </c>
      <c r="K1781" s="75">
        <f>'THAM_SO_MOI'!$C$31*J1781/E1781</f>
        <v>422.00493082714235</v>
      </c>
      <c r="L1781" s="75">
        <f>K1781*'THAM_SO_MOI'!$C$51*'THAM_SO_MOI'!$C$17/'THAM_SO_MOI'!$C$26</f>
        <v>9435.69709865621</v>
      </c>
      <c r="M1781" s="75">
        <f>'THAM_SO_MOI'!$C$15*'THAM_SO_MOI'!$C$16*F1781^2</f>
        <v>143.17092919462243</v>
      </c>
      <c r="N1781" s="75">
        <f>'THAM_SO_MOI'!$C$12*I1781</f>
        <v>1130.112</v>
      </c>
      <c r="O1781" s="75">
        <f>M1781+N1781</f>
        <v>1273.2829291946225</v>
      </c>
      <c r="P1781" s="75">
        <f>(MIN(L1781,'THAM_SO_MOI'!$C$41)-O1781)/('THAM_SO_MOI'!$C$11*H1781)</f>
        <v>0.7729558872596201</v>
      </c>
      <c r="Q1781" s="75">
        <f>IF(P1781&gt;0,1/P1781,NA())</f>
        <v>1.2937348902863333</v>
      </c>
      <c r="R1781" s="75">
        <f>F1781-F1780</f>
        <v>0.005028991339517397</v>
      </c>
      <c r="S1781" s="75">
        <f>0.5*(Q1780+Q1781)*R1781</f>
        <v>0.006506547235902826</v>
      </c>
      <c r="T1781" s="75">
        <f>0.5*(F1780*Q1780+F1781*Q1781)*R1781</f>
        <v>0.04550498214770793</v>
      </c>
      <c r="U1781" s="76">
        <f>U1780+S1781</f>
        <v>8.639633901778616</v>
      </c>
      <c r="V1781" s="76">
        <f>V1780+T1781</f>
        <v>38.08627300304979</v>
      </c>
    </row>
    <row r="1782" spans="1:22" ht="19" customHeight="1">
      <c r="A1782" s="68" t="s">
        <v>374</v>
      </c>
      <c r="B1782" s="74">
        <v>3</v>
      </c>
      <c r="C1782" s="68" t="s">
        <v>363</v>
      </c>
      <c r="D1782" s="68" t="s">
        <v>364</v>
      </c>
      <c r="E1782" s="75">
        <f>60*F1782*'THAM_SO_MOI'!$C$51/(2*PI()*'THAM_SO_MOI'!$C$26)</f>
        <v>1758.6745263934977</v>
      </c>
      <c r="F1782" s="75">
        <f>'HANH_TRINH'!$F$1647+('THAM_SO_MOI'!$F$51-'HANH_TRINH'!$F$1647)*134/'THAM_SO_MOI'!$C$42</f>
        <v>7.00126556684093</v>
      </c>
      <c r="G1782" s="75">
        <f>3.6*F1782</f>
        <v>25.20455604062735</v>
      </c>
      <c r="H1782" s="75">
        <f>'THAM_SO_MOI'!$D$51</f>
        <v>1.375</v>
      </c>
      <c r="I1782" s="75">
        <f>IF(F1782&gt;'THAM_SO_MOI'!$C$14,'THAM_SO_MOI'!$C$13*(1+F1782^2/1500),'THAM_SO_MOI'!$C$13)</f>
        <v>0.015</v>
      </c>
      <c r="J1782" s="75">
        <f>'THAM_SO_MOI'!$C$40*('THAM_SO_MOI'!$C$23*(E1782/'THAM_SO_MOI'!$C$22)+'THAM_SO_MOI'!$C$24*(E1782/'THAM_SO_MOI'!$C$22)^2-'THAM_SO_MOI'!$C$25*(E1782/'THAM_SO_MOI'!$C$22)^3)</f>
        <v>77.7143491284345</v>
      </c>
      <c r="K1782" s="75">
        <f>'THAM_SO_MOI'!$C$31*J1782/E1782</f>
        <v>422.05500940471137</v>
      </c>
      <c r="L1782" s="75">
        <f>K1782*'THAM_SO_MOI'!$C$51*'THAM_SO_MOI'!$C$17/'THAM_SO_MOI'!$C$26</f>
        <v>9436.816816115783</v>
      </c>
      <c r="M1782" s="75">
        <f>'THAM_SO_MOI'!$C$15*'THAM_SO_MOI'!$C$16*F1782^2</f>
        <v>143.37682964698993</v>
      </c>
      <c r="N1782" s="75">
        <f>'THAM_SO_MOI'!$C$12*I1782</f>
        <v>1130.112</v>
      </c>
      <c r="O1782" s="75">
        <f>M1782+N1782</f>
        <v>1273.48882964699</v>
      </c>
      <c r="P1782" s="75">
        <f>(MIN(L1782,'THAM_SO_MOI'!$C$41)-O1782)/('THAM_SO_MOI'!$C$11*H1782)</f>
        <v>0.77304242296106</v>
      </c>
      <c r="Q1782" s="75">
        <f>IF(P1782&gt;0,1/P1782,NA())</f>
        <v>1.2935900673725023</v>
      </c>
      <c r="R1782" s="75">
        <f>F1782-F1781</f>
        <v>0.005028991339517397</v>
      </c>
      <c r="S1782" s="75">
        <f>0.5*(Q1781+Q1782)*R1782</f>
        <v>0.00650581740229175</v>
      </c>
      <c r="T1782" s="75">
        <f>0.5*(F1781*Q1781+F1782*Q1782)*R1782</f>
        <v>0.04553259559746326</v>
      </c>
      <c r="U1782" s="76">
        <f>U1781+S1782</f>
        <v>8.646139719180908</v>
      </c>
      <c r="V1782" s="76">
        <f>V1781+T1782</f>
        <v>38.131805598647254</v>
      </c>
    </row>
    <row r="1783" spans="1:22" ht="19" customHeight="1">
      <c r="A1783" s="68" t="s">
        <v>374</v>
      </c>
      <c r="B1783" s="74">
        <v>3</v>
      </c>
      <c r="C1783" s="68" t="s">
        <v>363</v>
      </c>
      <c r="D1783" s="68" t="s">
        <v>364</v>
      </c>
      <c r="E1783" s="75">
        <f>60*F1783*'THAM_SO_MOI'!$C$51/(2*PI()*'THAM_SO_MOI'!$C$26)</f>
        <v>1759.9377778553694</v>
      </c>
      <c r="F1783" s="75">
        <f>'HANH_TRINH'!$F$1647+('THAM_SO_MOI'!$F$51-'HANH_TRINH'!$F$1647)*135/'THAM_SO_MOI'!$C$42</f>
        <v>7.006294558180448</v>
      </c>
      <c r="G1783" s="75">
        <f>3.6*F1783</f>
        <v>25.222660409449613</v>
      </c>
      <c r="H1783" s="75">
        <f>'THAM_SO_MOI'!$D$51</f>
        <v>1.375</v>
      </c>
      <c r="I1783" s="75">
        <f>IF(F1783&gt;'THAM_SO_MOI'!$C$14,'THAM_SO_MOI'!$C$13*(1+F1783^2/1500),'THAM_SO_MOI'!$C$13)</f>
        <v>0.015</v>
      </c>
      <c r="J1783" s="75">
        <f>'THAM_SO_MOI'!$C$40*('THAM_SO_MOI'!$C$23*(E1783/'THAM_SO_MOI'!$C$22)+'THAM_SO_MOI'!$C$24*(E1783/'THAM_SO_MOI'!$C$22)^2-'THAM_SO_MOI'!$C$25*(E1783/'THAM_SO_MOI'!$C$22)^3)</f>
        <v>77.77937037475498</v>
      </c>
      <c r="K1783" s="75">
        <f>'THAM_SO_MOI'!$C$31*J1783/E1783</f>
        <v>422.10493316545</v>
      </c>
      <c r="L1783" s="75">
        <f>K1783*'THAM_SO_MOI'!$C$51*'THAM_SO_MOI'!$C$17/'THAM_SO_MOI'!$C$26</f>
        <v>9437.93307199325</v>
      </c>
      <c r="M1783" s="75">
        <f>'THAM_SO_MOI'!$C$15*'THAM_SO_MOI'!$C$16*F1783^2</f>
        <v>143.5828780502677</v>
      </c>
      <c r="N1783" s="75">
        <f>'THAM_SO_MOI'!$C$12*I1783</f>
        <v>1130.112</v>
      </c>
      <c r="O1783" s="75">
        <f>M1783+N1783</f>
        <v>1273.6948780502678</v>
      </c>
      <c r="P1783" s="75">
        <f>(MIN(L1783,'THAM_SO_MOI'!$C$41)-O1783)/('THAM_SO_MOI'!$C$11*H1783)</f>
        <v>0.7731286168506613</v>
      </c>
      <c r="Q1783" s="75">
        <f>IF(P1783&gt;0,1/P1783,NA())</f>
        <v>1.293445848730188</v>
      </c>
      <c r="R1783" s="75">
        <f>F1783-F1782</f>
        <v>0.005028991339518285</v>
      </c>
      <c r="S1783" s="75">
        <f>0.5*(Q1782+Q1783)*R1783</f>
        <v>0.006505090608551591</v>
      </c>
      <c r="T1783" s="75">
        <f>0.5*(F1782*Q1782+F1783*Q1783)*R1783</f>
        <v>0.04556022299714962</v>
      </c>
      <c r="U1783" s="76">
        <f>U1782+S1783</f>
        <v>8.65264480978946</v>
      </c>
      <c r="V1783" s="76">
        <f>V1782+T1783</f>
        <v>38.1773658216444</v>
      </c>
    </row>
    <row r="1784" spans="1:22" ht="19" customHeight="1">
      <c r="A1784" s="68" t="s">
        <v>374</v>
      </c>
      <c r="B1784" s="74">
        <v>3</v>
      </c>
      <c r="C1784" s="68" t="s">
        <v>363</v>
      </c>
      <c r="D1784" s="68" t="s">
        <v>364</v>
      </c>
      <c r="E1784" s="75">
        <f>60*F1784*'THAM_SO_MOI'!$C$51/(2*PI()*'THAM_SO_MOI'!$C$26)</f>
        <v>1761.2010293172407</v>
      </c>
      <c r="F1784" s="75">
        <f>'HANH_TRINH'!$F$1647+('THAM_SO_MOI'!$F$51-'HANH_TRINH'!$F$1647)*136/'THAM_SO_MOI'!$C$42</f>
        <v>7.0113235495199655</v>
      </c>
      <c r="G1784" s="75">
        <f>3.6*F1784</f>
        <v>25.240764778271878</v>
      </c>
      <c r="H1784" s="75">
        <f>'THAM_SO_MOI'!$D$51</f>
        <v>1.375</v>
      </c>
      <c r="I1784" s="75">
        <f>IF(F1784&gt;'THAM_SO_MOI'!$C$14,'THAM_SO_MOI'!$C$13*(1+F1784^2/1500),'THAM_SO_MOI'!$C$13)</f>
        <v>0.015</v>
      </c>
      <c r="J1784" s="75">
        <f>'THAM_SO_MOI'!$C$40*('THAM_SO_MOI'!$C$23*(E1784/'THAM_SO_MOI'!$C$22)+'THAM_SO_MOI'!$C$24*(E1784/'THAM_SO_MOI'!$C$22)^2-'THAM_SO_MOI'!$C$25*(E1784/'THAM_SO_MOI'!$C$22)^3)</f>
        <v>77.84437627927616</v>
      </c>
      <c r="K1784" s="75">
        <f>'THAM_SO_MOI'!$C$31*J1784/E1784</f>
        <v>422.15470210935797</v>
      </c>
      <c r="L1784" s="75">
        <f>K1784*'THAM_SO_MOI'!$C$51*'THAM_SO_MOI'!$C$17/'THAM_SO_MOI'!$C$26</f>
        <v>9439.045866288603</v>
      </c>
      <c r="M1784" s="75">
        <f>'THAM_SO_MOI'!$C$15*'THAM_SO_MOI'!$C$16*F1784^2</f>
        <v>143.78907440445576</v>
      </c>
      <c r="N1784" s="75">
        <f>'THAM_SO_MOI'!$C$12*I1784</f>
        <v>1130.112</v>
      </c>
      <c r="O1784" s="75">
        <f>M1784+N1784</f>
        <v>1273.9010744044558</v>
      </c>
      <c r="P1784" s="75">
        <f>(MIN(L1784,'THAM_SO_MOI'!$C$41)-O1784)/('THAM_SO_MOI'!$C$11*H1784)</f>
        <v>0.7732144689284229</v>
      </c>
      <c r="Q1784" s="75">
        <f>IF(P1784&gt;0,1/P1784,NA())</f>
        <v>1.293302233966047</v>
      </c>
      <c r="R1784" s="75">
        <f>F1784-F1783</f>
        <v>0.005028991339517397</v>
      </c>
      <c r="S1784" s="75">
        <f>0.5*(Q1783+Q1784)*R1784</f>
        <v>0.006504366852696298</v>
      </c>
      <c r="T1784" s="75">
        <f>0.5*(F1783*Q1783+F1784*Q1784)*R1784</f>
        <v>0.045587864378709576</v>
      </c>
      <c r="U1784" s="76">
        <f>U1783+S1784</f>
        <v>8.659149176642158</v>
      </c>
      <c r="V1784" s="76">
        <f>V1783+T1784</f>
        <v>38.22295368602311</v>
      </c>
    </row>
    <row r="1785" spans="1:22" ht="19" customHeight="1">
      <c r="A1785" s="68" t="s">
        <v>374</v>
      </c>
      <c r="B1785" s="74">
        <v>3</v>
      </c>
      <c r="C1785" s="68" t="s">
        <v>363</v>
      </c>
      <c r="D1785" s="68" t="s">
        <v>364</v>
      </c>
      <c r="E1785" s="75">
        <f>60*F1785*'THAM_SO_MOI'!$C$51/(2*PI()*'THAM_SO_MOI'!$C$26)</f>
        <v>1762.4642807791124</v>
      </c>
      <c r="F1785" s="75">
        <f>'HANH_TRINH'!$F$1647+('THAM_SO_MOI'!$F$51-'HANH_TRINH'!$F$1647)*137/'THAM_SO_MOI'!$C$42</f>
        <v>7.016352540859483</v>
      </c>
      <c r="G1785" s="75">
        <f>3.6*F1785</f>
        <v>25.25886914709414</v>
      </c>
      <c r="H1785" s="75">
        <f>'THAM_SO_MOI'!$D$51</f>
        <v>1.375</v>
      </c>
      <c r="I1785" s="75">
        <f>IF(F1785&gt;'THAM_SO_MOI'!$C$14,'THAM_SO_MOI'!$C$13*(1+F1785^2/1500),'THAM_SO_MOI'!$C$13)</f>
        <v>0.015</v>
      </c>
      <c r="J1785" s="75">
        <f>'THAM_SO_MOI'!$C$40*('THAM_SO_MOI'!$C$23*(E1785/'THAM_SO_MOI'!$C$22)+'THAM_SO_MOI'!$C$24*(E1785/'THAM_SO_MOI'!$C$22)^2-'THAM_SO_MOI'!$C$25*(E1785/'THAM_SO_MOI'!$C$22)^3)</f>
        <v>77.90936678056882</v>
      </c>
      <c r="K1785" s="75">
        <f>'THAM_SO_MOI'!$C$31*J1785/E1785</f>
        <v>422.2043162364356</v>
      </c>
      <c r="L1785" s="75">
        <f>K1785*'THAM_SO_MOI'!$C$51*'THAM_SO_MOI'!$C$17/'THAM_SO_MOI'!$C$26</f>
        <v>9440.155199001852</v>
      </c>
      <c r="M1785" s="75">
        <f>'THAM_SO_MOI'!$C$15*'THAM_SO_MOI'!$C$16*F1785^2</f>
        <v>143.99541870955406</v>
      </c>
      <c r="N1785" s="75">
        <f>'THAM_SO_MOI'!$C$12*I1785</f>
        <v>1130.112</v>
      </c>
      <c r="O1785" s="75">
        <f>M1785+N1785</f>
        <v>1274.1074187095542</v>
      </c>
      <c r="P1785" s="75">
        <f>(MIN(L1785,'THAM_SO_MOI'!$C$41)-O1785)/('THAM_SO_MOI'!$C$11*H1785)</f>
        <v>0.7732999791943465</v>
      </c>
      <c r="Q1785" s="75">
        <f>IF(P1785&gt;0,1/P1785,NA())</f>
        <v>1.2931592226885074</v>
      </c>
      <c r="R1785" s="75">
        <f>F1785-F1784</f>
        <v>0.005028991339517397</v>
      </c>
      <c r="S1785" s="75">
        <f>0.5*(Q1784+Q1785)*R1785</f>
        <v>0.006503646132755652</v>
      </c>
      <c r="T1785" s="75">
        <f>0.5*(F1784*Q1784+F1785*Q1785)*R1785</f>
        <v>0.045615519774156864</v>
      </c>
      <c r="U1785" s="76">
        <f>U1784+S1785</f>
        <v>8.665652822774913</v>
      </c>
      <c r="V1785" s="76">
        <f>V1784+T1785</f>
        <v>38.26856920579727</v>
      </c>
    </row>
    <row r="1786" spans="1:22" ht="19" customHeight="1">
      <c r="A1786" s="68" t="s">
        <v>374</v>
      </c>
      <c r="B1786" s="74">
        <v>3</v>
      </c>
      <c r="C1786" s="68" t="s">
        <v>363</v>
      </c>
      <c r="D1786" s="68" t="s">
        <v>364</v>
      </c>
      <c r="E1786" s="75">
        <f>60*F1786*'THAM_SO_MOI'!$C$51/(2*PI()*'THAM_SO_MOI'!$C$26)</f>
        <v>1763.7275322409841</v>
      </c>
      <c r="F1786" s="75">
        <f>'HANH_TRINH'!$F$1647+('THAM_SO_MOI'!$F$51-'HANH_TRINH'!$F$1647)*138/'THAM_SO_MOI'!$C$42</f>
        <v>7.021381532199001</v>
      </c>
      <c r="G1786" s="75">
        <f>3.6*F1786</f>
        <v>25.276973515916406</v>
      </c>
      <c r="H1786" s="75">
        <f>'THAM_SO_MOI'!$D$51</f>
        <v>1.375</v>
      </c>
      <c r="I1786" s="75">
        <f>IF(F1786&gt;'THAM_SO_MOI'!$C$14,'THAM_SO_MOI'!$C$13*(1+F1786^2/1500),'THAM_SO_MOI'!$C$13)</f>
        <v>0.015</v>
      </c>
      <c r="J1786" s="75">
        <f>'THAM_SO_MOI'!$C$40*('THAM_SO_MOI'!$C$23*(E1786/'THAM_SO_MOI'!$C$22)+'THAM_SO_MOI'!$C$24*(E1786/'THAM_SO_MOI'!$C$22)^2-'THAM_SO_MOI'!$C$25*(E1786/'THAM_SO_MOI'!$C$22)^3)</f>
        <v>77.97434181720354</v>
      </c>
      <c r="K1786" s="75">
        <f>'THAM_SO_MOI'!$C$31*J1786/E1786</f>
        <v>422.25377554668273</v>
      </c>
      <c r="L1786" s="75">
        <f>K1786*'THAM_SO_MOI'!$C$51*'THAM_SO_MOI'!$C$17/'THAM_SO_MOI'!$C$26</f>
        <v>9441.261070132992</v>
      </c>
      <c r="M1786" s="75">
        <f>'THAM_SO_MOI'!$C$15*'THAM_SO_MOI'!$C$16*F1786^2</f>
        <v>144.20191096556272</v>
      </c>
      <c r="N1786" s="75">
        <f>'THAM_SO_MOI'!$C$12*I1786</f>
        <v>1130.112</v>
      </c>
      <c r="O1786" s="75">
        <f>M1786+N1786</f>
        <v>1274.3139109655629</v>
      </c>
      <c r="P1786" s="75">
        <f>(MIN(L1786,'THAM_SO_MOI'!$C$41)-O1786)/('THAM_SO_MOI'!$C$11*H1786)</f>
        <v>0.7733851476484308</v>
      </c>
      <c r="Q1786" s="75">
        <f>IF(P1786&gt;0,1/P1786,NA())</f>
        <v>1.293016814507776</v>
      </c>
      <c r="R1786" s="75">
        <f>F1786-F1785</f>
        <v>0.005028991339518285</v>
      </c>
      <c r="S1786" s="75">
        <f>0.5*(Q1785+Q1786)*R1786</f>
        <v>0.006502928446764914</v>
      </c>
      <c r="T1786" s="75">
        <f>0.5*(F1785*Q1785+F1786*Q1786)*R1786</f>
        <v>0.045643189215504</v>
      </c>
      <c r="U1786" s="76">
        <f>U1785+S1786</f>
        <v>8.672155751221677</v>
      </c>
      <c r="V1786" s="76">
        <f>V1785+T1786</f>
        <v>38.314212395012774</v>
      </c>
    </row>
    <row r="1787" spans="1:22" ht="19" customHeight="1">
      <c r="A1787" s="68" t="s">
        <v>374</v>
      </c>
      <c r="B1787" s="74">
        <v>3</v>
      </c>
      <c r="C1787" s="68" t="s">
        <v>363</v>
      </c>
      <c r="D1787" s="68" t="s">
        <v>364</v>
      </c>
      <c r="E1787" s="75">
        <f>60*F1787*'THAM_SO_MOI'!$C$51/(2*PI()*'THAM_SO_MOI'!$C$26)</f>
        <v>1764.9907837028559</v>
      </c>
      <c r="F1787" s="75">
        <f>'HANH_TRINH'!$F$1647+('THAM_SO_MOI'!$F$51-'HANH_TRINH'!$F$1647)*139/'THAM_SO_MOI'!$C$42</f>
        <v>7.026410523538519</v>
      </c>
      <c r="G1787" s="75">
        <f>3.6*F1787</f>
        <v>25.295077884738667</v>
      </c>
      <c r="H1787" s="75">
        <f>'THAM_SO_MOI'!$D$51</f>
        <v>1.375</v>
      </c>
      <c r="I1787" s="75">
        <f>IF(F1787&gt;'THAM_SO_MOI'!$C$14,'THAM_SO_MOI'!$C$13*(1+F1787^2/1500),'THAM_SO_MOI'!$C$13)</f>
        <v>0.015</v>
      </c>
      <c r="J1787" s="75">
        <f>'THAM_SO_MOI'!$C$40*('THAM_SO_MOI'!$C$23*(E1787/'THAM_SO_MOI'!$C$22)+'THAM_SO_MOI'!$C$24*(E1787/'THAM_SO_MOI'!$C$22)^2-'THAM_SO_MOI'!$C$25*(E1787/'THAM_SO_MOI'!$C$22)^3)</f>
        <v>78.03930132775093</v>
      </c>
      <c r="K1787" s="75">
        <f>'THAM_SO_MOI'!$C$31*J1787/E1787</f>
        <v>422.3030800400992</v>
      </c>
      <c r="L1787" s="75">
        <f>K1787*'THAM_SO_MOI'!$C$51*'THAM_SO_MOI'!$C$17/'THAM_SO_MOI'!$C$26</f>
        <v>9442.363479682019</v>
      </c>
      <c r="M1787" s="75">
        <f>'THAM_SO_MOI'!$C$15*'THAM_SO_MOI'!$C$16*F1787^2</f>
        <v>144.40855117248157</v>
      </c>
      <c r="N1787" s="75">
        <f>'THAM_SO_MOI'!$C$12*I1787</f>
        <v>1130.112</v>
      </c>
      <c r="O1787" s="75">
        <f>M1787+N1787</f>
        <v>1274.5205511724816</v>
      </c>
      <c r="P1787" s="75">
        <f>(MIN(L1787,'THAM_SO_MOI'!$C$41)-O1787)/('THAM_SO_MOI'!$C$11*H1787)</f>
        <v>0.773469974290676</v>
      </c>
      <c r="Q1787" s="75">
        <f>IF(P1787&gt;0,1/P1787,NA())</f>
        <v>1.2928750090358287</v>
      </c>
      <c r="R1787" s="75">
        <f>F1787-F1786</f>
        <v>0.005028991339517397</v>
      </c>
      <c r="S1787" s="75">
        <f>0.5*(Q1786+Q1787)*R1787</f>
        <v>0.006502213792764819</v>
      </c>
      <c r="T1787" s="75">
        <f>0.5*(F1786*Q1786+F1787*Q1787)*R1787</f>
        <v>0.04567087273476245</v>
      </c>
      <c r="U1787" s="76">
        <f>U1786+S1787</f>
        <v>8.678657965014441</v>
      </c>
      <c r="V1787" s="76">
        <f>V1786+T1787</f>
        <v>38.359883267747534</v>
      </c>
    </row>
    <row r="1788" spans="1:22" ht="19" customHeight="1">
      <c r="A1788" s="68" t="s">
        <v>374</v>
      </c>
      <c r="B1788" s="74">
        <v>3</v>
      </c>
      <c r="C1788" s="68" t="s">
        <v>363</v>
      </c>
      <c r="D1788" s="68" t="s">
        <v>364</v>
      </c>
      <c r="E1788" s="75">
        <f>60*F1788*'THAM_SO_MOI'!$C$51/(2*PI()*'THAM_SO_MOI'!$C$26)</f>
        <v>1766.2540351647274</v>
      </c>
      <c r="F1788" s="75">
        <f>'HANH_TRINH'!$F$1647+('THAM_SO_MOI'!$F$51-'HANH_TRINH'!$F$1647)*140/'THAM_SO_MOI'!$C$42</f>
        <v>7.031439514878036</v>
      </c>
      <c r="G1788" s="75">
        <f>3.6*F1788</f>
        <v>25.31318225356093</v>
      </c>
      <c r="H1788" s="75">
        <f>'THAM_SO_MOI'!$D$51</f>
        <v>1.375</v>
      </c>
      <c r="I1788" s="75">
        <f>IF(F1788&gt;'THAM_SO_MOI'!$C$14,'THAM_SO_MOI'!$C$13*(1+F1788^2/1500),'THAM_SO_MOI'!$C$13)</f>
        <v>0.015</v>
      </c>
      <c r="J1788" s="75">
        <f>'THAM_SO_MOI'!$C$40*('THAM_SO_MOI'!$C$23*(E1788/'THAM_SO_MOI'!$C$22)+'THAM_SO_MOI'!$C$24*(E1788/'THAM_SO_MOI'!$C$22)^2-'THAM_SO_MOI'!$C$25*(E1788/'THAM_SO_MOI'!$C$22)^3)</f>
        <v>78.10424525078174</v>
      </c>
      <c r="K1788" s="75">
        <f>'THAM_SO_MOI'!$C$31*J1788/E1788</f>
        <v>422.35222971668543</v>
      </c>
      <c r="L1788" s="75">
        <f>K1788*'THAM_SO_MOI'!$C$51*'THAM_SO_MOI'!$C$17/'THAM_SO_MOI'!$C$26</f>
        <v>9443.462427648943</v>
      </c>
      <c r="M1788" s="75">
        <f>'THAM_SO_MOI'!$C$15*'THAM_SO_MOI'!$C$16*F1788^2</f>
        <v>144.61533933031072</v>
      </c>
      <c r="N1788" s="75">
        <f>'THAM_SO_MOI'!$C$12*I1788</f>
        <v>1130.112</v>
      </c>
      <c r="O1788" s="75">
        <f>M1788+N1788</f>
        <v>1274.7273393303108</v>
      </c>
      <c r="P1788" s="75">
        <f>(MIN(L1788,'THAM_SO_MOI'!$C$41)-O1788)/('THAM_SO_MOI'!$C$11*H1788)</f>
        <v>0.7735544591210827</v>
      </c>
      <c r="Q1788" s="75">
        <f>IF(P1788&gt;0,1/P1788,NA())</f>
        <v>1.2927338058864093</v>
      </c>
      <c r="R1788" s="75">
        <f>F1788-F1787</f>
        <v>0.005028991339517397</v>
      </c>
      <c r="S1788" s="75">
        <f>0.5*(Q1787+Q1788)*R1788</f>
        <v>0.0065015021688118865</v>
      </c>
      <c r="T1788" s="75">
        <f>0.5*(F1787*Q1787+F1788*Q1788)*R1788</f>
        <v>0.04569857036401523</v>
      </c>
      <c r="U1788" s="76">
        <f>U1787+S1788</f>
        <v>8.685159467183253</v>
      </c>
      <c r="V1788" s="76">
        <f>V1787+T1788</f>
        <v>38.40558183811155</v>
      </c>
    </row>
    <row r="1789" spans="1:22" ht="19" customHeight="1">
      <c r="A1789" s="68" t="s">
        <v>374</v>
      </c>
      <c r="B1789" s="74">
        <v>3</v>
      </c>
      <c r="C1789" s="68" t="s">
        <v>363</v>
      </c>
      <c r="D1789" s="68" t="s">
        <v>364</v>
      </c>
      <c r="E1789" s="75">
        <f>60*F1789*'THAM_SO_MOI'!$C$51/(2*PI()*'THAM_SO_MOI'!$C$26)</f>
        <v>1767.5172866265991</v>
      </c>
      <c r="F1789" s="75">
        <f>'HANH_TRINH'!$F$1647+('THAM_SO_MOI'!$F$51-'HANH_TRINH'!$F$1647)*141/'THAM_SO_MOI'!$C$42</f>
        <v>7.036468506217554</v>
      </c>
      <c r="G1789" s="75">
        <f>3.6*F1789</f>
        <v>25.331286622383196</v>
      </c>
      <c r="H1789" s="75">
        <f>'THAM_SO_MOI'!$D$51</f>
        <v>1.375</v>
      </c>
      <c r="I1789" s="75">
        <f>IF(F1789&gt;'THAM_SO_MOI'!$C$14,'THAM_SO_MOI'!$C$13*(1+F1789^2/1500),'THAM_SO_MOI'!$C$13)</f>
        <v>0.015</v>
      </c>
      <c r="J1789" s="75">
        <f>'THAM_SO_MOI'!$C$40*('THAM_SO_MOI'!$C$23*(E1789/'THAM_SO_MOI'!$C$22)+'THAM_SO_MOI'!$C$24*(E1789/'THAM_SO_MOI'!$C$22)^2-'THAM_SO_MOI'!$C$25*(E1789/'THAM_SO_MOI'!$C$22)^3)</f>
        <v>78.16917352486654</v>
      </c>
      <c r="K1789" s="75">
        <f>'THAM_SO_MOI'!$C$31*J1789/E1789</f>
        <v>422.40122457644094</v>
      </c>
      <c r="L1789" s="75">
        <f>K1789*'THAM_SO_MOI'!$C$51*'THAM_SO_MOI'!$C$17/'THAM_SO_MOI'!$C$26</f>
        <v>9444.557914033752</v>
      </c>
      <c r="M1789" s="75">
        <f>'THAM_SO_MOI'!$C$15*'THAM_SO_MOI'!$C$16*F1789^2</f>
        <v>144.82227543905014</v>
      </c>
      <c r="N1789" s="75">
        <f>'THAM_SO_MOI'!$C$12*I1789</f>
        <v>1130.112</v>
      </c>
      <c r="O1789" s="75">
        <f>M1789+N1789</f>
        <v>1274.9342754390502</v>
      </c>
      <c r="P1789" s="75">
        <f>(MIN(L1789,'THAM_SO_MOI'!$C$41)-O1789)/('THAM_SO_MOI'!$C$11*H1789)</f>
        <v>0.7736386021396499</v>
      </c>
      <c r="Q1789" s="75">
        <f>IF(P1789&gt;0,1/P1789,NA())</f>
        <v>1.2925932046750293</v>
      </c>
      <c r="R1789" s="75">
        <f>F1789-F1788</f>
        <v>0.005028991339518285</v>
      </c>
      <c r="S1789" s="75">
        <f>0.5*(Q1788+Q1789)*R1789</f>
        <v>0.006500793572968086</v>
      </c>
      <c r="T1789" s="75">
        <f>0.5*(F1788*Q1788+F1789*Q1789)*R1789</f>
        <v>0.04572628213534454</v>
      </c>
      <c r="U1789" s="76">
        <f>U1788+S1789</f>
        <v>8.69166026075622</v>
      </c>
      <c r="V1789" s="76">
        <f>V1788+T1789</f>
        <v>38.45130812024689</v>
      </c>
    </row>
    <row r="1790" spans="1:22" ht="19" customHeight="1">
      <c r="A1790" s="68" t="s">
        <v>374</v>
      </c>
      <c r="B1790" s="74">
        <v>3</v>
      </c>
      <c r="C1790" s="68" t="s">
        <v>363</v>
      </c>
      <c r="D1790" s="68" t="s">
        <v>364</v>
      </c>
      <c r="E1790" s="75">
        <f>60*F1790*'THAM_SO_MOI'!$C$51/(2*PI()*'THAM_SO_MOI'!$C$26)</f>
        <v>1768.7805380884708</v>
      </c>
      <c r="F1790" s="75">
        <f>'HANH_TRINH'!$F$1647+('THAM_SO_MOI'!$F$51-'HANH_TRINH'!$F$1647)*142/'THAM_SO_MOI'!$C$42</f>
        <v>7.041497497557072</v>
      </c>
      <c r="G1790" s="75">
        <f>3.6*F1790</f>
        <v>25.349390991205457</v>
      </c>
      <c r="H1790" s="75">
        <f>'THAM_SO_MOI'!$D$51</f>
        <v>1.375</v>
      </c>
      <c r="I1790" s="75">
        <f>IF(F1790&gt;'THAM_SO_MOI'!$C$14,'THAM_SO_MOI'!$C$13*(1+F1790^2/1500),'THAM_SO_MOI'!$C$13)</f>
        <v>0.015</v>
      </c>
      <c r="J1790" s="75">
        <f>'THAM_SO_MOI'!$C$40*('THAM_SO_MOI'!$C$23*(E1790/'THAM_SO_MOI'!$C$22)+'THAM_SO_MOI'!$C$24*(E1790/'THAM_SO_MOI'!$C$22)^2-'THAM_SO_MOI'!$C$25*(E1790/'THAM_SO_MOI'!$C$22)^3)</f>
        <v>78.23408608857603</v>
      </c>
      <c r="K1790" s="75">
        <f>'THAM_SO_MOI'!$C$31*J1790/E1790</f>
        <v>422.4500646193662</v>
      </c>
      <c r="L1790" s="75">
        <f>K1790*'THAM_SO_MOI'!$C$51*'THAM_SO_MOI'!$C$17/'THAM_SO_MOI'!$C$26</f>
        <v>9445.649938836461</v>
      </c>
      <c r="M1790" s="75">
        <f>'THAM_SO_MOI'!$C$15*'THAM_SO_MOI'!$C$16*F1790^2</f>
        <v>145.02935949869985</v>
      </c>
      <c r="N1790" s="75">
        <f>'THAM_SO_MOI'!$C$12*I1790</f>
        <v>1130.112</v>
      </c>
      <c r="O1790" s="75">
        <f>M1790+N1790</f>
        <v>1275.1413594987</v>
      </c>
      <c r="P1790" s="75">
        <f>(MIN(L1790,'THAM_SO_MOI'!$C$41)-O1790)/('THAM_SO_MOI'!$C$11*H1790)</f>
        <v>0.7737224033463789</v>
      </c>
      <c r="Q1790" s="75">
        <f>IF(P1790&gt;0,1/P1790,NA())</f>
        <v>1.29245320501896</v>
      </c>
      <c r="R1790" s="75">
        <f>F1790-F1789</f>
        <v>0.005028991339517397</v>
      </c>
      <c r="S1790" s="75">
        <f>0.5*(Q1789+Q1790)*R1790</f>
        <v>0.006500088003300806</v>
      </c>
      <c r="T1790" s="75">
        <f>0.5*(F1789*Q1789+F1790*Q1790)*R1790</f>
        <v>0.0457540080808318</v>
      </c>
      <c r="U1790" s="76">
        <f>U1789+S1790</f>
        <v>8.698160348759522</v>
      </c>
      <c r="V1790" s="76">
        <f>V1789+T1790</f>
        <v>38.49706212832773</v>
      </c>
    </row>
    <row r="1791" spans="1:22" ht="19" customHeight="1">
      <c r="A1791" s="68" t="s">
        <v>374</v>
      </c>
      <c r="B1791" s="74">
        <v>3</v>
      </c>
      <c r="C1791" s="68" t="s">
        <v>363</v>
      </c>
      <c r="D1791" s="68" t="s">
        <v>364</v>
      </c>
      <c r="E1791" s="75">
        <f>60*F1791*'THAM_SO_MOI'!$C$51/(2*PI()*'THAM_SO_MOI'!$C$26)</f>
        <v>1770.0437895503421</v>
      </c>
      <c r="F1791" s="75">
        <f>'HANH_TRINH'!$F$1647+('THAM_SO_MOI'!$F$51-'HANH_TRINH'!$F$1647)*143/'THAM_SO_MOI'!$C$42</f>
        <v>7.046526488896589</v>
      </c>
      <c r="G1791" s="75">
        <f>3.6*F1791</f>
        <v>25.36749536002772</v>
      </c>
      <c r="H1791" s="75">
        <f>'THAM_SO_MOI'!$D$51</f>
        <v>1.375</v>
      </c>
      <c r="I1791" s="75">
        <f>IF(F1791&gt;'THAM_SO_MOI'!$C$14,'THAM_SO_MOI'!$C$13*(1+F1791^2/1500),'THAM_SO_MOI'!$C$13)</f>
        <v>0.015</v>
      </c>
      <c r="J1791" s="75">
        <f>'THAM_SO_MOI'!$C$40*('THAM_SO_MOI'!$C$23*(E1791/'THAM_SO_MOI'!$C$22)+'THAM_SO_MOI'!$C$24*(E1791/'THAM_SO_MOI'!$C$22)^2-'THAM_SO_MOI'!$C$25*(E1791/'THAM_SO_MOI'!$C$22)^3)</f>
        <v>78.29898288048076</v>
      </c>
      <c r="K1791" s="75">
        <f>'THAM_SO_MOI'!$C$31*J1791/E1791</f>
        <v>422.4987498454605</v>
      </c>
      <c r="L1791" s="75">
        <f>K1791*'THAM_SO_MOI'!$C$51*'THAM_SO_MOI'!$C$17/'THAM_SO_MOI'!$C$26</f>
        <v>9446.73850205705</v>
      </c>
      <c r="M1791" s="75">
        <f>'THAM_SO_MOI'!$C$15*'THAM_SO_MOI'!$C$16*F1791^2</f>
        <v>145.23659150925977</v>
      </c>
      <c r="N1791" s="75">
        <f>'THAM_SO_MOI'!$C$12*I1791</f>
        <v>1130.112</v>
      </c>
      <c r="O1791" s="75">
        <f>M1791+N1791</f>
        <v>1275.34859150926</v>
      </c>
      <c r="P1791" s="75">
        <f>(MIN(L1791,'THAM_SO_MOI'!$C$41)-O1791)/('THAM_SO_MOI'!$C$11*H1791)</f>
        <v>0.773805862741268</v>
      </c>
      <c r="Q1791" s="75">
        <f>IF(P1791&gt;0,1/P1791,NA())</f>
        <v>1.2923138065372386</v>
      </c>
      <c r="R1791" s="75">
        <f>F1791-F1790</f>
        <v>0.005028991339517397</v>
      </c>
      <c r="S1791" s="75">
        <f>0.5*(Q1790+Q1791)*R1791</f>
        <v>0.006499385457893194</v>
      </c>
      <c r="T1791" s="75">
        <f>0.5*(F1790*Q1790+F1791*Q1791)*R1791</f>
        <v>0.04578174823263053</v>
      </c>
      <c r="U1791" s="76">
        <f>U1790+S1791</f>
        <v>8.704659734217415</v>
      </c>
      <c r="V1791" s="76">
        <f>V1790+T1791</f>
        <v>38.542843876560354</v>
      </c>
    </row>
    <row r="1792" spans="1:22" ht="19" customHeight="1">
      <c r="A1792" s="68" t="s">
        <v>374</v>
      </c>
      <c r="B1792" s="74">
        <v>3</v>
      </c>
      <c r="C1792" s="68" t="s">
        <v>363</v>
      </c>
      <c r="D1792" s="68" t="s">
        <v>364</v>
      </c>
      <c r="E1792" s="75">
        <f>60*F1792*'THAM_SO_MOI'!$C$51/(2*PI()*'THAM_SO_MOI'!$C$26)</f>
        <v>1771.3070410122143</v>
      </c>
      <c r="F1792" s="75">
        <f>'HANH_TRINH'!$F$1647+('THAM_SO_MOI'!$F$51-'HANH_TRINH'!$F$1647)*144/'THAM_SO_MOI'!$C$42</f>
        <v>7.051555480236107</v>
      </c>
      <c r="G1792" s="75">
        <f>3.6*F1792</f>
        <v>25.385599728849986</v>
      </c>
      <c r="H1792" s="75">
        <f>'THAM_SO_MOI'!$D$51</f>
        <v>1.375</v>
      </c>
      <c r="I1792" s="75">
        <f>IF(F1792&gt;'THAM_SO_MOI'!$C$14,'THAM_SO_MOI'!$C$13*(1+F1792^2/1500),'THAM_SO_MOI'!$C$13)</f>
        <v>0.015</v>
      </c>
      <c r="J1792" s="75">
        <f>'THAM_SO_MOI'!$C$40*('THAM_SO_MOI'!$C$23*(E1792/'THAM_SO_MOI'!$C$22)+'THAM_SO_MOI'!$C$24*(E1792/'THAM_SO_MOI'!$C$22)^2-'THAM_SO_MOI'!$C$25*(E1792/'THAM_SO_MOI'!$C$22)^3)</f>
        <v>78.36386383915155</v>
      </c>
      <c r="K1792" s="75">
        <f>'THAM_SO_MOI'!$C$31*J1792/E1792</f>
        <v>422.54728025472457</v>
      </c>
      <c r="L1792" s="75">
        <f>K1792*'THAM_SO_MOI'!$C$51*'THAM_SO_MOI'!$C$17/'THAM_SO_MOI'!$C$26</f>
        <v>9447.823603695535</v>
      </c>
      <c r="M1792" s="75">
        <f>'THAM_SO_MOI'!$C$15*'THAM_SO_MOI'!$C$16*F1792^2</f>
        <v>145.44397147073008</v>
      </c>
      <c r="N1792" s="75">
        <f>'THAM_SO_MOI'!$C$12*I1792</f>
        <v>1130.112</v>
      </c>
      <c r="O1792" s="75">
        <f>M1792+N1792</f>
        <v>1275.5559714707301</v>
      </c>
      <c r="P1792" s="75">
        <f>(MIN(L1792,'THAM_SO_MOI'!$C$41)-O1792)/('THAM_SO_MOI'!$C$11*H1792)</f>
        <v>0.7738889803243186</v>
      </c>
      <c r="Q1792" s="75">
        <f>IF(P1792&gt;0,1/P1792,NA())</f>
        <v>1.292175008850654</v>
      </c>
      <c r="R1792" s="75">
        <f>F1792-F1791</f>
        <v>0.005028991339518285</v>
      </c>
      <c r="S1792" s="75">
        <f>0.5*(Q1791+Q1792)*R1792</f>
        <v>0.006498685934833792</v>
      </c>
      <c r="T1792" s="75">
        <f>0.5*(F1791*Q1791+F1792*Q1792)*R1792</f>
        <v>0.045809502622893745</v>
      </c>
      <c r="U1792" s="76">
        <f>U1791+S1792</f>
        <v>8.711158420152248</v>
      </c>
      <c r="V1792" s="76">
        <f>V1791+T1792</f>
        <v>38.58865337918325</v>
      </c>
    </row>
    <row r="1793" spans="1:22" ht="19" customHeight="1">
      <c r="A1793" s="68" t="s">
        <v>374</v>
      </c>
      <c r="B1793" s="74">
        <v>3</v>
      </c>
      <c r="C1793" s="68" t="s">
        <v>363</v>
      </c>
      <c r="D1793" s="68" t="s">
        <v>364</v>
      </c>
      <c r="E1793" s="75">
        <f>60*F1793*'THAM_SO_MOI'!$C$51/(2*PI()*'THAM_SO_MOI'!$C$26)</f>
        <v>1772.5702924740856</v>
      </c>
      <c r="F1793" s="75">
        <f>'HANH_TRINH'!$F$1647+('THAM_SO_MOI'!$F$51-'HANH_TRINH'!$F$1647)*145/'THAM_SO_MOI'!$C$42</f>
        <v>7.056584471575625</v>
      </c>
      <c r="G1793" s="75">
        <f>3.6*F1793</f>
        <v>25.40370409767225</v>
      </c>
      <c r="H1793" s="75">
        <f>'THAM_SO_MOI'!$D$51</f>
        <v>1.375</v>
      </c>
      <c r="I1793" s="75">
        <f>IF(F1793&gt;'THAM_SO_MOI'!$C$14,'THAM_SO_MOI'!$C$13*(1+F1793^2/1500),'THAM_SO_MOI'!$C$13)</f>
        <v>0.015</v>
      </c>
      <c r="J1793" s="75">
        <f>'THAM_SO_MOI'!$C$40*('THAM_SO_MOI'!$C$23*(E1793/'THAM_SO_MOI'!$C$22)+'THAM_SO_MOI'!$C$24*(E1793/'THAM_SO_MOI'!$C$22)^2-'THAM_SO_MOI'!$C$25*(E1793/'THAM_SO_MOI'!$C$22)^3)</f>
        <v>78.4287289031589</v>
      </c>
      <c r="K1793" s="75">
        <f>'THAM_SO_MOI'!$C$31*J1793/E1793</f>
        <v>422.5956558471582</v>
      </c>
      <c r="L1793" s="75">
        <f>K1793*'THAM_SO_MOI'!$C$51*'THAM_SO_MOI'!$C$17/'THAM_SO_MOI'!$C$26</f>
        <v>9448.905243751913</v>
      </c>
      <c r="M1793" s="75">
        <f>'THAM_SO_MOI'!$C$15*'THAM_SO_MOI'!$C$16*F1793^2</f>
        <v>145.65149938311055</v>
      </c>
      <c r="N1793" s="75">
        <f>'THAM_SO_MOI'!$C$12*I1793</f>
        <v>1130.112</v>
      </c>
      <c r="O1793" s="75">
        <f>M1793+N1793</f>
        <v>1275.7634993831107</v>
      </c>
      <c r="P1793" s="75">
        <f>(MIN(L1793,'THAM_SO_MOI'!$C$41)-O1793)/('THAM_SO_MOI'!$C$11*H1793)</f>
        <v>0.7739717560955306</v>
      </c>
      <c r="Q1793" s="75">
        <f>IF(P1793&gt;0,1/P1793,NA())</f>
        <v>1.2920368115817535</v>
      </c>
      <c r="R1793" s="75">
        <f>F1793-F1792</f>
        <v>0.005028991339517397</v>
      </c>
      <c r="S1793" s="75">
        <f>0.5*(Q1792+Q1793)*R1793</f>
        <v>0.006497989432216532</v>
      </c>
      <c r="T1793" s="75">
        <f>0.5*(F1792*Q1792+F1793*Q1793)*R1793</f>
        <v>0.04583727128377396</v>
      </c>
      <c r="U1793" s="76">
        <f>U1792+S1793</f>
        <v>8.717656409584464</v>
      </c>
      <c r="V1793" s="76">
        <f>V1792+T1793</f>
        <v>38.63449065046702</v>
      </c>
    </row>
    <row r="1794" spans="1:22" ht="19" customHeight="1">
      <c r="A1794" s="68" t="s">
        <v>374</v>
      </c>
      <c r="B1794" s="74">
        <v>3</v>
      </c>
      <c r="C1794" s="68" t="s">
        <v>363</v>
      </c>
      <c r="D1794" s="68" t="s">
        <v>364</v>
      </c>
      <c r="E1794" s="75">
        <f>60*F1794*'THAM_SO_MOI'!$C$51/(2*PI()*'THAM_SO_MOI'!$C$26)</f>
        <v>1773.833543935957</v>
      </c>
      <c r="F1794" s="75">
        <f>'HANH_TRINH'!$F$1647+('THAM_SO_MOI'!$F$51-'HANH_TRINH'!$F$1647)*146/'THAM_SO_MOI'!$C$42</f>
        <v>7.061613462915142</v>
      </c>
      <c r="G1794" s="75">
        <f>3.6*F1794</f>
        <v>25.42180846649451</v>
      </c>
      <c r="H1794" s="75">
        <f>'THAM_SO_MOI'!$D$51</f>
        <v>1.375</v>
      </c>
      <c r="I1794" s="75">
        <f>IF(F1794&gt;'THAM_SO_MOI'!$C$14,'THAM_SO_MOI'!$C$13*(1+F1794^2/1500),'THAM_SO_MOI'!$C$13)</f>
        <v>0.015</v>
      </c>
      <c r="J1794" s="75">
        <f>'THAM_SO_MOI'!$C$40*('THAM_SO_MOI'!$C$23*(E1794/'THAM_SO_MOI'!$C$22)+'THAM_SO_MOI'!$C$24*(E1794/'THAM_SO_MOI'!$C$22)^2-'THAM_SO_MOI'!$C$25*(E1794/'THAM_SO_MOI'!$C$22)^3)</f>
        <v>78.49357801107351</v>
      </c>
      <c r="K1794" s="75">
        <f>'THAM_SO_MOI'!$C$31*J1794/E1794</f>
        <v>422.6438766227611</v>
      </c>
      <c r="L1794" s="75">
        <f>K1794*'THAM_SO_MOI'!$C$51*'THAM_SO_MOI'!$C$17/'THAM_SO_MOI'!$C$26</f>
        <v>9449.98342222618</v>
      </c>
      <c r="M1794" s="75">
        <f>'THAM_SO_MOI'!$C$15*'THAM_SO_MOI'!$C$16*F1794^2</f>
        <v>145.85917524640135</v>
      </c>
      <c r="N1794" s="75">
        <f>'THAM_SO_MOI'!$C$12*I1794</f>
        <v>1130.112</v>
      </c>
      <c r="O1794" s="75">
        <f>M1794+N1794</f>
        <v>1275.9711752464013</v>
      </c>
      <c r="P1794" s="75">
        <f>(MIN(L1794,'THAM_SO_MOI'!$C$41)-O1794)/('THAM_SO_MOI'!$C$11*H1794)</f>
        <v>0.7740541900549032</v>
      </c>
      <c r="Q1794" s="75">
        <f>IF(P1794&gt;0,1/P1794,NA())</f>
        <v>1.2918992143548382</v>
      </c>
      <c r="R1794" s="75">
        <f>F1794-F1793</f>
        <v>0.005028991339517397</v>
      </c>
      <c r="S1794" s="75">
        <f>0.5*(Q1793+Q1794)*R1794</f>
        <v>0.00649729594815106</v>
      </c>
      <c r="T1794" s="75">
        <f>0.5*(F1793*Q1793+F1794*Q1794)*R1794</f>
        <v>0.04586505424749636</v>
      </c>
      <c r="U1794" s="76">
        <f>U1793+S1794</f>
        <v>8.724153705532615</v>
      </c>
      <c r="V1794" s="76">
        <f>V1793+T1794</f>
        <v>38.68035570471452</v>
      </c>
    </row>
    <row r="1795" spans="1:22" ht="19" customHeight="1">
      <c r="A1795" s="68" t="s">
        <v>374</v>
      </c>
      <c r="B1795" s="74">
        <v>3</v>
      </c>
      <c r="C1795" s="68" t="s">
        <v>363</v>
      </c>
      <c r="D1795" s="68" t="s">
        <v>364</v>
      </c>
      <c r="E1795" s="75">
        <f>60*F1795*'THAM_SO_MOI'!$C$51/(2*PI()*'THAM_SO_MOI'!$C$26)</f>
        <v>1775.0967953978288</v>
      </c>
      <c r="F1795" s="75">
        <f>'HANH_TRINH'!$F$1647+('THAM_SO_MOI'!$F$51-'HANH_TRINH'!$F$1647)*147/'THAM_SO_MOI'!$C$42</f>
        <v>7.06664245425466</v>
      </c>
      <c r="G1795" s="75">
        <f>3.6*F1795</f>
        <v>25.43991283531678</v>
      </c>
      <c r="H1795" s="75">
        <f>'THAM_SO_MOI'!$D$51</f>
        <v>1.375</v>
      </c>
      <c r="I1795" s="75">
        <f>IF(F1795&gt;'THAM_SO_MOI'!$C$14,'THAM_SO_MOI'!$C$13*(1+F1795^2/1500),'THAM_SO_MOI'!$C$13)</f>
        <v>0.015</v>
      </c>
      <c r="J1795" s="75">
        <f>'THAM_SO_MOI'!$C$40*('THAM_SO_MOI'!$C$23*(E1795/'THAM_SO_MOI'!$C$22)+'THAM_SO_MOI'!$C$24*(E1795/'THAM_SO_MOI'!$C$22)^2-'THAM_SO_MOI'!$C$25*(E1795/'THAM_SO_MOI'!$C$22)^3)</f>
        <v>78.55841110146608</v>
      </c>
      <c r="K1795" s="75">
        <f>'THAM_SO_MOI'!$C$31*J1795/E1795</f>
        <v>422.69194258153374</v>
      </c>
      <c r="L1795" s="75">
        <f>K1795*'THAM_SO_MOI'!$C$51*'THAM_SO_MOI'!$C$17/'THAM_SO_MOI'!$C$26</f>
        <v>9451.058139118339</v>
      </c>
      <c r="M1795" s="75">
        <f>'THAM_SO_MOI'!$C$15*'THAM_SO_MOI'!$C$16*F1795^2</f>
        <v>146.06699906060243</v>
      </c>
      <c r="N1795" s="75">
        <f>'THAM_SO_MOI'!$C$12*I1795</f>
        <v>1130.112</v>
      </c>
      <c r="O1795" s="75">
        <f>M1795+N1795</f>
        <v>1276.1789990606026</v>
      </c>
      <c r="P1795" s="75">
        <f>(MIN(L1795,'THAM_SO_MOI'!$C$41)-O1795)/('THAM_SO_MOI'!$C$11*H1795)</f>
        <v>0.7741362822024371</v>
      </c>
      <c r="Q1795" s="75">
        <f>IF(P1795&gt;0,1/P1795,NA())</f>
        <v>1.291762216795956</v>
      </c>
      <c r="R1795" s="75">
        <f>F1795-F1794</f>
        <v>0.005028991339518285</v>
      </c>
      <c r="S1795" s="75">
        <f>0.5*(Q1794+Q1795)*R1795</f>
        <v>0.006496605480752381</v>
      </c>
      <c r="T1795" s="75">
        <f>0.5*(F1794*Q1794+F1795*Q1795)*R1795</f>
        <v>0.04589285154628591</v>
      </c>
      <c r="U1795" s="76">
        <f>U1794+S1795</f>
        <v>8.730650311013367</v>
      </c>
      <c r="V1795" s="76">
        <f>V1794+T1795</f>
        <v>38.726248556260806</v>
      </c>
    </row>
    <row r="1796" spans="1:22" ht="19" customHeight="1">
      <c r="A1796" s="68" t="s">
        <v>374</v>
      </c>
      <c r="B1796" s="74">
        <v>3</v>
      </c>
      <c r="C1796" s="68" t="s">
        <v>363</v>
      </c>
      <c r="D1796" s="68" t="s">
        <v>364</v>
      </c>
      <c r="E1796" s="75">
        <f>60*F1796*'THAM_SO_MOI'!$C$51/(2*PI()*'THAM_SO_MOI'!$C$26)</f>
        <v>1776.3600468597006</v>
      </c>
      <c r="F1796" s="75">
        <f>'HANH_TRINH'!$F$1647+('THAM_SO_MOI'!$F$51-'HANH_TRINH'!$F$1647)*148/'THAM_SO_MOI'!$C$42</f>
        <v>7.071671445594178</v>
      </c>
      <c r="G1796" s="75">
        <f>3.6*F1796</f>
        <v>25.45801720413904</v>
      </c>
      <c r="H1796" s="75">
        <f>'THAM_SO_MOI'!$D$51</f>
        <v>1.375</v>
      </c>
      <c r="I1796" s="75">
        <f>IF(F1796&gt;'THAM_SO_MOI'!$C$14,'THAM_SO_MOI'!$C$13*(1+F1796^2/1500),'THAM_SO_MOI'!$C$13)</f>
        <v>0.015</v>
      </c>
      <c r="J1796" s="75">
        <f>'THAM_SO_MOI'!$C$40*('THAM_SO_MOI'!$C$23*(E1796/'THAM_SO_MOI'!$C$22)+'THAM_SO_MOI'!$C$24*(E1796/'THAM_SO_MOI'!$C$22)^2-'THAM_SO_MOI'!$C$25*(E1796/'THAM_SO_MOI'!$C$22)^3)</f>
        <v>78.62322811290721</v>
      </c>
      <c r="K1796" s="75">
        <f>'THAM_SO_MOI'!$C$31*J1796/E1796</f>
        <v>422.73985372347585</v>
      </c>
      <c r="L1796" s="75">
        <f>K1796*'THAM_SO_MOI'!$C$51*'THAM_SO_MOI'!$C$17/'THAM_SO_MOI'!$C$26</f>
        <v>9452.12939442839</v>
      </c>
      <c r="M1796" s="75">
        <f>'THAM_SO_MOI'!$C$15*'THAM_SO_MOI'!$C$16*F1796^2</f>
        <v>146.27497082571375</v>
      </c>
      <c r="N1796" s="75">
        <f>'THAM_SO_MOI'!$C$12*I1796</f>
        <v>1130.112</v>
      </c>
      <c r="O1796" s="75">
        <f>M1796+N1796</f>
        <v>1276.386970825714</v>
      </c>
      <c r="P1796" s="75">
        <f>(MIN(L1796,'THAM_SO_MOI'!$C$41)-O1796)/('THAM_SO_MOI'!$C$11*H1796)</f>
        <v>0.7742180325381322</v>
      </c>
      <c r="Q1796" s="75">
        <f>IF(P1796&gt;0,1/P1796,NA())</f>
        <v>1.2916258185329048</v>
      </c>
      <c r="R1796" s="75">
        <f>F1796-F1795</f>
        <v>0.005028991339517397</v>
      </c>
      <c r="S1796" s="75">
        <f>0.5*(Q1795+Q1796)*R1796</f>
        <v>0.006495918028140852</v>
      </c>
      <c r="T1796" s="75">
        <f>0.5*(F1795*Q1795+F1796*Q1796)*R1796</f>
        <v>0.045920663212367506</v>
      </c>
      <c r="U1796" s="76">
        <f>U1795+S1796</f>
        <v>8.737146229041509</v>
      </c>
      <c r="V1796" s="76">
        <f>V1795+T1796</f>
        <v>38.77216921947318</v>
      </c>
    </row>
    <row r="1797" spans="1:22" ht="19" customHeight="1">
      <c r="A1797" s="68" t="s">
        <v>374</v>
      </c>
      <c r="B1797" s="74">
        <v>3</v>
      </c>
      <c r="C1797" s="68" t="s">
        <v>363</v>
      </c>
      <c r="D1797" s="68" t="s">
        <v>364</v>
      </c>
      <c r="E1797" s="75">
        <f>60*F1797*'THAM_SO_MOI'!$C$51/(2*PI()*'THAM_SO_MOI'!$C$26)</f>
        <v>1777.6232983215723</v>
      </c>
      <c r="F1797" s="75">
        <f>'HANH_TRINH'!$F$1647+('THAM_SO_MOI'!$F$51-'HANH_TRINH'!$F$1647)*149/'THAM_SO_MOI'!$C$42</f>
        <v>7.076700436933695</v>
      </c>
      <c r="G1797" s="75">
        <f>3.6*F1797</f>
        <v>25.476121572961304</v>
      </c>
      <c r="H1797" s="75">
        <f>'THAM_SO_MOI'!$D$51</f>
        <v>1.375</v>
      </c>
      <c r="I1797" s="75">
        <f>IF(F1797&gt;'THAM_SO_MOI'!$C$14,'THAM_SO_MOI'!$C$13*(1+F1797^2/1500),'THAM_SO_MOI'!$C$13)</f>
        <v>0.015</v>
      </c>
      <c r="J1797" s="75">
        <f>'THAM_SO_MOI'!$C$40*('THAM_SO_MOI'!$C$23*(E1797/'THAM_SO_MOI'!$C$22)+'THAM_SO_MOI'!$C$24*(E1797/'THAM_SO_MOI'!$C$22)^2-'THAM_SO_MOI'!$C$25*(E1797/'THAM_SO_MOI'!$C$22)^3)</f>
        <v>78.68802898396751</v>
      </c>
      <c r="K1797" s="75">
        <f>'THAM_SO_MOI'!$C$31*J1797/E1797</f>
        <v>422.7876100485871</v>
      </c>
      <c r="L1797" s="75">
        <f>K1797*'THAM_SO_MOI'!$C$51*'THAM_SO_MOI'!$C$17/'THAM_SO_MOI'!$C$26</f>
        <v>9453.197188156324</v>
      </c>
      <c r="M1797" s="75">
        <f>'THAM_SO_MOI'!$C$15*'THAM_SO_MOI'!$C$16*F1797^2</f>
        <v>146.48309054173535</v>
      </c>
      <c r="N1797" s="75">
        <f>'THAM_SO_MOI'!$C$12*I1797</f>
        <v>1130.112</v>
      </c>
      <c r="O1797" s="75">
        <f>M1797+N1797</f>
        <v>1276.5950905417353</v>
      </c>
      <c r="P1797" s="75">
        <f>(MIN(L1797,'THAM_SO_MOI'!$C$41)-O1797)/('THAM_SO_MOI'!$C$11*H1797)</f>
        <v>0.7742994410619876</v>
      </c>
      <c r="Q1797" s="75">
        <f>IF(P1797&gt;0,1/P1797,NA())</f>
        <v>1.2914900191952272</v>
      </c>
      <c r="R1797" s="75">
        <f>F1797-F1796</f>
        <v>0.005028991339517397</v>
      </c>
      <c r="S1797" s="75">
        <f>0.5*(Q1796+Q1797)*R1797</f>
        <v>0.006495233588452501</v>
      </c>
      <c r="T1797" s="75">
        <f>0.5*(F1796*Q1796+F1797*Q1797)*R1797</f>
        <v>0.04594848927803908</v>
      </c>
      <c r="U1797" s="76">
        <f>U1796+S1797</f>
        <v>8.743641462629961</v>
      </c>
      <c r="V1797" s="76">
        <f>V1796+T1797</f>
        <v>38.81811770875122</v>
      </c>
    </row>
    <row r="1798" spans="1:22" ht="19" customHeight="1">
      <c r="A1798" s="68" t="s">
        <v>374</v>
      </c>
      <c r="B1798" s="74">
        <v>3</v>
      </c>
      <c r="C1798" s="68" t="s">
        <v>363</v>
      </c>
      <c r="D1798" s="68" t="s">
        <v>364</v>
      </c>
      <c r="E1798" s="75">
        <f>60*F1798*'THAM_SO_MOI'!$C$51/(2*PI()*'THAM_SO_MOI'!$C$26)</f>
        <v>1778.886549783444</v>
      </c>
      <c r="F1798" s="75">
        <f>'HANH_TRINH'!$F$1647+('THAM_SO_MOI'!$F$51-'HANH_TRINH'!$F$1647)*150/'THAM_SO_MOI'!$C$42</f>
        <v>7.0817294282732135</v>
      </c>
      <c r="G1798" s="75">
        <f>3.6*F1798</f>
        <v>25.49422594178357</v>
      </c>
      <c r="H1798" s="75">
        <f>'THAM_SO_MOI'!$D$51</f>
        <v>1.375</v>
      </c>
      <c r="I1798" s="75">
        <f>IF(F1798&gt;'THAM_SO_MOI'!$C$14,'THAM_SO_MOI'!$C$13*(1+F1798^2/1500),'THAM_SO_MOI'!$C$13)</f>
        <v>0.015</v>
      </c>
      <c r="J1798" s="75">
        <f>'THAM_SO_MOI'!$C$40*('THAM_SO_MOI'!$C$23*(E1798/'THAM_SO_MOI'!$C$22)+'THAM_SO_MOI'!$C$24*(E1798/'THAM_SO_MOI'!$C$22)^2-'THAM_SO_MOI'!$C$25*(E1798/'THAM_SO_MOI'!$C$22)^3)</f>
        <v>78.75281365321771</v>
      </c>
      <c r="K1798" s="75">
        <f>'THAM_SO_MOI'!$C$31*J1798/E1798</f>
        <v>422.83521155686816</v>
      </c>
      <c r="L1798" s="75">
        <f>K1798*'THAM_SO_MOI'!$C$51*'THAM_SO_MOI'!$C$17/'THAM_SO_MOI'!$C$26</f>
        <v>9454.26152030216</v>
      </c>
      <c r="M1798" s="75">
        <f>'THAM_SO_MOI'!$C$15*'THAM_SO_MOI'!$C$16*F1798^2</f>
        <v>146.69135820866728</v>
      </c>
      <c r="N1798" s="75">
        <f>'THAM_SO_MOI'!$C$12*I1798</f>
        <v>1130.112</v>
      </c>
      <c r="O1798" s="75">
        <f>M1798+N1798</f>
        <v>1276.8033582086673</v>
      </c>
      <c r="P1798" s="75">
        <f>(MIN(L1798,'THAM_SO_MOI'!$C$41)-O1798)/('THAM_SO_MOI'!$C$11*H1798)</f>
        <v>0.7743805077740049</v>
      </c>
      <c r="Q1798" s="75">
        <f>IF(P1798&gt;0,1/P1798,NA())</f>
        <v>1.291354818414205</v>
      </c>
      <c r="R1798" s="75">
        <f>F1798-F1797</f>
        <v>0.005028991339518285</v>
      </c>
      <c r="S1798" s="75">
        <f>0.5*(Q1797+Q1798)*R1798</f>
        <v>0.006494552159828673</v>
      </c>
      <c r="T1798" s="75">
        <f>0.5*(F1797*Q1797+F1798*Q1798)*R1798</f>
        <v>0.04597632977559874</v>
      </c>
      <c r="U1798" s="76">
        <f>U1797+S1798</f>
        <v>8.75013601478979</v>
      </c>
      <c r="V1798" s="76">
        <f>V1797+T1798</f>
        <v>38.864094038526815</v>
      </c>
    </row>
    <row r="1799" spans="1:22" ht="19" customHeight="1">
      <c r="A1799" s="68" t="s">
        <v>374</v>
      </c>
      <c r="B1799" s="74">
        <v>3</v>
      </c>
      <c r="C1799" s="68" t="s">
        <v>363</v>
      </c>
      <c r="D1799" s="68" t="s">
        <v>364</v>
      </c>
      <c r="E1799" s="75">
        <f>60*F1799*'THAM_SO_MOI'!$C$51/(2*PI()*'THAM_SO_MOI'!$C$26)</f>
        <v>1780.1498012453153</v>
      </c>
      <c r="F1799" s="75">
        <f>'HANH_TRINH'!$F$1647+('THAM_SO_MOI'!$F$51-'HANH_TRINH'!$F$1647)*151/'THAM_SO_MOI'!$C$42</f>
        <v>7.086758419612731</v>
      </c>
      <c r="G1799" s="75">
        <f>3.6*F1799</f>
        <v>25.512330310605833</v>
      </c>
      <c r="H1799" s="75">
        <f>'THAM_SO_MOI'!$D$51</f>
        <v>1.375</v>
      </c>
      <c r="I1799" s="75">
        <f>IF(F1799&gt;'THAM_SO_MOI'!$C$14,'THAM_SO_MOI'!$C$13*(1+F1799^2/1500),'THAM_SO_MOI'!$C$13)</f>
        <v>0.015</v>
      </c>
      <c r="J1799" s="75">
        <f>'THAM_SO_MOI'!$C$40*('THAM_SO_MOI'!$C$23*(E1799/'THAM_SO_MOI'!$C$22)+'THAM_SO_MOI'!$C$24*(E1799/'THAM_SO_MOI'!$C$22)^2-'THAM_SO_MOI'!$C$25*(E1799/'THAM_SO_MOI'!$C$22)^3)</f>
        <v>78.81758205922841</v>
      </c>
      <c r="K1799" s="75">
        <f>'THAM_SO_MOI'!$C$31*J1799/E1799</f>
        <v>422.88265824831865</v>
      </c>
      <c r="L1799" s="75">
        <f>K1799*'THAM_SO_MOI'!$C$51*'THAM_SO_MOI'!$C$17/'THAM_SO_MOI'!$C$26</f>
        <v>9455.32239086588</v>
      </c>
      <c r="M1799" s="75">
        <f>'THAM_SO_MOI'!$C$15*'THAM_SO_MOI'!$C$16*F1799^2</f>
        <v>146.8997738265094</v>
      </c>
      <c r="N1799" s="75">
        <f>'THAM_SO_MOI'!$C$12*I1799</f>
        <v>1130.112</v>
      </c>
      <c r="O1799" s="75">
        <f>M1799+N1799</f>
        <v>1277.0117738265094</v>
      </c>
      <c r="P1799" s="75">
        <f>(MIN(L1799,'THAM_SO_MOI'!$C$41)-O1799)/('THAM_SO_MOI'!$C$11*H1799)</f>
        <v>0.7744612326741828</v>
      </c>
      <c r="Q1799" s="75">
        <f>IF(P1799&gt;0,1/P1799,NA())</f>
        <v>1.2912202158228645</v>
      </c>
      <c r="R1799" s="75">
        <f>F1799-F1798</f>
        <v>0.005028991339517397</v>
      </c>
      <c r="S1799" s="75">
        <f>0.5*(Q1798+Q1799)*R1799</f>
        <v>0.006493873740416034</v>
      </c>
      <c r="T1799" s="75">
        <f>0.5*(F1798*Q1798+F1799*Q1799)*R1799</f>
        <v>0.046004184737344855</v>
      </c>
      <c r="U1799" s="76">
        <f>U1798+S1799</f>
        <v>8.756629888530206</v>
      </c>
      <c r="V1799" s="76">
        <f>V1798+T1799</f>
        <v>38.91009822326416</v>
      </c>
    </row>
    <row r="1800" spans="1:22" ht="19" customHeight="1">
      <c r="A1800" s="68" t="s">
        <v>374</v>
      </c>
      <c r="B1800" s="74">
        <v>3</v>
      </c>
      <c r="C1800" s="68" t="s">
        <v>363</v>
      </c>
      <c r="D1800" s="68" t="s">
        <v>364</v>
      </c>
      <c r="E1800" s="75">
        <f>60*F1800*'THAM_SO_MOI'!$C$51/(2*PI()*'THAM_SO_MOI'!$C$26)</f>
        <v>1781.4130527071866</v>
      </c>
      <c r="F1800" s="75">
        <f>'HANH_TRINH'!$F$1647+('THAM_SO_MOI'!$F$51-'HANH_TRINH'!$F$1647)*152/'THAM_SO_MOI'!$C$42</f>
        <v>7.091787410952248</v>
      </c>
      <c r="G1800" s="75">
        <f>3.6*F1800</f>
        <v>25.530434679428094</v>
      </c>
      <c r="H1800" s="75">
        <f>'THAM_SO_MOI'!$D$51</f>
        <v>1.375</v>
      </c>
      <c r="I1800" s="75">
        <f>IF(F1800&gt;'THAM_SO_MOI'!$C$14,'THAM_SO_MOI'!$C$13*(1+F1800^2/1500),'THAM_SO_MOI'!$C$13)</f>
        <v>0.015</v>
      </c>
      <c r="J1800" s="75">
        <f>'THAM_SO_MOI'!$C$40*('THAM_SO_MOI'!$C$23*(E1800/'THAM_SO_MOI'!$C$22)+'THAM_SO_MOI'!$C$24*(E1800/'THAM_SO_MOI'!$C$22)^2-'THAM_SO_MOI'!$C$25*(E1800/'THAM_SO_MOI'!$C$22)^3)</f>
        <v>78.88233414057028</v>
      </c>
      <c r="K1800" s="75">
        <f>'THAM_SO_MOI'!$C$31*J1800/E1800</f>
        <v>422.9299501229386</v>
      </c>
      <c r="L1800" s="75">
        <f>K1800*'THAM_SO_MOI'!$C$51*'THAM_SO_MOI'!$C$17/'THAM_SO_MOI'!$C$26</f>
        <v>9456.379799847493</v>
      </c>
      <c r="M1800" s="75">
        <f>'THAM_SO_MOI'!$C$15*'THAM_SO_MOI'!$C$16*F1800^2</f>
        <v>147.10833739526183</v>
      </c>
      <c r="N1800" s="75">
        <f>'THAM_SO_MOI'!$C$12*I1800</f>
        <v>1130.112</v>
      </c>
      <c r="O1800" s="75">
        <f>M1800+N1800</f>
        <v>1277.2203373952618</v>
      </c>
      <c r="P1800" s="75">
        <f>(MIN(L1800,'THAM_SO_MOI'!$C$41)-O1800)/('THAM_SO_MOI'!$C$11*H1800)</f>
        <v>0.7745416157625218</v>
      </c>
      <c r="Q1800" s="75">
        <f>IF(P1800&gt;0,1/P1800,NA())</f>
        <v>1.2910862110559658</v>
      </c>
      <c r="R1800" s="75">
        <f>F1800-F1799</f>
        <v>0.005028991339517397</v>
      </c>
      <c r="S1800" s="75">
        <f>0.5*(Q1799+Q1800)*R1800</f>
        <v>0.0064931983283768755</v>
      </c>
      <c r="T1800" s="75">
        <f>0.5*(F1799*Q1799+F1800*Q1800)*R1800</f>
        <v>0.04603205419564933</v>
      </c>
      <c r="U1800" s="76">
        <f>U1799+S1800</f>
        <v>8.763123086858583</v>
      </c>
      <c r="V1800" s="76">
        <f>V1799+T1800</f>
        <v>38.956130277459806</v>
      </c>
    </row>
    <row r="1801" spans="1:22" ht="19" customHeight="1">
      <c r="A1801" s="68" t="s">
        <v>374</v>
      </c>
      <c r="B1801" s="74">
        <v>3</v>
      </c>
      <c r="C1801" s="68" t="s">
        <v>363</v>
      </c>
      <c r="D1801" s="68" t="s">
        <v>364</v>
      </c>
      <c r="E1801" s="75">
        <f>60*F1801*'THAM_SO_MOI'!$C$51/(2*PI()*'THAM_SO_MOI'!$C$26)</f>
        <v>1782.6763041690588</v>
      </c>
      <c r="F1801" s="75">
        <f>'HANH_TRINH'!$F$1647+('THAM_SO_MOI'!$F$51-'HANH_TRINH'!$F$1647)*153/'THAM_SO_MOI'!$C$42</f>
        <v>7.096816402291767</v>
      </c>
      <c r="G1801" s="75">
        <f>3.6*F1801</f>
        <v>25.548539048250362</v>
      </c>
      <c r="H1801" s="75">
        <f>'THAM_SO_MOI'!$D$51</f>
        <v>1.375</v>
      </c>
      <c r="I1801" s="75">
        <f>IF(F1801&gt;'THAM_SO_MOI'!$C$14,'THAM_SO_MOI'!$C$13*(1+F1801^2/1500),'THAM_SO_MOI'!$C$13)</f>
        <v>0.015</v>
      </c>
      <c r="J1801" s="75">
        <f>'THAM_SO_MOI'!$C$40*('THAM_SO_MOI'!$C$23*(E1801/'THAM_SO_MOI'!$C$22)+'THAM_SO_MOI'!$C$24*(E1801/'THAM_SO_MOI'!$C$22)^2-'THAM_SO_MOI'!$C$25*(E1801/'THAM_SO_MOI'!$C$22)^3)</f>
        <v>78.94706983581403</v>
      </c>
      <c r="K1801" s="75">
        <f>'THAM_SO_MOI'!$C$31*J1801/E1801</f>
        <v>422.97708718072823</v>
      </c>
      <c r="L1801" s="75">
        <f>K1801*'THAM_SO_MOI'!$C$51*'THAM_SO_MOI'!$C$17/'THAM_SO_MOI'!$C$26</f>
        <v>9457.433747247002</v>
      </c>
      <c r="M1801" s="75">
        <f>'THAM_SO_MOI'!$C$15*'THAM_SO_MOI'!$C$16*F1801^2</f>
        <v>147.31704891492456</v>
      </c>
      <c r="N1801" s="75">
        <f>'THAM_SO_MOI'!$C$12*I1801</f>
        <v>1130.112</v>
      </c>
      <c r="O1801" s="75">
        <f>M1801+N1801</f>
        <v>1277.4290489149246</v>
      </c>
      <c r="P1801" s="75">
        <f>(MIN(L1801,'THAM_SO_MOI'!$C$41)-O1801)/('THAM_SO_MOI'!$C$11*H1801)</f>
        <v>0.7746216570390224</v>
      </c>
      <c r="Q1801" s="75">
        <f>IF(P1801&gt;0,1/P1801,NA())</f>
        <v>1.290952803750004</v>
      </c>
      <c r="R1801" s="75">
        <f>F1801-F1800</f>
        <v>0.005028991339518285</v>
      </c>
      <c r="S1801" s="75">
        <f>0.5*(Q1800+Q1801)*R1801</f>
        <v>0.006492525921878774</v>
      </c>
      <c r="T1801" s="75">
        <f>0.5*(F1800*Q1800+F1801*Q1801)*R1801</f>
        <v>0.046059938182884556</v>
      </c>
      <c r="U1801" s="76">
        <f>U1800+S1801</f>
        <v>8.769615612780461</v>
      </c>
      <c r="V1801" s="76">
        <f>V1800+T1801</f>
        <v>39.00219021564269</v>
      </c>
    </row>
    <row r="1802" spans="1:22" ht="19" customHeight="1">
      <c r="A1802" s="68" t="s">
        <v>374</v>
      </c>
      <c r="B1802" s="74">
        <v>3</v>
      </c>
      <c r="C1802" s="68" t="s">
        <v>363</v>
      </c>
      <c r="D1802" s="68" t="s">
        <v>364</v>
      </c>
      <c r="E1802" s="75">
        <f>60*F1802*'THAM_SO_MOI'!$C$51/(2*PI()*'THAM_SO_MOI'!$C$26)</f>
        <v>1783.9395556309303</v>
      </c>
      <c r="F1802" s="75">
        <f>'HANH_TRINH'!$F$1647+('THAM_SO_MOI'!$F$51-'HANH_TRINH'!$F$1647)*154/'THAM_SO_MOI'!$C$42</f>
        <v>7.101845393631284</v>
      </c>
      <c r="G1802" s="75">
        <f>3.6*F1802</f>
        <v>25.566643417072623</v>
      </c>
      <c r="H1802" s="75">
        <f>'THAM_SO_MOI'!$D$51</f>
        <v>1.375</v>
      </c>
      <c r="I1802" s="75">
        <f>IF(F1802&gt;'THAM_SO_MOI'!$C$14,'THAM_SO_MOI'!$C$13*(1+F1802^2/1500),'THAM_SO_MOI'!$C$13)</f>
        <v>0.015</v>
      </c>
      <c r="J1802" s="75">
        <f>'THAM_SO_MOI'!$C$40*('THAM_SO_MOI'!$C$23*(E1802/'THAM_SO_MOI'!$C$22)+'THAM_SO_MOI'!$C$24*(E1802/'THAM_SO_MOI'!$C$22)^2-'THAM_SO_MOI'!$C$25*(E1802/'THAM_SO_MOI'!$C$22)^3)</f>
        <v>79.0117890835302</v>
      </c>
      <c r="K1802" s="75">
        <f>'THAM_SO_MOI'!$C$31*J1802/E1802</f>
        <v>423.02406942168716</v>
      </c>
      <c r="L1802" s="75">
        <f>K1802*'THAM_SO_MOI'!$C$51*'THAM_SO_MOI'!$C$17/'THAM_SO_MOI'!$C$26</f>
        <v>9458.484233064395</v>
      </c>
      <c r="M1802" s="75">
        <f>'THAM_SO_MOI'!$C$15*'THAM_SO_MOI'!$C$16*F1802^2</f>
        <v>147.52590838549753</v>
      </c>
      <c r="N1802" s="75">
        <f>'THAM_SO_MOI'!$C$12*I1802</f>
        <v>1130.112</v>
      </c>
      <c r="O1802" s="75">
        <f>M1802+N1802</f>
        <v>1277.6379083854977</v>
      </c>
      <c r="P1802" s="75">
        <f>(MIN(L1802,'THAM_SO_MOI'!$C$41)-O1802)/('THAM_SO_MOI'!$C$11*H1802)</f>
        <v>0.7747013565036834</v>
      </c>
      <c r="Q1802" s="75">
        <f>IF(P1802&gt;0,1/P1802,NA())</f>
        <v>1.2908199935432092</v>
      </c>
      <c r="R1802" s="75">
        <f>F1802-F1801</f>
        <v>0.005028991339517397</v>
      </c>
      <c r="S1802" s="75">
        <f>0.5*(Q1801+Q1802)*R1802</f>
        <v>0.006491856519094587</v>
      </c>
      <c r="T1802" s="75">
        <f>0.5*(F1801*Q1801+F1802*Q1802)*R1802</f>
        <v>0.046087836731423595</v>
      </c>
      <c r="U1802" s="76">
        <f>U1801+S1802</f>
        <v>8.776107469299555</v>
      </c>
      <c r="V1802" s="76">
        <f>V1801+T1802</f>
        <v>39.048278052374116</v>
      </c>
    </row>
    <row r="1803" spans="1:22" ht="19" customHeight="1">
      <c r="A1803" s="68" t="s">
        <v>374</v>
      </c>
      <c r="B1803" s="74">
        <v>3</v>
      </c>
      <c r="C1803" s="68" t="s">
        <v>363</v>
      </c>
      <c r="D1803" s="68" t="s">
        <v>364</v>
      </c>
      <c r="E1803" s="75">
        <f>60*F1803*'THAM_SO_MOI'!$C$51/(2*PI()*'THAM_SO_MOI'!$C$26)</f>
        <v>1785.2028070928015</v>
      </c>
      <c r="F1803" s="75">
        <f>'HANH_TRINH'!$F$1647+('THAM_SO_MOI'!$F$51-'HANH_TRINH'!$F$1647)*155/'THAM_SO_MOI'!$C$42</f>
        <v>7.106874384970801</v>
      </c>
      <c r="G1803" s="75">
        <f>3.6*F1803</f>
        <v>25.584747785894887</v>
      </c>
      <c r="H1803" s="75">
        <f>'THAM_SO_MOI'!$D$51</f>
        <v>1.375</v>
      </c>
      <c r="I1803" s="75">
        <f>IF(F1803&gt;'THAM_SO_MOI'!$C$14,'THAM_SO_MOI'!$C$13*(1+F1803^2/1500),'THAM_SO_MOI'!$C$13)</f>
        <v>0.015</v>
      </c>
      <c r="J1803" s="75">
        <f>'THAM_SO_MOI'!$C$40*('THAM_SO_MOI'!$C$23*(E1803/'THAM_SO_MOI'!$C$22)+'THAM_SO_MOI'!$C$24*(E1803/'THAM_SO_MOI'!$C$22)^2-'THAM_SO_MOI'!$C$25*(E1803/'THAM_SO_MOI'!$C$22)^3)</f>
        <v>79.07649182228947</v>
      </c>
      <c r="K1803" s="75">
        <f>'THAM_SO_MOI'!$C$31*J1803/E1803</f>
        <v>423.0708968458156</v>
      </c>
      <c r="L1803" s="75">
        <f>K1803*'THAM_SO_MOI'!$C$51*'THAM_SO_MOI'!$C$17/'THAM_SO_MOI'!$C$26</f>
        <v>9459.531257299683</v>
      </c>
      <c r="M1803" s="75">
        <f>'THAM_SO_MOI'!$C$15*'THAM_SO_MOI'!$C$16*F1803^2</f>
        <v>147.73491580698075</v>
      </c>
      <c r="N1803" s="75">
        <f>'THAM_SO_MOI'!$C$12*I1803</f>
        <v>1130.112</v>
      </c>
      <c r="O1803" s="75">
        <f>M1803+N1803</f>
        <v>1277.8469158069809</v>
      </c>
      <c r="P1803" s="75">
        <f>(MIN(L1803,'THAM_SO_MOI'!$C$41)-O1803)/('THAM_SO_MOI'!$C$11*H1803)</f>
        <v>0.7747807141565058</v>
      </c>
      <c r="Q1803" s="75">
        <f>IF(P1803&gt;0,1/P1803,NA())</f>
        <v>1.2906877800755374</v>
      </c>
      <c r="R1803" s="75">
        <f>F1803-F1802</f>
        <v>0.005028991339517397</v>
      </c>
      <c r="S1803" s="75">
        <f>0.5*(Q1802+Q1803)*R1803</f>
        <v>0.006491190118212756</v>
      </c>
      <c r="T1803" s="75">
        <f>0.5*(F1802*Q1802+F1803*Q1803)*R1803</f>
        <v>0.04611574987371343</v>
      </c>
      <c r="U1803" s="76">
        <f>U1802+S1803</f>
        <v>8.782598659417769</v>
      </c>
      <c r="V1803" s="76">
        <f>V1802+T1803</f>
        <v>39.09439380224783</v>
      </c>
    </row>
    <row r="1804" spans="1:22" ht="19" customHeight="1">
      <c r="A1804" s="68" t="s">
        <v>374</v>
      </c>
      <c r="B1804" s="74">
        <v>3</v>
      </c>
      <c r="C1804" s="68" t="s">
        <v>363</v>
      </c>
      <c r="D1804" s="68" t="s">
        <v>364</v>
      </c>
      <c r="E1804" s="75">
        <f>60*F1804*'THAM_SO_MOI'!$C$51/(2*PI()*'THAM_SO_MOI'!$C$26)</f>
        <v>1786.4660585546737</v>
      </c>
      <c r="F1804" s="75">
        <f>'HANH_TRINH'!$F$1647+('THAM_SO_MOI'!$F$51-'HANH_TRINH'!$F$1647)*156/'THAM_SO_MOI'!$C$42</f>
        <v>7.11190337631032</v>
      </c>
      <c r="G1804" s="75">
        <f>3.6*F1804</f>
        <v>25.60285215471715</v>
      </c>
      <c r="H1804" s="75">
        <f>'THAM_SO_MOI'!$D$51</f>
        <v>1.375</v>
      </c>
      <c r="I1804" s="75">
        <f>IF(F1804&gt;'THAM_SO_MOI'!$C$14,'THAM_SO_MOI'!$C$13*(1+F1804^2/1500),'THAM_SO_MOI'!$C$13)</f>
        <v>0.015</v>
      </c>
      <c r="J1804" s="75">
        <f>'THAM_SO_MOI'!$C$40*('THAM_SO_MOI'!$C$23*(E1804/'THAM_SO_MOI'!$C$22)+'THAM_SO_MOI'!$C$24*(E1804/'THAM_SO_MOI'!$C$22)^2-'THAM_SO_MOI'!$C$25*(E1804/'THAM_SO_MOI'!$C$22)^3)</f>
        <v>79.14117799066256</v>
      </c>
      <c r="K1804" s="75">
        <f>'THAM_SO_MOI'!$C$31*J1804/E1804</f>
        <v>423.11756945311356</v>
      </c>
      <c r="L1804" s="75">
        <f>K1804*'THAM_SO_MOI'!$C$51*'THAM_SO_MOI'!$C$17/'THAM_SO_MOI'!$C$26</f>
        <v>9460.574819952859</v>
      </c>
      <c r="M1804" s="75">
        <f>'THAM_SO_MOI'!$C$15*'THAM_SO_MOI'!$C$16*F1804^2</f>
        <v>147.94407117937433</v>
      </c>
      <c r="N1804" s="75">
        <f>'THAM_SO_MOI'!$C$12*I1804</f>
        <v>1130.112</v>
      </c>
      <c r="O1804" s="75">
        <f>M1804+N1804</f>
        <v>1278.0560711793744</v>
      </c>
      <c r="P1804" s="75">
        <f>(MIN(L1804,'THAM_SO_MOI'!$C$41)-O1804)/('THAM_SO_MOI'!$C$11*H1804)</f>
        <v>0.7748597299974891</v>
      </c>
      <c r="Q1804" s="75">
        <f>IF(P1804&gt;0,1/P1804,NA())</f>
        <v>1.2905561629886746</v>
      </c>
      <c r="R1804" s="75">
        <f>F1804-F1803</f>
        <v>0.005028991339518285</v>
      </c>
      <c r="S1804" s="75">
        <f>0.5*(Q1803+Q1804)*R1804</f>
        <v>0.006490526717426976</v>
      </c>
      <c r="T1804" s="75">
        <f>0.5*(F1803*Q1803+F1804*Q1804)*R1804</f>
        <v>0.04614367764220198</v>
      </c>
      <c r="U1804" s="76">
        <f>U1803+S1804</f>
        <v>8.789089186135195</v>
      </c>
      <c r="V1804" s="76">
        <f>V1803+T1804</f>
        <v>39.14053747989003</v>
      </c>
    </row>
    <row r="1805" spans="1:22" ht="19" customHeight="1">
      <c r="A1805" s="68" t="s">
        <v>374</v>
      </c>
      <c r="B1805" s="74">
        <v>3</v>
      </c>
      <c r="C1805" s="68" t="s">
        <v>363</v>
      </c>
      <c r="D1805" s="68" t="s">
        <v>364</v>
      </c>
      <c r="E1805" s="75">
        <f>60*F1805*'THAM_SO_MOI'!$C$51/(2*PI()*'THAM_SO_MOI'!$C$26)</f>
        <v>1787.729310016545</v>
      </c>
      <c r="F1805" s="75">
        <f>'HANH_TRINH'!$F$1647+('THAM_SO_MOI'!$F$51-'HANH_TRINH'!$F$1647)*157/'THAM_SO_MOI'!$C$42</f>
        <v>7.116932367649837</v>
      </c>
      <c r="G1805" s="75">
        <f>3.6*F1805</f>
        <v>25.620956523539412</v>
      </c>
      <c r="H1805" s="75">
        <f>'THAM_SO_MOI'!$D$51</f>
        <v>1.375</v>
      </c>
      <c r="I1805" s="75">
        <f>IF(F1805&gt;'THAM_SO_MOI'!$C$14,'THAM_SO_MOI'!$C$13*(1+F1805^2/1500),'THAM_SO_MOI'!$C$13)</f>
        <v>0.015</v>
      </c>
      <c r="J1805" s="75">
        <f>'THAM_SO_MOI'!$C$40*('THAM_SO_MOI'!$C$23*(E1805/'THAM_SO_MOI'!$C$22)+'THAM_SO_MOI'!$C$24*(E1805/'THAM_SO_MOI'!$C$22)^2-'THAM_SO_MOI'!$C$25*(E1805/'THAM_SO_MOI'!$C$22)^3)</f>
        <v>79.20584752722</v>
      </c>
      <c r="K1805" s="75">
        <f>'THAM_SO_MOI'!$C$31*J1805/E1805</f>
        <v>423.16408724358087</v>
      </c>
      <c r="L1805" s="75">
        <f>K1805*'THAM_SO_MOI'!$C$51*'THAM_SO_MOI'!$C$17/'THAM_SO_MOI'!$C$26</f>
        <v>9461.614921023925</v>
      </c>
      <c r="M1805" s="75">
        <f>'THAM_SO_MOI'!$C$15*'THAM_SO_MOI'!$C$16*F1805^2</f>
        <v>148.1533745026781</v>
      </c>
      <c r="N1805" s="75">
        <f>'THAM_SO_MOI'!$C$12*I1805</f>
        <v>1130.112</v>
      </c>
      <c r="O1805" s="75">
        <f>M1805+N1805</f>
        <v>1278.2653745026782</v>
      </c>
      <c r="P1805" s="75">
        <f>(MIN(L1805,'THAM_SO_MOI'!$C$41)-O1805)/('THAM_SO_MOI'!$C$11*H1805)</f>
        <v>0.7749384040266334</v>
      </c>
      <c r="Q1805" s="75">
        <f>IF(P1805&gt;0,1/P1805,NA())</f>
        <v>1.2904251419260306</v>
      </c>
      <c r="R1805" s="75">
        <f>F1805-F1804</f>
        <v>0.005028991339517397</v>
      </c>
      <c r="S1805" s="75">
        <f>0.5*(Q1804+Q1805)*R1805</f>
        <v>0.006489866314936182</v>
      </c>
      <c r="T1805" s="75">
        <f>0.5*(F1804*Q1804+F1805*Q1805)*R1805</f>
        <v>0.046171620069338094</v>
      </c>
      <c r="U1805" s="76">
        <f>U1804+S1805</f>
        <v>8.795579052450131</v>
      </c>
      <c r="V1805" s="76">
        <f>V1804+T1805</f>
        <v>39.186709099959366</v>
      </c>
    </row>
    <row r="1806" spans="1:22" ht="19" customHeight="1">
      <c r="A1806" s="68" t="s">
        <v>374</v>
      </c>
      <c r="B1806" s="74">
        <v>3</v>
      </c>
      <c r="C1806" s="68" t="s">
        <v>363</v>
      </c>
      <c r="D1806" s="68" t="s">
        <v>364</v>
      </c>
      <c r="E1806" s="75">
        <f>60*F1806*'THAM_SO_MOI'!$C$51/(2*PI()*'THAM_SO_MOI'!$C$26)</f>
        <v>1788.9925614784167</v>
      </c>
      <c r="F1806" s="75">
        <f>'HANH_TRINH'!$F$1647+('THAM_SO_MOI'!$F$51-'HANH_TRINH'!$F$1647)*158/'THAM_SO_MOI'!$C$42</f>
        <v>7.1219613589893545</v>
      </c>
      <c r="G1806" s="75">
        <f>3.6*F1806</f>
        <v>25.639060892361677</v>
      </c>
      <c r="H1806" s="75">
        <f>'THAM_SO_MOI'!$D$51</f>
        <v>1.375</v>
      </c>
      <c r="I1806" s="75">
        <f>IF(F1806&gt;'THAM_SO_MOI'!$C$14,'THAM_SO_MOI'!$C$13*(1+F1806^2/1500),'THAM_SO_MOI'!$C$13)</f>
        <v>0.015</v>
      </c>
      <c r="J1806" s="75">
        <f>'THAM_SO_MOI'!$C$40*('THAM_SO_MOI'!$C$23*(E1806/'THAM_SO_MOI'!$C$22)+'THAM_SO_MOI'!$C$24*(E1806/'THAM_SO_MOI'!$C$22)^2-'THAM_SO_MOI'!$C$25*(E1806/'THAM_SO_MOI'!$C$22)^3)</f>
        <v>79.27050037053256</v>
      </c>
      <c r="K1806" s="75">
        <f>'THAM_SO_MOI'!$C$31*J1806/E1806</f>
        <v>423.2104502172179</v>
      </c>
      <c r="L1806" s="75">
        <f>K1806*'THAM_SO_MOI'!$C$51*'THAM_SO_MOI'!$C$17/'THAM_SO_MOI'!$C$26</f>
        <v>9462.651560512888</v>
      </c>
      <c r="M1806" s="75">
        <f>'THAM_SO_MOI'!$C$15*'THAM_SO_MOI'!$C$16*F1806^2</f>
        <v>148.36282577689218</v>
      </c>
      <c r="N1806" s="75">
        <f>'THAM_SO_MOI'!$C$12*I1806</f>
        <v>1130.112</v>
      </c>
      <c r="O1806" s="75">
        <f>M1806+N1806</f>
        <v>1278.4748257768922</v>
      </c>
      <c r="P1806" s="75">
        <f>(MIN(L1806,'THAM_SO_MOI'!$C$41)-O1806)/('THAM_SO_MOI'!$C$11*H1806)</f>
        <v>0.775016736243939</v>
      </c>
      <c r="Q1806" s="75">
        <f>IF(P1806&gt;0,1/P1806,NA())</f>
        <v>1.2902947165327368</v>
      </c>
      <c r="R1806" s="75">
        <f>F1806-F1805</f>
        <v>0.005028991339517397</v>
      </c>
      <c r="S1806" s="75">
        <f>0.5*(Q1805+Q1806)*R1806</f>
        <v>0.006489208908954852</v>
      </c>
      <c r="T1806" s="75">
        <f>0.5*(F1805*Q1805+F1806*Q1806)*R1806</f>
        <v>0.04619957718764506</v>
      </c>
      <c r="U1806" s="76">
        <f>U1805+S1806</f>
        <v>8.802068261359086</v>
      </c>
      <c r="V1806" s="76">
        <f>V1805+T1806</f>
        <v>39.23290867714701</v>
      </c>
    </row>
    <row r="1807" spans="1:22" ht="19" customHeight="1">
      <c r="A1807" s="68" t="s">
        <v>374</v>
      </c>
      <c r="B1807" s="74">
        <v>3</v>
      </c>
      <c r="C1807" s="68" t="s">
        <v>363</v>
      </c>
      <c r="D1807" s="68" t="s">
        <v>364</v>
      </c>
      <c r="E1807" s="75">
        <f>60*F1807*'THAM_SO_MOI'!$C$51/(2*PI()*'THAM_SO_MOI'!$C$26)</f>
        <v>1790.2558129402885</v>
      </c>
      <c r="F1807" s="75">
        <f>'HANH_TRINH'!$F$1647+('THAM_SO_MOI'!$F$51-'HANH_TRINH'!$F$1647)*159/'THAM_SO_MOI'!$C$42</f>
        <v>7.126990350328873</v>
      </c>
      <c r="G1807" s="75">
        <f>3.6*F1807</f>
        <v>25.65716526118394</v>
      </c>
      <c r="H1807" s="75">
        <f>'THAM_SO_MOI'!$D$51</f>
        <v>1.375</v>
      </c>
      <c r="I1807" s="75">
        <f>IF(F1807&gt;'THAM_SO_MOI'!$C$14,'THAM_SO_MOI'!$C$13*(1+F1807^2/1500),'THAM_SO_MOI'!$C$13)</f>
        <v>0.015</v>
      </c>
      <c r="J1807" s="75">
        <f>'THAM_SO_MOI'!$C$40*('THAM_SO_MOI'!$C$23*(E1807/'THAM_SO_MOI'!$C$22)+'THAM_SO_MOI'!$C$24*(E1807/'THAM_SO_MOI'!$C$22)^2-'THAM_SO_MOI'!$C$25*(E1807/'THAM_SO_MOI'!$C$22)^3)</f>
        <v>79.33513645917085</v>
      </c>
      <c r="K1807" s="75">
        <f>'THAM_SO_MOI'!$C$31*J1807/E1807</f>
        <v>423.2566583740244</v>
      </c>
      <c r="L1807" s="75">
        <f>K1807*'THAM_SO_MOI'!$C$51*'THAM_SO_MOI'!$C$17/'THAM_SO_MOI'!$C$26</f>
        <v>9463.68473841974</v>
      </c>
      <c r="M1807" s="75">
        <f>'THAM_SO_MOI'!$C$15*'THAM_SO_MOI'!$C$16*F1807^2</f>
        <v>148.57242500201656</v>
      </c>
      <c r="N1807" s="75">
        <f>'THAM_SO_MOI'!$C$12*I1807</f>
        <v>1130.112</v>
      </c>
      <c r="O1807" s="75">
        <f>M1807+N1807</f>
        <v>1278.6844250020167</v>
      </c>
      <c r="P1807" s="75">
        <f>(MIN(L1807,'THAM_SO_MOI'!$C$41)-O1807)/('THAM_SO_MOI'!$C$11*H1807)</f>
        <v>0.7750947266494058</v>
      </c>
      <c r="Q1807" s="75">
        <f>IF(P1807&gt;0,1/P1807,NA())</f>
        <v>1.2901648864556452</v>
      </c>
      <c r="R1807" s="75">
        <f>F1807-F1806</f>
        <v>0.005028991339518285</v>
      </c>
      <c r="S1807" s="75">
        <f>0.5*(Q1806+Q1807)*R1807</f>
        <v>0.006488554497702683</v>
      </c>
      <c r="T1807" s="75">
        <f>0.5*(F1806*Q1806+F1807*Q1807)*R1807</f>
        <v>0.046227549029647416</v>
      </c>
      <c r="U1807" s="76">
        <f>U1806+S1807</f>
        <v>8.808556815856788</v>
      </c>
      <c r="V1807" s="76">
        <f>V1806+T1807</f>
        <v>39.279136226176654</v>
      </c>
    </row>
    <row r="1808" spans="1:22" ht="19" customHeight="1">
      <c r="A1808" s="68" t="s">
        <v>374</v>
      </c>
      <c r="B1808" s="74">
        <v>3</v>
      </c>
      <c r="C1808" s="68" t="s">
        <v>363</v>
      </c>
      <c r="D1808" s="68" t="s">
        <v>364</v>
      </c>
      <c r="E1808" s="75">
        <f>60*F1808*'THAM_SO_MOI'!$C$51/(2*PI()*'THAM_SO_MOI'!$C$26)</f>
        <v>1791.5190644021598</v>
      </c>
      <c r="F1808" s="75">
        <f>'HANH_TRINH'!$F$1647+('THAM_SO_MOI'!$F$51-'HANH_TRINH'!$F$1647)*160/'THAM_SO_MOI'!$C$42</f>
        <v>7.13201934166839</v>
      </c>
      <c r="G1808" s="75">
        <f>3.6*F1808</f>
        <v>25.675269630006206</v>
      </c>
      <c r="H1808" s="75">
        <f>'THAM_SO_MOI'!$D$51</f>
        <v>1.375</v>
      </c>
      <c r="I1808" s="75">
        <f>IF(F1808&gt;'THAM_SO_MOI'!$C$14,'THAM_SO_MOI'!$C$13*(1+F1808^2/1500),'THAM_SO_MOI'!$C$13)</f>
        <v>0.015</v>
      </c>
      <c r="J1808" s="75">
        <f>'THAM_SO_MOI'!$C$40*('THAM_SO_MOI'!$C$23*(E1808/'THAM_SO_MOI'!$C$22)+'THAM_SO_MOI'!$C$24*(E1808/'THAM_SO_MOI'!$C$22)^2-'THAM_SO_MOI'!$C$25*(E1808/'THAM_SO_MOI'!$C$22)^3)</f>
        <v>79.39975573170545</v>
      </c>
      <c r="K1808" s="75">
        <f>'THAM_SO_MOI'!$C$31*J1808/E1808</f>
        <v>423.3027117140002</v>
      </c>
      <c r="L1808" s="75">
        <f>K1808*'THAM_SO_MOI'!$C$51*'THAM_SO_MOI'!$C$17/'THAM_SO_MOI'!$C$26</f>
        <v>9464.71445474448</v>
      </c>
      <c r="M1808" s="75">
        <f>'THAM_SO_MOI'!$C$15*'THAM_SO_MOI'!$C$16*F1808^2</f>
        <v>148.78217217805116</v>
      </c>
      <c r="N1808" s="75">
        <f>'THAM_SO_MOI'!$C$12*I1808</f>
        <v>1130.112</v>
      </c>
      <c r="O1808" s="75">
        <f>M1808+N1808</f>
        <v>1278.8941721780511</v>
      </c>
      <c r="P1808" s="75">
        <f>(MIN(L1808,'THAM_SO_MOI'!$C$41)-O1808)/('THAM_SO_MOI'!$C$11*H1808)</f>
        <v>0.7751723752430331</v>
      </c>
      <c r="Q1808" s="75">
        <f>IF(P1808&gt;0,1/P1808,NA())</f>
        <v>1.2900356513433269</v>
      </c>
      <c r="R1808" s="75">
        <f>F1808-F1807</f>
        <v>0.005028991339517397</v>
      </c>
      <c r="S1808" s="75">
        <f>0.5*(Q1807+Q1808)*R1808</f>
        <v>0.00648790307940458</v>
      </c>
      <c r="T1808" s="75">
        <f>0.5*(F1807*Q1807+F1808*Q1808)*R1808</f>
        <v>0.04625553562787104</v>
      </c>
      <c r="U1808" s="76">
        <f>U1807+S1808</f>
        <v>8.815044718936193</v>
      </c>
      <c r="V1808" s="76">
        <f>V1807+T1808</f>
        <v>39.325391761804525</v>
      </c>
    </row>
    <row r="1809" spans="1:22" ht="19" customHeight="1">
      <c r="A1809" s="68" t="s">
        <v>374</v>
      </c>
      <c r="B1809" s="74">
        <v>3</v>
      </c>
      <c r="C1809" s="68" t="s">
        <v>363</v>
      </c>
      <c r="D1809" s="68" t="s">
        <v>364</v>
      </c>
      <c r="E1809" s="75">
        <f>60*F1809*'THAM_SO_MOI'!$C$51/(2*PI()*'THAM_SO_MOI'!$C$26)</f>
        <v>1792.7823158640315</v>
      </c>
      <c r="F1809" s="75">
        <f>'HANH_TRINH'!$F$1647+('THAM_SO_MOI'!$F$51-'HANH_TRINH'!$F$1647)*161/'THAM_SO_MOI'!$C$42</f>
        <v>7.1370483330079075</v>
      </c>
      <c r="G1809" s="75">
        <f>3.6*F1809</f>
        <v>25.693373998828466</v>
      </c>
      <c r="H1809" s="75">
        <f>'THAM_SO_MOI'!$D$51</f>
        <v>1.375</v>
      </c>
      <c r="I1809" s="75">
        <f>IF(F1809&gt;'THAM_SO_MOI'!$C$14,'THAM_SO_MOI'!$C$13*(1+F1809^2/1500),'THAM_SO_MOI'!$C$13)</f>
        <v>0.015</v>
      </c>
      <c r="J1809" s="75">
        <f>'THAM_SO_MOI'!$C$40*('THAM_SO_MOI'!$C$23*(E1809/'THAM_SO_MOI'!$C$22)+'THAM_SO_MOI'!$C$24*(E1809/'THAM_SO_MOI'!$C$22)^2-'THAM_SO_MOI'!$C$25*(E1809/'THAM_SO_MOI'!$C$22)^3)</f>
        <v>79.46435812670714</v>
      </c>
      <c r="K1809" s="75">
        <f>'THAM_SO_MOI'!$C$31*J1809/E1809</f>
        <v>423.3486102371457</v>
      </c>
      <c r="L1809" s="75">
        <f>K1809*'THAM_SO_MOI'!$C$51*'THAM_SO_MOI'!$C$17/'THAM_SO_MOI'!$C$26</f>
        <v>9465.740709487112</v>
      </c>
      <c r="M1809" s="75">
        <f>'THAM_SO_MOI'!$C$15*'THAM_SO_MOI'!$C$16*F1809^2</f>
        <v>148.99206730499606</v>
      </c>
      <c r="N1809" s="75">
        <f>'THAM_SO_MOI'!$C$12*I1809</f>
        <v>1130.112</v>
      </c>
      <c r="O1809" s="75">
        <f>M1809+N1809</f>
        <v>1279.104067304996</v>
      </c>
      <c r="P1809" s="75">
        <f>(MIN(L1809,'THAM_SO_MOI'!$C$41)-O1809)/('THAM_SO_MOI'!$C$11*H1809)</f>
        <v>0.7752496820248216</v>
      </c>
      <c r="Q1809" s="75">
        <f>IF(P1809&gt;0,1/P1809,NA())</f>
        <v>1.289907010846065</v>
      </c>
      <c r="R1809" s="75">
        <f>F1809-F1808</f>
        <v>0.005028991339517397</v>
      </c>
      <c r="S1809" s="75">
        <f>0.5*(Q1808+Q1809)*R1809</f>
        <v>0.006487254652300955</v>
      </c>
      <c r="T1809" s="75">
        <f>0.5*(F1808*Q1808+F1809*Q1809)*R1809</f>
        <v>0.0462835370149167</v>
      </c>
      <c r="U1809" s="76">
        <f>U1808+S1809</f>
        <v>8.821531973588494</v>
      </c>
      <c r="V1809" s="76">
        <f>V1808+T1809</f>
        <v>39.37167529881944</v>
      </c>
    </row>
    <row r="1810" spans="1:22" ht="19" customHeight="1">
      <c r="A1810" s="68" t="s">
        <v>374</v>
      </c>
      <c r="B1810" s="74">
        <v>3</v>
      </c>
      <c r="C1810" s="68" t="s">
        <v>363</v>
      </c>
      <c r="D1810" s="68" t="s">
        <v>364</v>
      </c>
      <c r="E1810" s="75">
        <f>60*F1810*'THAM_SO_MOI'!$C$51/(2*PI()*'THAM_SO_MOI'!$C$26)</f>
        <v>1794.0455673259032</v>
      </c>
      <c r="F1810" s="75">
        <f>'HANH_TRINH'!$F$1647+('THAM_SO_MOI'!$F$51-'HANH_TRINH'!$F$1647)*162/'THAM_SO_MOI'!$C$42</f>
        <v>7.142077324347426</v>
      </c>
      <c r="G1810" s="75">
        <f>3.6*F1810</f>
        <v>25.711478367650734</v>
      </c>
      <c r="H1810" s="75">
        <f>'THAM_SO_MOI'!$D$51</f>
        <v>1.375</v>
      </c>
      <c r="I1810" s="75">
        <f>IF(F1810&gt;'THAM_SO_MOI'!$C$14,'THAM_SO_MOI'!$C$13*(1+F1810^2/1500),'THAM_SO_MOI'!$C$13)</f>
        <v>0.015</v>
      </c>
      <c r="J1810" s="75">
        <f>'THAM_SO_MOI'!$C$40*('THAM_SO_MOI'!$C$23*(E1810/'THAM_SO_MOI'!$C$22)+'THAM_SO_MOI'!$C$24*(E1810/'THAM_SO_MOI'!$C$22)^2-'THAM_SO_MOI'!$C$25*(E1810/'THAM_SO_MOI'!$C$22)^3)</f>
        <v>79.52894358274646</v>
      </c>
      <c r="K1810" s="75">
        <f>'THAM_SO_MOI'!$C$31*J1810/E1810</f>
        <v>423.39435394346054</v>
      </c>
      <c r="L1810" s="75">
        <f>K1810*'THAM_SO_MOI'!$C$51*'THAM_SO_MOI'!$C$17/'THAM_SO_MOI'!$C$26</f>
        <v>9466.763502647636</v>
      </c>
      <c r="M1810" s="75">
        <f>'THAM_SO_MOI'!$C$15*'THAM_SO_MOI'!$C$16*F1810^2</f>
        <v>149.20211038285126</v>
      </c>
      <c r="N1810" s="75">
        <f>'THAM_SO_MOI'!$C$12*I1810</f>
        <v>1130.112</v>
      </c>
      <c r="O1810" s="75">
        <f>M1810+N1810</f>
        <v>1279.3141103828514</v>
      </c>
      <c r="P1810" s="75">
        <f>(MIN(L1810,'THAM_SO_MOI'!$C$41)-O1810)/('THAM_SO_MOI'!$C$11*H1810)</f>
        <v>0.7753266469947713</v>
      </c>
      <c r="Q1810" s="75">
        <f>IF(P1810&gt;0,1/P1810,NA())</f>
        <v>1.2897789646158568</v>
      </c>
      <c r="R1810" s="75">
        <f>F1810-F1809</f>
        <v>0.005028991339518285</v>
      </c>
      <c r="S1810" s="75">
        <f>0.5*(Q1809+Q1810)*R1810</f>
        <v>0.006486609214637392</v>
      </c>
      <c r="T1810" s="75">
        <f>0.5*(F1809*Q1809+F1810*Q1810)*R1810</f>
        <v>0.04631155322338674</v>
      </c>
      <c r="U1810" s="76">
        <f>U1809+S1810</f>
        <v>8.82801858280313</v>
      </c>
      <c r="V1810" s="76">
        <f>V1809+T1810</f>
        <v>39.41798685204283</v>
      </c>
    </row>
    <row r="1811" spans="1:22" ht="19" customHeight="1">
      <c r="A1811" s="68" t="s">
        <v>374</v>
      </c>
      <c r="B1811" s="74">
        <v>3</v>
      </c>
      <c r="C1811" s="68" t="s">
        <v>363</v>
      </c>
      <c r="D1811" s="68" t="s">
        <v>364</v>
      </c>
      <c r="E1811" s="75">
        <f>60*F1811*'THAM_SO_MOI'!$C$51/(2*PI()*'THAM_SO_MOI'!$C$26)</f>
        <v>1795.308818787775</v>
      </c>
      <c r="F1811" s="75">
        <f>'HANH_TRINH'!$F$1647+('THAM_SO_MOI'!$F$51-'HANH_TRINH'!$F$1647)*163/'THAM_SO_MOI'!$C$42</f>
        <v>7.147106315686943</v>
      </c>
      <c r="G1811" s="75">
        <f>3.6*F1811</f>
        <v>25.729582736472995</v>
      </c>
      <c r="H1811" s="75">
        <f>'THAM_SO_MOI'!$D$51</f>
        <v>1.375</v>
      </c>
      <c r="I1811" s="75">
        <f>IF(F1811&gt;'THAM_SO_MOI'!$C$14,'THAM_SO_MOI'!$C$13*(1+F1811^2/1500),'THAM_SO_MOI'!$C$13)</f>
        <v>0.015</v>
      </c>
      <c r="J1811" s="75">
        <f>'THAM_SO_MOI'!$C$40*('THAM_SO_MOI'!$C$23*(E1811/'THAM_SO_MOI'!$C$22)+'THAM_SO_MOI'!$C$24*(E1811/'THAM_SO_MOI'!$C$22)^2-'THAM_SO_MOI'!$C$25*(E1811/'THAM_SO_MOI'!$C$22)^3)</f>
        <v>79.59351203839412</v>
      </c>
      <c r="K1811" s="75">
        <f>'THAM_SO_MOI'!$C$31*J1811/E1811</f>
        <v>423.43994283294495</v>
      </c>
      <c r="L1811" s="75">
        <f>K1811*'THAM_SO_MOI'!$C$51*'THAM_SO_MOI'!$C$17/'THAM_SO_MOI'!$C$26</f>
        <v>9467.78283422605</v>
      </c>
      <c r="M1811" s="75">
        <f>'THAM_SO_MOI'!$C$15*'THAM_SO_MOI'!$C$16*F1811^2</f>
        <v>149.41230141161665</v>
      </c>
      <c r="N1811" s="75">
        <f>'THAM_SO_MOI'!$C$12*I1811</f>
        <v>1130.112</v>
      </c>
      <c r="O1811" s="75">
        <f>M1811+N1811</f>
        <v>1279.5243014116168</v>
      </c>
      <c r="P1811" s="75">
        <f>(MIN(L1811,'THAM_SO_MOI'!$C$41)-O1811)/('THAM_SO_MOI'!$C$11*H1811)</f>
        <v>0.7754032701528821</v>
      </c>
      <c r="Q1811" s="75">
        <f>IF(P1811&gt;0,1/P1811,NA())</f>
        <v>1.2896515123064096</v>
      </c>
      <c r="R1811" s="75">
        <f>F1811-F1810</f>
        <v>0.005028991339517397</v>
      </c>
      <c r="S1811" s="75">
        <f>0.5*(Q1810+Q1811)*R1811</f>
        <v>0.006485966764664653</v>
      </c>
      <c r="T1811" s="75">
        <f>0.5*(F1810*Q1810+F1811*Q1811)*R1811</f>
        <v>0.04633958428588516</v>
      </c>
      <c r="U1811" s="76">
        <f>U1810+S1811</f>
        <v>8.834504549567795</v>
      </c>
      <c r="V1811" s="76">
        <f>V1810+T1811</f>
        <v>39.46432643632872</v>
      </c>
    </row>
    <row r="1812" spans="1:22" ht="19" customHeight="1">
      <c r="A1812" s="68" t="s">
        <v>374</v>
      </c>
      <c r="B1812" s="74">
        <v>3</v>
      </c>
      <c r="C1812" s="68" t="s">
        <v>363</v>
      </c>
      <c r="D1812" s="68" t="s">
        <v>364</v>
      </c>
      <c r="E1812" s="75">
        <f>60*F1812*'THAM_SO_MOI'!$C$51/(2*PI()*'THAM_SO_MOI'!$C$26)</f>
        <v>1796.5720702496465</v>
      </c>
      <c r="F1812" s="75">
        <f>'HANH_TRINH'!$F$1647+('THAM_SO_MOI'!$F$51-'HANH_TRINH'!$F$1647)*164/'THAM_SO_MOI'!$C$42</f>
        <v>7.152135307026461</v>
      </c>
      <c r="G1812" s="75">
        <f>3.6*F1812</f>
        <v>25.74768710529526</v>
      </c>
      <c r="H1812" s="75">
        <f>'THAM_SO_MOI'!$D$51</f>
        <v>1.375</v>
      </c>
      <c r="I1812" s="75">
        <f>IF(F1812&gt;'THAM_SO_MOI'!$C$14,'THAM_SO_MOI'!$C$13*(1+F1812^2/1500),'THAM_SO_MOI'!$C$13)</f>
        <v>0.015</v>
      </c>
      <c r="J1812" s="75">
        <f>'THAM_SO_MOI'!$C$40*('THAM_SO_MOI'!$C$23*(E1812/'THAM_SO_MOI'!$C$22)+'THAM_SO_MOI'!$C$24*(E1812/'THAM_SO_MOI'!$C$22)^2-'THAM_SO_MOI'!$C$25*(E1812/'THAM_SO_MOI'!$C$22)^3)</f>
        <v>79.65806343222074</v>
      </c>
      <c r="K1812" s="75">
        <f>'THAM_SO_MOI'!$C$31*J1812/E1812</f>
        <v>423.48537690559886</v>
      </c>
      <c r="L1812" s="75">
        <f>K1812*'THAM_SO_MOI'!$C$51*'THAM_SO_MOI'!$C$17/'THAM_SO_MOI'!$C$26</f>
        <v>9468.798704222358</v>
      </c>
      <c r="M1812" s="75">
        <f>'THAM_SO_MOI'!$C$15*'THAM_SO_MOI'!$C$16*F1812^2</f>
        <v>149.62264039129238</v>
      </c>
      <c r="N1812" s="75">
        <f>'THAM_SO_MOI'!$C$12*I1812</f>
        <v>1130.112</v>
      </c>
      <c r="O1812" s="75">
        <f>M1812+N1812</f>
        <v>1279.7346403912925</v>
      </c>
      <c r="P1812" s="75">
        <f>(MIN(L1812,'THAM_SO_MOI'!$C$41)-O1812)/('THAM_SO_MOI'!$C$11*H1812)</f>
        <v>0.7754795514991539</v>
      </c>
      <c r="Q1812" s="75">
        <f>IF(P1812&gt;0,1/P1812,NA())</f>
        <v>1.2895246535731395</v>
      </c>
      <c r="R1812" s="75">
        <f>F1812-F1811</f>
        <v>0.005028991339517397</v>
      </c>
      <c r="S1812" s="75">
        <f>0.5*(Q1811+Q1812)*R1812</f>
        <v>0.006485327300648968</v>
      </c>
      <c r="T1812" s="75">
        <f>0.5*(F1811*Q1811+F1812*Q1812)*R1812</f>
        <v>0.0463676302350914</v>
      </c>
      <c r="U1812" s="76">
        <f>U1811+S1812</f>
        <v>8.840989876868443</v>
      </c>
      <c r="V1812" s="76">
        <f>V1811+T1812</f>
        <v>39.51069406656381</v>
      </c>
    </row>
    <row r="1813" spans="1:22" ht="19" customHeight="1">
      <c r="A1813" s="68" t="s">
        <v>374</v>
      </c>
      <c r="B1813" s="74">
        <v>3</v>
      </c>
      <c r="C1813" s="68" t="s">
        <v>363</v>
      </c>
      <c r="D1813" s="68" t="s">
        <v>364</v>
      </c>
      <c r="E1813" s="75">
        <f>60*F1813*'THAM_SO_MOI'!$C$51/(2*PI()*'THAM_SO_MOI'!$C$26)</f>
        <v>1797.8353217115182</v>
      </c>
      <c r="F1813" s="75">
        <f>'HANH_TRINH'!$F$1647+('THAM_SO_MOI'!$F$51-'HANH_TRINH'!$F$1647)*165/'THAM_SO_MOI'!$C$42</f>
        <v>7.157164298365979</v>
      </c>
      <c r="G1813" s="75">
        <f>3.6*F1813</f>
        <v>25.765791474117524</v>
      </c>
      <c r="H1813" s="75">
        <f>'THAM_SO_MOI'!$D$51</f>
        <v>1.375</v>
      </c>
      <c r="I1813" s="75">
        <f>IF(F1813&gt;'THAM_SO_MOI'!$C$14,'THAM_SO_MOI'!$C$13*(1+F1813^2/1500),'THAM_SO_MOI'!$C$13)</f>
        <v>0.015</v>
      </c>
      <c r="J1813" s="75">
        <f>'THAM_SO_MOI'!$C$40*('THAM_SO_MOI'!$C$23*(E1813/'THAM_SO_MOI'!$C$22)+'THAM_SO_MOI'!$C$24*(E1813/'THAM_SO_MOI'!$C$22)^2-'THAM_SO_MOI'!$C$25*(E1813/'THAM_SO_MOI'!$C$22)^3)</f>
        <v>79.722597702797</v>
      </c>
      <c r="K1813" s="75">
        <f>'THAM_SO_MOI'!$C$31*J1813/E1813</f>
        <v>423.53065616142226</v>
      </c>
      <c r="L1813" s="75">
        <f>K1813*'THAM_SO_MOI'!$C$51*'THAM_SO_MOI'!$C$17/'THAM_SO_MOI'!$C$26</f>
        <v>9469.811112636555</v>
      </c>
      <c r="M1813" s="75">
        <f>'THAM_SO_MOI'!$C$15*'THAM_SO_MOI'!$C$16*F1813^2</f>
        <v>149.83312732187838</v>
      </c>
      <c r="N1813" s="75">
        <f>'THAM_SO_MOI'!$C$12*I1813</f>
        <v>1130.112</v>
      </c>
      <c r="O1813" s="75">
        <f>M1813+N1813</f>
        <v>1279.9451273218785</v>
      </c>
      <c r="P1813" s="75">
        <f>(MIN(L1813,'THAM_SO_MOI'!$C$41)-O1813)/('THAM_SO_MOI'!$C$11*H1813)</f>
        <v>0.7755554910335867</v>
      </c>
      <c r="Q1813" s="75">
        <f>IF(P1813&gt;0,1/P1813,NA())</f>
        <v>1.2893983880731668</v>
      </c>
      <c r="R1813" s="75">
        <f>F1813-F1812</f>
        <v>0.005028991339518285</v>
      </c>
      <c r="S1813" s="75">
        <f>0.5*(Q1812+Q1813)*R1813</f>
        <v>0.006484690820861714</v>
      </c>
      <c r="T1813" s="75">
        <f>0.5*(F1812*Q1812+F1813*Q1813)*R1813</f>
        <v>0.04639569110368682</v>
      </c>
      <c r="U1813" s="76">
        <f>U1812+S1813</f>
        <v>8.847474567689305</v>
      </c>
      <c r="V1813" s="76">
        <f>V1812+T1813</f>
        <v>39.5570897576675</v>
      </c>
    </row>
    <row r="1814" spans="1:22" ht="19" customHeight="1">
      <c r="A1814" s="68" t="s">
        <v>374</v>
      </c>
      <c r="B1814" s="74">
        <v>3</v>
      </c>
      <c r="C1814" s="68" t="s">
        <v>363</v>
      </c>
      <c r="D1814" s="68" t="s">
        <v>364</v>
      </c>
      <c r="E1814" s="75">
        <f>60*F1814*'THAM_SO_MOI'!$C$51/(2*PI()*'THAM_SO_MOI'!$C$26)</f>
        <v>1799.0985731733895</v>
      </c>
      <c r="F1814" s="75">
        <f>'HANH_TRINH'!$F$1647+('THAM_SO_MOI'!$F$51-'HANH_TRINH'!$F$1647)*166/'THAM_SO_MOI'!$C$42</f>
        <v>7.162193289705496</v>
      </c>
      <c r="G1814" s="75">
        <f>3.6*F1814</f>
        <v>25.78389584293979</v>
      </c>
      <c r="H1814" s="75">
        <f>'THAM_SO_MOI'!$D$51</f>
        <v>1.375</v>
      </c>
      <c r="I1814" s="75">
        <f>IF(F1814&gt;'THAM_SO_MOI'!$C$14,'THAM_SO_MOI'!$C$13*(1+F1814^2/1500),'THAM_SO_MOI'!$C$13)</f>
        <v>0.015</v>
      </c>
      <c r="J1814" s="75">
        <f>'THAM_SO_MOI'!$C$40*('THAM_SO_MOI'!$C$23*(E1814/'THAM_SO_MOI'!$C$22)+'THAM_SO_MOI'!$C$24*(E1814/'THAM_SO_MOI'!$C$22)^2-'THAM_SO_MOI'!$C$25*(E1814/'THAM_SO_MOI'!$C$22)^3)</f>
        <v>79.7871147886935</v>
      </c>
      <c r="K1814" s="75">
        <f>'THAM_SO_MOI'!$C$31*J1814/E1814</f>
        <v>423.57578060041516</v>
      </c>
      <c r="L1814" s="75">
        <f>K1814*'THAM_SO_MOI'!$C$51*'THAM_SO_MOI'!$C$17/'THAM_SO_MOI'!$C$26</f>
        <v>9470.820059468642</v>
      </c>
      <c r="M1814" s="75">
        <f>'THAM_SO_MOI'!$C$15*'THAM_SO_MOI'!$C$16*F1814^2</f>
        <v>150.04376220337465</v>
      </c>
      <c r="N1814" s="75">
        <f>'THAM_SO_MOI'!$C$12*I1814</f>
        <v>1130.112</v>
      </c>
      <c r="O1814" s="75">
        <f>M1814+N1814</f>
        <v>1280.1557622033747</v>
      </c>
      <c r="P1814" s="75">
        <f>(MIN(L1814,'THAM_SO_MOI'!$C$41)-O1814)/('THAM_SO_MOI'!$C$11*H1814)</f>
        <v>0.7756310887561806</v>
      </c>
      <c r="Q1814" s="75">
        <f>IF(P1814&gt;0,1/P1814,NA())</f>
        <v>1.2892727154653154</v>
      </c>
      <c r="R1814" s="75">
        <f>F1814-F1813</f>
        <v>0.005028991339517397</v>
      </c>
      <c r="S1814" s="75">
        <f>0.5*(Q1813+Q1814)*R1814</f>
        <v>0.006484057323579397</v>
      </c>
      <c r="T1814" s="75">
        <f>0.5*(F1813*Q1813+F1814*Q1814)*R1814</f>
        <v>0.046423766924354785</v>
      </c>
      <c r="U1814" s="76">
        <f>U1813+S1814</f>
        <v>8.853958625012885</v>
      </c>
      <c r="V1814" s="76">
        <f>V1813+T1814</f>
        <v>39.603513524591854</v>
      </c>
    </row>
    <row r="1815" spans="1:22" ht="19" customHeight="1">
      <c r="A1815" s="68" t="s">
        <v>374</v>
      </c>
      <c r="B1815" s="74">
        <v>3</v>
      </c>
      <c r="C1815" s="68" t="s">
        <v>363</v>
      </c>
      <c r="D1815" s="68" t="s">
        <v>364</v>
      </c>
      <c r="E1815" s="75">
        <f>60*F1815*'THAM_SO_MOI'!$C$51/(2*PI()*'THAM_SO_MOI'!$C$26)</f>
        <v>1800.3618246352612</v>
      </c>
      <c r="F1815" s="75">
        <f>'HANH_TRINH'!$F$1647+('THAM_SO_MOI'!$F$51-'HANH_TRINH'!$F$1647)*167/'THAM_SO_MOI'!$C$42</f>
        <v>7.167222281045014</v>
      </c>
      <c r="G1815" s="75">
        <f>3.6*F1815</f>
        <v>25.80200021176205</v>
      </c>
      <c r="H1815" s="75">
        <f>'THAM_SO_MOI'!$D$51</f>
        <v>1.375</v>
      </c>
      <c r="I1815" s="75">
        <f>IF(F1815&gt;'THAM_SO_MOI'!$C$14,'THAM_SO_MOI'!$C$13*(1+F1815^2/1500),'THAM_SO_MOI'!$C$13)</f>
        <v>0.015</v>
      </c>
      <c r="J1815" s="75">
        <f>'THAM_SO_MOI'!$C$40*('THAM_SO_MOI'!$C$23*(E1815/'THAM_SO_MOI'!$C$22)+'THAM_SO_MOI'!$C$24*(E1815/'THAM_SO_MOI'!$C$22)^2-'THAM_SO_MOI'!$C$25*(E1815/'THAM_SO_MOI'!$C$22)^3)</f>
        <v>79.85161462848097</v>
      </c>
      <c r="K1815" s="75">
        <f>'THAM_SO_MOI'!$C$31*J1815/E1815</f>
        <v>423.62075022257767</v>
      </c>
      <c r="L1815" s="75">
        <f>K1815*'THAM_SO_MOI'!$C$51*'THAM_SO_MOI'!$C$17/'THAM_SO_MOI'!$C$26</f>
        <v>9471.825544718626</v>
      </c>
      <c r="M1815" s="75">
        <f>'THAM_SO_MOI'!$C$15*'THAM_SO_MOI'!$C$16*F1815^2</f>
        <v>150.25454503578118</v>
      </c>
      <c r="N1815" s="75">
        <f>'THAM_SO_MOI'!$C$12*I1815</f>
        <v>1130.112</v>
      </c>
      <c r="O1815" s="75">
        <f>M1815+N1815</f>
        <v>1280.3665450357812</v>
      </c>
      <c r="P1815" s="75">
        <f>(MIN(L1815,'THAM_SO_MOI'!$C$41)-O1815)/('THAM_SO_MOI'!$C$11*H1815)</f>
        <v>0.775706344666936</v>
      </c>
      <c r="Q1815" s="75">
        <f>IF(P1815&gt;0,1/P1815,NA())</f>
        <v>1.2891476354101095</v>
      </c>
      <c r="R1815" s="75">
        <f>F1815-F1814</f>
        <v>0.005028991339517397</v>
      </c>
      <c r="S1815" s="75">
        <f>0.5*(Q1814+Q1815)*R1815</f>
        <v>0.00648342680709396</v>
      </c>
      <c r="T1815" s="75">
        <f>0.5*(F1814*Q1814+F1815*Q1815)*R1815</f>
        <v>0.0464518577298545</v>
      </c>
      <c r="U1815" s="76">
        <f>U1814+S1815</f>
        <v>8.860442051819978</v>
      </c>
      <c r="V1815" s="76">
        <f>V1814+T1815</f>
        <v>39.64996538232171</v>
      </c>
    </row>
    <row r="1816" spans="1:22" ht="19" customHeight="1">
      <c r="A1816" s="68" t="s">
        <v>374</v>
      </c>
      <c r="B1816" s="74">
        <v>3</v>
      </c>
      <c r="C1816" s="68" t="s">
        <v>363</v>
      </c>
      <c r="D1816" s="68" t="s">
        <v>364</v>
      </c>
      <c r="E1816" s="75">
        <f>60*F1816*'THAM_SO_MOI'!$C$51/(2*PI()*'THAM_SO_MOI'!$C$26)</f>
        <v>1801.625076097133</v>
      </c>
      <c r="F1816" s="75">
        <f>'HANH_TRINH'!$F$1647+('THAM_SO_MOI'!$F$51-'HANH_TRINH'!$F$1647)*168/'THAM_SO_MOI'!$C$42</f>
        <v>7.172251272384531</v>
      </c>
      <c r="G1816" s="75">
        <f>3.6*F1816</f>
        <v>25.820104580584314</v>
      </c>
      <c r="H1816" s="75">
        <f>'THAM_SO_MOI'!$D$51</f>
        <v>1.375</v>
      </c>
      <c r="I1816" s="75">
        <f>IF(F1816&gt;'THAM_SO_MOI'!$C$14,'THAM_SO_MOI'!$C$13*(1+F1816^2/1500),'THAM_SO_MOI'!$C$13)</f>
        <v>0.015</v>
      </c>
      <c r="J1816" s="75">
        <f>'THAM_SO_MOI'!$C$40*('THAM_SO_MOI'!$C$23*(E1816/'THAM_SO_MOI'!$C$22)+'THAM_SO_MOI'!$C$24*(E1816/'THAM_SO_MOI'!$C$22)^2-'THAM_SO_MOI'!$C$25*(E1816/'THAM_SO_MOI'!$C$22)^3)</f>
        <v>79.91609716072996</v>
      </c>
      <c r="K1816" s="75">
        <f>'THAM_SO_MOI'!$C$31*J1816/E1816</f>
        <v>423.6655650279094</v>
      </c>
      <c r="L1816" s="75">
        <f>K1816*'THAM_SO_MOI'!$C$51*'THAM_SO_MOI'!$C$17/'THAM_SO_MOI'!$C$26</f>
        <v>9472.827568386492</v>
      </c>
      <c r="M1816" s="75">
        <f>'THAM_SO_MOI'!$C$15*'THAM_SO_MOI'!$C$16*F1816^2</f>
        <v>150.46547581909797</v>
      </c>
      <c r="N1816" s="75">
        <f>'THAM_SO_MOI'!$C$12*I1816</f>
        <v>1130.112</v>
      </c>
      <c r="O1816" s="75">
        <f>M1816+N1816</f>
        <v>1280.577475819098</v>
      </c>
      <c r="P1816" s="75">
        <f>(MIN(L1816,'THAM_SO_MOI'!$C$41)-O1816)/('THAM_SO_MOI'!$C$11*H1816)</f>
        <v>0.7757812587658519</v>
      </c>
      <c r="Q1816" s="75">
        <f>IF(P1816&gt;0,1/P1816,NA())</f>
        <v>1.2890231475697742</v>
      </c>
      <c r="R1816" s="75">
        <f>F1816-F1815</f>
        <v>0.005028991339517397</v>
      </c>
      <c r="S1816" s="75">
        <f>0.5*(Q1815+Q1816)*R1816</f>
        <v>0.006482799269701311</v>
      </c>
      <c r="T1816" s="75">
        <f>0.5*(F1815*Q1815+F1816*Q1816)*R1816</f>
        <v>0.04647996355293932</v>
      </c>
      <c r="U1816" s="76">
        <f>U1815+S1816</f>
        <v>8.86692485108968</v>
      </c>
      <c r="V1816" s="76">
        <f>V1815+T1816</f>
        <v>39.69644534587465</v>
      </c>
    </row>
    <row r="1817" spans="1:22" ht="19" customHeight="1">
      <c r="A1817" s="68" t="s">
        <v>374</v>
      </c>
      <c r="B1817" s="74">
        <v>3</v>
      </c>
      <c r="C1817" s="68" t="s">
        <v>363</v>
      </c>
      <c r="D1817" s="68" t="s">
        <v>364</v>
      </c>
      <c r="E1817" s="75">
        <f>60*F1817*'THAM_SO_MOI'!$C$51/(2*PI()*'THAM_SO_MOI'!$C$26)</f>
        <v>1802.8883275590047</v>
      </c>
      <c r="F1817" s="75">
        <f>'HANH_TRINH'!$F$1647+('THAM_SO_MOI'!$F$51-'HANH_TRINH'!$F$1647)*169/'THAM_SO_MOI'!$C$42</f>
        <v>7.177280263724049</v>
      </c>
      <c r="G1817" s="75">
        <f>3.6*F1817</f>
        <v>25.838208949406578</v>
      </c>
      <c r="H1817" s="75">
        <f>'THAM_SO_MOI'!$D$51</f>
        <v>1.375</v>
      </c>
      <c r="I1817" s="75">
        <f>IF(F1817&gt;'THAM_SO_MOI'!$C$14,'THAM_SO_MOI'!$C$13*(1+F1817^2/1500),'THAM_SO_MOI'!$C$13)</f>
        <v>0.015</v>
      </c>
      <c r="J1817" s="75">
        <f>'THAM_SO_MOI'!$C$40*('THAM_SO_MOI'!$C$23*(E1817/'THAM_SO_MOI'!$C$22)+'THAM_SO_MOI'!$C$24*(E1817/'THAM_SO_MOI'!$C$22)^2-'THAM_SO_MOI'!$C$25*(E1817/'THAM_SO_MOI'!$C$22)^3)</f>
        <v>79.98056232401122</v>
      </c>
      <c r="K1817" s="75">
        <f>'THAM_SO_MOI'!$C$31*J1817/E1817</f>
        <v>423.7102250164108</v>
      </c>
      <c r="L1817" s="75">
        <f>K1817*'THAM_SO_MOI'!$C$51*'THAM_SO_MOI'!$C$17/'THAM_SO_MOI'!$C$26</f>
        <v>9473.826130472255</v>
      </c>
      <c r="M1817" s="75">
        <f>'THAM_SO_MOI'!$C$15*'THAM_SO_MOI'!$C$16*F1817^2</f>
        <v>150.67655455332508</v>
      </c>
      <c r="N1817" s="75">
        <f>'THAM_SO_MOI'!$C$12*I1817</f>
        <v>1130.112</v>
      </c>
      <c r="O1817" s="75">
        <f>M1817+N1817</f>
        <v>1280.7885545533252</v>
      </c>
      <c r="P1817" s="75">
        <f>(MIN(L1817,'THAM_SO_MOI'!$C$41)-O1817)/('THAM_SO_MOI'!$C$11*H1817)</f>
        <v>0.775855831052929</v>
      </c>
      <c r="Q1817" s="75">
        <f>IF(P1817&gt;0,1/P1817,NA())</f>
        <v>1.288899251608228</v>
      </c>
      <c r="R1817" s="75">
        <f>F1817-F1816</f>
        <v>0.005028991339518285</v>
      </c>
      <c r="S1817" s="75">
        <f>0.5*(Q1816+Q1817)*R1817</f>
        <v>0.006482174709708187</v>
      </c>
      <c r="T1817" s="75">
        <f>0.5*(F1816*Q1816+F1817*Q1817)*R1817</f>
        <v>0.046508084426405985</v>
      </c>
      <c r="U1817" s="76">
        <f>U1816+S1817</f>
        <v>8.873407025799388</v>
      </c>
      <c r="V1817" s="76">
        <f>V1816+T1817</f>
        <v>39.74295343030106</v>
      </c>
    </row>
    <row r="1818" spans="1:22" ht="19" customHeight="1">
      <c r="A1818" s="68" t="s">
        <v>374</v>
      </c>
      <c r="B1818" s="74">
        <v>3</v>
      </c>
      <c r="C1818" s="68" t="s">
        <v>363</v>
      </c>
      <c r="D1818" s="68" t="s">
        <v>364</v>
      </c>
      <c r="E1818" s="75">
        <f>60*F1818*'THAM_SO_MOI'!$C$51/(2*PI()*'THAM_SO_MOI'!$C$26)</f>
        <v>1804.1515790208762</v>
      </c>
      <c r="F1818" s="75">
        <f>'HANH_TRINH'!$F$1647+('THAM_SO_MOI'!$F$51-'HANH_TRINH'!$F$1647)*170/'THAM_SO_MOI'!$C$42</f>
        <v>7.182309255063567</v>
      </c>
      <c r="G1818" s="75">
        <f>3.6*F1818</f>
        <v>25.856313318228842</v>
      </c>
      <c r="H1818" s="75">
        <f>'THAM_SO_MOI'!$D$51</f>
        <v>1.375</v>
      </c>
      <c r="I1818" s="75">
        <f>IF(F1818&gt;'THAM_SO_MOI'!$C$14,'THAM_SO_MOI'!$C$13*(1+F1818^2/1500),'THAM_SO_MOI'!$C$13)</f>
        <v>0.015</v>
      </c>
      <c r="J1818" s="75">
        <f>'THAM_SO_MOI'!$C$40*('THAM_SO_MOI'!$C$23*(E1818/'THAM_SO_MOI'!$C$22)+'THAM_SO_MOI'!$C$24*(E1818/'THAM_SO_MOI'!$C$22)^2-'THAM_SO_MOI'!$C$25*(E1818/'THAM_SO_MOI'!$C$22)^3)</f>
        <v>80.04501005689532</v>
      </c>
      <c r="K1818" s="75">
        <f>'THAM_SO_MOI'!$C$31*J1818/E1818</f>
        <v>423.7547301880816</v>
      </c>
      <c r="L1818" s="75">
        <f>K1818*'THAM_SO_MOI'!$C$51*'THAM_SO_MOI'!$C$17/'THAM_SO_MOI'!$C$26</f>
        <v>9474.821230975906</v>
      </c>
      <c r="M1818" s="75">
        <f>'THAM_SO_MOI'!$C$15*'THAM_SO_MOI'!$C$16*F1818^2</f>
        <v>150.88778123846242</v>
      </c>
      <c r="N1818" s="75">
        <f>'THAM_SO_MOI'!$C$12*I1818</f>
        <v>1130.112</v>
      </c>
      <c r="O1818" s="75">
        <f>M1818+N1818</f>
        <v>1280.9997812384624</v>
      </c>
      <c r="P1818" s="75">
        <f>(MIN(L1818,'THAM_SO_MOI'!$C$41)-O1818)/('THAM_SO_MOI'!$C$11*H1818)</f>
        <v>0.7759300615281669</v>
      </c>
      <c r="Q1818" s="75">
        <f>IF(P1818&gt;0,1/P1818,NA())</f>
        <v>1.2887759471910847</v>
      </c>
      <c r="R1818" s="75">
        <f>F1818-F1817</f>
        <v>0.005028991339517397</v>
      </c>
      <c r="S1818" s="75">
        <f>0.5*(Q1817+Q1818)*R1818</f>
        <v>0.006481553125425264</v>
      </c>
      <c r="T1818" s="75">
        <f>0.5*(F1817*Q1817+F1818*Q1818)*R1818</f>
        <v>0.04653622038304546</v>
      </c>
      <c r="U1818" s="76">
        <f>U1817+S1818</f>
        <v>8.879888578924813</v>
      </c>
      <c r="V1818" s="76">
        <f>V1817+T1818</f>
        <v>39.789489650684104</v>
      </c>
    </row>
    <row r="1819" spans="1:22" ht="19" customHeight="1">
      <c r="A1819" s="68" t="s">
        <v>374</v>
      </c>
      <c r="B1819" s="74">
        <v>3</v>
      </c>
      <c r="C1819" s="68" t="s">
        <v>363</v>
      </c>
      <c r="D1819" s="68" t="s">
        <v>364</v>
      </c>
      <c r="E1819" s="75">
        <f>60*F1819*'THAM_SO_MOI'!$C$51/(2*PI()*'THAM_SO_MOI'!$C$26)</f>
        <v>1805.414830482748</v>
      </c>
      <c r="F1819" s="75">
        <f>'HANH_TRINH'!$F$1647+('THAM_SO_MOI'!$F$51-'HANH_TRINH'!$F$1647)*171/'THAM_SO_MOI'!$C$42</f>
        <v>7.187338246403085</v>
      </c>
      <c r="G1819" s="75">
        <f>3.6*F1819</f>
        <v>25.874417687051107</v>
      </c>
      <c r="H1819" s="75">
        <f>'THAM_SO_MOI'!$D$51</f>
        <v>1.375</v>
      </c>
      <c r="I1819" s="75">
        <f>IF(F1819&gt;'THAM_SO_MOI'!$C$14,'THAM_SO_MOI'!$C$13*(1+F1819^2/1500),'THAM_SO_MOI'!$C$13)</f>
        <v>0.015</v>
      </c>
      <c r="J1819" s="75">
        <f>'THAM_SO_MOI'!$C$40*('THAM_SO_MOI'!$C$23*(E1819/'THAM_SO_MOI'!$C$22)+'THAM_SO_MOI'!$C$24*(E1819/'THAM_SO_MOI'!$C$22)^2-'THAM_SO_MOI'!$C$25*(E1819/'THAM_SO_MOI'!$C$22)^3)</f>
        <v>80.10944029795296</v>
      </c>
      <c r="K1819" s="75">
        <f>'THAM_SO_MOI'!$C$31*J1819/E1819</f>
        <v>423.799080542922</v>
      </c>
      <c r="L1819" s="75">
        <f>K1819*'THAM_SO_MOI'!$C$51*'THAM_SO_MOI'!$C$17/'THAM_SO_MOI'!$C$26</f>
        <v>9475.81286989745</v>
      </c>
      <c r="M1819" s="75">
        <f>'THAM_SO_MOI'!$C$15*'THAM_SO_MOI'!$C$16*F1819^2</f>
        <v>151.09915587451007</v>
      </c>
      <c r="N1819" s="75">
        <f>'THAM_SO_MOI'!$C$12*I1819</f>
        <v>1130.112</v>
      </c>
      <c r="O1819" s="75">
        <f>M1819+N1819</f>
        <v>1281.21115587451</v>
      </c>
      <c r="P1819" s="75">
        <f>(MIN(L1819,'THAM_SO_MOI'!$C$41)-O1819)/('THAM_SO_MOI'!$C$11*H1819)</f>
        <v>0.7760039501915664</v>
      </c>
      <c r="Q1819" s="75">
        <f>IF(P1819&gt;0,1/P1819,NA())</f>
        <v>1.2886532339856482</v>
      </c>
      <c r="R1819" s="75">
        <f>F1819-F1818</f>
        <v>0.005028991339518285</v>
      </c>
      <c r="S1819" s="75">
        <f>0.5*(Q1818+Q1819)*R1819</f>
        <v>0.006480934515179747</v>
      </c>
      <c r="T1819" s="75">
        <f>0.5*(F1818*Q1818+F1819*Q1819)*R1819</f>
        <v>0.04656437145573345</v>
      </c>
      <c r="U1819" s="76">
        <f>U1818+S1819</f>
        <v>8.886369513439993</v>
      </c>
      <c r="V1819" s="76">
        <f>V1818+T1819</f>
        <v>39.836054022139834</v>
      </c>
    </row>
    <row r="1820" spans="1:22" ht="19" customHeight="1">
      <c r="A1820" s="68" t="s">
        <v>374</v>
      </c>
      <c r="B1820" s="74">
        <v>3</v>
      </c>
      <c r="C1820" s="68" t="s">
        <v>363</v>
      </c>
      <c r="D1820" s="68" t="s">
        <v>364</v>
      </c>
      <c r="E1820" s="75">
        <f>60*F1820*'THAM_SO_MOI'!$C$51/(2*PI()*'THAM_SO_MOI'!$C$26)</f>
        <v>1806.6780819446196</v>
      </c>
      <c r="F1820" s="75">
        <f>'HANH_TRINH'!$F$1647+('THAM_SO_MOI'!$F$51-'HANH_TRINH'!$F$1647)*172/'THAM_SO_MOI'!$C$42</f>
        <v>7.1923672377426024</v>
      </c>
      <c r="G1820" s="75">
        <f>3.6*F1820</f>
        <v>25.892522055873368</v>
      </c>
      <c r="H1820" s="75">
        <f>'THAM_SO_MOI'!$D$51</f>
        <v>1.375</v>
      </c>
      <c r="I1820" s="75">
        <f>IF(F1820&gt;'THAM_SO_MOI'!$C$14,'THAM_SO_MOI'!$C$13*(1+F1820^2/1500),'THAM_SO_MOI'!$C$13)</f>
        <v>0.015</v>
      </c>
      <c r="J1820" s="75">
        <f>'THAM_SO_MOI'!$C$40*('THAM_SO_MOI'!$C$23*(E1820/'THAM_SO_MOI'!$C$22)+'THAM_SO_MOI'!$C$24*(E1820/'THAM_SO_MOI'!$C$22)^2-'THAM_SO_MOI'!$C$25*(E1820/'THAM_SO_MOI'!$C$22)^3)</f>
        <v>80.17385298575476</v>
      </c>
      <c r="K1820" s="75">
        <f>'THAM_SO_MOI'!$C$31*J1820/E1820</f>
        <v>423.8432760809318</v>
      </c>
      <c r="L1820" s="75">
        <f>K1820*'THAM_SO_MOI'!$C$51*'THAM_SO_MOI'!$C$17/'THAM_SO_MOI'!$C$26</f>
        <v>9476.801047236884</v>
      </c>
      <c r="M1820" s="75">
        <f>'THAM_SO_MOI'!$C$15*'THAM_SO_MOI'!$C$16*F1820^2</f>
        <v>151.310678461468</v>
      </c>
      <c r="N1820" s="75">
        <f>'THAM_SO_MOI'!$C$12*I1820</f>
        <v>1130.112</v>
      </c>
      <c r="O1820" s="75">
        <f>M1820+N1820</f>
        <v>1281.422678461468</v>
      </c>
      <c r="P1820" s="75">
        <f>(MIN(L1820,'THAM_SO_MOI'!$C$41)-O1820)/('THAM_SO_MOI'!$C$11*H1820)</f>
        <v>0.7760774970431265</v>
      </c>
      <c r="Q1820" s="75">
        <f>IF(P1820&gt;0,1/P1820,NA())</f>
        <v>1.2885311116609148</v>
      </c>
      <c r="R1820" s="75">
        <f>F1820-F1819</f>
        <v>0.005028991339517397</v>
      </c>
      <c r="S1820" s="75">
        <f>0.5*(Q1819+Q1820)*R1820</f>
        <v>0.006480318877298187</v>
      </c>
      <c r="T1820" s="75">
        <f>0.5*(F1819*Q1819+F1820*Q1820)*R1820</f>
        <v>0.04659253767730737</v>
      </c>
      <c r="U1820" s="76">
        <f>U1819+S1820</f>
        <v>8.89284983231729</v>
      </c>
      <c r="V1820" s="76">
        <f>V1819+T1820</f>
        <v>39.88264655981714</v>
      </c>
    </row>
    <row r="1821" spans="1:22" ht="19" customHeight="1">
      <c r="A1821" s="68" t="s">
        <v>374</v>
      </c>
      <c r="B1821" s="74">
        <v>3</v>
      </c>
      <c r="C1821" s="68" t="s">
        <v>363</v>
      </c>
      <c r="D1821" s="68" t="s">
        <v>364</v>
      </c>
      <c r="E1821" s="75">
        <f>60*F1821*'THAM_SO_MOI'!$C$51/(2*PI()*'THAM_SO_MOI'!$C$26)</f>
        <v>1807.941333406491</v>
      </c>
      <c r="F1821" s="75">
        <f>'HANH_TRINH'!$F$1647+('THAM_SO_MOI'!$F$51-'HANH_TRINH'!$F$1647)*173/'THAM_SO_MOI'!$C$42</f>
        <v>7.19739622908212</v>
      </c>
      <c r="G1821" s="75">
        <f>3.6*F1821</f>
        <v>25.910626424695632</v>
      </c>
      <c r="H1821" s="75">
        <f>'THAM_SO_MOI'!$D$51</f>
        <v>1.375</v>
      </c>
      <c r="I1821" s="75">
        <f>IF(F1821&gt;'THAM_SO_MOI'!$C$14,'THAM_SO_MOI'!$C$13*(1+F1821^2/1500),'THAM_SO_MOI'!$C$13)</f>
        <v>0.015</v>
      </c>
      <c r="J1821" s="75">
        <f>'THAM_SO_MOI'!$C$40*('THAM_SO_MOI'!$C$23*(E1821/'THAM_SO_MOI'!$C$22)+'THAM_SO_MOI'!$C$24*(E1821/'THAM_SO_MOI'!$C$22)^2-'THAM_SO_MOI'!$C$25*(E1821/'THAM_SO_MOI'!$C$22)^3)</f>
        <v>80.23824805887138</v>
      </c>
      <c r="K1821" s="75">
        <f>'THAM_SO_MOI'!$C$31*J1821/E1821</f>
        <v>423.8873168021111</v>
      </c>
      <c r="L1821" s="75">
        <f>K1821*'THAM_SO_MOI'!$C$51*'THAM_SO_MOI'!$C$17/'THAM_SO_MOI'!$C$26</f>
        <v>9477.78576299421</v>
      </c>
      <c r="M1821" s="75">
        <f>'THAM_SO_MOI'!$C$15*'THAM_SO_MOI'!$C$16*F1821^2</f>
        <v>151.52234899933617</v>
      </c>
      <c r="N1821" s="75">
        <f>'THAM_SO_MOI'!$C$12*I1821</f>
        <v>1130.112</v>
      </c>
      <c r="O1821" s="75">
        <f>M1821+N1821</f>
        <v>1281.6343489993362</v>
      </c>
      <c r="P1821" s="75">
        <f>(MIN(L1821,'THAM_SO_MOI'!$C$41)-O1821)/('THAM_SO_MOI'!$C$11*H1821)</f>
        <v>0.7761507020828479</v>
      </c>
      <c r="Q1821" s="75">
        <f>IF(P1821&gt;0,1/P1821,NA())</f>
        <v>1.288409579887564</v>
      </c>
      <c r="R1821" s="75">
        <f>F1821-F1820</f>
        <v>0.005028991339517397</v>
      </c>
      <c r="S1821" s="75">
        <f>0.5*(Q1820+Q1821)*R1821</f>
        <v>0.006479706210123636</v>
      </c>
      <c r="T1821" s="75">
        <f>0.5*(F1820*Q1820+F1821*Q1821)*R1821</f>
        <v>0.04662071908068964</v>
      </c>
      <c r="U1821" s="76">
        <f>U1820+S1821</f>
        <v>8.899329538527414</v>
      </c>
      <c r="V1821" s="76">
        <f>V1820+T1821</f>
        <v>39.92926727889783</v>
      </c>
    </row>
    <row r="1822" spans="1:22" ht="19" customHeight="1">
      <c r="A1822" s="68" t="s">
        <v>374</v>
      </c>
      <c r="B1822" s="74">
        <v>3</v>
      </c>
      <c r="C1822" s="68" t="s">
        <v>363</v>
      </c>
      <c r="D1822" s="68" t="s">
        <v>364</v>
      </c>
      <c r="E1822" s="75">
        <f>60*F1822*'THAM_SO_MOI'!$C$51/(2*PI()*'THAM_SO_MOI'!$C$26)</f>
        <v>1809.2045848683626</v>
      </c>
      <c r="F1822" s="75">
        <f>'HANH_TRINH'!$F$1647+('THAM_SO_MOI'!$F$51-'HANH_TRINH'!$F$1647)*174/'THAM_SO_MOI'!$C$42</f>
        <v>7.202425220421637</v>
      </c>
      <c r="G1822" s="75">
        <f>3.6*F1822</f>
        <v>25.928730793517893</v>
      </c>
      <c r="H1822" s="75">
        <f>'THAM_SO_MOI'!$D$51</f>
        <v>1.375</v>
      </c>
      <c r="I1822" s="75">
        <f>IF(F1822&gt;'THAM_SO_MOI'!$C$14,'THAM_SO_MOI'!$C$13*(1+F1822^2/1500),'THAM_SO_MOI'!$C$13)</f>
        <v>0.015</v>
      </c>
      <c r="J1822" s="75">
        <f>'THAM_SO_MOI'!$C$40*('THAM_SO_MOI'!$C$23*(E1822/'THAM_SO_MOI'!$C$22)+'THAM_SO_MOI'!$C$24*(E1822/'THAM_SO_MOI'!$C$22)^2-'THAM_SO_MOI'!$C$25*(E1822/'THAM_SO_MOI'!$C$22)^3)</f>
        <v>80.3026254558735</v>
      </c>
      <c r="K1822" s="75">
        <f>'THAM_SO_MOI'!$C$31*J1822/E1822</f>
        <v>423.93120270645994</v>
      </c>
      <c r="L1822" s="75">
        <f>K1822*'THAM_SO_MOI'!$C$51*'THAM_SO_MOI'!$C$17/'THAM_SO_MOI'!$C$26</f>
        <v>9478.767017169424</v>
      </c>
      <c r="M1822" s="75">
        <f>'THAM_SO_MOI'!$C$15*'THAM_SO_MOI'!$C$16*F1822^2</f>
        <v>151.7341674881146</v>
      </c>
      <c r="N1822" s="75">
        <f>'THAM_SO_MOI'!$C$12*I1822</f>
        <v>1130.112</v>
      </c>
      <c r="O1822" s="75">
        <f>M1822+N1822</f>
        <v>1281.8461674881146</v>
      </c>
      <c r="P1822" s="75">
        <f>(MIN(L1822,'THAM_SO_MOI'!$C$41)-O1822)/('THAM_SO_MOI'!$C$11*H1822)</f>
        <v>0.7762235653107299</v>
      </c>
      <c r="Q1822" s="75">
        <f>IF(P1822&gt;0,1/P1822,NA())</f>
        <v>1.2882886383379641</v>
      </c>
      <c r="R1822" s="75">
        <f>F1822-F1821</f>
        <v>0.005028991339517397</v>
      </c>
      <c r="S1822" s="75">
        <f>0.5*(Q1821+Q1822)*R1822</f>
        <v>0.006479096512003044</v>
      </c>
      <c r="T1822" s="75">
        <f>0.5*(F1821*Q1821+F1822*Q1822)*R1822</f>
        <v>0.04664891569879747</v>
      </c>
      <c r="U1822" s="76">
        <f>U1821+S1822</f>
        <v>8.905808635039417</v>
      </c>
      <c r="V1822" s="76">
        <f>V1821+T1822</f>
        <v>39.97591619459663</v>
      </c>
    </row>
    <row r="1823" spans="1:22" ht="19" customHeight="1">
      <c r="A1823" s="68" t="s">
        <v>374</v>
      </c>
      <c r="B1823" s="74">
        <v>3</v>
      </c>
      <c r="C1823" s="68" t="s">
        <v>363</v>
      </c>
      <c r="D1823" s="68" t="s">
        <v>364</v>
      </c>
      <c r="E1823" s="75">
        <f>60*F1823*'THAM_SO_MOI'!$C$51/(2*PI()*'THAM_SO_MOI'!$C$26)</f>
        <v>1810.4678363302344</v>
      </c>
      <c r="F1823" s="75">
        <f>'HANH_TRINH'!$F$1647+('THAM_SO_MOI'!$F$51-'HANH_TRINH'!$F$1647)*175/'THAM_SO_MOI'!$C$42</f>
        <v>7.2074542117611555</v>
      </c>
      <c r="G1823" s="75">
        <f>3.6*F1823</f>
        <v>25.94683516234016</v>
      </c>
      <c r="H1823" s="75">
        <f>'THAM_SO_MOI'!$D$51</f>
        <v>1.375</v>
      </c>
      <c r="I1823" s="75">
        <f>IF(F1823&gt;'THAM_SO_MOI'!$C$14,'THAM_SO_MOI'!$C$13*(1+F1823^2/1500),'THAM_SO_MOI'!$C$13)</f>
        <v>0.015</v>
      </c>
      <c r="J1823" s="75">
        <f>'THAM_SO_MOI'!$C$40*('THAM_SO_MOI'!$C$23*(E1823/'THAM_SO_MOI'!$C$22)+'THAM_SO_MOI'!$C$24*(E1823/'THAM_SO_MOI'!$C$22)^2-'THAM_SO_MOI'!$C$25*(E1823/'THAM_SO_MOI'!$C$22)^3)</f>
        <v>80.36698511533173</v>
      </c>
      <c r="K1823" s="75">
        <f>'THAM_SO_MOI'!$C$31*J1823/E1823</f>
        <v>423.97493379397827</v>
      </c>
      <c r="L1823" s="75">
        <f>K1823*'THAM_SO_MOI'!$C$51*'THAM_SO_MOI'!$C$17/'THAM_SO_MOI'!$C$26</f>
        <v>9479.744809762533</v>
      </c>
      <c r="M1823" s="75">
        <f>'THAM_SO_MOI'!$C$15*'THAM_SO_MOI'!$C$16*F1823^2</f>
        <v>151.94613392780334</v>
      </c>
      <c r="N1823" s="75">
        <f>'THAM_SO_MOI'!$C$12*I1823</f>
        <v>1130.112</v>
      </c>
      <c r="O1823" s="75">
        <f>M1823+N1823</f>
        <v>1282.0581339278035</v>
      </c>
      <c r="P1823" s="75">
        <f>(MIN(L1823,'THAM_SO_MOI'!$C$41)-O1823)/('THAM_SO_MOI'!$C$11*H1823)</f>
        <v>0.7762960867267734</v>
      </c>
      <c r="Q1823" s="75">
        <f>IF(P1823&gt;0,1/P1823,NA())</f>
        <v>1.2881682866861621</v>
      </c>
      <c r="R1823" s="75">
        <f>F1823-F1822</f>
        <v>0.005028991339518285</v>
      </c>
      <c r="S1823" s="75">
        <f>0.5*(Q1822+Q1823)*R1823</f>
        <v>0.006478489781294121</v>
      </c>
      <c r="T1823" s="75">
        <f>0.5*(F1822*Q1822+F1823*Q1823)*R1823</f>
        <v>0.046677127564592275</v>
      </c>
      <c r="U1823" s="76">
        <f>U1822+S1823</f>
        <v>8.912287124820711</v>
      </c>
      <c r="V1823" s="76">
        <f>V1822+T1823</f>
        <v>40.02259332216122</v>
      </c>
    </row>
    <row r="1824" spans="1:22" ht="19" customHeight="1">
      <c r="A1824" s="68" t="s">
        <v>374</v>
      </c>
      <c r="B1824" s="74">
        <v>3</v>
      </c>
      <c r="C1824" s="68" t="s">
        <v>363</v>
      </c>
      <c r="D1824" s="68" t="s">
        <v>364</v>
      </c>
      <c r="E1824" s="75">
        <f>60*F1824*'THAM_SO_MOI'!$C$51/(2*PI()*'THAM_SO_MOI'!$C$26)</f>
        <v>1811.7310877921059</v>
      </c>
      <c r="F1824" s="75">
        <f>'HANH_TRINH'!$F$1647+('THAM_SO_MOI'!$F$51-'HANH_TRINH'!$F$1647)*176/'THAM_SO_MOI'!$C$42</f>
        <v>7.212483203100673</v>
      </c>
      <c r="G1824" s="75">
        <f>3.6*F1824</f>
        <v>25.964939531162422</v>
      </c>
      <c r="H1824" s="75">
        <f>'THAM_SO_MOI'!$D$51</f>
        <v>1.375</v>
      </c>
      <c r="I1824" s="75">
        <f>IF(F1824&gt;'THAM_SO_MOI'!$C$14,'THAM_SO_MOI'!$C$13*(1+F1824^2/1500),'THAM_SO_MOI'!$C$13)</f>
        <v>0.015</v>
      </c>
      <c r="J1824" s="75">
        <f>'THAM_SO_MOI'!$C$40*('THAM_SO_MOI'!$C$23*(E1824/'THAM_SO_MOI'!$C$22)+'THAM_SO_MOI'!$C$24*(E1824/'THAM_SO_MOI'!$C$22)^2-'THAM_SO_MOI'!$C$25*(E1824/'THAM_SO_MOI'!$C$22)^3)</f>
        <v>80.43132697581675</v>
      </c>
      <c r="K1824" s="75">
        <f>'THAM_SO_MOI'!$C$31*J1824/E1824</f>
        <v>424.0185100646662</v>
      </c>
      <c r="L1824" s="75">
        <f>K1824*'THAM_SO_MOI'!$C$51*'THAM_SO_MOI'!$C$17/'THAM_SO_MOI'!$C$26</f>
        <v>9480.719140773535</v>
      </c>
      <c r="M1824" s="75">
        <f>'THAM_SO_MOI'!$C$15*'THAM_SO_MOI'!$C$16*F1824^2</f>
        <v>152.15824831840234</v>
      </c>
      <c r="N1824" s="75">
        <f>'THAM_SO_MOI'!$C$12*I1824</f>
        <v>1130.112</v>
      </c>
      <c r="O1824" s="75">
        <f>M1824+N1824</f>
        <v>1282.2702483184025</v>
      </c>
      <c r="P1824" s="75">
        <f>(MIN(L1824,'THAM_SO_MOI'!$C$41)-O1824)/('THAM_SO_MOI'!$C$11*H1824)</f>
        <v>0.7763682663309786</v>
      </c>
      <c r="Q1824" s="75">
        <f>IF(P1824&gt;0,1/P1824,NA())</f>
        <v>1.288048524607887</v>
      </c>
      <c r="R1824" s="75">
        <f>F1824-F1823</f>
        <v>0.005028991339517397</v>
      </c>
      <c r="S1824" s="75">
        <f>0.5*(Q1823+Q1824)*R1824</f>
        <v>0.006477886016358449</v>
      </c>
      <c r="T1824" s="75">
        <f>0.5*(F1823*Q1823+F1824*Q1824)*R1824</f>
        <v>0.0467053547110304</v>
      </c>
      <c r="U1824" s="76">
        <f>U1823+S1824</f>
        <v>8.91876501083707</v>
      </c>
      <c r="V1824" s="76">
        <f>V1823+T1824</f>
        <v>40.06929867687225</v>
      </c>
    </row>
    <row r="1825" spans="1:22" ht="19" customHeight="1">
      <c r="A1825" s="68" t="s">
        <v>374</v>
      </c>
      <c r="B1825" s="74">
        <v>3</v>
      </c>
      <c r="C1825" s="68" t="s">
        <v>363</v>
      </c>
      <c r="D1825" s="68" t="s">
        <v>364</v>
      </c>
      <c r="E1825" s="75">
        <f>60*F1825*'THAM_SO_MOI'!$C$51/(2*PI()*'THAM_SO_MOI'!$C$26)</f>
        <v>1812.9943392539776</v>
      </c>
      <c r="F1825" s="75">
        <f>'HANH_TRINH'!$F$1647+('THAM_SO_MOI'!$F$51-'HANH_TRINH'!$F$1647)*177/'THAM_SO_MOI'!$C$42</f>
        <v>7.217512194440191</v>
      </c>
      <c r="G1825" s="75">
        <f>3.6*F1825</f>
        <v>25.98304389998469</v>
      </c>
      <c r="H1825" s="75">
        <f>'THAM_SO_MOI'!$D$51</f>
        <v>1.375</v>
      </c>
      <c r="I1825" s="75">
        <f>IF(F1825&gt;'THAM_SO_MOI'!$C$14,'THAM_SO_MOI'!$C$13*(1+F1825^2/1500),'THAM_SO_MOI'!$C$13)</f>
        <v>0.015</v>
      </c>
      <c r="J1825" s="75">
        <f>'THAM_SO_MOI'!$C$40*('THAM_SO_MOI'!$C$23*(E1825/'THAM_SO_MOI'!$C$22)+'THAM_SO_MOI'!$C$24*(E1825/'THAM_SO_MOI'!$C$22)^2-'THAM_SO_MOI'!$C$25*(E1825/'THAM_SO_MOI'!$C$22)^3)</f>
        <v>80.49565097589918</v>
      </c>
      <c r="K1825" s="75">
        <f>'THAM_SO_MOI'!$C$31*J1825/E1825</f>
        <v>424.06193151852347</v>
      </c>
      <c r="L1825" s="75">
        <f>K1825*'THAM_SO_MOI'!$C$51*'THAM_SO_MOI'!$C$17/'THAM_SO_MOI'!$C$26</f>
        <v>9481.690010202423</v>
      </c>
      <c r="M1825" s="75">
        <f>'THAM_SO_MOI'!$C$15*'THAM_SO_MOI'!$C$16*F1825^2</f>
        <v>152.37051065991164</v>
      </c>
      <c r="N1825" s="75">
        <f>'THAM_SO_MOI'!$C$12*I1825</f>
        <v>1130.112</v>
      </c>
      <c r="O1825" s="75">
        <f>M1825+N1825</f>
        <v>1282.4825106599117</v>
      </c>
      <c r="P1825" s="75">
        <f>(MIN(L1825,'THAM_SO_MOI'!$C$41)-O1825)/('THAM_SO_MOI'!$C$11*H1825)</f>
        <v>0.7764401041233437</v>
      </c>
      <c r="Q1825" s="75">
        <f>IF(P1825&gt;0,1/P1825,NA())</f>
        <v>1.2879293517805488</v>
      </c>
      <c r="R1825" s="75">
        <f>F1825-F1824</f>
        <v>0.005028991339518285</v>
      </c>
      <c r="S1825" s="75">
        <f>0.5*(Q1824+Q1825)*R1825</f>
        <v>0.006477285215574073</v>
      </c>
      <c r="T1825" s="75">
        <f>0.5*(F1824*Q1824+F1825*Q1825)*R1825</f>
        <v>0.04673359717115402</v>
      </c>
      <c r="U1825" s="76">
        <f>U1824+S1825</f>
        <v>8.925242296052645</v>
      </c>
      <c r="V1825" s="76">
        <f>V1824+T1825</f>
        <v>40.116032274043405</v>
      </c>
    </row>
    <row r="1826" spans="1:22" ht="19" customHeight="1">
      <c r="A1826" s="68" t="s">
        <v>374</v>
      </c>
      <c r="B1826" s="74">
        <v>3</v>
      </c>
      <c r="C1826" s="68" t="s">
        <v>363</v>
      </c>
      <c r="D1826" s="68" t="s">
        <v>364</v>
      </c>
      <c r="E1826" s="75">
        <f>60*F1826*'THAM_SO_MOI'!$C$51/(2*PI()*'THAM_SO_MOI'!$C$26)</f>
        <v>1814.2575907158493</v>
      </c>
      <c r="F1826" s="75">
        <f>'HANH_TRINH'!$F$1647+('THAM_SO_MOI'!$F$51-'HANH_TRINH'!$F$1647)*178/'THAM_SO_MOI'!$C$42</f>
        <v>7.222541185779709</v>
      </c>
      <c r="G1826" s="75">
        <f>3.6*F1826</f>
        <v>26.00114826880695</v>
      </c>
      <c r="H1826" s="75">
        <f>'THAM_SO_MOI'!$D$51</f>
        <v>1.375</v>
      </c>
      <c r="I1826" s="75">
        <f>IF(F1826&gt;'THAM_SO_MOI'!$C$14,'THAM_SO_MOI'!$C$13*(1+F1826^2/1500),'THAM_SO_MOI'!$C$13)</f>
        <v>0.015</v>
      </c>
      <c r="J1826" s="75">
        <f>'THAM_SO_MOI'!$C$40*('THAM_SO_MOI'!$C$23*(E1826/'THAM_SO_MOI'!$C$22)+'THAM_SO_MOI'!$C$24*(E1826/'THAM_SO_MOI'!$C$22)^2-'THAM_SO_MOI'!$C$25*(E1826/'THAM_SO_MOI'!$C$22)^3)</f>
        <v>80.55995705414966</v>
      </c>
      <c r="K1826" s="75">
        <f>'THAM_SO_MOI'!$C$31*J1826/E1826</f>
        <v>424.1051981555501</v>
      </c>
      <c r="L1826" s="75">
        <f>K1826*'THAM_SO_MOI'!$C$51*'THAM_SO_MOI'!$C$17/'THAM_SO_MOI'!$C$26</f>
        <v>9482.657418049203</v>
      </c>
      <c r="M1826" s="75">
        <f>'THAM_SO_MOI'!$C$15*'THAM_SO_MOI'!$C$16*F1826^2</f>
        <v>152.5829209523312</v>
      </c>
      <c r="N1826" s="75">
        <f>'THAM_SO_MOI'!$C$12*I1826</f>
        <v>1130.112</v>
      </c>
      <c r="O1826" s="75">
        <f>M1826+N1826</f>
        <v>1282.6949209523314</v>
      </c>
      <c r="P1826" s="75">
        <f>(MIN(L1826,'THAM_SO_MOI'!$C$41)-O1826)/('THAM_SO_MOI'!$C$11*H1826)</f>
        <v>0.7765116001038705</v>
      </c>
      <c r="Q1826" s="75">
        <f>IF(P1826&gt;0,1/P1826,NA())</f>
        <v>1.2878107678832285</v>
      </c>
      <c r="R1826" s="75">
        <f>F1826-F1825</f>
        <v>0.005028991339517397</v>
      </c>
      <c r="S1826" s="75">
        <f>0.5*(Q1825+Q1826)*R1826</f>
        <v>0.00647668737731832</v>
      </c>
      <c r="T1826" s="75">
        <f>0.5*(F1825*Q1825+F1826*Q1826)*R1826</f>
        <v>0.046761854977967435</v>
      </c>
      <c r="U1826" s="76">
        <f>U1825+S1826</f>
        <v>8.931718983429963</v>
      </c>
      <c r="V1826" s="76">
        <f>V1825+T1826</f>
        <v>40.16279412902137</v>
      </c>
    </row>
    <row r="1827" spans="1:22" ht="19" customHeight="1">
      <c r="A1827" s="68" t="s">
        <v>374</v>
      </c>
      <c r="B1827" s="74">
        <v>3</v>
      </c>
      <c r="C1827" s="68" t="s">
        <v>363</v>
      </c>
      <c r="D1827" s="68" t="s">
        <v>364</v>
      </c>
      <c r="E1827" s="75">
        <f>60*F1827*'THAM_SO_MOI'!$C$51/(2*PI()*'THAM_SO_MOI'!$C$26)</f>
        <v>1815.520842177721</v>
      </c>
      <c r="F1827" s="75">
        <f>'HANH_TRINH'!$F$1647+('THAM_SO_MOI'!$F$51-'HANH_TRINH'!$F$1647)*179/'THAM_SO_MOI'!$C$42</f>
        <v>7.227570177119226</v>
      </c>
      <c r="G1827" s="75">
        <f>3.6*F1827</f>
        <v>26.019252637629215</v>
      </c>
      <c r="H1827" s="75">
        <f>'THAM_SO_MOI'!$D$51</f>
        <v>1.375</v>
      </c>
      <c r="I1827" s="75">
        <f>IF(F1827&gt;'THAM_SO_MOI'!$C$14,'THAM_SO_MOI'!$C$13*(1+F1827^2/1500),'THAM_SO_MOI'!$C$13)</f>
        <v>0.015</v>
      </c>
      <c r="J1827" s="75">
        <f>'THAM_SO_MOI'!$C$40*('THAM_SO_MOI'!$C$23*(E1827/'THAM_SO_MOI'!$C$22)+'THAM_SO_MOI'!$C$24*(E1827/'THAM_SO_MOI'!$C$22)^2-'THAM_SO_MOI'!$C$25*(E1827/'THAM_SO_MOI'!$C$22)^3)</f>
        <v>80.62424514913893</v>
      </c>
      <c r="K1827" s="75">
        <f>'THAM_SO_MOI'!$C$31*J1827/E1827</f>
        <v>424.14830997574654</v>
      </c>
      <c r="L1827" s="75">
        <f>K1827*'THAM_SO_MOI'!$C$51*'THAM_SO_MOI'!$C$17/'THAM_SO_MOI'!$C$26</f>
        <v>9483.621364313876</v>
      </c>
      <c r="M1827" s="75">
        <f>'THAM_SO_MOI'!$C$15*'THAM_SO_MOI'!$C$16*F1827^2</f>
        <v>152.795479195661</v>
      </c>
      <c r="N1827" s="75">
        <f>'THAM_SO_MOI'!$C$12*I1827</f>
        <v>1130.112</v>
      </c>
      <c r="O1827" s="75">
        <f>M1827+N1827</f>
        <v>1282.9074791956612</v>
      </c>
      <c r="P1827" s="75">
        <f>(MIN(L1827,'THAM_SO_MOI'!$C$41)-O1827)/('THAM_SO_MOI'!$C$11*H1827)</f>
        <v>0.7765827542725581</v>
      </c>
      <c r="Q1827" s="75">
        <f>IF(P1827&gt;0,1/P1827,NA())</f>
        <v>1.2876927725966845</v>
      </c>
      <c r="R1827" s="75">
        <f>F1827-F1826</f>
        <v>0.005028991339517397</v>
      </c>
      <c r="S1827" s="75">
        <f>0.5*(Q1826+Q1827)*R1827</f>
        <v>0.006476092499984937</v>
      </c>
      <c r="T1827" s="75">
        <f>0.5*(F1826*Q1826+F1827*Q1827)*R1827</f>
        <v>0.04679012816456102</v>
      </c>
      <c r="U1827" s="76">
        <f>U1826+S1827</f>
        <v>8.938195075929949</v>
      </c>
      <c r="V1827" s="76">
        <f>V1826+T1827</f>
        <v>40.20958425718593</v>
      </c>
    </row>
    <row r="1828" spans="1:22" ht="19" customHeight="1">
      <c r="A1828" s="68" t="s">
        <v>374</v>
      </c>
      <c r="B1828" s="74">
        <v>3</v>
      </c>
      <c r="C1828" s="68" t="s">
        <v>363</v>
      </c>
      <c r="D1828" s="68" t="s">
        <v>364</v>
      </c>
      <c r="E1828" s="75">
        <f>60*F1828*'THAM_SO_MOI'!$C$51/(2*PI()*'THAM_SO_MOI'!$C$26)</f>
        <v>1816.7840936395924</v>
      </c>
      <c r="F1828" s="75">
        <f>'HANH_TRINH'!$F$1647+('THAM_SO_MOI'!$F$51-'HANH_TRINH'!$F$1647)*180/'THAM_SO_MOI'!$C$42</f>
        <v>7.232599168458743</v>
      </c>
      <c r="G1828" s="75">
        <f>3.6*F1828</f>
        <v>26.037357006451476</v>
      </c>
      <c r="H1828" s="75">
        <f>'THAM_SO_MOI'!$D$51</f>
        <v>1.375</v>
      </c>
      <c r="I1828" s="75">
        <f>IF(F1828&gt;'THAM_SO_MOI'!$C$14,'THAM_SO_MOI'!$C$13*(1+F1828^2/1500),'THAM_SO_MOI'!$C$13)</f>
        <v>0.015</v>
      </c>
      <c r="J1828" s="75">
        <f>'THAM_SO_MOI'!$C$40*('THAM_SO_MOI'!$C$23*(E1828/'THAM_SO_MOI'!$C$22)+'THAM_SO_MOI'!$C$24*(E1828/'THAM_SO_MOI'!$C$22)^2-'THAM_SO_MOI'!$C$25*(E1828/'THAM_SO_MOI'!$C$22)^3)</f>
        <v>80.6885151994375</v>
      </c>
      <c r="K1828" s="75">
        <f>'THAM_SO_MOI'!$C$31*J1828/E1828</f>
        <v>424.19126697911224</v>
      </c>
      <c r="L1828" s="75">
        <f>K1828*'THAM_SO_MOI'!$C$51*'THAM_SO_MOI'!$C$17/'THAM_SO_MOI'!$C$26</f>
        <v>9484.581848996437</v>
      </c>
      <c r="M1828" s="75">
        <f>'THAM_SO_MOI'!$C$15*'THAM_SO_MOI'!$C$16*F1828^2</f>
        <v>153.00818538990106</v>
      </c>
      <c r="N1828" s="75">
        <f>'THAM_SO_MOI'!$C$12*I1828</f>
        <v>1130.112</v>
      </c>
      <c r="O1828" s="75">
        <f>M1828+N1828</f>
        <v>1283.120185389901</v>
      </c>
      <c r="P1828" s="75">
        <f>(MIN(L1828,'THAM_SO_MOI'!$C$41)-O1828)/('THAM_SO_MOI'!$C$11*H1828)</f>
        <v>0.7766535666294069</v>
      </c>
      <c r="Q1828" s="75">
        <f>IF(P1828&gt;0,1/P1828,NA())</f>
        <v>1.2875753656033444</v>
      </c>
      <c r="R1828" s="75">
        <f>F1828-F1827</f>
        <v>0.005028991339517397</v>
      </c>
      <c r="S1828" s="75">
        <f>0.5*(Q1827+Q1828)*R1828</f>
        <v>0.006475500581971517</v>
      </c>
      <c r="T1828" s="75">
        <f>0.5*(F1827*Q1827+F1828*Q1828)*R1828</f>
        <v>0.04681841676402058</v>
      </c>
      <c r="U1828" s="76">
        <f>U1827+S1828</f>
        <v>8.944670576511921</v>
      </c>
      <c r="V1828" s="76">
        <f>V1827+T1828</f>
        <v>40.25640267394995</v>
      </c>
    </row>
    <row r="1829" spans="1:22" ht="19" customHeight="1">
      <c r="A1829" s="68" t="s">
        <v>374</v>
      </c>
      <c r="B1829" s="74">
        <v>3</v>
      </c>
      <c r="C1829" s="68" t="s">
        <v>363</v>
      </c>
      <c r="D1829" s="68" t="s">
        <v>364</v>
      </c>
      <c r="E1829" s="75">
        <f>60*F1829*'THAM_SO_MOI'!$C$51/(2*PI()*'THAM_SO_MOI'!$C$26)</f>
        <v>1818.047345101464</v>
      </c>
      <c r="F1829" s="75">
        <f>'HANH_TRINH'!$F$1647+('THAM_SO_MOI'!$F$51-'HANH_TRINH'!$F$1647)*181/'THAM_SO_MOI'!$C$42</f>
        <v>7.237628159798262</v>
      </c>
      <c r="G1829" s="75">
        <f>3.6*F1829</f>
        <v>26.055461375273744</v>
      </c>
      <c r="H1829" s="75">
        <f>'THAM_SO_MOI'!$D$51</f>
        <v>1.375</v>
      </c>
      <c r="I1829" s="75">
        <f>IF(F1829&gt;'THAM_SO_MOI'!$C$14,'THAM_SO_MOI'!$C$13*(1+F1829^2/1500),'THAM_SO_MOI'!$C$13)</f>
        <v>0.015</v>
      </c>
      <c r="J1829" s="75">
        <f>'THAM_SO_MOI'!$C$40*('THAM_SO_MOI'!$C$23*(E1829/'THAM_SO_MOI'!$C$22)+'THAM_SO_MOI'!$C$24*(E1829/'THAM_SO_MOI'!$C$22)^2-'THAM_SO_MOI'!$C$25*(E1829/'THAM_SO_MOI'!$C$22)^3)</f>
        <v>80.75276714361617</v>
      </c>
      <c r="K1829" s="75">
        <f>'THAM_SO_MOI'!$C$31*J1829/E1829</f>
        <v>424.2340691656476</v>
      </c>
      <c r="L1829" s="75">
        <f>K1829*'THAM_SO_MOI'!$C$51*'THAM_SO_MOI'!$C$17/'THAM_SO_MOI'!$C$26</f>
        <v>9485.538872096893</v>
      </c>
      <c r="M1829" s="75">
        <f>'THAM_SO_MOI'!$C$15*'THAM_SO_MOI'!$C$16*F1829^2</f>
        <v>153.2210395350515</v>
      </c>
      <c r="N1829" s="75">
        <f>'THAM_SO_MOI'!$C$12*I1829</f>
        <v>1130.112</v>
      </c>
      <c r="O1829" s="75">
        <f>M1829+N1829</f>
        <v>1283.3330395350515</v>
      </c>
      <c r="P1829" s="75">
        <f>(MIN(L1829,'THAM_SO_MOI'!$C$41)-O1829)/('THAM_SO_MOI'!$C$11*H1829)</f>
        <v>0.7767240371744168</v>
      </c>
      <c r="Q1829" s="75">
        <f>IF(P1829&gt;0,1/P1829,NA())</f>
        <v>1.2874585465873067</v>
      </c>
      <c r="R1829" s="75">
        <f>F1829-F1828</f>
        <v>0.005028991339518285</v>
      </c>
      <c r="S1829" s="75">
        <f>0.5*(Q1828+Q1829)*R1829</f>
        <v>0.006474911621686337</v>
      </c>
      <c r="T1829" s="75">
        <f>0.5*(F1828*Q1828+F1829*Q1829)*R1829</f>
        <v>0.04684672080947701</v>
      </c>
      <c r="U1829" s="76">
        <f>U1828+S1829</f>
        <v>8.951145488133607</v>
      </c>
      <c r="V1829" s="76">
        <f>V1828+T1829</f>
        <v>40.303249394759426</v>
      </c>
    </row>
    <row r="1830" spans="1:22" ht="19" customHeight="1">
      <c r="A1830" s="68" t="s">
        <v>374</v>
      </c>
      <c r="B1830" s="74">
        <v>3</v>
      </c>
      <c r="C1830" s="68" t="s">
        <v>363</v>
      </c>
      <c r="D1830" s="68" t="s">
        <v>364</v>
      </c>
      <c r="E1830" s="75">
        <f>60*F1830*'THAM_SO_MOI'!$C$51/(2*PI()*'THAM_SO_MOI'!$C$26)</f>
        <v>1819.3105965633358</v>
      </c>
      <c r="F1830" s="75">
        <f>'HANH_TRINH'!$F$1647+('THAM_SO_MOI'!$F$51-'HANH_TRINH'!$F$1647)*182/'THAM_SO_MOI'!$C$42</f>
        <v>7.242657151137779</v>
      </c>
      <c r="G1830" s="75">
        <f>3.6*F1830</f>
        <v>26.073565744096005</v>
      </c>
      <c r="H1830" s="75">
        <f>'THAM_SO_MOI'!$D$51</f>
        <v>1.375</v>
      </c>
      <c r="I1830" s="75">
        <f>IF(F1830&gt;'THAM_SO_MOI'!$C$14,'THAM_SO_MOI'!$C$13*(1+F1830^2/1500),'THAM_SO_MOI'!$C$13)</f>
        <v>0.015</v>
      </c>
      <c r="J1830" s="75">
        <f>'THAM_SO_MOI'!$C$40*('THAM_SO_MOI'!$C$23*(E1830/'THAM_SO_MOI'!$C$22)+'THAM_SO_MOI'!$C$24*(E1830/'THAM_SO_MOI'!$C$22)^2-'THAM_SO_MOI'!$C$25*(E1830/'THAM_SO_MOI'!$C$22)^3)</f>
        <v>80.81700092024548</v>
      </c>
      <c r="K1830" s="75">
        <f>'THAM_SO_MOI'!$C$31*J1830/E1830</f>
        <v>424.2767165353523</v>
      </c>
      <c r="L1830" s="75">
        <f>K1830*'THAM_SO_MOI'!$C$51*'THAM_SO_MOI'!$C$17/'THAM_SO_MOI'!$C$26</f>
        <v>9486.492433615236</v>
      </c>
      <c r="M1830" s="75">
        <f>'THAM_SO_MOI'!$C$15*'THAM_SO_MOI'!$C$16*F1830^2</f>
        <v>153.4340416311121</v>
      </c>
      <c r="N1830" s="75">
        <f>'THAM_SO_MOI'!$C$12*I1830</f>
        <v>1130.112</v>
      </c>
      <c r="O1830" s="75">
        <f>M1830+N1830</f>
        <v>1283.546041631112</v>
      </c>
      <c r="P1830" s="75">
        <f>(MIN(L1830,'THAM_SO_MOI'!$C$41)-O1830)/('THAM_SO_MOI'!$C$11*H1830)</f>
        <v>0.7767941659075877</v>
      </c>
      <c r="Q1830" s="75">
        <f>IF(P1830&gt;0,1/P1830,NA())</f>
        <v>1.2873423152343375</v>
      </c>
      <c r="R1830" s="75">
        <f>F1830-F1829</f>
        <v>0.005028991339517397</v>
      </c>
      <c r="S1830" s="75">
        <f>0.5*(Q1829+Q1830)*R1830</f>
        <v>0.006474325617541489</v>
      </c>
      <c r="T1830" s="75">
        <f>0.5*(F1829*Q1829+F1830*Q1830)*R1830</f>
        <v>0.04687504033405684</v>
      </c>
      <c r="U1830" s="76">
        <f>U1829+S1830</f>
        <v>8.957619813751148</v>
      </c>
      <c r="V1830" s="76">
        <f>V1829+T1830</f>
        <v>40.350124435093484</v>
      </c>
    </row>
    <row r="1831" spans="1:22" ht="19" customHeight="1">
      <c r="A1831" s="68" t="s">
        <v>374</v>
      </c>
      <c r="B1831" s="74">
        <v>3</v>
      </c>
      <c r="C1831" s="68" t="s">
        <v>363</v>
      </c>
      <c r="D1831" s="68" t="s">
        <v>364</v>
      </c>
      <c r="E1831" s="75">
        <f>60*F1831*'THAM_SO_MOI'!$C$51/(2*PI()*'THAM_SO_MOI'!$C$26)</f>
        <v>1820.5738480252076</v>
      </c>
      <c r="F1831" s="75">
        <f>'HANH_TRINH'!$F$1647+('THAM_SO_MOI'!$F$51-'HANH_TRINH'!$F$1647)*183/'THAM_SO_MOI'!$C$42</f>
        <v>7.247686142477297</v>
      </c>
      <c r="G1831" s="75">
        <f>3.6*F1831</f>
        <v>26.091670112918273</v>
      </c>
      <c r="H1831" s="75">
        <f>'THAM_SO_MOI'!$D$51</f>
        <v>1.375</v>
      </c>
      <c r="I1831" s="75">
        <f>IF(F1831&gt;'THAM_SO_MOI'!$C$14,'THAM_SO_MOI'!$C$13*(1+F1831^2/1500),'THAM_SO_MOI'!$C$13)</f>
        <v>0.015</v>
      </c>
      <c r="J1831" s="75">
        <f>'THAM_SO_MOI'!$C$40*('THAM_SO_MOI'!$C$23*(E1831/'THAM_SO_MOI'!$C$22)+'THAM_SO_MOI'!$C$24*(E1831/'THAM_SO_MOI'!$C$22)^2-'THAM_SO_MOI'!$C$25*(E1831/'THAM_SO_MOI'!$C$22)^3)</f>
        <v>80.88121646789612</v>
      </c>
      <c r="K1831" s="75">
        <f>'THAM_SO_MOI'!$C$31*J1831/E1831</f>
        <v>424.3192090882266</v>
      </c>
      <c r="L1831" s="75">
        <f>K1831*'THAM_SO_MOI'!$C$51*'THAM_SO_MOI'!$C$17/'THAM_SO_MOI'!$C$26</f>
        <v>9487.442533551473</v>
      </c>
      <c r="M1831" s="75">
        <f>'THAM_SO_MOI'!$C$15*'THAM_SO_MOI'!$C$16*F1831^2</f>
        <v>153.64719167808303</v>
      </c>
      <c r="N1831" s="75">
        <f>'THAM_SO_MOI'!$C$12*I1831</f>
        <v>1130.112</v>
      </c>
      <c r="O1831" s="75">
        <f>M1831+N1831</f>
        <v>1283.7591916780832</v>
      </c>
      <c r="P1831" s="75">
        <f>(MIN(L1831,'THAM_SO_MOI'!$C$41)-O1831)/('THAM_SO_MOI'!$C$11*H1831)</f>
        <v>0.7768639528289196</v>
      </c>
      <c r="Q1831" s="75">
        <f>IF(P1831&gt;0,1/P1831,NA())</f>
        <v>1.2872266712318665</v>
      </c>
      <c r="R1831" s="75">
        <f>F1831-F1830</f>
        <v>0.005028991339518285</v>
      </c>
      <c r="S1831" s="75">
        <f>0.5*(Q1830+Q1831)*R1831</f>
        <v>0.006473742567965454</v>
      </c>
      <c r="T1831" s="75">
        <f>0.5*(F1830*Q1830+F1831*Q1831)*R1831</f>
        <v>0.04690337537097333</v>
      </c>
      <c r="U1831" s="76">
        <f>U1830+S1831</f>
        <v>8.964093556319114</v>
      </c>
      <c r="V1831" s="76">
        <f>V1830+T1831</f>
        <v>40.39702781046446</v>
      </c>
    </row>
    <row r="1832" spans="1:22" ht="19" customHeight="1">
      <c r="A1832" s="68" t="s">
        <v>374</v>
      </c>
      <c r="B1832" s="74">
        <v>3</v>
      </c>
      <c r="C1832" s="68" t="s">
        <v>363</v>
      </c>
      <c r="D1832" s="68" t="s">
        <v>364</v>
      </c>
      <c r="E1832" s="75">
        <f>60*F1832*'THAM_SO_MOI'!$C$51/(2*PI()*'THAM_SO_MOI'!$C$26)</f>
        <v>1821.837099487079</v>
      </c>
      <c r="F1832" s="75">
        <f>'HANH_TRINH'!$F$1647+('THAM_SO_MOI'!$F$51-'HANH_TRINH'!$F$1647)*184/'THAM_SO_MOI'!$C$42</f>
        <v>7.252715133816815</v>
      </c>
      <c r="G1832" s="75">
        <f>3.6*F1832</f>
        <v>26.109774481740534</v>
      </c>
      <c r="H1832" s="75">
        <f>'THAM_SO_MOI'!$D$51</f>
        <v>1.375</v>
      </c>
      <c r="I1832" s="75">
        <f>IF(F1832&gt;'THAM_SO_MOI'!$C$14,'THAM_SO_MOI'!$C$13*(1+F1832^2/1500),'THAM_SO_MOI'!$C$13)</f>
        <v>0.015</v>
      </c>
      <c r="J1832" s="75">
        <f>'THAM_SO_MOI'!$C$40*('THAM_SO_MOI'!$C$23*(E1832/'THAM_SO_MOI'!$C$22)+'THAM_SO_MOI'!$C$24*(E1832/'THAM_SO_MOI'!$C$22)^2-'THAM_SO_MOI'!$C$25*(E1832/'THAM_SO_MOI'!$C$22)^3)</f>
        <v>80.94541372513874</v>
      </c>
      <c r="K1832" s="75">
        <f>'THAM_SO_MOI'!$C$31*J1832/E1832</f>
        <v>424.36154682427036</v>
      </c>
      <c r="L1832" s="75">
        <f>K1832*'THAM_SO_MOI'!$C$51*'THAM_SO_MOI'!$C$17/'THAM_SO_MOI'!$C$26</f>
        <v>9488.389171905601</v>
      </c>
      <c r="M1832" s="75">
        <f>'THAM_SO_MOI'!$C$15*'THAM_SO_MOI'!$C$16*F1832^2</f>
        <v>153.86048967596423</v>
      </c>
      <c r="N1832" s="75">
        <f>'THAM_SO_MOI'!$C$12*I1832</f>
        <v>1130.112</v>
      </c>
      <c r="O1832" s="75">
        <f>M1832+N1832</f>
        <v>1283.9724896759644</v>
      </c>
      <c r="P1832" s="75">
        <f>(MIN(L1832,'THAM_SO_MOI'!$C$41)-O1832)/('THAM_SO_MOI'!$C$11*H1832)</f>
        <v>0.7769333979384124</v>
      </c>
      <c r="Q1832" s="75">
        <f>IF(P1832&gt;0,1/P1832,NA())</f>
        <v>1.287111614268988</v>
      </c>
      <c r="R1832" s="75">
        <f>F1832-F1831</f>
        <v>0.005028991339517397</v>
      </c>
      <c r="S1832" s="75">
        <f>0.5*(Q1831+Q1832)*R1832</f>
        <v>0.0064731624713859305</v>
      </c>
      <c r="T1832" s="75">
        <f>0.5*(F1831*Q1831+F1832*Q1832)*R1832</f>
        <v>0.04693172595340252</v>
      </c>
      <c r="U1832" s="76">
        <f>U1831+S1832</f>
        <v>8.970566718790499</v>
      </c>
      <c r="V1832" s="76">
        <f>V1831+T1832</f>
        <v>40.44395953641786</v>
      </c>
    </row>
    <row r="1833" spans="1:22" ht="19" customHeight="1">
      <c r="A1833" s="68" t="s">
        <v>374</v>
      </c>
      <c r="B1833" s="74">
        <v>3</v>
      </c>
      <c r="C1833" s="68" t="s">
        <v>363</v>
      </c>
      <c r="D1833" s="68" t="s">
        <v>364</v>
      </c>
      <c r="E1833" s="75">
        <f>60*F1833*'THAM_SO_MOI'!$C$51/(2*PI()*'THAM_SO_MOI'!$C$26)</f>
        <v>1823.1003509489503</v>
      </c>
      <c r="F1833" s="75">
        <f>'HANH_TRINH'!$F$1647+('THAM_SO_MOI'!$F$51-'HANH_TRINH'!$F$1647)*185/'THAM_SO_MOI'!$C$42</f>
        <v>7.257744125156332</v>
      </c>
      <c r="G1833" s="75">
        <f>3.6*F1833</f>
        <v>26.127878850562798</v>
      </c>
      <c r="H1833" s="75">
        <f>'THAM_SO_MOI'!$D$51</f>
        <v>1.375</v>
      </c>
      <c r="I1833" s="75">
        <f>IF(F1833&gt;'THAM_SO_MOI'!$C$14,'THAM_SO_MOI'!$C$13*(1+F1833^2/1500),'THAM_SO_MOI'!$C$13)</f>
        <v>0.015</v>
      </c>
      <c r="J1833" s="75">
        <f>'THAM_SO_MOI'!$C$40*('THAM_SO_MOI'!$C$23*(E1833/'THAM_SO_MOI'!$C$22)+'THAM_SO_MOI'!$C$24*(E1833/'THAM_SO_MOI'!$C$22)^2-'THAM_SO_MOI'!$C$25*(E1833/'THAM_SO_MOI'!$C$22)^3)</f>
        <v>81.00959263054395</v>
      </c>
      <c r="K1833" s="75">
        <f>'THAM_SO_MOI'!$C$31*J1833/E1833</f>
        <v>424.40372974348355</v>
      </c>
      <c r="L1833" s="75">
        <f>K1833*'THAM_SO_MOI'!$C$51*'THAM_SO_MOI'!$C$17/'THAM_SO_MOI'!$C$26</f>
        <v>9489.332348677617</v>
      </c>
      <c r="M1833" s="75">
        <f>'THAM_SO_MOI'!$C$15*'THAM_SO_MOI'!$C$16*F1833^2</f>
        <v>154.07393562475568</v>
      </c>
      <c r="N1833" s="75">
        <f>'THAM_SO_MOI'!$C$12*I1833</f>
        <v>1130.112</v>
      </c>
      <c r="O1833" s="75">
        <f>M1833+N1833</f>
        <v>1284.1859356247558</v>
      </c>
      <c r="P1833" s="75">
        <f>(MIN(L1833,'THAM_SO_MOI'!$C$41)-O1833)/('THAM_SO_MOI'!$C$11*H1833)</f>
        <v>0.7770025012360665</v>
      </c>
      <c r="Q1833" s="75">
        <f>IF(P1833&gt;0,1/P1833,NA())</f>
        <v>1.2869971440364554</v>
      </c>
      <c r="R1833" s="75">
        <f>F1833-F1832</f>
        <v>0.005028991339517397</v>
      </c>
      <c r="S1833" s="75">
        <f>0.5*(Q1832+Q1833)*R1833</f>
        <v>0.006472585326246977</v>
      </c>
      <c r="T1833" s="75">
        <f>0.5*(F1832*Q1832+F1833*Q1833)*R1833</f>
        <v>0.04696009211460747</v>
      </c>
      <c r="U1833" s="76">
        <f>U1832+S1833</f>
        <v>8.977039304116746</v>
      </c>
      <c r="V1833" s="76">
        <f>V1832+T1833</f>
        <v>40.49091962853247</v>
      </c>
    </row>
    <row r="1834" spans="1:22" ht="19" customHeight="1">
      <c r="A1834" s="68" t="s">
        <v>374</v>
      </c>
      <c r="B1834" s="74">
        <v>3</v>
      </c>
      <c r="C1834" s="68" t="s">
        <v>363</v>
      </c>
      <c r="D1834" s="68" t="s">
        <v>364</v>
      </c>
      <c r="E1834" s="75">
        <f>60*F1834*'THAM_SO_MOI'!$C$51/(2*PI()*'THAM_SO_MOI'!$C$26)</f>
        <v>1824.363602410822</v>
      </c>
      <c r="F1834" s="75">
        <f>'HANH_TRINH'!$F$1647+('THAM_SO_MOI'!$F$51-'HANH_TRINH'!$F$1647)*186/'THAM_SO_MOI'!$C$42</f>
        <v>7.26277311649585</v>
      </c>
      <c r="G1834" s="75">
        <f>3.6*F1834</f>
        <v>26.14598321938506</v>
      </c>
      <c r="H1834" s="75">
        <f>'THAM_SO_MOI'!$D$51</f>
        <v>1.375</v>
      </c>
      <c r="I1834" s="75">
        <f>IF(F1834&gt;'THAM_SO_MOI'!$C$14,'THAM_SO_MOI'!$C$13*(1+F1834^2/1500),'THAM_SO_MOI'!$C$13)</f>
        <v>0.015</v>
      </c>
      <c r="J1834" s="75">
        <f>'THAM_SO_MOI'!$C$40*('THAM_SO_MOI'!$C$23*(E1834/'THAM_SO_MOI'!$C$22)+'THAM_SO_MOI'!$C$24*(E1834/'THAM_SO_MOI'!$C$22)^2-'THAM_SO_MOI'!$C$25*(E1834/'THAM_SO_MOI'!$C$22)^3)</f>
        <v>81.07375312268249</v>
      </c>
      <c r="K1834" s="75">
        <f>'THAM_SO_MOI'!$C$31*J1834/E1834</f>
        <v>424.44575784586635</v>
      </c>
      <c r="L1834" s="75">
        <f>K1834*'THAM_SO_MOI'!$C$51*'THAM_SO_MOI'!$C$17/'THAM_SO_MOI'!$C$26</f>
        <v>9490.272063867527</v>
      </c>
      <c r="M1834" s="75">
        <f>'THAM_SO_MOI'!$C$15*'THAM_SO_MOI'!$C$16*F1834^2</f>
        <v>154.2875295244574</v>
      </c>
      <c r="N1834" s="75">
        <f>'THAM_SO_MOI'!$C$12*I1834</f>
        <v>1130.112</v>
      </c>
      <c r="O1834" s="75">
        <f>M1834+N1834</f>
        <v>1284.3995295244574</v>
      </c>
      <c r="P1834" s="75">
        <f>(MIN(L1834,'THAM_SO_MOI'!$C$41)-O1834)/('THAM_SO_MOI'!$C$11*H1834)</f>
        <v>0.7770712627218817</v>
      </c>
      <c r="Q1834" s="75">
        <f>IF(P1834&gt;0,1/P1834,NA())</f>
        <v>1.2868832602266824</v>
      </c>
      <c r="R1834" s="75">
        <f>F1834-F1833</f>
        <v>0.005028991339517397</v>
      </c>
      <c r="S1834" s="75">
        <f>0.5*(Q1833+Q1834)*R1834</f>
        <v>0.006472011130996428</v>
      </c>
      <c r="T1834" s="75">
        <f>0.5*(F1833*Q1833+F1834*Q1834)*R1834</f>
        <v>0.04698847388784738</v>
      </c>
      <c r="U1834" s="76">
        <f>U1833+S1834</f>
        <v>8.983511315247743</v>
      </c>
      <c r="V1834" s="76">
        <f>V1833+T1834</f>
        <v>40.53790810242032</v>
      </c>
    </row>
    <row r="1835" spans="1:22" ht="19" customHeight="1">
      <c r="A1835" s="68" t="s">
        <v>374</v>
      </c>
      <c r="B1835" s="74">
        <v>3</v>
      </c>
      <c r="C1835" s="68" t="s">
        <v>363</v>
      </c>
      <c r="D1835" s="68" t="s">
        <v>364</v>
      </c>
      <c r="E1835" s="75">
        <f>60*F1835*'THAM_SO_MOI'!$C$51/(2*PI()*'THAM_SO_MOI'!$C$26)</f>
        <v>1825.6268538726938</v>
      </c>
      <c r="F1835" s="75">
        <f>'HANH_TRINH'!$F$1647+('THAM_SO_MOI'!$F$51-'HANH_TRINH'!$F$1647)*187/'THAM_SO_MOI'!$C$42</f>
        <v>7.267802107835368</v>
      </c>
      <c r="G1835" s="75">
        <f>3.6*F1835</f>
        <v>26.164087588207323</v>
      </c>
      <c r="H1835" s="75">
        <f>'THAM_SO_MOI'!$D$51</f>
        <v>1.375</v>
      </c>
      <c r="I1835" s="75">
        <f>IF(F1835&gt;'THAM_SO_MOI'!$C$14,'THAM_SO_MOI'!$C$13*(1+F1835^2/1500),'THAM_SO_MOI'!$C$13)</f>
        <v>0.015</v>
      </c>
      <c r="J1835" s="75">
        <f>'THAM_SO_MOI'!$C$40*('THAM_SO_MOI'!$C$23*(E1835/'THAM_SO_MOI'!$C$22)+'THAM_SO_MOI'!$C$24*(E1835/'THAM_SO_MOI'!$C$22)^2-'THAM_SO_MOI'!$C$25*(E1835/'THAM_SO_MOI'!$C$22)^3)</f>
        <v>81.13789514012494</v>
      </c>
      <c r="K1835" s="75">
        <f>'THAM_SO_MOI'!$C$31*J1835/E1835</f>
        <v>424.48763113141854</v>
      </c>
      <c r="L1835" s="75">
        <f>K1835*'THAM_SO_MOI'!$C$51*'THAM_SO_MOI'!$C$17/'THAM_SO_MOI'!$C$26</f>
        <v>9491.208317475328</v>
      </c>
      <c r="M1835" s="75">
        <f>'THAM_SO_MOI'!$C$15*'THAM_SO_MOI'!$C$16*F1835^2</f>
        <v>154.50127137506945</v>
      </c>
      <c r="N1835" s="75">
        <f>'THAM_SO_MOI'!$C$12*I1835</f>
        <v>1130.112</v>
      </c>
      <c r="O1835" s="75">
        <f>M1835+N1835</f>
        <v>1284.6132713750694</v>
      </c>
      <c r="P1835" s="75">
        <f>(MIN(L1835,'THAM_SO_MOI'!$C$41)-O1835)/('THAM_SO_MOI'!$C$11*H1835)</f>
        <v>0.7771396823958577</v>
      </c>
      <c r="Q1835" s="75">
        <f>IF(P1835&gt;0,1/P1835,NA())</f>
        <v>1.2867699625337394</v>
      </c>
      <c r="R1835" s="75">
        <f>F1835-F1834</f>
        <v>0.005028991339518285</v>
      </c>
      <c r="S1835" s="75">
        <f>0.5*(Q1834+Q1835)*R1835</f>
        <v>0.006471439884092742</v>
      </c>
      <c r="T1835" s="75">
        <f>0.5*(F1834*Q1834+F1835*Q1835)*R1835</f>
        <v>0.04701687130642743</v>
      </c>
      <c r="U1835" s="76">
        <f>U1834+S1835</f>
        <v>8.989982755131836</v>
      </c>
      <c r="V1835" s="76">
        <f>V1834+T1835</f>
        <v>40.58492497372674</v>
      </c>
    </row>
    <row r="1836" spans="1:22" ht="19" customHeight="1">
      <c r="A1836" s="68" t="s">
        <v>374</v>
      </c>
      <c r="B1836" s="74">
        <v>3</v>
      </c>
      <c r="C1836" s="68" t="s">
        <v>363</v>
      </c>
      <c r="D1836" s="68" t="s">
        <v>364</v>
      </c>
      <c r="E1836" s="75">
        <f>60*F1836*'THAM_SO_MOI'!$C$51/(2*PI()*'THAM_SO_MOI'!$C$26)</f>
        <v>1826.8901053345655</v>
      </c>
      <c r="F1836" s="75">
        <f>'HANH_TRINH'!$F$1647+('THAM_SO_MOI'!$F$51-'HANH_TRINH'!$F$1647)*188/'THAM_SO_MOI'!$C$42</f>
        <v>7.272831099174885</v>
      </c>
      <c r="G1836" s="75">
        <f>3.6*F1836</f>
        <v>26.182191957029588</v>
      </c>
      <c r="H1836" s="75">
        <f>'THAM_SO_MOI'!$D$51</f>
        <v>1.375</v>
      </c>
      <c r="I1836" s="75">
        <f>IF(F1836&gt;'THAM_SO_MOI'!$C$14,'THAM_SO_MOI'!$C$13*(1+F1836^2/1500),'THAM_SO_MOI'!$C$13)</f>
        <v>0.015</v>
      </c>
      <c r="J1836" s="75">
        <f>'THAM_SO_MOI'!$C$40*('THAM_SO_MOI'!$C$23*(E1836/'THAM_SO_MOI'!$C$22)+'THAM_SO_MOI'!$C$24*(E1836/'THAM_SO_MOI'!$C$22)^2-'THAM_SO_MOI'!$C$25*(E1836/'THAM_SO_MOI'!$C$22)^3)</f>
        <v>81.20201862144197</v>
      </c>
      <c r="K1836" s="75">
        <f>'THAM_SO_MOI'!$C$31*J1836/E1836</f>
        <v>424.5293496001403</v>
      </c>
      <c r="L1836" s="75">
        <f>K1836*'THAM_SO_MOI'!$C$51*'THAM_SO_MOI'!$C$17/'THAM_SO_MOI'!$C$26</f>
        <v>9492.141109501019</v>
      </c>
      <c r="M1836" s="75">
        <f>'THAM_SO_MOI'!$C$15*'THAM_SO_MOI'!$C$16*F1836^2</f>
        <v>154.71516117659172</v>
      </c>
      <c r="N1836" s="75">
        <f>'THAM_SO_MOI'!$C$12*I1836</f>
        <v>1130.112</v>
      </c>
      <c r="O1836" s="75">
        <f>M1836+N1836</f>
        <v>1284.8271611765917</v>
      </c>
      <c r="P1836" s="75">
        <f>(MIN(L1836,'THAM_SO_MOI'!$C$41)-O1836)/('THAM_SO_MOI'!$C$11*H1836)</f>
        <v>0.777207760257995</v>
      </c>
      <c r="Q1836" s="75">
        <f>IF(P1836&gt;0,1/P1836,NA())</f>
        <v>1.2866572506533502</v>
      </c>
      <c r="R1836" s="75">
        <f>F1836-F1835</f>
        <v>0.005028991339517397</v>
      </c>
      <c r="S1836" s="75">
        <f>0.5*(Q1835+Q1836)*R1836</f>
        <v>0.006470871583998132</v>
      </c>
      <c r="T1836" s="75">
        <f>0.5*(F1835*Q1835+F1836*Q1836)*R1836</f>
        <v>0.04704528440364903</v>
      </c>
      <c r="U1836" s="76">
        <f>U1835+S1836</f>
        <v>8.996453626715834</v>
      </c>
      <c r="V1836" s="76">
        <f>V1835+T1836</f>
        <v>40.631970258130394</v>
      </c>
    </row>
    <row r="1837" spans="1:22" ht="19" customHeight="1">
      <c r="A1837" s="68" t="s">
        <v>374</v>
      </c>
      <c r="B1837" s="74">
        <v>3</v>
      </c>
      <c r="C1837" s="68" t="s">
        <v>363</v>
      </c>
      <c r="D1837" s="68" t="s">
        <v>364</v>
      </c>
      <c r="E1837" s="75">
        <f>60*F1837*'THAM_SO_MOI'!$C$51/(2*PI()*'THAM_SO_MOI'!$C$26)</f>
        <v>1828.1533567964368</v>
      </c>
      <c r="F1837" s="75">
        <f>'HANH_TRINH'!$F$1647+('THAM_SO_MOI'!$F$51-'HANH_TRINH'!$F$1647)*189/'THAM_SO_MOI'!$C$42</f>
        <v>7.2778600905144035</v>
      </c>
      <c r="G1837" s="75">
        <f>3.6*F1837</f>
        <v>26.200296325851852</v>
      </c>
      <c r="H1837" s="75">
        <f>'THAM_SO_MOI'!$D$51</f>
        <v>1.375</v>
      </c>
      <c r="I1837" s="75">
        <f>IF(F1837&gt;'THAM_SO_MOI'!$C$14,'THAM_SO_MOI'!$C$13*(1+F1837^2/1500),'THAM_SO_MOI'!$C$13)</f>
        <v>0.015</v>
      </c>
      <c r="J1837" s="75">
        <f>'THAM_SO_MOI'!$C$40*('THAM_SO_MOI'!$C$23*(E1837/'THAM_SO_MOI'!$C$22)+'THAM_SO_MOI'!$C$24*(E1837/'THAM_SO_MOI'!$C$22)^2-'THAM_SO_MOI'!$C$25*(E1837/'THAM_SO_MOI'!$C$22)^3)</f>
        <v>81.26612350520422</v>
      </c>
      <c r="K1837" s="75">
        <f>'THAM_SO_MOI'!$C$31*J1837/E1837</f>
        <v>424.5709132520316</v>
      </c>
      <c r="L1837" s="75">
        <f>K1837*'THAM_SO_MOI'!$C$51*'THAM_SO_MOI'!$C$17/'THAM_SO_MOI'!$C$26</f>
        <v>9493.070439944602</v>
      </c>
      <c r="M1837" s="75">
        <f>'THAM_SO_MOI'!$C$15*'THAM_SO_MOI'!$C$16*F1837^2</f>
        <v>154.9291989290243</v>
      </c>
      <c r="N1837" s="75">
        <f>'THAM_SO_MOI'!$C$12*I1837</f>
        <v>1130.112</v>
      </c>
      <c r="O1837" s="75">
        <f>M1837+N1837</f>
        <v>1285.0411989290244</v>
      </c>
      <c r="P1837" s="75">
        <f>(MIN(L1837,'THAM_SO_MOI'!$C$41)-O1837)/('THAM_SO_MOI'!$C$11*H1837)</f>
        <v>0.7772754963082934</v>
      </c>
      <c r="Q1837" s="75">
        <f>IF(P1837&gt;0,1/P1837,NA())</f>
        <v>1.286545124282892</v>
      </c>
      <c r="R1837" s="75">
        <f>F1837-F1836</f>
        <v>0.005028991339518285</v>
      </c>
      <c r="S1837" s="75">
        <f>0.5*(Q1836+Q1837)*R1837</f>
        <v>0.006470306229191123</v>
      </c>
      <c r="T1837" s="75">
        <f>0.5*(F1836*Q1836+F1837*Q1837)*R1837</f>
        <v>0.04707371321290139</v>
      </c>
      <c r="U1837" s="76">
        <f>U1836+S1837</f>
        <v>9.002923932945025</v>
      </c>
      <c r="V1837" s="76">
        <f>V1836+T1837</f>
        <v>40.6790439713433</v>
      </c>
    </row>
    <row r="1838" spans="1:22" ht="19" customHeight="1">
      <c r="A1838" s="68" t="s">
        <v>374</v>
      </c>
      <c r="B1838" s="74">
        <v>3</v>
      </c>
      <c r="C1838" s="68" t="s">
        <v>363</v>
      </c>
      <c r="D1838" s="68" t="s">
        <v>364</v>
      </c>
      <c r="E1838" s="75">
        <f>60*F1838*'THAM_SO_MOI'!$C$51/(2*PI()*'THAM_SO_MOI'!$C$26)</f>
        <v>1829.4166082583085</v>
      </c>
      <c r="F1838" s="75">
        <f>'HANH_TRINH'!$F$1647+('THAM_SO_MOI'!$F$51-'HANH_TRINH'!$F$1647)*190/'THAM_SO_MOI'!$C$42</f>
        <v>7.282889081853921</v>
      </c>
      <c r="G1838" s="75">
        <f>3.6*F1838</f>
        <v>26.218400694674116</v>
      </c>
      <c r="H1838" s="75">
        <f>'THAM_SO_MOI'!$D$51</f>
        <v>1.375</v>
      </c>
      <c r="I1838" s="75">
        <f>IF(F1838&gt;'THAM_SO_MOI'!$C$14,'THAM_SO_MOI'!$C$13*(1+F1838^2/1500),'THAM_SO_MOI'!$C$13)</f>
        <v>0.015</v>
      </c>
      <c r="J1838" s="75">
        <f>'THAM_SO_MOI'!$C$40*('THAM_SO_MOI'!$C$23*(E1838/'THAM_SO_MOI'!$C$22)+'THAM_SO_MOI'!$C$24*(E1838/'THAM_SO_MOI'!$C$22)^2-'THAM_SO_MOI'!$C$25*(E1838/'THAM_SO_MOI'!$C$22)^3)</f>
        <v>81.33020972998234</v>
      </c>
      <c r="K1838" s="75">
        <f>'THAM_SO_MOI'!$C$31*J1838/E1838</f>
        <v>424.6123220870922</v>
      </c>
      <c r="L1838" s="75">
        <f>K1838*'THAM_SO_MOI'!$C$51*'THAM_SO_MOI'!$C$17/'THAM_SO_MOI'!$C$26</f>
        <v>9493.996308806074</v>
      </c>
      <c r="M1838" s="75">
        <f>'THAM_SO_MOI'!$C$15*'THAM_SO_MOI'!$C$16*F1838^2</f>
        <v>155.14338463236712</v>
      </c>
      <c r="N1838" s="75">
        <f>'THAM_SO_MOI'!$C$12*I1838</f>
        <v>1130.112</v>
      </c>
      <c r="O1838" s="75">
        <f>M1838+N1838</f>
        <v>1285.2553846323672</v>
      </c>
      <c r="P1838" s="75">
        <f>(MIN(L1838,'THAM_SO_MOI'!$C$41)-O1838)/('THAM_SO_MOI'!$C$11*H1838)</f>
        <v>0.7773428905467527</v>
      </c>
      <c r="Q1838" s="75">
        <f>IF(P1838&gt;0,1/P1838,NA())</f>
        <v>1.2864335831213933</v>
      </c>
      <c r="R1838" s="75">
        <f>F1838-F1837</f>
        <v>0.005028991339517397</v>
      </c>
      <c r="S1838" s="75">
        <f>0.5*(Q1837+Q1838)*R1838</f>
        <v>0.0064697438181494085</v>
      </c>
      <c r="T1838" s="75">
        <f>0.5*(F1837*Q1837+F1838*Q1838)*R1838</f>
        <v>0.04710215776753702</v>
      </c>
      <c r="U1838" s="76">
        <f>U1837+S1838</f>
        <v>9.009393676763175</v>
      </c>
      <c r="V1838" s="76">
        <f>V1837+T1838</f>
        <v>40.72614612911084</v>
      </c>
    </row>
    <row r="1839" spans="1:22" ht="19" customHeight="1">
      <c r="A1839" s="68" t="s">
        <v>374</v>
      </c>
      <c r="B1839" s="74">
        <v>3</v>
      </c>
      <c r="C1839" s="68" t="s">
        <v>363</v>
      </c>
      <c r="D1839" s="68" t="s">
        <v>364</v>
      </c>
      <c r="E1839" s="75">
        <f>60*F1839*'THAM_SO_MOI'!$C$51/(2*PI()*'THAM_SO_MOI'!$C$26)</f>
        <v>1830.6798597201803</v>
      </c>
      <c r="F1839" s="75">
        <f>'HANH_TRINH'!$F$1647+('THAM_SO_MOI'!$F$51-'HANH_TRINH'!$F$1647)*191/'THAM_SO_MOI'!$C$42</f>
        <v>7.287918073193438</v>
      </c>
      <c r="G1839" s="75">
        <f>3.6*F1839</f>
        <v>26.236505063496377</v>
      </c>
      <c r="H1839" s="75">
        <f>'THAM_SO_MOI'!$D$51</f>
        <v>1.375</v>
      </c>
      <c r="I1839" s="75">
        <f>IF(F1839&gt;'THAM_SO_MOI'!$C$14,'THAM_SO_MOI'!$C$13*(1+F1839^2/1500),'THAM_SO_MOI'!$C$13)</f>
        <v>0.015</v>
      </c>
      <c r="J1839" s="75">
        <f>'THAM_SO_MOI'!$C$40*('THAM_SO_MOI'!$C$23*(E1839/'THAM_SO_MOI'!$C$22)+'THAM_SO_MOI'!$C$24*(E1839/'THAM_SO_MOI'!$C$22)^2-'THAM_SO_MOI'!$C$25*(E1839/'THAM_SO_MOI'!$C$22)^3)</f>
        <v>81.39427723434704</v>
      </c>
      <c r="K1839" s="75">
        <f>'THAM_SO_MOI'!$C$31*J1839/E1839</f>
        <v>424.65357610532254</v>
      </c>
      <c r="L1839" s="75">
        <f>K1839*'THAM_SO_MOI'!$C$51*'THAM_SO_MOI'!$C$17/'THAM_SO_MOI'!$C$26</f>
        <v>9494.918716085442</v>
      </c>
      <c r="M1839" s="75">
        <f>'THAM_SO_MOI'!$C$15*'THAM_SO_MOI'!$C$16*F1839^2</f>
        <v>155.35771828662024</v>
      </c>
      <c r="N1839" s="75">
        <f>'THAM_SO_MOI'!$C$12*I1839</f>
        <v>1130.112</v>
      </c>
      <c r="O1839" s="75">
        <f>M1839+N1839</f>
        <v>1285.4697182866203</v>
      </c>
      <c r="P1839" s="75">
        <f>(MIN(L1839,'THAM_SO_MOI'!$C$41)-O1839)/('THAM_SO_MOI'!$C$11*H1839)</f>
        <v>0.7774099429733731</v>
      </c>
      <c r="Q1839" s="75">
        <f>IF(P1839&gt;0,1/P1839,NA())</f>
        <v>1.286322626869529</v>
      </c>
      <c r="R1839" s="75">
        <f>F1839-F1838</f>
        <v>0.005028991339517397</v>
      </c>
      <c r="S1839" s="75">
        <f>0.5*(Q1838+Q1839)*R1839</f>
        <v>0.006469184349366975</v>
      </c>
      <c r="T1839" s="75">
        <f>0.5*(F1838*Q1838+F1839*Q1839)*R1839</f>
        <v>0.04713061810099654</v>
      </c>
      <c r="U1839" s="76">
        <f>U1838+S1839</f>
        <v>9.015862861112542</v>
      </c>
      <c r="V1839" s="76">
        <f>V1838+T1839</f>
        <v>40.77327674721183</v>
      </c>
    </row>
    <row r="1840" spans="1:22" ht="19" customHeight="1">
      <c r="A1840" s="68" t="s">
        <v>374</v>
      </c>
      <c r="B1840" s="74">
        <v>3</v>
      </c>
      <c r="C1840" s="68" t="s">
        <v>363</v>
      </c>
      <c r="D1840" s="68" t="s">
        <v>364</v>
      </c>
      <c r="E1840" s="75">
        <f>60*F1840*'THAM_SO_MOI'!$C$51/(2*PI()*'THAM_SO_MOI'!$C$26)</f>
        <v>1831.9431111820518</v>
      </c>
      <c r="F1840" s="75">
        <f>'HANH_TRINH'!$F$1647+('THAM_SO_MOI'!$F$51-'HANH_TRINH'!$F$1647)*192/'THAM_SO_MOI'!$C$42</f>
        <v>7.292947064532956</v>
      </c>
      <c r="G1840" s="75">
        <f>3.6*F1840</f>
        <v>26.25460943231864</v>
      </c>
      <c r="H1840" s="75">
        <f>'THAM_SO_MOI'!$D$51</f>
        <v>1.375</v>
      </c>
      <c r="I1840" s="75">
        <f>IF(F1840&gt;'THAM_SO_MOI'!$C$14,'THAM_SO_MOI'!$C$13*(1+F1840^2/1500),'THAM_SO_MOI'!$C$13)</f>
        <v>0.015</v>
      </c>
      <c r="J1840" s="75">
        <f>'THAM_SO_MOI'!$C$40*('THAM_SO_MOI'!$C$23*(E1840/'THAM_SO_MOI'!$C$22)+'THAM_SO_MOI'!$C$24*(E1840/'THAM_SO_MOI'!$C$22)^2-'THAM_SO_MOI'!$C$25*(E1840/'THAM_SO_MOI'!$C$22)^3)</f>
        <v>81.45832595686886</v>
      </c>
      <c r="K1840" s="75">
        <f>'THAM_SO_MOI'!$C$31*J1840/E1840</f>
        <v>424.6946753067221</v>
      </c>
      <c r="L1840" s="75">
        <f>K1840*'THAM_SO_MOI'!$C$51*'THAM_SO_MOI'!$C$17/'THAM_SO_MOI'!$C$26</f>
        <v>9495.837661782694</v>
      </c>
      <c r="M1840" s="75">
        <f>'THAM_SO_MOI'!$C$15*'THAM_SO_MOI'!$C$16*F1840^2</f>
        <v>155.57219989178358</v>
      </c>
      <c r="N1840" s="75">
        <f>'THAM_SO_MOI'!$C$12*I1840</f>
        <v>1130.112</v>
      </c>
      <c r="O1840" s="75">
        <f>M1840+N1840</f>
        <v>1285.6841998917837</v>
      </c>
      <c r="P1840" s="75">
        <f>(MIN(L1840,'THAM_SO_MOI'!$C$41)-O1840)/('THAM_SO_MOI'!$C$11*H1840)</f>
        <v>0.7774766535881543</v>
      </c>
      <c r="Q1840" s="75">
        <f>IF(P1840&gt;0,1/P1840,NA())</f>
        <v>1.2862122552296227</v>
      </c>
      <c r="R1840" s="75">
        <f>F1840-F1839</f>
        <v>0.005028991339517397</v>
      </c>
      <c r="S1840" s="75">
        <f>0.5*(Q1839+Q1840)*R1840</f>
        <v>0.00646862782134152</v>
      </c>
      <c r="T1840" s="75">
        <f>0.5*(F1839*Q1839+F1840*Q1840)*R1840</f>
        <v>0.04715909424671731</v>
      </c>
      <c r="U1840" s="76">
        <f>U1839+S1840</f>
        <v>9.022331488933883</v>
      </c>
      <c r="V1840" s="76">
        <f>V1839+T1840</f>
        <v>40.82043584145855</v>
      </c>
    </row>
    <row r="1841" spans="1:22" ht="19" customHeight="1">
      <c r="A1841" s="68" t="s">
        <v>374</v>
      </c>
      <c r="B1841" s="74">
        <v>3</v>
      </c>
      <c r="C1841" s="68" t="s">
        <v>363</v>
      </c>
      <c r="D1841" s="68" t="s">
        <v>364</v>
      </c>
      <c r="E1841" s="75">
        <f>60*F1841*'THAM_SO_MOI'!$C$51/(2*PI()*'THAM_SO_MOI'!$C$26)</f>
        <v>1833.206362643924</v>
      </c>
      <c r="F1841" s="75">
        <f>'HANH_TRINH'!$F$1647+('THAM_SO_MOI'!$F$51-'HANH_TRINH'!$F$1647)*193/'THAM_SO_MOI'!$C$42</f>
        <v>7.297976055872474</v>
      </c>
      <c r="G1841" s="75">
        <f>3.6*F1841</f>
        <v>26.272713801140906</v>
      </c>
      <c r="H1841" s="75">
        <f>'THAM_SO_MOI'!$D$51</f>
        <v>1.375</v>
      </c>
      <c r="I1841" s="75">
        <f>IF(F1841&gt;'THAM_SO_MOI'!$C$14,'THAM_SO_MOI'!$C$13*(1+F1841^2/1500),'THAM_SO_MOI'!$C$13)</f>
        <v>0.015</v>
      </c>
      <c r="J1841" s="75">
        <f>'THAM_SO_MOI'!$C$40*('THAM_SO_MOI'!$C$23*(E1841/'THAM_SO_MOI'!$C$22)+'THAM_SO_MOI'!$C$24*(E1841/'THAM_SO_MOI'!$C$22)^2-'THAM_SO_MOI'!$C$25*(E1841/'THAM_SO_MOI'!$C$22)^3)</f>
        <v>81.52235583611855</v>
      </c>
      <c r="K1841" s="75">
        <f>'THAM_SO_MOI'!$C$31*J1841/E1841</f>
        <v>424.73561969129133</v>
      </c>
      <c r="L1841" s="75">
        <f>K1841*'THAM_SO_MOI'!$C$51*'THAM_SO_MOI'!$C$17/'THAM_SO_MOI'!$C$26</f>
        <v>9496.753145897841</v>
      </c>
      <c r="M1841" s="75">
        <f>'THAM_SO_MOI'!$C$15*'THAM_SO_MOI'!$C$16*F1841^2</f>
        <v>155.7868294478573</v>
      </c>
      <c r="N1841" s="75">
        <f>'THAM_SO_MOI'!$C$12*I1841</f>
        <v>1130.112</v>
      </c>
      <c r="O1841" s="75">
        <f>M1841+N1841</f>
        <v>1285.8988294478575</v>
      </c>
      <c r="P1841" s="75">
        <f>(MIN(L1841,'THAM_SO_MOI'!$C$41)-O1841)/('THAM_SO_MOI'!$C$11*H1841)</f>
        <v>0.7775430223910968</v>
      </c>
      <c r="Q1841" s="75">
        <f>IF(P1841&gt;0,1/P1841,NA())</f>
        <v>1.28610246790564</v>
      </c>
      <c r="R1841" s="75">
        <f>F1841-F1840</f>
        <v>0.005028991339518285</v>
      </c>
      <c r="S1841" s="75">
        <f>0.5*(Q1840+Q1841)*R1841</f>
        <v>0.006468074232581306</v>
      </c>
      <c r="T1841" s="75">
        <f>0.5*(F1840*Q1840+F1841*Q1841)*R1841</f>
        <v>0.04718758623818354</v>
      </c>
      <c r="U1841" s="76">
        <f>U1840+S1841</f>
        <v>9.028799563166464</v>
      </c>
      <c r="V1841" s="76">
        <f>V1840+T1841</f>
        <v>40.86762342769673</v>
      </c>
    </row>
    <row r="1842" spans="1:22" ht="19" customHeight="1">
      <c r="A1842" s="68" t="s">
        <v>374</v>
      </c>
      <c r="B1842" s="74">
        <v>3</v>
      </c>
      <c r="C1842" s="68" t="s">
        <v>363</v>
      </c>
      <c r="D1842" s="68" t="s">
        <v>364</v>
      </c>
      <c r="E1842" s="75">
        <f>60*F1842*'THAM_SO_MOI'!$C$51/(2*PI()*'THAM_SO_MOI'!$C$26)</f>
        <v>1834.4696141057952</v>
      </c>
      <c r="F1842" s="75">
        <f>'HANH_TRINH'!$F$1647+('THAM_SO_MOI'!$F$51-'HANH_TRINH'!$F$1647)*194/'THAM_SO_MOI'!$C$42</f>
        <v>7.303005047211991</v>
      </c>
      <c r="G1842" s="75">
        <f>3.6*F1842</f>
        <v>26.29081816996317</v>
      </c>
      <c r="H1842" s="75">
        <f>'THAM_SO_MOI'!$D$51</f>
        <v>1.375</v>
      </c>
      <c r="I1842" s="75">
        <f>IF(F1842&gt;'THAM_SO_MOI'!$C$14,'THAM_SO_MOI'!$C$13*(1+F1842^2/1500),'THAM_SO_MOI'!$C$13)</f>
        <v>0.015</v>
      </c>
      <c r="J1842" s="75">
        <f>'THAM_SO_MOI'!$C$40*('THAM_SO_MOI'!$C$23*(E1842/'THAM_SO_MOI'!$C$22)+'THAM_SO_MOI'!$C$24*(E1842/'THAM_SO_MOI'!$C$22)^2-'THAM_SO_MOI'!$C$25*(E1842/'THAM_SO_MOI'!$C$22)^3)</f>
        <v>81.5863668106667</v>
      </c>
      <c r="K1842" s="75">
        <f>'THAM_SO_MOI'!$C$31*J1842/E1842</f>
        <v>424.77640925903006</v>
      </c>
      <c r="L1842" s="75">
        <f>K1842*'THAM_SO_MOI'!$C$51*'THAM_SO_MOI'!$C$17/'THAM_SO_MOI'!$C$26</f>
        <v>9497.665168430882</v>
      </c>
      <c r="M1842" s="75">
        <f>'THAM_SO_MOI'!$C$15*'THAM_SO_MOI'!$C$16*F1842^2</f>
        <v>156.00160695484118</v>
      </c>
      <c r="N1842" s="75">
        <f>'THAM_SO_MOI'!$C$12*I1842</f>
        <v>1130.112</v>
      </c>
      <c r="O1842" s="75">
        <f>M1842+N1842</f>
        <v>1286.1136069548413</v>
      </c>
      <c r="P1842" s="75">
        <f>(MIN(L1842,'THAM_SO_MOI'!$C$41)-O1842)/('THAM_SO_MOI'!$C$11*H1842)</f>
        <v>0.7776090493822008</v>
      </c>
      <c r="Q1842" s="75">
        <f>IF(P1842&gt;0,1/P1842,NA())</f>
        <v>1.2859932646031906</v>
      </c>
      <c r="R1842" s="75">
        <f>F1842-F1841</f>
        <v>0.005028991339517397</v>
      </c>
      <c r="S1842" s="75">
        <f>0.5*(Q1841+Q1842)*R1842</f>
        <v>0.006467523581598282</v>
      </c>
      <c r="T1842" s="75">
        <f>0.5*(F1841*Q1841+F1842*Q1842)*R1842</f>
        <v>0.04721609410887639</v>
      </c>
      <c r="U1842" s="76">
        <f>U1841+S1842</f>
        <v>9.035267086748062</v>
      </c>
      <c r="V1842" s="76">
        <f>V1841+T1842</f>
        <v>40.914839521805604</v>
      </c>
    </row>
    <row r="1843" spans="1:22" ht="19" customHeight="1">
      <c r="A1843" s="68" t="s">
        <v>374</v>
      </c>
      <c r="B1843" s="74">
        <v>3</v>
      </c>
      <c r="C1843" s="68" t="s">
        <v>363</v>
      </c>
      <c r="D1843" s="68" t="s">
        <v>364</v>
      </c>
      <c r="E1843" s="75">
        <f>60*F1843*'THAM_SO_MOI'!$C$51/(2*PI()*'THAM_SO_MOI'!$C$26)</f>
        <v>1835.7328655676665</v>
      </c>
      <c r="F1843" s="75">
        <f>'HANH_TRINH'!$F$1647+('THAM_SO_MOI'!$F$51-'HANH_TRINH'!$F$1647)*195/'THAM_SO_MOI'!$C$42</f>
        <v>7.308034038551509</v>
      </c>
      <c r="G1843" s="75">
        <f>3.6*F1843</f>
        <v>26.30892253878543</v>
      </c>
      <c r="H1843" s="75">
        <f>'THAM_SO_MOI'!$D$51</f>
        <v>1.375</v>
      </c>
      <c r="I1843" s="75">
        <f>IF(F1843&gt;'THAM_SO_MOI'!$C$14,'THAM_SO_MOI'!$C$13*(1+F1843^2/1500),'THAM_SO_MOI'!$C$13)</f>
        <v>0.015</v>
      </c>
      <c r="J1843" s="75">
        <f>'THAM_SO_MOI'!$C$40*('THAM_SO_MOI'!$C$23*(E1843/'THAM_SO_MOI'!$C$22)+'THAM_SO_MOI'!$C$24*(E1843/'THAM_SO_MOI'!$C$22)^2-'THAM_SO_MOI'!$C$25*(E1843/'THAM_SO_MOI'!$C$22)^3)</f>
        <v>81.65035881908398</v>
      </c>
      <c r="K1843" s="75">
        <f>'THAM_SO_MOI'!$C$31*J1843/E1843</f>
        <v>424.8170440099383</v>
      </c>
      <c r="L1843" s="75">
        <f>K1843*'THAM_SO_MOI'!$C$51*'THAM_SO_MOI'!$C$17/'THAM_SO_MOI'!$C$26</f>
        <v>9498.57372938181</v>
      </c>
      <c r="M1843" s="75">
        <f>'THAM_SO_MOI'!$C$15*'THAM_SO_MOI'!$C$16*F1843^2</f>
        <v>156.21653241273538</v>
      </c>
      <c r="N1843" s="75">
        <f>'THAM_SO_MOI'!$C$12*I1843</f>
        <v>1130.112</v>
      </c>
      <c r="O1843" s="75">
        <f>M1843+N1843</f>
        <v>1286.3285324127355</v>
      </c>
      <c r="P1843" s="75">
        <f>(MIN(L1843,'THAM_SO_MOI'!$C$41)-O1843)/('THAM_SO_MOI'!$C$11*H1843)</f>
        <v>0.7776747345614653</v>
      </c>
      <c r="Q1843" s="75">
        <f>IF(P1843&gt;0,1/P1843,NA())</f>
        <v>1.2858846450295252</v>
      </c>
      <c r="R1843" s="75">
        <f>F1843-F1842</f>
        <v>0.005028991339517397</v>
      </c>
      <c r="S1843" s="75">
        <f>0.5*(Q1842+Q1843)*R1843</f>
        <v>0.006466975866919516</v>
      </c>
      <c r="T1843" s="75">
        <f>0.5*(F1842*Q1842+F1843*Q1843)*R1843</f>
        <v>0.047244617892357454</v>
      </c>
      <c r="U1843" s="76">
        <f>U1842+S1843</f>
        <v>9.041734062614982</v>
      </c>
      <c r="V1843" s="76">
        <f>V1842+T1843</f>
        <v>40.962084139697964</v>
      </c>
    </row>
    <row r="1844" spans="1:22" ht="19" customHeight="1">
      <c r="A1844" s="68" t="s">
        <v>374</v>
      </c>
      <c r="B1844" s="74">
        <v>3</v>
      </c>
      <c r="C1844" s="68" t="s">
        <v>363</v>
      </c>
      <c r="D1844" s="68" t="s">
        <v>364</v>
      </c>
      <c r="E1844" s="75">
        <f>60*F1844*'THAM_SO_MOI'!$C$51/(2*PI()*'THAM_SO_MOI'!$C$26)</f>
        <v>1836.9961170295383</v>
      </c>
      <c r="F1844" s="75">
        <f>'HANH_TRINH'!$F$1647+('THAM_SO_MOI'!$F$51-'HANH_TRINH'!$F$1647)*196/'THAM_SO_MOI'!$C$42</f>
        <v>7.313063029891027</v>
      </c>
      <c r="G1844" s="75">
        <f>3.6*F1844</f>
        <v>26.3270269076077</v>
      </c>
      <c r="H1844" s="75">
        <f>'THAM_SO_MOI'!$D$51</f>
        <v>1.375</v>
      </c>
      <c r="I1844" s="75">
        <f>IF(F1844&gt;'THAM_SO_MOI'!$C$14,'THAM_SO_MOI'!$C$13*(1+F1844^2/1500),'THAM_SO_MOI'!$C$13)</f>
        <v>0.015</v>
      </c>
      <c r="J1844" s="75">
        <f>'THAM_SO_MOI'!$C$40*('THAM_SO_MOI'!$C$23*(E1844/'THAM_SO_MOI'!$C$22)+'THAM_SO_MOI'!$C$24*(E1844/'THAM_SO_MOI'!$C$22)^2-'THAM_SO_MOI'!$C$25*(E1844/'THAM_SO_MOI'!$C$22)^3)</f>
        <v>81.71433179994102</v>
      </c>
      <c r="K1844" s="75">
        <f>'THAM_SO_MOI'!$C$31*J1844/E1844</f>
        <v>424.8575239440158</v>
      </c>
      <c r="L1844" s="75">
        <f>K1844*'THAM_SO_MOI'!$C$51*'THAM_SO_MOI'!$C$17/'THAM_SO_MOI'!$C$26</f>
        <v>9499.478828750627</v>
      </c>
      <c r="M1844" s="75">
        <f>'THAM_SO_MOI'!$C$15*'THAM_SO_MOI'!$C$16*F1844^2</f>
        <v>156.43160582153988</v>
      </c>
      <c r="N1844" s="75">
        <f>'THAM_SO_MOI'!$C$12*I1844</f>
        <v>1130.112</v>
      </c>
      <c r="O1844" s="75">
        <f>M1844+N1844</f>
        <v>1286.54360582154</v>
      </c>
      <c r="P1844" s="75">
        <f>(MIN(L1844,'THAM_SO_MOI'!$C$41)-O1844)/('THAM_SO_MOI'!$C$11*H1844)</f>
        <v>0.777740077928891</v>
      </c>
      <c r="Q1844" s="75">
        <f>IF(P1844&gt;0,1/P1844,NA())</f>
        <v>1.285776608893531</v>
      </c>
      <c r="R1844" s="75">
        <f>F1844-F1843</f>
        <v>0.005028991339518285</v>
      </c>
      <c r="S1844" s="75">
        <f>0.5*(Q1843+Q1844)*R1844</f>
        <v>0.006466431087076892</v>
      </c>
      <c r="T1844" s="75">
        <f>0.5*(F1843*Q1843+F1844*Q1844)*R1844</f>
        <v>0.04727315762219397</v>
      </c>
      <c r="U1844" s="76">
        <f>U1843+S1844</f>
        <v>9.048200493702058</v>
      </c>
      <c r="V1844" s="76">
        <f>V1843+T1844</f>
        <v>41.00935729732016</v>
      </c>
    </row>
    <row r="1845" spans="1:22" ht="19" customHeight="1">
      <c r="A1845" s="68" t="s">
        <v>374</v>
      </c>
      <c r="B1845" s="74">
        <v>3</v>
      </c>
      <c r="C1845" s="68" t="s">
        <v>363</v>
      </c>
      <c r="D1845" s="68" t="s">
        <v>364</v>
      </c>
      <c r="E1845" s="75">
        <f>60*F1845*'THAM_SO_MOI'!$C$51/(2*PI()*'THAM_SO_MOI'!$C$26)</f>
        <v>1838.25936849141</v>
      </c>
      <c r="F1845" s="75">
        <f>'HANH_TRINH'!$F$1647+('THAM_SO_MOI'!$F$51-'HANH_TRINH'!$F$1647)*197/'THAM_SO_MOI'!$C$42</f>
        <v>7.3180920212305445</v>
      </c>
      <c r="G1845" s="75">
        <f>3.6*F1845</f>
        <v>26.34513127642996</v>
      </c>
      <c r="H1845" s="75">
        <f>'THAM_SO_MOI'!$D$51</f>
        <v>1.375</v>
      </c>
      <c r="I1845" s="75">
        <f>IF(F1845&gt;'THAM_SO_MOI'!$C$14,'THAM_SO_MOI'!$C$13*(1+F1845^2/1500),'THAM_SO_MOI'!$C$13)</f>
        <v>0.015</v>
      </c>
      <c r="J1845" s="75">
        <f>'THAM_SO_MOI'!$C$40*('THAM_SO_MOI'!$C$23*(E1845/'THAM_SO_MOI'!$C$22)+'THAM_SO_MOI'!$C$24*(E1845/'THAM_SO_MOI'!$C$22)^2-'THAM_SO_MOI'!$C$25*(E1845/'THAM_SO_MOI'!$C$22)^3)</f>
        <v>81.7782856918085</v>
      </c>
      <c r="K1845" s="75">
        <f>'THAM_SO_MOI'!$C$31*J1845/E1845</f>
        <v>424.89784906126283</v>
      </c>
      <c r="L1845" s="75">
        <f>K1845*'THAM_SO_MOI'!$C$51*'THAM_SO_MOI'!$C$17/'THAM_SO_MOI'!$C$26</f>
        <v>9500.380466537334</v>
      </c>
      <c r="M1845" s="75">
        <f>'THAM_SO_MOI'!$C$15*'THAM_SO_MOI'!$C$16*F1845^2</f>
        <v>156.64682718125462</v>
      </c>
      <c r="N1845" s="75">
        <f>'THAM_SO_MOI'!$C$12*I1845</f>
        <v>1130.112</v>
      </c>
      <c r="O1845" s="75">
        <f>M1845+N1845</f>
        <v>1286.7588271812547</v>
      </c>
      <c r="P1845" s="75">
        <f>(MIN(L1845,'THAM_SO_MOI'!$C$41)-O1845)/('THAM_SO_MOI'!$C$11*H1845)</f>
        <v>0.7778050794844772</v>
      </c>
      <c r="Q1845" s="75">
        <f>IF(P1845&gt;0,1/P1845,NA())</f>
        <v>1.2856691559057338</v>
      </c>
      <c r="R1845" s="75">
        <f>F1845-F1844</f>
        <v>0.005028991339517397</v>
      </c>
      <c r="S1845" s="75">
        <f>0.5*(Q1844+Q1845)*R1845</f>
        <v>0.006465889240607095</v>
      </c>
      <c r="T1845" s="75">
        <f>0.5*(F1844*Q1844+F1845*Q1845)*R1845</f>
        <v>0.0473017133319588</v>
      </c>
      <c r="U1845" s="76">
        <f>U1844+S1845</f>
        <v>9.054666382942665</v>
      </c>
      <c r="V1845" s="76">
        <f>V1844+T1845</f>
        <v>41.05665901065212</v>
      </c>
    </row>
    <row r="1846" spans="1:22" ht="19" customHeight="1">
      <c r="A1846" s="68" t="s">
        <v>374</v>
      </c>
      <c r="B1846" s="74">
        <v>3</v>
      </c>
      <c r="C1846" s="68" t="s">
        <v>363</v>
      </c>
      <c r="D1846" s="68" t="s">
        <v>364</v>
      </c>
      <c r="E1846" s="75">
        <f>60*F1846*'THAM_SO_MOI'!$C$51/(2*PI()*'THAM_SO_MOI'!$C$26)</f>
        <v>1839.5226199532817</v>
      </c>
      <c r="F1846" s="75">
        <f>'HANH_TRINH'!$F$1647+('THAM_SO_MOI'!$F$51-'HANH_TRINH'!$F$1647)*198/'THAM_SO_MOI'!$C$42</f>
        <v>7.323121012570062</v>
      </c>
      <c r="G1846" s="75">
        <f>3.6*F1846</f>
        <v>26.363235645252225</v>
      </c>
      <c r="H1846" s="75">
        <f>'THAM_SO_MOI'!$D$51</f>
        <v>1.375</v>
      </c>
      <c r="I1846" s="75">
        <f>IF(F1846&gt;'THAM_SO_MOI'!$C$14,'THAM_SO_MOI'!$C$13*(1+F1846^2/1500),'THAM_SO_MOI'!$C$13)</f>
        <v>0.015</v>
      </c>
      <c r="J1846" s="75">
        <f>'THAM_SO_MOI'!$C$40*('THAM_SO_MOI'!$C$23*(E1846/'THAM_SO_MOI'!$C$22)+'THAM_SO_MOI'!$C$24*(E1846/'THAM_SO_MOI'!$C$22)^2-'THAM_SO_MOI'!$C$25*(E1846/'THAM_SO_MOI'!$C$22)^3)</f>
        <v>81.84222043325713</v>
      </c>
      <c r="K1846" s="75">
        <f>'THAM_SO_MOI'!$C$31*J1846/E1846</f>
        <v>424.9380193616797</v>
      </c>
      <c r="L1846" s="75">
        <f>K1846*'THAM_SO_MOI'!$C$51*'THAM_SO_MOI'!$C$17/'THAM_SO_MOI'!$C$26</f>
        <v>9501.278642741941</v>
      </c>
      <c r="M1846" s="75">
        <f>'THAM_SO_MOI'!$C$15*'THAM_SO_MOI'!$C$16*F1846^2</f>
        <v>156.86219649187962</v>
      </c>
      <c r="N1846" s="75">
        <f>'THAM_SO_MOI'!$C$12*I1846</f>
        <v>1130.112</v>
      </c>
      <c r="O1846" s="75">
        <f>M1846+N1846</f>
        <v>1286.9741964918796</v>
      </c>
      <c r="P1846" s="75">
        <f>(MIN(L1846,'THAM_SO_MOI'!$C$41)-O1846)/('THAM_SO_MOI'!$C$11*H1846)</f>
        <v>0.7778697392282256</v>
      </c>
      <c r="Q1846" s="75">
        <f>IF(P1846&gt;0,1/P1846,NA())</f>
        <v>1.28556228577829</v>
      </c>
      <c r="R1846" s="75">
        <f>F1846-F1845</f>
        <v>0.005028991339517397</v>
      </c>
      <c r="S1846" s="75">
        <f>0.5*(Q1845+Q1846)*R1846</f>
        <v>0.006465350326061893</v>
      </c>
      <c r="T1846" s="75">
        <f>0.5*(F1845*Q1845+F1846*Q1846)*R1846</f>
        <v>0.047330285055305676</v>
      </c>
      <c r="U1846" s="76">
        <f>U1845+S1846</f>
        <v>9.061131733268727</v>
      </c>
      <c r="V1846" s="76">
        <f>V1845+T1846</f>
        <v>41.10398929570742</v>
      </c>
    </row>
    <row r="1847" spans="1:22" ht="19" customHeight="1">
      <c r="A1847" s="68" t="s">
        <v>374</v>
      </c>
      <c r="B1847" s="74">
        <v>3</v>
      </c>
      <c r="C1847" s="68" t="s">
        <v>363</v>
      </c>
      <c r="D1847" s="68" t="s">
        <v>364</v>
      </c>
      <c r="E1847" s="75">
        <f>60*F1847*'THAM_SO_MOI'!$C$51/(2*PI()*'THAM_SO_MOI'!$C$26)</f>
        <v>1840.7858714151532</v>
      </c>
      <c r="F1847" s="75">
        <f>'HANH_TRINH'!$F$1647+('THAM_SO_MOI'!$F$51-'HANH_TRINH'!$F$1647)*199/'THAM_SO_MOI'!$C$42</f>
        <v>7.32815000390958</v>
      </c>
      <c r="G1847" s="75">
        <f>3.6*F1847</f>
        <v>26.38134001407449</v>
      </c>
      <c r="H1847" s="75">
        <f>'THAM_SO_MOI'!$D$51</f>
        <v>1.375</v>
      </c>
      <c r="I1847" s="75">
        <f>IF(F1847&gt;'THAM_SO_MOI'!$C$14,'THAM_SO_MOI'!$C$13*(1+F1847^2/1500),'THAM_SO_MOI'!$C$13)</f>
        <v>0.015</v>
      </c>
      <c r="J1847" s="75">
        <f>'THAM_SO_MOI'!$C$40*('THAM_SO_MOI'!$C$23*(E1847/'THAM_SO_MOI'!$C$22)+'THAM_SO_MOI'!$C$24*(E1847/'THAM_SO_MOI'!$C$22)^2-'THAM_SO_MOI'!$C$25*(E1847/'THAM_SO_MOI'!$C$22)^3)</f>
        <v>81.90613596285743</v>
      </c>
      <c r="K1847" s="75">
        <f>'THAM_SO_MOI'!$C$31*J1847/E1847</f>
        <v>424.9780348452659</v>
      </c>
      <c r="L1847" s="75">
        <f>K1847*'THAM_SO_MOI'!$C$51*'THAM_SO_MOI'!$C$17/'THAM_SO_MOI'!$C$26</f>
        <v>9502.173357364436</v>
      </c>
      <c r="M1847" s="75">
        <f>'THAM_SO_MOI'!$C$15*'THAM_SO_MOI'!$C$16*F1847^2</f>
        <v>157.07771375341497</v>
      </c>
      <c r="N1847" s="75">
        <f>'THAM_SO_MOI'!$C$12*I1847</f>
        <v>1130.112</v>
      </c>
      <c r="O1847" s="75">
        <f>M1847+N1847</f>
        <v>1287.1897137534152</v>
      </c>
      <c r="P1847" s="75">
        <f>(MIN(L1847,'THAM_SO_MOI'!$C$41)-O1847)/('THAM_SO_MOI'!$C$11*H1847)</f>
        <v>0.7779340571601344</v>
      </c>
      <c r="Q1847" s="75">
        <f>IF(P1847&gt;0,1/P1847,NA())</f>
        <v>1.2854559982249938</v>
      </c>
      <c r="R1847" s="75">
        <f>F1847-F1846</f>
        <v>0.005028991339518285</v>
      </c>
      <c r="S1847" s="75">
        <f>0.5*(Q1846+Q1847)*R1847</f>
        <v>0.006464814341997838</v>
      </c>
      <c r="T1847" s="75">
        <f>0.5*(F1846*Q1846+F1847*Q1847)*R1847</f>
        <v>0.04735887282589433</v>
      </c>
      <c r="U1847" s="76">
        <f>U1846+S1847</f>
        <v>9.067596547610725</v>
      </c>
      <c r="V1847" s="76">
        <f>V1846+T1847</f>
        <v>41.15134816853332</v>
      </c>
    </row>
    <row r="1848" spans="1:22" ht="19" customHeight="1">
      <c r="A1848" s="68" t="s">
        <v>374</v>
      </c>
      <c r="B1848" s="74">
        <v>3</v>
      </c>
      <c r="C1848" s="68" t="s">
        <v>363</v>
      </c>
      <c r="D1848" s="68" t="s">
        <v>364</v>
      </c>
      <c r="E1848" s="75">
        <f>60*F1848*'THAM_SO_MOI'!$C$51/(2*PI()*'THAM_SO_MOI'!$C$26)</f>
        <v>1842.049122877025</v>
      </c>
      <c r="F1848" s="75">
        <f>'HANH_TRINH'!$F$1647+('THAM_SO_MOI'!$F$51-'HANH_TRINH'!$F$1647)*200/'THAM_SO_MOI'!$C$42</f>
        <v>7.3331789952490976</v>
      </c>
      <c r="G1848" s="75">
        <f>3.6*F1848</f>
        <v>26.399444382896753</v>
      </c>
      <c r="H1848" s="75">
        <f>'THAM_SO_MOI'!$D$51</f>
        <v>1.375</v>
      </c>
      <c r="I1848" s="75">
        <f>IF(F1848&gt;'THAM_SO_MOI'!$C$14,'THAM_SO_MOI'!$C$13*(1+F1848^2/1500),'THAM_SO_MOI'!$C$13)</f>
        <v>0.015</v>
      </c>
      <c r="J1848" s="75">
        <f>'THAM_SO_MOI'!$C$40*('THAM_SO_MOI'!$C$23*(E1848/'THAM_SO_MOI'!$C$22)+'THAM_SO_MOI'!$C$24*(E1848/'THAM_SO_MOI'!$C$22)^2-'THAM_SO_MOI'!$C$25*(E1848/'THAM_SO_MOI'!$C$22)^3)</f>
        <v>81.97003221918014</v>
      </c>
      <c r="K1848" s="75">
        <f>'THAM_SO_MOI'!$C$31*J1848/E1848</f>
        <v>425.0178955120216</v>
      </c>
      <c r="L1848" s="75">
        <f>K1848*'THAM_SO_MOI'!$C$51*'THAM_SO_MOI'!$C$17/'THAM_SO_MOI'!$C$26</f>
        <v>9503.06461040482</v>
      </c>
      <c r="M1848" s="75">
        <f>'THAM_SO_MOI'!$C$15*'THAM_SO_MOI'!$C$16*F1848^2</f>
        <v>157.2933789658605</v>
      </c>
      <c r="N1848" s="75">
        <f>'THAM_SO_MOI'!$C$12*I1848</f>
        <v>1130.112</v>
      </c>
      <c r="O1848" s="75">
        <f>M1848+N1848</f>
        <v>1287.4053789658606</v>
      </c>
      <c r="P1848" s="75">
        <f>(MIN(L1848,'THAM_SO_MOI'!$C$41)-O1848)/('THAM_SO_MOI'!$C$11*H1848)</f>
        <v>0.7779980332802046</v>
      </c>
      <c r="Q1848" s="75">
        <f>IF(P1848&gt;0,1/P1848,NA())</f>
        <v>1.2853502929612663</v>
      </c>
      <c r="R1848" s="75">
        <f>F1848-F1847</f>
        <v>0.005028991339517397</v>
      </c>
      <c r="S1848" s="75">
        <f>0.5*(Q1847+Q1848)*R1848</f>
        <v>0.0064642812869762705</v>
      </c>
      <c r="T1848" s="75">
        <f>0.5*(F1847*Q1847+F1848*Q1848)*R1848</f>
        <v>0.04738747667739054</v>
      </c>
      <c r="U1848" s="76">
        <f>U1847+S1848</f>
        <v>9.074060828897702</v>
      </c>
      <c r="V1848" s="76">
        <f>V1847+T1848</f>
        <v>41.19873564521071</v>
      </c>
    </row>
    <row r="1849" spans="1:22" ht="19" customHeight="1">
      <c r="A1849" s="68" t="s">
        <v>374</v>
      </c>
      <c r="B1849" s="74">
        <v>3</v>
      </c>
      <c r="C1849" s="68" t="s">
        <v>363</v>
      </c>
      <c r="D1849" s="68" t="s">
        <v>364</v>
      </c>
      <c r="E1849" s="75">
        <f>60*F1849*'THAM_SO_MOI'!$C$51/(2*PI()*'THAM_SO_MOI'!$C$26)</f>
        <v>1843.3123743388967</v>
      </c>
      <c r="F1849" s="75">
        <f>'HANH_TRINH'!$F$1647+('THAM_SO_MOI'!$F$51-'HANH_TRINH'!$F$1647)*201/'THAM_SO_MOI'!$C$42</f>
        <v>7.338207986588615</v>
      </c>
      <c r="G1849" s="75">
        <f>3.6*F1849</f>
        <v>26.417548751719014</v>
      </c>
      <c r="H1849" s="75">
        <f>'THAM_SO_MOI'!$D$51</f>
        <v>1.375</v>
      </c>
      <c r="I1849" s="75">
        <f>IF(F1849&gt;'THAM_SO_MOI'!$C$14,'THAM_SO_MOI'!$C$13*(1+F1849^2/1500),'THAM_SO_MOI'!$C$13)</f>
        <v>0.015</v>
      </c>
      <c r="J1849" s="75">
        <f>'THAM_SO_MOI'!$C$40*('THAM_SO_MOI'!$C$23*(E1849/'THAM_SO_MOI'!$C$22)+'THAM_SO_MOI'!$C$24*(E1849/'THAM_SO_MOI'!$C$22)^2-'THAM_SO_MOI'!$C$25*(E1849/'THAM_SO_MOI'!$C$22)^3)</f>
        <v>82.03390914079584</v>
      </c>
      <c r="K1849" s="75">
        <f>'THAM_SO_MOI'!$C$31*J1849/E1849</f>
        <v>425.05760136194664</v>
      </c>
      <c r="L1849" s="75">
        <f>K1849*'THAM_SO_MOI'!$C$51*'THAM_SO_MOI'!$C$17/'THAM_SO_MOI'!$C$26</f>
        <v>9503.952401863093</v>
      </c>
      <c r="M1849" s="75">
        <f>'THAM_SO_MOI'!$C$15*'THAM_SO_MOI'!$C$16*F1849^2</f>
        <v>157.50919212921636</v>
      </c>
      <c r="N1849" s="75">
        <f>'THAM_SO_MOI'!$C$12*I1849</f>
        <v>1130.112</v>
      </c>
      <c r="O1849" s="75">
        <f>M1849+N1849</f>
        <v>1287.6211921292165</v>
      </c>
      <c r="P1849" s="75">
        <f>(MIN(L1849,'THAM_SO_MOI'!$C$41)-O1849)/('THAM_SO_MOI'!$C$11*H1849)</f>
        <v>0.7780616675884351</v>
      </c>
      <c r="Q1849" s="75">
        <f>IF(P1849&gt;0,1/P1849,NA())</f>
        <v>1.28524516970416</v>
      </c>
      <c r="R1849" s="75">
        <f>F1849-F1848</f>
        <v>0.005028991339517397</v>
      </c>
      <c r="S1849" s="75">
        <f>0.5*(Q1848+Q1849)*R1849</f>
        <v>0.0064637511595735725</v>
      </c>
      <c r="T1849" s="75">
        <f>0.5*(F1848*Q1848+F1849*Q1849)*R1849</f>
        <v>0.047416096643541454</v>
      </c>
      <c r="U1849" s="76">
        <f>U1848+S1849</f>
        <v>9.080524580057276</v>
      </c>
      <c r="V1849" s="76">
        <f>V1848+T1849</f>
        <v>41.246151741854256</v>
      </c>
    </row>
    <row r="1850" spans="1:22" ht="19" customHeight="1">
      <c r="A1850" s="68" t="s">
        <v>374</v>
      </c>
      <c r="B1850" s="74">
        <v>3</v>
      </c>
      <c r="C1850" s="68" t="s">
        <v>363</v>
      </c>
      <c r="D1850" s="68" t="s">
        <v>364</v>
      </c>
      <c r="E1850" s="75">
        <f>60*F1850*'THAM_SO_MOI'!$C$51/(2*PI()*'THAM_SO_MOI'!$C$26)</f>
        <v>1844.5756258007684</v>
      </c>
      <c r="F1850" s="75">
        <f>'HANH_TRINH'!$F$1647+('THAM_SO_MOI'!$F$51-'HANH_TRINH'!$F$1647)*202/'THAM_SO_MOI'!$C$42</f>
        <v>7.343236977928133</v>
      </c>
      <c r="G1850" s="75">
        <f>3.6*F1850</f>
        <v>26.43565312054128</v>
      </c>
      <c r="H1850" s="75">
        <f>'THAM_SO_MOI'!$D$51</f>
        <v>1.375</v>
      </c>
      <c r="I1850" s="75">
        <f>IF(F1850&gt;'THAM_SO_MOI'!$C$14,'THAM_SO_MOI'!$C$13*(1+F1850^2/1500),'THAM_SO_MOI'!$C$13)</f>
        <v>0.015</v>
      </c>
      <c r="J1850" s="75">
        <f>'THAM_SO_MOI'!$C$40*('THAM_SO_MOI'!$C$23*(E1850/'THAM_SO_MOI'!$C$22)+'THAM_SO_MOI'!$C$24*(E1850/'THAM_SO_MOI'!$C$22)^2-'THAM_SO_MOI'!$C$25*(E1850/'THAM_SO_MOI'!$C$22)^3)</f>
        <v>82.09776666627526</v>
      </c>
      <c r="K1850" s="75">
        <f>'THAM_SO_MOI'!$C$31*J1850/E1850</f>
        <v>425.0971523950413</v>
      </c>
      <c r="L1850" s="75">
        <f>K1850*'THAM_SO_MOI'!$C$51*'THAM_SO_MOI'!$C$17/'THAM_SO_MOI'!$C$26</f>
        <v>9504.83673173926</v>
      </c>
      <c r="M1850" s="75">
        <f>'THAM_SO_MOI'!$C$15*'THAM_SO_MOI'!$C$16*F1850^2</f>
        <v>157.72515324348248</v>
      </c>
      <c r="N1850" s="75">
        <f>'THAM_SO_MOI'!$C$12*I1850</f>
        <v>1130.112</v>
      </c>
      <c r="O1850" s="75">
        <f>M1850+N1850</f>
        <v>1287.8371532434826</v>
      </c>
      <c r="P1850" s="75">
        <f>(MIN(L1850,'THAM_SO_MOI'!$C$41)-O1850)/('THAM_SO_MOI'!$C$11*H1850)</f>
        <v>0.7781249600848276</v>
      </c>
      <c r="Q1850" s="75">
        <f>IF(P1850&gt;0,1/P1850,NA())</f>
        <v>1.2851406281723499</v>
      </c>
      <c r="R1850" s="75">
        <f>F1850-F1849</f>
        <v>0.005028991339518285</v>
      </c>
      <c r="S1850" s="75">
        <f>0.5*(Q1849+Q1850)*R1850</f>
        <v>0.006463223958370882</v>
      </c>
      <c r="T1850" s="75">
        <f>0.5*(F1849*Q1849+F1850*Q1850)*R1850</f>
        <v>0.047444732758100565</v>
      </c>
      <c r="U1850" s="76">
        <f>U1849+S1850</f>
        <v>9.086987804015646</v>
      </c>
      <c r="V1850" s="76">
        <f>V1849+T1850</f>
        <v>41.29359647461236</v>
      </c>
    </row>
    <row r="1851" spans="1:22" ht="19" customHeight="1">
      <c r="A1851" s="68" t="s">
        <v>374</v>
      </c>
      <c r="B1851" s="74">
        <v>3</v>
      </c>
      <c r="C1851" s="68" t="s">
        <v>363</v>
      </c>
      <c r="D1851" s="68" t="s">
        <v>364</v>
      </c>
      <c r="E1851" s="75">
        <f>60*F1851*'THAM_SO_MOI'!$C$51/(2*PI()*'THAM_SO_MOI'!$C$26)</f>
        <v>1845.8388772626397</v>
      </c>
      <c r="F1851" s="75">
        <f>'HANH_TRINH'!$F$1647+('THAM_SO_MOI'!$F$51-'HANH_TRINH'!$F$1647)*203/'THAM_SO_MOI'!$C$42</f>
        <v>7.348265969267651</v>
      </c>
      <c r="G1851" s="75">
        <f>3.6*F1851</f>
        <v>26.453757489363543</v>
      </c>
      <c r="H1851" s="75">
        <f>'THAM_SO_MOI'!$D$51</f>
        <v>1.375</v>
      </c>
      <c r="I1851" s="75">
        <f>IF(F1851&gt;'THAM_SO_MOI'!$C$14,'THAM_SO_MOI'!$C$13*(1+F1851^2/1500),'THAM_SO_MOI'!$C$13)</f>
        <v>0.015</v>
      </c>
      <c r="J1851" s="75">
        <f>'THAM_SO_MOI'!$C$40*('THAM_SO_MOI'!$C$23*(E1851/'THAM_SO_MOI'!$C$22)+'THAM_SO_MOI'!$C$24*(E1851/'THAM_SO_MOI'!$C$22)^2-'THAM_SO_MOI'!$C$25*(E1851/'THAM_SO_MOI'!$C$22)^3)</f>
        <v>82.16160473418897</v>
      </c>
      <c r="K1851" s="75">
        <f>'THAM_SO_MOI'!$C$31*J1851/E1851</f>
        <v>425.1365486113054</v>
      </c>
      <c r="L1851" s="75">
        <f>K1851*'THAM_SO_MOI'!$C$51*'THAM_SO_MOI'!$C$17/'THAM_SO_MOI'!$C$26</f>
        <v>9505.717600033315</v>
      </c>
      <c r="M1851" s="75">
        <f>'THAM_SO_MOI'!$C$15*'THAM_SO_MOI'!$C$16*F1851^2</f>
        <v>157.94126230865888</v>
      </c>
      <c r="N1851" s="75">
        <f>'THAM_SO_MOI'!$C$12*I1851</f>
        <v>1130.112</v>
      </c>
      <c r="O1851" s="75">
        <f>M1851+N1851</f>
        <v>1288.053262308659</v>
      </c>
      <c r="P1851" s="75">
        <f>(MIN(L1851,'THAM_SO_MOI'!$C$41)-O1851)/('THAM_SO_MOI'!$C$11*H1851)</f>
        <v>0.7781879107693802</v>
      </c>
      <c r="Q1851" s="75">
        <f>IF(P1851&gt;0,1/P1851,NA())</f>
        <v>1.2850366680861416</v>
      </c>
      <c r="R1851" s="75">
        <f>F1851-F1850</f>
        <v>0.005028991339517397</v>
      </c>
      <c r="S1851" s="75">
        <f>0.5*(Q1850+Q1851)*R1851</f>
        <v>0.006462699681954097</v>
      </c>
      <c r="T1851" s="75">
        <f>0.5*(F1850*Q1850+F1851*Q1851)*R1851</f>
        <v>0.047473385054827684</v>
      </c>
      <c r="U1851" s="76">
        <f>U1850+S1851</f>
        <v>9.0934505036976</v>
      </c>
      <c r="V1851" s="76">
        <f>V1850+T1851</f>
        <v>41.341069859667186</v>
      </c>
    </row>
    <row r="1852" spans="1:22" ht="19" customHeight="1">
      <c r="A1852" s="68" t="s">
        <v>374</v>
      </c>
      <c r="B1852" s="74">
        <v>3</v>
      </c>
      <c r="C1852" s="68" t="s">
        <v>363</v>
      </c>
      <c r="D1852" s="68" t="s">
        <v>364</v>
      </c>
      <c r="E1852" s="75">
        <f>60*F1852*'THAM_SO_MOI'!$C$51/(2*PI()*'THAM_SO_MOI'!$C$26)</f>
        <v>1847.1021287245112</v>
      </c>
      <c r="F1852" s="75">
        <f>'HANH_TRINH'!$F$1647+('THAM_SO_MOI'!$F$51-'HANH_TRINH'!$F$1647)*204/'THAM_SO_MOI'!$C$42</f>
        <v>7.353294960607168</v>
      </c>
      <c r="G1852" s="75">
        <f>3.6*F1852</f>
        <v>26.471861858185804</v>
      </c>
      <c r="H1852" s="75">
        <f>'THAM_SO_MOI'!$D$51</f>
        <v>1.375</v>
      </c>
      <c r="I1852" s="75">
        <f>IF(F1852&gt;'THAM_SO_MOI'!$C$14,'THAM_SO_MOI'!$C$13*(1+F1852^2/1500),'THAM_SO_MOI'!$C$13)</f>
        <v>0.015</v>
      </c>
      <c r="J1852" s="75">
        <f>'THAM_SO_MOI'!$C$40*('THAM_SO_MOI'!$C$23*(E1852/'THAM_SO_MOI'!$C$22)+'THAM_SO_MOI'!$C$24*(E1852/'THAM_SO_MOI'!$C$22)^2-'THAM_SO_MOI'!$C$25*(E1852/'THAM_SO_MOI'!$C$22)^3)</f>
        <v>82.22542328310769</v>
      </c>
      <c r="K1852" s="75">
        <f>'THAM_SO_MOI'!$C$31*J1852/E1852</f>
        <v>425.175790010739</v>
      </c>
      <c r="L1852" s="75">
        <f>K1852*'THAM_SO_MOI'!$C$51*'THAM_SO_MOI'!$C$17/'THAM_SO_MOI'!$C$26</f>
        <v>9506.595006745263</v>
      </c>
      <c r="M1852" s="75">
        <f>'THAM_SO_MOI'!$C$15*'THAM_SO_MOI'!$C$16*F1852^2</f>
        <v>158.15751932474552</v>
      </c>
      <c r="N1852" s="75">
        <f>'THAM_SO_MOI'!$C$12*I1852</f>
        <v>1130.112</v>
      </c>
      <c r="O1852" s="75">
        <f>M1852+N1852</f>
        <v>1288.2695193247455</v>
      </c>
      <c r="P1852" s="75">
        <f>(MIN(L1852,'THAM_SO_MOI'!$C$41)-O1852)/('THAM_SO_MOI'!$C$11*H1852)</f>
        <v>0.7782505196420944</v>
      </c>
      <c r="Q1852" s="75">
        <f>IF(P1852&gt;0,1/P1852,NA())</f>
        <v>1.2849332891674585</v>
      </c>
      <c r="R1852" s="75">
        <f>F1852-F1851</f>
        <v>0.005028991339517397</v>
      </c>
      <c r="S1852" s="75">
        <f>0.5*(Q1851+Q1852)*R1852</f>
        <v>0.006462178328924126</v>
      </c>
      <c r="T1852" s="75">
        <f>0.5*(F1851*Q1851+F1852*Q1852)*R1852</f>
        <v>0.04750205356756463</v>
      </c>
      <c r="U1852" s="76">
        <f>U1851+S1852</f>
        <v>9.099912682026524</v>
      </c>
      <c r="V1852" s="76">
        <f>V1851+T1852</f>
        <v>41.38857191323475</v>
      </c>
    </row>
    <row r="1853" spans="1:22" ht="19" customHeight="1">
      <c r="A1853" s="68" t="s">
        <v>374</v>
      </c>
      <c r="B1853" s="74">
        <v>3</v>
      </c>
      <c r="C1853" s="68" t="s">
        <v>363</v>
      </c>
      <c r="D1853" s="68" t="s">
        <v>364</v>
      </c>
      <c r="E1853" s="75">
        <f>60*F1853*'THAM_SO_MOI'!$C$51/(2*PI()*'THAM_SO_MOI'!$C$26)</f>
        <v>1848.3653801863832</v>
      </c>
      <c r="F1853" s="75">
        <f>'HANH_TRINH'!$F$1647+('THAM_SO_MOI'!$F$51-'HANH_TRINH'!$F$1647)*205/'THAM_SO_MOI'!$C$42</f>
        <v>7.358323951946686</v>
      </c>
      <c r="G1853" s="75">
        <f>3.6*F1853</f>
        <v>26.489966227008072</v>
      </c>
      <c r="H1853" s="75">
        <f>'THAM_SO_MOI'!$D$51</f>
        <v>1.375</v>
      </c>
      <c r="I1853" s="75">
        <f>IF(F1853&gt;'THAM_SO_MOI'!$C$14,'THAM_SO_MOI'!$C$13*(1+F1853^2/1500),'THAM_SO_MOI'!$C$13)</f>
        <v>0.015</v>
      </c>
      <c r="J1853" s="75">
        <f>'THAM_SO_MOI'!$C$40*('THAM_SO_MOI'!$C$23*(E1853/'THAM_SO_MOI'!$C$22)+'THAM_SO_MOI'!$C$24*(E1853/'THAM_SO_MOI'!$C$22)^2-'THAM_SO_MOI'!$C$25*(E1853/'THAM_SO_MOI'!$C$22)^3)</f>
        <v>82.28922225160206</v>
      </c>
      <c r="K1853" s="75">
        <f>'THAM_SO_MOI'!$C$31*J1853/E1853</f>
        <v>425.21487659334207</v>
      </c>
      <c r="L1853" s="75">
        <f>K1853*'THAM_SO_MOI'!$C$51*'THAM_SO_MOI'!$C$17/'THAM_SO_MOI'!$C$26</f>
        <v>9507.468951875104</v>
      </c>
      <c r="M1853" s="75">
        <f>'THAM_SO_MOI'!$C$15*'THAM_SO_MOI'!$C$16*F1853^2</f>
        <v>158.3739242917425</v>
      </c>
      <c r="N1853" s="75">
        <f>'THAM_SO_MOI'!$C$12*I1853</f>
        <v>1130.112</v>
      </c>
      <c r="O1853" s="75">
        <f>M1853+N1853</f>
        <v>1288.4859242917425</v>
      </c>
      <c r="P1853" s="75">
        <f>(MIN(L1853,'THAM_SO_MOI'!$C$41)-O1853)/('THAM_SO_MOI'!$C$11*H1853)</f>
        <v>0.77831278670297</v>
      </c>
      <c r="Q1853" s="75">
        <f>IF(P1853&gt;0,1/P1853,NA())</f>
        <v>1.2848304911398472</v>
      </c>
      <c r="R1853" s="75">
        <f>F1853-F1852</f>
        <v>0.005028991339518285</v>
      </c>
      <c r="S1853" s="75">
        <f>0.5*(Q1852+Q1853)*R1853</f>
        <v>0.006461659897886605</v>
      </c>
      <c r="T1853" s="75">
        <f>0.5*(F1852*Q1852+F1853*Q1853)*R1853</f>
        <v>0.047530738330159784</v>
      </c>
      <c r="U1853" s="76">
        <f>U1852+S1853</f>
        <v>9.106374341924411</v>
      </c>
      <c r="V1853" s="76">
        <f>V1852+T1853</f>
        <v>41.43610265156491</v>
      </c>
    </row>
    <row r="1854" spans="1:22" ht="19" customHeight="1">
      <c r="A1854" s="68" t="s">
        <v>374</v>
      </c>
      <c r="B1854" s="74">
        <v>3</v>
      </c>
      <c r="C1854" s="68" t="s">
        <v>363</v>
      </c>
      <c r="D1854" s="68" t="s">
        <v>364</v>
      </c>
      <c r="E1854" s="75">
        <f>60*F1854*'THAM_SO_MOI'!$C$51/(2*PI()*'THAM_SO_MOI'!$C$26)</f>
        <v>1849.6286316482547</v>
      </c>
      <c r="F1854" s="75">
        <f>'HANH_TRINH'!$F$1647+('THAM_SO_MOI'!$F$51-'HANH_TRINH'!$F$1647)*206/'THAM_SO_MOI'!$C$42</f>
        <v>7.363352943286204</v>
      </c>
      <c r="G1854" s="75">
        <f>3.6*F1854</f>
        <v>26.508070595830333</v>
      </c>
      <c r="H1854" s="75">
        <f>'THAM_SO_MOI'!$D$51</f>
        <v>1.375</v>
      </c>
      <c r="I1854" s="75">
        <f>IF(F1854&gt;'THAM_SO_MOI'!$C$14,'THAM_SO_MOI'!$C$13*(1+F1854^2/1500),'THAM_SO_MOI'!$C$13)</f>
        <v>0.015</v>
      </c>
      <c r="J1854" s="75">
        <f>'THAM_SO_MOI'!$C$40*('THAM_SO_MOI'!$C$23*(E1854/'THAM_SO_MOI'!$C$22)+'THAM_SO_MOI'!$C$24*(E1854/'THAM_SO_MOI'!$C$22)^2-'THAM_SO_MOI'!$C$25*(E1854/'THAM_SO_MOI'!$C$22)^3)</f>
        <v>82.35300157824268</v>
      </c>
      <c r="K1854" s="75">
        <f>'THAM_SO_MOI'!$C$31*J1854/E1854</f>
        <v>425.2538083591147</v>
      </c>
      <c r="L1854" s="75">
        <f>K1854*'THAM_SO_MOI'!$C$51*'THAM_SO_MOI'!$C$17/'THAM_SO_MOI'!$C$26</f>
        <v>9508.339435422835</v>
      </c>
      <c r="M1854" s="75">
        <f>'THAM_SO_MOI'!$C$15*'THAM_SO_MOI'!$C$16*F1854^2</f>
        <v>158.5904772096497</v>
      </c>
      <c r="N1854" s="75">
        <f>'THAM_SO_MOI'!$C$12*I1854</f>
        <v>1130.112</v>
      </c>
      <c r="O1854" s="75">
        <f>M1854+N1854</f>
        <v>1288.7024772096497</v>
      </c>
      <c r="P1854" s="75">
        <f>(MIN(L1854,'THAM_SO_MOI'!$C$41)-O1854)/('THAM_SO_MOI'!$C$11*H1854)</f>
        <v>0.7783747119520061</v>
      </c>
      <c r="Q1854" s="75">
        <f>IF(P1854&gt;0,1/P1854,NA())</f>
        <v>1.2847282737284753</v>
      </c>
      <c r="R1854" s="75">
        <f>F1854-F1853</f>
        <v>0.005028991339517397</v>
      </c>
      <c r="S1854" s="75">
        <f>0.5*(Q1853+Q1854)*R1854</f>
        <v>0.006461144387451906</v>
      </c>
      <c r="T1854" s="75">
        <f>0.5*(F1853*Q1853+F1854*Q1854)*R1854</f>
        <v>0.047559439376468345</v>
      </c>
      <c r="U1854" s="76">
        <f>U1853+S1854</f>
        <v>9.112835486311862</v>
      </c>
      <c r="V1854" s="76">
        <f>V1853+T1854</f>
        <v>41.48366209094138</v>
      </c>
    </row>
    <row r="1855" spans="1:22" ht="19" customHeight="1">
      <c r="A1855" s="68" t="s">
        <v>374</v>
      </c>
      <c r="B1855" s="74">
        <v>3</v>
      </c>
      <c r="C1855" s="68" t="s">
        <v>363</v>
      </c>
      <c r="D1855" s="68" t="s">
        <v>364</v>
      </c>
      <c r="E1855" s="75">
        <f>60*F1855*'THAM_SO_MOI'!$C$51/(2*PI()*'THAM_SO_MOI'!$C$26)</f>
        <v>1850.8918831101264</v>
      </c>
      <c r="F1855" s="75">
        <f>'HANH_TRINH'!$F$1647+('THAM_SO_MOI'!$F$51-'HANH_TRINH'!$F$1647)*207/'THAM_SO_MOI'!$C$42</f>
        <v>7.368381934625721</v>
      </c>
      <c r="G1855" s="75">
        <f>3.6*F1855</f>
        <v>26.526174964652597</v>
      </c>
      <c r="H1855" s="75">
        <f>'THAM_SO_MOI'!$D$51</f>
        <v>1.375</v>
      </c>
      <c r="I1855" s="75">
        <f>IF(F1855&gt;'THAM_SO_MOI'!$C$14,'THAM_SO_MOI'!$C$13*(1+F1855^2/1500),'THAM_SO_MOI'!$C$13)</f>
        <v>0.015</v>
      </c>
      <c r="J1855" s="75">
        <f>'THAM_SO_MOI'!$C$40*('THAM_SO_MOI'!$C$23*(E1855/'THAM_SO_MOI'!$C$22)+'THAM_SO_MOI'!$C$24*(E1855/'THAM_SO_MOI'!$C$22)^2-'THAM_SO_MOI'!$C$25*(E1855/'THAM_SO_MOI'!$C$22)^3)</f>
        <v>82.41676120160025</v>
      </c>
      <c r="K1855" s="75">
        <f>'THAM_SO_MOI'!$C$31*J1855/E1855</f>
        <v>425.2925853080568</v>
      </c>
      <c r="L1855" s="75">
        <f>K1855*'THAM_SO_MOI'!$C$51*'THAM_SO_MOI'!$C$17/'THAM_SO_MOI'!$C$26</f>
        <v>9509.206457388455</v>
      </c>
      <c r="M1855" s="75">
        <f>'THAM_SO_MOI'!$C$15*'THAM_SO_MOI'!$C$16*F1855^2</f>
        <v>158.80717807846716</v>
      </c>
      <c r="N1855" s="75">
        <f>'THAM_SO_MOI'!$C$12*I1855</f>
        <v>1130.112</v>
      </c>
      <c r="O1855" s="75">
        <f>M1855+N1855</f>
        <v>1288.9191780784672</v>
      </c>
      <c r="P1855" s="75">
        <f>(MIN(L1855,'THAM_SO_MOI'!$C$41)-O1855)/('THAM_SO_MOI'!$C$11*H1855)</f>
        <v>0.7784362953892034</v>
      </c>
      <c r="Q1855" s="75">
        <f>IF(P1855&gt;0,1/P1855,NA())</f>
        <v>1.284626636660125</v>
      </c>
      <c r="R1855" s="75">
        <f>F1855-F1854</f>
        <v>0.005028991339517397</v>
      </c>
      <c r="S1855" s="75">
        <f>0.5*(Q1854+Q1855)*R1855</f>
        <v>0.006460631796245385</v>
      </c>
      <c r="T1855" s="75">
        <f>0.5*(F1854*Q1854+F1855*Q1855)*R1855</f>
        <v>0.04758815674042793</v>
      </c>
      <c r="U1855" s="76">
        <f>U1854+S1855</f>
        <v>9.119296118108108</v>
      </c>
      <c r="V1855" s="76">
        <f>V1854+T1855</f>
        <v>41.531250247681804</v>
      </c>
    </row>
    <row r="1856" spans="1:22" ht="19" customHeight="1">
      <c r="A1856" s="68" t="s">
        <v>374</v>
      </c>
      <c r="B1856" s="74">
        <v>3</v>
      </c>
      <c r="C1856" s="68" t="s">
        <v>363</v>
      </c>
      <c r="D1856" s="68" t="s">
        <v>364</v>
      </c>
      <c r="E1856" s="75">
        <f>60*F1856*'THAM_SO_MOI'!$C$51/(2*PI()*'THAM_SO_MOI'!$C$26)</f>
        <v>1852.1551345719977</v>
      </c>
      <c r="F1856" s="75">
        <f>'HANH_TRINH'!$F$1647+('THAM_SO_MOI'!$F$51-'HANH_TRINH'!$F$1647)*208/'THAM_SO_MOI'!$C$42</f>
        <v>7.373410925965239</v>
      </c>
      <c r="G1856" s="75">
        <f>3.6*F1856</f>
        <v>26.54427933347486</v>
      </c>
      <c r="H1856" s="75">
        <f>'THAM_SO_MOI'!$D$51</f>
        <v>1.375</v>
      </c>
      <c r="I1856" s="75">
        <f>IF(F1856&gt;'THAM_SO_MOI'!$C$14,'THAM_SO_MOI'!$C$13*(1+F1856^2/1500),'THAM_SO_MOI'!$C$13)</f>
        <v>0.015</v>
      </c>
      <c r="J1856" s="75">
        <f>'THAM_SO_MOI'!$C$40*('THAM_SO_MOI'!$C$23*(E1856/'THAM_SO_MOI'!$C$22)+'THAM_SO_MOI'!$C$24*(E1856/'THAM_SO_MOI'!$C$22)^2-'THAM_SO_MOI'!$C$25*(E1856/'THAM_SO_MOI'!$C$22)^3)</f>
        <v>82.48050106024539</v>
      </c>
      <c r="K1856" s="75">
        <f>'THAM_SO_MOI'!$C$31*J1856/E1856</f>
        <v>425.3312074401683</v>
      </c>
      <c r="L1856" s="75">
        <f>K1856*'THAM_SO_MOI'!$C$51*'THAM_SO_MOI'!$C$17/'THAM_SO_MOI'!$C$26</f>
        <v>9510.070017771966</v>
      </c>
      <c r="M1856" s="75">
        <f>'THAM_SO_MOI'!$C$15*'THAM_SO_MOI'!$C$16*F1856^2</f>
        <v>159.02402689819496</v>
      </c>
      <c r="N1856" s="75">
        <f>'THAM_SO_MOI'!$C$12*I1856</f>
        <v>1130.112</v>
      </c>
      <c r="O1856" s="75">
        <f>M1856+N1856</f>
        <v>1289.136026898195</v>
      </c>
      <c r="P1856" s="75">
        <f>(MIN(L1856,'THAM_SO_MOI'!$C$41)-O1856)/('THAM_SO_MOI'!$C$11*H1856)</f>
        <v>0.7784975370145617</v>
      </c>
      <c r="Q1856" s="75">
        <f>IF(P1856&gt;0,1/P1856,NA())</f>
        <v>1.2845255796631956</v>
      </c>
      <c r="R1856" s="75">
        <f>F1856-F1855</f>
        <v>0.005028991339518285</v>
      </c>
      <c r="S1856" s="75">
        <f>0.5*(Q1855+Q1856)*R1856</f>
        <v>0.006460122122897094</v>
      </c>
      <c r="T1856" s="75">
        <f>0.5*(F1855*Q1855+F1856*Q1856)*R1856</f>
        <v>0.047616890455983135</v>
      </c>
      <c r="U1856" s="76">
        <f>U1855+S1856</f>
        <v>9.125756240231006</v>
      </c>
      <c r="V1856" s="76">
        <f>V1855+T1856</f>
        <v>41.57886713813779</v>
      </c>
    </row>
    <row r="1857" spans="1:22" ht="19" customHeight="1">
      <c r="A1857" s="68" t="s">
        <v>374</v>
      </c>
      <c r="B1857" s="74">
        <v>3</v>
      </c>
      <c r="C1857" s="68" t="s">
        <v>363</v>
      </c>
      <c r="D1857" s="68" t="s">
        <v>364</v>
      </c>
      <c r="E1857" s="75">
        <f>60*F1857*'THAM_SO_MOI'!$C$51/(2*PI()*'THAM_SO_MOI'!$C$26)</f>
        <v>1853.4183860338694</v>
      </c>
      <c r="F1857" s="75">
        <f>'HANH_TRINH'!$F$1647+('THAM_SO_MOI'!$F$51-'HANH_TRINH'!$F$1647)*209/'THAM_SO_MOI'!$C$42</f>
        <v>7.378439917304757</v>
      </c>
      <c r="G1857" s="75">
        <f>3.6*F1857</f>
        <v>26.562383702297126</v>
      </c>
      <c r="H1857" s="75">
        <f>'THAM_SO_MOI'!$D$51</f>
        <v>1.375</v>
      </c>
      <c r="I1857" s="75">
        <f>IF(F1857&gt;'THAM_SO_MOI'!$C$14,'THAM_SO_MOI'!$C$13*(1+F1857^2/1500),'THAM_SO_MOI'!$C$13)</f>
        <v>0.015</v>
      </c>
      <c r="J1857" s="75">
        <f>'THAM_SO_MOI'!$C$40*('THAM_SO_MOI'!$C$23*(E1857/'THAM_SO_MOI'!$C$22)+'THAM_SO_MOI'!$C$24*(E1857/'THAM_SO_MOI'!$C$22)^2-'THAM_SO_MOI'!$C$25*(E1857/'THAM_SO_MOI'!$C$22)^3)</f>
        <v>82.54422109274878</v>
      </c>
      <c r="K1857" s="75">
        <f>'THAM_SO_MOI'!$C$31*J1857/E1857</f>
        <v>425.3696747554494</v>
      </c>
      <c r="L1857" s="75">
        <f>K1857*'THAM_SO_MOI'!$C$51*'THAM_SO_MOI'!$C$17/'THAM_SO_MOI'!$C$26</f>
        <v>9510.93011657337</v>
      </c>
      <c r="M1857" s="75">
        <f>'THAM_SO_MOI'!$C$15*'THAM_SO_MOI'!$C$16*F1857^2</f>
        <v>159.24102366883298</v>
      </c>
      <c r="N1857" s="75">
        <f>'THAM_SO_MOI'!$C$12*I1857</f>
        <v>1130.112</v>
      </c>
      <c r="O1857" s="75">
        <f>M1857+N1857</f>
        <v>1289.353023668833</v>
      </c>
      <c r="P1857" s="75">
        <f>(MIN(L1857,'THAM_SO_MOI'!$C$41)-O1857)/('THAM_SO_MOI'!$C$11*H1857)</f>
        <v>0.778558436828081</v>
      </c>
      <c r="Q1857" s="75">
        <f>IF(P1857&gt;0,1/P1857,NA())</f>
        <v>1.2844251024676996</v>
      </c>
      <c r="R1857" s="75">
        <f>F1857-F1856</f>
        <v>0.005028991339517397</v>
      </c>
      <c r="S1857" s="75">
        <f>0.5*(Q1856+Q1857)*R1857</f>
        <v>0.00645961536604179</v>
      </c>
      <c r="T1857" s="75">
        <f>0.5*(F1856*Q1856+F1857*Q1857)*R1857</f>
        <v>0.04764564055708571</v>
      </c>
      <c r="U1857" s="76">
        <f>U1856+S1857</f>
        <v>9.132215855597048</v>
      </c>
      <c r="V1857" s="76">
        <f>V1856+T1857</f>
        <v>41.626512778694874</v>
      </c>
    </row>
    <row r="1858" spans="1:22" ht="19" customHeight="1">
      <c r="A1858" s="68" t="s">
        <v>374</v>
      </c>
      <c r="B1858" s="74">
        <v>3</v>
      </c>
      <c r="C1858" s="68" t="s">
        <v>363</v>
      </c>
      <c r="D1858" s="68" t="s">
        <v>364</v>
      </c>
      <c r="E1858" s="75">
        <f>60*F1858*'THAM_SO_MOI'!$C$51/(2*PI()*'THAM_SO_MOI'!$C$26)</f>
        <v>1854.6816374957411</v>
      </c>
      <c r="F1858" s="75">
        <f>'HANH_TRINH'!$F$1647+('THAM_SO_MOI'!$F$51-'HANH_TRINH'!$F$1647)*210/'THAM_SO_MOI'!$C$42</f>
        <v>7.383468908644274</v>
      </c>
      <c r="G1858" s="75">
        <f>3.6*F1858</f>
        <v>26.580488071119387</v>
      </c>
      <c r="H1858" s="75">
        <f>'THAM_SO_MOI'!$D$51</f>
        <v>1.375</v>
      </c>
      <c r="I1858" s="75">
        <f>IF(F1858&gt;'THAM_SO_MOI'!$C$14,'THAM_SO_MOI'!$C$13*(1+F1858^2/1500),'THAM_SO_MOI'!$C$13)</f>
        <v>0.015</v>
      </c>
      <c r="J1858" s="75">
        <f>'THAM_SO_MOI'!$C$40*('THAM_SO_MOI'!$C$23*(E1858/'THAM_SO_MOI'!$C$22)+'THAM_SO_MOI'!$C$24*(E1858/'THAM_SO_MOI'!$C$22)^2-'THAM_SO_MOI'!$C$25*(E1858/'THAM_SO_MOI'!$C$22)^3)</f>
        <v>82.60792123768108</v>
      </c>
      <c r="K1858" s="75">
        <f>'THAM_SO_MOI'!$C$31*J1858/E1858</f>
        <v>425.40798725390016</v>
      </c>
      <c r="L1858" s="75">
        <f>K1858*'THAM_SO_MOI'!$C$51*'THAM_SO_MOI'!$C$17/'THAM_SO_MOI'!$C$26</f>
        <v>9511.786753792669</v>
      </c>
      <c r="M1858" s="75">
        <f>'THAM_SO_MOI'!$C$15*'THAM_SO_MOI'!$C$16*F1858^2</f>
        <v>159.45816839038127</v>
      </c>
      <c r="N1858" s="75">
        <f>'THAM_SO_MOI'!$C$12*I1858</f>
        <v>1130.112</v>
      </c>
      <c r="O1858" s="75">
        <f>M1858+N1858</f>
        <v>1289.5701683903812</v>
      </c>
      <c r="P1858" s="75">
        <f>(MIN(L1858,'THAM_SO_MOI'!$C$41)-O1858)/('THAM_SO_MOI'!$C$11*H1858)</f>
        <v>0.7786189948297619</v>
      </c>
      <c r="Q1858" s="75">
        <f>IF(P1858&gt;0,1/P1858,NA())</f>
        <v>1.2843252048052605</v>
      </c>
      <c r="R1858" s="75">
        <f>F1858-F1857</f>
        <v>0.005028991339517397</v>
      </c>
      <c r="S1858" s="75">
        <f>0.5*(Q1857+Q1858)*R1858</f>
        <v>0.006459111524329184</v>
      </c>
      <c r="T1858" s="75">
        <f>0.5*(F1857*Q1857+F1858*Q1858)*R1858</f>
        <v>0.047674407077770244</v>
      </c>
      <c r="U1858" s="76">
        <f>U1857+S1858</f>
        <v>9.138674967121377</v>
      </c>
      <c r="V1858" s="76">
        <f>V1857+T1858</f>
        <v>41.674187185772645</v>
      </c>
    </row>
    <row r="1859" spans="1:22" ht="19" customHeight="1">
      <c r="A1859" s="68" t="s">
        <v>374</v>
      </c>
      <c r="B1859" s="74">
        <v>3</v>
      </c>
      <c r="C1859" s="68" t="s">
        <v>363</v>
      </c>
      <c r="D1859" s="68" t="s">
        <v>364</v>
      </c>
      <c r="E1859" s="75">
        <f>60*F1859*'THAM_SO_MOI'!$C$51/(2*PI()*'THAM_SO_MOI'!$C$26)</f>
        <v>1855.9448889576126</v>
      </c>
      <c r="F1859" s="75">
        <f>'HANH_TRINH'!$F$1647+('THAM_SO_MOI'!$F$51-'HANH_TRINH'!$F$1647)*211/'THAM_SO_MOI'!$C$42</f>
        <v>7.388497899983792</v>
      </c>
      <c r="G1859" s="75">
        <f>3.6*F1859</f>
        <v>26.59859243994165</v>
      </c>
      <c r="H1859" s="75">
        <f>'THAM_SO_MOI'!$D$51</f>
        <v>1.375</v>
      </c>
      <c r="I1859" s="75">
        <f>IF(F1859&gt;'THAM_SO_MOI'!$C$14,'THAM_SO_MOI'!$C$13*(1+F1859^2/1500),'THAM_SO_MOI'!$C$13)</f>
        <v>0.015</v>
      </c>
      <c r="J1859" s="75">
        <f>'THAM_SO_MOI'!$C$40*('THAM_SO_MOI'!$C$23*(E1859/'THAM_SO_MOI'!$C$22)+'THAM_SO_MOI'!$C$24*(E1859/'THAM_SO_MOI'!$C$22)^2-'THAM_SO_MOI'!$C$25*(E1859/'THAM_SO_MOI'!$C$22)^3)</f>
        <v>82.67160143361286</v>
      </c>
      <c r="K1859" s="75">
        <f>'THAM_SO_MOI'!$C$31*J1859/E1859</f>
        <v>425.44614493552007</v>
      </c>
      <c r="L1859" s="75">
        <f>K1859*'THAM_SO_MOI'!$C$51*'THAM_SO_MOI'!$C$17/'THAM_SO_MOI'!$C$26</f>
        <v>9512.63992942985</v>
      </c>
      <c r="M1859" s="75">
        <f>'THAM_SO_MOI'!$C$15*'THAM_SO_MOI'!$C$16*F1859^2</f>
        <v>159.67546106283984</v>
      </c>
      <c r="N1859" s="75">
        <f>'THAM_SO_MOI'!$C$12*I1859</f>
        <v>1130.112</v>
      </c>
      <c r="O1859" s="75">
        <f>M1859+N1859</f>
        <v>1289.7874610628398</v>
      </c>
      <c r="P1859" s="75">
        <f>(MIN(L1859,'THAM_SO_MOI'!$C$41)-O1859)/('THAM_SO_MOI'!$C$11*H1859)</f>
        <v>0.7786792110196034</v>
      </c>
      <c r="Q1859" s="75">
        <f>IF(P1859&gt;0,1/P1859,NA())</f>
        <v>1.2842258864091145</v>
      </c>
      <c r="R1859" s="75">
        <f>F1859-F1858</f>
        <v>0.005028991339517397</v>
      </c>
      <c r="S1859" s="75">
        <f>0.5*(Q1858+Q1859)*R1859</f>
        <v>0.006458610596412525</v>
      </c>
      <c r="T1859" s="75">
        <f>0.5*(F1858*Q1858+F1859*Q1859)*R1859</f>
        <v>0.04770319005207039</v>
      </c>
      <c r="U1859" s="76">
        <f>U1858+S1859</f>
        <v>9.14513357771779</v>
      </c>
      <c r="V1859" s="76">
        <f>V1858+T1859</f>
        <v>41.721890375824714</v>
      </c>
    </row>
    <row r="1860" spans="1:22" ht="19" customHeight="1">
      <c r="A1860" s="68" t="s">
        <v>374</v>
      </c>
      <c r="B1860" s="74">
        <v>3</v>
      </c>
      <c r="C1860" s="68" t="s">
        <v>363</v>
      </c>
      <c r="D1860" s="68" t="s">
        <v>364</v>
      </c>
      <c r="E1860" s="75">
        <f>60*F1860*'THAM_SO_MOI'!$C$51/(2*PI()*'THAM_SO_MOI'!$C$26)</f>
        <v>1857.2081404194846</v>
      </c>
      <c r="F1860" s="75">
        <f>'HANH_TRINH'!$F$1647+('THAM_SO_MOI'!$F$51-'HANH_TRINH'!$F$1647)*212/'THAM_SO_MOI'!$C$42</f>
        <v>7.39352689132331</v>
      </c>
      <c r="G1860" s="75">
        <f>3.6*F1860</f>
        <v>26.616696808763916</v>
      </c>
      <c r="H1860" s="75">
        <f>'THAM_SO_MOI'!$D$51</f>
        <v>1.375</v>
      </c>
      <c r="I1860" s="75">
        <f>IF(F1860&gt;'THAM_SO_MOI'!$C$14,'THAM_SO_MOI'!$C$13*(1+F1860^2/1500),'THAM_SO_MOI'!$C$13)</f>
        <v>0.015</v>
      </c>
      <c r="J1860" s="75">
        <f>'THAM_SO_MOI'!$C$40*('THAM_SO_MOI'!$C$23*(E1860/'THAM_SO_MOI'!$C$22)+'THAM_SO_MOI'!$C$24*(E1860/'THAM_SO_MOI'!$C$22)^2-'THAM_SO_MOI'!$C$25*(E1860/'THAM_SO_MOI'!$C$22)^3)</f>
        <v>82.73526161911487</v>
      </c>
      <c r="K1860" s="75">
        <f>'THAM_SO_MOI'!$C$31*J1860/E1860</f>
        <v>425.4841478003096</v>
      </c>
      <c r="L1860" s="75">
        <f>K1860*'THAM_SO_MOI'!$C$51*'THAM_SO_MOI'!$C$17/'THAM_SO_MOI'!$C$26</f>
        <v>9513.489643484925</v>
      </c>
      <c r="M1860" s="75">
        <f>'THAM_SO_MOI'!$C$15*'THAM_SO_MOI'!$C$16*F1860^2</f>
        <v>159.89290168620872</v>
      </c>
      <c r="N1860" s="75">
        <f>'THAM_SO_MOI'!$C$12*I1860</f>
        <v>1130.112</v>
      </c>
      <c r="O1860" s="75">
        <f>M1860+N1860</f>
        <v>1290.0049016862088</v>
      </c>
      <c r="P1860" s="75">
        <f>(MIN(L1860,'THAM_SO_MOI'!$C$41)-O1860)/('THAM_SO_MOI'!$C$11*H1860)</f>
        <v>0.7787390853976056</v>
      </c>
      <c r="Q1860" s="75">
        <f>IF(P1860&gt;0,1/P1860,NA())</f>
        <v>1.284127147014104</v>
      </c>
      <c r="R1860" s="75">
        <f>F1860-F1859</f>
        <v>0.005028991339518285</v>
      </c>
      <c r="S1860" s="75">
        <f>0.5*(Q1859+Q1860)*R1860</f>
        <v>0.006458112580955441</v>
      </c>
      <c r="T1860" s="75">
        <f>0.5*(F1859*Q1859+F1860*Q1860)*R1860</f>
        <v>0.04773198951406938</v>
      </c>
      <c r="U1860" s="76">
        <f>U1859+S1860</f>
        <v>9.151591690298744</v>
      </c>
      <c r="V1860" s="76">
        <f>V1859+T1860</f>
        <v>41.76962236533878</v>
      </c>
    </row>
    <row r="1861" spans="1:22" ht="19" customHeight="1">
      <c r="A1861" s="68" t="s">
        <v>374</v>
      </c>
      <c r="B1861" s="74">
        <v>3</v>
      </c>
      <c r="C1861" s="68" t="s">
        <v>363</v>
      </c>
      <c r="D1861" s="68" t="s">
        <v>364</v>
      </c>
      <c r="E1861" s="75">
        <f>60*F1861*'THAM_SO_MOI'!$C$51/(2*PI()*'THAM_SO_MOI'!$C$26)</f>
        <v>1858.471391881356</v>
      </c>
      <c r="F1861" s="75">
        <f>'HANH_TRINH'!$F$1647+('THAM_SO_MOI'!$F$51-'HANH_TRINH'!$F$1647)*213/'THAM_SO_MOI'!$C$42</f>
        <v>7.398555882662827</v>
      </c>
      <c r="G1861" s="75">
        <f>3.6*F1861</f>
        <v>26.63480117758618</v>
      </c>
      <c r="H1861" s="75">
        <f>'THAM_SO_MOI'!$D$51</f>
        <v>1.375</v>
      </c>
      <c r="I1861" s="75">
        <f>IF(F1861&gt;'THAM_SO_MOI'!$C$14,'THAM_SO_MOI'!$C$13*(1+F1861^2/1500),'THAM_SO_MOI'!$C$13)</f>
        <v>0.015</v>
      </c>
      <c r="J1861" s="75">
        <f>'THAM_SO_MOI'!$C$40*('THAM_SO_MOI'!$C$23*(E1861/'THAM_SO_MOI'!$C$22)+'THAM_SO_MOI'!$C$24*(E1861/'THAM_SO_MOI'!$C$22)^2-'THAM_SO_MOI'!$C$25*(E1861/'THAM_SO_MOI'!$C$22)^3)</f>
        <v>82.79890173275768</v>
      </c>
      <c r="K1861" s="75">
        <f>'THAM_SO_MOI'!$C$31*J1861/E1861</f>
        <v>425.5219958482687</v>
      </c>
      <c r="L1861" s="75">
        <f>K1861*'THAM_SO_MOI'!$C$51*'THAM_SO_MOI'!$C$17/'THAM_SO_MOI'!$C$26</f>
        <v>9514.335895957896</v>
      </c>
      <c r="M1861" s="75">
        <f>'THAM_SO_MOI'!$C$15*'THAM_SO_MOI'!$C$16*F1861^2</f>
        <v>160.11049026048784</v>
      </c>
      <c r="N1861" s="75">
        <f>'THAM_SO_MOI'!$C$12*I1861</f>
        <v>1130.112</v>
      </c>
      <c r="O1861" s="75">
        <f>M1861+N1861</f>
        <v>1290.222490260488</v>
      </c>
      <c r="P1861" s="75">
        <f>(MIN(L1861,'THAM_SO_MOI'!$C$41)-O1861)/('THAM_SO_MOI'!$C$11*H1861)</f>
        <v>0.7787986179637697</v>
      </c>
      <c r="Q1861" s="75">
        <f>IF(P1861&gt;0,1/P1861,NA())</f>
        <v>1.2840289863566767</v>
      </c>
      <c r="R1861" s="75">
        <f>F1861-F1860</f>
        <v>0.005028991339517397</v>
      </c>
      <c r="S1861" s="75">
        <f>0.5*(Q1860+Q1861)*R1861</f>
        <v>0.006457617476625071</v>
      </c>
      <c r="T1861" s="75">
        <f>0.5*(F1860*Q1860+F1861*Q1861)*R1861</f>
        <v>0.04776080549784951</v>
      </c>
      <c r="U1861" s="76">
        <f>U1860+S1861</f>
        <v>9.15804930777537</v>
      </c>
      <c r="V1861" s="76">
        <f>V1860+T1861</f>
        <v>41.817383170836635</v>
      </c>
    </row>
    <row r="1862" spans="1:22" ht="19" customHeight="1">
      <c r="A1862" s="68" t="s">
        <v>374</v>
      </c>
      <c r="B1862" s="74">
        <v>3</v>
      </c>
      <c r="C1862" s="68" t="s">
        <v>363</v>
      </c>
      <c r="D1862" s="68" t="s">
        <v>364</v>
      </c>
      <c r="E1862" s="75">
        <f>60*F1862*'THAM_SO_MOI'!$C$51/(2*PI()*'THAM_SO_MOI'!$C$26)</f>
        <v>1859.7346433432278</v>
      </c>
      <c r="F1862" s="75">
        <f>'HANH_TRINH'!$F$1647+('THAM_SO_MOI'!$F$51-'HANH_TRINH'!$F$1647)*214/'THAM_SO_MOI'!$C$42</f>
        <v>7.4035848740023456</v>
      </c>
      <c r="G1862" s="75">
        <f>3.6*F1862</f>
        <v>26.652905546408444</v>
      </c>
      <c r="H1862" s="75">
        <f>'THAM_SO_MOI'!$D$51</f>
        <v>1.375</v>
      </c>
      <c r="I1862" s="75">
        <f>IF(F1862&gt;'THAM_SO_MOI'!$C$14,'THAM_SO_MOI'!$C$13*(1+F1862^2/1500),'THAM_SO_MOI'!$C$13)</f>
        <v>0.015</v>
      </c>
      <c r="J1862" s="75">
        <f>'THAM_SO_MOI'!$C$40*('THAM_SO_MOI'!$C$23*(E1862/'THAM_SO_MOI'!$C$22)+'THAM_SO_MOI'!$C$24*(E1862/'THAM_SO_MOI'!$C$22)^2-'THAM_SO_MOI'!$C$25*(E1862/'THAM_SO_MOI'!$C$22)^3)</f>
        <v>82.86252171311202</v>
      </c>
      <c r="K1862" s="75">
        <f>'THAM_SO_MOI'!$C$31*J1862/E1862</f>
        <v>425.5596890793973</v>
      </c>
      <c r="L1862" s="75">
        <f>K1862*'THAM_SO_MOI'!$C$51*'THAM_SO_MOI'!$C$17/'THAM_SO_MOI'!$C$26</f>
        <v>9515.178686848754</v>
      </c>
      <c r="M1862" s="75">
        <f>'THAM_SO_MOI'!$C$15*'THAM_SO_MOI'!$C$16*F1862^2</f>
        <v>160.32822678567726</v>
      </c>
      <c r="N1862" s="75">
        <f>'THAM_SO_MOI'!$C$12*I1862</f>
        <v>1130.112</v>
      </c>
      <c r="O1862" s="75">
        <f>M1862+N1862</f>
        <v>1290.4402267856774</v>
      </c>
      <c r="P1862" s="75">
        <f>(MIN(L1862,'THAM_SO_MOI'!$C$41)-O1862)/('THAM_SO_MOI'!$C$11*H1862)</f>
        <v>0.7788578087180943</v>
      </c>
      <c r="Q1862" s="75">
        <f>IF(P1862&gt;0,1/P1862,NA())</f>
        <v>1.283931404174889</v>
      </c>
      <c r="R1862" s="75">
        <f>F1862-F1861</f>
        <v>0.005028991339518285</v>
      </c>
      <c r="S1862" s="75">
        <f>0.5*(Q1861+Q1862)*R1862</f>
        <v>0.0064571252821046185</v>
      </c>
      <c r="T1862" s="75">
        <f>0.5*(F1861*Q1861+F1862*Q1862)*R1862</f>
        <v>0.047789638037585194</v>
      </c>
      <c r="U1862" s="76">
        <f>U1861+S1862</f>
        <v>9.164506433057474</v>
      </c>
      <c r="V1862" s="76">
        <f>V1861+T1862</f>
        <v>41.86517280887422</v>
      </c>
    </row>
    <row r="1863" spans="1:22" ht="19" customHeight="1">
      <c r="A1863" s="68" t="s">
        <v>374</v>
      </c>
      <c r="B1863" s="74">
        <v>3</v>
      </c>
      <c r="C1863" s="68" t="s">
        <v>363</v>
      </c>
      <c r="D1863" s="68" t="s">
        <v>364</v>
      </c>
      <c r="E1863" s="75">
        <f>60*F1863*'THAM_SO_MOI'!$C$51/(2*PI()*'THAM_SO_MOI'!$C$26)</f>
        <v>1860.9978948050991</v>
      </c>
      <c r="F1863" s="75">
        <f>'HANH_TRINH'!$F$1647+('THAM_SO_MOI'!$F$51-'HANH_TRINH'!$F$1647)*215/'THAM_SO_MOI'!$C$42</f>
        <v>7.408613865341863</v>
      </c>
      <c r="G1863" s="75">
        <f>3.6*F1863</f>
        <v>26.67100991523071</v>
      </c>
      <c r="H1863" s="75">
        <f>'THAM_SO_MOI'!$D$51</f>
        <v>1.375</v>
      </c>
      <c r="I1863" s="75">
        <f>IF(F1863&gt;'THAM_SO_MOI'!$C$14,'THAM_SO_MOI'!$C$13*(1+F1863^2/1500),'THAM_SO_MOI'!$C$13)</f>
        <v>0.015</v>
      </c>
      <c r="J1863" s="75">
        <f>'THAM_SO_MOI'!$C$40*('THAM_SO_MOI'!$C$23*(E1863/'THAM_SO_MOI'!$C$22)+'THAM_SO_MOI'!$C$24*(E1863/'THAM_SO_MOI'!$C$22)^2-'THAM_SO_MOI'!$C$25*(E1863/'THAM_SO_MOI'!$C$22)^3)</f>
        <v>82.92612149874846</v>
      </c>
      <c r="K1863" s="75">
        <f>'THAM_SO_MOI'!$C$31*J1863/E1863</f>
        <v>425.59722749369536</v>
      </c>
      <c r="L1863" s="75">
        <f>K1863*'THAM_SO_MOI'!$C$51*'THAM_SO_MOI'!$C$17/'THAM_SO_MOI'!$C$26</f>
        <v>9516.018016157504</v>
      </c>
      <c r="M1863" s="75">
        <f>'THAM_SO_MOI'!$C$15*'THAM_SO_MOI'!$C$16*F1863^2</f>
        <v>160.54611126177693</v>
      </c>
      <c r="N1863" s="75">
        <f>'THAM_SO_MOI'!$C$12*I1863</f>
        <v>1130.112</v>
      </c>
      <c r="O1863" s="75">
        <f>M1863+N1863</f>
        <v>1290.658111261777</v>
      </c>
      <c r="P1863" s="75">
        <f>(MIN(L1863,'THAM_SO_MOI'!$C$41)-O1863)/('THAM_SO_MOI'!$C$11*H1863)</f>
        <v>0.77891665766058</v>
      </c>
      <c r="Q1863" s="75">
        <f>IF(P1863&gt;0,1/P1863,NA())</f>
        <v>1.2838344002083968</v>
      </c>
      <c r="R1863" s="75">
        <f>F1863-F1862</f>
        <v>0.005028991339517397</v>
      </c>
      <c r="S1863" s="75">
        <f>0.5*(Q1862+Q1863)*R1863</f>
        <v>0.006456635996076233</v>
      </c>
      <c r="T1863" s="75">
        <f>0.5*(F1862*Q1862+F1863*Q1863)*R1863</f>
        <v>0.047818487167416546</v>
      </c>
      <c r="U1863" s="76">
        <f>U1862+S1863</f>
        <v>9.170963069053549</v>
      </c>
      <c r="V1863" s="76">
        <f>V1862+T1863</f>
        <v>41.91299129604164</v>
      </c>
    </row>
    <row r="1864" spans="1:22" ht="19" customHeight="1">
      <c r="A1864" s="68" t="s">
        <v>374</v>
      </c>
      <c r="B1864" s="74">
        <v>3</v>
      </c>
      <c r="C1864" s="68" t="s">
        <v>363</v>
      </c>
      <c r="D1864" s="68" t="s">
        <v>364</v>
      </c>
      <c r="E1864" s="75">
        <f>60*F1864*'THAM_SO_MOI'!$C$51/(2*PI()*'THAM_SO_MOI'!$C$26)</f>
        <v>1862.2611462669709</v>
      </c>
      <c r="F1864" s="75">
        <f>'HANH_TRINH'!$F$1647+('THAM_SO_MOI'!$F$51-'HANH_TRINH'!$F$1647)*216/'THAM_SO_MOI'!$C$42</f>
        <v>7.41364285668138</v>
      </c>
      <c r="G1864" s="75">
        <f>3.6*F1864</f>
        <v>26.68911428405297</v>
      </c>
      <c r="H1864" s="75">
        <f>'THAM_SO_MOI'!$D$51</f>
        <v>1.375</v>
      </c>
      <c r="I1864" s="75">
        <f>IF(F1864&gt;'THAM_SO_MOI'!$C$14,'THAM_SO_MOI'!$C$13*(1+F1864^2/1500),'THAM_SO_MOI'!$C$13)</f>
        <v>0.015</v>
      </c>
      <c r="J1864" s="75">
        <f>'THAM_SO_MOI'!$C$40*('THAM_SO_MOI'!$C$23*(E1864/'THAM_SO_MOI'!$C$22)+'THAM_SO_MOI'!$C$24*(E1864/'THAM_SO_MOI'!$C$22)^2-'THAM_SO_MOI'!$C$25*(E1864/'THAM_SO_MOI'!$C$22)^3)</f>
        <v>82.98970102823768</v>
      </c>
      <c r="K1864" s="75">
        <f>'THAM_SO_MOI'!$C$31*J1864/E1864</f>
        <v>425.6346110911628</v>
      </c>
      <c r="L1864" s="75">
        <f>K1864*'THAM_SO_MOI'!$C$51*'THAM_SO_MOI'!$C$17/'THAM_SO_MOI'!$C$26</f>
        <v>9516.853883884143</v>
      </c>
      <c r="M1864" s="75">
        <f>'THAM_SO_MOI'!$C$15*'THAM_SO_MOI'!$C$16*F1864^2</f>
        <v>160.76414368878687</v>
      </c>
      <c r="N1864" s="75">
        <f>'THAM_SO_MOI'!$C$12*I1864</f>
        <v>1130.112</v>
      </c>
      <c r="O1864" s="75">
        <f>M1864+N1864</f>
        <v>1290.876143688787</v>
      </c>
      <c r="P1864" s="75">
        <f>(MIN(L1864,'THAM_SO_MOI'!$C$41)-O1864)/('THAM_SO_MOI'!$C$11*H1864)</f>
        <v>0.7789751647912271</v>
      </c>
      <c r="Q1864" s="75">
        <f>IF(P1864&gt;0,1/P1864,NA())</f>
        <v>1.2837379741984583</v>
      </c>
      <c r="R1864" s="75">
        <f>F1864-F1863</f>
        <v>0.005028991339517397</v>
      </c>
      <c r="S1864" s="75">
        <f>0.5*(Q1863+Q1864)*R1864</f>
        <v>0.006456149617238096</v>
      </c>
      <c r="T1864" s="75">
        <f>0.5*(F1863*Q1863+F1864*Q1864)*R1864</f>
        <v>0.047847352921575964</v>
      </c>
      <c r="U1864" s="76">
        <f>U1863+S1864</f>
        <v>9.177419218670787</v>
      </c>
      <c r="V1864" s="76">
        <f>V1863+T1864</f>
        <v>41.96083864896322</v>
      </c>
    </row>
    <row r="1865" spans="1:22" ht="19" customHeight="1">
      <c r="A1865" s="68" t="s">
        <v>374</v>
      </c>
      <c r="B1865" s="74">
        <v>3</v>
      </c>
      <c r="C1865" s="68" t="s">
        <v>363</v>
      </c>
      <c r="D1865" s="68" t="s">
        <v>364</v>
      </c>
      <c r="E1865" s="75">
        <f>60*F1865*'THAM_SO_MOI'!$C$51/(2*PI()*'THAM_SO_MOI'!$C$26)</f>
        <v>1863.5243977288426</v>
      </c>
      <c r="F1865" s="75">
        <f>'HANH_TRINH'!$F$1647+('THAM_SO_MOI'!$F$51-'HANH_TRINH'!$F$1647)*217/'THAM_SO_MOI'!$C$42</f>
        <v>7.418671848020898</v>
      </c>
      <c r="G1865" s="75">
        <f>3.6*F1865</f>
        <v>26.707218652875234</v>
      </c>
      <c r="H1865" s="75">
        <f>'THAM_SO_MOI'!$D$51</f>
        <v>1.375</v>
      </c>
      <c r="I1865" s="75">
        <f>IF(F1865&gt;'THAM_SO_MOI'!$C$14,'THAM_SO_MOI'!$C$13*(1+F1865^2/1500),'THAM_SO_MOI'!$C$13)</f>
        <v>0.015</v>
      </c>
      <c r="J1865" s="75">
        <f>'THAM_SO_MOI'!$C$40*('THAM_SO_MOI'!$C$23*(E1865/'THAM_SO_MOI'!$C$22)+'THAM_SO_MOI'!$C$24*(E1865/'THAM_SO_MOI'!$C$22)^2-'THAM_SO_MOI'!$C$25*(E1865/'THAM_SO_MOI'!$C$22)^3)</f>
        <v>83.05326024015034</v>
      </c>
      <c r="K1865" s="75">
        <f>'THAM_SO_MOI'!$C$31*J1865/E1865</f>
        <v>425.6718398717997</v>
      </c>
      <c r="L1865" s="75">
        <f>K1865*'THAM_SO_MOI'!$C$51*'THAM_SO_MOI'!$C$17/'THAM_SO_MOI'!$C$26</f>
        <v>9517.686290028674</v>
      </c>
      <c r="M1865" s="75">
        <f>'THAM_SO_MOI'!$C$15*'THAM_SO_MOI'!$C$16*F1865^2</f>
        <v>160.9823240667071</v>
      </c>
      <c r="N1865" s="75">
        <f>'THAM_SO_MOI'!$C$12*I1865</f>
        <v>1130.112</v>
      </c>
      <c r="O1865" s="75">
        <f>M1865+N1865</f>
        <v>1291.0943240667073</v>
      </c>
      <c r="P1865" s="75">
        <f>(MIN(L1865,'THAM_SO_MOI'!$C$41)-O1865)/('THAM_SO_MOI'!$C$11*H1865)</f>
        <v>0.779033330110035</v>
      </c>
      <c r="Q1865" s="75">
        <f>IF(P1865&gt;0,1/P1865,NA())</f>
        <v>1.2836421258879316</v>
      </c>
      <c r="R1865" s="75">
        <f>F1865-F1864</f>
        <v>0.005028991339517397</v>
      </c>
      <c r="S1865" s="75">
        <f>0.5*(Q1864+Q1865)*R1865</f>
        <v>0.006455666144291881</v>
      </c>
      <c r="T1865" s="75">
        <f>0.5*(F1864*Q1864+F1865*Q1865)*R1865</f>
        <v>0.04787623533429555</v>
      </c>
      <c r="U1865" s="76">
        <f>U1864+S1865</f>
        <v>9.18387488481508</v>
      </c>
      <c r="V1865" s="76">
        <f>V1864+T1865</f>
        <v>42.00871488429751</v>
      </c>
    </row>
    <row r="1866" spans="1:22" ht="19" customHeight="1">
      <c r="A1866" s="68" t="s">
        <v>374</v>
      </c>
      <c r="B1866" s="74">
        <v>3</v>
      </c>
      <c r="C1866" s="68" t="s">
        <v>363</v>
      </c>
      <c r="D1866" s="68" t="s">
        <v>364</v>
      </c>
      <c r="E1866" s="75">
        <f>60*F1866*'THAM_SO_MOI'!$C$51/(2*PI()*'THAM_SO_MOI'!$C$26)</f>
        <v>1864.7876491907139</v>
      </c>
      <c r="F1866" s="75">
        <f>'HANH_TRINH'!$F$1647+('THAM_SO_MOI'!$F$51-'HANH_TRINH'!$F$1647)*218/'THAM_SO_MOI'!$C$42</f>
        <v>7.423700839360416</v>
      </c>
      <c r="G1866" s="75">
        <f>3.6*F1866</f>
        <v>26.7253230216975</v>
      </c>
      <c r="H1866" s="75">
        <f>'THAM_SO_MOI'!$D$51</f>
        <v>1.375</v>
      </c>
      <c r="I1866" s="75">
        <f>IF(F1866&gt;'THAM_SO_MOI'!$C$14,'THAM_SO_MOI'!$C$13*(1+F1866^2/1500),'THAM_SO_MOI'!$C$13)</f>
        <v>0.015</v>
      </c>
      <c r="J1866" s="75">
        <f>'THAM_SO_MOI'!$C$40*('THAM_SO_MOI'!$C$23*(E1866/'THAM_SO_MOI'!$C$22)+'THAM_SO_MOI'!$C$24*(E1866/'THAM_SO_MOI'!$C$22)^2-'THAM_SO_MOI'!$C$25*(E1866/'THAM_SO_MOI'!$C$22)^3)</f>
        <v>83.11679907305711</v>
      </c>
      <c r="K1866" s="75">
        <f>'THAM_SO_MOI'!$C$31*J1866/E1866</f>
        <v>425.7089138356064</v>
      </c>
      <c r="L1866" s="75">
        <f>K1866*'THAM_SO_MOI'!$C$51*'THAM_SO_MOI'!$C$17/'THAM_SO_MOI'!$C$26</f>
        <v>9518.5152345911</v>
      </c>
      <c r="M1866" s="75">
        <f>'THAM_SO_MOI'!$C$15*'THAM_SO_MOI'!$C$16*F1866^2</f>
        <v>161.20065239553762</v>
      </c>
      <c r="N1866" s="75">
        <f>'THAM_SO_MOI'!$C$12*I1866</f>
        <v>1130.112</v>
      </c>
      <c r="O1866" s="75">
        <f>M1866+N1866</f>
        <v>1291.3126523955377</v>
      </c>
      <c r="P1866" s="75">
        <f>(MIN(L1866,'THAM_SO_MOI'!$C$41)-O1866)/('THAM_SO_MOI'!$C$11*H1866)</f>
        <v>0.7790911536170039</v>
      </c>
      <c r="Q1866" s="75">
        <f>IF(P1866&gt;0,1/P1866,NA())</f>
        <v>1.2835468550212719</v>
      </c>
      <c r="R1866" s="75">
        <f>F1866-F1865</f>
        <v>0.005028991339518285</v>
      </c>
      <c r="S1866" s="75">
        <f>0.5*(Q1865+Q1866)*R1866</f>
        <v>0.006455185575949578</v>
      </c>
      <c r="T1866" s="75">
        <f>0.5*(F1865*Q1865+F1866*Q1866)*R1866</f>
        <v>0.0479051344398579</v>
      </c>
      <c r="U1866" s="76">
        <f>U1865+S1866</f>
        <v>9.19033007039103</v>
      </c>
      <c r="V1866" s="76">
        <f>V1865+T1866</f>
        <v>42.05662001873737</v>
      </c>
    </row>
    <row r="1867" spans="1:22" ht="19" customHeight="1">
      <c r="A1867" s="68" t="s">
        <v>374</v>
      </c>
      <c r="B1867" s="74">
        <v>3</v>
      </c>
      <c r="C1867" s="68" t="s">
        <v>363</v>
      </c>
      <c r="D1867" s="68" t="s">
        <v>364</v>
      </c>
      <c r="E1867" s="75">
        <f>60*F1867*'THAM_SO_MOI'!$C$51/(2*PI()*'THAM_SO_MOI'!$C$26)</f>
        <v>1866.0509006525858</v>
      </c>
      <c r="F1867" s="75">
        <f>'HANH_TRINH'!$F$1647+('THAM_SO_MOI'!$F$51-'HANH_TRINH'!$F$1647)*219/'THAM_SO_MOI'!$C$42</f>
        <v>7.428729830699933</v>
      </c>
      <c r="G1867" s="75">
        <f>3.6*F1867</f>
        <v>26.74342739051976</v>
      </c>
      <c r="H1867" s="75">
        <f>'THAM_SO_MOI'!$D$51</f>
        <v>1.375</v>
      </c>
      <c r="I1867" s="75">
        <f>IF(F1867&gt;'THAM_SO_MOI'!$C$14,'THAM_SO_MOI'!$C$13*(1+F1867^2/1500),'THAM_SO_MOI'!$C$13)</f>
        <v>0.015</v>
      </c>
      <c r="J1867" s="75">
        <f>'THAM_SO_MOI'!$C$40*('THAM_SO_MOI'!$C$23*(E1867/'THAM_SO_MOI'!$C$22)+'THAM_SO_MOI'!$C$24*(E1867/'THAM_SO_MOI'!$C$22)^2-'THAM_SO_MOI'!$C$25*(E1867/'THAM_SO_MOI'!$C$22)^3)</f>
        <v>83.1803174655286</v>
      </c>
      <c r="K1867" s="75">
        <f>'THAM_SO_MOI'!$C$31*J1867/E1867</f>
        <v>425.74583298258233</v>
      </c>
      <c r="L1867" s="75">
        <f>K1867*'THAM_SO_MOI'!$C$51*'THAM_SO_MOI'!$C$17/'THAM_SO_MOI'!$C$26</f>
        <v>9519.340717571413</v>
      </c>
      <c r="M1867" s="75">
        <f>'THAM_SO_MOI'!$C$15*'THAM_SO_MOI'!$C$16*F1867^2</f>
        <v>161.4191286752784</v>
      </c>
      <c r="N1867" s="75">
        <f>'THAM_SO_MOI'!$C$12*I1867</f>
        <v>1130.112</v>
      </c>
      <c r="O1867" s="75">
        <f>M1867+N1867</f>
        <v>1291.5311286752785</v>
      </c>
      <c r="P1867" s="75">
        <f>(MIN(L1867,'THAM_SO_MOI'!$C$41)-O1867)/('THAM_SO_MOI'!$C$11*H1867)</f>
        <v>0.7791486353121341</v>
      </c>
      <c r="Q1867" s="75">
        <f>IF(P1867&gt;0,1/P1867,NA())</f>
        <v>1.2834521613445307</v>
      </c>
      <c r="R1867" s="75">
        <f>F1867-F1866</f>
        <v>0.005028991339517397</v>
      </c>
      <c r="S1867" s="75">
        <f>0.5*(Q1866+Q1867)*R1867</f>
        <v>0.006454707910926649</v>
      </c>
      <c r="T1867" s="75">
        <f>0.5*(F1866*Q1866+F1867*Q1867)*R1867</f>
        <v>0.047934050272545436</v>
      </c>
      <c r="U1867" s="76">
        <f>U1866+S1867</f>
        <v>9.196784778301955</v>
      </c>
      <c r="V1867" s="76">
        <f>V1866+T1867</f>
        <v>42.104554069009914</v>
      </c>
    </row>
    <row r="1868" spans="1:22" ht="19" customHeight="1">
      <c r="A1868" s="68" t="s">
        <v>374</v>
      </c>
      <c r="B1868" s="74">
        <v>3</v>
      </c>
      <c r="C1868" s="68" t="s">
        <v>363</v>
      </c>
      <c r="D1868" s="68" t="s">
        <v>364</v>
      </c>
      <c r="E1868" s="75">
        <f>60*F1868*'THAM_SO_MOI'!$C$51/(2*PI()*'THAM_SO_MOI'!$C$26)</f>
        <v>1867.3141521144576</v>
      </c>
      <c r="F1868" s="75">
        <f>'HANH_TRINH'!$F$1647+('THAM_SO_MOI'!$F$51-'HANH_TRINH'!$F$1647)*220/'THAM_SO_MOI'!$C$42</f>
        <v>7.433758822039452</v>
      </c>
      <c r="G1868" s="75">
        <f>3.6*F1868</f>
        <v>26.761531759342027</v>
      </c>
      <c r="H1868" s="75">
        <f>'THAM_SO_MOI'!$D$51</f>
        <v>1.375</v>
      </c>
      <c r="I1868" s="75">
        <f>IF(F1868&gt;'THAM_SO_MOI'!$C$14,'THAM_SO_MOI'!$C$13*(1+F1868^2/1500),'THAM_SO_MOI'!$C$13)</f>
        <v>0.015</v>
      </c>
      <c r="J1868" s="75">
        <f>'THAM_SO_MOI'!$C$40*('THAM_SO_MOI'!$C$23*(E1868/'THAM_SO_MOI'!$C$22)+'THAM_SO_MOI'!$C$24*(E1868/'THAM_SO_MOI'!$C$22)^2-'THAM_SO_MOI'!$C$25*(E1868/'THAM_SO_MOI'!$C$22)^3)</f>
        <v>83.2438153561355</v>
      </c>
      <c r="K1868" s="75">
        <f>'THAM_SO_MOI'!$C$31*J1868/E1868</f>
        <v>425.7825973127279</v>
      </c>
      <c r="L1868" s="75">
        <f>K1868*'THAM_SO_MOI'!$C$51*'THAM_SO_MOI'!$C$17/'THAM_SO_MOI'!$C$26</f>
        <v>9520.16273896962</v>
      </c>
      <c r="M1868" s="75">
        <f>'THAM_SO_MOI'!$C$15*'THAM_SO_MOI'!$C$16*F1868^2</f>
        <v>161.63775290592943</v>
      </c>
      <c r="N1868" s="75">
        <f>'THAM_SO_MOI'!$C$12*I1868</f>
        <v>1130.112</v>
      </c>
      <c r="O1868" s="75">
        <f>M1868+N1868</f>
        <v>1291.7497529059294</v>
      </c>
      <c r="P1868" s="75">
        <f>(MIN(L1868,'THAM_SO_MOI'!$C$41)-O1868)/('THAM_SO_MOI'!$C$11*H1868)</f>
        <v>0.7792057751954251</v>
      </c>
      <c r="Q1868" s="75">
        <f>IF(P1868&gt;0,1/P1868,NA())</f>
        <v>1.2833580446053543</v>
      </c>
      <c r="R1868" s="75">
        <f>F1868-F1867</f>
        <v>0.005028991339518285</v>
      </c>
      <c r="S1868" s="75">
        <f>0.5*(Q1867+Q1868)*R1868</f>
        <v>0.0064542331479545585</v>
      </c>
      <c r="T1868" s="75">
        <f>0.5*(F1867*Q1867+F1868*Q1868)*R1868</f>
        <v>0.0479629828667337</v>
      </c>
      <c r="U1868" s="76">
        <f>U1867+S1868</f>
        <v>9.20323901144991</v>
      </c>
      <c r="V1868" s="76">
        <f>V1867+T1868</f>
        <v>42.15251705187665</v>
      </c>
    </row>
    <row r="1869" spans="1:22" ht="19" customHeight="1">
      <c r="A1869" s="68" t="s">
        <v>374</v>
      </c>
      <c r="B1869" s="74">
        <v>3</v>
      </c>
      <c r="C1869" s="68" t="s">
        <v>363</v>
      </c>
      <c r="D1869" s="68" t="s">
        <v>364</v>
      </c>
      <c r="E1869" s="75">
        <f>60*F1869*'THAM_SO_MOI'!$C$51/(2*PI()*'THAM_SO_MOI'!$C$26)</f>
        <v>1868.5774035763293</v>
      </c>
      <c r="F1869" s="75">
        <f>'HANH_TRINH'!$F$1647+('THAM_SO_MOI'!$F$51-'HANH_TRINH'!$F$1647)*221/'THAM_SO_MOI'!$C$42</f>
        <v>7.438787813378969</v>
      </c>
      <c r="G1869" s="75">
        <f>3.6*F1869</f>
        <v>26.779636128164288</v>
      </c>
      <c r="H1869" s="75">
        <f>'THAM_SO_MOI'!$D$51</f>
        <v>1.375</v>
      </c>
      <c r="I1869" s="75">
        <f>IF(F1869&gt;'THAM_SO_MOI'!$C$14,'THAM_SO_MOI'!$C$13*(1+F1869^2/1500),'THAM_SO_MOI'!$C$13)</f>
        <v>0.015</v>
      </c>
      <c r="J1869" s="75">
        <f>'THAM_SO_MOI'!$C$40*('THAM_SO_MOI'!$C$23*(E1869/'THAM_SO_MOI'!$C$22)+'THAM_SO_MOI'!$C$24*(E1869/'THAM_SO_MOI'!$C$22)^2-'THAM_SO_MOI'!$C$25*(E1869/'THAM_SO_MOI'!$C$22)^3)</f>
        <v>83.30729268344844</v>
      </c>
      <c r="K1869" s="75">
        <f>'THAM_SO_MOI'!$C$31*J1869/E1869</f>
        <v>425.81920682604294</v>
      </c>
      <c r="L1869" s="75">
        <f>K1869*'THAM_SO_MOI'!$C$51*'THAM_SO_MOI'!$C$17/'THAM_SO_MOI'!$C$26</f>
        <v>9520.981298785717</v>
      </c>
      <c r="M1869" s="75">
        <f>'THAM_SO_MOI'!$C$15*'THAM_SO_MOI'!$C$16*F1869^2</f>
        <v>161.85652508749075</v>
      </c>
      <c r="N1869" s="75">
        <f>'THAM_SO_MOI'!$C$12*I1869</f>
        <v>1130.112</v>
      </c>
      <c r="O1869" s="75">
        <f>M1869+N1869</f>
        <v>1291.968525087491</v>
      </c>
      <c r="P1869" s="75">
        <f>(MIN(L1869,'THAM_SO_MOI'!$C$41)-O1869)/('THAM_SO_MOI'!$C$11*H1869)</f>
        <v>0.7792625732668773</v>
      </c>
      <c r="Q1869" s="75">
        <f>IF(P1869&gt;0,1/P1869,NA())</f>
        <v>1.2832645045529805</v>
      </c>
      <c r="R1869" s="75">
        <f>F1869-F1868</f>
        <v>0.005028991339517397</v>
      </c>
      <c r="S1869" s="75">
        <f>0.5*(Q1868+Q1869)*R1869</f>
        <v>0.006453761285763664</v>
      </c>
      <c r="T1869" s="75">
        <f>0.5*(F1868*Q1868+F1869*Q1869)*R1869</f>
        <v>0.047991932256764416</v>
      </c>
      <c r="U1869" s="76">
        <f>U1868+S1869</f>
        <v>9.209692772735673</v>
      </c>
      <c r="V1869" s="76">
        <f>V1868+T1869</f>
        <v>42.200508984133414</v>
      </c>
    </row>
    <row r="1870" spans="1:22" ht="19" customHeight="1">
      <c r="A1870" s="68" t="s">
        <v>374</v>
      </c>
      <c r="B1870" s="74">
        <v>3</v>
      </c>
      <c r="C1870" s="68" t="s">
        <v>363</v>
      </c>
      <c r="D1870" s="68" t="s">
        <v>364</v>
      </c>
      <c r="E1870" s="75">
        <f>60*F1870*'THAM_SO_MOI'!$C$51/(2*PI()*'THAM_SO_MOI'!$C$26)</f>
        <v>1869.8406550382006</v>
      </c>
      <c r="F1870" s="75">
        <f>'HANH_TRINH'!$F$1647+('THAM_SO_MOI'!$F$51-'HANH_TRINH'!$F$1647)*222/'THAM_SO_MOI'!$C$42</f>
        <v>7.4438168047184865</v>
      </c>
      <c r="G1870" s="75">
        <f>3.6*F1870</f>
        <v>26.797740496986552</v>
      </c>
      <c r="H1870" s="75">
        <f>'THAM_SO_MOI'!$D$51</f>
        <v>1.375</v>
      </c>
      <c r="I1870" s="75">
        <f>IF(F1870&gt;'THAM_SO_MOI'!$C$14,'THAM_SO_MOI'!$C$13*(1+F1870^2/1500),'THAM_SO_MOI'!$C$13)</f>
        <v>0.015</v>
      </c>
      <c r="J1870" s="75">
        <f>'THAM_SO_MOI'!$C$40*('THAM_SO_MOI'!$C$23*(E1870/'THAM_SO_MOI'!$C$22)+'THAM_SO_MOI'!$C$24*(E1870/'THAM_SO_MOI'!$C$22)^2-'THAM_SO_MOI'!$C$25*(E1870/'THAM_SO_MOI'!$C$22)^3)</f>
        <v>83.37074938603801</v>
      </c>
      <c r="K1870" s="75">
        <f>'THAM_SO_MOI'!$C$31*J1870/E1870</f>
        <v>425.8556615225274</v>
      </c>
      <c r="L1870" s="75">
        <f>K1870*'THAM_SO_MOI'!$C$51*'THAM_SO_MOI'!$C$17/'THAM_SO_MOI'!$C$26</f>
        <v>9521.796397019703</v>
      </c>
      <c r="M1870" s="75">
        <f>'THAM_SO_MOI'!$C$15*'THAM_SO_MOI'!$C$16*F1870^2</f>
        <v>162.07544521996232</v>
      </c>
      <c r="N1870" s="75">
        <f>'THAM_SO_MOI'!$C$12*I1870</f>
        <v>1130.112</v>
      </c>
      <c r="O1870" s="75">
        <f>M1870+N1870</f>
        <v>1292.1874452199625</v>
      </c>
      <c r="P1870" s="75">
        <f>(MIN(L1870,'THAM_SO_MOI'!$C$41)-O1870)/('THAM_SO_MOI'!$C$11*H1870)</f>
        <v>0.7793190295264908</v>
      </c>
      <c r="Q1870" s="75">
        <f>IF(P1870&gt;0,1/P1870,NA())</f>
        <v>1.2831715409382387</v>
      </c>
      <c r="R1870" s="75">
        <f>F1870-F1869</f>
        <v>0.005028991339517397</v>
      </c>
      <c r="S1870" s="75">
        <f>0.5*(Q1869+Q1870)*R1870</f>
        <v>0.006453292323100309</v>
      </c>
      <c r="T1870" s="75">
        <f>0.5*(F1869*Q1869+F1870*Q1870)*R1870</f>
        <v>0.04802089847707278</v>
      </c>
      <c r="U1870" s="76">
        <f>U1869+S1870</f>
        <v>9.216146065058773</v>
      </c>
      <c r="V1870" s="76">
        <f>V1869+T1870</f>
        <v>42.248529882610484</v>
      </c>
    </row>
    <row r="1871" spans="1:22" ht="19" customHeight="1">
      <c r="A1871" s="68" t="s">
        <v>374</v>
      </c>
      <c r="B1871" s="74">
        <v>3</v>
      </c>
      <c r="C1871" s="68" t="s">
        <v>363</v>
      </c>
      <c r="D1871" s="68" t="s">
        <v>364</v>
      </c>
      <c r="E1871" s="75">
        <f>60*F1871*'THAM_SO_MOI'!$C$51/(2*PI()*'THAM_SO_MOI'!$C$26)</f>
        <v>1871.1039065000718</v>
      </c>
      <c r="F1871" s="75">
        <f>'HANH_TRINH'!$F$1647+('THAM_SO_MOI'!$F$51-'HANH_TRINH'!$F$1647)*223/'THAM_SO_MOI'!$C$42</f>
        <v>7.448845796058004</v>
      </c>
      <c r="G1871" s="75">
        <f>3.6*F1871</f>
        <v>26.815844865808813</v>
      </c>
      <c r="H1871" s="75">
        <f>'THAM_SO_MOI'!$D$51</f>
        <v>1.375</v>
      </c>
      <c r="I1871" s="75">
        <f>IF(F1871&gt;'THAM_SO_MOI'!$C$14,'THAM_SO_MOI'!$C$13*(1+F1871^2/1500),'THAM_SO_MOI'!$C$13)</f>
        <v>0.015</v>
      </c>
      <c r="J1871" s="75">
        <f>'THAM_SO_MOI'!$C$40*('THAM_SO_MOI'!$C$23*(E1871/'THAM_SO_MOI'!$C$22)+'THAM_SO_MOI'!$C$24*(E1871/'THAM_SO_MOI'!$C$22)^2-'THAM_SO_MOI'!$C$25*(E1871/'THAM_SO_MOI'!$C$22)^3)</f>
        <v>83.43418540247492</v>
      </c>
      <c r="K1871" s="75">
        <f>'THAM_SO_MOI'!$C$31*J1871/E1871</f>
        <v>425.89196140218127</v>
      </c>
      <c r="L1871" s="75">
        <f>K1871*'THAM_SO_MOI'!$C$51*'THAM_SO_MOI'!$C$17/'THAM_SO_MOI'!$C$26</f>
        <v>9522.608033671579</v>
      </c>
      <c r="M1871" s="75">
        <f>'THAM_SO_MOI'!$C$15*'THAM_SO_MOI'!$C$16*F1871^2</f>
        <v>162.2945133033442</v>
      </c>
      <c r="N1871" s="75">
        <f>'THAM_SO_MOI'!$C$12*I1871</f>
        <v>1130.112</v>
      </c>
      <c r="O1871" s="75">
        <f>M1871+N1871</f>
        <v>1292.4065133033444</v>
      </c>
      <c r="P1871" s="75">
        <f>(MIN(L1871,'THAM_SO_MOI'!$C$41)-O1871)/('THAM_SO_MOI'!$C$11*H1871)</f>
        <v>0.7793751439742647</v>
      </c>
      <c r="Q1871" s="75">
        <f>IF(P1871&gt;0,1/P1871,NA())</f>
        <v>1.283079153513549</v>
      </c>
      <c r="R1871" s="75">
        <f>F1871-F1870</f>
        <v>0.005028991339517397</v>
      </c>
      <c r="S1871" s="75">
        <f>0.5*(Q1870+Q1871)*R1871</f>
        <v>0.006452826258714273</v>
      </c>
      <c r="T1871" s="75">
        <f>0.5*(F1870*Q1870+F1871*Q1871)*R1871</f>
        <v>0.04804988156209436</v>
      </c>
      <c r="U1871" s="76">
        <f>U1870+S1871</f>
        <v>9.222598891317487</v>
      </c>
      <c r="V1871" s="76">
        <f>V1870+T1871</f>
        <v>42.29657976417258</v>
      </c>
    </row>
    <row r="1872" spans="1:22" ht="19" customHeight="1">
      <c r="A1872" s="68" t="s">
        <v>374</v>
      </c>
      <c r="B1872" s="74">
        <v>3</v>
      </c>
      <c r="C1872" s="68" t="s">
        <v>363</v>
      </c>
      <c r="D1872" s="68" t="s">
        <v>364</v>
      </c>
      <c r="E1872" s="75">
        <f>60*F1872*'THAM_SO_MOI'!$C$51/(2*PI()*'THAM_SO_MOI'!$C$26)</f>
        <v>1872.367157961944</v>
      </c>
      <c r="F1872" s="75">
        <f>'HANH_TRINH'!$F$1647+('THAM_SO_MOI'!$F$51-'HANH_TRINH'!$F$1647)*224/'THAM_SO_MOI'!$C$42</f>
        <v>7.453874787397522</v>
      </c>
      <c r="G1872" s="75">
        <f>3.6*F1872</f>
        <v>26.83394923463108</v>
      </c>
      <c r="H1872" s="75">
        <f>'THAM_SO_MOI'!$D$51</f>
        <v>1.375</v>
      </c>
      <c r="I1872" s="75">
        <f>IF(F1872&gt;'THAM_SO_MOI'!$C$14,'THAM_SO_MOI'!$C$13*(1+F1872^2/1500),'THAM_SO_MOI'!$C$13)</f>
        <v>0.015</v>
      </c>
      <c r="J1872" s="75">
        <f>'THAM_SO_MOI'!$C$40*('THAM_SO_MOI'!$C$23*(E1872/'THAM_SO_MOI'!$C$22)+'THAM_SO_MOI'!$C$24*(E1872/'THAM_SO_MOI'!$C$22)^2-'THAM_SO_MOI'!$C$25*(E1872/'THAM_SO_MOI'!$C$22)^3)</f>
        <v>83.49760067132989</v>
      </c>
      <c r="K1872" s="75">
        <f>'THAM_SO_MOI'!$C$31*J1872/E1872</f>
        <v>425.92810646500476</v>
      </c>
      <c r="L1872" s="75">
        <f>K1872*'THAM_SO_MOI'!$C$51*'THAM_SO_MOI'!$C$17/'THAM_SO_MOI'!$C$26</f>
        <v>9523.416208741348</v>
      </c>
      <c r="M1872" s="75">
        <f>'THAM_SO_MOI'!$C$15*'THAM_SO_MOI'!$C$16*F1872^2</f>
        <v>162.51372933763633</v>
      </c>
      <c r="N1872" s="75">
        <f>'THAM_SO_MOI'!$C$12*I1872</f>
        <v>1130.112</v>
      </c>
      <c r="O1872" s="75">
        <f>M1872+N1872</f>
        <v>1292.6257293376364</v>
      </c>
      <c r="P1872" s="75">
        <f>(MIN(L1872,'THAM_SO_MOI'!$C$41)-O1872)/('THAM_SO_MOI'!$C$11*H1872)</f>
        <v>0.7794309166102001</v>
      </c>
      <c r="Q1872" s="75">
        <f>IF(P1872&gt;0,1/P1872,NA())</f>
        <v>1.2829873420329159</v>
      </c>
      <c r="R1872" s="75">
        <f>F1872-F1871</f>
        <v>0.005028991339518285</v>
      </c>
      <c r="S1872" s="75">
        <f>0.5*(Q1871+Q1872)*R1872</f>
        <v>0.006452363091365604</v>
      </c>
      <c r="T1872" s="75">
        <f>0.5*(F1871*Q1871+F1872*Q1872)*R1872</f>
        <v>0.04807888154631607</v>
      </c>
      <c r="U1872" s="76">
        <f>U1871+S1872</f>
        <v>9.229051254408853</v>
      </c>
      <c r="V1872" s="76">
        <f>V1871+T1872</f>
        <v>42.344658645718894</v>
      </c>
    </row>
    <row r="1873" spans="1:22" ht="19" customHeight="1">
      <c r="A1873" s="68" t="s">
        <v>374</v>
      </c>
      <c r="B1873" s="74">
        <v>3</v>
      </c>
      <c r="C1873" s="68" t="s">
        <v>363</v>
      </c>
      <c r="D1873" s="68" t="s">
        <v>364</v>
      </c>
      <c r="E1873" s="75">
        <f>60*F1873*'THAM_SO_MOI'!$C$51/(2*PI()*'THAM_SO_MOI'!$C$26)</f>
        <v>1873.6304094238153</v>
      </c>
      <c r="F1873" s="75">
        <f>'HANH_TRINH'!$F$1647+('THAM_SO_MOI'!$F$51-'HANH_TRINH'!$F$1647)*225/'THAM_SO_MOI'!$C$42</f>
        <v>7.45890377873704</v>
      </c>
      <c r="G1873" s="75">
        <f>3.6*F1873</f>
        <v>26.852053603453342</v>
      </c>
      <c r="H1873" s="75">
        <f>'THAM_SO_MOI'!$D$51</f>
        <v>1.375</v>
      </c>
      <c r="I1873" s="75">
        <f>IF(F1873&gt;'THAM_SO_MOI'!$C$14,'THAM_SO_MOI'!$C$13*(1+F1873^2/1500),'THAM_SO_MOI'!$C$13)</f>
        <v>0.015</v>
      </c>
      <c r="J1873" s="75">
        <f>'THAM_SO_MOI'!$C$40*('THAM_SO_MOI'!$C$23*(E1873/'THAM_SO_MOI'!$C$22)+'THAM_SO_MOI'!$C$24*(E1873/'THAM_SO_MOI'!$C$22)^2-'THAM_SO_MOI'!$C$25*(E1873/'THAM_SO_MOI'!$C$22)^3)</f>
        <v>83.56099513117344</v>
      </c>
      <c r="K1873" s="75">
        <f>'THAM_SO_MOI'!$C$31*J1873/E1873</f>
        <v>425.9640967109977</v>
      </c>
      <c r="L1873" s="75">
        <f>K1873*'THAM_SO_MOI'!$C$51*'THAM_SO_MOI'!$C$17/'THAM_SO_MOI'!$C$26</f>
        <v>9524.22092222901</v>
      </c>
      <c r="M1873" s="75">
        <f>'THAM_SO_MOI'!$C$15*'THAM_SO_MOI'!$C$16*F1873^2</f>
        <v>162.73309332283876</v>
      </c>
      <c r="N1873" s="75">
        <f>'THAM_SO_MOI'!$C$12*I1873</f>
        <v>1130.112</v>
      </c>
      <c r="O1873" s="75">
        <f>M1873+N1873</f>
        <v>1292.845093322839</v>
      </c>
      <c r="P1873" s="75">
        <f>(MIN(L1873,'THAM_SO_MOI'!$C$41)-O1873)/('THAM_SO_MOI'!$C$11*H1873)</f>
        <v>0.7794863474342963</v>
      </c>
      <c r="Q1873" s="75">
        <f>IF(P1873&gt;0,1/P1873,NA())</f>
        <v>1.2828961062519328</v>
      </c>
      <c r="R1873" s="75">
        <f>F1873-F1872</f>
        <v>0.005028991339517397</v>
      </c>
      <c r="S1873" s="75">
        <f>0.5*(Q1872+Q1873)*R1873</f>
        <v>0.006451902819817769</v>
      </c>
      <c r="T1873" s="75">
        <f>0.5*(F1872*Q1872+F1873*Q1873)*R1873</f>
        <v>0.04810789846422536</v>
      </c>
      <c r="U1873" s="76">
        <f>U1872+S1873</f>
        <v>9.23550315722867</v>
      </c>
      <c r="V1873" s="76">
        <f>V1872+T1873</f>
        <v>42.39276654418312</v>
      </c>
    </row>
    <row r="1874" spans="1:22" ht="19" customHeight="1">
      <c r="A1874" s="68" t="s">
        <v>374</v>
      </c>
      <c r="B1874" s="74">
        <v>3</v>
      </c>
      <c r="C1874" s="68" t="s">
        <v>363</v>
      </c>
      <c r="D1874" s="68" t="s">
        <v>364</v>
      </c>
      <c r="E1874" s="75">
        <f>60*F1874*'THAM_SO_MOI'!$C$51/(2*PI()*'THAM_SO_MOI'!$C$26)</f>
        <v>1874.8936608856875</v>
      </c>
      <c r="F1874" s="75">
        <f>'HANH_TRINH'!$F$1647+('THAM_SO_MOI'!$F$51-'HANH_TRINH'!$F$1647)*226/'THAM_SO_MOI'!$C$42</f>
        <v>7.463932770076558</v>
      </c>
      <c r="G1874" s="75">
        <f>3.6*F1874</f>
        <v>26.87015797227561</v>
      </c>
      <c r="H1874" s="75">
        <f>'THAM_SO_MOI'!$D$51</f>
        <v>1.375</v>
      </c>
      <c r="I1874" s="75">
        <f>IF(F1874&gt;'THAM_SO_MOI'!$C$14,'THAM_SO_MOI'!$C$13*(1+F1874^2/1500),'THAM_SO_MOI'!$C$13)</f>
        <v>0.015</v>
      </c>
      <c r="J1874" s="75">
        <f>'THAM_SO_MOI'!$C$40*('THAM_SO_MOI'!$C$23*(E1874/'THAM_SO_MOI'!$C$22)+'THAM_SO_MOI'!$C$24*(E1874/'THAM_SO_MOI'!$C$22)^2-'THAM_SO_MOI'!$C$25*(E1874/'THAM_SO_MOI'!$C$22)^3)</f>
        <v>83.62436872057636</v>
      </c>
      <c r="K1874" s="75">
        <f>'THAM_SO_MOI'!$C$31*J1874/E1874</f>
        <v>425.9999321401603</v>
      </c>
      <c r="L1874" s="75">
        <f>K1874*'THAM_SO_MOI'!$C$51*'THAM_SO_MOI'!$C$17/'THAM_SO_MOI'!$C$26</f>
        <v>9525.022174134563</v>
      </c>
      <c r="M1874" s="75">
        <f>'THAM_SO_MOI'!$C$15*'THAM_SO_MOI'!$C$16*F1874^2</f>
        <v>162.95260525895145</v>
      </c>
      <c r="N1874" s="75">
        <f>'THAM_SO_MOI'!$C$12*I1874</f>
        <v>1130.112</v>
      </c>
      <c r="O1874" s="75">
        <f>M1874+N1874</f>
        <v>1293.0646052589516</v>
      </c>
      <c r="P1874" s="75">
        <f>(MIN(L1874,'THAM_SO_MOI'!$C$41)-O1874)/('THAM_SO_MOI'!$C$11*H1874)</f>
        <v>0.7795414364465542</v>
      </c>
      <c r="Q1874" s="75">
        <f>IF(P1874&gt;0,1/P1874,NA())</f>
        <v>1.2828054459277747</v>
      </c>
      <c r="R1874" s="75">
        <f>F1874-F1873</f>
        <v>0.005028991339518285</v>
      </c>
      <c r="S1874" s="75">
        <f>0.5*(Q1873+Q1874)*R1874</f>
        <v>0.0064514454428501854</v>
      </c>
      <c r="T1874" s="75">
        <f>0.5*(F1873*Q1873+F1874*Q1874)*R1874</f>
        <v>0.048136932350403845</v>
      </c>
      <c r="U1874" s="76">
        <f>U1873+S1874</f>
        <v>9.241954602671521</v>
      </c>
      <c r="V1874" s="76">
        <f>V1873+T1874</f>
        <v>42.44090347653352</v>
      </c>
    </row>
    <row r="1875" spans="1:22" ht="19" customHeight="1">
      <c r="A1875" s="68" t="s">
        <v>374</v>
      </c>
      <c r="B1875" s="74">
        <v>3</v>
      </c>
      <c r="C1875" s="68" t="s">
        <v>363</v>
      </c>
      <c r="D1875" s="68" t="s">
        <v>364</v>
      </c>
      <c r="E1875" s="75">
        <f>60*F1875*'THAM_SO_MOI'!$C$51/(2*PI()*'THAM_SO_MOI'!$C$26)</f>
        <v>1876.1569123475588</v>
      </c>
      <c r="F1875" s="75">
        <f>'HANH_TRINH'!$F$1647+('THAM_SO_MOI'!$F$51-'HANH_TRINH'!$F$1647)*227/'THAM_SO_MOI'!$C$42</f>
        <v>7.468961761416075</v>
      </c>
      <c r="G1875" s="75">
        <f>3.6*F1875</f>
        <v>26.88826234109787</v>
      </c>
      <c r="H1875" s="75">
        <f>'THAM_SO_MOI'!$D$51</f>
        <v>1.375</v>
      </c>
      <c r="I1875" s="75">
        <f>IF(F1875&gt;'THAM_SO_MOI'!$C$14,'THAM_SO_MOI'!$C$13*(1+F1875^2/1500),'THAM_SO_MOI'!$C$13)</f>
        <v>0.015</v>
      </c>
      <c r="J1875" s="75">
        <f>'THAM_SO_MOI'!$C$40*('THAM_SO_MOI'!$C$23*(E1875/'THAM_SO_MOI'!$C$22)+'THAM_SO_MOI'!$C$24*(E1875/'THAM_SO_MOI'!$C$22)^2-'THAM_SO_MOI'!$C$25*(E1875/'THAM_SO_MOI'!$C$22)^3)</f>
        <v>83.68772137810912</v>
      </c>
      <c r="K1875" s="75">
        <f>'THAM_SO_MOI'!$C$31*J1875/E1875</f>
        <v>426.0356127524921</v>
      </c>
      <c r="L1875" s="75">
        <f>K1875*'THAM_SO_MOI'!$C$51*'THAM_SO_MOI'!$C$17/'THAM_SO_MOI'!$C$26</f>
        <v>9525.819964458002</v>
      </c>
      <c r="M1875" s="75">
        <f>'THAM_SO_MOI'!$C$15*'THAM_SO_MOI'!$C$16*F1875^2</f>
        <v>163.17226514597442</v>
      </c>
      <c r="N1875" s="75">
        <f>'THAM_SO_MOI'!$C$12*I1875</f>
        <v>1130.112</v>
      </c>
      <c r="O1875" s="75">
        <f>M1875+N1875</f>
        <v>1293.2842651459746</v>
      </c>
      <c r="P1875" s="75">
        <f>(MIN(L1875,'THAM_SO_MOI'!$C$41)-O1875)/('THAM_SO_MOI'!$C$11*H1875)</f>
        <v>0.7795961836469721</v>
      </c>
      <c r="Q1875" s="75">
        <f>IF(P1875&gt;0,1/P1875,NA())</f>
        <v>1.2827153608192037</v>
      </c>
      <c r="R1875" s="75">
        <f>F1875-F1874</f>
        <v>0.005028991339517397</v>
      </c>
      <c r="S1875" s="75">
        <f>0.5*(Q1874+Q1875)*R1875</f>
        <v>0.00645099095924112</v>
      </c>
      <c r="T1875" s="75">
        <f>0.5*(F1874*Q1874+F1875*Q1875)*R1875</f>
        <v>0.04816598323939999</v>
      </c>
      <c r="U1875" s="76">
        <f>U1874+S1875</f>
        <v>9.248405593630762</v>
      </c>
      <c r="V1875" s="76">
        <f>V1874+T1875</f>
        <v>42.48906945977292</v>
      </c>
    </row>
    <row r="1876" spans="1:22" ht="19" customHeight="1">
      <c r="A1876" s="68" t="s">
        <v>374</v>
      </c>
      <c r="B1876" s="74">
        <v>3</v>
      </c>
      <c r="C1876" s="68" t="s">
        <v>363</v>
      </c>
      <c r="D1876" s="68" t="s">
        <v>364</v>
      </c>
      <c r="E1876" s="75">
        <f>60*F1876*'THAM_SO_MOI'!$C$51/(2*PI()*'THAM_SO_MOI'!$C$26)</f>
        <v>1877.4201638094303</v>
      </c>
      <c r="F1876" s="75">
        <f>'HANH_TRINH'!$F$1647+('THAM_SO_MOI'!$F$51-'HANH_TRINH'!$F$1647)*228/'THAM_SO_MOI'!$C$42</f>
        <v>7.473990752755593</v>
      </c>
      <c r="G1876" s="75">
        <f>3.6*F1876</f>
        <v>26.906366709920135</v>
      </c>
      <c r="H1876" s="75">
        <f>'THAM_SO_MOI'!$D$51</f>
        <v>1.375</v>
      </c>
      <c r="I1876" s="75">
        <f>IF(F1876&gt;'THAM_SO_MOI'!$C$14,'THAM_SO_MOI'!$C$13*(1+F1876^2/1500),'THAM_SO_MOI'!$C$13)</f>
        <v>0.015</v>
      </c>
      <c r="J1876" s="75">
        <f>'THAM_SO_MOI'!$C$40*('THAM_SO_MOI'!$C$23*(E1876/'THAM_SO_MOI'!$C$22)+'THAM_SO_MOI'!$C$24*(E1876/'THAM_SO_MOI'!$C$22)^2-'THAM_SO_MOI'!$C$25*(E1876/'THAM_SO_MOI'!$C$22)^3)</f>
        <v>83.75105304234252</v>
      </c>
      <c r="K1876" s="75">
        <f>'THAM_SO_MOI'!$C$31*J1876/E1876</f>
        <v>426.07113854799366</v>
      </c>
      <c r="L1876" s="75">
        <f>K1876*'THAM_SO_MOI'!$C$51*'THAM_SO_MOI'!$C$17/'THAM_SO_MOI'!$C$26</f>
        <v>9526.614293199336</v>
      </c>
      <c r="M1876" s="75">
        <f>'THAM_SO_MOI'!$C$15*'THAM_SO_MOI'!$C$16*F1876^2</f>
        <v>163.39207298390764</v>
      </c>
      <c r="N1876" s="75">
        <f>'THAM_SO_MOI'!$C$12*I1876</f>
        <v>1130.112</v>
      </c>
      <c r="O1876" s="75">
        <f>M1876+N1876</f>
        <v>1293.5040729839077</v>
      </c>
      <c r="P1876" s="75">
        <f>(MIN(L1876,'THAM_SO_MOI'!$C$41)-O1876)/('THAM_SO_MOI'!$C$11*H1876)</f>
        <v>0.779650589035552</v>
      </c>
      <c r="Q1876" s="75">
        <f>IF(P1876&gt;0,1/P1876,NA())</f>
        <v>1.2826258506865569</v>
      </c>
      <c r="R1876" s="75">
        <f>F1876-F1875</f>
        <v>0.005028991339517397</v>
      </c>
      <c r="S1876" s="75">
        <f>0.5*(Q1875+Q1876)*R1876</f>
        <v>0.006450539367784768</v>
      </c>
      <c r="T1876" s="75">
        <f>0.5*(F1875*Q1875+F1876*Q1876)*R1876</f>
        <v>0.04819505116585668</v>
      </c>
      <c r="U1876" s="76">
        <f>U1875+S1876</f>
        <v>9.254856132998547</v>
      </c>
      <c r="V1876" s="76">
        <f>V1875+T1876</f>
        <v>42.537264510938776</v>
      </c>
    </row>
    <row r="1877" spans="1:22" ht="19" customHeight="1">
      <c r="A1877" s="68" t="s">
        <v>374</v>
      </c>
      <c r="B1877" s="74">
        <v>3</v>
      </c>
      <c r="C1877" s="68" t="s">
        <v>363</v>
      </c>
      <c r="D1877" s="68" t="s">
        <v>364</v>
      </c>
      <c r="E1877" s="75">
        <f>60*F1877*'THAM_SO_MOI'!$C$51/(2*PI()*'THAM_SO_MOI'!$C$26)</f>
        <v>1878.683415271302</v>
      </c>
      <c r="F1877" s="75">
        <f>'HANH_TRINH'!$F$1647+('THAM_SO_MOI'!$F$51-'HANH_TRINH'!$F$1647)*229/'THAM_SO_MOI'!$C$42</f>
        <v>7.47901974409511</v>
      </c>
      <c r="G1877" s="75">
        <f>3.6*F1877</f>
        <v>26.924471078742396</v>
      </c>
      <c r="H1877" s="75">
        <f>'THAM_SO_MOI'!$D$51</f>
        <v>1.375</v>
      </c>
      <c r="I1877" s="75">
        <f>IF(F1877&gt;'THAM_SO_MOI'!$C$14,'THAM_SO_MOI'!$C$13*(1+F1877^2/1500),'THAM_SO_MOI'!$C$13)</f>
        <v>0.015</v>
      </c>
      <c r="J1877" s="75">
        <f>'THAM_SO_MOI'!$C$40*('THAM_SO_MOI'!$C$23*(E1877/'THAM_SO_MOI'!$C$22)+'THAM_SO_MOI'!$C$24*(E1877/'THAM_SO_MOI'!$C$22)^2-'THAM_SO_MOI'!$C$25*(E1877/'THAM_SO_MOI'!$C$22)^3)</f>
        <v>83.81436365184713</v>
      </c>
      <c r="K1877" s="75">
        <f>'THAM_SO_MOI'!$C$31*J1877/E1877</f>
        <v>426.1065095266645</v>
      </c>
      <c r="L1877" s="75">
        <f>K1877*'THAM_SO_MOI'!$C$51*'THAM_SO_MOI'!$C$17/'THAM_SO_MOI'!$C$26</f>
        <v>9527.40516035856</v>
      </c>
      <c r="M1877" s="75">
        <f>'THAM_SO_MOI'!$C$15*'THAM_SO_MOI'!$C$16*F1877^2</f>
        <v>163.61202877275113</v>
      </c>
      <c r="N1877" s="75">
        <f>'THAM_SO_MOI'!$C$12*I1877</f>
        <v>1130.112</v>
      </c>
      <c r="O1877" s="75">
        <f>M1877+N1877</f>
        <v>1293.7240287727511</v>
      </c>
      <c r="P1877" s="75">
        <f>(MIN(L1877,'THAM_SO_MOI'!$C$41)-O1877)/('THAM_SO_MOI'!$C$11*H1877)</f>
        <v>0.7797046526122923</v>
      </c>
      <c r="Q1877" s="75">
        <f>IF(P1877&gt;0,1/P1877,NA())</f>
        <v>1.2825369152917565</v>
      </c>
      <c r="R1877" s="75">
        <f>F1877-F1876</f>
        <v>0.005028991339517397</v>
      </c>
      <c r="S1877" s="75">
        <f>0.5*(Q1876+Q1877)*R1877</f>
        <v>0.006450090667278715</v>
      </c>
      <c r="T1877" s="75">
        <f>0.5*(F1876*Q1876+F1877*Q1877)*R1877</f>
        <v>0.04822413616441788</v>
      </c>
      <c r="U1877" s="76">
        <f>U1876+S1877</f>
        <v>9.261306223665827</v>
      </c>
      <c r="V1877" s="76">
        <f>V1876+T1877</f>
        <v>42.5854886471032</v>
      </c>
    </row>
    <row r="1878" spans="1:22" ht="19" customHeight="1">
      <c r="A1878" s="68" t="s">
        <v>374</v>
      </c>
      <c r="B1878" s="74">
        <v>3</v>
      </c>
      <c r="C1878" s="68" t="s">
        <v>363</v>
      </c>
      <c r="D1878" s="68" t="s">
        <v>364</v>
      </c>
      <c r="E1878" s="75">
        <f>60*F1878*'THAM_SO_MOI'!$C$51/(2*PI()*'THAM_SO_MOI'!$C$26)</f>
        <v>1879.9466667331737</v>
      </c>
      <c r="F1878" s="75">
        <f>'HANH_TRINH'!$F$1647+('THAM_SO_MOI'!$F$51-'HANH_TRINH'!$F$1647)*230/'THAM_SO_MOI'!$C$42</f>
        <v>7.484048735434628</v>
      </c>
      <c r="G1878" s="75">
        <f>3.6*F1878</f>
        <v>26.942575447564664</v>
      </c>
      <c r="H1878" s="75">
        <f>'THAM_SO_MOI'!$D$51</f>
        <v>1.375</v>
      </c>
      <c r="I1878" s="75">
        <f>IF(F1878&gt;'THAM_SO_MOI'!$C$14,'THAM_SO_MOI'!$C$13*(1+F1878^2/1500),'THAM_SO_MOI'!$C$13)</f>
        <v>0.015</v>
      </c>
      <c r="J1878" s="75">
        <f>'THAM_SO_MOI'!$C$40*('THAM_SO_MOI'!$C$23*(E1878/'THAM_SO_MOI'!$C$22)+'THAM_SO_MOI'!$C$24*(E1878/'THAM_SO_MOI'!$C$22)^2-'THAM_SO_MOI'!$C$25*(E1878/'THAM_SO_MOI'!$C$22)^3)</f>
        <v>83.87765314519368</v>
      </c>
      <c r="K1878" s="75">
        <f>'THAM_SO_MOI'!$C$31*J1878/E1878</f>
        <v>426.14172568850506</v>
      </c>
      <c r="L1878" s="75">
        <f>K1878*'THAM_SO_MOI'!$C$51*'THAM_SO_MOI'!$C$17/'THAM_SO_MOI'!$C$26</f>
        <v>9528.192565935678</v>
      </c>
      <c r="M1878" s="75">
        <f>'THAM_SO_MOI'!$C$15*'THAM_SO_MOI'!$C$16*F1878^2</f>
        <v>163.83213251250493</v>
      </c>
      <c r="N1878" s="75">
        <f>'THAM_SO_MOI'!$C$12*I1878</f>
        <v>1130.112</v>
      </c>
      <c r="O1878" s="75">
        <f>M1878+N1878</f>
        <v>1293.944132512505</v>
      </c>
      <c r="P1878" s="75">
        <f>(MIN(L1878,'THAM_SO_MOI'!$C$41)-O1878)/('THAM_SO_MOI'!$C$11*H1878)</f>
        <v>0.7797583743771945</v>
      </c>
      <c r="Q1878" s="75">
        <f>IF(P1878&gt;0,1/P1878,NA())</f>
        <v>1.282448554398298</v>
      </c>
      <c r="R1878" s="75">
        <f>F1878-F1877</f>
        <v>0.005028991339518285</v>
      </c>
      <c r="S1878" s="75">
        <f>0.5*(Q1877+Q1878)*R1878</f>
        <v>0.006449644856530762</v>
      </c>
      <c r="T1878" s="75">
        <f>0.5*(F1877*Q1877+F1878*Q1878)*R1878</f>
        <v>0.048253238269779876</v>
      </c>
      <c r="U1878" s="76">
        <f>U1877+S1878</f>
        <v>9.267755868522357</v>
      </c>
      <c r="V1878" s="76">
        <f>V1877+T1878</f>
        <v>42.63374188537298</v>
      </c>
    </row>
    <row r="1879" spans="1:22" ht="19" customHeight="1">
      <c r="A1879" s="68" t="s">
        <v>374</v>
      </c>
      <c r="B1879" s="74">
        <v>3</v>
      </c>
      <c r="C1879" s="68" t="s">
        <v>363</v>
      </c>
      <c r="D1879" s="68" t="s">
        <v>364</v>
      </c>
      <c r="E1879" s="75">
        <f>60*F1879*'THAM_SO_MOI'!$C$51/(2*PI()*'THAM_SO_MOI'!$C$26)</f>
        <v>1881.2099181950455</v>
      </c>
      <c r="F1879" s="75">
        <f>'HANH_TRINH'!$F$1647+('THAM_SO_MOI'!$F$51-'HANH_TRINH'!$F$1647)*231/'THAM_SO_MOI'!$C$42</f>
        <v>7.489077726774146</v>
      </c>
      <c r="G1879" s="75">
        <f>3.6*F1879</f>
        <v>26.960679816386925</v>
      </c>
      <c r="H1879" s="75">
        <f>'THAM_SO_MOI'!$D$51</f>
        <v>1.375</v>
      </c>
      <c r="I1879" s="75">
        <f>IF(F1879&gt;'THAM_SO_MOI'!$C$14,'THAM_SO_MOI'!$C$13*(1+F1879^2/1500),'THAM_SO_MOI'!$C$13)</f>
        <v>0.015</v>
      </c>
      <c r="J1879" s="75">
        <f>'THAM_SO_MOI'!$C$40*('THAM_SO_MOI'!$C$23*(E1879/'THAM_SO_MOI'!$C$22)+'THAM_SO_MOI'!$C$24*(E1879/'THAM_SO_MOI'!$C$22)^2-'THAM_SO_MOI'!$C$25*(E1879/'THAM_SO_MOI'!$C$22)^3)</f>
        <v>83.94092146095271</v>
      </c>
      <c r="K1879" s="75">
        <f>'THAM_SO_MOI'!$C$31*J1879/E1879</f>
        <v>426.1767870335148</v>
      </c>
      <c r="L1879" s="75">
        <f>K1879*'THAM_SO_MOI'!$C$51*'THAM_SO_MOI'!$C$17/'THAM_SO_MOI'!$C$26</f>
        <v>9528.97650993068</v>
      </c>
      <c r="M1879" s="75">
        <f>'THAM_SO_MOI'!$C$15*'THAM_SO_MOI'!$C$16*F1879^2</f>
        <v>164.052384203169</v>
      </c>
      <c r="N1879" s="75">
        <f>'THAM_SO_MOI'!$C$12*I1879</f>
        <v>1130.112</v>
      </c>
      <c r="O1879" s="75">
        <f>M1879+N1879</f>
        <v>1294.164384203169</v>
      </c>
      <c r="P1879" s="75">
        <f>(MIN(L1879,'THAM_SO_MOI'!$C$41)-O1879)/('THAM_SO_MOI'!$C$11*H1879)</f>
        <v>0.7798117543302568</v>
      </c>
      <c r="Q1879" s="75">
        <f>IF(P1879&gt;0,1/P1879,NA())</f>
        <v>1.2823607677712583</v>
      </c>
      <c r="R1879" s="75">
        <f>F1879-F1878</f>
        <v>0.005028991339517397</v>
      </c>
      <c r="S1879" s="75">
        <f>0.5*(Q1878+Q1879)*R1879</f>
        <v>0.006449201934352092</v>
      </c>
      <c r="T1879" s="75">
        <f>0.5*(F1878*Q1878+F1879*Q1879)*R1879</f>
        <v>0.048282357516640166</v>
      </c>
      <c r="U1879" s="76">
        <f>U1878+S1879</f>
        <v>9.27420507045671</v>
      </c>
      <c r="V1879" s="76">
        <f>V1878+T1879</f>
        <v>42.68202424288962</v>
      </c>
    </row>
    <row r="1880" spans="1:22" ht="19" customHeight="1">
      <c r="A1880" s="68" t="s">
        <v>374</v>
      </c>
      <c r="B1880" s="74">
        <v>3</v>
      </c>
      <c r="C1880" s="68" t="s">
        <v>363</v>
      </c>
      <c r="D1880" s="68" t="s">
        <v>364</v>
      </c>
      <c r="E1880" s="75">
        <f>60*F1880*'THAM_SO_MOI'!$C$51/(2*PI()*'THAM_SO_MOI'!$C$26)</f>
        <v>1882.4731696569168</v>
      </c>
      <c r="F1880" s="75">
        <f>'HANH_TRINH'!$F$1647+('THAM_SO_MOI'!$F$51-'HANH_TRINH'!$F$1647)*232/'THAM_SO_MOI'!$C$42</f>
        <v>7.494106718113663</v>
      </c>
      <c r="G1880" s="75">
        <f>3.6*F1880</f>
        <v>26.97878418520919</v>
      </c>
      <c r="H1880" s="75">
        <f>'THAM_SO_MOI'!$D$51</f>
        <v>1.375</v>
      </c>
      <c r="I1880" s="75">
        <f>IF(F1880&gt;'THAM_SO_MOI'!$C$14,'THAM_SO_MOI'!$C$13*(1+F1880^2/1500),'THAM_SO_MOI'!$C$13)</f>
        <v>0.015</v>
      </c>
      <c r="J1880" s="75">
        <f>'THAM_SO_MOI'!$C$40*('THAM_SO_MOI'!$C$23*(E1880/'THAM_SO_MOI'!$C$22)+'THAM_SO_MOI'!$C$24*(E1880/'THAM_SO_MOI'!$C$22)^2-'THAM_SO_MOI'!$C$25*(E1880/'THAM_SO_MOI'!$C$22)^3)</f>
        <v>84.00416853769494</v>
      </c>
      <c r="K1880" s="75">
        <f>'THAM_SO_MOI'!$C$31*J1880/E1880</f>
        <v>426.21169356169423</v>
      </c>
      <c r="L1880" s="75">
        <f>K1880*'THAM_SO_MOI'!$C$51*'THAM_SO_MOI'!$C$17/'THAM_SO_MOI'!$C$26</f>
        <v>9529.756992343579</v>
      </c>
      <c r="M1880" s="75">
        <f>'THAM_SO_MOI'!$C$15*'THAM_SO_MOI'!$C$16*F1880^2</f>
        <v>164.27278384474332</v>
      </c>
      <c r="N1880" s="75">
        <f>'THAM_SO_MOI'!$C$12*I1880</f>
        <v>1130.112</v>
      </c>
      <c r="O1880" s="75">
        <f>M1880+N1880</f>
        <v>1294.3847838447434</v>
      </c>
      <c r="P1880" s="75">
        <f>(MIN(L1880,'THAM_SO_MOI'!$C$41)-O1880)/('THAM_SO_MOI'!$C$11*H1880)</f>
        <v>0.7798647924714808</v>
      </c>
      <c r="Q1880" s="75">
        <f>IF(P1880&gt;0,1/P1880,NA())</f>
        <v>1.2822735551772835</v>
      </c>
      <c r="R1880" s="75">
        <f>F1880-F1879</f>
        <v>0.005028991339517397</v>
      </c>
      <c r="S1880" s="75">
        <f>0.5*(Q1879+Q1880)*R1880</f>
        <v>0.006448761899568639</v>
      </c>
      <c r="T1880" s="75">
        <f>0.5*(F1879*Q1879+F1880*Q1880)*R1880</f>
        <v>0.048311493939782936</v>
      </c>
      <c r="U1880" s="76">
        <f>U1879+S1880</f>
        <v>9.280653832356277</v>
      </c>
      <c r="V1880" s="76">
        <f>V1879+T1880</f>
        <v>42.7303357368294</v>
      </c>
    </row>
    <row r="1881" spans="1:22" ht="19" customHeight="1">
      <c r="A1881" s="68" t="s">
        <v>374</v>
      </c>
      <c r="B1881" s="74">
        <v>3</v>
      </c>
      <c r="C1881" s="68" t="s">
        <v>363</v>
      </c>
      <c r="D1881" s="68" t="s">
        <v>364</v>
      </c>
      <c r="E1881" s="75">
        <f>60*F1881*'THAM_SO_MOI'!$C$51/(2*PI()*'THAM_SO_MOI'!$C$26)</f>
        <v>1883.7364211187885</v>
      </c>
      <c r="F1881" s="75">
        <f>'HANH_TRINH'!$F$1647+('THAM_SO_MOI'!$F$51-'HANH_TRINH'!$F$1647)*233/'THAM_SO_MOI'!$C$42</f>
        <v>7.499135709453181</v>
      </c>
      <c r="G1881" s="75">
        <f>3.6*F1881</f>
        <v>26.996888554031454</v>
      </c>
      <c r="H1881" s="75">
        <f>'THAM_SO_MOI'!$D$51</f>
        <v>1.375</v>
      </c>
      <c r="I1881" s="75">
        <f>IF(F1881&gt;'THAM_SO_MOI'!$C$14,'THAM_SO_MOI'!$C$13*(1+F1881^2/1500),'THAM_SO_MOI'!$C$13)</f>
        <v>0.015</v>
      </c>
      <c r="J1881" s="75">
        <f>'THAM_SO_MOI'!$C$40*('THAM_SO_MOI'!$C$23*(E1881/'THAM_SO_MOI'!$C$22)+'THAM_SO_MOI'!$C$24*(E1881/'THAM_SO_MOI'!$C$22)^2-'THAM_SO_MOI'!$C$25*(E1881/'THAM_SO_MOI'!$C$22)^3)</f>
        <v>84.06739431399106</v>
      </c>
      <c r="K1881" s="75">
        <f>'THAM_SO_MOI'!$C$31*J1881/E1881</f>
        <v>426.24644527304326</v>
      </c>
      <c r="L1881" s="75">
        <f>K1881*'THAM_SO_MOI'!$C$51*'THAM_SO_MOI'!$C$17/'THAM_SO_MOI'!$C$26</f>
        <v>9530.53401317437</v>
      </c>
      <c r="M1881" s="75">
        <f>'THAM_SO_MOI'!$C$15*'THAM_SO_MOI'!$C$16*F1881^2</f>
        <v>164.49333143722794</v>
      </c>
      <c r="N1881" s="75">
        <f>'THAM_SO_MOI'!$C$12*I1881</f>
        <v>1130.112</v>
      </c>
      <c r="O1881" s="75">
        <f>M1881+N1881</f>
        <v>1294.605331437228</v>
      </c>
      <c r="P1881" s="75">
        <f>(MIN(L1881,'THAM_SO_MOI'!$C$41)-O1881)/('THAM_SO_MOI'!$C$11*H1881)</f>
        <v>0.7799174888008659</v>
      </c>
      <c r="Q1881" s="75">
        <f>IF(P1881&gt;0,1/P1881,NA())</f>
        <v>1.282186916384596</v>
      </c>
      <c r="R1881" s="75">
        <f>F1881-F1880</f>
        <v>0.005028991339518285</v>
      </c>
      <c r="S1881" s="75">
        <f>0.5*(Q1880+Q1881)*R1881</f>
        <v>0.006448324751010835</v>
      </c>
      <c r="T1881" s="75">
        <f>0.5*(F1880*Q1880+F1881*Q1881)*R1881</f>
        <v>0.048340647574002436</v>
      </c>
      <c r="U1881" s="76">
        <f>U1880+S1881</f>
        <v>9.287102157107288</v>
      </c>
      <c r="V1881" s="76">
        <f>V1880+T1881</f>
        <v>42.778676384403404</v>
      </c>
    </row>
    <row r="1882" spans="1:22" ht="19" customHeight="1">
      <c r="A1882" s="68" t="s">
        <v>374</v>
      </c>
      <c r="B1882" s="74">
        <v>3</v>
      </c>
      <c r="C1882" s="68" t="s">
        <v>363</v>
      </c>
      <c r="D1882" s="68" t="s">
        <v>364</v>
      </c>
      <c r="E1882" s="75">
        <f>60*F1882*'THAM_SO_MOI'!$C$51/(2*PI()*'THAM_SO_MOI'!$C$26)</f>
        <v>1884.99967258066</v>
      </c>
      <c r="F1882" s="75">
        <f>'HANH_TRINH'!$F$1647+('THAM_SO_MOI'!$F$51-'HANH_TRINH'!$F$1647)*234/'THAM_SO_MOI'!$C$42</f>
        <v>7.504164700792699</v>
      </c>
      <c r="G1882" s="75">
        <f>3.6*F1882</f>
        <v>27.014992922853715</v>
      </c>
      <c r="H1882" s="75">
        <f>'THAM_SO_MOI'!$D$51</f>
        <v>1.375</v>
      </c>
      <c r="I1882" s="75">
        <f>IF(F1882&gt;'THAM_SO_MOI'!$C$14,'THAM_SO_MOI'!$C$13*(1+F1882^2/1500),'THAM_SO_MOI'!$C$13)</f>
        <v>0.015</v>
      </c>
      <c r="J1882" s="75">
        <f>'THAM_SO_MOI'!$C$40*('THAM_SO_MOI'!$C$23*(E1882/'THAM_SO_MOI'!$C$22)+'THAM_SO_MOI'!$C$24*(E1882/'THAM_SO_MOI'!$C$22)^2-'THAM_SO_MOI'!$C$25*(E1882/'THAM_SO_MOI'!$C$22)^3)</f>
        <v>84.13059872841164</v>
      </c>
      <c r="K1882" s="75">
        <f>'THAM_SO_MOI'!$C$31*J1882/E1882</f>
        <v>426.2810421675617</v>
      </c>
      <c r="L1882" s="75">
        <f>K1882*'THAM_SO_MOI'!$C$51*'THAM_SO_MOI'!$C$17/'THAM_SO_MOI'!$C$26</f>
        <v>9531.307572423051</v>
      </c>
      <c r="M1882" s="75">
        <f>'THAM_SO_MOI'!$C$15*'THAM_SO_MOI'!$C$16*F1882^2</f>
        <v>164.71402698062278</v>
      </c>
      <c r="N1882" s="75">
        <f>'THAM_SO_MOI'!$C$12*I1882</f>
        <v>1130.112</v>
      </c>
      <c r="O1882" s="75">
        <f>M1882+N1882</f>
        <v>1294.8260269806228</v>
      </c>
      <c r="P1882" s="75">
        <f>(MIN(L1882,'THAM_SO_MOI'!$C$41)-O1882)/('THAM_SO_MOI'!$C$11*H1882)</f>
        <v>0.7799698433184117</v>
      </c>
      <c r="Q1882" s="75">
        <f>IF(P1882&gt;0,1/P1882,NA())</f>
        <v>1.2821008511629906</v>
      </c>
      <c r="R1882" s="75">
        <f>F1882-F1881</f>
        <v>0.005028991339517397</v>
      </c>
      <c r="S1882" s="75">
        <f>0.5*(Q1881+Q1882)*R1882</f>
        <v>0.006447890487513606</v>
      </c>
      <c r="T1882" s="75">
        <f>0.5*(F1881*Q1881+F1882*Q1882)*R1882</f>
        <v>0.04836981845410312</v>
      </c>
      <c r="U1882" s="76">
        <f>U1881+S1882</f>
        <v>9.293550047594803</v>
      </c>
      <c r="V1882" s="76">
        <f>V1881+T1882</f>
        <v>42.82704620285751</v>
      </c>
    </row>
    <row r="1883" spans="1:22" ht="19" customHeight="1">
      <c r="A1883" s="68" t="s">
        <v>374</v>
      </c>
      <c r="B1883" s="74">
        <v>3</v>
      </c>
      <c r="C1883" s="68" t="s">
        <v>363</v>
      </c>
      <c r="D1883" s="68" t="s">
        <v>364</v>
      </c>
      <c r="E1883" s="75">
        <f>60*F1883*'THAM_SO_MOI'!$C$51/(2*PI()*'THAM_SO_MOI'!$C$26)</f>
        <v>1886.2629240425317</v>
      </c>
      <c r="F1883" s="75">
        <f>'HANH_TRINH'!$F$1647+('THAM_SO_MOI'!$F$51-'HANH_TRINH'!$F$1647)*235/'THAM_SO_MOI'!$C$42</f>
        <v>7.509193692132216</v>
      </c>
      <c r="G1883" s="75">
        <f>3.6*F1883</f>
        <v>27.03309729167598</v>
      </c>
      <c r="H1883" s="75">
        <f>'THAM_SO_MOI'!$D$51</f>
        <v>1.375</v>
      </c>
      <c r="I1883" s="75">
        <f>IF(F1883&gt;'THAM_SO_MOI'!$C$14,'THAM_SO_MOI'!$C$13*(1+F1883^2/1500),'THAM_SO_MOI'!$C$13)</f>
        <v>0.015</v>
      </c>
      <c r="J1883" s="75">
        <f>'THAM_SO_MOI'!$C$40*('THAM_SO_MOI'!$C$23*(E1883/'THAM_SO_MOI'!$C$22)+'THAM_SO_MOI'!$C$24*(E1883/'THAM_SO_MOI'!$C$22)^2-'THAM_SO_MOI'!$C$25*(E1883/'THAM_SO_MOI'!$C$22)^3)</f>
        <v>84.19378171952735</v>
      </c>
      <c r="K1883" s="75">
        <f>'THAM_SO_MOI'!$C$31*J1883/E1883</f>
        <v>426.31548424524954</v>
      </c>
      <c r="L1883" s="75">
        <f>K1883*'THAM_SO_MOI'!$C$51*'THAM_SO_MOI'!$C$17/'THAM_SO_MOI'!$C$26</f>
        <v>9532.07767008962</v>
      </c>
      <c r="M1883" s="75">
        <f>'THAM_SO_MOI'!$C$15*'THAM_SO_MOI'!$C$16*F1883^2</f>
        <v>164.93487047492795</v>
      </c>
      <c r="N1883" s="75">
        <f>'THAM_SO_MOI'!$C$12*I1883</f>
        <v>1130.112</v>
      </c>
      <c r="O1883" s="75">
        <f>M1883+N1883</f>
        <v>1295.046870474928</v>
      </c>
      <c r="P1883" s="75">
        <f>(MIN(L1883,'THAM_SO_MOI'!$C$41)-O1883)/('THAM_SO_MOI'!$C$11*H1883)</f>
        <v>0.7800218560241184</v>
      </c>
      <c r="Q1883" s="75">
        <f>IF(P1883&gt;0,1/P1883,NA())</f>
        <v>1.28201535928383</v>
      </c>
      <c r="R1883" s="75">
        <f>F1883-F1882</f>
        <v>0.005028991339517397</v>
      </c>
      <c r="S1883" s="75">
        <f>0.5*(Q1882+Q1883)*R1883</f>
        <v>0.006447459107926613</v>
      </c>
      <c r="T1883" s="75">
        <f>0.5*(F1882*Q1882+F1883*Q1883)*R1883</f>
        <v>0.04839900661497659</v>
      </c>
      <c r="U1883" s="76">
        <f>U1882+S1883</f>
        <v>9.299997506702729</v>
      </c>
      <c r="V1883" s="76">
        <f>V1882+T1883</f>
        <v>42.87544520947249</v>
      </c>
    </row>
    <row r="1884" spans="1:22" ht="19" customHeight="1">
      <c r="A1884" s="68" t="s">
        <v>374</v>
      </c>
      <c r="B1884" s="74">
        <v>3</v>
      </c>
      <c r="C1884" s="68" t="s">
        <v>363</v>
      </c>
      <c r="D1884" s="68" t="s">
        <v>364</v>
      </c>
      <c r="E1884" s="75">
        <f>60*F1884*'THAM_SO_MOI'!$C$51/(2*PI()*'THAM_SO_MOI'!$C$26)</f>
        <v>1887.5261755044035</v>
      </c>
      <c r="F1884" s="75">
        <f>'HANH_TRINH'!$F$1647+('THAM_SO_MOI'!$F$51-'HANH_TRINH'!$F$1647)*236/'THAM_SO_MOI'!$C$42</f>
        <v>7.5142226834717345</v>
      </c>
      <c r="G1884" s="75">
        <f>3.6*F1884</f>
        <v>27.051201660498243</v>
      </c>
      <c r="H1884" s="75">
        <f>'THAM_SO_MOI'!$D$51</f>
        <v>1.375</v>
      </c>
      <c r="I1884" s="75">
        <f>IF(F1884&gt;'THAM_SO_MOI'!$C$14,'THAM_SO_MOI'!$C$13*(1+F1884^2/1500),'THAM_SO_MOI'!$C$13)</f>
        <v>0.015</v>
      </c>
      <c r="J1884" s="75">
        <f>'THAM_SO_MOI'!$C$40*('THAM_SO_MOI'!$C$23*(E1884/'THAM_SO_MOI'!$C$22)+'THAM_SO_MOI'!$C$24*(E1884/'THAM_SO_MOI'!$C$22)^2-'THAM_SO_MOI'!$C$25*(E1884/'THAM_SO_MOI'!$C$22)^3)</f>
        <v>84.25694322590888</v>
      </c>
      <c r="K1884" s="75">
        <f>'THAM_SO_MOI'!$C$31*J1884/E1884</f>
        <v>426.34977150610695</v>
      </c>
      <c r="L1884" s="75">
        <f>K1884*'THAM_SO_MOI'!$C$51*'THAM_SO_MOI'!$C$17/'THAM_SO_MOI'!$C$26</f>
        <v>9532.844306174082</v>
      </c>
      <c r="M1884" s="75">
        <f>'THAM_SO_MOI'!$C$15*'THAM_SO_MOI'!$C$16*F1884^2</f>
        <v>165.1558619201434</v>
      </c>
      <c r="N1884" s="75">
        <f>'THAM_SO_MOI'!$C$12*I1884</f>
        <v>1130.112</v>
      </c>
      <c r="O1884" s="75">
        <f>M1884+N1884</f>
        <v>1295.2678619201436</v>
      </c>
      <c r="P1884" s="75">
        <f>(MIN(L1884,'THAM_SO_MOI'!$C$41)-O1884)/('THAM_SO_MOI'!$C$11*H1884)</f>
        <v>0.7800735269179864</v>
      </c>
      <c r="Q1884" s="75">
        <f>IF(P1884&gt;0,1/P1884,NA())</f>
        <v>1.2819304405200458</v>
      </c>
      <c r="R1884" s="75">
        <f>F1884-F1883</f>
        <v>0.005028991339518285</v>
      </c>
      <c r="S1884" s="75">
        <f>0.5*(Q1883+Q1884)*R1884</f>
        <v>0.006447030611103987</v>
      </c>
      <c r="T1884" s="75">
        <f>0.5*(F1883*Q1883+F1884*Q1884)*R1884</f>
        <v>0.048428212091524904</v>
      </c>
      <c r="U1884" s="76">
        <f>U1883+S1884</f>
        <v>9.306444537313833</v>
      </c>
      <c r="V1884" s="76">
        <f>V1883+T1884</f>
        <v>42.92387342156401</v>
      </c>
    </row>
    <row r="1885" spans="1:22" ht="19" customHeight="1">
      <c r="A1885" s="68" t="s">
        <v>374</v>
      </c>
      <c r="B1885" s="74">
        <v>3</v>
      </c>
      <c r="C1885" s="68" t="s">
        <v>363</v>
      </c>
      <c r="D1885" s="68" t="s">
        <v>364</v>
      </c>
      <c r="E1885" s="75">
        <f>60*F1885*'THAM_SO_MOI'!$C$51/(2*PI()*'THAM_SO_MOI'!$C$26)</f>
        <v>1888.7894269662747</v>
      </c>
      <c r="F1885" s="75">
        <f>'HANH_TRINH'!$F$1647+('THAM_SO_MOI'!$F$51-'HANH_TRINH'!$F$1647)*237/'THAM_SO_MOI'!$C$42</f>
        <v>7.519251674811252</v>
      </c>
      <c r="G1885" s="75">
        <f>3.6*F1885</f>
        <v>27.069306029320508</v>
      </c>
      <c r="H1885" s="75">
        <f>'THAM_SO_MOI'!$D$51</f>
        <v>1.375</v>
      </c>
      <c r="I1885" s="75">
        <f>IF(F1885&gt;'THAM_SO_MOI'!$C$14,'THAM_SO_MOI'!$C$13*(1+F1885^2/1500),'THAM_SO_MOI'!$C$13)</f>
        <v>0.015</v>
      </c>
      <c r="J1885" s="75">
        <f>'THAM_SO_MOI'!$C$40*('THAM_SO_MOI'!$C$23*(E1885/'THAM_SO_MOI'!$C$22)+'THAM_SO_MOI'!$C$24*(E1885/'THAM_SO_MOI'!$C$22)^2-'THAM_SO_MOI'!$C$25*(E1885/'THAM_SO_MOI'!$C$22)^3)</f>
        <v>84.32008318612681</v>
      </c>
      <c r="K1885" s="75">
        <f>'THAM_SO_MOI'!$C$31*J1885/E1885</f>
        <v>426.38390395013374</v>
      </c>
      <c r="L1885" s="75">
        <f>K1885*'THAM_SO_MOI'!$C$51*'THAM_SO_MOI'!$C$17/'THAM_SO_MOI'!$C$26</f>
        <v>9533.607480676435</v>
      </c>
      <c r="M1885" s="75">
        <f>'THAM_SO_MOI'!$C$15*'THAM_SO_MOI'!$C$16*F1885^2</f>
        <v>165.3770013162691</v>
      </c>
      <c r="N1885" s="75">
        <f>'THAM_SO_MOI'!$C$12*I1885</f>
        <v>1130.112</v>
      </c>
      <c r="O1885" s="75">
        <f>M1885+N1885</f>
        <v>1295.4890013162692</v>
      </c>
      <c r="P1885" s="75">
        <f>(MIN(L1885,'THAM_SO_MOI'!$C$41)-O1885)/('THAM_SO_MOI'!$C$11*H1885)</f>
        <v>0.7801248560000159</v>
      </c>
      <c r="Q1885" s="75">
        <f>IF(P1885&gt;0,1/P1885,NA())</f>
        <v>1.2818460946461365</v>
      </c>
      <c r="R1885" s="75">
        <f>F1885-F1884</f>
        <v>0.005028991339517397</v>
      </c>
      <c r="S1885" s="75">
        <f>0.5*(Q1884+Q1885)*R1885</f>
        <v>0.006446604995904325</v>
      </c>
      <c r="T1885" s="75">
        <f>0.5*(F1884*Q1884+F1885*Q1885)*R1885</f>
        <v>0.04845743491866065</v>
      </c>
      <c r="U1885" s="76">
        <f>U1884+S1885</f>
        <v>9.312891142309738</v>
      </c>
      <c r="V1885" s="76">
        <f>V1884+T1885</f>
        <v>42.97233085648267</v>
      </c>
    </row>
    <row r="1886" spans="1:22" ht="19" customHeight="1">
      <c r="A1886" s="68" t="s">
        <v>374</v>
      </c>
      <c r="B1886" s="74">
        <v>3</v>
      </c>
      <c r="C1886" s="68" t="s">
        <v>363</v>
      </c>
      <c r="D1886" s="68" t="s">
        <v>364</v>
      </c>
      <c r="E1886" s="75">
        <f>60*F1886*'THAM_SO_MOI'!$C$51/(2*PI()*'THAM_SO_MOI'!$C$26)</f>
        <v>1890.0526784281465</v>
      </c>
      <c r="F1886" s="75">
        <f>'HANH_TRINH'!$F$1647+('THAM_SO_MOI'!$F$51-'HANH_TRINH'!$F$1647)*238/'THAM_SO_MOI'!$C$42</f>
        <v>7.524280666150769</v>
      </c>
      <c r="G1886" s="75">
        <f>3.6*F1886</f>
        <v>27.08741039814277</v>
      </c>
      <c r="H1886" s="75">
        <f>'THAM_SO_MOI'!$D$51</f>
        <v>1.375</v>
      </c>
      <c r="I1886" s="75">
        <f>IF(F1886&gt;'THAM_SO_MOI'!$C$14,'THAM_SO_MOI'!$C$13*(1+F1886^2/1500),'THAM_SO_MOI'!$C$13)</f>
        <v>0.015</v>
      </c>
      <c r="J1886" s="75">
        <f>'THAM_SO_MOI'!$C$40*('THAM_SO_MOI'!$C$23*(E1886/'THAM_SO_MOI'!$C$22)+'THAM_SO_MOI'!$C$24*(E1886/'THAM_SO_MOI'!$C$22)^2-'THAM_SO_MOI'!$C$25*(E1886/'THAM_SO_MOI'!$C$22)^3)</f>
        <v>84.38320153875188</v>
      </c>
      <c r="K1886" s="75">
        <f>'THAM_SO_MOI'!$C$31*J1886/E1886</f>
        <v>426.41788157733015</v>
      </c>
      <c r="L1886" s="75">
        <f>K1886*'THAM_SO_MOI'!$C$51*'THAM_SO_MOI'!$C$17/'THAM_SO_MOI'!$C$26</f>
        <v>9534.367193596678</v>
      </c>
      <c r="M1886" s="75">
        <f>'THAM_SO_MOI'!$C$15*'THAM_SO_MOI'!$C$16*F1886^2</f>
        <v>165.59828866330506</v>
      </c>
      <c r="N1886" s="75">
        <f>'THAM_SO_MOI'!$C$12*I1886</f>
        <v>1130.112</v>
      </c>
      <c r="O1886" s="75">
        <f>M1886+N1886</f>
        <v>1295.7102886633052</v>
      </c>
      <c r="P1886" s="75">
        <f>(MIN(L1886,'THAM_SO_MOI'!$C$41)-O1886)/('THAM_SO_MOI'!$C$11*H1886)</f>
        <v>0.7801758432702058</v>
      </c>
      <c r="Q1886" s="75">
        <f>IF(P1886&gt;0,1/P1886,NA())</f>
        <v>1.2817623214381688</v>
      </c>
      <c r="R1886" s="75">
        <f>F1886-F1885</f>
        <v>0.005028991339517397</v>
      </c>
      <c r="S1886" s="75">
        <f>0.5*(Q1885+Q1886)*R1886</f>
        <v>0.006446182261200941</v>
      </c>
      <c r="T1886" s="75">
        <f>0.5*(F1885*Q1885+F1886*Q1886)*R1886</f>
        <v>0.04848667513138413</v>
      </c>
      <c r="U1886" s="76">
        <f>U1885+S1886</f>
        <v>9.319337324570938</v>
      </c>
      <c r="V1886" s="76">
        <f>V1885+T1886</f>
        <v>43.02081753161406</v>
      </c>
    </row>
    <row r="1887" spans="1:22" ht="19" customHeight="1">
      <c r="A1887" s="68" t="s">
        <v>374</v>
      </c>
      <c r="B1887" s="74">
        <v>3</v>
      </c>
      <c r="C1887" s="68" t="s">
        <v>363</v>
      </c>
      <c r="D1887" s="68" t="s">
        <v>364</v>
      </c>
      <c r="E1887" s="75">
        <f>60*F1887*'THAM_SO_MOI'!$C$51/(2*PI()*'THAM_SO_MOI'!$C$26)</f>
        <v>1891.3159298900182</v>
      </c>
      <c r="F1887" s="75">
        <f>'HANH_TRINH'!$F$1647+('THAM_SO_MOI'!$F$51-'HANH_TRINH'!$F$1647)*239/'THAM_SO_MOI'!$C$42</f>
        <v>7.529309657490288</v>
      </c>
      <c r="G1887" s="75">
        <f>3.6*F1887</f>
        <v>27.105514766965037</v>
      </c>
      <c r="H1887" s="75">
        <f>'THAM_SO_MOI'!$D$51</f>
        <v>1.375</v>
      </c>
      <c r="I1887" s="75">
        <f>IF(F1887&gt;'THAM_SO_MOI'!$C$14,'THAM_SO_MOI'!$C$13*(1+F1887^2/1500),'THAM_SO_MOI'!$C$13)</f>
        <v>0.015</v>
      </c>
      <c r="J1887" s="75">
        <f>'THAM_SO_MOI'!$C$40*('THAM_SO_MOI'!$C$23*(E1887/'THAM_SO_MOI'!$C$22)+'THAM_SO_MOI'!$C$24*(E1887/'THAM_SO_MOI'!$C$22)^2-'THAM_SO_MOI'!$C$25*(E1887/'THAM_SO_MOI'!$C$22)^3)</f>
        <v>84.44629822235467</v>
      </c>
      <c r="K1887" s="75">
        <f>'THAM_SO_MOI'!$C$31*J1887/E1887</f>
        <v>426.45170438769605</v>
      </c>
      <c r="L1887" s="75">
        <f>K1887*'THAM_SO_MOI'!$C$51*'THAM_SO_MOI'!$C$17/'THAM_SO_MOI'!$C$26</f>
        <v>9535.123444934814</v>
      </c>
      <c r="M1887" s="75">
        <f>'THAM_SO_MOI'!$C$15*'THAM_SO_MOI'!$C$16*F1887^2</f>
        <v>165.81972396125133</v>
      </c>
      <c r="N1887" s="75">
        <f>'THAM_SO_MOI'!$C$12*I1887</f>
        <v>1130.112</v>
      </c>
      <c r="O1887" s="75">
        <f>M1887+N1887</f>
        <v>1295.9317239612515</v>
      </c>
      <c r="P1887" s="75">
        <f>(MIN(L1887,'THAM_SO_MOI'!$C$41)-O1887)/('THAM_SO_MOI'!$C$11*H1887)</f>
        <v>0.780226488728557</v>
      </c>
      <c r="Q1887" s="75">
        <f>IF(P1887&gt;0,1/P1887,NA())</f>
        <v>1.2816791206737699</v>
      </c>
      <c r="R1887" s="75">
        <f>F1887-F1886</f>
        <v>0.005028991339518285</v>
      </c>
      <c r="S1887" s="75">
        <f>0.5*(Q1886+Q1887)*R1887</f>
        <v>0.006445762405871602</v>
      </c>
      <c r="T1887" s="75">
        <f>0.5*(F1886*Q1886+F1887*Q1887)*R1887</f>
        <v>0.0485159327647065</v>
      </c>
      <c r="U1887" s="76">
        <f>U1886+S1887</f>
        <v>9.32578308697681</v>
      </c>
      <c r="V1887" s="76">
        <f>V1886+T1887</f>
        <v>43.069333464378765</v>
      </c>
    </row>
    <row r="1888" spans="1:22" ht="19" customHeight="1">
      <c r="A1888" s="68" t="s">
        <v>374</v>
      </c>
      <c r="B1888" s="74">
        <v>3</v>
      </c>
      <c r="C1888" s="68" t="s">
        <v>363</v>
      </c>
      <c r="D1888" s="68" t="s">
        <v>364</v>
      </c>
      <c r="E1888" s="75">
        <f>60*F1888*'THAM_SO_MOI'!$C$51/(2*PI()*'THAM_SO_MOI'!$C$26)</f>
        <v>1892.57918135189</v>
      </c>
      <c r="F1888" s="75">
        <f>'HANH_TRINH'!$F$1647+('THAM_SO_MOI'!$F$51-'HANH_TRINH'!$F$1647)*240/'THAM_SO_MOI'!$C$42</f>
        <v>7.534338648829805</v>
      </c>
      <c r="G1888" s="75">
        <f>3.6*F1888</f>
        <v>27.123619135787298</v>
      </c>
      <c r="H1888" s="75">
        <f>'THAM_SO_MOI'!$D$51</f>
        <v>1.375</v>
      </c>
      <c r="I1888" s="75">
        <f>IF(F1888&gt;'THAM_SO_MOI'!$C$14,'THAM_SO_MOI'!$C$13*(1+F1888^2/1500),'THAM_SO_MOI'!$C$13)</f>
        <v>0.015</v>
      </c>
      <c r="J1888" s="75">
        <f>'THAM_SO_MOI'!$C$40*('THAM_SO_MOI'!$C$23*(E1888/'THAM_SO_MOI'!$C$22)+'THAM_SO_MOI'!$C$24*(E1888/'THAM_SO_MOI'!$C$22)^2-'THAM_SO_MOI'!$C$25*(E1888/'THAM_SO_MOI'!$C$22)^3)</f>
        <v>84.50937317550584</v>
      </c>
      <c r="K1888" s="75">
        <f>'THAM_SO_MOI'!$C$31*J1888/E1888</f>
        <v>426.4853723812313</v>
      </c>
      <c r="L1888" s="75">
        <f>K1888*'THAM_SO_MOI'!$C$51*'THAM_SO_MOI'!$C$17/'THAM_SO_MOI'!$C$26</f>
        <v>9535.876234690837</v>
      </c>
      <c r="M1888" s="75">
        <f>'THAM_SO_MOI'!$C$15*'THAM_SO_MOI'!$C$16*F1888^2</f>
        <v>166.04130721010782</v>
      </c>
      <c r="N1888" s="75">
        <f>'THAM_SO_MOI'!$C$12*I1888</f>
        <v>1130.112</v>
      </c>
      <c r="O1888" s="75">
        <f>M1888+N1888</f>
        <v>1296.1533072101079</v>
      </c>
      <c r="P1888" s="75">
        <f>(MIN(L1888,'THAM_SO_MOI'!$C$41)-O1888)/('THAM_SO_MOI'!$C$11*H1888)</f>
        <v>0.780276792375069</v>
      </c>
      <c r="Q1888" s="75">
        <f>IF(P1888&gt;0,1/P1888,NA())</f>
        <v>1.2815964921321317</v>
      </c>
      <c r="R1888" s="75">
        <f>F1888-F1887</f>
        <v>0.005028991339517397</v>
      </c>
      <c r="S1888" s="75">
        <f>0.5*(Q1887+Q1888)*R1888</f>
        <v>0.006445345428798514</v>
      </c>
      <c r="T1888" s="75">
        <f>0.5*(F1887*Q1887+F1888*Q1888)*R1888</f>
        <v>0.048545207853649804</v>
      </c>
      <c r="U1888" s="76">
        <f>U1887+S1888</f>
        <v>9.332228432405607</v>
      </c>
      <c r="V1888" s="76">
        <f>V1887+T1888</f>
        <v>43.117878672232415</v>
      </c>
    </row>
    <row r="1889" spans="1:22" ht="19" customHeight="1">
      <c r="A1889" s="68" t="s">
        <v>374</v>
      </c>
      <c r="B1889" s="74">
        <v>3</v>
      </c>
      <c r="C1889" s="68" t="s">
        <v>363</v>
      </c>
      <c r="D1889" s="68" t="s">
        <v>364</v>
      </c>
      <c r="E1889" s="75">
        <f>60*F1889*'THAM_SO_MOI'!$C$51/(2*PI()*'THAM_SO_MOI'!$C$26)</f>
        <v>1893.8424328137614</v>
      </c>
      <c r="F1889" s="75">
        <f>'HANH_TRINH'!$F$1647+('THAM_SO_MOI'!$F$51-'HANH_TRINH'!$F$1647)*241/'THAM_SO_MOI'!$C$42</f>
        <v>7.539367640169322</v>
      </c>
      <c r="G1889" s="75">
        <f>3.6*F1889</f>
        <v>27.141723504609562</v>
      </c>
      <c r="H1889" s="75">
        <f>'THAM_SO_MOI'!$D$51</f>
        <v>1.375</v>
      </c>
      <c r="I1889" s="75">
        <f>IF(F1889&gt;'THAM_SO_MOI'!$C$14,'THAM_SO_MOI'!$C$13*(1+F1889^2/1500),'THAM_SO_MOI'!$C$13)</f>
        <v>0.015</v>
      </c>
      <c r="J1889" s="75">
        <f>'THAM_SO_MOI'!$C$40*('THAM_SO_MOI'!$C$23*(E1889/'THAM_SO_MOI'!$C$22)+'THAM_SO_MOI'!$C$24*(E1889/'THAM_SO_MOI'!$C$22)^2-'THAM_SO_MOI'!$C$25*(E1889/'THAM_SO_MOI'!$C$22)^3)</f>
        <v>84.57242633677608</v>
      </c>
      <c r="K1889" s="75">
        <f>'THAM_SO_MOI'!$C$31*J1889/E1889</f>
        <v>426.51888555793624</v>
      </c>
      <c r="L1889" s="75">
        <f>K1889*'THAM_SO_MOI'!$C$51*'THAM_SO_MOI'!$C$17/'THAM_SO_MOI'!$C$26</f>
        <v>9536.625562864756</v>
      </c>
      <c r="M1889" s="75">
        <f>'THAM_SO_MOI'!$C$15*'THAM_SO_MOI'!$C$16*F1889^2</f>
        <v>166.2630384098746</v>
      </c>
      <c r="N1889" s="75">
        <f>'THAM_SO_MOI'!$C$12*I1889</f>
        <v>1130.112</v>
      </c>
      <c r="O1889" s="75">
        <f>M1889+N1889</f>
        <v>1296.3750384098746</v>
      </c>
      <c r="P1889" s="75">
        <f>(MIN(L1889,'THAM_SO_MOI'!$C$41)-O1889)/('THAM_SO_MOI'!$C$11*H1889)</f>
        <v>0.7803267542097425</v>
      </c>
      <c r="Q1889" s="75">
        <f>IF(P1889&gt;0,1/P1889,NA())</f>
        <v>1.281514435594005</v>
      </c>
      <c r="R1889" s="75">
        <f>F1889-F1888</f>
        <v>0.005028991339517397</v>
      </c>
      <c r="S1889" s="75">
        <f>0.5*(Q1888+Q1889)*R1889</f>
        <v>0.006444931328878571</v>
      </c>
      <c r="T1889" s="75">
        <f>0.5*(F1888*Q1888+F1889*Q1889)*R1889</f>
        <v>0.04857450043332428</v>
      </c>
      <c r="U1889" s="76">
        <f>U1888+S1889</f>
        <v>9.338673363734486</v>
      </c>
      <c r="V1889" s="76">
        <f>V1888+T1889</f>
        <v>43.16645317266574</v>
      </c>
    </row>
    <row r="1890" spans="1:22" ht="19" customHeight="1">
      <c r="A1890" s="68" t="s">
        <v>374</v>
      </c>
      <c r="B1890" s="74">
        <v>3</v>
      </c>
      <c r="C1890" s="68" t="s">
        <v>363</v>
      </c>
      <c r="D1890" s="68" t="s">
        <v>364</v>
      </c>
      <c r="E1890" s="75">
        <f>60*F1890*'THAM_SO_MOI'!$C$51/(2*PI()*'THAM_SO_MOI'!$C$26)</f>
        <v>1895.1056842756332</v>
      </c>
      <c r="F1890" s="75">
        <f>'HANH_TRINH'!$F$1647+('THAM_SO_MOI'!$F$51-'HANH_TRINH'!$F$1647)*242/'THAM_SO_MOI'!$C$42</f>
        <v>7.544396631508841</v>
      </c>
      <c r="G1890" s="75">
        <f>3.6*F1890</f>
        <v>27.159827873431826</v>
      </c>
      <c r="H1890" s="75">
        <f>'THAM_SO_MOI'!$D$51</f>
        <v>1.375</v>
      </c>
      <c r="I1890" s="75">
        <f>IF(F1890&gt;'THAM_SO_MOI'!$C$14,'THAM_SO_MOI'!$C$13*(1+F1890^2/1500),'THAM_SO_MOI'!$C$13)</f>
        <v>0.015</v>
      </c>
      <c r="J1890" s="75">
        <f>'THAM_SO_MOI'!$C$40*('THAM_SO_MOI'!$C$23*(E1890/'THAM_SO_MOI'!$C$22)+'THAM_SO_MOI'!$C$24*(E1890/'THAM_SO_MOI'!$C$22)^2-'THAM_SO_MOI'!$C$25*(E1890/'THAM_SO_MOI'!$C$22)^3)</f>
        <v>84.63545764473601</v>
      </c>
      <c r="K1890" s="75">
        <f>'THAM_SO_MOI'!$C$31*J1890/E1890</f>
        <v>426.5522439178106</v>
      </c>
      <c r="L1890" s="75">
        <f>K1890*'THAM_SO_MOI'!$C$51*'THAM_SO_MOI'!$C$17/'THAM_SO_MOI'!$C$26</f>
        <v>9537.371429456565</v>
      </c>
      <c r="M1890" s="75">
        <f>'THAM_SO_MOI'!$C$15*'THAM_SO_MOI'!$C$16*F1890^2</f>
        <v>166.48491756055168</v>
      </c>
      <c r="N1890" s="75">
        <f>'THAM_SO_MOI'!$C$12*I1890</f>
        <v>1130.112</v>
      </c>
      <c r="O1890" s="75">
        <f>M1890+N1890</f>
        <v>1296.5969175605517</v>
      </c>
      <c r="P1890" s="75">
        <f>(MIN(L1890,'THAM_SO_MOI'!$C$41)-O1890)/('THAM_SO_MOI'!$C$11*H1890)</f>
        <v>0.7803763742325769</v>
      </c>
      <c r="Q1890" s="75">
        <f>IF(P1890&gt;0,1/P1890,NA())</f>
        <v>1.2814329508417028</v>
      </c>
      <c r="R1890" s="75">
        <f>F1890-F1889</f>
        <v>0.005028991339518285</v>
      </c>
      <c r="S1890" s="75">
        <f>0.5*(Q1889+Q1890)*R1890</f>
        <v>0.0064445201050130985</v>
      </c>
      <c r="T1890" s="75">
        <f>0.5*(F1889*Q1889+F1890*Q1890)*R1890</f>
        <v>0.048603810538851384</v>
      </c>
      <c r="U1890" s="76">
        <f>U1889+S1890</f>
        <v>9.3451178838395</v>
      </c>
      <c r="V1890" s="76">
        <f>V1889+T1890</f>
        <v>43.21505698320459</v>
      </c>
    </row>
    <row r="1891" spans="1:22" ht="19" customHeight="1">
      <c r="A1891" s="68" t="s">
        <v>374</v>
      </c>
      <c r="B1891" s="74">
        <v>3</v>
      </c>
      <c r="C1891" s="68" t="s">
        <v>363</v>
      </c>
      <c r="D1891" s="68" t="s">
        <v>364</v>
      </c>
      <c r="E1891" s="75">
        <f>60*F1891*'THAM_SO_MOI'!$C$51/(2*PI()*'THAM_SO_MOI'!$C$26)</f>
        <v>1896.368935737505</v>
      </c>
      <c r="F1891" s="75">
        <f>'HANH_TRINH'!$F$1647+('THAM_SO_MOI'!$F$51-'HANH_TRINH'!$F$1647)*243/'THAM_SO_MOI'!$C$42</f>
        <v>7.549425622848358</v>
      </c>
      <c r="G1891" s="75">
        <f>3.6*F1891</f>
        <v>27.17793224225409</v>
      </c>
      <c r="H1891" s="75">
        <f>'THAM_SO_MOI'!$D$51</f>
        <v>1.375</v>
      </c>
      <c r="I1891" s="75">
        <f>IF(F1891&gt;'THAM_SO_MOI'!$C$14,'THAM_SO_MOI'!$C$13*(1+F1891^2/1500),'THAM_SO_MOI'!$C$13)</f>
        <v>0.015</v>
      </c>
      <c r="J1891" s="75">
        <f>'THAM_SO_MOI'!$C$40*('THAM_SO_MOI'!$C$23*(E1891/'THAM_SO_MOI'!$C$22)+'THAM_SO_MOI'!$C$24*(E1891/'THAM_SO_MOI'!$C$22)^2-'THAM_SO_MOI'!$C$25*(E1891/'THAM_SO_MOI'!$C$22)^3)</f>
        <v>84.69846703795629</v>
      </c>
      <c r="K1891" s="75">
        <f>'THAM_SO_MOI'!$C$31*J1891/E1891</f>
        <v>426.5854474608545</v>
      </c>
      <c r="L1891" s="75">
        <f>K1891*'THAM_SO_MOI'!$C$51*'THAM_SO_MOI'!$C$17/'THAM_SO_MOI'!$C$26</f>
        <v>9538.113834466265</v>
      </c>
      <c r="M1891" s="75">
        <f>'THAM_SO_MOI'!$C$15*'THAM_SO_MOI'!$C$16*F1891^2</f>
        <v>166.70694466213902</v>
      </c>
      <c r="N1891" s="75">
        <f>'THAM_SO_MOI'!$C$12*I1891</f>
        <v>1130.112</v>
      </c>
      <c r="O1891" s="75">
        <f>M1891+N1891</f>
        <v>1296.818944662139</v>
      </c>
      <c r="P1891" s="75">
        <f>(MIN(L1891,'THAM_SO_MOI'!$C$41)-O1891)/('THAM_SO_MOI'!$C$11*H1891)</f>
        <v>0.7804256524435724</v>
      </c>
      <c r="Q1891" s="75">
        <f>IF(P1891&gt;0,1/P1891,NA())</f>
        <v>1.2813520376590948</v>
      </c>
      <c r="R1891" s="75">
        <f>F1891-F1890</f>
        <v>0.005028991339517397</v>
      </c>
      <c r="S1891" s="75">
        <f>0.5*(Q1890+Q1891)*R1891</f>
        <v>0.006444111756107851</v>
      </c>
      <c r="T1891" s="75">
        <f>0.5*(F1890*Q1890+F1891*Q1891)*R1891</f>
        <v>0.04863313820536392</v>
      </c>
      <c r="U1891" s="76">
        <f>U1890+S1891</f>
        <v>9.351561995595608</v>
      </c>
      <c r="V1891" s="76">
        <f>V1890+T1891</f>
        <v>43.26369012140995</v>
      </c>
    </row>
    <row r="1892" spans="1:22" ht="19" customHeight="1">
      <c r="A1892" s="68" t="s">
        <v>374</v>
      </c>
      <c r="B1892" s="74">
        <v>3</v>
      </c>
      <c r="C1892" s="68" t="s">
        <v>363</v>
      </c>
      <c r="D1892" s="68" t="s">
        <v>364</v>
      </c>
      <c r="E1892" s="75">
        <f>60*F1892*'THAM_SO_MOI'!$C$51/(2*PI()*'THAM_SO_MOI'!$C$26)</f>
        <v>1897.6321871993762</v>
      </c>
      <c r="F1892" s="75">
        <f>'HANH_TRINH'!$F$1647+('THAM_SO_MOI'!$F$51-'HANH_TRINH'!$F$1647)*244/'THAM_SO_MOI'!$C$42</f>
        <v>7.5544546141878754</v>
      </c>
      <c r="G1892" s="75">
        <f>3.6*F1892</f>
        <v>27.19603661107635</v>
      </c>
      <c r="H1892" s="75">
        <f>'THAM_SO_MOI'!$D$51</f>
        <v>1.375</v>
      </c>
      <c r="I1892" s="75">
        <f>IF(F1892&gt;'THAM_SO_MOI'!$C$14,'THAM_SO_MOI'!$C$13*(1+F1892^2/1500),'THAM_SO_MOI'!$C$13)</f>
        <v>0.015</v>
      </c>
      <c r="J1892" s="75">
        <f>'THAM_SO_MOI'!$C$40*('THAM_SO_MOI'!$C$23*(E1892/'THAM_SO_MOI'!$C$22)+'THAM_SO_MOI'!$C$24*(E1892/'THAM_SO_MOI'!$C$22)^2-'THAM_SO_MOI'!$C$25*(E1892/'THAM_SO_MOI'!$C$22)^3)</f>
        <v>84.76145445500752</v>
      </c>
      <c r="K1892" s="75">
        <f>'THAM_SO_MOI'!$C$31*J1892/E1892</f>
        <v>426.61849618706776</v>
      </c>
      <c r="L1892" s="75">
        <f>K1892*'THAM_SO_MOI'!$C$51*'THAM_SO_MOI'!$C$17/'THAM_SO_MOI'!$C$26</f>
        <v>9538.852777893855</v>
      </c>
      <c r="M1892" s="75">
        <f>'THAM_SO_MOI'!$C$15*'THAM_SO_MOI'!$C$16*F1892^2</f>
        <v>166.92911971463664</v>
      </c>
      <c r="N1892" s="75">
        <f>'THAM_SO_MOI'!$C$12*I1892</f>
        <v>1130.112</v>
      </c>
      <c r="O1892" s="75">
        <f>M1892+N1892</f>
        <v>1297.0411197146368</v>
      </c>
      <c r="P1892" s="75">
        <f>(MIN(L1892,'THAM_SO_MOI'!$C$41)-O1892)/('THAM_SO_MOI'!$C$11*H1892)</f>
        <v>0.7804745888427291</v>
      </c>
      <c r="Q1892" s="75">
        <f>IF(P1892&gt;0,1/P1892,NA())</f>
        <v>1.2812716958316073</v>
      </c>
      <c r="R1892" s="75">
        <f>F1892-F1891</f>
        <v>0.005028991339517397</v>
      </c>
      <c r="S1892" s="75">
        <f>0.5*(Q1891+Q1892)*R1892</f>
        <v>0.00644370628108324</v>
      </c>
      <c r="T1892" s="75">
        <f>0.5*(F1891*Q1891+F1892*Q1892)*R1892</f>
        <v>0.048662483468083335</v>
      </c>
      <c r="U1892" s="76">
        <f>U1891+S1892</f>
        <v>9.35800570187669</v>
      </c>
      <c r="V1892" s="76">
        <f>V1891+T1892</f>
        <v>43.312352604878036</v>
      </c>
    </row>
    <row r="1893" spans="1:22" ht="19" customHeight="1">
      <c r="A1893" s="68" t="s">
        <v>374</v>
      </c>
      <c r="B1893" s="74">
        <v>3</v>
      </c>
      <c r="C1893" s="68" t="s">
        <v>363</v>
      </c>
      <c r="D1893" s="68" t="s">
        <v>364</v>
      </c>
      <c r="E1893" s="75">
        <f>60*F1893*'THAM_SO_MOI'!$C$51/(2*PI()*'THAM_SO_MOI'!$C$26)</f>
        <v>1898.8954386612484</v>
      </c>
      <c r="F1893" s="75">
        <f>'HANH_TRINH'!$F$1647+('THAM_SO_MOI'!$F$51-'HANH_TRINH'!$F$1647)*245/'THAM_SO_MOI'!$C$42</f>
        <v>7.559483605527394</v>
      </c>
      <c r="G1893" s="75">
        <f>3.6*F1893</f>
        <v>27.21414097989862</v>
      </c>
      <c r="H1893" s="75">
        <f>'THAM_SO_MOI'!$D$51</f>
        <v>1.375</v>
      </c>
      <c r="I1893" s="75">
        <f>IF(F1893&gt;'THAM_SO_MOI'!$C$14,'THAM_SO_MOI'!$C$13*(1+F1893^2/1500),'THAM_SO_MOI'!$C$13)</f>
        <v>0.015</v>
      </c>
      <c r="J1893" s="75">
        <f>'THAM_SO_MOI'!$C$40*('THAM_SO_MOI'!$C$23*(E1893/'THAM_SO_MOI'!$C$22)+'THAM_SO_MOI'!$C$24*(E1893/'THAM_SO_MOI'!$C$22)^2-'THAM_SO_MOI'!$C$25*(E1893/'THAM_SO_MOI'!$C$22)^3)</f>
        <v>84.82441983446044</v>
      </c>
      <c r="K1893" s="75">
        <f>'THAM_SO_MOI'!$C$31*J1893/E1893</f>
        <v>426.65139009645054</v>
      </c>
      <c r="L1893" s="75">
        <f>K1893*'THAM_SO_MOI'!$C$51*'THAM_SO_MOI'!$C$17/'THAM_SO_MOI'!$C$26</f>
        <v>9539.588259739336</v>
      </c>
      <c r="M1893" s="75">
        <f>'THAM_SO_MOI'!$C$15*'THAM_SO_MOI'!$C$16*F1893^2</f>
        <v>167.15144271804454</v>
      </c>
      <c r="N1893" s="75">
        <f>'THAM_SO_MOI'!$C$12*I1893</f>
        <v>1130.112</v>
      </c>
      <c r="O1893" s="75">
        <f>M1893+N1893</f>
        <v>1297.2634427180446</v>
      </c>
      <c r="P1893" s="75">
        <f>(MIN(L1893,'THAM_SO_MOI'!$C$41)-O1893)/('THAM_SO_MOI'!$C$11*H1893)</f>
        <v>0.7805231834300465</v>
      </c>
      <c r="Q1893" s="75">
        <f>IF(P1893&gt;0,1/P1893,NA())</f>
        <v>1.2811919251462234</v>
      </c>
      <c r="R1893" s="75">
        <f>F1893-F1892</f>
        <v>0.005028991339518285</v>
      </c>
      <c r="S1893" s="75">
        <f>0.5*(Q1892+Q1893)*R1893</f>
        <v>0.006443303678864087</v>
      </c>
      <c r="T1893" s="75">
        <f>0.5*(F1892*Q1892+F1893*Q1893)*R1893</f>
        <v>0.04869184636224277</v>
      </c>
      <c r="U1893" s="76">
        <f>U1892+S1893</f>
        <v>9.364449005555555</v>
      </c>
      <c r="V1893" s="76">
        <f>V1892+T1893</f>
        <v>43.36104445124028</v>
      </c>
    </row>
    <row r="1894" spans="1:22" ht="19" customHeight="1">
      <c r="A1894" s="68" t="s">
        <v>374</v>
      </c>
      <c r="B1894" s="74">
        <v>3</v>
      </c>
      <c r="C1894" s="68" t="s">
        <v>363</v>
      </c>
      <c r="D1894" s="68" t="s">
        <v>364</v>
      </c>
      <c r="E1894" s="75">
        <f>60*F1894*'THAM_SO_MOI'!$C$51/(2*PI()*'THAM_SO_MOI'!$C$26)</f>
        <v>1900.1586901231196</v>
      </c>
      <c r="F1894" s="75">
        <f>'HANH_TRINH'!$F$1647+('THAM_SO_MOI'!$F$51-'HANH_TRINH'!$F$1647)*246/'THAM_SO_MOI'!$C$42</f>
        <v>7.564512596866911</v>
      </c>
      <c r="G1894" s="75">
        <f>3.6*F1894</f>
        <v>27.23224534872088</v>
      </c>
      <c r="H1894" s="75">
        <f>'THAM_SO_MOI'!$D$51</f>
        <v>1.375</v>
      </c>
      <c r="I1894" s="75">
        <f>IF(F1894&gt;'THAM_SO_MOI'!$C$14,'THAM_SO_MOI'!$C$13*(1+F1894^2/1500),'THAM_SO_MOI'!$C$13)</f>
        <v>0.015</v>
      </c>
      <c r="J1894" s="75">
        <f>'THAM_SO_MOI'!$C$40*('THAM_SO_MOI'!$C$23*(E1894/'THAM_SO_MOI'!$C$22)+'THAM_SO_MOI'!$C$24*(E1894/'THAM_SO_MOI'!$C$22)^2-'THAM_SO_MOI'!$C$25*(E1894/'THAM_SO_MOI'!$C$22)^3)</f>
        <v>84.88736311488562</v>
      </c>
      <c r="K1894" s="75">
        <f>'THAM_SO_MOI'!$C$31*J1894/E1894</f>
        <v>426.6841291890029</v>
      </c>
      <c r="L1894" s="75">
        <f>K1894*'THAM_SO_MOI'!$C$51*'THAM_SO_MOI'!$C$17/'THAM_SO_MOI'!$C$26</f>
        <v>9540.320280002708</v>
      </c>
      <c r="M1894" s="75">
        <f>'THAM_SO_MOI'!$C$15*'THAM_SO_MOI'!$C$16*F1894^2</f>
        <v>167.37391367236268</v>
      </c>
      <c r="N1894" s="75">
        <f>'THAM_SO_MOI'!$C$12*I1894</f>
        <v>1130.112</v>
      </c>
      <c r="O1894" s="75">
        <f>M1894+N1894</f>
        <v>1297.4859136723628</v>
      </c>
      <c r="P1894" s="75">
        <f>(MIN(L1894,'THAM_SO_MOI'!$C$41)-O1894)/('THAM_SO_MOI'!$C$11*H1894)</f>
        <v>0.7805714362055252</v>
      </c>
      <c r="Q1894" s="75">
        <f>IF(P1894&gt;0,1/P1894,NA())</f>
        <v>1.2811127253914774</v>
      </c>
      <c r="R1894" s="75">
        <f>F1894-F1893</f>
        <v>0.005028991339517397</v>
      </c>
      <c r="S1894" s="75">
        <f>0.5*(Q1893+Q1894)*R1894</f>
        <v>0.006442903948379624</v>
      </c>
      <c r="T1894" s="75">
        <f>0.5*(F1893*Q1893+F1894*Q1894)*R1894</f>
        <v>0.048721226923086974</v>
      </c>
      <c r="U1894" s="76">
        <f>U1893+S1894</f>
        <v>9.370891909503934</v>
      </c>
      <c r="V1894" s="76">
        <f>V1893+T1894</f>
        <v>43.40976567816337</v>
      </c>
    </row>
    <row r="1895" spans="1:22" ht="19" customHeight="1">
      <c r="A1895" s="68" t="s">
        <v>374</v>
      </c>
      <c r="B1895" s="74">
        <v>3</v>
      </c>
      <c r="C1895" s="68" t="s">
        <v>363</v>
      </c>
      <c r="D1895" s="68" t="s">
        <v>364</v>
      </c>
      <c r="E1895" s="75">
        <f>60*F1895*'THAM_SO_MOI'!$C$51/(2*PI()*'THAM_SO_MOI'!$C$26)</f>
        <v>1901.4219415849911</v>
      </c>
      <c r="F1895" s="75">
        <f>'HANH_TRINH'!$F$1647+('THAM_SO_MOI'!$F$51-'HANH_TRINH'!$F$1647)*247/'THAM_SO_MOI'!$C$42</f>
        <v>7.5695415882064285</v>
      </c>
      <c r="G1895" s="75">
        <f>3.6*F1895</f>
        <v>27.250349717543145</v>
      </c>
      <c r="H1895" s="75">
        <f>'THAM_SO_MOI'!$D$51</f>
        <v>1.375</v>
      </c>
      <c r="I1895" s="75">
        <f>IF(F1895&gt;'THAM_SO_MOI'!$C$14,'THAM_SO_MOI'!$C$13*(1+F1895^2/1500),'THAM_SO_MOI'!$C$13)</f>
        <v>0.015</v>
      </c>
      <c r="J1895" s="75">
        <f>'THAM_SO_MOI'!$C$40*('THAM_SO_MOI'!$C$23*(E1895/'THAM_SO_MOI'!$C$22)+'THAM_SO_MOI'!$C$24*(E1895/'THAM_SO_MOI'!$C$22)^2-'THAM_SO_MOI'!$C$25*(E1895/'THAM_SO_MOI'!$C$22)^3)</f>
        <v>84.95028423485374</v>
      </c>
      <c r="K1895" s="75">
        <f>'THAM_SO_MOI'!$C$31*J1895/E1895</f>
        <v>426.71671346472453</v>
      </c>
      <c r="L1895" s="75">
        <f>K1895*'THAM_SO_MOI'!$C$51*'THAM_SO_MOI'!$C$17/'THAM_SO_MOI'!$C$26</f>
        <v>9541.048838683968</v>
      </c>
      <c r="M1895" s="75">
        <f>'THAM_SO_MOI'!$C$15*'THAM_SO_MOI'!$C$16*F1895^2</f>
        <v>167.59653257759112</v>
      </c>
      <c r="N1895" s="75">
        <f>'THAM_SO_MOI'!$C$12*I1895</f>
        <v>1130.112</v>
      </c>
      <c r="O1895" s="75">
        <f>M1895+N1895</f>
        <v>1297.708532577591</v>
      </c>
      <c r="P1895" s="75">
        <f>(MIN(L1895,'THAM_SO_MOI'!$C$41)-O1895)/('THAM_SO_MOI'!$C$11*H1895)</f>
        <v>0.7806193471691645</v>
      </c>
      <c r="Q1895" s="75">
        <f>IF(P1895&gt;0,1/P1895,NA())</f>
        <v>1.2810340963574587</v>
      </c>
      <c r="R1895" s="75">
        <f>F1895-F1894</f>
        <v>0.005028991339517397</v>
      </c>
      <c r="S1895" s="75">
        <f>0.5*(Q1894+Q1895)*R1895</f>
        <v>0.006442507088573711</v>
      </c>
      <c r="T1895" s="75">
        <f>0.5*(F1894*Q1894+F1895*Q1895)*R1895</f>
        <v>0.048750625185949935</v>
      </c>
      <c r="U1895" s="76">
        <f>U1894+S1895</f>
        <v>9.377334416592507</v>
      </c>
      <c r="V1895" s="76">
        <f>V1894+T1895</f>
        <v>43.45851630334932</v>
      </c>
    </row>
    <row r="1896" spans="1:22" ht="19" customHeight="1">
      <c r="A1896" s="68" t="s">
        <v>374</v>
      </c>
      <c r="B1896" s="74">
        <v>3</v>
      </c>
      <c r="C1896" s="68" t="s">
        <v>363</v>
      </c>
      <c r="D1896" s="68" t="s">
        <v>364</v>
      </c>
      <c r="E1896" s="75">
        <f>60*F1896*'THAM_SO_MOI'!$C$51/(2*PI()*'THAM_SO_MOI'!$C$26)</f>
        <v>1902.6851930468629</v>
      </c>
      <c r="F1896" s="75">
        <f>'HANH_TRINH'!$F$1647+('THAM_SO_MOI'!$F$51-'HANH_TRINH'!$F$1647)*248/'THAM_SO_MOI'!$C$42</f>
        <v>7.574570579545947</v>
      </c>
      <c r="G1896" s="75">
        <f>3.6*F1896</f>
        <v>27.26845408636541</v>
      </c>
      <c r="H1896" s="75">
        <f>'THAM_SO_MOI'!$D$51</f>
        <v>1.375</v>
      </c>
      <c r="I1896" s="75">
        <f>IF(F1896&gt;'THAM_SO_MOI'!$C$14,'THAM_SO_MOI'!$C$13*(1+F1896^2/1500),'THAM_SO_MOI'!$C$13)</f>
        <v>0.015</v>
      </c>
      <c r="J1896" s="75">
        <f>'THAM_SO_MOI'!$C$40*('THAM_SO_MOI'!$C$23*(E1896/'THAM_SO_MOI'!$C$22)+'THAM_SO_MOI'!$C$24*(E1896/'THAM_SO_MOI'!$C$22)^2-'THAM_SO_MOI'!$C$25*(E1896/'THAM_SO_MOI'!$C$22)^3)</f>
        <v>85.01318313293551</v>
      </c>
      <c r="K1896" s="75">
        <f>'THAM_SO_MOI'!$C$31*J1896/E1896</f>
        <v>426.74914292361603</v>
      </c>
      <c r="L1896" s="75">
        <f>K1896*'THAM_SO_MOI'!$C$51*'THAM_SO_MOI'!$C$17/'THAM_SO_MOI'!$C$26</f>
        <v>9541.773935783125</v>
      </c>
      <c r="M1896" s="75">
        <f>'THAM_SO_MOI'!$C$15*'THAM_SO_MOI'!$C$16*F1896^2</f>
        <v>167.81929943372984</v>
      </c>
      <c r="N1896" s="75">
        <f>'THAM_SO_MOI'!$C$12*I1896</f>
        <v>1130.112</v>
      </c>
      <c r="O1896" s="75">
        <f>M1896+N1896</f>
        <v>1297.93129943373</v>
      </c>
      <c r="P1896" s="75">
        <f>(MIN(L1896,'THAM_SO_MOI'!$C$41)-O1896)/('THAM_SO_MOI'!$C$11*H1896)</f>
        <v>0.7806669163209655</v>
      </c>
      <c r="Q1896" s="75">
        <f>IF(P1896&gt;0,1/P1896,NA())</f>
        <v>1.2809560378358051</v>
      </c>
      <c r="R1896" s="75">
        <f>F1896-F1895</f>
        <v>0.005028991339518285</v>
      </c>
      <c r="S1896" s="75">
        <f>0.5*(Q1895+Q1896)*R1896</f>
        <v>0.006442113098394606</v>
      </c>
      <c r="T1896" s="75">
        <f>0.5*(F1895*Q1895+F1896*Q1896)*R1896</f>
        <v>0.04878004118617764</v>
      </c>
      <c r="U1896" s="76">
        <f>U1895+S1896</f>
        <v>9.383776529690902</v>
      </c>
      <c r="V1896" s="76">
        <f>V1895+T1896</f>
        <v>43.5072963445355</v>
      </c>
    </row>
    <row r="1897" spans="1:22" ht="19" customHeight="1">
      <c r="A1897" s="68" t="s">
        <v>374</v>
      </c>
      <c r="B1897" s="74">
        <v>3</v>
      </c>
      <c r="C1897" s="68" t="s">
        <v>363</v>
      </c>
      <c r="D1897" s="68" t="s">
        <v>364</v>
      </c>
      <c r="E1897" s="75">
        <f>60*F1897*'THAM_SO_MOI'!$C$51/(2*PI()*'THAM_SO_MOI'!$C$26)</f>
        <v>1903.9484445087346</v>
      </c>
      <c r="F1897" s="75">
        <f>'HANH_TRINH'!$F$1647+('THAM_SO_MOI'!$F$51-'HANH_TRINH'!$F$1647)*249/'THAM_SO_MOI'!$C$42</f>
        <v>7.579599570885464</v>
      </c>
      <c r="G1897" s="75">
        <f>3.6*F1897</f>
        <v>27.28655845518767</v>
      </c>
      <c r="H1897" s="75">
        <f>'THAM_SO_MOI'!$D$51</f>
        <v>1.375</v>
      </c>
      <c r="I1897" s="75">
        <f>IF(F1897&gt;'THAM_SO_MOI'!$C$14,'THAM_SO_MOI'!$C$13*(1+F1897^2/1500),'THAM_SO_MOI'!$C$13)</f>
        <v>0.015</v>
      </c>
      <c r="J1897" s="75">
        <f>'THAM_SO_MOI'!$C$40*('THAM_SO_MOI'!$C$23*(E1897/'THAM_SO_MOI'!$C$22)+'THAM_SO_MOI'!$C$24*(E1897/'THAM_SO_MOI'!$C$22)^2-'THAM_SO_MOI'!$C$25*(E1897/'THAM_SO_MOI'!$C$22)^3)</f>
        <v>85.07605974770149</v>
      </c>
      <c r="K1897" s="75">
        <f>'THAM_SO_MOI'!$C$31*J1897/E1897</f>
        <v>426.7814175656768</v>
      </c>
      <c r="L1897" s="75">
        <f>K1897*'THAM_SO_MOI'!$C$51*'THAM_SO_MOI'!$C$17/'THAM_SO_MOI'!$C$26</f>
        <v>9542.495571300173</v>
      </c>
      <c r="M1897" s="75">
        <f>'THAM_SO_MOI'!$C$15*'THAM_SO_MOI'!$C$16*F1897^2</f>
        <v>168.04221424077883</v>
      </c>
      <c r="N1897" s="75">
        <f>'THAM_SO_MOI'!$C$12*I1897</f>
        <v>1130.112</v>
      </c>
      <c r="O1897" s="75">
        <f>M1897+N1897</f>
        <v>1298.1542142407789</v>
      </c>
      <c r="P1897" s="75">
        <f>(MIN(L1897,'THAM_SO_MOI'!$C$41)-O1897)/('THAM_SO_MOI'!$C$11*H1897)</f>
        <v>0.7807141436609275</v>
      </c>
      <c r="Q1897" s="75">
        <f>IF(P1897&gt;0,1/P1897,NA())</f>
        <v>1.2808785496197066</v>
      </c>
      <c r="R1897" s="75">
        <f>F1897-F1896</f>
        <v>0.005028991339517397</v>
      </c>
      <c r="S1897" s="75">
        <f>0.5*(Q1896+Q1897)*R1897</f>
        <v>0.006441721976794946</v>
      </c>
      <c r="T1897" s="75">
        <f>0.5*(F1896*Q1896+F1897*Q1897)*R1897</f>
        <v>0.048809474959128143</v>
      </c>
      <c r="U1897" s="76">
        <f>U1896+S1897</f>
        <v>9.390218251667697</v>
      </c>
      <c r="V1897" s="76">
        <f>V1896+T1897</f>
        <v>43.556105819494626</v>
      </c>
    </row>
    <row r="1898" spans="1:22" ht="19" customHeight="1">
      <c r="A1898" s="68" t="s">
        <v>374</v>
      </c>
      <c r="B1898" s="74">
        <v>3</v>
      </c>
      <c r="C1898" s="68" t="s">
        <v>363</v>
      </c>
      <c r="D1898" s="68" t="s">
        <v>364</v>
      </c>
      <c r="E1898" s="75">
        <f>60*F1898*'THAM_SO_MOI'!$C$51/(2*PI()*'THAM_SO_MOI'!$C$26)</f>
        <v>1905.2116959706063</v>
      </c>
      <c r="F1898" s="75">
        <f>'HANH_TRINH'!$F$1647+('THAM_SO_MOI'!$F$51-'HANH_TRINH'!$F$1647)*250/'THAM_SO_MOI'!$C$42</f>
        <v>7.584628562224982</v>
      </c>
      <c r="G1898" s="75">
        <f>3.6*F1898</f>
        <v>27.304662824009934</v>
      </c>
      <c r="H1898" s="75">
        <f>'THAM_SO_MOI'!$D$51</f>
        <v>1.375</v>
      </c>
      <c r="I1898" s="75">
        <f>IF(F1898&gt;'THAM_SO_MOI'!$C$14,'THAM_SO_MOI'!$C$13*(1+F1898^2/1500),'THAM_SO_MOI'!$C$13)</f>
        <v>0.015</v>
      </c>
      <c r="J1898" s="75">
        <f>'THAM_SO_MOI'!$C$40*('THAM_SO_MOI'!$C$23*(E1898/'THAM_SO_MOI'!$C$22)+'THAM_SO_MOI'!$C$24*(E1898/'THAM_SO_MOI'!$C$22)^2-'THAM_SO_MOI'!$C$25*(E1898/'THAM_SO_MOI'!$C$22)^3)</f>
        <v>85.13891401772239</v>
      </c>
      <c r="K1898" s="75">
        <f>'THAM_SO_MOI'!$C$31*J1898/E1898</f>
        <v>426.81353739090713</v>
      </c>
      <c r="L1898" s="75">
        <f>K1898*'THAM_SO_MOI'!$C$51*'THAM_SO_MOI'!$C$17/'THAM_SO_MOI'!$C$26</f>
        <v>9543.21374523511</v>
      </c>
      <c r="M1898" s="75">
        <f>'THAM_SO_MOI'!$C$15*'THAM_SO_MOI'!$C$16*F1898^2</f>
        <v>168.26527699873807</v>
      </c>
      <c r="N1898" s="75">
        <f>'THAM_SO_MOI'!$C$12*I1898</f>
        <v>1130.112</v>
      </c>
      <c r="O1898" s="75">
        <f>M1898+N1898</f>
        <v>1298.3772769987381</v>
      </c>
      <c r="P1898" s="75">
        <f>(MIN(L1898,'THAM_SO_MOI'!$C$41)-O1898)/('THAM_SO_MOI'!$C$11*H1898)</f>
        <v>0.7807610291890503</v>
      </c>
      <c r="Q1898" s="75">
        <f>IF(P1898&gt;0,1/P1898,NA())</f>
        <v>1.2808016315039004</v>
      </c>
      <c r="R1898" s="75">
        <f>F1898-F1897</f>
        <v>0.005028991339517397</v>
      </c>
      <c r="S1898" s="75">
        <f>0.5*(Q1897+Q1898)*R1898</f>
        <v>0.006441333722741987</v>
      </c>
      <c r="T1898" s="75">
        <f>0.5*(F1897*Q1897+F1898*Q1898)*R1898</f>
        <v>0.04883892654024927</v>
      </c>
      <c r="U1898" s="76">
        <f>U1897+S1898</f>
        <v>9.39665958539044</v>
      </c>
      <c r="V1898" s="76">
        <f>V1897+T1898</f>
        <v>43.604944746034874</v>
      </c>
    </row>
    <row r="1899" spans="1:22" ht="19" customHeight="1">
      <c r="A1899" s="68" t="s">
        <v>374</v>
      </c>
      <c r="B1899" s="74">
        <v>3</v>
      </c>
      <c r="C1899" s="68" t="s">
        <v>363</v>
      </c>
      <c r="D1899" s="68" t="s">
        <v>364</v>
      </c>
      <c r="E1899" s="75">
        <f>60*F1899*'THAM_SO_MOI'!$C$51/(2*PI()*'THAM_SO_MOI'!$C$26)</f>
        <v>1906.4749474324776</v>
      </c>
      <c r="F1899" s="75">
        <f>'HANH_TRINH'!$F$1647+('THAM_SO_MOI'!$F$51-'HANH_TRINH'!$F$1647)*251/'THAM_SO_MOI'!$C$42</f>
        <v>7.5896575535645</v>
      </c>
      <c r="G1899" s="75">
        <f>3.6*F1899</f>
        <v>27.3227671928322</v>
      </c>
      <c r="H1899" s="75">
        <f>'THAM_SO_MOI'!$D$51</f>
        <v>1.375</v>
      </c>
      <c r="I1899" s="75">
        <f>IF(F1899&gt;'THAM_SO_MOI'!$C$14,'THAM_SO_MOI'!$C$13*(1+F1899^2/1500),'THAM_SO_MOI'!$C$13)</f>
        <v>0.015</v>
      </c>
      <c r="J1899" s="75">
        <f>'THAM_SO_MOI'!$C$40*('THAM_SO_MOI'!$C$23*(E1899/'THAM_SO_MOI'!$C$22)+'THAM_SO_MOI'!$C$24*(E1899/'THAM_SO_MOI'!$C$22)^2-'THAM_SO_MOI'!$C$25*(E1899/'THAM_SO_MOI'!$C$22)^3)</f>
        <v>85.20174588156878</v>
      </c>
      <c r="K1899" s="75">
        <f>'THAM_SO_MOI'!$C$31*J1899/E1899</f>
        <v>426.8455023993069</v>
      </c>
      <c r="L1899" s="75">
        <f>K1899*'THAM_SO_MOI'!$C$51*'THAM_SO_MOI'!$C$17/'THAM_SO_MOI'!$C$26</f>
        <v>9543.928457587936</v>
      </c>
      <c r="M1899" s="75">
        <f>'THAM_SO_MOI'!$C$15*'THAM_SO_MOI'!$C$16*F1899^2</f>
        <v>168.48848770760762</v>
      </c>
      <c r="N1899" s="75">
        <f>'THAM_SO_MOI'!$C$12*I1899</f>
        <v>1130.112</v>
      </c>
      <c r="O1899" s="75">
        <f>M1899+N1899</f>
        <v>1298.6004877076077</v>
      </c>
      <c r="P1899" s="75">
        <f>(MIN(L1899,'THAM_SO_MOI'!$C$41)-O1899)/('THAM_SO_MOI'!$C$11*H1899)</f>
        <v>0.780807572905334</v>
      </c>
      <c r="Q1899" s="75">
        <f>IF(P1899&gt;0,1/P1899,NA())</f>
        <v>1.2807252832846707</v>
      </c>
      <c r="R1899" s="75">
        <f>F1899-F1898</f>
        <v>0.005028991339518285</v>
      </c>
      <c r="S1899" s="75">
        <f>0.5*(Q1898+Q1899)*R1899</f>
        <v>0.006440948335207358</v>
      </c>
      <c r="T1899" s="75">
        <f>0.5*(F1898*Q1898+F1899*Q1899)*R1899</f>
        <v>0.04886839596500119</v>
      </c>
      <c r="U1899" s="76">
        <f>U1898+S1899</f>
        <v>9.403100533725647</v>
      </c>
      <c r="V1899" s="76">
        <f>V1898+T1899</f>
        <v>43.653813141999876</v>
      </c>
    </row>
    <row r="1900" spans="1:22" ht="19" customHeight="1">
      <c r="A1900" s="68" t="s">
        <v>374</v>
      </c>
      <c r="B1900" s="74">
        <v>3</v>
      </c>
      <c r="C1900" s="68" t="s">
        <v>363</v>
      </c>
      <c r="D1900" s="68" t="s">
        <v>364</v>
      </c>
      <c r="E1900" s="75">
        <f>60*F1900*'THAM_SO_MOI'!$C$51/(2*PI()*'THAM_SO_MOI'!$C$26)</f>
        <v>1907.7381988943494</v>
      </c>
      <c r="F1900" s="75">
        <f>'HANH_TRINH'!$F$1647+('THAM_SO_MOI'!$F$51-'HANH_TRINH'!$F$1647)*252/'THAM_SO_MOI'!$C$42</f>
        <v>7.594686544904017</v>
      </c>
      <c r="G1900" s="75">
        <f>3.6*F1900</f>
        <v>27.340871561654463</v>
      </c>
      <c r="H1900" s="75">
        <f>'THAM_SO_MOI'!$D$51</f>
        <v>1.375</v>
      </c>
      <c r="I1900" s="75">
        <f>IF(F1900&gt;'THAM_SO_MOI'!$C$14,'THAM_SO_MOI'!$C$13*(1+F1900^2/1500),'THAM_SO_MOI'!$C$13)</f>
        <v>0.015</v>
      </c>
      <c r="J1900" s="75">
        <f>'THAM_SO_MOI'!$C$40*('THAM_SO_MOI'!$C$23*(E1900/'THAM_SO_MOI'!$C$22)+'THAM_SO_MOI'!$C$24*(E1900/'THAM_SO_MOI'!$C$22)^2-'THAM_SO_MOI'!$C$25*(E1900/'THAM_SO_MOI'!$C$22)^3)</f>
        <v>85.26455527781141</v>
      </c>
      <c r="K1900" s="75">
        <f>'THAM_SO_MOI'!$C$31*J1900/E1900</f>
        <v>426.87731259087616</v>
      </c>
      <c r="L1900" s="75">
        <f>K1900*'THAM_SO_MOI'!$C$51*'THAM_SO_MOI'!$C$17/'THAM_SO_MOI'!$C$26</f>
        <v>9544.639708358654</v>
      </c>
      <c r="M1900" s="75">
        <f>'THAM_SO_MOI'!$C$15*'THAM_SO_MOI'!$C$16*F1900^2</f>
        <v>168.71184636738744</v>
      </c>
      <c r="N1900" s="75">
        <f>'THAM_SO_MOI'!$C$12*I1900</f>
        <v>1130.112</v>
      </c>
      <c r="O1900" s="75">
        <f>M1900+N1900</f>
        <v>1298.8238463673874</v>
      </c>
      <c r="P1900" s="75">
        <f>(MIN(L1900,'THAM_SO_MOI'!$C$41)-O1900)/('THAM_SO_MOI'!$C$11*H1900)</f>
        <v>0.7808537748097792</v>
      </c>
      <c r="Q1900" s="75">
        <f>IF(P1900&gt;0,1/P1900,NA())</f>
        <v>1.2806495047598458</v>
      </c>
      <c r="R1900" s="75">
        <f>F1900-F1899</f>
        <v>0.005028991339517397</v>
      </c>
      <c r="S1900" s="75">
        <f>0.5*(Q1899+Q1900)*R1900</f>
        <v>0.006440565813167041</v>
      </c>
      <c r="T1900" s="75">
        <f>0.5*(F1899*Q1899+F1900*Q1900)*R1900</f>
        <v>0.04889788326885652</v>
      </c>
      <c r="U1900" s="76">
        <f>U1899+S1900</f>
        <v>9.409541099538814</v>
      </c>
      <c r="V1900" s="76">
        <f>V1899+T1900</f>
        <v>43.702711025268734</v>
      </c>
    </row>
    <row r="1901" spans="1:22" ht="19" customHeight="1">
      <c r="A1901" s="68" t="s">
        <v>374</v>
      </c>
      <c r="B1901" s="74">
        <v>3</v>
      </c>
      <c r="C1901" s="68" t="s">
        <v>363</v>
      </c>
      <c r="D1901" s="68" t="s">
        <v>364</v>
      </c>
      <c r="E1901" s="75">
        <f>60*F1901*'THAM_SO_MOI'!$C$51/(2*PI()*'THAM_SO_MOI'!$C$26)</f>
        <v>1909.0014503562206</v>
      </c>
      <c r="F1901" s="75">
        <f>'HANH_TRINH'!$F$1647+('THAM_SO_MOI'!$F$51-'HANH_TRINH'!$F$1647)*253/'THAM_SO_MOI'!$C$42</f>
        <v>7.599715536243535</v>
      </c>
      <c r="G1901" s="75">
        <f>3.6*F1901</f>
        <v>27.358975930476724</v>
      </c>
      <c r="H1901" s="75">
        <f>'THAM_SO_MOI'!$D$51</f>
        <v>1.375</v>
      </c>
      <c r="I1901" s="75">
        <f>IF(F1901&gt;'THAM_SO_MOI'!$C$14,'THAM_SO_MOI'!$C$13*(1+F1901^2/1500),'THAM_SO_MOI'!$C$13)</f>
        <v>0.015</v>
      </c>
      <c r="J1901" s="75">
        <f>'THAM_SO_MOI'!$C$40*('THAM_SO_MOI'!$C$23*(E1901/'THAM_SO_MOI'!$C$22)+'THAM_SO_MOI'!$C$24*(E1901/'THAM_SO_MOI'!$C$22)^2-'THAM_SO_MOI'!$C$25*(E1901/'THAM_SO_MOI'!$C$22)^3)</f>
        <v>85.32734214502086</v>
      </c>
      <c r="K1901" s="75">
        <f>'THAM_SO_MOI'!$C$31*J1901/E1901</f>
        <v>426.9089679656149</v>
      </c>
      <c r="L1901" s="75">
        <f>K1901*'THAM_SO_MOI'!$C$51*'THAM_SO_MOI'!$C$17/'THAM_SO_MOI'!$C$26</f>
        <v>9545.347497547264</v>
      </c>
      <c r="M1901" s="75">
        <f>'THAM_SO_MOI'!$C$15*'THAM_SO_MOI'!$C$16*F1901^2</f>
        <v>168.93535297807747</v>
      </c>
      <c r="N1901" s="75">
        <f>'THAM_SO_MOI'!$C$12*I1901</f>
        <v>1130.112</v>
      </c>
      <c r="O1901" s="75">
        <f>M1901+N1901</f>
        <v>1299.0473529780775</v>
      </c>
      <c r="P1901" s="75">
        <f>(MIN(L1901,'THAM_SO_MOI'!$C$41)-O1901)/('THAM_SO_MOI'!$C$11*H1901)</f>
        <v>0.7808996349023849</v>
      </c>
      <c r="Q1901" s="75">
        <f>IF(P1901&gt;0,1/P1901,NA())</f>
        <v>1.2805742957288018</v>
      </c>
      <c r="R1901" s="75">
        <f>F1901-F1900</f>
        <v>0.005028991339517397</v>
      </c>
      <c r="S1901" s="75">
        <f>0.5*(Q1900+Q1901)*R1901</f>
        <v>0.006440186155611621</v>
      </c>
      <c r="T1901" s="75">
        <f>0.5*(F1900*Q1900+F1901*Q1901)*R1901</f>
        <v>0.048927388487378154</v>
      </c>
      <c r="U1901" s="76">
        <f>U1900+S1901</f>
        <v>9.415981285694425</v>
      </c>
      <c r="V1901" s="76">
        <f>V1900+T1901</f>
        <v>43.75163841375611</v>
      </c>
    </row>
    <row r="1902" spans="1:22" ht="19" customHeight="1">
      <c r="A1902" s="68" t="s">
        <v>374</v>
      </c>
      <c r="B1902" s="74">
        <v>3</v>
      </c>
      <c r="C1902" s="68" t="s">
        <v>363</v>
      </c>
      <c r="D1902" s="68" t="s">
        <v>364</v>
      </c>
      <c r="E1902" s="75">
        <f>60*F1902*'THAM_SO_MOI'!$C$51/(2*PI()*'THAM_SO_MOI'!$C$26)</f>
        <v>1910.2647018180928</v>
      </c>
      <c r="F1902" s="75">
        <f>'HANH_TRINH'!$F$1647+('THAM_SO_MOI'!$F$51-'HANH_TRINH'!$F$1647)*254/'THAM_SO_MOI'!$C$42</f>
        <v>7.604744527583053</v>
      </c>
      <c r="G1902" s="75">
        <f>3.6*F1902</f>
        <v>27.377080299298992</v>
      </c>
      <c r="H1902" s="75">
        <f>'THAM_SO_MOI'!$D$51</f>
        <v>1.375</v>
      </c>
      <c r="I1902" s="75">
        <f>IF(F1902&gt;'THAM_SO_MOI'!$C$14,'THAM_SO_MOI'!$C$13*(1+F1902^2/1500),'THAM_SO_MOI'!$C$13)</f>
        <v>0.015</v>
      </c>
      <c r="J1902" s="75">
        <f>'THAM_SO_MOI'!$C$40*('THAM_SO_MOI'!$C$23*(E1902/'THAM_SO_MOI'!$C$22)+'THAM_SO_MOI'!$C$24*(E1902/'THAM_SO_MOI'!$C$22)^2-'THAM_SO_MOI'!$C$25*(E1902/'THAM_SO_MOI'!$C$22)^3)</f>
        <v>85.39010642176784</v>
      </c>
      <c r="K1902" s="75">
        <f>'THAM_SO_MOI'!$C$31*J1902/E1902</f>
        <v>426.9404685235231</v>
      </c>
      <c r="L1902" s="75">
        <f>K1902*'THAM_SO_MOI'!$C$51*'THAM_SO_MOI'!$C$17/'THAM_SO_MOI'!$C$26</f>
        <v>9546.051825153765</v>
      </c>
      <c r="M1902" s="75">
        <f>'THAM_SO_MOI'!$C$15*'THAM_SO_MOI'!$C$16*F1902^2</f>
        <v>169.15900753967784</v>
      </c>
      <c r="N1902" s="75">
        <f>'THAM_SO_MOI'!$C$12*I1902</f>
        <v>1130.112</v>
      </c>
      <c r="O1902" s="75">
        <f>M1902+N1902</f>
        <v>1299.2710075396778</v>
      </c>
      <c r="P1902" s="75">
        <f>(MIN(L1902,'THAM_SO_MOI'!$C$41)-O1902)/('THAM_SO_MOI'!$C$11*H1902)</f>
        <v>0.780945153183152</v>
      </c>
      <c r="Q1902" s="75">
        <f>IF(P1902&gt;0,1/P1902,NA())</f>
        <v>1.2804996559924533</v>
      </c>
      <c r="R1902" s="75">
        <f>F1902-F1901</f>
        <v>0.005028991339518285</v>
      </c>
      <c r="S1902" s="75">
        <f>0.5*(Q1901+Q1902)*R1902</f>
        <v>0.0064398093615360315</v>
      </c>
      <c r="T1902" s="75">
        <f>0.5*(F1901*Q1901+F1902*Q1902)*R1902</f>
        <v>0.048956911656141786</v>
      </c>
      <c r="U1902" s="76">
        <f>U1901+S1902</f>
        <v>9.422421095055961</v>
      </c>
      <c r="V1902" s="76">
        <f>V1901+T1902</f>
        <v>43.80059532541225</v>
      </c>
    </row>
    <row r="1903" spans="1:22" ht="19" customHeight="1">
      <c r="A1903" s="68" t="s">
        <v>374</v>
      </c>
      <c r="B1903" s="74">
        <v>3</v>
      </c>
      <c r="C1903" s="68" t="s">
        <v>363</v>
      </c>
      <c r="D1903" s="68" t="s">
        <v>364</v>
      </c>
      <c r="E1903" s="75">
        <f>60*F1903*'THAM_SO_MOI'!$C$51/(2*PI()*'THAM_SO_MOI'!$C$26)</f>
        <v>1911.527953279964</v>
      </c>
      <c r="F1903" s="75">
        <f>'HANH_TRINH'!$F$1647+('THAM_SO_MOI'!$F$51-'HANH_TRINH'!$F$1647)*255/'THAM_SO_MOI'!$C$42</f>
        <v>7.60977351892257</v>
      </c>
      <c r="G1903" s="75">
        <f>3.6*F1903</f>
        <v>27.395184668121253</v>
      </c>
      <c r="H1903" s="75">
        <f>'THAM_SO_MOI'!$D$51</f>
        <v>1.375</v>
      </c>
      <c r="I1903" s="75">
        <f>IF(F1903&gt;'THAM_SO_MOI'!$C$14,'THAM_SO_MOI'!$C$13*(1+F1903^2/1500),'THAM_SO_MOI'!$C$13)</f>
        <v>0.015</v>
      </c>
      <c r="J1903" s="75">
        <f>'THAM_SO_MOI'!$C$40*('THAM_SO_MOI'!$C$23*(E1903/'THAM_SO_MOI'!$C$22)+'THAM_SO_MOI'!$C$24*(E1903/'THAM_SO_MOI'!$C$22)^2-'THAM_SO_MOI'!$C$25*(E1903/'THAM_SO_MOI'!$C$22)^3)</f>
        <v>85.45284804662293</v>
      </c>
      <c r="K1903" s="75">
        <f>'THAM_SO_MOI'!$C$31*J1903/E1903</f>
        <v>426.9718142646009</v>
      </c>
      <c r="L1903" s="75">
        <f>K1903*'THAM_SO_MOI'!$C$51*'THAM_SO_MOI'!$C$17/'THAM_SO_MOI'!$C$26</f>
        <v>9546.752691178157</v>
      </c>
      <c r="M1903" s="75">
        <f>'THAM_SO_MOI'!$C$15*'THAM_SO_MOI'!$C$16*F1903^2</f>
        <v>169.38281005218846</v>
      </c>
      <c r="N1903" s="75">
        <f>'THAM_SO_MOI'!$C$12*I1903</f>
        <v>1130.112</v>
      </c>
      <c r="O1903" s="75">
        <f>M1903+N1903</f>
        <v>1299.4948100521885</v>
      </c>
      <c r="P1903" s="75">
        <f>(MIN(L1903,'THAM_SO_MOI'!$C$41)-O1903)/('THAM_SO_MOI'!$C$11*H1903)</f>
        <v>0.7809903296520805</v>
      </c>
      <c r="Q1903" s="75">
        <f>IF(P1903&gt;0,1/P1903,NA())</f>
        <v>1.2804255853532591</v>
      </c>
      <c r="R1903" s="75">
        <f>F1903-F1902</f>
        <v>0.005028991339517397</v>
      </c>
      <c r="S1903" s="75">
        <f>0.5*(Q1902+Q1903)*R1903</f>
        <v>0.0064394354299395435</v>
      </c>
      <c r="T1903" s="75">
        <f>0.5*(F1902*Q1902+F1903*Q1903)*R1903</f>
        <v>0.04898645281073587</v>
      </c>
      <c r="U1903" s="76">
        <f>U1902+S1903</f>
        <v>9.4288605304859</v>
      </c>
      <c r="V1903" s="76">
        <f>V1902+T1903</f>
        <v>43.84958177822299</v>
      </c>
    </row>
    <row r="1904" spans="1:22" ht="19" customHeight="1">
      <c r="A1904" s="68" t="s">
        <v>374</v>
      </c>
      <c r="B1904" s="74">
        <v>3</v>
      </c>
      <c r="C1904" s="68" t="s">
        <v>363</v>
      </c>
      <c r="D1904" s="68" t="s">
        <v>364</v>
      </c>
      <c r="E1904" s="75">
        <f>60*F1904*'THAM_SO_MOI'!$C$51/(2*PI()*'THAM_SO_MOI'!$C$26)</f>
        <v>1912.7912047418358</v>
      </c>
      <c r="F1904" s="75">
        <f>'HANH_TRINH'!$F$1647+('THAM_SO_MOI'!$F$51-'HANH_TRINH'!$F$1647)*256/'THAM_SO_MOI'!$C$42</f>
        <v>7.614802510262088</v>
      </c>
      <c r="G1904" s="75">
        <f>3.6*F1904</f>
        <v>27.413289036943517</v>
      </c>
      <c r="H1904" s="75">
        <f>'THAM_SO_MOI'!$D$51</f>
        <v>1.375</v>
      </c>
      <c r="I1904" s="75">
        <f>IF(F1904&gt;'THAM_SO_MOI'!$C$14,'THAM_SO_MOI'!$C$13*(1+F1904^2/1500),'THAM_SO_MOI'!$C$13)</f>
        <v>0.015</v>
      </c>
      <c r="J1904" s="75">
        <f>'THAM_SO_MOI'!$C$40*('THAM_SO_MOI'!$C$23*(E1904/'THAM_SO_MOI'!$C$22)+'THAM_SO_MOI'!$C$24*(E1904/'THAM_SO_MOI'!$C$22)^2-'THAM_SO_MOI'!$C$25*(E1904/'THAM_SO_MOI'!$C$22)^3)</f>
        <v>85.51556695815685</v>
      </c>
      <c r="K1904" s="75">
        <f>'THAM_SO_MOI'!$C$31*J1904/E1904</f>
        <v>427.00300518884814</v>
      </c>
      <c r="L1904" s="75">
        <f>K1904*'THAM_SO_MOI'!$C$51*'THAM_SO_MOI'!$C$17/'THAM_SO_MOI'!$C$26</f>
        <v>9547.45009562044</v>
      </c>
      <c r="M1904" s="75">
        <f>'THAM_SO_MOI'!$C$15*'THAM_SO_MOI'!$C$16*F1904^2</f>
        <v>169.60676051560938</v>
      </c>
      <c r="N1904" s="75">
        <f>'THAM_SO_MOI'!$C$12*I1904</f>
        <v>1130.112</v>
      </c>
      <c r="O1904" s="75">
        <f>M1904+N1904</f>
        <v>1299.7187605156096</v>
      </c>
      <c r="P1904" s="75">
        <f>(MIN(L1904,'THAM_SO_MOI'!$C$41)-O1904)/('THAM_SO_MOI'!$C$11*H1904)</f>
        <v>0.7810351643091694</v>
      </c>
      <c r="Q1904" s="75">
        <f>IF(P1904&gt;0,1/P1904,NA())</f>
        <v>1.280352083615219</v>
      </c>
      <c r="R1904" s="75">
        <f>F1904-F1903</f>
        <v>0.005028991339517397</v>
      </c>
      <c r="S1904" s="75">
        <f>0.5*(Q1903+Q1904)*R1904</f>
        <v>0.006439064359836011</v>
      </c>
      <c r="T1904" s="75">
        <f>0.5*(F1903*Q1903+F1904*Q1904)*R1904</f>
        <v>0.049016011986839705</v>
      </c>
      <c r="U1904" s="76">
        <f>U1903+S1904</f>
        <v>9.435299594845738</v>
      </c>
      <c r="V1904" s="76">
        <f>V1903+T1904</f>
        <v>43.89859779020983</v>
      </c>
    </row>
    <row r="1905" spans="1:22" ht="19" customHeight="1">
      <c r="A1905" s="68" t="s">
        <v>374</v>
      </c>
      <c r="B1905" s="74">
        <v>3</v>
      </c>
      <c r="C1905" s="68" t="s">
        <v>363</v>
      </c>
      <c r="D1905" s="68" t="s">
        <v>364</v>
      </c>
      <c r="E1905" s="75">
        <f>60*F1905*'THAM_SO_MOI'!$C$51/(2*PI()*'THAM_SO_MOI'!$C$26)</f>
        <v>1914.0544562037078</v>
      </c>
      <c r="F1905" s="75">
        <f>'HANH_TRINH'!$F$1647+('THAM_SO_MOI'!$F$51-'HANH_TRINH'!$F$1647)*257/'THAM_SO_MOI'!$C$42</f>
        <v>7.619831501601606</v>
      </c>
      <c r="G1905" s="75">
        <f>3.6*F1905</f>
        <v>27.431393405765782</v>
      </c>
      <c r="H1905" s="75">
        <f>'THAM_SO_MOI'!$D$51</f>
        <v>1.375</v>
      </c>
      <c r="I1905" s="75">
        <f>IF(F1905&gt;'THAM_SO_MOI'!$C$14,'THAM_SO_MOI'!$C$13*(1+F1905^2/1500),'THAM_SO_MOI'!$C$13)</f>
        <v>0.015</v>
      </c>
      <c r="J1905" s="75">
        <f>'THAM_SO_MOI'!$C$40*('THAM_SO_MOI'!$C$23*(E1905/'THAM_SO_MOI'!$C$22)+'THAM_SO_MOI'!$C$24*(E1905/'THAM_SO_MOI'!$C$22)^2-'THAM_SO_MOI'!$C$25*(E1905/'THAM_SO_MOI'!$C$22)^3)</f>
        <v>85.57826309494024</v>
      </c>
      <c r="K1905" s="75">
        <f>'THAM_SO_MOI'!$C$31*J1905/E1905</f>
        <v>427.034041296265</v>
      </c>
      <c r="L1905" s="75">
        <f>K1905*'THAM_SO_MOI'!$C$51*'THAM_SO_MOI'!$C$17/'THAM_SO_MOI'!$C$26</f>
        <v>9548.144038480616</v>
      </c>
      <c r="M1905" s="75">
        <f>'THAM_SO_MOI'!$C$15*'THAM_SO_MOI'!$C$16*F1905^2</f>
        <v>169.83085892994058</v>
      </c>
      <c r="N1905" s="75">
        <f>'THAM_SO_MOI'!$C$12*I1905</f>
        <v>1130.112</v>
      </c>
      <c r="O1905" s="75">
        <f>M1905+N1905</f>
        <v>1299.9428589299407</v>
      </c>
      <c r="P1905" s="75">
        <f>(MIN(L1905,'THAM_SO_MOI'!$C$41)-O1905)/('THAM_SO_MOI'!$C$11*H1905)</f>
        <v>0.7810796571544198</v>
      </c>
      <c r="Q1905" s="75">
        <f>IF(P1905&gt;0,1/P1905,NA())</f>
        <v>1.2802791505838687</v>
      </c>
      <c r="R1905" s="75">
        <f>F1905-F1904</f>
        <v>0.005028991339518285</v>
      </c>
      <c r="S1905" s="75">
        <f>0.5*(Q1904+Q1905)*R1905</f>
        <v>0.006438696150243614</v>
      </c>
      <c r="T1905" s="75">
        <f>0.5*(F1904*Q1904+F1905*Q1905)*R1905</f>
        <v>0.04904558922014576</v>
      </c>
      <c r="U1905" s="76">
        <f>U1904+S1905</f>
        <v>9.441738290995982</v>
      </c>
      <c r="V1905" s="76">
        <f>V1904+T1905</f>
        <v>43.94764337942997</v>
      </c>
    </row>
    <row r="1906" spans="1:22" ht="19" customHeight="1">
      <c r="A1906" s="68" t="s">
        <v>374</v>
      </c>
      <c r="B1906" s="74">
        <v>3</v>
      </c>
      <c r="C1906" s="68" t="s">
        <v>363</v>
      </c>
      <c r="D1906" s="68" t="s">
        <v>364</v>
      </c>
      <c r="E1906" s="75">
        <f>60*F1906*'THAM_SO_MOI'!$C$51/(2*PI()*'THAM_SO_MOI'!$C$26)</f>
        <v>1915.317707665579</v>
      </c>
      <c r="F1906" s="75">
        <f>'HANH_TRINH'!$F$1647+('THAM_SO_MOI'!$F$51-'HANH_TRINH'!$F$1647)*258/'THAM_SO_MOI'!$C$42</f>
        <v>7.6248604929411234</v>
      </c>
      <c r="G1906" s="75">
        <f>3.6*F1906</f>
        <v>27.449497774588046</v>
      </c>
      <c r="H1906" s="75">
        <f>'THAM_SO_MOI'!$D$51</f>
        <v>1.375</v>
      </c>
      <c r="I1906" s="75">
        <f>IF(F1906&gt;'THAM_SO_MOI'!$C$14,'THAM_SO_MOI'!$C$13*(1+F1906^2/1500),'THAM_SO_MOI'!$C$13)</f>
        <v>0.015</v>
      </c>
      <c r="J1906" s="75">
        <f>'THAM_SO_MOI'!$C$40*('THAM_SO_MOI'!$C$23*(E1906/'THAM_SO_MOI'!$C$22)+'THAM_SO_MOI'!$C$24*(E1906/'THAM_SO_MOI'!$C$22)^2-'THAM_SO_MOI'!$C$25*(E1906/'THAM_SO_MOI'!$C$22)^3)</f>
        <v>85.64093639554366</v>
      </c>
      <c r="K1906" s="75">
        <f>'THAM_SO_MOI'!$C$31*J1906/E1906</f>
        <v>427.06492258685114</v>
      </c>
      <c r="L1906" s="75">
        <f>K1906*'THAM_SO_MOI'!$C$51*'THAM_SO_MOI'!$C$17/'THAM_SO_MOI'!$C$26</f>
        <v>9548.83451975868</v>
      </c>
      <c r="M1906" s="75">
        <f>'THAM_SO_MOI'!$C$15*'THAM_SO_MOI'!$C$16*F1906^2</f>
        <v>170.05510529518202</v>
      </c>
      <c r="N1906" s="75">
        <f>'THAM_SO_MOI'!$C$12*I1906</f>
        <v>1130.112</v>
      </c>
      <c r="O1906" s="75">
        <f>M1906+N1906</f>
        <v>1300.1671052951822</v>
      </c>
      <c r="P1906" s="75">
        <f>(MIN(L1906,'THAM_SO_MOI'!$C$41)-O1906)/('THAM_SO_MOI'!$C$11*H1906)</f>
        <v>0.7811238081878314</v>
      </c>
      <c r="Q1906" s="75">
        <f>IF(P1906&gt;0,1/P1906,NA())</f>
        <v>1.2802067860662838</v>
      </c>
      <c r="R1906" s="75">
        <f>F1906-F1905</f>
        <v>0.005028991339517397</v>
      </c>
      <c r="S1906" s="75">
        <f>0.5*(Q1905+Q1906)*R1906</f>
        <v>0.006438330800184853</v>
      </c>
      <c r="T1906" s="75">
        <f>0.5*(F1905*Q1905+F1906*Q1906)*R1906</f>
        <v>0.04907518454635966</v>
      </c>
      <c r="U1906" s="76">
        <f>U1905+S1906</f>
        <v>9.448176621796167</v>
      </c>
      <c r="V1906" s="76">
        <f>V1905+T1906</f>
        <v>43.99671856397633</v>
      </c>
    </row>
    <row r="1907" spans="1:22" ht="19" customHeight="1">
      <c r="A1907" s="68" t="s">
        <v>374</v>
      </c>
      <c r="B1907" s="74">
        <v>3</v>
      </c>
      <c r="C1907" s="68" t="s">
        <v>363</v>
      </c>
      <c r="D1907" s="68" t="s">
        <v>364</v>
      </c>
      <c r="E1907" s="75">
        <f>60*F1907*'THAM_SO_MOI'!$C$51/(2*PI()*'THAM_SO_MOI'!$C$26)</f>
        <v>1916.5809591274508</v>
      </c>
      <c r="F1907" s="75">
        <f>'HANH_TRINH'!$F$1647+('THAM_SO_MOI'!$F$51-'HANH_TRINH'!$F$1647)*259/'THAM_SO_MOI'!$C$42</f>
        <v>7.629889484280641</v>
      </c>
      <c r="G1907" s="75">
        <f>3.6*F1907</f>
        <v>27.467602143410307</v>
      </c>
      <c r="H1907" s="75">
        <f>'THAM_SO_MOI'!$D$51</f>
        <v>1.375</v>
      </c>
      <c r="I1907" s="75">
        <f>IF(F1907&gt;'THAM_SO_MOI'!$C$14,'THAM_SO_MOI'!$C$13*(1+F1907^2/1500),'THAM_SO_MOI'!$C$13)</f>
        <v>0.015</v>
      </c>
      <c r="J1907" s="75">
        <f>'THAM_SO_MOI'!$C$40*('THAM_SO_MOI'!$C$23*(E1907/'THAM_SO_MOI'!$C$22)+'THAM_SO_MOI'!$C$24*(E1907/'THAM_SO_MOI'!$C$22)^2-'THAM_SO_MOI'!$C$25*(E1907/'THAM_SO_MOI'!$C$22)^3)</f>
        <v>85.70358679853787</v>
      </c>
      <c r="K1907" s="75">
        <f>'THAM_SO_MOI'!$C$31*J1907/E1907</f>
        <v>427.09564906060683</v>
      </c>
      <c r="L1907" s="75">
        <f>K1907*'THAM_SO_MOI'!$C$51*'THAM_SO_MOI'!$C$17/'THAM_SO_MOI'!$C$26</f>
        <v>9549.521539454634</v>
      </c>
      <c r="M1907" s="75">
        <f>'THAM_SO_MOI'!$C$15*'THAM_SO_MOI'!$C$16*F1907^2</f>
        <v>170.2794996113337</v>
      </c>
      <c r="N1907" s="75">
        <f>'THAM_SO_MOI'!$C$12*I1907</f>
        <v>1130.112</v>
      </c>
      <c r="O1907" s="75">
        <f>M1907+N1907</f>
        <v>1300.3914996113338</v>
      </c>
      <c r="P1907" s="75">
        <f>(MIN(L1907,'THAM_SO_MOI'!$C$41)-O1907)/('THAM_SO_MOI'!$C$11*H1907)</f>
        <v>0.7811676174094035</v>
      </c>
      <c r="Q1907" s="75">
        <f>IF(P1907&gt;0,1/P1907,NA())</f>
        <v>1.2801349898710768</v>
      </c>
      <c r="R1907" s="75">
        <f>F1907-F1906</f>
        <v>0.005028991339517397</v>
      </c>
      <c r="S1907" s="75">
        <f>0.5*(Q1906+Q1907)*R1907</f>
        <v>0.006437968308696789</v>
      </c>
      <c r="T1907" s="75">
        <f>0.5*(F1906*Q1906+F1907*Q1907)*R1907</f>
        <v>0.04910479800127841</v>
      </c>
      <c r="U1907" s="76">
        <f>U1906+S1907</f>
        <v>9.454614590104864</v>
      </c>
      <c r="V1907" s="76">
        <f>V1906+T1907</f>
        <v>44.04582336197761</v>
      </c>
    </row>
    <row r="1908" spans="1:22" ht="19" customHeight="1">
      <c r="A1908" s="68" t="s">
        <v>374</v>
      </c>
      <c r="B1908" s="74">
        <v>3</v>
      </c>
      <c r="C1908" s="68" t="s">
        <v>363</v>
      </c>
      <c r="D1908" s="68" t="s">
        <v>364</v>
      </c>
      <c r="E1908" s="75">
        <f>60*F1908*'THAM_SO_MOI'!$C$51/(2*PI()*'THAM_SO_MOI'!$C$26)</f>
        <v>1917.8442105893225</v>
      </c>
      <c r="F1908" s="75">
        <f>'HANH_TRINH'!$F$1647+('THAM_SO_MOI'!$F$51-'HANH_TRINH'!$F$1647)*260/'THAM_SO_MOI'!$C$42</f>
        <v>7.634918475620159</v>
      </c>
      <c r="G1908" s="75">
        <f>3.6*F1908</f>
        <v>27.485706512232575</v>
      </c>
      <c r="H1908" s="75">
        <f>'THAM_SO_MOI'!$D$51</f>
        <v>1.375</v>
      </c>
      <c r="I1908" s="75">
        <f>IF(F1908&gt;'THAM_SO_MOI'!$C$14,'THAM_SO_MOI'!$C$13*(1+F1908^2/1500),'THAM_SO_MOI'!$C$13)</f>
        <v>0.015</v>
      </c>
      <c r="J1908" s="75">
        <f>'THAM_SO_MOI'!$C$40*('THAM_SO_MOI'!$C$23*(E1908/'THAM_SO_MOI'!$C$22)+'THAM_SO_MOI'!$C$24*(E1908/'THAM_SO_MOI'!$C$22)^2-'THAM_SO_MOI'!$C$25*(E1908/'THAM_SO_MOI'!$C$22)^3)</f>
        <v>85.76621424249348</v>
      </c>
      <c r="K1908" s="75">
        <f>'THAM_SO_MOI'!$C$31*J1908/E1908</f>
        <v>427.1262207175321</v>
      </c>
      <c r="L1908" s="75">
        <f>K1908*'THAM_SO_MOI'!$C$51*'THAM_SO_MOI'!$C$17/'THAM_SO_MOI'!$C$26</f>
        <v>9550.205097568483</v>
      </c>
      <c r="M1908" s="75">
        <f>'THAM_SO_MOI'!$C$15*'THAM_SO_MOI'!$C$16*F1908^2</f>
        <v>170.50404187839573</v>
      </c>
      <c r="N1908" s="75">
        <f>'THAM_SO_MOI'!$C$12*I1908</f>
        <v>1130.112</v>
      </c>
      <c r="O1908" s="75">
        <f>M1908+N1908</f>
        <v>1300.616041878396</v>
      </c>
      <c r="P1908" s="75">
        <f>(MIN(L1908,'THAM_SO_MOI'!$C$41)-O1908)/('THAM_SO_MOI'!$C$11*H1908)</f>
        <v>0.7812110848191371</v>
      </c>
      <c r="Q1908" s="75">
        <f>IF(P1908&gt;0,1/P1908,NA())</f>
        <v>1.2800637618083925</v>
      </c>
      <c r="R1908" s="75">
        <f>F1908-F1907</f>
        <v>0.005028991339518285</v>
      </c>
      <c r="S1908" s="75">
        <f>0.5*(Q1907+Q1908)*R1908</f>
        <v>0.006437608674820789</v>
      </c>
      <c r="T1908" s="75">
        <f>0.5*(F1907*Q1907+F1908*Q1908)*R1908</f>
        <v>0.049134429620712544</v>
      </c>
      <c r="U1908" s="76">
        <f>U1907+S1908</f>
        <v>9.461052198779685</v>
      </c>
      <c r="V1908" s="76">
        <f>V1907+T1908</f>
        <v>44.094957791598326</v>
      </c>
    </row>
    <row r="1909" spans="1:22" ht="19" customHeight="1">
      <c r="A1909" s="68" t="s">
        <v>374</v>
      </c>
      <c r="B1909" s="74">
        <v>3</v>
      </c>
      <c r="C1909" s="68" t="s">
        <v>363</v>
      </c>
      <c r="D1909" s="68" t="s">
        <v>364</v>
      </c>
      <c r="E1909" s="75">
        <f>60*F1909*'THAM_SO_MOI'!$C$51/(2*PI()*'THAM_SO_MOI'!$C$26)</f>
        <v>1919.1074620511938</v>
      </c>
      <c r="F1909" s="75">
        <f>'HANH_TRINH'!$F$1647+('THAM_SO_MOI'!$F$51-'HANH_TRINH'!$F$1647)*261/'THAM_SO_MOI'!$C$42</f>
        <v>7.6399474669596765</v>
      </c>
      <c r="G1909" s="75">
        <f>3.6*F1909</f>
        <v>27.503810881054836</v>
      </c>
      <c r="H1909" s="75">
        <f>'THAM_SO_MOI'!$D$51</f>
        <v>1.375</v>
      </c>
      <c r="I1909" s="75">
        <f>IF(F1909&gt;'THAM_SO_MOI'!$C$14,'THAM_SO_MOI'!$C$13*(1+F1909^2/1500),'THAM_SO_MOI'!$C$13)</f>
        <v>0.015</v>
      </c>
      <c r="J1909" s="75">
        <f>'THAM_SO_MOI'!$C$40*('THAM_SO_MOI'!$C$23*(E1909/'THAM_SO_MOI'!$C$22)+'THAM_SO_MOI'!$C$24*(E1909/'THAM_SO_MOI'!$C$22)^2-'THAM_SO_MOI'!$C$25*(E1909/'THAM_SO_MOI'!$C$22)^3)</f>
        <v>85.82881866598109</v>
      </c>
      <c r="K1909" s="75">
        <f>'THAM_SO_MOI'!$C$31*J1909/E1909</f>
        <v>427.1566375576267</v>
      </c>
      <c r="L1909" s="75">
        <f>K1909*'THAM_SO_MOI'!$C$51*'THAM_SO_MOI'!$C$17/'THAM_SO_MOI'!$C$26</f>
        <v>9550.885194100218</v>
      </c>
      <c r="M1909" s="75">
        <f>'THAM_SO_MOI'!$C$15*'THAM_SO_MOI'!$C$16*F1909^2</f>
        <v>170.728732096368</v>
      </c>
      <c r="N1909" s="75">
        <f>'THAM_SO_MOI'!$C$12*I1909</f>
        <v>1130.112</v>
      </c>
      <c r="O1909" s="75">
        <f>M1909+N1909</f>
        <v>1300.8407320963681</v>
      </c>
      <c r="P1909" s="75">
        <f>(MIN(L1909,'THAM_SO_MOI'!$C$41)-O1909)/('THAM_SO_MOI'!$C$11*H1909)</f>
        <v>0.7812542104170314</v>
      </c>
      <c r="Q1909" s="75">
        <f>IF(P1909&gt;0,1/P1909,NA())</f>
        <v>1.279993101689913</v>
      </c>
      <c r="R1909" s="75">
        <f>F1909-F1908</f>
        <v>0.005028991339517397</v>
      </c>
      <c r="S1909" s="75">
        <f>0.5*(Q1908+Q1909)*R1909</f>
        <v>0.006437251897602525</v>
      </c>
      <c r="T1909" s="75">
        <f>0.5*(F1908*Q1908+F1909*Q1909)*R1909</f>
        <v>0.0491640794404862</v>
      </c>
      <c r="U1909" s="76">
        <f>U1908+S1909</f>
        <v>9.467489450677288</v>
      </c>
      <c r="V1909" s="76">
        <f>V1908+T1909</f>
        <v>44.14412187103881</v>
      </c>
    </row>
    <row r="1910" spans="1:22" ht="19" customHeight="1">
      <c r="A1910" s="68" t="s">
        <v>374</v>
      </c>
      <c r="B1910" s="74">
        <v>3</v>
      </c>
      <c r="C1910" s="68" t="s">
        <v>363</v>
      </c>
      <c r="D1910" s="68" t="s">
        <v>364</v>
      </c>
      <c r="E1910" s="75">
        <f>60*F1910*'THAM_SO_MOI'!$C$51/(2*PI()*'THAM_SO_MOI'!$C$26)</f>
        <v>1920.3707135130655</v>
      </c>
      <c r="F1910" s="75">
        <f>'HANH_TRINH'!$F$1647+('THAM_SO_MOI'!$F$51-'HANH_TRINH'!$F$1647)*262/'THAM_SO_MOI'!$C$42</f>
        <v>7.644976458299194</v>
      </c>
      <c r="G1910" s="75">
        <f>3.6*F1910</f>
        <v>27.5219152498771</v>
      </c>
      <c r="H1910" s="75">
        <f>'THAM_SO_MOI'!$D$51</f>
        <v>1.375</v>
      </c>
      <c r="I1910" s="75">
        <f>IF(F1910&gt;'THAM_SO_MOI'!$C$14,'THAM_SO_MOI'!$C$13*(1+F1910^2/1500),'THAM_SO_MOI'!$C$13)</f>
        <v>0.015</v>
      </c>
      <c r="J1910" s="75">
        <f>'THAM_SO_MOI'!$C$40*('THAM_SO_MOI'!$C$23*(E1910/'THAM_SO_MOI'!$C$22)+'THAM_SO_MOI'!$C$24*(E1910/'THAM_SO_MOI'!$C$22)^2-'THAM_SO_MOI'!$C$25*(E1910/'THAM_SO_MOI'!$C$22)^3)</f>
        <v>85.89140000757145</v>
      </c>
      <c r="K1910" s="75">
        <f>'THAM_SO_MOI'!$C$31*J1910/E1910</f>
        <v>427.18689958089095</v>
      </c>
      <c r="L1910" s="75">
        <f>K1910*'THAM_SO_MOI'!$C$51*'THAM_SO_MOI'!$C$17/'THAM_SO_MOI'!$C$26</f>
        <v>9551.56182904985</v>
      </c>
      <c r="M1910" s="75">
        <f>'THAM_SO_MOI'!$C$15*'THAM_SO_MOI'!$C$16*F1910^2</f>
        <v>170.9535702652505</v>
      </c>
      <c r="N1910" s="75">
        <f>'THAM_SO_MOI'!$C$12*I1910</f>
        <v>1130.112</v>
      </c>
      <c r="O1910" s="75">
        <f>M1910+N1910</f>
        <v>1301.0655702652507</v>
      </c>
      <c r="P1910" s="75">
        <f>(MIN(L1910,'THAM_SO_MOI'!$C$41)-O1910)/('THAM_SO_MOI'!$C$11*H1910)</f>
        <v>0.781296994203087</v>
      </c>
      <c r="Q1910" s="75">
        <f>IF(P1910&gt;0,1/P1910,NA())</f>
        <v>1.2799230093288498</v>
      </c>
      <c r="R1910" s="75">
        <f>F1910-F1909</f>
        <v>0.005028991339517397</v>
      </c>
      <c r="S1910" s="75">
        <f>0.5*(Q1909+Q1910)*R1910</f>
        <v>0.0064368979761022065</v>
      </c>
      <c r="T1910" s="75">
        <f>0.5*(F1909*Q1909+F1910*Q1910)*R1910</f>
        <v>0.049193747496515346</v>
      </c>
      <c r="U1910" s="76">
        <f>U1909+S1910</f>
        <v>9.47392634865339</v>
      </c>
      <c r="V1910" s="76">
        <f>V1909+T1910</f>
        <v>44.19331561853533</v>
      </c>
    </row>
    <row r="1911" spans="1:22" ht="19" customHeight="1">
      <c r="A1911" s="68" t="s">
        <v>374</v>
      </c>
      <c r="B1911" s="74">
        <v>3</v>
      </c>
      <c r="C1911" s="68" t="s">
        <v>363</v>
      </c>
      <c r="D1911" s="68" t="s">
        <v>364</v>
      </c>
      <c r="E1911" s="75">
        <f>60*F1911*'THAM_SO_MOI'!$C$51/(2*PI()*'THAM_SO_MOI'!$C$26)</f>
        <v>1921.6339649749373</v>
      </c>
      <c r="F1911" s="75">
        <f>'HANH_TRINH'!$F$1647+('THAM_SO_MOI'!$F$51-'HANH_TRINH'!$F$1647)*263/'THAM_SO_MOI'!$C$42</f>
        <v>7.650005449638712</v>
      </c>
      <c r="G1911" s="75">
        <f>3.6*F1911</f>
        <v>27.540019618699365</v>
      </c>
      <c r="H1911" s="75">
        <f>'THAM_SO_MOI'!$D$51</f>
        <v>1.375</v>
      </c>
      <c r="I1911" s="75">
        <f>IF(F1911&gt;'THAM_SO_MOI'!$C$14,'THAM_SO_MOI'!$C$13*(1+F1911^2/1500),'THAM_SO_MOI'!$C$13)</f>
        <v>0.015</v>
      </c>
      <c r="J1911" s="75">
        <f>'THAM_SO_MOI'!$C$40*('THAM_SO_MOI'!$C$23*(E1911/'THAM_SO_MOI'!$C$22)+'THAM_SO_MOI'!$C$24*(E1911/'THAM_SO_MOI'!$C$22)^2-'THAM_SO_MOI'!$C$25*(E1911/'THAM_SO_MOI'!$C$22)^3)</f>
        <v>85.95395820583514</v>
      </c>
      <c r="K1911" s="75">
        <f>'THAM_SO_MOI'!$C$31*J1911/E1911</f>
        <v>427.21700678732464</v>
      </c>
      <c r="L1911" s="75">
        <f>K1911*'THAM_SO_MOI'!$C$51*'THAM_SO_MOI'!$C$17/'THAM_SO_MOI'!$C$26</f>
        <v>9552.235002417368</v>
      </c>
      <c r="M1911" s="75">
        <f>'THAM_SO_MOI'!$C$15*'THAM_SO_MOI'!$C$16*F1911^2</f>
        <v>171.17855638504335</v>
      </c>
      <c r="N1911" s="75">
        <f>'THAM_SO_MOI'!$C$12*I1911</f>
        <v>1130.112</v>
      </c>
      <c r="O1911" s="75">
        <f>M1911+N1911</f>
        <v>1301.2905563850434</v>
      </c>
      <c r="P1911" s="75">
        <f>(MIN(L1911,'THAM_SO_MOI'!$C$41)-O1911)/('THAM_SO_MOI'!$C$11*H1911)</f>
        <v>0.7813394361773035</v>
      </c>
      <c r="Q1911" s="75">
        <f>IF(P1911&gt;0,1/P1911,NA())</f>
        <v>1.2798534845399478</v>
      </c>
      <c r="R1911" s="75">
        <f>F1911-F1910</f>
        <v>0.005028991339518285</v>
      </c>
      <c r="S1911" s="75">
        <f>0.5*(Q1910+Q1911)*R1911</f>
        <v>0.006436546909384332</v>
      </c>
      <c r="T1911" s="75">
        <f>0.5*(F1910*Q1910+F1911*Q1911)*R1911</f>
        <v>0.04922343382472992</v>
      </c>
      <c r="U1911" s="76">
        <f>U1910+S1911</f>
        <v>9.480362895562774</v>
      </c>
      <c r="V1911" s="76">
        <f>V1910+T1911</f>
        <v>44.24253905236006</v>
      </c>
    </row>
    <row r="1912" spans="1:22" ht="19" customHeight="1">
      <c r="A1912" s="68" t="s">
        <v>374</v>
      </c>
      <c r="B1912" s="74">
        <v>3</v>
      </c>
      <c r="C1912" s="68" t="s">
        <v>363</v>
      </c>
      <c r="D1912" s="68" t="s">
        <v>364</v>
      </c>
      <c r="E1912" s="75">
        <f>60*F1912*'THAM_SO_MOI'!$C$51/(2*PI()*'THAM_SO_MOI'!$C$26)</f>
        <v>1922.897216436809</v>
      </c>
      <c r="F1912" s="75">
        <f>'HANH_TRINH'!$F$1647+('THAM_SO_MOI'!$F$51-'HANH_TRINH'!$F$1647)*264/'THAM_SO_MOI'!$C$42</f>
        <v>7.65503444097823</v>
      </c>
      <c r="G1912" s="75">
        <f>3.6*F1912</f>
        <v>27.558123987521626</v>
      </c>
      <c r="H1912" s="75">
        <f>'THAM_SO_MOI'!$D$51</f>
        <v>1.375</v>
      </c>
      <c r="I1912" s="75">
        <f>IF(F1912&gt;'THAM_SO_MOI'!$C$14,'THAM_SO_MOI'!$C$13*(1+F1912^2/1500),'THAM_SO_MOI'!$C$13)</f>
        <v>0.015</v>
      </c>
      <c r="J1912" s="75">
        <f>'THAM_SO_MOI'!$C$40*('THAM_SO_MOI'!$C$23*(E1912/'THAM_SO_MOI'!$C$22)+'THAM_SO_MOI'!$C$24*(E1912/'THAM_SO_MOI'!$C$22)^2-'THAM_SO_MOI'!$C$25*(E1912/'THAM_SO_MOI'!$C$22)^3)</f>
        <v>86.01649319934285</v>
      </c>
      <c r="K1912" s="75">
        <f>'THAM_SO_MOI'!$C$31*J1912/E1912</f>
        <v>427.2469591769278</v>
      </c>
      <c r="L1912" s="75">
        <f>K1912*'THAM_SO_MOI'!$C$51*'THAM_SO_MOI'!$C$17/'THAM_SO_MOI'!$C$26</f>
        <v>9552.90471420278</v>
      </c>
      <c r="M1912" s="75">
        <f>'THAM_SO_MOI'!$C$15*'THAM_SO_MOI'!$C$16*F1912^2</f>
        <v>171.40369045574644</v>
      </c>
      <c r="N1912" s="75">
        <f>'THAM_SO_MOI'!$C$12*I1912</f>
        <v>1130.112</v>
      </c>
      <c r="O1912" s="75">
        <f>M1912+N1912</f>
        <v>1301.5156904557466</v>
      </c>
      <c r="P1912" s="75">
        <f>(MIN(L1912,'THAM_SO_MOI'!$C$41)-O1912)/('THAM_SO_MOI'!$C$11*H1912)</f>
        <v>0.7813815363396812</v>
      </c>
      <c r="Q1912" s="75">
        <f>IF(P1912&gt;0,1/P1912,NA())</f>
        <v>1.2797845271394808</v>
      </c>
      <c r="R1912" s="75">
        <f>F1912-F1911</f>
        <v>0.005028991339517397</v>
      </c>
      <c r="S1912" s="75">
        <f>0.5*(Q1911+Q1912)*R1912</f>
        <v>0.006436198696517688</v>
      </c>
      <c r="T1912" s="75">
        <f>0.5*(F1911*Q1911+F1912*Q1912)*R1912</f>
        <v>0.049253138461073834</v>
      </c>
      <c r="U1912" s="76">
        <f>U1911+S1912</f>
        <v>9.486799094259291</v>
      </c>
      <c r="V1912" s="76">
        <f>V1911+T1912</f>
        <v>44.291792190821134</v>
      </c>
    </row>
    <row r="1913" spans="1:22" ht="19" customHeight="1">
      <c r="A1913" s="68" t="s">
        <v>374</v>
      </c>
      <c r="B1913" s="74">
        <v>3</v>
      </c>
      <c r="C1913" s="68" t="s">
        <v>363</v>
      </c>
      <c r="D1913" s="68" t="s">
        <v>364</v>
      </c>
      <c r="E1913" s="75">
        <f>60*F1913*'THAM_SO_MOI'!$C$51/(2*PI()*'THAM_SO_MOI'!$C$26)</f>
        <v>1924.1604678986805</v>
      </c>
      <c r="F1913" s="75">
        <f>'HANH_TRINH'!$F$1647+('THAM_SO_MOI'!$F$51-'HANH_TRINH'!$F$1647)*265/'THAM_SO_MOI'!$C$42</f>
        <v>7.660063432317747</v>
      </c>
      <c r="G1913" s="75">
        <f>3.6*F1913</f>
        <v>27.57622835634389</v>
      </c>
      <c r="H1913" s="75">
        <f>'THAM_SO_MOI'!$D$51</f>
        <v>1.375</v>
      </c>
      <c r="I1913" s="75">
        <f>IF(F1913&gt;'THAM_SO_MOI'!$C$14,'THAM_SO_MOI'!$C$13*(1+F1913^2/1500),'THAM_SO_MOI'!$C$13)</f>
        <v>0.015</v>
      </c>
      <c r="J1913" s="75">
        <f>'THAM_SO_MOI'!$C$40*('THAM_SO_MOI'!$C$23*(E1913/'THAM_SO_MOI'!$C$22)+'THAM_SO_MOI'!$C$24*(E1913/'THAM_SO_MOI'!$C$22)^2-'THAM_SO_MOI'!$C$25*(E1913/'THAM_SO_MOI'!$C$22)^3)</f>
        <v>86.0790049266652</v>
      </c>
      <c r="K1913" s="75">
        <f>'THAM_SO_MOI'!$C$31*J1913/E1913</f>
        <v>427.2767567497006</v>
      </c>
      <c r="L1913" s="75">
        <f>K1913*'THAM_SO_MOI'!$C$51*'THAM_SO_MOI'!$C$17/'THAM_SO_MOI'!$C$26</f>
        <v>9553.570964406084</v>
      </c>
      <c r="M1913" s="75">
        <f>'THAM_SO_MOI'!$C$15*'THAM_SO_MOI'!$C$16*F1913^2</f>
        <v>171.62897247735978</v>
      </c>
      <c r="N1913" s="75">
        <f>'THAM_SO_MOI'!$C$12*I1913</f>
        <v>1130.112</v>
      </c>
      <c r="O1913" s="75">
        <f>M1913+N1913</f>
        <v>1301.74097247736</v>
      </c>
      <c r="P1913" s="75">
        <f>(MIN(L1913,'THAM_SO_MOI'!$C$41)-O1913)/('THAM_SO_MOI'!$C$11*H1913)</f>
        <v>0.7814232946902201</v>
      </c>
      <c r="Q1913" s="75">
        <f>IF(P1913&gt;0,1/P1913,NA())</f>
        <v>1.2797161369452523</v>
      </c>
      <c r="R1913" s="75">
        <f>F1913-F1912</f>
        <v>0.005028991339517397</v>
      </c>
      <c r="S1913" s="75">
        <f>0.5*(Q1912+Q1913)*R1913</f>
        <v>0.006435853336585574</v>
      </c>
      <c r="T1913" s="75">
        <f>0.5*(F1912*Q1912+F1913*Q1913)*R1913</f>
        <v>0.04928286144158338</v>
      </c>
      <c r="U1913" s="76">
        <f>U1912+S1913</f>
        <v>9.493234947595877</v>
      </c>
      <c r="V1913" s="76">
        <f>V1912+T1913</f>
        <v>44.34107505226272</v>
      </c>
    </row>
    <row r="1914" spans="1:22" ht="19" customHeight="1">
      <c r="A1914" s="68" t="s">
        <v>374</v>
      </c>
      <c r="B1914" s="74">
        <v>3</v>
      </c>
      <c r="C1914" s="68" t="s">
        <v>363</v>
      </c>
      <c r="D1914" s="68" t="s">
        <v>364</v>
      </c>
      <c r="E1914" s="75">
        <f>60*F1914*'THAM_SO_MOI'!$C$51/(2*PI()*'THAM_SO_MOI'!$C$26)</f>
        <v>1925.4237193605522</v>
      </c>
      <c r="F1914" s="75">
        <f>'HANH_TRINH'!$F$1647+('THAM_SO_MOI'!$F$51-'HANH_TRINH'!$F$1647)*266/'THAM_SO_MOI'!$C$42</f>
        <v>7.665092423657265</v>
      </c>
      <c r="G1914" s="75">
        <f>3.6*F1914</f>
        <v>27.594332725166154</v>
      </c>
      <c r="H1914" s="75">
        <f>'THAM_SO_MOI'!$D$51</f>
        <v>1.375</v>
      </c>
      <c r="I1914" s="75">
        <f>IF(F1914&gt;'THAM_SO_MOI'!$C$14,'THAM_SO_MOI'!$C$13*(1+F1914^2/1500),'THAM_SO_MOI'!$C$13)</f>
        <v>0.015</v>
      </c>
      <c r="J1914" s="75">
        <f>'THAM_SO_MOI'!$C$40*('THAM_SO_MOI'!$C$23*(E1914/'THAM_SO_MOI'!$C$22)+'THAM_SO_MOI'!$C$24*(E1914/'THAM_SO_MOI'!$C$22)^2-'THAM_SO_MOI'!$C$25*(E1914/'THAM_SO_MOI'!$C$22)^3)</f>
        <v>86.14149332637285</v>
      </c>
      <c r="K1914" s="75">
        <f>'THAM_SO_MOI'!$C$31*J1914/E1914</f>
        <v>427.3063995056428</v>
      </c>
      <c r="L1914" s="75">
        <f>K1914*'THAM_SO_MOI'!$C$51*'THAM_SO_MOI'!$C$17/'THAM_SO_MOI'!$C$26</f>
        <v>9554.233753027278</v>
      </c>
      <c r="M1914" s="75">
        <f>'THAM_SO_MOI'!$C$15*'THAM_SO_MOI'!$C$16*F1914^2</f>
        <v>171.85440244988342</v>
      </c>
      <c r="N1914" s="75">
        <f>'THAM_SO_MOI'!$C$12*I1914</f>
        <v>1130.112</v>
      </c>
      <c r="O1914" s="75">
        <f>M1914+N1914</f>
        <v>1301.9664024498834</v>
      </c>
      <c r="P1914" s="75">
        <f>(MIN(L1914,'THAM_SO_MOI'!$C$41)-O1914)/('THAM_SO_MOI'!$C$11*H1914)</f>
        <v>0.7814647112289198</v>
      </c>
      <c r="Q1914" s="75">
        <f>IF(P1914&gt;0,1/P1914,NA())</f>
        <v>1.2796483137765937</v>
      </c>
      <c r="R1914" s="75">
        <f>F1914-F1913</f>
        <v>0.005028991339518285</v>
      </c>
      <c r="S1914" s="75">
        <f>0.5*(Q1913+Q1914)*R1914</f>
        <v>0.0064355108286755685</v>
      </c>
      <c r="T1914" s="75">
        <f>0.5*(F1913*Q1913+F1914*Q1914)*R1914</f>
        <v>0.04931260280230923</v>
      </c>
      <c r="U1914" s="76">
        <f>U1913+S1914</f>
        <v>9.499670458424552</v>
      </c>
      <c r="V1914" s="76">
        <f>V1913+T1914</f>
        <v>44.39038765506503</v>
      </c>
    </row>
    <row r="1915" spans="1:22" ht="19" customHeight="1">
      <c r="A1915" s="68" t="s">
        <v>374</v>
      </c>
      <c r="B1915" s="74">
        <v>3</v>
      </c>
      <c r="C1915" s="68" t="s">
        <v>363</v>
      </c>
      <c r="D1915" s="68" t="s">
        <v>364</v>
      </c>
      <c r="E1915" s="75">
        <f>60*F1915*'THAM_SO_MOI'!$C$51/(2*PI()*'THAM_SO_MOI'!$C$26)</f>
        <v>1926.6869708224235</v>
      </c>
      <c r="F1915" s="75">
        <f>'HANH_TRINH'!$F$1647+('THAM_SO_MOI'!$F$51-'HANH_TRINH'!$F$1647)*267/'THAM_SO_MOI'!$C$42</f>
        <v>7.670121414996783</v>
      </c>
      <c r="G1915" s="75">
        <f>3.6*F1915</f>
        <v>27.61243709398842</v>
      </c>
      <c r="H1915" s="75">
        <f>'THAM_SO_MOI'!$D$51</f>
        <v>1.375</v>
      </c>
      <c r="I1915" s="75">
        <f>IF(F1915&gt;'THAM_SO_MOI'!$C$14,'THAM_SO_MOI'!$C$13*(1+F1915^2/1500),'THAM_SO_MOI'!$C$13)</f>
        <v>0.015</v>
      </c>
      <c r="J1915" s="75">
        <f>'THAM_SO_MOI'!$C$40*('THAM_SO_MOI'!$C$23*(E1915/'THAM_SO_MOI'!$C$22)+'THAM_SO_MOI'!$C$24*(E1915/'THAM_SO_MOI'!$C$22)^2-'THAM_SO_MOI'!$C$25*(E1915/'THAM_SO_MOI'!$C$22)^3)</f>
        <v>86.2039583370364</v>
      </c>
      <c r="K1915" s="75">
        <f>'THAM_SO_MOI'!$C$31*J1915/E1915</f>
        <v>427.33588744475423</v>
      </c>
      <c r="L1915" s="75">
        <f>K1915*'THAM_SO_MOI'!$C$51*'THAM_SO_MOI'!$C$17/'THAM_SO_MOI'!$C$26</f>
        <v>9554.893080066358</v>
      </c>
      <c r="M1915" s="75">
        <f>'THAM_SO_MOI'!$C$15*'THAM_SO_MOI'!$C$16*F1915^2</f>
        <v>172.07998037331734</v>
      </c>
      <c r="N1915" s="75">
        <f>'THAM_SO_MOI'!$C$12*I1915</f>
        <v>1130.112</v>
      </c>
      <c r="O1915" s="75">
        <f>M1915+N1915</f>
        <v>1302.1919803733174</v>
      </c>
      <c r="P1915" s="75">
        <f>(MIN(L1915,'THAM_SO_MOI'!$C$41)-O1915)/('THAM_SO_MOI'!$C$11*H1915)</f>
        <v>0.7815057859557804</v>
      </c>
      <c r="Q1915" s="75">
        <f>IF(P1915&gt;0,1/P1915,NA())</f>
        <v>1.2795810574543625</v>
      </c>
      <c r="R1915" s="75">
        <f>F1915-F1914</f>
        <v>0.005028991339517397</v>
      </c>
      <c r="S1915" s="75">
        <f>0.5*(Q1914+Q1915)*R1915</f>
        <v>0.006435171171879517</v>
      </c>
      <c r="T1915" s="75">
        <f>0.5*(F1914*Q1914+F1915*Q1915)*R1915</f>
        <v>0.0493423625793164</v>
      </c>
      <c r="U1915" s="76">
        <f>U1914+S1915</f>
        <v>9.506105629596432</v>
      </c>
      <c r="V1915" s="76">
        <f>V1914+T1915</f>
        <v>44.439730017644344</v>
      </c>
    </row>
    <row r="1916" spans="1:22" ht="19" customHeight="1">
      <c r="A1916" s="68" t="s">
        <v>374</v>
      </c>
      <c r="B1916" s="74">
        <v>3</v>
      </c>
      <c r="C1916" s="68" t="s">
        <v>363</v>
      </c>
      <c r="D1916" s="68" t="s">
        <v>364</v>
      </c>
      <c r="E1916" s="75">
        <f>60*F1916*'THAM_SO_MOI'!$C$51/(2*PI()*'THAM_SO_MOI'!$C$26)</f>
        <v>1927.9502222842953</v>
      </c>
      <c r="F1916" s="75">
        <f>'HANH_TRINH'!$F$1647+('THAM_SO_MOI'!$F$51-'HANH_TRINH'!$F$1647)*268/'THAM_SO_MOI'!$C$42</f>
        <v>7.6751504063363</v>
      </c>
      <c r="G1916" s="75">
        <f>3.6*F1916</f>
        <v>27.63054146281068</v>
      </c>
      <c r="H1916" s="75">
        <f>'THAM_SO_MOI'!$D$51</f>
        <v>1.375</v>
      </c>
      <c r="I1916" s="75">
        <f>IF(F1916&gt;'THAM_SO_MOI'!$C$14,'THAM_SO_MOI'!$C$13*(1+F1916^2/1500),'THAM_SO_MOI'!$C$13)</f>
        <v>0.015</v>
      </c>
      <c r="J1916" s="75">
        <f>'THAM_SO_MOI'!$C$40*('THAM_SO_MOI'!$C$23*(E1916/'THAM_SO_MOI'!$C$22)+'THAM_SO_MOI'!$C$24*(E1916/'THAM_SO_MOI'!$C$22)^2-'THAM_SO_MOI'!$C$25*(E1916/'THAM_SO_MOI'!$C$22)^3)</f>
        <v>86.26639989722663</v>
      </c>
      <c r="K1916" s="75">
        <f>'THAM_SO_MOI'!$C$31*J1916/E1916</f>
        <v>427.3652205670356</v>
      </c>
      <c r="L1916" s="75">
        <f>K1916*'THAM_SO_MOI'!$C$51*'THAM_SO_MOI'!$C$17/'THAM_SO_MOI'!$C$26</f>
        <v>9555.548945523336</v>
      </c>
      <c r="M1916" s="75">
        <f>'THAM_SO_MOI'!$C$15*'THAM_SO_MOI'!$C$16*F1916^2</f>
        <v>172.30570624766153</v>
      </c>
      <c r="N1916" s="75">
        <f>'THAM_SO_MOI'!$C$12*I1916</f>
        <v>1130.112</v>
      </c>
      <c r="O1916" s="75">
        <f>M1916+N1916</f>
        <v>1302.4177062476615</v>
      </c>
      <c r="P1916" s="75">
        <f>(MIN(L1916,'THAM_SO_MOI'!$C$41)-O1916)/('THAM_SO_MOI'!$C$11*H1916)</f>
        <v>0.7815465188708024</v>
      </c>
      <c r="Q1916" s="75">
        <f>IF(P1916&gt;0,1/P1916,NA())</f>
        <v>1.2795143678009397</v>
      </c>
      <c r="R1916" s="75">
        <f>F1916-F1915</f>
        <v>0.005028991339517397</v>
      </c>
      <c r="S1916" s="75">
        <f>0.5*(Q1915+Q1916)*R1916</f>
        <v>0.006434834365303752</v>
      </c>
      <c r="T1916" s="75">
        <f>0.5*(F1915*Q1915+F1916*Q1916)*R1916</f>
        <v>0.049372140808762816</v>
      </c>
      <c r="U1916" s="76">
        <f>U1915+S1916</f>
        <v>9.512540463961736</v>
      </c>
      <c r="V1916" s="76">
        <f>V1915+T1916</f>
        <v>44.48910215845311</v>
      </c>
    </row>
    <row r="1917" spans="1:22" ht="19" customHeight="1">
      <c r="A1917" s="68" t="s">
        <v>374</v>
      </c>
      <c r="B1917" s="74">
        <v>3</v>
      </c>
      <c r="C1917" s="68" t="s">
        <v>363</v>
      </c>
      <c r="D1917" s="68" t="s">
        <v>364</v>
      </c>
      <c r="E1917" s="75">
        <f>60*F1917*'THAM_SO_MOI'!$C$51/(2*PI()*'THAM_SO_MOI'!$C$26)</f>
        <v>1929.213473746167</v>
      </c>
      <c r="F1917" s="75">
        <f>'HANH_TRINH'!$F$1647+('THAM_SO_MOI'!$F$51-'HANH_TRINH'!$F$1647)*269/'THAM_SO_MOI'!$C$42</f>
        <v>7.680179397675818</v>
      </c>
      <c r="G1917" s="75">
        <f>3.6*F1917</f>
        <v>27.648645831632948</v>
      </c>
      <c r="H1917" s="75">
        <f>'THAM_SO_MOI'!$D$51</f>
        <v>1.375</v>
      </c>
      <c r="I1917" s="75">
        <f>IF(F1917&gt;'THAM_SO_MOI'!$C$14,'THAM_SO_MOI'!$C$13*(1+F1917^2/1500),'THAM_SO_MOI'!$C$13)</f>
        <v>0.015</v>
      </c>
      <c r="J1917" s="75">
        <f>'THAM_SO_MOI'!$C$40*('THAM_SO_MOI'!$C$23*(E1917/'THAM_SO_MOI'!$C$22)+'THAM_SO_MOI'!$C$24*(E1917/'THAM_SO_MOI'!$C$22)^2-'THAM_SO_MOI'!$C$25*(E1917/'THAM_SO_MOI'!$C$22)^3)</f>
        <v>86.32881794551406</v>
      </c>
      <c r="K1917" s="75">
        <f>'THAM_SO_MOI'!$C$31*J1917/E1917</f>
        <v>427.39439887248614</v>
      </c>
      <c r="L1917" s="75">
        <f>K1917*'THAM_SO_MOI'!$C$51*'THAM_SO_MOI'!$C$17/'THAM_SO_MOI'!$C$26</f>
        <v>9556.201349398203</v>
      </c>
      <c r="M1917" s="75">
        <f>'THAM_SO_MOI'!$C$15*'THAM_SO_MOI'!$C$16*F1917^2</f>
        <v>172.531580072916</v>
      </c>
      <c r="N1917" s="75">
        <f>'THAM_SO_MOI'!$C$12*I1917</f>
        <v>1130.112</v>
      </c>
      <c r="O1917" s="75">
        <f>M1917+N1917</f>
        <v>1302.6435800729162</v>
      </c>
      <c r="P1917" s="75">
        <f>(MIN(L1917,'THAM_SO_MOI'!$C$41)-O1917)/('THAM_SO_MOI'!$C$11*H1917)</f>
        <v>0.7815869099739854</v>
      </c>
      <c r="Q1917" s="75">
        <f>IF(P1917&gt;0,1/P1917,NA())</f>
        <v>1.2794482446402338</v>
      </c>
      <c r="R1917" s="75">
        <f>F1917-F1916</f>
        <v>0.005028991339518285</v>
      </c>
      <c r="S1917" s="75">
        <f>0.5*(Q1916+Q1917)*R1917</f>
        <v>0.006434500408058873</v>
      </c>
      <c r="T1917" s="75">
        <f>0.5*(F1916*Q1916+F1917*Q1917)*R1917</f>
        <v>0.049401937526821135</v>
      </c>
      <c r="U1917" s="76">
        <f>U1916+S1917</f>
        <v>9.518974964369795</v>
      </c>
      <c r="V1917" s="76">
        <f>V1916+T1917</f>
        <v>44.53850409597993</v>
      </c>
    </row>
    <row r="1918" spans="1:22" ht="19" customHeight="1">
      <c r="A1918" s="68" t="s">
        <v>374</v>
      </c>
      <c r="B1918" s="74">
        <v>3</v>
      </c>
      <c r="C1918" s="68" t="s">
        <v>363</v>
      </c>
      <c r="D1918" s="68" t="s">
        <v>364</v>
      </c>
      <c r="E1918" s="75">
        <f>60*F1918*'THAM_SO_MOI'!$C$51/(2*PI()*'THAM_SO_MOI'!$C$26)</f>
        <v>1930.4767252080387</v>
      </c>
      <c r="F1918" s="75">
        <f>'HANH_TRINH'!$F$1647+('THAM_SO_MOI'!$F$51-'HANH_TRINH'!$F$1647)*270/'THAM_SO_MOI'!$C$42</f>
        <v>7.685208389015336</v>
      </c>
      <c r="G1918" s="75">
        <f>3.6*F1918</f>
        <v>27.66675020045521</v>
      </c>
      <c r="H1918" s="75">
        <f>'THAM_SO_MOI'!$D$51</f>
        <v>1.375</v>
      </c>
      <c r="I1918" s="75">
        <f>IF(F1918&gt;'THAM_SO_MOI'!$C$14,'THAM_SO_MOI'!$C$13*(1+F1918^2/1500),'THAM_SO_MOI'!$C$13)</f>
        <v>0.015</v>
      </c>
      <c r="J1918" s="75">
        <f>'THAM_SO_MOI'!$C$40*('THAM_SO_MOI'!$C$23*(E1918/'THAM_SO_MOI'!$C$22)+'THAM_SO_MOI'!$C$24*(E1918/'THAM_SO_MOI'!$C$22)^2-'THAM_SO_MOI'!$C$25*(E1918/'THAM_SO_MOI'!$C$22)^3)</f>
        <v>86.39121242046942</v>
      </c>
      <c r="K1918" s="75">
        <f>'THAM_SO_MOI'!$C$31*J1918/E1918</f>
        <v>427.42342236110625</v>
      </c>
      <c r="L1918" s="75">
        <f>K1918*'THAM_SO_MOI'!$C$51*'THAM_SO_MOI'!$C$17/'THAM_SO_MOI'!$C$26</f>
        <v>9556.85029169096</v>
      </c>
      <c r="M1918" s="75">
        <f>'THAM_SO_MOI'!$C$15*'THAM_SO_MOI'!$C$16*F1918^2</f>
        <v>172.75760184908071</v>
      </c>
      <c r="N1918" s="75">
        <f>'THAM_SO_MOI'!$C$12*I1918</f>
        <v>1130.112</v>
      </c>
      <c r="O1918" s="75">
        <f>M1918+N1918</f>
        <v>1302.8696018490807</v>
      </c>
      <c r="P1918" s="75">
        <f>(MIN(L1918,'THAM_SO_MOI'!$C$41)-O1918)/('THAM_SO_MOI'!$C$11*H1918)</f>
        <v>0.7816269592653294</v>
      </c>
      <c r="Q1918" s="75">
        <f>IF(P1918&gt;0,1/P1918,NA())</f>
        <v>1.2793826877976737</v>
      </c>
      <c r="R1918" s="75">
        <f>F1918-F1917</f>
        <v>0.005028991339517397</v>
      </c>
      <c r="S1918" s="75">
        <f>0.5*(Q1917+Q1918)*R1918</f>
        <v>0.006434169299259732</v>
      </c>
      <c r="T1918" s="75">
        <f>0.5*(F1917*Q1917+F1918*Q1918)*R1918</f>
        <v>0.04943175276967884</v>
      </c>
      <c r="U1918" s="76">
        <f>U1917+S1918</f>
        <v>9.525409133669054</v>
      </c>
      <c r="V1918" s="76">
        <f>V1917+T1918</f>
        <v>44.58793584874961</v>
      </c>
    </row>
    <row r="1919" spans="1:22" ht="19" customHeight="1">
      <c r="A1919" s="68" t="s">
        <v>374</v>
      </c>
      <c r="B1919" s="74">
        <v>3</v>
      </c>
      <c r="C1919" s="68" t="s">
        <v>363</v>
      </c>
      <c r="D1919" s="68" t="s">
        <v>364</v>
      </c>
      <c r="E1919" s="75">
        <f>60*F1919*'THAM_SO_MOI'!$C$51/(2*PI()*'THAM_SO_MOI'!$C$26)</f>
        <v>1931.7399766699102</v>
      </c>
      <c r="F1919" s="75">
        <f>'HANH_TRINH'!$F$1647+('THAM_SO_MOI'!$F$51-'HANH_TRINH'!$F$1647)*271/'THAM_SO_MOI'!$C$42</f>
        <v>7.690237380354853</v>
      </c>
      <c r="G1919" s="75">
        <f>3.6*F1919</f>
        <v>27.684854569277473</v>
      </c>
      <c r="H1919" s="75">
        <f>'THAM_SO_MOI'!$D$51</f>
        <v>1.375</v>
      </c>
      <c r="I1919" s="75">
        <f>IF(F1919&gt;'THAM_SO_MOI'!$C$14,'THAM_SO_MOI'!$C$13*(1+F1919^2/1500),'THAM_SO_MOI'!$C$13)</f>
        <v>0.015</v>
      </c>
      <c r="J1919" s="75">
        <f>'THAM_SO_MOI'!$C$40*('THAM_SO_MOI'!$C$23*(E1919/'THAM_SO_MOI'!$C$22)+'THAM_SO_MOI'!$C$24*(E1919/'THAM_SO_MOI'!$C$22)^2-'THAM_SO_MOI'!$C$25*(E1919/'THAM_SO_MOI'!$C$22)^3)</f>
        <v>86.45358326066332</v>
      </c>
      <c r="K1919" s="75">
        <f>'THAM_SO_MOI'!$C$31*J1919/E1919</f>
        <v>427.45229103289597</v>
      </c>
      <c r="L1919" s="75">
        <f>K1919*'THAM_SO_MOI'!$C$51*'THAM_SO_MOI'!$C$17/'THAM_SO_MOI'!$C$26</f>
        <v>9557.49577240161</v>
      </c>
      <c r="M1919" s="75">
        <f>'THAM_SO_MOI'!$C$15*'THAM_SO_MOI'!$C$16*F1919^2</f>
        <v>172.9837715761557</v>
      </c>
      <c r="N1919" s="75">
        <f>'THAM_SO_MOI'!$C$12*I1919</f>
        <v>1130.112</v>
      </c>
      <c r="O1919" s="75">
        <f>M1919+N1919</f>
        <v>1303.0957715761558</v>
      </c>
      <c r="P1919" s="75">
        <f>(MIN(L1919,'THAM_SO_MOI'!$C$41)-O1919)/('THAM_SO_MOI'!$C$11*H1919)</f>
        <v>0.7816666667448348</v>
      </c>
      <c r="Q1919" s="75">
        <f>IF(P1919&gt;0,1/P1919,NA())</f>
        <v>1.279317697100211</v>
      </c>
      <c r="R1919" s="75">
        <f>F1919-F1918</f>
        <v>0.005028991339517397</v>
      </c>
      <c r="S1919" s="75">
        <f>0.5*(Q1918+Q1919)*R1919</f>
        <v>0.006433841038035646</v>
      </c>
      <c r="T1919" s="75">
        <f>0.5*(F1918*Q1918+F1919*Q1919)*R1919</f>
        <v>0.04946158657361681</v>
      </c>
      <c r="U1919" s="76">
        <f>U1918+S1919</f>
        <v>9.53184297470709</v>
      </c>
      <c r="V1919" s="76">
        <f>V1918+T1919</f>
        <v>44.63739743532322</v>
      </c>
    </row>
    <row r="1920" spans="1:22" ht="19" customHeight="1">
      <c r="A1920" s="68" t="s">
        <v>374</v>
      </c>
      <c r="B1920" s="74">
        <v>3</v>
      </c>
      <c r="C1920" s="68" t="s">
        <v>363</v>
      </c>
      <c r="D1920" s="68" t="s">
        <v>364</v>
      </c>
      <c r="E1920" s="75">
        <f>60*F1920*'THAM_SO_MOI'!$C$51/(2*PI()*'THAM_SO_MOI'!$C$26)</f>
        <v>1933.003228131782</v>
      </c>
      <c r="F1920" s="75">
        <f>'HANH_TRINH'!$F$1647+('THAM_SO_MOI'!$F$51-'HANH_TRINH'!$F$1647)*272/'THAM_SO_MOI'!$C$42</f>
        <v>7.695266371694371</v>
      </c>
      <c r="G1920" s="75">
        <f>3.6*F1920</f>
        <v>27.702958938099737</v>
      </c>
      <c r="H1920" s="75">
        <f>'THAM_SO_MOI'!$D$51</f>
        <v>1.375</v>
      </c>
      <c r="I1920" s="75">
        <f>IF(F1920&gt;'THAM_SO_MOI'!$C$14,'THAM_SO_MOI'!$C$13*(1+F1920^2/1500),'THAM_SO_MOI'!$C$13)</f>
        <v>0.015</v>
      </c>
      <c r="J1920" s="75">
        <f>'THAM_SO_MOI'!$C$40*('THAM_SO_MOI'!$C$23*(E1920/'THAM_SO_MOI'!$C$22)+'THAM_SO_MOI'!$C$24*(E1920/'THAM_SO_MOI'!$C$22)^2-'THAM_SO_MOI'!$C$25*(E1920/'THAM_SO_MOI'!$C$22)^3)</f>
        <v>86.51593040466643</v>
      </c>
      <c r="K1920" s="75">
        <f>'THAM_SO_MOI'!$C$31*J1920/E1920</f>
        <v>427.48100488785514</v>
      </c>
      <c r="L1920" s="75">
        <f>K1920*'THAM_SO_MOI'!$C$51*'THAM_SO_MOI'!$C$17/'THAM_SO_MOI'!$C$26</f>
        <v>9558.137791530151</v>
      </c>
      <c r="M1920" s="75">
        <f>'THAM_SO_MOI'!$C$15*'THAM_SO_MOI'!$C$16*F1920^2</f>
        <v>173.21008925414102</v>
      </c>
      <c r="N1920" s="75">
        <f>'THAM_SO_MOI'!$C$12*I1920</f>
        <v>1130.112</v>
      </c>
      <c r="O1920" s="75">
        <f>M1920+N1920</f>
        <v>1303.322089254141</v>
      </c>
      <c r="P1920" s="75">
        <f>(MIN(L1920,'THAM_SO_MOI'!$C$41)-O1920)/('THAM_SO_MOI'!$C$11*H1920)</f>
        <v>0.7817060324125009</v>
      </c>
      <c r="Q1920" s="75">
        <f>IF(P1920&gt;0,1/P1920,NA())</f>
        <v>1.2792532723763181</v>
      </c>
      <c r="R1920" s="75">
        <f>F1920-F1919</f>
        <v>0.005028991339518285</v>
      </c>
      <c r="S1920" s="75">
        <f>0.5*(Q1919+Q1920)*R1920</f>
        <v>0.006433515623520183</v>
      </c>
      <c r="T1920" s="75">
        <f>0.5*(F1919*Q1919+F1920*Q1920)*R1920</f>
        <v>0.049491438974931086</v>
      </c>
      <c r="U1920" s="76">
        <f>U1919+S1920</f>
        <v>9.53827649033061</v>
      </c>
      <c r="V1920" s="76">
        <f>V1919+T1920</f>
        <v>44.686888874298155</v>
      </c>
    </row>
    <row r="1921" spans="1:22" ht="19" customHeight="1">
      <c r="A1921" s="68" t="s">
        <v>374</v>
      </c>
      <c r="B1921" s="74">
        <v>3</v>
      </c>
      <c r="C1921" s="68" t="s">
        <v>363</v>
      </c>
      <c r="D1921" s="68" t="s">
        <v>364</v>
      </c>
      <c r="E1921" s="75">
        <f>60*F1921*'THAM_SO_MOI'!$C$51/(2*PI()*'THAM_SO_MOI'!$C$26)</f>
        <v>1934.2664795936537</v>
      </c>
      <c r="F1921" s="75">
        <f>'HANH_TRINH'!$F$1647+('THAM_SO_MOI'!$F$51-'HANH_TRINH'!$F$1647)*273/'THAM_SO_MOI'!$C$42</f>
        <v>7.700295363033889</v>
      </c>
      <c r="G1921" s="75">
        <f>3.6*F1921</f>
        <v>27.721063306922</v>
      </c>
      <c r="H1921" s="75">
        <f>'THAM_SO_MOI'!$D$51</f>
        <v>1.375</v>
      </c>
      <c r="I1921" s="75">
        <f>IF(F1921&gt;'THAM_SO_MOI'!$C$14,'THAM_SO_MOI'!$C$13*(1+F1921^2/1500),'THAM_SO_MOI'!$C$13)</f>
        <v>0.015</v>
      </c>
      <c r="J1921" s="75">
        <f>'THAM_SO_MOI'!$C$40*('THAM_SO_MOI'!$C$23*(E1921/'THAM_SO_MOI'!$C$22)+'THAM_SO_MOI'!$C$24*(E1921/'THAM_SO_MOI'!$C$22)^2-'THAM_SO_MOI'!$C$25*(E1921/'THAM_SO_MOI'!$C$22)^3)</f>
        <v>86.57825379104938</v>
      </c>
      <c r="K1921" s="75">
        <f>'THAM_SO_MOI'!$C$31*J1921/E1921</f>
        <v>427.50956392598374</v>
      </c>
      <c r="L1921" s="75">
        <f>K1921*'THAM_SO_MOI'!$C$51*'THAM_SO_MOI'!$C$17/'THAM_SO_MOI'!$C$26</f>
        <v>9558.77634907658</v>
      </c>
      <c r="M1921" s="75">
        <f>'THAM_SO_MOI'!$C$15*'THAM_SO_MOI'!$C$16*F1921^2</f>
        <v>173.43655488303656</v>
      </c>
      <c r="N1921" s="75">
        <f>'THAM_SO_MOI'!$C$12*I1921</f>
        <v>1130.112</v>
      </c>
      <c r="O1921" s="75">
        <f>M1921+N1921</f>
        <v>1303.5485548830366</v>
      </c>
      <c r="P1921" s="75">
        <f>(MIN(L1921,'THAM_SO_MOI'!$C$41)-O1921)/('THAM_SO_MOI'!$C$11*H1921)</f>
        <v>0.7817450562683279</v>
      </c>
      <c r="Q1921" s="75">
        <f>IF(P1921&gt;0,1/P1921,NA())</f>
        <v>1.2791894134559871</v>
      </c>
      <c r="R1921" s="75">
        <f>F1921-F1920</f>
        <v>0.005028991339517397</v>
      </c>
      <c r="S1921" s="75">
        <f>0.5*(Q1920+Q1921)*R1921</f>
        <v>0.006433193054851146</v>
      </c>
      <c r="T1921" s="75">
        <f>0.5*(F1920*Q1920+F1921*Q1921)*R1921</f>
        <v>0.04952131000993289</v>
      </c>
      <c r="U1921" s="76">
        <f>U1920+S1921</f>
        <v>9.544709683385461</v>
      </c>
      <c r="V1921" s="76">
        <f>V1920+T1921</f>
        <v>44.73641018430809</v>
      </c>
    </row>
    <row r="1922" spans="1:22" ht="19" customHeight="1">
      <c r="A1922" s="68" t="s">
        <v>374</v>
      </c>
      <c r="B1922" s="74">
        <v>3</v>
      </c>
      <c r="C1922" s="68" t="s">
        <v>363</v>
      </c>
      <c r="D1922" s="68" t="s">
        <v>364</v>
      </c>
      <c r="E1922" s="75">
        <f>60*F1922*'THAM_SO_MOI'!$C$51/(2*PI()*'THAM_SO_MOI'!$C$26)</f>
        <v>1935.529731055525</v>
      </c>
      <c r="F1922" s="75">
        <f>'HANH_TRINH'!$F$1647+('THAM_SO_MOI'!$F$51-'HANH_TRINH'!$F$1647)*274/'THAM_SO_MOI'!$C$42</f>
        <v>7.705324354373406</v>
      </c>
      <c r="G1922" s="75">
        <f>3.6*F1922</f>
        <v>27.739167675744262</v>
      </c>
      <c r="H1922" s="75">
        <f>'THAM_SO_MOI'!$D$51</f>
        <v>1.375</v>
      </c>
      <c r="I1922" s="75">
        <f>IF(F1922&gt;'THAM_SO_MOI'!$C$14,'THAM_SO_MOI'!$C$13*(1+F1922^2/1500),'THAM_SO_MOI'!$C$13)</f>
        <v>0.015</v>
      </c>
      <c r="J1922" s="75">
        <f>'THAM_SO_MOI'!$C$40*('THAM_SO_MOI'!$C$23*(E1922/'THAM_SO_MOI'!$C$22)+'THAM_SO_MOI'!$C$24*(E1922/'THAM_SO_MOI'!$C$22)^2-'THAM_SO_MOI'!$C$25*(E1922/'THAM_SO_MOI'!$C$22)^3)</f>
        <v>86.64055335838283</v>
      </c>
      <c r="K1922" s="75">
        <f>'THAM_SO_MOI'!$C$31*J1922/E1922</f>
        <v>427.53796814728184</v>
      </c>
      <c r="L1922" s="75">
        <f>K1922*'THAM_SO_MOI'!$C$51*'THAM_SO_MOI'!$C$17/'THAM_SO_MOI'!$C$26</f>
        <v>9559.411445040902</v>
      </c>
      <c r="M1922" s="75">
        <f>'THAM_SO_MOI'!$C$15*'THAM_SO_MOI'!$C$16*F1922^2</f>
        <v>173.66316846284238</v>
      </c>
      <c r="N1922" s="75">
        <f>'THAM_SO_MOI'!$C$12*I1922</f>
        <v>1130.112</v>
      </c>
      <c r="O1922" s="75">
        <f>M1922+N1922</f>
        <v>1303.7751684628424</v>
      </c>
      <c r="P1922" s="75">
        <f>(MIN(L1922,'THAM_SO_MOI'!$C$41)-O1922)/('THAM_SO_MOI'!$C$11*H1922)</f>
        <v>0.7817837383123161</v>
      </c>
      <c r="Q1922" s="75">
        <f>IF(P1922&gt;0,1/P1922,NA())</f>
        <v>1.2791261201707274</v>
      </c>
      <c r="R1922" s="75">
        <f>F1922-F1921</f>
        <v>0.005028991339517397</v>
      </c>
      <c r="S1922" s="75">
        <f>0.5*(Q1921+Q1922)*R1922</f>
        <v>0.006432873331180788</v>
      </c>
      <c r="T1922" s="75">
        <f>0.5*(F1921*Q1921+F1922*Q1922)*R1922</f>
        <v>0.049551199715027416</v>
      </c>
      <c r="U1922" s="76">
        <f>U1921+S1922</f>
        <v>9.551142556716641</v>
      </c>
      <c r="V1922" s="76">
        <f>V1921+T1922</f>
        <v>44.78596138402312</v>
      </c>
    </row>
    <row r="1923" spans="1:22" ht="19" customHeight="1">
      <c r="A1923" s="68" t="s">
        <v>374</v>
      </c>
      <c r="B1923" s="74">
        <v>3</v>
      </c>
      <c r="C1923" s="68" t="s">
        <v>363</v>
      </c>
      <c r="D1923" s="68" t="s">
        <v>364</v>
      </c>
      <c r="E1923" s="75">
        <f>60*F1923*'THAM_SO_MOI'!$C$51/(2*PI()*'THAM_SO_MOI'!$C$26)</f>
        <v>1936.7929825173971</v>
      </c>
      <c r="F1923" s="75">
        <f>'HANH_TRINH'!$F$1647+('THAM_SO_MOI'!$F$51-'HANH_TRINH'!$F$1647)*275/'THAM_SO_MOI'!$C$42</f>
        <v>7.7103533457129245</v>
      </c>
      <c r="G1923" s="75">
        <f>3.6*F1923</f>
        <v>27.75727204456653</v>
      </c>
      <c r="H1923" s="75">
        <f>'THAM_SO_MOI'!$D$51</f>
        <v>1.375</v>
      </c>
      <c r="I1923" s="75">
        <f>IF(F1923&gt;'THAM_SO_MOI'!$C$14,'THAM_SO_MOI'!$C$13*(1+F1923^2/1500),'THAM_SO_MOI'!$C$13)</f>
        <v>0.015</v>
      </c>
      <c r="J1923" s="75">
        <f>'THAM_SO_MOI'!$C$40*('THAM_SO_MOI'!$C$23*(E1923/'THAM_SO_MOI'!$C$22)+'THAM_SO_MOI'!$C$24*(E1923/'THAM_SO_MOI'!$C$22)^2-'THAM_SO_MOI'!$C$25*(E1923/'THAM_SO_MOI'!$C$22)^3)</f>
        <v>86.70282904523745</v>
      </c>
      <c r="K1923" s="75">
        <f>'THAM_SO_MOI'!$C$31*J1923/E1923</f>
        <v>427.56621755174945</v>
      </c>
      <c r="L1923" s="75">
        <f>K1923*'THAM_SO_MOI'!$C$51*'THAM_SO_MOI'!$C$17/'THAM_SO_MOI'!$C$26</f>
        <v>9560.043079423114</v>
      </c>
      <c r="M1923" s="75">
        <f>'THAM_SO_MOI'!$C$15*'THAM_SO_MOI'!$C$16*F1923^2</f>
        <v>173.8899299935585</v>
      </c>
      <c r="N1923" s="75">
        <f>'THAM_SO_MOI'!$C$12*I1923</f>
        <v>1130.112</v>
      </c>
      <c r="O1923" s="75">
        <f>M1923+N1923</f>
        <v>1304.0019299935586</v>
      </c>
      <c r="P1923" s="75">
        <f>(MIN(L1923,'THAM_SO_MOI'!$C$41)-O1923)/('THAM_SO_MOI'!$C$11*H1923)</f>
        <v>0.7818220785444654</v>
      </c>
      <c r="Q1923" s="75">
        <f>IF(P1923&gt;0,1/P1923,NA())</f>
        <v>1.279063392353566</v>
      </c>
      <c r="R1923" s="75">
        <f>F1923-F1922</f>
        <v>0.005028991339518285</v>
      </c>
      <c r="S1923" s="75">
        <f>0.5*(Q1922+Q1923)*R1923</f>
        <v>0.006432556451665587</v>
      </c>
      <c r="T1923" s="75">
        <f>0.5*(F1922*Q1922+F1923*Q1923)*R1923</f>
        <v>0.049581108126635375</v>
      </c>
      <c r="U1923" s="76">
        <f>U1922+S1923</f>
        <v>9.557575113168307</v>
      </c>
      <c r="V1923" s="76">
        <f>V1922+T1923</f>
        <v>44.835542492149756</v>
      </c>
    </row>
    <row r="1924" spans="1:22" ht="19" customHeight="1">
      <c r="A1924" s="68" t="s">
        <v>374</v>
      </c>
      <c r="B1924" s="74">
        <v>3</v>
      </c>
      <c r="C1924" s="68" t="s">
        <v>363</v>
      </c>
      <c r="D1924" s="68" t="s">
        <v>364</v>
      </c>
      <c r="E1924" s="75">
        <f>60*F1924*'THAM_SO_MOI'!$C$51/(2*PI()*'THAM_SO_MOI'!$C$26)</f>
        <v>1938.0562339792684</v>
      </c>
      <c r="F1924" s="75">
        <f>'HANH_TRINH'!$F$1647+('THAM_SO_MOI'!$F$51-'HANH_TRINH'!$F$1647)*276/'THAM_SO_MOI'!$C$42</f>
        <v>7.715382337052442</v>
      </c>
      <c r="G1924" s="75">
        <f>3.6*F1924</f>
        <v>27.77537641338879</v>
      </c>
      <c r="H1924" s="75">
        <f>'THAM_SO_MOI'!$D$51</f>
        <v>1.375</v>
      </c>
      <c r="I1924" s="75">
        <f>IF(F1924&gt;'THAM_SO_MOI'!$C$14,'THAM_SO_MOI'!$C$13*(1+F1924^2/1500),'THAM_SO_MOI'!$C$13)</f>
        <v>0.015</v>
      </c>
      <c r="J1924" s="75">
        <f>'THAM_SO_MOI'!$C$40*('THAM_SO_MOI'!$C$23*(E1924/'THAM_SO_MOI'!$C$22)+'THAM_SO_MOI'!$C$24*(E1924/'THAM_SO_MOI'!$C$22)^2-'THAM_SO_MOI'!$C$25*(E1924/'THAM_SO_MOI'!$C$22)^3)</f>
        <v>86.76508079018384</v>
      </c>
      <c r="K1924" s="75">
        <f>'THAM_SO_MOI'!$C$31*J1924/E1924</f>
        <v>427.59431213938655</v>
      </c>
      <c r="L1924" s="75">
        <f>K1924*'THAM_SO_MOI'!$C$51*'THAM_SO_MOI'!$C$17/'THAM_SO_MOI'!$C$26</f>
        <v>9560.671252223217</v>
      </c>
      <c r="M1924" s="75">
        <f>'THAM_SO_MOI'!$C$15*'THAM_SO_MOI'!$C$16*F1924^2</f>
        <v>174.11683947518486</v>
      </c>
      <c r="N1924" s="75">
        <f>'THAM_SO_MOI'!$C$12*I1924</f>
        <v>1130.112</v>
      </c>
      <c r="O1924" s="75">
        <f>M1924+N1924</f>
        <v>1304.228839475185</v>
      </c>
      <c r="P1924" s="75">
        <f>(MIN(L1924,'THAM_SO_MOI'!$C$41)-O1924)/('THAM_SO_MOI'!$C$11*H1924)</f>
        <v>0.7818600769647757</v>
      </c>
      <c r="Q1924" s="75">
        <f>IF(P1924&gt;0,1/P1924,NA())</f>
        <v>1.279001229839047</v>
      </c>
      <c r="R1924" s="75">
        <f>F1924-F1923</f>
        <v>0.005028991339517397</v>
      </c>
      <c r="S1924" s="75">
        <f>0.5*(Q1923+Q1924)*R1924</f>
        <v>0.006432242415466246</v>
      </c>
      <c r="T1924" s="75">
        <f>0.5*(F1923*Q1923+F1924*Q1924)*R1924</f>
        <v>0.04961103528119307</v>
      </c>
      <c r="U1924" s="76">
        <f>U1923+S1924</f>
        <v>9.564007355583772</v>
      </c>
      <c r="V1924" s="76">
        <f>V1923+T1924</f>
        <v>44.88515352743095</v>
      </c>
    </row>
    <row r="1925" spans="1:22" ht="19" customHeight="1">
      <c r="A1925" s="68" t="s">
        <v>374</v>
      </c>
      <c r="B1925" s="74">
        <v>3</v>
      </c>
      <c r="C1925" s="68" t="s">
        <v>363</v>
      </c>
      <c r="D1925" s="68" t="s">
        <v>364</v>
      </c>
      <c r="E1925" s="75">
        <f>60*F1925*'THAM_SO_MOI'!$C$51/(2*PI()*'THAM_SO_MOI'!$C$26)</f>
        <v>1939.31948544114</v>
      </c>
      <c r="F1925" s="75">
        <f>'HANH_TRINH'!$F$1647+('THAM_SO_MOI'!$F$51-'HANH_TRINH'!$F$1647)*277/'THAM_SO_MOI'!$C$42</f>
        <v>7.720411328391959</v>
      </c>
      <c r="G1925" s="75">
        <f>3.6*F1925</f>
        <v>27.793480782211056</v>
      </c>
      <c r="H1925" s="75">
        <f>'THAM_SO_MOI'!$D$51</f>
        <v>1.375</v>
      </c>
      <c r="I1925" s="75">
        <f>IF(F1925&gt;'THAM_SO_MOI'!$C$14,'THAM_SO_MOI'!$C$13*(1+F1925^2/1500),'THAM_SO_MOI'!$C$13)</f>
        <v>0.015</v>
      </c>
      <c r="J1925" s="75">
        <f>'THAM_SO_MOI'!$C$40*('THAM_SO_MOI'!$C$23*(E1925/'THAM_SO_MOI'!$C$22)+'THAM_SO_MOI'!$C$24*(E1925/'THAM_SO_MOI'!$C$22)^2-'THAM_SO_MOI'!$C$25*(E1925/'THAM_SO_MOI'!$C$22)^3)</f>
        <v>86.82730853179271</v>
      </c>
      <c r="K1925" s="75">
        <f>'THAM_SO_MOI'!$C$31*J1925/E1925</f>
        <v>427.62225191019314</v>
      </c>
      <c r="L1925" s="75">
        <f>K1925*'THAM_SO_MOI'!$C$51*'THAM_SO_MOI'!$C$17/'THAM_SO_MOI'!$C$26</f>
        <v>9561.295963441213</v>
      </c>
      <c r="M1925" s="75">
        <f>'THAM_SO_MOI'!$C$15*'THAM_SO_MOI'!$C$16*F1925^2</f>
        <v>174.34389690772147</v>
      </c>
      <c r="N1925" s="75">
        <f>'THAM_SO_MOI'!$C$12*I1925</f>
        <v>1130.112</v>
      </c>
      <c r="O1925" s="75">
        <f>M1925+N1925</f>
        <v>1304.4558969077216</v>
      </c>
      <c r="P1925" s="75">
        <f>(MIN(L1925,'THAM_SO_MOI'!$C$41)-O1925)/('THAM_SO_MOI'!$C$11*H1925)</f>
        <v>0.7818977335732473</v>
      </c>
      <c r="Q1925" s="75">
        <f>IF(P1925&gt;0,1/P1925,NA())</f>
        <v>1.278939632463228</v>
      </c>
      <c r="R1925" s="75">
        <f>F1925-F1924</f>
        <v>0.005028991339517397</v>
      </c>
      <c r="S1925" s="75">
        <f>0.5*(Q1924+Q1925)*R1925</f>
        <v>0.006431931221757902</v>
      </c>
      <c r="T1925" s="75">
        <f>0.5*(F1924*Q1924+F1925*Q1925)*R1925</f>
        <v>0.049640981215231327</v>
      </c>
      <c r="U1925" s="76">
        <f>U1924+S1925</f>
        <v>9.57043928680553</v>
      </c>
      <c r="V1925" s="76">
        <f>V1924+T1925</f>
        <v>44.934794508646185</v>
      </c>
    </row>
    <row r="1926" spans="1:22" ht="19" customHeight="1">
      <c r="A1926" s="68" t="s">
        <v>374</v>
      </c>
      <c r="B1926" s="74">
        <v>3</v>
      </c>
      <c r="C1926" s="68" t="s">
        <v>363</v>
      </c>
      <c r="D1926" s="68" t="s">
        <v>364</v>
      </c>
      <c r="E1926" s="75">
        <f>60*F1926*'THAM_SO_MOI'!$C$51/(2*PI()*'THAM_SO_MOI'!$C$26)</f>
        <v>1940.5827369030117</v>
      </c>
      <c r="F1926" s="75">
        <f>'HANH_TRINH'!$F$1647+('THAM_SO_MOI'!$F$51-'HANH_TRINH'!$F$1647)*278/'THAM_SO_MOI'!$C$42</f>
        <v>7.725440319731478</v>
      </c>
      <c r="G1926" s="75">
        <f>3.6*F1926</f>
        <v>27.81158515103332</v>
      </c>
      <c r="H1926" s="75">
        <f>'THAM_SO_MOI'!$D$51</f>
        <v>1.375</v>
      </c>
      <c r="I1926" s="75">
        <f>IF(F1926&gt;'THAM_SO_MOI'!$C$14,'THAM_SO_MOI'!$C$13*(1+F1926^2/1500),'THAM_SO_MOI'!$C$13)</f>
        <v>0.015</v>
      </c>
      <c r="J1926" s="75">
        <f>'THAM_SO_MOI'!$C$40*('THAM_SO_MOI'!$C$23*(E1926/'THAM_SO_MOI'!$C$22)+'THAM_SO_MOI'!$C$24*(E1926/'THAM_SO_MOI'!$C$22)^2-'THAM_SO_MOI'!$C$25*(E1926/'THAM_SO_MOI'!$C$22)^3)</f>
        <v>86.88951220863467</v>
      </c>
      <c r="K1926" s="75">
        <f>'THAM_SO_MOI'!$C$31*J1926/E1926</f>
        <v>427.65003686416924</v>
      </c>
      <c r="L1926" s="75">
        <f>K1926*'THAM_SO_MOI'!$C$51*'THAM_SO_MOI'!$C$17/'THAM_SO_MOI'!$C$26</f>
        <v>9561.917213077098</v>
      </c>
      <c r="M1926" s="75">
        <f>'THAM_SO_MOI'!$C$15*'THAM_SO_MOI'!$C$16*F1926^2</f>
        <v>174.57110229116844</v>
      </c>
      <c r="N1926" s="75">
        <f>'THAM_SO_MOI'!$C$12*I1926</f>
        <v>1130.112</v>
      </c>
      <c r="O1926" s="75">
        <f>M1926+N1926</f>
        <v>1304.6831022911686</v>
      </c>
      <c r="P1926" s="75">
        <f>(MIN(L1926,'THAM_SO_MOI'!$C$41)-O1926)/('THAM_SO_MOI'!$C$11*H1926)</f>
        <v>0.7819350483698796</v>
      </c>
      <c r="Q1926" s="75">
        <f>IF(P1926&gt;0,1/P1926,NA())</f>
        <v>1.2788786000636831</v>
      </c>
      <c r="R1926" s="75">
        <f>F1926-F1925</f>
        <v>0.005028991339518285</v>
      </c>
      <c r="S1926" s="75">
        <f>0.5*(Q1925+Q1926)*R1926</f>
        <v>0.006431622869719902</v>
      </c>
      <c r="T1926" s="75">
        <f>0.5*(F1925*Q1925+F1926*Q1926)*R1926</f>
        <v>0.04967094596529692</v>
      </c>
      <c r="U1926" s="76">
        <f>U1925+S1926</f>
        <v>9.57687090967525</v>
      </c>
      <c r="V1926" s="76">
        <f>V1925+T1926</f>
        <v>44.98446545461148</v>
      </c>
    </row>
    <row r="1927" spans="1:22" ht="19" customHeight="1">
      <c r="A1927" s="68" t="s">
        <v>374</v>
      </c>
      <c r="B1927" s="74">
        <v>3</v>
      </c>
      <c r="C1927" s="68" t="s">
        <v>363</v>
      </c>
      <c r="D1927" s="68" t="s">
        <v>364</v>
      </c>
      <c r="E1927" s="75">
        <f>60*F1927*'THAM_SO_MOI'!$C$51/(2*PI()*'THAM_SO_MOI'!$C$26)</f>
        <v>1941.8459883648834</v>
      </c>
      <c r="F1927" s="75">
        <f>'HANH_TRINH'!$F$1647+('THAM_SO_MOI'!$F$51-'HANH_TRINH'!$F$1647)*279/'THAM_SO_MOI'!$C$42</f>
        <v>7.730469311070995</v>
      </c>
      <c r="G1927" s="75">
        <f>3.6*F1927</f>
        <v>27.82968951985558</v>
      </c>
      <c r="H1927" s="75">
        <f>'THAM_SO_MOI'!$D$51</f>
        <v>1.375</v>
      </c>
      <c r="I1927" s="75">
        <f>IF(F1927&gt;'THAM_SO_MOI'!$C$14,'THAM_SO_MOI'!$C$13*(1+F1927^2/1500),'THAM_SO_MOI'!$C$13)</f>
        <v>0.015</v>
      </c>
      <c r="J1927" s="75">
        <f>'THAM_SO_MOI'!$C$40*('THAM_SO_MOI'!$C$23*(E1927/'THAM_SO_MOI'!$C$22)+'THAM_SO_MOI'!$C$24*(E1927/'THAM_SO_MOI'!$C$22)^2-'THAM_SO_MOI'!$C$25*(E1927/'THAM_SO_MOI'!$C$22)^3)</f>
        <v>86.95169175928042</v>
      </c>
      <c r="K1927" s="75">
        <f>'THAM_SO_MOI'!$C$31*J1927/E1927</f>
        <v>427.67766700131494</v>
      </c>
      <c r="L1927" s="75">
        <f>K1927*'THAM_SO_MOI'!$C$51*'THAM_SO_MOI'!$C$17/'THAM_SO_MOI'!$C$26</f>
        <v>9562.535001130878</v>
      </c>
      <c r="M1927" s="75">
        <f>'THAM_SO_MOI'!$C$15*'THAM_SO_MOI'!$C$16*F1927^2</f>
        <v>174.79845562552563</v>
      </c>
      <c r="N1927" s="75">
        <f>'THAM_SO_MOI'!$C$12*I1927</f>
        <v>1130.112</v>
      </c>
      <c r="O1927" s="75">
        <f>M1927+N1927</f>
        <v>1304.9104556255256</v>
      </c>
      <c r="P1927" s="75">
        <f>(MIN(L1927,'THAM_SO_MOI'!$C$41)-O1927)/('THAM_SO_MOI'!$C$11*H1927)</f>
        <v>0.7819720213546737</v>
      </c>
      <c r="Q1927" s="75">
        <f>IF(P1927&gt;0,1/P1927,NA())</f>
        <v>1.2788181324794956</v>
      </c>
      <c r="R1927" s="75">
        <f>F1927-F1926</f>
        <v>0.005028991339517397</v>
      </c>
      <c r="S1927" s="75">
        <f>0.5*(Q1926+Q1927)*R1927</f>
        <v>0.0064313173585357954</v>
      </c>
      <c r="T1927" s="75">
        <f>0.5*(F1926*Q1926+F1927*Q1927)*R1927</f>
        <v>0.04970092956795255</v>
      </c>
      <c r="U1927" s="76">
        <f>U1926+S1927</f>
        <v>9.583302227033785</v>
      </c>
      <c r="V1927" s="76">
        <f>V1926+T1927</f>
        <v>45.034166384179436</v>
      </c>
    </row>
    <row r="1928" spans="1:22" ht="19" customHeight="1">
      <c r="A1928" s="68" t="s">
        <v>374</v>
      </c>
      <c r="B1928" s="74">
        <v>3</v>
      </c>
      <c r="C1928" s="68" t="s">
        <v>363</v>
      </c>
      <c r="D1928" s="68" t="s">
        <v>364</v>
      </c>
      <c r="E1928" s="75">
        <f>60*F1928*'THAM_SO_MOI'!$C$51/(2*PI()*'THAM_SO_MOI'!$C$26)</f>
        <v>1943.1092398267547</v>
      </c>
      <c r="F1928" s="75">
        <f>'HANH_TRINH'!$F$1647+('THAM_SO_MOI'!$F$51-'HANH_TRINH'!$F$1647)*280/'THAM_SO_MOI'!$C$42</f>
        <v>7.735498302410512</v>
      </c>
      <c r="G1928" s="75">
        <f>3.6*F1928</f>
        <v>27.847793888677845</v>
      </c>
      <c r="H1928" s="75">
        <f>'THAM_SO_MOI'!$D$51</f>
        <v>1.375</v>
      </c>
      <c r="I1928" s="75">
        <f>IF(F1928&gt;'THAM_SO_MOI'!$C$14,'THAM_SO_MOI'!$C$13*(1+F1928^2/1500),'THAM_SO_MOI'!$C$13)</f>
        <v>0.015</v>
      </c>
      <c r="J1928" s="75">
        <f>'THAM_SO_MOI'!$C$40*('THAM_SO_MOI'!$C$23*(E1928/'THAM_SO_MOI'!$C$22)+'THAM_SO_MOI'!$C$24*(E1928/'THAM_SO_MOI'!$C$22)^2-'THAM_SO_MOI'!$C$25*(E1928/'THAM_SO_MOI'!$C$22)^3)</f>
        <v>87.01384712230053</v>
      </c>
      <c r="K1928" s="75">
        <f>'THAM_SO_MOI'!$C$31*J1928/E1928</f>
        <v>427.70514232163</v>
      </c>
      <c r="L1928" s="75">
        <f>K1928*'THAM_SO_MOI'!$C$51*'THAM_SO_MOI'!$C$17/'THAM_SO_MOI'!$C$26</f>
        <v>9563.149327602547</v>
      </c>
      <c r="M1928" s="75">
        <f>'THAM_SO_MOI'!$C$15*'THAM_SO_MOI'!$C$16*F1928^2</f>
        <v>175.0259569107931</v>
      </c>
      <c r="N1928" s="75">
        <f>'THAM_SO_MOI'!$C$12*I1928</f>
        <v>1130.112</v>
      </c>
      <c r="O1928" s="75">
        <f>M1928+N1928</f>
        <v>1305.1379569107933</v>
      </c>
      <c r="P1928" s="75">
        <f>(MIN(L1928,'THAM_SO_MOI'!$C$41)-O1928)/('THAM_SO_MOI'!$C$11*H1928)</f>
        <v>0.7820086525276283</v>
      </c>
      <c r="Q1928" s="75">
        <f>IF(P1928&gt;0,1/P1928,NA())</f>
        <v>1.2787582295512645</v>
      </c>
      <c r="R1928" s="75">
        <f>F1928-F1927</f>
        <v>0.005028991339517397</v>
      </c>
      <c r="S1928" s="75">
        <f>0.5*(Q1927+Q1928)*R1928</f>
        <v>0.006431014687403551</v>
      </c>
      <c r="T1928" s="75">
        <f>0.5*(F1927*Q1927+F1928*Q1928)*R1928</f>
        <v>0.04973093205985606</v>
      </c>
      <c r="U1928" s="76">
        <f>U1927+S1928</f>
        <v>9.58973324172119</v>
      </c>
      <c r="V1928" s="76">
        <f>V1927+T1928</f>
        <v>45.083897316239295</v>
      </c>
    </row>
    <row r="1929" spans="1:22" ht="19" customHeight="1">
      <c r="A1929" s="68" t="s">
        <v>374</v>
      </c>
      <c r="B1929" s="74">
        <v>3</v>
      </c>
      <c r="C1929" s="68" t="s">
        <v>363</v>
      </c>
      <c r="D1929" s="68" t="s">
        <v>364</v>
      </c>
      <c r="E1929" s="75">
        <f>60*F1929*'THAM_SO_MOI'!$C$51/(2*PI()*'THAM_SO_MOI'!$C$26)</f>
        <v>1944.3724912886264</v>
      </c>
      <c r="F1929" s="75">
        <f>'HANH_TRINH'!$F$1647+('THAM_SO_MOI'!$F$51-'HANH_TRINH'!$F$1647)*281/'THAM_SO_MOI'!$C$42</f>
        <v>7.740527293750031</v>
      </c>
      <c r="G1929" s="75">
        <f>3.6*F1929</f>
        <v>27.86589825750011</v>
      </c>
      <c r="H1929" s="75">
        <f>'THAM_SO_MOI'!$D$51</f>
        <v>1.375</v>
      </c>
      <c r="I1929" s="75">
        <f>IF(F1929&gt;'THAM_SO_MOI'!$C$14,'THAM_SO_MOI'!$C$13*(1+F1929^2/1500),'THAM_SO_MOI'!$C$13)</f>
        <v>0.015</v>
      </c>
      <c r="J1929" s="75">
        <f>'THAM_SO_MOI'!$C$40*('THAM_SO_MOI'!$C$23*(E1929/'THAM_SO_MOI'!$C$22)+'THAM_SO_MOI'!$C$24*(E1929/'THAM_SO_MOI'!$C$22)^2-'THAM_SO_MOI'!$C$25*(E1929/'THAM_SO_MOI'!$C$22)^3)</f>
        <v>87.0759782362657</v>
      </c>
      <c r="K1929" s="75">
        <f>'THAM_SO_MOI'!$C$31*J1929/E1929</f>
        <v>427.73246282511445</v>
      </c>
      <c r="L1929" s="75">
        <f>K1929*'THAM_SO_MOI'!$C$51*'THAM_SO_MOI'!$C$17/'THAM_SO_MOI'!$C$26</f>
        <v>9563.760192492104</v>
      </c>
      <c r="M1929" s="75">
        <f>'THAM_SO_MOI'!$C$15*'THAM_SO_MOI'!$C$16*F1929^2</f>
        <v>175.25360614697084</v>
      </c>
      <c r="N1929" s="75">
        <f>'THAM_SO_MOI'!$C$12*I1929</f>
        <v>1130.112</v>
      </c>
      <c r="O1929" s="75">
        <f>M1929+N1929</f>
        <v>1305.365606146971</v>
      </c>
      <c r="P1929" s="75">
        <f>(MIN(L1929,'THAM_SO_MOI'!$C$41)-O1929)/('THAM_SO_MOI'!$C$11*H1929)</f>
        <v>0.7820449418887437</v>
      </c>
      <c r="Q1929" s="75">
        <f>IF(P1929&gt;0,1/P1929,NA())</f>
        <v>1.278698891121098</v>
      </c>
      <c r="R1929" s="75">
        <f>F1929-F1928</f>
        <v>0.005028991339518285</v>
      </c>
      <c r="S1929" s="75">
        <f>0.5*(Q1928+Q1929)*R1929</f>
        <v>0.0064307148555253395</v>
      </c>
      <c r="T1929" s="75">
        <f>0.5*(F1928*Q1928+F1929*Q1929)*R1929</f>
        <v>0.04976095347768159</v>
      </c>
      <c r="U1929" s="76">
        <f>U1928+S1929</f>
        <v>9.596163956576715</v>
      </c>
      <c r="V1929" s="76">
        <f>V1928+T1929</f>
        <v>45.133658269716975</v>
      </c>
    </row>
    <row r="1930" spans="1:22" ht="19" customHeight="1">
      <c r="A1930" s="68" t="s">
        <v>374</v>
      </c>
      <c r="B1930" s="74">
        <v>3</v>
      </c>
      <c r="C1930" s="68" t="s">
        <v>363</v>
      </c>
      <c r="D1930" s="68" t="s">
        <v>364</v>
      </c>
      <c r="E1930" s="75">
        <f>60*F1930*'THAM_SO_MOI'!$C$51/(2*PI()*'THAM_SO_MOI'!$C$26)</f>
        <v>1945.6357427504981</v>
      </c>
      <c r="F1930" s="75">
        <f>'HANH_TRINH'!$F$1647+('THAM_SO_MOI'!$F$51-'HANH_TRINH'!$F$1647)*282/'THAM_SO_MOI'!$C$42</f>
        <v>7.745556285089548</v>
      </c>
      <c r="G1930" s="75">
        <f>3.6*F1930</f>
        <v>27.884002626322374</v>
      </c>
      <c r="H1930" s="75">
        <f>'THAM_SO_MOI'!$D$51</f>
        <v>1.375</v>
      </c>
      <c r="I1930" s="75">
        <f>IF(F1930&gt;'THAM_SO_MOI'!$C$14,'THAM_SO_MOI'!$C$13*(1+F1930^2/1500),'THAM_SO_MOI'!$C$13)</f>
        <v>0.015</v>
      </c>
      <c r="J1930" s="75">
        <f>'THAM_SO_MOI'!$C$40*('THAM_SO_MOI'!$C$23*(E1930/'THAM_SO_MOI'!$C$22)+'THAM_SO_MOI'!$C$24*(E1930/'THAM_SO_MOI'!$C$22)^2-'THAM_SO_MOI'!$C$25*(E1930/'THAM_SO_MOI'!$C$22)^3)</f>
        <v>87.1380850397466</v>
      </c>
      <c r="K1930" s="75">
        <f>'THAM_SO_MOI'!$C$31*J1930/E1930</f>
        <v>427.75962851176854</v>
      </c>
      <c r="L1930" s="75">
        <f>K1930*'THAM_SO_MOI'!$C$51*'THAM_SO_MOI'!$C$17/'THAM_SO_MOI'!$C$26</f>
        <v>9564.367595799555</v>
      </c>
      <c r="M1930" s="75">
        <f>'THAM_SO_MOI'!$C$15*'THAM_SO_MOI'!$C$16*F1930^2</f>
        <v>175.48140333405885</v>
      </c>
      <c r="N1930" s="75">
        <f>'THAM_SO_MOI'!$C$12*I1930</f>
        <v>1130.112</v>
      </c>
      <c r="O1930" s="75">
        <f>M1930+N1930</f>
        <v>1305.5934033340588</v>
      </c>
      <c r="P1930" s="75">
        <f>(MIN(L1930,'THAM_SO_MOI'!$C$41)-O1930)/('THAM_SO_MOI'!$C$11*H1930)</f>
        <v>0.7820808894380203</v>
      </c>
      <c r="Q1930" s="75">
        <f>IF(P1930&gt;0,1/P1930,NA())</f>
        <v>1.2786401170326125</v>
      </c>
      <c r="R1930" s="75">
        <f>F1930-F1929</f>
        <v>0.005028991339517397</v>
      </c>
      <c r="S1930" s="75">
        <f>0.5*(Q1929+Q1930)*R1930</f>
        <v>0.006430417862107509</v>
      </c>
      <c r="T1930" s="75">
        <f>0.5*(F1929*Q1929+F1930*Q1930)*R1930</f>
        <v>0.04979099385811966</v>
      </c>
      <c r="U1930" s="76">
        <f>U1929+S1930</f>
        <v>9.602594374438823</v>
      </c>
      <c r="V1930" s="76">
        <f>V1929+T1930</f>
        <v>45.18344926357509</v>
      </c>
    </row>
    <row r="1931" spans="1:22" ht="19" customHeight="1">
      <c r="A1931" s="68" t="s">
        <v>374</v>
      </c>
      <c r="B1931" s="74">
        <v>3</v>
      </c>
      <c r="C1931" s="68" t="s">
        <v>363</v>
      </c>
      <c r="D1931" s="68" t="s">
        <v>364</v>
      </c>
      <c r="E1931" s="75">
        <f>60*F1931*'THAM_SO_MOI'!$C$51/(2*PI()*'THAM_SO_MOI'!$C$26)</f>
        <v>1946.8989942123699</v>
      </c>
      <c r="F1931" s="75">
        <f>'HANH_TRINH'!$F$1647+('THAM_SO_MOI'!$F$51-'HANH_TRINH'!$F$1647)*283/'THAM_SO_MOI'!$C$42</f>
        <v>7.7505852764290655</v>
      </c>
      <c r="G1931" s="75">
        <f>3.6*F1931</f>
        <v>27.902106995144635</v>
      </c>
      <c r="H1931" s="75">
        <f>'THAM_SO_MOI'!$D$51</f>
        <v>1.375</v>
      </c>
      <c r="I1931" s="75">
        <f>IF(F1931&gt;'THAM_SO_MOI'!$C$14,'THAM_SO_MOI'!$C$13*(1+F1931^2/1500),'THAM_SO_MOI'!$C$13)</f>
        <v>0.015</v>
      </c>
      <c r="J1931" s="75">
        <f>'THAM_SO_MOI'!$C$40*('THAM_SO_MOI'!$C$23*(E1931/'THAM_SO_MOI'!$C$22)+'THAM_SO_MOI'!$C$24*(E1931/'THAM_SO_MOI'!$C$22)^2-'THAM_SO_MOI'!$C$25*(E1931/'THAM_SO_MOI'!$C$22)^3)</f>
        <v>87.20016747131386</v>
      </c>
      <c r="K1931" s="75">
        <f>'THAM_SO_MOI'!$C$31*J1931/E1931</f>
        <v>427.7866393815922</v>
      </c>
      <c r="L1931" s="75">
        <f>K1931*'THAM_SO_MOI'!$C$51*'THAM_SO_MOI'!$C$17/'THAM_SO_MOI'!$C$26</f>
        <v>9564.971537524898</v>
      </c>
      <c r="M1931" s="75">
        <f>'THAM_SO_MOI'!$C$15*'THAM_SO_MOI'!$C$16*F1931^2</f>
        <v>175.70934847205712</v>
      </c>
      <c r="N1931" s="75">
        <f>'THAM_SO_MOI'!$C$12*I1931</f>
        <v>1130.112</v>
      </c>
      <c r="O1931" s="75">
        <f>M1931+N1931</f>
        <v>1305.8213484720573</v>
      </c>
      <c r="P1931" s="75">
        <f>(MIN(L1931,'THAM_SO_MOI'!$C$41)-O1931)/('THAM_SO_MOI'!$C$11*H1931)</f>
        <v>0.7821164951754584</v>
      </c>
      <c r="Q1931" s="75">
        <f>IF(P1931&gt;0,1/P1931,NA())</f>
        <v>1.2785819071309346</v>
      </c>
      <c r="R1931" s="75">
        <f>F1931-F1930</f>
        <v>0.005028991339517397</v>
      </c>
      <c r="S1931" s="75">
        <f>0.5*(Q1930+Q1931)*R1931</f>
        <v>0.006430123706370813</v>
      </c>
      <c r="T1931" s="75">
        <f>0.5*(F1930*Q1930+F1931*Q1931)*R1931</f>
        <v>0.04982105323795635</v>
      </c>
      <c r="U1931" s="76">
        <f>U1930+S1931</f>
        <v>9.609024498145194</v>
      </c>
      <c r="V1931" s="76">
        <f>V1930+T1931</f>
        <v>45.23327031681305</v>
      </c>
    </row>
    <row r="1932" spans="1:22" ht="19" customHeight="1">
      <c r="A1932" s="68" t="s">
        <v>374</v>
      </c>
      <c r="B1932" s="74">
        <v>3</v>
      </c>
      <c r="C1932" s="68" t="s">
        <v>363</v>
      </c>
      <c r="D1932" s="68" t="s">
        <v>364</v>
      </c>
      <c r="E1932" s="75">
        <f>60*F1932*'THAM_SO_MOI'!$C$51/(2*PI()*'THAM_SO_MOI'!$C$26)</f>
        <v>1948.1622456742416</v>
      </c>
      <c r="F1932" s="75">
        <f>'HANH_TRINH'!$F$1647+('THAM_SO_MOI'!$F$51-'HANH_TRINH'!$F$1647)*284/'THAM_SO_MOI'!$C$42</f>
        <v>7.755614267768584</v>
      </c>
      <c r="G1932" s="75">
        <f>3.6*F1932</f>
        <v>27.920211363966903</v>
      </c>
      <c r="H1932" s="75">
        <f>'THAM_SO_MOI'!$D$51</f>
        <v>1.375</v>
      </c>
      <c r="I1932" s="75">
        <f>IF(F1932&gt;'THAM_SO_MOI'!$C$14,'THAM_SO_MOI'!$C$13*(1+F1932^2/1500),'THAM_SO_MOI'!$C$13)</f>
        <v>0.015</v>
      </c>
      <c r="J1932" s="75">
        <f>'THAM_SO_MOI'!$C$40*('THAM_SO_MOI'!$C$23*(E1932/'THAM_SO_MOI'!$C$22)+'THAM_SO_MOI'!$C$24*(E1932/'THAM_SO_MOI'!$C$22)^2-'THAM_SO_MOI'!$C$25*(E1932/'THAM_SO_MOI'!$C$22)^3)</f>
        <v>87.26222546953805</v>
      </c>
      <c r="K1932" s="75">
        <f>'THAM_SO_MOI'!$C$31*J1932/E1932</f>
        <v>427.813495434585</v>
      </c>
      <c r="L1932" s="75">
        <f>K1932*'THAM_SO_MOI'!$C$51*'THAM_SO_MOI'!$C$17/'THAM_SO_MOI'!$C$26</f>
        <v>9565.572017668126</v>
      </c>
      <c r="M1932" s="75">
        <f>'THAM_SO_MOI'!$C$15*'THAM_SO_MOI'!$C$16*F1932^2</f>
        <v>175.93744156096574</v>
      </c>
      <c r="N1932" s="75">
        <f>'THAM_SO_MOI'!$C$12*I1932</f>
        <v>1130.112</v>
      </c>
      <c r="O1932" s="75">
        <f>M1932+N1932</f>
        <v>1306.0494415609658</v>
      </c>
      <c r="P1932" s="75">
        <f>(MIN(L1932,'THAM_SO_MOI'!$C$41)-O1932)/('THAM_SO_MOI'!$C$11*H1932)</f>
        <v>0.7821517591010568</v>
      </c>
      <c r="Q1932" s="75">
        <f>IF(P1932&gt;0,1/P1932,NA())</f>
        <v>1.2785242612627001</v>
      </c>
      <c r="R1932" s="75">
        <f>F1932-F1931</f>
        <v>0.005028991339518285</v>
      </c>
      <c r="S1932" s="75">
        <f>0.5*(Q1931+Q1932)*R1932</f>
        <v>0.006429832387540187</v>
      </c>
      <c r="T1932" s="75">
        <f>0.5*(F1931*Q1931+F1932*Q1932)*R1932</f>
        <v>0.049851131653994595</v>
      </c>
      <c r="U1932" s="76">
        <f>U1931+S1932</f>
        <v>9.615454330532735</v>
      </c>
      <c r="V1932" s="76">
        <f>V1931+T1932</f>
        <v>45.28312144846704</v>
      </c>
    </row>
    <row r="1933" spans="1:22" ht="19" customHeight="1">
      <c r="A1933" s="68" t="s">
        <v>374</v>
      </c>
      <c r="B1933" s="74">
        <v>3</v>
      </c>
      <c r="C1933" s="68" t="s">
        <v>363</v>
      </c>
      <c r="D1933" s="68" t="s">
        <v>364</v>
      </c>
      <c r="E1933" s="75">
        <f>60*F1933*'THAM_SO_MOI'!$C$51/(2*PI()*'THAM_SO_MOI'!$C$26)</f>
        <v>1949.425497136113</v>
      </c>
      <c r="F1933" s="75">
        <f>'HANH_TRINH'!$F$1647+('THAM_SO_MOI'!$F$51-'HANH_TRINH'!$F$1647)*285/'THAM_SO_MOI'!$C$42</f>
        <v>7.760643259108101</v>
      </c>
      <c r="G1933" s="75">
        <f>3.6*F1933</f>
        <v>27.938315732789164</v>
      </c>
      <c r="H1933" s="75">
        <f>'THAM_SO_MOI'!$D$51</f>
        <v>1.375</v>
      </c>
      <c r="I1933" s="75">
        <f>IF(F1933&gt;'THAM_SO_MOI'!$C$14,'THAM_SO_MOI'!$C$13*(1+F1933^2/1500),'THAM_SO_MOI'!$C$13)</f>
        <v>0.015</v>
      </c>
      <c r="J1933" s="75">
        <f>'THAM_SO_MOI'!$C$40*('THAM_SO_MOI'!$C$23*(E1933/'THAM_SO_MOI'!$C$22)+'THAM_SO_MOI'!$C$24*(E1933/'THAM_SO_MOI'!$C$22)^2-'THAM_SO_MOI'!$C$25*(E1933/'THAM_SO_MOI'!$C$22)^3)</f>
        <v>87.32425897298995</v>
      </c>
      <c r="K1933" s="75">
        <f>'THAM_SO_MOI'!$C$31*J1933/E1933</f>
        <v>427.84019667074756</v>
      </c>
      <c r="L1933" s="75">
        <f>K1933*'THAM_SO_MOI'!$C$51*'THAM_SO_MOI'!$C$17/'THAM_SO_MOI'!$C$26</f>
        <v>9566.16903622925</v>
      </c>
      <c r="M1933" s="75">
        <f>'THAM_SO_MOI'!$C$15*'THAM_SO_MOI'!$C$16*F1933^2</f>
        <v>176.16568260078455</v>
      </c>
      <c r="N1933" s="75">
        <f>'THAM_SO_MOI'!$C$12*I1933</f>
        <v>1130.112</v>
      </c>
      <c r="O1933" s="75">
        <f>M1933+N1933</f>
        <v>1306.2776826007846</v>
      </c>
      <c r="P1933" s="75">
        <f>(MIN(L1933,'THAM_SO_MOI'!$C$41)-O1933)/('THAM_SO_MOI'!$C$11*H1933)</f>
        <v>0.7821866812148169</v>
      </c>
      <c r="Q1933" s="75">
        <f>IF(P1933&gt;0,1/P1933,NA())</f>
        <v>1.2784671792760476</v>
      </c>
      <c r="R1933" s="75">
        <f>F1933-F1932</f>
        <v>0.005028991339517397</v>
      </c>
      <c r="S1933" s="75">
        <f>0.5*(Q1932+Q1933)*R1933</f>
        <v>0.006429543904844738</v>
      </c>
      <c r="T1933" s="75">
        <f>0.5*(F1932*Q1932+F1933*Q1933)*R1933</f>
        <v>0.04988122914305401</v>
      </c>
      <c r="U1933" s="76">
        <f>U1932+S1933</f>
        <v>9.62188387443758</v>
      </c>
      <c r="V1933" s="76">
        <f>V1932+T1933</f>
        <v>45.3330026776101</v>
      </c>
    </row>
    <row r="1934" spans="1:22" ht="19" customHeight="1">
      <c r="A1934" s="68" t="s">
        <v>374</v>
      </c>
      <c r="B1934" s="74">
        <v>3</v>
      </c>
      <c r="C1934" s="68" t="s">
        <v>363</v>
      </c>
      <c r="D1934" s="68" t="s">
        <v>364</v>
      </c>
      <c r="E1934" s="75">
        <f>60*F1934*'THAM_SO_MOI'!$C$51/(2*PI()*'THAM_SO_MOI'!$C$26)</f>
        <v>1950.6887485979844</v>
      </c>
      <c r="F1934" s="75">
        <f>'HANH_TRINH'!$F$1647+('THAM_SO_MOI'!$F$51-'HANH_TRINH'!$F$1647)*286/'THAM_SO_MOI'!$C$42</f>
        <v>7.7656722504476186</v>
      </c>
      <c r="G1934" s="75">
        <f>3.6*F1934</f>
        <v>27.956420101611428</v>
      </c>
      <c r="H1934" s="75">
        <f>'THAM_SO_MOI'!$D$51</f>
        <v>1.375</v>
      </c>
      <c r="I1934" s="75">
        <f>IF(F1934&gt;'THAM_SO_MOI'!$C$14,'THAM_SO_MOI'!$C$13*(1+F1934^2/1500),'THAM_SO_MOI'!$C$13)</f>
        <v>0.015</v>
      </c>
      <c r="J1934" s="75">
        <f>'THAM_SO_MOI'!$C$40*('THAM_SO_MOI'!$C$23*(E1934/'THAM_SO_MOI'!$C$22)+'THAM_SO_MOI'!$C$24*(E1934/'THAM_SO_MOI'!$C$22)^2-'THAM_SO_MOI'!$C$25*(E1934/'THAM_SO_MOI'!$C$22)^3)</f>
        <v>87.38626792024016</v>
      </c>
      <c r="K1934" s="75">
        <f>'THAM_SO_MOI'!$C$31*J1934/E1934</f>
        <v>427.8667430900797</v>
      </c>
      <c r="L1934" s="75">
        <f>K1934*'THAM_SO_MOI'!$C$51*'THAM_SO_MOI'!$C$17/'THAM_SO_MOI'!$C$26</f>
        <v>9566.762593208266</v>
      </c>
      <c r="M1934" s="75">
        <f>'THAM_SO_MOI'!$C$15*'THAM_SO_MOI'!$C$16*F1934^2</f>
        <v>176.39407159151364</v>
      </c>
      <c r="N1934" s="75">
        <f>'THAM_SO_MOI'!$C$12*I1934</f>
        <v>1130.112</v>
      </c>
      <c r="O1934" s="75">
        <f>M1934+N1934</f>
        <v>1306.5060715915138</v>
      </c>
      <c r="P1934" s="75">
        <f>(MIN(L1934,'THAM_SO_MOI'!$C$41)-O1934)/('THAM_SO_MOI'!$C$11*H1934)</f>
        <v>0.782221261516738</v>
      </c>
      <c r="Q1934" s="75">
        <f>IF(P1934&gt;0,1/P1934,NA())</f>
        <v>1.2784106610206247</v>
      </c>
      <c r="R1934" s="75">
        <f>F1934-F1933</f>
        <v>0.005028991339517397</v>
      </c>
      <c r="S1934" s="75">
        <f>0.5*(Q1933+Q1934)*R1934</f>
        <v>0.006429258257527956</v>
      </c>
      <c r="T1934" s="75">
        <f>0.5*(F1933*Q1933+F1934*Q1934)*R1934</f>
        <v>0.04991134574205041</v>
      </c>
      <c r="U1934" s="76">
        <f>U1933+S1934</f>
        <v>9.628313132695109</v>
      </c>
      <c r="V1934" s="76">
        <f>V1933+T1934</f>
        <v>45.38291402335215</v>
      </c>
    </row>
    <row r="1935" spans="1:22" ht="19" customHeight="1">
      <c r="A1935" s="68" t="s">
        <v>374</v>
      </c>
      <c r="B1935" s="74">
        <v>3</v>
      </c>
      <c r="C1935" s="68" t="s">
        <v>363</v>
      </c>
      <c r="D1935" s="68" t="s">
        <v>364</v>
      </c>
      <c r="E1935" s="75">
        <f>60*F1935*'THAM_SO_MOI'!$C$51/(2*PI()*'THAM_SO_MOI'!$C$26)</f>
        <v>1951.9520000598566</v>
      </c>
      <c r="F1935" s="75">
        <f>'HANH_TRINH'!$F$1647+('THAM_SO_MOI'!$F$51-'HANH_TRINH'!$F$1647)*287/'THAM_SO_MOI'!$C$42</f>
        <v>7.770701241787137</v>
      </c>
      <c r="G1935" s="75">
        <f>3.6*F1935</f>
        <v>27.974524470433693</v>
      </c>
      <c r="H1935" s="75">
        <f>'THAM_SO_MOI'!$D$51</f>
        <v>1.375</v>
      </c>
      <c r="I1935" s="75">
        <f>IF(F1935&gt;'THAM_SO_MOI'!$C$14,'THAM_SO_MOI'!$C$13*(1+F1935^2/1500),'THAM_SO_MOI'!$C$13)</f>
        <v>0.015</v>
      </c>
      <c r="J1935" s="75">
        <f>'THAM_SO_MOI'!$C$40*('THAM_SO_MOI'!$C$23*(E1935/'THAM_SO_MOI'!$C$22)+'THAM_SO_MOI'!$C$24*(E1935/'THAM_SO_MOI'!$C$22)^2-'THAM_SO_MOI'!$C$25*(E1935/'THAM_SO_MOI'!$C$22)^3)</f>
        <v>87.44825224985937</v>
      </c>
      <c r="K1935" s="75">
        <f>'THAM_SO_MOI'!$C$31*J1935/E1935</f>
        <v>427.89313469258127</v>
      </c>
      <c r="L1935" s="75">
        <f>K1935*'THAM_SO_MOI'!$C$51*'THAM_SO_MOI'!$C$17/'THAM_SO_MOI'!$C$26</f>
        <v>9567.352688605171</v>
      </c>
      <c r="M1935" s="75">
        <f>'THAM_SO_MOI'!$C$15*'THAM_SO_MOI'!$C$16*F1935^2</f>
        <v>176.62260853315306</v>
      </c>
      <c r="N1935" s="75">
        <f>'THAM_SO_MOI'!$C$12*I1935</f>
        <v>1130.112</v>
      </c>
      <c r="O1935" s="75">
        <f>M1935+N1935</f>
        <v>1306.734608533153</v>
      </c>
      <c r="P1935" s="75">
        <f>(MIN(L1935,'THAM_SO_MOI'!$C$41)-O1935)/('THAM_SO_MOI'!$C$11*H1935)</f>
        <v>0.7822555000068199</v>
      </c>
      <c r="Q1935" s="75">
        <f>IF(P1935&gt;0,1/P1935,NA())</f>
        <v>1.278354706347583</v>
      </c>
      <c r="R1935" s="75">
        <f>F1935-F1934</f>
        <v>0.005028991339518285</v>
      </c>
      <c r="S1935" s="75">
        <f>0.5*(Q1934+Q1935)*R1935</f>
        <v>0.006428975444837502</v>
      </c>
      <c r="T1935" s="75">
        <f>0.5*(F1934*Q1934+F1935*Q1935)*R1935</f>
        <v>0.049941481487916786</v>
      </c>
      <c r="U1935" s="76">
        <f>U1934+S1935</f>
        <v>9.634742108139946</v>
      </c>
      <c r="V1935" s="76">
        <f>V1934+T1935</f>
        <v>45.43285550484007</v>
      </c>
    </row>
    <row r="1936" spans="1:22" ht="19" customHeight="1">
      <c r="A1936" s="68" t="s">
        <v>374</v>
      </c>
      <c r="B1936" s="74">
        <v>3</v>
      </c>
      <c r="C1936" s="68" t="s">
        <v>363</v>
      </c>
      <c r="D1936" s="68" t="s">
        <v>364</v>
      </c>
      <c r="E1936" s="75">
        <f>60*F1936*'THAM_SO_MOI'!$C$51/(2*PI()*'THAM_SO_MOI'!$C$26)</f>
        <v>1953.2152515217279</v>
      </c>
      <c r="F1936" s="75">
        <f>'HANH_TRINH'!$F$1647+('THAM_SO_MOI'!$F$51-'HANH_TRINH'!$F$1647)*288/'THAM_SO_MOI'!$C$42</f>
        <v>7.775730233126654</v>
      </c>
      <c r="G1936" s="75">
        <f>3.6*F1936</f>
        <v>27.992628839255957</v>
      </c>
      <c r="H1936" s="75">
        <f>'THAM_SO_MOI'!$D$51</f>
        <v>1.375</v>
      </c>
      <c r="I1936" s="75">
        <f>IF(F1936&gt;'THAM_SO_MOI'!$C$14,'THAM_SO_MOI'!$C$13*(1+F1936^2/1500),'THAM_SO_MOI'!$C$13)</f>
        <v>0.015</v>
      </c>
      <c r="J1936" s="75">
        <f>'THAM_SO_MOI'!$C$40*('THAM_SO_MOI'!$C$23*(E1936/'THAM_SO_MOI'!$C$22)+'THAM_SO_MOI'!$C$24*(E1936/'THAM_SO_MOI'!$C$22)^2-'THAM_SO_MOI'!$C$25*(E1936/'THAM_SO_MOI'!$C$22)^3)</f>
        <v>87.51021190041811</v>
      </c>
      <c r="K1936" s="75">
        <f>'THAM_SO_MOI'!$C$31*J1936/E1936</f>
        <v>427.91937147825234</v>
      </c>
      <c r="L1936" s="75">
        <f>K1936*'THAM_SO_MOI'!$C$51*'THAM_SO_MOI'!$C$17/'THAM_SO_MOI'!$C$26</f>
        <v>9567.939322419968</v>
      </c>
      <c r="M1936" s="75">
        <f>'THAM_SO_MOI'!$C$15*'THAM_SO_MOI'!$C$16*F1936^2</f>
        <v>176.85129342570272</v>
      </c>
      <c r="N1936" s="75">
        <f>'THAM_SO_MOI'!$C$12*I1936</f>
        <v>1130.112</v>
      </c>
      <c r="O1936" s="75">
        <f>M1936+N1936</f>
        <v>1306.963293425703</v>
      </c>
      <c r="P1936" s="75">
        <f>(MIN(L1936,'THAM_SO_MOI'!$C$41)-O1936)/('THAM_SO_MOI'!$C$11*H1936)</f>
        <v>0.7822893966850629</v>
      </c>
      <c r="Q1936" s="75">
        <f>IF(P1936&gt;0,1/P1936,NA())</f>
        <v>1.2782993151095767</v>
      </c>
      <c r="R1936" s="75">
        <f>F1936-F1935</f>
        <v>0.005028991339517397</v>
      </c>
      <c r="S1936" s="75">
        <f>0.5*(Q1935+Q1936)*R1936</f>
        <v>0.0064286954660251906</v>
      </c>
      <c r="T1936" s="75">
        <f>0.5*(F1935*Q1935+F1936*Q1936)*R1936</f>
        <v>0.04997163641760326</v>
      </c>
      <c r="U1936" s="76">
        <f>U1935+S1936</f>
        <v>9.641170803605972</v>
      </c>
      <c r="V1936" s="76">
        <f>V1935+T1936</f>
        <v>45.48282714125767</v>
      </c>
    </row>
    <row r="1937" spans="1:22" ht="19" customHeight="1">
      <c r="A1937" s="68" t="s">
        <v>374</v>
      </c>
      <c r="B1937" s="74">
        <v>3</v>
      </c>
      <c r="C1937" s="68" t="s">
        <v>363</v>
      </c>
      <c r="D1937" s="68" t="s">
        <v>364</v>
      </c>
      <c r="E1937" s="75">
        <f>60*F1937*'THAM_SO_MOI'!$C$51/(2*PI()*'THAM_SO_MOI'!$C$26)</f>
        <v>1954.4785029835996</v>
      </c>
      <c r="F1937" s="75">
        <f>'HANH_TRINH'!$F$1647+('THAM_SO_MOI'!$F$51-'HANH_TRINH'!$F$1647)*289/'THAM_SO_MOI'!$C$42</f>
        <v>7.780759224466172</v>
      </c>
      <c r="G1937" s="75">
        <f>3.6*F1937</f>
        <v>28.010733208078218</v>
      </c>
      <c r="H1937" s="75">
        <f>'THAM_SO_MOI'!$D$51</f>
        <v>1.375</v>
      </c>
      <c r="I1937" s="75">
        <f>IF(F1937&gt;'THAM_SO_MOI'!$C$14,'THAM_SO_MOI'!$C$13*(1+F1937^2/1500),'THAM_SO_MOI'!$C$13)</f>
        <v>0.015</v>
      </c>
      <c r="J1937" s="75">
        <f>'THAM_SO_MOI'!$C$40*('THAM_SO_MOI'!$C$23*(E1937/'THAM_SO_MOI'!$C$22)+'THAM_SO_MOI'!$C$24*(E1937/'THAM_SO_MOI'!$C$22)^2-'THAM_SO_MOI'!$C$25*(E1937/'THAM_SO_MOI'!$C$22)^3)</f>
        <v>87.57214681048714</v>
      </c>
      <c r="K1937" s="75">
        <f>'THAM_SO_MOI'!$C$31*J1937/E1937</f>
        <v>427.9454534470928</v>
      </c>
      <c r="L1937" s="75">
        <f>K1937*'THAM_SO_MOI'!$C$51*'THAM_SO_MOI'!$C$17/'THAM_SO_MOI'!$C$26</f>
        <v>9568.522494652658</v>
      </c>
      <c r="M1937" s="75">
        <f>'THAM_SO_MOI'!$C$15*'THAM_SO_MOI'!$C$16*F1937^2</f>
        <v>177.0801262691626</v>
      </c>
      <c r="N1937" s="75">
        <f>'THAM_SO_MOI'!$C$12*I1937</f>
        <v>1130.112</v>
      </c>
      <c r="O1937" s="75">
        <f>M1937+N1937</f>
        <v>1307.1921262691626</v>
      </c>
      <c r="P1937" s="75">
        <f>(MIN(L1937,'THAM_SO_MOI'!$C$41)-O1937)/('THAM_SO_MOI'!$C$11*H1937)</f>
        <v>0.7823229515514675</v>
      </c>
      <c r="Q1937" s="75">
        <f>IF(P1937&gt;0,1/P1937,NA())</f>
        <v>1.278244487160763</v>
      </c>
      <c r="R1937" s="75">
        <f>F1937-F1936</f>
        <v>0.005028991339517397</v>
      </c>
      <c r="S1937" s="75">
        <f>0.5*(Q1936+Q1937)*R1937</f>
        <v>0.006428418320357207</v>
      </c>
      <c r="T1937" s="75">
        <f>0.5*(F1936*Q1936+F1937*Q1937)*R1937</f>
        <v>0.050001810568156696</v>
      </c>
      <c r="U1937" s="76">
        <f>U1936+S1937</f>
        <v>9.64759922192633</v>
      </c>
      <c r="V1937" s="76">
        <f>V1936+T1937</f>
        <v>45.53282895182583</v>
      </c>
    </row>
    <row r="1938" spans="1:22" ht="19" customHeight="1">
      <c r="A1938" s="68" t="s">
        <v>374</v>
      </c>
      <c r="B1938" s="74">
        <v>3</v>
      </c>
      <c r="C1938" s="68" t="s">
        <v>363</v>
      </c>
      <c r="D1938" s="68" t="s">
        <v>364</v>
      </c>
      <c r="E1938" s="75">
        <f>60*F1938*'THAM_SO_MOI'!$C$51/(2*PI()*'THAM_SO_MOI'!$C$26)</f>
        <v>1955.7417544454709</v>
      </c>
      <c r="F1938" s="75">
        <f>'HANH_TRINH'!$F$1647+('THAM_SO_MOI'!$F$51-'HANH_TRINH'!$F$1647)*290/'THAM_SO_MOI'!$C$42</f>
        <v>7.78578821580569</v>
      </c>
      <c r="G1938" s="75">
        <f>3.6*F1938</f>
        <v>28.028837576900486</v>
      </c>
      <c r="H1938" s="75">
        <f>'THAM_SO_MOI'!$D$51</f>
        <v>1.375</v>
      </c>
      <c r="I1938" s="75">
        <f>IF(F1938&gt;'THAM_SO_MOI'!$C$14,'THAM_SO_MOI'!$C$13*(1+F1938^2/1500),'THAM_SO_MOI'!$C$13)</f>
        <v>0.015</v>
      </c>
      <c r="J1938" s="75">
        <f>'THAM_SO_MOI'!$C$40*('THAM_SO_MOI'!$C$23*(E1938/'THAM_SO_MOI'!$C$22)+'THAM_SO_MOI'!$C$24*(E1938/'THAM_SO_MOI'!$C$22)^2-'THAM_SO_MOI'!$C$25*(E1938/'THAM_SO_MOI'!$C$22)^3)</f>
        <v>87.63405691863704</v>
      </c>
      <c r="K1938" s="75">
        <f>'THAM_SO_MOI'!$C$31*J1938/E1938</f>
        <v>427.97138059910276</v>
      </c>
      <c r="L1938" s="75">
        <f>K1938*'THAM_SO_MOI'!$C$51*'THAM_SO_MOI'!$C$17/'THAM_SO_MOI'!$C$26</f>
        <v>9569.102205303234</v>
      </c>
      <c r="M1938" s="75">
        <f>'THAM_SO_MOI'!$C$15*'THAM_SO_MOI'!$C$16*F1938^2</f>
        <v>177.30910706353288</v>
      </c>
      <c r="N1938" s="75">
        <f>'THAM_SO_MOI'!$C$12*I1938</f>
        <v>1130.112</v>
      </c>
      <c r="O1938" s="75">
        <f>M1938+N1938</f>
        <v>1307.4211070635329</v>
      </c>
      <c r="P1938" s="75">
        <f>(MIN(L1938,'THAM_SO_MOI'!$C$41)-O1938)/('THAM_SO_MOI'!$C$11*H1938)</f>
        <v>0.7823561646060322</v>
      </c>
      <c r="Q1938" s="75">
        <f>IF(P1938&gt;0,1/P1938,NA())</f>
        <v>1.2781902223568031</v>
      </c>
      <c r="R1938" s="75">
        <f>F1938-F1937</f>
        <v>0.005028991339518285</v>
      </c>
      <c r="S1938" s="75">
        <f>0.5*(Q1937+Q1938)*R1938</f>
        <v>0.006428144007103891</v>
      </c>
      <c r="T1938" s="75">
        <f>0.5*(F1937*Q1937+F1938*Q1938)*R1938</f>
        <v>0.05003200397664154</v>
      </c>
      <c r="U1938" s="76">
        <f>U1937+S1938</f>
        <v>9.654027365933434</v>
      </c>
      <c r="V1938" s="76">
        <f>V1937+T1938</f>
        <v>45.58286095580247</v>
      </c>
    </row>
    <row r="1939" spans="1:22" ht="19" customHeight="1">
      <c r="A1939" s="68" t="s">
        <v>374</v>
      </c>
      <c r="B1939" s="74">
        <v>3</v>
      </c>
      <c r="C1939" s="68" t="s">
        <v>363</v>
      </c>
      <c r="D1939" s="68" t="s">
        <v>364</v>
      </c>
      <c r="E1939" s="75">
        <f>60*F1939*'THAM_SO_MOI'!$C$51/(2*PI()*'THAM_SO_MOI'!$C$26)</f>
        <v>1957.0050059073426</v>
      </c>
      <c r="F1939" s="75">
        <f>'HANH_TRINH'!$F$1647+('THAM_SO_MOI'!$F$51-'HANH_TRINH'!$F$1647)*291/'THAM_SO_MOI'!$C$42</f>
        <v>7.790817207145207</v>
      </c>
      <c r="G1939" s="75">
        <f>3.6*F1939</f>
        <v>28.046941945722747</v>
      </c>
      <c r="H1939" s="75">
        <f>'THAM_SO_MOI'!$D$51</f>
        <v>1.375</v>
      </c>
      <c r="I1939" s="75">
        <f>IF(F1939&gt;'THAM_SO_MOI'!$C$14,'THAM_SO_MOI'!$C$13*(1+F1939^2/1500),'THAM_SO_MOI'!$C$13)</f>
        <v>0.015</v>
      </c>
      <c r="J1939" s="75">
        <f>'THAM_SO_MOI'!$C$40*('THAM_SO_MOI'!$C$23*(E1939/'THAM_SO_MOI'!$C$22)+'THAM_SO_MOI'!$C$24*(E1939/'THAM_SO_MOI'!$C$22)^2-'THAM_SO_MOI'!$C$25*(E1939/'THAM_SO_MOI'!$C$22)^3)</f>
        <v>87.69594216343853</v>
      </c>
      <c r="K1939" s="75">
        <f>'THAM_SO_MOI'!$C$31*J1939/E1939</f>
        <v>427.99715293428227</v>
      </c>
      <c r="L1939" s="75">
        <f>K1939*'THAM_SO_MOI'!$C$51*'THAM_SO_MOI'!$C$17/'THAM_SO_MOI'!$C$26</f>
        <v>9569.678454371704</v>
      </c>
      <c r="M1939" s="75">
        <f>'THAM_SO_MOI'!$C$15*'THAM_SO_MOI'!$C$16*F1939^2</f>
        <v>177.5382358088133</v>
      </c>
      <c r="N1939" s="75">
        <f>'THAM_SO_MOI'!$C$12*I1939</f>
        <v>1130.112</v>
      </c>
      <c r="O1939" s="75">
        <f>M1939+N1939</f>
        <v>1307.6502358088135</v>
      </c>
      <c r="P1939" s="75">
        <f>(MIN(L1939,'THAM_SO_MOI'!$C$41)-O1939)/('THAM_SO_MOI'!$C$11*H1939)</f>
        <v>0.7823890358487585</v>
      </c>
      <c r="Q1939" s="75">
        <f>IF(P1939&gt;0,1/P1939,NA())</f>
        <v>1.2781365205548552</v>
      </c>
      <c r="R1939" s="75">
        <f>F1939-F1938</f>
        <v>0.005028991339517397</v>
      </c>
      <c r="S1939" s="75">
        <f>0.5*(Q1938+Q1939)*R1939</f>
        <v>0.006427872525539722</v>
      </c>
      <c r="T1939" s="75">
        <f>0.5*(F1938*Q1938+F1939*Q1939)*R1939</f>
        <v>0.05006221668013979</v>
      </c>
      <c r="U1939" s="76">
        <f>U1938+S1939</f>
        <v>9.660455238458974</v>
      </c>
      <c r="V1939" s="76">
        <f>V1938+T1939</f>
        <v>45.632923172482606</v>
      </c>
    </row>
    <row r="1940" spans="1:22" ht="19" customHeight="1">
      <c r="A1940" s="68" t="s">
        <v>374</v>
      </c>
      <c r="B1940" s="74">
        <v>3</v>
      </c>
      <c r="C1940" s="68" t="s">
        <v>363</v>
      </c>
      <c r="D1940" s="68" t="s">
        <v>364</v>
      </c>
      <c r="E1940" s="75">
        <f>60*F1940*'THAM_SO_MOI'!$C$51/(2*PI()*'THAM_SO_MOI'!$C$26)</f>
        <v>1958.2682573692143</v>
      </c>
      <c r="F1940" s="75">
        <f>'HANH_TRINH'!$F$1647+('THAM_SO_MOI'!$F$51-'HANH_TRINH'!$F$1647)*292/'THAM_SO_MOI'!$C$42</f>
        <v>7.795846198484725</v>
      </c>
      <c r="G1940" s="75">
        <f>3.6*F1940</f>
        <v>28.06504631454501</v>
      </c>
      <c r="H1940" s="75">
        <f>'THAM_SO_MOI'!$D$51</f>
        <v>1.375</v>
      </c>
      <c r="I1940" s="75">
        <f>IF(F1940&gt;'THAM_SO_MOI'!$C$14,'THAM_SO_MOI'!$C$13*(1+F1940^2/1500),'THAM_SO_MOI'!$C$13)</f>
        <v>0.015</v>
      </c>
      <c r="J1940" s="75">
        <f>'THAM_SO_MOI'!$C$40*('THAM_SO_MOI'!$C$23*(E1940/'THAM_SO_MOI'!$C$22)+'THAM_SO_MOI'!$C$24*(E1940/'THAM_SO_MOI'!$C$22)^2-'THAM_SO_MOI'!$C$25*(E1940/'THAM_SO_MOI'!$C$22)^3)</f>
        <v>87.75780248346221</v>
      </c>
      <c r="K1940" s="75">
        <f>'THAM_SO_MOI'!$C$31*J1940/E1940</f>
        <v>428.0227704526311</v>
      </c>
      <c r="L1940" s="75">
        <f>K1940*'THAM_SO_MOI'!$C$51*'THAM_SO_MOI'!$C$17/'THAM_SO_MOI'!$C$26</f>
        <v>9570.25124185806</v>
      </c>
      <c r="M1940" s="75">
        <f>'THAM_SO_MOI'!$C$15*'THAM_SO_MOI'!$C$16*F1940^2</f>
        <v>177.76751250500408</v>
      </c>
      <c r="N1940" s="75">
        <f>'THAM_SO_MOI'!$C$12*I1940</f>
        <v>1130.112</v>
      </c>
      <c r="O1940" s="75">
        <f>M1940+N1940</f>
        <v>1307.8795125050042</v>
      </c>
      <c r="P1940" s="75">
        <f>(MIN(L1940,'THAM_SO_MOI'!$C$41)-O1940)/('THAM_SO_MOI'!$C$11*H1940)</f>
        <v>0.7824215652796456</v>
      </c>
      <c r="Q1940" s="75">
        <f>IF(P1940&gt;0,1/P1940,NA())</f>
        <v>1.2780833816135801</v>
      </c>
      <c r="R1940" s="75">
        <f>F1940-F1939</f>
        <v>0.005028991339517397</v>
      </c>
      <c r="S1940" s="75">
        <f>0.5*(Q1939+Q1940)*R1940</f>
        <v>0.006427603874953535</v>
      </c>
      <c r="T1940" s="75">
        <f>0.5*(F1939*Q1939+F1940*Q1940)*R1940</f>
        <v>0.05009244871583073</v>
      </c>
      <c r="U1940" s="76">
        <f>U1939+S1940</f>
        <v>9.666882842333928</v>
      </c>
      <c r="V1940" s="76">
        <f>V1939+T1940</f>
        <v>45.683015621198436</v>
      </c>
    </row>
    <row r="1941" spans="1:22" ht="19" customHeight="1">
      <c r="A1941" s="68" t="s">
        <v>374</v>
      </c>
      <c r="B1941" s="74">
        <v>3</v>
      </c>
      <c r="C1941" s="68" t="s">
        <v>363</v>
      </c>
      <c r="D1941" s="68" t="s">
        <v>364</v>
      </c>
      <c r="E1941" s="75">
        <f>60*F1941*'THAM_SO_MOI'!$C$51/(2*PI()*'THAM_SO_MOI'!$C$26)</f>
        <v>1959.531508831086</v>
      </c>
      <c r="F1941" s="75">
        <f>'HANH_TRINH'!$F$1647+('THAM_SO_MOI'!$F$51-'HANH_TRINH'!$F$1647)*293/'THAM_SO_MOI'!$C$42</f>
        <v>7.800875189824243</v>
      </c>
      <c r="G1941" s="75">
        <f>3.6*F1941</f>
        <v>28.083150683367275</v>
      </c>
      <c r="H1941" s="75">
        <f>'THAM_SO_MOI'!$D$51</f>
        <v>1.375</v>
      </c>
      <c r="I1941" s="75">
        <f>IF(F1941&gt;'THAM_SO_MOI'!$C$14,'THAM_SO_MOI'!$C$13*(1+F1941^2/1500),'THAM_SO_MOI'!$C$13)</f>
        <v>0.015</v>
      </c>
      <c r="J1941" s="75">
        <f>'THAM_SO_MOI'!$C$40*('THAM_SO_MOI'!$C$23*(E1941/'THAM_SO_MOI'!$C$22)+'THAM_SO_MOI'!$C$24*(E1941/'THAM_SO_MOI'!$C$22)^2-'THAM_SO_MOI'!$C$25*(E1941/'THAM_SO_MOI'!$C$22)^3)</f>
        <v>87.81963781727879</v>
      </c>
      <c r="K1941" s="75">
        <f>'THAM_SO_MOI'!$C$31*J1941/E1941</f>
        <v>428.0482331541497</v>
      </c>
      <c r="L1941" s="75">
        <f>K1941*'THAM_SO_MOI'!$C$51*'THAM_SO_MOI'!$C$17/'THAM_SO_MOI'!$C$26</f>
        <v>9570.820567762317</v>
      </c>
      <c r="M1941" s="75">
        <f>'THAM_SO_MOI'!$C$15*'THAM_SO_MOI'!$C$16*F1941^2</f>
        <v>177.99693715210512</v>
      </c>
      <c r="N1941" s="75">
        <f>'THAM_SO_MOI'!$C$12*I1941</f>
        <v>1130.112</v>
      </c>
      <c r="O1941" s="75">
        <f>M1941+N1941</f>
        <v>1308.1089371521052</v>
      </c>
      <c r="P1941" s="75">
        <f>(MIN(L1941,'THAM_SO_MOI'!$C$41)-O1941)/('THAM_SO_MOI'!$C$11*H1941)</f>
        <v>0.7824537528986942</v>
      </c>
      <c r="Q1941" s="75">
        <f>IF(P1941&gt;0,1/P1941,NA())</f>
        <v>1.278030805393136</v>
      </c>
      <c r="R1941" s="75">
        <f>F1941-F1940</f>
        <v>0.005028991339518285</v>
      </c>
      <c r="S1941" s="75">
        <f>0.5*(Q1940+Q1941)*R1941</f>
        <v>0.0064273380546382985</v>
      </c>
      <c r="T1941" s="75">
        <f>0.5*(F1940*Q1940+F1941*Q1941)*R1941</f>
        <v>0.05012270012091159</v>
      </c>
      <c r="U1941" s="76">
        <f>U1940+S1941</f>
        <v>9.673310180388567</v>
      </c>
      <c r="V1941" s="76">
        <f>V1940+T1941</f>
        <v>45.733138321319345</v>
      </c>
    </row>
    <row r="1942" spans="1:22" ht="19" customHeight="1">
      <c r="A1942" s="68" t="s">
        <v>374</v>
      </c>
      <c r="B1942" s="74">
        <v>3</v>
      </c>
      <c r="C1942" s="68" t="s">
        <v>363</v>
      </c>
      <c r="D1942" s="68" t="s">
        <v>364</v>
      </c>
      <c r="E1942" s="75">
        <f>60*F1942*'THAM_SO_MOI'!$C$51/(2*PI()*'THAM_SO_MOI'!$C$26)</f>
        <v>1960.7947602929578</v>
      </c>
      <c r="F1942" s="75">
        <f>'HANH_TRINH'!$F$1647+('THAM_SO_MOI'!$F$51-'HANH_TRINH'!$F$1647)*294/'THAM_SO_MOI'!$C$42</f>
        <v>7.80590418116376</v>
      </c>
      <c r="G1942" s="75">
        <f>3.6*F1942</f>
        <v>28.101255052189536</v>
      </c>
      <c r="H1942" s="75">
        <f>'THAM_SO_MOI'!$D$51</f>
        <v>1.375</v>
      </c>
      <c r="I1942" s="75">
        <f>IF(F1942&gt;'THAM_SO_MOI'!$C$14,'THAM_SO_MOI'!$C$13*(1+F1942^2/1500),'THAM_SO_MOI'!$C$13)</f>
        <v>0.015</v>
      </c>
      <c r="J1942" s="75">
        <f>'THAM_SO_MOI'!$C$40*('THAM_SO_MOI'!$C$23*(E1942/'THAM_SO_MOI'!$C$22)+'THAM_SO_MOI'!$C$24*(E1942/'THAM_SO_MOI'!$C$22)^2-'THAM_SO_MOI'!$C$25*(E1942/'THAM_SO_MOI'!$C$22)^3)</f>
        <v>87.88144810345885</v>
      </c>
      <c r="K1942" s="75">
        <f>'THAM_SO_MOI'!$C$31*J1942/E1942</f>
        <v>428.0735410388377</v>
      </c>
      <c r="L1942" s="75">
        <f>K1942*'THAM_SO_MOI'!$C$51*'THAM_SO_MOI'!$C$17/'THAM_SO_MOI'!$C$26</f>
        <v>9571.386432084459</v>
      </c>
      <c r="M1942" s="75">
        <f>'THAM_SO_MOI'!$C$15*'THAM_SO_MOI'!$C$16*F1942^2</f>
        <v>178.2265097501164</v>
      </c>
      <c r="N1942" s="75">
        <f>'THAM_SO_MOI'!$C$12*I1942</f>
        <v>1130.112</v>
      </c>
      <c r="O1942" s="75">
        <f>M1942+N1942</f>
        <v>1308.3385097501164</v>
      </c>
      <c r="P1942" s="75">
        <f>(MIN(L1942,'THAM_SO_MOI'!$C$41)-O1942)/('THAM_SO_MOI'!$C$11*H1942)</f>
        <v>0.7824855987059036</v>
      </c>
      <c r="Q1942" s="75">
        <f>IF(P1942&gt;0,1/P1942,NA())</f>
        <v>1.2779787917551808</v>
      </c>
      <c r="R1942" s="75">
        <f>F1942-F1941</f>
        <v>0.005028991339517397</v>
      </c>
      <c r="S1942" s="75">
        <f>0.5*(Q1941+Q1942)*R1942</f>
        <v>0.006427075063891118</v>
      </c>
      <c r="T1942" s="75">
        <f>0.5*(F1941*Q1941+F1942*Q1942)*R1942</f>
        <v>0.05015297093259762</v>
      </c>
      <c r="U1942" s="76">
        <f>U1941+S1942</f>
        <v>9.679737255452459</v>
      </c>
      <c r="V1942" s="76">
        <f>V1941+T1942</f>
        <v>45.783291292251945</v>
      </c>
    </row>
    <row r="1943" spans="1:22" ht="19" customHeight="1">
      <c r="A1943" s="68" t="s">
        <v>374</v>
      </c>
      <c r="B1943" s="74">
        <v>3</v>
      </c>
      <c r="C1943" s="68" t="s">
        <v>363</v>
      </c>
      <c r="D1943" s="68" t="s">
        <v>364</v>
      </c>
      <c r="E1943" s="75">
        <f>60*F1943*'THAM_SO_MOI'!$C$51/(2*PI()*'THAM_SO_MOI'!$C$26)</f>
        <v>1962.0580117548293</v>
      </c>
      <c r="F1943" s="75">
        <f>'HANH_TRINH'!$F$1647+('THAM_SO_MOI'!$F$51-'HANH_TRINH'!$F$1647)*295/'THAM_SO_MOI'!$C$42</f>
        <v>7.810933172503278</v>
      </c>
      <c r="G1943" s="75">
        <f>3.6*F1943</f>
        <v>28.1193594210118</v>
      </c>
      <c r="H1943" s="75">
        <f>'THAM_SO_MOI'!$D$51</f>
        <v>1.375</v>
      </c>
      <c r="I1943" s="75">
        <f>IF(F1943&gt;'THAM_SO_MOI'!$C$14,'THAM_SO_MOI'!$C$13*(1+F1943^2/1500),'THAM_SO_MOI'!$C$13)</f>
        <v>0.015</v>
      </c>
      <c r="J1943" s="75">
        <f>'THAM_SO_MOI'!$C$40*('THAM_SO_MOI'!$C$23*(E1943/'THAM_SO_MOI'!$C$22)+'THAM_SO_MOI'!$C$24*(E1943/'THAM_SO_MOI'!$C$22)^2-'THAM_SO_MOI'!$C$25*(E1943/'THAM_SO_MOI'!$C$22)^3)</f>
        <v>87.94323328057308</v>
      </c>
      <c r="K1943" s="75">
        <f>'THAM_SO_MOI'!$C$31*J1943/E1943</f>
        <v>428.09869410669523</v>
      </c>
      <c r="L1943" s="75">
        <f>K1943*'THAM_SO_MOI'!$C$51*'THAM_SO_MOI'!$C$17/'THAM_SO_MOI'!$C$26</f>
        <v>9571.948834824494</v>
      </c>
      <c r="M1943" s="75">
        <f>'THAM_SO_MOI'!$C$15*'THAM_SO_MOI'!$C$16*F1943^2</f>
        <v>178.45623029903797</v>
      </c>
      <c r="N1943" s="75">
        <f>'THAM_SO_MOI'!$C$12*I1943</f>
        <v>1130.112</v>
      </c>
      <c r="O1943" s="75">
        <f>M1943+N1943</f>
        <v>1308.568230299038</v>
      </c>
      <c r="P1943" s="75">
        <f>(MIN(L1943,'THAM_SO_MOI'!$C$41)-O1943)/('THAM_SO_MOI'!$C$11*H1943)</f>
        <v>0.7825171027012743</v>
      </c>
      <c r="Q1943" s="75">
        <f>IF(P1943&gt;0,1/P1943,NA())</f>
        <v>1.277927340562868</v>
      </c>
      <c r="R1943" s="75">
        <f>F1943-F1942</f>
        <v>0.005028991339517397</v>
      </c>
      <c r="S1943" s="75">
        <f>0.5*(Q1942+Q1943)*R1943</f>
        <v>0.006426814902023436</v>
      </c>
      <c r="T1943" s="75">
        <f>0.5*(F1942*Q1942+F1943*Q1943)*R1943</f>
        <v>0.050183261188201926</v>
      </c>
      <c r="U1943" s="76">
        <f>U1942+S1943</f>
        <v>9.686164070354481</v>
      </c>
      <c r="V1943" s="76">
        <f>V1942+T1943</f>
        <v>45.83347455344015</v>
      </c>
    </row>
    <row r="1944" spans="1:22" ht="19" customHeight="1">
      <c r="A1944" s="68" t="s">
        <v>374</v>
      </c>
      <c r="B1944" s="74">
        <v>3</v>
      </c>
      <c r="C1944" s="68" t="s">
        <v>363</v>
      </c>
      <c r="D1944" s="68" t="s">
        <v>364</v>
      </c>
      <c r="E1944" s="75">
        <f>60*F1944*'THAM_SO_MOI'!$C$51/(2*PI()*'THAM_SO_MOI'!$C$26)</f>
        <v>1963.321263216701</v>
      </c>
      <c r="F1944" s="75">
        <f>'HANH_TRINH'!$F$1647+('THAM_SO_MOI'!$F$51-'HANH_TRINH'!$F$1647)*296/'THAM_SO_MOI'!$C$42</f>
        <v>7.815962163842796</v>
      </c>
      <c r="G1944" s="75">
        <f>3.6*F1944</f>
        <v>28.137463789834065</v>
      </c>
      <c r="H1944" s="75">
        <f>'THAM_SO_MOI'!$D$51</f>
        <v>1.375</v>
      </c>
      <c r="I1944" s="75">
        <f>IF(F1944&gt;'THAM_SO_MOI'!$C$14,'THAM_SO_MOI'!$C$13*(1+F1944^2/1500),'THAM_SO_MOI'!$C$13)</f>
        <v>0.015</v>
      </c>
      <c r="J1944" s="75">
        <f>'THAM_SO_MOI'!$C$40*('THAM_SO_MOI'!$C$23*(E1944/'THAM_SO_MOI'!$C$22)+'THAM_SO_MOI'!$C$24*(E1944/'THAM_SO_MOI'!$C$22)^2-'THAM_SO_MOI'!$C$25*(E1944/'THAM_SO_MOI'!$C$22)^3)</f>
        <v>88.0049932871921</v>
      </c>
      <c r="K1944" s="75">
        <f>'THAM_SO_MOI'!$C$31*J1944/E1944</f>
        <v>428.1236923577221</v>
      </c>
      <c r="L1944" s="75">
        <f>K1944*'THAM_SO_MOI'!$C$51*'THAM_SO_MOI'!$C$17/'THAM_SO_MOI'!$C$26</f>
        <v>9572.507775982418</v>
      </c>
      <c r="M1944" s="75">
        <f>'THAM_SO_MOI'!$C$15*'THAM_SO_MOI'!$C$16*F1944^2</f>
        <v>178.68609879886986</v>
      </c>
      <c r="N1944" s="75">
        <f>'THAM_SO_MOI'!$C$12*I1944</f>
        <v>1130.112</v>
      </c>
      <c r="O1944" s="75">
        <f>M1944+N1944</f>
        <v>1308.79809879887</v>
      </c>
      <c r="P1944" s="75">
        <f>(MIN(L1944,'THAM_SO_MOI'!$C$41)-O1944)/('THAM_SO_MOI'!$C$11*H1944)</f>
        <v>0.7825482648848058</v>
      </c>
      <c r="Q1944" s="75">
        <f>IF(P1944&gt;0,1/P1944,NA())</f>
        <v>1.277876451680848</v>
      </c>
      <c r="R1944" s="75">
        <f>F1944-F1943</f>
        <v>0.005028991339518285</v>
      </c>
      <c r="S1944" s="75">
        <f>0.5*(Q1943+Q1944)*R1944</f>
        <v>0.006426557568350819</v>
      </c>
      <c r="T1944" s="75">
        <f>0.5*(F1943*Q1943+F1944*Q1944)*R1944</f>
        <v>0.05021357092505595</v>
      </c>
      <c r="U1944" s="76">
        <f>U1943+S1944</f>
        <v>9.692590627922831</v>
      </c>
      <c r="V1944" s="76">
        <f>V1943+T1944</f>
        <v>45.8836881243652</v>
      </c>
    </row>
    <row r="1945" spans="1:22" ht="19" customHeight="1">
      <c r="A1945" s="68" t="s">
        <v>374</v>
      </c>
      <c r="B1945" s="74">
        <v>3</v>
      </c>
      <c r="C1945" s="68" t="s">
        <v>363</v>
      </c>
      <c r="D1945" s="68" t="s">
        <v>364</v>
      </c>
      <c r="E1945" s="75">
        <f>60*F1945*'THAM_SO_MOI'!$C$51/(2*PI()*'THAM_SO_MOI'!$C$26)</f>
        <v>1964.5845146785723</v>
      </c>
      <c r="F1945" s="75">
        <f>'HANH_TRINH'!$F$1647+('THAM_SO_MOI'!$F$51-'HANH_TRINH'!$F$1647)*297/'THAM_SO_MOI'!$C$42</f>
        <v>7.8209911551823135</v>
      </c>
      <c r="G1945" s="75">
        <f>3.6*F1945</f>
        <v>28.15556815865633</v>
      </c>
      <c r="H1945" s="75">
        <f>'THAM_SO_MOI'!$D$51</f>
        <v>1.375</v>
      </c>
      <c r="I1945" s="75">
        <f>IF(F1945&gt;'THAM_SO_MOI'!$C$14,'THAM_SO_MOI'!$C$13*(1+F1945^2/1500),'THAM_SO_MOI'!$C$13)</f>
        <v>0.015</v>
      </c>
      <c r="J1945" s="75">
        <f>'THAM_SO_MOI'!$C$40*('THAM_SO_MOI'!$C$23*(E1945/'THAM_SO_MOI'!$C$22)+'THAM_SO_MOI'!$C$24*(E1945/'THAM_SO_MOI'!$C$22)^2-'THAM_SO_MOI'!$C$25*(E1945/'THAM_SO_MOI'!$C$22)^3)</f>
        <v>88.06672806188661</v>
      </c>
      <c r="K1945" s="75">
        <f>'THAM_SO_MOI'!$C$31*J1945/E1945</f>
        <v>428.14853579191873</v>
      </c>
      <c r="L1945" s="75">
        <f>K1945*'THAM_SO_MOI'!$C$51*'THAM_SO_MOI'!$C$17/'THAM_SO_MOI'!$C$26</f>
        <v>9573.063255558238</v>
      </c>
      <c r="M1945" s="75">
        <f>'THAM_SO_MOI'!$C$15*'THAM_SO_MOI'!$C$16*F1945^2</f>
        <v>178.91611524961195</v>
      </c>
      <c r="N1945" s="75">
        <f>'THAM_SO_MOI'!$C$12*I1945</f>
        <v>1130.112</v>
      </c>
      <c r="O1945" s="75">
        <f>M1945+N1945</f>
        <v>1309.028115249612</v>
      </c>
      <c r="P1945" s="75">
        <f>(MIN(L1945,'THAM_SO_MOI'!$C$41)-O1945)/('THAM_SO_MOI'!$C$11*H1945)</f>
        <v>0.7825790852564986</v>
      </c>
      <c r="Q1945" s="75">
        <f>IF(P1945&gt;0,1/P1945,NA())</f>
        <v>1.2778261249752663</v>
      </c>
      <c r="R1945" s="75">
        <f>F1945-F1944</f>
        <v>0.005028991339517397</v>
      </c>
      <c r="S1945" s="75">
        <f>0.5*(Q1944+Q1945)*R1945</f>
        <v>0.006426303062192947</v>
      </c>
      <c r="T1945" s="75">
        <f>0.5*(F1944*Q1944+F1945*Q1945)*R1945</f>
        <v>0.050243900180509525</v>
      </c>
      <c r="U1945" s="76">
        <f>U1944+S1945</f>
        <v>9.699016930985024</v>
      </c>
      <c r="V1945" s="76">
        <f>V1944+T1945</f>
        <v>45.93393202454571</v>
      </c>
    </row>
    <row r="1946" spans="1:22" ht="19" customHeight="1">
      <c r="A1946" s="68" t="s">
        <v>374</v>
      </c>
      <c r="B1946" s="74">
        <v>3</v>
      </c>
      <c r="C1946" s="68" t="s">
        <v>363</v>
      </c>
      <c r="D1946" s="68" t="s">
        <v>364</v>
      </c>
      <c r="E1946" s="75">
        <f>60*F1946*'THAM_SO_MOI'!$C$51/(2*PI()*'THAM_SO_MOI'!$C$26)</f>
        <v>1965.847766140444</v>
      </c>
      <c r="F1946" s="75">
        <f>'HANH_TRINH'!$F$1647+('THAM_SO_MOI'!$F$51-'HANH_TRINH'!$F$1647)*298/'THAM_SO_MOI'!$C$42</f>
        <v>7.826020146521831</v>
      </c>
      <c r="G1946" s="75">
        <f>3.6*F1946</f>
        <v>28.17367252747859</v>
      </c>
      <c r="H1946" s="75">
        <f>'THAM_SO_MOI'!$D$51</f>
        <v>1.375</v>
      </c>
      <c r="I1946" s="75">
        <f>IF(F1946&gt;'THAM_SO_MOI'!$C$14,'THAM_SO_MOI'!$C$13*(1+F1946^2/1500),'THAM_SO_MOI'!$C$13)</f>
        <v>0.015</v>
      </c>
      <c r="J1946" s="75">
        <f>'THAM_SO_MOI'!$C$40*('THAM_SO_MOI'!$C$23*(E1946/'THAM_SO_MOI'!$C$22)+'THAM_SO_MOI'!$C$24*(E1946/'THAM_SO_MOI'!$C$22)^2-'THAM_SO_MOI'!$C$25*(E1946/'THAM_SO_MOI'!$C$22)^3)</f>
        <v>88.12843754322716</v>
      </c>
      <c r="K1946" s="75">
        <f>'THAM_SO_MOI'!$C$31*J1946/E1946</f>
        <v>428.17322440928456</v>
      </c>
      <c r="L1946" s="75">
        <f>K1946*'THAM_SO_MOI'!$C$51*'THAM_SO_MOI'!$C$17/'THAM_SO_MOI'!$C$26</f>
        <v>9573.615273551943</v>
      </c>
      <c r="M1946" s="75">
        <f>'THAM_SO_MOI'!$C$15*'THAM_SO_MOI'!$C$16*F1946^2</f>
        <v>179.14627965126434</v>
      </c>
      <c r="N1946" s="75">
        <f>'THAM_SO_MOI'!$C$12*I1946</f>
        <v>1130.112</v>
      </c>
      <c r="O1946" s="75">
        <f>M1946+N1946</f>
        <v>1309.2582796512645</v>
      </c>
      <c r="P1946" s="75">
        <f>(MIN(L1946,'THAM_SO_MOI'!$C$41)-O1946)/('THAM_SO_MOI'!$C$11*H1946)</f>
        <v>0.782609563816352</v>
      </c>
      <c r="Q1946" s="75">
        <f>IF(P1946&gt;0,1/P1946,NA())</f>
        <v>1.277776360313763</v>
      </c>
      <c r="R1946" s="75">
        <f>F1946-F1945</f>
        <v>0.005028991339517397</v>
      </c>
      <c r="S1946" s="75">
        <f>0.5*(Q1945+Q1946)*R1946</f>
        <v>0.006426051382883832</v>
      </c>
      <c r="T1946" s="75">
        <f>0.5*(F1945*Q1945+F1946*Q1946)*R1946</f>
        <v>0.05027424899201098</v>
      </c>
      <c r="U1946" s="76">
        <f>U1945+S1946</f>
        <v>9.705442982367908</v>
      </c>
      <c r="V1946" s="76">
        <f>V1945+T1946</f>
        <v>45.98420627353772</v>
      </c>
    </row>
    <row r="1947" spans="1:22" ht="19" customHeight="1">
      <c r="A1947" s="68" t="s">
        <v>374</v>
      </c>
      <c r="B1947" s="74">
        <v>3</v>
      </c>
      <c r="C1947" s="68" t="s">
        <v>363</v>
      </c>
      <c r="D1947" s="68" t="s">
        <v>364</v>
      </c>
      <c r="E1947" s="75">
        <f>60*F1947*'THAM_SO_MOI'!$C$51/(2*PI()*'THAM_SO_MOI'!$C$26)</f>
        <v>1967.1110176023158</v>
      </c>
      <c r="F1947" s="75">
        <f>'HANH_TRINH'!$F$1647+('THAM_SO_MOI'!$F$51-'HANH_TRINH'!$F$1647)*299/'THAM_SO_MOI'!$C$42</f>
        <v>7.831049137861349</v>
      </c>
      <c r="G1947" s="75">
        <f>3.6*F1947</f>
        <v>28.19177689630086</v>
      </c>
      <c r="H1947" s="75">
        <f>'THAM_SO_MOI'!$D$51</f>
        <v>1.375</v>
      </c>
      <c r="I1947" s="75">
        <f>IF(F1947&gt;'THAM_SO_MOI'!$C$14,'THAM_SO_MOI'!$C$13*(1+F1947^2/1500),'THAM_SO_MOI'!$C$13)</f>
        <v>0.015</v>
      </c>
      <c r="J1947" s="75">
        <f>'THAM_SO_MOI'!$C$40*('THAM_SO_MOI'!$C$23*(E1947/'THAM_SO_MOI'!$C$22)+'THAM_SO_MOI'!$C$24*(E1947/'THAM_SO_MOI'!$C$22)^2-'THAM_SO_MOI'!$C$25*(E1947/'THAM_SO_MOI'!$C$22)^3)</f>
        <v>88.19012166978452</v>
      </c>
      <c r="K1947" s="75">
        <f>'THAM_SO_MOI'!$C$31*J1947/E1947</f>
        <v>428.19775820981994</v>
      </c>
      <c r="L1947" s="75">
        <f>K1947*'THAM_SO_MOI'!$C$51*'THAM_SO_MOI'!$C$17/'THAM_SO_MOI'!$C$26</f>
        <v>9574.163829963538</v>
      </c>
      <c r="M1947" s="75">
        <f>'THAM_SO_MOI'!$C$15*'THAM_SO_MOI'!$C$16*F1947^2</f>
        <v>179.37659200382703</v>
      </c>
      <c r="N1947" s="75">
        <f>'THAM_SO_MOI'!$C$12*I1947</f>
        <v>1130.112</v>
      </c>
      <c r="O1947" s="75">
        <f>M1947+N1947</f>
        <v>1309.488592003827</v>
      </c>
      <c r="P1947" s="75">
        <f>(MIN(L1947,'THAM_SO_MOI'!$C$41)-O1947)/('THAM_SO_MOI'!$C$11*H1947)</f>
        <v>0.7826397005643664</v>
      </c>
      <c r="Q1947" s="75">
        <f>IF(P1947&gt;0,1/P1947,NA())</f>
        <v>1.277727157565472</v>
      </c>
      <c r="R1947" s="75">
        <f>F1947-F1946</f>
        <v>0.005028991339518285</v>
      </c>
      <c r="S1947" s="75">
        <f>0.5*(Q1946+Q1947)*R1947</f>
        <v>0.006425802529761593</v>
      </c>
      <c r="T1947" s="75">
        <f>0.5*(F1946*Q1946+F1947*Q1947)*R1947</f>
        <v>0.050304617397027324</v>
      </c>
      <c r="U1947" s="76">
        <f>U1946+S1947</f>
        <v>9.71186878489767</v>
      </c>
      <c r="V1947" s="76">
        <f>V1946+T1947</f>
        <v>46.03451089093475</v>
      </c>
    </row>
    <row r="1948" spans="1:22" ht="19" customHeight="1">
      <c r="A1948" s="68" t="s">
        <v>374</v>
      </c>
      <c r="B1948" s="74">
        <v>3</v>
      </c>
      <c r="C1948" s="68" t="s">
        <v>363</v>
      </c>
      <c r="D1948" s="68" t="s">
        <v>364</v>
      </c>
      <c r="E1948" s="75">
        <f>60*F1948*'THAM_SO_MOI'!$C$51/(2*PI()*'THAM_SO_MOI'!$C$26)</f>
        <v>1968.3742690641873</v>
      </c>
      <c r="F1948" s="75">
        <f>'HANH_TRINH'!$F$1647+('THAM_SO_MOI'!$F$51-'HANH_TRINH'!$F$1647)*300/'THAM_SO_MOI'!$C$42</f>
        <v>7.8360781292008665</v>
      </c>
      <c r="G1948" s="75">
        <f>3.6*F1948</f>
        <v>28.20988126512312</v>
      </c>
      <c r="H1948" s="75">
        <f>'THAM_SO_MOI'!$D$51</f>
        <v>1.375</v>
      </c>
      <c r="I1948" s="75">
        <f>IF(F1948&gt;'THAM_SO_MOI'!$C$14,'THAM_SO_MOI'!$C$13*(1+F1948^2/1500),'THAM_SO_MOI'!$C$13)</f>
        <v>0.015</v>
      </c>
      <c r="J1948" s="75">
        <f>'THAM_SO_MOI'!$C$40*('THAM_SO_MOI'!$C$23*(E1948/'THAM_SO_MOI'!$C$22)+'THAM_SO_MOI'!$C$24*(E1948/'THAM_SO_MOI'!$C$22)^2-'THAM_SO_MOI'!$C$25*(E1948/'THAM_SO_MOI'!$C$22)^3)</f>
        <v>88.25178038012928</v>
      </c>
      <c r="K1948" s="75">
        <f>'THAM_SO_MOI'!$C$31*J1948/E1948</f>
        <v>428.2221371935249</v>
      </c>
      <c r="L1948" s="75">
        <f>K1948*'THAM_SO_MOI'!$C$51*'THAM_SO_MOI'!$C$17/'THAM_SO_MOI'!$C$26</f>
        <v>9574.708924793027</v>
      </c>
      <c r="M1948" s="75">
        <f>'THAM_SO_MOI'!$C$15*'THAM_SO_MOI'!$C$16*F1948^2</f>
        <v>179.60705230729997</v>
      </c>
      <c r="N1948" s="75">
        <f>'THAM_SO_MOI'!$C$12*I1948</f>
        <v>1130.112</v>
      </c>
      <c r="O1948" s="75">
        <f>M1948+N1948</f>
        <v>1309.7190523073</v>
      </c>
      <c r="P1948" s="75">
        <f>(MIN(L1948,'THAM_SO_MOI'!$C$41)-O1948)/('THAM_SO_MOI'!$C$11*H1948)</f>
        <v>0.7826694955005423</v>
      </c>
      <c r="Q1948" s="75">
        <f>IF(P1948&gt;0,1/P1948,NA())</f>
        <v>1.2776785166010178</v>
      </c>
      <c r="R1948" s="75">
        <f>F1948-F1947</f>
        <v>0.005028991339517397</v>
      </c>
      <c r="S1948" s="75">
        <f>0.5*(Q1947+Q1948)*R1948</f>
        <v>0.006425556502168447</v>
      </c>
      <c r="T1948" s="75">
        <f>0.5*(F1947*Q1947+F1948*Q1948)*R1948</f>
        <v>0.05033500543304442</v>
      </c>
      <c r="U1948" s="76">
        <f>U1947+S1948</f>
        <v>9.718294341399838</v>
      </c>
      <c r="V1948" s="76">
        <f>V1947+T1948</f>
        <v>46.08484589636779</v>
      </c>
    </row>
    <row r="1949" spans="1:22" ht="19" customHeight="1">
      <c r="A1949" s="68" t="s">
        <v>374</v>
      </c>
      <c r="B1949" s="74">
        <v>3</v>
      </c>
      <c r="C1949" s="68" t="s">
        <v>363</v>
      </c>
      <c r="D1949" s="68" t="s">
        <v>364</v>
      </c>
      <c r="E1949" s="75">
        <f>60*F1949*'THAM_SO_MOI'!$C$51/(2*PI()*'THAM_SO_MOI'!$C$26)</f>
        <v>1969.637520526059</v>
      </c>
      <c r="F1949" s="75">
        <f>'HANH_TRINH'!$F$1647+('THAM_SO_MOI'!$F$51-'HANH_TRINH'!$F$1647)*301/'THAM_SO_MOI'!$C$42</f>
        <v>7.841107120540384</v>
      </c>
      <c r="G1949" s="75">
        <f>3.6*F1949</f>
        <v>28.227985633945384</v>
      </c>
      <c r="H1949" s="75">
        <f>'THAM_SO_MOI'!$D$51</f>
        <v>1.375</v>
      </c>
      <c r="I1949" s="75">
        <f>IF(F1949&gt;'THAM_SO_MOI'!$C$14,'THAM_SO_MOI'!$C$13*(1+F1949^2/1500),'THAM_SO_MOI'!$C$13)</f>
        <v>0.015</v>
      </c>
      <c r="J1949" s="75">
        <f>'THAM_SO_MOI'!$C$40*('THAM_SO_MOI'!$C$23*(E1949/'THAM_SO_MOI'!$C$22)+'THAM_SO_MOI'!$C$24*(E1949/'THAM_SO_MOI'!$C$22)^2-'THAM_SO_MOI'!$C$25*(E1949/'THAM_SO_MOI'!$C$22)^3)</f>
        <v>88.3134136128321</v>
      </c>
      <c r="K1949" s="75">
        <f>'THAM_SO_MOI'!$C$31*J1949/E1949</f>
        <v>428.24636136039925</v>
      </c>
      <c r="L1949" s="75">
        <f>K1949*'THAM_SO_MOI'!$C$51*'THAM_SO_MOI'!$C$17/'THAM_SO_MOI'!$C$26</f>
        <v>9575.250558040409</v>
      </c>
      <c r="M1949" s="75">
        <f>'THAM_SO_MOI'!$C$15*'THAM_SO_MOI'!$C$16*F1949^2</f>
        <v>179.83766056168315</v>
      </c>
      <c r="N1949" s="75">
        <f>'THAM_SO_MOI'!$C$12*I1949</f>
        <v>1130.112</v>
      </c>
      <c r="O1949" s="75">
        <f>M1949+N1949</f>
        <v>1309.9496605616832</v>
      </c>
      <c r="P1949" s="75">
        <f>(MIN(L1949,'THAM_SO_MOI'!$C$41)-O1949)/('THAM_SO_MOI'!$C$11*H1949)</f>
        <v>0.7826989486248794</v>
      </c>
      <c r="Q1949" s="75">
        <f>IF(P1949&gt;0,1/P1949,NA())</f>
        <v>1.2776304372925196</v>
      </c>
      <c r="R1949" s="75">
        <f>F1949-F1948</f>
        <v>0.005028991339517397</v>
      </c>
      <c r="S1949" s="75">
        <f>0.5*(Q1948+Q1949)*R1949</f>
        <v>0.00642531329946093</v>
      </c>
      <c r="T1949" s="75">
        <f>0.5*(F1948*Q1948+F1949*Q1949)*R1949</f>
        <v>0.05036541313764709</v>
      </c>
      <c r="U1949" s="76">
        <f>U1948+S1949</f>
        <v>9.7247196546993</v>
      </c>
      <c r="V1949" s="76">
        <f>V1948+T1949</f>
        <v>46.135211309505436</v>
      </c>
    </row>
    <row r="1950" spans="1:22" ht="19" customHeight="1">
      <c r="A1950" s="68" t="s">
        <v>374</v>
      </c>
      <c r="B1950" s="74">
        <v>3</v>
      </c>
      <c r="C1950" s="68" t="s">
        <v>363</v>
      </c>
      <c r="D1950" s="68" t="s">
        <v>364</v>
      </c>
      <c r="E1950" s="75">
        <f>60*F1950*'THAM_SO_MOI'!$C$51/(2*PI()*'THAM_SO_MOI'!$C$26)</f>
        <v>1970.9007719879307</v>
      </c>
      <c r="F1950" s="75">
        <f>'HANH_TRINH'!$F$1647+('THAM_SO_MOI'!$F$51-'HANH_TRINH'!$F$1647)*302/'THAM_SO_MOI'!$C$42</f>
        <v>7.846136111879902</v>
      </c>
      <c r="G1950" s="75">
        <f>3.6*F1950</f>
        <v>28.246090002767648</v>
      </c>
      <c r="H1950" s="75">
        <f>'THAM_SO_MOI'!$D$51</f>
        <v>1.375</v>
      </c>
      <c r="I1950" s="75">
        <f>IF(F1950&gt;'THAM_SO_MOI'!$C$14,'THAM_SO_MOI'!$C$13*(1+F1950^2/1500),'THAM_SO_MOI'!$C$13)</f>
        <v>0.015</v>
      </c>
      <c r="J1950" s="75">
        <f>'THAM_SO_MOI'!$C$40*('THAM_SO_MOI'!$C$23*(E1950/'THAM_SO_MOI'!$C$22)+'THAM_SO_MOI'!$C$24*(E1950/'THAM_SO_MOI'!$C$22)^2-'THAM_SO_MOI'!$C$25*(E1950/'THAM_SO_MOI'!$C$22)^3)</f>
        <v>88.37502130646367</v>
      </c>
      <c r="K1950" s="75">
        <f>'THAM_SO_MOI'!$C$31*J1950/E1950</f>
        <v>428.27043071044335</v>
      </c>
      <c r="L1950" s="75">
        <f>K1950*'THAM_SO_MOI'!$C$51*'THAM_SO_MOI'!$C$17/'THAM_SO_MOI'!$C$26</f>
        <v>9575.788729705682</v>
      </c>
      <c r="M1950" s="75">
        <f>'THAM_SO_MOI'!$C$15*'THAM_SO_MOI'!$C$16*F1950^2</f>
        <v>180.0684167669767</v>
      </c>
      <c r="N1950" s="75">
        <f>'THAM_SO_MOI'!$C$12*I1950</f>
        <v>1130.112</v>
      </c>
      <c r="O1950" s="75">
        <f>M1950+N1950</f>
        <v>1310.1804167669768</v>
      </c>
      <c r="P1950" s="75">
        <f>(MIN(L1950,'THAM_SO_MOI'!$C$41)-O1950)/('THAM_SO_MOI'!$C$11*H1950)</f>
        <v>0.7827280599373773</v>
      </c>
      <c r="Q1950" s="75">
        <f>IF(P1950&gt;0,1/P1950,NA())</f>
        <v>1.2775829195135866</v>
      </c>
      <c r="R1950" s="75">
        <f>F1950-F1949</f>
        <v>0.005028991339518285</v>
      </c>
      <c r="S1950" s="75">
        <f>0.5*(Q1949+Q1950)*R1950</f>
        <v>0.006425072920999677</v>
      </c>
      <c r="T1950" s="75">
        <f>0.5*(F1949*Q1949+F1950*Q1950)*R1950</f>
        <v>0.050395840548439395</v>
      </c>
      <c r="U1950" s="76">
        <f>U1949+S1950</f>
        <v>9.731144727620299</v>
      </c>
      <c r="V1950" s="76">
        <f>V1949+T1950</f>
        <v>46.185607150053876</v>
      </c>
    </row>
    <row r="1951" spans="1:22" ht="19" customHeight="1">
      <c r="A1951" s="68" t="s">
        <v>374</v>
      </c>
      <c r="B1951" s="74">
        <v>3</v>
      </c>
      <c r="C1951" s="68" t="s">
        <v>363</v>
      </c>
      <c r="D1951" s="68" t="s">
        <v>364</v>
      </c>
      <c r="E1951" s="75">
        <f>60*F1951*'THAM_SO_MOI'!$C$51/(2*PI()*'THAM_SO_MOI'!$C$26)</f>
        <v>1972.1640234498025</v>
      </c>
      <c r="F1951" s="75">
        <f>'HANH_TRINH'!$F$1647+('THAM_SO_MOI'!$F$51-'HANH_TRINH'!$F$1647)*303/'THAM_SO_MOI'!$C$42</f>
        <v>7.85116510321942</v>
      </c>
      <c r="G1951" s="75">
        <f>3.6*F1951</f>
        <v>28.264194371589912</v>
      </c>
      <c r="H1951" s="75">
        <f>'THAM_SO_MOI'!$D$51</f>
        <v>1.375</v>
      </c>
      <c r="I1951" s="75">
        <f>IF(F1951&gt;'THAM_SO_MOI'!$C$14,'THAM_SO_MOI'!$C$13*(1+F1951^2/1500),'THAM_SO_MOI'!$C$13)</f>
        <v>0.015</v>
      </c>
      <c r="J1951" s="75">
        <f>'THAM_SO_MOI'!$C$40*('THAM_SO_MOI'!$C$23*(E1951/'THAM_SO_MOI'!$C$22)+'THAM_SO_MOI'!$C$24*(E1951/'THAM_SO_MOI'!$C$22)^2-'THAM_SO_MOI'!$C$25*(E1951/'THAM_SO_MOI'!$C$22)^3)</f>
        <v>88.43660339959453</v>
      </c>
      <c r="K1951" s="75">
        <f>'THAM_SO_MOI'!$C$31*J1951/E1951</f>
        <v>428.2943452436566</v>
      </c>
      <c r="L1951" s="75">
        <f>K1951*'THAM_SO_MOI'!$C$51*'THAM_SO_MOI'!$C$17/'THAM_SO_MOI'!$C$26</f>
        <v>9576.323439788843</v>
      </c>
      <c r="M1951" s="75">
        <f>'THAM_SO_MOI'!$C$15*'THAM_SO_MOI'!$C$16*F1951^2</f>
        <v>180.29932092318043</v>
      </c>
      <c r="N1951" s="75">
        <f>'THAM_SO_MOI'!$C$12*I1951</f>
        <v>1130.112</v>
      </c>
      <c r="O1951" s="75">
        <f>M1951+N1951</f>
        <v>1310.4113209231805</v>
      </c>
      <c r="P1951" s="75">
        <f>(MIN(L1951,'THAM_SO_MOI'!$C$41)-O1951)/('THAM_SO_MOI'!$C$11*H1951)</f>
        <v>0.782756829438036</v>
      </c>
      <c r="Q1951" s="75">
        <f>IF(P1951&gt;0,1/P1951,NA())</f>
        <v>1.2775359631393177</v>
      </c>
      <c r="R1951" s="75">
        <f>F1951-F1950</f>
        <v>0.005028991339517397</v>
      </c>
      <c r="S1951" s="75">
        <f>0.5*(Q1950+Q1951)*R1951</f>
        <v>0.006424835366149411</v>
      </c>
      <c r="T1951" s="75">
        <f>0.5*(F1950*Q1950+F1951*Q1951)*R1951</f>
        <v>0.050426287703044595</v>
      </c>
      <c r="U1951" s="76">
        <f>U1950+S1951</f>
        <v>9.737569562986447</v>
      </c>
      <c r="V1951" s="76">
        <f>V1950+T1951</f>
        <v>46.23603343775692</v>
      </c>
    </row>
    <row r="1952" spans="1:22" ht="19" customHeight="1">
      <c r="A1952" s="68" t="s">
        <v>374</v>
      </c>
      <c r="B1952" s="74">
        <v>3</v>
      </c>
      <c r="C1952" s="68" t="s">
        <v>363</v>
      </c>
      <c r="D1952" s="68" t="s">
        <v>364</v>
      </c>
      <c r="E1952" s="75">
        <f>60*F1952*'THAM_SO_MOI'!$C$51/(2*PI()*'THAM_SO_MOI'!$C$26)</f>
        <v>1973.4272749116737</v>
      </c>
      <c r="F1952" s="75">
        <f>'HANH_TRINH'!$F$1647+('THAM_SO_MOI'!$F$51-'HANH_TRINH'!$F$1647)*304/'THAM_SO_MOI'!$C$42</f>
        <v>7.856194094558937</v>
      </c>
      <c r="G1952" s="75">
        <f>3.6*F1952</f>
        <v>28.282298740412173</v>
      </c>
      <c r="H1952" s="75">
        <f>'THAM_SO_MOI'!$D$51</f>
        <v>1.375</v>
      </c>
      <c r="I1952" s="75">
        <f>IF(F1952&gt;'THAM_SO_MOI'!$C$14,'THAM_SO_MOI'!$C$13*(1+F1952^2/1500),'THAM_SO_MOI'!$C$13)</f>
        <v>0.015</v>
      </c>
      <c r="J1952" s="75">
        <f>'THAM_SO_MOI'!$C$40*('THAM_SO_MOI'!$C$23*(E1952/'THAM_SO_MOI'!$C$22)+'THAM_SO_MOI'!$C$24*(E1952/'THAM_SO_MOI'!$C$22)^2-'THAM_SO_MOI'!$C$25*(E1952/'THAM_SO_MOI'!$C$22)^3)</f>
        <v>88.49815983079543</v>
      </c>
      <c r="K1952" s="75">
        <f>'THAM_SO_MOI'!$C$31*J1952/E1952</f>
        <v>428.31810496003953</v>
      </c>
      <c r="L1952" s="75">
        <f>K1952*'THAM_SO_MOI'!$C$51*'THAM_SO_MOI'!$C$17/'THAM_SO_MOI'!$C$26</f>
        <v>9576.854688289895</v>
      </c>
      <c r="M1952" s="75">
        <f>'THAM_SO_MOI'!$C$15*'THAM_SO_MOI'!$C$16*F1952^2</f>
        <v>180.53037303029447</v>
      </c>
      <c r="N1952" s="75">
        <f>'THAM_SO_MOI'!$C$12*I1952</f>
        <v>1130.112</v>
      </c>
      <c r="O1952" s="75">
        <f>M1952+N1952</f>
        <v>1310.6423730302945</v>
      </c>
      <c r="P1952" s="75">
        <f>(MIN(L1952,'THAM_SO_MOI'!$C$41)-O1952)/('THAM_SO_MOI'!$C$11*H1952)</f>
        <v>0.782785257126856</v>
      </c>
      <c r="Q1952" s="75">
        <f>IF(P1952&gt;0,1/P1952,NA())</f>
        <v>1.2774895680463012</v>
      </c>
      <c r="R1952" s="75">
        <f>F1952-F1951</f>
        <v>0.005028991339517397</v>
      </c>
      <c r="S1952" s="75">
        <f>0.5*(Q1951+Q1952)*R1952</f>
        <v>0.006424600634289157</v>
      </c>
      <c r="T1952" s="75">
        <f>0.5*(F1951*Q1951+F1952*Q1952)*R1952</f>
        <v>0.05045675463918551</v>
      </c>
      <c r="U1952" s="76">
        <f>U1951+S1952</f>
        <v>9.743994163620737</v>
      </c>
      <c r="V1952" s="76">
        <f>V1951+T1952</f>
        <v>46.28649019239611</v>
      </c>
    </row>
    <row r="1953" spans="1:22" ht="19" customHeight="1">
      <c r="A1953" s="68" t="s">
        <v>374</v>
      </c>
      <c r="B1953" s="74">
        <v>3</v>
      </c>
      <c r="C1953" s="68" t="s">
        <v>363</v>
      </c>
      <c r="D1953" s="68" t="s">
        <v>364</v>
      </c>
      <c r="E1953" s="75">
        <f>60*F1953*'THAM_SO_MOI'!$C$51/(2*PI()*'THAM_SO_MOI'!$C$26)</f>
        <v>1974.6905263735455</v>
      </c>
      <c r="F1953" s="75">
        <f>'HANH_TRINH'!$F$1647+('THAM_SO_MOI'!$F$51-'HANH_TRINH'!$F$1647)*305/'THAM_SO_MOI'!$C$42</f>
        <v>7.861223085898455</v>
      </c>
      <c r="G1953" s="75">
        <f>3.6*F1953</f>
        <v>28.30040310923444</v>
      </c>
      <c r="H1953" s="75">
        <f>'THAM_SO_MOI'!$D$51</f>
        <v>1.375</v>
      </c>
      <c r="I1953" s="75">
        <f>IF(F1953&gt;'THAM_SO_MOI'!$C$14,'THAM_SO_MOI'!$C$13*(1+F1953^2/1500),'THAM_SO_MOI'!$C$13)</f>
        <v>0.015</v>
      </c>
      <c r="J1953" s="75">
        <f>'THAM_SO_MOI'!$C$40*('THAM_SO_MOI'!$C$23*(E1953/'THAM_SO_MOI'!$C$22)+'THAM_SO_MOI'!$C$24*(E1953/'THAM_SO_MOI'!$C$22)^2-'THAM_SO_MOI'!$C$25*(E1953/'THAM_SO_MOI'!$C$22)^3)</f>
        <v>88.559690538637</v>
      </c>
      <c r="K1953" s="75">
        <f>'THAM_SO_MOI'!$C$31*J1953/E1953</f>
        <v>428.34170985959196</v>
      </c>
      <c r="L1953" s="75">
        <f>K1953*'THAM_SO_MOI'!$C$51*'THAM_SO_MOI'!$C$17/'THAM_SO_MOI'!$C$26</f>
        <v>9577.38247520884</v>
      </c>
      <c r="M1953" s="75">
        <f>'THAM_SO_MOI'!$C$15*'THAM_SO_MOI'!$C$16*F1953^2</f>
        <v>180.76157308831878</v>
      </c>
      <c r="N1953" s="75">
        <f>'THAM_SO_MOI'!$C$12*I1953</f>
        <v>1130.112</v>
      </c>
      <c r="O1953" s="75">
        <f>M1953+N1953</f>
        <v>1310.8735730883188</v>
      </c>
      <c r="P1953" s="75">
        <f>(MIN(L1953,'THAM_SO_MOI'!$C$41)-O1953)/('THAM_SO_MOI'!$C$11*H1953)</f>
        <v>0.7828133430038372</v>
      </c>
      <c r="Q1953" s="75">
        <f>IF(P1953&gt;0,1/P1953,NA())</f>
        <v>1.2774437341126137</v>
      </c>
      <c r="R1953" s="75">
        <f>F1953-F1952</f>
        <v>0.005028991339518285</v>
      </c>
      <c r="S1953" s="75">
        <f>0.5*(Q1952+Q1953)*R1953</f>
        <v>0.0064243687248020185</v>
      </c>
      <c r="T1953" s="75">
        <f>0.5*(F1952*Q1952+F1953*Q1953)*R1953</f>
        <v>0.05048724139460451</v>
      </c>
      <c r="U1953" s="76">
        <f>U1952+S1953</f>
        <v>9.75041853234554</v>
      </c>
      <c r="V1953" s="76">
        <f>V1952+T1953</f>
        <v>46.336977433790715</v>
      </c>
    </row>
    <row r="1954" spans="1:22" ht="19" customHeight="1">
      <c r="A1954" s="68" t="s">
        <v>374</v>
      </c>
      <c r="B1954" s="74">
        <v>3</v>
      </c>
      <c r="C1954" s="68" t="s">
        <v>363</v>
      </c>
      <c r="D1954" s="68" t="s">
        <v>364</v>
      </c>
      <c r="E1954" s="75">
        <f>60*F1954*'THAM_SO_MOI'!$C$51/(2*PI()*'THAM_SO_MOI'!$C$26)</f>
        <v>1975.9537778354172</v>
      </c>
      <c r="F1954" s="75">
        <f>'HANH_TRINH'!$F$1647+('THAM_SO_MOI'!$F$51-'HANH_TRINH'!$F$1647)*306/'THAM_SO_MOI'!$C$42</f>
        <v>7.866252077237973</v>
      </c>
      <c r="G1954" s="75">
        <f>3.6*F1954</f>
        <v>28.318507478056702</v>
      </c>
      <c r="H1954" s="75">
        <f>'THAM_SO_MOI'!$D$51</f>
        <v>1.375</v>
      </c>
      <c r="I1954" s="75">
        <f>IF(F1954&gt;'THAM_SO_MOI'!$C$14,'THAM_SO_MOI'!$C$13*(1+F1954^2/1500),'THAM_SO_MOI'!$C$13)</f>
        <v>0.015</v>
      </c>
      <c r="J1954" s="75">
        <f>'THAM_SO_MOI'!$C$40*('THAM_SO_MOI'!$C$23*(E1954/'THAM_SO_MOI'!$C$22)+'THAM_SO_MOI'!$C$24*(E1954/'THAM_SO_MOI'!$C$22)^2-'THAM_SO_MOI'!$C$25*(E1954/'THAM_SO_MOI'!$C$22)^3)</f>
        <v>88.62119546168987</v>
      </c>
      <c r="K1954" s="75">
        <f>'THAM_SO_MOI'!$C$31*J1954/E1954</f>
        <v>428.36515994231377</v>
      </c>
      <c r="L1954" s="75">
        <f>K1954*'THAM_SO_MOI'!$C$51*'THAM_SO_MOI'!$C$17/'THAM_SO_MOI'!$C$26</f>
        <v>9577.906800545674</v>
      </c>
      <c r="M1954" s="75">
        <f>'THAM_SO_MOI'!$C$15*'THAM_SO_MOI'!$C$16*F1954^2</f>
        <v>180.99292109725337</v>
      </c>
      <c r="N1954" s="75">
        <f>'THAM_SO_MOI'!$C$12*I1954</f>
        <v>1130.112</v>
      </c>
      <c r="O1954" s="75">
        <f>M1954+N1954</f>
        <v>1311.1049210972535</v>
      </c>
      <c r="P1954" s="75">
        <f>(MIN(L1954,'THAM_SO_MOI'!$C$41)-O1954)/('THAM_SO_MOI'!$C$11*H1954)</f>
        <v>0.7828410870689791</v>
      </c>
      <c r="Q1954" s="75">
        <f>IF(P1954&gt;0,1/P1954,NA())</f>
        <v>1.2773984612178209</v>
      </c>
      <c r="R1954" s="75">
        <f>F1954-F1953</f>
        <v>0.005028991339517397</v>
      </c>
      <c r="S1954" s="75">
        <f>0.5*(Q1953+Q1954)*R1954</f>
        <v>0.006424139637075184</v>
      </c>
      <c r="T1954" s="75">
        <f>0.5*(F1953*Q1953+F1954*Q1954)*R1954</f>
        <v>0.05051774800706371</v>
      </c>
      <c r="U1954" s="76">
        <f>U1953+S1954</f>
        <v>9.756842671982614</v>
      </c>
      <c r="V1954" s="76">
        <f>V1953+T1954</f>
        <v>46.38749518179778</v>
      </c>
    </row>
    <row r="1955" spans="1:22" ht="19" customHeight="1">
      <c r="A1955" s="68" t="s">
        <v>374</v>
      </c>
      <c r="B1955" s="74">
        <v>3</v>
      </c>
      <c r="C1955" s="68" t="s">
        <v>363</v>
      </c>
      <c r="D1955" s="68" t="s">
        <v>364</v>
      </c>
      <c r="E1955" s="75">
        <f>60*F1955*'THAM_SO_MOI'!$C$51/(2*PI()*'THAM_SO_MOI'!$C$26)</f>
        <v>1977.2170292972887</v>
      </c>
      <c r="F1955" s="75">
        <f>'HANH_TRINH'!$F$1647+('THAM_SO_MOI'!$F$51-'HANH_TRINH'!$F$1647)*307/'THAM_SO_MOI'!$C$42</f>
        <v>7.87128106857749</v>
      </c>
      <c r="G1955" s="75">
        <f>3.6*F1955</f>
        <v>28.336611846878967</v>
      </c>
      <c r="H1955" s="75">
        <f>'THAM_SO_MOI'!$D$51</f>
        <v>1.375</v>
      </c>
      <c r="I1955" s="75">
        <f>IF(F1955&gt;'THAM_SO_MOI'!$C$14,'THAM_SO_MOI'!$C$13*(1+F1955^2/1500),'THAM_SO_MOI'!$C$13)</f>
        <v>0.015</v>
      </c>
      <c r="J1955" s="75">
        <f>'THAM_SO_MOI'!$C$40*('THAM_SO_MOI'!$C$23*(E1955/'THAM_SO_MOI'!$C$22)+'THAM_SO_MOI'!$C$24*(E1955/'THAM_SO_MOI'!$C$22)^2-'THAM_SO_MOI'!$C$25*(E1955/'THAM_SO_MOI'!$C$22)^3)</f>
        <v>88.68267453852472</v>
      </c>
      <c r="K1955" s="75">
        <f>'THAM_SO_MOI'!$C$31*J1955/E1955</f>
        <v>428.3884552082053</v>
      </c>
      <c r="L1955" s="75">
        <f>K1955*'THAM_SO_MOI'!$C$51*'THAM_SO_MOI'!$C$17/'THAM_SO_MOI'!$C$26</f>
        <v>9578.427664300403</v>
      </c>
      <c r="M1955" s="75">
        <f>'THAM_SO_MOI'!$C$15*'THAM_SO_MOI'!$C$16*F1955^2</f>
        <v>181.2244170570982</v>
      </c>
      <c r="N1955" s="75">
        <f>'THAM_SO_MOI'!$C$12*I1955</f>
        <v>1130.112</v>
      </c>
      <c r="O1955" s="75">
        <f>M1955+N1955</f>
        <v>1311.3364170570983</v>
      </c>
      <c r="P1955" s="75">
        <f>(MIN(L1955,'THAM_SO_MOI'!$C$41)-O1955)/('THAM_SO_MOI'!$C$11*H1955)</f>
        <v>0.7828684893222826</v>
      </c>
      <c r="Q1955" s="75">
        <f>IF(P1955&gt;0,1/P1955,NA())</f>
        <v>1.277353749242973</v>
      </c>
      <c r="R1955" s="75">
        <f>F1955-F1954</f>
        <v>0.005028991339517397</v>
      </c>
      <c r="S1955" s="75">
        <f>0.5*(Q1954+Q1955)*R1955</f>
        <v>0.006423913370510129</v>
      </c>
      <c r="T1955" s="75">
        <f>0.5*(F1954*Q1954+F1955*Q1955)*R1955</f>
        <v>0.05054827451442526</v>
      </c>
      <c r="U1955" s="76">
        <f>U1954+S1955</f>
        <v>9.763266585353124</v>
      </c>
      <c r="V1955" s="76">
        <f>V1954+T1955</f>
        <v>46.43804345631221</v>
      </c>
    </row>
    <row r="1956" spans="1:22" ht="19" customHeight="1">
      <c r="A1956" s="68" t="s">
        <v>374</v>
      </c>
      <c r="B1956" s="74">
        <v>3</v>
      </c>
      <c r="C1956" s="68" t="s">
        <v>363</v>
      </c>
      <c r="D1956" s="68" t="s">
        <v>364</v>
      </c>
      <c r="E1956" s="75">
        <f>60*F1956*'THAM_SO_MOI'!$C$51/(2*PI()*'THAM_SO_MOI'!$C$26)</f>
        <v>1978.4802807591607</v>
      </c>
      <c r="F1956" s="75">
        <f>'HANH_TRINH'!$F$1647+('THAM_SO_MOI'!$F$51-'HANH_TRINH'!$F$1647)*308/'THAM_SO_MOI'!$C$42</f>
        <v>7.876310059917008</v>
      </c>
      <c r="G1956" s="75">
        <f>3.6*F1956</f>
        <v>28.35471621570123</v>
      </c>
      <c r="H1956" s="75">
        <f>'THAM_SO_MOI'!$D$51</f>
        <v>1.375</v>
      </c>
      <c r="I1956" s="75">
        <f>IF(F1956&gt;'THAM_SO_MOI'!$C$14,'THAM_SO_MOI'!$C$13*(1+F1956^2/1500),'THAM_SO_MOI'!$C$13)</f>
        <v>0.015</v>
      </c>
      <c r="J1956" s="75">
        <f>'THAM_SO_MOI'!$C$40*('THAM_SO_MOI'!$C$23*(E1956/'THAM_SO_MOI'!$C$22)+'THAM_SO_MOI'!$C$24*(E1956/'THAM_SO_MOI'!$C$22)^2-'THAM_SO_MOI'!$C$25*(E1956/'THAM_SO_MOI'!$C$22)^3)</f>
        <v>88.74412770771218</v>
      </c>
      <c r="K1956" s="75">
        <f>'THAM_SO_MOI'!$C$31*J1956/E1956</f>
        <v>428.41159565726616</v>
      </c>
      <c r="L1956" s="75">
        <f>K1956*'THAM_SO_MOI'!$C$51*'THAM_SO_MOI'!$C$17/'THAM_SO_MOI'!$C$26</f>
        <v>9578.945066473021</v>
      </c>
      <c r="M1956" s="75">
        <f>'THAM_SO_MOI'!$C$15*'THAM_SO_MOI'!$C$16*F1956^2</f>
        <v>181.4560609678534</v>
      </c>
      <c r="N1956" s="75">
        <f>'THAM_SO_MOI'!$C$12*I1956</f>
        <v>1130.112</v>
      </c>
      <c r="O1956" s="75">
        <f>M1956+N1956</f>
        <v>1311.5680609678534</v>
      </c>
      <c r="P1956" s="75">
        <f>(MIN(L1956,'THAM_SO_MOI'!$C$41)-O1956)/('THAM_SO_MOI'!$C$11*H1956)</f>
        <v>0.782895549763747</v>
      </c>
      <c r="Q1956" s="75">
        <f>IF(P1956&gt;0,1/P1956,NA())</f>
        <v>1.2773095980706088</v>
      </c>
      <c r="R1956" s="75">
        <f>F1956-F1955</f>
        <v>0.005028991339518285</v>
      </c>
      <c r="S1956" s="75">
        <f>0.5*(Q1955+Q1956)*R1956</f>
        <v>0.006423689924512399</v>
      </c>
      <c r="T1956" s="75">
        <f>0.5*(F1955*Q1955+F1956*Q1956)*R1956</f>
        <v>0.05057882095457136</v>
      </c>
      <c r="U1956" s="76">
        <f>U1955+S1956</f>
        <v>9.769690275277636</v>
      </c>
      <c r="V1956" s="76">
        <f>V1955+T1956</f>
        <v>46.48862227726678</v>
      </c>
    </row>
    <row r="1957" spans="1:22" ht="19" customHeight="1">
      <c r="A1957" s="68" t="s">
        <v>374</v>
      </c>
      <c r="B1957" s="74">
        <v>3</v>
      </c>
      <c r="C1957" s="68" t="s">
        <v>363</v>
      </c>
      <c r="D1957" s="68" t="s">
        <v>364</v>
      </c>
      <c r="E1957" s="75">
        <f>60*F1957*'THAM_SO_MOI'!$C$51/(2*PI()*'THAM_SO_MOI'!$C$26)</f>
        <v>1979.7435322210317</v>
      </c>
      <c r="F1957" s="75">
        <f>'HANH_TRINH'!$F$1647+('THAM_SO_MOI'!$F$51-'HANH_TRINH'!$F$1647)*309/'THAM_SO_MOI'!$C$42</f>
        <v>7.881339051256526</v>
      </c>
      <c r="G1957" s="75">
        <f>3.6*F1957</f>
        <v>28.37282058452349</v>
      </c>
      <c r="H1957" s="75">
        <f>'THAM_SO_MOI'!$D$51</f>
        <v>1.375</v>
      </c>
      <c r="I1957" s="75">
        <f>IF(F1957&gt;'THAM_SO_MOI'!$C$14,'THAM_SO_MOI'!$C$13*(1+F1957^2/1500),'THAM_SO_MOI'!$C$13)</f>
        <v>0.015</v>
      </c>
      <c r="J1957" s="75">
        <f>'THAM_SO_MOI'!$C$40*('THAM_SO_MOI'!$C$23*(E1957/'THAM_SO_MOI'!$C$22)+'THAM_SO_MOI'!$C$24*(E1957/'THAM_SO_MOI'!$C$22)^2-'THAM_SO_MOI'!$C$25*(E1957/'THAM_SO_MOI'!$C$22)^3)</f>
        <v>88.80555490782285</v>
      </c>
      <c r="K1957" s="75">
        <f>'THAM_SO_MOI'!$C$31*J1957/E1957</f>
        <v>428.4345812894964</v>
      </c>
      <c r="L1957" s="75">
        <f>K1957*'THAM_SO_MOI'!$C$51*'THAM_SO_MOI'!$C$17/'THAM_SO_MOI'!$C$26</f>
        <v>9579.459007063528</v>
      </c>
      <c r="M1957" s="75">
        <f>'THAM_SO_MOI'!$C$15*'THAM_SO_MOI'!$C$16*F1957^2</f>
        <v>181.68785282951876</v>
      </c>
      <c r="N1957" s="75">
        <f>'THAM_SO_MOI'!$C$12*I1957</f>
        <v>1130.112</v>
      </c>
      <c r="O1957" s="75">
        <f>M1957+N1957</f>
        <v>1311.7998528295188</v>
      </c>
      <c r="P1957" s="75">
        <f>(MIN(L1957,'THAM_SO_MOI'!$C$41)-O1957)/('THAM_SO_MOI'!$C$11*H1957)</f>
        <v>0.7829222683933722</v>
      </c>
      <c r="Q1957" s="75">
        <f>IF(P1957&gt;0,1/P1957,NA())</f>
        <v>1.2772660075847517</v>
      </c>
      <c r="R1957" s="75">
        <f>F1957-F1956</f>
        <v>0.005028991339517397</v>
      </c>
      <c r="S1957" s="75">
        <f>0.5*(Q1956+Q1957)*R1957</f>
        <v>0.006423469298491608</v>
      </c>
      <c r="T1957" s="75">
        <f>0.5*(F1956*Q1956+F1957*Q1957)*R1957</f>
        <v>0.05060938736540433</v>
      </c>
      <c r="U1957" s="76">
        <f>U1956+S1957</f>
        <v>9.776113744576127</v>
      </c>
      <c r="V1957" s="76">
        <f>V1956+T1957</f>
        <v>46.53923166463218</v>
      </c>
    </row>
    <row r="1958" spans="1:22" ht="19" customHeight="1">
      <c r="A1958" s="68" t="s">
        <v>374</v>
      </c>
      <c r="B1958" s="74">
        <v>3</v>
      </c>
      <c r="C1958" s="68" t="s">
        <v>363</v>
      </c>
      <c r="D1958" s="68" t="s">
        <v>364</v>
      </c>
      <c r="E1958" s="75">
        <f>60*F1958*'THAM_SO_MOI'!$C$51/(2*PI()*'THAM_SO_MOI'!$C$26)</f>
        <v>1981.0067836829035</v>
      </c>
      <c r="F1958" s="75">
        <f>'HANH_TRINH'!$F$1647+('THAM_SO_MOI'!$F$51-'HANH_TRINH'!$F$1647)*310/'THAM_SO_MOI'!$C$42</f>
        <v>7.886368042596043</v>
      </c>
      <c r="G1958" s="75">
        <f>3.6*F1958</f>
        <v>28.390924953345756</v>
      </c>
      <c r="H1958" s="75">
        <f>'THAM_SO_MOI'!$D$51</f>
        <v>1.375</v>
      </c>
      <c r="I1958" s="75">
        <f>IF(F1958&gt;'THAM_SO_MOI'!$C$14,'THAM_SO_MOI'!$C$13*(1+F1958^2/1500),'THAM_SO_MOI'!$C$13)</f>
        <v>0.015</v>
      </c>
      <c r="J1958" s="75">
        <f>'THAM_SO_MOI'!$C$40*('THAM_SO_MOI'!$C$23*(E1958/'THAM_SO_MOI'!$C$22)+'THAM_SO_MOI'!$C$24*(E1958/'THAM_SO_MOI'!$C$22)^2-'THAM_SO_MOI'!$C$25*(E1958/'THAM_SO_MOI'!$C$22)^3)</f>
        <v>88.86695607742747</v>
      </c>
      <c r="K1958" s="75">
        <f>'THAM_SO_MOI'!$C$31*J1958/E1958</f>
        <v>428.4574121048963</v>
      </c>
      <c r="L1958" s="75">
        <f>K1958*'THAM_SO_MOI'!$C$51*'THAM_SO_MOI'!$C$17/'THAM_SO_MOI'!$C$26</f>
        <v>9579.969486071928</v>
      </c>
      <c r="M1958" s="75">
        <f>'THAM_SO_MOI'!$C$15*'THAM_SO_MOI'!$C$16*F1958^2</f>
        <v>181.91979264209445</v>
      </c>
      <c r="N1958" s="75">
        <f>'THAM_SO_MOI'!$C$12*I1958</f>
        <v>1130.112</v>
      </c>
      <c r="O1958" s="75">
        <f>M1958+N1958</f>
        <v>1312.0317926420946</v>
      </c>
      <c r="P1958" s="75">
        <f>(MIN(L1958,'THAM_SO_MOI'!$C$41)-O1958)/('THAM_SO_MOI'!$C$11*H1958)</f>
        <v>0.7829486452111586</v>
      </c>
      <c r="Q1958" s="75">
        <f>IF(P1958&gt;0,1/P1958,NA())</f>
        <v>1.277222977670909</v>
      </c>
      <c r="R1958" s="75">
        <f>F1958-F1957</f>
        <v>0.005028991339517397</v>
      </c>
      <c r="S1958" s="75">
        <f>0.5*(Q1957+Q1958)*R1958</f>
        <v>0.006423251491871651</v>
      </c>
      <c r="T1958" s="75">
        <f>0.5*(F1957*Q1957+F1958*Q1958)*R1958</f>
        <v>0.050639973784927114</v>
      </c>
      <c r="U1958" s="76">
        <f>U1957+S1958</f>
        <v>9.782536996068</v>
      </c>
      <c r="V1958" s="76">
        <f>V1957+T1958</f>
        <v>46.58987163841711</v>
      </c>
    </row>
    <row r="1959" spans="1:22" ht="19" customHeight="1">
      <c r="A1959" s="68" t="s">
        <v>374</v>
      </c>
      <c r="B1959" s="74">
        <v>3</v>
      </c>
      <c r="C1959" s="68" t="s">
        <v>363</v>
      </c>
      <c r="D1959" s="68" t="s">
        <v>364</v>
      </c>
      <c r="E1959" s="75">
        <f>60*F1959*'THAM_SO_MOI'!$C$51/(2*PI()*'THAM_SO_MOI'!$C$26)</f>
        <v>1982.2700351447752</v>
      </c>
      <c r="F1959" s="75">
        <f>'HANH_TRINH'!$F$1647+('THAM_SO_MOI'!$F$51-'HANH_TRINH'!$F$1647)*311/'THAM_SO_MOI'!$C$42</f>
        <v>7.8913970339355615</v>
      </c>
      <c r="G1959" s="75">
        <f>3.6*F1959</f>
        <v>28.40902932216802</v>
      </c>
      <c r="H1959" s="75">
        <f>'THAM_SO_MOI'!$D$51</f>
        <v>1.375</v>
      </c>
      <c r="I1959" s="75">
        <f>IF(F1959&gt;'THAM_SO_MOI'!$C$14,'THAM_SO_MOI'!$C$13*(1+F1959^2/1500),'THAM_SO_MOI'!$C$13)</f>
        <v>0.015</v>
      </c>
      <c r="J1959" s="75">
        <f>'THAM_SO_MOI'!$C$40*('THAM_SO_MOI'!$C$23*(E1959/'THAM_SO_MOI'!$C$22)+'THAM_SO_MOI'!$C$24*(E1959/'THAM_SO_MOI'!$C$22)^2-'THAM_SO_MOI'!$C$25*(E1959/'THAM_SO_MOI'!$C$22)^3)</f>
        <v>88.92833115509669</v>
      </c>
      <c r="K1959" s="75">
        <f>'THAM_SO_MOI'!$C$31*J1959/E1959</f>
        <v>428.48008810346573</v>
      </c>
      <c r="L1959" s="75">
        <f>K1959*'THAM_SO_MOI'!$C$51*'THAM_SO_MOI'!$C$17/'THAM_SO_MOI'!$C$26</f>
        <v>9580.476503498221</v>
      </c>
      <c r="M1959" s="75">
        <f>'THAM_SO_MOI'!$C$15*'THAM_SO_MOI'!$C$16*F1959^2</f>
        <v>182.1518804055804</v>
      </c>
      <c r="N1959" s="75">
        <f>'THAM_SO_MOI'!$C$12*I1959</f>
        <v>1130.112</v>
      </c>
      <c r="O1959" s="75">
        <f>M1959+N1959</f>
        <v>1312.2638804055805</v>
      </c>
      <c r="P1959" s="75">
        <f>(MIN(L1959,'THAM_SO_MOI'!$C$41)-O1959)/('THAM_SO_MOI'!$C$11*H1959)</f>
        <v>0.7829746802171061</v>
      </c>
      <c r="Q1959" s="75">
        <f>IF(P1959&gt;0,1/P1959,NA())</f>
        <v>1.2771805082160719</v>
      </c>
      <c r="R1959" s="75">
        <f>F1959-F1958</f>
        <v>0.005028991339518285</v>
      </c>
      <c r="S1959" s="75">
        <f>0.5*(Q1958+Q1959)*R1959</f>
        <v>0.006423036504080473</v>
      </c>
      <c r="T1959" s="75">
        <f>0.5*(F1958*Q1958+F1959*Q1959)*R1959</f>
        <v>0.050670580251163125</v>
      </c>
      <c r="U1959" s="76">
        <f>U1958+S1959</f>
        <v>9.78896003257208</v>
      </c>
      <c r="V1959" s="76">
        <f>V1958+T1959</f>
        <v>46.64054221866827</v>
      </c>
    </row>
    <row r="1960" spans="1:22" ht="19" customHeight="1">
      <c r="A1960" s="68" t="s">
        <v>374</v>
      </c>
      <c r="B1960" s="74">
        <v>3</v>
      </c>
      <c r="C1960" s="68" t="s">
        <v>363</v>
      </c>
      <c r="D1960" s="68" t="s">
        <v>364</v>
      </c>
      <c r="E1960" s="75">
        <f>60*F1960*'THAM_SO_MOI'!$C$51/(2*PI()*'THAM_SO_MOI'!$C$26)</f>
        <v>1983.533286606647</v>
      </c>
      <c r="F1960" s="75">
        <f>'HANH_TRINH'!$F$1647+('THAM_SO_MOI'!$F$51-'HANH_TRINH'!$F$1647)*312/'THAM_SO_MOI'!$C$42</f>
        <v>7.896426025275079</v>
      </c>
      <c r="G1960" s="75">
        <f>3.6*F1960</f>
        <v>28.427133690990285</v>
      </c>
      <c r="H1960" s="75">
        <f>'THAM_SO_MOI'!$D$51</f>
        <v>1.375</v>
      </c>
      <c r="I1960" s="75">
        <f>IF(F1960&gt;'THAM_SO_MOI'!$C$14,'THAM_SO_MOI'!$C$13*(1+F1960^2/1500),'THAM_SO_MOI'!$C$13)</f>
        <v>0.015</v>
      </c>
      <c r="J1960" s="75">
        <f>'THAM_SO_MOI'!$C$40*('THAM_SO_MOI'!$C$23*(E1960/'THAM_SO_MOI'!$C$22)+'THAM_SO_MOI'!$C$24*(E1960/'THAM_SO_MOI'!$C$22)^2-'THAM_SO_MOI'!$C$25*(E1960/'THAM_SO_MOI'!$C$22)^3)</f>
        <v>88.98968007940108</v>
      </c>
      <c r="K1960" s="75">
        <f>'THAM_SO_MOI'!$C$31*J1960/E1960</f>
        <v>428.5026092852045</v>
      </c>
      <c r="L1960" s="75">
        <f>K1960*'THAM_SO_MOI'!$C$51*'THAM_SO_MOI'!$C$17/'THAM_SO_MOI'!$C$26</f>
        <v>9580.980059342399</v>
      </c>
      <c r="M1960" s="75">
        <f>'THAM_SO_MOI'!$C$15*'THAM_SO_MOI'!$C$16*F1960^2</f>
        <v>182.38411611997665</v>
      </c>
      <c r="N1960" s="75">
        <f>'THAM_SO_MOI'!$C$12*I1960</f>
        <v>1130.112</v>
      </c>
      <c r="O1960" s="75">
        <f>M1960+N1960</f>
        <v>1312.4961161199767</v>
      </c>
      <c r="P1960" s="75">
        <f>(MIN(L1960,'THAM_SO_MOI'!$C$41)-O1960)/('THAM_SO_MOI'!$C$11*H1960)</f>
        <v>0.7830003734112142</v>
      </c>
      <c r="Q1960" s="75">
        <f>IF(P1960&gt;0,1/P1960,NA())</f>
        <v>1.2771385991087165</v>
      </c>
      <c r="R1960" s="75">
        <f>F1960-F1959</f>
        <v>0.005028991339517397</v>
      </c>
      <c r="S1960" s="75">
        <f>0.5*(Q1959+Q1960)*R1960</f>
        <v>0.006422824334550085</v>
      </c>
      <c r="T1960" s="75">
        <f>0.5*(F1959*Q1959+F1960*Q1960)*R1960</f>
        <v>0.050701206802156305</v>
      </c>
      <c r="U1960" s="76">
        <f>U1959+S1960</f>
        <v>9.79538285690663</v>
      </c>
      <c r="V1960" s="76">
        <f>V1959+T1960</f>
        <v>46.69124342547043</v>
      </c>
    </row>
    <row r="1961" spans="1:22" ht="19" customHeight="1">
      <c r="A1961" s="68" t="s">
        <v>374</v>
      </c>
      <c r="B1961" s="74">
        <v>3</v>
      </c>
      <c r="C1961" s="68" t="s">
        <v>363</v>
      </c>
      <c r="D1961" s="68" t="s">
        <v>364</v>
      </c>
      <c r="E1961" s="75">
        <f>60*F1961*'THAM_SO_MOI'!$C$51/(2*PI()*'THAM_SO_MOI'!$C$26)</f>
        <v>1984.7965380685187</v>
      </c>
      <c r="F1961" s="75">
        <f>'HANH_TRINH'!$F$1647+('THAM_SO_MOI'!$F$51-'HANH_TRINH'!$F$1647)*313/'THAM_SO_MOI'!$C$42</f>
        <v>7.901455016614596</v>
      </c>
      <c r="G1961" s="75">
        <f>3.6*F1961</f>
        <v>28.445238059812546</v>
      </c>
      <c r="H1961" s="75">
        <f>'THAM_SO_MOI'!$D$51</f>
        <v>1.375</v>
      </c>
      <c r="I1961" s="75">
        <f>IF(F1961&gt;'THAM_SO_MOI'!$C$14,'THAM_SO_MOI'!$C$13*(1+F1961^2/1500),'THAM_SO_MOI'!$C$13)</f>
        <v>0.015</v>
      </c>
      <c r="J1961" s="75">
        <f>'THAM_SO_MOI'!$C$40*('THAM_SO_MOI'!$C$23*(E1961/'THAM_SO_MOI'!$C$22)+'THAM_SO_MOI'!$C$24*(E1961/'THAM_SO_MOI'!$C$22)^2-'THAM_SO_MOI'!$C$25*(E1961/'THAM_SO_MOI'!$C$22)^3)</f>
        <v>89.05100278891136</v>
      </c>
      <c r="K1961" s="75">
        <f>'THAM_SO_MOI'!$C$31*J1961/E1961</f>
        <v>428.52497565011294</v>
      </c>
      <c r="L1961" s="75">
        <f>K1961*'THAM_SO_MOI'!$C$51*'THAM_SO_MOI'!$C$17/'THAM_SO_MOI'!$C$26</f>
        <v>9581.480153604474</v>
      </c>
      <c r="M1961" s="75">
        <f>'THAM_SO_MOI'!$C$15*'THAM_SO_MOI'!$C$16*F1961^2</f>
        <v>182.6164997852831</v>
      </c>
      <c r="N1961" s="75">
        <f>'THAM_SO_MOI'!$C$12*I1961</f>
        <v>1130.112</v>
      </c>
      <c r="O1961" s="75">
        <f>M1961+N1961</f>
        <v>1312.7284997852832</v>
      </c>
      <c r="P1961" s="75">
        <f>(MIN(L1961,'THAM_SO_MOI'!$C$41)-O1961)/('THAM_SO_MOI'!$C$11*H1961)</f>
        <v>0.7830257247934841</v>
      </c>
      <c r="Q1961" s="75">
        <f>IF(P1961&gt;0,1/P1961,NA())</f>
        <v>1.2770972502387976</v>
      </c>
      <c r="R1961" s="75">
        <f>F1961-F1960</f>
        <v>0.005028991339517397</v>
      </c>
      <c r="S1961" s="75">
        <f>0.5*(Q1960+Q1961)*R1961</f>
        <v>0.006422614982726756</v>
      </c>
      <c r="T1961" s="75">
        <f>0.5*(F1960*Q1960+F1961*Q1961)*R1961</f>
        <v>0.050731853476051775</v>
      </c>
      <c r="U1961" s="76">
        <f>U1960+S1961</f>
        <v>9.801805471889356</v>
      </c>
      <c r="V1961" s="76">
        <f>V1960+T1961</f>
        <v>46.741975278946484</v>
      </c>
    </row>
    <row r="1962" spans="1:22" ht="19" customHeight="1">
      <c r="A1962" s="68" t="s">
        <v>374</v>
      </c>
      <c r="B1962" s="74">
        <v>3</v>
      </c>
      <c r="C1962" s="68" t="s">
        <v>363</v>
      </c>
      <c r="D1962" s="68" t="s">
        <v>364</v>
      </c>
      <c r="E1962" s="75">
        <f>60*F1962*'THAM_SO_MOI'!$C$51/(2*PI()*'THAM_SO_MOI'!$C$26)</f>
        <v>1986.0597895303902</v>
      </c>
      <c r="F1962" s="75">
        <f>'HANH_TRINH'!$F$1647+('THAM_SO_MOI'!$F$51-'HANH_TRINH'!$F$1647)*314/'THAM_SO_MOI'!$C$42</f>
        <v>7.9064840079541145</v>
      </c>
      <c r="G1962" s="75">
        <f>3.6*F1962</f>
        <v>28.463342428634814</v>
      </c>
      <c r="H1962" s="75">
        <f>'THAM_SO_MOI'!$D$51</f>
        <v>1.375</v>
      </c>
      <c r="I1962" s="75">
        <f>IF(F1962&gt;'THAM_SO_MOI'!$C$14,'THAM_SO_MOI'!$C$13*(1+F1962^2/1500),'THAM_SO_MOI'!$C$13)</f>
        <v>0.015</v>
      </c>
      <c r="J1962" s="75">
        <f>'THAM_SO_MOI'!$C$40*('THAM_SO_MOI'!$C$23*(E1962/'THAM_SO_MOI'!$C$22)+'THAM_SO_MOI'!$C$24*(E1962/'THAM_SO_MOI'!$C$22)^2-'THAM_SO_MOI'!$C$25*(E1962/'THAM_SO_MOI'!$C$22)^3)</f>
        <v>89.11229922219812</v>
      </c>
      <c r="K1962" s="75">
        <f>'THAM_SO_MOI'!$C$31*J1962/E1962</f>
        <v>428.5471871981907</v>
      </c>
      <c r="L1962" s="75">
        <f>K1962*'THAM_SO_MOI'!$C$51*'THAM_SO_MOI'!$C$17/'THAM_SO_MOI'!$C$26</f>
        <v>9581.976786284438</v>
      </c>
      <c r="M1962" s="75">
        <f>'THAM_SO_MOI'!$C$15*'THAM_SO_MOI'!$C$16*F1962^2</f>
        <v>182.84903140149993</v>
      </c>
      <c r="N1962" s="75">
        <f>'THAM_SO_MOI'!$C$12*I1962</f>
        <v>1130.112</v>
      </c>
      <c r="O1962" s="75">
        <f>M1962+N1962</f>
        <v>1312.9610314015</v>
      </c>
      <c r="P1962" s="75">
        <f>(MIN(L1962,'THAM_SO_MOI'!$C$41)-O1962)/('THAM_SO_MOI'!$C$11*H1962)</f>
        <v>0.7830507343639145</v>
      </c>
      <c r="Q1962" s="75">
        <f>IF(P1962&gt;0,1/P1962,NA())</f>
        <v>1.2770564614977562</v>
      </c>
      <c r="R1962" s="75">
        <f>F1962-F1961</f>
        <v>0.005028991339518285</v>
      </c>
      <c r="S1962" s="75">
        <f>0.5*(Q1961+Q1962)*R1962</f>
        <v>0.006422408448060805</v>
      </c>
      <c r="T1962" s="75">
        <f>0.5*(F1961*Q1961+F1962*Q1962)*R1962</f>
        <v>0.05076252031101559</v>
      </c>
      <c r="U1962" s="76">
        <f>U1961+S1962</f>
        <v>9.808227880337416</v>
      </c>
      <c r="V1962" s="76">
        <f>V1961+T1962</f>
        <v>46.7927377992575</v>
      </c>
    </row>
    <row r="1963" spans="1:22" ht="19" customHeight="1">
      <c r="A1963" s="68" t="s">
        <v>374</v>
      </c>
      <c r="B1963" s="74">
        <v>3</v>
      </c>
      <c r="C1963" s="68" t="s">
        <v>363</v>
      </c>
      <c r="D1963" s="68" t="s">
        <v>364</v>
      </c>
      <c r="E1963" s="75">
        <f>60*F1963*'THAM_SO_MOI'!$C$51/(2*PI()*'THAM_SO_MOI'!$C$26)</f>
        <v>1987.323040992262</v>
      </c>
      <c r="F1963" s="75">
        <f>'HANH_TRINH'!$F$1647+('THAM_SO_MOI'!$F$51-'HANH_TRINH'!$F$1647)*315/'THAM_SO_MOI'!$C$42</f>
        <v>7.911512999293632</v>
      </c>
      <c r="G1963" s="75">
        <f>3.6*F1963</f>
        <v>28.481446797457075</v>
      </c>
      <c r="H1963" s="75">
        <f>'THAM_SO_MOI'!$D$51</f>
        <v>1.375</v>
      </c>
      <c r="I1963" s="75">
        <f>IF(F1963&gt;'THAM_SO_MOI'!$C$14,'THAM_SO_MOI'!$C$13*(1+F1963^2/1500),'THAM_SO_MOI'!$C$13)</f>
        <v>0.015</v>
      </c>
      <c r="J1963" s="75">
        <f>'THAM_SO_MOI'!$C$40*('THAM_SO_MOI'!$C$23*(E1963/'THAM_SO_MOI'!$C$22)+'THAM_SO_MOI'!$C$24*(E1963/'THAM_SO_MOI'!$C$22)^2-'THAM_SO_MOI'!$C$25*(E1963/'THAM_SO_MOI'!$C$22)^3)</f>
        <v>89.17356931783208</v>
      </c>
      <c r="K1963" s="75">
        <f>'THAM_SO_MOI'!$C$31*J1963/E1963</f>
        <v>428.5692439294381</v>
      </c>
      <c r="L1963" s="75">
        <f>K1963*'THAM_SO_MOI'!$C$51*'THAM_SO_MOI'!$C$17/'THAM_SO_MOI'!$C$26</f>
        <v>9582.469957382295</v>
      </c>
      <c r="M1963" s="75">
        <f>'THAM_SO_MOI'!$C$15*'THAM_SO_MOI'!$C$16*F1963^2</f>
        <v>183.08171096862696</v>
      </c>
      <c r="N1963" s="75">
        <f>'THAM_SO_MOI'!$C$12*I1963</f>
        <v>1130.112</v>
      </c>
      <c r="O1963" s="75">
        <f>M1963+N1963</f>
        <v>1313.193710968627</v>
      </c>
      <c r="P1963" s="75">
        <f>(MIN(L1963,'THAM_SO_MOI'!$C$41)-O1963)/('THAM_SO_MOI'!$C$11*H1963)</f>
        <v>0.7830754021225065</v>
      </c>
      <c r="Q1963" s="75">
        <f>IF(P1963&gt;0,1/P1963,NA())</f>
        <v>1.27701623277851</v>
      </c>
      <c r="R1963" s="75">
        <f>F1963-F1962</f>
        <v>0.005028991339517397</v>
      </c>
      <c r="S1963" s="75">
        <f>0.5*(Q1962+Q1963)*R1963</f>
        <v>0.006422204730006604</v>
      </c>
      <c r="T1963" s="75">
        <f>0.5*(F1962*Q1962+F1963*Q1963)*R1963</f>
        <v>0.05079320734523473</v>
      </c>
      <c r="U1963" s="76">
        <f>U1962+S1963</f>
        <v>9.814650085067422</v>
      </c>
      <c r="V1963" s="76">
        <f>V1962+T1963</f>
        <v>46.84353100660274</v>
      </c>
    </row>
    <row r="1964" spans="1:22" ht="19" customHeight="1">
      <c r="A1964" s="68" t="s">
        <v>374</v>
      </c>
      <c r="B1964" s="74">
        <v>3</v>
      </c>
      <c r="C1964" s="68" t="s">
        <v>363</v>
      </c>
      <c r="D1964" s="68" t="s">
        <v>364</v>
      </c>
      <c r="E1964" s="75">
        <f>60*F1964*'THAM_SO_MOI'!$C$51/(2*PI()*'THAM_SO_MOI'!$C$26)</f>
        <v>1988.5862924541332</v>
      </c>
      <c r="F1964" s="75">
        <f>'HANH_TRINH'!$F$1647+('THAM_SO_MOI'!$F$51-'HANH_TRINH'!$F$1647)*316/'THAM_SO_MOI'!$C$42</f>
        <v>7.916541990633149</v>
      </c>
      <c r="G1964" s="75">
        <f>3.6*F1964</f>
        <v>28.49955116627934</v>
      </c>
      <c r="H1964" s="75">
        <f>'THAM_SO_MOI'!$D$51</f>
        <v>1.375</v>
      </c>
      <c r="I1964" s="75">
        <f>IF(F1964&gt;'THAM_SO_MOI'!$C$14,'THAM_SO_MOI'!$C$13*(1+F1964^2/1500),'THAM_SO_MOI'!$C$13)</f>
        <v>0.015</v>
      </c>
      <c r="J1964" s="75">
        <f>'THAM_SO_MOI'!$C$40*('THAM_SO_MOI'!$C$23*(E1964/'THAM_SO_MOI'!$C$22)+'THAM_SO_MOI'!$C$24*(E1964/'THAM_SO_MOI'!$C$22)^2-'THAM_SO_MOI'!$C$25*(E1964/'THAM_SO_MOI'!$C$22)^3)</f>
        <v>89.23481301438379</v>
      </c>
      <c r="K1964" s="75">
        <f>'THAM_SO_MOI'!$C$31*J1964/E1964</f>
        <v>428.5911458438548</v>
      </c>
      <c r="L1964" s="75">
        <f>K1964*'THAM_SO_MOI'!$C$51*'THAM_SO_MOI'!$C$17/'THAM_SO_MOI'!$C$26</f>
        <v>9582.959666898038</v>
      </c>
      <c r="M1964" s="75">
        <f>'THAM_SO_MOI'!$C$15*'THAM_SO_MOI'!$C$16*F1964^2</f>
        <v>183.31453848666428</v>
      </c>
      <c r="N1964" s="75">
        <f>'THAM_SO_MOI'!$C$12*I1964</f>
        <v>1130.112</v>
      </c>
      <c r="O1964" s="75">
        <f>M1964+N1964</f>
        <v>1313.4265384866644</v>
      </c>
      <c r="P1964" s="75">
        <f>(MIN(L1964,'THAM_SO_MOI'!$C$41)-O1964)/('THAM_SO_MOI'!$C$11*H1964)</f>
        <v>0.783099728069259</v>
      </c>
      <c r="Q1964" s="75">
        <f>IF(P1964&gt;0,1/P1964,NA())</f>
        <v>1.2769765639754607</v>
      </c>
      <c r="R1964" s="75">
        <f>F1964-F1963</f>
        <v>0.005028991339517397</v>
      </c>
      <c r="S1964" s="75">
        <f>0.5*(Q1963+Q1964)*R1964</f>
        <v>0.006422003828032766</v>
      </c>
      <c r="T1964" s="75">
        <f>0.5*(F1963*Q1963+F1964*Q1964)*R1964</f>
        <v>0.05082391461699798</v>
      </c>
      <c r="U1964" s="76">
        <f>U1963+S1964</f>
        <v>9.821072088895455</v>
      </c>
      <c r="V1964" s="76">
        <f>V1963+T1964</f>
        <v>46.89435492121974</v>
      </c>
    </row>
    <row r="1965" spans="1:22" ht="19" customHeight="1">
      <c r="A1965" s="68" t="s">
        <v>374</v>
      </c>
      <c r="B1965" s="74">
        <v>3</v>
      </c>
      <c r="C1965" s="68" t="s">
        <v>363</v>
      </c>
      <c r="D1965" s="68" t="s">
        <v>364</v>
      </c>
      <c r="E1965" s="75">
        <f>60*F1965*'THAM_SO_MOI'!$C$51/(2*PI()*'THAM_SO_MOI'!$C$26)</f>
        <v>1989.8495439160054</v>
      </c>
      <c r="F1965" s="75">
        <f>'HANH_TRINH'!$F$1647+('THAM_SO_MOI'!$F$51-'HANH_TRINH'!$F$1647)*317/'THAM_SO_MOI'!$C$42</f>
        <v>7.921570981972668</v>
      </c>
      <c r="G1965" s="75">
        <f>3.6*F1965</f>
        <v>28.517655535101603</v>
      </c>
      <c r="H1965" s="75">
        <f>'THAM_SO_MOI'!$D$51</f>
        <v>1.375</v>
      </c>
      <c r="I1965" s="75">
        <f>IF(F1965&gt;'THAM_SO_MOI'!$C$14,'THAM_SO_MOI'!$C$13*(1+F1965^2/1500),'THAM_SO_MOI'!$C$13)</f>
        <v>0.015</v>
      </c>
      <c r="J1965" s="75">
        <f>'THAM_SO_MOI'!$C$40*('THAM_SO_MOI'!$C$23*(E1965/'THAM_SO_MOI'!$C$22)+'THAM_SO_MOI'!$C$24*(E1965/'THAM_SO_MOI'!$C$22)^2-'THAM_SO_MOI'!$C$25*(E1965/'THAM_SO_MOI'!$C$22)^3)</f>
        <v>89.29603025042405</v>
      </c>
      <c r="K1965" s="75">
        <f>'THAM_SO_MOI'!$C$31*J1965/E1965</f>
        <v>428.6128929414412</v>
      </c>
      <c r="L1965" s="75">
        <f>K1965*'THAM_SO_MOI'!$C$51*'THAM_SO_MOI'!$C$17/'THAM_SO_MOI'!$C$26</f>
        <v>9583.445914831676</v>
      </c>
      <c r="M1965" s="75">
        <f>'THAM_SO_MOI'!$C$15*'THAM_SO_MOI'!$C$16*F1965^2</f>
        <v>183.5475139556119</v>
      </c>
      <c r="N1965" s="75">
        <f>'THAM_SO_MOI'!$C$12*I1965</f>
        <v>1130.112</v>
      </c>
      <c r="O1965" s="75">
        <f>M1965+N1965</f>
        <v>1313.659513955612</v>
      </c>
      <c r="P1965" s="75">
        <f>(MIN(L1965,'THAM_SO_MOI'!$C$41)-O1965)/('THAM_SO_MOI'!$C$11*H1965)</f>
        <v>0.783123712204173</v>
      </c>
      <c r="Q1965" s="75">
        <f>IF(P1965&gt;0,1/P1965,NA())</f>
        <v>1.2769374549844863</v>
      </c>
      <c r="R1965" s="75">
        <f>F1965-F1964</f>
        <v>0.005028991339518285</v>
      </c>
      <c r="S1965" s="75">
        <f>0.5*(Q1964+Q1965)*R1965</f>
        <v>0.006421805741611956</v>
      </c>
      <c r="T1965" s="75">
        <f>0.5*(F1964*Q1964+F1965*Q1965)*R1965</f>
        <v>0.05085464216461545</v>
      </c>
      <c r="U1965" s="76">
        <f>U1964+S1965</f>
        <v>9.827493894637067</v>
      </c>
      <c r="V1965" s="76">
        <f>V1964+T1965</f>
        <v>46.94520956338435</v>
      </c>
    </row>
    <row r="1966" spans="1:22" ht="19" customHeight="1">
      <c r="A1966" s="68" t="s">
        <v>374</v>
      </c>
      <c r="B1966" s="74">
        <v>3</v>
      </c>
      <c r="C1966" s="68" t="s">
        <v>363</v>
      </c>
      <c r="D1966" s="68" t="s">
        <v>364</v>
      </c>
      <c r="E1966" s="75">
        <f>60*F1966*'THAM_SO_MOI'!$C$51/(2*PI()*'THAM_SO_MOI'!$C$26)</f>
        <v>1991.1127953778766</v>
      </c>
      <c r="F1966" s="75">
        <f>'HANH_TRINH'!$F$1647+('THAM_SO_MOI'!$F$51-'HANH_TRINH'!$F$1647)*318/'THAM_SO_MOI'!$C$42</f>
        <v>7.926599973312185</v>
      </c>
      <c r="G1966" s="75">
        <f>3.6*F1966</f>
        <v>28.535759903923868</v>
      </c>
      <c r="H1966" s="75">
        <f>'THAM_SO_MOI'!$D$51</f>
        <v>1.375</v>
      </c>
      <c r="I1966" s="75">
        <f>IF(F1966&gt;'THAM_SO_MOI'!$C$14,'THAM_SO_MOI'!$C$13*(1+F1966^2/1500),'THAM_SO_MOI'!$C$13)</f>
        <v>0.015</v>
      </c>
      <c r="J1966" s="75">
        <f>'THAM_SO_MOI'!$C$40*('THAM_SO_MOI'!$C$23*(E1966/'THAM_SO_MOI'!$C$22)+'THAM_SO_MOI'!$C$24*(E1966/'THAM_SO_MOI'!$C$22)^2-'THAM_SO_MOI'!$C$25*(E1966/'THAM_SO_MOI'!$C$22)^3)</f>
        <v>89.35722096452336</v>
      </c>
      <c r="K1966" s="75">
        <f>'THAM_SO_MOI'!$C$31*J1966/E1966</f>
        <v>428.63448522219704</v>
      </c>
      <c r="L1966" s="75">
        <f>K1966*'THAM_SO_MOI'!$C$51*'THAM_SO_MOI'!$C$17/'THAM_SO_MOI'!$C$26</f>
        <v>9583.928701183206</v>
      </c>
      <c r="M1966" s="75">
        <f>'THAM_SO_MOI'!$C$15*'THAM_SO_MOI'!$C$16*F1966^2</f>
        <v>183.78063737546975</v>
      </c>
      <c r="N1966" s="75">
        <f>'THAM_SO_MOI'!$C$12*I1966</f>
        <v>1130.112</v>
      </c>
      <c r="O1966" s="75">
        <f>M1966+N1966</f>
        <v>1313.8926373754698</v>
      </c>
      <c r="P1966" s="75">
        <f>(MIN(L1966,'THAM_SO_MOI'!$C$41)-O1966)/('THAM_SO_MOI'!$C$11*H1966)</f>
        <v>0.7831473545272477</v>
      </c>
      <c r="Q1966" s="75">
        <f>IF(P1966&gt;0,1/P1966,NA())</f>
        <v>1.2768989057029463</v>
      </c>
      <c r="R1966" s="75">
        <f>F1966-F1965</f>
        <v>0.005028991339517397</v>
      </c>
      <c r="S1966" s="75">
        <f>0.5*(Q1965+Q1966)*R1966</f>
        <v>0.006421610470220863</v>
      </c>
      <c r="T1966" s="75">
        <f>0.5*(F1965*Q1965+F1966*Q1966)*R1966</f>
        <v>0.0508853900264186</v>
      </c>
      <c r="U1966" s="76">
        <f>U1965+S1966</f>
        <v>9.833915505107289</v>
      </c>
      <c r="V1966" s="76">
        <f>V1965+T1966</f>
        <v>46.99609495341077</v>
      </c>
    </row>
    <row r="1967" spans="1:22" ht="19" customHeight="1">
      <c r="A1967" s="68" t="s">
        <v>374</v>
      </c>
      <c r="B1967" s="74">
        <v>3</v>
      </c>
      <c r="C1967" s="68" t="s">
        <v>363</v>
      </c>
      <c r="D1967" s="68" t="s">
        <v>364</v>
      </c>
      <c r="E1967" s="75">
        <f>60*F1967*'THAM_SO_MOI'!$C$51/(2*PI()*'THAM_SO_MOI'!$C$26)</f>
        <v>1992.376046839748</v>
      </c>
      <c r="F1967" s="75">
        <f>'HANH_TRINH'!$F$1647+('THAM_SO_MOI'!$F$51-'HANH_TRINH'!$F$1647)*319/'THAM_SO_MOI'!$C$42</f>
        <v>7.931628964651702</v>
      </c>
      <c r="G1967" s="75">
        <f>3.6*F1967</f>
        <v>28.55386427274613</v>
      </c>
      <c r="H1967" s="75">
        <f>'THAM_SO_MOI'!$D$51</f>
        <v>1.375</v>
      </c>
      <c r="I1967" s="75">
        <f>IF(F1967&gt;'THAM_SO_MOI'!$C$14,'THAM_SO_MOI'!$C$13*(1+F1967^2/1500),'THAM_SO_MOI'!$C$13)</f>
        <v>0.015</v>
      </c>
      <c r="J1967" s="75">
        <f>'THAM_SO_MOI'!$C$40*('THAM_SO_MOI'!$C$23*(E1967/'THAM_SO_MOI'!$C$22)+'THAM_SO_MOI'!$C$24*(E1967/'THAM_SO_MOI'!$C$22)^2-'THAM_SO_MOI'!$C$25*(E1967/'THAM_SO_MOI'!$C$22)^3)</f>
        <v>89.41838509525245</v>
      </c>
      <c r="K1967" s="75">
        <f>'THAM_SO_MOI'!$C$31*J1967/E1967</f>
        <v>428.6559226861223</v>
      </c>
      <c r="L1967" s="75">
        <f>K1967*'THAM_SO_MOI'!$C$51*'THAM_SO_MOI'!$C$17/'THAM_SO_MOI'!$C$26</f>
        <v>9584.408025952625</v>
      </c>
      <c r="M1967" s="75">
        <f>'THAM_SO_MOI'!$C$15*'THAM_SO_MOI'!$C$16*F1967^2</f>
        <v>184.0139087462379</v>
      </c>
      <c r="N1967" s="75">
        <f>'THAM_SO_MOI'!$C$12*I1967</f>
        <v>1130.112</v>
      </c>
      <c r="O1967" s="75">
        <f>M1967+N1967</f>
        <v>1314.1259087462379</v>
      </c>
      <c r="P1967" s="75">
        <f>(MIN(L1967,'THAM_SO_MOI'!$C$41)-O1967)/('THAM_SO_MOI'!$C$11*H1967)</f>
        <v>0.7831706550384838</v>
      </c>
      <c r="Q1967" s="75">
        <f>IF(P1967&gt;0,1/P1967,NA())</f>
        <v>1.2768609160296762</v>
      </c>
      <c r="R1967" s="75">
        <f>F1967-F1966</f>
        <v>0.005028991339517397</v>
      </c>
      <c r="S1967" s="75">
        <f>0.5*(Q1966+Q1967)*R1967</f>
        <v>0.006421418013350426</v>
      </c>
      <c r="T1967" s="75">
        <f>0.5*(F1966*Q1966+F1967*Q1967)*R1967</f>
        <v>0.050916158240841274</v>
      </c>
      <c r="U1967" s="76">
        <f>U1966+S1967</f>
        <v>9.840336923120638</v>
      </c>
      <c r="V1967" s="76">
        <f>V1966+T1967</f>
        <v>47.04701111165161</v>
      </c>
    </row>
    <row r="1968" spans="1:22" ht="19" customHeight="1">
      <c r="A1968" s="68" t="s">
        <v>374</v>
      </c>
      <c r="B1968" s="74">
        <v>3</v>
      </c>
      <c r="C1968" s="68" t="s">
        <v>363</v>
      </c>
      <c r="D1968" s="68" t="s">
        <v>364</v>
      </c>
      <c r="E1968" s="75">
        <f>60*F1968*'THAM_SO_MOI'!$C$51/(2*PI()*'THAM_SO_MOI'!$C$26)</f>
        <v>1993.63929830162</v>
      </c>
      <c r="F1968" s="75">
        <f>'HANH_TRINH'!$F$1647+('THAM_SO_MOI'!$F$51-'HANH_TRINH'!$F$1647)*320/'THAM_SO_MOI'!$C$42</f>
        <v>7.936657955991221</v>
      </c>
      <c r="G1968" s="75">
        <f>3.6*F1968</f>
        <v>28.571968641568397</v>
      </c>
      <c r="H1968" s="75">
        <f>'THAM_SO_MOI'!$D$51</f>
        <v>1.375</v>
      </c>
      <c r="I1968" s="75">
        <f>IF(F1968&gt;'THAM_SO_MOI'!$C$14,'THAM_SO_MOI'!$C$13*(1+F1968^2/1500),'THAM_SO_MOI'!$C$13)</f>
        <v>0.015</v>
      </c>
      <c r="J1968" s="75">
        <f>'THAM_SO_MOI'!$C$40*('THAM_SO_MOI'!$C$23*(E1968/'THAM_SO_MOI'!$C$22)+'THAM_SO_MOI'!$C$24*(E1968/'THAM_SO_MOI'!$C$22)^2-'THAM_SO_MOI'!$C$25*(E1968/'THAM_SO_MOI'!$C$22)^3)</f>
        <v>89.47952258118197</v>
      </c>
      <c r="K1968" s="75">
        <f>'THAM_SO_MOI'!$C$31*J1968/E1968</f>
        <v>428.67720533321705</v>
      </c>
      <c r="L1968" s="75">
        <f>K1968*'THAM_SO_MOI'!$C$51*'THAM_SO_MOI'!$C$17/'THAM_SO_MOI'!$C$26</f>
        <v>9584.883889139932</v>
      </c>
      <c r="M1968" s="75">
        <f>'THAM_SO_MOI'!$C$15*'THAM_SO_MOI'!$C$16*F1968^2</f>
        <v>184.24732806791636</v>
      </c>
      <c r="N1968" s="75">
        <f>'THAM_SO_MOI'!$C$12*I1968</f>
        <v>1130.112</v>
      </c>
      <c r="O1968" s="75">
        <f>M1968+N1968</f>
        <v>1314.3593280679165</v>
      </c>
      <c r="P1968" s="75">
        <f>(MIN(L1968,'THAM_SO_MOI'!$C$41)-O1968)/('THAM_SO_MOI'!$C$11*H1968)</f>
        <v>0.7831936137378803</v>
      </c>
      <c r="Q1968" s="75">
        <f>IF(P1968&gt;0,1/P1968,NA())</f>
        <v>1.2768234858649914</v>
      </c>
      <c r="R1968" s="75">
        <f>F1968-F1967</f>
        <v>0.005028991339518285</v>
      </c>
      <c r="S1968" s="75">
        <f>0.5*(Q1967+Q1968)*R1968</f>
        <v>0.006421228370495607</v>
      </c>
      <c r="T1968" s="75">
        <f>0.5*(F1967*Q1967+F1968*Q1968)*R1968</f>
        <v>0.05094694684633908</v>
      </c>
      <c r="U1968" s="76">
        <f>U1967+S1968</f>
        <v>9.846758151491134</v>
      </c>
      <c r="V1968" s="76">
        <f>V1967+T1968</f>
        <v>47.097958058497944</v>
      </c>
    </row>
    <row r="1969" spans="1:22" ht="19" customHeight="1">
      <c r="A1969" s="68" t="s">
        <v>374</v>
      </c>
      <c r="B1969" s="74">
        <v>3</v>
      </c>
      <c r="C1969" s="68" t="s">
        <v>363</v>
      </c>
      <c r="D1969" s="68" t="s">
        <v>364</v>
      </c>
      <c r="E1969" s="75">
        <f>60*F1969*'THAM_SO_MOI'!$C$51/(2*PI()*'THAM_SO_MOI'!$C$26)</f>
        <v>1994.9025497634914</v>
      </c>
      <c r="F1969" s="75">
        <f>'HANH_TRINH'!$F$1647+('THAM_SO_MOI'!$F$51-'HANH_TRINH'!$F$1647)*321/'THAM_SO_MOI'!$C$42</f>
        <v>7.941686947330738</v>
      </c>
      <c r="G1969" s="75">
        <f>3.6*F1969</f>
        <v>28.590073010390658</v>
      </c>
      <c r="H1969" s="75">
        <f>'THAM_SO_MOI'!$D$51</f>
        <v>1.375</v>
      </c>
      <c r="I1969" s="75">
        <f>IF(F1969&gt;'THAM_SO_MOI'!$C$14,'THAM_SO_MOI'!$C$13*(1+F1969^2/1500),'THAM_SO_MOI'!$C$13)</f>
        <v>0.015</v>
      </c>
      <c r="J1969" s="75">
        <f>'THAM_SO_MOI'!$C$40*('THAM_SO_MOI'!$C$23*(E1969/'THAM_SO_MOI'!$C$22)+'THAM_SO_MOI'!$C$24*(E1969/'THAM_SO_MOI'!$C$22)^2-'THAM_SO_MOI'!$C$25*(E1969/'THAM_SO_MOI'!$C$22)^3)</f>
        <v>89.54063336088254</v>
      </c>
      <c r="K1969" s="75">
        <f>'THAM_SO_MOI'!$C$31*J1969/E1969</f>
        <v>428.6983331634814</v>
      </c>
      <c r="L1969" s="75">
        <f>K1969*'THAM_SO_MOI'!$C$51*'THAM_SO_MOI'!$C$17/'THAM_SO_MOI'!$C$26</f>
        <v>9585.356290745136</v>
      </c>
      <c r="M1969" s="75">
        <f>'THAM_SO_MOI'!$C$15*'THAM_SO_MOI'!$C$16*F1969^2</f>
        <v>184.48089534050501</v>
      </c>
      <c r="N1969" s="75">
        <f>'THAM_SO_MOI'!$C$12*I1969</f>
        <v>1130.112</v>
      </c>
      <c r="O1969" s="75">
        <f>M1969+N1969</f>
        <v>1314.592895340505</v>
      </c>
      <c r="P1969" s="75">
        <f>(MIN(L1969,'THAM_SO_MOI'!$C$41)-O1969)/('THAM_SO_MOI'!$C$11*H1969)</f>
        <v>0.7832162306254387</v>
      </c>
      <c r="Q1969" s="75">
        <f>IF(P1969&gt;0,1/P1969,NA())</f>
        <v>1.2767866151106806</v>
      </c>
      <c r="R1969" s="75">
        <f>F1969-F1968</f>
        <v>0.005028991339517397</v>
      </c>
      <c r="S1969" s="75">
        <f>0.5*(Q1968+Q1969)*R1969</f>
        <v>0.006421041541155401</v>
      </c>
      <c r="T1969" s="75">
        <f>0.5*(F1968*Q1968+F1969*Q1969)*R1969</f>
        <v>0.05097775588138942</v>
      </c>
      <c r="U1969" s="76">
        <f>U1968+S1969</f>
        <v>9.85317919303229</v>
      </c>
      <c r="V1969" s="76">
        <f>V1968+T1969</f>
        <v>47.148935814379335</v>
      </c>
    </row>
    <row r="1970" spans="1:22" ht="19" customHeight="1">
      <c r="A1970" s="68" t="s">
        <v>374</v>
      </c>
      <c r="B1970" s="74">
        <v>3</v>
      </c>
      <c r="C1970" s="68" t="s">
        <v>363</v>
      </c>
      <c r="D1970" s="68" t="s">
        <v>364</v>
      </c>
      <c r="E1970" s="75">
        <f>60*F1970*'THAM_SO_MOI'!$C$51/(2*PI()*'THAM_SO_MOI'!$C$26)</f>
        <v>1996.1658012253633</v>
      </c>
      <c r="F1970" s="75">
        <f>'HANH_TRINH'!$F$1647+('THAM_SO_MOI'!$F$51-'HANH_TRINH'!$F$1647)*322/'THAM_SO_MOI'!$C$42</f>
        <v>7.9467159386702555</v>
      </c>
      <c r="G1970" s="75">
        <f>3.6*F1970</f>
        <v>28.608177379212922</v>
      </c>
      <c r="H1970" s="75">
        <f>'THAM_SO_MOI'!$D$51</f>
        <v>1.375</v>
      </c>
      <c r="I1970" s="75">
        <f>IF(F1970&gt;'THAM_SO_MOI'!$C$14,'THAM_SO_MOI'!$C$13*(1+F1970^2/1500),'THAM_SO_MOI'!$C$13)</f>
        <v>0.015</v>
      </c>
      <c r="J1970" s="75">
        <f>'THAM_SO_MOI'!$C$40*('THAM_SO_MOI'!$C$23*(E1970/'THAM_SO_MOI'!$C$22)+'THAM_SO_MOI'!$C$24*(E1970/'THAM_SO_MOI'!$C$22)^2-'THAM_SO_MOI'!$C$25*(E1970/'THAM_SO_MOI'!$C$22)^3)</f>
        <v>89.60171737292485</v>
      </c>
      <c r="K1970" s="75">
        <f>'THAM_SO_MOI'!$C$31*J1970/E1970</f>
        <v>428.71930617691515</v>
      </c>
      <c r="L1970" s="75">
        <f>K1970*'THAM_SO_MOI'!$C$51*'THAM_SO_MOI'!$C$17/'THAM_SO_MOI'!$C$26</f>
        <v>9585.825230768229</v>
      </c>
      <c r="M1970" s="75">
        <f>'THAM_SO_MOI'!$C$15*'THAM_SO_MOI'!$C$16*F1970^2</f>
        <v>184.71461056400398</v>
      </c>
      <c r="N1970" s="75">
        <f>'THAM_SO_MOI'!$C$12*I1970</f>
        <v>1130.112</v>
      </c>
      <c r="O1970" s="75">
        <f>M1970+N1970</f>
        <v>1314.826610564004</v>
      </c>
      <c r="P1970" s="75">
        <f>(MIN(L1970,'THAM_SO_MOI'!$C$41)-O1970)/('THAM_SO_MOI'!$C$11*H1970)</f>
        <v>0.7832385057011575</v>
      </c>
      <c r="Q1970" s="75">
        <f>IF(P1970&gt;0,1/P1970,NA())</f>
        <v>1.276750303670013</v>
      </c>
      <c r="R1970" s="75">
        <f>F1970-F1969</f>
        <v>0.005028991339517397</v>
      </c>
      <c r="S1970" s="75">
        <f>0.5*(Q1969+Q1970)*R1970</f>
        <v>0.0064208575248430235</v>
      </c>
      <c r="T1970" s="75">
        <f>0.5*(F1969*Q1969+F1970*Q1970)*R1970</f>
        <v>0.05100858538457262</v>
      </c>
      <c r="U1970" s="76">
        <f>U1969+S1970</f>
        <v>9.859600050557132</v>
      </c>
      <c r="V1970" s="76">
        <f>V1969+T1970</f>
        <v>47.19994439976391</v>
      </c>
    </row>
    <row r="1971" spans="1:22" ht="19" customHeight="1">
      <c r="A1971" s="68" t="s">
        <v>374</v>
      </c>
      <c r="B1971" s="74">
        <v>3</v>
      </c>
      <c r="C1971" s="68" t="s">
        <v>363</v>
      </c>
      <c r="D1971" s="68" t="s">
        <v>364</v>
      </c>
      <c r="E1971" s="75">
        <f>60*F1971*'THAM_SO_MOI'!$C$51/(2*PI()*'THAM_SO_MOI'!$C$26)</f>
        <v>1997.429052687235</v>
      </c>
      <c r="F1971" s="75">
        <f>'HANH_TRINH'!$F$1647+('THAM_SO_MOI'!$F$51-'HANH_TRINH'!$F$1647)*323/'THAM_SO_MOI'!$C$42</f>
        <v>7.951744930009774</v>
      </c>
      <c r="G1971" s="75">
        <f>3.6*F1971</f>
        <v>28.626281748035186</v>
      </c>
      <c r="H1971" s="75">
        <f>'THAM_SO_MOI'!$D$51</f>
        <v>1.375</v>
      </c>
      <c r="I1971" s="75">
        <f>IF(F1971&gt;'THAM_SO_MOI'!$C$14,'THAM_SO_MOI'!$C$13*(1+F1971^2/1500),'THAM_SO_MOI'!$C$13)</f>
        <v>0.015</v>
      </c>
      <c r="J1971" s="75">
        <f>'THAM_SO_MOI'!$C$40*('THAM_SO_MOI'!$C$23*(E1971/'THAM_SO_MOI'!$C$22)+'THAM_SO_MOI'!$C$24*(E1971/'THAM_SO_MOI'!$C$22)^2-'THAM_SO_MOI'!$C$25*(E1971/'THAM_SO_MOI'!$C$22)^3)</f>
        <v>89.6627745558795</v>
      </c>
      <c r="K1971" s="75">
        <f>'THAM_SO_MOI'!$C$31*J1971/E1971</f>
        <v>428.7401243735183</v>
      </c>
      <c r="L1971" s="75">
        <f>K1971*'THAM_SO_MOI'!$C$51*'THAM_SO_MOI'!$C$17/'THAM_SO_MOI'!$C$26</f>
        <v>9586.290709209208</v>
      </c>
      <c r="M1971" s="75">
        <f>'THAM_SO_MOI'!$C$15*'THAM_SO_MOI'!$C$16*F1971^2</f>
        <v>184.9484737384132</v>
      </c>
      <c r="N1971" s="75">
        <f>'THAM_SO_MOI'!$C$12*I1971</f>
        <v>1130.112</v>
      </c>
      <c r="O1971" s="75">
        <f>M1971+N1971</f>
        <v>1315.0604737384133</v>
      </c>
      <c r="P1971" s="75">
        <f>(MIN(L1971,'THAM_SO_MOI'!$C$41)-O1971)/('THAM_SO_MOI'!$C$11*H1971)</f>
        <v>0.7832604389650373</v>
      </c>
      <c r="Q1971" s="75">
        <f>IF(P1971&gt;0,1/P1971,NA())</f>
        <v>1.2767145514477305</v>
      </c>
      <c r="R1971" s="75">
        <f>F1971-F1970</f>
        <v>0.005028991339518285</v>
      </c>
      <c r="S1971" s="75">
        <f>0.5*(Q1970+Q1971)*R1971</f>
        <v>0.006420676321075723</v>
      </c>
      <c r="T1971" s="75">
        <f>0.5*(F1970*Q1970+F1971*Q1971)*R1971</f>
        <v>0.051039435394491246</v>
      </c>
      <c r="U1971" s="76">
        <f>U1970+S1971</f>
        <v>9.866020726878208</v>
      </c>
      <c r="V1971" s="76">
        <f>V1970+T1971</f>
        <v>47.2509838351584</v>
      </c>
    </row>
    <row r="1972" spans="1:22" ht="19" customHeight="1">
      <c r="A1972" s="68" t="s">
        <v>374</v>
      </c>
      <c r="B1972" s="74">
        <v>3</v>
      </c>
      <c r="C1972" s="68" t="s">
        <v>363</v>
      </c>
      <c r="D1972" s="68" t="s">
        <v>364</v>
      </c>
      <c r="E1972" s="75">
        <f>60*F1972*'THAM_SO_MOI'!$C$51/(2*PI()*'THAM_SO_MOI'!$C$26)</f>
        <v>1998.6923041491063</v>
      </c>
      <c r="F1972" s="75">
        <f>'HANH_TRINH'!$F$1647+('THAM_SO_MOI'!$F$51-'HANH_TRINH'!$F$1647)*324/'THAM_SO_MOI'!$C$42</f>
        <v>7.956773921349291</v>
      </c>
      <c r="G1972" s="75">
        <f>3.6*F1972</f>
        <v>28.644386116857447</v>
      </c>
      <c r="H1972" s="75">
        <f>'THAM_SO_MOI'!$D$51</f>
        <v>1.375</v>
      </c>
      <c r="I1972" s="75">
        <f>IF(F1972&gt;'THAM_SO_MOI'!$C$14,'THAM_SO_MOI'!$C$13*(1+F1972^2/1500),'THAM_SO_MOI'!$C$13)</f>
        <v>0.015</v>
      </c>
      <c r="J1972" s="75">
        <f>'THAM_SO_MOI'!$C$40*('THAM_SO_MOI'!$C$23*(E1972/'THAM_SO_MOI'!$C$22)+'THAM_SO_MOI'!$C$24*(E1972/'THAM_SO_MOI'!$C$22)^2-'THAM_SO_MOI'!$C$25*(E1972/'THAM_SO_MOI'!$C$22)^3)</f>
        <v>89.72380484831717</v>
      </c>
      <c r="K1972" s="75">
        <f>'THAM_SO_MOI'!$C$31*J1972/E1972</f>
        <v>428.7607877532912</v>
      </c>
      <c r="L1972" s="75">
        <f>K1972*'THAM_SO_MOI'!$C$51*'THAM_SO_MOI'!$C$17/'THAM_SO_MOI'!$C$26</f>
        <v>9586.752726068085</v>
      </c>
      <c r="M1972" s="75">
        <f>'THAM_SO_MOI'!$C$15*'THAM_SO_MOI'!$C$16*F1972^2</f>
        <v>185.18248486373272</v>
      </c>
      <c r="N1972" s="75">
        <f>'THAM_SO_MOI'!$C$12*I1972</f>
        <v>1130.112</v>
      </c>
      <c r="O1972" s="75">
        <f>M1972+N1972</f>
        <v>1315.2944848637328</v>
      </c>
      <c r="P1972" s="75">
        <f>(MIN(L1972,'THAM_SO_MOI'!$C$41)-O1972)/('THAM_SO_MOI'!$C$11*H1972)</f>
        <v>0.7832820304170789</v>
      </c>
      <c r="Q1972" s="75">
        <f>IF(P1972&gt;0,1/P1972,NA())</f>
        <v>1.2766793583500493</v>
      </c>
      <c r="R1972" s="75">
        <f>F1972-F1971</f>
        <v>0.005028991339517397</v>
      </c>
      <c r="S1972" s="75">
        <f>0.5*(Q1971+Q1972)*R1972</f>
        <v>0.006420497929374751</v>
      </c>
      <c r="T1972" s="75">
        <f>0.5*(F1971*Q1971+F1972*Q1972)*R1972</f>
        <v>0.05107030594977003</v>
      </c>
      <c r="U1972" s="76">
        <f>U1971+S1972</f>
        <v>9.872441224807583</v>
      </c>
      <c r="V1972" s="76">
        <f>V1971+T1972</f>
        <v>47.30205414110817</v>
      </c>
    </row>
    <row r="1973" spans="1:22" ht="19" customHeight="1">
      <c r="A1973" s="68" t="s">
        <v>374</v>
      </c>
      <c r="B1973" s="74">
        <v>3</v>
      </c>
      <c r="C1973" s="68" t="s">
        <v>363</v>
      </c>
      <c r="D1973" s="68" t="s">
        <v>364</v>
      </c>
      <c r="E1973" s="75">
        <f>60*F1973*'THAM_SO_MOI'!$C$51/(2*PI()*'THAM_SO_MOI'!$C$26)</f>
        <v>1999.955555610978</v>
      </c>
      <c r="F1973" s="75">
        <f>'HANH_TRINH'!$F$1647+('THAM_SO_MOI'!$F$51-'HANH_TRINH'!$F$1647)*325/'THAM_SO_MOI'!$C$42</f>
        <v>7.961802912688809</v>
      </c>
      <c r="G1973" s="75">
        <f>3.6*F1973</f>
        <v>28.66249048567971</v>
      </c>
      <c r="H1973" s="75">
        <f>'THAM_SO_MOI'!$D$51</f>
        <v>1.375</v>
      </c>
      <c r="I1973" s="75">
        <f>IF(F1973&gt;'THAM_SO_MOI'!$C$14,'THAM_SO_MOI'!$C$13*(1+F1973^2/1500),'THAM_SO_MOI'!$C$13)</f>
        <v>0.015</v>
      </c>
      <c r="J1973" s="75">
        <f>'THAM_SO_MOI'!$C$40*('THAM_SO_MOI'!$C$23*(E1973/'THAM_SO_MOI'!$C$22)+'THAM_SO_MOI'!$C$24*(E1973/'THAM_SO_MOI'!$C$22)^2-'THAM_SO_MOI'!$C$25*(E1973/'THAM_SO_MOI'!$C$22)^3)</f>
        <v>89.78480818880851</v>
      </c>
      <c r="K1973" s="75">
        <f>'THAM_SO_MOI'!$C$31*J1973/E1973</f>
        <v>428.7812963162334</v>
      </c>
      <c r="L1973" s="75">
        <f>K1973*'THAM_SO_MOI'!$C$51*'THAM_SO_MOI'!$C$17/'THAM_SO_MOI'!$C$26</f>
        <v>9587.211281344851</v>
      </c>
      <c r="M1973" s="75">
        <f>'THAM_SO_MOI'!$C$15*'THAM_SO_MOI'!$C$16*F1973^2</f>
        <v>185.41664393996248</v>
      </c>
      <c r="N1973" s="75">
        <f>'THAM_SO_MOI'!$C$12*I1973</f>
        <v>1130.112</v>
      </c>
      <c r="O1973" s="75">
        <f>M1973+N1973</f>
        <v>1315.5286439399626</v>
      </c>
      <c r="P1973" s="75">
        <f>(MIN(L1973,'THAM_SO_MOI'!$C$41)-O1973)/('THAM_SO_MOI'!$C$11*H1973)</f>
        <v>0.783303280057281</v>
      </c>
      <c r="Q1973" s="75">
        <f>IF(P1973&gt;0,1/P1973,NA())</f>
        <v>1.2766447242846635</v>
      </c>
      <c r="R1973" s="75">
        <f>F1973-F1972</f>
        <v>0.005028991339517397</v>
      </c>
      <c r="S1973" s="75">
        <f>0.5*(Q1972+Q1973)*R1973</f>
        <v>0.006420322349275587</v>
      </c>
      <c r="T1973" s="75">
        <f>0.5*(F1972*Q1972+F1973*Q1973)*R1973</f>
        <v>0.0511011970891373</v>
      </c>
      <c r="U1973" s="76">
        <f>U1972+S1973</f>
        <v>9.878861547156859</v>
      </c>
      <c r="V1973" s="76">
        <f>V1972+T1973</f>
        <v>47.35315533819731</v>
      </c>
    </row>
    <row r="1974" spans="1:22" ht="19" customHeight="1">
      <c r="A1974" s="68" t="s">
        <v>374</v>
      </c>
      <c r="B1974" s="74">
        <v>3</v>
      </c>
      <c r="C1974" s="68" t="s">
        <v>363</v>
      </c>
      <c r="D1974" s="68" t="s">
        <v>364</v>
      </c>
      <c r="E1974" s="75">
        <f>60*F1974*'THAM_SO_MOI'!$C$51/(2*PI()*'THAM_SO_MOI'!$C$26)</f>
        <v>2001.2188070728498</v>
      </c>
      <c r="F1974" s="75">
        <f>'HANH_TRINH'!$F$1647+('THAM_SO_MOI'!$F$51-'HANH_TRINH'!$F$1647)*326/'THAM_SO_MOI'!$C$42</f>
        <v>7.966831904028327</v>
      </c>
      <c r="G1974" s="75">
        <f>3.6*F1974</f>
        <v>28.680594854501976</v>
      </c>
      <c r="H1974" s="75">
        <f>'THAM_SO_MOI'!$D$51</f>
        <v>1.375</v>
      </c>
      <c r="I1974" s="75">
        <f>IF(F1974&gt;'THAM_SO_MOI'!$C$14,'THAM_SO_MOI'!$C$13*(1+F1974^2/1500),'THAM_SO_MOI'!$C$13)</f>
        <v>0.015</v>
      </c>
      <c r="J1974" s="75">
        <f>'THAM_SO_MOI'!$C$40*('THAM_SO_MOI'!$C$23*(E1974/'THAM_SO_MOI'!$C$22)+'THAM_SO_MOI'!$C$24*(E1974/'THAM_SO_MOI'!$C$22)^2-'THAM_SO_MOI'!$C$25*(E1974/'THAM_SO_MOI'!$C$22)^3)</f>
        <v>89.84578451592417</v>
      </c>
      <c r="K1974" s="75">
        <f>'THAM_SO_MOI'!$C$31*J1974/E1974</f>
        <v>428.8016500623451</v>
      </c>
      <c r="L1974" s="75">
        <f>K1974*'THAM_SO_MOI'!$C$51*'THAM_SO_MOI'!$C$17/'THAM_SO_MOI'!$C$26</f>
        <v>9587.666375039507</v>
      </c>
      <c r="M1974" s="75">
        <f>'THAM_SO_MOI'!$C$15*'THAM_SO_MOI'!$C$16*F1974^2</f>
        <v>185.6509509671026</v>
      </c>
      <c r="N1974" s="75">
        <f>'THAM_SO_MOI'!$C$12*I1974</f>
        <v>1130.112</v>
      </c>
      <c r="O1974" s="75">
        <f>M1974+N1974</f>
        <v>1315.7629509671026</v>
      </c>
      <c r="P1974" s="75">
        <f>(MIN(L1974,'THAM_SO_MOI'!$C$41)-O1974)/('THAM_SO_MOI'!$C$11*H1974)</f>
        <v>0.7833241878856443</v>
      </c>
      <c r="Q1974" s="75">
        <f>IF(P1974&gt;0,1/P1974,NA())</f>
        <v>1.2766106491607376</v>
      </c>
      <c r="R1974" s="75">
        <f>F1974-F1973</f>
        <v>0.005028991339518285</v>
      </c>
      <c r="S1974" s="75">
        <f>0.5*(Q1973+Q1974)*R1974</f>
        <v>0.006420149580317723</v>
      </c>
      <c r="T1974" s="75">
        <f>0.5*(F1973*Q1973+F1974*Q1974)*R1974</f>
        <v>0.051132108851344</v>
      </c>
      <c r="U1974" s="76">
        <f>U1973+S1974</f>
        <v>9.885281696737177</v>
      </c>
      <c r="V1974" s="76">
        <f>V1973+T1974</f>
        <v>47.40428744704865</v>
      </c>
    </row>
    <row r="1975" spans="1:22" ht="19" customHeight="1">
      <c r="A1975" s="68" t="s">
        <v>374</v>
      </c>
      <c r="B1975" s="74">
        <v>3</v>
      </c>
      <c r="C1975" s="68" t="s">
        <v>363</v>
      </c>
      <c r="D1975" s="68" t="s">
        <v>364</v>
      </c>
      <c r="E1975" s="75">
        <f>60*F1975*'THAM_SO_MOI'!$C$51/(2*PI()*'THAM_SO_MOI'!$C$26)</f>
        <v>2002.4820585347215</v>
      </c>
      <c r="F1975" s="75">
        <f>'HANH_TRINH'!$F$1647+('THAM_SO_MOI'!$F$51-'HANH_TRINH'!$F$1647)*327/'THAM_SO_MOI'!$C$42</f>
        <v>7.971860895367844</v>
      </c>
      <c r="G1975" s="75">
        <f>3.6*F1975</f>
        <v>28.69869922332424</v>
      </c>
      <c r="H1975" s="75">
        <f>'THAM_SO_MOI'!$D$51</f>
        <v>1.375</v>
      </c>
      <c r="I1975" s="75">
        <f>IF(F1975&gt;'THAM_SO_MOI'!$C$14,'THAM_SO_MOI'!$C$13*(1+F1975^2/1500),'THAM_SO_MOI'!$C$13)</f>
        <v>0.015</v>
      </c>
      <c r="J1975" s="75">
        <f>'THAM_SO_MOI'!$C$40*('THAM_SO_MOI'!$C$23*(E1975/'THAM_SO_MOI'!$C$22)+'THAM_SO_MOI'!$C$24*(E1975/'THAM_SO_MOI'!$C$22)^2-'THAM_SO_MOI'!$C$25*(E1975/'THAM_SO_MOI'!$C$22)^3)</f>
        <v>89.90673376823482</v>
      </c>
      <c r="K1975" s="75">
        <f>'THAM_SO_MOI'!$C$31*J1975/E1975</f>
        <v>428.82184899162644</v>
      </c>
      <c r="L1975" s="75">
        <f>K1975*'THAM_SO_MOI'!$C$51*'THAM_SO_MOI'!$C$17/'THAM_SO_MOI'!$C$26</f>
        <v>9588.118007152056</v>
      </c>
      <c r="M1975" s="75">
        <f>'THAM_SO_MOI'!$C$15*'THAM_SO_MOI'!$C$16*F1975^2</f>
        <v>185.8854059451529</v>
      </c>
      <c r="N1975" s="75">
        <f>'THAM_SO_MOI'!$C$12*I1975</f>
        <v>1130.112</v>
      </c>
      <c r="O1975" s="75">
        <f>M1975+N1975</f>
        <v>1315.9974059451529</v>
      </c>
      <c r="P1975" s="75">
        <f>(MIN(L1975,'THAM_SO_MOI'!$C$41)-O1975)/('THAM_SO_MOI'!$C$11*H1975)</f>
        <v>0.7833447539021687</v>
      </c>
      <c r="Q1975" s="75">
        <f>IF(P1975&gt;0,1/P1975,NA())</f>
        <v>1.2765771328889108</v>
      </c>
      <c r="R1975" s="75">
        <f>F1975-F1974</f>
        <v>0.005028991339517397</v>
      </c>
      <c r="S1975" s="75">
        <f>0.5*(Q1974+Q1975)*R1975</f>
        <v>0.006419979622044656</v>
      </c>
      <c r="T1975" s="75">
        <f>0.5*(F1974*Q1974+F1975*Q1975)*R1975</f>
        <v>0.05116304127516371</v>
      </c>
      <c r="U1975" s="76">
        <f>U1974+S1975</f>
        <v>9.891701676359222</v>
      </c>
      <c r="V1975" s="76">
        <f>V1974+T1975</f>
        <v>47.45545048832382</v>
      </c>
    </row>
    <row r="1976" spans="1:22" ht="19" customHeight="1">
      <c r="A1976" s="68" t="s">
        <v>374</v>
      </c>
      <c r="B1976" s="74">
        <v>3</v>
      </c>
      <c r="C1976" s="68" t="s">
        <v>363</v>
      </c>
      <c r="D1976" s="68" t="s">
        <v>364</v>
      </c>
      <c r="E1976" s="75">
        <f>60*F1976*'THAM_SO_MOI'!$C$51/(2*PI()*'THAM_SO_MOI'!$C$26)</f>
        <v>2003.7453099965926</v>
      </c>
      <c r="F1976" s="75">
        <f>'HANH_TRINH'!$F$1647+('THAM_SO_MOI'!$F$51-'HANH_TRINH'!$F$1647)*328/'THAM_SO_MOI'!$C$42</f>
        <v>7.976889886707362</v>
      </c>
      <c r="G1976" s="75">
        <f>3.6*F1976</f>
        <v>28.7168035921465</v>
      </c>
      <c r="H1976" s="75">
        <f>'THAM_SO_MOI'!$D$51</f>
        <v>1.375</v>
      </c>
      <c r="I1976" s="75">
        <f>IF(F1976&gt;'THAM_SO_MOI'!$C$14,'THAM_SO_MOI'!$C$13*(1+F1976^2/1500),'THAM_SO_MOI'!$C$13)</f>
        <v>0.015</v>
      </c>
      <c r="J1976" s="75">
        <f>'THAM_SO_MOI'!$C$40*('THAM_SO_MOI'!$C$23*(E1976/'THAM_SO_MOI'!$C$22)+'THAM_SO_MOI'!$C$24*(E1976/'THAM_SO_MOI'!$C$22)^2-'THAM_SO_MOI'!$C$25*(E1976/'THAM_SO_MOI'!$C$22)^3)</f>
        <v>89.967655884311</v>
      </c>
      <c r="K1976" s="75">
        <f>'THAM_SO_MOI'!$C$31*J1976/E1976</f>
        <v>428.84189310407703</v>
      </c>
      <c r="L1976" s="75">
        <f>K1976*'THAM_SO_MOI'!$C$51*'THAM_SO_MOI'!$C$17/'THAM_SO_MOI'!$C$26</f>
        <v>9588.56617768249</v>
      </c>
      <c r="M1976" s="75">
        <f>'THAM_SO_MOI'!$C$15*'THAM_SO_MOI'!$C$16*F1976^2</f>
        <v>186.12000887411352</v>
      </c>
      <c r="N1976" s="75">
        <f>'THAM_SO_MOI'!$C$12*I1976</f>
        <v>1130.112</v>
      </c>
      <c r="O1976" s="75">
        <f>M1976+N1976</f>
        <v>1316.2320088741135</v>
      </c>
      <c r="P1976" s="75">
        <f>(MIN(L1976,'THAM_SO_MOI'!$C$41)-O1976)/('THAM_SO_MOI'!$C$11*H1976)</f>
        <v>0.783364978106854</v>
      </c>
      <c r="Q1976" s="75">
        <f>IF(P1976&gt;0,1/P1976,NA())</f>
        <v>1.2765441753812947</v>
      </c>
      <c r="R1976" s="75">
        <f>F1976-F1975</f>
        <v>0.005028991339517397</v>
      </c>
      <c r="S1976" s="75">
        <f>0.5*(Q1975+Q1976)*R1976</f>
        <v>0.006419812474014096</v>
      </c>
      <c r="T1976" s="75">
        <f>0.5*(F1975*Q1975+F1976*Q1976)*R1976</f>
        <v>0.051193994399474176</v>
      </c>
      <c r="U1976" s="76">
        <f>U1975+S1976</f>
        <v>9.898121488833237</v>
      </c>
      <c r="V1976" s="76">
        <f>V1975+T1976</f>
        <v>47.506644482723296</v>
      </c>
    </row>
    <row r="1977" spans="1:22" ht="19" customHeight="1">
      <c r="A1977" s="68" t="s">
        <v>374</v>
      </c>
      <c r="B1977" s="74">
        <v>3</v>
      </c>
      <c r="C1977" s="68" t="s">
        <v>363</v>
      </c>
      <c r="D1977" s="68" t="s">
        <v>364</v>
      </c>
      <c r="E1977" s="75">
        <f>60*F1977*'THAM_SO_MOI'!$C$51/(2*PI()*'THAM_SO_MOI'!$C$26)</f>
        <v>2005.0085614584646</v>
      </c>
      <c r="F1977" s="75">
        <f>'HANH_TRINH'!$F$1647+('THAM_SO_MOI'!$F$51-'HANH_TRINH'!$F$1647)*329/'THAM_SO_MOI'!$C$42</f>
        <v>7.98191887804688</v>
      </c>
      <c r="G1977" s="75">
        <f>3.6*F1977</f>
        <v>28.73490796096877</v>
      </c>
      <c r="H1977" s="75">
        <f>'THAM_SO_MOI'!$D$51</f>
        <v>1.375</v>
      </c>
      <c r="I1977" s="75">
        <f>IF(F1977&gt;'THAM_SO_MOI'!$C$14,'THAM_SO_MOI'!$C$13*(1+F1977^2/1500),'THAM_SO_MOI'!$C$13)</f>
        <v>0.015</v>
      </c>
      <c r="J1977" s="75">
        <f>'THAM_SO_MOI'!$C$40*('THAM_SO_MOI'!$C$23*(E1977/'THAM_SO_MOI'!$C$22)+'THAM_SO_MOI'!$C$24*(E1977/'THAM_SO_MOI'!$C$22)^2-'THAM_SO_MOI'!$C$25*(E1977/'THAM_SO_MOI'!$C$22)^3)</f>
        <v>90.02855080272353</v>
      </c>
      <c r="K1977" s="75">
        <f>'THAM_SO_MOI'!$C$31*J1977/E1977</f>
        <v>428.86178239969723</v>
      </c>
      <c r="L1977" s="75">
        <f>K1977*'THAM_SO_MOI'!$C$51*'THAM_SO_MOI'!$C$17/'THAM_SO_MOI'!$C$26</f>
        <v>9589.01088663082</v>
      </c>
      <c r="M1977" s="75">
        <f>'THAM_SO_MOI'!$C$15*'THAM_SO_MOI'!$C$16*F1977^2</f>
        <v>186.3547597539844</v>
      </c>
      <c r="N1977" s="75">
        <f>'THAM_SO_MOI'!$C$12*I1977</f>
        <v>1130.112</v>
      </c>
      <c r="O1977" s="75">
        <f>M1977+N1977</f>
        <v>1316.4667597539844</v>
      </c>
      <c r="P1977" s="75">
        <f>(MIN(L1977,'THAM_SO_MOI'!$C$41)-O1977)/('THAM_SO_MOI'!$C$11*H1977)</f>
        <v>0.7833848604997005</v>
      </c>
      <c r="Q1977" s="75">
        <f>IF(P1977&gt;0,1/P1977,NA())</f>
        <v>1.2765117765514724</v>
      </c>
      <c r="R1977" s="75">
        <f>F1977-F1976</f>
        <v>0.005028991339518285</v>
      </c>
      <c r="S1977" s="75">
        <f>0.5*(Q1976+Q1977)*R1977</f>
        <v>0.006419648135787748</v>
      </c>
      <c r="T1977" s="75">
        <f>0.5*(F1976*Q1976+F1977*Q1977)*R1977</f>
        <v>0.05122496826317616</v>
      </c>
      <c r="U1977" s="76">
        <f>U1976+S1977</f>
        <v>9.904541136969025</v>
      </c>
      <c r="V1977" s="76">
        <f>V1976+T1977</f>
        <v>47.55786945098647</v>
      </c>
    </row>
    <row r="1978" spans="1:22" ht="19" customHeight="1">
      <c r="A1978" s="68" t="s">
        <v>374</v>
      </c>
      <c r="B1978" s="74">
        <v>3</v>
      </c>
      <c r="C1978" s="68" t="s">
        <v>363</v>
      </c>
      <c r="D1978" s="68" t="s">
        <v>364</v>
      </c>
      <c r="E1978" s="75">
        <f>60*F1978*'THAM_SO_MOI'!$C$51/(2*PI()*'THAM_SO_MOI'!$C$26)</f>
        <v>2006.271812920336</v>
      </c>
      <c r="F1978" s="75">
        <f>'HANH_TRINH'!$F$1647+('THAM_SO_MOI'!$F$51-'HANH_TRINH'!$F$1647)*330/'THAM_SO_MOI'!$C$42</f>
        <v>7.986947869386397</v>
      </c>
      <c r="G1978" s="75">
        <f>3.6*F1978</f>
        <v>28.75301232979103</v>
      </c>
      <c r="H1978" s="75">
        <f>'THAM_SO_MOI'!$D$51</f>
        <v>1.375</v>
      </c>
      <c r="I1978" s="75">
        <f>IF(F1978&gt;'THAM_SO_MOI'!$C$14,'THAM_SO_MOI'!$C$13*(1+F1978^2/1500),'THAM_SO_MOI'!$C$13)</f>
        <v>0.015</v>
      </c>
      <c r="J1978" s="75">
        <f>'THAM_SO_MOI'!$C$40*('THAM_SO_MOI'!$C$23*(E1978/'THAM_SO_MOI'!$C$22)+'THAM_SO_MOI'!$C$24*(E1978/'THAM_SO_MOI'!$C$22)^2-'THAM_SO_MOI'!$C$25*(E1978/'THAM_SO_MOI'!$C$22)^3)</f>
        <v>90.08941846204297</v>
      </c>
      <c r="K1978" s="75">
        <f>'THAM_SO_MOI'!$C$31*J1978/E1978</f>
        <v>428.8815168784871</v>
      </c>
      <c r="L1978" s="75">
        <f>K1978*'THAM_SO_MOI'!$C$51*'THAM_SO_MOI'!$C$17/'THAM_SO_MOI'!$C$26</f>
        <v>9589.452133997045</v>
      </c>
      <c r="M1978" s="75">
        <f>'THAM_SO_MOI'!$C$15*'THAM_SO_MOI'!$C$16*F1978^2</f>
        <v>186.58965858476557</v>
      </c>
      <c r="N1978" s="75">
        <f>'THAM_SO_MOI'!$C$12*I1978</f>
        <v>1130.112</v>
      </c>
      <c r="O1978" s="75">
        <f>M1978+N1978</f>
        <v>1316.7016585847657</v>
      </c>
      <c r="P1978" s="75">
        <f>(MIN(L1978,'THAM_SO_MOI'!$C$41)-O1978)/('THAM_SO_MOI'!$C$11*H1978)</f>
        <v>0.7834044010807082</v>
      </c>
      <c r="Q1978" s="75">
        <f>IF(P1978&gt;0,1/P1978,NA())</f>
        <v>1.2764799363144983</v>
      </c>
      <c r="R1978" s="75">
        <f>F1978-F1977</f>
        <v>0.005028991339517397</v>
      </c>
      <c r="S1978" s="75">
        <f>0.5*(Q1977+Q1978)*R1978</f>
        <v>0.006419486606931326</v>
      </c>
      <c r="T1978" s="75">
        <f>0.5*(F1977*Q1977+F1978*Q1978)*R1978</f>
        <v>0.05125596290519357</v>
      </c>
      <c r="U1978" s="76">
        <f>U1977+S1978</f>
        <v>9.910960623575956</v>
      </c>
      <c r="V1978" s="76">
        <f>V1977+T1978</f>
        <v>47.60912541389167</v>
      </c>
    </row>
    <row r="1979" spans="1:22" ht="19" customHeight="1">
      <c r="A1979" s="68" t="s">
        <v>374</v>
      </c>
      <c r="B1979" s="74">
        <v>3</v>
      </c>
      <c r="C1979" s="68" t="s">
        <v>363</v>
      </c>
      <c r="D1979" s="68" t="s">
        <v>364</v>
      </c>
      <c r="E1979" s="75">
        <f>60*F1979*'THAM_SO_MOI'!$C$51/(2*PI()*'THAM_SO_MOI'!$C$26)</f>
        <v>2007.5350643822078</v>
      </c>
      <c r="F1979" s="75">
        <f>'HANH_TRINH'!$F$1647+('THAM_SO_MOI'!$F$51-'HANH_TRINH'!$F$1647)*331/'THAM_SO_MOI'!$C$42</f>
        <v>7.991976860725915</v>
      </c>
      <c r="G1979" s="75">
        <f>3.6*F1979</f>
        <v>28.771116698613294</v>
      </c>
      <c r="H1979" s="75">
        <f>'THAM_SO_MOI'!$D$51</f>
        <v>1.375</v>
      </c>
      <c r="I1979" s="75">
        <f>IF(F1979&gt;'THAM_SO_MOI'!$C$14,'THAM_SO_MOI'!$C$13*(1+F1979^2/1500),'THAM_SO_MOI'!$C$13)</f>
        <v>0.015</v>
      </c>
      <c r="J1979" s="75">
        <f>'THAM_SO_MOI'!$C$40*('THAM_SO_MOI'!$C$23*(E1979/'THAM_SO_MOI'!$C$22)+'THAM_SO_MOI'!$C$24*(E1979/'THAM_SO_MOI'!$C$22)^2-'THAM_SO_MOI'!$C$25*(E1979/'THAM_SO_MOI'!$C$22)^3)</f>
        <v>90.15025880083998</v>
      </c>
      <c r="K1979" s="75">
        <f>'THAM_SO_MOI'!$C$31*J1979/E1979</f>
        <v>428.9010965404463</v>
      </c>
      <c r="L1979" s="75">
        <f>K1979*'THAM_SO_MOI'!$C$51*'THAM_SO_MOI'!$C$17/'THAM_SO_MOI'!$C$26</f>
        <v>9589.889919781155</v>
      </c>
      <c r="M1979" s="75">
        <f>'THAM_SO_MOI'!$C$15*'THAM_SO_MOI'!$C$16*F1979^2</f>
        <v>186.82470536645695</v>
      </c>
      <c r="N1979" s="75">
        <f>'THAM_SO_MOI'!$C$12*I1979</f>
        <v>1130.112</v>
      </c>
      <c r="O1979" s="75">
        <f>M1979+N1979</f>
        <v>1316.936705366457</v>
      </c>
      <c r="P1979" s="75">
        <f>(MIN(L1979,'THAM_SO_MOI'!$C$41)-O1979)/('THAM_SO_MOI'!$C$11*H1979)</f>
        <v>0.7834235998498766</v>
      </c>
      <c r="Q1979" s="75">
        <f>IF(P1979&gt;0,1/P1979,NA())</f>
        <v>1.2764486545868987</v>
      </c>
      <c r="R1979" s="75">
        <f>F1979-F1978</f>
        <v>0.005028991339517397</v>
      </c>
      <c r="S1979" s="75">
        <f>0.5*(Q1978+Q1979)*R1979</f>
        <v>0.006419327887024738</v>
      </c>
      <c r="T1979" s="75">
        <f>0.5*(F1978*Q1978+F1979*Q1979)*R1979</f>
        <v>0.05128697836455498</v>
      </c>
      <c r="U1979" s="76">
        <f>U1978+S1979</f>
        <v>9.917379951462982</v>
      </c>
      <c r="V1979" s="76">
        <f>V1978+T1979</f>
        <v>47.66041239225623</v>
      </c>
    </row>
    <row r="1980" spans="1:22" ht="19" customHeight="1">
      <c r="A1980" s="68" t="s">
        <v>374</v>
      </c>
      <c r="B1980" s="74">
        <v>3</v>
      </c>
      <c r="C1980" s="68" t="s">
        <v>363</v>
      </c>
      <c r="D1980" s="68" t="s">
        <v>364</v>
      </c>
      <c r="E1980" s="75">
        <f>60*F1980*'THAM_SO_MOI'!$C$51/(2*PI()*'THAM_SO_MOI'!$C$26)</f>
        <v>2008.7983158440795</v>
      </c>
      <c r="F1980" s="75">
        <f>'HANH_TRINH'!$F$1647+('THAM_SO_MOI'!$F$51-'HANH_TRINH'!$F$1647)*332/'THAM_SO_MOI'!$C$42</f>
        <v>7.997005852065433</v>
      </c>
      <c r="G1980" s="75">
        <f>3.6*F1980</f>
        <v>28.78922106743556</v>
      </c>
      <c r="H1980" s="75">
        <f>'THAM_SO_MOI'!$D$51</f>
        <v>1.375</v>
      </c>
      <c r="I1980" s="75">
        <f>IF(F1980&gt;'THAM_SO_MOI'!$C$14,'THAM_SO_MOI'!$C$13*(1+F1980^2/1500),'THAM_SO_MOI'!$C$13)</f>
        <v>0.015</v>
      </c>
      <c r="J1980" s="75">
        <f>'THAM_SO_MOI'!$C$40*('THAM_SO_MOI'!$C$23*(E1980/'THAM_SO_MOI'!$C$22)+'THAM_SO_MOI'!$C$24*(E1980/'THAM_SO_MOI'!$C$22)^2-'THAM_SO_MOI'!$C$25*(E1980/'THAM_SO_MOI'!$C$22)^3)</f>
        <v>90.21107175768519</v>
      </c>
      <c r="K1980" s="75">
        <f>'THAM_SO_MOI'!$C$31*J1980/E1980</f>
        <v>428.920521385575</v>
      </c>
      <c r="L1980" s="75">
        <f>K1980*'THAM_SO_MOI'!$C$51*'THAM_SO_MOI'!$C$17/'THAM_SO_MOI'!$C$26</f>
        <v>9590.324243983157</v>
      </c>
      <c r="M1980" s="75">
        <f>'THAM_SO_MOI'!$C$15*'THAM_SO_MOI'!$C$16*F1980^2</f>
        <v>187.05990009905872</v>
      </c>
      <c r="N1980" s="75">
        <f>'THAM_SO_MOI'!$C$12*I1980</f>
        <v>1130.112</v>
      </c>
      <c r="O1980" s="75">
        <f>M1980+N1980</f>
        <v>1317.1719000990588</v>
      </c>
      <c r="P1980" s="75">
        <f>(MIN(L1980,'THAM_SO_MOI'!$C$41)-O1980)/('THAM_SO_MOI'!$C$11*H1980)</f>
        <v>0.7834424568072064</v>
      </c>
      <c r="Q1980" s="75">
        <f>IF(P1980&gt;0,1/P1980,NA())</f>
        <v>1.2764179312866692</v>
      </c>
      <c r="R1980" s="75">
        <f>F1980-F1979</f>
        <v>0.005028991339518285</v>
      </c>
      <c r="S1980" s="75">
        <f>0.5*(Q1979+Q1980)*R1980</f>
        <v>0.006419171975651893</v>
      </c>
      <c r="T1980" s="75">
        <f>0.5*(F1979*Q1979+F1980*Q1980)*R1980</f>
        <v>0.051318014680312544</v>
      </c>
      <c r="U1980" s="76">
        <f>U1979+S1980</f>
        <v>9.923799123438634</v>
      </c>
      <c r="V1980" s="76">
        <f>V1979+T1980</f>
        <v>47.71173040693654</v>
      </c>
    </row>
    <row r="1981" spans="1:22" ht="19" customHeight="1">
      <c r="A1981" s="68" t="s">
        <v>374</v>
      </c>
      <c r="B1981" s="74">
        <v>3</v>
      </c>
      <c r="C1981" s="68" t="s">
        <v>363</v>
      </c>
      <c r="D1981" s="68" t="s">
        <v>364</v>
      </c>
      <c r="E1981" s="75">
        <f>60*F1981*'THAM_SO_MOI'!$C$51/(2*PI()*'THAM_SO_MOI'!$C$26)</f>
        <v>2010.0615673059508</v>
      </c>
      <c r="F1981" s="75">
        <f>'HANH_TRINH'!$F$1647+('THAM_SO_MOI'!$F$51-'HANH_TRINH'!$F$1647)*333/'THAM_SO_MOI'!$C$42</f>
        <v>8.00203484340495</v>
      </c>
      <c r="G1981" s="75">
        <f>3.6*F1981</f>
        <v>28.80732543625782</v>
      </c>
      <c r="H1981" s="75">
        <f>'THAM_SO_MOI'!$D$51</f>
        <v>1.375</v>
      </c>
      <c r="I1981" s="75">
        <f>IF(F1981&gt;'THAM_SO_MOI'!$C$14,'THAM_SO_MOI'!$C$13*(1+F1981^2/1500),'THAM_SO_MOI'!$C$13)</f>
        <v>0.015</v>
      </c>
      <c r="J1981" s="75">
        <f>'THAM_SO_MOI'!$C$40*('THAM_SO_MOI'!$C$23*(E1981/'THAM_SO_MOI'!$C$22)+'THAM_SO_MOI'!$C$24*(E1981/'THAM_SO_MOI'!$C$22)^2-'THAM_SO_MOI'!$C$25*(E1981/'THAM_SO_MOI'!$C$22)^3)</f>
        <v>90.27185727114923</v>
      </c>
      <c r="K1981" s="75">
        <f>'THAM_SO_MOI'!$C$31*J1981/E1981</f>
        <v>428.9397914138731</v>
      </c>
      <c r="L1981" s="75">
        <f>K1981*'THAM_SO_MOI'!$C$51*'THAM_SO_MOI'!$C$17/'THAM_SO_MOI'!$C$26</f>
        <v>9590.755106603048</v>
      </c>
      <c r="M1981" s="75">
        <f>'THAM_SO_MOI'!$C$15*'THAM_SO_MOI'!$C$16*F1981^2</f>
        <v>187.29524278257063</v>
      </c>
      <c r="N1981" s="75">
        <f>'THAM_SO_MOI'!$C$12*I1981</f>
        <v>1130.112</v>
      </c>
      <c r="O1981" s="75">
        <f>M1981+N1981</f>
        <v>1317.4072427825706</v>
      </c>
      <c r="P1981" s="75">
        <f>(MIN(L1981,'THAM_SO_MOI'!$C$41)-O1981)/('THAM_SO_MOI'!$C$11*H1981)</f>
        <v>0.7834609719526966</v>
      </c>
      <c r="Q1981" s="75">
        <f>IF(P1981&gt;0,1/P1981,NA())</f>
        <v>1.2763877663332763</v>
      </c>
      <c r="R1981" s="75">
        <f>F1981-F1980</f>
        <v>0.005028991339516509</v>
      </c>
      <c r="S1981" s="75">
        <f>0.5*(Q1980+Q1981)*R1981</f>
        <v>0.006419018872399553</v>
      </c>
      <c r="T1981" s="75">
        <f>0.5*(F1980*Q1980+F1981*Q1981)*R1981</f>
        <v>0.051349071891532816</v>
      </c>
      <c r="U1981" s="76">
        <f>U1980+S1981</f>
        <v>9.930218142311034</v>
      </c>
      <c r="V1981" s="76">
        <f>V1980+T1981</f>
        <v>47.763079478828075</v>
      </c>
    </row>
    <row r="1982" spans="1:22" ht="19" customHeight="1">
      <c r="A1982" s="68" t="s">
        <v>374</v>
      </c>
      <c r="B1982" s="74">
        <v>3</v>
      </c>
      <c r="C1982" s="68" t="s">
        <v>363</v>
      </c>
      <c r="D1982" s="68" t="s">
        <v>364</v>
      </c>
      <c r="E1982" s="75">
        <f>60*F1982*'THAM_SO_MOI'!$C$51/(2*PI()*'THAM_SO_MOI'!$C$26)</f>
        <v>2011.3248187678225</v>
      </c>
      <c r="F1982" s="75">
        <f>'HANH_TRINH'!$F$1647+('THAM_SO_MOI'!$F$51-'HANH_TRINH'!$F$1647)*334/'THAM_SO_MOI'!$C$42</f>
        <v>8.007063834744468</v>
      </c>
      <c r="G1982" s="75">
        <f>3.6*F1982</f>
        <v>28.825429805080084</v>
      </c>
      <c r="H1982" s="75">
        <f>'THAM_SO_MOI'!$D$51</f>
        <v>1.375</v>
      </c>
      <c r="I1982" s="75">
        <f>IF(F1982&gt;'THAM_SO_MOI'!$C$14,'THAM_SO_MOI'!$C$13*(1+F1982^2/1500),'THAM_SO_MOI'!$C$13)</f>
        <v>0.015</v>
      </c>
      <c r="J1982" s="75">
        <f>'THAM_SO_MOI'!$C$40*('THAM_SO_MOI'!$C$23*(E1982/'THAM_SO_MOI'!$C$22)+'THAM_SO_MOI'!$C$24*(E1982/'THAM_SO_MOI'!$C$22)^2-'THAM_SO_MOI'!$C$25*(E1982/'THAM_SO_MOI'!$C$22)^3)</f>
        <v>90.33261527980285</v>
      </c>
      <c r="K1982" s="75">
        <f>'THAM_SO_MOI'!$C$31*J1982/E1982</f>
        <v>428.95890662534083</v>
      </c>
      <c r="L1982" s="75">
        <f>K1982*'THAM_SO_MOI'!$C$51*'THAM_SO_MOI'!$C$17/'THAM_SO_MOI'!$C$26</f>
        <v>9591.182507640837</v>
      </c>
      <c r="M1982" s="75">
        <f>'THAM_SO_MOI'!$C$15*'THAM_SO_MOI'!$C$16*F1982^2</f>
        <v>187.53073341699292</v>
      </c>
      <c r="N1982" s="75">
        <f>'THAM_SO_MOI'!$C$12*I1982</f>
        <v>1130.112</v>
      </c>
      <c r="O1982" s="75">
        <f>M1982+N1982</f>
        <v>1317.642733416993</v>
      </c>
      <c r="P1982" s="75">
        <f>(MIN(L1982,'THAM_SO_MOI'!$C$41)-O1982)/('THAM_SO_MOI'!$C$11*H1982)</f>
        <v>0.7834791452863487</v>
      </c>
      <c r="Q1982" s="75">
        <f>IF(P1982&gt;0,1/P1982,NA())</f>
        <v>1.2763581596476528</v>
      </c>
      <c r="R1982" s="75">
        <f>F1982-F1981</f>
        <v>0.005028991339518285</v>
      </c>
      <c r="S1982" s="75">
        <f>0.5*(Q1981+Q1982)*R1982</f>
        <v>0.0064188685768743385</v>
      </c>
      <c r="T1982" s="75">
        <f>0.5*(F1981*Q1981+F1982*Q1982)*R1982</f>
        <v>0.05138015003743305</v>
      </c>
      <c r="U1982" s="76">
        <f>U1981+S1982</f>
        <v>9.936637010887909</v>
      </c>
      <c r="V1982" s="76">
        <f>V1981+T1982</f>
        <v>47.81445962886551</v>
      </c>
    </row>
    <row r="1983" spans="1:22" ht="19" customHeight="1">
      <c r="A1983" s="68" t="s">
        <v>374</v>
      </c>
      <c r="B1983" s="74">
        <v>3</v>
      </c>
      <c r="C1983" s="68" t="s">
        <v>363</v>
      </c>
      <c r="D1983" s="68" t="s">
        <v>364</v>
      </c>
      <c r="E1983" s="75">
        <f>60*F1983*'THAM_SO_MOI'!$C$51/(2*PI()*'THAM_SO_MOI'!$C$26)</f>
        <v>2012.5880702296943</v>
      </c>
      <c r="F1983" s="75">
        <f>'HANH_TRINH'!$F$1647+('THAM_SO_MOI'!$F$51-'HANH_TRINH'!$F$1647)*335/'THAM_SO_MOI'!$C$42</f>
        <v>8.012092826083986</v>
      </c>
      <c r="G1983" s="75">
        <f>3.6*F1983</f>
        <v>28.843534173902352</v>
      </c>
      <c r="H1983" s="75">
        <f>'THAM_SO_MOI'!$D$51</f>
        <v>1.375</v>
      </c>
      <c r="I1983" s="75">
        <f>IF(F1983&gt;'THAM_SO_MOI'!$C$14,'THAM_SO_MOI'!$C$13*(1+F1983^2/1500),'THAM_SO_MOI'!$C$13)</f>
        <v>0.015</v>
      </c>
      <c r="J1983" s="75">
        <f>'THAM_SO_MOI'!$C$40*('THAM_SO_MOI'!$C$23*(E1983/'THAM_SO_MOI'!$C$22)+'THAM_SO_MOI'!$C$24*(E1983/'THAM_SO_MOI'!$C$22)^2-'THAM_SO_MOI'!$C$25*(E1983/'THAM_SO_MOI'!$C$22)^3)</f>
        <v>90.39334572221662</v>
      </c>
      <c r="K1983" s="75">
        <f>'THAM_SO_MOI'!$C$31*J1983/E1983</f>
        <v>428.97786701997796</v>
      </c>
      <c r="L1983" s="75">
        <f>K1983*'THAM_SO_MOI'!$C$51*'THAM_SO_MOI'!$C$17/'THAM_SO_MOI'!$C$26</f>
        <v>9591.60644709651</v>
      </c>
      <c r="M1983" s="75">
        <f>'THAM_SO_MOI'!$C$15*'THAM_SO_MOI'!$C$16*F1983^2</f>
        <v>187.76637200232545</v>
      </c>
      <c r="N1983" s="75">
        <f>'THAM_SO_MOI'!$C$12*I1983</f>
        <v>1130.112</v>
      </c>
      <c r="O1983" s="75">
        <f>M1983+N1983</f>
        <v>1317.8783720023255</v>
      </c>
      <c r="P1983" s="75">
        <f>(MIN(L1983,'THAM_SO_MOI'!$C$41)-O1983)/('THAM_SO_MOI'!$C$11*H1983)</f>
        <v>0.7834969768081615</v>
      </c>
      <c r="Q1983" s="75">
        <f>IF(P1983&gt;0,1/P1983,NA())</f>
        <v>1.2763291111522042</v>
      </c>
      <c r="R1983" s="75">
        <f>F1983-F1982</f>
        <v>0.005028991339518285</v>
      </c>
      <c r="S1983" s="75">
        <f>0.5*(Q1982+Q1983)*R1983</f>
        <v>0.006418721088675524</v>
      </c>
      <c r="T1983" s="75">
        <f>0.5*(F1982*Q1982+F1983*Q1983)*R1983</f>
        <v>0.0514112491571637</v>
      </c>
      <c r="U1983" s="76">
        <f>U1982+S1983</f>
        <v>9.943055731976584</v>
      </c>
      <c r="V1983" s="76">
        <f>V1982+T1983</f>
        <v>47.86587087802267</v>
      </c>
    </row>
    <row r="1984" spans="1:22" ht="19" customHeight="1">
      <c r="A1984" s="68" t="s">
        <v>374</v>
      </c>
      <c r="B1984" s="74">
        <v>3</v>
      </c>
      <c r="C1984" s="68" t="s">
        <v>363</v>
      </c>
      <c r="D1984" s="68" t="s">
        <v>364</v>
      </c>
      <c r="E1984" s="75">
        <f>60*F1984*'THAM_SO_MOI'!$C$51/(2*PI()*'THAM_SO_MOI'!$C$26)</f>
        <v>2013.8513216915658</v>
      </c>
      <c r="F1984" s="75">
        <f>'HANH_TRINH'!$F$1647+('THAM_SO_MOI'!$F$51-'HANH_TRINH'!$F$1647)*336/'THAM_SO_MOI'!$C$42</f>
        <v>8.017121817423503</v>
      </c>
      <c r="G1984" s="75">
        <f>3.6*F1984</f>
        <v>28.86163854272461</v>
      </c>
      <c r="H1984" s="75">
        <f>'THAM_SO_MOI'!$D$51</f>
        <v>1.375</v>
      </c>
      <c r="I1984" s="75">
        <f>IF(F1984&gt;'THAM_SO_MOI'!$C$14,'THAM_SO_MOI'!$C$13*(1+F1984^2/1500),'THAM_SO_MOI'!$C$13)</f>
        <v>0.015</v>
      </c>
      <c r="J1984" s="75">
        <f>'THAM_SO_MOI'!$C$40*('THAM_SO_MOI'!$C$23*(E1984/'THAM_SO_MOI'!$C$22)+'THAM_SO_MOI'!$C$24*(E1984/'THAM_SO_MOI'!$C$22)^2-'THAM_SO_MOI'!$C$25*(E1984/'THAM_SO_MOI'!$C$22)^3)</f>
        <v>90.45404853696124</v>
      </c>
      <c r="K1984" s="75">
        <f>'THAM_SO_MOI'!$C$31*J1984/E1984</f>
        <v>428.99667259778477</v>
      </c>
      <c r="L1984" s="75">
        <f>K1984*'THAM_SO_MOI'!$C$51*'THAM_SO_MOI'!$C$17/'THAM_SO_MOI'!$C$26</f>
        <v>9592.02692497008</v>
      </c>
      <c r="M1984" s="75">
        <f>'THAM_SO_MOI'!$C$15*'THAM_SO_MOI'!$C$16*F1984^2</f>
        <v>188.00215853856818</v>
      </c>
      <c r="N1984" s="75">
        <f>'THAM_SO_MOI'!$C$12*I1984</f>
        <v>1130.112</v>
      </c>
      <c r="O1984" s="75">
        <f>M1984+N1984</f>
        <v>1318.1141585385683</v>
      </c>
      <c r="P1984" s="75">
        <f>(MIN(L1984,'THAM_SO_MOI'!$C$41)-O1984)/('THAM_SO_MOI'!$C$11*H1984)</f>
        <v>0.7835144665181357</v>
      </c>
      <c r="Q1984" s="75">
        <f>IF(P1984&gt;0,1/P1984,NA())</f>
        <v>1.2763006207708014</v>
      </c>
      <c r="R1984" s="75">
        <f>F1984-F1983</f>
        <v>0.005028991339516509</v>
      </c>
      <c r="S1984" s="75">
        <f>0.5*(Q1983+Q1984)*R1984</f>
        <v>0.006418576407416571</v>
      </c>
      <c r="T1984" s="75">
        <f>0.5*(F1983*Q1983+F1984*Q1984)*R1984</f>
        <v>0.051442369289980895</v>
      </c>
      <c r="U1984" s="76">
        <f>U1983+S1984</f>
        <v>9.949474308384</v>
      </c>
      <c r="V1984" s="76">
        <f>V1983+T1984</f>
        <v>47.91731324731265</v>
      </c>
    </row>
    <row r="1985" spans="1:22" ht="19" customHeight="1">
      <c r="A1985" s="68" t="s">
        <v>374</v>
      </c>
      <c r="B1985" s="74">
        <v>3</v>
      </c>
      <c r="C1985" s="68" t="s">
        <v>363</v>
      </c>
      <c r="D1985" s="68" t="s">
        <v>364</v>
      </c>
      <c r="E1985" s="75">
        <f>60*F1985*'THAM_SO_MOI'!$C$51/(2*PI()*'THAM_SO_MOI'!$C$26)</f>
        <v>2015.1145731534375</v>
      </c>
      <c r="F1985" s="75">
        <f>'HANH_TRINH'!$F$1647+('THAM_SO_MOI'!$F$51-'HANH_TRINH'!$F$1647)*337/'THAM_SO_MOI'!$C$42</f>
        <v>8.022150808763021</v>
      </c>
      <c r="G1985" s="75">
        <f>3.6*F1985</f>
        <v>28.879742911546877</v>
      </c>
      <c r="H1985" s="75">
        <f>'THAM_SO_MOI'!$D$51</f>
        <v>1.375</v>
      </c>
      <c r="I1985" s="75">
        <f>IF(F1985&gt;'THAM_SO_MOI'!$C$14,'THAM_SO_MOI'!$C$13*(1+F1985^2/1500),'THAM_SO_MOI'!$C$13)</f>
        <v>0.015</v>
      </c>
      <c r="J1985" s="75">
        <f>'THAM_SO_MOI'!$C$40*('THAM_SO_MOI'!$C$23*(E1985/'THAM_SO_MOI'!$C$22)+'THAM_SO_MOI'!$C$24*(E1985/'THAM_SO_MOI'!$C$22)^2-'THAM_SO_MOI'!$C$25*(E1985/'THAM_SO_MOI'!$C$22)^3)</f>
        <v>90.5147236626073</v>
      </c>
      <c r="K1985" s="75">
        <f>'THAM_SO_MOI'!$C$31*J1985/E1985</f>
        <v>429.01532335876095</v>
      </c>
      <c r="L1985" s="75">
        <f>K1985*'THAM_SO_MOI'!$C$51*'THAM_SO_MOI'!$C$17/'THAM_SO_MOI'!$C$26</f>
        <v>9592.443941261537</v>
      </c>
      <c r="M1985" s="75">
        <f>'THAM_SO_MOI'!$C$15*'THAM_SO_MOI'!$C$16*F1985^2</f>
        <v>188.2380930257213</v>
      </c>
      <c r="N1985" s="75">
        <f>'THAM_SO_MOI'!$C$12*I1985</f>
        <v>1130.112</v>
      </c>
      <c r="O1985" s="75">
        <f>M1985+N1985</f>
        <v>1318.3500930257214</v>
      </c>
      <c r="P1985" s="75">
        <f>(MIN(L1985,'THAM_SO_MOI'!$C$41)-O1985)/('THAM_SO_MOI'!$C$11*H1985)</f>
        <v>0.7835316144162706</v>
      </c>
      <c r="Q1985" s="75">
        <f>IF(P1985&gt;0,1/P1985,NA())</f>
        <v>1.2762726884287852</v>
      </c>
      <c r="R1985" s="75">
        <f>F1985-F1984</f>
        <v>0.005028991339518285</v>
      </c>
      <c r="S1985" s="75">
        <f>0.5*(Q1984+Q1985)*R1985</f>
        <v>0.006418434532725125</v>
      </c>
      <c r="T1985" s="75">
        <f>0.5*(F1984*Q1984+F1985*Q1985)*R1985</f>
        <v>0.0514735104752467</v>
      </c>
      <c r="U1985" s="76">
        <f>U1984+S1985</f>
        <v>9.955892742916724</v>
      </c>
      <c r="V1985" s="76">
        <f>V1984+T1985</f>
        <v>47.968786757787896</v>
      </c>
    </row>
    <row r="1986" spans="1:22" ht="19" customHeight="1">
      <c r="A1986" s="68" t="s">
        <v>374</v>
      </c>
      <c r="B1986" s="74">
        <v>3</v>
      </c>
      <c r="C1986" s="68" t="s">
        <v>363</v>
      </c>
      <c r="D1986" s="68" t="s">
        <v>364</v>
      </c>
      <c r="E1986" s="75">
        <f>60*F1986*'THAM_SO_MOI'!$C$51/(2*PI()*'THAM_SO_MOI'!$C$26)</f>
        <v>2016.3778246153092</v>
      </c>
      <c r="F1986" s="75">
        <f>'HANH_TRINH'!$F$1647+('THAM_SO_MOI'!$F$51-'HANH_TRINH'!$F$1647)*338/'THAM_SO_MOI'!$C$42</f>
        <v>8.02717980010254</v>
      </c>
      <c r="G1986" s="75">
        <f>3.6*F1986</f>
        <v>28.89784728036914</v>
      </c>
      <c r="H1986" s="75">
        <f>'THAM_SO_MOI'!$D$51</f>
        <v>1.375</v>
      </c>
      <c r="I1986" s="75">
        <f>IF(F1986&gt;'THAM_SO_MOI'!$C$14,'THAM_SO_MOI'!$C$13*(1+F1986^2/1500),'THAM_SO_MOI'!$C$13)</f>
        <v>0.015</v>
      </c>
      <c r="J1986" s="75">
        <f>'THAM_SO_MOI'!$C$40*('THAM_SO_MOI'!$C$23*(E1986/'THAM_SO_MOI'!$C$22)+'THAM_SO_MOI'!$C$24*(E1986/'THAM_SO_MOI'!$C$22)^2-'THAM_SO_MOI'!$C$25*(E1986/'THAM_SO_MOI'!$C$22)^3)</f>
        <v>90.57537103772546</v>
      </c>
      <c r="K1986" s="75">
        <f>'THAM_SO_MOI'!$C$31*J1986/E1986</f>
        <v>429.03381930290647</v>
      </c>
      <c r="L1986" s="75">
        <f>K1986*'THAM_SO_MOI'!$C$51*'THAM_SO_MOI'!$C$17/'THAM_SO_MOI'!$C$26</f>
        <v>9592.857495970886</v>
      </c>
      <c r="M1986" s="75">
        <f>'THAM_SO_MOI'!$C$15*'THAM_SO_MOI'!$C$16*F1986^2</f>
        <v>188.4741754637847</v>
      </c>
      <c r="N1986" s="75">
        <f>'THAM_SO_MOI'!$C$12*I1986</f>
        <v>1130.112</v>
      </c>
      <c r="O1986" s="75">
        <f>M1986+N1986</f>
        <v>1318.5861754637847</v>
      </c>
      <c r="P1986" s="75">
        <f>(MIN(L1986,'THAM_SO_MOI'!$C$41)-O1986)/('THAM_SO_MOI'!$C$11*H1986)</f>
        <v>0.7835484205025665</v>
      </c>
      <c r="Q1986" s="75">
        <f>IF(P1986&gt;0,1/P1986,NA())</f>
        <v>1.2762453140529617</v>
      </c>
      <c r="R1986" s="75">
        <f>F1986-F1985</f>
        <v>0.005028991339518285</v>
      </c>
      <c r="S1986" s="75">
        <f>0.5*(Q1985+Q1986)*R1986</f>
        <v>0.006418295464222608</v>
      </c>
      <c r="T1986" s="75">
        <f>0.5*(F1985*Q1985+F1986*Q1986)*R1986</f>
        <v>0.0515046727522658</v>
      </c>
      <c r="U1986" s="76">
        <f>U1985+S1986</f>
        <v>9.962311038380946</v>
      </c>
      <c r="V1986" s="76">
        <f>V1985+T1986</f>
        <v>48.02029143054016</v>
      </c>
    </row>
    <row r="1987" spans="1:22" ht="19" customHeight="1">
      <c r="A1987" s="68" t="s">
        <v>374</v>
      </c>
      <c r="B1987" s="74">
        <v>3</v>
      </c>
      <c r="C1987" s="68" t="s">
        <v>363</v>
      </c>
      <c r="D1987" s="68" t="s">
        <v>364</v>
      </c>
      <c r="E1987" s="75">
        <f>60*F1987*'THAM_SO_MOI'!$C$51/(2*PI()*'THAM_SO_MOI'!$C$26)</f>
        <v>2017.6410760771805</v>
      </c>
      <c r="F1987" s="75">
        <f>'HANH_TRINH'!$F$1647+('THAM_SO_MOI'!$F$51-'HANH_TRINH'!$F$1647)*339/'THAM_SO_MOI'!$C$42</f>
        <v>8.032208791442056</v>
      </c>
      <c r="G1987" s="75">
        <f>3.6*F1987</f>
        <v>28.915951649191403</v>
      </c>
      <c r="H1987" s="75">
        <f>'THAM_SO_MOI'!$D$51</f>
        <v>1.375</v>
      </c>
      <c r="I1987" s="75">
        <f>IF(F1987&gt;'THAM_SO_MOI'!$C$14,'THAM_SO_MOI'!$C$13*(1+F1987^2/1500),'THAM_SO_MOI'!$C$13)</f>
        <v>0.015</v>
      </c>
      <c r="J1987" s="75">
        <f>'THAM_SO_MOI'!$C$40*('THAM_SO_MOI'!$C$23*(E1987/'THAM_SO_MOI'!$C$22)+'THAM_SO_MOI'!$C$24*(E1987/'THAM_SO_MOI'!$C$22)^2-'THAM_SO_MOI'!$C$25*(E1987/'THAM_SO_MOI'!$C$22)^3)</f>
        <v>90.63599060088643</v>
      </c>
      <c r="K1987" s="75">
        <f>'THAM_SO_MOI'!$C$31*J1987/E1987</f>
        <v>429.0521604302218</v>
      </c>
      <c r="L1987" s="75">
        <f>K1987*'THAM_SO_MOI'!$C$51*'THAM_SO_MOI'!$C$17/'THAM_SO_MOI'!$C$26</f>
        <v>9593.26758909813</v>
      </c>
      <c r="M1987" s="75">
        <f>'THAM_SO_MOI'!$C$15*'THAM_SO_MOI'!$C$16*F1987^2</f>
        <v>188.71040585275824</v>
      </c>
      <c r="N1987" s="75">
        <f>'THAM_SO_MOI'!$C$12*I1987</f>
        <v>1130.112</v>
      </c>
      <c r="O1987" s="75">
        <f>M1987+N1987</f>
        <v>1318.8224058527583</v>
      </c>
      <c r="P1987" s="75">
        <f>(MIN(L1987,'THAM_SO_MOI'!$C$41)-O1987)/('THAM_SO_MOI'!$C$11*H1987)</f>
        <v>0.7835648847770237</v>
      </c>
      <c r="Q1987" s="75">
        <f>IF(P1987&gt;0,1/P1987,NA())</f>
        <v>1.2762184975716038</v>
      </c>
      <c r="R1987" s="75">
        <f>F1987-F1986</f>
        <v>0.005028991339516509</v>
      </c>
      <c r="S1987" s="75">
        <f>0.5*(Q1986+Q1987)*R1987</f>
        <v>0.006418159201544618</v>
      </c>
      <c r="T1987" s="75">
        <f>0.5*(F1986*Q1986+F1987*Q1987)*R1987</f>
        <v>0.05153585616044905</v>
      </c>
      <c r="U1987" s="76">
        <f>U1986+S1987</f>
        <v>9.96872919758249</v>
      </c>
      <c r="V1987" s="76">
        <f>V1986+T1987</f>
        <v>48.07182728670061</v>
      </c>
    </row>
    <row r="1988" spans="1:22" ht="19" customHeight="1">
      <c r="A1988" s="68" t="s">
        <v>374</v>
      </c>
      <c r="B1988" s="74">
        <v>3</v>
      </c>
      <c r="C1988" s="68" t="s">
        <v>363</v>
      </c>
      <c r="D1988" s="68" t="s">
        <v>364</v>
      </c>
      <c r="E1988" s="75">
        <f>60*F1988*'THAM_SO_MOI'!$C$51/(2*PI()*'THAM_SO_MOI'!$C$26)</f>
        <v>2018.9043275390522</v>
      </c>
      <c r="F1988" s="75">
        <f>'HANH_TRINH'!$F$1647+('THAM_SO_MOI'!$F$51-'HANH_TRINH'!$F$1647)*340/'THAM_SO_MOI'!$C$42</f>
        <v>8.037237782781574</v>
      </c>
      <c r="G1988" s="75">
        <f>3.6*F1988</f>
        <v>28.934056018013667</v>
      </c>
      <c r="H1988" s="75">
        <f>'THAM_SO_MOI'!$D$51</f>
        <v>1.375</v>
      </c>
      <c r="I1988" s="75">
        <f>IF(F1988&gt;'THAM_SO_MOI'!$C$14,'THAM_SO_MOI'!$C$13*(1+F1988^2/1500),'THAM_SO_MOI'!$C$13)</f>
        <v>0.015</v>
      </c>
      <c r="J1988" s="75">
        <f>'THAM_SO_MOI'!$C$40*('THAM_SO_MOI'!$C$23*(E1988/'THAM_SO_MOI'!$C$22)+'THAM_SO_MOI'!$C$24*(E1988/'THAM_SO_MOI'!$C$22)^2-'THAM_SO_MOI'!$C$25*(E1988/'THAM_SO_MOI'!$C$22)^3)</f>
        <v>90.69658229066079</v>
      </c>
      <c r="K1988" s="75">
        <f>'THAM_SO_MOI'!$C$31*J1988/E1988</f>
        <v>429.0703467407064</v>
      </c>
      <c r="L1988" s="75">
        <f>K1988*'THAM_SO_MOI'!$C$51*'THAM_SO_MOI'!$C$17/'THAM_SO_MOI'!$C$26</f>
        <v>9593.67422064326</v>
      </c>
      <c r="M1988" s="75">
        <f>'THAM_SO_MOI'!$C$15*'THAM_SO_MOI'!$C$16*F1988^2</f>
        <v>188.94678419264216</v>
      </c>
      <c r="N1988" s="75">
        <f>'THAM_SO_MOI'!$C$12*I1988</f>
        <v>1130.112</v>
      </c>
      <c r="O1988" s="75">
        <f>M1988+N1988</f>
        <v>1319.0587841926422</v>
      </c>
      <c r="P1988" s="75">
        <f>(MIN(L1988,'THAM_SO_MOI'!$C$41)-O1988)/('THAM_SO_MOI'!$C$11*H1988)</f>
        <v>0.7835810072396419</v>
      </c>
      <c r="Q1988" s="75">
        <f>IF(P1988&gt;0,1/P1988,NA())</f>
        <v>1.276192238914452</v>
      </c>
      <c r="R1988" s="75">
        <f>F1988-F1987</f>
        <v>0.005028991339518285</v>
      </c>
      <c r="S1988" s="75">
        <f>0.5*(Q1987+Q1988)*R1988</f>
        <v>0.006418025744340931</v>
      </c>
      <c r="T1988" s="75">
        <f>0.5*(F1987*Q1987+F1988*Q1988)*R1988</f>
        <v>0.05156706073931391</v>
      </c>
      <c r="U1988" s="76">
        <f>U1987+S1988</f>
        <v>9.975147223326832</v>
      </c>
      <c r="V1988" s="76">
        <f>V1987+T1988</f>
        <v>48.12339434743993</v>
      </c>
    </row>
    <row r="1989" spans="1:22" ht="19" customHeight="1">
      <c r="A1989" s="68" t="s">
        <v>374</v>
      </c>
      <c r="B1989" s="74">
        <v>3</v>
      </c>
      <c r="C1989" s="68" t="s">
        <v>363</v>
      </c>
      <c r="D1989" s="68" t="s">
        <v>364</v>
      </c>
      <c r="E1989" s="75">
        <f>60*F1989*'THAM_SO_MOI'!$C$51/(2*PI()*'THAM_SO_MOI'!$C$26)</f>
        <v>2020.167579000924</v>
      </c>
      <c r="F1989" s="75">
        <f>'HANH_TRINH'!$F$1647+('THAM_SO_MOI'!$F$51-'HANH_TRINH'!$F$1647)*341/'THAM_SO_MOI'!$C$42</f>
        <v>8.042266774121092</v>
      </c>
      <c r="G1989" s="75">
        <f>3.6*F1989</f>
        <v>28.95216038683593</v>
      </c>
      <c r="H1989" s="75">
        <f>'THAM_SO_MOI'!$D$51</f>
        <v>1.375</v>
      </c>
      <c r="I1989" s="75">
        <f>IF(F1989&gt;'THAM_SO_MOI'!$C$14,'THAM_SO_MOI'!$C$13*(1+F1989^2/1500),'THAM_SO_MOI'!$C$13)</f>
        <v>0.015</v>
      </c>
      <c r="J1989" s="75">
        <f>'THAM_SO_MOI'!$C$40*('THAM_SO_MOI'!$C$23*(E1989/'THAM_SO_MOI'!$C$22)+'THAM_SO_MOI'!$C$24*(E1989/'THAM_SO_MOI'!$C$22)^2-'THAM_SO_MOI'!$C$25*(E1989/'THAM_SO_MOI'!$C$22)^3)</f>
        <v>90.75714604561924</v>
      </c>
      <c r="K1989" s="75">
        <f>'THAM_SO_MOI'!$C$31*J1989/E1989</f>
        <v>429.0883782343605</v>
      </c>
      <c r="L1989" s="75">
        <f>K1989*'THAM_SO_MOI'!$C$51*'THAM_SO_MOI'!$C$17/'THAM_SO_MOI'!$C$26</f>
        <v>9594.07739060628</v>
      </c>
      <c r="M1989" s="75">
        <f>'THAM_SO_MOI'!$C$15*'THAM_SO_MOI'!$C$16*F1989^2</f>
        <v>189.18331048343634</v>
      </c>
      <c r="N1989" s="75">
        <f>'THAM_SO_MOI'!$C$12*I1989</f>
        <v>1130.112</v>
      </c>
      <c r="O1989" s="75">
        <f>M1989+N1989</f>
        <v>1319.2953104834364</v>
      </c>
      <c r="P1989" s="75">
        <f>(MIN(L1989,'THAM_SO_MOI'!$C$41)-O1989)/('THAM_SO_MOI'!$C$11*H1989)</f>
        <v>0.7835967878904209</v>
      </c>
      <c r="Q1989" s="75">
        <f>IF(P1989&gt;0,1/P1989,NA())</f>
        <v>1.2761665380127123</v>
      </c>
      <c r="R1989" s="75">
        <f>F1989-F1988</f>
        <v>0.005028991339518285</v>
      </c>
      <c r="S1989" s="75">
        <f>0.5*(Q1988+Q1989)*R1989</f>
        <v>0.006417895092255096</v>
      </c>
      <c r="T1989" s="75">
        <f>0.5*(F1988*Q1988+F1989*Q1989)*R1989</f>
        <v>0.051598286528320735</v>
      </c>
      <c r="U1989" s="76">
        <f>U1988+S1989</f>
        <v>9.981565118419088</v>
      </c>
      <c r="V1989" s="76">
        <f>V1988+T1989</f>
        <v>48.174992633968245</v>
      </c>
    </row>
    <row r="1990" spans="1:22" ht="19" customHeight="1">
      <c r="A1990" s="68" t="s">
        <v>374</v>
      </c>
      <c r="B1990" s="74">
        <v>3</v>
      </c>
      <c r="C1990" s="68" t="s">
        <v>363</v>
      </c>
      <c r="D1990" s="68" t="s">
        <v>364</v>
      </c>
      <c r="E1990" s="75">
        <f>60*F1990*'THAM_SO_MOI'!$C$51/(2*PI()*'THAM_SO_MOI'!$C$26)</f>
        <v>2021.4308304627962</v>
      </c>
      <c r="F1990" s="75">
        <f>'HANH_TRINH'!$F$1647+('THAM_SO_MOI'!$F$51-'HANH_TRINH'!$F$1647)*342/'THAM_SO_MOI'!$C$42</f>
        <v>8.04729576546061</v>
      </c>
      <c r="G1990" s="75">
        <f>3.6*F1990</f>
        <v>28.9702647556582</v>
      </c>
      <c r="H1990" s="75">
        <f>'THAM_SO_MOI'!$D$51</f>
        <v>1.375</v>
      </c>
      <c r="I1990" s="75">
        <f>IF(F1990&gt;'THAM_SO_MOI'!$C$14,'THAM_SO_MOI'!$C$13*(1+F1990^2/1500),'THAM_SO_MOI'!$C$13)</f>
        <v>0.015</v>
      </c>
      <c r="J1990" s="75">
        <f>'THAM_SO_MOI'!$C$40*('THAM_SO_MOI'!$C$23*(E1990/'THAM_SO_MOI'!$C$22)+'THAM_SO_MOI'!$C$24*(E1990/'THAM_SO_MOI'!$C$22)^2-'THAM_SO_MOI'!$C$25*(E1990/'THAM_SO_MOI'!$C$22)^3)</f>
        <v>90.81768180433245</v>
      </c>
      <c r="K1990" s="75">
        <f>'THAM_SO_MOI'!$C$31*J1990/E1990</f>
        <v>429.1062549111843</v>
      </c>
      <c r="L1990" s="75">
        <f>K1990*'THAM_SO_MOI'!$C$51*'THAM_SO_MOI'!$C$17/'THAM_SO_MOI'!$C$26</f>
        <v>9594.477098987198</v>
      </c>
      <c r="M1990" s="75">
        <f>'THAM_SO_MOI'!$C$15*'THAM_SO_MOI'!$C$16*F1990^2</f>
        <v>189.41998472514084</v>
      </c>
      <c r="N1990" s="75">
        <f>'THAM_SO_MOI'!$C$12*I1990</f>
        <v>1130.112</v>
      </c>
      <c r="O1990" s="75">
        <f>M1990+N1990</f>
        <v>1319.531984725141</v>
      </c>
      <c r="P1990" s="75">
        <f>(MIN(L1990,'THAM_SO_MOI'!$C$41)-O1990)/('THAM_SO_MOI'!$C$11*H1990)</f>
        <v>0.7836122267293614</v>
      </c>
      <c r="Q1990" s="75">
        <f>IF(P1990&gt;0,1/P1990,NA())</f>
        <v>1.2761413947990543</v>
      </c>
      <c r="R1990" s="75">
        <f>F1990-F1989</f>
        <v>0.005028991339518285</v>
      </c>
      <c r="S1990" s="75">
        <f>0.5*(Q1989+Q1990)*R1990</f>
        <v>0.006417767244947095</v>
      </c>
      <c r="T1990" s="75">
        <f>0.5*(F1989*Q1989+F1990*Q1990)*R1990</f>
        <v>0.05162953356705492</v>
      </c>
      <c r="U1990" s="76">
        <f>U1989+S1990</f>
        <v>9.987982885664035</v>
      </c>
      <c r="V1990" s="76">
        <f>V1989+T1990</f>
        <v>48.2266221675353</v>
      </c>
    </row>
    <row r="1991" spans="1:22" ht="19" customHeight="1">
      <c r="A1991" s="68" t="s">
        <v>374</v>
      </c>
      <c r="B1991" s="74">
        <v>3</v>
      </c>
      <c r="C1991" s="68" t="s">
        <v>363</v>
      </c>
      <c r="D1991" s="68" t="s">
        <v>364</v>
      </c>
      <c r="E1991" s="75">
        <f>60*F1991*'THAM_SO_MOI'!$C$51/(2*PI()*'THAM_SO_MOI'!$C$26)</f>
        <v>2022.6940819246672</v>
      </c>
      <c r="F1991" s="75">
        <f>'HANH_TRINH'!$F$1647+('THAM_SO_MOI'!$F$51-'HANH_TRINH'!$F$1647)*343/'THAM_SO_MOI'!$C$42</f>
        <v>8.052324756800127</v>
      </c>
      <c r="G1991" s="75">
        <f>3.6*F1991</f>
        <v>28.988369124480457</v>
      </c>
      <c r="H1991" s="75">
        <f>'THAM_SO_MOI'!$D$51</f>
        <v>1.375</v>
      </c>
      <c r="I1991" s="75">
        <f>IF(F1991&gt;'THAM_SO_MOI'!$C$14,'THAM_SO_MOI'!$C$13*(1+F1991^2/1500),'THAM_SO_MOI'!$C$13)</f>
        <v>0.015</v>
      </c>
      <c r="J1991" s="75">
        <f>'THAM_SO_MOI'!$C$40*('THAM_SO_MOI'!$C$23*(E1991/'THAM_SO_MOI'!$C$22)+'THAM_SO_MOI'!$C$24*(E1991/'THAM_SO_MOI'!$C$22)^2-'THAM_SO_MOI'!$C$25*(E1991/'THAM_SO_MOI'!$C$22)^3)</f>
        <v>90.87818950537091</v>
      </c>
      <c r="K1991" s="75">
        <f>'THAM_SO_MOI'!$C$31*J1991/E1991</f>
        <v>429.1239767711772</v>
      </c>
      <c r="L1991" s="75">
        <f>K1991*'THAM_SO_MOI'!$C$51*'THAM_SO_MOI'!$C$17/'THAM_SO_MOI'!$C$26</f>
        <v>9594.873345785996</v>
      </c>
      <c r="M1991" s="75">
        <f>'THAM_SO_MOI'!$C$15*'THAM_SO_MOI'!$C$16*F1991^2</f>
        <v>189.6568069177555</v>
      </c>
      <c r="N1991" s="75">
        <f>'THAM_SO_MOI'!$C$12*I1991</f>
        <v>1130.112</v>
      </c>
      <c r="O1991" s="75">
        <f>M1991+N1991</f>
        <v>1319.7688069177557</v>
      </c>
      <c r="P1991" s="75">
        <f>(MIN(L1991,'THAM_SO_MOI'!$C$41)-O1991)/('THAM_SO_MOI'!$C$11*H1991)</f>
        <v>0.783627323756462</v>
      </c>
      <c r="Q1991" s="75">
        <f>IF(P1991&gt;0,1/P1991,NA())</f>
        <v>1.2761168092076163</v>
      </c>
      <c r="R1991" s="75">
        <f>F1991-F1990</f>
        <v>0.005028991339516509</v>
      </c>
      <c r="S1991" s="75">
        <f>0.5*(Q1990+Q1991)*R1991</f>
        <v>0.006417642202079752</v>
      </c>
      <c r="T1991" s="75">
        <f>0.5*(F1990*Q1990+F1991*Q1991)*R1991</f>
        <v>0.05166080189511785</v>
      </c>
      <c r="U1991" s="76">
        <f>U1990+S1991</f>
        <v>9.994400527866114</v>
      </c>
      <c r="V1991" s="76">
        <f>V1990+T1991</f>
        <v>48.278282969430414</v>
      </c>
    </row>
    <row r="1992" spans="1:22" ht="19" customHeight="1">
      <c r="A1992" s="68" t="s">
        <v>374</v>
      </c>
      <c r="B1992" s="74">
        <v>3</v>
      </c>
      <c r="C1992" s="68" t="s">
        <v>363</v>
      </c>
      <c r="D1992" s="68" t="s">
        <v>364</v>
      </c>
      <c r="E1992" s="75">
        <f>60*F1992*'THAM_SO_MOI'!$C$51/(2*PI()*'THAM_SO_MOI'!$C$26)</f>
        <v>2023.957333386539</v>
      </c>
      <c r="F1992" s="75">
        <f>'HANH_TRINH'!$F$1647+('THAM_SO_MOI'!$F$51-'HANH_TRINH'!$F$1647)*344/'THAM_SO_MOI'!$C$42</f>
        <v>8.057353748139645</v>
      </c>
      <c r="G1992" s="75">
        <f>3.6*F1992</f>
        <v>29.006473493302725</v>
      </c>
      <c r="H1992" s="75">
        <f>'THAM_SO_MOI'!$D$51</f>
        <v>1.375</v>
      </c>
      <c r="I1992" s="75">
        <f>IF(F1992&gt;'THAM_SO_MOI'!$C$14,'THAM_SO_MOI'!$C$13*(1+F1992^2/1500),'THAM_SO_MOI'!$C$13)</f>
        <v>0.015</v>
      </c>
      <c r="J1992" s="75">
        <f>'THAM_SO_MOI'!$C$40*('THAM_SO_MOI'!$C$23*(E1992/'THAM_SO_MOI'!$C$22)+'THAM_SO_MOI'!$C$24*(E1992/'THAM_SO_MOI'!$C$22)^2-'THAM_SO_MOI'!$C$25*(E1992/'THAM_SO_MOI'!$C$22)^3)</f>
        <v>90.9386690873055</v>
      </c>
      <c r="K1992" s="75">
        <f>'THAM_SO_MOI'!$C$31*J1992/E1992</f>
        <v>429.1415438143399</v>
      </c>
      <c r="L1992" s="75">
        <f>K1992*'THAM_SO_MOI'!$C$51*'THAM_SO_MOI'!$C$17/'THAM_SO_MOI'!$C$26</f>
        <v>9595.266131002694</v>
      </c>
      <c r="M1992" s="75">
        <f>'THAM_SO_MOI'!$C$15*'THAM_SO_MOI'!$C$16*F1992^2</f>
        <v>189.8937770612805</v>
      </c>
      <c r="N1992" s="75">
        <f>'THAM_SO_MOI'!$C$12*I1992</f>
        <v>1130.112</v>
      </c>
      <c r="O1992" s="75">
        <f>M1992+N1992</f>
        <v>1320.0057770612807</v>
      </c>
      <c r="P1992" s="75">
        <f>(MIN(L1992,'THAM_SO_MOI'!$C$41)-O1992)/('THAM_SO_MOI'!$C$11*H1992)</f>
        <v>0.7836420789717247</v>
      </c>
      <c r="Q1992" s="75">
        <f>IF(P1992&gt;0,1/P1992,NA())</f>
        <v>1.2760927811739955</v>
      </c>
      <c r="R1992" s="75">
        <f>F1992-F1991</f>
        <v>0.005028991339518285</v>
      </c>
      <c r="S1992" s="75">
        <f>0.5*(Q1991+Q1992)*R1992</f>
        <v>0.006417519963332317</v>
      </c>
      <c r="T1992" s="75">
        <f>0.5*(F1991*Q1991+F1992*Q1992)*R1992</f>
        <v>0.05169209155223649</v>
      </c>
      <c r="U1992" s="76">
        <f>U1991+S1992</f>
        <v>10.000818047829446</v>
      </c>
      <c r="V1992" s="76">
        <f>V1991+T1992</f>
        <v>48.32997506098265</v>
      </c>
    </row>
    <row r="1993" spans="1:22" ht="19" customHeight="1">
      <c r="A1993" s="68" t="s">
        <v>374</v>
      </c>
      <c r="B1993" s="74">
        <v>3</v>
      </c>
      <c r="C1993" s="68" t="s">
        <v>363</v>
      </c>
      <c r="D1993" s="68" t="s">
        <v>364</v>
      </c>
      <c r="E1993" s="75">
        <f>60*F1993*'THAM_SO_MOI'!$C$51/(2*PI()*'THAM_SO_MOI'!$C$26)</f>
        <v>2025.2205848484102</v>
      </c>
      <c r="F1993" s="75">
        <f>'HANH_TRINH'!$F$1647+('THAM_SO_MOI'!$F$51-'HANH_TRINH'!$F$1647)*345/'THAM_SO_MOI'!$C$42</f>
        <v>8.062382739479162</v>
      </c>
      <c r="G1993" s="75">
        <f>3.6*F1993</f>
        <v>29.024577862124982</v>
      </c>
      <c r="H1993" s="75">
        <f>'THAM_SO_MOI'!$D$51</f>
        <v>1.375</v>
      </c>
      <c r="I1993" s="75">
        <f>IF(F1993&gt;'THAM_SO_MOI'!$C$14,'THAM_SO_MOI'!$C$13*(1+F1993^2/1500),'THAM_SO_MOI'!$C$13)</f>
        <v>0.015</v>
      </c>
      <c r="J1993" s="75">
        <f>'THAM_SO_MOI'!$C$40*('THAM_SO_MOI'!$C$23*(E1993/'THAM_SO_MOI'!$C$22)+'THAM_SO_MOI'!$C$24*(E1993/'THAM_SO_MOI'!$C$22)^2-'THAM_SO_MOI'!$C$25*(E1993/'THAM_SO_MOI'!$C$22)^3)</f>
        <v>90.99912048870672</v>
      </c>
      <c r="K1993" s="75">
        <f>'THAM_SO_MOI'!$C$31*J1993/E1993</f>
        <v>429.158956040672</v>
      </c>
      <c r="L1993" s="75">
        <f>K1993*'THAM_SO_MOI'!$C$51*'THAM_SO_MOI'!$C$17/'THAM_SO_MOI'!$C$26</f>
        <v>9595.65545463728</v>
      </c>
      <c r="M1993" s="75">
        <f>'THAM_SO_MOI'!$C$15*'THAM_SO_MOI'!$C$16*F1993^2</f>
        <v>190.1308951557157</v>
      </c>
      <c r="N1993" s="75">
        <f>'THAM_SO_MOI'!$C$12*I1993</f>
        <v>1130.112</v>
      </c>
      <c r="O1993" s="75">
        <f>M1993+N1993</f>
        <v>1320.2428951557158</v>
      </c>
      <c r="P1993" s="75">
        <f>(MIN(L1993,'THAM_SO_MOI'!$C$41)-O1993)/('THAM_SO_MOI'!$C$11*H1993)</f>
        <v>0.7836564923751483</v>
      </c>
      <c r="Q1993" s="75">
        <f>IF(P1993&gt;0,1/P1993,NA())</f>
        <v>1.276069310635258</v>
      </c>
      <c r="R1993" s="75">
        <f>F1993-F1992</f>
        <v>0.005028991339516509</v>
      </c>
      <c r="S1993" s="75">
        <f>0.5*(Q1992+Q1993)*R1993</f>
        <v>0.006417400528375536</v>
      </c>
      <c r="T1993" s="75">
        <f>0.5*(F1992*Q1992+F1993*Q1993)*R1993</f>
        <v>0.051723402578062766</v>
      </c>
      <c r="U1993" s="76">
        <f>U1992+S1993</f>
        <v>10.007235448357822</v>
      </c>
      <c r="V1993" s="76">
        <f>V1992+T1993</f>
        <v>48.38169846356071</v>
      </c>
    </row>
    <row r="1994" spans="1:22" ht="19" customHeight="1">
      <c r="A1994" s="68" t="s">
        <v>374</v>
      </c>
      <c r="B1994" s="74">
        <v>3</v>
      </c>
      <c r="C1994" s="68" t="s">
        <v>363</v>
      </c>
      <c r="D1994" s="68" t="s">
        <v>364</v>
      </c>
      <c r="E1994" s="75">
        <f>60*F1994*'THAM_SO_MOI'!$C$51/(2*PI()*'THAM_SO_MOI'!$C$26)</f>
        <v>2026.4838363102824</v>
      </c>
      <c r="F1994" s="75">
        <f>'HANH_TRINH'!$F$1647+('THAM_SO_MOI'!$F$51-'HANH_TRINH'!$F$1647)*346/'THAM_SO_MOI'!$C$42</f>
        <v>8.06741173081868</v>
      </c>
      <c r="G1994" s="75">
        <f>3.6*F1994</f>
        <v>29.04268223094725</v>
      </c>
      <c r="H1994" s="75">
        <f>'THAM_SO_MOI'!$D$51</f>
        <v>1.375</v>
      </c>
      <c r="I1994" s="75">
        <f>IF(F1994&gt;'THAM_SO_MOI'!$C$14,'THAM_SO_MOI'!$C$13*(1+F1994^2/1500),'THAM_SO_MOI'!$C$13)</f>
        <v>0.015</v>
      </c>
      <c r="J1994" s="75">
        <f>'THAM_SO_MOI'!$C$40*('THAM_SO_MOI'!$C$23*(E1994/'THAM_SO_MOI'!$C$22)+'THAM_SO_MOI'!$C$24*(E1994/'THAM_SO_MOI'!$C$22)^2-'THAM_SO_MOI'!$C$25*(E1994/'THAM_SO_MOI'!$C$22)^3)</f>
        <v>91.05954364814531</v>
      </c>
      <c r="K1994" s="75">
        <f>'THAM_SO_MOI'!$C$31*J1994/E1994</f>
        <v>429.1762134501737</v>
      </c>
      <c r="L1994" s="75">
        <f>K1994*'THAM_SO_MOI'!$C$51*'THAM_SO_MOI'!$C$17/'THAM_SO_MOI'!$C$26</f>
        <v>9596.04131668976</v>
      </c>
      <c r="M1994" s="75">
        <f>'THAM_SO_MOI'!$C$15*'THAM_SO_MOI'!$C$16*F1994^2</f>
        <v>190.36816120106127</v>
      </c>
      <c r="N1994" s="75">
        <f>'THAM_SO_MOI'!$C$12*I1994</f>
        <v>1130.112</v>
      </c>
      <c r="O1994" s="75">
        <f>M1994+N1994</f>
        <v>1320.4801612010613</v>
      </c>
      <c r="P1994" s="75">
        <f>(MIN(L1994,'THAM_SO_MOI'!$C$41)-O1994)/('THAM_SO_MOI'!$C$11*H1994)</f>
        <v>0.783670563966733</v>
      </c>
      <c r="Q1994" s="75">
        <f>IF(P1994&gt;0,1/P1994,NA())</f>
        <v>1.2760463975299323</v>
      </c>
      <c r="R1994" s="75">
        <f>F1994-F1993</f>
        <v>0.005028991339518285</v>
      </c>
      <c r="S1994" s="75">
        <f>0.5*(Q1993+Q1994)*R1994</f>
        <v>0.0064172838969056584</v>
      </c>
      <c r="T1994" s="75">
        <f>0.5*(F1993*Q1993+F1994*Q1994)*R1994</f>
        <v>0.05175473501244772</v>
      </c>
      <c r="U1994" s="76">
        <f>U1993+S1994</f>
        <v>10.013652732254727</v>
      </c>
      <c r="V1994" s="76">
        <f>V1993+T1994</f>
        <v>48.433453198573154</v>
      </c>
    </row>
    <row r="1995" spans="1:22" ht="19" customHeight="1">
      <c r="A1995" s="68" t="s">
        <v>374</v>
      </c>
      <c r="B1995" s="74">
        <v>3</v>
      </c>
      <c r="C1995" s="68" t="s">
        <v>363</v>
      </c>
      <c r="D1995" s="68" t="s">
        <v>364</v>
      </c>
      <c r="E1995" s="75">
        <f>60*F1995*'THAM_SO_MOI'!$C$51/(2*PI()*'THAM_SO_MOI'!$C$26)</f>
        <v>2027.7470877721537</v>
      </c>
      <c r="F1995" s="75">
        <f>'HANH_TRINH'!$F$1647+('THAM_SO_MOI'!$F$51-'HANH_TRINH'!$F$1647)*347/'THAM_SO_MOI'!$C$42</f>
        <v>8.072440722158198</v>
      </c>
      <c r="G1995" s="75">
        <f>3.6*F1995</f>
        <v>29.060786599769514</v>
      </c>
      <c r="H1995" s="75">
        <f>'THAM_SO_MOI'!$D$51</f>
        <v>1.375</v>
      </c>
      <c r="I1995" s="75">
        <f>IF(F1995&gt;'THAM_SO_MOI'!$C$14,'THAM_SO_MOI'!$C$13*(1+F1995^2/1500),'THAM_SO_MOI'!$C$13)</f>
        <v>0.015</v>
      </c>
      <c r="J1995" s="75">
        <f>'THAM_SO_MOI'!$C$40*('THAM_SO_MOI'!$C$23*(E1995/'THAM_SO_MOI'!$C$22)+'THAM_SO_MOI'!$C$24*(E1995/'THAM_SO_MOI'!$C$22)^2-'THAM_SO_MOI'!$C$25*(E1995/'THAM_SO_MOI'!$C$22)^3)</f>
        <v>91.11993850419181</v>
      </c>
      <c r="K1995" s="75">
        <f>'THAM_SO_MOI'!$C$31*J1995/E1995</f>
        <v>429.19331604284474</v>
      </c>
      <c r="L1995" s="75">
        <f>K1995*'THAM_SO_MOI'!$C$51*'THAM_SO_MOI'!$C$17/'THAM_SO_MOI'!$C$26</f>
        <v>9596.423717160127</v>
      </c>
      <c r="M1995" s="75">
        <f>'THAM_SO_MOI'!$C$15*'THAM_SO_MOI'!$C$16*F1995^2</f>
        <v>190.60557519731708</v>
      </c>
      <c r="N1995" s="75">
        <f>'THAM_SO_MOI'!$C$12*I1995</f>
        <v>1130.112</v>
      </c>
      <c r="O1995" s="75">
        <f>M1995+N1995</f>
        <v>1320.7175751973173</v>
      </c>
      <c r="P1995" s="75">
        <f>(MIN(L1995,'THAM_SO_MOI'!$C$41)-O1995)/('THAM_SO_MOI'!$C$11*H1995)</f>
        <v>0.7836842937464784</v>
      </c>
      <c r="Q1995" s="75">
        <f>IF(P1995&gt;0,1/P1995,NA())</f>
        <v>1.2760240417980095</v>
      </c>
      <c r="R1995" s="75">
        <f>F1995-F1994</f>
        <v>0.005028991339518285</v>
      </c>
      <c r="S1995" s="75">
        <f>0.5*(Q1994+Q1995)*R1995</f>
        <v>0.006417170068610422</v>
      </c>
      <c r="T1995" s="75">
        <f>0.5*(F1994*Q1994+F1995*Q1995)*R1995</f>
        <v>0.05178608889516754</v>
      </c>
      <c r="U1995" s="76">
        <f>U1994+S1995</f>
        <v>10.020069902323337</v>
      </c>
      <c r="V1995" s="76">
        <f>V1994+T1995</f>
        <v>48.485239287468325</v>
      </c>
    </row>
    <row r="1996" spans="1:22" ht="19" customHeight="1">
      <c r="A1996" s="68" t="s">
        <v>374</v>
      </c>
      <c r="B1996" s="74">
        <v>3</v>
      </c>
      <c r="C1996" s="68" t="s">
        <v>363</v>
      </c>
      <c r="D1996" s="68" t="s">
        <v>364</v>
      </c>
      <c r="E1996" s="75">
        <f>60*F1996*'THAM_SO_MOI'!$C$51/(2*PI()*'THAM_SO_MOI'!$C$26)</f>
        <v>2029.010339234025</v>
      </c>
      <c r="F1996" s="75">
        <f>'HANH_TRINH'!$F$1647+('THAM_SO_MOI'!$F$51-'HANH_TRINH'!$F$1647)*348/'THAM_SO_MOI'!$C$42</f>
        <v>8.077469713497715</v>
      </c>
      <c r="G1996" s="75">
        <f>3.6*F1996</f>
        <v>29.078890968591775</v>
      </c>
      <c r="H1996" s="75">
        <f>'THAM_SO_MOI'!$D$51</f>
        <v>1.375</v>
      </c>
      <c r="I1996" s="75">
        <f>IF(F1996&gt;'THAM_SO_MOI'!$C$14,'THAM_SO_MOI'!$C$13*(1+F1996^2/1500),'THAM_SO_MOI'!$C$13)</f>
        <v>0.015</v>
      </c>
      <c r="J1996" s="75">
        <f>'THAM_SO_MOI'!$C$40*('THAM_SO_MOI'!$C$23*(E1996/'THAM_SO_MOI'!$C$22)+'THAM_SO_MOI'!$C$24*(E1996/'THAM_SO_MOI'!$C$22)^2-'THAM_SO_MOI'!$C$25*(E1996/'THAM_SO_MOI'!$C$22)^3)</f>
        <v>91.18030499541696</v>
      </c>
      <c r="K1996" s="75">
        <f>'THAM_SO_MOI'!$C$31*J1996/E1996</f>
        <v>429.2102638186854</v>
      </c>
      <c r="L1996" s="75">
        <f>K1996*'THAM_SO_MOI'!$C$51*'THAM_SO_MOI'!$C$17/'THAM_SO_MOI'!$C$26</f>
        <v>9596.80265604839</v>
      </c>
      <c r="M1996" s="75">
        <f>'THAM_SO_MOI'!$C$15*'THAM_SO_MOI'!$C$16*F1996^2</f>
        <v>190.8431371444831</v>
      </c>
      <c r="N1996" s="75">
        <f>'THAM_SO_MOI'!$C$12*I1996</f>
        <v>1130.112</v>
      </c>
      <c r="O1996" s="75">
        <f>M1996+N1996</f>
        <v>1320.9551371444832</v>
      </c>
      <c r="P1996" s="75">
        <f>(MIN(L1996,'THAM_SO_MOI'!$C$41)-O1996)/('THAM_SO_MOI'!$C$11*H1996)</f>
        <v>0.783697681714385</v>
      </c>
      <c r="Q1996" s="75">
        <f>IF(P1996&gt;0,1/P1996,NA())</f>
        <v>1.2760022433809437</v>
      </c>
      <c r="R1996" s="75">
        <f>F1996-F1995</f>
        <v>0.005028991339516509</v>
      </c>
      <c r="S1996" s="75">
        <f>0.5*(Q1995+Q1996)*R1996</f>
        <v>0.006417059043191721</v>
      </c>
      <c r="T1996" s="75">
        <f>0.5*(F1995*Q1995+F1996*Q1996)*R1996</f>
        <v>0.05181746426610647</v>
      </c>
      <c r="U1996" s="76">
        <f>U1995+S1996</f>
        <v>10.02648696136653</v>
      </c>
      <c r="V1996" s="76">
        <f>V1995+T1996</f>
        <v>48.53705675173443</v>
      </c>
    </row>
    <row r="1997" spans="1:22" ht="19" customHeight="1">
      <c r="A1997" s="68" t="s">
        <v>374</v>
      </c>
      <c r="B1997" s="74">
        <v>3</v>
      </c>
      <c r="C1997" s="68" t="s">
        <v>363</v>
      </c>
      <c r="D1997" s="68" t="s">
        <v>364</v>
      </c>
      <c r="E1997" s="75">
        <f>60*F1997*'THAM_SO_MOI'!$C$51/(2*PI()*'THAM_SO_MOI'!$C$26)</f>
        <v>2030.273590695897</v>
      </c>
      <c r="F1997" s="75">
        <f>'HANH_TRINH'!$F$1647+('THAM_SO_MOI'!$F$51-'HANH_TRINH'!$F$1647)*349/'THAM_SO_MOI'!$C$42</f>
        <v>8.082498704837233</v>
      </c>
      <c r="G1997" s="75">
        <f>3.6*F1997</f>
        <v>29.09699533741404</v>
      </c>
      <c r="H1997" s="75">
        <f>'THAM_SO_MOI'!$D$51</f>
        <v>1.375</v>
      </c>
      <c r="I1997" s="75">
        <f>IF(F1997&gt;'THAM_SO_MOI'!$C$14,'THAM_SO_MOI'!$C$13*(1+F1997^2/1500),'THAM_SO_MOI'!$C$13)</f>
        <v>0.015</v>
      </c>
      <c r="J1997" s="75">
        <f>'THAM_SO_MOI'!$C$40*('THAM_SO_MOI'!$C$23*(E1997/'THAM_SO_MOI'!$C$22)+'THAM_SO_MOI'!$C$24*(E1997/'THAM_SO_MOI'!$C$22)^2-'THAM_SO_MOI'!$C$25*(E1997/'THAM_SO_MOI'!$C$22)^3)</f>
        <v>91.24064306039136</v>
      </c>
      <c r="K1997" s="75">
        <f>'THAM_SO_MOI'!$C$31*J1997/E1997</f>
        <v>429.2270567776954</v>
      </c>
      <c r="L1997" s="75">
        <f>K1997*'THAM_SO_MOI'!$C$51*'THAM_SO_MOI'!$C$17/'THAM_SO_MOI'!$C$26</f>
        <v>9597.178133354539</v>
      </c>
      <c r="M1997" s="75">
        <f>'THAM_SO_MOI'!$C$15*'THAM_SO_MOI'!$C$16*F1997^2</f>
        <v>191.08084704255953</v>
      </c>
      <c r="N1997" s="75">
        <f>'THAM_SO_MOI'!$C$12*I1997</f>
        <v>1130.112</v>
      </c>
      <c r="O1997" s="75">
        <f>M1997+N1997</f>
        <v>1321.1928470425596</v>
      </c>
      <c r="P1997" s="75">
        <f>(MIN(L1997,'THAM_SO_MOI'!$C$41)-O1997)/('THAM_SO_MOI'!$C$11*H1997)</f>
        <v>0.7837107278704525</v>
      </c>
      <c r="Q1997" s="75">
        <f>IF(P1997&gt;0,1/P1997,NA())</f>
        <v>1.2759810022216516</v>
      </c>
      <c r="R1997" s="75">
        <f>F1997-F1996</f>
        <v>0.005028991339518285</v>
      </c>
      <c r="S1997" s="75">
        <f>0.5*(Q1996+Q1997)*R1997</f>
        <v>0.006416950820365607</v>
      </c>
      <c r="T1997" s="75">
        <f>0.5*(F1996*Q1996+F1997*Q1997)*R1997</f>
        <v>0.05184886116525715</v>
      </c>
      <c r="U1997" s="76">
        <f>U1996+S1997</f>
        <v>10.032903912186896</v>
      </c>
      <c r="V1997" s="76">
        <f>V1996+T1997</f>
        <v>48.58890561289969</v>
      </c>
    </row>
    <row r="1998" spans="1:22" ht="19" customHeight="1">
      <c r="A1998" s="68" t="s">
        <v>374</v>
      </c>
      <c r="B1998" s="74">
        <v>3</v>
      </c>
      <c r="C1998" s="68" t="s">
        <v>363</v>
      </c>
      <c r="D1998" s="68" t="s">
        <v>364</v>
      </c>
      <c r="E1998" s="75">
        <f>60*F1998*'THAM_SO_MOI'!$C$51/(2*PI()*'THAM_SO_MOI'!$C$26)</f>
        <v>2031.536842157769</v>
      </c>
      <c r="F1998" s="75">
        <f>'HANH_TRINH'!$F$1647+('THAM_SO_MOI'!$F$51-'HANH_TRINH'!$F$1647)*350/'THAM_SO_MOI'!$C$42</f>
        <v>8.087527696176751</v>
      </c>
      <c r="G1998" s="75">
        <f>3.6*F1998</f>
        <v>29.115099706236307</v>
      </c>
      <c r="H1998" s="75">
        <f>'THAM_SO_MOI'!$D$51</f>
        <v>1.375</v>
      </c>
      <c r="I1998" s="75">
        <f>IF(F1998&gt;'THAM_SO_MOI'!$C$14,'THAM_SO_MOI'!$C$13*(1+F1998^2/1500),'THAM_SO_MOI'!$C$13)</f>
        <v>0.015</v>
      </c>
      <c r="J1998" s="75">
        <f>'THAM_SO_MOI'!$C$40*('THAM_SO_MOI'!$C$23*(E1998/'THAM_SO_MOI'!$C$22)+'THAM_SO_MOI'!$C$24*(E1998/'THAM_SO_MOI'!$C$22)^2-'THAM_SO_MOI'!$C$25*(E1998/'THAM_SO_MOI'!$C$22)^3)</f>
        <v>91.30095263768571</v>
      </c>
      <c r="K1998" s="75">
        <f>'THAM_SO_MOI'!$C$31*J1998/E1998</f>
        <v>429.24369491987494</v>
      </c>
      <c r="L1998" s="75">
        <f>K1998*'THAM_SO_MOI'!$C$51*'THAM_SO_MOI'!$C$17/'THAM_SO_MOI'!$C$26</f>
        <v>9597.55014907858</v>
      </c>
      <c r="M1998" s="75">
        <f>'THAM_SO_MOI'!$C$15*'THAM_SO_MOI'!$C$16*F1998^2</f>
        <v>191.31870489154616</v>
      </c>
      <c r="N1998" s="75">
        <f>'THAM_SO_MOI'!$C$12*I1998</f>
        <v>1130.112</v>
      </c>
      <c r="O1998" s="75">
        <f>M1998+N1998</f>
        <v>1321.4307048915462</v>
      </c>
      <c r="P1998" s="75">
        <f>(MIN(L1998,'THAM_SO_MOI'!$C$41)-O1998)/('THAM_SO_MOI'!$C$11*H1998)</f>
        <v>0.7837234322146811</v>
      </c>
      <c r="Q1998" s="75">
        <f>IF(P1998&gt;0,1/P1998,NA())</f>
        <v>1.2759603182645118</v>
      </c>
      <c r="R1998" s="75">
        <f>F1998-F1997</f>
        <v>0.005028991339518285</v>
      </c>
      <c r="S1998" s="75">
        <f>0.5*(Q1997+Q1998)*R1998</f>
        <v>0.006416845399841885</v>
      </c>
      <c r="T1998" s="75">
        <f>0.5*(F1997*Q1997+F1998*Q1998)*R1998</f>
        <v>0.051880279632556</v>
      </c>
      <c r="U1998" s="76">
        <f>U1997+S1998</f>
        <v>10.039320757586738</v>
      </c>
      <c r="V1998" s="76">
        <f>V1997+T1998</f>
        <v>48.64078589253224</v>
      </c>
    </row>
    <row r="1999" spans="1:22" ht="19" customHeight="1">
      <c r="A1999" s="68" t="s">
        <v>374</v>
      </c>
      <c r="B1999" s="74">
        <v>3</v>
      </c>
      <c r="C1999" s="68" t="s">
        <v>363</v>
      </c>
      <c r="D1999" s="68" t="s">
        <v>364</v>
      </c>
      <c r="E1999" s="75">
        <f>60*F1999*'THAM_SO_MOI'!$C$51/(2*PI()*'THAM_SO_MOI'!$C$26)</f>
        <v>2032.8000936196404</v>
      </c>
      <c r="F1999" s="75">
        <f>'HANH_TRINH'!$F$1647+('THAM_SO_MOI'!$F$51-'HANH_TRINH'!$F$1647)*351/'THAM_SO_MOI'!$C$42</f>
        <v>8.092556687516268</v>
      </c>
      <c r="G1999" s="75">
        <f>3.6*F1999</f>
        <v>29.133204075058565</v>
      </c>
      <c r="H1999" s="75">
        <f>'THAM_SO_MOI'!$D$51</f>
        <v>1.375</v>
      </c>
      <c r="I1999" s="75">
        <f>IF(F1999&gt;'THAM_SO_MOI'!$C$14,'THAM_SO_MOI'!$C$13*(1+F1999^2/1500),'THAM_SO_MOI'!$C$13)</f>
        <v>0.015</v>
      </c>
      <c r="J1999" s="75">
        <f>'THAM_SO_MOI'!$C$40*('THAM_SO_MOI'!$C$23*(E1999/'THAM_SO_MOI'!$C$22)+'THAM_SO_MOI'!$C$24*(E1999/'THAM_SO_MOI'!$C$22)^2-'THAM_SO_MOI'!$C$25*(E1999/'THAM_SO_MOI'!$C$22)^3)</f>
        <v>91.36123366587066</v>
      </c>
      <c r="K1999" s="75">
        <f>'THAM_SO_MOI'!$C$31*J1999/E1999</f>
        <v>429.26017824522415</v>
      </c>
      <c r="L1999" s="75">
        <f>K1999*'THAM_SO_MOI'!$C$51*'THAM_SO_MOI'!$C$17/'THAM_SO_MOI'!$C$26</f>
        <v>9597.918703220515</v>
      </c>
      <c r="M1999" s="75">
        <f>'THAM_SO_MOI'!$C$15*'THAM_SO_MOI'!$C$16*F1999^2</f>
        <v>191.55671069144302</v>
      </c>
      <c r="N1999" s="75">
        <f>'THAM_SO_MOI'!$C$12*I1999</f>
        <v>1130.112</v>
      </c>
      <c r="O1999" s="75">
        <f>M1999+N1999</f>
        <v>1321.668710691443</v>
      </c>
      <c r="P1999" s="75">
        <f>(MIN(L1999,'THAM_SO_MOI'!$C$41)-O1999)/('THAM_SO_MOI'!$C$11*H1999)</f>
        <v>0.7837357947470712</v>
      </c>
      <c r="Q1999" s="75">
        <f>IF(P1999&gt;0,1/P1999,NA())</f>
        <v>1.275940191455364</v>
      </c>
      <c r="R1999" s="75">
        <f>F1999-F1998</f>
        <v>0.005028991339516509</v>
      </c>
      <c r="S1999" s="75">
        <f>0.5*(Q1998+Q1999)*R1999</f>
        <v>0.00641674278134451</v>
      </c>
      <c r="T1999" s="75">
        <f>0.5*(F1998*Q1998+F1999*Q1999)*R1999</f>
        <v>0.05191171970804807</v>
      </c>
      <c r="U1999" s="76">
        <f>U1998+S1999</f>
        <v>10.045737500368082</v>
      </c>
      <c r="V1999" s="76">
        <f>V1998+T1999</f>
        <v>48.69269761224029</v>
      </c>
    </row>
    <row r="2000" spans="1:22" ht="19" customHeight="1">
      <c r="A2000" s="68" t="s">
        <v>374</v>
      </c>
      <c r="B2000" s="74">
        <v>3</v>
      </c>
      <c r="C2000" s="68" t="s">
        <v>363</v>
      </c>
      <c r="D2000" s="68" t="s">
        <v>364</v>
      </c>
      <c r="E2000" s="75">
        <f>60*F2000*'THAM_SO_MOI'!$C$51/(2*PI()*'THAM_SO_MOI'!$C$26)</f>
        <v>2034.0633450815121</v>
      </c>
      <c r="F2000" s="75">
        <f>'HANH_TRINH'!$F$1647+('THAM_SO_MOI'!$F$51-'HANH_TRINH'!$F$1647)*352/'THAM_SO_MOI'!$C$42</f>
        <v>8.097585678855786</v>
      </c>
      <c r="G2000" s="75">
        <f>3.6*F2000</f>
        <v>29.151308443880833</v>
      </c>
      <c r="H2000" s="75">
        <f>'THAM_SO_MOI'!$D$51</f>
        <v>1.375</v>
      </c>
      <c r="I2000" s="75">
        <f>IF(F2000&gt;'THAM_SO_MOI'!$C$14,'THAM_SO_MOI'!$C$13*(1+F2000^2/1500),'THAM_SO_MOI'!$C$13)</f>
        <v>0.015</v>
      </c>
      <c r="J2000" s="75">
        <f>'THAM_SO_MOI'!$C$40*('THAM_SO_MOI'!$C$23*(E2000/'THAM_SO_MOI'!$C$22)+'THAM_SO_MOI'!$C$24*(E2000/'THAM_SO_MOI'!$C$22)^2-'THAM_SO_MOI'!$C$25*(E2000/'THAM_SO_MOI'!$C$22)^3)</f>
        <v>91.42148608351678</v>
      </c>
      <c r="K2000" s="75">
        <f>'THAM_SO_MOI'!$C$31*J2000/E2000</f>
        <v>429.2765067537426</v>
      </c>
      <c r="L2000" s="75">
        <f>K2000*'THAM_SO_MOI'!$C$51*'THAM_SO_MOI'!$C$17/'THAM_SO_MOI'!$C$26</f>
        <v>9598.283795780337</v>
      </c>
      <c r="M2000" s="75">
        <f>'THAM_SO_MOI'!$C$15*'THAM_SO_MOI'!$C$16*F2000^2</f>
        <v>191.79486444225023</v>
      </c>
      <c r="N2000" s="75">
        <f>'THAM_SO_MOI'!$C$12*I2000</f>
        <v>1130.112</v>
      </c>
      <c r="O2000" s="75">
        <f>M2000+N2000</f>
        <v>1321.9068644422503</v>
      </c>
      <c r="P2000" s="75">
        <f>(MIN(L2000,'THAM_SO_MOI'!$C$41)-O2000)/('THAM_SO_MOI'!$C$11*H2000)</f>
        <v>0.7837478154676218</v>
      </c>
      <c r="Q2000" s="75">
        <f>IF(P2000&gt;0,1/P2000,NA())</f>
        <v>1.2759206217415122</v>
      </c>
      <c r="R2000" s="75">
        <f>F2000-F1999</f>
        <v>0.005028991339518285</v>
      </c>
      <c r="S2000" s="75">
        <f>0.5*(Q1999+Q2000)*R2000</f>
        <v>0.0064166429646115904</v>
      </c>
      <c r="T2000" s="75">
        <f>0.5*(F1999*Q1999+F2000*Q2000)*R2000</f>
        <v>0.05194318143188743</v>
      </c>
      <c r="U2000" s="76">
        <f>U1999+S2000</f>
        <v>10.052154143332693</v>
      </c>
      <c r="V2000" s="76">
        <f>V1999+T2000</f>
        <v>48.744640793672176</v>
      </c>
    </row>
    <row r="2001" spans="1:22" ht="19" customHeight="1">
      <c r="A2001" s="68" t="s">
        <v>374</v>
      </c>
      <c r="B2001" s="74">
        <v>3</v>
      </c>
      <c r="C2001" s="68" t="s">
        <v>363</v>
      </c>
      <c r="D2001" s="68" t="s">
        <v>364</v>
      </c>
      <c r="E2001" s="75">
        <f>60*F2001*'THAM_SO_MOI'!$C$51/(2*PI()*'THAM_SO_MOI'!$C$26)</f>
        <v>2035.3265965433834</v>
      </c>
      <c r="F2001" s="75">
        <f>'HANH_TRINH'!$F$1647+('THAM_SO_MOI'!$F$51-'HANH_TRINH'!$F$1647)*353/'THAM_SO_MOI'!$C$42</f>
        <v>8.102614670195305</v>
      </c>
      <c r="G2001" s="75">
        <f>3.6*F2001</f>
        <v>29.169412812703097</v>
      </c>
      <c r="H2001" s="75">
        <f>'THAM_SO_MOI'!$D$51</f>
        <v>1.375</v>
      </c>
      <c r="I2001" s="75">
        <f>IF(F2001&gt;'THAM_SO_MOI'!$C$14,'THAM_SO_MOI'!$C$13*(1+F2001^2/1500),'THAM_SO_MOI'!$C$13)</f>
        <v>0.015</v>
      </c>
      <c r="J2001" s="75">
        <f>'THAM_SO_MOI'!$C$40*('THAM_SO_MOI'!$C$23*(E2001/'THAM_SO_MOI'!$C$22)+'THAM_SO_MOI'!$C$24*(E2001/'THAM_SO_MOI'!$C$22)^2-'THAM_SO_MOI'!$C$25*(E2001/'THAM_SO_MOI'!$C$22)^3)</f>
        <v>91.48170982919478</v>
      </c>
      <c r="K2001" s="75">
        <f>'THAM_SO_MOI'!$C$31*J2001/E2001</f>
        <v>429.2926804454307</v>
      </c>
      <c r="L2001" s="75">
        <f>K2001*'THAM_SO_MOI'!$C$51*'THAM_SO_MOI'!$C$17/'THAM_SO_MOI'!$C$26</f>
        <v>9598.645426758052</v>
      </c>
      <c r="M2001" s="75">
        <f>'THAM_SO_MOI'!$C$15*'THAM_SO_MOI'!$C$16*F2001^2</f>
        <v>192.0331661439677</v>
      </c>
      <c r="N2001" s="75">
        <f>'THAM_SO_MOI'!$C$12*I2001</f>
        <v>1130.112</v>
      </c>
      <c r="O2001" s="75">
        <f>M2001+N2001</f>
        <v>1322.1451661439678</v>
      </c>
      <c r="P2001" s="75">
        <f>(MIN(L2001,'THAM_SO_MOI'!$C$41)-O2001)/('THAM_SO_MOI'!$C$11*H2001)</f>
        <v>0.7837594943763337</v>
      </c>
      <c r="Q2001" s="75">
        <f>IF(P2001&gt;0,1/P2001,NA())</f>
        <v>1.2759016090717177</v>
      </c>
      <c r="R2001" s="75">
        <f>F2001-F2000</f>
        <v>0.005028991339518285</v>
      </c>
      <c r="S2001" s="75">
        <f>0.5*(Q2000+Q2001)*R2001</f>
        <v>0.0064165459493749815</v>
      </c>
      <c r="T2001" s="75">
        <f>0.5*(F2000*Q2000+F2001*Q2001)*R2001</f>
        <v>0.05197466484417228</v>
      </c>
      <c r="U2001" s="76">
        <f>U2000+S2001</f>
        <v>10.058570689282067</v>
      </c>
      <c r="V2001" s="76">
        <f>V2000+T2001</f>
        <v>48.79661545851635</v>
      </c>
    </row>
    <row r="2002" spans="1:22" ht="19" customHeight="1">
      <c r="A2002" s="68" t="s">
        <v>374</v>
      </c>
      <c r="B2002" s="74">
        <v>3</v>
      </c>
      <c r="C2002" s="68" t="s">
        <v>363</v>
      </c>
      <c r="D2002" s="68" t="s">
        <v>364</v>
      </c>
      <c r="E2002" s="75">
        <f>60*F2002*'THAM_SO_MOI'!$C$51/(2*PI()*'THAM_SO_MOI'!$C$26)</f>
        <v>2036.5898480052556</v>
      </c>
      <c r="F2002" s="75">
        <f>'HANH_TRINH'!$F$1647+('THAM_SO_MOI'!$F$51-'HANH_TRINH'!$F$1647)*354/'THAM_SO_MOI'!$C$42</f>
        <v>8.107643661534823</v>
      </c>
      <c r="G2002" s="75">
        <f>3.6*F2002</f>
        <v>29.18751718152536</v>
      </c>
      <c r="H2002" s="75">
        <f>'THAM_SO_MOI'!$D$51</f>
        <v>1.375</v>
      </c>
      <c r="I2002" s="75">
        <f>IF(F2002&gt;'THAM_SO_MOI'!$C$14,'THAM_SO_MOI'!$C$13*(1+F2002^2/1500),'THAM_SO_MOI'!$C$13)</f>
        <v>0.015</v>
      </c>
      <c r="J2002" s="75">
        <f>'THAM_SO_MOI'!$C$40*('THAM_SO_MOI'!$C$23*(E2002/'THAM_SO_MOI'!$C$22)+'THAM_SO_MOI'!$C$24*(E2002/'THAM_SO_MOI'!$C$22)^2-'THAM_SO_MOI'!$C$25*(E2002/'THAM_SO_MOI'!$C$22)^3)</f>
        <v>91.54190484147533</v>
      </c>
      <c r="K2002" s="75">
        <f>'THAM_SO_MOI'!$C$31*J2002/E2002</f>
        <v>429.3086993202881</v>
      </c>
      <c r="L2002" s="75">
        <f>K2002*'THAM_SO_MOI'!$C$51*'THAM_SO_MOI'!$C$17/'THAM_SO_MOI'!$C$26</f>
        <v>9599.003596153654</v>
      </c>
      <c r="M2002" s="75">
        <f>'THAM_SO_MOI'!$C$15*'THAM_SO_MOI'!$C$16*F2002^2</f>
        <v>192.27161579659546</v>
      </c>
      <c r="N2002" s="75">
        <f>'THAM_SO_MOI'!$C$12*I2002</f>
        <v>1130.112</v>
      </c>
      <c r="O2002" s="75">
        <f>M2002+N2002</f>
        <v>1322.3836157965954</v>
      </c>
      <c r="P2002" s="75">
        <f>(MIN(L2002,'THAM_SO_MOI'!$C$41)-O2002)/('THAM_SO_MOI'!$C$11*H2002)</f>
        <v>0.7837708314732065</v>
      </c>
      <c r="Q2002" s="75">
        <f>IF(P2002&gt;0,1/P2002,NA())</f>
        <v>1.2758831533962047</v>
      </c>
      <c r="R2002" s="75">
        <f>F2002-F2001</f>
        <v>0.005028991339518285</v>
      </c>
      <c r="S2002" s="75">
        <f>0.5*(Q2001+Q2002)*R2002</f>
        <v>0.0064164517353829525</v>
      </c>
      <c r="T2002" s="75">
        <f>0.5*(F2001*Q2001+F2002*Q2002)*R2002</f>
        <v>0.05200616998512839</v>
      </c>
      <c r="U2002" s="76">
        <f>U2001+S2002</f>
        <v>10.06498714101745</v>
      </c>
      <c r="V2002" s="76">
        <f>V2001+T2002</f>
        <v>48.848621628501476</v>
      </c>
    </row>
    <row r="2003" spans="1:22" ht="19" customHeight="1">
      <c r="A2003" s="68" t="s">
        <v>374</v>
      </c>
      <c r="B2003" s="74">
        <v>3</v>
      </c>
      <c r="C2003" s="68" t="s">
        <v>363</v>
      </c>
      <c r="D2003" s="68" t="s">
        <v>364</v>
      </c>
      <c r="E2003" s="75">
        <f>60*F2003*'THAM_SO_MOI'!$C$51/(2*PI()*'THAM_SO_MOI'!$C$26)</f>
        <v>2037.8530994671269</v>
      </c>
      <c r="F2003" s="75">
        <f>'HANH_TRINH'!$F$1647+('THAM_SO_MOI'!$F$51-'HANH_TRINH'!$F$1647)*355/'THAM_SO_MOI'!$C$42</f>
        <v>8.11267265287434</v>
      </c>
      <c r="G2003" s="75">
        <f>3.6*F2003</f>
        <v>29.205621550347622</v>
      </c>
      <c r="H2003" s="75">
        <f>'THAM_SO_MOI'!$D$51</f>
        <v>1.375</v>
      </c>
      <c r="I2003" s="75">
        <f>IF(F2003&gt;'THAM_SO_MOI'!$C$14,'THAM_SO_MOI'!$C$13*(1+F2003^2/1500),'THAM_SO_MOI'!$C$13)</f>
        <v>0.015</v>
      </c>
      <c r="J2003" s="75">
        <f>'THAM_SO_MOI'!$C$40*('THAM_SO_MOI'!$C$23*(E2003/'THAM_SO_MOI'!$C$22)+'THAM_SO_MOI'!$C$24*(E2003/'THAM_SO_MOI'!$C$22)^2-'THAM_SO_MOI'!$C$25*(E2003/'THAM_SO_MOI'!$C$22)^3)</f>
        <v>91.60207105892906</v>
      </c>
      <c r="K2003" s="75">
        <f>'THAM_SO_MOI'!$C$31*J2003/E2003</f>
        <v>429.32456337831525</v>
      </c>
      <c r="L2003" s="75">
        <f>K2003*'THAM_SO_MOI'!$C$51*'THAM_SO_MOI'!$C$17/'THAM_SO_MOI'!$C$26</f>
        <v>9599.358303967156</v>
      </c>
      <c r="M2003" s="75">
        <f>'THAM_SO_MOI'!$C$15*'THAM_SO_MOI'!$C$16*F2003^2</f>
        <v>192.5102134001334</v>
      </c>
      <c r="N2003" s="75">
        <f>'THAM_SO_MOI'!$C$12*I2003</f>
        <v>1130.112</v>
      </c>
      <c r="O2003" s="75">
        <f>M2003+N2003</f>
        <v>1322.6222134001334</v>
      </c>
      <c r="P2003" s="75">
        <f>(MIN(L2003,'THAM_SO_MOI'!$C$41)-O2003)/('THAM_SO_MOI'!$C$11*H2003)</f>
        <v>0.7837818267582406</v>
      </c>
      <c r="Q2003" s="75">
        <f>IF(P2003&gt;0,1/P2003,NA())</f>
        <v>1.2758652546666567</v>
      </c>
      <c r="R2003" s="75">
        <f>F2003-F2002</f>
        <v>0.005028991339516509</v>
      </c>
      <c r="S2003" s="75">
        <f>0.5*(Q2002+Q2003)*R2003</f>
        <v>0.006416360322386585</v>
      </c>
      <c r="T2003" s="75">
        <f>0.5*(F2002*Q2002+F2003*Q2003)*R2003</f>
        <v>0.05203769689499928</v>
      </c>
      <c r="U2003" s="76">
        <f>U2002+S2003</f>
        <v>10.071403501339837</v>
      </c>
      <c r="V2003" s="76">
        <f>V2002+T2003</f>
        <v>48.900659325396475</v>
      </c>
    </row>
    <row r="2004" spans="1:22" ht="19" customHeight="1">
      <c r="A2004" s="68" t="s">
        <v>374</v>
      </c>
      <c r="B2004" s="74">
        <v>3</v>
      </c>
      <c r="C2004" s="68" t="s">
        <v>363</v>
      </c>
      <c r="D2004" s="68" t="s">
        <v>364</v>
      </c>
      <c r="E2004" s="75">
        <f>60*F2004*'THAM_SO_MOI'!$C$51/(2*PI()*'THAM_SO_MOI'!$C$26)</f>
        <v>2039.1163509289986</v>
      </c>
      <c r="F2004" s="75">
        <f>'HANH_TRINH'!$F$1647+('THAM_SO_MOI'!$F$51-'HANH_TRINH'!$F$1647)*356/'THAM_SO_MOI'!$C$42</f>
        <v>8.117701644213858</v>
      </c>
      <c r="G2004" s="75">
        <f>3.6*F2004</f>
        <v>29.223725919169887</v>
      </c>
      <c r="H2004" s="75">
        <f>'THAM_SO_MOI'!$D$51</f>
        <v>1.375</v>
      </c>
      <c r="I2004" s="75">
        <f>IF(F2004&gt;'THAM_SO_MOI'!$C$14,'THAM_SO_MOI'!$C$13*(1+F2004^2/1500),'THAM_SO_MOI'!$C$13)</f>
        <v>0.015</v>
      </c>
      <c r="J2004" s="75">
        <f>'THAM_SO_MOI'!$C$40*('THAM_SO_MOI'!$C$23*(E2004/'THAM_SO_MOI'!$C$22)+'THAM_SO_MOI'!$C$24*(E2004/'THAM_SO_MOI'!$C$22)^2-'THAM_SO_MOI'!$C$25*(E2004/'THAM_SO_MOI'!$C$22)^3)</f>
        <v>91.66220842012659</v>
      </c>
      <c r="K2004" s="75">
        <f>'THAM_SO_MOI'!$C$31*J2004/E2004</f>
        <v>429.3402726195118</v>
      </c>
      <c r="L2004" s="75">
        <f>K2004*'THAM_SO_MOI'!$C$51*'THAM_SO_MOI'!$C$17/'THAM_SO_MOI'!$C$26</f>
        <v>9599.709550198542</v>
      </c>
      <c r="M2004" s="75">
        <f>'THAM_SO_MOI'!$C$15*'THAM_SO_MOI'!$C$16*F2004^2</f>
        <v>192.7489589545817</v>
      </c>
      <c r="N2004" s="75">
        <f>'THAM_SO_MOI'!$C$12*I2004</f>
        <v>1130.112</v>
      </c>
      <c r="O2004" s="75">
        <f>M2004+N2004</f>
        <v>1322.8609589545817</v>
      </c>
      <c r="P2004" s="75">
        <f>(MIN(L2004,'THAM_SO_MOI'!$C$41)-O2004)/('THAM_SO_MOI'!$C$11*H2004)</f>
        <v>0.7837924802314357</v>
      </c>
      <c r="Q2004" s="75">
        <f>IF(P2004&gt;0,1/P2004,NA())</f>
        <v>1.2758479128362181</v>
      </c>
      <c r="R2004" s="75">
        <f>F2004-F2003</f>
        <v>0.005028991339518285</v>
      </c>
      <c r="S2004" s="75">
        <f>0.5*(Q2003+Q2004)*R2004</f>
        <v>0.006416271710153364</v>
      </c>
      <c r="T2004" s="75">
        <f>0.5*(F2003*Q2003+F2004*Q2004)*R2004</f>
        <v>0.05206924561415665</v>
      </c>
      <c r="U2004" s="76">
        <f>U2003+S2004</f>
        <v>10.07781977304999</v>
      </c>
      <c r="V2004" s="76">
        <f>V2003+T2004</f>
        <v>48.95272857101063</v>
      </c>
    </row>
    <row r="2005" spans="1:22" ht="19" customHeight="1">
      <c r="A2005" s="68" t="s">
        <v>374</v>
      </c>
      <c r="B2005" s="74">
        <v>3</v>
      </c>
      <c r="C2005" s="68" t="s">
        <v>363</v>
      </c>
      <c r="D2005" s="68" t="s">
        <v>364</v>
      </c>
      <c r="E2005" s="75">
        <f>60*F2005*'THAM_SO_MOI'!$C$51/(2*PI()*'THAM_SO_MOI'!$C$26)</f>
        <v>2040.3796023908696</v>
      </c>
      <c r="F2005" s="75">
        <f>'HANH_TRINH'!$F$1647+('THAM_SO_MOI'!$F$51-'HANH_TRINH'!$F$1647)*357/'THAM_SO_MOI'!$C$42</f>
        <v>8.122730635553374</v>
      </c>
      <c r="G2005" s="75">
        <f>3.6*F2005</f>
        <v>29.241830287992148</v>
      </c>
      <c r="H2005" s="75">
        <f>'THAM_SO_MOI'!$D$51</f>
        <v>1.375</v>
      </c>
      <c r="I2005" s="75">
        <f>IF(F2005&gt;'THAM_SO_MOI'!$C$14,'THAM_SO_MOI'!$C$13*(1+F2005^2/1500),'THAM_SO_MOI'!$C$13)</f>
        <v>0.015</v>
      </c>
      <c r="J2005" s="75">
        <f>'THAM_SO_MOI'!$C$40*('THAM_SO_MOI'!$C$23*(E2005/'THAM_SO_MOI'!$C$22)+'THAM_SO_MOI'!$C$24*(E2005/'THAM_SO_MOI'!$C$22)^2-'THAM_SO_MOI'!$C$25*(E2005/'THAM_SO_MOI'!$C$22)^3)</f>
        <v>91.72231686363857</v>
      </c>
      <c r="K2005" s="75">
        <f>'THAM_SO_MOI'!$C$31*J2005/E2005</f>
        <v>429.3558270438777</v>
      </c>
      <c r="L2005" s="75">
        <f>K2005*'THAM_SO_MOI'!$C$51*'THAM_SO_MOI'!$C$17/'THAM_SO_MOI'!$C$26</f>
        <v>9600.05733484782</v>
      </c>
      <c r="M2005" s="75">
        <f>'THAM_SO_MOI'!$C$15*'THAM_SO_MOI'!$C$16*F2005^2</f>
        <v>192.9878524599402</v>
      </c>
      <c r="N2005" s="75">
        <f>'THAM_SO_MOI'!$C$12*I2005</f>
        <v>1130.112</v>
      </c>
      <c r="O2005" s="75">
        <f>M2005+N2005</f>
        <v>1323.0998524599404</v>
      </c>
      <c r="P2005" s="75">
        <f>(MIN(L2005,'THAM_SO_MOI'!$C$41)-O2005)/('THAM_SO_MOI'!$C$11*H2005)</f>
        <v>0.7838027918927916</v>
      </c>
      <c r="Q2005" s="75">
        <f>IF(P2005&gt;0,1/P2005,NA())</f>
        <v>1.2758311278594934</v>
      </c>
      <c r="R2005" s="75">
        <f>F2005-F2004</f>
        <v>0.005028991339516509</v>
      </c>
      <c r="S2005" s="75">
        <f>0.5*(Q2004+Q2005)*R2005</f>
        <v>0.006416185898442264</v>
      </c>
      <c r="T2005" s="75">
        <f>0.5*(F2004*Q2004+F2005*Q2005)*R2005</f>
        <v>0.052100816182898343</v>
      </c>
      <c r="U2005" s="76">
        <f>U2004+S2005</f>
        <v>10.084235958948433</v>
      </c>
      <c r="V2005" s="76">
        <f>V2004+T2005</f>
        <v>49.00482938719353</v>
      </c>
    </row>
    <row r="2006" spans="1:22" ht="19" customHeight="1">
      <c r="A2006" s="68" t="s">
        <v>374</v>
      </c>
      <c r="B2006" s="74">
        <v>3</v>
      </c>
      <c r="C2006" s="68" t="s">
        <v>363</v>
      </c>
      <c r="D2006" s="68" t="s">
        <v>364</v>
      </c>
      <c r="E2006" s="75">
        <f>60*F2006*'THAM_SO_MOI'!$C$51/(2*PI()*'THAM_SO_MOI'!$C$26)</f>
        <v>2041.6428538527416</v>
      </c>
      <c r="F2006" s="75">
        <f>'HANH_TRINH'!$F$1647+('THAM_SO_MOI'!$F$51-'HANH_TRINH'!$F$1647)*358/'THAM_SO_MOI'!$C$42</f>
        <v>8.127759626892892</v>
      </c>
      <c r="G2006" s="75">
        <f>3.6*F2006</f>
        <v>29.259934656814412</v>
      </c>
      <c r="H2006" s="75">
        <f>'THAM_SO_MOI'!$D$51</f>
        <v>1.375</v>
      </c>
      <c r="I2006" s="75">
        <f>IF(F2006&gt;'THAM_SO_MOI'!$C$14,'THAM_SO_MOI'!$C$13*(1+F2006^2/1500),'THAM_SO_MOI'!$C$13)</f>
        <v>0.015</v>
      </c>
      <c r="J2006" s="75">
        <f>'THAM_SO_MOI'!$C$40*('THAM_SO_MOI'!$C$23*(E2006/'THAM_SO_MOI'!$C$22)+'THAM_SO_MOI'!$C$24*(E2006/'THAM_SO_MOI'!$C$22)^2-'THAM_SO_MOI'!$C$25*(E2006/'THAM_SO_MOI'!$C$22)^3)</f>
        <v>91.78239632803576</v>
      </c>
      <c r="K2006" s="75">
        <f>'THAM_SO_MOI'!$C$31*J2006/E2006</f>
        <v>429.37122665141345</v>
      </c>
      <c r="L2006" s="75">
        <f>K2006*'THAM_SO_MOI'!$C$51*'THAM_SO_MOI'!$C$17/'THAM_SO_MOI'!$C$26</f>
        <v>9600.401657914996</v>
      </c>
      <c r="M2006" s="75">
        <f>'THAM_SO_MOI'!$C$15*'THAM_SO_MOI'!$C$16*F2006^2</f>
        <v>193.22689391620904</v>
      </c>
      <c r="N2006" s="75">
        <f>'THAM_SO_MOI'!$C$12*I2006</f>
        <v>1130.112</v>
      </c>
      <c r="O2006" s="75">
        <f>M2006+N2006</f>
        <v>1323.3388939162091</v>
      </c>
      <c r="P2006" s="75">
        <f>(MIN(L2006,'THAM_SO_MOI'!$C$41)-O2006)/('THAM_SO_MOI'!$C$11*H2006)</f>
        <v>0.7838127617423094</v>
      </c>
      <c r="Q2006" s="75">
        <f>IF(P2006&gt;0,1/P2006,NA())</f>
        <v>1.2758148996925436</v>
      </c>
      <c r="R2006" s="75">
        <f>F2006-F2005</f>
        <v>0.005028991339518285</v>
      </c>
      <c r="S2006" s="75">
        <f>0.5*(Q2005+Q2006)*R2006</f>
        <v>0.006416102887037715</v>
      </c>
      <c r="T2006" s="75">
        <f>0.5*(F2005*Q2005+F2006*Q2006)*R2006</f>
        <v>0.052132408641724234</v>
      </c>
      <c r="U2006" s="76">
        <f>U2005+S2006</f>
        <v>10.09065206183547</v>
      </c>
      <c r="V2006" s="76">
        <f>V2005+T2006</f>
        <v>49.05696179583526</v>
      </c>
    </row>
    <row r="2007" spans="1:22" ht="19" customHeight="1">
      <c r="A2007" s="68" t="s">
        <v>374</v>
      </c>
      <c r="B2007" s="74">
        <v>3</v>
      </c>
      <c r="C2007" s="68" t="s">
        <v>363</v>
      </c>
      <c r="D2007" s="68" t="s">
        <v>364</v>
      </c>
      <c r="E2007" s="75">
        <f>60*F2007*'THAM_SO_MOI'!$C$51/(2*PI()*'THAM_SO_MOI'!$C$26)</f>
        <v>2042.9061053146133</v>
      </c>
      <c r="F2007" s="75">
        <f>'HANH_TRINH'!$F$1647+('THAM_SO_MOI'!$F$51-'HANH_TRINH'!$F$1647)*359/'THAM_SO_MOI'!$C$42</f>
        <v>8.13278861823241</v>
      </c>
      <c r="G2007" s="75">
        <f>3.6*F2007</f>
        <v>29.27803902563668</v>
      </c>
      <c r="H2007" s="75">
        <f>'THAM_SO_MOI'!$D$51</f>
        <v>1.375</v>
      </c>
      <c r="I2007" s="75">
        <f>IF(F2007&gt;'THAM_SO_MOI'!$C$14,'THAM_SO_MOI'!$C$13*(1+F2007^2/1500),'THAM_SO_MOI'!$C$13)</f>
        <v>0.015</v>
      </c>
      <c r="J2007" s="75">
        <f>'THAM_SO_MOI'!$C$40*('THAM_SO_MOI'!$C$23*(E2007/'THAM_SO_MOI'!$C$22)+'THAM_SO_MOI'!$C$24*(E2007/'THAM_SO_MOI'!$C$22)^2-'THAM_SO_MOI'!$C$25*(E2007/'THAM_SO_MOI'!$C$22)^3)</f>
        <v>91.84244675188866</v>
      </c>
      <c r="K2007" s="75">
        <f>'THAM_SO_MOI'!$C$31*J2007/E2007</f>
        <v>429.3864714421183</v>
      </c>
      <c r="L2007" s="75">
        <f>K2007*'THAM_SO_MOI'!$C$51*'THAM_SO_MOI'!$C$17/'THAM_SO_MOI'!$C$26</f>
        <v>9600.742519400052</v>
      </c>
      <c r="M2007" s="75">
        <f>'THAM_SO_MOI'!$C$15*'THAM_SO_MOI'!$C$16*F2007^2</f>
        <v>193.46608332338815</v>
      </c>
      <c r="N2007" s="75">
        <f>'THAM_SO_MOI'!$C$12*I2007</f>
        <v>1130.112</v>
      </c>
      <c r="O2007" s="75">
        <f>M2007+N2007</f>
        <v>1323.5780833233882</v>
      </c>
      <c r="P2007" s="75">
        <f>(MIN(L2007,'THAM_SO_MOI'!$C$41)-O2007)/('THAM_SO_MOI'!$C$11*H2007)</f>
        <v>0.783822389779987</v>
      </c>
      <c r="Q2007" s="75">
        <f>IF(P2007&gt;0,1/P2007,NA())</f>
        <v>1.275799228292895</v>
      </c>
      <c r="R2007" s="75">
        <f>F2007-F2006</f>
        <v>0.005028991339518285</v>
      </c>
      <c r="S2007" s="75">
        <f>0.5*(Q2006+Q2007)*R2007</f>
        <v>0.006416022675715636</v>
      </c>
      <c r="T2007" s="75">
        <f>0.5*(F2006*Q2006+F2007*Q2007)*R2007</f>
        <v>0.05216402303106064</v>
      </c>
      <c r="U2007" s="76">
        <f>U2006+S2007</f>
        <v>10.097068084511186</v>
      </c>
      <c r="V2007" s="76">
        <f>V2006+T2007</f>
        <v>49.10912581886632</v>
      </c>
    </row>
    <row r="2008" spans="1:22" ht="19" customHeight="1">
      <c r="A2008" s="68" t="s">
        <v>374</v>
      </c>
      <c r="B2008" s="74">
        <v>3</v>
      </c>
      <c r="C2008" s="68" t="s">
        <v>363</v>
      </c>
      <c r="D2008" s="68" t="s">
        <v>364</v>
      </c>
      <c r="E2008" s="75">
        <f>60*F2008*'THAM_SO_MOI'!$C$51/(2*PI()*'THAM_SO_MOI'!$C$26)</f>
        <v>2044.1693567764848</v>
      </c>
      <c r="F2008" s="75">
        <f>'HANH_TRINH'!$F$1647+('THAM_SO_MOI'!$F$51-'HANH_TRINH'!$F$1647)*360/'THAM_SO_MOI'!$C$42</f>
        <v>8.137817609571927</v>
      </c>
      <c r="G2008" s="75">
        <f>3.6*F2008</f>
        <v>29.296143394458937</v>
      </c>
      <c r="H2008" s="75">
        <f>'THAM_SO_MOI'!$D$51</f>
        <v>1.375</v>
      </c>
      <c r="I2008" s="75">
        <f>IF(F2008&gt;'THAM_SO_MOI'!$C$14,'THAM_SO_MOI'!$C$13*(1+F2008^2/1500),'THAM_SO_MOI'!$C$13)</f>
        <v>0.015</v>
      </c>
      <c r="J2008" s="75">
        <f>'THAM_SO_MOI'!$C$40*('THAM_SO_MOI'!$C$23*(E2008/'THAM_SO_MOI'!$C$22)+'THAM_SO_MOI'!$C$24*(E2008/'THAM_SO_MOI'!$C$22)^2-'THAM_SO_MOI'!$C$25*(E2008/'THAM_SO_MOI'!$C$22)^3)</f>
        <v>91.902468073768</v>
      </c>
      <c r="K2008" s="75">
        <f>'THAM_SO_MOI'!$C$31*J2008/E2008</f>
        <v>429.40156141599283</v>
      </c>
      <c r="L2008" s="75">
        <f>K2008*'THAM_SO_MOI'!$C$51*'THAM_SO_MOI'!$C$17/'THAM_SO_MOI'!$C$26</f>
        <v>9601.079919303005</v>
      </c>
      <c r="M2008" s="75">
        <f>'THAM_SO_MOI'!$C$15*'THAM_SO_MOI'!$C$16*F2008^2</f>
        <v>193.70542068147745</v>
      </c>
      <c r="N2008" s="75">
        <f>'THAM_SO_MOI'!$C$12*I2008</f>
        <v>1130.112</v>
      </c>
      <c r="O2008" s="75">
        <f>M2008+N2008</f>
        <v>1323.8174206814774</v>
      </c>
      <c r="P2008" s="75">
        <f>(MIN(L2008,'THAM_SO_MOI'!$C$41)-O2008)/('THAM_SO_MOI'!$C$11*H2008)</f>
        <v>0.7838316760058264</v>
      </c>
      <c r="Q2008" s="75">
        <f>IF(P2008&gt;0,1/P2008,NA())</f>
        <v>1.2757841136195252</v>
      </c>
      <c r="R2008" s="75">
        <f>F2008-F2007</f>
        <v>0.005028991339516509</v>
      </c>
      <c r="S2008" s="75">
        <f>0.5*(Q2007+Q2008)*R2008</f>
        <v>0.006415945264266075</v>
      </c>
      <c r="T2008" s="75">
        <f>0.5*(F2007*Q2007+F2008*Q2008)*R2008</f>
        <v>0.05219565939144431</v>
      </c>
      <c r="U2008" s="76">
        <f>U2007+S2008</f>
        <v>10.103484029775451</v>
      </c>
      <c r="V2008" s="76">
        <f>V2007+T2008</f>
        <v>49.16132147825776</v>
      </c>
    </row>
    <row r="2009" spans="1:22" ht="19" customHeight="1">
      <c r="A2009" s="68" t="s">
        <v>374</v>
      </c>
      <c r="B2009" s="74">
        <v>3</v>
      </c>
      <c r="C2009" s="68" t="s">
        <v>363</v>
      </c>
      <c r="D2009" s="68" t="s">
        <v>364</v>
      </c>
      <c r="E2009" s="75">
        <f>60*F2009*'THAM_SO_MOI'!$C$51/(2*PI()*'THAM_SO_MOI'!$C$26)</f>
        <v>2045.4326082383566</v>
      </c>
      <c r="F2009" s="75">
        <f>'HANH_TRINH'!$F$1647+('THAM_SO_MOI'!$F$51-'HANH_TRINH'!$F$1647)*361/'THAM_SO_MOI'!$C$42</f>
        <v>8.142846600911446</v>
      </c>
      <c r="G2009" s="75">
        <f>3.6*F2009</f>
        <v>29.314247763281205</v>
      </c>
      <c r="H2009" s="75">
        <f>'THAM_SO_MOI'!$D$51</f>
        <v>1.375</v>
      </c>
      <c r="I2009" s="75">
        <f>IF(F2009&gt;'THAM_SO_MOI'!$C$14,'THAM_SO_MOI'!$C$13*(1+F2009^2/1500),'THAM_SO_MOI'!$C$13)</f>
        <v>0.015</v>
      </c>
      <c r="J2009" s="75">
        <f>'THAM_SO_MOI'!$C$40*('THAM_SO_MOI'!$C$23*(E2009/'THAM_SO_MOI'!$C$22)+'THAM_SO_MOI'!$C$24*(E2009/'THAM_SO_MOI'!$C$22)^2-'THAM_SO_MOI'!$C$25*(E2009/'THAM_SO_MOI'!$C$22)^3)</f>
        <v>91.96246023224442</v>
      </c>
      <c r="K2009" s="75">
        <f>'THAM_SO_MOI'!$C$31*J2009/E2009</f>
        <v>429.41649657303685</v>
      </c>
      <c r="L2009" s="75">
        <f>K2009*'THAM_SO_MOI'!$C$51*'THAM_SO_MOI'!$C$17/'THAM_SO_MOI'!$C$26</f>
        <v>9601.413857623847</v>
      </c>
      <c r="M2009" s="75">
        <f>'THAM_SO_MOI'!$C$15*'THAM_SO_MOI'!$C$16*F2009^2</f>
        <v>193.94490599047714</v>
      </c>
      <c r="N2009" s="75">
        <f>'THAM_SO_MOI'!$C$12*I2009</f>
        <v>1130.112</v>
      </c>
      <c r="O2009" s="75">
        <f>M2009+N2009</f>
        <v>1324.0569059904772</v>
      </c>
      <c r="P2009" s="75">
        <f>(MIN(L2009,'THAM_SO_MOI'!$C$41)-O2009)/('THAM_SO_MOI'!$C$11*H2009)</f>
        <v>0.7838406204198267</v>
      </c>
      <c r="Q2009" s="75">
        <f>IF(P2009&gt;0,1/P2009,NA())</f>
        <v>1.2757695556328759</v>
      </c>
      <c r="R2009" s="75">
        <f>F2009-F2008</f>
        <v>0.005028991339518285</v>
      </c>
      <c r="S2009" s="75">
        <f>0.5*(Q2008+Q2009)*R2009</f>
        <v>0.006415870652493215</v>
      </c>
      <c r="T2009" s="75">
        <f>0.5*(F2008*Q2008+F2009*Q2009)*R2009</f>
        <v>0.05222731776352282</v>
      </c>
      <c r="U2009" s="76">
        <f>U2008+S2009</f>
        <v>10.109899900427944</v>
      </c>
      <c r="V2009" s="76">
        <f>V2008+T2009</f>
        <v>49.213548796021286</v>
      </c>
    </row>
    <row r="2010" spans="1:22" ht="19" customHeight="1">
      <c r="A2010" s="68" t="s">
        <v>374</v>
      </c>
      <c r="B2010" s="74">
        <v>3</v>
      </c>
      <c r="C2010" s="68" t="s">
        <v>363</v>
      </c>
      <c r="D2010" s="68" t="s">
        <v>364</v>
      </c>
      <c r="E2010" s="75">
        <f>60*F2010*'THAM_SO_MOI'!$C$51/(2*PI()*'THAM_SO_MOI'!$C$26)</f>
        <v>2046.6958597002283</v>
      </c>
      <c r="F2010" s="75">
        <f>'HANH_TRINH'!$F$1647+('THAM_SO_MOI'!$F$51-'HANH_TRINH'!$F$1647)*362/'THAM_SO_MOI'!$C$42</f>
        <v>8.147875592250964</v>
      </c>
      <c r="G2010" s="75">
        <f>3.6*F2010</f>
        <v>29.33235213210347</v>
      </c>
      <c r="H2010" s="75">
        <f>'THAM_SO_MOI'!$D$51</f>
        <v>1.375</v>
      </c>
      <c r="I2010" s="75">
        <f>IF(F2010&gt;'THAM_SO_MOI'!$C$14,'THAM_SO_MOI'!$C$13*(1+F2010^2/1500),'THAM_SO_MOI'!$C$13)</f>
        <v>0.015</v>
      </c>
      <c r="J2010" s="75">
        <f>'THAM_SO_MOI'!$C$40*('THAM_SO_MOI'!$C$23*(E2010/'THAM_SO_MOI'!$C$22)+'THAM_SO_MOI'!$C$24*(E2010/'THAM_SO_MOI'!$C$22)^2-'THAM_SO_MOI'!$C$25*(E2010/'THAM_SO_MOI'!$C$22)^3)</f>
        <v>92.0224231658886</v>
      </c>
      <c r="K2010" s="75">
        <f>'THAM_SO_MOI'!$C$31*J2010/E2010</f>
        <v>429.43127691325043</v>
      </c>
      <c r="L2010" s="75">
        <f>K2010*'THAM_SO_MOI'!$C$51*'THAM_SO_MOI'!$C$17/'THAM_SO_MOI'!$C$26</f>
        <v>9601.744334362586</v>
      </c>
      <c r="M2010" s="75">
        <f>'THAM_SO_MOI'!$C$15*'THAM_SO_MOI'!$C$16*F2010^2</f>
        <v>194.18453925038708</v>
      </c>
      <c r="N2010" s="75">
        <f>'THAM_SO_MOI'!$C$12*I2010</f>
        <v>1130.112</v>
      </c>
      <c r="O2010" s="75">
        <f>M2010+N2010</f>
        <v>1324.2965392503872</v>
      </c>
      <c r="P2010" s="75">
        <f>(MIN(L2010,'THAM_SO_MOI'!$C$41)-O2010)/('THAM_SO_MOI'!$C$11*H2010)</f>
        <v>0.7838492230219886</v>
      </c>
      <c r="Q2010" s="75">
        <f>IF(P2010&gt;0,1/P2010,NA())</f>
        <v>1.2757555542948442</v>
      </c>
      <c r="R2010" s="75">
        <f>F2010-F2009</f>
        <v>0.005028991339518285</v>
      </c>
      <c r="S2010" s="75">
        <f>0.5*(Q2009+Q2010)*R2010</f>
        <v>0.006415798840194972</v>
      </c>
      <c r="T2010" s="75">
        <f>0.5*(F2009*Q2009+F2010*Q2010)*R2010</f>
        <v>0.052258998187888844</v>
      </c>
      <c r="U2010" s="76">
        <f>U2009+S2010</f>
        <v>10.116315699268139</v>
      </c>
      <c r="V2010" s="76">
        <f>V2009+T2010</f>
        <v>49.265807794209174</v>
      </c>
    </row>
    <row r="2011" spans="1:22" ht="19" customHeight="1">
      <c r="A2011" s="68" t="s">
        <v>374</v>
      </c>
      <c r="B2011" s="74">
        <v>3</v>
      </c>
      <c r="C2011" s="68" t="s">
        <v>363</v>
      </c>
      <c r="D2011" s="68" t="s">
        <v>364</v>
      </c>
      <c r="E2011" s="75">
        <f>60*F2011*'THAM_SO_MOI'!$C$51/(2*PI()*'THAM_SO_MOI'!$C$26)</f>
        <v>2047.9591111620996</v>
      </c>
      <c r="F2011" s="75">
        <f>'HANH_TRINH'!$F$1647+('THAM_SO_MOI'!$F$51-'HANH_TRINH'!$F$1647)*363/'THAM_SO_MOI'!$C$42</f>
        <v>8.15290458359048</v>
      </c>
      <c r="G2011" s="75">
        <f>3.6*F2011</f>
        <v>29.35045650092573</v>
      </c>
      <c r="H2011" s="75">
        <f>'THAM_SO_MOI'!$D$51</f>
        <v>1.375</v>
      </c>
      <c r="I2011" s="75">
        <f>IF(F2011&gt;'THAM_SO_MOI'!$C$14,'THAM_SO_MOI'!$C$13*(1+F2011^2/1500),'THAM_SO_MOI'!$C$13)</f>
        <v>0.015</v>
      </c>
      <c r="J2011" s="75">
        <f>'THAM_SO_MOI'!$C$40*('THAM_SO_MOI'!$C$23*(E2011/'THAM_SO_MOI'!$C$22)+'THAM_SO_MOI'!$C$24*(E2011/'THAM_SO_MOI'!$C$22)^2-'THAM_SO_MOI'!$C$25*(E2011/'THAM_SO_MOI'!$C$22)^3)</f>
        <v>92.0823568132711</v>
      </c>
      <c r="K2011" s="75">
        <f>'THAM_SO_MOI'!$C$31*J2011/E2011</f>
        <v>429.4459024366334</v>
      </c>
      <c r="L2011" s="75">
        <f>K2011*'THAM_SO_MOI'!$C$51*'THAM_SO_MOI'!$C$17/'THAM_SO_MOI'!$C$26</f>
        <v>9602.07134951921</v>
      </c>
      <c r="M2011" s="75">
        <f>'THAM_SO_MOI'!$C$15*'THAM_SO_MOI'!$C$16*F2011^2</f>
        <v>194.4243204612072</v>
      </c>
      <c r="N2011" s="75">
        <f>'THAM_SO_MOI'!$C$12*I2011</f>
        <v>1130.112</v>
      </c>
      <c r="O2011" s="75">
        <f>M2011+N2011</f>
        <v>1324.5363204612072</v>
      </c>
      <c r="P2011" s="75">
        <f>(MIN(L2011,'THAM_SO_MOI'!$C$41)-O2011)/('THAM_SO_MOI'!$C$11*H2011)</f>
        <v>0.7838574838123109</v>
      </c>
      <c r="Q2011" s="75">
        <f>IF(P2011&gt;0,1/P2011,NA())</f>
        <v>1.2757421095687884</v>
      </c>
      <c r="R2011" s="75">
        <f>F2011-F2010</f>
        <v>0.005028991339516509</v>
      </c>
      <c r="S2011" s="75">
        <f>0.5*(Q2010+Q2011)*R2011</f>
        <v>0.006415729827183407</v>
      </c>
      <c r="T2011" s="75">
        <f>0.5*(F2010*Q2010+F2011*Q2011)*R2011</f>
        <v>0.05229070070524615</v>
      </c>
      <c r="U2011" s="76">
        <f>U2010+S2011</f>
        <v>10.122731429095323</v>
      </c>
      <c r="V2011" s="76">
        <f>V2010+T2011</f>
        <v>49.31809849491442</v>
      </c>
    </row>
    <row r="2012" spans="1:22" ht="19" customHeight="1">
      <c r="A2012" s="68" t="s">
        <v>374</v>
      </c>
      <c r="B2012" s="74">
        <v>3</v>
      </c>
      <c r="C2012" s="68" t="s">
        <v>363</v>
      </c>
      <c r="D2012" s="68" t="s">
        <v>364</v>
      </c>
      <c r="E2012" s="75">
        <f>60*F2012*'THAM_SO_MOI'!$C$51/(2*PI()*'THAM_SO_MOI'!$C$26)</f>
        <v>2049.2223626239715</v>
      </c>
      <c r="F2012" s="75">
        <f>'HANH_TRINH'!$F$1647+('THAM_SO_MOI'!$F$51-'HANH_TRINH'!$F$1647)*364/'THAM_SO_MOI'!$C$42</f>
        <v>8.157933574929999</v>
      </c>
      <c r="G2012" s="75">
        <f>3.6*F2012</f>
        <v>29.368560869747995</v>
      </c>
      <c r="H2012" s="75">
        <f>'THAM_SO_MOI'!$D$51</f>
        <v>1.375</v>
      </c>
      <c r="I2012" s="75">
        <f>IF(F2012&gt;'THAM_SO_MOI'!$C$14,'THAM_SO_MOI'!$C$13*(1+F2012^2/1500),'THAM_SO_MOI'!$C$13)</f>
        <v>0.015</v>
      </c>
      <c r="J2012" s="75">
        <f>'THAM_SO_MOI'!$C$40*('THAM_SO_MOI'!$C$23*(E2012/'THAM_SO_MOI'!$C$22)+'THAM_SO_MOI'!$C$24*(E2012/'THAM_SO_MOI'!$C$22)^2-'THAM_SO_MOI'!$C$25*(E2012/'THAM_SO_MOI'!$C$22)^3)</f>
        <v>92.14226111296266</v>
      </c>
      <c r="K2012" s="75">
        <f>'THAM_SO_MOI'!$C$31*J2012/E2012</f>
        <v>429.4603731431858</v>
      </c>
      <c r="L2012" s="75">
        <f>K2012*'THAM_SO_MOI'!$C$51*'THAM_SO_MOI'!$C$17/'THAM_SO_MOI'!$C$26</f>
        <v>9602.394903093724</v>
      </c>
      <c r="M2012" s="75">
        <f>'THAM_SO_MOI'!$C$15*'THAM_SO_MOI'!$C$16*F2012^2</f>
        <v>194.6642496229377</v>
      </c>
      <c r="N2012" s="75">
        <f>'THAM_SO_MOI'!$C$12*I2012</f>
        <v>1130.112</v>
      </c>
      <c r="O2012" s="75">
        <f>M2012+N2012</f>
        <v>1324.7762496229377</v>
      </c>
      <c r="P2012" s="75">
        <f>(MIN(L2012,'THAM_SO_MOI'!$C$41)-O2012)/('THAM_SO_MOI'!$C$11*H2012)</f>
        <v>0.783865402790794</v>
      </c>
      <c r="Q2012" s="75">
        <f>IF(P2012&gt;0,1/P2012,NA())</f>
        <v>1.2757292214195226</v>
      </c>
      <c r="R2012" s="75">
        <f>F2012-F2011</f>
        <v>0.005028991339518285</v>
      </c>
      <c r="S2012" s="75">
        <f>0.5*(Q2011+Q2012)*R2012</f>
        <v>0.006415663613284704</v>
      </c>
      <c r="T2012" s="75">
        <f>0.5*(F2011*Q2011+F2012*Q2012)*R2012</f>
        <v>0.052322425356410004</v>
      </c>
      <c r="U2012" s="76">
        <f>U2011+S2012</f>
        <v>10.129147092708607</v>
      </c>
      <c r="V2012" s="76">
        <f>V2011+T2012</f>
        <v>49.37042092027083</v>
      </c>
    </row>
    <row r="2013" spans="1:22" ht="19" customHeight="1">
      <c r="A2013" s="68" t="s">
        <v>374</v>
      </c>
      <c r="B2013" s="74">
        <v>3</v>
      </c>
      <c r="C2013" s="68" t="s">
        <v>363</v>
      </c>
      <c r="D2013" s="68" t="s">
        <v>364</v>
      </c>
      <c r="E2013" s="75">
        <f>60*F2013*'THAM_SO_MOI'!$C$51/(2*PI()*'THAM_SO_MOI'!$C$26)</f>
        <v>2050.4856140858433</v>
      </c>
      <c r="F2013" s="75">
        <f>'HANH_TRINH'!$F$1647+('THAM_SO_MOI'!$F$51-'HANH_TRINH'!$F$1647)*365/'THAM_SO_MOI'!$C$42</f>
        <v>8.162962566269517</v>
      </c>
      <c r="G2013" s="75">
        <f>3.6*F2013</f>
        <v>29.386665238570263</v>
      </c>
      <c r="H2013" s="75">
        <f>'THAM_SO_MOI'!$D$51</f>
        <v>1.375</v>
      </c>
      <c r="I2013" s="75">
        <f>IF(F2013&gt;'THAM_SO_MOI'!$C$14,'THAM_SO_MOI'!$C$13*(1+F2013^2/1500),'THAM_SO_MOI'!$C$13)</f>
        <v>0.015</v>
      </c>
      <c r="J2013" s="75">
        <f>'THAM_SO_MOI'!$C$40*('THAM_SO_MOI'!$C$23*(E2013/'THAM_SO_MOI'!$C$22)+'THAM_SO_MOI'!$C$24*(E2013/'THAM_SO_MOI'!$C$22)^2-'THAM_SO_MOI'!$C$25*(E2013/'THAM_SO_MOI'!$C$22)^3)</f>
        <v>92.2021360035339</v>
      </c>
      <c r="K2013" s="75">
        <f>'THAM_SO_MOI'!$C$31*J2013/E2013</f>
        <v>429.4746890329078</v>
      </c>
      <c r="L2013" s="75">
        <f>K2013*'THAM_SO_MOI'!$C$51*'THAM_SO_MOI'!$C$17/'THAM_SO_MOI'!$C$26</f>
        <v>9602.714995086133</v>
      </c>
      <c r="M2013" s="75">
        <f>'THAM_SO_MOI'!$C$15*'THAM_SO_MOI'!$C$16*F2013^2</f>
        <v>194.90432673557845</v>
      </c>
      <c r="N2013" s="75">
        <f>'THAM_SO_MOI'!$C$12*I2013</f>
        <v>1130.112</v>
      </c>
      <c r="O2013" s="75">
        <f>M2013+N2013</f>
        <v>1325.0163267355786</v>
      </c>
      <c r="P2013" s="75">
        <f>(MIN(L2013,'THAM_SO_MOI'!$C$41)-O2013)/('THAM_SO_MOI'!$C$11*H2013)</f>
        <v>0.7838729799574388</v>
      </c>
      <c r="Q2013" s="75">
        <f>IF(P2013&gt;0,1/P2013,NA())</f>
        <v>1.2757168898133167</v>
      </c>
      <c r="R2013" s="75">
        <f>F2013-F2012</f>
        <v>0.005028991339518285</v>
      </c>
      <c r="S2013" s="75">
        <f>0.5*(Q2012+Q2013)*R2013</f>
        <v>0.006415600198318778</v>
      </c>
      <c r="T2013" s="75">
        <f>0.5*(F2012*Q2012+F2013*Q2013)*R2013</f>
        <v>0.052354172182140994</v>
      </c>
      <c r="U2013" s="76">
        <f>U2012+S2013</f>
        <v>10.135562692906925</v>
      </c>
      <c r="V2013" s="76">
        <f>V2012+T2013</f>
        <v>49.42277509245297</v>
      </c>
    </row>
    <row r="2014" spans="1:22" ht="19" customHeight="1">
      <c r="A2014" s="68" t="s">
        <v>374</v>
      </c>
      <c r="B2014" s="74">
        <v>3</v>
      </c>
      <c r="C2014" s="68" t="s">
        <v>363</v>
      </c>
      <c r="D2014" s="68" t="s">
        <v>364</v>
      </c>
      <c r="E2014" s="75">
        <f>60*F2014*'THAM_SO_MOI'!$C$51/(2*PI()*'THAM_SO_MOI'!$C$26)</f>
        <v>2051.748865547715</v>
      </c>
      <c r="F2014" s="75">
        <f>'HANH_TRINH'!$F$1647+('THAM_SO_MOI'!$F$51-'HANH_TRINH'!$F$1647)*366/'THAM_SO_MOI'!$C$42</f>
        <v>8.167991557609035</v>
      </c>
      <c r="G2014" s="75">
        <f>3.6*F2014</f>
        <v>29.404769607392527</v>
      </c>
      <c r="H2014" s="75">
        <f>'THAM_SO_MOI'!$D$51</f>
        <v>1.375</v>
      </c>
      <c r="I2014" s="75">
        <f>IF(F2014&gt;'THAM_SO_MOI'!$C$14,'THAM_SO_MOI'!$C$13*(1+F2014^2/1500),'THAM_SO_MOI'!$C$13)</f>
        <v>0.015</v>
      </c>
      <c r="J2014" s="75">
        <f>'THAM_SO_MOI'!$C$40*('THAM_SO_MOI'!$C$23*(E2014/'THAM_SO_MOI'!$C$22)+'THAM_SO_MOI'!$C$24*(E2014/'THAM_SO_MOI'!$C$22)^2-'THAM_SO_MOI'!$C$25*(E2014/'THAM_SO_MOI'!$C$22)^3)</f>
        <v>92.26198142355547</v>
      </c>
      <c r="K2014" s="75">
        <f>'THAM_SO_MOI'!$C$31*J2014/E2014</f>
        <v>429.4888501057993</v>
      </c>
      <c r="L2014" s="75">
        <f>K2014*'THAM_SO_MOI'!$C$51*'THAM_SO_MOI'!$C$17/'THAM_SO_MOI'!$C$26</f>
        <v>9603.031625496433</v>
      </c>
      <c r="M2014" s="75">
        <f>'THAM_SO_MOI'!$C$15*'THAM_SO_MOI'!$C$16*F2014^2</f>
        <v>195.14455179912952</v>
      </c>
      <c r="N2014" s="75">
        <f>'THAM_SO_MOI'!$C$12*I2014</f>
        <v>1130.112</v>
      </c>
      <c r="O2014" s="75">
        <f>M2014+N2014</f>
        <v>1325.2565517991295</v>
      </c>
      <c r="P2014" s="75">
        <f>(MIN(L2014,'THAM_SO_MOI'!$C$41)-O2014)/('THAM_SO_MOI'!$C$11*H2014)</f>
        <v>0.7838802153122446</v>
      </c>
      <c r="Q2014" s="75">
        <f>IF(P2014&gt;0,1/P2014,NA())</f>
        <v>1.275705114717901</v>
      </c>
      <c r="R2014" s="75">
        <f>F2014-F2013</f>
        <v>0.005028991339518285</v>
      </c>
      <c r="S2014" s="75">
        <f>0.5*(Q2013+Q2014)*R2014</f>
        <v>0.006415539582121938</v>
      </c>
      <c r="T2014" s="75">
        <f>0.5*(F2013*Q2013+F2014*Q2014)*R2014</f>
        <v>0.05238594122332991</v>
      </c>
      <c r="U2014" s="76">
        <f>U2013+S2014</f>
        <v>10.141978232489047</v>
      </c>
      <c r="V2014" s="76">
        <f>V2013+T2014</f>
        <v>49.4751610336763</v>
      </c>
    </row>
    <row r="2015" spans="1:22" ht="19" customHeight="1">
      <c r="A2015" s="68" t="s">
        <v>374</v>
      </c>
      <c r="B2015" s="74">
        <v>3</v>
      </c>
      <c r="C2015" s="68" t="s">
        <v>363</v>
      </c>
      <c r="D2015" s="68" t="s">
        <v>364</v>
      </c>
      <c r="E2015" s="75">
        <f>60*F2015*'THAM_SO_MOI'!$C$51/(2*PI()*'THAM_SO_MOI'!$C$26)</f>
        <v>2053.0121170095863</v>
      </c>
      <c r="F2015" s="75">
        <f>'HANH_TRINH'!$F$1647+('THAM_SO_MOI'!$F$51-'HANH_TRINH'!$F$1647)*367/'THAM_SO_MOI'!$C$42</f>
        <v>8.173020548948552</v>
      </c>
      <c r="G2015" s="75">
        <f>3.6*F2015</f>
        <v>29.422873976214788</v>
      </c>
      <c r="H2015" s="75">
        <f>'THAM_SO_MOI'!$D$51</f>
        <v>1.375</v>
      </c>
      <c r="I2015" s="75">
        <f>IF(F2015&gt;'THAM_SO_MOI'!$C$14,'THAM_SO_MOI'!$C$13*(1+F2015^2/1500),'THAM_SO_MOI'!$C$13)</f>
        <v>0.015</v>
      </c>
      <c r="J2015" s="75">
        <f>'THAM_SO_MOI'!$C$40*('THAM_SO_MOI'!$C$23*(E2015/'THAM_SO_MOI'!$C$22)+'THAM_SO_MOI'!$C$24*(E2015/'THAM_SO_MOI'!$C$22)^2-'THAM_SO_MOI'!$C$25*(E2015/'THAM_SO_MOI'!$C$22)^3)</f>
        <v>92.32179731159796</v>
      </c>
      <c r="K2015" s="75">
        <f>'THAM_SO_MOI'!$C$31*J2015/E2015</f>
        <v>429.50285636186015</v>
      </c>
      <c r="L2015" s="75">
        <f>K2015*'THAM_SO_MOI'!$C$51*'THAM_SO_MOI'!$C$17/'THAM_SO_MOI'!$C$26</f>
        <v>9603.34479432462</v>
      </c>
      <c r="M2015" s="75">
        <f>'THAM_SO_MOI'!$C$15*'THAM_SO_MOI'!$C$16*F2015^2</f>
        <v>195.38492481359074</v>
      </c>
      <c r="N2015" s="75">
        <f>'THAM_SO_MOI'!$C$12*I2015</f>
        <v>1130.112</v>
      </c>
      <c r="O2015" s="75">
        <f>M2015+N2015</f>
        <v>1325.4969248135908</v>
      </c>
      <c r="P2015" s="75">
        <f>(MIN(L2015,'THAM_SO_MOI'!$C$41)-O2015)/('THAM_SO_MOI'!$C$11*H2015)</f>
        <v>0.783887108855211</v>
      </c>
      <c r="Q2015" s="75">
        <f>IF(P2015&gt;0,1/P2015,NA())</f>
        <v>1.2756938961024635</v>
      </c>
      <c r="R2015" s="75">
        <f>F2015-F2014</f>
        <v>0.005028991339516509</v>
      </c>
      <c r="S2015" s="75">
        <f>0.5*(Q2014+Q2015)*R2015</f>
        <v>0.0064154817645333</v>
      </c>
      <c r="T2015" s="75">
        <f>0.5*(F2014*Q2014+F2015*Q2015)*R2015</f>
        <v>0.05241773252088723</v>
      </c>
      <c r="U2015" s="76">
        <f>U2014+S2015</f>
        <v>10.14839371425358</v>
      </c>
      <c r="V2015" s="76">
        <f>V2014+T2015</f>
        <v>49.52757876619719</v>
      </c>
    </row>
    <row r="2016" spans="1:22" ht="19" customHeight="1">
      <c r="A2016" s="68" t="s">
        <v>374</v>
      </c>
      <c r="B2016" s="74">
        <v>3</v>
      </c>
      <c r="C2016" s="68" t="s">
        <v>363</v>
      </c>
      <c r="D2016" s="68" t="s">
        <v>364</v>
      </c>
      <c r="E2016" s="75">
        <f>60*F2016*'THAM_SO_MOI'!$C$51/(2*PI()*'THAM_SO_MOI'!$C$26)</f>
        <v>2054.275368471458</v>
      </c>
      <c r="F2016" s="75">
        <f>'HANH_TRINH'!$F$1647+('THAM_SO_MOI'!$F$51-'HANH_TRINH'!$F$1647)*368/'THAM_SO_MOI'!$C$42</f>
        <v>8.17804954028807</v>
      </c>
      <c r="G2016" s="75">
        <f>3.6*F2016</f>
        <v>29.440978345037053</v>
      </c>
      <c r="H2016" s="75">
        <f>'THAM_SO_MOI'!$D$51</f>
        <v>1.375</v>
      </c>
      <c r="I2016" s="75">
        <f>IF(F2016&gt;'THAM_SO_MOI'!$C$14,'THAM_SO_MOI'!$C$13*(1+F2016^2/1500),'THAM_SO_MOI'!$C$13)</f>
        <v>0.015</v>
      </c>
      <c r="J2016" s="75">
        <f>'THAM_SO_MOI'!$C$40*('THAM_SO_MOI'!$C$23*(E2016/'THAM_SO_MOI'!$C$22)+'THAM_SO_MOI'!$C$24*(E2016/'THAM_SO_MOI'!$C$22)^2-'THAM_SO_MOI'!$C$25*(E2016/'THAM_SO_MOI'!$C$22)^3)</f>
        <v>92.38158360623214</v>
      </c>
      <c r="K2016" s="75">
        <f>'THAM_SO_MOI'!$C$31*J2016/E2016</f>
        <v>429.51670780109066</v>
      </c>
      <c r="L2016" s="75">
        <f>K2016*'THAM_SO_MOI'!$C$51*'THAM_SO_MOI'!$C$17/'THAM_SO_MOI'!$C$26</f>
        <v>9603.654501570703</v>
      </c>
      <c r="M2016" s="75">
        <f>'THAM_SO_MOI'!$C$15*'THAM_SO_MOI'!$C$16*F2016^2</f>
        <v>195.6254457789623</v>
      </c>
      <c r="N2016" s="75">
        <f>'THAM_SO_MOI'!$C$12*I2016</f>
        <v>1130.112</v>
      </c>
      <c r="O2016" s="75">
        <f>M2016+N2016</f>
        <v>1325.7374457789624</v>
      </c>
      <c r="P2016" s="75">
        <f>(MIN(L2016,'THAM_SO_MOI'!$C$41)-O2016)/('THAM_SO_MOI'!$C$11*H2016)</f>
        <v>0.7838936605863392</v>
      </c>
      <c r="Q2016" s="75">
        <f>IF(P2016&gt;0,1/P2016,NA())</f>
        <v>1.2756832339376452</v>
      </c>
      <c r="R2016" s="75">
        <f>F2016-F2015</f>
        <v>0.005028991339518285</v>
      </c>
      <c r="S2016" s="75">
        <f>0.5*(Q2015+Q2016)*R2016</f>
        <v>0.006415426745408363</v>
      </c>
      <c r="T2016" s="75">
        <f>0.5*(F2015*Q2015+F2016*Q2016)*R2016</f>
        <v>0.052449546115854104</v>
      </c>
      <c r="U2016" s="76">
        <f>U2015+S2016</f>
        <v>10.154809140998987</v>
      </c>
      <c r="V2016" s="76">
        <f>V2015+T2016</f>
        <v>49.58002831231304</v>
      </c>
    </row>
    <row r="2017" spans="1:22" ht="19" customHeight="1">
      <c r="A2017" s="68" t="s">
        <v>374</v>
      </c>
      <c r="B2017" s="74">
        <v>3</v>
      </c>
      <c r="C2017" s="68" t="s">
        <v>363</v>
      </c>
      <c r="D2017" s="68" t="s">
        <v>364</v>
      </c>
      <c r="E2017" s="75">
        <f>60*F2017*'THAM_SO_MOI'!$C$51/(2*PI()*'THAM_SO_MOI'!$C$26)</f>
        <v>2055.5386199333293</v>
      </c>
      <c r="F2017" s="75">
        <f>'HANH_TRINH'!$F$1647+('THAM_SO_MOI'!$F$51-'HANH_TRINH'!$F$1647)*369/'THAM_SO_MOI'!$C$42</f>
        <v>8.183078531627586</v>
      </c>
      <c r="G2017" s="75">
        <f>3.6*F2017</f>
        <v>29.459082713859313</v>
      </c>
      <c r="H2017" s="75">
        <f>'THAM_SO_MOI'!$D$51</f>
        <v>1.375</v>
      </c>
      <c r="I2017" s="75">
        <f>IF(F2017&gt;'THAM_SO_MOI'!$C$14,'THAM_SO_MOI'!$C$13*(1+F2017^2/1500),'THAM_SO_MOI'!$C$13)</f>
        <v>0.015</v>
      </c>
      <c r="J2017" s="75">
        <f>'THAM_SO_MOI'!$C$40*('THAM_SO_MOI'!$C$23*(E2017/'THAM_SO_MOI'!$C$22)+'THAM_SO_MOI'!$C$24*(E2017/'THAM_SO_MOI'!$C$22)^2-'THAM_SO_MOI'!$C$25*(E2017/'THAM_SO_MOI'!$C$22)^3)</f>
        <v>92.44134024602856</v>
      </c>
      <c r="K2017" s="75">
        <f>'THAM_SO_MOI'!$C$31*J2017/E2017</f>
        <v>429.53040442349055</v>
      </c>
      <c r="L2017" s="75">
        <f>K2017*'THAM_SO_MOI'!$C$51*'THAM_SO_MOI'!$C$17/'THAM_SO_MOI'!$C$26</f>
        <v>9603.960747234674</v>
      </c>
      <c r="M2017" s="75">
        <f>'THAM_SO_MOI'!$C$15*'THAM_SO_MOI'!$C$16*F2017^2</f>
        <v>195.86611469524408</v>
      </c>
      <c r="N2017" s="75">
        <f>'THAM_SO_MOI'!$C$12*I2017</f>
        <v>1130.112</v>
      </c>
      <c r="O2017" s="75">
        <f>M2017+N2017</f>
        <v>1325.9781146952441</v>
      </c>
      <c r="P2017" s="75">
        <f>(MIN(L2017,'THAM_SO_MOI'!$C$41)-O2017)/('THAM_SO_MOI'!$C$11*H2017)</f>
        <v>0.783899870505628</v>
      </c>
      <c r="Q2017" s="75">
        <f>IF(P2017&gt;0,1/P2017,NA())</f>
        <v>1.2756731281955487</v>
      </c>
      <c r="R2017" s="75">
        <f>F2017-F2016</f>
        <v>0.005028991339516509</v>
      </c>
      <c r="S2017" s="75">
        <f>0.5*(Q2016+Q2017)*R2017</f>
        <v>0.006415374524594088</v>
      </c>
      <c r="T2017" s="75">
        <f>0.5*(F2016*Q2016+F2017*Q2017)*R2017</f>
        <v>0.052481382049198985</v>
      </c>
      <c r="U2017" s="76">
        <f>U2016+S2017</f>
        <v>10.161224515523582</v>
      </c>
      <c r="V2017" s="76">
        <f>V2016+T2017</f>
        <v>49.63250969436224</v>
      </c>
    </row>
    <row r="2018" spans="1:22" ht="19" customHeight="1">
      <c r="A2018" s="68" t="s">
        <v>374</v>
      </c>
      <c r="B2018" s="74">
        <v>3</v>
      </c>
      <c r="C2018" s="68" t="s">
        <v>363</v>
      </c>
      <c r="D2018" s="68" t="s">
        <v>364</v>
      </c>
      <c r="E2018" s="75">
        <f>60*F2018*'THAM_SO_MOI'!$C$51/(2*PI()*'THAM_SO_MOI'!$C$26)</f>
        <v>2056.801871395201</v>
      </c>
      <c r="F2018" s="75">
        <f>'HANH_TRINH'!$F$1647+('THAM_SO_MOI'!$F$51-'HANH_TRINH'!$F$1647)*370/'THAM_SO_MOI'!$C$42</f>
        <v>8.188107522967105</v>
      </c>
      <c r="G2018" s="75">
        <f>3.6*F2018</f>
        <v>29.477187082681578</v>
      </c>
      <c r="H2018" s="75">
        <f>'THAM_SO_MOI'!$D$51</f>
        <v>1.375</v>
      </c>
      <c r="I2018" s="75">
        <f>IF(F2018&gt;'THAM_SO_MOI'!$C$14,'THAM_SO_MOI'!$C$13*(1+F2018^2/1500),'THAM_SO_MOI'!$C$13)</f>
        <v>0.015</v>
      </c>
      <c r="J2018" s="75">
        <f>'THAM_SO_MOI'!$C$40*('THAM_SO_MOI'!$C$23*(E2018/'THAM_SO_MOI'!$C$22)+'THAM_SO_MOI'!$C$24*(E2018/'THAM_SO_MOI'!$C$22)^2-'THAM_SO_MOI'!$C$25*(E2018/'THAM_SO_MOI'!$C$22)^3)</f>
        <v>92.50106716955797</v>
      </c>
      <c r="K2018" s="75">
        <f>'THAM_SO_MOI'!$C$31*J2018/E2018</f>
        <v>429.54394622906017</v>
      </c>
      <c r="L2018" s="75">
        <f>K2018*'THAM_SO_MOI'!$C$51*'THAM_SO_MOI'!$C$17/'THAM_SO_MOI'!$C$26</f>
        <v>9604.26353131654</v>
      </c>
      <c r="M2018" s="75">
        <f>'THAM_SO_MOI'!$C$15*'THAM_SO_MOI'!$C$16*F2018^2</f>
        <v>196.10693156243622</v>
      </c>
      <c r="N2018" s="75">
        <f>'THAM_SO_MOI'!$C$12*I2018</f>
        <v>1130.112</v>
      </c>
      <c r="O2018" s="75">
        <f>M2018+N2018</f>
        <v>1326.2189315624364</v>
      </c>
      <c r="P2018" s="75">
        <f>(MIN(L2018,'THAM_SO_MOI'!$C$41)-O2018)/('THAM_SO_MOI'!$C$11*H2018)</f>
        <v>0.7839057386130779</v>
      </c>
      <c r="Q2018" s="75">
        <f>IF(P2018&gt;0,1/P2018,NA())</f>
        <v>1.2756635788497301</v>
      </c>
      <c r="R2018" s="75">
        <f>F2018-F2017</f>
        <v>0.005028991339518285</v>
      </c>
      <c r="S2018" s="75">
        <f>0.5*(Q2017+Q2018)*R2018</f>
        <v>0.006415325101962904</v>
      </c>
      <c r="T2018" s="75">
        <f>0.5*(F2017*Q2017+F2018*Q2018)*R2018</f>
        <v>0.05251324036209564</v>
      </c>
      <c r="U2018" s="76">
        <f>U2017+S2018</f>
        <v>10.167639840625545</v>
      </c>
      <c r="V2018" s="76">
        <f>V2017+T2018</f>
        <v>49.68502293472434</v>
      </c>
    </row>
    <row r="2019" spans="1:22" ht="19" customHeight="1">
      <c r="A2019" s="68" t="s">
        <v>374</v>
      </c>
      <c r="B2019" s="74">
        <v>3</v>
      </c>
      <c r="C2019" s="68" t="s">
        <v>363</v>
      </c>
      <c r="D2019" s="68" t="s">
        <v>364</v>
      </c>
      <c r="E2019" s="75">
        <f>60*F2019*'THAM_SO_MOI'!$C$51/(2*PI()*'THAM_SO_MOI'!$C$26)</f>
        <v>2058.0651228570728</v>
      </c>
      <c r="F2019" s="75">
        <f>'HANH_TRINH'!$F$1647+('THAM_SO_MOI'!$F$51-'HANH_TRINH'!$F$1647)*371/'THAM_SO_MOI'!$C$42</f>
        <v>8.193136514306623</v>
      </c>
      <c r="G2019" s="75">
        <f>3.6*F2019</f>
        <v>29.495291451503842</v>
      </c>
      <c r="H2019" s="75">
        <f>'THAM_SO_MOI'!$D$51</f>
        <v>1.375</v>
      </c>
      <c r="I2019" s="75">
        <f>IF(F2019&gt;'THAM_SO_MOI'!$C$14,'THAM_SO_MOI'!$C$13*(1+F2019^2/1500),'THAM_SO_MOI'!$C$13)</f>
        <v>0.015</v>
      </c>
      <c r="J2019" s="75">
        <f>'THAM_SO_MOI'!$C$40*('THAM_SO_MOI'!$C$23*(E2019/'THAM_SO_MOI'!$C$22)+'THAM_SO_MOI'!$C$24*(E2019/'THAM_SO_MOI'!$C$22)^2-'THAM_SO_MOI'!$C$25*(E2019/'THAM_SO_MOI'!$C$22)^3)</f>
        <v>92.5607643153909</v>
      </c>
      <c r="K2019" s="75">
        <f>'THAM_SO_MOI'!$C$31*J2019/E2019</f>
        <v>429.55733321779894</v>
      </c>
      <c r="L2019" s="75">
        <f>K2019*'THAM_SO_MOI'!$C$51*'THAM_SO_MOI'!$C$17/'THAM_SO_MOI'!$C$26</f>
        <v>9604.562853816291</v>
      </c>
      <c r="M2019" s="75">
        <f>'THAM_SO_MOI'!$C$15*'THAM_SO_MOI'!$C$16*F2019^2</f>
        <v>196.3478963805386</v>
      </c>
      <c r="N2019" s="75">
        <f>'THAM_SO_MOI'!$C$12*I2019</f>
        <v>1130.112</v>
      </c>
      <c r="O2019" s="75">
        <f>M2019+N2019</f>
        <v>1326.4598963805388</v>
      </c>
      <c r="P2019" s="75">
        <f>(MIN(L2019,'THAM_SO_MOI'!$C$41)-O2019)/('THAM_SO_MOI'!$C$11*H2019)</f>
        <v>0.7839112649086887</v>
      </c>
      <c r="Q2019" s="75">
        <f>IF(P2019&gt;0,1/P2019,NA())</f>
        <v>1.2756545858752033</v>
      </c>
      <c r="R2019" s="75">
        <f>F2019-F2018</f>
        <v>0.005028991339518285</v>
      </c>
      <c r="S2019" s="75">
        <f>0.5*(Q2018+Q2019)*R2019</f>
        <v>0.006415278477378688</v>
      </c>
      <c r="T2019" s="75">
        <f>0.5*(F2018*Q2018+F2019*Q2019)*R2019</f>
        <v>0.052545121095645284</v>
      </c>
      <c r="U2019" s="76">
        <f>U2018+S2019</f>
        <v>10.174055119102924</v>
      </c>
      <c r="V2019" s="76">
        <f>V2018+T2019</f>
        <v>49.737568055819985</v>
      </c>
    </row>
    <row r="2020" spans="1:22" ht="19" customHeight="1">
      <c r="A2020" s="68" t="s">
        <v>374</v>
      </c>
      <c r="B2020" s="74">
        <v>3</v>
      </c>
      <c r="C2020" s="68" t="s">
        <v>363</v>
      </c>
      <c r="D2020" s="68" t="s">
        <v>364</v>
      </c>
      <c r="E2020" s="75">
        <f>60*F2020*'THAM_SO_MOI'!$C$51/(2*PI()*'THAM_SO_MOI'!$C$26)</f>
        <v>2059.328374318944</v>
      </c>
      <c r="F2020" s="75">
        <f>'HANH_TRINH'!$F$1647+('THAM_SO_MOI'!$F$51-'HANH_TRINH'!$F$1647)*372/'THAM_SO_MOI'!$C$42</f>
        <v>8.19816550564614</v>
      </c>
      <c r="G2020" s="75">
        <f>3.6*F2020</f>
        <v>29.513395820326103</v>
      </c>
      <c r="H2020" s="75">
        <f>'THAM_SO_MOI'!$D$51</f>
        <v>1.375</v>
      </c>
      <c r="I2020" s="75">
        <f>IF(F2020&gt;'THAM_SO_MOI'!$C$14,'THAM_SO_MOI'!$C$13*(1+F2020^2/1500),'THAM_SO_MOI'!$C$13)</f>
        <v>0.015</v>
      </c>
      <c r="J2020" s="75">
        <f>'THAM_SO_MOI'!$C$40*('THAM_SO_MOI'!$C$23*(E2020/'THAM_SO_MOI'!$C$22)+'THAM_SO_MOI'!$C$24*(E2020/'THAM_SO_MOI'!$C$22)^2-'THAM_SO_MOI'!$C$25*(E2020/'THAM_SO_MOI'!$C$22)^3)</f>
        <v>92.62043162209808</v>
      </c>
      <c r="K2020" s="75">
        <f>'THAM_SO_MOI'!$C$31*J2020/E2020</f>
        <v>429.5705653897075</v>
      </c>
      <c r="L2020" s="75">
        <f>K2020*'THAM_SO_MOI'!$C$51*'THAM_SO_MOI'!$C$17/'THAM_SO_MOI'!$C$26</f>
        <v>9604.858714733939</v>
      </c>
      <c r="M2020" s="75">
        <f>'THAM_SO_MOI'!$C$15*'THAM_SO_MOI'!$C$16*F2020^2</f>
        <v>196.5890091495512</v>
      </c>
      <c r="N2020" s="75">
        <f>'THAM_SO_MOI'!$C$12*I2020</f>
        <v>1130.112</v>
      </c>
      <c r="O2020" s="75">
        <f>M2020+N2020</f>
        <v>1326.7010091495513</v>
      </c>
      <c r="P2020" s="75">
        <f>(MIN(L2020,'THAM_SO_MOI'!$C$41)-O2020)/('THAM_SO_MOI'!$C$11*H2020)</f>
        <v>0.783916449392461</v>
      </c>
      <c r="Q2020" s="75">
        <f>IF(P2020&gt;0,1/P2020,NA())</f>
        <v>1.275646149248437</v>
      </c>
      <c r="R2020" s="75">
        <f>F2020-F2019</f>
        <v>0.005028991339516509</v>
      </c>
      <c r="S2020" s="75">
        <f>0.5*(Q2019+Q2020)*R2020</f>
        <v>0.006415234650719445</v>
      </c>
      <c r="T2020" s="75">
        <f>0.5*(F2019*Q2019+F2020*Q2020)*R2020</f>
        <v>0.05257702429106213</v>
      </c>
      <c r="U2020" s="76">
        <f>U2019+S2020</f>
        <v>10.180470353753643</v>
      </c>
      <c r="V2020" s="76">
        <f>V2019+T2020</f>
        <v>49.790145080111046</v>
      </c>
    </row>
    <row r="2021" spans="1:22" ht="19" customHeight="1">
      <c r="A2021" s="68" t="s">
        <v>374</v>
      </c>
      <c r="B2021" s="74">
        <v>3</v>
      </c>
      <c r="C2021" s="68" t="s">
        <v>363</v>
      </c>
      <c r="D2021" s="68" t="s">
        <v>364</v>
      </c>
      <c r="E2021" s="75">
        <f>60*F2021*'THAM_SO_MOI'!$C$51/(2*PI()*'THAM_SO_MOI'!$C$26)</f>
        <v>2060.591625780816</v>
      </c>
      <c r="F2021" s="75">
        <f>'HANH_TRINH'!$F$1647+('THAM_SO_MOI'!$F$51-'HANH_TRINH'!$F$1647)*373/'THAM_SO_MOI'!$C$42</f>
        <v>8.203194496985658</v>
      </c>
      <c r="G2021" s="75">
        <f>3.6*F2021</f>
        <v>29.531500189148367</v>
      </c>
      <c r="H2021" s="75">
        <f>'THAM_SO_MOI'!$D$51</f>
        <v>1.375</v>
      </c>
      <c r="I2021" s="75">
        <f>IF(F2021&gt;'THAM_SO_MOI'!$C$14,'THAM_SO_MOI'!$C$13*(1+F2021^2/1500),'THAM_SO_MOI'!$C$13)</f>
        <v>0.015</v>
      </c>
      <c r="J2021" s="75">
        <f>'THAM_SO_MOI'!$C$40*('THAM_SO_MOI'!$C$23*(E2021/'THAM_SO_MOI'!$C$22)+'THAM_SO_MOI'!$C$24*(E2021/'THAM_SO_MOI'!$C$22)^2-'THAM_SO_MOI'!$C$25*(E2021/'THAM_SO_MOI'!$C$22)^3)</f>
        <v>92.6800690282501</v>
      </c>
      <c r="K2021" s="75">
        <f>'THAM_SO_MOI'!$C$31*J2021/E2021</f>
        <v>429.58364274478515</v>
      </c>
      <c r="L2021" s="75">
        <f>K2021*'THAM_SO_MOI'!$C$51*'THAM_SO_MOI'!$C$17/'THAM_SO_MOI'!$C$26</f>
        <v>9605.15111406947</v>
      </c>
      <c r="M2021" s="75">
        <f>'THAM_SO_MOI'!$C$15*'THAM_SO_MOI'!$C$16*F2021^2</f>
        <v>196.8302698694742</v>
      </c>
      <c r="N2021" s="75">
        <f>'THAM_SO_MOI'!$C$12*I2021</f>
        <v>1130.112</v>
      </c>
      <c r="O2021" s="75">
        <f>M2021+N2021</f>
        <v>1326.9422698694743</v>
      </c>
      <c r="P2021" s="75">
        <f>(MIN(L2021,'THAM_SO_MOI'!$C$41)-O2021)/('THAM_SO_MOI'!$C$11*H2021)</f>
        <v>0.7839212920643934</v>
      </c>
      <c r="Q2021" s="75">
        <f>IF(P2021&gt;0,1/P2021,NA())</f>
        <v>1.275638268947359</v>
      </c>
      <c r="R2021" s="75">
        <f>F2021-F2020</f>
        <v>0.005028991339518285</v>
      </c>
      <c r="S2021" s="75">
        <f>0.5*(Q2020+Q2021)*R2021</f>
        <v>0.006415193621877303</v>
      </c>
      <c r="T2021" s="75">
        <f>0.5*(F2020*Q2020+F2021*Q2021)*R2021</f>
        <v>0.05260894998967381</v>
      </c>
      <c r="U2021" s="76">
        <f>U2020+S2021</f>
        <v>10.186885547375521</v>
      </c>
      <c r="V2021" s="76">
        <f>V2020+T2021</f>
        <v>49.84275403010072</v>
      </c>
    </row>
    <row r="2022" spans="1:22" ht="19" customHeight="1">
      <c r="A2022" s="68" t="s">
        <v>374</v>
      </c>
      <c r="B2022" s="74">
        <v>3</v>
      </c>
      <c r="C2022" s="68" t="s">
        <v>363</v>
      </c>
      <c r="D2022" s="68" t="s">
        <v>364</v>
      </c>
      <c r="E2022" s="75">
        <f>60*F2022*'THAM_SO_MOI'!$C$51/(2*PI()*'THAM_SO_MOI'!$C$26)</f>
        <v>2061.8548772426875</v>
      </c>
      <c r="F2022" s="75">
        <f>'HANH_TRINH'!$F$1647+('THAM_SO_MOI'!$F$51-'HANH_TRINH'!$F$1647)*374/'THAM_SO_MOI'!$C$42</f>
        <v>8.208223488325176</v>
      </c>
      <c r="G2022" s="75">
        <f>3.6*F2022</f>
        <v>29.549604557970635</v>
      </c>
      <c r="H2022" s="75">
        <f>'THAM_SO_MOI'!$D$51</f>
        <v>1.375</v>
      </c>
      <c r="I2022" s="75">
        <f>IF(F2022&gt;'THAM_SO_MOI'!$C$14,'THAM_SO_MOI'!$C$13*(1+F2022^2/1500),'THAM_SO_MOI'!$C$13)</f>
        <v>0.015</v>
      </c>
      <c r="J2022" s="75">
        <f>'THAM_SO_MOI'!$C$40*('THAM_SO_MOI'!$C$23*(E2022/'THAM_SO_MOI'!$C$22)+'THAM_SO_MOI'!$C$24*(E2022/'THAM_SO_MOI'!$C$22)^2-'THAM_SO_MOI'!$C$25*(E2022/'THAM_SO_MOI'!$C$22)^3)</f>
        <v>92.73967647241773</v>
      </c>
      <c r="K2022" s="75">
        <f>'THAM_SO_MOI'!$C$31*J2022/E2022</f>
        <v>429.5965652830327</v>
      </c>
      <c r="L2022" s="75">
        <f>K2022*'THAM_SO_MOI'!$C$51*'THAM_SO_MOI'!$C$17/'THAM_SO_MOI'!$C$26</f>
        <v>9605.440051822898</v>
      </c>
      <c r="M2022" s="75">
        <f>'THAM_SO_MOI'!$C$15*'THAM_SO_MOI'!$C$16*F2022^2</f>
        <v>197.0716785403074</v>
      </c>
      <c r="N2022" s="75">
        <f>'THAM_SO_MOI'!$C$12*I2022</f>
        <v>1130.112</v>
      </c>
      <c r="O2022" s="75">
        <f>M2022+N2022</f>
        <v>1327.1836785403075</v>
      </c>
      <c r="P2022" s="75">
        <f>(MIN(L2022,'THAM_SO_MOI'!$C$41)-O2022)/('THAM_SO_MOI'!$C$11*H2022)</f>
        <v>0.7839257929244878</v>
      </c>
      <c r="Q2022" s="75">
        <f>IF(P2022&gt;0,1/P2022,NA())</f>
        <v>1.275630944951349</v>
      </c>
      <c r="R2022" s="75">
        <f>F2022-F2021</f>
        <v>0.005028991339518285</v>
      </c>
      <c r="S2022" s="75">
        <f>0.5*(Q2021+Q2022)*R2022</f>
        <v>0.006415155390738113</v>
      </c>
      <c r="T2022" s="75">
        <f>0.5*(F2021*Q2021+F2022*Q2022)*R2022</f>
        <v>0.052640898232754266</v>
      </c>
      <c r="U2022" s="76">
        <f>U2021+S2022</f>
        <v>10.193300702766258</v>
      </c>
      <c r="V2022" s="76">
        <f>V2021+T2022</f>
        <v>49.895394928333474</v>
      </c>
    </row>
    <row r="2023" spans="1:22" ht="19" customHeight="1">
      <c r="A2023" s="68" t="s">
        <v>374</v>
      </c>
      <c r="B2023" s="74">
        <v>3</v>
      </c>
      <c r="C2023" s="68" t="s">
        <v>363</v>
      </c>
      <c r="D2023" s="68" t="s">
        <v>364</v>
      </c>
      <c r="E2023" s="75">
        <f>60*F2023*'THAM_SO_MOI'!$C$51/(2*PI()*'THAM_SO_MOI'!$C$26)</f>
        <v>2063.1181287045592</v>
      </c>
      <c r="F2023" s="75">
        <f>'HANH_TRINH'!$F$1647+('THAM_SO_MOI'!$F$51-'HANH_TRINH'!$F$1647)*375/'THAM_SO_MOI'!$C$42</f>
        <v>8.213252479664693</v>
      </c>
      <c r="G2023" s="75">
        <f>3.6*F2023</f>
        <v>29.567708926792893</v>
      </c>
      <c r="H2023" s="75">
        <f>'THAM_SO_MOI'!$D$51</f>
        <v>1.375</v>
      </c>
      <c r="I2023" s="75">
        <f>IF(F2023&gt;'THAM_SO_MOI'!$C$14,'THAM_SO_MOI'!$C$13*(1+F2023^2/1500),'THAM_SO_MOI'!$C$13)</f>
        <v>0.015</v>
      </c>
      <c r="J2023" s="75">
        <f>'THAM_SO_MOI'!$C$40*('THAM_SO_MOI'!$C$23*(E2023/'THAM_SO_MOI'!$C$22)+'THAM_SO_MOI'!$C$24*(E2023/'THAM_SO_MOI'!$C$22)^2-'THAM_SO_MOI'!$C$25*(E2023/'THAM_SO_MOI'!$C$22)^3)</f>
        <v>92.79925389317151</v>
      </c>
      <c r="K2023" s="75">
        <f>'THAM_SO_MOI'!$C$31*J2023/E2023</f>
        <v>429.60933300444964</v>
      </c>
      <c r="L2023" s="75">
        <f>K2023*'THAM_SO_MOI'!$C$51*'THAM_SO_MOI'!$C$17/'THAM_SO_MOI'!$C$26</f>
        <v>9605.725527994216</v>
      </c>
      <c r="M2023" s="75">
        <f>'THAM_SO_MOI'!$C$15*'THAM_SO_MOI'!$C$16*F2023^2</f>
        <v>197.31323516205083</v>
      </c>
      <c r="N2023" s="75">
        <f>'THAM_SO_MOI'!$C$12*I2023</f>
        <v>1130.112</v>
      </c>
      <c r="O2023" s="75">
        <f>M2023+N2023</f>
        <v>1327.425235162051</v>
      </c>
      <c r="P2023" s="75">
        <f>(MIN(L2023,'THAM_SO_MOI'!$C$41)-O2023)/('THAM_SO_MOI'!$C$11*H2023)</f>
        <v>0.783929951972743</v>
      </c>
      <c r="Q2023" s="75">
        <f>IF(P2023&gt;0,1/P2023,NA())</f>
        <v>1.2756241772412464</v>
      </c>
      <c r="R2023" s="75">
        <f>F2023-F2022</f>
        <v>0.005028991339516509</v>
      </c>
      <c r="S2023" s="75">
        <f>0.5*(Q2022+Q2023)*R2023</f>
        <v>0.006415119957201848</v>
      </c>
      <c r="T2023" s="75">
        <f>0.5*(F2022*Q2022+F2023*Q2023)*R2023</f>
        <v>0.05267286906169104</v>
      </c>
      <c r="U2023" s="76">
        <f>U2022+S2023</f>
        <v>10.19971582272346</v>
      </c>
      <c r="V2023" s="76">
        <f>V2022+T2023</f>
        <v>49.94806779739516</v>
      </c>
    </row>
    <row r="2024" spans="1:22" ht="19" customHeight="1">
      <c r="A2024" s="68" t="s">
        <v>374</v>
      </c>
      <c r="B2024" s="74">
        <v>3</v>
      </c>
      <c r="C2024" s="68" t="s">
        <v>363</v>
      </c>
      <c r="D2024" s="68" t="s">
        <v>364</v>
      </c>
      <c r="E2024" s="75">
        <f>60*F2024*'THAM_SO_MOI'!$C$51/(2*PI()*'THAM_SO_MOI'!$C$26)</f>
        <v>2064.381380166431</v>
      </c>
      <c r="F2024" s="75">
        <f>'HANH_TRINH'!$F$1647+('THAM_SO_MOI'!$F$51-'HANH_TRINH'!$F$1647)*376/'THAM_SO_MOI'!$C$42</f>
        <v>8.218281471004211</v>
      </c>
      <c r="G2024" s="75">
        <f>3.6*F2024</f>
        <v>29.58581329561516</v>
      </c>
      <c r="H2024" s="75">
        <f>'THAM_SO_MOI'!$D$51</f>
        <v>1.375</v>
      </c>
      <c r="I2024" s="75">
        <f>IF(F2024&gt;'THAM_SO_MOI'!$C$14,'THAM_SO_MOI'!$C$13*(1+F2024^2/1500),'THAM_SO_MOI'!$C$13)</f>
        <v>0.015</v>
      </c>
      <c r="J2024" s="75">
        <f>'THAM_SO_MOI'!$C$40*('THAM_SO_MOI'!$C$23*(E2024/'THAM_SO_MOI'!$C$22)+'THAM_SO_MOI'!$C$24*(E2024/'THAM_SO_MOI'!$C$22)^2-'THAM_SO_MOI'!$C$25*(E2024/'THAM_SO_MOI'!$C$22)^3)</f>
        <v>92.85880122908208</v>
      </c>
      <c r="K2024" s="75">
        <f>'THAM_SO_MOI'!$C$31*J2024/E2024</f>
        <v>429.62194590903584</v>
      </c>
      <c r="L2024" s="75">
        <f>K2024*'THAM_SO_MOI'!$C$51*'THAM_SO_MOI'!$C$17/'THAM_SO_MOI'!$C$26</f>
        <v>9606.007542583422</v>
      </c>
      <c r="M2024" s="75">
        <f>'THAM_SO_MOI'!$C$15*'THAM_SO_MOI'!$C$16*F2024^2</f>
        <v>197.5549397347046</v>
      </c>
      <c r="N2024" s="75">
        <f>'THAM_SO_MOI'!$C$12*I2024</f>
        <v>1130.112</v>
      </c>
      <c r="O2024" s="75">
        <f>M2024+N2024</f>
        <v>1327.6669397347046</v>
      </c>
      <c r="P2024" s="75">
        <f>(MIN(L2024,'THAM_SO_MOI'!$C$41)-O2024)/('THAM_SO_MOI'!$C$11*H2024)</f>
        <v>0.783933769209159</v>
      </c>
      <c r="Q2024" s="75">
        <f>IF(P2024&gt;0,1/P2024,NA())</f>
        <v>1.2756179657993443</v>
      </c>
      <c r="R2024" s="75">
        <f>F2024-F2023</f>
        <v>0.005028991339518285</v>
      </c>
      <c r="S2024" s="75">
        <f>0.5*(Q2023+Q2024)*R2024</f>
        <v>0.0064150873211826</v>
      </c>
      <c r="T2024" s="75">
        <f>0.5*(F2023*Q2023+F2024*Q2024)*R2024</f>
        <v>0.05270486251798576</v>
      </c>
      <c r="U2024" s="76">
        <f>U2023+S2024</f>
        <v>10.206130910044642</v>
      </c>
      <c r="V2024" s="76">
        <f>V2023+T2024</f>
        <v>50.000772659913146</v>
      </c>
    </row>
    <row r="2025" spans="1:22" ht="19" customHeight="1">
      <c r="A2025" s="68" t="s">
        <v>374</v>
      </c>
      <c r="B2025" s="74">
        <v>3</v>
      </c>
      <c r="C2025" s="68" t="s">
        <v>363</v>
      </c>
      <c r="D2025" s="68" t="s">
        <v>364</v>
      </c>
      <c r="E2025" s="75">
        <f>60*F2025*'THAM_SO_MOI'!$C$51/(2*PI()*'THAM_SO_MOI'!$C$26)</f>
        <v>2065.6446316283027</v>
      </c>
      <c r="F2025" s="75">
        <f>'HANH_TRINH'!$F$1647+('THAM_SO_MOI'!$F$51-'HANH_TRINH'!$F$1647)*377/'THAM_SO_MOI'!$C$42</f>
        <v>8.22331046234373</v>
      </c>
      <c r="G2025" s="75">
        <f>3.6*F2025</f>
        <v>29.603917664437425</v>
      </c>
      <c r="H2025" s="75">
        <f>'THAM_SO_MOI'!$D$51</f>
        <v>1.375</v>
      </c>
      <c r="I2025" s="75">
        <f>IF(F2025&gt;'THAM_SO_MOI'!$C$14,'THAM_SO_MOI'!$C$13*(1+F2025^2/1500),'THAM_SO_MOI'!$C$13)</f>
        <v>0.015</v>
      </c>
      <c r="J2025" s="75">
        <f>'THAM_SO_MOI'!$C$40*('THAM_SO_MOI'!$C$23*(E2025/'THAM_SO_MOI'!$C$22)+'THAM_SO_MOI'!$C$24*(E2025/'THAM_SO_MOI'!$C$22)^2-'THAM_SO_MOI'!$C$25*(E2025/'THAM_SO_MOI'!$C$22)^3)</f>
        <v>92.91831841872019</v>
      </c>
      <c r="K2025" s="75">
        <f>'THAM_SO_MOI'!$C$31*J2025/E2025</f>
        <v>429.63440399679183</v>
      </c>
      <c r="L2025" s="75">
        <f>K2025*'THAM_SO_MOI'!$C$51*'THAM_SO_MOI'!$C$17/'THAM_SO_MOI'!$C$26</f>
        <v>9606.286095590525</v>
      </c>
      <c r="M2025" s="75">
        <f>'THAM_SO_MOI'!$C$15*'THAM_SO_MOI'!$C$16*F2025^2</f>
        <v>197.79679225826862</v>
      </c>
      <c r="N2025" s="75">
        <f>'THAM_SO_MOI'!$C$12*I2025</f>
        <v>1130.112</v>
      </c>
      <c r="O2025" s="75">
        <f>M2025+N2025</f>
        <v>1327.9087922582687</v>
      </c>
      <c r="P2025" s="75">
        <f>(MIN(L2025,'THAM_SO_MOI'!$C$41)-O2025)/('THAM_SO_MOI'!$C$11*H2025)</f>
        <v>0.7839372446337365</v>
      </c>
      <c r="Q2025" s="75">
        <f>IF(P2025&gt;0,1/P2025,NA())</f>
        <v>1.275612310609391</v>
      </c>
      <c r="R2025" s="75">
        <f>F2025-F2024</f>
        <v>0.005028991339518285</v>
      </c>
      <c r="S2025" s="75">
        <f>0.5*(Q2024+Q2025)*R2025</f>
        <v>0.006415057482588186</v>
      </c>
      <c r="T2025" s="75">
        <f>0.5*(F2024*Q2024+F2025*Q2025)*R2025</f>
        <v>0.05273687864308663</v>
      </c>
      <c r="U2025" s="76">
        <f>U2024+S2025</f>
        <v>10.21254596752723</v>
      </c>
      <c r="V2025" s="76">
        <f>V2024+T2025</f>
        <v>50.053509538556234</v>
      </c>
    </row>
    <row r="2026" spans="1:22" ht="19" customHeight="1">
      <c r="A2026" s="68" t="s">
        <v>374</v>
      </c>
      <c r="B2026" s="74">
        <v>3</v>
      </c>
      <c r="C2026" s="68" t="s">
        <v>363</v>
      </c>
      <c r="D2026" s="68" t="s">
        <v>364</v>
      </c>
      <c r="E2026" s="75">
        <f>60*F2026*'THAM_SO_MOI'!$C$51/(2*PI()*'THAM_SO_MOI'!$C$26)</f>
        <v>2066.9078830901744</v>
      </c>
      <c r="F2026" s="75">
        <f>'HANH_TRINH'!$F$1647+('THAM_SO_MOI'!$F$51-'HANH_TRINH'!$F$1647)*378/'THAM_SO_MOI'!$C$42</f>
        <v>8.228339453683247</v>
      </c>
      <c r="G2026" s="75">
        <f>3.6*F2026</f>
        <v>29.622022033259693</v>
      </c>
      <c r="H2026" s="75">
        <f>'THAM_SO_MOI'!$D$51</f>
        <v>1.375</v>
      </c>
      <c r="I2026" s="75">
        <f>IF(F2026&gt;'THAM_SO_MOI'!$C$14,'THAM_SO_MOI'!$C$13*(1+F2026^2/1500),'THAM_SO_MOI'!$C$13)</f>
        <v>0.015</v>
      </c>
      <c r="J2026" s="75">
        <f>'THAM_SO_MOI'!$C$40*('THAM_SO_MOI'!$C$23*(E2026/'THAM_SO_MOI'!$C$22)+'THAM_SO_MOI'!$C$24*(E2026/'THAM_SO_MOI'!$C$22)^2-'THAM_SO_MOI'!$C$25*(E2026/'THAM_SO_MOI'!$C$22)^3)</f>
        <v>92.97780540065642</v>
      </c>
      <c r="K2026" s="75">
        <f>'THAM_SO_MOI'!$C$31*J2026/E2026</f>
        <v>429.6467072677173</v>
      </c>
      <c r="L2026" s="75">
        <f>K2026*'THAM_SO_MOI'!$C$51*'THAM_SO_MOI'!$C$17/'THAM_SO_MOI'!$C$26</f>
        <v>9606.561187015517</v>
      </c>
      <c r="M2026" s="75">
        <f>'THAM_SO_MOI'!$C$15*'THAM_SO_MOI'!$C$16*F2026^2</f>
        <v>198.03879273274296</v>
      </c>
      <c r="N2026" s="75">
        <f>'THAM_SO_MOI'!$C$12*I2026</f>
        <v>1130.112</v>
      </c>
      <c r="O2026" s="75">
        <f>M2026+N2026</f>
        <v>1328.150792732743</v>
      </c>
      <c r="P2026" s="75">
        <f>(MIN(L2026,'THAM_SO_MOI'!$C$41)-O2026)/('THAM_SO_MOI'!$C$11*H2026)</f>
        <v>0.7839403782464749</v>
      </c>
      <c r="Q2026" s="75">
        <f>IF(P2026&gt;0,1/P2026,NA())</f>
        <v>1.2756072116565922</v>
      </c>
      <c r="R2026" s="75">
        <f>F2026-F2025</f>
        <v>0.005028991339518285</v>
      </c>
      <c r="S2026" s="75">
        <f>0.5*(Q2025+Q2026)*R2026</f>
        <v>0.006415030441342803</v>
      </c>
      <c r="T2026" s="75">
        <f>0.5*(F2025*Q2025+F2026*Q2026)*R2026</f>
        <v>0.05276891747857482</v>
      </c>
      <c r="U2026" s="76">
        <f>U2025+S2026</f>
        <v>10.218960997968573</v>
      </c>
      <c r="V2026" s="76">
        <f>V2025+T2026</f>
        <v>50.10627845603481</v>
      </c>
    </row>
    <row r="2027" spans="1:22" ht="19" customHeight="1">
      <c r="A2027" s="68" t="s">
        <v>374</v>
      </c>
      <c r="B2027" s="74">
        <v>3</v>
      </c>
      <c r="C2027" s="68" t="s">
        <v>363</v>
      </c>
      <c r="D2027" s="68" t="s">
        <v>364</v>
      </c>
      <c r="E2027" s="75">
        <f>60*F2027*'THAM_SO_MOI'!$C$51/(2*PI()*'THAM_SO_MOI'!$C$26)</f>
        <v>2068.1711345520457</v>
      </c>
      <c r="F2027" s="75">
        <f>'HANH_TRINH'!$F$1647+('THAM_SO_MOI'!$F$51-'HANH_TRINH'!$F$1647)*379/'THAM_SO_MOI'!$C$42</f>
        <v>8.233368445022764</v>
      </c>
      <c r="G2027" s="75">
        <f>3.6*F2027</f>
        <v>29.64012640208195</v>
      </c>
      <c r="H2027" s="75">
        <f>'THAM_SO_MOI'!$D$51</f>
        <v>1.375</v>
      </c>
      <c r="I2027" s="75">
        <f>IF(F2027&gt;'THAM_SO_MOI'!$C$14,'THAM_SO_MOI'!$C$13*(1+F2027^2/1500),'THAM_SO_MOI'!$C$13)</f>
        <v>0.015</v>
      </c>
      <c r="J2027" s="75">
        <f>'THAM_SO_MOI'!$C$40*('THAM_SO_MOI'!$C$23*(E2027/'THAM_SO_MOI'!$C$22)+'THAM_SO_MOI'!$C$24*(E2027/'THAM_SO_MOI'!$C$22)^2-'THAM_SO_MOI'!$C$25*(E2027/'THAM_SO_MOI'!$C$22)^3)</f>
        <v>93.03726211346138</v>
      </c>
      <c r="K2027" s="75">
        <f>'THAM_SO_MOI'!$C$31*J2027/E2027</f>
        <v>429.6588557218121</v>
      </c>
      <c r="L2027" s="75">
        <f>K2027*'THAM_SO_MOI'!$C$51*'THAM_SO_MOI'!$C$17/'THAM_SO_MOI'!$C$26</f>
        <v>9606.8328168584</v>
      </c>
      <c r="M2027" s="75">
        <f>'THAM_SO_MOI'!$C$15*'THAM_SO_MOI'!$C$16*F2027^2</f>
        <v>198.2809411581275</v>
      </c>
      <c r="N2027" s="75">
        <f>'THAM_SO_MOI'!$C$12*I2027</f>
        <v>1130.112</v>
      </c>
      <c r="O2027" s="75">
        <f>M2027+N2027</f>
        <v>1328.3929411581275</v>
      </c>
      <c r="P2027" s="75">
        <f>(MIN(L2027,'THAM_SO_MOI'!$C$41)-O2027)/('THAM_SO_MOI'!$C$11*H2027)</f>
        <v>0.7839431700473741</v>
      </c>
      <c r="Q2027" s="75">
        <f>IF(P2027&gt;0,1/P2027,NA())</f>
        <v>1.2756026689276079</v>
      </c>
      <c r="R2027" s="75">
        <f>F2027-F2026</f>
        <v>0.005028991339516509</v>
      </c>
      <c r="S2027" s="75">
        <f>0.5*(Q2026+Q2027)*R2027</f>
        <v>0.006415006197373445</v>
      </c>
      <c r="T2027" s="75">
        <f>0.5*(F2026*Q2026+F2027*Q2027)*R2027</f>
        <v>0.05280097906605296</v>
      </c>
      <c r="U2027" s="76">
        <f>U2026+S2027</f>
        <v>10.225376004165946</v>
      </c>
      <c r="V2027" s="76">
        <f>V2026+T2027</f>
        <v>50.159079435100864</v>
      </c>
    </row>
    <row r="2028" spans="1:22" ht="19" customHeight="1">
      <c r="A2028" s="68" t="s">
        <v>374</v>
      </c>
      <c r="B2028" s="74">
        <v>3</v>
      </c>
      <c r="C2028" s="68" t="s">
        <v>363</v>
      </c>
      <c r="D2028" s="68" t="s">
        <v>364</v>
      </c>
      <c r="E2028" s="75">
        <f>60*F2028*'THAM_SO_MOI'!$C$51/(2*PI()*'THAM_SO_MOI'!$C$26)</f>
        <v>2069.434386013918</v>
      </c>
      <c r="F2028" s="75">
        <f>'HANH_TRINH'!$F$1647+('THAM_SO_MOI'!$F$51-'HANH_TRINH'!$F$1647)*380/'THAM_SO_MOI'!$C$42</f>
        <v>8.238397436362282</v>
      </c>
      <c r="G2028" s="75">
        <f>3.6*F2028</f>
        <v>29.65823077090422</v>
      </c>
      <c r="H2028" s="75">
        <f>'THAM_SO_MOI'!$D$51</f>
        <v>1.375</v>
      </c>
      <c r="I2028" s="75">
        <f>IF(F2028&gt;'THAM_SO_MOI'!$C$14,'THAM_SO_MOI'!$C$13*(1+F2028^2/1500),'THAM_SO_MOI'!$C$13)</f>
        <v>0.015</v>
      </c>
      <c r="J2028" s="75">
        <f>'THAM_SO_MOI'!$C$40*('THAM_SO_MOI'!$C$23*(E2028/'THAM_SO_MOI'!$C$22)+'THAM_SO_MOI'!$C$24*(E2028/'THAM_SO_MOI'!$C$22)^2-'THAM_SO_MOI'!$C$25*(E2028/'THAM_SO_MOI'!$C$22)^3)</f>
        <v>93.09668849570583</v>
      </c>
      <c r="K2028" s="75">
        <f>'THAM_SO_MOI'!$C$31*J2028/E2028</f>
        <v>429.6708493590764</v>
      </c>
      <c r="L2028" s="75">
        <f>K2028*'THAM_SO_MOI'!$C$51*'THAM_SO_MOI'!$C$17/'THAM_SO_MOI'!$C$26</f>
        <v>9607.10098511917</v>
      </c>
      <c r="M2028" s="75">
        <f>'THAM_SO_MOI'!$C$15*'THAM_SO_MOI'!$C$16*F2028^2</f>
        <v>198.52323753442235</v>
      </c>
      <c r="N2028" s="75">
        <f>'THAM_SO_MOI'!$C$12*I2028</f>
        <v>1130.112</v>
      </c>
      <c r="O2028" s="75">
        <f>M2028+N2028</f>
        <v>1328.6352375344225</v>
      </c>
      <c r="P2028" s="75">
        <f>(MIN(L2028,'THAM_SO_MOI'!$C$41)-O2028)/('THAM_SO_MOI'!$C$11*H2028)</f>
        <v>0.7839456200364345</v>
      </c>
      <c r="Q2028" s="75">
        <f>IF(P2028&gt;0,1/P2028,NA())</f>
        <v>1.2755986824105532</v>
      </c>
      <c r="R2028" s="75">
        <f>F2028-F2027</f>
        <v>0.005028991339518285</v>
      </c>
      <c r="S2028" s="75">
        <f>0.5*(Q2027+Q2028)*R2028</f>
        <v>0.006414984750623479</v>
      </c>
      <c r="T2028" s="75">
        <f>0.5*(F2027*Q2027+F2028*Q2028)*R2028</f>
        <v>0.05283306344725708</v>
      </c>
      <c r="U2028" s="76">
        <f>U2027+S2028</f>
        <v>10.23179098891657</v>
      </c>
      <c r="V2028" s="76">
        <f>V2027+T2028</f>
        <v>50.21191249854812</v>
      </c>
    </row>
    <row r="2029" spans="1:22" ht="19" customHeight="1">
      <c r="A2029" s="68" t="s">
        <v>374</v>
      </c>
      <c r="B2029" s="74">
        <v>3</v>
      </c>
      <c r="C2029" s="68" t="s">
        <v>363</v>
      </c>
      <c r="D2029" s="68" t="s">
        <v>364</v>
      </c>
      <c r="E2029" s="75">
        <f>60*F2029*'THAM_SO_MOI'!$C$51/(2*PI()*'THAM_SO_MOI'!$C$26)</f>
        <v>2070.697637475789</v>
      </c>
      <c r="F2029" s="75">
        <f>'HANH_TRINH'!$F$1647+('THAM_SO_MOI'!$F$51-'HANH_TRINH'!$F$1647)*381/'THAM_SO_MOI'!$C$42</f>
        <v>8.243426427701799</v>
      </c>
      <c r="G2029" s="75">
        <f>3.6*F2029</f>
        <v>29.676335139726476</v>
      </c>
      <c r="H2029" s="75">
        <f>'THAM_SO_MOI'!$D$51</f>
        <v>1.375</v>
      </c>
      <c r="I2029" s="75">
        <f>IF(F2029&gt;'THAM_SO_MOI'!$C$14,'THAM_SO_MOI'!$C$13*(1+F2029^2/1500),'THAM_SO_MOI'!$C$13)</f>
        <v>0.015</v>
      </c>
      <c r="J2029" s="75">
        <f>'THAM_SO_MOI'!$C$40*('THAM_SO_MOI'!$C$23*(E2029/'THAM_SO_MOI'!$C$22)+'THAM_SO_MOI'!$C$24*(E2029/'THAM_SO_MOI'!$C$22)^2-'THAM_SO_MOI'!$C$25*(E2029/'THAM_SO_MOI'!$C$22)^3)</f>
        <v>93.15608448596035</v>
      </c>
      <c r="K2029" s="75">
        <f>'THAM_SO_MOI'!$C$31*J2029/E2029</f>
        <v>429.68268817951036</v>
      </c>
      <c r="L2029" s="75">
        <f>K2029*'THAM_SO_MOI'!$C$51*'THAM_SO_MOI'!$C$17/'THAM_SO_MOI'!$C$26</f>
        <v>9607.365691797837</v>
      </c>
      <c r="M2029" s="75">
        <f>'THAM_SO_MOI'!$C$15*'THAM_SO_MOI'!$C$16*F2029^2</f>
        <v>198.7656818616274</v>
      </c>
      <c r="N2029" s="75">
        <f>'THAM_SO_MOI'!$C$12*I2029</f>
        <v>1130.112</v>
      </c>
      <c r="O2029" s="75">
        <f>M2029+N2029</f>
        <v>1328.8776818616275</v>
      </c>
      <c r="P2029" s="75">
        <f>(MIN(L2029,'THAM_SO_MOI'!$C$41)-O2029)/('THAM_SO_MOI'!$C$11*H2029)</f>
        <v>0.7839477282136561</v>
      </c>
      <c r="Q2029" s="75">
        <f>IF(P2029&gt;0,1/P2029,NA())</f>
        <v>1.2755952520949985</v>
      </c>
      <c r="R2029" s="75">
        <f>F2029-F2028</f>
        <v>0.005028991339516509</v>
      </c>
      <c r="S2029" s="75">
        <f>0.5*(Q2028+Q2029)*R2029</f>
        <v>0.006414966101027733</v>
      </c>
      <c r="T2029" s="75">
        <f>0.5*(F2028*Q2028+F2029*Q2029)*R2029</f>
        <v>0.052865170663851685</v>
      </c>
      <c r="U2029" s="76">
        <f>U2028+S2029</f>
        <v>10.238205955017598</v>
      </c>
      <c r="V2029" s="76">
        <f>V2028+T2029</f>
        <v>50.26477766921197</v>
      </c>
    </row>
    <row r="2030" spans="1:22" ht="19" customHeight="1">
      <c r="A2030" s="68" t="s">
        <v>374</v>
      </c>
      <c r="B2030" s="74">
        <v>3</v>
      </c>
      <c r="C2030" s="68" t="s">
        <v>363</v>
      </c>
      <c r="D2030" s="68" t="s">
        <v>364</v>
      </c>
      <c r="E2030" s="75">
        <f>60*F2030*'THAM_SO_MOI'!$C$51/(2*PI()*'THAM_SO_MOI'!$C$26)</f>
        <v>2071.9608889376605</v>
      </c>
      <c r="F2030" s="75">
        <f>'HANH_TRINH'!$F$1647+('THAM_SO_MOI'!$F$51-'HANH_TRINH'!$F$1647)*382/'THAM_SO_MOI'!$C$42</f>
        <v>8.248455419041317</v>
      </c>
      <c r="G2030" s="75">
        <f>3.6*F2030</f>
        <v>29.694439508548744</v>
      </c>
      <c r="H2030" s="75">
        <f>'THAM_SO_MOI'!$D$51</f>
        <v>1.375</v>
      </c>
      <c r="I2030" s="75">
        <f>IF(F2030&gt;'THAM_SO_MOI'!$C$14,'THAM_SO_MOI'!$C$13*(1+F2030^2/1500),'THAM_SO_MOI'!$C$13)</f>
        <v>0.015</v>
      </c>
      <c r="J2030" s="75">
        <f>'THAM_SO_MOI'!$C$40*('THAM_SO_MOI'!$C$23*(E2030/'THAM_SO_MOI'!$C$22)+'THAM_SO_MOI'!$C$24*(E2030/'THAM_SO_MOI'!$C$22)^2-'THAM_SO_MOI'!$C$25*(E2030/'THAM_SO_MOI'!$C$22)^3)</f>
        <v>93.21545002279557</v>
      </c>
      <c r="K2030" s="75">
        <f>'THAM_SO_MOI'!$C$31*J2030/E2030</f>
        <v>429.69437218311367</v>
      </c>
      <c r="L2030" s="75">
        <f>K2030*'THAM_SO_MOI'!$C$51*'THAM_SO_MOI'!$C$17/'THAM_SO_MOI'!$C$26</f>
        <v>9607.626936894394</v>
      </c>
      <c r="M2030" s="75">
        <f>'THAM_SO_MOI'!$C$15*'THAM_SO_MOI'!$C$16*F2030^2</f>
        <v>199.0082741397428</v>
      </c>
      <c r="N2030" s="75">
        <f>'THAM_SO_MOI'!$C$12*I2030</f>
        <v>1130.112</v>
      </c>
      <c r="O2030" s="75">
        <f>M2030+N2030</f>
        <v>1329.1202741397428</v>
      </c>
      <c r="P2030" s="75">
        <f>(MIN(L2030,'THAM_SO_MOI'!$C$41)-O2030)/('THAM_SO_MOI'!$C$11*H2030)</f>
        <v>0.783949494579039</v>
      </c>
      <c r="Q2030" s="75">
        <f>IF(P2030&gt;0,1/P2030,NA())</f>
        <v>1.2755923779719696</v>
      </c>
      <c r="R2030" s="75">
        <f>F2030-F2029</f>
        <v>0.005028991339518285</v>
      </c>
      <c r="S2030" s="75">
        <f>0.5*(Q2029+Q2030)*R2030</f>
        <v>0.00641495024854648</v>
      </c>
      <c r="T2030" s="75">
        <f>0.5*(F2029*Q2029+F2030*Q2030)*R2030</f>
        <v>0.052897300757709785</v>
      </c>
      <c r="U2030" s="76">
        <f>U2029+S2030</f>
        <v>10.244620905266144</v>
      </c>
      <c r="V2030" s="76">
        <f>V2029+T2030</f>
        <v>50.31767496996968</v>
      </c>
    </row>
    <row r="2031" spans="1:22" ht="19" customHeight="1">
      <c r="A2031" s="68" t="s">
        <v>374</v>
      </c>
      <c r="B2031" s="74">
        <v>3</v>
      </c>
      <c r="C2031" s="68" t="s">
        <v>363</v>
      </c>
      <c r="D2031" s="68" t="s">
        <v>364</v>
      </c>
      <c r="E2031" s="75">
        <f>60*F2031*'THAM_SO_MOI'!$C$51/(2*PI()*'THAM_SO_MOI'!$C$26)</f>
        <v>2073.2241403995326</v>
      </c>
      <c r="F2031" s="75">
        <f>'HANH_TRINH'!$F$1647+('THAM_SO_MOI'!$F$51-'HANH_TRINH'!$F$1647)*383/'THAM_SO_MOI'!$C$42</f>
        <v>8.253484410380835</v>
      </c>
      <c r="G2031" s="75">
        <f>3.6*F2031</f>
        <v>29.712543877371008</v>
      </c>
      <c r="H2031" s="75">
        <f>'THAM_SO_MOI'!$D$51</f>
        <v>1.375</v>
      </c>
      <c r="I2031" s="75">
        <f>IF(F2031&gt;'THAM_SO_MOI'!$C$14,'THAM_SO_MOI'!$C$13*(1+F2031^2/1500),'THAM_SO_MOI'!$C$13)</f>
        <v>0.015</v>
      </c>
      <c r="J2031" s="75">
        <f>'THAM_SO_MOI'!$C$40*('THAM_SO_MOI'!$C$23*(E2031/'THAM_SO_MOI'!$C$22)+'THAM_SO_MOI'!$C$24*(E2031/'THAM_SO_MOI'!$C$22)^2-'THAM_SO_MOI'!$C$25*(E2031/'THAM_SO_MOI'!$C$22)^3)</f>
        <v>93.27478504478222</v>
      </c>
      <c r="K2031" s="75">
        <f>'THAM_SO_MOI'!$C$31*J2031/E2031</f>
        <v>429.70590136988653</v>
      </c>
      <c r="L2031" s="75">
        <f>K2031*'THAM_SO_MOI'!$C$51*'THAM_SO_MOI'!$C$17/'THAM_SO_MOI'!$C$26</f>
        <v>9607.88472040884</v>
      </c>
      <c r="M2031" s="75">
        <f>'THAM_SO_MOI'!$C$15*'THAM_SO_MOI'!$C$16*F2031^2</f>
        <v>199.25101436876852</v>
      </c>
      <c r="N2031" s="75">
        <f>'THAM_SO_MOI'!$C$12*I2031</f>
        <v>1130.112</v>
      </c>
      <c r="O2031" s="75">
        <f>M2031+N2031</f>
        <v>1329.3630143687685</v>
      </c>
      <c r="P2031" s="75">
        <f>(MIN(L2031,'THAM_SO_MOI'!$C$41)-O2031)/('THAM_SO_MOI'!$C$11*H2031)</f>
        <v>0.7839509191325825</v>
      </c>
      <c r="Q2031" s="75">
        <f>IF(P2031&gt;0,1/P2031,NA())</f>
        <v>1.2755900600339485</v>
      </c>
      <c r="R2031" s="75">
        <f>F2031-F2030</f>
        <v>0.005028991339518285</v>
      </c>
      <c r="S2031" s="75">
        <f>0.5*(Q2030+Q2031)*R2031</f>
        <v>0.006414937193131453</v>
      </c>
      <c r="T2031" s="75">
        <f>0.5*(F2030*Q2030+F2031*Q2031)*R2031</f>
        <v>0.052929453770633135</v>
      </c>
      <c r="U2031" s="76">
        <f>U2030+S2031</f>
        <v>10.251035842459276</v>
      </c>
      <c r="V2031" s="76">
        <f>V2030+T2031</f>
        <v>50.37060442374031</v>
      </c>
    </row>
    <row r="2032" spans="1:22" ht="19" customHeight="1">
      <c r="A2032" s="68" t="s">
        <v>374</v>
      </c>
      <c r="B2032" s="74">
        <v>3</v>
      </c>
      <c r="C2032" s="68" t="s">
        <v>363</v>
      </c>
      <c r="D2032" s="68" t="s">
        <v>364</v>
      </c>
      <c r="E2032" s="75">
        <f>60*F2032*'THAM_SO_MOI'!$C$51/(2*PI()*'THAM_SO_MOI'!$C$26)</f>
        <v>2074.487391861404</v>
      </c>
      <c r="F2032" s="75">
        <f>'HANH_TRINH'!$F$1647+('THAM_SO_MOI'!$F$51-'HANH_TRINH'!$F$1647)*384/'THAM_SO_MOI'!$C$42</f>
        <v>8.258513401720352</v>
      </c>
      <c r="G2032" s="75">
        <f>3.6*F2032</f>
        <v>29.73064824619327</v>
      </c>
      <c r="H2032" s="75">
        <f>'THAM_SO_MOI'!$D$51</f>
        <v>1.375</v>
      </c>
      <c r="I2032" s="75">
        <f>IF(F2032&gt;'THAM_SO_MOI'!$C$14,'THAM_SO_MOI'!$C$13*(1+F2032^2/1500),'THAM_SO_MOI'!$C$13)</f>
        <v>0.015</v>
      </c>
      <c r="J2032" s="75">
        <f>'THAM_SO_MOI'!$C$40*('THAM_SO_MOI'!$C$23*(E2032/'THAM_SO_MOI'!$C$22)+'THAM_SO_MOI'!$C$24*(E2032/'THAM_SO_MOI'!$C$22)^2-'THAM_SO_MOI'!$C$25*(E2032/'THAM_SO_MOI'!$C$22)^3)</f>
        <v>93.33408949049085</v>
      </c>
      <c r="K2032" s="75">
        <f>'THAM_SO_MOI'!$C$31*J2032/E2032</f>
        <v>429.7172757398289</v>
      </c>
      <c r="L2032" s="75">
        <f>K2032*'THAM_SO_MOI'!$C$51*'THAM_SO_MOI'!$C$17/'THAM_SO_MOI'!$C$26</f>
        <v>9608.139042341178</v>
      </c>
      <c r="M2032" s="75">
        <f>'THAM_SO_MOI'!$C$15*'THAM_SO_MOI'!$C$16*F2032^2</f>
        <v>199.49390254870437</v>
      </c>
      <c r="N2032" s="75">
        <f>'THAM_SO_MOI'!$C$12*I2032</f>
        <v>1130.112</v>
      </c>
      <c r="O2032" s="75">
        <f>M2032+N2032</f>
        <v>1329.6059025487045</v>
      </c>
      <c r="P2032" s="75">
        <f>(MIN(L2032,'THAM_SO_MOI'!$C$41)-O2032)/('THAM_SO_MOI'!$C$11*H2032)</f>
        <v>0.7839520018742874</v>
      </c>
      <c r="Q2032" s="75">
        <f>IF(P2032&gt;0,1/P2032,NA())</f>
        <v>1.27558829827487</v>
      </c>
      <c r="R2032" s="75">
        <f>F2032-F2031</f>
        <v>0.005028991339516509</v>
      </c>
      <c r="S2032" s="75">
        <f>0.5*(Q2031+Q2032)*R2032</f>
        <v>0.006414926934748496</v>
      </c>
      <c r="T2032" s="75">
        <f>0.5*(F2031*Q2031+F2032*Q2032)*R2032</f>
        <v>0.052961629744539024</v>
      </c>
      <c r="U2032" s="76">
        <f>U2031+S2032</f>
        <v>10.257450769394024</v>
      </c>
      <c r="V2032" s="76">
        <f>V2031+T2032</f>
        <v>50.42356605348485</v>
      </c>
    </row>
    <row r="2033" spans="1:22" ht="19" customHeight="1">
      <c r="A2033" s="68" t="s">
        <v>374</v>
      </c>
      <c r="B2033" s="74">
        <v>3</v>
      </c>
      <c r="C2033" s="68" t="s">
        <v>363</v>
      </c>
      <c r="D2033" s="68" t="s">
        <v>364</v>
      </c>
      <c r="E2033" s="75">
        <f>60*F2033*'THAM_SO_MOI'!$C$51/(2*PI()*'THAM_SO_MOI'!$C$26)</f>
        <v>2075.7506433232757</v>
      </c>
      <c r="F2033" s="75">
        <f>'HANH_TRINH'!$F$1647+('THAM_SO_MOI'!$F$51-'HANH_TRINH'!$F$1647)*385/'THAM_SO_MOI'!$C$42</f>
        <v>8.26354239305987</v>
      </c>
      <c r="G2033" s="75">
        <f>3.6*F2033</f>
        <v>29.748752615015533</v>
      </c>
      <c r="H2033" s="75">
        <f>'THAM_SO_MOI'!$D$51</f>
        <v>1.375</v>
      </c>
      <c r="I2033" s="75">
        <f>IF(F2033&gt;'THAM_SO_MOI'!$C$14,'THAM_SO_MOI'!$C$13*(1+F2033^2/1500),'THAM_SO_MOI'!$C$13)</f>
        <v>0.015</v>
      </c>
      <c r="J2033" s="75">
        <f>'THAM_SO_MOI'!$C$40*('THAM_SO_MOI'!$C$23*(E2033/'THAM_SO_MOI'!$C$22)+'THAM_SO_MOI'!$C$24*(E2033/'THAM_SO_MOI'!$C$22)^2-'THAM_SO_MOI'!$C$25*(E2033/'THAM_SO_MOI'!$C$22)^3)</f>
        <v>93.39336329849222</v>
      </c>
      <c r="K2033" s="75">
        <f>'THAM_SO_MOI'!$C$31*J2033/E2033</f>
        <v>429.7284952929408</v>
      </c>
      <c r="L2033" s="75">
        <f>K2033*'THAM_SO_MOI'!$C$51*'THAM_SO_MOI'!$C$17/'THAM_SO_MOI'!$C$26</f>
        <v>9608.38990269141</v>
      </c>
      <c r="M2033" s="75">
        <f>'THAM_SO_MOI'!$C$15*'THAM_SO_MOI'!$C$16*F2033^2</f>
        <v>199.73693867955063</v>
      </c>
      <c r="N2033" s="75">
        <f>'THAM_SO_MOI'!$C$12*I2033</f>
        <v>1130.112</v>
      </c>
      <c r="O2033" s="75">
        <f>M2033+N2033</f>
        <v>1329.8489386795507</v>
      </c>
      <c r="P2033" s="75">
        <f>(MIN(L2033,'THAM_SO_MOI'!$C$41)-O2033)/('THAM_SO_MOI'!$C$11*H2033)</f>
        <v>0.7839527428041534</v>
      </c>
      <c r="Q2033" s="75">
        <f>IF(P2033&gt;0,1/P2033,NA())</f>
        <v>1.2755870926901258</v>
      </c>
      <c r="R2033" s="75">
        <f>F2033-F2032</f>
        <v>0.005028991339518285</v>
      </c>
      <c r="S2033" s="75">
        <f>0.5*(Q2032+Q2033)*R2033</f>
        <v>0.0064149194733775705</v>
      </c>
      <c r="T2033" s="75">
        <f>0.5*(F2032*Q2032+F2033*Q2033)*R2033</f>
        <v>0.05299382872146065</v>
      </c>
      <c r="U2033" s="76">
        <f>U2032+S2033</f>
        <v>10.263865688867401</v>
      </c>
      <c r="V2033" s="76">
        <f>V2032+T2033</f>
        <v>50.47655988220631</v>
      </c>
    </row>
    <row r="2034" spans="1:22" ht="19" customHeight="1">
      <c r="A2034" s="68" t="s">
        <v>374</v>
      </c>
      <c r="B2034" s="74">
        <v>3</v>
      </c>
      <c r="C2034" s="68" t="s">
        <v>363</v>
      </c>
      <c r="D2034" s="68" t="s">
        <v>364</v>
      </c>
      <c r="E2034" s="75">
        <f>60*F2034*'THAM_SO_MOI'!$C$51/(2*PI()*'THAM_SO_MOI'!$C$26)</f>
        <v>2077.013894785147</v>
      </c>
      <c r="F2034" s="75">
        <f>'HANH_TRINH'!$F$1647+('THAM_SO_MOI'!$F$51-'HANH_TRINH'!$F$1647)*386/'THAM_SO_MOI'!$C$42</f>
        <v>8.268571384399388</v>
      </c>
      <c r="G2034" s="75">
        <f>3.6*F2034</f>
        <v>29.766856983837798</v>
      </c>
      <c r="H2034" s="75">
        <f>'THAM_SO_MOI'!$D$51</f>
        <v>1.375</v>
      </c>
      <c r="I2034" s="75">
        <f>IF(F2034&gt;'THAM_SO_MOI'!$C$14,'THAM_SO_MOI'!$C$13*(1+F2034^2/1500),'THAM_SO_MOI'!$C$13)</f>
        <v>0.015</v>
      </c>
      <c r="J2034" s="75">
        <f>'THAM_SO_MOI'!$C$40*('THAM_SO_MOI'!$C$23*(E2034/'THAM_SO_MOI'!$C$22)+'THAM_SO_MOI'!$C$24*(E2034/'THAM_SO_MOI'!$C$22)^2-'THAM_SO_MOI'!$C$25*(E2034/'THAM_SO_MOI'!$C$22)^3)</f>
        <v>93.45260640735685</v>
      </c>
      <c r="K2034" s="75">
        <f>'THAM_SO_MOI'!$C$31*J2034/E2034</f>
        <v>429.739560029222</v>
      </c>
      <c r="L2034" s="75">
        <f>K2034*'THAM_SO_MOI'!$C$51*'THAM_SO_MOI'!$C$17/'THAM_SO_MOI'!$C$26</f>
        <v>9608.637301459525</v>
      </c>
      <c r="M2034" s="75">
        <f>'THAM_SO_MOI'!$C$15*'THAM_SO_MOI'!$C$16*F2034^2</f>
        <v>199.98012276130714</v>
      </c>
      <c r="N2034" s="75">
        <f>'THAM_SO_MOI'!$C$12*I2034</f>
        <v>1130.112</v>
      </c>
      <c r="O2034" s="75">
        <f>M2034+N2034</f>
        <v>1330.092122761307</v>
      </c>
      <c r="P2034" s="75">
        <f>(MIN(L2034,'THAM_SO_MOI'!$C$41)-O2034)/('THAM_SO_MOI'!$C$11*H2034)</f>
        <v>0.7839531419221796</v>
      </c>
      <c r="Q2034" s="75">
        <f>IF(P2034&gt;0,1/P2034,NA())</f>
        <v>1.2755864432765633</v>
      </c>
      <c r="R2034" s="75">
        <f>F2034-F2033</f>
        <v>0.005028991339518285</v>
      </c>
      <c r="S2034" s="75">
        <f>0.5*(Q2033+Q2034)*R2034</f>
        <v>0.00641491480899236</v>
      </c>
      <c r="T2034" s="75">
        <f>0.5*(F2033*Q2033+F2034*Q2034)*R2034</f>
        <v>0.053026050743378975</v>
      </c>
      <c r="U2034" s="76">
        <f>U2033+S2034</f>
        <v>10.270280603676394</v>
      </c>
      <c r="V2034" s="76">
        <f>V2033+T2034</f>
        <v>50.529585932949686</v>
      </c>
    </row>
    <row r="2035" spans="1:22" ht="19" customHeight="1">
      <c r="A2035" s="68" t="s">
        <v>374</v>
      </c>
      <c r="B2035" s="74">
        <v>3</v>
      </c>
      <c r="C2035" s="68" t="s">
        <v>363</v>
      </c>
      <c r="D2035" s="68" t="s">
        <v>364</v>
      </c>
      <c r="E2035" s="75">
        <f>60*F2035*'THAM_SO_MOI'!$C$51/(2*PI()*'THAM_SO_MOI'!$C$26)</f>
        <v>2078.277146247018</v>
      </c>
      <c r="F2035" s="75">
        <f>'HANH_TRINH'!$F$1647+('THAM_SO_MOI'!$F$51-'HANH_TRINH'!$F$1647)*387/'THAM_SO_MOI'!$C$42</f>
        <v>8.273600375738905</v>
      </c>
      <c r="G2035" s="75">
        <f>3.6*F2035</f>
        <v>29.78496135266006</v>
      </c>
      <c r="H2035" s="75">
        <f>'THAM_SO_MOI'!$D$51</f>
        <v>1.375</v>
      </c>
      <c r="I2035" s="75">
        <f>IF(F2035&gt;'THAM_SO_MOI'!$C$14,'THAM_SO_MOI'!$C$13*(1+F2035^2/1500),'THAM_SO_MOI'!$C$13)</f>
        <v>0.015</v>
      </c>
      <c r="J2035" s="75">
        <f>'THAM_SO_MOI'!$C$40*('THAM_SO_MOI'!$C$23*(E2035/'THAM_SO_MOI'!$C$22)+'THAM_SO_MOI'!$C$24*(E2035/'THAM_SO_MOI'!$C$22)^2-'THAM_SO_MOI'!$C$25*(E2035/'THAM_SO_MOI'!$C$22)^3)</f>
        <v>93.51181875565547</v>
      </c>
      <c r="K2035" s="75">
        <f>'THAM_SO_MOI'!$C$31*J2035/E2035</f>
        <v>429.7504699486727</v>
      </c>
      <c r="L2035" s="75">
        <f>K2035*'THAM_SO_MOI'!$C$51*'THAM_SO_MOI'!$C$17/'THAM_SO_MOI'!$C$26</f>
        <v>9608.881238645532</v>
      </c>
      <c r="M2035" s="75">
        <f>'THAM_SO_MOI'!$C$15*'THAM_SO_MOI'!$C$16*F2035^2</f>
        <v>200.22345479397384</v>
      </c>
      <c r="N2035" s="75">
        <f>'THAM_SO_MOI'!$C$12*I2035</f>
        <v>1130.112</v>
      </c>
      <c r="O2035" s="75">
        <f>M2035+N2035</f>
        <v>1330.335454793974</v>
      </c>
      <c r="P2035" s="75">
        <f>(MIN(L2035,'THAM_SO_MOI'!$C$41)-O2035)/('THAM_SO_MOI'!$C$11*H2035)</f>
        <v>0.7839531992283671</v>
      </c>
      <c r="Q2035" s="75">
        <f>IF(P2035&gt;0,1/P2035,NA())</f>
        <v>1.275586350032482</v>
      </c>
      <c r="R2035" s="75">
        <f>F2035-F2034</f>
        <v>0.005028991339516509</v>
      </c>
      <c r="S2035" s="75">
        <f>0.5*(Q2034+Q2035)*R2035</f>
        <v>0.006414912941580664</v>
      </c>
      <c r="T2035" s="75">
        <f>0.5*(F2034*Q2034+F2035*Q2035)*R2035</f>
        <v>0.053058295852391114</v>
      </c>
      <c r="U2035" s="76">
        <f>U2034+S2035</f>
        <v>10.276695516617975</v>
      </c>
      <c r="V2035" s="76">
        <f>V2034+T2035</f>
        <v>50.582644228802074</v>
      </c>
    </row>
    <row r="2036" spans="1:22" ht="19" customHeight="1">
      <c r="A2036" s="68" t="s">
        <v>374</v>
      </c>
      <c r="B2036" s="74">
        <v>3</v>
      </c>
      <c r="C2036" s="68" t="s">
        <v>363</v>
      </c>
      <c r="D2036" s="68" t="s">
        <v>364</v>
      </c>
      <c r="E2036" s="75">
        <f>60*F2036*'THAM_SO_MOI'!$C$51/(2*PI()*'THAM_SO_MOI'!$C$26)</f>
        <v>2079.5403977088904</v>
      </c>
      <c r="F2036" s="75">
        <f>'HANH_TRINH'!$F$1647+('THAM_SO_MOI'!$F$51-'HANH_TRINH'!$F$1647)*388/'THAM_SO_MOI'!$C$42</f>
        <v>8.278629367078423</v>
      </c>
      <c r="G2036" s="75">
        <f>3.6*F2036</f>
        <v>29.803065721482323</v>
      </c>
      <c r="H2036" s="75">
        <f>'THAM_SO_MOI'!$D$51</f>
        <v>1.375</v>
      </c>
      <c r="I2036" s="75">
        <f>IF(F2036&gt;'THAM_SO_MOI'!$C$14,'THAM_SO_MOI'!$C$13*(1+F2036^2/1500),'THAM_SO_MOI'!$C$13)</f>
        <v>0.015</v>
      </c>
      <c r="J2036" s="75">
        <f>'THAM_SO_MOI'!$C$40*('THAM_SO_MOI'!$C$23*(E2036/'THAM_SO_MOI'!$C$22)+'THAM_SO_MOI'!$C$24*(E2036/'THAM_SO_MOI'!$C$22)^2-'THAM_SO_MOI'!$C$25*(E2036/'THAM_SO_MOI'!$C$22)^3)</f>
        <v>93.57100028195879</v>
      </c>
      <c r="K2036" s="75">
        <f>'THAM_SO_MOI'!$C$31*J2036/E2036</f>
        <v>429.76122505129297</v>
      </c>
      <c r="L2036" s="75">
        <f>K2036*'THAM_SO_MOI'!$C$51*'THAM_SO_MOI'!$C$17/'THAM_SO_MOI'!$C$26</f>
        <v>9609.121714249433</v>
      </c>
      <c r="M2036" s="75">
        <f>'THAM_SO_MOI'!$C$15*'THAM_SO_MOI'!$C$16*F2036^2</f>
        <v>200.4669347775509</v>
      </c>
      <c r="N2036" s="75">
        <f>'THAM_SO_MOI'!$C$12*I2036</f>
        <v>1130.112</v>
      </c>
      <c r="O2036" s="75">
        <f>M2036+N2036</f>
        <v>1330.578934777551</v>
      </c>
      <c r="P2036" s="75">
        <f>(MIN(L2036,'THAM_SO_MOI'!$C$41)-O2036)/('THAM_SO_MOI'!$C$11*H2036)</f>
        <v>0.7839529147227161</v>
      </c>
      <c r="Q2036" s="75">
        <f>IF(P2036&gt;0,1/P2036,NA())</f>
        <v>1.2755868129576375</v>
      </c>
      <c r="R2036" s="75">
        <f>F2036-F2035</f>
        <v>0.005028991339518285</v>
      </c>
      <c r="S2036" s="75">
        <f>0.5*(Q2035+Q2036)*R2036</f>
        <v>0.0064149138711443905</v>
      </c>
      <c r="T2036" s="75">
        <f>0.5*(F2035*Q2035+F2036*Q2036)*R2036</f>
        <v>0.053090564090710744</v>
      </c>
      <c r="U2036" s="76">
        <f>U2035+S2036</f>
        <v>10.283110430489119</v>
      </c>
      <c r="V2036" s="76">
        <f>V2035+T2036</f>
        <v>50.635734792892784</v>
      </c>
    </row>
    <row r="2037" spans="1:22" ht="19" customHeight="1">
      <c r="A2037" s="68" t="s">
        <v>374</v>
      </c>
      <c r="B2037" s="74">
        <v>3</v>
      </c>
      <c r="C2037" s="68" t="s">
        <v>363</v>
      </c>
      <c r="D2037" s="68" t="s">
        <v>364</v>
      </c>
      <c r="E2037" s="75">
        <f>60*F2037*'THAM_SO_MOI'!$C$51/(2*PI()*'THAM_SO_MOI'!$C$26)</f>
        <v>2080.803649170762</v>
      </c>
      <c r="F2037" s="75">
        <f>'HANH_TRINH'!$F$1647+('THAM_SO_MOI'!$F$51-'HANH_TRINH'!$F$1647)*389/'THAM_SO_MOI'!$C$42</f>
        <v>8.283658358417942</v>
      </c>
      <c r="G2037" s="75">
        <f>3.6*F2037</f>
        <v>29.82117009030459</v>
      </c>
      <c r="H2037" s="75">
        <f>'THAM_SO_MOI'!$D$51</f>
        <v>1.375</v>
      </c>
      <c r="I2037" s="75">
        <f>IF(F2037&gt;'THAM_SO_MOI'!$C$14,'THAM_SO_MOI'!$C$13*(1+F2037^2/1500),'THAM_SO_MOI'!$C$13)</f>
        <v>0.015</v>
      </c>
      <c r="J2037" s="75">
        <f>'THAM_SO_MOI'!$C$40*('THAM_SO_MOI'!$C$23*(E2037/'THAM_SO_MOI'!$C$22)+'THAM_SO_MOI'!$C$24*(E2037/'THAM_SO_MOI'!$C$22)^2-'THAM_SO_MOI'!$C$25*(E2037/'THAM_SO_MOI'!$C$22)^3)</f>
        <v>93.63015092483738</v>
      </c>
      <c r="K2037" s="75">
        <f>'THAM_SO_MOI'!$C$31*J2037/E2037</f>
        <v>429.7718253370828</v>
      </c>
      <c r="L2037" s="75">
        <f>K2037*'THAM_SO_MOI'!$C$51*'THAM_SO_MOI'!$C$17/'THAM_SO_MOI'!$C$26</f>
        <v>9609.358728271229</v>
      </c>
      <c r="M2037" s="75">
        <f>'THAM_SO_MOI'!$C$15*'THAM_SO_MOI'!$C$16*F2037^2</f>
        <v>200.71056271203824</v>
      </c>
      <c r="N2037" s="75">
        <f>'THAM_SO_MOI'!$C$12*I2037</f>
        <v>1130.112</v>
      </c>
      <c r="O2037" s="75">
        <f>M2037+N2037</f>
        <v>1330.8225627120382</v>
      </c>
      <c r="P2037" s="75">
        <f>(MIN(L2037,'THAM_SO_MOI'!$C$41)-O2037)/('THAM_SO_MOI'!$C$11*H2037)</f>
        <v>0.7839522884052265</v>
      </c>
      <c r="Q2037" s="75">
        <f>IF(P2037&gt;0,1/P2037,NA())</f>
        <v>1.275587832053241</v>
      </c>
      <c r="R2037" s="75">
        <f>F2037-F2036</f>
        <v>0.005028991339518285</v>
      </c>
      <c r="S2037" s="75">
        <f>0.5*(Q2036+Q2037)*R2037</f>
        <v>0.006414917597679172</v>
      </c>
      <c r="T2037" s="75">
        <f>0.5*(F2036*Q2036+F2037*Q2037)*R2037</f>
        <v>0.05312285550049961</v>
      </c>
      <c r="U2037" s="76">
        <f>U2036+S2037</f>
        <v>10.289525348086798</v>
      </c>
      <c r="V2037" s="76">
        <f>V2036+T2037</f>
        <v>50.68885764839328</v>
      </c>
    </row>
    <row r="2038" spans="1:22" ht="19" customHeight="1">
      <c r="A2038" s="68" t="s">
        <v>374</v>
      </c>
      <c r="B2038" s="74">
        <v>3</v>
      </c>
      <c r="C2038" s="68" t="s">
        <v>363</v>
      </c>
      <c r="D2038" s="68" t="s">
        <v>364</v>
      </c>
      <c r="E2038" s="75">
        <f>60*F2038*'THAM_SO_MOI'!$C$51/(2*PI()*'THAM_SO_MOI'!$C$26)</f>
        <v>2082.0669006326334</v>
      </c>
      <c r="F2038" s="75">
        <f>'HANH_TRINH'!$F$1647+('THAM_SO_MOI'!$F$51-'HANH_TRINH'!$F$1647)*390/'THAM_SO_MOI'!$C$42</f>
        <v>8.288687349757458</v>
      </c>
      <c r="G2038" s="75">
        <f>3.6*F2038</f>
        <v>29.839274459126848</v>
      </c>
      <c r="H2038" s="75">
        <f>'THAM_SO_MOI'!$D$51</f>
        <v>1.375</v>
      </c>
      <c r="I2038" s="75">
        <f>IF(F2038&gt;'THAM_SO_MOI'!$C$14,'THAM_SO_MOI'!$C$13*(1+F2038^2/1500),'THAM_SO_MOI'!$C$13)</f>
        <v>0.015</v>
      </c>
      <c r="J2038" s="75">
        <f>'THAM_SO_MOI'!$C$40*('THAM_SO_MOI'!$C$23*(E2038/'THAM_SO_MOI'!$C$22)+'THAM_SO_MOI'!$C$24*(E2038/'THAM_SO_MOI'!$C$22)^2-'THAM_SO_MOI'!$C$25*(E2038/'THAM_SO_MOI'!$C$22)^3)</f>
        <v>93.6892706228619</v>
      </c>
      <c r="K2038" s="75">
        <f>'THAM_SO_MOI'!$C$31*J2038/E2038</f>
        <v>429.7822708060422</v>
      </c>
      <c r="L2038" s="75">
        <f>K2038*'THAM_SO_MOI'!$C$51*'THAM_SO_MOI'!$C$17/'THAM_SO_MOI'!$C$26</f>
        <v>9609.592280710915</v>
      </c>
      <c r="M2038" s="75">
        <f>'THAM_SO_MOI'!$C$15*'THAM_SO_MOI'!$C$16*F2038^2</f>
        <v>200.95433859743574</v>
      </c>
      <c r="N2038" s="75">
        <f>'THAM_SO_MOI'!$C$12*I2038</f>
        <v>1130.112</v>
      </c>
      <c r="O2038" s="75">
        <f>M2038+N2038</f>
        <v>1331.0663385974358</v>
      </c>
      <c r="P2038" s="75">
        <f>(MIN(L2038,'THAM_SO_MOI'!$C$41)-O2038)/('THAM_SO_MOI'!$C$11*H2038)</f>
        <v>0.7839513202758976</v>
      </c>
      <c r="Q2038" s="75">
        <f>IF(P2038&gt;0,1/P2038,NA())</f>
        <v>1.2755894073219596</v>
      </c>
      <c r="R2038" s="75">
        <f>F2038-F2037</f>
        <v>0.005028991339516509</v>
      </c>
      <c r="S2038" s="75">
        <f>0.5*(Q2037+Q2038)*R2038</f>
        <v>0.00641492412119476</v>
      </c>
      <c r="T2038" s="75">
        <f>0.5*(F2037*Q2037+F2038*Q2038)*R2038</f>
        <v>0.05315517012403634</v>
      </c>
      <c r="U2038" s="76">
        <f>U2037+S2038</f>
        <v>10.295940272207993</v>
      </c>
      <c r="V2038" s="76">
        <f>V2037+T2038</f>
        <v>50.74201281851732</v>
      </c>
    </row>
    <row r="2039" spans="1:22" ht="19" customHeight="1">
      <c r="A2039" s="68" t="s">
        <v>374</v>
      </c>
      <c r="B2039" s="74">
        <v>3</v>
      </c>
      <c r="C2039" s="68" t="s">
        <v>363</v>
      </c>
      <c r="D2039" s="68" t="s">
        <v>364</v>
      </c>
      <c r="E2039" s="75">
        <f>60*F2039*'THAM_SO_MOI'!$C$51/(2*PI()*'THAM_SO_MOI'!$C$26)</f>
        <v>2083.330152094505</v>
      </c>
      <c r="F2039" s="75">
        <f>'HANH_TRINH'!$F$1647+('THAM_SO_MOI'!$F$51-'HANH_TRINH'!$F$1647)*391/'THAM_SO_MOI'!$C$42</f>
        <v>8.293716341096976</v>
      </c>
      <c r="G2039" s="75">
        <f>3.6*F2039</f>
        <v>29.857378827949116</v>
      </c>
      <c r="H2039" s="75">
        <f>'THAM_SO_MOI'!$D$51</f>
        <v>1.375</v>
      </c>
      <c r="I2039" s="75">
        <f>IF(F2039&gt;'THAM_SO_MOI'!$C$14,'THAM_SO_MOI'!$C$13*(1+F2039^2/1500),'THAM_SO_MOI'!$C$13)</f>
        <v>0.015</v>
      </c>
      <c r="J2039" s="75">
        <f>'THAM_SO_MOI'!$C$40*('THAM_SO_MOI'!$C$23*(E2039/'THAM_SO_MOI'!$C$22)+'THAM_SO_MOI'!$C$24*(E2039/'THAM_SO_MOI'!$C$22)^2-'THAM_SO_MOI'!$C$25*(E2039/'THAM_SO_MOI'!$C$22)^3)</f>
        <v>93.748359314603</v>
      </c>
      <c r="K2039" s="75">
        <f>'THAM_SO_MOI'!$C$31*J2039/E2039</f>
        <v>429.792561458171</v>
      </c>
      <c r="L2039" s="75">
        <f>K2039*'THAM_SO_MOI'!$C$51*'THAM_SO_MOI'!$C$17/'THAM_SO_MOI'!$C$26</f>
        <v>9609.822371568489</v>
      </c>
      <c r="M2039" s="75">
        <f>'THAM_SO_MOI'!$C$15*'THAM_SO_MOI'!$C$16*F2039^2</f>
        <v>201.19826243374365</v>
      </c>
      <c r="N2039" s="75">
        <f>'THAM_SO_MOI'!$C$12*I2039</f>
        <v>1130.112</v>
      </c>
      <c r="O2039" s="75">
        <f>M2039+N2039</f>
        <v>1331.3102624337437</v>
      </c>
      <c r="P2039" s="75">
        <f>(MIN(L2039,'THAM_SO_MOI'!$C$41)-O2039)/('THAM_SO_MOI'!$C$11*H2039)</f>
        <v>0.7839500103347298</v>
      </c>
      <c r="Q2039" s="75">
        <f>IF(P2039&gt;0,1/P2039,NA())</f>
        <v>1.275591538767914</v>
      </c>
      <c r="R2039" s="75">
        <f>F2039-F2038</f>
        <v>0.005028991339518285</v>
      </c>
      <c r="S2039" s="75">
        <f>0.5*(Q2038+Q2039)*R2039</f>
        <v>0.00641493344171502</v>
      </c>
      <c r="T2039" s="75">
        <f>0.5*(F2038*Q2038+F2039*Q2039)*R2039</f>
        <v>0.05318750800371681</v>
      </c>
      <c r="U2039" s="76">
        <f>U2038+S2039</f>
        <v>10.302355205649707</v>
      </c>
      <c r="V2039" s="76">
        <f>V2038+T2039</f>
        <v>50.795200326521034</v>
      </c>
    </row>
    <row r="2040" spans="1:22" ht="19" customHeight="1">
      <c r="A2040" s="68" t="s">
        <v>374</v>
      </c>
      <c r="B2040" s="74">
        <v>3</v>
      </c>
      <c r="C2040" s="68" t="s">
        <v>363</v>
      </c>
      <c r="D2040" s="68" t="s">
        <v>364</v>
      </c>
      <c r="E2040" s="75">
        <f>60*F2040*'THAM_SO_MOI'!$C$51/(2*PI()*'THAM_SO_MOI'!$C$26)</f>
        <v>2084.5934035563773</v>
      </c>
      <c r="F2040" s="75">
        <f>'HANH_TRINH'!$F$1647+('THAM_SO_MOI'!$F$51-'HANH_TRINH'!$F$1647)*392/'THAM_SO_MOI'!$C$42</f>
        <v>8.298745332436495</v>
      </c>
      <c r="G2040" s="75">
        <f>3.6*F2040</f>
        <v>29.87548319677138</v>
      </c>
      <c r="H2040" s="75">
        <f>'THAM_SO_MOI'!$D$51</f>
        <v>1.375</v>
      </c>
      <c r="I2040" s="75">
        <f>IF(F2040&gt;'THAM_SO_MOI'!$C$14,'THAM_SO_MOI'!$C$13*(1+F2040^2/1500),'THAM_SO_MOI'!$C$13)</f>
        <v>0.015</v>
      </c>
      <c r="J2040" s="75">
        <f>'THAM_SO_MOI'!$C$40*('THAM_SO_MOI'!$C$23*(E2040/'THAM_SO_MOI'!$C$22)+'THAM_SO_MOI'!$C$24*(E2040/'THAM_SO_MOI'!$C$22)^2-'THAM_SO_MOI'!$C$25*(E2040/'THAM_SO_MOI'!$C$22)^3)</f>
        <v>93.80741693863133</v>
      </c>
      <c r="K2040" s="75">
        <f>'THAM_SO_MOI'!$C$31*J2040/E2040</f>
        <v>429.80269729346924</v>
      </c>
      <c r="L2040" s="75">
        <f>K2040*'THAM_SO_MOI'!$C$51*'THAM_SO_MOI'!$C$17/'THAM_SO_MOI'!$C$26</f>
        <v>9610.049000843954</v>
      </c>
      <c r="M2040" s="75">
        <f>'THAM_SO_MOI'!$C$15*'THAM_SO_MOI'!$C$16*F2040^2</f>
        <v>201.44233422096178</v>
      </c>
      <c r="N2040" s="75">
        <f>'THAM_SO_MOI'!$C$12*I2040</f>
        <v>1130.112</v>
      </c>
      <c r="O2040" s="75">
        <f>M2040+N2040</f>
        <v>1331.554334220962</v>
      </c>
      <c r="P2040" s="75">
        <f>(MIN(L2040,'THAM_SO_MOI'!$C$41)-O2040)/('THAM_SO_MOI'!$C$11*H2040)</f>
        <v>0.7839483585817227</v>
      </c>
      <c r="Q2040" s="75">
        <f>IF(P2040&gt;0,1/P2040,NA())</f>
        <v>1.2755942263966804</v>
      </c>
      <c r="R2040" s="75">
        <f>F2040-F2039</f>
        <v>0.005028991339518285</v>
      </c>
      <c r="S2040" s="75">
        <f>0.5*(Q2039+Q2040)*R2040</f>
        <v>0.006414945559257537</v>
      </c>
      <c r="T2040" s="75">
        <f>0.5*(F2039*Q2039+F2040*Q2040)*R2040</f>
        <v>0.05321986918188525</v>
      </c>
      <c r="U2040" s="76">
        <f>U2039+S2040</f>
        <v>10.308770151208964</v>
      </c>
      <c r="V2040" s="76">
        <f>V2039+T2040</f>
        <v>50.84842019570292</v>
      </c>
    </row>
    <row r="2041" spans="1:22" ht="19" customHeight="1">
      <c r="A2041" s="68" t="s">
        <v>374</v>
      </c>
      <c r="B2041" s="74">
        <v>3</v>
      </c>
      <c r="C2041" s="68" t="s">
        <v>363</v>
      </c>
      <c r="D2041" s="68" t="s">
        <v>364</v>
      </c>
      <c r="E2041" s="75">
        <f>60*F2041*'THAM_SO_MOI'!$C$51/(2*PI()*'THAM_SO_MOI'!$C$26)</f>
        <v>2085.8566550182486</v>
      </c>
      <c r="F2041" s="75">
        <f>'HANH_TRINH'!$F$1647+('THAM_SO_MOI'!$F$51-'HANH_TRINH'!$F$1647)*393/'THAM_SO_MOI'!$C$42</f>
        <v>8.303774323776011</v>
      </c>
      <c r="G2041" s="75">
        <f>3.6*F2041</f>
        <v>29.89358756559364</v>
      </c>
      <c r="H2041" s="75">
        <f>'THAM_SO_MOI'!$D$51</f>
        <v>1.375</v>
      </c>
      <c r="I2041" s="75">
        <f>IF(F2041&gt;'THAM_SO_MOI'!$C$14,'THAM_SO_MOI'!$C$13*(1+F2041^2/1500),'THAM_SO_MOI'!$C$13)</f>
        <v>0.015</v>
      </c>
      <c r="J2041" s="75">
        <f>'THAM_SO_MOI'!$C$40*('THAM_SO_MOI'!$C$23*(E2041/'THAM_SO_MOI'!$C$22)+'THAM_SO_MOI'!$C$24*(E2041/'THAM_SO_MOI'!$C$22)^2-'THAM_SO_MOI'!$C$25*(E2041/'THAM_SO_MOI'!$C$22)^3)</f>
        <v>93.86644343351753</v>
      </c>
      <c r="K2041" s="75">
        <f>'THAM_SO_MOI'!$C$31*J2041/E2041</f>
        <v>429.81267831193696</v>
      </c>
      <c r="L2041" s="75">
        <f>K2041*'THAM_SO_MOI'!$C$51*'THAM_SO_MOI'!$C$17/'THAM_SO_MOI'!$C$26</f>
        <v>9610.272168537309</v>
      </c>
      <c r="M2041" s="75">
        <f>'THAM_SO_MOI'!$C$15*'THAM_SO_MOI'!$C$16*F2041^2</f>
        <v>201.68655395909013</v>
      </c>
      <c r="N2041" s="75">
        <f>'THAM_SO_MOI'!$C$12*I2041</f>
        <v>1130.112</v>
      </c>
      <c r="O2041" s="75">
        <f>M2041+N2041</f>
        <v>1331.7985539590902</v>
      </c>
      <c r="P2041" s="75">
        <f>(MIN(L2041,'THAM_SO_MOI'!$C$41)-O2041)/('THAM_SO_MOI'!$C$11*H2041)</f>
        <v>0.7839463650168768</v>
      </c>
      <c r="Q2041" s="75">
        <f>IF(P2041&gt;0,1/P2041,NA())</f>
        <v>1.2755974702152897</v>
      </c>
      <c r="R2041" s="75">
        <f>F2041-F2040</f>
        <v>0.005028991339516509</v>
      </c>
      <c r="S2041" s="75">
        <f>0.5*(Q2040+Q2041)*R2041</f>
        <v>0.006414960473854013</v>
      </c>
      <c r="T2041" s="75">
        <f>0.5*(F2040*Q2040+F2041*Q2041)*R2041</f>
        <v>0.05325225370100343</v>
      </c>
      <c r="U2041" s="76">
        <f>U2040+S2041</f>
        <v>10.315185111682819</v>
      </c>
      <c r="V2041" s="76">
        <f>V2040+T2041</f>
        <v>50.901672449403925</v>
      </c>
    </row>
    <row r="2042" spans="1:22" ht="19" customHeight="1">
      <c r="A2042" s="68" t="s">
        <v>374</v>
      </c>
      <c r="B2042" s="74">
        <v>3</v>
      </c>
      <c r="C2042" s="68" t="s">
        <v>363</v>
      </c>
      <c r="D2042" s="68" t="s">
        <v>364</v>
      </c>
      <c r="E2042" s="75">
        <f>60*F2042*'THAM_SO_MOI'!$C$51/(2*PI()*'THAM_SO_MOI'!$C$26)</f>
        <v>2087.1199064801203</v>
      </c>
      <c r="F2042" s="75">
        <f>'HANH_TRINH'!$F$1647+('THAM_SO_MOI'!$F$51-'HANH_TRINH'!$F$1647)*394/'THAM_SO_MOI'!$C$42</f>
        <v>8.30880331511553</v>
      </c>
      <c r="G2042" s="75">
        <f>3.6*F2042</f>
        <v>29.911691934415906</v>
      </c>
      <c r="H2042" s="75">
        <f>'THAM_SO_MOI'!$D$51</f>
        <v>1.375</v>
      </c>
      <c r="I2042" s="75">
        <f>IF(F2042&gt;'THAM_SO_MOI'!$C$14,'THAM_SO_MOI'!$C$13*(1+F2042^2/1500),'THAM_SO_MOI'!$C$13)</f>
        <v>0.015</v>
      </c>
      <c r="J2042" s="75">
        <f>'THAM_SO_MOI'!$C$40*('THAM_SO_MOI'!$C$23*(E2042/'THAM_SO_MOI'!$C$22)+'THAM_SO_MOI'!$C$24*(E2042/'THAM_SO_MOI'!$C$22)^2-'THAM_SO_MOI'!$C$25*(E2042/'THAM_SO_MOI'!$C$22)^3)</f>
        <v>93.9254387378323</v>
      </c>
      <c r="K2042" s="75">
        <f>'THAM_SO_MOI'!$C$31*J2042/E2042</f>
        <v>429.82250451357424</v>
      </c>
      <c r="L2042" s="75">
        <f>K2042*'THAM_SO_MOI'!$C$51*'THAM_SO_MOI'!$C$17/'THAM_SO_MOI'!$C$26</f>
        <v>9610.491874648558</v>
      </c>
      <c r="M2042" s="75">
        <f>'THAM_SO_MOI'!$C$15*'THAM_SO_MOI'!$C$16*F2042^2</f>
        <v>201.93092164812884</v>
      </c>
      <c r="N2042" s="75">
        <f>'THAM_SO_MOI'!$C$12*I2042</f>
        <v>1130.112</v>
      </c>
      <c r="O2042" s="75">
        <f>M2042+N2042</f>
        <v>1332.0429216481289</v>
      </c>
      <c r="P2042" s="75">
        <f>(MIN(L2042,'THAM_SO_MOI'!$C$41)-O2042)/('THAM_SO_MOI'!$C$11*H2042)</f>
        <v>0.783944029640192</v>
      </c>
      <c r="Q2042" s="75">
        <f>IF(P2042&gt;0,1/P2042,NA())</f>
        <v>1.2756012702322275</v>
      </c>
      <c r="R2042" s="75">
        <f>F2042-F2041</f>
        <v>0.005028991339518285</v>
      </c>
      <c r="S2042" s="75">
        <f>0.5*(Q2041+Q2042)*R2042</f>
        <v>0.00641497818555026</v>
      </c>
      <c r="T2042" s="75">
        <f>0.5*(F2041*Q2041+F2042*Q2042)*R2042</f>
        <v>0.05328466160365097</v>
      </c>
      <c r="U2042" s="76">
        <f>U2041+S2042</f>
        <v>10.321600089868369</v>
      </c>
      <c r="V2042" s="76">
        <f>V2041+T2042</f>
        <v>50.95495711100757</v>
      </c>
    </row>
    <row r="2043" spans="1:22" ht="19" customHeight="1">
      <c r="A2043" s="68" t="s">
        <v>374</v>
      </c>
      <c r="B2043" s="74">
        <v>3</v>
      </c>
      <c r="C2043" s="68" t="s">
        <v>363</v>
      </c>
      <c r="D2043" s="68" t="s">
        <v>364</v>
      </c>
      <c r="E2043" s="75">
        <f>60*F2043*'THAM_SO_MOI'!$C$51/(2*PI()*'THAM_SO_MOI'!$C$26)</f>
        <v>2088.383157941992</v>
      </c>
      <c r="F2043" s="75">
        <f>'HANH_TRINH'!$F$1647+('THAM_SO_MOI'!$F$51-'HANH_TRINH'!$F$1647)*395/'THAM_SO_MOI'!$C$42</f>
        <v>8.313832306455048</v>
      </c>
      <c r="G2043" s="75">
        <f>3.6*F2043</f>
        <v>29.929796303238174</v>
      </c>
      <c r="H2043" s="75">
        <f>'THAM_SO_MOI'!$D$51</f>
        <v>1.375</v>
      </c>
      <c r="I2043" s="75">
        <f>IF(F2043&gt;'THAM_SO_MOI'!$C$14,'THAM_SO_MOI'!$C$13*(1+F2043^2/1500),'THAM_SO_MOI'!$C$13)</f>
        <v>0.015</v>
      </c>
      <c r="J2043" s="75">
        <f>'THAM_SO_MOI'!$C$40*('THAM_SO_MOI'!$C$23*(E2043/'THAM_SO_MOI'!$C$22)+'THAM_SO_MOI'!$C$24*(E2043/'THAM_SO_MOI'!$C$22)^2-'THAM_SO_MOI'!$C$25*(E2043/'THAM_SO_MOI'!$C$22)^3)</f>
        <v>93.98440279014628</v>
      </c>
      <c r="K2043" s="75">
        <f>'THAM_SO_MOI'!$C$31*J2043/E2043</f>
        <v>429.83217589838125</v>
      </c>
      <c r="L2043" s="75">
        <f>K2043*'THAM_SO_MOI'!$C$51*'THAM_SO_MOI'!$C$17/'THAM_SO_MOI'!$C$26</f>
        <v>9610.708119177703</v>
      </c>
      <c r="M2043" s="75">
        <f>'THAM_SO_MOI'!$C$15*'THAM_SO_MOI'!$C$16*F2043^2</f>
        <v>202.17543728807783</v>
      </c>
      <c r="N2043" s="75">
        <f>'THAM_SO_MOI'!$C$12*I2043</f>
        <v>1130.112</v>
      </c>
      <c r="O2043" s="75">
        <f>M2043+N2043</f>
        <v>1332.2874372880779</v>
      </c>
      <c r="P2043" s="75">
        <f>(MIN(L2043,'THAM_SO_MOI'!$C$41)-O2043)/('THAM_SO_MOI'!$C$11*H2043)</f>
        <v>0.783941352451669</v>
      </c>
      <c r="Q2043" s="75">
        <f>IF(P2043&gt;0,1/P2043,NA())</f>
        <v>1.275605626457435</v>
      </c>
      <c r="R2043" s="75">
        <f>F2043-F2042</f>
        <v>0.005028991339518285</v>
      </c>
      <c r="S2043" s="75">
        <f>0.5*(Q2042+Q2043)*R2043</f>
        <v>0.006414998694385817</v>
      </c>
      <c r="T2043" s="75">
        <f>0.5*(F2042*Q2042+F2043*Q2043)*R2043</f>
        <v>0.053317092932356265</v>
      </c>
      <c r="U2043" s="76">
        <f>U2042+S2043</f>
        <v>10.328015088562754</v>
      </c>
      <c r="V2043" s="76">
        <f>V2042+T2043</f>
        <v>51.008274203939926</v>
      </c>
    </row>
    <row r="2044" spans="1:22" ht="19" customHeight="1">
      <c r="A2044" s="68" t="s">
        <v>374</v>
      </c>
      <c r="B2044" s="74">
        <v>3</v>
      </c>
      <c r="C2044" s="68" t="s">
        <v>363</v>
      </c>
      <c r="D2044" s="68" t="s">
        <v>364</v>
      </c>
      <c r="E2044" s="75">
        <f>60*F2044*'THAM_SO_MOI'!$C$51/(2*PI()*'THAM_SO_MOI'!$C$26)</f>
        <v>2089.6464094038633</v>
      </c>
      <c r="F2044" s="75">
        <f>'HANH_TRINH'!$F$1647+('THAM_SO_MOI'!$F$51-'HANH_TRINH'!$F$1647)*396/'THAM_SO_MOI'!$C$42</f>
        <v>8.318861297794564</v>
      </c>
      <c r="G2044" s="75">
        <f>3.6*F2044</f>
        <v>29.94790067206043</v>
      </c>
      <c r="H2044" s="75">
        <f>'THAM_SO_MOI'!$D$51</f>
        <v>1.375</v>
      </c>
      <c r="I2044" s="75">
        <f>IF(F2044&gt;'THAM_SO_MOI'!$C$14,'THAM_SO_MOI'!$C$13*(1+F2044^2/1500),'THAM_SO_MOI'!$C$13)</f>
        <v>0.015</v>
      </c>
      <c r="J2044" s="75">
        <f>'THAM_SO_MOI'!$C$40*('THAM_SO_MOI'!$C$23*(E2044/'THAM_SO_MOI'!$C$22)+'THAM_SO_MOI'!$C$24*(E2044/'THAM_SO_MOI'!$C$22)^2-'THAM_SO_MOI'!$C$25*(E2044/'THAM_SO_MOI'!$C$22)^3)</f>
        <v>94.04333552903002</v>
      </c>
      <c r="K2044" s="75">
        <f>'THAM_SO_MOI'!$C$31*J2044/E2044</f>
        <v>429.84169246635736</v>
      </c>
      <c r="L2044" s="75">
        <f>K2044*'THAM_SO_MOI'!$C$51*'THAM_SO_MOI'!$C$17/'THAM_SO_MOI'!$C$26</f>
        <v>9610.92090212473</v>
      </c>
      <c r="M2044" s="75">
        <f>'THAM_SO_MOI'!$C$15*'THAM_SO_MOI'!$C$16*F2044^2</f>
        <v>202.42010087893698</v>
      </c>
      <c r="N2044" s="75">
        <f>'THAM_SO_MOI'!$C$12*I2044</f>
        <v>1130.112</v>
      </c>
      <c r="O2044" s="75">
        <f>M2044+N2044</f>
        <v>1332.532100878937</v>
      </c>
      <c r="P2044" s="75">
        <f>(MIN(L2044,'THAM_SO_MOI'!$C$41)-O2044)/('THAM_SO_MOI'!$C$11*H2044)</f>
        <v>0.7839383334513063</v>
      </c>
      <c r="Q2044" s="75">
        <f>IF(P2044&gt;0,1/P2044,NA())</f>
        <v>1.2756105389023105</v>
      </c>
      <c r="R2044" s="75">
        <f>F2044-F2043</f>
        <v>0.005028991339516509</v>
      </c>
      <c r="S2044" s="75">
        <f>0.5*(Q2043+Q2044)*R2044</f>
        <v>0.006415022000414339</v>
      </c>
      <c r="T2044" s="75">
        <f>0.5*(F2043*Q2043+F2044*Q2044)*R2044</f>
        <v>0.05334954772976592</v>
      </c>
      <c r="U2044" s="76">
        <f>U2043+S2044</f>
        <v>10.334430110563169</v>
      </c>
      <c r="V2044" s="76">
        <f>V2043+T2044</f>
        <v>51.06162375166969</v>
      </c>
    </row>
    <row r="2045" spans="1:22" ht="19" customHeight="1">
      <c r="A2045" s="68" t="s">
        <v>374</v>
      </c>
      <c r="B2045" s="74">
        <v>3</v>
      </c>
      <c r="C2045" s="68" t="s">
        <v>363</v>
      </c>
      <c r="D2045" s="68" t="s">
        <v>364</v>
      </c>
      <c r="E2045" s="75">
        <f>60*F2045*'THAM_SO_MOI'!$C$51/(2*PI()*'THAM_SO_MOI'!$C$26)</f>
        <v>2090.909660865735</v>
      </c>
      <c r="F2045" s="75">
        <f>'HANH_TRINH'!$F$1647+('THAM_SO_MOI'!$F$51-'HANH_TRINH'!$F$1647)*397/'THAM_SO_MOI'!$C$42</f>
        <v>8.323890289134082</v>
      </c>
      <c r="G2045" s="75">
        <f>3.6*F2045</f>
        <v>29.9660050408827</v>
      </c>
      <c r="H2045" s="75">
        <f>'THAM_SO_MOI'!$D$51</f>
        <v>1.375</v>
      </c>
      <c r="I2045" s="75">
        <f>IF(F2045&gt;'THAM_SO_MOI'!$C$14,'THAM_SO_MOI'!$C$13*(1+F2045^2/1500),'THAM_SO_MOI'!$C$13)</f>
        <v>0.015</v>
      </c>
      <c r="J2045" s="75">
        <f>'THAM_SO_MOI'!$C$40*('THAM_SO_MOI'!$C$23*(E2045/'THAM_SO_MOI'!$C$22)+'THAM_SO_MOI'!$C$24*(E2045/'THAM_SO_MOI'!$C$22)^2-'THAM_SO_MOI'!$C$25*(E2045/'THAM_SO_MOI'!$C$22)^3)</f>
        <v>94.10223689305425</v>
      </c>
      <c r="K2045" s="75">
        <f>'THAM_SO_MOI'!$C$31*J2045/E2045</f>
        <v>429.85105421750296</v>
      </c>
      <c r="L2045" s="75">
        <f>K2045*'THAM_SO_MOI'!$C$51*'THAM_SO_MOI'!$C$17/'THAM_SO_MOI'!$C$26</f>
        <v>9611.130223489648</v>
      </c>
      <c r="M2045" s="75">
        <f>'THAM_SO_MOI'!$C$15*'THAM_SO_MOI'!$C$16*F2045^2</f>
        <v>202.66491242070651</v>
      </c>
      <c r="N2045" s="75">
        <f>'THAM_SO_MOI'!$C$12*I2045</f>
        <v>1130.112</v>
      </c>
      <c r="O2045" s="75">
        <f>M2045+N2045</f>
        <v>1332.7769124207066</v>
      </c>
      <c r="P2045" s="75">
        <f>(MIN(L2045,'THAM_SO_MOI'!$C$41)-O2045)/('THAM_SO_MOI'!$C$11*H2045)</f>
        <v>0.7839349726391044</v>
      </c>
      <c r="Q2045" s="75">
        <f>IF(P2045&gt;0,1/P2045,NA())</f>
        <v>1.2756160075797054</v>
      </c>
      <c r="R2045" s="75">
        <f>F2045-F2044</f>
        <v>0.005028991339518285</v>
      </c>
      <c r="S2045" s="75">
        <f>0.5*(Q2044+Q2045)*R2045</f>
        <v>0.006415048103703601</v>
      </c>
      <c r="T2045" s="75">
        <f>0.5*(F2044*Q2044+F2045*Q2045)*R2045</f>
        <v>0.0533820260386451</v>
      </c>
      <c r="U2045" s="76">
        <f>U2044+S2045</f>
        <v>10.340845158666871</v>
      </c>
      <c r="V2045" s="76">
        <f>V2044+T2045</f>
        <v>51.11500577770834</v>
      </c>
    </row>
    <row r="2046" spans="1:22" ht="19" customHeight="1">
      <c r="A2046" s="68" t="s">
        <v>374</v>
      </c>
      <c r="B2046" s="74">
        <v>3</v>
      </c>
      <c r="C2046" s="68" t="s">
        <v>363</v>
      </c>
      <c r="D2046" s="68" t="s">
        <v>364</v>
      </c>
      <c r="E2046" s="75">
        <f>60*F2046*'THAM_SO_MOI'!$C$51/(2*PI()*'THAM_SO_MOI'!$C$26)</f>
        <v>2092.172912327607</v>
      </c>
      <c r="F2046" s="75">
        <f>'HANH_TRINH'!$F$1647+('THAM_SO_MOI'!$F$51-'HANH_TRINH'!$F$1647)*398/'THAM_SO_MOI'!$C$42</f>
        <v>8.3289192804736</v>
      </c>
      <c r="G2046" s="75">
        <f>3.6*F2046</f>
        <v>29.984109409704963</v>
      </c>
      <c r="H2046" s="75">
        <f>'THAM_SO_MOI'!$D$51</f>
        <v>1.375</v>
      </c>
      <c r="I2046" s="75">
        <f>IF(F2046&gt;'THAM_SO_MOI'!$C$14,'THAM_SO_MOI'!$C$13*(1+F2046^2/1500),'THAM_SO_MOI'!$C$13)</f>
        <v>0.015</v>
      </c>
      <c r="J2046" s="75">
        <f>'THAM_SO_MOI'!$C$40*('THAM_SO_MOI'!$C$23*(E2046/'THAM_SO_MOI'!$C$22)+'THAM_SO_MOI'!$C$24*(E2046/'THAM_SO_MOI'!$C$22)^2-'THAM_SO_MOI'!$C$25*(E2046/'THAM_SO_MOI'!$C$22)^3)</f>
        <v>94.16110682078967</v>
      </c>
      <c r="K2046" s="75">
        <f>'THAM_SO_MOI'!$C$31*J2046/E2046</f>
        <v>429.8602611518183</v>
      </c>
      <c r="L2046" s="75">
        <f>K2046*'THAM_SO_MOI'!$C$51*'THAM_SO_MOI'!$C$17/'THAM_SO_MOI'!$C$26</f>
        <v>9611.336083272463</v>
      </c>
      <c r="M2046" s="75">
        <f>'THAM_SO_MOI'!$C$15*'THAM_SO_MOI'!$C$16*F2046^2</f>
        <v>202.9098719133863</v>
      </c>
      <c r="N2046" s="75">
        <f>'THAM_SO_MOI'!$C$12*I2046</f>
        <v>1130.112</v>
      </c>
      <c r="O2046" s="75">
        <f>M2046+N2046</f>
        <v>1333.0218719133863</v>
      </c>
      <c r="P2046" s="75">
        <f>(MIN(L2046,'THAM_SO_MOI'!$C$41)-O2046)/('THAM_SO_MOI'!$C$11*H2046)</f>
        <v>0.783931270015064</v>
      </c>
      <c r="Q2046" s="75">
        <f>IF(P2046&gt;0,1/P2046,NA())</f>
        <v>1.275622032503926</v>
      </c>
      <c r="R2046" s="75">
        <f>F2046-F2045</f>
        <v>0.005028991339518285</v>
      </c>
      <c r="S2046" s="75">
        <f>0.5*(Q2045+Q2046)*R2046</f>
        <v>0.0064150770043150925</v>
      </c>
      <c r="T2046" s="75">
        <f>0.5*(F2045*Q2045+F2046*Q2046)*R2046</f>
        <v>0.053414527901708</v>
      </c>
      <c r="U2046" s="76">
        <f>U2045+S2046</f>
        <v>10.347260235671186</v>
      </c>
      <c r="V2046" s="76">
        <f>V2045+T2046</f>
        <v>51.16842030561005</v>
      </c>
    </row>
    <row r="2047" spans="1:22" ht="19" customHeight="1">
      <c r="A2047" s="68" t="s">
        <v>374</v>
      </c>
      <c r="B2047" s="74">
        <v>3</v>
      </c>
      <c r="C2047" s="68" t="s">
        <v>363</v>
      </c>
      <c r="D2047" s="68" t="s">
        <v>364</v>
      </c>
      <c r="E2047" s="75">
        <f>60*F2047*'THAM_SO_MOI'!$C$51/(2*PI()*'THAM_SO_MOI'!$C$26)</f>
        <v>2093.436163789478</v>
      </c>
      <c r="F2047" s="75">
        <f>'HANH_TRINH'!$F$1647+('THAM_SO_MOI'!$F$51-'HANH_TRINH'!$F$1647)*399/'THAM_SO_MOI'!$C$42</f>
        <v>8.333948271813117</v>
      </c>
      <c r="G2047" s="75">
        <f>3.6*F2047</f>
        <v>30.002213778527224</v>
      </c>
      <c r="H2047" s="75">
        <f>'THAM_SO_MOI'!$D$51</f>
        <v>1.375</v>
      </c>
      <c r="I2047" s="75">
        <f>IF(F2047&gt;'THAM_SO_MOI'!$C$14,'THAM_SO_MOI'!$C$13*(1+F2047^2/1500),'THAM_SO_MOI'!$C$13)</f>
        <v>0.015</v>
      </c>
      <c r="J2047" s="75">
        <f>'THAM_SO_MOI'!$C$40*('THAM_SO_MOI'!$C$23*(E2047/'THAM_SO_MOI'!$C$22)+'THAM_SO_MOI'!$C$24*(E2047/'THAM_SO_MOI'!$C$22)^2-'THAM_SO_MOI'!$C$25*(E2047/'THAM_SO_MOI'!$C$22)^3)</f>
        <v>94.21994525080686</v>
      </c>
      <c r="K2047" s="75">
        <f>'THAM_SO_MOI'!$C$31*J2047/E2047</f>
        <v>429.8693132693031</v>
      </c>
      <c r="L2047" s="75">
        <f>K2047*'THAM_SO_MOI'!$C$51*'THAM_SO_MOI'!$C$17/'THAM_SO_MOI'!$C$26</f>
        <v>9611.538481473166</v>
      </c>
      <c r="M2047" s="75">
        <f>'THAM_SO_MOI'!$C$15*'THAM_SO_MOI'!$C$16*F2047^2</f>
        <v>203.1549793569763</v>
      </c>
      <c r="N2047" s="75">
        <f>'THAM_SO_MOI'!$C$12*I2047</f>
        <v>1130.112</v>
      </c>
      <c r="O2047" s="75">
        <f>M2047+N2047</f>
        <v>1333.2669793569764</v>
      </c>
      <c r="P2047" s="75">
        <f>(MIN(L2047,'THAM_SO_MOI'!$C$41)-O2047)/('THAM_SO_MOI'!$C$11*H2047)</f>
        <v>0.7839272255791846</v>
      </c>
      <c r="Q2047" s="75">
        <f>IF(P2047&gt;0,1/P2047,NA())</f>
        <v>1.2756286136907358</v>
      </c>
      <c r="R2047" s="75">
        <f>F2047-F2046</f>
        <v>0.005028991339516509</v>
      </c>
      <c r="S2047" s="75">
        <f>0.5*(Q2046+Q2047)*R2047</f>
        <v>0.006415108702324425</v>
      </c>
      <c r="T2047" s="75">
        <f>0.5*(F2046*Q2046+F2047*Q2047)*R2047</f>
        <v>0.053447053361787705</v>
      </c>
      <c r="U2047" s="76">
        <f>U2046+S2047</f>
        <v>10.35367534437351</v>
      </c>
      <c r="V2047" s="76">
        <f>V2046+T2047</f>
        <v>51.221867358971835</v>
      </c>
    </row>
    <row r="2048" spans="1:22" ht="19" customHeight="1">
      <c r="A2048" s="68" t="s">
        <v>374</v>
      </c>
      <c r="B2048" s="74">
        <v>3</v>
      </c>
      <c r="C2048" s="68" t="s">
        <v>363</v>
      </c>
      <c r="D2048" s="68" t="s">
        <v>364</v>
      </c>
      <c r="E2048" s="75">
        <f>60*F2048*'THAM_SO_MOI'!$C$51/(2*PI()*'THAM_SO_MOI'!$C$26)</f>
        <v>2094.69941525135</v>
      </c>
      <c r="F2048" s="75">
        <f>'HANH_TRINH'!$F$1647+('THAM_SO_MOI'!$F$51-'HANH_TRINH'!$F$1647)*400/'THAM_SO_MOI'!$C$42</f>
        <v>8.338977263152636</v>
      </c>
      <c r="G2048" s="75">
        <f>3.6*F2048</f>
        <v>30.02031814734949</v>
      </c>
      <c r="H2048" s="75">
        <f>'THAM_SO_MOI'!$D$51</f>
        <v>1.375</v>
      </c>
      <c r="I2048" s="75">
        <f>IF(F2048&gt;'THAM_SO_MOI'!$C$14,'THAM_SO_MOI'!$C$13*(1+F2048^2/1500),'THAM_SO_MOI'!$C$13)</f>
        <v>0.015</v>
      </c>
      <c r="J2048" s="75">
        <f>'THAM_SO_MOI'!$C$40*('THAM_SO_MOI'!$C$23*(E2048/'THAM_SO_MOI'!$C$22)+'THAM_SO_MOI'!$C$24*(E2048/'THAM_SO_MOI'!$C$22)^2-'THAM_SO_MOI'!$C$25*(E2048/'THAM_SO_MOI'!$C$22)^3)</f>
        <v>94.27875212167649</v>
      </c>
      <c r="K2048" s="75">
        <f>'THAM_SO_MOI'!$C$31*J2048/E2048</f>
        <v>429.87821056995733</v>
      </c>
      <c r="L2048" s="75">
        <f>K2048*'THAM_SO_MOI'!$C$51*'THAM_SO_MOI'!$C$17/'THAM_SO_MOI'!$C$26</f>
        <v>9611.737418091763</v>
      </c>
      <c r="M2048" s="75">
        <f>'THAM_SO_MOI'!$C$15*'THAM_SO_MOI'!$C$16*F2048^2</f>
        <v>203.40023475147663</v>
      </c>
      <c r="N2048" s="75">
        <f>'THAM_SO_MOI'!$C$12*I2048</f>
        <v>1130.112</v>
      </c>
      <c r="O2048" s="75">
        <f>M2048+N2048</f>
        <v>1333.5122347514766</v>
      </c>
      <c r="P2048" s="75">
        <f>(MIN(L2048,'THAM_SO_MOI'!$C$41)-O2048)/('THAM_SO_MOI'!$C$11*H2048)</f>
        <v>0.7839228393314667</v>
      </c>
      <c r="Q2048" s="75">
        <f>IF(P2048&gt;0,1/P2048,NA())</f>
        <v>1.2756357511573524</v>
      </c>
      <c r="R2048" s="75">
        <f>F2048-F2047</f>
        <v>0.005028991339518285</v>
      </c>
      <c r="S2048" s="75">
        <f>0.5*(Q2047+Q2048)*R2048</f>
        <v>0.006415143197821327</v>
      </c>
      <c r="T2048" s="75">
        <f>0.5*(F2047*Q2047+F2048*Q2048)*R2048</f>
        <v>0.05347960246183651</v>
      </c>
      <c r="U2048" s="76">
        <f>U2047+S2048</f>
        <v>10.360090487571332</v>
      </c>
      <c r="V2048" s="76">
        <f>V2047+T2048</f>
        <v>51.27534696143367</v>
      </c>
    </row>
    <row r="2049" spans="1:22" ht="19" customHeight="1">
      <c r="A2049" s="68" t="s">
        <v>374</v>
      </c>
      <c r="B2049" s="74">
        <v>3</v>
      </c>
      <c r="C2049" s="68" t="s">
        <v>363</v>
      </c>
      <c r="D2049" s="68" t="s">
        <v>364</v>
      </c>
      <c r="E2049" s="75">
        <f>60*F2049*'THAM_SO_MOI'!$C$51/(2*PI()*'THAM_SO_MOI'!$C$26)</f>
        <v>2095.9626667132216</v>
      </c>
      <c r="F2049" s="75">
        <f>'HANH_TRINH'!$F$1647+('THAM_SO_MOI'!$F$51-'HANH_TRINH'!$F$1647)*401/'THAM_SO_MOI'!$C$42</f>
        <v>8.344006254492154</v>
      </c>
      <c r="G2049" s="75">
        <f>3.6*F2049</f>
        <v>30.038422516171753</v>
      </c>
      <c r="H2049" s="75">
        <f>'THAM_SO_MOI'!$D$51</f>
        <v>1.375</v>
      </c>
      <c r="I2049" s="75">
        <f>IF(F2049&gt;'THAM_SO_MOI'!$C$14,'THAM_SO_MOI'!$C$13*(1+F2049^2/1500),'THAM_SO_MOI'!$C$13)</f>
        <v>0.015</v>
      </c>
      <c r="J2049" s="75">
        <f>'THAM_SO_MOI'!$C$40*('THAM_SO_MOI'!$C$23*(E2049/'THAM_SO_MOI'!$C$22)+'THAM_SO_MOI'!$C$24*(E2049/'THAM_SO_MOI'!$C$22)^2-'THAM_SO_MOI'!$C$25*(E2049/'THAM_SO_MOI'!$C$22)^3)</f>
        <v>94.33752737196917</v>
      </c>
      <c r="K2049" s="75">
        <f>'THAM_SO_MOI'!$C$31*J2049/E2049</f>
        <v>429.88695305378087</v>
      </c>
      <c r="L2049" s="75">
        <f>K2049*'THAM_SO_MOI'!$C$51*'THAM_SO_MOI'!$C$17/'THAM_SO_MOI'!$C$26</f>
        <v>9611.932893128243</v>
      </c>
      <c r="M2049" s="75">
        <f>'THAM_SO_MOI'!$C$15*'THAM_SO_MOI'!$C$16*F2049^2</f>
        <v>203.64563809688727</v>
      </c>
      <c r="N2049" s="75">
        <f>'THAM_SO_MOI'!$C$12*I2049</f>
        <v>1130.112</v>
      </c>
      <c r="O2049" s="75">
        <f>M2049+N2049</f>
        <v>1333.7576380968874</v>
      </c>
      <c r="P2049" s="75">
        <f>(MIN(L2049,'THAM_SO_MOI'!$C$41)-O2049)/('THAM_SO_MOI'!$C$11*H2049)</f>
        <v>0.7839181112719089</v>
      </c>
      <c r="Q2049" s="75">
        <f>IF(P2049&gt;0,1/P2049,NA())</f>
        <v>1.275643444922452</v>
      </c>
      <c r="R2049" s="75">
        <f>F2049-F2048</f>
        <v>0.005028991339518285</v>
      </c>
      <c r="S2049" s="75">
        <f>0.5*(Q2048+Q2049)*R2049</f>
        <v>0.006415180490889255</v>
      </c>
      <c r="T2049" s="75">
        <f>0.5*(F2048*Q2048+F2049*Q2049)*R2049</f>
        <v>0.053512175244756204</v>
      </c>
      <c r="U2049" s="76">
        <f>U2048+S2049</f>
        <v>10.36650566806222</v>
      </c>
      <c r="V2049" s="76">
        <f>V2048+T2049</f>
        <v>51.328859136678425</v>
      </c>
    </row>
    <row r="2050" spans="1:22" ht="19" customHeight="1">
      <c r="A2050" s="68" t="s">
        <v>374</v>
      </c>
      <c r="B2050" s="74">
        <v>3</v>
      </c>
      <c r="C2050" s="68" t="s">
        <v>363</v>
      </c>
      <c r="D2050" s="68" t="s">
        <v>364</v>
      </c>
      <c r="E2050" s="75">
        <f>60*F2050*'THAM_SO_MOI'!$C$51/(2*PI()*'THAM_SO_MOI'!$C$26)</f>
        <v>2097.225918175093</v>
      </c>
      <c r="F2050" s="75">
        <f>'HANH_TRINH'!$F$1647+('THAM_SO_MOI'!$F$51-'HANH_TRINH'!$F$1647)*402/'THAM_SO_MOI'!$C$42</f>
        <v>8.34903524583167</v>
      </c>
      <c r="G2050" s="75">
        <f>3.6*F2050</f>
        <v>30.056526884994014</v>
      </c>
      <c r="H2050" s="75">
        <f>'THAM_SO_MOI'!$D$51</f>
        <v>1.375</v>
      </c>
      <c r="I2050" s="75">
        <f>IF(F2050&gt;'THAM_SO_MOI'!$C$14,'THAM_SO_MOI'!$C$13*(1+F2050^2/1500),'THAM_SO_MOI'!$C$13)</f>
        <v>0.015</v>
      </c>
      <c r="J2050" s="75">
        <f>'THAM_SO_MOI'!$C$40*('THAM_SO_MOI'!$C$23*(E2050/'THAM_SO_MOI'!$C$22)+'THAM_SO_MOI'!$C$24*(E2050/'THAM_SO_MOI'!$C$22)^2-'THAM_SO_MOI'!$C$25*(E2050/'THAM_SO_MOI'!$C$22)^3)</f>
        <v>94.39627094025562</v>
      </c>
      <c r="K2050" s="75">
        <f>'THAM_SO_MOI'!$C$31*J2050/E2050</f>
        <v>429.8955407207742</v>
      </c>
      <c r="L2050" s="75">
        <f>K2050*'THAM_SO_MOI'!$C$51*'THAM_SO_MOI'!$C$17/'THAM_SO_MOI'!$C$26</f>
        <v>9612.124906582621</v>
      </c>
      <c r="M2050" s="75">
        <f>'THAM_SO_MOI'!$C$15*'THAM_SO_MOI'!$C$16*F2050^2</f>
        <v>203.89118939320804</v>
      </c>
      <c r="N2050" s="75">
        <f>'THAM_SO_MOI'!$C$12*I2050</f>
        <v>1130.112</v>
      </c>
      <c r="O2050" s="75">
        <f>M2050+N2050</f>
        <v>1334.0031893932082</v>
      </c>
      <c r="P2050" s="75">
        <f>(MIN(L2050,'THAM_SO_MOI'!$C$41)-O2050)/('THAM_SO_MOI'!$C$11*H2050)</f>
        <v>0.7839130414005127</v>
      </c>
      <c r="Q2050" s="75">
        <f>IF(P2050&gt;0,1/P2050,NA())</f>
        <v>1.2756516950061625</v>
      </c>
      <c r="R2050" s="75">
        <f>F2050-F2049</f>
        <v>0.005028991339516509</v>
      </c>
      <c r="S2050" s="75">
        <f>0.5*(Q2049+Q2050)*R2050</f>
        <v>0.006415220581625781</v>
      </c>
      <c r="T2050" s="75">
        <f>0.5*(F2049*Q2049+F2050*Q2050)*R2050</f>
        <v>0.05354477175356806</v>
      </c>
      <c r="U2050" s="76">
        <f>U2049+S2050</f>
        <v>10.372920888643847</v>
      </c>
      <c r="V2050" s="76">
        <f>V2049+T2050</f>
        <v>51.38240390843199</v>
      </c>
    </row>
    <row r="2051" spans="1:22" ht="19" customHeight="1">
      <c r="A2051" s="68" t="s">
        <v>374</v>
      </c>
      <c r="B2051" s="74">
        <v>3</v>
      </c>
      <c r="C2051" s="68" t="s">
        <v>363</v>
      </c>
      <c r="D2051" s="68" t="s">
        <v>364</v>
      </c>
      <c r="E2051" s="75">
        <f>60*F2051*'THAM_SO_MOI'!$C$51/(2*PI()*'THAM_SO_MOI'!$C$26)</f>
        <v>2098.4891696369646</v>
      </c>
      <c r="F2051" s="75">
        <f>'HANH_TRINH'!$F$1647+('THAM_SO_MOI'!$F$51-'HANH_TRINH'!$F$1647)*403/'THAM_SO_MOI'!$C$42</f>
        <v>8.354064237171189</v>
      </c>
      <c r="G2051" s="75">
        <f>3.6*F2051</f>
        <v>30.07463125381628</v>
      </c>
      <c r="H2051" s="75">
        <f>'THAM_SO_MOI'!$D$51</f>
        <v>1.375</v>
      </c>
      <c r="I2051" s="75">
        <f>IF(F2051&gt;'THAM_SO_MOI'!$C$14,'THAM_SO_MOI'!$C$13*(1+F2051^2/1500),'THAM_SO_MOI'!$C$13)</f>
        <v>0.015</v>
      </c>
      <c r="J2051" s="75">
        <f>'THAM_SO_MOI'!$C$40*('THAM_SO_MOI'!$C$23*(E2051/'THAM_SO_MOI'!$C$22)+'THAM_SO_MOI'!$C$24*(E2051/'THAM_SO_MOI'!$C$22)^2-'THAM_SO_MOI'!$C$25*(E2051/'THAM_SO_MOI'!$C$22)^3)</f>
        <v>94.45498276510645</v>
      </c>
      <c r="K2051" s="75">
        <f>'THAM_SO_MOI'!$C$31*J2051/E2051</f>
        <v>429.90397357093684</v>
      </c>
      <c r="L2051" s="75">
        <f>K2051*'THAM_SO_MOI'!$C$51*'THAM_SO_MOI'!$C$17/'THAM_SO_MOI'!$C$26</f>
        <v>9612.31345845489</v>
      </c>
      <c r="M2051" s="75">
        <f>'THAM_SO_MOI'!$C$15*'THAM_SO_MOI'!$C$16*F2051^2</f>
        <v>204.13688864043922</v>
      </c>
      <c r="N2051" s="75">
        <f>'THAM_SO_MOI'!$C$12*I2051</f>
        <v>1130.112</v>
      </c>
      <c r="O2051" s="75">
        <f>M2051+N2051</f>
        <v>1334.2488886404394</v>
      </c>
      <c r="P2051" s="75">
        <f>(MIN(L2051,'THAM_SO_MOI'!$C$41)-O2051)/('THAM_SO_MOI'!$C$11*H2051)</f>
        <v>0.7839076297172776</v>
      </c>
      <c r="Q2051" s="75">
        <f>IF(P2051&gt;0,1/P2051,NA())</f>
        <v>1.2756605014300701</v>
      </c>
      <c r="R2051" s="75">
        <f>F2051-F2050</f>
        <v>0.005028991339518285</v>
      </c>
      <c r="S2051" s="75">
        <f>0.5*(Q2050+Q2051)*R2051</f>
        <v>0.006415263470142594</v>
      </c>
      <c r="T2051" s="75">
        <f>0.5*(F2050*Q2050+F2051*Q2051)*R2051</f>
        <v>0.053577392031413214</v>
      </c>
      <c r="U2051" s="76">
        <f>U2050+S2051</f>
        <v>10.37933615211399</v>
      </c>
      <c r="V2051" s="76">
        <f>V2050+T2051</f>
        <v>51.4359813004634</v>
      </c>
    </row>
    <row r="2052" spans="1:22" ht="19" customHeight="1">
      <c r="A2052" s="68" t="s">
        <v>374</v>
      </c>
      <c r="B2052" s="74">
        <v>3</v>
      </c>
      <c r="C2052" s="68" t="s">
        <v>363</v>
      </c>
      <c r="D2052" s="68" t="s">
        <v>364</v>
      </c>
      <c r="E2052" s="75">
        <f>60*F2052*'THAM_SO_MOI'!$C$51/(2*PI()*'THAM_SO_MOI'!$C$26)</f>
        <v>2099.7524210988363</v>
      </c>
      <c r="F2052" s="75">
        <f>'HANH_TRINH'!$F$1647+('THAM_SO_MOI'!$F$51-'HANH_TRINH'!$F$1647)*404/'THAM_SO_MOI'!$C$42</f>
        <v>8.359093228510707</v>
      </c>
      <c r="G2052" s="75">
        <f>3.6*F2052</f>
        <v>30.092735622638546</v>
      </c>
      <c r="H2052" s="75">
        <f>'THAM_SO_MOI'!$D$51</f>
        <v>1.375</v>
      </c>
      <c r="I2052" s="75">
        <f>IF(F2052&gt;'THAM_SO_MOI'!$C$14,'THAM_SO_MOI'!$C$13*(1+F2052^2/1500),'THAM_SO_MOI'!$C$13)</f>
        <v>0.015</v>
      </c>
      <c r="J2052" s="75">
        <f>'THAM_SO_MOI'!$C$40*('THAM_SO_MOI'!$C$23*(E2052/'THAM_SO_MOI'!$C$22)+'THAM_SO_MOI'!$C$24*(E2052/'THAM_SO_MOI'!$C$22)^2-'THAM_SO_MOI'!$C$25*(E2052/'THAM_SO_MOI'!$C$22)^3)</f>
        <v>94.51366278509234</v>
      </c>
      <c r="K2052" s="75">
        <f>'THAM_SO_MOI'!$C$31*J2052/E2052</f>
        <v>429.91225160426904</v>
      </c>
      <c r="L2052" s="75">
        <f>K2052*'THAM_SO_MOI'!$C$51*'THAM_SO_MOI'!$C$17/'THAM_SO_MOI'!$C$26</f>
        <v>9612.498548745049</v>
      </c>
      <c r="M2052" s="75">
        <f>'THAM_SO_MOI'!$C$15*'THAM_SO_MOI'!$C$16*F2052^2</f>
        <v>204.38273583858066</v>
      </c>
      <c r="N2052" s="75">
        <f>'THAM_SO_MOI'!$C$12*I2052</f>
        <v>1130.112</v>
      </c>
      <c r="O2052" s="75">
        <f>M2052+N2052</f>
        <v>1334.4947358385807</v>
      </c>
      <c r="P2052" s="75">
        <f>(MIN(L2052,'THAM_SO_MOI'!$C$41)-O2052)/('THAM_SO_MOI'!$C$11*H2052)</f>
        <v>0.7839018762222033</v>
      </c>
      <c r="Q2052" s="75">
        <f>IF(P2052&gt;0,1/P2052,NA())</f>
        <v>1.2756698642172173</v>
      </c>
      <c r="R2052" s="75">
        <f>F2052-F2051</f>
        <v>0.005028991339518285</v>
      </c>
      <c r="S2052" s="75">
        <f>0.5*(Q2051+Q2052)*R2052</f>
        <v>0.006415309156545115</v>
      </c>
      <c r="T2052" s="75">
        <f>0.5*(F2051*Q2051+F2052*Q2052)*R2052</f>
        <v>0.05361003612138269</v>
      </c>
      <c r="U2052" s="76">
        <f>U2051+S2052</f>
        <v>10.385751461270534</v>
      </c>
      <c r="V2052" s="76">
        <f>V2051+T2052</f>
        <v>51.48959133658479</v>
      </c>
    </row>
    <row r="2053" spans="1:22" ht="19" customHeight="1">
      <c r="A2053" s="68" t="s">
        <v>374</v>
      </c>
      <c r="B2053" s="74">
        <v>3</v>
      </c>
      <c r="C2053" s="68" t="s">
        <v>363</v>
      </c>
      <c r="D2053" s="68" t="s">
        <v>364</v>
      </c>
      <c r="E2053" s="75">
        <f>60*F2053*'THAM_SO_MOI'!$C$51/(2*PI()*'THAM_SO_MOI'!$C$26)</f>
        <v>2101.015672560708</v>
      </c>
      <c r="F2053" s="75">
        <f>'HANH_TRINH'!$F$1647+('THAM_SO_MOI'!$F$51-'HANH_TRINH'!$F$1647)*405/'THAM_SO_MOI'!$C$42</f>
        <v>8.364122219850223</v>
      </c>
      <c r="G2053" s="75">
        <f>3.6*F2053</f>
        <v>30.110839991460804</v>
      </c>
      <c r="H2053" s="75">
        <f>'THAM_SO_MOI'!$D$51</f>
        <v>1.375</v>
      </c>
      <c r="I2053" s="75">
        <f>IF(F2053&gt;'THAM_SO_MOI'!$C$14,'THAM_SO_MOI'!$C$13*(1+F2053^2/1500),'THAM_SO_MOI'!$C$13)</f>
        <v>0.015</v>
      </c>
      <c r="J2053" s="75">
        <f>'THAM_SO_MOI'!$C$40*('THAM_SO_MOI'!$C$23*(E2053/'THAM_SO_MOI'!$C$22)+'THAM_SO_MOI'!$C$24*(E2053/'THAM_SO_MOI'!$C$22)^2-'THAM_SO_MOI'!$C$25*(E2053/'THAM_SO_MOI'!$C$22)^3)</f>
        <v>94.5723109387839</v>
      </c>
      <c r="K2053" s="75">
        <f>'THAM_SO_MOI'!$C$31*J2053/E2053</f>
        <v>429.92037482077075</v>
      </c>
      <c r="L2053" s="75">
        <f>K2053*'THAM_SO_MOI'!$C$51*'THAM_SO_MOI'!$C$17/'THAM_SO_MOI'!$C$26</f>
        <v>9612.680177453098</v>
      </c>
      <c r="M2053" s="75">
        <f>'THAM_SO_MOI'!$C$15*'THAM_SO_MOI'!$C$16*F2053^2</f>
        <v>204.62873098763228</v>
      </c>
      <c r="N2053" s="75">
        <f>'THAM_SO_MOI'!$C$12*I2053</f>
        <v>1130.112</v>
      </c>
      <c r="O2053" s="75">
        <f>M2053+N2053</f>
        <v>1334.7407309876323</v>
      </c>
      <c r="P2053" s="75">
        <f>(MIN(L2053,'THAM_SO_MOI'!$C$41)-O2053)/('THAM_SO_MOI'!$C$11*H2053)</f>
        <v>0.7838957809152902</v>
      </c>
      <c r="Q2053" s="75">
        <f>IF(P2053&gt;0,1/P2053,NA())</f>
        <v>1.2756797833921019</v>
      </c>
      <c r="R2053" s="75">
        <f>F2053-F2052</f>
        <v>0.005028991339516509</v>
      </c>
      <c r="S2053" s="75">
        <f>0.5*(Q2052+Q2053)*R2053</f>
        <v>0.006415357640952881</v>
      </c>
      <c r="T2053" s="75">
        <f>0.5*(F2052*Q2052+F2053*Q2053)*R2053</f>
        <v>0.053642704066687634</v>
      </c>
      <c r="U2053" s="76">
        <f>U2052+S2053</f>
        <v>10.392166818911486</v>
      </c>
      <c r="V2053" s="76">
        <f>V2052+T2053</f>
        <v>51.54323404065148</v>
      </c>
    </row>
    <row r="2054" spans="1:22" ht="19" customHeight="1">
      <c r="A2054" s="68" t="s">
        <v>374</v>
      </c>
      <c r="B2054" s="74">
        <v>3</v>
      </c>
      <c r="C2054" s="68" t="s">
        <v>363</v>
      </c>
      <c r="D2054" s="68" t="s">
        <v>364</v>
      </c>
      <c r="E2054" s="75">
        <f>60*F2054*'THAM_SO_MOI'!$C$51/(2*PI()*'THAM_SO_MOI'!$C$26)</f>
        <v>2102.2789240225798</v>
      </c>
      <c r="F2054" s="75">
        <f>'HANH_TRINH'!$F$1647+('THAM_SO_MOI'!$F$51-'HANH_TRINH'!$F$1647)*406/'THAM_SO_MOI'!$C$42</f>
        <v>8.369151211189742</v>
      </c>
      <c r="G2054" s="75">
        <f>3.6*F2054</f>
        <v>30.12894436028307</v>
      </c>
      <c r="H2054" s="75">
        <f>'THAM_SO_MOI'!$D$51</f>
        <v>1.375</v>
      </c>
      <c r="I2054" s="75">
        <f>IF(F2054&gt;'THAM_SO_MOI'!$C$14,'THAM_SO_MOI'!$C$13*(1+F2054^2/1500),'THAM_SO_MOI'!$C$13)</f>
        <v>0.015</v>
      </c>
      <c r="J2054" s="75">
        <f>'THAM_SO_MOI'!$C$40*('THAM_SO_MOI'!$C$23*(E2054/'THAM_SO_MOI'!$C$22)+'THAM_SO_MOI'!$C$24*(E2054/'THAM_SO_MOI'!$C$22)^2-'THAM_SO_MOI'!$C$25*(E2054/'THAM_SO_MOI'!$C$22)^3)</f>
        <v>94.63092716475181</v>
      </c>
      <c r="K2054" s="75">
        <f>'THAM_SO_MOI'!$C$31*J2054/E2054</f>
        <v>429.9283432204419</v>
      </c>
      <c r="L2054" s="75">
        <f>K2054*'THAM_SO_MOI'!$C$51*'THAM_SO_MOI'!$C$17/'THAM_SO_MOI'!$C$26</f>
        <v>9612.85834457904</v>
      </c>
      <c r="M2054" s="75">
        <f>'THAM_SO_MOI'!$C$15*'THAM_SO_MOI'!$C$16*F2054^2</f>
        <v>204.87487408759426</v>
      </c>
      <c r="N2054" s="75">
        <f>'THAM_SO_MOI'!$C$12*I2054</f>
        <v>1130.112</v>
      </c>
      <c r="O2054" s="75">
        <f>M2054+N2054</f>
        <v>1334.9868740875943</v>
      </c>
      <c r="P2054" s="75">
        <f>(MIN(L2054,'THAM_SO_MOI'!$C$41)-O2054)/('THAM_SO_MOI'!$C$11*H2054)</f>
        <v>0.7838893437965384</v>
      </c>
      <c r="Q2054" s="75">
        <f>IF(P2054&gt;0,1/P2054,NA())</f>
        <v>1.2756902589806782</v>
      </c>
      <c r="R2054" s="75">
        <f>F2054-F2053</f>
        <v>0.005028991339518285</v>
      </c>
      <c r="S2054" s="75">
        <f>0.5*(Q2053+Q2054)*R2054</f>
        <v>0.006415408923499556</v>
      </c>
      <c r="T2054" s="75">
        <f>0.5*(F2053*Q2053+F2054*Q2054)*R2054</f>
        <v>0.053675395910659784</v>
      </c>
      <c r="U2054" s="76">
        <f>U2053+S2054</f>
        <v>10.398582227834986</v>
      </c>
      <c r="V2054" s="76">
        <f>V2053+T2054</f>
        <v>51.596909436562136</v>
      </c>
    </row>
    <row r="2055" spans="1:22" ht="19" customHeight="1">
      <c r="A2055" s="68" t="s">
        <v>374</v>
      </c>
      <c r="B2055" s="74">
        <v>3</v>
      </c>
      <c r="C2055" s="68" t="s">
        <v>363</v>
      </c>
      <c r="D2055" s="68" t="s">
        <v>364</v>
      </c>
      <c r="E2055" s="75">
        <f>60*F2055*'THAM_SO_MOI'!$C$51/(2*PI()*'THAM_SO_MOI'!$C$26)</f>
        <v>2103.5421754844515</v>
      </c>
      <c r="F2055" s="75">
        <f>'HANH_TRINH'!$F$1647+('THAM_SO_MOI'!$F$51-'HANH_TRINH'!$F$1647)*407/'THAM_SO_MOI'!$C$42</f>
        <v>8.37418020252926</v>
      </c>
      <c r="G2055" s="75">
        <f>3.6*F2055</f>
        <v>30.147048729105336</v>
      </c>
      <c r="H2055" s="75">
        <f>'THAM_SO_MOI'!$D$51</f>
        <v>1.375</v>
      </c>
      <c r="I2055" s="75">
        <f>IF(F2055&gt;'THAM_SO_MOI'!$C$14,'THAM_SO_MOI'!$C$13*(1+F2055^2/1500),'THAM_SO_MOI'!$C$13)</f>
        <v>0.015</v>
      </c>
      <c r="J2055" s="75">
        <f>'THAM_SO_MOI'!$C$40*('THAM_SO_MOI'!$C$23*(E2055/'THAM_SO_MOI'!$C$22)+'THAM_SO_MOI'!$C$24*(E2055/'THAM_SO_MOI'!$C$22)^2-'THAM_SO_MOI'!$C$25*(E2055/'THAM_SO_MOI'!$C$22)^3)</f>
        <v>94.6895114015667</v>
      </c>
      <c r="K2055" s="75">
        <f>'THAM_SO_MOI'!$C$31*J2055/E2055</f>
        <v>429.9361568032826</v>
      </c>
      <c r="L2055" s="75">
        <f>K2055*'THAM_SO_MOI'!$C$51*'THAM_SO_MOI'!$C$17/'THAM_SO_MOI'!$C$26</f>
        <v>9613.03305012287</v>
      </c>
      <c r="M2055" s="75">
        <f>'THAM_SO_MOI'!$C$15*'THAM_SO_MOI'!$C$16*F2055^2</f>
        <v>205.12116513846655</v>
      </c>
      <c r="N2055" s="75">
        <f>'THAM_SO_MOI'!$C$12*I2055</f>
        <v>1130.112</v>
      </c>
      <c r="O2055" s="75">
        <f>M2055+N2055</f>
        <v>1335.2331651384666</v>
      </c>
      <c r="P2055" s="75">
        <f>(MIN(L2055,'THAM_SO_MOI'!$C$41)-O2055)/('THAM_SO_MOI'!$C$11*H2055)</f>
        <v>0.783882564865947</v>
      </c>
      <c r="Q2055" s="75">
        <f>IF(P2055&gt;0,1/P2055,NA())</f>
        <v>1.275701291010359</v>
      </c>
      <c r="R2055" s="75">
        <f>F2055-F2054</f>
        <v>0.005028991339518285</v>
      </c>
      <c r="S2055" s="75">
        <f>0.5*(Q2054+Q2055)*R2055</f>
        <v>0.00641546300431253</v>
      </c>
      <c r="T2055" s="75">
        <f>0.5*(F2054*Q2054+F2055*Q2055)*R2055</f>
        <v>0.05370811169658111</v>
      </c>
      <c r="U2055" s="76">
        <f>U2054+S2055</f>
        <v>10.404997690839298</v>
      </c>
      <c r="V2055" s="76">
        <f>V2054+T2055</f>
        <v>51.650617548258715</v>
      </c>
    </row>
    <row r="2056" spans="1:22" ht="19" customHeight="1">
      <c r="A2056" s="68" t="s">
        <v>374</v>
      </c>
      <c r="B2056" s="74">
        <v>3</v>
      </c>
      <c r="C2056" s="68" t="s">
        <v>363</v>
      </c>
      <c r="D2056" s="68" t="s">
        <v>364</v>
      </c>
      <c r="E2056" s="75">
        <f>60*F2056*'THAM_SO_MOI'!$C$51/(2*PI()*'THAM_SO_MOI'!$C$26)</f>
        <v>2104.8054269463228</v>
      </c>
      <c r="F2056" s="75">
        <f>'HANH_TRINH'!$F$1647+('THAM_SO_MOI'!$F$51-'HANH_TRINH'!$F$1647)*408/'THAM_SO_MOI'!$C$42</f>
        <v>8.379209193868776</v>
      </c>
      <c r="G2056" s="75">
        <f>3.6*F2056</f>
        <v>30.165153097927597</v>
      </c>
      <c r="H2056" s="75">
        <f>'THAM_SO_MOI'!$D$51</f>
        <v>1.375</v>
      </c>
      <c r="I2056" s="75">
        <f>IF(F2056&gt;'THAM_SO_MOI'!$C$14,'THAM_SO_MOI'!$C$13*(1+F2056^2/1500),'THAM_SO_MOI'!$C$13)</f>
        <v>0.015</v>
      </c>
      <c r="J2056" s="75">
        <f>'THAM_SO_MOI'!$C$40*('THAM_SO_MOI'!$C$23*(E2056/'THAM_SO_MOI'!$C$22)+'THAM_SO_MOI'!$C$24*(E2056/'THAM_SO_MOI'!$C$22)^2-'THAM_SO_MOI'!$C$25*(E2056/'THAM_SO_MOI'!$C$22)^3)</f>
        <v>94.74806358779924</v>
      </c>
      <c r="K2056" s="75">
        <f>'THAM_SO_MOI'!$C$31*J2056/E2056</f>
        <v>429.94381556929284</v>
      </c>
      <c r="L2056" s="75">
        <f>K2056*'THAM_SO_MOI'!$C$51*'THAM_SO_MOI'!$C$17/'THAM_SO_MOI'!$C$26</f>
        <v>9613.204294084595</v>
      </c>
      <c r="M2056" s="75">
        <f>'THAM_SO_MOI'!$C$15*'THAM_SO_MOI'!$C$16*F2056^2</f>
        <v>205.36760414024897</v>
      </c>
      <c r="N2056" s="75">
        <f>'THAM_SO_MOI'!$C$12*I2056</f>
        <v>1130.112</v>
      </c>
      <c r="O2056" s="75">
        <f>M2056+N2056</f>
        <v>1335.479604140249</v>
      </c>
      <c r="P2056" s="75">
        <f>(MIN(L2056,'THAM_SO_MOI'!$C$41)-O2056)/('THAM_SO_MOI'!$C$11*H2056)</f>
        <v>0.7838754441235175</v>
      </c>
      <c r="Q2056" s="75">
        <f>IF(P2056&gt;0,1/P2056,NA())</f>
        <v>1.2757128795100094</v>
      </c>
      <c r="R2056" s="75">
        <f>F2056-F2055</f>
        <v>0.005028991339516509</v>
      </c>
      <c r="S2056" s="75">
        <f>0.5*(Q2055+Q2056)*R2056</f>
        <v>0.006415519883533315</v>
      </c>
      <c r="T2056" s="75">
        <f>0.5*(F2055*Q2055+F2056*Q2056)*R2056</f>
        <v>0.053740851467854366</v>
      </c>
      <c r="U2056" s="76">
        <f>U2055+S2056</f>
        <v>10.411413210722833</v>
      </c>
      <c r="V2056" s="76">
        <f>V2055+T2056</f>
        <v>51.70435839972657</v>
      </c>
    </row>
    <row r="2057" spans="1:22" ht="19" customHeight="1">
      <c r="A2057" s="68" t="s">
        <v>374</v>
      </c>
      <c r="B2057" s="74">
        <v>3</v>
      </c>
      <c r="C2057" s="68" t="s">
        <v>363</v>
      </c>
      <c r="D2057" s="68" t="s">
        <v>364</v>
      </c>
      <c r="E2057" s="75">
        <f>60*F2057*'THAM_SO_MOI'!$C$51/(2*PI()*'THAM_SO_MOI'!$C$26)</f>
        <v>2106.0686784081945</v>
      </c>
      <c r="F2057" s="75">
        <f>'HANH_TRINH'!$F$1647+('THAM_SO_MOI'!$F$51-'HANH_TRINH'!$F$1647)*409/'THAM_SO_MOI'!$C$42</f>
        <v>8.384238185208295</v>
      </c>
      <c r="G2057" s="75">
        <f>3.6*F2057</f>
        <v>30.18325746674986</v>
      </c>
      <c r="H2057" s="75">
        <f>'THAM_SO_MOI'!$D$51</f>
        <v>1.375</v>
      </c>
      <c r="I2057" s="75">
        <f>IF(F2057&gt;'THAM_SO_MOI'!$C$14,'THAM_SO_MOI'!$C$13*(1+F2057^2/1500),'THAM_SO_MOI'!$C$13)</f>
        <v>0.015</v>
      </c>
      <c r="J2057" s="75">
        <f>'THAM_SO_MOI'!$C$40*('THAM_SO_MOI'!$C$23*(E2057/'THAM_SO_MOI'!$C$22)+'THAM_SO_MOI'!$C$24*(E2057/'THAM_SO_MOI'!$C$22)^2-'THAM_SO_MOI'!$C$25*(E2057/'THAM_SO_MOI'!$C$22)^3)</f>
        <v>94.80658366202007</v>
      </c>
      <c r="K2057" s="75">
        <f>'THAM_SO_MOI'!$C$31*J2057/E2057</f>
        <v>429.95131951847253</v>
      </c>
      <c r="L2057" s="75">
        <f>K2057*'THAM_SO_MOI'!$C$51*'THAM_SO_MOI'!$C$17/'THAM_SO_MOI'!$C$26</f>
        <v>9613.372076464208</v>
      </c>
      <c r="M2057" s="75">
        <f>'THAM_SO_MOI'!$C$15*'THAM_SO_MOI'!$C$16*F2057^2</f>
        <v>205.6141910929418</v>
      </c>
      <c r="N2057" s="75">
        <f>'THAM_SO_MOI'!$C$12*I2057</f>
        <v>1130.112</v>
      </c>
      <c r="O2057" s="75">
        <f>M2057+N2057</f>
        <v>1335.726191092942</v>
      </c>
      <c r="P2057" s="75">
        <f>(MIN(L2057,'THAM_SO_MOI'!$C$41)-O2057)/('THAM_SO_MOI'!$C$11*H2057)</f>
        <v>0.7838679815692485</v>
      </c>
      <c r="Q2057" s="75">
        <f>IF(P2057&gt;0,1/P2057,NA())</f>
        <v>1.275725024509957</v>
      </c>
      <c r="R2057" s="75">
        <f>F2057-F2056</f>
        <v>0.005028991339518285</v>
      </c>
      <c r="S2057" s="75">
        <f>0.5*(Q2056+Q2057)*R2057</f>
        <v>0.006415579561317548</v>
      </c>
      <c r="T2057" s="75">
        <f>0.5*(F2056*Q2056+F2057*Q2057)*R2057</f>
        <v>0.05377361526800359</v>
      </c>
      <c r="U2057" s="76">
        <f>U2056+S2057</f>
        <v>10.41782879028415</v>
      </c>
      <c r="V2057" s="76">
        <f>V2056+T2057</f>
        <v>51.75813201499458</v>
      </c>
    </row>
    <row r="2058" spans="1:22" ht="19" customHeight="1">
      <c r="A2058" s="68" t="s">
        <v>374</v>
      </c>
      <c r="B2058" s="74">
        <v>3</v>
      </c>
      <c r="C2058" s="68" t="s">
        <v>363</v>
      </c>
      <c r="D2058" s="68" t="s">
        <v>364</v>
      </c>
      <c r="E2058" s="75">
        <f>60*F2058*'THAM_SO_MOI'!$C$51/(2*PI()*'THAM_SO_MOI'!$C$26)</f>
        <v>2107.3319298700662</v>
      </c>
      <c r="F2058" s="75">
        <f>'HANH_TRINH'!$F$1647+('THAM_SO_MOI'!$F$51-'HANH_TRINH'!$F$1647)*410/'THAM_SO_MOI'!$C$42</f>
        <v>8.389267176547813</v>
      </c>
      <c r="G2058" s="75">
        <f>3.6*F2058</f>
        <v>30.20136183557213</v>
      </c>
      <c r="H2058" s="75">
        <f>'THAM_SO_MOI'!$D$51</f>
        <v>1.375</v>
      </c>
      <c r="I2058" s="75">
        <f>IF(F2058&gt;'THAM_SO_MOI'!$C$14,'THAM_SO_MOI'!$C$13*(1+F2058^2/1500),'THAM_SO_MOI'!$C$13)</f>
        <v>0.015</v>
      </c>
      <c r="J2058" s="75">
        <f>'THAM_SO_MOI'!$C$40*('THAM_SO_MOI'!$C$23*(E2058/'THAM_SO_MOI'!$C$22)+'THAM_SO_MOI'!$C$24*(E2058/'THAM_SO_MOI'!$C$22)^2-'THAM_SO_MOI'!$C$25*(E2058/'THAM_SO_MOI'!$C$22)^3)</f>
        <v>94.86507156279981</v>
      </c>
      <c r="K2058" s="75">
        <f>'THAM_SO_MOI'!$C$31*J2058/E2058</f>
        <v>429.9586686508216</v>
      </c>
      <c r="L2058" s="75">
        <f>K2058*'THAM_SO_MOI'!$C$51*'THAM_SO_MOI'!$C$17/'THAM_SO_MOI'!$C$26</f>
        <v>9613.536397261712</v>
      </c>
      <c r="M2058" s="75">
        <f>'THAM_SO_MOI'!$C$15*'THAM_SO_MOI'!$C$16*F2058^2</f>
        <v>205.86092599654486</v>
      </c>
      <c r="N2058" s="75">
        <f>'THAM_SO_MOI'!$C$12*I2058</f>
        <v>1130.112</v>
      </c>
      <c r="O2058" s="75">
        <f>M2058+N2058</f>
        <v>1335.972925996545</v>
      </c>
      <c r="P2058" s="75">
        <f>(MIN(L2058,'THAM_SO_MOI'!$C$41)-O2058)/('THAM_SO_MOI'!$C$11*H2058)</f>
        <v>0.7838601772031407</v>
      </c>
      <c r="Q2058" s="75">
        <f>IF(P2058&gt;0,1/P2058,NA())</f>
        <v>1.2757377260419822</v>
      </c>
      <c r="R2058" s="75">
        <f>F2058-F2057</f>
        <v>0.005028991339518285</v>
      </c>
      <c r="S2058" s="75">
        <f>0.5*(Q2057+Q2058)*R2058</f>
        <v>0.006415642037814602</v>
      </c>
      <c r="T2058" s="75">
        <f>0.5*(F2057*Q2057+F2058*Q2058)*R2058</f>
        <v>0.05380640314050338</v>
      </c>
      <c r="U2058" s="76">
        <f>U2057+S2058</f>
        <v>10.424244432321965</v>
      </c>
      <c r="V2058" s="76">
        <f>V2057+T2058</f>
        <v>51.811938418135085</v>
      </c>
    </row>
    <row r="2059" spans="1:22" ht="19" customHeight="1">
      <c r="A2059" s="68" t="s">
        <v>374</v>
      </c>
      <c r="B2059" s="74">
        <v>3</v>
      </c>
      <c r="C2059" s="68" t="s">
        <v>363</v>
      </c>
      <c r="D2059" s="68" t="s">
        <v>364</v>
      </c>
      <c r="E2059" s="75">
        <f>60*F2059*'THAM_SO_MOI'!$C$51/(2*PI()*'THAM_SO_MOI'!$C$26)</f>
        <v>2108.5951813319375</v>
      </c>
      <c r="F2059" s="75">
        <f>'HANH_TRINH'!$F$1647+('THAM_SO_MOI'!$F$51-'HANH_TRINH'!$F$1647)*411/'THAM_SO_MOI'!$C$42</f>
        <v>8.39429616788733</v>
      </c>
      <c r="G2059" s="75">
        <f>3.6*F2059</f>
        <v>30.219466204394386</v>
      </c>
      <c r="H2059" s="75">
        <f>'THAM_SO_MOI'!$D$51</f>
        <v>1.375</v>
      </c>
      <c r="I2059" s="75">
        <f>IF(F2059&gt;'THAM_SO_MOI'!$C$14,'THAM_SO_MOI'!$C$13*(1+F2059^2/1500),'THAM_SO_MOI'!$C$13)</f>
        <v>0.015</v>
      </c>
      <c r="J2059" s="75">
        <f>'THAM_SO_MOI'!$C$40*('THAM_SO_MOI'!$C$23*(E2059/'THAM_SO_MOI'!$C$22)+'THAM_SO_MOI'!$C$24*(E2059/'THAM_SO_MOI'!$C$22)^2-'THAM_SO_MOI'!$C$25*(E2059/'THAM_SO_MOI'!$C$22)^3)</f>
        <v>94.92352722870916</v>
      </c>
      <c r="K2059" s="75">
        <f>'THAM_SO_MOI'!$C$31*J2059/E2059</f>
        <v>429.9658629663403</v>
      </c>
      <c r="L2059" s="75">
        <f>K2059*'THAM_SO_MOI'!$C$51*'THAM_SO_MOI'!$C$17/'THAM_SO_MOI'!$C$26</f>
        <v>9613.69725647711</v>
      </c>
      <c r="M2059" s="75">
        <f>'THAM_SO_MOI'!$C$15*'THAM_SO_MOI'!$C$16*F2059^2</f>
        <v>206.10780885105814</v>
      </c>
      <c r="N2059" s="75">
        <f>'THAM_SO_MOI'!$C$12*I2059</f>
        <v>1130.112</v>
      </c>
      <c r="O2059" s="75">
        <f>M2059+N2059</f>
        <v>1336.2198088510581</v>
      </c>
      <c r="P2059" s="75">
        <f>(MIN(L2059,'THAM_SO_MOI'!$C$41)-O2059)/('THAM_SO_MOI'!$C$11*H2059)</f>
        <v>0.7838520310251941</v>
      </c>
      <c r="Q2059" s="75">
        <f>IF(P2059&gt;0,1/P2059,NA())</f>
        <v>1.2757509841393249</v>
      </c>
      <c r="R2059" s="75">
        <f>F2059-F2058</f>
        <v>0.005028991339516509</v>
      </c>
      <c r="S2059" s="75">
        <f>0.5*(Q2058+Q2059)*R2059</f>
        <v>0.00641570731318797</v>
      </c>
      <c r="T2059" s="75">
        <f>0.5*(F2058*Q2058+F2059*Q2059)*R2059</f>
        <v>0.05383921512894987</v>
      </c>
      <c r="U2059" s="76">
        <f>U2058+S2059</f>
        <v>10.430660139635153</v>
      </c>
      <c r="V2059" s="76">
        <f>V2058+T2059</f>
        <v>51.86577763326404</v>
      </c>
    </row>
    <row r="2060" spans="1:22" ht="19" customHeight="1">
      <c r="A2060" s="68" t="s">
        <v>374</v>
      </c>
      <c r="B2060" s="74">
        <v>3</v>
      </c>
      <c r="C2060" s="68" t="s">
        <v>363</v>
      </c>
      <c r="D2060" s="68" t="s">
        <v>364</v>
      </c>
      <c r="E2060" s="75">
        <f>60*F2060*'THAM_SO_MOI'!$C$51/(2*PI()*'THAM_SO_MOI'!$C$26)</f>
        <v>2109.8584327938092</v>
      </c>
      <c r="F2060" s="75">
        <f>'HANH_TRINH'!$F$1647+('THAM_SO_MOI'!$F$51-'HANH_TRINH'!$F$1647)*412/'THAM_SO_MOI'!$C$42</f>
        <v>8.399325159226848</v>
      </c>
      <c r="G2060" s="75">
        <f>3.6*F2060</f>
        <v>30.237570573216654</v>
      </c>
      <c r="H2060" s="75">
        <f>'THAM_SO_MOI'!$D$51</f>
        <v>1.375</v>
      </c>
      <c r="I2060" s="75">
        <f>IF(F2060&gt;'THAM_SO_MOI'!$C$14,'THAM_SO_MOI'!$C$13*(1+F2060^2/1500),'THAM_SO_MOI'!$C$13)</f>
        <v>0.015</v>
      </c>
      <c r="J2060" s="75">
        <f>'THAM_SO_MOI'!$C$40*('THAM_SO_MOI'!$C$23*(E2060/'THAM_SO_MOI'!$C$22)+'THAM_SO_MOI'!$C$24*(E2060/'THAM_SO_MOI'!$C$22)^2-'THAM_SO_MOI'!$C$25*(E2060/'THAM_SO_MOI'!$C$22)^3)</f>
        <v>94.98195059831878</v>
      </c>
      <c r="K2060" s="75">
        <f>'THAM_SO_MOI'!$C$31*J2060/E2060</f>
        <v>429.9729024650285</v>
      </c>
      <c r="L2060" s="75">
        <f>K2060*'THAM_SO_MOI'!$C$51*'THAM_SO_MOI'!$C$17/'THAM_SO_MOI'!$C$26</f>
        <v>9613.854654110397</v>
      </c>
      <c r="M2060" s="75">
        <f>'THAM_SO_MOI'!$C$15*'THAM_SO_MOI'!$C$16*F2060^2</f>
        <v>206.35483965648177</v>
      </c>
      <c r="N2060" s="75">
        <f>'THAM_SO_MOI'!$C$12*I2060</f>
        <v>1130.112</v>
      </c>
      <c r="O2060" s="75">
        <f>M2060+N2060</f>
        <v>1336.4668396564819</v>
      </c>
      <c r="P2060" s="75">
        <f>(MIN(L2060,'THAM_SO_MOI'!$C$41)-O2060)/('THAM_SO_MOI'!$C$11*H2060)</f>
        <v>0.7838435430354087</v>
      </c>
      <c r="Q2060" s="75">
        <f>IF(P2060&gt;0,1/P2060,NA())</f>
        <v>1.2757647988366816</v>
      </c>
      <c r="R2060" s="75">
        <f>F2060-F2059</f>
        <v>0.005028991339518285</v>
      </c>
      <c r="S2060" s="75">
        <f>0.5*(Q2059+Q2060)*R2060</f>
        <v>0.006415775387615276</v>
      </c>
      <c r="T2060" s="75">
        <f>0.5*(F2059*Q2059+F2060*Q2060)*R2060</f>
        <v>0.0538720512770611</v>
      </c>
      <c r="U2060" s="76">
        <f>U2059+S2060</f>
        <v>10.437075915022769</v>
      </c>
      <c r="V2060" s="76">
        <f>V2059+T2060</f>
        <v>51.9196496845411</v>
      </c>
    </row>
    <row r="2061" spans="1:22" ht="19" customHeight="1">
      <c r="A2061" s="68" t="s">
        <v>374</v>
      </c>
      <c r="B2061" s="74">
        <v>3</v>
      </c>
      <c r="C2061" s="68" t="s">
        <v>363</v>
      </c>
      <c r="D2061" s="68" t="s">
        <v>364</v>
      </c>
      <c r="E2061" s="75">
        <f>60*F2061*'THAM_SO_MOI'!$C$51/(2*PI()*'THAM_SO_MOI'!$C$26)</f>
        <v>2111.1216842556814</v>
      </c>
      <c r="F2061" s="75">
        <f>'HANH_TRINH'!$F$1647+('THAM_SO_MOI'!$F$51-'HANH_TRINH'!$F$1647)*413/'THAM_SO_MOI'!$C$42</f>
        <v>8.404354150566366</v>
      </c>
      <c r="G2061" s="75">
        <f>3.6*F2061</f>
        <v>30.25567494203892</v>
      </c>
      <c r="H2061" s="75">
        <f>'THAM_SO_MOI'!$D$51</f>
        <v>1.375</v>
      </c>
      <c r="I2061" s="75">
        <f>IF(F2061&gt;'THAM_SO_MOI'!$C$14,'THAM_SO_MOI'!$C$13*(1+F2061^2/1500),'THAM_SO_MOI'!$C$13)</f>
        <v>0.015</v>
      </c>
      <c r="J2061" s="75">
        <f>'THAM_SO_MOI'!$C$40*('THAM_SO_MOI'!$C$23*(E2061/'THAM_SO_MOI'!$C$22)+'THAM_SO_MOI'!$C$24*(E2061/'THAM_SO_MOI'!$C$22)^2-'THAM_SO_MOI'!$C$25*(E2061/'THAM_SO_MOI'!$C$22)^3)</f>
        <v>95.04034161019925</v>
      </c>
      <c r="K2061" s="75">
        <f>'THAM_SO_MOI'!$C$31*J2061/E2061</f>
        <v>429.97978714688594</v>
      </c>
      <c r="L2061" s="75">
        <f>K2061*'THAM_SO_MOI'!$C$51*'THAM_SO_MOI'!$C$17/'THAM_SO_MOI'!$C$26</f>
        <v>9614.008590161571</v>
      </c>
      <c r="M2061" s="75">
        <f>'THAM_SO_MOI'!$C$15*'THAM_SO_MOI'!$C$16*F2061^2</f>
        <v>206.60201841281568</v>
      </c>
      <c r="N2061" s="75">
        <f>'THAM_SO_MOI'!$C$12*I2061</f>
        <v>1130.112</v>
      </c>
      <c r="O2061" s="75">
        <f>M2061+N2061</f>
        <v>1336.7140184128157</v>
      </c>
      <c r="P2061" s="75">
        <f>(MIN(L2061,'THAM_SO_MOI'!$C$41)-O2061)/('THAM_SO_MOI'!$C$11*H2061)</f>
        <v>0.7838347132337837</v>
      </c>
      <c r="Q2061" s="75">
        <f>IF(P2061&gt;0,1/P2061,NA())</f>
        <v>1.2757791701702086</v>
      </c>
      <c r="R2061" s="75">
        <f>F2061-F2060</f>
        <v>0.005028991339518285</v>
      </c>
      <c r="S2061" s="75">
        <f>0.5*(Q2060+Q2061)*R2061</f>
        <v>0.006415846261267882</v>
      </c>
      <c r="T2061" s="75">
        <f>0.5*(F2060*Q2060+F2061*Q2061)*R2061</f>
        <v>0.05390491162850609</v>
      </c>
      <c r="U2061" s="76">
        <f>U2060+S2061</f>
        <v>10.443491761284037</v>
      </c>
      <c r="V2061" s="76">
        <f>V2060+T2061</f>
        <v>51.973554596169606</v>
      </c>
    </row>
    <row r="2062" spans="1:22" ht="19" customHeight="1">
      <c r="A2062" s="68" t="s">
        <v>374</v>
      </c>
      <c r="B2062" s="74">
        <v>3</v>
      </c>
      <c r="C2062" s="68" t="s">
        <v>363</v>
      </c>
      <c r="D2062" s="68" t="s">
        <v>364</v>
      </c>
      <c r="E2062" s="75">
        <f>60*F2062*'THAM_SO_MOI'!$C$51/(2*PI()*'THAM_SO_MOI'!$C$26)</f>
        <v>2112.3849357175527</v>
      </c>
      <c r="F2062" s="75">
        <f>'HANH_TRINH'!$F$1647+('THAM_SO_MOI'!$F$51-'HANH_TRINH'!$F$1647)*414/'THAM_SO_MOI'!$C$42</f>
        <v>8.409383141905883</v>
      </c>
      <c r="G2062" s="75">
        <f>3.6*F2062</f>
        <v>30.27377931086118</v>
      </c>
      <c r="H2062" s="75">
        <f>'THAM_SO_MOI'!$D$51</f>
        <v>1.375</v>
      </c>
      <c r="I2062" s="75">
        <f>IF(F2062&gt;'THAM_SO_MOI'!$C$14,'THAM_SO_MOI'!$C$13*(1+F2062^2/1500),'THAM_SO_MOI'!$C$13)</f>
        <v>0.015</v>
      </c>
      <c r="J2062" s="75">
        <f>'THAM_SO_MOI'!$C$40*('THAM_SO_MOI'!$C$23*(E2062/'THAM_SO_MOI'!$C$22)+'THAM_SO_MOI'!$C$24*(E2062/'THAM_SO_MOI'!$C$22)^2-'THAM_SO_MOI'!$C$25*(E2062/'THAM_SO_MOI'!$C$22)^3)</f>
        <v>95.09870020292131</v>
      </c>
      <c r="K2062" s="75">
        <f>'THAM_SO_MOI'!$C$31*J2062/E2062</f>
        <v>429.9865170119133</v>
      </c>
      <c r="L2062" s="75">
        <f>K2062*'THAM_SO_MOI'!$C$51*'THAM_SO_MOI'!$C$17/'THAM_SO_MOI'!$C$26</f>
        <v>9614.159064630647</v>
      </c>
      <c r="M2062" s="75">
        <f>'THAM_SO_MOI'!$C$15*'THAM_SO_MOI'!$C$16*F2062^2</f>
        <v>206.84934512005978</v>
      </c>
      <c r="N2062" s="75">
        <f>'THAM_SO_MOI'!$C$12*I2062</f>
        <v>1130.112</v>
      </c>
      <c r="O2062" s="75">
        <f>M2062+N2062</f>
        <v>1336.9613451200598</v>
      </c>
      <c r="P2062" s="75">
        <f>(MIN(L2062,'THAM_SO_MOI'!$C$41)-O2062)/('THAM_SO_MOI'!$C$11*H2062)</f>
        <v>0.7838255416203207</v>
      </c>
      <c r="Q2062" s="75">
        <f>IF(P2062&gt;0,1/P2062,NA())</f>
        <v>1.275794098177516</v>
      </c>
      <c r="R2062" s="75">
        <f>F2062-F2061</f>
        <v>0.005028991339516509</v>
      </c>
      <c r="S2062" s="75">
        <f>0.5*(Q2061+Q2062)*R2062</f>
        <v>0.00641591993433127</v>
      </c>
      <c r="T2062" s="75">
        <f>0.5*(F2061*Q2061+F2062*Q2062)*R2062</f>
        <v>0.05393779622707603</v>
      </c>
      <c r="U2062" s="76">
        <f>U2061+S2062</f>
        <v>10.449907681218368</v>
      </c>
      <c r="V2062" s="76">
        <f>V2061+T2062</f>
        <v>52.02749239239668</v>
      </c>
    </row>
    <row r="2063" spans="1:22" ht="19" customHeight="1">
      <c r="A2063" s="68" t="s">
        <v>374</v>
      </c>
      <c r="B2063" s="74">
        <v>3</v>
      </c>
      <c r="C2063" s="68" t="s">
        <v>363</v>
      </c>
      <c r="D2063" s="68" t="s">
        <v>364</v>
      </c>
      <c r="E2063" s="75">
        <f>60*F2063*'THAM_SO_MOI'!$C$51/(2*PI()*'THAM_SO_MOI'!$C$26)</f>
        <v>2113.648187179424</v>
      </c>
      <c r="F2063" s="75">
        <f>'HANH_TRINH'!$F$1647+('THAM_SO_MOI'!$F$51-'HANH_TRINH'!$F$1647)*415/'THAM_SO_MOI'!$C$42</f>
        <v>8.414412133245401</v>
      </c>
      <c r="G2063" s="75">
        <f>3.6*F2063</f>
        <v>30.291883679683444</v>
      </c>
      <c r="H2063" s="75">
        <f>'THAM_SO_MOI'!$D$51</f>
        <v>1.375</v>
      </c>
      <c r="I2063" s="75">
        <f>IF(F2063&gt;'THAM_SO_MOI'!$C$14,'THAM_SO_MOI'!$C$13*(1+F2063^2/1500),'THAM_SO_MOI'!$C$13)</f>
        <v>0.015</v>
      </c>
      <c r="J2063" s="75">
        <f>'THAM_SO_MOI'!$C$40*('THAM_SO_MOI'!$C$23*(E2063/'THAM_SO_MOI'!$C$22)+'THAM_SO_MOI'!$C$24*(E2063/'THAM_SO_MOI'!$C$22)^2-'THAM_SO_MOI'!$C$25*(E2063/'THAM_SO_MOI'!$C$22)^3)</f>
        <v>95.15702631505548</v>
      </c>
      <c r="K2063" s="75">
        <f>'THAM_SO_MOI'!$C$31*J2063/E2063</f>
        <v>429.99309206010975</v>
      </c>
      <c r="L2063" s="75">
        <f>K2063*'THAM_SO_MOI'!$C$51*'THAM_SO_MOI'!$C$17/'THAM_SO_MOI'!$C$26</f>
        <v>9614.306077517604</v>
      </c>
      <c r="M2063" s="75">
        <f>'THAM_SO_MOI'!$C$15*'THAM_SO_MOI'!$C$16*F2063^2</f>
        <v>207.0968197782142</v>
      </c>
      <c r="N2063" s="75">
        <f>'THAM_SO_MOI'!$C$12*I2063</f>
        <v>1130.112</v>
      </c>
      <c r="O2063" s="75">
        <f>M2063+N2063</f>
        <v>1337.2088197782143</v>
      </c>
      <c r="P2063" s="75">
        <f>(MIN(L2063,'THAM_SO_MOI'!$C$41)-O2063)/('THAM_SO_MOI'!$C$11*H2063)</f>
        <v>0.7838160281950177</v>
      </c>
      <c r="Q2063" s="75">
        <f>IF(P2063&gt;0,1/P2063,NA())</f>
        <v>1.2758095828976779</v>
      </c>
      <c r="R2063" s="75">
        <f>F2063-F2062</f>
        <v>0.005028991339518285</v>
      </c>
      <c r="S2063" s="75">
        <f>0.5*(Q2062+Q2063)*R2063</f>
        <v>0.006415996407005063</v>
      </c>
      <c r="T2063" s="75">
        <f>0.5*(F2062*Q2062+F2063*Q2063)*R2063</f>
        <v>0.05397070511668476</v>
      </c>
      <c r="U2063" s="76">
        <f>U2062+S2063</f>
        <v>10.456323677625374</v>
      </c>
      <c r="V2063" s="76">
        <f>V2062+T2063</f>
        <v>52.081463097513364</v>
      </c>
    </row>
    <row r="2064" spans="1:22" ht="19" customHeight="1">
      <c r="A2064" s="68" t="s">
        <v>374</v>
      </c>
      <c r="B2064" s="74">
        <v>3</v>
      </c>
      <c r="C2064" s="68" t="s">
        <v>363</v>
      </c>
      <c r="D2064" s="68" t="s">
        <v>364</v>
      </c>
      <c r="E2064" s="75">
        <f>60*F2064*'THAM_SO_MOI'!$C$51/(2*PI()*'THAM_SO_MOI'!$C$26)</f>
        <v>2114.9114386412957</v>
      </c>
      <c r="F2064" s="75">
        <f>'HANH_TRINH'!$F$1647+('THAM_SO_MOI'!$F$51-'HANH_TRINH'!$F$1647)*416/'THAM_SO_MOI'!$C$42</f>
        <v>8.41944112458492</v>
      </c>
      <c r="G2064" s="75">
        <f>3.6*F2064</f>
        <v>30.30998804850571</v>
      </c>
      <c r="H2064" s="75">
        <f>'THAM_SO_MOI'!$D$51</f>
        <v>1.375</v>
      </c>
      <c r="I2064" s="75">
        <f>IF(F2064&gt;'THAM_SO_MOI'!$C$14,'THAM_SO_MOI'!$C$13*(1+F2064^2/1500),'THAM_SO_MOI'!$C$13)</f>
        <v>0.015</v>
      </c>
      <c r="J2064" s="75">
        <f>'THAM_SO_MOI'!$C$40*('THAM_SO_MOI'!$C$23*(E2064/'THAM_SO_MOI'!$C$22)+'THAM_SO_MOI'!$C$24*(E2064/'THAM_SO_MOI'!$C$22)^2-'THAM_SO_MOI'!$C$25*(E2064/'THAM_SO_MOI'!$C$22)^3)</f>
        <v>95.21531988517252</v>
      </c>
      <c r="K2064" s="75">
        <f>'THAM_SO_MOI'!$C$31*J2064/E2064</f>
        <v>429.99951229147575</v>
      </c>
      <c r="L2064" s="75">
        <f>K2064*'THAM_SO_MOI'!$C$51*'THAM_SO_MOI'!$C$17/'THAM_SO_MOI'!$C$26</f>
        <v>9614.449628822453</v>
      </c>
      <c r="M2064" s="75">
        <f>'THAM_SO_MOI'!$C$15*'THAM_SO_MOI'!$C$16*F2064^2</f>
        <v>207.34444238727895</v>
      </c>
      <c r="N2064" s="75">
        <f>'THAM_SO_MOI'!$C$12*I2064</f>
        <v>1130.112</v>
      </c>
      <c r="O2064" s="75">
        <f>M2064+N2064</f>
        <v>1337.456442387279</v>
      </c>
      <c r="P2064" s="75">
        <f>(MIN(L2064,'THAM_SO_MOI'!$C$41)-O2064)/('THAM_SO_MOI'!$C$11*H2064)</f>
        <v>0.7838061729578764</v>
      </c>
      <c r="Q2064" s="75">
        <f>IF(P2064&gt;0,1/P2064,NA())</f>
        <v>1.2758256243712212</v>
      </c>
      <c r="R2064" s="75">
        <f>F2064-F2063</f>
        <v>0.005028991339518285</v>
      </c>
      <c r="S2064" s="75">
        <f>0.5*(Q2063+Q2064)*R2064</f>
        <v>0.006416075679482619</v>
      </c>
      <c r="T2064" s="75">
        <f>0.5*(F2063*Q2063+F2064*Q2064)*R2064</f>
        <v>0.05400363834119742</v>
      </c>
      <c r="U2064" s="76">
        <f>U2063+S2064</f>
        <v>10.462739753304856</v>
      </c>
      <c r="V2064" s="76">
        <f>V2063+T2064</f>
        <v>52.135466735854564</v>
      </c>
    </row>
    <row r="2065" spans="1:22" ht="19" customHeight="1">
      <c r="A2065" s="68" t="s">
        <v>374</v>
      </c>
      <c r="B2065" s="74">
        <v>3</v>
      </c>
      <c r="C2065" s="68" t="s">
        <v>363</v>
      </c>
      <c r="D2065" s="68" t="s">
        <v>364</v>
      </c>
      <c r="E2065" s="75">
        <f>60*F2065*'THAM_SO_MOI'!$C$51/(2*PI()*'THAM_SO_MOI'!$C$26)</f>
        <v>2116.174690103167</v>
      </c>
      <c r="F2065" s="75">
        <f>'HANH_TRINH'!$F$1647+('THAM_SO_MOI'!$F$51-'HANH_TRINH'!$F$1647)*417/'THAM_SO_MOI'!$C$42</f>
        <v>8.424470115924436</v>
      </c>
      <c r="G2065" s="75">
        <f>3.6*F2065</f>
        <v>30.32809241732797</v>
      </c>
      <c r="H2065" s="75">
        <f>'THAM_SO_MOI'!$D$51</f>
        <v>1.375</v>
      </c>
      <c r="I2065" s="75">
        <f>IF(F2065&gt;'THAM_SO_MOI'!$C$14,'THAM_SO_MOI'!$C$13*(1+F2065^2/1500),'THAM_SO_MOI'!$C$13)</f>
        <v>0.015</v>
      </c>
      <c r="J2065" s="75">
        <f>'THAM_SO_MOI'!$C$40*('THAM_SO_MOI'!$C$23*(E2065/'THAM_SO_MOI'!$C$22)+'THAM_SO_MOI'!$C$24*(E2065/'THAM_SO_MOI'!$C$22)^2-'THAM_SO_MOI'!$C$25*(E2065/'THAM_SO_MOI'!$C$22)^3)</f>
        <v>95.27358085184306</v>
      </c>
      <c r="K2065" s="75">
        <f>'THAM_SO_MOI'!$C$31*J2065/E2065</f>
        <v>430.00577770601143</v>
      </c>
      <c r="L2065" s="75">
        <f>K2065*'THAM_SO_MOI'!$C$51*'THAM_SO_MOI'!$C$17/'THAM_SO_MOI'!$C$26</f>
        <v>9614.589718545196</v>
      </c>
      <c r="M2065" s="75">
        <f>'THAM_SO_MOI'!$C$15*'THAM_SO_MOI'!$C$16*F2065^2</f>
        <v>207.59221294725384</v>
      </c>
      <c r="N2065" s="75">
        <f>'THAM_SO_MOI'!$C$12*I2065</f>
        <v>1130.112</v>
      </c>
      <c r="O2065" s="75">
        <f>M2065+N2065</f>
        <v>1337.7042129472538</v>
      </c>
      <c r="P2065" s="75">
        <f>(MIN(L2065,'THAM_SO_MOI'!$C$41)-O2065)/('THAM_SO_MOI'!$C$11*H2065)</f>
        <v>0.7837959759088958</v>
      </c>
      <c r="Q2065" s="75">
        <f>IF(P2065&gt;0,1/P2065,NA())</f>
        <v>1.2758422226401358</v>
      </c>
      <c r="R2065" s="75">
        <f>F2065-F2064</f>
        <v>0.005028991339516509</v>
      </c>
      <c r="S2065" s="75">
        <f>0.5*(Q2064+Q2065)*R2065</f>
        <v>0.006416157751971426</v>
      </c>
      <c r="T2065" s="75">
        <f>0.5*(F2064*Q2064+F2065*Q2065)*R2065</f>
        <v>0.05403659594460204</v>
      </c>
      <c r="U2065" s="76">
        <f>U2064+S2065</f>
        <v>10.469155911056827</v>
      </c>
      <c r="V2065" s="76">
        <f>V2064+T2065</f>
        <v>52.189503331799166</v>
      </c>
    </row>
    <row r="2066" spans="1:22" ht="19" customHeight="1">
      <c r="A2066" s="68" t="s">
        <v>374</v>
      </c>
      <c r="B2066" s="74">
        <v>3</v>
      </c>
      <c r="C2066" s="68" t="s">
        <v>363</v>
      </c>
      <c r="D2066" s="68" t="s">
        <v>364</v>
      </c>
      <c r="E2066" s="75">
        <f>60*F2066*'THAM_SO_MOI'!$C$51/(2*PI()*'THAM_SO_MOI'!$C$26)</f>
        <v>2117.437941565039</v>
      </c>
      <c r="F2066" s="75">
        <f>'HANH_TRINH'!$F$1647+('THAM_SO_MOI'!$F$51-'HANH_TRINH'!$F$1647)*418/'THAM_SO_MOI'!$C$42</f>
        <v>8.429499107263954</v>
      </c>
      <c r="G2066" s="75">
        <f>3.6*F2066</f>
        <v>30.346196786150234</v>
      </c>
      <c r="H2066" s="75">
        <f>'THAM_SO_MOI'!$D$51</f>
        <v>1.375</v>
      </c>
      <c r="I2066" s="75">
        <f>IF(F2066&gt;'THAM_SO_MOI'!$C$14,'THAM_SO_MOI'!$C$13*(1+F2066^2/1500),'THAM_SO_MOI'!$C$13)</f>
        <v>0.015</v>
      </c>
      <c r="J2066" s="75">
        <f>'THAM_SO_MOI'!$C$40*('THAM_SO_MOI'!$C$23*(E2066/'THAM_SO_MOI'!$C$22)+'THAM_SO_MOI'!$C$24*(E2066/'THAM_SO_MOI'!$C$22)^2-'THAM_SO_MOI'!$C$25*(E2066/'THAM_SO_MOI'!$C$22)^3)</f>
        <v>95.33180915363779</v>
      </c>
      <c r="K2066" s="75">
        <f>'THAM_SO_MOI'!$C$31*J2066/E2066</f>
        <v>430.01188830371655</v>
      </c>
      <c r="L2066" s="75">
        <f>K2066*'THAM_SO_MOI'!$C$51*'THAM_SO_MOI'!$C$17/'THAM_SO_MOI'!$C$26</f>
        <v>9614.72634668583</v>
      </c>
      <c r="M2066" s="75">
        <f>'THAM_SO_MOI'!$C$15*'THAM_SO_MOI'!$C$16*F2066^2</f>
        <v>207.84013145813913</v>
      </c>
      <c r="N2066" s="75">
        <f>'THAM_SO_MOI'!$C$12*I2066</f>
        <v>1130.112</v>
      </c>
      <c r="O2066" s="75">
        <f>M2066+N2066</f>
        <v>1337.9521314581393</v>
      </c>
      <c r="P2066" s="75">
        <f>(MIN(L2066,'THAM_SO_MOI'!$C$41)-O2066)/('THAM_SO_MOI'!$C$11*H2066)</f>
        <v>0.7837854370480768</v>
      </c>
      <c r="Q2066" s="75">
        <f>IF(P2066&gt;0,1/P2066,NA())</f>
        <v>1.275859377747868</v>
      </c>
      <c r="R2066" s="75">
        <f>F2066-F2065</f>
        <v>0.005028991339518285</v>
      </c>
      <c r="S2066" s="75">
        <f>0.5*(Q2065+Q2066)*R2066</f>
        <v>0.00641624262469311</v>
      </c>
      <c r="T2066" s="75">
        <f>0.5*(F2065*Q2065+F2066*Q2066)*R2066</f>
        <v>0.054069577971009974</v>
      </c>
      <c r="U2066" s="76">
        <f>U2065+S2066</f>
        <v>10.47557215368152</v>
      </c>
      <c r="V2066" s="76">
        <f>V2065+T2066</f>
        <v>52.24357290977018</v>
      </c>
    </row>
    <row r="2067" spans="1:22" ht="19" customHeight="1">
      <c r="A2067" s="68" t="s">
        <v>374</v>
      </c>
      <c r="B2067" s="74">
        <v>3</v>
      </c>
      <c r="C2067" s="68" t="s">
        <v>363</v>
      </c>
      <c r="D2067" s="68" t="s">
        <v>364</v>
      </c>
      <c r="E2067" s="75">
        <f>60*F2067*'THAM_SO_MOI'!$C$51/(2*PI()*'THAM_SO_MOI'!$C$26)</f>
        <v>2118.701193026911</v>
      </c>
      <c r="F2067" s="75">
        <f>'HANH_TRINH'!$F$1647+('THAM_SO_MOI'!$F$51-'HANH_TRINH'!$F$1647)*419/'THAM_SO_MOI'!$C$42</f>
        <v>8.434528098603472</v>
      </c>
      <c r="G2067" s="75">
        <f>3.6*F2067</f>
        <v>30.3643011549725</v>
      </c>
      <c r="H2067" s="75">
        <f>'THAM_SO_MOI'!$D$51</f>
        <v>1.375</v>
      </c>
      <c r="I2067" s="75">
        <f>IF(F2067&gt;'THAM_SO_MOI'!$C$14,'THAM_SO_MOI'!$C$13*(1+F2067^2/1500),'THAM_SO_MOI'!$C$13)</f>
        <v>0.015</v>
      </c>
      <c r="J2067" s="75">
        <f>'THAM_SO_MOI'!$C$40*('THAM_SO_MOI'!$C$23*(E2067/'THAM_SO_MOI'!$C$22)+'THAM_SO_MOI'!$C$24*(E2067/'THAM_SO_MOI'!$C$22)^2-'THAM_SO_MOI'!$C$25*(E2067/'THAM_SO_MOI'!$C$22)^3)</f>
        <v>95.3900047291273</v>
      </c>
      <c r="K2067" s="75">
        <f>'THAM_SO_MOI'!$C$31*J2067/E2067</f>
        <v>430.0178440845912</v>
      </c>
      <c r="L2067" s="75">
        <f>K2067*'THAM_SO_MOI'!$C$51*'THAM_SO_MOI'!$C$17/'THAM_SO_MOI'!$C$26</f>
        <v>9614.859513244355</v>
      </c>
      <c r="M2067" s="75">
        <f>'THAM_SO_MOI'!$C$15*'THAM_SO_MOI'!$C$16*F2067^2</f>
        <v>208.0881979199347</v>
      </c>
      <c r="N2067" s="75">
        <f>'THAM_SO_MOI'!$C$12*I2067</f>
        <v>1130.112</v>
      </c>
      <c r="O2067" s="75">
        <f>M2067+N2067</f>
        <v>1338.2001979199347</v>
      </c>
      <c r="P2067" s="75">
        <f>(MIN(L2067,'THAM_SO_MOI'!$C$41)-O2067)/('THAM_SO_MOI'!$C$11*H2067)</f>
        <v>0.7837745563754187</v>
      </c>
      <c r="Q2067" s="75">
        <f>IF(P2067&gt;0,1/P2067,NA())</f>
        <v>1.2758770897393252</v>
      </c>
      <c r="R2067" s="75">
        <f>F2067-F2066</f>
        <v>0.005028991339518285</v>
      </c>
      <c r="S2067" s="75">
        <f>0.5*(Q2066+Q2067)*R2067</f>
        <v>0.006416330297863038</v>
      </c>
      <c r="T2067" s="75">
        <f>0.5*(F2066*Q2066+F2067*Q2067)*R2067</f>
        <v>0.054102584464484266</v>
      </c>
      <c r="U2067" s="76">
        <f>U2066+S2067</f>
        <v>10.481988483979384</v>
      </c>
      <c r="V2067" s="76">
        <f>V2066+T2067</f>
        <v>52.29767549423467</v>
      </c>
    </row>
    <row r="2068" spans="1:22" ht="19" customHeight="1">
      <c r="A2068" s="68" t="s">
        <v>374</v>
      </c>
      <c r="B2068" s="74">
        <v>3</v>
      </c>
      <c r="C2068" s="68" t="s">
        <v>363</v>
      </c>
      <c r="D2068" s="68" t="s">
        <v>364</v>
      </c>
      <c r="E2068" s="75">
        <f>60*F2068*'THAM_SO_MOI'!$C$51/(2*PI()*'THAM_SO_MOI'!$C$26)</f>
        <v>2119.964444488782</v>
      </c>
      <c r="F2068" s="75">
        <f>'HANH_TRINH'!$F$1647+('THAM_SO_MOI'!$F$51-'HANH_TRINH'!$F$1647)*420/'THAM_SO_MOI'!$C$42</f>
        <v>8.439557089942989</v>
      </c>
      <c r="G2068" s="75">
        <f>3.6*F2068</f>
        <v>30.38240552379476</v>
      </c>
      <c r="H2068" s="75">
        <f>'THAM_SO_MOI'!$D$51</f>
        <v>1.375</v>
      </c>
      <c r="I2068" s="75">
        <f>IF(F2068&gt;'THAM_SO_MOI'!$C$14,'THAM_SO_MOI'!$C$13*(1+F2068^2/1500),'THAM_SO_MOI'!$C$13)</f>
        <v>0.015</v>
      </c>
      <c r="J2068" s="75">
        <f>'THAM_SO_MOI'!$C$40*('THAM_SO_MOI'!$C$23*(E2068/'THAM_SO_MOI'!$C$22)+'THAM_SO_MOI'!$C$24*(E2068/'THAM_SO_MOI'!$C$22)^2-'THAM_SO_MOI'!$C$25*(E2068/'THAM_SO_MOI'!$C$22)^3)</f>
        <v>95.4481675168822</v>
      </c>
      <c r="K2068" s="75">
        <f>'THAM_SO_MOI'!$C$31*J2068/E2068</f>
        <v>430.0236450486352</v>
      </c>
      <c r="L2068" s="75">
        <f>K2068*'THAM_SO_MOI'!$C$51*'THAM_SO_MOI'!$C$17/'THAM_SO_MOI'!$C$26</f>
        <v>9614.98921822077</v>
      </c>
      <c r="M2068" s="75">
        <f>'THAM_SO_MOI'!$C$15*'THAM_SO_MOI'!$C$16*F2068^2</f>
        <v>208.3364123326404</v>
      </c>
      <c r="N2068" s="75">
        <f>'THAM_SO_MOI'!$C$12*I2068</f>
        <v>1130.112</v>
      </c>
      <c r="O2068" s="75">
        <f>M2068+N2068</f>
        <v>1338.4484123326406</v>
      </c>
      <c r="P2068" s="75">
        <f>(MIN(L2068,'THAM_SO_MOI'!$C$41)-O2068)/('THAM_SO_MOI'!$C$11*H2068)</f>
        <v>0.7837633338909213</v>
      </c>
      <c r="Q2068" s="75">
        <f>IF(P2068&gt;0,1/P2068,NA())</f>
        <v>1.2758953586608748</v>
      </c>
      <c r="R2068" s="75">
        <f>F2068-F2067</f>
        <v>0.005028991339516509</v>
      </c>
      <c r="S2068" s="75">
        <f>0.5*(Q2067+Q2068)*R2068</f>
        <v>0.006416420771710722</v>
      </c>
      <c r="T2068" s="75">
        <f>0.5*(F2067*Q2067+F2068*Q2068)*R2068</f>
        <v>0.05413561546921157</v>
      </c>
      <c r="U2068" s="76">
        <f>U2067+S2068</f>
        <v>10.488404904751095</v>
      </c>
      <c r="V2068" s="76">
        <f>V2067+T2068</f>
        <v>52.35181110970388</v>
      </c>
    </row>
    <row r="2069" spans="1:22" ht="19" customHeight="1">
      <c r="A2069" s="68" t="s">
        <v>374</v>
      </c>
      <c r="B2069" s="74">
        <v>3</v>
      </c>
      <c r="C2069" s="68" t="s">
        <v>363</v>
      </c>
      <c r="D2069" s="68" t="s">
        <v>364</v>
      </c>
      <c r="E2069" s="75">
        <f>60*F2069*'THAM_SO_MOI'!$C$51/(2*PI()*'THAM_SO_MOI'!$C$26)</f>
        <v>2121.2276959506544</v>
      </c>
      <c r="F2069" s="75">
        <f>'HANH_TRINH'!$F$1647+('THAM_SO_MOI'!$F$51-'HANH_TRINH'!$F$1647)*421/'THAM_SO_MOI'!$C$42</f>
        <v>8.444586081282507</v>
      </c>
      <c r="G2069" s="75">
        <f>3.6*F2069</f>
        <v>30.400509892617027</v>
      </c>
      <c r="H2069" s="75">
        <f>'THAM_SO_MOI'!$D$51</f>
        <v>1.375</v>
      </c>
      <c r="I2069" s="75">
        <f>IF(F2069&gt;'THAM_SO_MOI'!$C$14,'THAM_SO_MOI'!$C$13*(1+F2069^2/1500),'THAM_SO_MOI'!$C$13)</f>
        <v>0.015</v>
      </c>
      <c r="J2069" s="75">
        <f>'THAM_SO_MOI'!$C$40*('THAM_SO_MOI'!$C$23*(E2069/'THAM_SO_MOI'!$C$22)+'THAM_SO_MOI'!$C$24*(E2069/'THAM_SO_MOI'!$C$22)^2-'THAM_SO_MOI'!$C$25*(E2069/'THAM_SO_MOI'!$C$22)^3)</f>
        <v>95.50629745547324</v>
      </c>
      <c r="K2069" s="75">
        <f>'THAM_SO_MOI'!$C$31*J2069/E2069</f>
        <v>430.0292911958488</v>
      </c>
      <c r="L2069" s="75">
        <f>K2069*'THAM_SO_MOI'!$C$51*'THAM_SO_MOI'!$C$17/'THAM_SO_MOI'!$C$26</f>
        <v>9615.115461615076</v>
      </c>
      <c r="M2069" s="75">
        <f>'THAM_SO_MOI'!$C$15*'THAM_SO_MOI'!$C$16*F2069^2</f>
        <v>208.58477469625652</v>
      </c>
      <c r="N2069" s="75">
        <f>'THAM_SO_MOI'!$C$12*I2069</f>
        <v>1130.112</v>
      </c>
      <c r="O2069" s="75">
        <f>M2069+N2069</f>
        <v>1338.6967746962566</v>
      </c>
      <c r="P2069" s="75">
        <f>(MIN(L2069,'THAM_SO_MOI'!$C$41)-O2069)/('THAM_SO_MOI'!$C$11*H2069)</f>
        <v>0.7837517695945853</v>
      </c>
      <c r="Q2069" s="75">
        <f>IF(P2069&gt;0,1/P2069,NA())</f>
        <v>1.2759141845603417</v>
      </c>
      <c r="R2069" s="75">
        <f>F2069-F2068</f>
        <v>0.005028991339518285</v>
      </c>
      <c r="S2069" s="75">
        <f>0.5*(Q2068+Q2069)*R2069</f>
        <v>0.006416514046479804</v>
      </c>
      <c r="T2069" s="75">
        <f>0.5*(F2068*Q2068+F2069*Q2069)*R2069</f>
        <v>0.05416867102950252</v>
      </c>
      <c r="U2069" s="76">
        <f>U2068+S2069</f>
        <v>10.494821418797574</v>
      </c>
      <c r="V2069" s="76">
        <f>V2068+T2069</f>
        <v>52.40597978073338</v>
      </c>
    </row>
    <row r="2070" spans="1:22" ht="19" customHeight="1">
      <c r="A2070" s="68" t="s">
        <v>374</v>
      </c>
      <c r="B2070" s="74">
        <v>3</v>
      </c>
      <c r="C2070" s="68" t="s">
        <v>363</v>
      </c>
      <c r="D2070" s="68" t="s">
        <v>364</v>
      </c>
      <c r="E2070" s="75">
        <f>60*F2070*'THAM_SO_MOI'!$C$51/(2*PI()*'THAM_SO_MOI'!$C$26)</f>
        <v>2122.4909474125257</v>
      </c>
      <c r="F2070" s="75">
        <f>'HANH_TRINH'!$F$1647+('THAM_SO_MOI'!$F$51-'HANH_TRINH'!$F$1647)*422/'THAM_SO_MOI'!$C$42</f>
        <v>8.449615072622024</v>
      </c>
      <c r="G2070" s="75">
        <f>3.6*F2070</f>
        <v>30.418614261439284</v>
      </c>
      <c r="H2070" s="75">
        <f>'THAM_SO_MOI'!$D$51</f>
        <v>1.375</v>
      </c>
      <c r="I2070" s="75">
        <f>IF(F2070&gt;'THAM_SO_MOI'!$C$14,'THAM_SO_MOI'!$C$13*(1+F2070^2/1500),'THAM_SO_MOI'!$C$13)</f>
        <v>0.015</v>
      </c>
      <c r="J2070" s="75">
        <f>'THAM_SO_MOI'!$C$40*('THAM_SO_MOI'!$C$23*(E2070/'THAM_SO_MOI'!$C$22)+'THAM_SO_MOI'!$C$24*(E2070/'THAM_SO_MOI'!$C$22)^2-'THAM_SO_MOI'!$C$25*(E2070/'THAM_SO_MOI'!$C$22)^3)</f>
        <v>95.56439448347099</v>
      </c>
      <c r="K2070" s="75">
        <f>'THAM_SO_MOI'!$C$31*J2070/E2070</f>
        <v>430.0347825262319</v>
      </c>
      <c r="L2070" s="75">
        <f>K2070*'THAM_SO_MOI'!$C$51*'THAM_SO_MOI'!$C$17/'THAM_SO_MOI'!$C$26</f>
        <v>9615.238243427275</v>
      </c>
      <c r="M2070" s="75">
        <f>'THAM_SO_MOI'!$C$15*'THAM_SO_MOI'!$C$16*F2070^2</f>
        <v>208.8332850107828</v>
      </c>
      <c r="N2070" s="75">
        <f>'THAM_SO_MOI'!$C$12*I2070</f>
        <v>1130.112</v>
      </c>
      <c r="O2070" s="75">
        <f>M2070+N2070</f>
        <v>1338.9452850107828</v>
      </c>
      <c r="P2070" s="75">
        <f>(MIN(L2070,'THAM_SO_MOI'!$C$41)-O2070)/('THAM_SO_MOI'!$C$11*H2070)</f>
        <v>0.7837398634864102</v>
      </c>
      <c r="Q2070" s="75">
        <f>IF(P2070&gt;0,1/P2070,NA())</f>
        <v>1.2759335674870131</v>
      </c>
      <c r="R2070" s="75">
        <f>F2070-F2069</f>
        <v>0.005028991339516509</v>
      </c>
      <c r="S2070" s="75">
        <f>0.5*(Q2069+Q2070)*R2070</f>
        <v>0.006416610122405408</v>
      </c>
      <c r="T2070" s="75">
        <f>0.5*(F2069*Q2069+F2070*Q2070)*R2070</f>
        <v>0.05420175118960068</v>
      </c>
      <c r="U2070" s="76">
        <f>U2069+S2070</f>
        <v>10.50123802891998</v>
      </c>
      <c r="V2070" s="76">
        <f>V2069+T2070</f>
        <v>52.460181531922984</v>
      </c>
    </row>
    <row r="2071" spans="1:22" ht="19" customHeight="1">
      <c r="A2071" s="68" t="s">
        <v>374</v>
      </c>
      <c r="B2071" s="74">
        <v>3</v>
      </c>
      <c r="C2071" s="68" t="s">
        <v>363</v>
      </c>
      <c r="D2071" s="68" t="s">
        <v>364</v>
      </c>
      <c r="E2071" s="75">
        <f>60*F2071*'THAM_SO_MOI'!$C$51/(2*PI()*'THAM_SO_MOI'!$C$26)</f>
        <v>2123.7541988743974</v>
      </c>
      <c r="F2071" s="75">
        <f>'HANH_TRINH'!$F$1647+('THAM_SO_MOI'!$F$51-'HANH_TRINH'!$F$1647)*423/'THAM_SO_MOI'!$C$42</f>
        <v>8.454644063961542</v>
      </c>
      <c r="G2071" s="75">
        <f>3.6*F2071</f>
        <v>30.436718630261552</v>
      </c>
      <c r="H2071" s="75">
        <f>'THAM_SO_MOI'!$D$51</f>
        <v>1.375</v>
      </c>
      <c r="I2071" s="75">
        <f>IF(F2071&gt;'THAM_SO_MOI'!$C$14,'THAM_SO_MOI'!$C$13*(1+F2071^2/1500),'THAM_SO_MOI'!$C$13)</f>
        <v>0.015</v>
      </c>
      <c r="J2071" s="75">
        <f>'THAM_SO_MOI'!$C$40*('THAM_SO_MOI'!$C$23*(E2071/'THAM_SO_MOI'!$C$22)+'THAM_SO_MOI'!$C$24*(E2071/'THAM_SO_MOI'!$C$22)^2-'THAM_SO_MOI'!$C$25*(E2071/'THAM_SO_MOI'!$C$22)^3)</f>
        <v>95.62245853944616</v>
      </c>
      <c r="K2071" s="75">
        <f>'THAM_SO_MOI'!$C$31*J2071/E2071</f>
        <v>430.04011903978443</v>
      </c>
      <c r="L2071" s="75">
        <f>K2071*'THAM_SO_MOI'!$C$51*'THAM_SO_MOI'!$C$17/'THAM_SO_MOI'!$C$26</f>
        <v>9615.357563657362</v>
      </c>
      <c r="M2071" s="75">
        <f>'THAM_SO_MOI'!$C$15*'THAM_SO_MOI'!$C$16*F2071^2</f>
        <v>209.08194327621942</v>
      </c>
      <c r="N2071" s="75">
        <f>'THAM_SO_MOI'!$C$12*I2071</f>
        <v>1130.112</v>
      </c>
      <c r="O2071" s="75">
        <f>M2071+N2071</f>
        <v>1339.1939432762194</v>
      </c>
      <c r="P2071" s="75">
        <f>(MIN(L2071,'THAM_SO_MOI'!$C$41)-O2071)/('THAM_SO_MOI'!$C$11*H2071)</f>
        <v>0.7837276155663961</v>
      </c>
      <c r="Q2071" s="75">
        <f>IF(P2071&gt;0,1/P2071,NA())</f>
        <v>1.2759535074916364</v>
      </c>
      <c r="R2071" s="75">
        <f>F2071-F2070</f>
        <v>0.005028991339518285</v>
      </c>
      <c r="S2071" s="75">
        <f>0.5*(Q2070+Q2071)*R2071</f>
        <v>0.0064167089997481394</v>
      </c>
      <c r="T2071" s="75">
        <f>0.5*(F2070*Q2070+F2071*Q2071)*R2071</f>
        <v>0.05423485599396967</v>
      </c>
      <c r="U2071" s="76">
        <f>U2070+S2071</f>
        <v>10.507654737919728</v>
      </c>
      <c r="V2071" s="76">
        <f>V2070+T2071</f>
        <v>52.51441638791695</v>
      </c>
    </row>
    <row r="2072" spans="1:22" ht="19" customHeight="1">
      <c r="A2072" s="68" t="s">
        <v>374</v>
      </c>
      <c r="B2072" s="74">
        <v>3</v>
      </c>
      <c r="C2072" s="68" t="s">
        <v>363</v>
      </c>
      <c r="D2072" s="68" t="s">
        <v>364</v>
      </c>
      <c r="E2072" s="75">
        <f>60*F2072*'THAM_SO_MOI'!$C$51/(2*PI()*'THAM_SO_MOI'!$C$26)</f>
        <v>2125.0174503362687</v>
      </c>
      <c r="F2072" s="75">
        <f>'HANH_TRINH'!$F$1647+('THAM_SO_MOI'!$F$51-'HANH_TRINH'!$F$1647)*424/'THAM_SO_MOI'!$C$42</f>
        <v>8.45967305530106</v>
      </c>
      <c r="G2072" s="75">
        <f>3.6*F2072</f>
        <v>30.454822999083817</v>
      </c>
      <c r="H2072" s="75">
        <f>'THAM_SO_MOI'!$D$51</f>
        <v>1.375</v>
      </c>
      <c r="I2072" s="75">
        <f>IF(F2072&gt;'THAM_SO_MOI'!$C$14,'THAM_SO_MOI'!$C$13*(1+F2072^2/1500),'THAM_SO_MOI'!$C$13)</f>
        <v>0.015</v>
      </c>
      <c r="J2072" s="75">
        <f>'THAM_SO_MOI'!$C$40*('THAM_SO_MOI'!$C$23*(E2072/'THAM_SO_MOI'!$C$22)+'THAM_SO_MOI'!$C$24*(E2072/'THAM_SO_MOI'!$C$22)^2-'THAM_SO_MOI'!$C$25*(E2072/'THAM_SO_MOI'!$C$22)^3)</f>
        <v>95.68048956196932</v>
      </c>
      <c r="K2072" s="75">
        <f>'THAM_SO_MOI'!$C$31*J2072/E2072</f>
        <v>430.04530073650636</v>
      </c>
      <c r="L2072" s="75">
        <f>K2072*'THAM_SO_MOI'!$C$51*'THAM_SO_MOI'!$C$17/'THAM_SO_MOI'!$C$26</f>
        <v>9615.47342230534</v>
      </c>
      <c r="M2072" s="75">
        <f>'THAM_SO_MOI'!$C$15*'THAM_SO_MOI'!$C$16*F2072^2</f>
        <v>209.33074949256633</v>
      </c>
      <c r="N2072" s="75">
        <f>'THAM_SO_MOI'!$C$12*I2072</f>
        <v>1130.112</v>
      </c>
      <c r="O2072" s="75">
        <f>M2072+N2072</f>
        <v>1339.4427494925665</v>
      </c>
      <c r="P2072" s="75">
        <f>(MIN(L2072,'THAM_SO_MOI'!$C$41)-O2072)/('THAM_SO_MOI'!$C$11*H2072)</f>
        <v>0.7837150258345429</v>
      </c>
      <c r="Q2072" s="75">
        <f>IF(P2072&gt;0,1/P2072,NA())</f>
        <v>1.27597400462642</v>
      </c>
      <c r="R2072" s="75">
        <f>F2072-F2071</f>
        <v>0.005028991339518285</v>
      </c>
      <c r="S2072" s="75">
        <f>0.5*(Q2071+Q2072)*R2072</f>
        <v>0.006416810678760074</v>
      </c>
      <c r="T2072" s="75">
        <f>0.5*(F2071*Q2071+F2072*Q2072)*R2072</f>
        <v>0.0542679854870063</v>
      </c>
      <c r="U2072" s="76">
        <f>U2071+S2072</f>
        <v>10.514071548598487</v>
      </c>
      <c r="V2072" s="76">
        <f>V2071+T2072</f>
        <v>52.56868437340396</v>
      </c>
    </row>
    <row r="2073" spans="1:22" ht="19" customHeight="1">
      <c r="A2073" s="68" t="s">
        <v>374</v>
      </c>
      <c r="B2073" s="74">
        <v>3</v>
      </c>
      <c r="C2073" s="68" t="s">
        <v>363</v>
      </c>
      <c r="D2073" s="68" t="s">
        <v>364</v>
      </c>
      <c r="E2073" s="75">
        <f>60*F2073*'THAM_SO_MOI'!$C$51/(2*PI()*'THAM_SO_MOI'!$C$26)</f>
        <v>2126.280701798141</v>
      </c>
      <c r="F2073" s="75">
        <f>'HANH_TRINH'!$F$1647+('THAM_SO_MOI'!$F$51-'HANH_TRINH'!$F$1647)*425/'THAM_SO_MOI'!$C$42</f>
        <v>8.464702046640578</v>
      </c>
      <c r="G2073" s="75">
        <f>3.6*F2073</f>
        <v>30.472927367906085</v>
      </c>
      <c r="H2073" s="75">
        <f>'THAM_SO_MOI'!$D$51</f>
        <v>1.375</v>
      </c>
      <c r="I2073" s="75">
        <f>IF(F2073&gt;'THAM_SO_MOI'!$C$14,'THAM_SO_MOI'!$C$13*(1+F2073^2/1500),'THAM_SO_MOI'!$C$13)</f>
        <v>0.015</v>
      </c>
      <c r="J2073" s="75">
        <f>'THAM_SO_MOI'!$C$40*('THAM_SO_MOI'!$C$23*(E2073/'THAM_SO_MOI'!$C$22)+'THAM_SO_MOI'!$C$24*(E2073/'THAM_SO_MOI'!$C$22)^2-'THAM_SO_MOI'!$C$25*(E2073/'THAM_SO_MOI'!$C$22)^3)</f>
        <v>95.73848748961126</v>
      </c>
      <c r="K2073" s="75">
        <f>'THAM_SO_MOI'!$C$31*J2073/E2073</f>
        <v>430.05032761639796</v>
      </c>
      <c r="L2073" s="75">
        <f>K2073*'THAM_SO_MOI'!$C$51*'THAM_SO_MOI'!$C$17/'THAM_SO_MOI'!$C$26</f>
        <v>9615.585819371212</v>
      </c>
      <c r="M2073" s="75">
        <f>'THAM_SO_MOI'!$C$15*'THAM_SO_MOI'!$C$16*F2073^2</f>
        <v>209.57970365982354</v>
      </c>
      <c r="N2073" s="75">
        <f>'THAM_SO_MOI'!$C$12*I2073</f>
        <v>1130.112</v>
      </c>
      <c r="O2073" s="75">
        <f>M2073+N2073</f>
        <v>1339.6917036598236</v>
      </c>
      <c r="P2073" s="75">
        <f>(MIN(L2073,'THAM_SO_MOI'!$C$41)-O2073)/('THAM_SO_MOI'!$C$11*H2073)</f>
        <v>0.7837020942908511</v>
      </c>
      <c r="Q2073" s="75">
        <f>IF(P2073&gt;0,1/P2073,NA())</f>
        <v>1.2759950589450324</v>
      </c>
      <c r="R2073" s="75">
        <f>F2073-F2072</f>
        <v>0.005028991339518285</v>
      </c>
      <c r="S2073" s="75">
        <f>0.5*(Q2072+Q2073)*R2073</f>
        <v>0.006416915159709712</v>
      </c>
      <c r="T2073" s="75">
        <f>0.5*(F2072*Q2072+F2073*Q2073)*R2073</f>
        <v>0.054301139713251345</v>
      </c>
      <c r="U2073" s="76">
        <f>U2072+S2073</f>
        <v>10.520488463758197</v>
      </c>
      <c r="V2073" s="76">
        <f>V2072+T2073</f>
        <v>52.622985513117214</v>
      </c>
    </row>
    <row r="2074" spans="1:22" ht="19" customHeight="1">
      <c r="A2074" s="68" t="s">
        <v>374</v>
      </c>
      <c r="B2074" s="74">
        <v>3</v>
      </c>
      <c r="C2074" s="68" t="s">
        <v>363</v>
      </c>
      <c r="D2074" s="68" t="s">
        <v>364</v>
      </c>
      <c r="E2074" s="75">
        <f>60*F2074*'THAM_SO_MOI'!$C$51/(2*PI()*'THAM_SO_MOI'!$C$26)</f>
        <v>2127.543953260012</v>
      </c>
      <c r="F2074" s="75">
        <f>'HANH_TRINH'!$F$1647+('THAM_SO_MOI'!$F$51-'HANH_TRINH'!$F$1647)*426/'THAM_SO_MOI'!$C$42</f>
        <v>8.469731037980095</v>
      </c>
      <c r="G2074" s="75">
        <f>3.6*F2074</f>
        <v>30.491031736728342</v>
      </c>
      <c r="H2074" s="75">
        <f>'THAM_SO_MOI'!$D$51</f>
        <v>1.375</v>
      </c>
      <c r="I2074" s="75">
        <f>IF(F2074&gt;'THAM_SO_MOI'!$C$14,'THAM_SO_MOI'!$C$13*(1+F2074^2/1500),'THAM_SO_MOI'!$C$13)</f>
        <v>0.015</v>
      </c>
      <c r="J2074" s="75">
        <f>'THAM_SO_MOI'!$C$40*('THAM_SO_MOI'!$C$23*(E2074/'THAM_SO_MOI'!$C$22)+'THAM_SO_MOI'!$C$24*(E2074/'THAM_SO_MOI'!$C$22)^2-'THAM_SO_MOI'!$C$25*(E2074/'THAM_SO_MOI'!$C$22)^3)</f>
        <v>95.79645226094249</v>
      </c>
      <c r="K2074" s="75">
        <f>'THAM_SO_MOI'!$C$31*J2074/E2074</f>
        <v>430.055199679459</v>
      </c>
      <c r="L2074" s="75">
        <f>K2074*'THAM_SO_MOI'!$C$51*'THAM_SO_MOI'!$C$17/'THAM_SO_MOI'!$C$26</f>
        <v>9615.694754854974</v>
      </c>
      <c r="M2074" s="75">
        <f>'THAM_SO_MOI'!$C$15*'THAM_SO_MOI'!$C$16*F2074^2</f>
        <v>209.8288057779909</v>
      </c>
      <c r="N2074" s="75">
        <f>'THAM_SO_MOI'!$C$12*I2074</f>
        <v>1130.112</v>
      </c>
      <c r="O2074" s="75">
        <f>M2074+N2074</f>
        <v>1339.940805777991</v>
      </c>
      <c r="P2074" s="75">
        <f>(MIN(L2074,'THAM_SO_MOI'!$C$41)-O2074)/('THAM_SO_MOI'!$C$11*H2074)</f>
        <v>0.7836888209353206</v>
      </c>
      <c r="Q2074" s="75">
        <f>IF(P2074&gt;0,1/P2074,NA())</f>
        <v>1.276016670502605</v>
      </c>
      <c r="R2074" s="75">
        <f>F2074-F2073</f>
        <v>0.005028991339516509</v>
      </c>
      <c r="S2074" s="75">
        <f>0.5*(Q2073+Q2074)*R2074</f>
        <v>0.006417022442868359</v>
      </c>
      <c r="T2074" s="75">
        <f>0.5*(F2073*Q2073+F2074*Q2074)*R2074</f>
        <v>0.054334318717274795</v>
      </c>
      <c r="U2074" s="76">
        <f>U2073+S2074</f>
        <v>10.526905486201064</v>
      </c>
      <c r="V2074" s="76">
        <f>V2073+T2074</f>
        <v>52.67731983183449</v>
      </c>
    </row>
    <row r="2075" spans="1:22" ht="19" customHeight="1">
      <c r="A2075" s="68" t="s">
        <v>374</v>
      </c>
      <c r="B2075" s="74">
        <v>3</v>
      </c>
      <c r="C2075" s="68" t="s">
        <v>363</v>
      </c>
      <c r="D2075" s="68" t="s">
        <v>364</v>
      </c>
      <c r="E2075" s="75">
        <f>60*F2075*'THAM_SO_MOI'!$C$51/(2*PI()*'THAM_SO_MOI'!$C$26)</f>
        <v>2128.807204721884</v>
      </c>
      <c r="F2075" s="75">
        <f>'HANH_TRINH'!$F$1647+('THAM_SO_MOI'!$F$51-'HANH_TRINH'!$F$1647)*427/'THAM_SO_MOI'!$C$42</f>
        <v>8.474760029319613</v>
      </c>
      <c r="G2075" s="75">
        <f>3.6*F2075</f>
        <v>30.50913610555061</v>
      </c>
      <c r="H2075" s="75">
        <f>'THAM_SO_MOI'!$D$51</f>
        <v>1.375</v>
      </c>
      <c r="I2075" s="75">
        <f>IF(F2075&gt;'THAM_SO_MOI'!$C$14,'THAM_SO_MOI'!$C$13*(1+F2075^2/1500),'THAM_SO_MOI'!$C$13)</f>
        <v>0.015</v>
      </c>
      <c r="J2075" s="75">
        <f>'THAM_SO_MOI'!$C$40*('THAM_SO_MOI'!$C$23*(E2075/'THAM_SO_MOI'!$C$22)+'THAM_SO_MOI'!$C$24*(E2075/'THAM_SO_MOI'!$C$22)^2-'THAM_SO_MOI'!$C$25*(E2075/'THAM_SO_MOI'!$C$22)^3)</f>
        <v>95.85438381453373</v>
      </c>
      <c r="K2075" s="75">
        <f>'THAM_SO_MOI'!$C$31*J2075/E2075</f>
        <v>430.05991692568955</v>
      </c>
      <c r="L2075" s="75">
        <f>K2075*'THAM_SO_MOI'!$C$51*'THAM_SO_MOI'!$C$17/'THAM_SO_MOI'!$C$26</f>
        <v>9615.800228756627</v>
      </c>
      <c r="M2075" s="75">
        <f>'THAM_SO_MOI'!$C$15*'THAM_SO_MOI'!$C$16*F2075^2</f>
        <v>210.07805584706864</v>
      </c>
      <c r="N2075" s="75">
        <f>'THAM_SO_MOI'!$C$12*I2075</f>
        <v>1130.112</v>
      </c>
      <c r="O2075" s="75">
        <f>M2075+N2075</f>
        <v>1340.1900558470688</v>
      </c>
      <c r="P2075" s="75">
        <f>(MIN(L2075,'THAM_SO_MOI'!$C$41)-O2075)/('THAM_SO_MOI'!$C$11*H2075)</f>
        <v>0.7836752057679505</v>
      </c>
      <c r="Q2075" s="75">
        <f>IF(P2075&gt;0,1/P2075,NA())</f>
        <v>1.276038839355732</v>
      </c>
      <c r="R2075" s="75">
        <f>F2075-F2074</f>
        <v>0.005028991339518285</v>
      </c>
      <c r="S2075" s="75">
        <f>0.5*(Q2074+Q2075)*R2075</f>
        <v>0.006417132528523749</v>
      </c>
      <c r="T2075" s="75">
        <f>0.5*(F2074*Q2074+F2075*Q2075)*R2075</f>
        <v>0.054367522543791284</v>
      </c>
      <c r="U2075" s="76">
        <f>U2074+S2075</f>
        <v>10.533322618729589</v>
      </c>
      <c r="V2075" s="76">
        <f>V2074+T2075</f>
        <v>52.73168735437828</v>
      </c>
    </row>
    <row r="2076" spans="1:22" ht="19" customHeight="1">
      <c r="A2076" s="68" t="s">
        <v>374</v>
      </c>
      <c r="B2076" s="74">
        <v>3</v>
      </c>
      <c r="C2076" s="68" t="s">
        <v>363</v>
      </c>
      <c r="D2076" s="68" t="s">
        <v>364</v>
      </c>
      <c r="E2076" s="75">
        <f>60*F2076*'THAM_SO_MOI'!$C$51/(2*PI()*'THAM_SO_MOI'!$C$26)</f>
        <v>2130.0704561837556</v>
      </c>
      <c r="F2076" s="75">
        <f>'HANH_TRINH'!$F$1647+('THAM_SO_MOI'!$F$51-'HANH_TRINH'!$F$1647)*428/'THAM_SO_MOI'!$C$42</f>
        <v>8.479789020659132</v>
      </c>
      <c r="G2076" s="75">
        <f>3.6*F2076</f>
        <v>30.527240474372874</v>
      </c>
      <c r="H2076" s="75">
        <f>'THAM_SO_MOI'!$D$51</f>
        <v>1.375</v>
      </c>
      <c r="I2076" s="75">
        <f>IF(F2076&gt;'THAM_SO_MOI'!$C$14,'THAM_SO_MOI'!$C$13*(1+F2076^2/1500),'THAM_SO_MOI'!$C$13)</f>
        <v>0.015</v>
      </c>
      <c r="J2076" s="75">
        <f>'THAM_SO_MOI'!$C$40*('THAM_SO_MOI'!$C$23*(E2076/'THAM_SO_MOI'!$C$22)+'THAM_SO_MOI'!$C$24*(E2076/'THAM_SO_MOI'!$C$22)^2-'THAM_SO_MOI'!$C$25*(E2076/'THAM_SO_MOI'!$C$22)^3)</f>
        <v>95.91228208895562</v>
      </c>
      <c r="K2076" s="75">
        <f>'THAM_SO_MOI'!$C$31*J2076/E2076</f>
        <v>430.0644793550896</v>
      </c>
      <c r="L2076" s="75">
        <f>K2076*'THAM_SO_MOI'!$C$51*'THAM_SO_MOI'!$C$17/'THAM_SO_MOI'!$C$26</f>
        <v>9615.902241076172</v>
      </c>
      <c r="M2076" s="75">
        <f>'THAM_SO_MOI'!$C$15*'THAM_SO_MOI'!$C$16*F2076^2</f>
        <v>210.32745386705665</v>
      </c>
      <c r="N2076" s="75">
        <f>'THAM_SO_MOI'!$C$12*I2076</f>
        <v>1130.112</v>
      </c>
      <c r="O2076" s="75">
        <f>M2076+N2076</f>
        <v>1340.4394538670567</v>
      </c>
      <c r="P2076" s="75">
        <f>(MIN(L2076,'THAM_SO_MOI'!$C$41)-O2076)/('THAM_SO_MOI'!$C$11*H2076)</f>
        <v>0.783661248788742</v>
      </c>
      <c r="Q2076" s="75">
        <f>IF(P2076&gt;0,1/P2076,NA())</f>
        <v>1.276061565562467</v>
      </c>
      <c r="R2076" s="75">
        <f>F2076-F2075</f>
        <v>0.005028991339518285</v>
      </c>
      <c r="S2076" s="75">
        <f>0.5*(Q2075+Q2076)*R2076</f>
        <v>0.006417245416957365</v>
      </c>
      <c r="T2076" s="75">
        <f>0.5*(F2075*Q2075+F2076*Q2076)*R2076</f>
        <v>0.0544007512374682</v>
      </c>
      <c r="U2076" s="76">
        <f>U2075+S2076</f>
        <v>10.539739864146545</v>
      </c>
      <c r="V2076" s="76">
        <f>V2075+T2076</f>
        <v>52.78608810561575</v>
      </c>
    </row>
    <row r="2077" spans="1:22" ht="19" customHeight="1">
      <c r="A2077" s="68" t="s">
        <v>374</v>
      </c>
      <c r="B2077" s="74">
        <v>3</v>
      </c>
      <c r="C2077" s="68" t="s">
        <v>363</v>
      </c>
      <c r="D2077" s="68" t="s">
        <v>364</v>
      </c>
      <c r="E2077" s="75">
        <f>60*F2077*'THAM_SO_MOI'!$C$51/(2*PI()*'THAM_SO_MOI'!$C$26)</f>
        <v>2131.333707645627</v>
      </c>
      <c r="F2077" s="75">
        <f>'HANH_TRINH'!$F$1647+('THAM_SO_MOI'!$F$51-'HANH_TRINH'!$F$1647)*429/'THAM_SO_MOI'!$C$42</f>
        <v>8.484818011998648</v>
      </c>
      <c r="G2077" s="75">
        <f>3.6*F2077</f>
        <v>30.545344843195135</v>
      </c>
      <c r="H2077" s="75">
        <f>'THAM_SO_MOI'!$D$51</f>
        <v>1.375</v>
      </c>
      <c r="I2077" s="75">
        <f>IF(F2077&gt;'THAM_SO_MOI'!$C$14,'THAM_SO_MOI'!$C$13*(1+F2077^2/1500),'THAM_SO_MOI'!$C$13)</f>
        <v>0.015</v>
      </c>
      <c r="J2077" s="75">
        <f>'THAM_SO_MOI'!$C$40*('THAM_SO_MOI'!$C$23*(E2077/'THAM_SO_MOI'!$C$22)+'THAM_SO_MOI'!$C$24*(E2077/'THAM_SO_MOI'!$C$22)^2-'THAM_SO_MOI'!$C$25*(E2077/'THAM_SO_MOI'!$C$22)^3)</f>
        <v>95.97014702277878</v>
      </c>
      <c r="K2077" s="75">
        <f>'THAM_SO_MOI'!$C$31*J2077/E2077</f>
        <v>430.06888696765907</v>
      </c>
      <c r="L2077" s="75">
        <f>K2077*'THAM_SO_MOI'!$C$51*'THAM_SO_MOI'!$C$17/'THAM_SO_MOI'!$C$26</f>
        <v>9616.000791813605</v>
      </c>
      <c r="M2077" s="75">
        <f>'THAM_SO_MOI'!$C$15*'THAM_SO_MOI'!$C$16*F2077^2</f>
        <v>210.57699983795484</v>
      </c>
      <c r="N2077" s="75">
        <f>'THAM_SO_MOI'!$C$12*I2077</f>
        <v>1130.112</v>
      </c>
      <c r="O2077" s="75">
        <f>M2077+N2077</f>
        <v>1340.688999837955</v>
      </c>
      <c r="P2077" s="75">
        <f>(MIN(L2077,'THAM_SO_MOI'!$C$41)-O2077)/('THAM_SO_MOI'!$C$11*H2077)</f>
        <v>0.7836469499976942</v>
      </c>
      <c r="Q2077" s="75">
        <f>IF(P2077&gt;0,1/P2077,NA())</f>
        <v>1.2760848491823293</v>
      </c>
      <c r="R2077" s="75">
        <f>F2077-F2076</f>
        <v>0.005028991339516509</v>
      </c>
      <c r="S2077" s="75">
        <f>0.5*(Q2076+Q2077)*R2077</f>
        <v>0.006417361108464844</v>
      </c>
      <c r="T2077" s="75">
        <f>0.5*(F2076*Q2076+F2077*Q2077)*R2077</f>
        <v>0.05443400484309868</v>
      </c>
      <c r="U2077" s="76">
        <f>U2076+S2077</f>
        <v>10.54615722525501</v>
      </c>
      <c r="V2077" s="76">
        <f>V2076+T2077</f>
        <v>52.84052211045884</v>
      </c>
    </row>
    <row r="2078" spans="1:22" ht="19" customHeight="1">
      <c r="A2078" s="68" t="s">
        <v>374</v>
      </c>
      <c r="B2078" s="74">
        <v>3</v>
      </c>
      <c r="C2078" s="68" t="s">
        <v>363</v>
      </c>
      <c r="D2078" s="68" t="s">
        <v>364</v>
      </c>
      <c r="E2078" s="75">
        <f>60*F2078*'THAM_SO_MOI'!$C$51/(2*PI()*'THAM_SO_MOI'!$C$26)</f>
        <v>2132.5969591074986</v>
      </c>
      <c r="F2078" s="75">
        <f>'HANH_TRINH'!$F$1647+('THAM_SO_MOI'!$F$51-'HANH_TRINH'!$F$1647)*430/'THAM_SO_MOI'!$C$42</f>
        <v>8.489847003338166</v>
      </c>
      <c r="G2078" s="75">
        <f>3.6*F2078</f>
        <v>30.5634492120174</v>
      </c>
      <c r="H2078" s="75">
        <f>'THAM_SO_MOI'!$D$51</f>
        <v>1.375</v>
      </c>
      <c r="I2078" s="75">
        <f>IF(F2078&gt;'THAM_SO_MOI'!$C$14,'THAM_SO_MOI'!$C$13*(1+F2078^2/1500),'THAM_SO_MOI'!$C$13)</f>
        <v>0.015</v>
      </c>
      <c r="J2078" s="75">
        <f>'THAM_SO_MOI'!$C$40*('THAM_SO_MOI'!$C$23*(E2078/'THAM_SO_MOI'!$C$22)+'THAM_SO_MOI'!$C$24*(E2078/'THAM_SO_MOI'!$C$22)^2-'THAM_SO_MOI'!$C$25*(E2078/'THAM_SO_MOI'!$C$22)^3)</f>
        <v>96.0279785545739</v>
      </c>
      <c r="K2078" s="75">
        <f>'THAM_SO_MOI'!$C$31*J2078/E2078</f>
        <v>430.0731397633981</v>
      </c>
      <c r="L2078" s="75">
        <f>K2078*'THAM_SO_MOI'!$C$51*'THAM_SO_MOI'!$C$17/'THAM_SO_MOI'!$C$26</f>
        <v>9616.095880968931</v>
      </c>
      <c r="M2078" s="75">
        <f>'THAM_SO_MOI'!$C$15*'THAM_SO_MOI'!$C$16*F2078^2</f>
        <v>210.82669375976337</v>
      </c>
      <c r="N2078" s="75">
        <f>'THAM_SO_MOI'!$C$12*I2078</f>
        <v>1130.112</v>
      </c>
      <c r="O2078" s="75">
        <f>M2078+N2078</f>
        <v>1340.9386937597635</v>
      </c>
      <c r="P2078" s="75">
        <f>(MIN(L2078,'THAM_SO_MOI'!$C$41)-O2078)/('THAM_SO_MOI'!$C$11*H2078)</f>
        <v>0.7836323093948074</v>
      </c>
      <c r="Q2078" s="75">
        <f>IF(P2078&gt;0,1/P2078,NA())</f>
        <v>1.2761086902763</v>
      </c>
      <c r="R2078" s="75">
        <f>F2078-F2077</f>
        <v>0.005028991339518285</v>
      </c>
      <c r="S2078" s="75">
        <f>0.5*(Q2077+Q2078)*R2078</f>
        <v>0.006417479603355983</v>
      </c>
      <c r="T2078" s="75">
        <f>0.5*(F2077*Q2077+F2078*Q2078)*R2078</f>
        <v>0.054467283405602</v>
      </c>
      <c r="U2078" s="76">
        <f>U2077+S2078</f>
        <v>10.552574704858365</v>
      </c>
      <c r="V2078" s="76">
        <f>V2077+T2078</f>
        <v>52.89498939386444</v>
      </c>
    </row>
    <row r="2079" spans="1:22" ht="19" customHeight="1">
      <c r="A2079" s="68" t="s">
        <v>374</v>
      </c>
      <c r="B2079" s="74">
        <v>3</v>
      </c>
      <c r="C2079" s="68" t="s">
        <v>363</v>
      </c>
      <c r="D2079" s="68" t="s">
        <v>364</v>
      </c>
      <c r="E2079" s="75">
        <f>60*F2079*'THAM_SO_MOI'!$C$51/(2*PI()*'THAM_SO_MOI'!$C$26)</f>
        <v>2133.8602105693703</v>
      </c>
      <c r="F2079" s="75">
        <f>'HANH_TRINH'!$F$1647+('THAM_SO_MOI'!$F$51-'HANH_TRINH'!$F$1647)*431/'THAM_SO_MOI'!$C$42</f>
        <v>8.494875994677685</v>
      </c>
      <c r="G2079" s="75">
        <f>3.6*F2079</f>
        <v>30.581553580839664</v>
      </c>
      <c r="H2079" s="75">
        <f>'THAM_SO_MOI'!$D$51</f>
        <v>1.375</v>
      </c>
      <c r="I2079" s="75">
        <f>IF(F2079&gt;'THAM_SO_MOI'!$C$14,'THAM_SO_MOI'!$C$13*(1+F2079^2/1500),'THAM_SO_MOI'!$C$13)</f>
        <v>0.015</v>
      </c>
      <c r="J2079" s="75">
        <f>'THAM_SO_MOI'!$C$40*('THAM_SO_MOI'!$C$23*(E2079/'THAM_SO_MOI'!$C$22)+'THAM_SO_MOI'!$C$24*(E2079/'THAM_SO_MOI'!$C$22)^2-'THAM_SO_MOI'!$C$25*(E2079/'THAM_SO_MOI'!$C$22)^3)</f>
        <v>96.08577662291164</v>
      </c>
      <c r="K2079" s="75">
        <f>'THAM_SO_MOI'!$C$31*J2079/E2079</f>
        <v>430.07723774230664</v>
      </c>
      <c r="L2079" s="75">
        <f>K2079*'THAM_SO_MOI'!$C$51*'THAM_SO_MOI'!$C$17/'THAM_SO_MOI'!$C$26</f>
        <v>9616.18750854215</v>
      </c>
      <c r="M2079" s="75">
        <f>'THAM_SO_MOI'!$C$15*'THAM_SO_MOI'!$C$16*F2079^2</f>
        <v>211.07653563248223</v>
      </c>
      <c r="N2079" s="75">
        <f>'THAM_SO_MOI'!$C$12*I2079</f>
        <v>1130.112</v>
      </c>
      <c r="O2079" s="75">
        <f>M2079+N2079</f>
        <v>1341.1885356324824</v>
      </c>
      <c r="P2079" s="75">
        <f>(MIN(L2079,'THAM_SO_MOI'!$C$41)-O2079)/('THAM_SO_MOI'!$C$11*H2079)</f>
        <v>0.7836173269800821</v>
      </c>
      <c r="Q2079" s="75">
        <f>IF(P2079&gt;0,1/P2079,NA())</f>
        <v>1.2761330889068228</v>
      </c>
      <c r="R2079" s="75">
        <f>F2079-F2078</f>
        <v>0.005028991339518285</v>
      </c>
      <c r="S2079" s="75">
        <f>0.5*(Q2078+Q2079)*R2079</f>
        <v>0.006417600901934332</v>
      </c>
      <c r="T2079" s="75">
        <f>0.5*(F2078*Q2078+F2079*Q2079)*R2079</f>
        <v>0.05450058696985059</v>
      </c>
      <c r="U2079" s="76">
        <f>U2078+S2079</f>
        <v>10.5589923057603</v>
      </c>
      <c r="V2079" s="76">
        <f>V2078+T2079</f>
        <v>52.949489980834294</v>
      </c>
    </row>
    <row r="2080" spans="1:22" ht="19" customHeight="1">
      <c r="A2080" s="68" t="s">
        <v>374</v>
      </c>
      <c r="B2080" s="74">
        <v>3</v>
      </c>
      <c r="C2080" s="68" t="s">
        <v>363</v>
      </c>
      <c r="D2080" s="68" t="s">
        <v>364</v>
      </c>
      <c r="E2080" s="75">
        <f>60*F2080*'THAM_SO_MOI'!$C$51/(2*PI()*'THAM_SO_MOI'!$C$26)</f>
        <v>2135.1234620312416</v>
      </c>
      <c r="F2080" s="75">
        <f>'HANH_TRINH'!$F$1647+('THAM_SO_MOI'!$F$51-'HANH_TRINH'!$F$1647)*432/'THAM_SO_MOI'!$C$42</f>
        <v>8.499904986017201</v>
      </c>
      <c r="G2080" s="75">
        <f>3.6*F2080</f>
        <v>30.599657949661925</v>
      </c>
      <c r="H2080" s="75">
        <f>'THAM_SO_MOI'!$D$51</f>
        <v>1.375</v>
      </c>
      <c r="I2080" s="75">
        <f>IF(F2080&gt;'THAM_SO_MOI'!$C$14,'THAM_SO_MOI'!$C$13*(1+F2080^2/1500),'THAM_SO_MOI'!$C$13)</f>
        <v>0.015</v>
      </c>
      <c r="J2080" s="75">
        <f>'THAM_SO_MOI'!$C$40*('THAM_SO_MOI'!$C$23*(E2080/'THAM_SO_MOI'!$C$22)+'THAM_SO_MOI'!$C$24*(E2080/'THAM_SO_MOI'!$C$22)^2-'THAM_SO_MOI'!$C$25*(E2080/'THAM_SO_MOI'!$C$22)^3)</f>
        <v>96.14354116636258</v>
      </c>
      <c r="K2080" s="75">
        <f>'THAM_SO_MOI'!$C$31*J2080/E2080</f>
        <v>430.08118090438455</v>
      </c>
      <c r="L2080" s="75">
        <f>K2080*'THAM_SO_MOI'!$C$51*'THAM_SO_MOI'!$C$17/'THAM_SO_MOI'!$C$26</f>
        <v>9616.275674533257</v>
      </c>
      <c r="M2080" s="75">
        <f>'THAM_SO_MOI'!$C$15*'THAM_SO_MOI'!$C$16*F2080^2</f>
        <v>211.32652545611126</v>
      </c>
      <c r="N2080" s="75">
        <f>'THAM_SO_MOI'!$C$12*I2080</f>
        <v>1130.112</v>
      </c>
      <c r="O2080" s="75">
        <f>M2080+N2080</f>
        <v>1341.4385254561114</v>
      </c>
      <c r="P2080" s="75">
        <f>(MIN(L2080,'THAM_SO_MOI'!$C$41)-O2080)/('THAM_SO_MOI'!$C$11*H2080)</f>
        <v>0.7836020027535177</v>
      </c>
      <c r="Q2080" s="75">
        <f>IF(P2080&gt;0,1/P2080,NA())</f>
        <v>1.2761580451378076</v>
      </c>
      <c r="R2080" s="75">
        <f>F2080-F2079</f>
        <v>0.005028991339516509</v>
      </c>
      <c r="S2080" s="75">
        <f>0.5*(Q2079+Q2080)*R2080</f>
        <v>0.006417725004517608</v>
      </c>
      <c r="T2080" s="75">
        <f>0.5*(F2079*Q2079+F2080*Q2080)*R2080</f>
        <v>0.05453391558084339</v>
      </c>
      <c r="U2080" s="76">
        <f>U2079+S2080</f>
        <v>10.565410030764818</v>
      </c>
      <c r="V2080" s="76">
        <f>V2079+T2080</f>
        <v>53.004023896415134</v>
      </c>
    </row>
    <row r="2081" spans="1:22" ht="19" customHeight="1">
      <c r="A2081" s="68" t="s">
        <v>374</v>
      </c>
      <c r="B2081" s="74">
        <v>3</v>
      </c>
      <c r="C2081" s="68" t="s">
        <v>363</v>
      </c>
      <c r="D2081" s="68" t="s">
        <v>364</v>
      </c>
      <c r="E2081" s="75">
        <f>60*F2081*'THAM_SO_MOI'!$C$51/(2*PI()*'THAM_SO_MOI'!$C$26)</f>
        <v>2136.3867134931133</v>
      </c>
      <c r="F2081" s="75">
        <f>'HANH_TRINH'!$F$1647+('THAM_SO_MOI'!$F$51-'HANH_TRINH'!$F$1647)*433/'THAM_SO_MOI'!$C$42</f>
        <v>8.50493397735672</v>
      </c>
      <c r="G2081" s="75">
        <f>3.6*F2081</f>
        <v>30.61776231848419</v>
      </c>
      <c r="H2081" s="75">
        <f>'THAM_SO_MOI'!$D$51</f>
        <v>1.375</v>
      </c>
      <c r="I2081" s="75">
        <f>IF(F2081&gt;'THAM_SO_MOI'!$C$14,'THAM_SO_MOI'!$C$13*(1+F2081^2/1500),'THAM_SO_MOI'!$C$13)</f>
        <v>0.015</v>
      </c>
      <c r="J2081" s="75">
        <f>'THAM_SO_MOI'!$C$40*('THAM_SO_MOI'!$C$23*(E2081/'THAM_SO_MOI'!$C$22)+'THAM_SO_MOI'!$C$24*(E2081/'THAM_SO_MOI'!$C$22)^2-'THAM_SO_MOI'!$C$25*(E2081/'THAM_SO_MOI'!$C$22)^3)</f>
        <v>96.20127212349746</v>
      </c>
      <c r="K2081" s="75">
        <f>'THAM_SO_MOI'!$C$31*J2081/E2081</f>
        <v>430.08496924963214</v>
      </c>
      <c r="L2081" s="75">
        <f>K2081*'THAM_SO_MOI'!$C$51*'THAM_SO_MOI'!$C$17/'THAM_SO_MOI'!$C$26</f>
        <v>9616.360378942258</v>
      </c>
      <c r="M2081" s="75">
        <f>'THAM_SO_MOI'!$C$15*'THAM_SO_MOI'!$C$16*F2081^2</f>
        <v>211.5766632306506</v>
      </c>
      <c r="N2081" s="75">
        <f>'THAM_SO_MOI'!$C$12*I2081</f>
        <v>1130.112</v>
      </c>
      <c r="O2081" s="75">
        <f>M2081+N2081</f>
        <v>1341.6886632306507</v>
      </c>
      <c r="P2081" s="75">
        <f>(MIN(L2081,'THAM_SO_MOI'!$C$41)-O2081)/('THAM_SO_MOI'!$C$11*H2081)</f>
        <v>0.7835863367151144</v>
      </c>
      <c r="Q2081" s="75">
        <f>IF(P2081&gt;0,1/P2081,NA())</f>
        <v>1.2761835590346267</v>
      </c>
      <c r="R2081" s="75">
        <f>F2081-F2080</f>
        <v>0.005028991339518285</v>
      </c>
      <c r="S2081" s="75">
        <f>0.5*(Q2080+Q2081)*R2081</f>
        <v>0.006417851911437689</v>
      </c>
      <c r="T2081" s="75">
        <f>0.5*(F2080*Q2080+F2081*Q2081)*R2081</f>
        <v>0.05456726928370613</v>
      </c>
      <c r="U2081" s="76">
        <f>U2080+S2081</f>
        <v>10.571827882676256</v>
      </c>
      <c r="V2081" s="76">
        <f>V2080+T2081</f>
        <v>53.05859116569884</v>
      </c>
    </row>
    <row r="2082" spans="1:22" ht="19" customHeight="1">
      <c r="A2082" s="68" t="s">
        <v>374</v>
      </c>
      <c r="B2082" s="74">
        <v>3</v>
      </c>
      <c r="C2082" s="68" t="s">
        <v>363</v>
      </c>
      <c r="D2082" s="68" t="s">
        <v>364</v>
      </c>
      <c r="E2082" s="75">
        <f>60*F2082*'THAM_SO_MOI'!$C$51/(2*PI()*'THAM_SO_MOI'!$C$26)</f>
        <v>2137.649964954985</v>
      </c>
      <c r="F2082" s="75">
        <f>'HANH_TRINH'!$F$1647+('THAM_SO_MOI'!$F$51-'HANH_TRINH'!$F$1647)*434/'THAM_SO_MOI'!$C$42</f>
        <v>8.509962968696236</v>
      </c>
      <c r="G2082" s="75">
        <f>3.6*F2082</f>
        <v>30.63586668730645</v>
      </c>
      <c r="H2082" s="75">
        <f>'THAM_SO_MOI'!$D$51</f>
        <v>1.375</v>
      </c>
      <c r="I2082" s="75">
        <f>IF(F2082&gt;'THAM_SO_MOI'!$C$14,'THAM_SO_MOI'!$C$13*(1+F2082^2/1500),'THAM_SO_MOI'!$C$13)</f>
        <v>0.015</v>
      </c>
      <c r="J2082" s="75">
        <f>'THAM_SO_MOI'!$C$40*('THAM_SO_MOI'!$C$23*(E2082/'THAM_SO_MOI'!$C$22)+'THAM_SO_MOI'!$C$24*(E2082/'THAM_SO_MOI'!$C$22)^2-'THAM_SO_MOI'!$C$25*(E2082/'THAM_SO_MOI'!$C$22)^3)</f>
        <v>96.25896943288687</v>
      </c>
      <c r="K2082" s="75">
        <f>'THAM_SO_MOI'!$C$31*J2082/E2082</f>
        <v>430.0886027780491</v>
      </c>
      <c r="L2082" s="75">
        <f>K2082*'THAM_SO_MOI'!$C$51*'THAM_SO_MOI'!$C$17/'THAM_SO_MOI'!$C$26</f>
        <v>9616.441621769147</v>
      </c>
      <c r="M2082" s="75">
        <f>'THAM_SO_MOI'!$C$15*'THAM_SO_MOI'!$C$16*F2082^2</f>
        <v>211.82694895610018</v>
      </c>
      <c r="N2082" s="75">
        <f>'THAM_SO_MOI'!$C$12*I2082</f>
        <v>1130.112</v>
      </c>
      <c r="O2082" s="75">
        <f>M2082+N2082</f>
        <v>1341.9389489561004</v>
      </c>
      <c r="P2082" s="75">
        <f>(MIN(L2082,'THAM_SO_MOI'!$C$41)-O2082)/('THAM_SO_MOI'!$C$11*H2082)</f>
        <v>0.7835703288648719</v>
      </c>
      <c r="Q2082" s="75">
        <f>IF(P2082&gt;0,1/P2082,NA())</f>
        <v>1.2762096306641184</v>
      </c>
      <c r="R2082" s="75">
        <f>F2082-F2081</f>
        <v>0.005028991339516509</v>
      </c>
      <c r="S2082" s="75">
        <f>0.5*(Q2081+Q2082)*R2082</f>
        <v>0.006417981623017953</v>
      </c>
      <c r="T2082" s="75">
        <f>0.5*(F2081*Q2081+F2082*Q2082)*R2082</f>
        <v>0.05460064812349887</v>
      </c>
      <c r="U2082" s="76">
        <f>U2081+S2082</f>
        <v>10.578245864299275</v>
      </c>
      <c r="V2082" s="76">
        <f>V2081+T2082</f>
        <v>53.11319181382234</v>
      </c>
    </row>
    <row r="2083" spans="1:22" ht="19" customHeight="1">
      <c r="A2083" s="68" t="s">
        <v>374</v>
      </c>
      <c r="B2083" s="74">
        <v>3</v>
      </c>
      <c r="C2083" s="68" t="s">
        <v>363</v>
      </c>
      <c r="D2083" s="68" t="s">
        <v>364</v>
      </c>
      <c r="E2083" s="75">
        <f>60*F2083*'THAM_SO_MOI'!$C$51/(2*PI()*'THAM_SO_MOI'!$C$26)</f>
        <v>2138.913216416857</v>
      </c>
      <c r="F2083" s="75">
        <f>'HANH_TRINH'!$F$1647+('THAM_SO_MOI'!$F$51-'HANH_TRINH'!$F$1647)*435/'THAM_SO_MOI'!$C$42</f>
        <v>8.514991960035754</v>
      </c>
      <c r="G2083" s="75">
        <f>3.6*F2083</f>
        <v>30.653971056128714</v>
      </c>
      <c r="H2083" s="75">
        <f>'THAM_SO_MOI'!$D$51</f>
        <v>1.375</v>
      </c>
      <c r="I2083" s="75">
        <f>IF(F2083&gt;'THAM_SO_MOI'!$C$14,'THAM_SO_MOI'!$C$13*(1+F2083^2/1500),'THAM_SO_MOI'!$C$13)</f>
        <v>0.015</v>
      </c>
      <c r="J2083" s="75">
        <f>'THAM_SO_MOI'!$C$40*('THAM_SO_MOI'!$C$23*(E2083/'THAM_SO_MOI'!$C$22)+'THAM_SO_MOI'!$C$24*(E2083/'THAM_SO_MOI'!$C$22)^2-'THAM_SO_MOI'!$C$25*(E2083/'THAM_SO_MOI'!$C$22)^3)</f>
        <v>96.31663303310147</v>
      </c>
      <c r="K2083" s="75">
        <f>'THAM_SO_MOI'!$C$31*J2083/E2083</f>
        <v>430.0920814896355</v>
      </c>
      <c r="L2083" s="75">
        <f>K2083*'THAM_SO_MOI'!$C$51*'THAM_SO_MOI'!$C$17/'THAM_SO_MOI'!$C$26</f>
        <v>9616.519403013926</v>
      </c>
      <c r="M2083" s="75">
        <f>'THAM_SO_MOI'!$C$15*'THAM_SO_MOI'!$C$16*F2083^2</f>
        <v>212.07738263246011</v>
      </c>
      <c r="N2083" s="75">
        <f>'THAM_SO_MOI'!$C$12*I2083</f>
        <v>1130.112</v>
      </c>
      <c r="O2083" s="75">
        <f>M2083+N2083</f>
        <v>1342.1893826324601</v>
      </c>
      <c r="P2083" s="75">
        <f>(MIN(L2083,'THAM_SO_MOI'!$C$41)-O2083)/('THAM_SO_MOI'!$C$11*H2083)</f>
        <v>0.7835539792027902</v>
      </c>
      <c r="Q2083" s="75">
        <f>IF(P2083&gt;0,1/P2083,NA())</f>
        <v>1.276236260094586</v>
      </c>
      <c r="R2083" s="75">
        <f>F2083-F2082</f>
        <v>0.005028991339518285</v>
      </c>
      <c r="S2083" s="75">
        <f>0.5*(Q2082+Q2083)*R2083</f>
        <v>0.0064181141396072805</v>
      </c>
      <c r="T2083" s="75">
        <f>0.5*(F2082*Q2082+F2083*Q2083)*R2083</f>
        <v>0.05463405214550531</v>
      </c>
      <c r="U2083" s="76">
        <f>U2082+S2083</f>
        <v>10.584663978438883</v>
      </c>
      <c r="V2083" s="76">
        <f>V2082+T2083</f>
        <v>53.16782586596784</v>
      </c>
    </row>
    <row r="2084" spans="1:22" ht="19" customHeight="1">
      <c r="A2084" s="68" t="s">
        <v>374</v>
      </c>
      <c r="B2084" s="74">
        <v>3</v>
      </c>
      <c r="C2084" s="68" t="s">
        <v>363</v>
      </c>
      <c r="D2084" s="68" t="s">
        <v>364</v>
      </c>
      <c r="E2084" s="75">
        <f>60*F2084*'THAM_SO_MOI'!$C$51/(2*PI()*'THAM_SO_MOI'!$C$26)</f>
        <v>2140.1764678787285</v>
      </c>
      <c r="F2084" s="75">
        <f>'HANH_TRINH'!$F$1647+('THAM_SO_MOI'!$F$51-'HANH_TRINH'!$F$1647)*436/'THAM_SO_MOI'!$C$42</f>
        <v>8.520020951375272</v>
      </c>
      <c r="G2084" s="75">
        <f>3.6*F2084</f>
        <v>30.672075424950982</v>
      </c>
      <c r="H2084" s="75">
        <f>'THAM_SO_MOI'!$D$51</f>
        <v>1.375</v>
      </c>
      <c r="I2084" s="75">
        <f>IF(F2084&gt;'THAM_SO_MOI'!$C$14,'THAM_SO_MOI'!$C$13*(1+F2084^2/1500),'THAM_SO_MOI'!$C$13)</f>
        <v>0.015</v>
      </c>
      <c r="J2084" s="75">
        <f>'THAM_SO_MOI'!$C$40*('THAM_SO_MOI'!$C$23*(E2084/'THAM_SO_MOI'!$C$22)+'THAM_SO_MOI'!$C$24*(E2084/'THAM_SO_MOI'!$C$22)^2-'THAM_SO_MOI'!$C$25*(E2084/'THAM_SO_MOI'!$C$22)^3)</f>
        <v>96.37426286271194</v>
      </c>
      <c r="K2084" s="75">
        <f>'THAM_SO_MOI'!$C$31*J2084/E2084</f>
        <v>430.0954053843916</v>
      </c>
      <c r="L2084" s="75">
        <f>K2084*'THAM_SO_MOI'!$C$51*'THAM_SO_MOI'!$C$17/'THAM_SO_MOI'!$C$26</f>
        <v>9616.593722676602</v>
      </c>
      <c r="M2084" s="75">
        <f>'THAM_SO_MOI'!$C$15*'THAM_SO_MOI'!$C$16*F2084^2</f>
        <v>212.3279642597303</v>
      </c>
      <c r="N2084" s="75">
        <f>'THAM_SO_MOI'!$C$12*I2084</f>
        <v>1130.112</v>
      </c>
      <c r="O2084" s="75">
        <f>M2084+N2084</f>
        <v>1342.4399642597305</v>
      </c>
      <c r="P2084" s="75">
        <f>(MIN(L2084,'THAM_SO_MOI'!$C$41)-O2084)/('THAM_SO_MOI'!$C$11*H2084)</f>
        <v>0.7835372877288705</v>
      </c>
      <c r="Q2084" s="75">
        <f>IF(P2084&gt;0,1/P2084,NA())</f>
        <v>1.276263447395796</v>
      </c>
      <c r="R2084" s="75">
        <f>F2084-F2083</f>
        <v>0.005028991339518285</v>
      </c>
      <c r="S2084" s="75">
        <f>0.5*(Q2083+Q2084)*R2084</f>
        <v>0.006418249461546044</v>
      </c>
      <c r="T2084" s="75">
        <f>0.5*(F2083*Q2083+F2084*Q2084)*R2084</f>
        <v>0.05466748139494369</v>
      </c>
      <c r="U2084" s="76">
        <f>U2083+S2084</f>
        <v>10.59108222790043</v>
      </c>
      <c r="V2084" s="76">
        <f>V2083+T2084</f>
        <v>53.222493347362786</v>
      </c>
    </row>
    <row r="2085" spans="1:22" ht="19" customHeight="1">
      <c r="A2085" s="68" t="s">
        <v>374</v>
      </c>
      <c r="B2085" s="74">
        <v>3</v>
      </c>
      <c r="C2085" s="68" t="s">
        <v>363</v>
      </c>
      <c r="D2085" s="68" t="s">
        <v>364</v>
      </c>
      <c r="E2085" s="75">
        <f>60*F2085*'THAM_SO_MOI'!$C$51/(2*PI()*'THAM_SO_MOI'!$C$26)</f>
        <v>2141.4397193406003</v>
      </c>
      <c r="F2085" s="75">
        <f>'HANH_TRINH'!$F$1647+('THAM_SO_MOI'!$F$51-'HANH_TRINH'!$F$1647)*437/'THAM_SO_MOI'!$C$42</f>
        <v>8.52504994271479</v>
      </c>
      <c r="G2085" s="75">
        <f>3.6*F2085</f>
        <v>30.690179793773247</v>
      </c>
      <c r="H2085" s="75">
        <f>'THAM_SO_MOI'!$D$51</f>
        <v>1.375</v>
      </c>
      <c r="I2085" s="75">
        <f>IF(F2085&gt;'THAM_SO_MOI'!$C$14,'THAM_SO_MOI'!$C$13*(1+F2085^2/1500),'THAM_SO_MOI'!$C$13)</f>
        <v>0.015</v>
      </c>
      <c r="J2085" s="75">
        <f>'THAM_SO_MOI'!$C$40*('THAM_SO_MOI'!$C$23*(E2085/'THAM_SO_MOI'!$C$22)+'THAM_SO_MOI'!$C$24*(E2085/'THAM_SO_MOI'!$C$22)^2-'THAM_SO_MOI'!$C$25*(E2085/'THAM_SO_MOI'!$C$22)^3)</f>
        <v>96.4318588602889</v>
      </c>
      <c r="K2085" s="75">
        <f>'THAM_SO_MOI'!$C$31*J2085/E2085</f>
        <v>430.098574462317</v>
      </c>
      <c r="L2085" s="75">
        <f>K2085*'THAM_SO_MOI'!$C$51*'THAM_SO_MOI'!$C$17/'THAM_SO_MOI'!$C$26</f>
        <v>9616.664580757164</v>
      </c>
      <c r="M2085" s="75">
        <f>'THAM_SO_MOI'!$C$15*'THAM_SO_MOI'!$C$16*F2085^2</f>
        <v>212.57869383791078</v>
      </c>
      <c r="N2085" s="75">
        <f>'THAM_SO_MOI'!$C$12*I2085</f>
        <v>1130.112</v>
      </c>
      <c r="O2085" s="75">
        <f>M2085+N2085</f>
        <v>1342.6906938379109</v>
      </c>
      <c r="P2085" s="75">
        <f>(MIN(L2085,'THAM_SO_MOI'!$C$41)-O2085)/('THAM_SO_MOI'!$C$11*H2085)</f>
        <v>0.7835202544431109</v>
      </c>
      <c r="Q2085" s="75">
        <f>IF(P2085&gt;0,1/P2085,NA())</f>
        <v>1.2762911926389862</v>
      </c>
      <c r="R2085" s="75">
        <f>F2085-F2084</f>
        <v>0.005028991339518285</v>
      </c>
      <c r="S2085" s="75">
        <f>0.5*(Q2084+Q2085)*R2085</f>
        <v>0.006418387589191067</v>
      </c>
      <c r="T2085" s="75">
        <f>0.5*(F2084*Q2084+F2085*Q2085)*R2085</f>
        <v>0.05470093591717929</v>
      </c>
      <c r="U2085" s="76">
        <f>U2084+S2085</f>
        <v>10.59750061548962</v>
      </c>
      <c r="V2085" s="76">
        <f>V2084+T2085</f>
        <v>53.27719428327997</v>
      </c>
    </row>
    <row r="2086" spans="1:22" ht="19" customHeight="1">
      <c r="A2086" s="68" t="s">
        <v>374</v>
      </c>
      <c r="B2086" s="74">
        <v>3</v>
      </c>
      <c r="C2086" s="68" t="s">
        <v>363</v>
      </c>
      <c r="D2086" s="68" t="s">
        <v>364</v>
      </c>
      <c r="E2086" s="75">
        <f>60*F2086*'THAM_SO_MOI'!$C$51/(2*PI()*'THAM_SO_MOI'!$C$26)</f>
        <v>2142.7029708024716</v>
      </c>
      <c r="F2086" s="75">
        <f>'HANH_TRINH'!$F$1647+('THAM_SO_MOI'!$F$51-'HANH_TRINH'!$F$1647)*438/'THAM_SO_MOI'!$C$42</f>
        <v>8.530078934054307</v>
      </c>
      <c r="G2086" s="75">
        <f>3.6*F2086</f>
        <v>30.708284162595508</v>
      </c>
      <c r="H2086" s="75">
        <f>'THAM_SO_MOI'!$D$51</f>
        <v>1.375</v>
      </c>
      <c r="I2086" s="75">
        <f>IF(F2086&gt;'THAM_SO_MOI'!$C$14,'THAM_SO_MOI'!$C$13*(1+F2086^2/1500),'THAM_SO_MOI'!$C$13)</f>
        <v>0.015</v>
      </c>
      <c r="J2086" s="75">
        <f>'THAM_SO_MOI'!$C$40*('THAM_SO_MOI'!$C$23*(E2086/'THAM_SO_MOI'!$C$22)+'THAM_SO_MOI'!$C$24*(E2086/'THAM_SO_MOI'!$C$22)^2-'THAM_SO_MOI'!$C$25*(E2086/'THAM_SO_MOI'!$C$22)^3)</f>
        <v>96.489420964403</v>
      </c>
      <c r="K2086" s="75">
        <f>'THAM_SO_MOI'!$C$31*J2086/E2086</f>
        <v>430.101588723412</v>
      </c>
      <c r="L2086" s="75">
        <f>K2086*'THAM_SO_MOI'!$C$51*'THAM_SO_MOI'!$C$17/'THAM_SO_MOI'!$C$26</f>
        <v>9616.731977255618</v>
      </c>
      <c r="M2086" s="75">
        <f>'THAM_SO_MOI'!$C$15*'THAM_SO_MOI'!$C$16*F2086^2</f>
        <v>212.82957136700145</v>
      </c>
      <c r="N2086" s="75">
        <f>'THAM_SO_MOI'!$C$12*I2086</f>
        <v>1130.112</v>
      </c>
      <c r="O2086" s="75">
        <f>M2086+N2086</f>
        <v>1342.9415713670014</v>
      </c>
      <c r="P2086" s="75">
        <f>(MIN(L2086,'THAM_SO_MOI'!$C$41)-O2086)/('THAM_SO_MOI'!$C$11*H2086)</f>
        <v>0.7835028793455129</v>
      </c>
      <c r="Q2086" s="75">
        <f>IF(P2086&gt;0,1/P2086,NA())</f>
        <v>1.2763194958968558</v>
      </c>
      <c r="R2086" s="75">
        <f>F2086-F2085</f>
        <v>0.005028991339516509</v>
      </c>
      <c r="S2086" s="75">
        <f>0.5*(Q2085+Q2086)*R2086</f>
        <v>0.006418528522902011</v>
      </c>
      <c r="T2086" s="75">
        <f>0.5*(F2085*Q2085+F2086*Q2086)*R2086</f>
        <v>0.054734415757608776</v>
      </c>
      <c r="U2086" s="76">
        <f>U2085+S2086</f>
        <v>10.603919144012522</v>
      </c>
      <c r="V2086" s="76">
        <f>V2085+T2086</f>
        <v>53.331928699037576</v>
      </c>
    </row>
    <row r="2087" spans="1:22" ht="19" customHeight="1">
      <c r="A2087" s="68" t="s">
        <v>374</v>
      </c>
      <c r="B2087" s="74">
        <v>3</v>
      </c>
      <c r="C2087" s="68" t="s">
        <v>363</v>
      </c>
      <c r="D2087" s="68" t="s">
        <v>364</v>
      </c>
      <c r="E2087" s="75">
        <f>60*F2087*'THAM_SO_MOI'!$C$51/(2*PI()*'THAM_SO_MOI'!$C$26)</f>
        <v>2143.9662222643437</v>
      </c>
      <c r="F2087" s="75">
        <f>'HANH_TRINH'!$F$1647+('THAM_SO_MOI'!$F$51-'HANH_TRINH'!$F$1647)*439/'THAM_SO_MOI'!$C$42</f>
        <v>8.535107925393826</v>
      </c>
      <c r="G2087" s="75">
        <f>3.6*F2087</f>
        <v>30.726388531417772</v>
      </c>
      <c r="H2087" s="75">
        <f>'THAM_SO_MOI'!$D$51</f>
        <v>1.375</v>
      </c>
      <c r="I2087" s="75">
        <f>IF(F2087&gt;'THAM_SO_MOI'!$C$14,'THAM_SO_MOI'!$C$13*(1+F2087^2/1500),'THAM_SO_MOI'!$C$13)</f>
        <v>0.015</v>
      </c>
      <c r="J2087" s="75">
        <f>'THAM_SO_MOI'!$C$40*('THAM_SO_MOI'!$C$23*(E2087/'THAM_SO_MOI'!$C$22)+'THAM_SO_MOI'!$C$24*(E2087/'THAM_SO_MOI'!$C$22)^2-'THAM_SO_MOI'!$C$25*(E2087/'THAM_SO_MOI'!$C$22)^3)</f>
        <v>96.54694911362493</v>
      </c>
      <c r="K2087" s="75">
        <f>'THAM_SO_MOI'!$C$31*J2087/E2087</f>
        <v>430.10444816767654</v>
      </c>
      <c r="L2087" s="75">
        <f>K2087*'THAM_SO_MOI'!$C$51*'THAM_SO_MOI'!$C$17/'THAM_SO_MOI'!$C$26</f>
        <v>9616.795912171967</v>
      </c>
      <c r="M2087" s="75">
        <f>'THAM_SO_MOI'!$C$15*'THAM_SO_MOI'!$C$16*F2087^2</f>
        <v>213.08059684700245</v>
      </c>
      <c r="N2087" s="75">
        <f>'THAM_SO_MOI'!$C$12*I2087</f>
        <v>1130.112</v>
      </c>
      <c r="O2087" s="75">
        <f>M2087+N2087</f>
        <v>1343.1925968470025</v>
      </c>
      <c r="P2087" s="75">
        <f>(MIN(L2087,'THAM_SO_MOI'!$C$41)-O2087)/('THAM_SO_MOI'!$C$11*H2087)</f>
        <v>0.783485162436076</v>
      </c>
      <c r="Q2087" s="75">
        <f>IF(P2087&gt;0,1/P2087,NA())</f>
        <v>1.2763483572435734</v>
      </c>
      <c r="R2087" s="75">
        <f>F2087-F2086</f>
        <v>0.005028991339518285</v>
      </c>
      <c r="S2087" s="75">
        <f>0.5*(Q2086+Q2087)*R2087</f>
        <v>0.006418672263054976</v>
      </c>
      <c r="T2087" s="75">
        <f>0.5*(F2086*Q2086+F2087*Q2087)*R2087</f>
        <v>0.054767920961776295</v>
      </c>
      <c r="U2087" s="76">
        <f>U2086+S2087</f>
        <v>10.610337816275576</v>
      </c>
      <c r="V2087" s="76">
        <f>V2086+T2087</f>
        <v>53.386696619999356</v>
      </c>
    </row>
    <row r="2088" spans="1:22" ht="19" customHeight="1">
      <c r="A2088" s="68" t="s">
        <v>374</v>
      </c>
      <c r="B2088" s="74">
        <v>3</v>
      </c>
      <c r="C2088" s="68" t="s">
        <v>363</v>
      </c>
      <c r="D2088" s="68" t="s">
        <v>364</v>
      </c>
      <c r="E2088" s="75">
        <f>60*F2088*'THAM_SO_MOI'!$C$51/(2*PI()*'THAM_SO_MOI'!$C$26)</f>
        <v>2145.2294737262155</v>
      </c>
      <c r="F2088" s="75">
        <f>'HANH_TRINH'!$F$1647+('THAM_SO_MOI'!$F$51-'HANH_TRINH'!$F$1647)*440/'THAM_SO_MOI'!$C$42</f>
        <v>8.540136916733344</v>
      </c>
      <c r="G2088" s="75">
        <f>3.6*F2088</f>
        <v>30.74449290024004</v>
      </c>
      <c r="H2088" s="75">
        <f>'THAM_SO_MOI'!$D$51</f>
        <v>1.375</v>
      </c>
      <c r="I2088" s="75">
        <f>IF(F2088&gt;'THAM_SO_MOI'!$C$14,'THAM_SO_MOI'!$C$13*(1+F2088^2/1500),'THAM_SO_MOI'!$C$13)</f>
        <v>0.015</v>
      </c>
      <c r="J2088" s="75">
        <f>'THAM_SO_MOI'!$C$40*('THAM_SO_MOI'!$C$23*(E2088/'THAM_SO_MOI'!$C$22)+'THAM_SO_MOI'!$C$24*(E2088/'THAM_SO_MOI'!$C$22)^2-'THAM_SO_MOI'!$C$25*(E2088/'THAM_SO_MOI'!$C$22)^3)</f>
        <v>96.60444324652526</v>
      </c>
      <c r="K2088" s="75">
        <f>'THAM_SO_MOI'!$C$31*J2088/E2088</f>
        <v>430.1071527951104</v>
      </c>
      <c r="L2088" s="75">
        <f>K2088*'THAM_SO_MOI'!$C$51*'THAM_SO_MOI'!$C$17/'THAM_SO_MOI'!$C$26</f>
        <v>9616.856385506202</v>
      </c>
      <c r="M2088" s="75">
        <f>'THAM_SO_MOI'!$C$15*'THAM_SO_MOI'!$C$16*F2088^2</f>
        <v>213.33177027791376</v>
      </c>
      <c r="N2088" s="75">
        <f>'THAM_SO_MOI'!$C$12*I2088</f>
        <v>1130.112</v>
      </c>
      <c r="O2088" s="75">
        <f>M2088+N2088</f>
        <v>1343.443770277914</v>
      </c>
      <c r="P2088" s="75">
        <f>(MIN(L2088,'THAM_SO_MOI'!$C$41)-O2088)/('THAM_SO_MOI'!$C$11*H2088)</f>
        <v>0.7834671037148</v>
      </c>
      <c r="Q2088" s="75">
        <f>IF(P2088&gt;0,1/P2088,NA())</f>
        <v>1.2763777767547761</v>
      </c>
      <c r="R2088" s="75">
        <f>F2088-F2087</f>
        <v>0.005028991339518285</v>
      </c>
      <c r="S2088" s="75">
        <f>0.5*(Q2087+Q2088)*R2088</f>
        <v>0.006418818810019847</v>
      </c>
      <c r="T2088" s="75">
        <f>0.5*(F2087*Q2087+F2088*Q2088)*R2088</f>
        <v>0.05480145157518053</v>
      </c>
      <c r="U2088" s="76">
        <f>U2087+S2088</f>
        <v>10.616756635085597</v>
      </c>
      <c r="V2088" s="76">
        <f>V2087+T2088</f>
        <v>53.441498071574536</v>
      </c>
    </row>
    <row r="2089" spans="1:22" ht="19" customHeight="1">
      <c r="A2089" s="68" t="s">
        <v>374</v>
      </c>
      <c r="B2089" s="74">
        <v>3</v>
      </c>
      <c r="C2089" s="68" t="s">
        <v>363</v>
      </c>
      <c r="D2089" s="68" t="s">
        <v>364</v>
      </c>
      <c r="E2089" s="75">
        <f>60*F2089*'THAM_SO_MOI'!$C$51/(2*PI()*'THAM_SO_MOI'!$C$26)</f>
        <v>2146.4927251880863</v>
      </c>
      <c r="F2089" s="75">
        <f>'HANH_TRINH'!$F$1647+('THAM_SO_MOI'!$F$51-'HANH_TRINH'!$F$1647)*441/'THAM_SO_MOI'!$C$42</f>
        <v>8.54516590807286</v>
      </c>
      <c r="G2089" s="75">
        <f>3.6*F2089</f>
        <v>30.762597269062297</v>
      </c>
      <c r="H2089" s="75">
        <f>'THAM_SO_MOI'!$D$51</f>
        <v>1.375</v>
      </c>
      <c r="I2089" s="75">
        <f>IF(F2089&gt;'THAM_SO_MOI'!$C$14,'THAM_SO_MOI'!$C$13*(1+F2089^2/1500),'THAM_SO_MOI'!$C$13)</f>
        <v>0.015</v>
      </c>
      <c r="J2089" s="75">
        <f>'THAM_SO_MOI'!$C$40*('THAM_SO_MOI'!$C$23*(E2089/'THAM_SO_MOI'!$C$22)+'THAM_SO_MOI'!$C$24*(E2089/'THAM_SO_MOI'!$C$22)^2-'THAM_SO_MOI'!$C$25*(E2089/'THAM_SO_MOI'!$C$22)^3)</f>
        <v>96.66190330167467</v>
      </c>
      <c r="K2089" s="75">
        <f>'THAM_SO_MOI'!$C$31*J2089/E2089</f>
        <v>430.10970260571384</v>
      </c>
      <c r="L2089" s="75">
        <f>K2089*'THAM_SO_MOI'!$C$51*'THAM_SO_MOI'!$C$17/'THAM_SO_MOI'!$C$26</f>
        <v>9616.91339725833</v>
      </c>
      <c r="M2089" s="75">
        <f>'THAM_SO_MOI'!$C$15*'THAM_SO_MOI'!$C$16*F2089^2</f>
        <v>213.58309165973523</v>
      </c>
      <c r="N2089" s="75">
        <f>'THAM_SO_MOI'!$C$12*I2089</f>
        <v>1130.112</v>
      </c>
      <c r="O2089" s="75">
        <f>M2089+N2089</f>
        <v>1343.6950916597352</v>
      </c>
      <c r="P2089" s="75">
        <f>(MIN(L2089,'THAM_SO_MOI'!$C$41)-O2089)/('THAM_SO_MOI'!$C$11*H2089)</f>
        <v>0.7834487031816851</v>
      </c>
      <c r="Q2089" s="75">
        <f>IF(P2089&gt;0,1/P2089,NA())</f>
        <v>1.276407754507567</v>
      </c>
      <c r="R2089" s="75">
        <f>F2089-F2088</f>
        <v>0.005028991339516509</v>
      </c>
      <c r="S2089" s="75">
        <f>0.5*(Q2088+Q2089)*R2089</f>
        <v>0.006418968164180686</v>
      </c>
      <c r="T2089" s="75">
        <f>0.5*(F2088*Q2088+F2089*Q2089)*R2089</f>
        <v>0.05483500764344869</v>
      </c>
      <c r="U2089" s="76">
        <f>U2088+S2089</f>
        <v>10.623175603249777</v>
      </c>
      <c r="V2089" s="76">
        <f>V2088+T2089</f>
        <v>53.49633307921798</v>
      </c>
    </row>
    <row r="2090" spans="1:22" ht="19" customHeight="1">
      <c r="A2090" s="68" t="s">
        <v>374</v>
      </c>
      <c r="B2090" s="74">
        <v>3</v>
      </c>
      <c r="C2090" s="68" t="s">
        <v>363</v>
      </c>
      <c r="D2090" s="68" t="s">
        <v>364</v>
      </c>
      <c r="E2090" s="75">
        <f>60*F2090*'THAM_SO_MOI'!$C$51/(2*PI()*'THAM_SO_MOI'!$C$26)</f>
        <v>2147.755976649958</v>
      </c>
      <c r="F2090" s="75">
        <f>'HANH_TRINH'!$F$1647+('THAM_SO_MOI'!$F$51-'HANH_TRINH'!$F$1647)*442/'THAM_SO_MOI'!$C$42</f>
        <v>8.550194899412379</v>
      </c>
      <c r="G2090" s="75">
        <f>3.6*F2090</f>
        <v>30.780701637884565</v>
      </c>
      <c r="H2090" s="75">
        <f>'THAM_SO_MOI'!$D$51</f>
        <v>1.375</v>
      </c>
      <c r="I2090" s="75">
        <f>IF(F2090&gt;'THAM_SO_MOI'!$C$14,'THAM_SO_MOI'!$C$13*(1+F2090^2/1500),'THAM_SO_MOI'!$C$13)</f>
        <v>0.015</v>
      </c>
      <c r="J2090" s="75">
        <f>'THAM_SO_MOI'!$C$40*('THAM_SO_MOI'!$C$23*(E2090/'THAM_SO_MOI'!$C$22)+'THAM_SO_MOI'!$C$24*(E2090/'THAM_SO_MOI'!$C$22)^2-'THAM_SO_MOI'!$C$25*(E2090/'THAM_SO_MOI'!$C$22)^3)</f>
        <v>96.71932921764386</v>
      </c>
      <c r="K2090" s="75">
        <f>'THAM_SO_MOI'!$C$31*J2090/E2090</f>
        <v>430.1120975994867</v>
      </c>
      <c r="L2090" s="75">
        <f>K2090*'THAM_SO_MOI'!$C$51*'THAM_SO_MOI'!$C$17/'THAM_SO_MOI'!$C$26</f>
        <v>9616.966947428346</v>
      </c>
      <c r="M2090" s="75">
        <f>'THAM_SO_MOI'!$C$15*'THAM_SO_MOI'!$C$16*F2090^2</f>
        <v>213.83456099246706</v>
      </c>
      <c r="N2090" s="75">
        <f>'THAM_SO_MOI'!$C$12*I2090</f>
        <v>1130.112</v>
      </c>
      <c r="O2090" s="75">
        <f>M2090+N2090</f>
        <v>1343.946560992467</v>
      </c>
      <c r="P2090" s="75">
        <f>(MIN(L2090,'THAM_SO_MOI'!$C$41)-O2090)/('THAM_SO_MOI'!$C$11*H2090)</f>
        <v>0.7834299608367308</v>
      </c>
      <c r="Q2090" s="75">
        <f>IF(P2090&gt;0,1/P2090,NA())</f>
        <v>1.2764382905805196</v>
      </c>
      <c r="R2090" s="75">
        <f>F2090-F2089</f>
        <v>0.005028991339518285</v>
      </c>
      <c r="S2090" s="75">
        <f>0.5*(Q2089+Q2090)*R2090</f>
        <v>0.006419120325935747</v>
      </c>
      <c r="T2090" s="75">
        <f>0.5*(F2089*Q2089+F2090*Q2090)*R2090</f>
        <v>0.054868589212337</v>
      </c>
      <c r="U2090" s="76">
        <f>U2089+S2090</f>
        <v>10.629594723575712</v>
      </c>
      <c r="V2090" s="76">
        <f>V2089+T2090</f>
        <v>53.55120166843032</v>
      </c>
    </row>
    <row r="2091" spans="1:22" ht="19" customHeight="1">
      <c r="A2091" s="68" t="s">
        <v>374</v>
      </c>
      <c r="B2091" s="74">
        <v>3</v>
      </c>
      <c r="C2091" s="68" t="s">
        <v>363</v>
      </c>
      <c r="D2091" s="68" t="s">
        <v>364</v>
      </c>
      <c r="E2091" s="75">
        <f>60*F2091*'THAM_SO_MOI'!$C$51/(2*PI()*'THAM_SO_MOI'!$C$26)</f>
        <v>2149.0192281118298</v>
      </c>
      <c r="F2091" s="75">
        <f>'HANH_TRINH'!$F$1647+('THAM_SO_MOI'!$F$51-'HANH_TRINH'!$F$1647)*443/'THAM_SO_MOI'!$C$42</f>
        <v>8.555223890751897</v>
      </c>
      <c r="G2091" s="75">
        <f>3.6*F2091</f>
        <v>30.79880600670683</v>
      </c>
      <c r="H2091" s="75">
        <f>'THAM_SO_MOI'!$D$51</f>
        <v>1.375</v>
      </c>
      <c r="I2091" s="75">
        <f>IF(F2091&gt;'THAM_SO_MOI'!$C$14,'THAM_SO_MOI'!$C$13*(1+F2091^2/1500),'THAM_SO_MOI'!$C$13)</f>
        <v>0.015</v>
      </c>
      <c r="J2091" s="75">
        <f>'THAM_SO_MOI'!$C$40*('THAM_SO_MOI'!$C$23*(E2091/'THAM_SO_MOI'!$C$22)+'THAM_SO_MOI'!$C$24*(E2091/'THAM_SO_MOI'!$C$22)^2-'THAM_SO_MOI'!$C$25*(E2091/'THAM_SO_MOI'!$C$22)^3)</f>
        <v>96.77672093300349</v>
      </c>
      <c r="K2091" s="75">
        <f>'THAM_SO_MOI'!$C$31*J2091/E2091</f>
        <v>430.11433777642924</v>
      </c>
      <c r="L2091" s="75">
        <f>K2091*'THAM_SO_MOI'!$C$51*'THAM_SO_MOI'!$C$17/'THAM_SO_MOI'!$C$26</f>
        <v>9617.01703601626</v>
      </c>
      <c r="M2091" s="75">
        <f>'THAM_SO_MOI'!$C$15*'THAM_SO_MOI'!$C$16*F2091^2</f>
        <v>214.0861782761092</v>
      </c>
      <c r="N2091" s="75">
        <f>'THAM_SO_MOI'!$C$12*I2091</f>
        <v>1130.112</v>
      </c>
      <c r="O2091" s="75">
        <f>M2091+N2091</f>
        <v>1344.1981782761093</v>
      </c>
      <c r="P2091" s="75">
        <f>(MIN(L2091,'THAM_SO_MOI'!$C$41)-O2091)/('THAM_SO_MOI'!$C$11*H2091)</f>
        <v>0.7834108766799384</v>
      </c>
      <c r="Q2091" s="75">
        <f>IF(P2091&gt;0,1/P2091,NA())</f>
        <v>1.2764693850536732</v>
      </c>
      <c r="R2091" s="75">
        <f>F2091-F2090</f>
        <v>0.005028991339518285</v>
      </c>
      <c r="S2091" s="75">
        <f>0.5*(Q2090+Q2091)*R2091</f>
        <v>0.006419275295677055</v>
      </c>
      <c r="T2091" s="75">
        <f>0.5*(F2090*Q2090+F2091*Q2091)*R2091</f>
        <v>0.05490219632755648</v>
      </c>
      <c r="U2091" s="76">
        <f>U2090+S2091</f>
        <v>10.63601399887139</v>
      </c>
      <c r="V2091" s="76">
        <f>V2090+T2091</f>
        <v>53.60610386475788</v>
      </c>
    </row>
    <row r="2092" spans="1:22" ht="19" customHeight="1">
      <c r="A2092" s="68" t="s">
        <v>374</v>
      </c>
      <c r="B2092" s="74">
        <v>3</v>
      </c>
      <c r="C2092" s="68" t="s">
        <v>363</v>
      </c>
      <c r="D2092" s="68" t="s">
        <v>364</v>
      </c>
      <c r="E2092" s="75">
        <f>60*F2092*'THAM_SO_MOI'!$C$51/(2*PI()*'THAM_SO_MOI'!$C$26)</f>
        <v>2150.282479573701</v>
      </c>
      <c r="F2092" s="75">
        <f>'HANH_TRINH'!$F$1647+('THAM_SO_MOI'!$F$51-'HANH_TRINH'!$F$1647)*444/'THAM_SO_MOI'!$C$42</f>
        <v>8.560252882091413</v>
      </c>
      <c r="G2092" s="75">
        <f>3.6*F2092</f>
        <v>30.81691037552909</v>
      </c>
      <c r="H2092" s="75">
        <f>'THAM_SO_MOI'!$D$51</f>
        <v>1.375</v>
      </c>
      <c r="I2092" s="75">
        <f>IF(F2092&gt;'THAM_SO_MOI'!$C$14,'THAM_SO_MOI'!$C$13*(1+F2092^2/1500),'THAM_SO_MOI'!$C$13)</f>
        <v>0.015</v>
      </c>
      <c r="J2092" s="75">
        <f>'THAM_SO_MOI'!$C$40*('THAM_SO_MOI'!$C$23*(E2092/'THAM_SO_MOI'!$C$22)+'THAM_SO_MOI'!$C$24*(E2092/'THAM_SO_MOI'!$C$22)^2-'THAM_SO_MOI'!$C$25*(E2092/'THAM_SO_MOI'!$C$22)^3)</f>
        <v>96.8340783863241</v>
      </c>
      <c r="K2092" s="75">
        <f>'THAM_SO_MOI'!$C$31*J2092/E2092</f>
        <v>430.1164231365411</v>
      </c>
      <c r="L2092" s="75">
        <f>K2092*'THAM_SO_MOI'!$C$51*'THAM_SO_MOI'!$C$17/'THAM_SO_MOI'!$C$26</f>
        <v>9617.063663022058</v>
      </c>
      <c r="M2092" s="75">
        <f>'THAM_SO_MOI'!$C$15*'THAM_SO_MOI'!$C$16*F2092^2</f>
        <v>214.33794351066152</v>
      </c>
      <c r="N2092" s="75">
        <f>'THAM_SO_MOI'!$C$12*I2092</f>
        <v>1130.112</v>
      </c>
      <c r="O2092" s="75">
        <f>M2092+N2092</f>
        <v>1344.4499435106616</v>
      </c>
      <c r="P2092" s="75">
        <f>(MIN(L2092,'THAM_SO_MOI'!$C$41)-O2092)/('THAM_SO_MOI'!$C$11*H2092)</f>
        <v>0.7833914507113063</v>
      </c>
      <c r="Q2092" s="75">
        <f>IF(P2092&gt;0,1/P2092,NA())</f>
        <v>1.2765010380085418</v>
      </c>
      <c r="R2092" s="75">
        <f>F2092-F2091</f>
        <v>0.005028991339516509</v>
      </c>
      <c r="S2092" s="75">
        <f>0.5*(Q2091+Q2092)*R2092</f>
        <v>0.006419433073810838</v>
      </c>
      <c r="T2092" s="75">
        <f>0.5*(F2091*Q2091+F2092*Q2092)*R2092</f>
        <v>0.054935829034947536</v>
      </c>
      <c r="U2092" s="76">
        <f>U2091+S2092</f>
        <v>10.6424334319452</v>
      </c>
      <c r="V2092" s="76">
        <f>V2091+T2092</f>
        <v>53.66103969379282</v>
      </c>
    </row>
    <row r="2093" spans="1:22" ht="19" customHeight="1">
      <c r="A2093" s="68" t="s">
        <v>374</v>
      </c>
      <c r="B2093" s="74">
        <v>3</v>
      </c>
      <c r="C2093" s="68" t="s">
        <v>363</v>
      </c>
      <c r="D2093" s="68" t="s">
        <v>364</v>
      </c>
      <c r="E2093" s="75">
        <f>60*F2093*'THAM_SO_MOI'!$C$51/(2*PI()*'THAM_SO_MOI'!$C$26)</f>
        <v>2151.5457310355728</v>
      </c>
      <c r="F2093" s="75">
        <f>'HANH_TRINH'!$F$1647+('THAM_SO_MOI'!$F$51-'HANH_TRINH'!$F$1647)*445/'THAM_SO_MOI'!$C$42</f>
        <v>8.565281873430932</v>
      </c>
      <c r="G2093" s="75">
        <f>3.6*F2093</f>
        <v>30.835014744351355</v>
      </c>
      <c r="H2093" s="75">
        <f>'THAM_SO_MOI'!$D$51</f>
        <v>1.375</v>
      </c>
      <c r="I2093" s="75">
        <f>IF(F2093&gt;'THAM_SO_MOI'!$C$14,'THAM_SO_MOI'!$C$13*(1+F2093^2/1500),'THAM_SO_MOI'!$C$13)</f>
        <v>0.015</v>
      </c>
      <c r="J2093" s="75">
        <f>'THAM_SO_MOI'!$C$40*('THAM_SO_MOI'!$C$23*(E2093/'THAM_SO_MOI'!$C$22)+'THAM_SO_MOI'!$C$24*(E2093/'THAM_SO_MOI'!$C$22)^2-'THAM_SO_MOI'!$C$25*(E2093/'THAM_SO_MOI'!$C$22)^3)</f>
        <v>96.89140151617643</v>
      </c>
      <c r="K2093" s="75">
        <f>'THAM_SO_MOI'!$C$31*J2093/E2093</f>
        <v>430.1183536798224</v>
      </c>
      <c r="L2093" s="75">
        <f>K2093*'THAM_SO_MOI'!$C$51*'THAM_SO_MOI'!$C$17/'THAM_SO_MOI'!$C$26</f>
        <v>9617.106828445749</v>
      </c>
      <c r="M2093" s="75">
        <f>'THAM_SO_MOI'!$C$15*'THAM_SO_MOI'!$C$16*F2093^2</f>
        <v>214.58985669612414</v>
      </c>
      <c r="N2093" s="75">
        <f>'THAM_SO_MOI'!$C$12*I2093</f>
        <v>1130.112</v>
      </c>
      <c r="O2093" s="75">
        <f>M2093+N2093</f>
        <v>1344.7018566961242</v>
      </c>
      <c r="P2093" s="75">
        <f>(MIN(L2093,'THAM_SO_MOI'!$C$41)-O2093)/('THAM_SO_MOI'!$C$11*H2093)</f>
        <v>0.7833716829308356</v>
      </c>
      <c r="Q2093" s="75">
        <f>IF(P2093&gt;0,1/P2093,NA())</f>
        <v>1.2765332495281052</v>
      </c>
      <c r="R2093" s="75">
        <f>F2093-F2092</f>
        <v>0.005028991339518285</v>
      </c>
      <c r="S2093" s="75">
        <f>0.5*(Q2092+Q2093)*R2093</f>
        <v>0.006419593660757517</v>
      </c>
      <c r="T2093" s="75">
        <f>0.5*(F2092*Q2092+F2093*Q2093)*R2093</f>
        <v>0.054969487380480284</v>
      </c>
      <c r="U2093" s="76">
        <f>U2092+S2093</f>
        <v>10.648853025605957</v>
      </c>
      <c r="V2093" s="76">
        <f>V2092+T2093</f>
        <v>53.716009181173305</v>
      </c>
    </row>
    <row r="2094" spans="1:22" ht="19" customHeight="1">
      <c r="A2094" s="68" t="s">
        <v>374</v>
      </c>
      <c r="B2094" s="74">
        <v>3</v>
      </c>
      <c r="C2094" s="68" t="s">
        <v>363</v>
      </c>
      <c r="D2094" s="68" t="s">
        <v>364</v>
      </c>
      <c r="E2094" s="75">
        <f>60*F2094*'THAM_SO_MOI'!$C$51/(2*PI()*'THAM_SO_MOI'!$C$26)</f>
        <v>2152.808982497444</v>
      </c>
      <c r="F2094" s="75">
        <f>'HANH_TRINH'!$F$1647+('THAM_SO_MOI'!$F$51-'HANH_TRINH'!$F$1647)*446/'THAM_SO_MOI'!$C$42</f>
        <v>8.570310864770448</v>
      </c>
      <c r="G2094" s="75">
        <f>3.6*F2094</f>
        <v>30.853119113173616</v>
      </c>
      <c r="H2094" s="75">
        <f>'THAM_SO_MOI'!$D$51</f>
        <v>1.375</v>
      </c>
      <c r="I2094" s="75">
        <f>IF(F2094&gt;'THAM_SO_MOI'!$C$14,'THAM_SO_MOI'!$C$13*(1+F2094^2/1500),'THAM_SO_MOI'!$C$13)</f>
        <v>0.015</v>
      </c>
      <c r="J2094" s="75">
        <f>'THAM_SO_MOI'!$C$40*('THAM_SO_MOI'!$C$23*(E2094/'THAM_SO_MOI'!$C$22)+'THAM_SO_MOI'!$C$24*(E2094/'THAM_SO_MOI'!$C$22)^2-'THAM_SO_MOI'!$C$25*(E2094/'THAM_SO_MOI'!$C$22)^3)</f>
        <v>96.9486902611311</v>
      </c>
      <c r="K2094" s="75">
        <f>'THAM_SO_MOI'!$C$31*J2094/E2094</f>
        <v>430.1201294062733</v>
      </c>
      <c r="L2094" s="75">
        <f>K2094*'THAM_SO_MOI'!$C$51*'THAM_SO_MOI'!$C$17/'THAM_SO_MOI'!$C$26</f>
        <v>9617.14653228733</v>
      </c>
      <c r="M2094" s="75">
        <f>'THAM_SO_MOI'!$C$15*'THAM_SO_MOI'!$C$16*F2094^2</f>
        <v>214.84191783249702</v>
      </c>
      <c r="N2094" s="75">
        <f>'THAM_SO_MOI'!$C$12*I2094</f>
        <v>1130.112</v>
      </c>
      <c r="O2094" s="75">
        <f>M2094+N2094</f>
        <v>1344.9539178324972</v>
      </c>
      <c r="P2094" s="75">
        <f>(MIN(L2094,'THAM_SO_MOI'!$C$41)-O2094)/('THAM_SO_MOI'!$C$11*H2094)</f>
        <v>0.783351573338526</v>
      </c>
      <c r="Q2094" s="75">
        <f>IF(P2094&gt;0,1/P2094,NA())</f>
        <v>1.2765660196968152</v>
      </c>
      <c r="R2094" s="75">
        <f>F2094-F2093</f>
        <v>0.005028991339516509</v>
      </c>
      <c r="S2094" s="75">
        <f>0.5*(Q2093+Q2094)*R2094</f>
        <v>0.006419757056929026</v>
      </c>
      <c r="T2094" s="75">
        <f>0.5*(F2093*Q2093+F2094*Q2094)*R2094</f>
        <v>0.05500317141006061</v>
      </c>
      <c r="U2094" s="76">
        <f>U2093+S2094</f>
        <v>10.655272782662886</v>
      </c>
      <c r="V2094" s="76">
        <f>V2093+T2094</f>
        <v>53.77101235258337</v>
      </c>
    </row>
    <row r="2095" spans="1:22" ht="19" customHeight="1">
      <c r="A2095" s="68" t="s">
        <v>374</v>
      </c>
      <c r="B2095" s="74">
        <v>3</v>
      </c>
      <c r="C2095" s="68" t="s">
        <v>363</v>
      </c>
      <c r="D2095" s="68" t="s">
        <v>364</v>
      </c>
      <c r="E2095" s="75">
        <f>60*F2095*'THAM_SO_MOI'!$C$51/(2*PI()*'THAM_SO_MOI'!$C$26)</f>
        <v>2154.0722339593162</v>
      </c>
      <c r="F2095" s="75">
        <f>'HANH_TRINH'!$F$1647+('THAM_SO_MOI'!$F$51-'HANH_TRINH'!$F$1647)*447/'THAM_SO_MOI'!$C$42</f>
        <v>8.575339856109967</v>
      </c>
      <c r="G2095" s="75">
        <f>3.6*F2095</f>
        <v>30.87122348199588</v>
      </c>
      <c r="H2095" s="75">
        <f>'THAM_SO_MOI'!$D$51</f>
        <v>1.375</v>
      </c>
      <c r="I2095" s="75">
        <f>IF(F2095&gt;'THAM_SO_MOI'!$C$14,'THAM_SO_MOI'!$C$13*(1+F2095^2/1500),'THAM_SO_MOI'!$C$13)</f>
        <v>0.015</v>
      </c>
      <c r="J2095" s="75">
        <f>'THAM_SO_MOI'!$C$40*('THAM_SO_MOI'!$C$23*(E2095/'THAM_SO_MOI'!$C$22)+'THAM_SO_MOI'!$C$24*(E2095/'THAM_SO_MOI'!$C$22)^2-'THAM_SO_MOI'!$C$25*(E2095/'THAM_SO_MOI'!$C$22)^3)</f>
        <v>97.00594455975883</v>
      </c>
      <c r="K2095" s="75">
        <f>'THAM_SO_MOI'!$C$31*J2095/E2095</f>
        <v>430.1217503158937</v>
      </c>
      <c r="L2095" s="75">
        <f>K2095*'THAM_SO_MOI'!$C$51*'THAM_SO_MOI'!$C$17/'THAM_SO_MOI'!$C$26</f>
        <v>9617.182774546804</v>
      </c>
      <c r="M2095" s="75">
        <f>'THAM_SO_MOI'!$C$15*'THAM_SO_MOI'!$C$16*F2095^2</f>
        <v>215.09412691978022</v>
      </c>
      <c r="N2095" s="75">
        <f>'THAM_SO_MOI'!$C$12*I2095</f>
        <v>1130.112</v>
      </c>
      <c r="O2095" s="75">
        <f>M2095+N2095</f>
        <v>1345.2061269197802</v>
      </c>
      <c r="P2095" s="75">
        <f>(MIN(L2095,'THAM_SO_MOI'!$C$41)-O2095)/('THAM_SO_MOI'!$C$11*H2095)</f>
        <v>0.7833311219343773</v>
      </c>
      <c r="Q2095" s="75">
        <f>IF(P2095&gt;0,1/P2095,NA())</f>
        <v>1.276599348600596</v>
      </c>
      <c r="R2095" s="75">
        <f>F2095-F2094</f>
        <v>0.005028991339518285</v>
      </c>
      <c r="S2095" s="75">
        <f>0.5*(Q2094+Q2095)*R2095</f>
        <v>0.006419923262762846</v>
      </c>
      <c r="T2095" s="75">
        <f>0.5*(F2094*Q2094+F2095*Q2095)*R2095</f>
        <v>0.05503688116982164</v>
      </c>
      <c r="U2095" s="76">
        <f>U2094+S2095</f>
        <v>10.661692705925649</v>
      </c>
      <c r="V2095" s="76">
        <f>V2094+T2095</f>
        <v>53.82604923375319</v>
      </c>
    </row>
    <row r="2096" spans="1:22" ht="19" customHeight="1">
      <c r="A2096" s="68" t="s">
        <v>374</v>
      </c>
      <c r="B2096" s="74">
        <v>3</v>
      </c>
      <c r="C2096" s="68" t="s">
        <v>363</v>
      </c>
      <c r="D2096" s="68" t="s">
        <v>364</v>
      </c>
      <c r="E2096" s="75">
        <f>60*F2096*'THAM_SO_MOI'!$C$51/(2*PI()*'THAM_SO_MOI'!$C$26)</f>
        <v>2155.335485421188</v>
      </c>
      <c r="F2096" s="75">
        <f>'HANH_TRINH'!$F$1647+('THAM_SO_MOI'!$F$51-'HANH_TRINH'!$F$1647)*448/'THAM_SO_MOI'!$C$42</f>
        <v>8.580368847449485</v>
      </c>
      <c r="G2096" s="75">
        <f>3.6*F2096</f>
        <v>30.889327850818145</v>
      </c>
      <c r="H2096" s="75">
        <f>'THAM_SO_MOI'!$D$51</f>
        <v>1.375</v>
      </c>
      <c r="I2096" s="75">
        <f>IF(F2096&gt;'THAM_SO_MOI'!$C$14,'THAM_SO_MOI'!$C$13*(1+F2096^2/1500),'THAM_SO_MOI'!$C$13)</f>
        <v>0.015</v>
      </c>
      <c r="J2096" s="75">
        <f>'THAM_SO_MOI'!$C$40*('THAM_SO_MOI'!$C$23*(E2096/'THAM_SO_MOI'!$C$22)+'THAM_SO_MOI'!$C$24*(E2096/'THAM_SO_MOI'!$C$22)^2-'THAM_SO_MOI'!$C$25*(E2096/'THAM_SO_MOI'!$C$22)^3)</f>
        <v>97.0631643506302</v>
      </c>
      <c r="K2096" s="75">
        <f>'THAM_SO_MOI'!$C$31*J2096/E2096</f>
        <v>430.1232164086836</v>
      </c>
      <c r="L2096" s="75">
        <f>K2096*'THAM_SO_MOI'!$C$51*'THAM_SO_MOI'!$C$17/'THAM_SO_MOI'!$C$26</f>
        <v>9617.215555224171</v>
      </c>
      <c r="M2096" s="75">
        <f>'THAM_SO_MOI'!$C$15*'THAM_SO_MOI'!$C$16*F2096^2</f>
        <v>215.34648395797367</v>
      </c>
      <c r="N2096" s="75">
        <f>'THAM_SO_MOI'!$C$12*I2096</f>
        <v>1130.112</v>
      </c>
      <c r="O2096" s="75">
        <f>M2096+N2096</f>
        <v>1345.4584839579738</v>
      </c>
      <c r="P2096" s="75">
        <f>(MIN(L2096,'THAM_SO_MOI'!$C$41)-O2096)/('THAM_SO_MOI'!$C$11*H2096)</f>
        <v>0.78331032871839</v>
      </c>
      <c r="Q2096" s="75">
        <f>IF(P2096&gt;0,1/P2096,NA())</f>
        <v>1.2766332363268411</v>
      </c>
      <c r="R2096" s="75">
        <f>F2096-F2095</f>
        <v>0.005028991339518285</v>
      </c>
      <c r="S2096" s="75">
        <f>0.5*(Q2095+Q2096)*R2096</f>
        <v>0.006420092278687983</v>
      </c>
      <c r="T2096" s="75">
        <f>0.5*(F2095*Q2095+F2096*Q2096)*R2096</f>
        <v>0.05507061670583266</v>
      </c>
      <c r="U2096" s="76">
        <f>U2095+S2096</f>
        <v>10.668112798204337</v>
      </c>
      <c r="V2096" s="76">
        <f>V2095+T2096</f>
        <v>53.88111985045902</v>
      </c>
    </row>
    <row r="2097" spans="1:22" ht="19" customHeight="1">
      <c r="A2097" s="68" t="s">
        <v>374</v>
      </c>
      <c r="B2097" s="74">
        <v>3</v>
      </c>
      <c r="C2097" s="68" t="s">
        <v>363</v>
      </c>
      <c r="D2097" s="68" t="s">
        <v>364</v>
      </c>
      <c r="E2097" s="75">
        <f>60*F2097*'THAM_SO_MOI'!$C$51/(2*PI()*'THAM_SO_MOI'!$C$26)</f>
        <v>2156.5987368830597</v>
      </c>
      <c r="F2097" s="75">
        <f>'HANH_TRINH'!$F$1647+('THAM_SO_MOI'!$F$51-'HANH_TRINH'!$F$1647)*449/'THAM_SO_MOI'!$C$42</f>
        <v>8.585397838789003</v>
      </c>
      <c r="G2097" s="75">
        <f>3.6*F2097</f>
        <v>30.907432219640413</v>
      </c>
      <c r="H2097" s="75">
        <f>'THAM_SO_MOI'!$D$51</f>
        <v>1.375</v>
      </c>
      <c r="I2097" s="75">
        <f>IF(F2097&gt;'THAM_SO_MOI'!$C$14,'THAM_SO_MOI'!$C$13*(1+F2097^2/1500),'THAM_SO_MOI'!$C$13)</f>
        <v>0.015</v>
      </c>
      <c r="J2097" s="75">
        <f>'THAM_SO_MOI'!$C$40*('THAM_SO_MOI'!$C$23*(E2097/'THAM_SO_MOI'!$C$22)+'THAM_SO_MOI'!$C$24*(E2097/'THAM_SO_MOI'!$C$22)^2-'THAM_SO_MOI'!$C$25*(E2097/'THAM_SO_MOI'!$C$22)^3)</f>
        <v>97.12034957231583</v>
      </c>
      <c r="K2097" s="75">
        <f>'THAM_SO_MOI'!$C$31*J2097/E2097</f>
        <v>430.12452768464294</v>
      </c>
      <c r="L2097" s="75">
        <f>K2097*'THAM_SO_MOI'!$C$51*'THAM_SO_MOI'!$C$17/'THAM_SO_MOI'!$C$26</f>
        <v>9617.244874319425</v>
      </c>
      <c r="M2097" s="75">
        <f>'THAM_SO_MOI'!$C$15*'THAM_SO_MOI'!$C$16*F2097^2</f>
        <v>215.59898894707746</v>
      </c>
      <c r="N2097" s="75">
        <f>'THAM_SO_MOI'!$C$12*I2097</f>
        <v>1130.112</v>
      </c>
      <c r="O2097" s="75">
        <f>M2097+N2097</f>
        <v>1345.7109889470776</v>
      </c>
      <c r="P2097" s="75">
        <f>(MIN(L2097,'THAM_SO_MOI'!$C$41)-O2097)/('THAM_SO_MOI'!$C$11*H2097)</f>
        <v>0.7832891936905633</v>
      </c>
      <c r="Q2097" s="75">
        <f>IF(P2097&gt;0,1/P2097,NA())</f>
        <v>1.2766676829644197</v>
      </c>
      <c r="R2097" s="75">
        <f>F2097-F2096</f>
        <v>0.005028991339518285</v>
      </c>
      <c r="S2097" s="75">
        <f>0.5*(Q2096+Q2097)*R2097</f>
        <v>0.006420264105149913</v>
      </c>
      <c r="T2097" s="75">
        <f>0.5*(F2096*Q2096+F2097*Q2097)*R2097</f>
        <v>0.055104378064312926</v>
      </c>
      <c r="U2097" s="76">
        <f>U2096+S2097</f>
        <v>10.674533062309488</v>
      </c>
      <c r="V2097" s="76">
        <f>V2096+T2097</f>
        <v>53.936224228523336</v>
      </c>
    </row>
    <row r="2098" spans="1:22" ht="19" customHeight="1">
      <c r="A2098" s="68" t="s">
        <v>374</v>
      </c>
      <c r="B2098" s="74">
        <v>3</v>
      </c>
      <c r="C2098" s="68" t="s">
        <v>363</v>
      </c>
      <c r="D2098" s="68" t="s">
        <v>364</v>
      </c>
      <c r="E2098" s="75">
        <f>60*F2098*'THAM_SO_MOI'!$C$51/(2*PI()*'THAM_SO_MOI'!$C$26)</f>
        <v>2157.8619883449314</v>
      </c>
      <c r="F2098" s="75">
        <f>'HANH_TRINH'!$F$1647+('THAM_SO_MOI'!$F$51-'HANH_TRINH'!$F$1647)*450/'THAM_SO_MOI'!$C$42</f>
        <v>8.59042683012852</v>
      </c>
      <c r="G2098" s="75">
        <f>3.6*F2098</f>
        <v>30.92553658846267</v>
      </c>
      <c r="H2098" s="75">
        <f>'THAM_SO_MOI'!$D$51</f>
        <v>1.375</v>
      </c>
      <c r="I2098" s="75">
        <f>IF(F2098&gt;'THAM_SO_MOI'!$C$14,'THAM_SO_MOI'!$C$13*(1+F2098^2/1500),'THAM_SO_MOI'!$C$13)</f>
        <v>0.015</v>
      </c>
      <c r="J2098" s="75">
        <f>'THAM_SO_MOI'!$C$40*('THAM_SO_MOI'!$C$23*(E2098/'THAM_SO_MOI'!$C$22)+'THAM_SO_MOI'!$C$24*(E2098/'THAM_SO_MOI'!$C$22)^2-'THAM_SO_MOI'!$C$25*(E2098/'THAM_SO_MOI'!$C$22)^3)</f>
        <v>97.17750016338644</v>
      </c>
      <c r="K2098" s="75">
        <f>'THAM_SO_MOI'!$C$31*J2098/E2098</f>
        <v>430.1256841437719</v>
      </c>
      <c r="L2098" s="75">
        <f>K2098*'THAM_SO_MOI'!$C$51*'THAM_SO_MOI'!$C$17/'THAM_SO_MOI'!$C$26</f>
        <v>9617.270731832574</v>
      </c>
      <c r="M2098" s="75">
        <f>'THAM_SO_MOI'!$C$15*'THAM_SO_MOI'!$C$16*F2098^2</f>
        <v>215.8516418870914</v>
      </c>
      <c r="N2098" s="75">
        <f>'THAM_SO_MOI'!$C$12*I2098</f>
        <v>1130.112</v>
      </c>
      <c r="O2098" s="75">
        <f>M2098+N2098</f>
        <v>1345.9636418870914</v>
      </c>
      <c r="P2098" s="75">
        <f>(MIN(L2098,'THAM_SO_MOI'!$C$41)-O2098)/('THAM_SO_MOI'!$C$11*H2098)</f>
        <v>0.783267716850898</v>
      </c>
      <c r="Q2098" s="75">
        <f>IF(P2098&gt;0,1/P2098,NA())</f>
        <v>1.2767026886036705</v>
      </c>
      <c r="R2098" s="75">
        <f>F2098-F2097</f>
        <v>0.005028991339516509</v>
      </c>
      <c r="S2098" s="75">
        <f>0.5*(Q2097+Q2098)*R2098</f>
        <v>0.006420438742596988</v>
      </c>
      <c r="T2098" s="75">
        <f>0.5*(F2097*Q2097+F2098*Q2098)*R2098</f>
        <v>0.05513816529151533</v>
      </c>
      <c r="U2098" s="76">
        <f>U2097+S2098</f>
        <v>10.680953501052084</v>
      </c>
      <c r="V2098" s="76">
        <f>V2097+T2098</f>
        <v>53.99136239381485</v>
      </c>
    </row>
    <row r="2099" spans="1:22" ht="19" customHeight="1">
      <c r="A2099" s="68" t="s">
        <v>374</v>
      </c>
      <c r="B2099" s="74">
        <v>3</v>
      </c>
      <c r="C2099" s="68" t="s">
        <v>363</v>
      </c>
      <c r="D2099" s="68" t="s">
        <v>364</v>
      </c>
      <c r="E2099" s="75">
        <f>60*F2099*'THAM_SO_MOI'!$C$51/(2*PI()*'THAM_SO_MOI'!$C$26)</f>
        <v>2159.1252398068027</v>
      </c>
      <c r="F2099" s="75">
        <f>'HANH_TRINH'!$F$1647+('THAM_SO_MOI'!$F$51-'HANH_TRINH'!$F$1647)*451/'THAM_SO_MOI'!$C$42</f>
        <v>8.595455821468038</v>
      </c>
      <c r="G2099" s="75">
        <f>3.6*F2099</f>
        <v>30.943640957284938</v>
      </c>
      <c r="H2099" s="75">
        <f>'THAM_SO_MOI'!$D$51</f>
        <v>1.375</v>
      </c>
      <c r="I2099" s="75">
        <f>IF(F2099&gt;'THAM_SO_MOI'!$C$14,'THAM_SO_MOI'!$C$13*(1+F2099^2/1500),'THAM_SO_MOI'!$C$13)</f>
        <v>0.015</v>
      </c>
      <c r="J2099" s="75">
        <f>'THAM_SO_MOI'!$C$40*('THAM_SO_MOI'!$C$23*(E2099/'THAM_SO_MOI'!$C$22)+'THAM_SO_MOI'!$C$24*(E2099/'THAM_SO_MOI'!$C$22)^2-'THAM_SO_MOI'!$C$25*(E2099/'THAM_SO_MOI'!$C$22)^3)</f>
        <v>97.2346160624126</v>
      </c>
      <c r="K2099" s="75">
        <f>'THAM_SO_MOI'!$C$31*J2099/E2099</f>
        <v>430.12668578607014</v>
      </c>
      <c r="L2099" s="75">
        <f>K2099*'THAM_SO_MOI'!$C$51*'THAM_SO_MOI'!$C$17/'THAM_SO_MOI'!$C$26</f>
        <v>9617.293127763609</v>
      </c>
      <c r="M2099" s="75">
        <f>'THAM_SO_MOI'!$C$15*'THAM_SO_MOI'!$C$16*F2099^2</f>
        <v>216.1044427780157</v>
      </c>
      <c r="N2099" s="75">
        <f>'THAM_SO_MOI'!$C$12*I2099</f>
        <v>1130.112</v>
      </c>
      <c r="O2099" s="75">
        <f>M2099+N2099</f>
        <v>1346.2164427780158</v>
      </c>
      <c r="P2099" s="75">
        <f>(MIN(L2099,'THAM_SO_MOI'!$C$41)-O2099)/('THAM_SO_MOI'!$C$11*H2099)</f>
        <v>0.7832458981993934</v>
      </c>
      <c r="Q2099" s="75">
        <f>IF(P2099&gt;0,1/P2099,NA())</f>
        <v>1.2767382533364087</v>
      </c>
      <c r="R2099" s="75">
        <f>F2099-F2098</f>
        <v>0.005028991339518285</v>
      </c>
      <c r="S2099" s="75">
        <f>0.5*(Q2098+Q2099)*R2099</f>
        <v>0.006420616191494035</v>
      </c>
      <c r="T2099" s="75">
        <f>0.5*(F2098*Q2098+F2099*Q2099)*R2099</f>
        <v>0.055171978433843374</v>
      </c>
      <c r="U2099" s="76">
        <f>U2098+S2099</f>
        <v>10.687374117243579</v>
      </c>
      <c r="V2099" s="76">
        <f>V2098+T2099</f>
        <v>54.04653437224869</v>
      </c>
    </row>
    <row r="2100" spans="1:22" ht="19" customHeight="1">
      <c r="A2100" s="68" t="s">
        <v>374</v>
      </c>
      <c r="B2100" s="74">
        <v>3</v>
      </c>
      <c r="C2100" s="68" t="s">
        <v>363</v>
      </c>
      <c r="D2100" s="68" t="s">
        <v>364</v>
      </c>
      <c r="E2100" s="75">
        <f>60*F2100*'THAM_SO_MOI'!$C$51/(2*PI()*'THAM_SO_MOI'!$C$26)</f>
        <v>2160.3884912686744</v>
      </c>
      <c r="F2100" s="75">
        <f>'HANH_TRINH'!$F$1647+('THAM_SO_MOI'!$F$51-'HANH_TRINH'!$F$1647)*452/'THAM_SO_MOI'!$C$42</f>
        <v>8.600484812807556</v>
      </c>
      <c r="G2100" s="75">
        <f>3.6*F2100</f>
        <v>30.961745326107202</v>
      </c>
      <c r="H2100" s="75">
        <f>'THAM_SO_MOI'!$D$51</f>
        <v>1.375</v>
      </c>
      <c r="I2100" s="75">
        <f>IF(F2100&gt;'THAM_SO_MOI'!$C$14,'THAM_SO_MOI'!$C$13*(1+F2100^2/1500),'THAM_SO_MOI'!$C$13)</f>
        <v>0.015</v>
      </c>
      <c r="J2100" s="75">
        <f>'THAM_SO_MOI'!$C$40*('THAM_SO_MOI'!$C$23*(E2100/'THAM_SO_MOI'!$C$22)+'THAM_SO_MOI'!$C$24*(E2100/'THAM_SO_MOI'!$C$22)^2-'THAM_SO_MOI'!$C$25*(E2100/'THAM_SO_MOI'!$C$22)^3)</f>
        <v>97.29169720796509</v>
      </c>
      <c r="K2100" s="75">
        <f>'THAM_SO_MOI'!$C$31*J2100/E2100</f>
        <v>430.1275326115381</v>
      </c>
      <c r="L2100" s="75">
        <f>K2100*'THAM_SO_MOI'!$C$51*'THAM_SO_MOI'!$C$17/'THAM_SO_MOI'!$C$26</f>
        <v>9617.31206211254</v>
      </c>
      <c r="M2100" s="75">
        <f>'THAM_SO_MOI'!$C$15*'THAM_SO_MOI'!$C$16*F2100^2</f>
        <v>216.3573916198503</v>
      </c>
      <c r="N2100" s="75">
        <f>'THAM_SO_MOI'!$C$12*I2100</f>
        <v>1130.112</v>
      </c>
      <c r="O2100" s="75">
        <f>M2100+N2100</f>
        <v>1346.4693916198503</v>
      </c>
      <c r="P2100" s="75">
        <f>(MIN(L2100,'THAM_SO_MOI'!$C$41)-O2100)/('THAM_SO_MOI'!$C$11*H2100)</f>
        <v>0.7832237377360501</v>
      </c>
      <c r="Q2100" s="75">
        <f>IF(P2100&gt;0,1/P2100,NA())</f>
        <v>1.2767743772559208</v>
      </c>
      <c r="R2100" s="75">
        <f>F2100-F2099</f>
        <v>0.005028991339518285</v>
      </c>
      <c r="S2100" s="75">
        <f>0.5*(Q2099+Q2100)*R2100</f>
        <v>0.006420796452299689</v>
      </c>
      <c r="T2100" s="75">
        <f>0.5*(F2099*Q2099+F2100*Q2100)*R2100</f>
        <v>0.055205817537656694</v>
      </c>
      <c r="U2100" s="76">
        <f>U2099+S2100</f>
        <v>10.693794913695879</v>
      </c>
      <c r="V2100" s="76">
        <f>V2099+T2100</f>
        <v>54.10174018978635</v>
      </c>
    </row>
    <row r="2101" spans="1:22" ht="19" customHeight="1">
      <c r="A2101" s="68" t="s">
        <v>374</v>
      </c>
      <c r="B2101" s="74">
        <v>3</v>
      </c>
      <c r="C2101" s="68" t="s">
        <v>363</v>
      </c>
      <c r="D2101" s="68" t="s">
        <v>364</v>
      </c>
      <c r="E2101" s="75">
        <f>60*F2101*'THAM_SO_MOI'!$C$51/(2*PI()*'THAM_SO_MOI'!$C$26)</f>
        <v>2161.6517427305457</v>
      </c>
      <c r="F2101" s="75">
        <f>'HANH_TRINH'!$F$1647+('THAM_SO_MOI'!$F$51-'HANH_TRINH'!$F$1647)*453/'THAM_SO_MOI'!$C$42</f>
        <v>8.605513804147073</v>
      </c>
      <c r="G2101" s="75">
        <f>3.6*F2101</f>
        <v>30.979849694929463</v>
      </c>
      <c r="H2101" s="75">
        <f>'THAM_SO_MOI'!$D$51</f>
        <v>1.375</v>
      </c>
      <c r="I2101" s="75">
        <f>IF(F2101&gt;'THAM_SO_MOI'!$C$14,'THAM_SO_MOI'!$C$13*(1+F2101^2/1500),'THAM_SO_MOI'!$C$13)</f>
        <v>0.015</v>
      </c>
      <c r="J2101" s="75">
        <f>'THAM_SO_MOI'!$C$40*('THAM_SO_MOI'!$C$23*(E2101/'THAM_SO_MOI'!$C$22)+'THAM_SO_MOI'!$C$24*(E2101/'THAM_SO_MOI'!$C$22)^2-'THAM_SO_MOI'!$C$25*(E2101/'THAM_SO_MOI'!$C$22)^3)</f>
        <v>97.34874353861441</v>
      </c>
      <c r="K2101" s="75">
        <f>'THAM_SO_MOI'!$C$31*J2101/E2101</f>
        <v>430.1282246201754</v>
      </c>
      <c r="L2101" s="75">
        <f>K2101*'THAM_SO_MOI'!$C$51*'THAM_SO_MOI'!$C$17/'THAM_SO_MOI'!$C$26</f>
        <v>9617.32753487936</v>
      </c>
      <c r="M2101" s="75">
        <f>'THAM_SO_MOI'!$C$15*'THAM_SO_MOI'!$C$16*F2101^2</f>
        <v>216.61048841259503</v>
      </c>
      <c r="N2101" s="75">
        <f>'THAM_SO_MOI'!$C$12*I2101</f>
        <v>1130.112</v>
      </c>
      <c r="O2101" s="75">
        <f>M2101+N2101</f>
        <v>1346.722488412595</v>
      </c>
      <c r="P2101" s="75">
        <f>(MIN(L2101,'THAM_SO_MOI'!$C$41)-O2101)/('THAM_SO_MOI'!$C$11*H2101)</f>
        <v>0.7832012354608678</v>
      </c>
      <c r="Q2101" s="75">
        <f>IF(P2101&gt;0,1/P2101,NA())</f>
        <v>1.2768110604569705</v>
      </c>
      <c r="R2101" s="75">
        <f>F2101-F2100</f>
        <v>0.005028991339516509</v>
      </c>
      <c r="S2101" s="75">
        <f>0.5*(Q2100+Q2101)*R2101</f>
        <v>0.006420979525486802</v>
      </c>
      <c r="T2101" s="75">
        <f>0.5*(F2100*Q2100+F2101*Q2101)*R2101</f>
        <v>0.055239682649446405</v>
      </c>
      <c r="U2101" s="76">
        <f>U2100+S2101</f>
        <v>10.700215893221365</v>
      </c>
      <c r="V2101" s="76">
        <f>V2100+T2101</f>
        <v>54.15697987243579</v>
      </c>
    </row>
    <row r="2102" spans="1:22" ht="19" customHeight="1">
      <c r="A2102" s="68" t="s">
        <v>374</v>
      </c>
      <c r="B2102" s="74">
        <v>3</v>
      </c>
      <c r="C2102" s="68" t="s">
        <v>363</v>
      </c>
      <c r="D2102" s="68" t="s">
        <v>364</v>
      </c>
      <c r="E2102" s="75">
        <f>60*F2102*'THAM_SO_MOI'!$C$51/(2*PI()*'THAM_SO_MOI'!$C$26)</f>
        <v>2162.9149941924175</v>
      </c>
      <c r="F2102" s="75">
        <f>'HANH_TRINH'!$F$1647+('THAM_SO_MOI'!$F$51-'HANH_TRINH'!$F$1647)*454/'THAM_SO_MOI'!$C$42</f>
        <v>8.610542795486591</v>
      </c>
      <c r="G2102" s="75">
        <f>3.6*F2102</f>
        <v>30.997954063751727</v>
      </c>
      <c r="H2102" s="75">
        <f>'THAM_SO_MOI'!$D$51</f>
        <v>1.375</v>
      </c>
      <c r="I2102" s="75">
        <f>IF(F2102&gt;'THAM_SO_MOI'!$C$14,'THAM_SO_MOI'!$C$13*(1+F2102^2/1500),'THAM_SO_MOI'!$C$13)</f>
        <v>0.015</v>
      </c>
      <c r="J2102" s="75">
        <f>'THAM_SO_MOI'!$C$40*('THAM_SO_MOI'!$C$23*(E2102/'THAM_SO_MOI'!$C$22)+'THAM_SO_MOI'!$C$24*(E2102/'THAM_SO_MOI'!$C$22)^2-'THAM_SO_MOI'!$C$25*(E2102/'THAM_SO_MOI'!$C$22)^3)</f>
        <v>97.40575499293132</v>
      </c>
      <c r="K2102" s="75">
        <f>'THAM_SO_MOI'!$C$31*J2102/E2102</f>
        <v>430.1287618119822</v>
      </c>
      <c r="L2102" s="75">
        <f>K2102*'THAM_SO_MOI'!$C$51*'THAM_SO_MOI'!$C$17/'THAM_SO_MOI'!$C$26</f>
        <v>9617.33954606407</v>
      </c>
      <c r="M2102" s="75">
        <f>'THAM_SO_MOI'!$C$15*'THAM_SO_MOI'!$C$16*F2102^2</f>
        <v>216.8637331562502</v>
      </c>
      <c r="N2102" s="75">
        <f>'THAM_SO_MOI'!$C$12*I2102</f>
        <v>1130.112</v>
      </c>
      <c r="O2102" s="75">
        <f>M2102+N2102</f>
        <v>1346.9757331562503</v>
      </c>
      <c r="P2102" s="75">
        <f>(MIN(L2102,'THAM_SO_MOI'!$C$41)-O2102)/('THAM_SO_MOI'!$C$11*H2102)</f>
        <v>0.7831783913738467</v>
      </c>
      <c r="Q2102" s="75">
        <f>IF(P2102&gt;0,1/P2102,NA())</f>
        <v>1.276848303035795</v>
      </c>
      <c r="R2102" s="75">
        <f>F2102-F2101</f>
        <v>0.005028991339518285</v>
      </c>
      <c r="S2102" s="75">
        <f>0.5*(Q2101+Q2102)*R2102</f>
        <v>0.006421165411542446</v>
      </c>
      <c r="T2102" s="75">
        <f>0.5*(F2101*Q2101+F2102*Q2102)*R2102</f>
        <v>0.0552735738158356</v>
      </c>
      <c r="U2102" s="76">
        <f>U2101+S2102</f>
        <v>10.706637058632907</v>
      </c>
      <c r="V2102" s="76">
        <f>V2101+T2102</f>
        <v>54.21225344625163</v>
      </c>
    </row>
    <row r="2103" spans="1:22" ht="19" customHeight="1">
      <c r="A2103" s="68" t="s">
        <v>374</v>
      </c>
      <c r="B2103" s="74">
        <v>3</v>
      </c>
      <c r="C2103" s="68" t="s">
        <v>363</v>
      </c>
      <c r="D2103" s="68" t="s">
        <v>364</v>
      </c>
      <c r="E2103" s="75">
        <f>60*F2103*'THAM_SO_MOI'!$C$51/(2*PI()*'THAM_SO_MOI'!$C$26)</f>
        <v>2164.1782456542896</v>
      </c>
      <c r="F2103" s="75">
        <f>'HANH_TRINH'!$F$1647+('THAM_SO_MOI'!$F$51-'HANH_TRINH'!$F$1647)*455/'THAM_SO_MOI'!$C$42</f>
        <v>8.61557178682611</v>
      </c>
      <c r="G2103" s="75">
        <f>3.6*F2103</f>
        <v>31.016058432573995</v>
      </c>
      <c r="H2103" s="75">
        <f>'THAM_SO_MOI'!$D$51</f>
        <v>1.375</v>
      </c>
      <c r="I2103" s="75">
        <f>IF(F2103&gt;'THAM_SO_MOI'!$C$14,'THAM_SO_MOI'!$C$13*(1+F2103^2/1500),'THAM_SO_MOI'!$C$13)</f>
        <v>0.015</v>
      </c>
      <c r="J2103" s="75">
        <f>'THAM_SO_MOI'!$C$40*('THAM_SO_MOI'!$C$23*(E2103/'THAM_SO_MOI'!$C$22)+'THAM_SO_MOI'!$C$24*(E2103/'THAM_SO_MOI'!$C$22)^2-'THAM_SO_MOI'!$C$25*(E2103/'THAM_SO_MOI'!$C$22)^3)</f>
        <v>97.46273150948645</v>
      </c>
      <c r="K2103" s="75">
        <f>'THAM_SO_MOI'!$C$31*J2103/E2103</f>
        <v>430.1291441869585</v>
      </c>
      <c r="L2103" s="75">
        <f>K2103*'THAM_SO_MOI'!$C$51*'THAM_SO_MOI'!$C$17/'THAM_SO_MOI'!$C$26</f>
        <v>9617.348095666672</v>
      </c>
      <c r="M2103" s="75">
        <f>'THAM_SO_MOI'!$C$15*'THAM_SO_MOI'!$C$16*F2103^2</f>
        <v>217.11712585081557</v>
      </c>
      <c r="N2103" s="75">
        <f>'THAM_SO_MOI'!$C$12*I2103</f>
        <v>1130.112</v>
      </c>
      <c r="O2103" s="75">
        <f>M2103+N2103</f>
        <v>1347.2291258508158</v>
      </c>
      <c r="P2103" s="75">
        <f>(MIN(L2103,'THAM_SO_MOI'!$C$41)-O2103)/('THAM_SO_MOI'!$C$11*H2103)</f>
        <v>0.7831552054749864</v>
      </c>
      <c r="Q2103" s="75">
        <f>IF(P2103&gt;0,1/P2103,NA())</f>
        <v>1.2768861050901097</v>
      </c>
      <c r="R2103" s="75">
        <f>F2103-F2102</f>
        <v>0.005028991339518285</v>
      </c>
      <c r="S2103" s="75">
        <f>0.5*(Q2102+Q2103)*R2103</f>
        <v>0.006421354110947515</v>
      </c>
      <c r="T2103" s="75">
        <f>0.5*(F2102*Q2102+F2103*Q2103)*R2103</f>
        <v>0.0553074910834039</v>
      </c>
      <c r="U2103" s="76">
        <f>U2102+S2103</f>
        <v>10.713058412743855</v>
      </c>
      <c r="V2103" s="76">
        <f>V2102+T2103</f>
        <v>54.267560937335034</v>
      </c>
    </row>
    <row r="2104" spans="1:22" ht="19" customHeight="1">
      <c r="A2104" s="68" t="s">
        <v>374</v>
      </c>
      <c r="B2104" s="74">
        <v>3</v>
      </c>
      <c r="C2104" s="68" t="s">
        <v>363</v>
      </c>
      <c r="D2104" s="68" t="s">
        <v>364</v>
      </c>
      <c r="E2104" s="75">
        <f>60*F2104*'THAM_SO_MOI'!$C$51/(2*PI()*'THAM_SO_MOI'!$C$26)</f>
        <v>2165.441497116161</v>
      </c>
      <c r="F2104" s="75">
        <f>'HANH_TRINH'!$F$1647+('THAM_SO_MOI'!$F$51-'HANH_TRINH'!$F$1647)*456/'THAM_SO_MOI'!$C$42</f>
        <v>8.620600778165626</v>
      </c>
      <c r="G2104" s="75">
        <f>3.6*F2104</f>
        <v>31.034162801396253</v>
      </c>
      <c r="H2104" s="75">
        <f>'THAM_SO_MOI'!$D$51</f>
        <v>1.375</v>
      </c>
      <c r="I2104" s="75">
        <f>IF(F2104&gt;'THAM_SO_MOI'!$C$14,'THAM_SO_MOI'!$C$13*(1+F2104^2/1500),'THAM_SO_MOI'!$C$13)</f>
        <v>0.015</v>
      </c>
      <c r="J2104" s="75">
        <f>'THAM_SO_MOI'!$C$40*('THAM_SO_MOI'!$C$23*(E2104/'THAM_SO_MOI'!$C$22)+'THAM_SO_MOI'!$C$24*(E2104/'THAM_SO_MOI'!$C$22)^2-'THAM_SO_MOI'!$C$25*(E2104/'THAM_SO_MOI'!$C$22)^3)</f>
        <v>97.51967302685038</v>
      </c>
      <c r="K2104" s="75">
        <f>'THAM_SO_MOI'!$C$31*J2104/E2104</f>
        <v>430.1293717451043</v>
      </c>
      <c r="L2104" s="75">
        <f>K2104*'THAM_SO_MOI'!$C$51*'THAM_SO_MOI'!$C$17/'THAM_SO_MOI'!$C$26</f>
        <v>9617.353183687164</v>
      </c>
      <c r="M2104" s="75">
        <f>'THAM_SO_MOI'!$C$15*'THAM_SO_MOI'!$C$16*F2104^2</f>
        <v>217.37066649629116</v>
      </c>
      <c r="N2104" s="75">
        <f>'THAM_SO_MOI'!$C$12*I2104</f>
        <v>1130.112</v>
      </c>
      <c r="O2104" s="75">
        <f>M2104+N2104</f>
        <v>1347.4826664962911</v>
      </c>
      <c r="P2104" s="75">
        <f>(MIN(L2104,'THAM_SO_MOI'!$C$41)-O2104)/('THAM_SO_MOI'!$C$11*H2104)</f>
        <v>0.7831316777642873</v>
      </c>
      <c r="Q2104" s="75">
        <f>IF(P2104&gt;0,1/P2104,NA())</f>
        <v>1.2769244667191044</v>
      </c>
      <c r="R2104" s="75">
        <f>F2104-F2103</f>
        <v>0.005028991339516509</v>
      </c>
      <c r="S2104" s="75">
        <f>0.5*(Q2103+Q2104)*R2104</f>
        <v>0.00642154562419712</v>
      </c>
      <c r="T2104" s="75">
        <f>0.5*(F2103*Q2103+F2104*Q2104)*R2104</f>
        <v>0.0553414344988632</v>
      </c>
      <c r="U2104" s="76">
        <f>U2103+S2104</f>
        <v>10.719479958368053</v>
      </c>
      <c r="V2104" s="76">
        <f>V2103+T2104</f>
        <v>54.3229023718339</v>
      </c>
    </row>
    <row r="2105" spans="1:22" ht="19" customHeight="1">
      <c r="A2105" s="68" t="s">
        <v>374</v>
      </c>
      <c r="B2105" s="74">
        <v>3</v>
      </c>
      <c r="C2105" s="68" t="s">
        <v>363</v>
      </c>
      <c r="D2105" s="68" t="s">
        <v>364</v>
      </c>
      <c r="E2105" s="75">
        <f>60*F2105*'THAM_SO_MOI'!$C$51/(2*PI()*'THAM_SO_MOI'!$C$26)</f>
        <v>2166.7047485780326</v>
      </c>
      <c r="F2105" s="75">
        <f>'HANH_TRINH'!$F$1647+('THAM_SO_MOI'!$F$51-'HANH_TRINH'!$F$1647)*457/'THAM_SO_MOI'!$C$42</f>
        <v>8.625629769505144</v>
      </c>
      <c r="G2105" s="75">
        <f>3.6*F2105</f>
        <v>31.05226717021852</v>
      </c>
      <c r="H2105" s="75">
        <f>'THAM_SO_MOI'!$D$51</f>
        <v>1.375</v>
      </c>
      <c r="I2105" s="75">
        <f>IF(F2105&gt;'THAM_SO_MOI'!$C$14,'THAM_SO_MOI'!$C$13*(1+F2105^2/1500),'THAM_SO_MOI'!$C$13)</f>
        <v>0.015</v>
      </c>
      <c r="J2105" s="75">
        <f>'THAM_SO_MOI'!$C$40*('THAM_SO_MOI'!$C$23*(E2105/'THAM_SO_MOI'!$C$22)+'THAM_SO_MOI'!$C$24*(E2105/'THAM_SO_MOI'!$C$22)^2-'THAM_SO_MOI'!$C$25*(E2105/'THAM_SO_MOI'!$C$22)^3)</f>
        <v>97.57657948359385</v>
      </c>
      <c r="K2105" s="75">
        <f>'THAM_SO_MOI'!$C$31*J2105/E2105</f>
        <v>430.12944448641963</v>
      </c>
      <c r="L2105" s="75">
        <f>K2105*'THAM_SO_MOI'!$C$51*'THAM_SO_MOI'!$C$17/'THAM_SO_MOI'!$C$26</f>
        <v>9617.354810125551</v>
      </c>
      <c r="M2105" s="75">
        <f>'THAM_SO_MOI'!$C$15*'THAM_SO_MOI'!$C$16*F2105^2</f>
        <v>217.62435509267712</v>
      </c>
      <c r="N2105" s="75">
        <f>'THAM_SO_MOI'!$C$12*I2105</f>
        <v>1130.112</v>
      </c>
      <c r="O2105" s="75">
        <f>M2105+N2105</f>
        <v>1347.7363550926773</v>
      </c>
      <c r="P2105" s="75">
        <f>(MIN(L2105,'THAM_SO_MOI'!$C$41)-O2105)/('THAM_SO_MOI'!$C$11*H2105)</f>
        <v>0.7831078082417493</v>
      </c>
      <c r="Q2105" s="75">
        <f>IF(P2105&gt;0,1/P2105,NA())</f>
        <v>1.276963388023447</v>
      </c>
      <c r="R2105" s="75">
        <f>F2105-F2104</f>
        <v>0.005028991339518285</v>
      </c>
      <c r="S2105" s="75">
        <f>0.5*(Q2104+Q2105)*R2105</f>
        <v>0.0064217399518006115</v>
      </c>
      <c r="T2105" s="75">
        <f>0.5*(F2104*Q2104+F2105*Q2105)*R2105</f>
        <v>0.055375404109058037</v>
      </c>
      <c r="U2105" s="76">
        <f>U2104+S2105</f>
        <v>10.725901698319854</v>
      </c>
      <c r="V2105" s="76">
        <f>V2104+T2105</f>
        <v>54.378277775942955</v>
      </c>
    </row>
    <row r="2106" spans="1:22" ht="19" customHeight="1">
      <c r="A2106" s="68" t="s">
        <v>374</v>
      </c>
      <c r="B2106" s="74">
        <v>3</v>
      </c>
      <c r="C2106" s="68" t="s">
        <v>363</v>
      </c>
      <c r="D2106" s="68" t="s">
        <v>364</v>
      </c>
      <c r="E2106" s="75">
        <f>60*F2106*'THAM_SO_MOI'!$C$51/(2*PI()*'THAM_SO_MOI'!$C$26)</f>
        <v>2167.968000039904</v>
      </c>
      <c r="F2106" s="75">
        <f>'HANH_TRINH'!$F$1647+('THAM_SO_MOI'!$F$51-'HANH_TRINH'!$F$1647)*458/'THAM_SO_MOI'!$C$42</f>
        <v>8.63065876084466</v>
      </c>
      <c r="G2106" s="75">
        <f>3.6*F2106</f>
        <v>31.070371539040778</v>
      </c>
      <c r="H2106" s="75">
        <f>'THAM_SO_MOI'!$D$51</f>
        <v>1.375</v>
      </c>
      <c r="I2106" s="75">
        <f>IF(F2106&gt;'THAM_SO_MOI'!$C$14,'THAM_SO_MOI'!$C$13*(1+F2106^2/1500),'THAM_SO_MOI'!$C$13)</f>
        <v>0.015</v>
      </c>
      <c r="J2106" s="75">
        <f>'THAM_SO_MOI'!$C$40*('THAM_SO_MOI'!$C$23*(E2106/'THAM_SO_MOI'!$C$22)+'THAM_SO_MOI'!$C$24*(E2106/'THAM_SO_MOI'!$C$22)^2-'THAM_SO_MOI'!$C$25*(E2106/'THAM_SO_MOI'!$C$22)^3)</f>
        <v>97.63345081828747</v>
      </c>
      <c r="K2106" s="75">
        <f>'THAM_SO_MOI'!$C$31*J2106/E2106</f>
        <v>430.1293624109045</v>
      </c>
      <c r="L2106" s="75">
        <f>K2106*'THAM_SO_MOI'!$C$51*'THAM_SO_MOI'!$C$17/'THAM_SO_MOI'!$C$26</f>
        <v>9617.352974981826</v>
      </c>
      <c r="M2106" s="75">
        <f>'THAM_SO_MOI'!$C$15*'THAM_SO_MOI'!$C$16*F2106^2</f>
        <v>217.87819163997324</v>
      </c>
      <c r="N2106" s="75">
        <f>'THAM_SO_MOI'!$C$12*I2106</f>
        <v>1130.112</v>
      </c>
      <c r="O2106" s="75">
        <f>M2106+N2106</f>
        <v>1347.9901916399733</v>
      </c>
      <c r="P2106" s="75">
        <f>(MIN(L2106,'THAM_SO_MOI'!$C$41)-O2106)/('THAM_SO_MOI'!$C$11*H2106)</f>
        <v>0.7830835969073725</v>
      </c>
      <c r="Q2106" s="75">
        <f>IF(P2106&gt;0,1/P2106,NA())</f>
        <v>1.2770028691052835</v>
      </c>
      <c r="R2106" s="75">
        <f>F2106-F2105</f>
        <v>0.005028991339516509</v>
      </c>
      <c r="S2106" s="75">
        <f>0.5*(Q2105+Q2106)*R2106</f>
        <v>0.00642193709425889</v>
      </c>
      <c r="T2106" s="75">
        <f>0.5*(F2105*Q2105+F2106*Q2106)*R2106</f>
        <v>0.05540939996077039</v>
      </c>
      <c r="U2106" s="76">
        <f>U2105+S2106</f>
        <v>10.732323635414113</v>
      </c>
      <c r="V2106" s="76">
        <f>V2105+T2106</f>
        <v>54.43368717590373</v>
      </c>
    </row>
    <row r="2107" spans="1:22" ht="19" customHeight="1">
      <c r="A2107" s="68" t="s">
        <v>374</v>
      </c>
      <c r="B2107" s="74">
        <v>3</v>
      </c>
      <c r="C2107" s="68" t="s">
        <v>363</v>
      </c>
      <c r="D2107" s="68" t="s">
        <v>364</v>
      </c>
      <c r="E2107" s="75">
        <f>60*F2107*'THAM_SO_MOI'!$C$51/(2*PI()*'THAM_SO_MOI'!$C$26)</f>
        <v>2169.2312515017757</v>
      </c>
      <c r="F2107" s="75">
        <f>'HANH_TRINH'!$F$1647+('THAM_SO_MOI'!$F$51-'HANH_TRINH'!$F$1647)*459/'THAM_SO_MOI'!$C$42</f>
        <v>8.635687752184179</v>
      </c>
      <c r="G2107" s="75">
        <f>3.6*F2107</f>
        <v>31.088475907863046</v>
      </c>
      <c r="H2107" s="75">
        <f>'THAM_SO_MOI'!$D$51</f>
        <v>1.375</v>
      </c>
      <c r="I2107" s="75">
        <f>IF(F2107&gt;'THAM_SO_MOI'!$C$14,'THAM_SO_MOI'!$C$13*(1+F2107^2/1500),'THAM_SO_MOI'!$C$13)</f>
        <v>0.015</v>
      </c>
      <c r="J2107" s="75">
        <f>'THAM_SO_MOI'!$C$40*('THAM_SO_MOI'!$C$23*(E2107/'THAM_SO_MOI'!$C$22)+'THAM_SO_MOI'!$C$24*(E2107/'THAM_SO_MOI'!$C$22)^2-'THAM_SO_MOI'!$C$25*(E2107/'THAM_SO_MOI'!$C$22)^3)</f>
        <v>97.69028696950191</v>
      </c>
      <c r="K2107" s="75">
        <f>'THAM_SO_MOI'!$C$31*J2107/E2107</f>
        <v>430.1291255185589</v>
      </c>
      <c r="L2107" s="75">
        <f>K2107*'THAM_SO_MOI'!$C$51*'THAM_SO_MOI'!$C$17/'THAM_SO_MOI'!$C$26</f>
        <v>9617.347678255996</v>
      </c>
      <c r="M2107" s="75">
        <f>'THAM_SO_MOI'!$C$15*'THAM_SO_MOI'!$C$16*F2107^2</f>
        <v>218.13217613817974</v>
      </c>
      <c r="N2107" s="75">
        <f>'THAM_SO_MOI'!$C$12*I2107</f>
        <v>1130.112</v>
      </c>
      <c r="O2107" s="75">
        <f>M2107+N2107</f>
        <v>1348.24417613818</v>
      </c>
      <c r="P2107" s="75">
        <f>(MIN(L2107,'THAM_SO_MOI'!$C$41)-O2107)/('THAM_SO_MOI'!$C$11*H2107)</f>
        <v>0.7830590437611566</v>
      </c>
      <c r="Q2107" s="75">
        <f>IF(P2107&gt;0,1/P2107,NA())</f>
        <v>1.277042910068239</v>
      </c>
      <c r="R2107" s="75">
        <f>F2107-F2106</f>
        <v>0.005028991339518285</v>
      </c>
      <c r="S2107" s="75">
        <f>0.5*(Q2106+Q2107)*R2107</f>
        <v>0.006422137052098437</v>
      </c>
      <c r="T2107" s="75">
        <f>0.5*(F2106*Q2106+F2107*Q2107)*R2107</f>
        <v>0.055443422101013114</v>
      </c>
      <c r="U2107" s="76">
        <f>U2106+S2107</f>
        <v>10.738745772466212</v>
      </c>
      <c r="V2107" s="76">
        <f>V2106+T2107</f>
        <v>54.48913059800474</v>
      </c>
    </row>
    <row r="2108" spans="1:22" ht="19" customHeight="1">
      <c r="A2108" s="68" t="s">
        <v>374</v>
      </c>
      <c r="B2108" s="74">
        <v>3</v>
      </c>
      <c r="C2108" s="68" t="s">
        <v>363</v>
      </c>
      <c r="D2108" s="68" t="s">
        <v>364</v>
      </c>
      <c r="E2108" s="75">
        <f>60*F2108*'THAM_SO_MOI'!$C$51/(2*PI()*'THAM_SO_MOI'!$C$26)</f>
        <v>2170.4945029636474</v>
      </c>
      <c r="F2108" s="75">
        <f>'HANH_TRINH'!$F$1647+('THAM_SO_MOI'!$F$51-'HANH_TRINH'!$F$1647)*460/'THAM_SO_MOI'!$C$42</f>
        <v>8.640716743523697</v>
      </c>
      <c r="G2108" s="75">
        <f>3.6*F2108</f>
        <v>31.10658027668531</v>
      </c>
      <c r="H2108" s="75">
        <f>'THAM_SO_MOI'!$D$51</f>
        <v>1.375</v>
      </c>
      <c r="I2108" s="75">
        <f>IF(F2108&gt;'THAM_SO_MOI'!$C$14,'THAM_SO_MOI'!$C$13*(1+F2108^2/1500),'THAM_SO_MOI'!$C$13)</f>
        <v>0.015</v>
      </c>
      <c r="J2108" s="75">
        <f>'THAM_SO_MOI'!$C$40*('THAM_SO_MOI'!$C$23*(E2108/'THAM_SO_MOI'!$C$22)+'THAM_SO_MOI'!$C$24*(E2108/'THAM_SO_MOI'!$C$22)^2-'THAM_SO_MOI'!$C$25*(E2108/'THAM_SO_MOI'!$C$22)^3)</f>
        <v>97.74708787580778</v>
      </c>
      <c r="K2108" s="75">
        <f>'THAM_SO_MOI'!$C$31*J2108/E2108</f>
        <v>430.1287338093826</v>
      </c>
      <c r="L2108" s="75">
        <f>K2108*'THAM_SO_MOI'!$C$51*'THAM_SO_MOI'!$C$17/'THAM_SO_MOI'!$C$26</f>
        <v>9617.33891994805</v>
      </c>
      <c r="M2108" s="75">
        <f>'THAM_SO_MOI'!$C$15*'THAM_SO_MOI'!$C$16*F2108^2</f>
        <v>218.38630858729653</v>
      </c>
      <c r="N2108" s="75">
        <f>'THAM_SO_MOI'!$C$12*I2108</f>
        <v>1130.112</v>
      </c>
      <c r="O2108" s="75">
        <f>M2108+N2108</f>
        <v>1348.4983085872966</v>
      </c>
      <c r="P2108" s="75">
        <f>(MIN(L2108,'THAM_SO_MOI'!$C$41)-O2108)/('THAM_SO_MOI'!$C$11*H2108)</f>
        <v>0.7830341488031015</v>
      </c>
      <c r="Q2108" s="75">
        <f>IF(P2108&gt;0,1/P2108,NA())</f>
        <v>1.2770835110174177</v>
      </c>
      <c r="R2108" s="75">
        <f>F2108-F2107</f>
        <v>0.005028991339518285</v>
      </c>
      <c r="S2108" s="75">
        <f>0.5*(Q2107+Q2108)*R2108</f>
        <v>0.0064223398258373</v>
      </c>
      <c r="T2108" s="75">
        <f>0.5*(F2107*Q2107+F2108*Q2108)*R2108</f>
        <v>0.05547747057673679</v>
      </c>
      <c r="U2108" s="76">
        <f>U2107+S2108</f>
        <v>10.745168112292049</v>
      </c>
      <c r="V2108" s="76">
        <f>V2107+T2108</f>
        <v>54.54460806858148</v>
      </c>
    </row>
    <row r="2109" spans="1:22" ht="19" customHeight="1">
      <c r="A2109" s="68" t="s">
        <v>374</v>
      </c>
      <c r="B2109" s="74">
        <v>3</v>
      </c>
      <c r="C2109" s="68" t="s">
        <v>363</v>
      </c>
      <c r="D2109" s="68" t="s">
        <v>364</v>
      </c>
      <c r="E2109" s="75">
        <f>60*F2109*'THAM_SO_MOI'!$C$51/(2*PI()*'THAM_SO_MOI'!$C$26)</f>
        <v>2171.7577544255187</v>
      </c>
      <c r="F2109" s="75">
        <f>'HANH_TRINH'!$F$1647+('THAM_SO_MOI'!$F$51-'HANH_TRINH'!$F$1647)*461/'THAM_SO_MOI'!$C$42</f>
        <v>8.645745734863215</v>
      </c>
      <c r="G2109" s="75">
        <f>3.6*F2109</f>
        <v>31.124684645507575</v>
      </c>
      <c r="H2109" s="75">
        <f>'THAM_SO_MOI'!$D$51</f>
        <v>1.375</v>
      </c>
      <c r="I2109" s="75">
        <f>IF(F2109&gt;'THAM_SO_MOI'!$C$14,'THAM_SO_MOI'!$C$13*(1+F2109^2/1500),'THAM_SO_MOI'!$C$13)</f>
        <v>0.015</v>
      </c>
      <c r="J2109" s="75">
        <f>'THAM_SO_MOI'!$C$40*('THAM_SO_MOI'!$C$23*(E2109/'THAM_SO_MOI'!$C$22)+'THAM_SO_MOI'!$C$24*(E2109/'THAM_SO_MOI'!$C$22)^2-'THAM_SO_MOI'!$C$25*(E2109/'THAM_SO_MOI'!$C$22)^3)</f>
        <v>97.80385347577574</v>
      </c>
      <c r="K2109" s="75">
        <f>'THAM_SO_MOI'!$C$31*J2109/E2109</f>
        <v>430.12818728337584</v>
      </c>
      <c r="L2109" s="75">
        <f>K2109*'THAM_SO_MOI'!$C$51*'THAM_SO_MOI'!$C$17/'THAM_SO_MOI'!$C$26</f>
        <v>9617.326700057998</v>
      </c>
      <c r="M2109" s="75">
        <f>'THAM_SO_MOI'!$C$15*'THAM_SO_MOI'!$C$16*F2109^2</f>
        <v>218.64058898732355</v>
      </c>
      <c r="N2109" s="75">
        <f>'THAM_SO_MOI'!$C$12*I2109</f>
        <v>1130.112</v>
      </c>
      <c r="O2109" s="75">
        <f>M2109+N2109</f>
        <v>1348.7525889873236</v>
      </c>
      <c r="P2109" s="75">
        <f>(MIN(L2109,'THAM_SO_MOI'!$C$41)-O2109)/('THAM_SO_MOI'!$C$11*H2109)</f>
        <v>0.7830089120332077</v>
      </c>
      <c r="Q2109" s="75">
        <f>IF(P2109&gt;0,1/P2109,NA())</f>
        <v>1.2771246720594027</v>
      </c>
      <c r="R2109" s="75">
        <f>F2109-F2108</f>
        <v>0.005028991339518285</v>
      </c>
      <c r="S2109" s="75">
        <f>0.5*(Q2108+Q2109)*R2109</f>
        <v>0.006422545416010032</v>
      </c>
      <c r="T2109" s="75">
        <f>0.5*(F2108*Q2108+F2109*Q2109)*R2109</f>
        <v>0.05551154543504508</v>
      </c>
      <c r="U2109" s="76">
        <f>U2108+S2109</f>
        <v>10.751590657708059</v>
      </c>
      <c r="V2109" s="76">
        <f>V2108+T2109</f>
        <v>54.60011961401653</v>
      </c>
    </row>
    <row r="2110" spans="1:22" ht="19" customHeight="1">
      <c r="A2110" s="68" t="s">
        <v>374</v>
      </c>
      <c r="B2110" s="74">
        <v>3</v>
      </c>
      <c r="C2110" s="68" t="s">
        <v>363</v>
      </c>
      <c r="D2110" s="68" t="s">
        <v>364</v>
      </c>
      <c r="E2110" s="75">
        <f>60*F2110*'THAM_SO_MOI'!$C$51/(2*PI()*'THAM_SO_MOI'!$C$26)</f>
        <v>2173.0210058873904</v>
      </c>
      <c r="F2110" s="75">
        <f>'HANH_TRINH'!$F$1647+('THAM_SO_MOI'!$F$51-'HANH_TRINH'!$F$1647)*462/'THAM_SO_MOI'!$C$42</f>
        <v>8.650774726202732</v>
      </c>
      <c r="G2110" s="75">
        <f>3.6*F2110</f>
        <v>31.142789014329836</v>
      </c>
      <c r="H2110" s="75">
        <f>'THAM_SO_MOI'!$D$51</f>
        <v>1.375</v>
      </c>
      <c r="I2110" s="75">
        <f>IF(F2110&gt;'THAM_SO_MOI'!$C$14,'THAM_SO_MOI'!$C$13*(1+F2110^2/1500),'THAM_SO_MOI'!$C$13)</f>
        <v>0.015</v>
      </c>
      <c r="J2110" s="75">
        <f>'THAM_SO_MOI'!$C$40*('THAM_SO_MOI'!$C$23*(E2110/'THAM_SO_MOI'!$C$22)+'THAM_SO_MOI'!$C$24*(E2110/'THAM_SO_MOI'!$C$22)^2-'THAM_SO_MOI'!$C$25*(E2110/'THAM_SO_MOI'!$C$22)^3)</f>
        <v>97.8605837079765</v>
      </c>
      <c r="K2110" s="75">
        <f>'THAM_SO_MOI'!$C$31*J2110/E2110</f>
        <v>430.12748594053875</v>
      </c>
      <c r="L2110" s="75">
        <f>K2110*'THAM_SO_MOI'!$C$51*'THAM_SO_MOI'!$C$17/'THAM_SO_MOI'!$C$26</f>
        <v>9617.31101858584</v>
      </c>
      <c r="M2110" s="75">
        <f>'THAM_SO_MOI'!$C$15*'THAM_SO_MOI'!$C$16*F2110^2</f>
        <v>218.89501733826077</v>
      </c>
      <c r="N2110" s="75">
        <f>'THAM_SO_MOI'!$C$12*I2110</f>
        <v>1130.112</v>
      </c>
      <c r="O2110" s="75">
        <f>M2110+N2110</f>
        <v>1349.0070173382608</v>
      </c>
      <c r="P2110" s="75">
        <f>(MIN(L2110,'THAM_SO_MOI'!$C$41)-O2110)/('THAM_SO_MOI'!$C$11*H2110)</f>
        <v>0.7829833334514753</v>
      </c>
      <c r="Q2110" s="75">
        <f>IF(P2110&gt;0,1/P2110,NA())</f>
        <v>1.2771663933022581</v>
      </c>
      <c r="R2110" s="75">
        <f>F2110-F2109</f>
        <v>0.005028991339516509</v>
      </c>
      <c r="S2110" s="75">
        <f>0.5*(Q2109+Q2110)*R2110</f>
        <v>0.006422753823154095</v>
      </c>
      <c r="T2110" s="75">
        <f>0.5*(F2109*Q2109+F2110*Q2110)*R2110</f>
        <v>0.05554564672307758</v>
      </c>
      <c r="U2110" s="76">
        <f>U2109+S2110</f>
        <v>10.758013411531213</v>
      </c>
      <c r="V2110" s="76">
        <f>V2109+T2110</f>
        <v>54.6556652607396</v>
      </c>
    </row>
    <row r="2111" spans="1:22" ht="19" customHeight="1">
      <c r="A2111" s="68" t="s">
        <v>374</v>
      </c>
      <c r="B2111" s="74">
        <v>3</v>
      </c>
      <c r="C2111" s="68" t="s">
        <v>363</v>
      </c>
      <c r="D2111" s="68" t="s">
        <v>364</v>
      </c>
      <c r="E2111" s="75">
        <f>60*F2111*'THAM_SO_MOI'!$C$51/(2*PI()*'THAM_SO_MOI'!$C$26)</f>
        <v>2174.284257349262</v>
      </c>
      <c r="F2111" s="75">
        <f>'HANH_TRINH'!$F$1647+('THAM_SO_MOI'!$F$51-'HANH_TRINH'!$F$1647)*463/'THAM_SO_MOI'!$C$42</f>
        <v>8.65580371754225</v>
      </c>
      <c r="G2111" s="75">
        <f>3.6*F2111</f>
        <v>31.1608933831521</v>
      </c>
      <c r="H2111" s="75">
        <f>'THAM_SO_MOI'!$D$51</f>
        <v>1.375</v>
      </c>
      <c r="I2111" s="75">
        <f>IF(F2111&gt;'THAM_SO_MOI'!$C$14,'THAM_SO_MOI'!$C$13*(1+F2111^2/1500),'THAM_SO_MOI'!$C$13)</f>
        <v>0.015</v>
      </c>
      <c r="J2111" s="75">
        <f>'THAM_SO_MOI'!$C$40*('THAM_SO_MOI'!$C$23*(E2111/'THAM_SO_MOI'!$C$22)+'THAM_SO_MOI'!$C$24*(E2111/'THAM_SO_MOI'!$C$22)^2-'THAM_SO_MOI'!$C$25*(E2111/'THAM_SO_MOI'!$C$22)^3)</f>
        <v>97.91727851098064</v>
      </c>
      <c r="K2111" s="75">
        <f>'THAM_SO_MOI'!$C$31*J2111/E2111</f>
        <v>430.126629780871</v>
      </c>
      <c r="L2111" s="75">
        <f>K2111*'THAM_SO_MOI'!$C$51*'THAM_SO_MOI'!$C$17/'THAM_SO_MOI'!$C$26</f>
        <v>9617.29187553157</v>
      </c>
      <c r="M2111" s="75">
        <f>'THAM_SO_MOI'!$C$15*'THAM_SO_MOI'!$C$16*F2111^2</f>
        <v>219.14959364010838</v>
      </c>
      <c r="N2111" s="75">
        <f>'THAM_SO_MOI'!$C$12*I2111</f>
        <v>1130.112</v>
      </c>
      <c r="O2111" s="75">
        <f>M2111+N2111</f>
        <v>1349.2615936401085</v>
      </c>
      <c r="P2111" s="75">
        <f>(MIN(L2111,'THAM_SO_MOI'!$C$41)-O2111)/('THAM_SO_MOI'!$C$11*H2111)</f>
        <v>0.7829574130579035</v>
      </c>
      <c r="Q2111" s="75">
        <f>IF(P2111&gt;0,1/P2111,NA())</f>
        <v>1.2772086748555316</v>
      </c>
      <c r="R2111" s="75">
        <f>F2111-F2110</f>
        <v>0.005028991339518285</v>
      </c>
      <c r="S2111" s="75">
        <f>0.5*(Q2110+Q2111)*R2111</f>
        <v>0.006422965047823477</v>
      </c>
      <c r="T2111" s="75">
        <f>0.5*(F2110*Q2110+F2111*Q2111)*R2111</f>
        <v>0.05557977448812771</v>
      </c>
      <c r="U2111" s="76">
        <f>U2110+S2111</f>
        <v>10.764436376579036</v>
      </c>
      <c r="V2111" s="76">
        <f>V2110+T2111</f>
        <v>54.71124503522773</v>
      </c>
    </row>
    <row r="2112" spans="1:22" ht="19" customHeight="1">
      <c r="A2112" s="68" t="s">
        <v>374</v>
      </c>
      <c r="B2112" s="74">
        <v>3</v>
      </c>
      <c r="C2112" s="68" t="s">
        <v>363</v>
      </c>
      <c r="D2112" s="68" t="s">
        <v>364</v>
      </c>
      <c r="E2112" s="75">
        <f>60*F2112*'THAM_SO_MOI'!$C$51/(2*PI()*'THAM_SO_MOI'!$C$26)</f>
        <v>2175.547508811134</v>
      </c>
      <c r="F2112" s="75">
        <f>'HANH_TRINH'!$F$1647+('THAM_SO_MOI'!$F$51-'HANH_TRINH'!$F$1647)*464/'THAM_SO_MOI'!$C$42</f>
        <v>8.660832708881767</v>
      </c>
      <c r="G2112" s="75">
        <f>3.6*F2112</f>
        <v>31.17899775197436</v>
      </c>
      <c r="H2112" s="75">
        <f>'THAM_SO_MOI'!$D$51</f>
        <v>1.375</v>
      </c>
      <c r="I2112" s="75">
        <f>IF(F2112&gt;'THAM_SO_MOI'!$C$14,'THAM_SO_MOI'!$C$13*(1+F2112^2/1500),'THAM_SO_MOI'!$C$13)</f>
        <v>0.015</v>
      </c>
      <c r="J2112" s="75">
        <f>'THAM_SO_MOI'!$C$40*('THAM_SO_MOI'!$C$23*(E2112/'THAM_SO_MOI'!$C$22)+'THAM_SO_MOI'!$C$24*(E2112/'THAM_SO_MOI'!$C$22)^2-'THAM_SO_MOI'!$C$25*(E2112/'THAM_SO_MOI'!$C$22)^3)</f>
        <v>97.97393782335881</v>
      </c>
      <c r="K2112" s="75">
        <f>'THAM_SO_MOI'!$C$31*J2112/E2112</f>
        <v>430.1256188043726</v>
      </c>
      <c r="L2112" s="75">
        <f>K2112*'THAM_SO_MOI'!$C$51*'THAM_SO_MOI'!$C$17/'THAM_SO_MOI'!$C$26</f>
        <v>9617.269270895189</v>
      </c>
      <c r="M2112" s="75">
        <f>'THAM_SO_MOI'!$C$15*'THAM_SO_MOI'!$C$16*F2112^2</f>
        <v>219.40431789286615</v>
      </c>
      <c r="N2112" s="75">
        <f>'THAM_SO_MOI'!$C$12*I2112</f>
        <v>1130.112</v>
      </c>
      <c r="O2112" s="75">
        <f>M2112+N2112</f>
        <v>1349.5163178928663</v>
      </c>
      <c r="P2112" s="75">
        <f>(MIN(L2112,'THAM_SO_MOI'!$C$41)-O2112)/('THAM_SO_MOI'!$C$11*H2112)</f>
        <v>0.7829311508524928</v>
      </c>
      <c r="Q2112" s="75">
        <f>IF(P2112&gt;0,1/P2112,NA())</f>
        <v>1.2772515168302505</v>
      </c>
      <c r="R2112" s="75">
        <f>F2112-F2111</f>
        <v>0.005028991339516509</v>
      </c>
      <c r="S2112" s="75">
        <f>0.5*(Q2111+Q2112)*R2112</f>
        <v>0.006423179090563739</v>
      </c>
      <c r="T2112" s="75">
        <f>0.5*(F2111*Q2111+F2112*Q2112)*R2112</f>
        <v>0.055613928777427026</v>
      </c>
      <c r="U2112" s="76">
        <f>U2111+S2112</f>
        <v>10.7708595556696</v>
      </c>
      <c r="V2112" s="76">
        <f>V2111+T2112</f>
        <v>54.76685896400516</v>
      </c>
    </row>
    <row r="2113" spans="1:22" ht="19" customHeight="1">
      <c r="A2113" s="68" t="s">
        <v>374</v>
      </c>
      <c r="B2113" s="74">
        <v>3</v>
      </c>
      <c r="C2113" s="68" t="s">
        <v>363</v>
      </c>
      <c r="D2113" s="68" t="s">
        <v>364</v>
      </c>
      <c r="E2113" s="75">
        <f>60*F2113*'THAM_SO_MOI'!$C$51/(2*PI()*'THAM_SO_MOI'!$C$26)</f>
        <v>2176.8107602730056</v>
      </c>
      <c r="F2113" s="75">
        <f>'HANH_TRINH'!$F$1647+('THAM_SO_MOI'!$F$51-'HANH_TRINH'!$F$1647)*465/'THAM_SO_MOI'!$C$42</f>
        <v>8.665861700221285</v>
      </c>
      <c r="G2113" s="75">
        <f>3.6*F2113</f>
        <v>31.197102120796625</v>
      </c>
      <c r="H2113" s="75">
        <f>'THAM_SO_MOI'!$D$51</f>
        <v>1.375</v>
      </c>
      <c r="I2113" s="75">
        <f>IF(F2113&gt;'THAM_SO_MOI'!$C$14,'THAM_SO_MOI'!$C$13*(1+F2113^2/1500),'THAM_SO_MOI'!$C$13)</f>
        <v>0.015</v>
      </c>
      <c r="J2113" s="75">
        <f>'THAM_SO_MOI'!$C$40*('THAM_SO_MOI'!$C$23*(E2113/'THAM_SO_MOI'!$C$22)+'THAM_SO_MOI'!$C$24*(E2113/'THAM_SO_MOI'!$C$22)^2-'THAM_SO_MOI'!$C$25*(E2113/'THAM_SO_MOI'!$C$22)^3)</f>
        <v>98.03056158368175</v>
      </c>
      <c r="K2113" s="75">
        <f>'THAM_SO_MOI'!$C$31*J2113/E2113</f>
        <v>430.124453011044</v>
      </c>
      <c r="L2113" s="75">
        <f>K2113*'THAM_SO_MOI'!$C$51*'THAM_SO_MOI'!$C$17/'THAM_SO_MOI'!$C$26</f>
        <v>9617.243204676704</v>
      </c>
      <c r="M2113" s="75">
        <f>'THAM_SO_MOI'!$C$15*'THAM_SO_MOI'!$C$16*F2113^2</f>
        <v>219.65919009653427</v>
      </c>
      <c r="N2113" s="75">
        <f>'THAM_SO_MOI'!$C$12*I2113</f>
        <v>1130.112</v>
      </c>
      <c r="O2113" s="75">
        <f>M2113+N2113</f>
        <v>1349.7711900965344</v>
      </c>
      <c r="P2113" s="75">
        <f>(MIN(L2113,'THAM_SO_MOI'!$C$41)-O2113)/('THAM_SO_MOI'!$C$11*H2113)</f>
        <v>0.7829045468352434</v>
      </c>
      <c r="Q2113" s="75">
        <f>IF(P2113&gt;0,1/P2113,NA())</f>
        <v>1.2772949193389254</v>
      </c>
      <c r="R2113" s="75">
        <f>F2113-F2112</f>
        <v>0.005028991339518285</v>
      </c>
      <c r="S2113" s="75">
        <f>0.5*(Q2112+Q2113)*R2113</f>
        <v>0.006423395951946042</v>
      </c>
      <c r="T2113" s="75">
        <f>0.5*(F2112*Q2112+F2113*Q2113)*R2113</f>
        <v>0.05564810963843987</v>
      </c>
      <c r="U2113" s="76">
        <f>U2112+S2113</f>
        <v>10.777282951621547</v>
      </c>
      <c r="V2113" s="76">
        <f>V2112+T2113</f>
        <v>54.8225070736436</v>
      </c>
    </row>
    <row r="2114" spans="1:22" ht="19" customHeight="1">
      <c r="A2114" s="68" t="s">
        <v>374</v>
      </c>
      <c r="B2114" s="74">
        <v>3</v>
      </c>
      <c r="C2114" s="68" t="s">
        <v>363</v>
      </c>
      <c r="D2114" s="68" t="s">
        <v>364</v>
      </c>
      <c r="E2114" s="75">
        <f>60*F2114*'THAM_SO_MOI'!$C$51/(2*PI()*'THAM_SO_MOI'!$C$26)</f>
        <v>2178.0740117348773</v>
      </c>
      <c r="F2114" s="75">
        <f>'HANH_TRINH'!$F$1647+('THAM_SO_MOI'!$F$51-'HANH_TRINH'!$F$1647)*466/'THAM_SO_MOI'!$C$42</f>
        <v>8.670890691560803</v>
      </c>
      <c r="G2114" s="75">
        <f>3.6*F2114</f>
        <v>31.215206489618893</v>
      </c>
      <c r="H2114" s="75">
        <f>'THAM_SO_MOI'!$D$51</f>
        <v>1.375</v>
      </c>
      <c r="I2114" s="75">
        <f>IF(F2114&gt;'THAM_SO_MOI'!$C$14,'THAM_SO_MOI'!$C$13*(1+F2114^2/1500),'THAM_SO_MOI'!$C$13)</f>
        <v>0.015</v>
      </c>
      <c r="J2114" s="75">
        <f>'THAM_SO_MOI'!$C$40*('THAM_SO_MOI'!$C$23*(E2114/'THAM_SO_MOI'!$C$22)+'THAM_SO_MOI'!$C$24*(E2114/'THAM_SO_MOI'!$C$22)^2-'THAM_SO_MOI'!$C$25*(E2114/'THAM_SO_MOI'!$C$22)^3)</f>
        <v>98.08714973052</v>
      </c>
      <c r="K2114" s="75">
        <f>'THAM_SO_MOI'!$C$31*J2114/E2114</f>
        <v>430.12313240088474</v>
      </c>
      <c r="L2114" s="75">
        <f>K2114*'THAM_SO_MOI'!$C$51*'THAM_SO_MOI'!$C$17/'THAM_SO_MOI'!$C$26</f>
        <v>9617.213676876107</v>
      </c>
      <c r="M2114" s="75">
        <f>'THAM_SO_MOI'!$C$15*'THAM_SO_MOI'!$C$16*F2114^2</f>
        <v>219.9142102511127</v>
      </c>
      <c r="N2114" s="75">
        <f>'THAM_SO_MOI'!$C$12*I2114</f>
        <v>1130.112</v>
      </c>
      <c r="O2114" s="75">
        <f>M2114+N2114</f>
        <v>1350.0262102511128</v>
      </c>
      <c r="P2114" s="75">
        <f>(MIN(L2114,'THAM_SO_MOI'!$C$41)-O2114)/('THAM_SO_MOI'!$C$11*H2114)</f>
        <v>0.7828776010061547</v>
      </c>
      <c r="Q2114" s="75">
        <f>IF(P2114&gt;0,1/P2114,NA())</f>
        <v>1.2773388824955516</v>
      </c>
      <c r="R2114" s="75">
        <f>F2114-F2113</f>
        <v>0.005028991339518285</v>
      </c>
      <c r="S2114" s="75">
        <f>0.5*(Q2113+Q2114)*R2114</f>
        <v>0.006423615632533128</v>
      </c>
      <c r="T2114" s="75">
        <f>0.5*(F2113*Q2113+F2114*Q2114)*R2114</f>
        <v>0.0556823171185691</v>
      </c>
      <c r="U2114" s="76">
        <f>U2113+S2114</f>
        <v>10.78370656725408</v>
      </c>
      <c r="V2114" s="76">
        <f>V2113+T2114</f>
        <v>54.87818939076217</v>
      </c>
    </row>
    <row r="2115" spans="1:22" ht="19" customHeight="1">
      <c r="A2115" s="68" t="s">
        <v>374</v>
      </c>
      <c r="B2115" s="74">
        <v>3</v>
      </c>
      <c r="C2115" s="68" t="s">
        <v>363</v>
      </c>
      <c r="D2115" s="68" t="s">
        <v>364</v>
      </c>
      <c r="E2115" s="75">
        <f>60*F2115*'THAM_SO_MOI'!$C$51/(2*PI()*'THAM_SO_MOI'!$C$26)</f>
        <v>2179.337263196749</v>
      </c>
      <c r="F2115" s="75">
        <f>'HANH_TRINH'!$F$1647+('THAM_SO_MOI'!$F$51-'HANH_TRINH'!$F$1647)*467/'THAM_SO_MOI'!$C$42</f>
        <v>8.675919682900322</v>
      </c>
      <c r="G2115" s="75">
        <f>3.6*F2115</f>
        <v>31.233310858441158</v>
      </c>
      <c r="H2115" s="75">
        <f>'THAM_SO_MOI'!$D$51</f>
        <v>1.375</v>
      </c>
      <c r="I2115" s="75">
        <f>IF(F2115&gt;'THAM_SO_MOI'!$C$14,'THAM_SO_MOI'!$C$13*(1+F2115^2/1500),'THAM_SO_MOI'!$C$13)</f>
        <v>0.015</v>
      </c>
      <c r="J2115" s="75">
        <f>'THAM_SO_MOI'!$C$40*('THAM_SO_MOI'!$C$23*(E2115/'THAM_SO_MOI'!$C$22)+'THAM_SO_MOI'!$C$24*(E2115/'THAM_SO_MOI'!$C$22)^2-'THAM_SO_MOI'!$C$25*(E2115/'THAM_SO_MOI'!$C$22)^3)</f>
        <v>98.14370220244423</v>
      </c>
      <c r="K2115" s="75">
        <f>'THAM_SO_MOI'!$C$31*J2115/E2115</f>
        <v>430.12165697389486</v>
      </c>
      <c r="L2115" s="75">
        <f>K2115*'THAM_SO_MOI'!$C$51*'THAM_SO_MOI'!$C$17/'THAM_SO_MOI'!$C$26</f>
        <v>9617.180687493401</v>
      </c>
      <c r="M2115" s="75">
        <f>'THAM_SO_MOI'!$C$15*'THAM_SO_MOI'!$C$16*F2115^2</f>
        <v>220.16937835660138</v>
      </c>
      <c r="N2115" s="75">
        <f>'THAM_SO_MOI'!$C$12*I2115</f>
        <v>1130.112</v>
      </c>
      <c r="O2115" s="75">
        <f>M2115+N2115</f>
        <v>1350.2813783566014</v>
      </c>
      <c r="P2115" s="75">
        <f>(MIN(L2115,'THAM_SO_MOI'!$C$41)-O2115)/('THAM_SO_MOI'!$C$11*H2115)</f>
        <v>0.7828503133652273</v>
      </c>
      <c r="Q2115" s="75">
        <f>IF(P2115&gt;0,1/P2115,NA())</f>
        <v>1.2773834064156078</v>
      </c>
      <c r="R2115" s="75">
        <f>F2115-F2114</f>
        <v>0.005028991339518285</v>
      </c>
      <c r="S2115" s="75">
        <f>0.5*(Q2114+Q2115)*R2115</f>
        <v>0.0064238381329042755</v>
      </c>
      <c r="T2115" s="75">
        <f>0.5*(F2114*Q2114+F2115*Q2115)*R2115</f>
        <v>0.055716551265372304</v>
      </c>
      <c r="U2115" s="76">
        <f>U2114+S2115</f>
        <v>10.790130405386986</v>
      </c>
      <c r="V2115" s="76">
        <f>V2114+T2115</f>
        <v>54.933905942027536</v>
      </c>
    </row>
    <row r="2116" spans="1:22" ht="19" customHeight="1">
      <c r="A2116" s="68" t="s">
        <v>374</v>
      </c>
      <c r="B2116" s="74">
        <v>3</v>
      </c>
      <c r="C2116" s="68" t="s">
        <v>363</v>
      </c>
      <c r="D2116" s="68" t="s">
        <v>364</v>
      </c>
      <c r="E2116" s="75">
        <f>60*F2116*'THAM_SO_MOI'!$C$51/(2*PI()*'THAM_SO_MOI'!$C$26)</f>
        <v>2180.6005146586203</v>
      </c>
      <c r="F2116" s="75">
        <f>'HANH_TRINH'!$F$1647+('THAM_SO_MOI'!$F$51-'HANH_TRINH'!$F$1647)*468/'THAM_SO_MOI'!$C$42</f>
        <v>8.680948674239838</v>
      </c>
      <c r="G2116" s="75">
        <f>3.6*F2116</f>
        <v>31.25141522726342</v>
      </c>
      <c r="H2116" s="75">
        <f>'THAM_SO_MOI'!$D$51</f>
        <v>1.375</v>
      </c>
      <c r="I2116" s="75">
        <f>IF(F2116&gt;'THAM_SO_MOI'!$C$14,'THAM_SO_MOI'!$C$13*(1+F2116^2/1500),'THAM_SO_MOI'!$C$13)</f>
        <v>0.015</v>
      </c>
      <c r="J2116" s="75">
        <f>'THAM_SO_MOI'!$C$40*('THAM_SO_MOI'!$C$23*(E2116/'THAM_SO_MOI'!$C$22)+'THAM_SO_MOI'!$C$24*(E2116/'THAM_SO_MOI'!$C$22)^2-'THAM_SO_MOI'!$C$25*(E2116/'THAM_SO_MOI'!$C$22)^3)</f>
        <v>98.20021893802516</v>
      </c>
      <c r="K2116" s="75">
        <f>'THAM_SO_MOI'!$C$31*J2116/E2116</f>
        <v>430.1200267300747</v>
      </c>
      <c r="L2116" s="75">
        <f>K2116*'THAM_SO_MOI'!$C$51*'THAM_SO_MOI'!$C$17/'THAM_SO_MOI'!$C$26</f>
        <v>9617.144236528587</v>
      </c>
      <c r="M2116" s="75">
        <f>'THAM_SO_MOI'!$C$15*'THAM_SO_MOI'!$C$16*F2116^2</f>
        <v>220.42469441300025</v>
      </c>
      <c r="N2116" s="75">
        <f>'THAM_SO_MOI'!$C$12*I2116</f>
        <v>1130.112</v>
      </c>
      <c r="O2116" s="75">
        <f>M2116+N2116</f>
        <v>1350.5366944130003</v>
      </c>
      <c r="P2116" s="75">
        <f>(MIN(L2116,'THAM_SO_MOI'!$C$41)-O2116)/('THAM_SO_MOI'!$C$11*H2116)</f>
        <v>0.7828226839124609</v>
      </c>
      <c r="Q2116" s="75">
        <f>IF(P2116&gt;0,1/P2116,NA())</f>
        <v>1.277428491216058</v>
      </c>
      <c r="R2116" s="75">
        <f>F2116-F2115</f>
        <v>0.005028991339516509</v>
      </c>
      <c r="S2116" s="75">
        <f>0.5*(Q2115+Q2116)*R2116</f>
        <v>0.006424063453641693</v>
      </c>
      <c r="T2116" s="75">
        <f>0.5*(F2115*Q2115+F2116*Q2116)*R2116</f>
        <v>0.05575081212644415</v>
      </c>
      <c r="U2116" s="76">
        <f>U2115+S2116</f>
        <v>10.796554468840627</v>
      </c>
      <c r="V2116" s="76">
        <f>V2115+T2116</f>
        <v>54.989656754153984</v>
      </c>
    </row>
    <row r="2117" spans="1:22" ht="19" customHeight="1">
      <c r="A2117" s="68" t="s">
        <v>374</v>
      </c>
      <c r="B2117" s="74">
        <v>3</v>
      </c>
      <c r="C2117" s="68" t="s">
        <v>363</v>
      </c>
      <c r="D2117" s="68" t="s">
        <v>364</v>
      </c>
      <c r="E2117" s="75">
        <f>60*F2117*'THAM_SO_MOI'!$C$51/(2*PI()*'THAM_SO_MOI'!$C$26)</f>
        <v>2181.8637661204925</v>
      </c>
      <c r="F2117" s="75">
        <f>'HANH_TRINH'!$F$1647+('THAM_SO_MOI'!$F$51-'HANH_TRINH'!$F$1647)*469/'THAM_SO_MOI'!$C$42</f>
        <v>8.685977665579356</v>
      </c>
      <c r="G2117" s="75">
        <f>3.6*F2117</f>
        <v>31.269519596085683</v>
      </c>
      <c r="H2117" s="75">
        <f>'THAM_SO_MOI'!$D$51</f>
        <v>1.375</v>
      </c>
      <c r="I2117" s="75">
        <f>IF(F2117&gt;'THAM_SO_MOI'!$C$14,'THAM_SO_MOI'!$C$13*(1+F2117^2/1500),'THAM_SO_MOI'!$C$13)</f>
        <v>0.015</v>
      </c>
      <c r="J2117" s="75">
        <f>'THAM_SO_MOI'!$C$40*('THAM_SO_MOI'!$C$23*(E2117/'THAM_SO_MOI'!$C$22)+'THAM_SO_MOI'!$C$24*(E2117/'THAM_SO_MOI'!$C$22)^2-'THAM_SO_MOI'!$C$25*(E2117/'THAM_SO_MOI'!$C$22)^3)</f>
        <v>98.25669987583342</v>
      </c>
      <c r="K2117" s="75">
        <f>'THAM_SO_MOI'!$C$31*J2117/E2117</f>
        <v>430.118241669424</v>
      </c>
      <c r="L2117" s="75">
        <f>K2117*'THAM_SO_MOI'!$C$51*'THAM_SO_MOI'!$C$17/'THAM_SO_MOI'!$C$26</f>
        <v>9617.104323981666</v>
      </c>
      <c r="M2117" s="75">
        <f>'THAM_SO_MOI'!$C$15*'THAM_SO_MOI'!$C$16*F2117^2</f>
        <v>220.68015842030948</v>
      </c>
      <c r="N2117" s="75">
        <f>'THAM_SO_MOI'!$C$12*I2117</f>
        <v>1130.112</v>
      </c>
      <c r="O2117" s="75">
        <f>M2117+N2117</f>
        <v>1350.7921584203095</v>
      </c>
      <c r="P2117" s="75">
        <f>(MIN(L2117,'THAM_SO_MOI'!$C$41)-O2117)/('THAM_SO_MOI'!$C$11*H2117)</f>
        <v>0.7827947126478558</v>
      </c>
      <c r="Q2117" s="75">
        <f>IF(P2117&gt;0,1/P2117,NA())</f>
        <v>1.277474137015352</v>
      </c>
      <c r="R2117" s="75">
        <f>F2117-F2116</f>
        <v>0.005028991339518285</v>
      </c>
      <c r="S2117" s="75">
        <f>0.5*(Q2116+Q2117)*R2117</f>
        <v>0.006424291595344134</v>
      </c>
      <c r="T2117" s="75">
        <f>0.5*(F2116*Q2116+F2117*Q2117)*R2117</f>
        <v>0.05578509974953471</v>
      </c>
      <c r="U2117" s="76">
        <f>U2116+S2117</f>
        <v>10.802978760435971</v>
      </c>
      <c r="V2117" s="76">
        <f>V2116+T2117</f>
        <v>55.04544185390352</v>
      </c>
    </row>
    <row r="2118" spans="1:22" ht="19" customHeight="1">
      <c r="A2118" s="68" t="s">
        <v>374</v>
      </c>
      <c r="B2118" s="74">
        <v>3</v>
      </c>
      <c r="C2118" s="68" t="s">
        <v>363</v>
      </c>
      <c r="D2118" s="68" t="s">
        <v>364</v>
      </c>
      <c r="E2118" s="75">
        <f>60*F2118*'THAM_SO_MOI'!$C$51/(2*PI()*'THAM_SO_MOI'!$C$26)</f>
        <v>2183.127017582363</v>
      </c>
      <c r="F2118" s="75">
        <f>'HANH_TRINH'!$F$1647+('THAM_SO_MOI'!$F$51-'HANH_TRINH'!$F$1647)*470/'THAM_SO_MOI'!$C$42</f>
        <v>8.691006656918873</v>
      </c>
      <c r="G2118" s="75">
        <f>3.6*F2118</f>
        <v>31.287623964907944</v>
      </c>
      <c r="H2118" s="75">
        <f>'THAM_SO_MOI'!$D$51</f>
        <v>1.375</v>
      </c>
      <c r="I2118" s="75">
        <f>IF(F2118&gt;'THAM_SO_MOI'!$C$14,'THAM_SO_MOI'!$C$13*(1+F2118^2/1500),'THAM_SO_MOI'!$C$13)</f>
        <v>0.015</v>
      </c>
      <c r="J2118" s="75">
        <f>'THAM_SO_MOI'!$C$40*('THAM_SO_MOI'!$C$23*(E2118/'THAM_SO_MOI'!$C$22)+'THAM_SO_MOI'!$C$24*(E2118/'THAM_SO_MOI'!$C$22)^2-'THAM_SO_MOI'!$C$25*(E2118/'THAM_SO_MOI'!$C$22)^3)</f>
        <v>98.31314495443954</v>
      </c>
      <c r="K2118" s="75">
        <f>'THAM_SO_MOI'!$C$31*J2118/E2118</f>
        <v>430.11630179194265</v>
      </c>
      <c r="L2118" s="75">
        <f>K2118*'THAM_SO_MOI'!$C$51*'THAM_SO_MOI'!$C$17/'THAM_SO_MOI'!$C$26</f>
        <v>9617.060949852634</v>
      </c>
      <c r="M2118" s="75">
        <f>'THAM_SO_MOI'!$C$15*'THAM_SO_MOI'!$C$16*F2118^2</f>
        <v>220.9357703785289</v>
      </c>
      <c r="N2118" s="75">
        <f>'THAM_SO_MOI'!$C$12*I2118</f>
        <v>1130.112</v>
      </c>
      <c r="O2118" s="75">
        <f>M2118+N2118</f>
        <v>1351.047770378529</v>
      </c>
      <c r="P2118" s="75">
        <f>(MIN(L2118,'THAM_SO_MOI'!$C$41)-O2118)/('THAM_SO_MOI'!$C$11*H2118)</f>
        <v>0.7827663995714116</v>
      </c>
      <c r="Q2118" s="75">
        <f>IF(P2118&gt;0,1/P2118,NA())</f>
        <v>1.2775203439334268</v>
      </c>
      <c r="R2118" s="75">
        <f>F2118-F2117</f>
        <v>0.005028991339516509</v>
      </c>
      <c r="S2118" s="75">
        <f>0.5*(Q2117+Q2118)*R2118</f>
        <v>0.006424522558601943</v>
      </c>
      <c r="T2118" s="75">
        <f>0.5*(F2117*Q2117+F2118*Q2118)*R2118</f>
        <v>0.05581941418233303</v>
      </c>
      <c r="U2118" s="76">
        <f>U2117+S2118</f>
        <v>10.809403282994573</v>
      </c>
      <c r="V2118" s="76">
        <f>V2117+T2118</f>
        <v>55.10126126808585</v>
      </c>
    </row>
    <row r="2119" spans="1:22" ht="19" customHeight="1">
      <c r="A2119" s="68" t="s">
        <v>374</v>
      </c>
      <c r="B2119" s="74">
        <v>3</v>
      </c>
      <c r="C2119" s="68" t="s">
        <v>363</v>
      </c>
      <c r="D2119" s="68" t="s">
        <v>364</v>
      </c>
      <c r="E2119" s="75">
        <f>60*F2119*'THAM_SO_MOI'!$C$51/(2*PI()*'THAM_SO_MOI'!$C$26)</f>
        <v>2184.390269044235</v>
      </c>
      <c r="F2119" s="75">
        <f>'HANH_TRINH'!$F$1647+('THAM_SO_MOI'!$F$51-'HANH_TRINH'!$F$1647)*471/'THAM_SO_MOI'!$C$42</f>
        <v>8.696035648258391</v>
      </c>
      <c r="G2119" s="75">
        <f>3.6*F2119</f>
        <v>31.305728333730208</v>
      </c>
      <c r="H2119" s="75">
        <f>'THAM_SO_MOI'!$D$51</f>
        <v>1.375</v>
      </c>
      <c r="I2119" s="75">
        <f>IF(F2119&gt;'THAM_SO_MOI'!$C$14,'THAM_SO_MOI'!$C$13*(1+F2119^2/1500),'THAM_SO_MOI'!$C$13)</f>
        <v>0.015</v>
      </c>
      <c r="J2119" s="75">
        <f>'THAM_SO_MOI'!$C$40*('THAM_SO_MOI'!$C$23*(E2119/'THAM_SO_MOI'!$C$22)+'THAM_SO_MOI'!$C$24*(E2119/'THAM_SO_MOI'!$C$22)^2-'THAM_SO_MOI'!$C$25*(E2119/'THAM_SO_MOI'!$C$22)^3)</f>
        <v>98.36955411241435</v>
      </c>
      <c r="K2119" s="75">
        <f>'THAM_SO_MOI'!$C$31*J2119/E2119</f>
        <v>430.11420709763087</v>
      </c>
      <c r="L2119" s="75">
        <f>K2119*'THAM_SO_MOI'!$C$51*'THAM_SO_MOI'!$C$17/'THAM_SO_MOI'!$C$26</f>
        <v>9617.014114141492</v>
      </c>
      <c r="M2119" s="75">
        <f>'THAM_SO_MOI'!$C$15*'THAM_SO_MOI'!$C$16*F2119^2</f>
        <v>221.19153028765868</v>
      </c>
      <c r="N2119" s="75">
        <f>'THAM_SO_MOI'!$C$12*I2119</f>
        <v>1130.112</v>
      </c>
      <c r="O2119" s="75">
        <f>M2119+N2119</f>
        <v>1351.3035302876588</v>
      </c>
      <c r="P2119" s="75">
        <f>(MIN(L2119,'THAM_SO_MOI'!$C$41)-O2119)/('THAM_SO_MOI'!$C$11*H2119)</f>
        <v>0.7827377446831282</v>
      </c>
      <c r="Q2119" s="75">
        <f>IF(P2119&gt;0,1/P2119,NA())</f>
        <v>1.2775671120917071</v>
      </c>
      <c r="R2119" s="75">
        <f>F2119-F2118</f>
        <v>0.005028991339518285</v>
      </c>
      <c r="S2119" s="75">
        <f>0.5*(Q2118+Q2119)*R2119</f>
        <v>0.006424756344031103</v>
      </c>
      <c r="T2119" s="75">
        <f>0.5*(F2118*Q2118+F2119*Q2119)*R2119</f>
        <v>0.055853755472762896</v>
      </c>
      <c r="U2119" s="76">
        <f>U2118+S2119</f>
        <v>10.815828039338605</v>
      </c>
      <c r="V2119" s="76">
        <f>V2118+T2119</f>
        <v>55.15711502355861</v>
      </c>
    </row>
    <row r="2120" spans="1:22" ht="19" customHeight="1">
      <c r="A2120" s="68" t="s">
        <v>374</v>
      </c>
      <c r="B2120" s="74">
        <v>3</v>
      </c>
      <c r="C2120" s="68" t="s">
        <v>363</v>
      </c>
      <c r="D2120" s="68" t="s">
        <v>364</v>
      </c>
      <c r="E2120" s="75">
        <f>60*F2120*'THAM_SO_MOI'!$C$51/(2*PI()*'THAM_SO_MOI'!$C$26)</f>
        <v>2185.653520506107</v>
      </c>
      <c r="F2120" s="75">
        <f>'HANH_TRINH'!$F$1647+('THAM_SO_MOI'!$F$51-'HANH_TRINH'!$F$1647)*472/'THAM_SO_MOI'!$C$42</f>
        <v>8.70106463959791</v>
      </c>
      <c r="G2120" s="75">
        <f>3.6*F2120</f>
        <v>31.323832702552476</v>
      </c>
      <c r="H2120" s="75">
        <f>'THAM_SO_MOI'!$D$51</f>
        <v>1.375</v>
      </c>
      <c r="I2120" s="75">
        <f>IF(F2120&gt;'THAM_SO_MOI'!$C$14,'THAM_SO_MOI'!$C$13*(1+F2120^2/1500),'THAM_SO_MOI'!$C$13)</f>
        <v>0.015</v>
      </c>
      <c r="J2120" s="75">
        <f>'THAM_SO_MOI'!$C$40*('THAM_SO_MOI'!$C$23*(E2120/'THAM_SO_MOI'!$C$22)+'THAM_SO_MOI'!$C$24*(E2120/'THAM_SO_MOI'!$C$22)^2-'THAM_SO_MOI'!$C$25*(E2120/'THAM_SO_MOI'!$C$22)^3)</f>
        <v>98.42592728832842</v>
      </c>
      <c r="K2120" s="75">
        <f>'THAM_SO_MOI'!$C$31*J2120/E2120</f>
        <v>430.1119575864887</v>
      </c>
      <c r="L2120" s="75">
        <f>K2120*'THAM_SO_MOI'!$C$51*'THAM_SO_MOI'!$C$17/'THAM_SO_MOI'!$C$26</f>
        <v>9616.963816848245</v>
      </c>
      <c r="M2120" s="75">
        <f>'THAM_SO_MOI'!$C$15*'THAM_SO_MOI'!$C$16*F2120^2</f>
        <v>221.44743814769873</v>
      </c>
      <c r="N2120" s="75">
        <f>'THAM_SO_MOI'!$C$12*I2120</f>
        <v>1130.112</v>
      </c>
      <c r="O2120" s="75">
        <f>M2120+N2120</f>
        <v>1351.5594381476988</v>
      </c>
      <c r="P2120" s="75">
        <f>(MIN(L2120,'THAM_SO_MOI'!$C$41)-O2120)/('THAM_SO_MOI'!$C$11*H2120)</f>
        <v>0.7827087479830063</v>
      </c>
      <c r="Q2120" s="75">
        <f>IF(P2120&gt;0,1/P2120,NA())</f>
        <v>1.2776144416131037</v>
      </c>
      <c r="R2120" s="75">
        <f>F2120-F2119</f>
        <v>0.005028991339518285</v>
      </c>
      <c r="S2120" s="75">
        <f>0.5*(Q2119+Q2120)*R2120</f>
        <v>0.006424992952239185</v>
      </c>
      <c r="T2120" s="75">
        <f>0.5*(F2119*Q2119+F2120*Q2120)*R2120</f>
        <v>0.05588812366868733</v>
      </c>
      <c r="U2120" s="76">
        <f>U2119+S2120</f>
        <v>10.822253032290844</v>
      </c>
      <c r="V2120" s="76">
        <f>V2119+T2120</f>
        <v>55.2130031472273</v>
      </c>
    </row>
    <row r="2121" spans="1:22" ht="19" customHeight="1">
      <c r="A2121" s="68" t="s">
        <v>374</v>
      </c>
      <c r="B2121" s="74">
        <v>3</v>
      </c>
      <c r="C2121" s="68" t="s">
        <v>363</v>
      </c>
      <c r="D2121" s="68" t="s">
        <v>364</v>
      </c>
      <c r="E2121" s="75">
        <f>60*F2121*'THAM_SO_MOI'!$C$51/(2*PI()*'THAM_SO_MOI'!$C$26)</f>
        <v>2186.9167719679785</v>
      </c>
      <c r="F2121" s="75">
        <f>'HANH_TRINH'!$F$1647+('THAM_SO_MOI'!$F$51-'HANH_TRINH'!$F$1647)*473/'THAM_SO_MOI'!$C$42</f>
        <v>8.706093630937428</v>
      </c>
      <c r="G2121" s="75">
        <f>3.6*F2121</f>
        <v>31.34193707137474</v>
      </c>
      <c r="H2121" s="75">
        <f>'THAM_SO_MOI'!$D$51</f>
        <v>1.375</v>
      </c>
      <c r="I2121" s="75">
        <f>IF(F2121&gt;'THAM_SO_MOI'!$C$14,'THAM_SO_MOI'!$C$13*(1+F2121^2/1500),'THAM_SO_MOI'!$C$13)</f>
        <v>0.015</v>
      </c>
      <c r="J2121" s="75">
        <f>'THAM_SO_MOI'!$C$40*('THAM_SO_MOI'!$C$23*(E2121/'THAM_SO_MOI'!$C$22)+'THAM_SO_MOI'!$C$24*(E2121/'THAM_SO_MOI'!$C$22)^2-'THAM_SO_MOI'!$C$25*(E2121/'THAM_SO_MOI'!$C$22)^3)</f>
        <v>98.48226442075236</v>
      </c>
      <c r="K2121" s="75">
        <f>'THAM_SO_MOI'!$C$31*J2121/E2121</f>
        <v>430.1095532585158</v>
      </c>
      <c r="L2121" s="75">
        <f>K2121*'THAM_SO_MOI'!$C$51*'THAM_SO_MOI'!$C$17/'THAM_SO_MOI'!$C$26</f>
        <v>9616.910057972884</v>
      </c>
      <c r="M2121" s="75">
        <f>'THAM_SO_MOI'!$C$15*'THAM_SO_MOI'!$C$16*F2121^2</f>
        <v>221.70349395864906</v>
      </c>
      <c r="N2121" s="75">
        <f>'THAM_SO_MOI'!$C$12*I2121</f>
        <v>1130.112</v>
      </c>
      <c r="O2121" s="75">
        <f>M2121+N2121</f>
        <v>1351.815493958649</v>
      </c>
      <c r="P2121" s="75">
        <f>(MIN(L2121,'THAM_SO_MOI'!$C$41)-O2121)/('THAM_SO_MOI'!$C$11*H2121)</f>
        <v>0.782679409471045</v>
      </c>
      <c r="Q2121" s="75">
        <f>IF(P2121&gt;0,1/P2121,NA())</f>
        <v>1.2776623326220193</v>
      </c>
      <c r="R2121" s="75">
        <f>F2121-F2120</f>
        <v>0.005028991339518285</v>
      </c>
      <c r="S2121" s="75">
        <f>0.5*(Q2120+Q2121)*R2121</f>
        <v>0.006425232383850328</v>
      </c>
      <c r="T2121" s="75">
        <f>0.5*(F2120*Q2120+F2121*Q2121)*R2121</f>
        <v>0.05592251881812577</v>
      </c>
      <c r="U2121" s="76">
        <f>U2120+S2121</f>
        <v>10.828678264674695</v>
      </c>
      <c r="V2121" s="76">
        <f>V2120+T2121</f>
        <v>55.268925666045426</v>
      </c>
    </row>
    <row r="2122" spans="1:22" ht="19" customHeight="1">
      <c r="A2122" s="68" t="s">
        <v>374</v>
      </c>
      <c r="B2122" s="74">
        <v>3</v>
      </c>
      <c r="C2122" s="68" t="s">
        <v>363</v>
      </c>
      <c r="D2122" s="68" t="s">
        <v>364</v>
      </c>
      <c r="E2122" s="75">
        <f>60*F2122*'THAM_SO_MOI'!$C$51/(2*PI()*'THAM_SO_MOI'!$C$26)</f>
        <v>2188.18002342985</v>
      </c>
      <c r="F2122" s="75">
        <f>'HANH_TRINH'!$F$1647+('THAM_SO_MOI'!$F$51-'HANH_TRINH'!$F$1647)*474/'THAM_SO_MOI'!$C$42</f>
        <v>8.711122622276944</v>
      </c>
      <c r="G2122" s="75">
        <f>3.6*F2122</f>
        <v>31.360041440197</v>
      </c>
      <c r="H2122" s="75">
        <f>'THAM_SO_MOI'!$D$51</f>
        <v>1.375</v>
      </c>
      <c r="I2122" s="75">
        <f>IF(F2122&gt;'THAM_SO_MOI'!$C$14,'THAM_SO_MOI'!$C$13*(1+F2122^2/1500),'THAM_SO_MOI'!$C$13)</f>
        <v>0.015</v>
      </c>
      <c r="J2122" s="75">
        <f>'THAM_SO_MOI'!$C$40*('THAM_SO_MOI'!$C$23*(E2122/'THAM_SO_MOI'!$C$22)+'THAM_SO_MOI'!$C$24*(E2122/'THAM_SO_MOI'!$C$22)^2-'THAM_SO_MOI'!$C$25*(E2122/'THAM_SO_MOI'!$C$22)^3)</f>
        <v>98.53856544825686</v>
      </c>
      <c r="K2122" s="75">
        <f>'THAM_SO_MOI'!$C$31*J2122/E2122</f>
        <v>430.1069941137125</v>
      </c>
      <c r="L2122" s="75">
        <f>K2122*'THAM_SO_MOI'!$C$51*'THAM_SO_MOI'!$C$17/'THAM_SO_MOI'!$C$26</f>
        <v>9616.852837515416</v>
      </c>
      <c r="M2122" s="75">
        <f>'THAM_SO_MOI'!$C$15*'THAM_SO_MOI'!$C$16*F2122^2</f>
        <v>221.95969772050958</v>
      </c>
      <c r="N2122" s="75">
        <f>'THAM_SO_MOI'!$C$12*I2122</f>
        <v>1130.112</v>
      </c>
      <c r="O2122" s="75">
        <f>M2122+N2122</f>
        <v>1352.0716977205097</v>
      </c>
      <c r="P2122" s="75">
        <f>(MIN(L2122,'THAM_SO_MOI'!$C$41)-O2122)/('THAM_SO_MOI'!$C$11*H2122)</f>
        <v>0.7826497291472451</v>
      </c>
      <c r="Q2122" s="75">
        <f>IF(P2122&gt;0,1/P2122,NA())</f>
        <v>1.2777107852443446</v>
      </c>
      <c r="R2122" s="75">
        <f>F2122-F2121</f>
        <v>0.005028991339516509</v>
      </c>
      <c r="S2122" s="75">
        <f>0.5*(Q2121+Q2122)*R2122</f>
        <v>0.006425474639491622</v>
      </c>
      <c r="T2122" s="75">
        <f>0.5*(F2121*Q2121+F2122*Q2122)*R2122</f>
        <v>0.05595694096913594</v>
      </c>
      <c r="U2122" s="76">
        <f>U2121+S2122</f>
        <v>10.835103739314187</v>
      </c>
      <c r="V2122" s="76">
        <f>V2121+T2122</f>
        <v>55.324882607014565</v>
      </c>
    </row>
    <row r="2123" spans="1:22" ht="19" customHeight="1">
      <c r="A2123" s="68" t="s">
        <v>374</v>
      </c>
      <c r="B2123" s="74">
        <v>3</v>
      </c>
      <c r="C2123" s="68" t="s">
        <v>363</v>
      </c>
      <c r="D2123" s="68" t="s">
        <v>364</v>
      </c>
      <c r="E2123" s="75">
        <f>60*F2123*'THAM_SO_MOI'!$C$51/(2*PI()*'THAM_SO_MOI'!$C$26)</f>
        <v>2189.4432748917216</v>
      </c>
      <c r="F2123" s="75">
        <f>'HANH_TRINH'!$F$1647+('THAM_SO_MOI'!$F$51-'HANH_TRINH'!$F$1647)*475/'THAM_SO_MOI'!$C$42</f>
        <v>8.716151613616463</v>
      </c>
      <c r="G2123" s="75">
        <f>3.6*F2123</f>
        <v>31.378145809019266</v>
      </c>
      <c r="H2123" s="75">
        <f>'THAM_SO_MOI'!$D$51</f>
        <v>1.375</v>
      </c>
      <c r="I2123" s="75">
        <f>IF(F2123&gt;'THAM_SO_MOI'!$C$14,'THAM_SO_MOI'!$C$13*(1+F2123^2/1500),'THAM_SO_MOI'!$C$13)</f>
        <v>0.015</v>
      </c>
      <c r="J2123" s="75">
        <f>'THAM_SO_MOI'!$C$40*('THAM_SO_MOI'!$C$23*(E2123/'THAM_SO_MOI'!$C$22)+'THAM_SO_MOI'!$C$24*(E2123/'THAM_SO_MOI'!$C$22)^2-'THAM_SO_MOI'!$C$25*(E2123/'THAM_SO_MOI'!$C$22)^3)</f>
        <v>98.5948303094126</v>
      </c>
      <c r="K2123" s="75">
        <f>'THAM_SO_MOI'!$C$31*J2123/E2123</f>
        <v>430.10428015207873</v>
      </c>
      <c r="L2123" s="75">
        <f>K2123*'THAM_SO_MOI'!$C$51*'THAM_SO_MOI'!$C$17/'THAM_SO_MOI'!$C$26</f>
        <v>9616.79215547584</v>
      </c>
      <c r="M2123" s="75">
        <f>'THAM_SO_MOI'!$C$15*'THAM_SO_MOI'!$C$16*F2123^2</f>
        <v>222.21604943328043</v>
      </c>
      <c r="N2123" s="75">
        <f>'THAM_SO_MOI'!$C$12*I2123</f>
        <v>1130.112</v>
      </c>
      <c r="O2123" s="75">
        <f>M2123+N2123</f>
        <v>1352.3280494332805</v>
      </c>
      <c r="P2123" s="75">
        <f>(MIN(L2123,'THAM_SO_MOI'!$C$41)-O2123)/('THAM_SO_MOI'!$C$11*H2123)</f>
        <v>0.7826197070116061</v>
      </c>
      <c r="Q2123" s="75">
        <f>IF(P2123&gt;0,1/P2123,NA())</f>
        <v>1.2777597996074614</v>
      </c>
      <c r="R2123" s="75">
        <f>F2123-F2122</f>
        <v>0.005028991339518285</v>
      </c>
      <c r="S2123" s="75">
        <f>0.5*(Q2122+Q2123)*R2123</f>
        <v>0.006425719719806729</v>
      </c>
      <c r="T2123" s="75">
        <f>0.5*(F2122*Q2122+F2123*Q2123)*R2123</f>
        <v>0.055991390169932556</v>
      </c>
      <c r="U2123" s="76">
        <f>U2122+S2123</f>
        <v>10.841529459033994</v>
      </c>
      <c r="V2123" s="76">
        <f>V2122+T2123</f>
        <v>55.3808739971845</v>
      </c>
    </row>
    <row r="2124" spans="1:22" ht="19" customHeight="1">
      <c r="A2124" s="68" t="s">
        <v>374</v>
      </c>
      <c r="B2124" s="74">
        <v>3</v>
      </c>
      <c r="C2124" s="68" t="s">
        <v>363</v>
      </c>
      <c r="D2124" s="68" t="s">
        <v>364</v>
      </c>
      <c r="E2124" s="75">
        <f>60*F2124*'THAM_SO_MOI'!$C$51/(2*PI()*'THAM_SO_MOI'!$C$26)</f>
        <v>2190.7065263535933</v>
      </c>
      <c r="F2124" s="75">
        <f>'HANH_TRINH'!$F$1647+('THAM_SO_MOI'!$F$51-'HANH_TRINH'!$F$1647)*476/'THAM_SO_MOI'!$C$42</f>
        <v>8.721180604955979</v>
      </c>
      <c r="G2124" s="75">
        <f>3.6*F2124</f>
        <v>31.396250177841527</v>
      </c>
      <c r="H2124" s="75">
        <f>'THAM_SO_MOI'!$D$51</f>
        <v>1.375</v>
      </c>
      <c r="I2124" s="75">
        <f>IF(F2124&gt;'THAM_SO_MOI'!$C$14,'THAM_SO_MOI'!$C$13*(1+F2124^2/1500),'THAM_SO_MOI'!$C$13)</f>
        <v>0.015</v>
      </c>
      <c r="J2124" s="75">
        <f>'THAM_SO_MOI'!$C$40*('THAM_SO_MOI'!$C$23*(E2124/'THAM_SO_MOI'!$C$22)+'THAM_SO_MOI'!$C$24*(E2124/'THAM_SO_MOI'!$C$22)^2-'THAM_SO_MOI'!$C$25*(E2124/'THAM_SO_MOI'!$C$22)^3)</f>
        <v>98.65105894279019</v>
      </c>
      <c r="K2124" s="75">
        <f>'THAM_SO_MOI'!$C$31*J2124/E2124</f>
        <v>430.10141137361444</v>
      </c>
      <c r="L2124" s="75">
        <f>K2124*'THAM_SO_MOI'!$C$51*'THAM_SO_MOI'!$C$17/'THAM_SO_MOI'!$C$26</f>
        <v>9616.728011854155</v>
      </c>
      <c r="M2124" s="75">
        <f>'THAM_SO_MOI'!$C$15*'THAM_SO_MOI'!$C$16*F2124^2</f>
        <v>222.4725490969615</v>
      </c>
      <c r="N2124" s="75">
        <f>'THAM_SO_MOI'!$C$12*I2124</f>
        <v>1130.112</v>
      </c>
      <c r="O2124" s="75">
        <f>M2124+N2124</f>
        <v>1352.5845490969616</v>
      </c>
      <c r="P2124" s="75">
        <f>(MIN(L2124,'THAM_SO_MOI'!$C$41)-O2124)/('THAM_SO_MOI'!$C$11*H2124)</f>
        <v>0.7825893430641283</v>
      </c>
      <c r="Q2124" s="75">
        <f>IF(P2124&gt;0,1/P2124,NA())</f>
        <v>1.2778093758402436</v>
      </c>
      <c r="R2124" s="75">
        <f>F2124-F2123</f>
        <v>0.005028991339516509</v>
      </c>
      <c r="S2124" s="75">
        <f>0.5*(Q2123+Q2124)*R2124</f>
        <v>0.006425967625430927</v>
      </c>
      <c r="T2124" s="75">
        <f>0.5*(F2123*Q2123+F2124*Q2124)*R2124</f>
        <v>0.056025866468670145</v>
      </c>
      <c r="U2124" s="76">
        <f>U2123+S2124</f>
        <v>10.847955426659425</v>
      </c>
      <c r="V2124" s="76">
        <f>V2123+T2124</f>
        <v>55.436899863653174</v>
      </c>
    </row>
    <row r="2125" spans="1:22" ht="19" customHeight="1">
      <c r="A2125" s="68" t="s">
        <v>374</v>
      </c>
      <c r="B2125" s="74">
        <v>3</v>
      </c>
      <c r="C2125" s="68" t="s">
        <v>363</v>
      </c>
      <c r="D2125" s="68" t="s">
        <v>364</v>
      </c>
      <c r="E2125" s="75">
        <f>60*F2125*'THAM_SO_MOI'!$C$51/(2*PI()*'THAM_SO_MOI'!$C$26)</f>
        <v>2191.969777815465</v>
      </c>
      <c r="F2125" s="75">
        <f>'HANH_TRINH'!$F$1647+('THAM_SO_MOI'!$F$51-'HANH_TRINH'!$F$1647)*477/'THAM_SO_MOI'!$C$42</f>
        <v>8.726209596295497</v>
      </c>
      <c r="G2125" s="75">
        <f>3.6*F2125</f>
        <v>31.41435454666379</v>
      </c>
      <c r="H2125" s="75">
        <f>'THAM_SO_MOI'!$D$51</f>
        <v>1.375</v>
      </c>
      <c r="I2125" s="75">
        <f>IF(F2125&gt;'THAM_SO_MOI'!$C$14,'THAM_SO_MOI'!$C$13*(1+F2125^2/1500),'THAM_SO_MOI'!$C$13)</f>
        <v>0.015</v>
      </c>
      <c r="J2125" s="75">
        <f>'THAM_SO_MOI'!$C$40*('THAM_SO_MOI'!$C$23*(E2125/'THAM_SO_MOI'!$C$22)+'THAM_SO_MOI'!$C$24*(E2125/'THAM_SO_MOI'!$C$22)^2-'THAM_SO_MOI'!$C$25*(E2125/'THAM_SO_MOI'!$C$22)^3)</f>
        <v>98.70725128696027</v>
      </c>
      <c r="K2125" s="75">
        <f>'THAM_SO_MOI'!$C$31*J2125/E2125</f>
        <v>430.0983877783196</v>
      </c>
      <c r="L2125" s="75">
        <f>K2125*'THAM_SO_MOI'!$C$51*'THAM_SO_MOI'!$C$17/'THAM_SO_MOI'!$C$26</f>
        <v>9616.66040665036</v>
      </c>
      <c r="M2125" s="75">
        <f>'THAM_SO_MOI'!$C$15*'THAM_SO_MOI'!$C$16*F2125^2</f>
        <v>222.72919671155293</v>
      </c>
      <c r="N2125" s="75">
        <f>'THAM_SO_MOI'!$C$12*I2125</f>
        <v>1130.112</v>
      </c>
      <c r="O2125" s="75">
        <f>M2125+N2125</f>
        <v>1352.841196711553</v>
      </c>
      <c r="P2125" s="75">
        <f>(MIN(L2125,'THAM_SO_MOI'!$C$41)-O2125)/('THAM_SO_MOI'!$C$11*H2125)</f>
        <v>0.7825586373048112</v>
      </c>
      <c r="Q2125" s="75">
        <f>IF(P2125&gt;0,1/P2125,NA())</f>
        <v>1.2778595140730573</v>
      </c>
      <c r="R2125" s="75">
        <f>F2125-F2124</f>
        <v>0.005028991339518285</v>
      </c>
      <c r="S2125" s="75">
        <f>0.5*(Q2124+Q2125)*R2125</f>
        <v>0.00642621835702515</v>
      </c>
      <c r="T2125" s="75">
        <f>0.5*(F2124*Q2124+F2125*Q2125)*R2125</f>
        <v>0.05606036991373991</v>
      </c>
      <c r="U2125" s="76">
        <f>U2124+S2125</f>
        <v>10.85438164501645</v>
      </c>
      <c r="V2125" s="76">
        <f>V2124+T2125</f>
        <v>55.49296023356691</v>
      </c>
    </row>
    <row r="2126" spans="1:22" ht="19" customHeight="1">
      <c r="A2126" s="68" t="s">
        <v>374</v>
      </c>
      <c r="B2126" s="74">
        <v>3</v>
      </c>
      <c r="C2126" s="68" t="s">
        <v>363</v>
      </c>
      <c r="D2126" s="68" t="s">
        <v>364</v>
      </c>
      <c r="E2126" s="75">
        <f>60*F2126*'THAM_SO_MOI'!$C$51/(2*PI()*'THAM_SO_MOI'!$C$26)</f>
        <v>2193.2330292773368</v>
      </c>
      <c r="F2126" s="75">
        <f>'HANH_TRINH'!$F$1647+('THAM_SO_MOI'!$F$51-'HANH_TRINH'!$F$1647)*478/'THAM_SO_MOI'!$C$42</f>
        <v>8.731238587635016</v>
      </c>
      <c r="G2126" s="75">
        <f>3.6*F2126</f>
        <v>31.432458915486055</v>
      </c>
      <c r="H2126" s="75">
        <f>'THAM_SO_MOI'!$D$51</f>
        <v>1.375</v>
      </c>
      <c r="I2126" s="75">
        <f>IF(F2126&gt;'THAM_SO_MOI'!$C$14,'THAM_SO_MOI'!$C$13*(1+F2126^2/1500),'THAM_SO_MOI'!$C$13)</f>
        <v>0.015</v>
      </c>
      <c r="J2126" s="75">
        <f>'THAM_SO_MOI'!$C$40*('THAM_SO_MOI'!$C$23*(E2126/'THAM_SO_MOI'!$C$22)+'THAM_SO_MOI'!$C$24*(E2126/'THAM_SO_MOI'!$C$22)^2-'THAM_SO_MOI'!$C$25*(E2126/'THAM_SO_MOI'!$C$22)^3)</f>
        <v>98.76340728049352</v>
      </c>
      <c r="K2126" s="75">
        <f>'THAM_SO_MOI'!$C$31*J2126/E2126</f>
        <v>430.09520936619424</v>
      </c>
      <c r="L2126" s="75">
        <f>K2126*'THAM_SO_MOI'!$C$51*'THAM_SO_MOI'!$C$17/'THAM_SO_MOI'!$C$26</f>
        <v>9616.589339864457</v>
      </c>
      <c r="M2126" s="75">
        <f>'THAM_SO_MOI'!$C$15*'THAM_SO_MOI'!$C$16*F2126^2</f>
        <v>222.98599227705463</v>
      </c>
      <c r="N2126" s="75">
        <f>'THAM_SO_MOI'!$C$12*I2126</f>
        <v>1130.112</v>
      </c>
      <c r="O2126" s="75">
        <f>M2126+N2126</f>
        <v>1353.0979922770548</v>
      </c>
      <c r="P2126" s="75">
        <f>(MIN(L2126,'THAM_SO_MOI'!$C$41)-O2126)/('THAM_SO_MOI'!$C$11*H2126)</f>
        <v>0.7825275897336554</v>
      </c>
      <c r="Q2126" s="75">
        <f>IF(P2126&gt;0,1/P2126,NA())</f>
        <v>1.2779102144377612</v>
      </c>
      <c r="R2126" s="75">
        <f>F2126-F2125</f>
        <v>0.005028991339518285</v>
      </c>
      <c r="S2126" s="75">
        <f>0.5*(Q2125+Q2126)*R2126</f>
        <v>0.006426471915241952</v>
      </c>
      <c r="T2126" s="75">
        <f>0.5*(F2125*Q2125+F2126*Q2126)*R2126</f>
        <v>0.056094900553473145</v>
      </c>
      <c r="U2126" s="76">
        <f>U2125+S2126</f>
        <v>10.860808116931691</v>
      </c>
      <c r="V2126" s="76">
        <f>V2125+T2126</f>
        <v>55.54905513412039</v>
      </c>
    </row>
    <row r="2127" spans="1:22" ht="19" customHeight="1">
      <c r="A2127" s="68" t="s">
        <v>374</v>
      </c>
      <c r="B2127" s="74">
        <v>3</v>
      </c>
      <c r="C2127" s="68" t="s">
        <v>363</v>
      </c>
      <c r="D2127" s="68" t="s">
        <v>364</v>
      </c>
      <c r="E2127" s="75">
        <f>60*F2127*'THAM_SO_MOI'!$C$51/(2*PI()*'THAM_SO_MOI'!$C$26)</f>
        <v>2194.4962807392085</v>
      </c>
      <c r="F2127" s="75">
        <f>'HANH_TRINH'!$F$1647+('THAM_SO_MOI'!$F$51-'HANH_TRINH'!$F$1647)*479/'THAM_SO_MOI'!$C$42</f>
        <v>8.736267578974534</v>
      </c>
      <c r="G2127" s="75">
        <f>3.6*F2127</f>
        <v>31.450563284308323</v>
      </c>
      <c r="H2127" s="75">
        <f>'THAM_SO_MOI'!$D$51</f>
        <v>1.375</v>
      </c>
      <c r="I2127" s="75">
        <f>IF(F2127&gt;'THAM_SO_MOI'!$C$14,'THAM_SO_MOI'!$C$13*(1+F2127^2/1500),'THAM_SO_MOI'!$C$13)</f>
        <v>0.015</v>
      </c>
      <c r="J2127" s="75">
        <f>'THAM_SO_MOI'!$C$40*('THAM_SO_MOI'!$C$23*(E2127/'THAM_SO_MOI'!$C$22)+'THAM_SO_MOI'!$C$24*(E2127/'THAM_SO_MOI'!$C$22)^2-'THAM_SO_MOI'!$C$25*(E2127/'THAM_SO_MOI'!$C$22)^3)</f>
        <v>98.81952686196057</v>
      </c>
      <c r="K2127" s="75">
        <f>'THAM_SO_MOI'!$C$31*J2127/E2127</f>
        <v>430.09187613723833</v>
      </c>
      <c r="L2127" s="75">
        <f>K2127*'THAM_SO_MOI'!$C$51*'THAM_SO_MOI'!$C$17/'THAM_SO_MOI'!$C$26</f>
        <v>9616.514811496443</v>
      </c>
      <c r="M2127" s="75">
        <f>'THAM_SO_MOI'!$C$15*'THAM_SO_MOI'!$C$16*F2127^2</f>
        <v>223.2429357934666</v>
      </c>
      <c r="N2127" s="75">
        <f>'THAM_SO_MOI'!$C$12*I2127</f>
        <v>1130.112</v>
      </c>
      <c r="O2127" s="75">
        <f>M2127+N2127</f>
        <v>1353.3549357934667</v>
      </c>
      <c r="P2127" s="75">
        <f>(MIN(L2127,'THAM_SO_MOI'!$C$41)-O2127)/('THAM_SO_MOI'!$C$11*H2127)</f>
        <v>0.7824962003506605</v>
      </c>
      <c r="Q2127" s="75">
        <f>IF(P2127&gt;0,1/P2127,NA())</f>
        <v>1.277961477067709</v>
      </c>
      <c r="R2127" s="75">
        <f>F2127-F2126</f>
        <v>0.005028991339518285</v>
      </c>
      <c r="S2127" s="75">
        <f>0.5*(Q2126+Q2127)*R2127</f>
        <v>0.0064267283007504806</v>
      </c>
      <c r="T2127" s="75">
        <f>0.5*(F2126*Q2126+F2127*Q2127)*R2127</f>
        <v>0.0561294584363592</v>
      </c>
      <c r="U2127" s="76">
        <f>U2126+S2127</f>
        <v>10.867234845232442</v>
      </c>
      <c r="V2127" s="76">
        <f>V2126+T2127</f>
        <v>55.605184592556746</v>
      </c>
    </row>
    <row r="2128" spans="1:22" ht="19" customHeight="1">
      <c r="A2128" s="68" t="s">
        <v>374</v>
      </c>
      <c r="B2128" s="74">
        <v>3</v>
      </c>
      <c r="C2128" s="68" t="s">
        <v>363</v>
      </c>
      <c r="D2128" s="68" t="s">
        <v>364</v>
      </c>
      <c r="E2128" s="75">
        <f>60*F2128*'THAM_SO_MOI'!$C$51/(2*PI()*'THAM_SO_MOI'!$C$26)</f>
        <v>2195.7595322010798</v>
      </c>
      <c r="F2128" s="75">
        <f>'HANH_TRINH'!$F$1647+('THAM_SO_MOI'!$F$51-'HANH_TRINH'!$F$1647)*480/'THAM_SO_MOI'!$C$42</f>
        <v>8.74129657031405</v>
      </c>
      <c r="G2128" s="75">
        <f>3.6*F2128</f>
        <v>31.46866765313058</v>
      </c>
      <c r="H2128" s="75">
        <f>'THAM_SO_MOI'!$D$51</f>
        <v>1.375</v>
      </c>
      <c r="I2128" s="75">
        <f>IF(F2128&gt;'THAM_SO_MOI'!$C$14,'THAM_SO_MOI'!$C$13*(1+F2128^2/1500),'THAM_SO_MOI'!$C$13)</f>
        <v>0.015</v>
      </c>
      <c r="J2128" s="75">
        <f>'THAM_SO_MOI'!$C$40*('THAM_SO_MOI'!$C$23*(E2128/'THAM_SO_MOI'!$C$22)+'THAM_SO_MOI'!$C$24*(E2128/'THAM_SO_MOI'!$C$22)^2-'THAM_SO_MOI'!$C$25*(E2128/'THAM_SO_MOI'!$C$22)^3)</f>
        <v>98.87560996993207</v>
      </c>
      <c r="K2128" s="75">
        <f>'THAM_SO_MOI'!$C$31*J2128/E2128</f>
        <v>430.088388091452</v>
      </c>
      <c r="L2128" s="75">
        <f>K2128*'THAM_SO_MOI'!$C$51*'THAM_SO_MOI'!$C$17/'THAM_SO_MOI'!$C$26</f>
        <v>9616.436821546318</v>
      </c>
      <c r="M2128" s="75">
        <f>'THAM_SO_MOI'!$C$15*'THAM_SO_MOI'!$C$16*F2128^2</f>
        <v>223.50002726078876</v>
      </c>
      <c r="N2128" s="75">
        <f>'THAM_SO_MOI'!$C$12*I2128</f>
        <v>1130.112</v>
      </c>
      <c r="O2128" s="75">
        <f>M2128+N2128</f>
        <v>1353.6120272607889</v>
      </c>
      <c r="P2128" s="75">
        <f>(MIN(L2128,'THAM_SO_MOI'!$C$41)-O2128)/('THAM_SO_MOI'!$C$11*H2128)</f>
        <v>0.7824644691558268</v>
      </c>
      <c r="Q2128" s="75">
        <f>IF(P2128&gt;0,1/P2128,NA())</f>
        <v>1.2780133020977484</v>
      </c>
      <c r="R2128" s="75">
        <f>F2128-F2127</f>
        <v>0.005028991339516509</v>
      </c>
      <c r="S2128" s="75">
        <f>0.5*(Q2127+Q2128)*R2128</f>
        <v>0.006426987514222853</v>
      </c>
      <c r="T2128" s="75">
        <f>0.5*(F2127*Q2127+F2128*Q2128)*R2128</f>
        <v>0.05616404361092686</v>
      </c>
      <c r="U2128" s="76">
        <f>U2127+S2128</f>
        <v>10.873661832746665</v>
      </c>
      <c r="V2128" s="76">
        <f>V2127+T2128</f>
        <v>55.66134863616767</v>
      </c>
    </row>
    <row r="2129" spans="1:22" ht="19" customHeight="1">
      <c r="A2129" s="68" t="s">
        <v>374</v>
      </c>
      <c r="B2129" s="74">
        <v>3</v>
      </c>
      <c r="C2129" s="68" t="s">
        <v>363</v>
      </c>
      <c r="D2129" s="68" t="s">
        <v>364</v>
      </c>
      <c r="E2129" s="75">
        <f>60*F2129*'THAM_SO_MOI'!$C$51/(2*PI()*'THAM_SO_MOI'!$C$26)</f>
        <v>2197.0227836629515</v>
      </c>
      <c r="F2129" s="75">
        <f>'HANH_TRINH'!$F$1647+('THAM_SO_MOI'!$F$51-'HANH_TRINH'!$F$1647)*481/'THAM_SO_MOI'!$C$42</f>
        <v>8.746325561653569</v>
      </c>
      <c r="G2129" s="75">
        <f>3.6*F2129</f>
        <v>31.48677202195285</v>
      </c>
      <c r="H2129" s="75">
        <f>'THAM_SO_MOI'!$D$51</f>
        <v>1.375</v>
      </c>
      <c r="I2129" s="75">
        <f>IF(F2129&gt;'THAM_SO_MOI'!$C$14,'THAM_SO_MOI'!$C$13*(1+F2129^2/1500),'THAM_SO_MOI'!$C$13)</f>
        <v>0.015</v>
      </c>
      <c r="J2129" s="75">
        <f>'THAM_SO_MOI'!$C$40*('THAM_SO_MOI'!$C$23*(E2129/'THAM_SO_MOI'!$C$22)+'THAM_SO_MOI'!$C$24*(E2129/'THAM_SO_MOI'!$C$22)^2-'THAM_SO_MOI'!$C$25*(E2129/'THAM_SO_MOI'!$C$22)^3)</f>
        <v>98.93165654297873</v>
      </c>
      <c r="K2129" s="75">
        <f>'THAM_SO_MOI'!$C$31*J2129/E2129</f>
        <v>430.0847452288353</v>
      </c>
      <c r="L2129" s="75">
        <f>K2129*'THAM_SO_MOI'!$C$51*'THAM_SO_MOI'!$C$17/'THAM_SO_MOI'!$C$26</f>
        <v>9616.355370014093</v>
      </c>
      <c r="M2129" s="75">
        <f>'THAM_SO_MOI'!$C$15*'THAM_SO_MOI'!$C$16*F2129^2</f>
        <v>223.75726667902126</v>
      </c>
      <c r="N2129" s="75">
        <f>'THAM_SO_MOI'!$C$12*I2129</f>
        <v>1130.112</v>
      </c>
      <c r="O2129" s="75">
        <f>M2129+N2129</f>
        <v>1353.8692666790214</v>
      </c>
      <c r="P2129" s="75">
        <f>(MIN(L2129,'THAM_SO_MOI'!$C$41)-O2129)/('THAM_SO_MOI'!$C$11*H2129)</f>
        <v>0.7824323961491545</v>
      </c>
      <c r="Q2129" s="75">
        <f>IF(P2129&gt;0,1/P2129,NA())</f>
        <v>1.2780656896642235</v>
      </c>
      <c r="R2129" s="75">
        <f>F2129-F2128</f>
        <v>0.005028991339518285</v>
      </c>
      <c r="S2129" s="75">
        <f>0.5*(Q2128+Q2129)*R2129</f>
        <v>0.006427249556347794</v>
      </c>
      <c r="T2129" s="75">
        <f>0.5*(F2128*Q2128+F2129*Q2129)*R2129</f>
        <v>0.056198656125863625</v>
      </c>
      <c r="U2129" s="76">
        <f>U2128+S2129</f>
        <v>10.880089082303012</v>
      </c>
      <c r="V2129" s="76">
        <f>V2128+T2129</f>
        <v>55.71754729229354</v>
      </c>
    </row>
    <row r="2130" spans="1:22" ht="19" customHeight="1">
      <c r="A2130" s="68" t="s">
        <v>374</v>
      </c>
      <c r="B2130" s="74">
        <v>3</v>
      </c>
      <c r="C2130" s="68" t="s">
        <v>363</v>
      </c>
      <c r="D2130" s="68" t="s">
        <v>364</v>
      </c>
      <c r="E2130" s="75">
        <f>60*F2130*'THAM_SO_MOI'!$C$51/(2*PI()*'THAM_SO_MOI'!$C$26)</f>
        <v>2198.286035124823</v>
      </c>
      <c r="F2130" s="75">
        <f>'HANH_TRINH'!$F$1647+('THAM_SO_MOI'!$F$51-'HANH_TRINH'!$F$1647)*482/'THAM_SO_MOI'!$C$42</f>
        <v>8.751354552993085</v>
      </c>
      <c r="G2130" s="75">
        <f>3.6*F2130</f>
        <v>31.504876390775106</v>
      </c>
      <c r="H2130" s="75">
        <f>'THAM_SO_MOI'!$D$51</f>
        <v>1.375</v>
      </c>
      <c r="I2130" s="75">
        <f>IF(F2130&gt;'THAM_SO_MOI'!$C$14,'THAM_SO_MOI'!$C$13*(1+F2130^2/1500),'THAM_SO_MOI'!$C$13)</f>
        <v>0.015</v>
      </c>
      <c r="J2130" s="75">
        <f>'THAM_SO_MOI'!$C$40*('THAM_SO_MOI'!$C$23*(E2130/'THAM_SO_MOI'!$C$22)+'THAM_SO_MOI'!$C$24*(E2130/'THAM_SO_MOI'!$C$22)^2-'THAM_SO_MOI'!$C$25*(E2130/'THAM_SO_MOI'!$C$22)^3)</f>
        <v>98.9876665196711</v>
      </c>
      <c r="K2130" s="75">
        <f>'THAM_SO_MOI'!$C$31*J2130/E2130</f>
        <v>430.0809475493879</v>
      </c>
      <c r="L2130" s="75">
        <f>K2130*'THAM_SO_MOI'!$C$51*'THAM_SO_MOI'!$C$17/'THAM_SO_MOI'!$C$26</f>
        <v>9616.270456899754</v>
      </c>
      <c r="M2130" s="75">
        <f>'THAM_SO_MOI'!$C$15*'THAM_SO_MOI'!$C$16*F2130^2</f>
        <v>224.01465404816398</v>
      </c>
      <c r="N2130" s="75">
        <f>'THAM_SO_MOI'!$C$12*I2130</f>
        <v>1130.112</v>
      </c>
      <c r="O2130" s="75">
        <f>M2130+N2130</f>
        <v>1354.126654048164</v>
      </c>
      <c r="P2130" s="75">
        <f>(MIN(L2130,'THAM_SO_MOI'!$C$41)-O2130)/('THAM_SO_MOI'!$C$11*H2130)</f>
        <v>0.7823999813306431</v>
      </c>
      <c r="Q2130" s="75">
        <f>IF(P2130&gt;0,1/P2130,NA())</f>
        <v>1.2781186399049758</v>
      </c>
      <c r="R2130" s="75">
        <f>F2130-F2129</f>
        <v>0.005028991339516509</v>
      </c>
      <c r="S2130" s="75">
        <f>0.5*(Q2129+Q2130)*R2130</f>
        <v>0.006427514427805659</v>
      </c>
      <c r="T2130" s="75">
        <f>0.5*(F2129*Q2129+F2130*Q2130)*R2130</f>
        <v>0.056233296029797646</v>
      </c>
      <c r="U2130" s="76">
        <f>U2129+S2130</f>
        <v>10.886516596730818</v>
      </c>
      <c r="V2130" s="76">
        <f>V2129+T2130</f>
        <v>55.77378058832333</v>
      </c>
    </row>
    <row r="2131" spans="1:22" ht="19" customHeight="1">
      <c r="A2131" s="68" t="s">
        <v>374</v>
      </c>
      <c r="B2131" s="74">
        <v>3</v>
      </c>
      <c r="C2131" s="68" t="s">
        <v>363</v>
      </c>
      <c r="D2131" s="68" t="s">
        <v>364</v>
      </c>
      <c r="E2131" s="75">
        <f>60*F2131*'THAM_SO_MOI'!$C$51/(2*PI()*'THAM_SO_MOI'!$C$26)</f>
        <v>2199.5492865866945</v>
      </c>
      <c r="F2131" s="75">
        <f>'HANH_TRINH'!$F$1647+('THAM_SO_MOI'!$F$51-'HANH_TRINH'!$F$1647)*483/'THAM_SO_MOI'!$C$42</f>
        <v>8.756383544332603</v>
      </c>
      <c r="G2131" s="75">
        <f>3.6*F2131</f>
        <v>31.522980759597374</v>
      </c>
      <c r="H2131" s="75">
        <f>'THAM_SO_MOI'!$D$51</f>
        <v>1.375</v>
      </c>
      <c r="I2131" s="75">
        <f>IF(F2131&gt;'THAM_SO_MOI'!$C$14,'THAM_SO_MOI'!$C$13*(1+F2131^2/1500),'THAM_SO_MOI'!$C$13)</f>
        <v>0.015</v>
      </c>
      <c r="J2131" s="75">
        <f>'THAM_SO_MOI'!$C$40*('THAM_SO_MOI'!$C$23*(E2131/'THAM_SO_MOI'!$C$22)+'THAM_SO_MOI'!$C$24*(E2131/'THAM_SO_MOI'!$C$22)^2-'THAM_SO_MOI'!$C$25*(E2131/'THAM_SO_MOI'!$C$22)^3)</f>
        <v>99.04363983857988</v>
      </c>
      <c r="K2131" s="75">
        <f>'THAM_SO_MOI'!$C$31*J2131/E2131</f>
        <v>430.07699505310995</v>
      </c>
      <c r="L2131" s="75">
        <f>K2131*'THAM_SO_MOI'!$C$51*'THAM_SO_MOI'!$C$17/'THAM_SO_MOI'!$C$26</f>
        <v>9616.182082203304</v>
      </c>
      <c r="M2131" s="75">
        <f>'THAM_SO_MOI'!$C$15*'THAM_SO_MOI'!$C$16*F2131^2</f>
        <v>224.27218936821703</v>
      </c>
      <c r="N2131" s="75">
        <f>'THAM_SO_MOI'!$C$12*I2131</f>
        <v>1130.112</v>
      </c>
      <c r="O2131" s="75">
        <f>M2131+N2131</f>
        <v>1354.384189368217</v>
      </c>
      <c r="P2131" s="75">
        <f>(MIN(L2131,'THAM_SO_MOI'!$C$41)-O2131)/('THAM_SO_MOI'!$C$11*H2131)</f>
        <v>0.7823672247002922</v>
      </c>
      <c r="Q2131" s="75">
        <f>IF(P2131&gt;0,1/P2131,NA())</f>
        <v>1.2781721529593448</v>
      </c>
      <c r="R2131" s="75">
        <f>F2131-F2130</f>
        <v>0.005028991339518285</v>
      </c>
      <c r="S2131" s="75">
        <f>0.5*(Q2130+Q2131)*R2131</f>
        <v>0.006427782129302499</v>
      </c>
      <c r="T2131" s="75">
        <f>0.5*(F2130*Q2130+F2131*Q2131)*R2131</f>
        <v>0.056267963371595675</v>
      </c>
      <c r="U2131" s="76">
        <f>U2130+S2131</f>
        <v>10.89294437886012</v>
      </c>
      <c r="V2131" s="76">
        <f>V2130+T2131</f>
        <v>55.83004855169493</v>
      </c>
    </row>
    <row r="2132" spans="1:22" ht="19" customHeight="1">
      <c r="A2132" s="68" t="s">
        <v>374</v>
      </c>
      <c r="B2132" s="74">
        <v>3</v>
      </c>
      <c r="C2132" s="68" t="s">
        <v>363</v>
      </c>
      <c r="D2132" s="68" t="s">
        <v>364</v>
      </c>
      <c r="E2132" s="75">
        <f>60*F2132*'THAM_SO_MOI'!$C$51/(2*PI()*'THAM_SO_MOI'!$C$26)</f>
        <v>2200.8125380485667</v>
      </c>
      <c r="F2132" s="75">
        <f>'HANH_TRINH'!$F$1647+('THAM_SO_MOI'!$F$51-'HANH_TRINH'!$F$1647)*484/'THAM_SO_MOI'!$C$42</f>
        <v>8.761412535672122</v>
      </c>
      <c r="G2132" s="75">
        <f>3.6*F2132</f>
        <v>31.54108512841964</v>
      </c>
      <c r="H2132" s="75">
        <f>'THAM_SO_MOI'!$D$51</f>
        <v>1.375</v>
      </c>
      <c r="I2132" s="75">
        <f>IF(F2132&gt;'THAM_SO_MOI'!$C$14,'THAM_SO_MOI'!$C$13*(1+F2132^2/1500),'THAM_SO_MOI'!$C$13)</f>
        <v>0.015</v>
      </c>
      <c r="J2132" s="75">
        <f>'THAM_SO_MOI'!$C$40*('THAM_SO_MOI'!$C$23*(E2132/'THAM_SO_MOI'!$C$22)+'THAM_SO_MOI'!$C$24*(E2132/'THAM_SO_MOI'!$C$22)^2-'THAM_SO_MOI'!$C$25*(E2132/'THAM_SO_MOI'!$C$22)^3)</f>
        <v>99.09957643827575</v>
      </c>
      <c r="K2132" s="75">
        <f>'THAM_SO_MOI'!$C$31*J2132/E2132</f>
        <v>430.0728877400015</v>
      </c>
      <c r="L2132" s="75">
        <f>K2132*'THAM_SO_MOI'!$C$51*'THAM_SO_MOI'!$C$17/'THAM_SO_MOI'!$C$26</f>
        <v>9616.090245924745</v>
      </c>
      <c r="M2132" s="75">
        <f>'THAM_SO_MOI'!$C$15*'THAM_SO_MOI'!$C$16*F2132^2</f>
        <v>224.52987263918038</v>
      </c>
      <c r="N2132" s="75">
        <f>'THAM_SO_MOI'!$C$12*I2132</f>
        <v>1130.112</v>
      </c>
      <c r="O2132" s="75">
        <f>M2132+N2132</f>
        <v>1354.6418726391805</v>
      </c>
      <c r="P2132" s="75">
        <f>(MIN(L2132,'THAM_SO_MOI'!$C$41)-O2132)/('THAM_SO_MOI'!$C$11*H2132)</f>
        <v>0.7823341262581025</v>
      </c>
      <c r="Q2132" s="75">
        <f>IF(P2132&gt;0,1/P2132,NA())</f>
        <v>1.2782262289681667</v>
      </c>
      <c r="R2132" s="75">
        <f>F2132-F2131</f>
        <v>0.005028991339518285</v>
      </c>
      <c r="S2132" s="75">
        <f>0.5*(Q2131+Q2132)*R2132</f>
        <v>0.006428052661536007</v>
      </c>
      <c r="T2132" s="75">
        <f>0.5*(F2131*Q2131+F2132*Q2132)*R2132</f>
        <v>0.05630265820006545</v>
      </c>
      <c r="U2132" s="76">
        <f>U2131+S2132</f>
        <v>10.899372431521655</v>
      </c>
      <c r="V2132" s="76">
        <f>V2131+T2132</f>
        <v>55.886351209895</v>
      </c>
    </row>
    <row r="2133" spans="1:22" ht="19" customHeight="1">
      <c r="A2133" s="68" t="s">
        <v>374</v>
      </c>
      <c r="B2133" s="74">
        <v>3</v>
      </c>
      <c r="C2133" s="68" t="s">
        <v>363</v>
      </c>
      <c r="D2133" s="68" t="s">
        <v>364</v>
      </c>
      <c r="E2133" s="75">
        <f>60*F2133*'THAM_SO_MOI'!$C$51/(2*PI()*'THAM_SO_MOI'!$C$26)</f>
        <v>2202.0757895104384</v>
      </c>
      <c r="F2133" s="75">
        <f>'HANH_TRINH'!$F$1647+('THAM_SO_MOI'!$F$51-'HANH_TRINH'!$F$1647)*485/'THAM_SO_MOI'!$C$42</f>
        <v>8.76644152701164</v>
      </c>
      <c r="G2133" s="75">
        <f>3.6*F2133</f>
        <v>31.559189497241906</v>
      </c>
      <c r="H2133" s="75">
        <f>'THAM_SO_MOI'!$D$51</f>
        <v>1.375</v>
      </c>
      <c r="I2133" s="75">
        <f>IF(F2133&gt;'THAM_SO_MOI'!$C$14,'THAM_SO_MOI'!$C$13*(1+F2133^2/1500),'THAM_SO_MOI'!$C$13)</f>
        <v>0.015</v>
      </c>
      <c r="J2133" s="75">
        <f>'THAM_SO_MOI'!$C$40*('THAM_SO_MOI'!$C$23*(E2133/'THAM_SO_MOI'!$C$22)+'THAM_SO_MOI'!$C$24*(E2133/'THAM_SO_MOI'!$C$22)^2-'THAM_SO_MOI'!$C$25*(E2133/'THAM_SO_MOI'!$C$22)^3)</f>
        <v>99.15547625732933</v>
      </c>
      <c r="K2133" s="75">
        <f>'THAM_SO_MOI'!$C$31*J2133/E2133</f>
        <v>430.0686256100626</v>
      </c>
      <c r="L2133" s="75">
        <f>K2133*'THAM_SO_MOI'!$C$51*'THAM_SO_MOI'!$C$17/'THAM_SO_MOI'!$C$26</f>
        <v>9615.994948064079</v>
      </c>
      <c r="M2133" s="75">
        <f>'THAM_SO_MOI'!$C$15*'THAM_SO_MOI'!$C$16*F2133^2</f>
        <v>224.78770386105398</v>
      </c>
      <c r="N2133" s="75">
        <f>'THAM_SO_MOI'!$C$12*I2133</f>
        <v>1130.112</v>
      </c>
      <c r="O2133" s="75">
        <f>M2133+N2133</f>
        <v>1354.8997038610541</v>
      </c>
      <c r="P2133" s="75">
        <f>(MIN(L2133,'THAM_SO_MOI'!$C$41)-O2133)/('THAM_SO_MOI'!$C$11*H2133)</f>
        <v>0.7823006860040743</v>
      </c>
      <c r="Q2133" s="75">
        <f>IF(P2133&gt;0,1/P2133,NA())</f>
        <v>1.2782808680737778</v>
      </c>
      <c r="R2133" s="75">
        <f>F2133-F2132</f>
        <v>0.005028991339518285</v>
      </c>
      <c r="S2133" s="75">
        <f>0.5*(Q2132+Q2133)*R2133</f>
        <v>0.006428326025220485</v>
      </c>
      <c r="T2133" s="75">
        <f>0.5*(F2132*Q2132+F2133*Q2133)*R2133</f>
        <v>0.05633738056417436</v>
      </c>
      <c r="U2133" s="76">
        <f>U2132+S2133</f>
        <v>10.905800757546876</v>
      </c>
      <c r="V2133" s="76">
        <f>V2132+T2133</f>
        <v>55.94268859045917</v>
      </c>
    </row>
    <row r="2134" spans="1:22" ht="19" customHeight="1">
      <c r="A2134" s="68" t="s">
        <v>374</v>
      </c>
      <c r="B2134" s="74">
        <v>3</v>
      </c>
      <c r="C2134" s="68" t="s">
        <v>363</v>
      </c>
      <c r="D2134" s="68" t="s">
        <v>364</v>
      </c>
      <c r="E2134" s="75">
        <f>60*F2134*'THAM_SO_MOI'!$C$51/(2*PI()*'THAM_SO_MOI'!$C$26)</f>
        <v>2203.3390409723097</v>
      </c>
      <c r="F2134" s="75">
        <f>'HANH_TRINH'!$F$1647+('THAM_SO_MOI'!$F$51-'HANH_TRINH'!$F$1647)*486/'THAM_SO_MOI'!$C$42</f>
        <v>8.771470518351157</v>
      </c>
      <c r="G2134" s="75">
        <f>3.6*F2134</f>
        <v>31.577293866064164</v>
      </c>
      <c r="H2134" s="75">
        <f>'THAM_SO_MOI'!$D$51</f>
        <v>1.375</v>
      </c>
      <c r="I2134" s="75">
        <f>IF(F2134&gt;'THAM_SO_MOI'!$C$14,'THAM_SO_MOI'!$C$13*(1+F2134^2/1500),'THAM_SO_MOI'!$C$13)</f>
        <v>0.015</v>
      </c>
      <c r="J2134" s="75">
        <f>'THAM_SO_MOI'!$C$40*('THAM_SO_MOI'!$C$23*(E2134/'THAM_SO_MOI'!$C$22)+'THAM_SO_MOI'!$C$24*(E2134/'THAM_SO_MOI'!$C$22)^2-'THAM_SO_MOI'!$C$25*(E2134/'THAM_SO_MOI'!$C$22)^3)</f>
        <v>99.21133923431124</v>
      </c>
      <c r="K2134" s="75">
        <f>'THAM_SO_MOI'!$C$31*J2134/E2134</f>
        <v>430.06420866329324</v>
      </c>
      <c r="L2134" s="75">
        <f>K2134*'THAM_SO_MOI'!$C$51*'THAM_SO_MOI'!$C$17/'THAM_SO_MOI'!$C$26</f>
        <v>9615.896188621304</v>
      </c>
      <c r="M2134" s="75">
        <f>'THAM_SO_MOI'!$C$15*'THAM_SO_MOI'!$C$16*F2134^2</f>
        <v>225.04568303383778</v>
      </c>
      <c r="N2134" s="75">
        <f>'THAM_SO_MOI'!$C$12*I2134</f>
        <v>1130.112</v>
      </c>
      <c r="O2134" s="75">
        <f>M2134+N2134</f>
        <v>1355.1576830338379</v>
      </c>
      <c r="P2134" s="75">
        <f>(MIN(L2134,'THAM_SO_MOI'!$C$41)-O2134)/('THAM_SO_MOI'!$C$11*H2134)</f>
        <v>0.782266903938207</v>
      </c>
      <c r="Q2134" s="75">
        <f>IF(P2134&gt;0,1/P2134,NA())</f>
        <v>1.2783360704200164</v>
      </c>
      <c r="R2134" s="75">
        <f>F2134-F2133</f>
        <v>0.005028991339516509</v>
      </c>
      <c r="S2134" s="75">
        <f>0.5*(Q2133+Q2134)*R2134</f>
        <v>0.006428602221073251</v>
      </c>
      <c r="T2134" s="75">
        <f>0.5*(F2133*Q2133+F2134*Q2134)*R2134</f>
        <v>0.05637213051293053</v>
      </c>
      <c r="U2134" s="76">
        <f>U2133+S2134</f>
        <v>10.912229359767949</v>
      </c>
      <c r="V2134" s="76">
        <f>V2133+T2134</f>
        <v>55.9990607209721</v>
      </c>
    </row>
    <row r="2135" spans="1:22" ht="19" customHeight="1">
      <c r="A2135" s="68" t="s">
        <v>374</v>
      </c>
      <c r="B2135" s="74">
        <v>3</v>
      </c>
      <c r="C2135" s="68" t="s">
        <v>363</v>
      </c>
      <c r="D2135" s="68" t="s">
        <v>364</v>
      </c>
      <c r="E2135" s="75">
        <f>60*F2135*'THAM_SO_MOI'!$C$51/(2*PI()*'THAM_SO_MOI'!$C$26)</f>
        <v>2204.6022924341814</v>
      </c>
      <c r="F2135" s="75">
        <f>'HANH_TRINH'!$F$1647+('THAM_SO_MOI'!$F$51-'HANH_TRINH'!$F$1647)*487/'THAM_SO_MOI'!$C$42</f>
        <v>8.776499509690675</v>
      </c>
      <c r="G2135" s="75">
        <f>3.6*F2135</f>
        <v>31.59539823488643</v>
      </c>
      <c r="H2135" s="75">
        <f>'THAM_SO_MOI'!$D$51</f>
        <v>1.375</v>
      </c>
      <c r="I2135" s="75">
        <f>IF(F2135&gt;'THAM_SO_MOI'!$C$14,'THAM_SO_MOI'!$C$13*(1+F2135^2/1500),'THAM_SO_MOI'!$C$13)</f>
        <v>0.015</v>
      </c>
      <c r="J2135" s="75">
        <f>'THAM_SO_MOI'!$C$40*('THAM_SO_MOI'!$C$23*(E2135/'THAM_SO_MOI'!$C$22)+'THAM_SO_MOI'!$C$24*(E2135/'THAM_SO_MOI'!$C$22)^2-'THAM_SO_MOI'!$C$25*(E2135/'THAM_SO_MOI'!$C$22)^3)</f>
        <v>99.26716530779223</v>
      </c>
      <c r="K2135" s="75">
        <f>'THAM_SO_MOI'!$C$31*J2135/E2135</f>
        <v>430.0596368996935</v>
      </c>
      <c r="L2135" s="75">
        <f>K2135*'THAM_SO_MOI'!$C$51*'THAM_SO_MOI'!$C$17/'THAM_SO_MOI'!$C$26</f>
        <v>9615.793967596423</v>
      </c>
      <c r="M2135" s="75">
        <f>'THAM_SO_MOI'!$C$15*'THAM_SO_MOI'!$C$16*F2135^2</f>
        <v>225.30381015753193</v>
      </c>
      <c r="N2135" s="75">
        <f>'THAM_SO_MOI'!$C$12*I2135</f>
        <v>1130.112</v>
      </c>
      <c r="O2135" s="75">
        <f>M2135+N2135</f>
        <v>1355.415810157532</v>
      </c>
      <c r="P2135" s="75">
        <f>(MIN(L2135,'THAM_SO_MOI'!$C$41)-O2135)/('THAM_SO_MOI'!$C$11*H2135)</f>
        <v>0.7822327800605011</v>
      </c>
      <c r="Q2135" s="75">
        <f>IF(P2135&gt;0,1/P2135,NA())</f>
        <v>1.2783918361522204</v>
      </c>
      <c r="R2135" s="75">
        <f>F2135-F2134</f>
        <v>0.005028991339518285</v>
      </c>
      <c r="S2135" s="75">
        <f>0.5*(Q2134+Q2135)*R2135</f>
        <v>0.006428881249828247</v>
      </c>
      <c r="T2135" s="75">
        <f>0.5*(F2134*Q2134+F2135*Q2135)*R2135</f>
        <v>0.056406908095502445</v>
      </c>
      <c r="U2135" s="76">
        <f>U2134+S2135</f>
        <v>10.918658241017777</v>
      </c>
      <c r="V2135" s="76">
        <f>V2134+T2135</f>
        <v>56.05546762906761</v>
      </c>
    </row>
    <row r="2136" spans="1:22" ht="19" customHeight="1">
      <c r="A2136" s="68" t="s">
        <v>374</v>
      </c>
      <c r="B2136" s="74">
        <v>3</v>
      </c>
      <c r="C2136" s="68" t="s">
        <v>363</v>
      </c>
      <c r="D2136" s="68" t="s">
        <v>364</v>
      </c>
      <c r="E2136" s="75">
        <f>60*F2136*'THAM_SO_MOI'!$C$51/(2*PI()*'THAM_SO_MOI'!$C$26)</f>
        <v>2205.8655438960527</v>
      </c>
      <c r="F2136" s="75">
        <f>'HANH_TRINH'!$F$1647+('THAM_SO_MOI'!$F$51-'HANH_TRINH'!$F$1647)*488/'THAM_SO_MOI'!$C$42</f>
        <v>8.781528501030191</v>
      </c>
      <c r="G2136" s="75">
        <f>3.6*F2136</f>
        <v>31.61350260370869</v>
      </c>
      <c r="H2136" s="75">
        <f>'THAM_SO_MOI'!$D$51</f>
        <v>1.375</v>
      </c>
      <c r="I2136" s="75">
        <f>IF(F2136&gt;'THAM_SO_MOI'!$C$14,'THAM_SO_MOI'!$C$13*(1+F2136^2/1500),'THAM_SO_MOI'!$C$13)</f>
        <v>0.015</v>
      </c>
      <c r="J2136" s="75">
        <f>'THAM_SO_MOI'!$C$40*('THAM_SO_MOI'!$C$23*(E2136/'THAM_SO_MOI'!$C$22)+'THAM_SO_MOI'!$C$24*(E2136/'THAM_SO_MOI'!$C$22)^2-'THAM_SO_MOI'!$C$25*(E2136/'THAM_SO_MOI'!$C$22)^3)</f>
        <v>99.32295441634278</v>
      </c>
      <c r="K2136" s="75">
        <f>'THAM_SO_MOI'!$C$31*J2136/E2136</f>
        <v>430.054910319263</v>
      </c>
      <c r="L2136" s="75">
        <f>K2136*'THAM_SO_MOI'!$C$51*'THAM_SO_MOI'!$C$17/'THAM_SO_MOI'!$C$26</f>
        <v>9615.688284989428</v>
      </c>
      <c r="M2136" s="75">
        <f>'THAM_SO_MOI'!$C$15*'THAM_SO_MOI'!$C$16*F2136^2</f>
        <v>225.56208523213627</v>
      </c>
      <c r="N2136" s="75">
        <f>'THAM_SO_MOI'!$C$12*I2136</f>
        <v>1130.112</v>
      </c>
      <c r="O2136" s="75">
        <f>M2136+N2136</f>
        <v>1355.6740852321363</v>
      </c>
      <c r="P2136" s="75">
        <f>(MIN(L2136,'THAM_SO_MOI'!$C$41)-O2136)/('THAM_SO_MOI'!$C$11*H2136)</f>
        <v>0.7821983143709555</v>
      </c>
      <c r="Q2136" s="75">
        <f>IF(P2136&gt;0,1/P2136,NA())</f>
        <v>1.2784481654172328</v>
      </c>
      <c r="R2136" s="75">
        <f>F2136-F2135</f>
        <v>0.005028991339516509</v>
      </c>
      <c r="S2136" s="75">
        <f>0.5*(Q2135+Q2136)*R2136</f>
        <v>0.006429163112211078</v>
      </c>
      <c r="T2136" s="75">
        <f>0.5*(F2135*Q2135+F2136*Q2136)*R2136</f>
        <v>0.05644171336100012</v>
      </c>
      <c r="U2136" s="76">
        <f>U2135+S2136</f>
        <v>10.925087404129988</v>
      </c>
      <c r="V2136" s="76">
        <f>V2135+T2136</f>
        <v>56.11190934242861</v>
      </c>
    </row>
    <row r="2137" spans="1:22" ht="19" customHeight="1">
      <c r="A2137" s="68" t="s">
        <v>374</v>
      </c>
      <c r="B2137" s="74">
        <v>3</v>
      </c>
      <c r="C2137" s="68" t="s">
        <v>363</v>
      </c>
      <c r="D2137" s="68" t="s">
        <v>364</v>
      </c>
      <c r="E2137" s="75">
        <f>60*F2137*'THAM_SO_MOI'!$C$51/(2*PI()*'THAM_SO_MOI'!$C$26)</f>
        <v>2207.1287953579244</v>
      </c>
      <c r="F2137" s="75">
        <f>'HANH_TRINH'!$F$1647+('THAM_SO_MOI'!$F$51-'HANH_TRINH'!$F$1647)*489/'THAM_SO_MOI'!$C$42</f>
        <v>8.78655749236971</v>
      </c>
      <c r="G2137" s="75">
        <f>3.6*F2137</f>
        <v>31.631606972530957</v>
      </c>
      <c r="H2137" s="75">
        <f>'THAM_SO_MOI'!$D$51</f>
        <v>1.375</v>
      </c>
      <c r="I2137" s="75">
        <f>IF(F2137&gt;'THAM_SO_MOI'!$C$14,'THAM_SO_MOI'!$C$13*(1+F2137^2/1500),'THAM_SO_MOI'!$C$13)</f>
        <v>0.015</v>
      </c>
      <c r="J2137" s="75">
        <f>'THAM_SO_MOI'!$C$40*('THAM_SO_MOI'!$C$23*(E2137/'THAM_SO_MOI'!$C$22)+'THAM_SO_MOI'!$C$24*(E2137/'THAM_SO_MOI'!$C$22)^2-'THAM_SO_MOI'!$C$25*(E2137/'THAM_SO_MOI'!$C$22)^3)</f>
        <v>99.3787064985337</v>
      </c>
      <c r="K2137" s="75">
        <f>'THAM_SO_MOI'!$C$31*J2137/E2137</f>
        <v>430.05002892200207</v>
      </c>
      <c r="L2137" s="75">
        <f>K2137*'THAM_SO_MOI'!$C$51*'THAM_SO_MOI'!$C$17/'THAM_SO_MOI'!$C$26</f>
        <v>9615.579140800326</v>
      </c>
      <c r="M2137" s="75">
        <f>'THAM_SO_MOI'!$C$15*'THAM_SO_MOI'!$C$16*F2137^2</f>
        <v>225.82050825765097</v>
      </c>
      <c r="N2137" s="75">
        <f>'THAM_SO_MOI'!$C$12*I2137</f>
        <v>1130.112</v>
      </c>
      <c r="O2137" s="75">
        <f>M2137+N2137</f>
        <v>1355.932508257651</v>
      </c>
      <c r="P2137" s="75">
        <f>(MIN(L2137,'THAM_SO_MOI'!$C$41)-O2137)/('THAM_SO_MOI'!$C$11*H2137)</f>
        <v>0.7821635068695714</v>
      </c>
      <c r="Q2137" s="75">
        <f>IF(P2137&gt;0,1/P2137,NA())</f>
        <v>1.2785050583633961</v>
      </c>
      <c r="R2137" s="75">
        <f>F2137-F2136</f>
        <v>0.005028991339518285</v>
      </c>
      <c r="S2137" s="75">
        <f>0.5*(Q2136+Q2137)*R2137</f>
        <v>0.00642944780897307</v>
      </c>
      <c r="T2137" s="75">
        <f>0.5*(F2136*Q2136+F2137*Q2137)*R2137</f>
        <v>0.056476546358774124</v>
      </c>
      <c r="U2137" s="76">
        <f>U2136+S2137</f>
        <v>10.93151685193896</v>
      </c>
      <c r="V2137" s="76">
        <f>V2136+T2137</f>
        <v>56.168385888787384</v>
      </c>
    </row>
    <row r="2138" spans="1:22" ht="19" customHeight="1">
      <c r="A2138" s="68" t="s">
        <v>374</v>
      </c>
      <c r="B2138" s="74">
        <v>3</v>
      </c>
      <c r="C2138" s="68" t="s">
        <v>363</v>
      </c>
      <c r="D2138" s="68" t="s">
        <v>364</v>
      </c>
      <c r="E2138" s="75">
        <f>60*F2138*'THAM_SO_MOI'!$C$51/(2*PI()*'THAM_SO_MOI'!$C$26)</f>
        <v>2208.3920468197957</v>
      </c>
      <c r="F2138" s="75">
        <f>'HANH_TRINH'!$F$1647+('THAM_SO_MOI'!$F$51-'HANH_TRINH'!$F$1647)*490/'THAM_SO_MOI'!$C$42</f>
        <v>8.791586483709228</v>
      </c>
      <c r="G2138" s="75">
        <f>3.6*F2138</f>
        <v>31.64971134135322</v>
      </c>
      <c r="H2138" s="75">
        <f>'THAM_SO_MOI'!$D$51</f>
        <v>1.375</v>
      </c>
      <c r="I2138" s="75">
        <f>IF(F2138&gt;'THAM_SO_MOI'!$C$14,'THAM_SO_MOI'!$C$13*(1+F2138^2/1500),'THAM_SO_MOI'!$C$13)</f>
        <v>0.015</v>
      </c>
      <c r="J2138" s="75">
        <f>'THAM_SO_MOI'!$C$40*('THAM_SO_MOI'!$C$23*(E2138/'THAM_SO_MOI'!$C$22)+'THAM_SO_MOI'!$C$24*(E2138/'THAM_SO_MOI'!$C$22)^2-'THAM_SO_MOI'!$C$25*(E2138/'THAM_SO_MOI'!$C$22)^3)</f>
        <v>99.43442149293558</v>
      </c>
      <c r="K2138" s="75">
        <f>'THAM_SO_MOI'!$C$31*J2138/E2138</f>
        <v>430.04499270791075</v>
      </c>
      <c r="L2138" s="75">
        <f>K2138*'THAM_SO_MOI'!$C$51*'THAM_SO_MOI'!$C$17/'THAM_SO_MOI'!$C$26</f>
        <v>9615.466535029116</v>
      </c>
      <c r="M2138" s="75">
        <f>'THAM_SO_MOI'!$C$15*'THAM_SO_MOI'!$C$16*F2138^2</f>
        <v>226.07907923407598</v>
      </c>
      <c r="N2138" s="75">
        <f>'THAM_SO_MOI'!$C$12*I2138</f>
        <v>1130.112</v>
      </c>
      <c r="O2138" s="75">
        <f>M2138+N2138</f>
        <v>1356.1910792340761</v>
      </c>
      <c r="P2138" s="75">
        <f>(MIN(L2138,'THAM_SO_MOI'!$C$41)-O2138)/('THAM_SO_MOI'!$C$11*H2138)</f>
        <v>0.7821283575563485</v>
      </c>
      <c r="Q2138" s="75">
        <f>IF(P2138&gt;0,1/P2138,NA())</f>
        <v>1.27856251514056</v>
      </c>
      <c r="R2138" s="75">
        <f>F2138-F2137</f>
        <v>0.005028991339518285</v>
      </c>
      <c r="S2138" s="75">
        <f>0.5*(Q2137+Q2138)*R2138</f>
        <v>0.006429735340857216</v>
      </c>
      <c r="T2138" s="75">
        <f>0.5*(F2137*Q2137+F2138*Q2138)*R2138</f>
        <v>0.05651140713811686</v>
      </c>
      <c r="U2138" s="76">
        <f>U2137+S2138</f>
        <v>10.937946587279818</v>
      </c>
      <c r="V2138" s="76">
        <f>V2137+T2138</f>
        <v>56.2248972959255</v>
      </c>
    </row>
    <row r="2139" spans="1:22" ht="19" customHeight="1">
      <c r="A2139" s="68" t="s">
        <v>374</v>
      </c>
      <c r="B2139" s="74">
        <v>3</v>
      </c>
      <c r="C2139" s="68" t="s">
        <v>363</v>
      </c>
      <c r="D2139" s="68" t="s">
        <v>364</v>
      </c>
      <c r="E2139" s="75">
        <f>60*F2139*'THAM_SO_MOI'!$C$51/(2*PI()*'THAM_SO_MOI'!$C$26)</f>
        <v>2209.6552982816675</v>
      </c>
      <c r="F2139" s="75">
        <f>'HANH_TRINH'!$F$1647+('THAM_SO_MOI'!$F$51-'HANH_TRINH'!$F$1647)*491/'THAM_SO_MOI'!$C$42</f>
        <v>8.796615475048746</v>
      </c>
      <c r="G2139" s="75">
        <f>3.6*F2139</f>
        <v>31.667815710175486</v>
      </c>
      <c r="H2139" s="75">
        <f>'THAM_SO_MOI'!$D$51</f>
        <v>1.375</v>
      </c>
      <c r="I2139" s="75">
        <f>IF(F2139&gt;'THAM_SO_MOI'!$C$14,'THAM_SO_MOI'!$C$13*(1+F2139^2/1500),'THAM_SO_MOI'!$C$13)</f>
        <v>0.015</v>
      </c>
      <c r="J2139" s="75">
        <f>'THAM_SO_MOI'!$C$40*('THAM_SO_MOI'!$C$23*(E2139/'THAM_SO_MOI'!$C$22)+'THAM_SO_MOI'!$C$24*(E2139/'THAM_SO_MOI'!$C$22)^2-'THAM_SO_MOI'!$C$25*(E2139/'THAM_SO_MOI'!$C$22)^3)</f>
        <v>99.4900993381191</v>
      </c>
      <c r="K2139" s="75">
        <f>'THAM_SO_MOI'!$C$31*J2139/E2139</f>
        <v>430.0398016769889</v>
      </c>
      <c r="L2139" s="75">
        <f>K2139*'THAM_SO_MOI'!$C$51*'THAM_SO_MOI'!$C$17/'THAM_SO_MOI'!$C$26</f>
        <v>9615.350467675798</v>
      </c>
      <c r="M2139" s="75">
        <f>'THAM_SO_MOI'!$C$15*'THAM_SO_MOI'!$C$16*F2139^2</f>
        <v>226.33779816141123</v>
      </c>
      <c r="N2139" s="75">
        <f>'THAM_SO_MOI'!$C$12*I2139</f>
        <v>1130.112</v>
      </c>
      <c r="O2139" s="75">
        <f>M2139+N2139</f>
        <v>1356.4497981614113</v>
      </c>
      <c r="P2139" s="75">
        <f>(MIN(L2139,'THAM_SO_MOI'!$C$41)-O2139)/('THAM_SO_MOI'!$C$11*H2139)</f>
        <v>0.7820928664312866</v>
      </c>
      <c r="Q2139" s="75">
        <f>IF(P2139&gt;0,1/P2139,NA())</f>
        <v>1.2786205359000782</v>
      </c>
      <c r="R2139" s="75">
        <f>F2139-F2138</f>
        <v>0.005028991339518285</v>
      </c>
      <c r="S2139" s="75">
        <f>0.5*(Q2138+Q2139)*R2139</f>
        <v>0.006430025708623157</v>
      </c>
      <c r="T2139" s="75">
        <f>0.5*(F2138*Q2138+F2139*Q2139)*R2139</f>
        <v>0.056546295748482155</v>
      </c>
      <c r="U2139" s="76">
        <f>U2138+S2139</f>
        <v>10.94437661298844</v>
      </c>
      <c r="V2139" s="76">
        <f>V2138+T2139</f>
        <v>56.281443591673984</v>
      </c>
    </row>
    <row r="2140" spans="1:22" ht="19" customHeight="1">
      <c r="A2140" s="68" t="s">
        <v>374</v>
      </c>
      <c r="B2140" s="74">
        <v>3</v>
      </c>
      <c r="C2140" s="68" t="s">
        <v>363</v>
      </c>
      <c r="D2140" s="68" t="s">
        <v>364</v>
      </c>
      <c r="E2140" s="75">
        <f>60*F2140*'THAM_SO_MOI'!$C$51/(2*PI()*'THAM_SO_MOI'!$C$26)</f>
        <v>2210.918549743539</v>
      </c>
      <c r="F2140" s="75">
        <f>'HANH_TRINH'!$F$1647+('THAM_SO_MOI'!$F$51-'HANH_TRINH'!$F$1647)*492/'THAM_SO_MOI'!$C$42</f>
        <v>8.801644466388263</v>
      </c>
      <c r="G2140" s="75">
        <f>3.6*F2140</f>
        <v>31.685920078997746</v>
      </c>
      <c r="H2140" s="75">
        <f>'THAM_SO_MOI'!$D$51</f>
        <v>1.375</v>
      </c>
      <c r="I2140" s="75">
        <f>IF(F2140&gt;'THAM_SO_MOI'!$C$14,'THAM_SO_MOI'!$C$13*(1+F2140^2/1500),'THAM_SO_MOI'!$C$13)</f>
        <v>0.015</v>
      </c>
      <c r="J2140" s="75">
        <f>'THAM_SO_MOI'!$C$40*('THAM_SO_MOI'!$C$23*(E2140/'THAM_SO_MOI'!$C$22)+'THAM_SO_MOI'!$C$24*(E2140/'THAM_SO_MOI'!$C$22)^2-'THAM_SO_MOI'!$C$25*(E2140/'THAM_SO_MOI'!$C$22)^3)</f>
        <v>99.54573997265484</v>
      </c>
      <c r="K2140" s="75">
        <f>'THAM_SO_MOI'!$C$31*J2140/E2140</f>
        <v>430.0344558292364</v>
      </c>
      <c r="L2140" s="75">
        <f>K2140*'THAM_SO_MOI'!$C$51*'THAM_SO_MOI'!$C$17/'THAM_SO_MOI'!$C$26</f>
        <v>9615.230938740367</v>
      </c>
      <c r="M2140" s="75">
        <f>'THAM_SO_MOI'!$C$15*'THAM_SO_MOI'!$C$16*F2140^2</f>
        <v>226.59666503965667</v>
      </c>
      <c r="N2140" s="75">
        <f>'THAM_SO_MOI'!$C$12*I2140</f>
        <v>1130.112</v>
      </c>
      <c r="O2140" s="75">
        <f>M2140+N2140</f>
        <v>1356.7086650396568</v>
      </c>
      <c r="P2140" s="75">
        <f>(MIN(L2140,'THAM_SO_MOI'!$C$41)-O2140)/('THAM_SO_MOI'!$C$11*H2140)</f>
        <v>0.7820570334943854</v>
      </c>
      <c r="Q2140" s="75">
        <f>IF(P2140&gt;0,1/P2140,NA())</f>
        <v>1.2786791207948125</v>
      </c>
      <c r="R2140" s="75">
        <f>F2140-F2139</f>
        <v>0.005028991339516509</v>
      </c>
      <c r="S2140" s="75">
        <f>0.5*(Q2139+Q2140)*R2140</f>
        <v>0.006430318913033573</v>
      </c>
      <c r="T2140" s="75">
        <f>0.5*(F2139*Q2139+F2140*Q2140)*R2140</f>
        <v>0.05658121223936579</v>
      </c>
      <c r="U2140" s="76">
        <f>U2139+S2140</f>
        <v>10.950806931901473</v>
      </c>
      <c r="V2140" s="76">
        <f>V2139+T2140</f>
        <v>56.33802480391335</v>
      </c>
    </row>
    <row r="2141" spans="1:22" ht="19" customHeight="1">
      <c r="A2141" s="68" t="s">
        <v>374</v>
      </c>
      <c r="B2141" s="74">
        <v>3</v>
      </c>
      <c r="C2141" s="68" t="s">
        <v>363</v>
      </c>
      <c r="D2141" s="68" t="s">
        <v>364</v>
      </c>
      <c r="E2141" s="75">
        <f>60*F2141*'THAM_SO_MOI'!$C$51/(2*PI()*'THAM_SO_MOI'!$C$26)</f>
        <v>2212.181801205411</v>
      </c>
      <c r="F2141" s="75">
        <f>'HANH_TRINH'!$F$1647+('THAM_SO_MOI'!$F$51-'HANH_TRINH'!$F$1647)*493/'THAM_SO_MOI'!$C$42</f>
        <v>8.806673457727781</v>
      </c>
      <c r="G2141" s="75">
        <f>3.6*F2141</f>
        <v>31.70402444782001</v>
      </c>
      <c r="H2141" s="75">
        <f>'THAM_SO_MOI'!$D$51</f>
        <v>1.375</v>
      </c>
      <c r="I2141" s="75">
        <f>IF(F2141&gt;'THAM_SO_MOI'!$C$14,'THAM_SO_MOI'!$C$13*(1+F2141^2/1500),'THAM_SO_MOI'!$C$13)</f>
        <v>0.015</v>
      </c>
      <c r="J2141" s="75">
        <f>'THAM_SO_MOI'!$C$40*('THAM_SO_MOI'!$C$23*(E2141/'THAM_SO_MOI'!$C$22)+'THAM_SO_MOI'!$C$24*(E2141/'THAM_SO_MOI'!$C$22)^2-'THAM_SO_MOI'!$C$25*(E2141/'THAM_SO_MOI'!$C$22)^3)</f>
        <v>99.60134333511351</v>
      </c>
      <c r="K2141" s="75">
        <f>'THAM_SO_MOI'!$C$31*J2141/E2141</f>
        <v>430.02895516465344</v>
      </c>
      <c r="L2141" s="75">
        <f>K2141*'THAM_SO_MOI'!$C$51*'THAM_SO_MOI'!$C$17/'THAM_SO_MOI'!$C$26</f>
        <v>9615.10794822283</v>
      </c>
      <c r="M2141" s="75">
        <f>'THAM_SO_MOI'!$C$15*'THAM_SO_MOI'!$C$16*F2141^2</f>
        <v>226.85567986881247</v>
      </c>
      <c r="N2141" s="75">
        <f>'THAM_SO_MOI'!$C$12*I2141</f>
        <v>1130.112</v>
      </c>
      <c r="O2141" s="75">
        <f>M2141+N2141</f>
        <v>1356.9676798688126</v>
      </c>
      <c r="P2141" s="75">
        <f>(MIN(L2141,'THAM_SO_MOI'!$C$41)-O2141)/('THAM_SO_MOI'!$C$11*H2141)</f>
        <v>0.7820208587456456</v>
      </c>
      <c r="Q2141" s="75">
        <f>IF(P2141&gt;0,1/P2141,NA())</f>
        <v>1.2787382699791294</v>
      </c>
      <c r="R2141" s="75">
        <f>F2141-F2140</f>
        <v>0.005028991339518285</v>
      </c>
      <c r="S2141" s="75">
        <f>0.5*(Q2140+Q2141)*R2141</f>
        <v>0.006430614954867802</v>
      </c>
      <c r="T2141" s="75">
        <f>0.5*(F2140*Q2140+F2141*Q2141)*R2141</f>
        <v>0.05661615666042557</v>
      </c>
      <c r="U2141" s="76">
        <f>U2140+S2141</f>
        <v>10.95723754685634</v>
      </c>
      <c r="V2141" s="76">
        <f>V2140+T2141</f>
        <v>56.394640960573774</v>
      </c>
    </row>
    <row r="2142" spans="1:22" ht="19" customHeight="1">
      <c r="A2142" s="68" t="s">
        <v>374</v>
      </c>
      <c r="B2142" s="74">
        <v>3</v>
      </c>
      <c r="C2142" s="68" t="s">
        <v>363</v>
      </c>
      <c r="D2142" s="68" t="s">
        <v>364</v>
      </c>
      <c r="E2142" s="75">
        <f>60*F2142*'THAM_SO_MOI'!$C$51/(2*PI()*'THAM_SO_MOI'!$C$26)</f>
        <v>2213.4450526672827</v>
      </c>
      <c r="F2142" s="75">
        <f>'HANH_TRINH'!$F$1647+('THAM_SO_MOI'!$F$51-'HANH_TRINH'!$F$1647)*494/'THAM_SO_MOI'!$C$42</f>
        <v>8.811702449067297</v>
      </c>
      <c r="G2142" s="75">
        <f>3.6*F2142</f>
        <v>31.72212881664227</v>
      </c>
      <c r="H2142" s="75">
        <f>'THAM_SO_MOI'!$D$51</f>
        <v>1.375</v>
      </c>
      <c r="I2142" s="75">
        <f>IF(F2142&gt;'THAM_SO_MOI'!$C$14,'THAM_SO_MOI'!$C$13*(1+F2142^2/1500),'THAM_SO_MOI'!$C$13)</f>
        <v>0.015</v>
      </c>
      <c r="J2142" s="75">
        <f>'THAM_SO_MOI'!$C$40*('THAM_SO_MOI'!$C$23*(E2142/'THAM_SO_MOI'!$C$22)+'THAM_SO_MOI'!$C$24*(E2142/'THAM_SO_MOI'!$C$22)^2-'THAM_SO_MOI'!$C$25*(E2142/'THAM_SO_MOI'!$C$22)^3)</f>
        <v>99.65690936406574</v>
      </c>
      <c r="K2142" s="75">
        <f>'THAM_SO_MOI'!$C$31*J2142/E2142</f>
        <v>430.02329968323994</v>
      </c>
      <c r="L2142" s="75">
        <f>K2142*'THAM_SO_MOI'!$C$51*'THAM_SO_MOI'!$C$17/'THAM_SO_MOI'!$C$26</f>
        <v>9614.98149612318</v>
      </c>
      <c r="M2142" s="75">
        <f>'THAM_SO_MOI'!$C$15*'THAM_SO_MOI'!$C$16*F2142^2</f>
        <v>227.11484264887844</v>
      </c>
      <c r="N2142" s="75">
        <f>'THAM_SO_MOI'!$C$12*I2142</f>
        <v>1130.112</v>
      </c>
      <c r="O2142" s="75">
        <f>M2142+N2142</f>
        <v>1357.2268426488786</v>
      </c>
      <c r="P2142" s="75">
        <f>(MIN(L2142,'THAM_SO_MOI'!$C$41)-O2142)/('THAM_SO_MOI'!$C$11*H2142)</f>
        <v>0.7819843421850664</v>
      </c>
      <c r="Q2142" s="75">
        <f>IF(P2142&gt;0,1/P2142,NA())</f>
        <v>1.2787979836089063</v>
      </c>
      <c r="R2142" s="75">
        <f>F2142-F2141</f>
        <v>0.005028991339516509</v>
      </c>
      <c r="S2142" s="75">
        <f>0.5*(Q2141+Q2142)*R2142</f>
        <v>0.006430913834896864</v>
      </c>
      <c r="T2142" s="75">
        <f>0.5*(F2141*Q2141+F2142*Q2142)*R2142</f>
        <v>0.05665112906126171</v>
      </c>
      <c r="U2142" s="76">
        <f>U2141+S2142</f>
        <v>10.963668460691238</v>
      </c>
      <c r="V2142" s="76">
        <f>V2141+T2142</f>
        <v>56.45129208963504</v>
      </c>
    </row>
    <row r="2143" spans="1:22" ht="19" customHeight="1">
      <c r="A2143" s="68" t="s">
        <v>374</v>
      </c>
      <c r="B2143" s="74">
        <v>3</v>
      </c>
      <c r="C2143" s="68" t="s">
        <v>363</v>
      </c>
      <c r="D2143" s="68" t="s">
        <v>364</v>
      </c>
      <c r="E2143" s="75">
        <f>60*F2143*'THAM_SO_MOI'!$C$51/(2*PI()*'THAM_SO_MOI'!$C$26)</f>
        <v>2214.7083041291544</v>
      </c>
      <c r="F2143" s="75">
        <f>'HANH_TRINH'!$F$1647+('THAM_SO_MOI'!$F$51-'HANH_TRINH'!$F$1647)*495/'THAM_SO_MOI'!$C$42</f>
        <v>8.816731440406816</v>
      </c>
      <c r="G2143" s="75">
        <f>3.6*F2143</f>
        <v>31.740233185464536</v>
      </c>
      <c r="H2143" s="75">
        <f>'THAM_SO_MOI'!$D$51</f>
        <v>1.375</v>
      </c>
      <c r="I2143" s="75">
        <f>IF(F2143&gt;'THAM_SO_MOI'!$C$14,'THAM_SO_MOI'!$C$13*(1+F2143^2/1500),'THAM_SO_MOI'!$C$13)</f>
        <v>0.015</v>
      </c>
      <c r="J2143" s="75">
        <f>'THAM_SO_MOI'!$C$40*('THAM_SO_MOI'!$C$23*(E2143/'THAM_SO_MOI'!$C$22)+'THAM_SO_MOI'!$C$24*(E2143/'THAM_SO_MOI'!$C$22)^2-'THAM_SO_MOI'!$C$25*(E2143/'THAM_SO_MOI'!$C$22)^3)</f>
        <v>99.71243799808218</v>
      </c>
      <c r="K2143" s="75">
        <f>'THAM_SO_MOI'!$C$31*J2143/E2143</f>
        <v>430.01748938499594</v>
      </c>
      <c r="L2143" s="75">
        <f>K2143*'THAM_SO_MOI'!$C$51*'THAM_SO_MOI'!$C$17/'THAM_SO_MOI'!$C$26</f>
        <v>9614.851582441426</v>
      </c>
      <c r="M2143" s="75">
        <f>'THAM_SO_MOI'!$C$15*'THAM_SO_MOI'!$C$16*F2143^2</f>
        <v>227.3741533798548</v>
      </c>
      <c r="N2143" s="75">
        <f>'THAM_SO_MOI'!$C$12*I2143</f>
        <v>1130.112</v>
      </c>
      <c r="O2143" s="75">
        <f>M2143+N2143</f>
        <v>1357.4861533798548</v>
      </c>
      <c r="P2143" s="75">
        <f>(MIN(L2143,'THAM_SO_MOI'!$C$41)-O2143)/('THAM_SO_MOI'!$C$11*H2143)</f>
        <v>0.7819474838126487</v>
      </c>
      <c r="Q2143" s="75">
        <f>IF(P2143&gt;0,1/P2143,NA())</f>
        <v>1.2788582618415276</v>
      </c>
      <c r="R2143" s="75">
        <f>F2143-F2142</f>
        <v>0.005028991339518285</v>
      </c>
      <c r="S2143" s="75">
        <f>0.5*(Q2142+Q2143)*R2143</f>
        <v>0.006431215553917543</v>
      </c>
      <c r="T2143" s="75">
        <f>0.5*(F2142*Q2142+F2143*Q2143)*R2143</f>
        <v>0.05668612949171701</v>
      </c>
      <c r="U2143" s="76">
        <f>U2142+S2143</f>
        <v>10.970099676245155</v>
      </c>
      <c r="V2143" s="76">
        <f>V2142+T2143</f>
        <v>56.507978219126755</v>
      </c>
    </row>
    <row r="2144" spans="1:22" ht="19" customHeight="1">
      <c r="A2144" s="68" t="s">
        <v>374</v>
      </c>
      <c r="B2144" s="74">
        <v>3</v>
      </c>
      <c r="C2144" s="68" t="s">
        <v>363</v>
      </c>
      <c r="D2144" s="68" t="s">
        <v>364</v>
      </c>
      <c r="E2144" s="75">
        <f>60*F2144*'THAM_SO_MOI'!$C$51/(2*PI()*'THAM_SO_MOI'!$C$26)</f>
        <v>2215.971555591026</v>
      </c>
      <c r="F2144" s="75">
        <f>'HANH_TRINH'!$F$1647+('THAM_SO_MOI'!$F$51-'HANH_TRINH'!$F$1647)*496/'THAM_SO_MOI'!$C$42</f>
        <v>8.821760431746334</v>
      </c>
      <c r="G2144" s="75">
        <f>3.6*F2144</f>
        <v>31.758337554286804</v>
      </c>
      <c r="H2144" s="75">
        <f>'THAM_SO_MOI'!$D$51</f>
        <v>1.375</v>
      </c>
      <c r="I2144" s="75">
        <f>IF(F2144&gt;'THAM_SO_MOI'!$C$14,'THAM_SO_MOI'!$C$13*(1+F2144^2/1500),'THAM_SO_MOI'!$C$13)</f>
        <v>0.015</v>
      </c>
      <c r="J2144" s="75">
        <f>'THAM_SO_MOI'!$C$40*('THAM_SO_MOI'!$C$23*(E2144/'THAM_SO_MOI'!$C$22)+'THAM_SO_MOI'!$C$24*(E2144/'THAM_SO_MOI'!$C$22)^2-'THAM_SO_MOI'!$C$25*(E2144/'THAM_SO_MOI'!$C$22)^3)</f>
        <v>99.76792917573347</v>
      </c>
      <c r="K2144" s="75">
        <f>'THAM_SO_MOI'!$C$31*J2144/E2144</f>
        <v>430.0115242699214</v>
      </c>
      <c r="L2144" s="75">
        <f>K2144*'THAM_SO_MOI'!$C$51*'THAM_SO_MOI'!$C$17/'THAM_SO_MOI'!$C$26</f>
        <v>9614.718207177559</v>
      </c>
      <c r="M2144" s="75">
        <f>'THAM_SO_MOI'!$C$15*'THAM_SO_MOI'!$C$16*F2144^2</f>
        <v>227.63361206174145</v>
      </c>
      <c r="N2144" s="75">
        <f>'THAM_SO_MOI'!$C$12*I2144</f>
        <v>1130.112</v>
      </c>
      <c r="O2144" s="75">
        <f>M2144+N2144</f>
        <v>1357.7456120617414</v>
      </c>
      <c r="P2144" s="75">
        <f>(MIN(L2144,'THAM_SO_MOI'!$C$41)-O2144)/('THAM_SO_MOI'!$C$11*H2144)</f>
        <v>0.7819102836283919</v>
      </c>
      <c r="Q2144" s="75">
        <f>IF(P2144&gt;0,1/P2144,NA())</f>
        <v>1.2789191048358903</v>
      </c>
      <c r="R2144" s="75">
        <f>F2144-F2143</f>
        <v>0.005028991339518285</v>
      </c>
      <c r="S2144" s="75">
        <f>0.5*(Q2143+Q2144)*R2144</f>
        <v>0.00643152011271831</v>
      </c>
      <c r="T2144" s="75">
        <f>0.5*(F2143*Q2143+F2144*Q2144)*R2144</f>
        <v>0.056721158001577</v>
      </c>
      <c r="U2144" s="76">
        <f>U2143+S2144</f>
        <v>10.976531196357874</v>
      </c>
      <c r="V2144" s="76">
        <f>V2143+T2144</f>
        <v>56.564699377128335</v>
      </c>
    </row>
    <row r="2145" spans="1:22" ht="19" customHeight="1">
      <c r="A2145" s="68" t="s">
        <v>374</v>
      </c>
      <c r="B2145" s="74">
        <v>3</v>
      </c>
      <c r="C2145" s="68" t="s">
        <v>363</v>
      </c>
      <c r="D2145" s="68" t="s">
        <v>364</v>
      </c>
      <c r="E2145" s="75">
        <f>60*F2145*'THAM_SO_MOI'!$C$51/(2*PI()*'THAM_SO_MOI'!$C$26)</f>
        <v>2217.234807052898</v>
      </c>
      <c r="F2145" s="75">
        <f>'HANH_TRINH'!$F$1647+('THAM_SO_MOI'!$F$51-'HANH_TRINH'!$F$1647)*497/'THAM_SO_MOI'!$C$42</f>
        <v>8.826789423085852</v>
      </c>
      <c r="G2145" s="75">
        <f>3.6*F2145</f>
        <v>31.77644192310907</v>
      </c>
      <c r="H2145" s="75">
        <f>'THAM_SO_MOI'!$D$51</f>
        <v>1.375</v>
      </c>
      <c r="I2145" s="75">
        <f>IF(F2145&gt;'THAM_SO_MOI'!$C$14,'THAM_SO_MOI'!$C$13*(1+F2145^2/1500),'THAM_SO_MOI'!$C$13)</f>
        <v>0.015</v>
      </c>
      <c r="J2145" s="75">
        <f>'THAM_SO_MOI'!$C$40*('THAM_SO_MOI'!$C$23*(E2145/'THAM_SO_MOI'!$C$22)+'THAM_SO_MOI'!$C$24*(E2145/'THAM_SO_MOI'!$C$22)^2-'THAM_SO_MOI'!$C$25*(E2145/'THAM_SO_MOI'!$C$22)^3)</f>
        <v>99.82338283559034</v>
      </c>
      <c r="K2145" s="75">
        <f>'THAM_SO_MOI'!$C$31*J2145/E2145</f>
        <v>430.00540433801655</v>
      </c>
      <c r="L2145" s="75">
        <f>K2145*'THAM_SO_MOI'!$C$51*'THAM_SO_MOI'!$C$17/'THAM_SO_MOI'!$C$26</f>
        <v>9614.581370331589</v>
      </c>
      <c r="M2145" s="75">
        <f>'THAM_SO_MOI'!$C$15*'THAM_SO_MOI'!$C$16*F2145^2</f>
        <v>227.89321869453832</v>
      </c>
      <c r="N2145" s="75">
        <f>'THAM_SO_MOI'!$C$12*I2145</f>
        <v>1130.112</v>
      </c>
      <c r="O2145" s="75">
        <f>M2145+N2145</f>
        <v>1358.0052186945384</v>
      </c>
      <c r="P2145" s="75">
        <f>(MIN(L2145,'THAM_SO_MOI'!$C$41)-O2145)/('THAM_SO_MOI'!$C$11*H2145)</f>
        <v>0.7818727416322965</v>
      </c>
      <c r="Q2145" s="75">
        <f>IF(P2145&gt;0,1/P2145,NA())</f>
        <v>1.278980512752401</v>
      </c>
      <c r="R2145" s="75">
        <f>F2145-F2144</f>
        <v>0.005028991339518285</v>
      </c>
      <c r="S2145" s="75">
        <f>0.5*(Q2144+Q2145)*R2145</f>
        <v>0.006431827512104325</v>
      </c>
      <c r="T2145" s="75">
        <f>0.5*(F2144*Q2144+F2145*Q2145)*R2145</f>
        <v>0.05675621464079035</v>
      </c>
      <c r="U2145" s="76">
        <f>U2144+S2145</f>
        <v>10.982963023869978</v>
      </c>
      <c r="V2145" s="76">
        <f>V2144+T2145</f>
        <v>56.62145559176913</v>
      </c>
    </row>
    <row r="2146" spans="1:22" ht="19" customHeight="1">
      <c r="A2146" s="68" t="s">
        <v>374</v>
      </c>
      <c r="B2146" s="74">
        <v>3</v>
      </c>
      <c r="C2146" s="68" t="s">
        <v>363</v>
      </c>
      <c r="D2146" s="68" t="s">
        <v>364</v>
      </c>
      <c r="E2146" s="75">
        <f>60*F2146*'THAM_SO_MOI'!$C$51/(2*PI()*'THAM_SO_MOI'!$C$26)</f>
        <v>2218.498058514769</v>
      </c>
      <c r="F2146" s="75">
        <f>'HANH_TRINH'!$F$1647+('THAM_SO_MOI'!$F$51-'HANH_TRINH'!$F$1647)*498/'THAM_SO_MOI'!$C$42</f>
        <v>8.831818414425369</v>
      </c>
      <c r="G2146" s="75">
        <f>3.6*F2146</f>
        <v>31.79454629193133</v>
      </c>
      <c r="H2146" s="75">
        <f>'THAM_SO_MOI'!$D$51</f>
        <v>1.375</v>
      </c>
      <c r="I2146" s="75">
        <f>IF(F2146&gt;'THAM_SO_MOI'!$C$14,'THAM_SO_MOI'!$C$13*(1+F2146^2/1500),'THAM_SO_MOI'!$C$13)</f>
        <v>0.015</v>
      </c>
      <c r="J2146" s="75">
        <f>'THAM_SO_MOI'!$C$40*('THAM_SO_MOI'!$C$23*(E2146/'THAM_SO_MOI'!$C$22)+'THAM_SO_MOI'!$C$24*(E2146/'THAM_SO_MOI'!$C$22)^2-'THAM_SO_MOI'!$C$25*(E2146/'THAM_SO_MOI'!$C$22)^3)</f>
        <v>99.8787989162233</v>
      </c>
      <c r="K2146" s="75">
        <f>'THAM_SO_MOI'!$C$31*J2146/E2146</f>
        <v>429.9991295892811</v>
      </c>
      <c r="L2146" s="75">
        <f>K2146*'THAM_SO_MOI'!$C$51*'THAM_SO_MOI'!$C$17/'THAM_SO_MOI'!$C$26</f>
        <v>9614.441071903504</v>
      </c>
      <c r="M2146" s="75">
        <f>'THAM_SO_MOI'!$C$15*'THAM_SO_MOI'!$C$16*F2146^2</f>
        <v>228.1529732782454</v>
      </c>
      <c r="N2146" s="75">
        <f>'THAM_SO_MOI'!$C$12*I2146</f>
        <v>1130.112</v>
      </c>
      <c r="O2146" s="75">
        <f>M2146+N2146</f>
        <v>1358.2649732782454</v>
      </c>
      <c r="P2146" s="75">
        <f>(MIN(L2146,'THAM_SO_MOI'!$C$41)-O2146)/('THAM_SO_MOI'!$C$11*H2146)</f>
        <v>0.7818348578243617</v>
      </c>
      <c r="Q2146" s="75">
        <f>IF(P2146&gt;0,1/P2146,NA())</f>
        <v>1.279042485752981</v>
      </c>
      <c r="R2146" s="75">
        <f>F2146-F2145</f>
        <v>0.005028991339516509</v>
      </c>
      <c r="S2146" s="75">
        <f>0.5*(Q2145+Q2146)*R2146</f>
        <v>0.0064321377528838075</v>
      </c>
      <c r="T2146" s="75">
        <f>0.5*(F2145*Q2145+F2146*Q2146)*R2146</f>
        <v>0.056791299459348896</v>
      </c>
      <c r="U2146" s="76">
        <f>U2145+S2146</f>
        <v>10.989395161622861</v>
      </c>
      <c r="V2146" s="76">
        <f>V2145+T2146</f>
        <v>56.678246891228476</v>
      </c>
    </row>
    <row r="2147" spans="1:22" ht="19" customHeight="1">
      <c r="A2147" s="68" t="s">
        <v>374</v>
      </c>
      <c r="B2147" s="74">
        <v>3</v>
      </c>
      <c r="C2147" s="68" t="s">
        <v>363</v>
      </c>
      <c r="D2147" s="68" t="s">
        <v>364</v>
      </c>
      <c r="E2147" s="75">
        <f>60*F2147*'THAM_SO_MOI'!$C$51/(2*PI()*'THAM_SO_MOI'!$C$26)</f>
        <v>2219.7613099766404</v>
      </c>
      <c r="F2147" s="75">
        <f>'HANH_TRINH'!$F$1647+('THAM_SO_MOI'!$F$51-'HANH_TRINH'!$F$1647)*499/'THAM_SO_MOI'!$C$42</f>
        <v>8.836847405764887</v>
      </c>
      <c r="G2147" s="75">
        <f>3.6*F2147</f>
        <v>31.812650660753594</v>
      </c>
      <c r="H2147" s="75">
        <f>'THAM_SO_MOI'!$D$51</f>
        <v>1.375</v>
      </c>
      <c r="I2147" s="75">
        <f>IF(F2147&gt;'THAM_SO_MOI'!$C$14,'THAM_SO_MOI'!$C$13*(1+F2147^2/1500),'THAM_SO_MOI'!$C$13)</f>
        <v>0.015</v>
      </c>
      <c r="J2147" s="75">
        <f>'THAM_SO_MOI'!$C$40*('THAM_SO_MOI'!$C$23*(E2147/'THAM_SO_MOI'!$C$22)+'THAM_SO_MOI'!$C$24*(E2147/'THAM_SO_MOI'!$C$22)^2-'THAM_SO_MOI'!$C$25*(E2147/'THAM_SO_MOI'!$C$22)^3)</f>
        <v>99.93417735620308</v>
      </c>
      <c r="K2147" s="75">
        <f>'THAM_SO_MOI'!$C$31*J2147/E2147</f>
        <v>429.99270002371503</v>
      </c>
      <c r="L2147" s="75">
        <f>K2147*'THAM_SO_MOI'!$C$51*'THAM_SO_MOI'!$C$17/'THAM_SO_MOI'!$C$26</f>
        <v>9614.297311893313</v>
      </c>
      <c r="M2147" s="75">
        <f>'THAM_SO_MOI'!$C$15*'THAM_SO_MOI'!$C$16*F2147^2</f>
        <v>228.41287581286284</v>
      </c>
      <c r="N2147" s="75">
        <f>'THAM_SO_MOI'!$C$12*I2147</f>
        <v>1130.112</v>
      </c>
      <c r="O2147" s="75">
        <f>M2147+N2147</f>
        <v>1358.524875812863</v>
      </c>
      <c r="P2147" s="75">
        <f>(MIN(L2147,'THAM_SO_MOI'!$C$41)-O2147)/('THAM_SO_MOI'!$C$11*H2147)</f>
        <v>0.7817966322045881</v>
      </c>
      <c r="Q2147" s="75">
        <f>IF(P2147&gt;0,1/P2147,NA())</f>
        <v>1.2791050240010633</v>
      </c>
      <c r="R2147" s="75">
        <f>F2147-F2146</f>
        <v>0.005028991339518285</v>
      </c>
      <c r="S2147" s="75">
        <f>0.5*(Q2146+Q2147)*R2147</f>
        <v>0.006432450835881678</v>
      </c>
      <c r="T2147" s="75">
        <f>0.5*(F2146*Q2146+F2147*Q2147)*R2147</f>
        <v>0.05682641250740829</v>
      </c>
      <c r="U2147" s="76">
        <f>U2146+S2147</f>
        <v>10.995827612458742</v>
      </c>
      <c r="V2147" s="76">
        <f>V2146+T2147</f>
        <v>56.73507330373588</v>
      </c>
    </row>
    <row r="2148" spans="1:22" ht="19" customHeight="1">
      <c r="A2148" s="68" t="s">
        <v>374</v>
      </c>
      <c r="B2148" s="74">
        <v>3</v>
      </c>
      <c r="C2148" s="68" t="s">
        <v>363</v>
      </c>
      <c r="D2148" s="68" t="s">
        <v>364</v>
      </c>
      <c r="E2148" s="75">
        <f>60*F2148*'THAM_SO_MOI'!$C$51/(2*PI()*'THAM_SO_MOI'!$C$26)</f>
        <v>2221.0245614385117</v>
      </c>
      <c r="F2148" s="75">
        <f>'HANH_TRINH'!$F$1647+('THAM_SO_MOI'!$F$51-'HANH_TRINH'!$F$1647)*500/'THAM_SO_MOI'!$C$42</f>
        <v>8.841876397104404</v>
      </c>
      <c r="G2148" s="75">
        <f>3.6*F2148</f>
        <v>31.830755029575855</v>
      </c>
      <c r="H2148" s="75">
        <f>'THAM_SO_MOI'!$D$51</f>
        <v>1.375</v>
      </c>
      <c r="I2148" s="75">
        <f>IF(F2148&gt;'THAM_SO_MOI'!$C$14,'THAM_SO_MOI'!$C$13*(1+F2148^2/1500),'THAM_SO_MOI'!$C$13)</f>
        <v>0.015</v>
      </c>
      <c r="J2148" s="75">
        <f>'THAM_SO_MOI'!$C$40*('THAM_SO_MOI'!$C$23*(E2148/'THAM_SO_MOI'!$C$22)+'THAM_SO_MOI'!$C$24*(E2148/'THAM_SO_MOI'!$C$22)^2-'THAM_SO_MOI'!$C$25*(E2148/'THAM_SO_MOI'!$C$22)^3)</f>
        <v>99.98951809410035</v>
      </c>
      <c r="K2148" s="75">
        <f>'THAM_SO_MOI'!$C$31*J2148/E2148</f>
        <v>429.98611564131863</v>
      </c>
      <c r="L2148" s="75">
        <f>K2148*'THAM_SO_MOI'!$C$51*'THAM_SO_MOI'!$C$17/'THAM_SO_MOI'!$C$26</f>
        <v>9614.150090301015</v>
      </c>
      <c r="M2148" s="75">
        <f>'THAM_SO_MOI'!$C$15*'THAM_SO_MOI'!$C$16*F2148^2</f>
        <v>228.67292629839048</v>
      </c>
      <c r="N2148" s="75">
        <f>'THAM_SO_MOI'!$C$12*I2148</f>
        <v>1130.112</v>
      </c>
      <c r="O2148" s="75">
        <f>M2148+N2148</f>
        <v>1358.7849262983905</v>
      </c>
      <c r="P2148" s="75">
        <f>(MIN(L2148,'THAM_SO_MOI'!$C$41)-O2148)/('THAM_SO_MOI'!$C$11*H2148)</f>
        <v>0.7817580647729759</v>
      </c>
      <c r="Q2148" s="75">
        <f>IF(P2148&gt;0,1/P2148,NA())</f>
        <v>1.2791681276615956</v>
      </c>
      <c r="R2148" s="75">
        <f>F2148-F2147</f>
        <v>0.005028991339516509</v>
      </c>
      <c r="S2148" s="75">
        <f>0.5*(Q2147+Q2148)*R2148</f>
        <v>0.006432766761914558</v>
      </c>
      <c r="T2148" s="75">
        <f>0.5*(F2147*Q2147+F2148*Q2148)*R2148</f>
        <v>0.05686155383506744</v>
      </c>
      <c r="U2148" s="76">
        <f>U2147+S2148</f>
        <v>11.002260379220656</v>
      </c>
      <c r="V2148" s="76">
        <f>V2147+T2148</f>
        <v>56.79193485757095</v>
      </c>
    </row>
    <row r="2149" spans="1:22" ht="19" customHeight="1">
      <c r="A2149" s="68" t="s">
        <v>374</v>
      </c>
      <c r="B2149" s="74">
        <v>3</v>
      </c>
      <c r="C2149" s="68" t="s">
        <v>363</v>
      </c>
      <c r="D2149" s="68" t="s">
        <v>364</v>
      </c>
      <c r="E2149" s="75">
        <f>60*F2149*'THAM_SO_MOI'!$C$51/(2*PI()*'THAM_SO_MOI'!$C$26)</f>
        <v>2222.287812900384</v>
      </c>
      <c r="F2149" s="75">
        <f>'HANH_TRINH'!$F$1647+('THAM_SO_MOI'!$F$51-'HANH_TRINH'!$F$1647)*501/'THAM_SO_MOI'!$C$42</f>
        <v>8.846905388443922</v>
      </c>
      <c r="G2149" s="75">
        <f>3.6*F2149</f>
        <v>31.84885939839812</v>
      </c>
      <c r="H2149" s="75">
        <f>'THAM_SO_MOI'!$D$51</f>
        <v>1.375</v>
      </c>
      <c r="I2149" s="75">
        <f>IF(F2149&gt;'THAM_SO_MOI'!$C$14,'THAM_SO_MOI'!$C$13*(1+F2149^2/1500),'THAM_SO_MOI'!$C$13)</f>
        <v>0.015</v>
      </c>
      <c r="J2149" s="75">
        <f>'THAM_SO_MOI'!$C$40*('THAM_SO_MOI'!$C$23*(E2149/'THAM_SO_MOI'!$C$22)+'THAM_SO_MOI'!$C$24*(E2149/'THAM_SO_MOI'!$C$22)^2-'THAM_SO_MOI'!$C$25*(E2149/'THAM_SO_MOI'!$C$22)^3)</f>
        <v>100.04482106848577</v>
      </c>
      <c r="K2149" s="75">
        <f>'THAM_SO_MOI'!$C$31*J2149/E2149</f>
        <v>429.9793764420917</v>
      </c>
      <c r="L2149" s="75">
        <f>K2149*'THAM_SO_MOI'!$C$51*'THAM_SO_MOI'!$C$17/'THAM_SO_MOI'!$C$26</f>
        <v>9613.999407126606</v>
      </c>
      <c r="M2149" s="75">
        <f>'THAM_SO_MOI'!$C$15*'THAM_SO_MOI'!$C$16*F2149^2</f>
        <v>228.93312473482845</v>
      </c>
      <c r="N2149" s="75">
        <f>'THAM_SO_MOI'!$C$12*I2149</f>
        <v>1130.112</v>
      </c>
      <c r="O2149" s="75">
        <f>M2149+N2149</f>
        <v>1359.0451247348285</v>
      </c>
      <c r="P2149" s="75">
        <f>(MIN(L2149,'THAM_SO_MOI'!$C$41)-O2149)/('THAM_SO_MOI'!$C$11*H2149)</f>
        <v>0.7817191555295243</v>
      </c>
      <c r="Q2149" s="75">
        <f>IF(P2149&gt;0,1/P2149,NA())</f>
        <v>1.2792317969010438</v>
      </c>
      <c r="R2149" s="75">
        <f>F2149-F2148</f>
        <v>0.005028991339518285</v>
      </c>
      <c r="S2149" s="75">
        <f>0.5*(Q2148+Q2149)*R2149</f>
        <v>0.006433085531824874</v>
      </c>
      <c r="T2149" s="75">
        <f>0.5*(F2148*Q2148+F2149*Q2149)*R2149</f>
        <v>0.05689672349266991</v>
      </c>
      <c r="U2149" s="76">
        <f>U2148+S2149</f>
        <v>11.008693464752481</v>
      </c>
      <c r="V2149" s="76">
        <f>V2148+T2149</f>
        <v>56.84883158106362</v>
      </c>
    </row>
    <row r="2150" spans="1:22" ht="19" customHeight="1">
      <c r="A2150" s="68" t="s">
        <v>374</v>
      </c>
      <c r="B2150" s="74">
        <v>3</v>
      </c>
      <c r="C2150" s="68" t="s">
        <v>363</v>
      </c>
      <c r="D2150" s="68" t="s">
        <v>364</v>
      </c>
      <c r="E2150" s="75">
        <f>60*F2150*'THAM_SO_MOI'!$C$51/(2*PI()*'THAM_SO_MOI'!$C$26)</f>
        <v>2223.5510643622556</v>
      </c>
      <c r="F2150" s="75">
        <f>'HANH_TRINH'!$F$1647+('THAM_SO_MOI'!$F$51-'HANH_TRINH'!$F$1647)*502/'THAM_SO_MOI'!$C$42</f>
        <v>8.85193437978344</v>
      </c>
      <c r="G2150" s="75">
        <f>3.6*F2150</f>
        <v>31.866963767220387</v>
      </c>
      <c r="H2150" s="75">
        <f>'THAM_SO_MOI'!$D$51</f>
        <v>1.375</v>
      </c>
      <c r="I2150" s="75">
        <f>IF(F2150&gt;'THAM_SO_MOI'!$C$14,'THAM_SO_MOI'!$C$13*(1+F2150^2/1500),'THAM_SO_MOI'!$C$13)</f>
        <v>0.015</v>
      </c>
      <c r="J2150" s="75">
        <f>'THAM_SO_MOI'!$C$40*('THAM_SO_MOI'!$C$23*(E2150/'THAM_SO_MOI'!$C$22)+'THAM_SO_MOI'!$C$24*(E2150/'THAM_SO_MOI'!$C$22)^2-'THAM_SO_MOI'!$C$25*(E2150/'THAM_SO_MOI'!$C$22)^3)</f>
        <v>100.1000862179299</v>
      </c>
      <c r="K2150" s="75">
        <f>'THAM_SO_MOI'!$C$31*J2150/E2150</f>
        <v>429.97248242603405</v>
      </c>
      <c r="L2150" s="75">
        <f>K2150*'THAM_SO_MOI'!$C$51*'THAM_SO_MOI'!$C$17/'THAM_SO_MOI'!$C$26</f>
        <v>9613.845262370085</v>
      </c>
      <c r="M2150" s="75">
        <f>'THAM_SO_MOI'!$C$15*'THAM_SO_MOI'!$C$16*F2150^2</f>
        <v>229.19347112217673</v>
      </c>
      <c r="N2150" s="75">
        <f>'THAM_SO_MOI'!$C$12*I2150</f>
        <v>1130.112</v>
      </c>
      <c r="O2150" s="75">
        <f>M2150+N2150</f>
        <v>1359.3054711221769</v>
      </c>
      <c r="P2150" s="75">
        <f>(MIN(L2150,'THAM_SO_MOI'!$C$41)-O2150)/('THAM_SO_MOI'!$C$11*H2150)</f>
        <v>0.7816799044742339</v>
      </c>
      <c r="Q2150" s="75">
        <f>IF(P2150&gt;0,1/P2150,NA())</f>
        <v>1.279296031887388</v>
      </c>
      <c r="R2150" s="75">
        <f>F2150-F2149</f>
        <v>0.005028991339518285</v>
      </c>
      <c r="S2150" s="75">
        <f>0.5*(Q2149+Q2150)*R2150</f>
        <v>0.006433407146446773</v>
      </c>
      <c r="T2150" s="75">
        <f>0.5*(F2149*Q2149+F2150*Q2150)*R2150</f>
        <v>0.05693192153050294</v>
      </c>
      <c r="U2150" s="76">
        <f>U2149+S2150</f>
        <v>11.015126871898929</v>
      </c>
      <c r="V2150" s="76">
        <f>V2149+T2150</f>
        <v>56.90576350259413</v>
      </c>
    </row>
    <row r="2151" spans="1:22" ht="19" customHeight="1">
      <c r="A2151" s="68" t="s">
        <v>374</v>
      </c>
      <c r="B2151" s="74">
        <v>3</v>
      </c>
      <c r="C2151" s="68" t="s">
        <v>363</v>
      </c>
      <c r="D2151" s="68" t="s">
        <v>364</v>
      </c>
      <c r="E2151" s="75">
        <f>60*F2151*'THAM_SO_MOI'!$C$51/(2*PI()*'THAM_SO_MOI'!$C$26)</f>
        <v>2224.8143158241273</v>
      </c>
      <c r="F2151" s="75">
        <f>'HANH_TRINH'!$F$1647+('THAM_SO_MOI'!$F$51-'HANH_TRINH'!$F$1647)*503/'THAM_SO_MOI'!$C$42</f>
        <v>8.856963371122959</v>
      </c>
      <c r="G2151" s="75">
        <f>3.6*F2151</f>
        <v>31.88506813604265</v>
      </c>
      <c r="H2151" s="75">
        <f>'THAM_SO_MOI'!$D$51</f>
        <v>1.375</v>
      </c>
      <c r="I2151" s="75">
        <f>IF(F2151&gt;'THAM_SO_MOI'!$C$14,'THAM_SO_MOI'!$C$13*(1+F2151^2/1500),'THAM_SO_MOI'!$C$13)</f>
        <v>0.015</v>
      </c>
      <c r="J2151" s="75">
        <f>'THAM_SO_MOI'!$C$40*('THAM_SO_MOI'!$C$23*(E2151/'THAM_SO_MOI'!$C$22)+'THAM_SO_MOI'!$C$24*(E2151/'THAM_SO_MOI'!$C$22)^2-'THAM_SO_MOI'!$C$25*(E2151/'THAM_SO_MOI'!$C$22)^3)</f>
        <v>100.15531348100346</v>
      </c>
      <c r="K2151" s="75">
        <f>'THAM_SO_MOI'!$C$31*J2151/E2151</f>
        <v>429.96543359314603</v>
      </c>
      <c r="L2151" s="75">
        <f>K2151*'THAM_SO_MOI'!$C$51*'THAM_SO_MOI'!$C$17/'THAM_SO_MOI'!$C$26</f>
        <v>9613.687656031458</v>
      </c>
      <c r="M2151" s="75">
        <f>'THAM_SO_MOI'!$C$15*'THAM_SO_MOI'!$C$16*F2151^2</f>
        <v>229.45396546043528</v>
      </c>
      <c r="N2151" s="75">
        <f>'THAM_SO_MOI'!$C$12*I2151</f>
        <v>1130.112</v>
      </c>
      <c r="O2151" s="75">
        <f>M2151+N2151</f>
        <v>1359.5659654604353</v>
      </c>
      <c r="P2151" s="75">
        <f>(MIN(L2151,'THAM_SO_MOI'!$C$41)-O2151)/('THAM_SO_MOI'!$C$11*H2151)</f>
        <v>0.7816403116071042</v>
      </c>
      <c r="Q2151" s="75">
        <f>IF(P2151&gt;0,1/P2151,NA())</f>
        <v>1.279360832790128</v>
      </c>
      <c r="R2151" s="75">
        <f>F2151-F2150</f>
        <v>0.005028991339518285</v>
      </c>
      <c r="S2151" s="75">
        <f>0.5*(Q2150+Q2151)*R2151</f>
        <v>0.006433731606631119</v>
      </c>
      <c r="T2151" s="75">
        <f>0.5*(F2150*Q2150+F2151*Q2151)*R2151</f>
        <v>0.05696714799901853</v>
      </c>
      <c r="U2151" s="76">
        <f>U2150+S2151</f>
        <v>11.02156060350556</v>
      </c>
      <c r="V2151" s="76">
        <f>V2150+T2151</f>
        <v>56.962730650593144</v>
      </c>
    </row>
    <row r="2152" spans="1:22" ht="19" customHeight="1">
      <c r="A2152" s="68" t="s">
        <v>374</v>
      </c>
      <c r="B2152" s="74">
        <v>3</v>
      </c>
      <c r="C2152" s="68" t="s">
        <v>363</v>
      </c>
      <c r="D2152" s="68" t="s">
        <v>364</v>
      </c>
      <c r="E2152" s="75">
        <f>60*F2152*'THAM_SO_MOI'!$C$51/(2*PI()*'THAM_SO_MOI'!$C$26)</f>
        <v>2226.0775672859986</v>
      </c>
      <c r="F2152" s="75">
        <f>'HANH_TRINH'!$F$1647+('THAM_SO_MOI'!$F$51-'HANH_TRINH'!$F$1647)*504/'THAM_SO_MOI'!$C$42</f>
        <v>8.861992362462475</v>
      </c>
      <c r="G2152" s="75">
        <f>3.6*F2152</f>
        <v>31.903172504864912</v>
      </c>
      <c r="H2152" s="75">
        <f>'THAM_SO_MOI'!$D$51</f>
        <v>1.375</v>
      </c>
      <c r="I2152" s="75">
        <f>IF(F2152&gt;'THAM_SO_MOI'!$C$14,'THAM_SO_MOI'!$C$13*(1+F2152^2/1500),'THAM_SO_MOI'!$C$13)</f>
        <v>0.015</v>
      </c>
      <c r="J2152" s="75">
        <f>'THAM_SO_MOI'!$C$40*('THAM_SO_MOI'!$C$23*(E2152/'THAM_SO_MOI'!$C$22)+'THAM_SO_MOI'!$C$24*(E2152/'THAM_SO_MOI'!$C$22)^2-'THAM_SO_MOI'!$C$25*(E2152/'THAM_SO_MOI'!$C$22)^3)</f>
        <v>100.2105027962771</v>
      </c>
      <c r="K2152" s="75">
        <f>'THAM_SO_MOI'!$C$31*J2152/E2152</f>
        <v>429.9582299434276</v>
      </c>
      <c r="L2152" s="75">
        <f>K2152*'THAM_SO_MOI'!$C$51*'THAM_SO_MOI'!$C$17/'THAM_SO_MOI'!$C$26</f>
        <v>9613.526588110724</v>
      </c>
      <c r="M2152" s="75">
        <f>'THAM_SO_MOI'!$C$15*'THAM_SO_MOI'!$C$16*F2152^2</f>
        <v>229.714607749604</v>
      </c>
      <c r="N2152" s="75">
        <f>'THAM_SO_MOI'!$C$12*I2152</f>
        <v>1130.112</v>
      </c>
      <c r="O2152" s="75">
        <f>M2152+N2152</f>
        <v>1359.8266077496041</v>
      </c>
      <c r="P2152" s="75">
        <f>(MIN(L2152,'THAM_SO_MOI'!$C$41)-O2152)/('THAM_SO_MOI'!$C$11*H2152)</f>
        <v>0.7816003769281366</v>
      </c>
      <c r="Q2152" s="75">
        <f>IF(P2152&gt;0,1/P2152,NA())</f>
        <v>1.2794261997802798</v>
      </c>
      <c r="R2152" s="75">
        <f>F2152-F2151</f>
        <v>0.005028991339516509</v>
      </c>
      <c r="S2152" s="75">
        <f>0.5*(Q2151+Q2152)*R2152</f>
        <v>0.006434058913231864</v>
      </c>
      <c r="T2152" s="75">
        <f>0.5*(F2151*Q2151+F2152*Q2152)*R2152</f>
        <v>0.05700240294871321</v>
      </c>
      <c r="U2152" s="76">
        <f>U2151+S2152</f>
        <v>11.027994662418791</v>
      </c>
      <c r="V2152" s="76">
        <f>V2151+T2152</f>
        <v>57.019733053541856</v>
      </c>
    </row>
    <row r="2153" spans="1:22" ht="19" customHeight="1">
      <c r="A2153" s="68" t="s">
        <v>374</v>
      </c>
      <c r="B2153" s="74">
        <v>3</v>
      </c>
      <c r="C2153" s="68" t="s">
        <v>363</v>
      </c>
      <c r="D2153" s="68" t="s">
        <v>364</v>
      </c>
      <c r="E2153" s="75">
        <f>60*F2153*'THAM_SO_MOI'!$C$51/(2*PI()*'THAM_SO_MOI'!$C$26)</f>
        <v>2227.3408187478703</v>
      </c>
      <c r="F2153" s="75">
        <f>'HANH_TRINH'!$F$1647+('THAM_SO_MOI'!$F$51-'HANH_TRINH'!$F$1647)*505/'THAM_SO_MOI'!$C$42</f>
        <v>8.867021353801993</v>
      </c>
      <c r="G2153" s="75">
        <f>3.6*F2153</f>
        <v>31.921276873687177</v>
      </c>
      <c r="H2153" s="75">
        <f>'THAM_SO_MOI'!$D$51</f>
        <v>1.375</v>
      </c>
      <c r="I2153" s="75">
        <f>IF(F2153&gt;'THAM_SO_MOI'!$C$14,'THAM_SO_MOI'!$C$13*(1+F2153^2/1500),'THAM_SO_MOI'!$C$13)</f>
        <v>0.015</v>
      </c>
      <c r="J2153" s="75">
        <f>'THAM_SO_MOI'!$C$40*('THAM_SO_MOI'!$C$23*(E2153/'THAM_SO_MOI'!$C$22)+'THAM_SO_MOI'!$C$24*(E2153/'THAM_SO_MOI'!$C$22)^2-'THAM_SO_MOI'!$C$25*(E2153/'THAM_SO_MOI'!$C$22)^3)</f>
        <v>100.26565410232143</v>
      </c>
      <c r="K2153" s="75">
        <f>'THAM_SO_MOI'!$C$31*J2153/E2153</f>
        <v>429.95087147687855</v>
      </c>
      <c r="L2153" s="75">
        <f>K2153*'THAM_SO_MOI'!$C$51*'THAM_SO_MOI'!$C$17/'THAM_SO_MOI'!$C$26</f>
        <v>9613.362058607878</v>
      </c>
      <c r="M2153" s="75">
        <f>'THAM_SO_MOI'!$C$15*'THAM_SO_MOI'!$C$16*F2153^2</f>
        <v>229.97539798968307</v>
      </c>
      <c r="N2153" s="75">
        <f>'THAM_SO_MOI'!$C$12*I2153</f>
        <v>1130.112</v>
      </c>
      <c r="O2153" s="75">
        <f>M2153+N2153</f>
        <v>1360.0873979896833</v>
      </c>
      <c r="P2153" s="75">
        <f>(MIN(L2153,'THAM_SO_MOI'!$C$41)-O2153)/('THAM_SO_MOI'!$C$11*H2153)</f>
        <v>0.7815601004373289</v>
      </c>
      <c r="Q2153" s="75">
        <f>IF(P2153&gt;0,1/P2153,NA())</f>
        <v>1.279492133030385</v>
      </c>
      <c r="R2153" s="75">
        <f>F2153-F2152</f>
        <v>0.005028991339518285</v>
      </c>
      <c r="S2153" s="75">
        <f>0.5*(Q2152+Q2153)*R2153</f>
        <v>0.006434389067119701</v>
      </c>
      <c r="T2153" s="75">
        <f>0.5*(F2152*Q2152+F2153*Q2153)*R2153</f>
        <v>0.05703768643024906</v>
      </c>
      <c r="U2153" s="76">
        <f>U2152+S2153</f>
        <v>11.034429051485912</v>
      </c>
      <c r="V2153" s="76">
        <f>V2152+T2153</f>
        <v>57.076770739972105</v>
      </c>
    </row>
    <row r="2154" spans="1:22" ht="19" customHeight="1">
      <c r="A2154" s="68" t="s">
        <v>374</v>
      </c>
      <c r="B2154" s="74">
        <v>3</v>
      </c>
      <c r="C2154" s="68" t="s">
        <v>363</v>
      </c>
      <c r="D2154" s="68" t="s">
        <v>364</v>
      </c>
      <c r="E2154" s="75">
        <f>60*F2154*'THAM_SO_MOI'!$C$51/(2*PI()*'THAM_SO_MOI'!$C$26)</f>
        <v>2228.604070209742</v>
      </c>
      <c r="F2154" s="75">
        <f>'HANH_TRINH'!$F$1647+('THAM_SO_MOI'!$F$51-'HANH_TRINH'!$F$1647)*506/'THAM_SO_MOI'!$C$42</f>
        <v>8.87205034514151</v>
      </c>
      <c r="G2154" s="75">
        <f>3.6*F2154</f>
        <v>31.939381242509437</v>
      </c>
      <c r="H2154" s="75">
        <f>'THAM_SO_MOI'!$D$51</f>
        <v>1.375</v>
      </c>
      <c r="I2154" s="75">
        <f>IF(F2154&gt;'THAM_SO_MOI'!$C$14,'THAM_SO_MOI'!$C$13*(1+F2154^2/1500),'THAM_SO_MOI'!$C$13)</f>
        <v>0.015</v>
      </c>
      <c r="J2154" s="75">
        <f>'THAM_SO_MOI'!$C$40*('THAM_SO_MOI'!$C$23*(E2154/'THAM_SO_MOI'!$C$22)+'THAM_SO_MOI'!$C$24*(E2154/'THAM_SO_MOI'!$C$22)^2-'THAM_SO_MOI'!$C$25*(E2154/'THAM_SO_MOI'!$C$22)^3)</f>
        <v>100.32076733770718</v>
      </c>
      <c r="K2154" s="75">
        <f>'THAM_SO_MOI'!$C$31*J2154/E2154</f>
        <v>429.9433581934991</v>
      </c>
      <c r="L2154" s="75">
        <f>K2154*'THAM_SO_MOI'!$C$51*'THAM_SO_MOI'!$C$17/'THAM_SO_MOI'!$C$26</f>
        <v>9613.194067522923</v>
      </c>
      <c r="M2154" s="75">
        <f>'THAM_SO_MOI'!$C$15*'THAM_SO_MOI'!$C$16*F2154^2</f>
        <v>230.23633618067234</v>
      </c>
      <c r="N2154" s="75">
        <f>'THAM_SO_MOI'!$C$12*I2154</f>
        <v>1130.112</v>
      </c>
      <c r="O2154" s="75">
        <f>M2154+N2154</f>
        <v>1360.3483361806725</v>
      </c>
      <c r="P2154" s="75">
        <f>(MIN(L2154,'THAM_SO_MOI'!$C$41)-O2154)/('THAM_SO_MOI'!$C$11*H2154)</f>
        <v>0.7815194821346829</v>
      </c>
      <c r="Q2154" s="75">
        <f>IF(P2154&gt;0,1/P2154,NA())</f>
        <v>1.2795586327145012</v>
      </c>
      <c r="R2154" s="75">
        <f>F2154-F2153</f>
        <v>0.005028991339516509</v>
      </c>
      <c r="S2154" s="75">
        <f>0.5*(Q2153+Q2154)*R2154</f>
        <v>0.0064347220691570615</v>
      </c>
      <c r="T2154" s="75">
        <f>0.5*(F2153*Q2153+F2154*Q2154)*R2154</f>
        <v>0.05707299849423239</v>
      </c>
      <c r="U2154" s="76">
        <f>U2153+S2154</f>
        <v>11.040863773555069</v>
      </c>
      <c r="V2154" s="76">
        <f>V2153+T2154</f>
        <v>57.13384373846634</v>
      </c>
    </row>
    <row r="2155" spans="1:22" ht="19" customHeight="1">
      <c r="A2155" s="68" t="s">
        <v>374</v>
      </c>
      <c r="B2155" s="74">
        <v>3</v>
      </c>
      <c r="C2155" s="68" t="s">
        <v>363</v>
      </c>
      <c r="D2155" s="68" t="s">
        <v>364</v>
      </c>
      <c r="E2155" s="75">
        <f>60*F2155*'THAM_SO_MOI'!$C$51/(2*PI()*'THAM_SO_MOI'!$C$26)</f>
        <v>2229.867321671614</v>
      </c>
      <c r="F2155" s="75">
        <f>'HANH_TRINH'!$F$1647+('THAM_SO_MOI'!$F$51-'HANH_TRINH'!$F$1647)*507/'THAM_SO_MOI'!$C$42</f>
        <v>8.877079336481028</v>
      </c>
      <c r="G2155" s="75">
        <f>3.6*F2155</f>
        <v>31.957485611331702</v>
      </c>
      <c r="H2155" s="75">
        <f>'THAM_SO_MOI'!$D$51</f>
        <v>1.375</v>
      </c>
      <c r="I2155" s="75">
        <f>IF(F2155&gt;'THAM_SO_MOI'!$C$14,'THAM_SO_MOI'!$C$13*(1+F2155^2/1500),'THAM_SO_MOI'!$C$13)</f>
        <v>0.015</v>
      </c>
      <c r="J2155" s="75">
        <f>'THAM_SO_MOI'!$C$40*('THAM_SO_MOI'!$C$23*(E2155/'THAM_SO_MOI'!$C$22)+'THAM_SO_MOI'!$C$24*(E2155/'THAM_SO_MOI'!$C$22)^2-'THAM_SO_MOI'!$C$25*(E2155/'THAM_SO_MOI'!$C$22)^3)</f>
        <v>100.37584244100492</v>
      </c>
      <c r="K2155" s="75">
        <f>'THAM_SO_MOI'!$C$31*J2155/E2155</f>
        <v>429.935690093289</v>
      </c>
      <c r="L2155" s="75">
        <f>K2155*'THAM_SO_MOI'!$C$51*'THAM_SO_MOI'!$C$17/'THAM_SO_MOI'!$C$26</f>
        <v>9613.022614855861</v>
      </c>
      <c r="M2155" s="75">
        <f>'THAM_SO_MOI'!$C$15*'THAM_SO_MOI'!$C$16*F2155^2</f>
        <v>230.49742232257196</v>
      </c>
      <c r="N2155" s="75">
        <f>'THAM_SO_MOI'!$C$12*I2155</f>
        <v>1130.112</v>
      </c>
      <c r="O2155" s="75">
        <f>M2155+N2155</f>
        <v>1360.609422322572</v>
      </c>
      <c r="P2155" s="75">
        <f>(MIN(L2155,'THAM_SO_MOI'!$C$41)-O2155)/('THAM_SO_MOI'!$C$11*H2155)</f>
        <v>0.7814785220201977</v>
      </c>
      <c r="Q2155" s="75">
        <f>IF(P2155&gt;0,1/P2155,NA())</f>
        <v>1.279625699008212</v>
      </c>
      <c r="R2155" s="75">
        <f>F2155-F2154</f>
        <v>0.005028991339518285</v>
      </c>
      <c r="S2155" s="75">
        <f>0.5*(Q2154+Q2155)*R2155</f>
        <v>0.006435057920232208</v>
      </c>
      <c r="T2155" s="75">
        <f>0.5*(F2154*Q2154+F2155*Q2155)*R2155</f>
        <v>0.057108339191516116</v>
      </c>
      <c r="U2155" s="76">
        <f>U2154+S2155</f>
        <v>11.0472988314753</v>
      </c>
      <c r="V2155" s="76">
        <f>V2154+T2155</f>
        <v>57.190952077657855</v>
      </c>
    </row>
    <row r="2156" spans="1:22" ht="19" customHeight="1">
      <c r="A2156" s="68" t="s">
        <v>374</v>
      </c>
      <c r="B2156" s="74">
        <v>3</v>
      </c>
      <c r="C2156" s="68" t="s">
        <v>363</v>
      </c>
      <c r="D2156" s="68" t="s">
        <v>364</v>
      </c>
      <c r="E2156" s="75">
        <f>60*F2156*'THAM_SO_MOI'!$C$51/(2*PI()*'THAM_SO_MOI'!$C$26)</f>
        <v>2231.1305731334855</v>
      </c>
      <c r="F2156" s="75">
        <f>'HANH_TRINH'!$F$1647+('THAM_SO_MOI'!$F$51-'HANH_TRINH'!$F$1647)*508/'THAM_SO_MOI'!$C$42</f>
        <v>8.882108327820546</v>
      </c>
      <c r="G2156" s="75">
        <f>3.6*F2156</f>
        <v>31.975589980153966</v>
      </c>
      <c r="H2156" s="75">
        <f>'THAM_SO_MOI'!$D$51</f>
        <v>1.375</v>
      </c>
      <c r="I2156" s="75">
        <f>IF(F2156&gt;'THAM_SO_MOI'!$C$14,'THAM_SO_MOI'!$C$13*(1+F2156^2/1500),'THAM_SO_MOI'!$C$13)</f>
        <v>0.015</v>
      </c>
      <c r="J2156" s="75">
        <f>'THAM_SO_MOI'!$C$40*('THAM_SO_MOI'!$C$23*(E2156/'THAM_SO_MOI'!$C$22)+'THAM_SO_MOI'!$C$24*(E2156/'THAM_SO_MOI'!$C$22)^2-'THAM_SO_MOI'!$C$25*(E2156/'THAM_SO_MOI'!$C$22)^3)</f>
        <v>100.43087935078533</v>
      </c>
      <c r="K2156" s="75">
        <f>'THAM_SO_MOI'!$C$31*J2156/E2156</f>
        <v>429.9278671762485</v>
      </c>
      <c r="L2156" s="75">
        <f>K2156*'THAM_SO_MOI'!$C$51*'THAM_SO_MOI'!$C$17/'THAM_SO_MOI'!$C$26</f>
        <v>9612.84770060669</v>
      </c>
      <c r="M2156" s="75">
        <f>'THAM_SO_MOI'!$C$15*'THAM_SO_MOI'!$C$16*F2156^2</f>
        <v>230.7586564153819</v>
      </c>
      <c r="N2156" s="75">
        <f>'THAM_SO_MOI'!$C$12*I2156</f>
        <v>1130.112</v>
      </c>
      <c r="O2156" s="75">
        <f>M2156+N2156</f>
        <v>1360.870656415382</v>
      </c>
      <c r="P2156" s="75">
        <f>(MIN(L2156,'THAM_SO_MOI'!$C$41)-O2156)/('THAM_SO_MOI'!$C$11*H2156)</f>
        <v>0.7814372200938737</v>
      </c>
      <c r="Q2156" s="75">
        <f>IF(P2156&gt;0,1/P2156,NA())</f>
        <v>1.279693332088623</v>
      </c>
      <c r="R2156" s="75">
        <f>F2156-F2155</f>
        <v>0.005028991339518285</v>
      </c>
      <c r="S2156" s="75">
        <f>0.5*(Q2155+Q2156)*R2156</f>
        <v>0.006435396621225155</v>
      </c>
      <c r="T2156" s="75">
        <f>0.5*(F2155*Q2155+F2156*Q2156)*R2156</f>
        <v>0.05714370857289781</v>
      </c>
      <c r="U2156" s="76">
        <f>U2155+S2156</f>
        <v>11.053734228096525</v>
      </c>
      <c r="V2156" s="76">
        <f>V2155+T2156</f>
        <v>57.24809578623075</v>
      </c>
    </row>
    <row r="2157" spans="1:22" ht="19" customHeight="1">
      <c r="A2157" s="68" t="s">
        <v>374</v>
      </c>
      <c r="B2157" s="74">
        <v>3</v>
      </c>
      <c r="C2157" s="68" t="s">
        <v>363</v>
      </c>
      <c r="D2157" s="68" t="s">
        <v>364</v>
      </c>
      <c r="E2157" s="75">
        <f>60*F2157*'THAM_SO_MOI'!$C$51/(2*PI()*'THAM_SO_MOI'!$C$26)</f>
        <v>2232.3938245953573</v>
      </c>
      <c r="F2157" s="75">
        <f>'HANH_TRINH'!$F$1647+('THAM_SO_MOI'!$F$51-'HANH_TRINH'!$F$1647)*509/'THAM_SO_MOI'!$C$42</f>
        <v>8.887137319160065</v>
      </c>
      <c r="G2157" s="75">
        <f>3.6*F2157</f>
        <v>31.993694348976234</v>
      </c>
      <c r="H2157" s="75">
        <f>'THAM_SO_MOI'!$D$51</f>
        <v>1.375</v>
      </c>
      <c r="I2157" s="75">
        <f>IF(F2157&gt;'THAM_SO_MOI'!$C$14,'THAM_SO_MOI'!$C$13*(1+F2157^2/1500),'THAM_SO_MOI'!$C$13)</f>
        <v>0.015</v>
      </c>
      <c r="J2157" s="75">
        <f>'THAM_SO_MOI'!$C$40*('THAM_SO_MOI'!$C$23*(E2157/'THAM_SO_MOI'!$C$22)+'THAM_SO_MOI'!$C$24*(E2157/'THAM_SO_MOI'!$C$22)^2-'THAM_SO_MOI'!$C$25*(E2157/'THAM_SO_MOI'!$C$22)^3)</f>
        <v>100.48587800561904</v>
      </c>
      <c r="K2157" s="75">
        <f>'THAM_SO_MOI'!$C$31*J2157/E2157</f>
        <v>429.91988944237744</v>
      </c>
      <c r="L2157" s="75">
        <f>K2157*'THAM_SO_MOI'!$C$51*'THAM_SO_MOI'!$C$17/'THAM_SO_MOI'!$C$26</f>
        <v>9612.669324775408</v>
      </c>
      <c r="M2157" s="75">
        <f>'THAM_SO_MOI'!$C$15*'THAM_SO_MOI'!$C$16*F2157^2</f>
        <v>231.02003845910207</v>
      </c>
      <c r="N2157" s="75">
        <f>'THAM_SO_MOI'!$C$12*I2157</f>
        <v>1130.112</v>
      </c>
      <c r="O2157" s="75">
        <f>M2157+N2157</f>
        <v>1361.1320384591022</v>
      </c>
      <c r="P2157" s="75">
        <f>(MIN(L2157,'THAM_SO_MOI'!$C$41)-O2157)/('THAM_SO_MOI'!$C$11*H2157)</f>
        <v>0.7813955763557109</v>
      </c>
      <c r="Q2157" s="75">
        <f>IF(P2157&gt;0,1/P2157,NA())</f>
        <v>1.2797615321343654</v>
      </c>
      <c r="R2157" s="75">
        <f>F2157-F2156</f>
        <v>0.005028991339518285</v>
      </c>
      <c r="S2157" s="75">
        <f>0.5*(Q2156+Q2157)*R2157</f>
        <v>0.006435738173032678</v>
      </c>
      <c r="T2157" s="75">
        <f>0.5*(F2156*Q2156+F2157*Q2157)*R2157</f>
        <v>0.05717910668934158</v>
      </c>
      <c r="U2157" s="76">
        <f>U2156+S2157</f>
        <v>11.060169966269559</v>
      </c>
      <c r="V2157" s="76">
        <f>V2156+T2157</f>
        <v>57.30527489292009</v>
      </c>
    </row>
    <row r="2158" spans="1:22" ht="19" customHeight="1">
      <c r="A2158" s="68" t="s">
        <v>374</v>
      </c>
      <c r="B2158" s="74">
        <v>3</v>
      </c>
      <c r="C2158" s="68" t="s">
        <v>363</v>
      </c>
      <c r="D2158" s="68" t="s">
        <v>364</v>
      </c>
      <c r="E2158" s="75">
        <f>60*F2158*'THAM_SO_MOI'!$C$51/(2*PI()*'THAM_SO_MOI'!$C$26)</f>
        <v>2233.6570760572286</v>
      </c>
      <c r="F2158" s="75">
        <f>'HANH_TRINH'!$F$1647+('THAM_SO_MOI'!$F$51-'HANH_TRINH'!$F$1647)*510/'THAM_SO_MOI'!$C$42</f>
        <v>8.892166310499581</v>
      </c>
      <c r="G2158" s="75">
        <f>3.6*F2158</f>
        <v>32.01179871779849</v>
      </c>
      <c r="H2158" s="75">
        <f>'THAM_SO_MOI'!$D$51</f>
        <v>1.375</v>
      </c>
      <c r="I2158" s="75">
        <f>IF(F2158&gt;'THAM_SO_MOI'!$C$14,'THAM_SO_MOI'!$C$13*(1+F2158^2/1500),'THAM_SO_MOI'!$C$13)</f>
        <v>0.015</v>
      </c>
      <c r="J2158" s="75">
        <f>'THAM_SO_MOI'!$C$40*('THAM_SO_MOI'!$C$23*(E2158/'THAM_SO_MOI'!$C$22)+'THAM_SO_MOI'!$C$24*(E2158/'THAM_SO_MOI'!$C$22)^2-'THAM_SO_MOI'!$C$25*(E2158/'THAM_SO_MOI'!$C$22)^3)</f>
        <v>100.54083834407672</v>
      </c>
      <c r="K2158" s="75">
        <f>'THAM_SO_MOI'!$C$31*J2158/E2158</f>
        <v>429.91175689167585</v>
      </c>
      <c r="L2158" s="75">
        <f>K2158*'THAM_SO_MOI'!$C$51*'THAM_SO_MOI'!$C$17/'THAM_SO_MOI'!$C$26</f>
        <v>9612.48748736202</v>
      </c>
      <c r="M2158" s="75">
        <f>'THAM_SO_MOI'!$C$15*'THAM_SO_MOI'!$C$16*F2158^2</f>
        <v>231.28156845373243</v>
      </c>
      <c r="N2158" s="75">
        <f>'THAM_SO_MOI'!$C$12*I2158</f>
        <v>1130.112</v>
      </c>
      <c r="O2158" s="75">
        <f>M2158+N2158</f>
        <v>1361.3935684537325</v>
      </c>
      <c r="P2158" s="75">
        <f>(MIN(L2158,'THAM_SO_MOI'!$C$41)-O2158)/('THAM_SO_MOI'!$C$11*H2158)</f>
        <v>0.7813535908057089</v>
      </c>
      <c r="Q2158" s="75">
        <f>IF(P2158&gt;0,1/P2158,NA())</f>
        <v>1.2798302993255966</v>
      </c>
      <c r="R2158" s="75">
        <f>F2158-F2157</f>
        <v>0.005028991339516509</v>
      </c>
      <c r="S2158" s="75">
        <f>0.5*(Q2157+Q2158)*R2158</f>
        <v>0.006436082576554674</v>
      </c>
      <c r="T2158" s="75">
        <f>0.5*(F2157*Q2157+F2158*Q2158)*R2158</f>
        <v>0.05721453359185739</v>
      </c>
      <c r="U2158" s="76">
        <f>U2157+S2158</f>
        <v>11.066606048846113</v>
      </c>
      <c r="V2158" s="76">
        <f>V2157+T2158</f>
        <v>57.36248942651195</v>
      </c>
    </row>
    <row r="2159" spans="1:22" ht="19" customHeight="1">
      <c r="A2159" s="68" t="s">
        <v>374</v>
      </c>
      <c r="B2159" s="74">
        <v>3</v>
      </c>
      <c r="C2159" s="68" t="s">
        <v>363</v>
      </c>
      <c r="D2159" s="68" t="s">
        <v>364</v>
      </c>
      <c r="E2159" s="75">
        <f>60*F2159*'THAM_SO_MOI'!$C$51/(2*PI()*'THAM_SO_MOI'!$C$26)</f>
        <v>2234.9203275191003</v>
      </c>
      <c r="F2159" s="75">
        <f>'HANH_TRINH'!$F$1647+('THAM_SO_MOI'!$F$51-'HANH_TRINH'!$F$1647)*511/'THAM_SO_MOI'!$C$42</f>
        <v>8.8971953018391</v>
      </c>
      <c r="G2159" s="75">
        <f>3.6*F2159</f>
        <v>32.029903086620756</v>
      </c>
      <c r="H2159" s="75">
        <f>'THAM_SO_MOI'!$D$51</f>
        <v>1.375</v>
      </c>
      <c r="I2159" s="75">
        <f>IF(F2159&gt;'THAM_SO_MOI'!$C$14,'THAM_SO_MOI'!$C$13*(1+F2159^2/1500),'THAM_SO_MOI'!$C$13)</f>
        <v>0.015</v>
      </c>
      <c r="J2159" s="75">
        <f>'THAM_SO_MOI'!$C$40*('THAM_SO_MOI'!$C$23*(E2159/'THAM_SO_MOI'!$C$22)+'THAM_SO_MOI'!$C$24*(E2159/'THAM_SO_MOI'!$C$22)^2-'THAM_SO_MOI'!$C$25*(E2159/'THAM_SO_MOI'!$C$22)^3)</f>
        <v>100.59576030472904</v>
      </c>
      <c r="K2159" s="75">
        <f>'THAM_SO_MOI'!$C$31*J2159/E2159</f>
        <v>429.9034695241439</v>
      </c>
      <c r="L2159" s="75">
        <f>K2159*'THAM_SO_MOI'!$C$51*'THAM_SO_MOI'!$C$17/'THAM_SO_MOI'!$C$26</f>
        <v>9612.30218836652</v>
      </c>
      <c r="M2159" s="75">
        <f>'THAM_SO_MOI'!$C$15*'THAM_SO_MOI'!$C$16*F2159^2</f>
        <v>231.54324639927316</v>
      </c>
      <c r="N2159" s="75">
        <f>'THAM_SO_MOI'!$C$12*I2159</f>
        <v>1130.112</v>
      </c>
      <c r="O2159" s="75">
        <f>M2159+N2159</f>
        <v>1361.6552463992732</v>
      </c>
      <c r="P2159" s="75">
        <f>(MIN(L2159,'THAM_SO_MOI'!$C$41)-O2159)/('THAM_SO_MOI'!$C$11*H2159)</f>
        <v>0.781311263443868</v>
      </c>
      <c r="Q2159" s="75">
        <f>IF(P2159&gt;0,1/P2159,NA())</f>
        <v>1.2798996338440003</v>
      </c>
      <c r="R2159" s="75">
        <f>F2159-F2158</f>
        <v>0.005028991339518285</v>
      </c>
      <c r="S2159" s="75">
        <f>0.5*(Q2158+Q2159)*R2159</f>
        <v>0.00643642983270781</v>
      </c>
      <c r="T2159" s="75">
        <f>0.5*(F2158*Q2158+F2159*Q2159)*R2159</f>
        <v>0.05724998933162247</v>
      </c>
      <c r="U2159" s="76">
        <f>U2158+S2159</f>
        <v>11.07304247867882</v>
      </c>
      <c r="V2159" s="76">
        <f>V2158+T2159</f>
        <v>57.41973941584357</v>
      </c>
    </row>
    <row r="2160" spans="1:22" ht="19" customHeight="1">
      <c r="A2160" s="68" t="s">
        <v>374</v>
      </c>
      <c r="B2160" s="74">
        <v>3</v>
      </c>
      <c r="C2160" s="68" t="s">
        <v>363</v>
      </c>
      <c r="D2160" s="68" t="s">
        <v>364</v>
      </c>
      <c r="E2160" s="75">
        <f>60*F2160*'THAM_SO_MOI'!$C$51/(2*PI()*'THAM_SO_MOI'!$C$26)</f>
        <v>2236.1835789809716</v>
      </c>
      <c r="F2160" s="75">
        <f>'HANH_TRINH'!$F$1647+('THAM_SO_MOI'!$F$51-'HANH_TRINH'!$F$1647)*512/'THAM_SO_MOI'!$C$42</f>
        <v>8.902224293178616</v>
      </c>
      <c r="G2160" s="75">
        <f>3.6*F2160</f>
        <v>32.04800745544302</v>
      </c>
      <c r="H2160" s="75">
        <f>'THAM_SO_MOI'!$D$51</f>
        <v>1.375</v>
      </c>
      <c r="I2160" s="75">
        <f>IF(F2160&gt;'THAM_SO_MOI'!$C$14,'THAM_SO_MOI'!$C$13*(1+F2160^2/1500),'THAM_SO_MOI'!$C$13)</f>
        <v>0.015</v>
      </c>
      <c r="J2160" s="75">
        <f>'THAM_SO_MOI'!$C$40*('THAM_SO_MOI'!$C$23*(E2160/'THAM_SO_MOI'!$C$22)+'THAM_SO_MOI'!$C$24*(E2160/'THAM_SO_MOI'!$C$22)^2-'THAM_SO_MOI'!$C$25*(E2160/'THAM_SO_MOI'!$C$22)^3)</f>
        <v>100.65064382614656</v>
      </c>
      <c r="K2160" s="75">
        <f>'THAM_SO_MOI'!$C$31*J2160/E2160</f>
        <v>429.89502733978117</v>
      </c>
      <c r="L2160" s="75">
        <f>K2160*'THAM_SO_MOI'!$C$51*'THAM_SO_MOI'!$C$17/'THAM_SO_MOI'!$C$26</f>
        <v>9612.11342778891</v>
      </c>
      <c r="M2160" s="75">
        <f>'THAM_SO_MOI'!$C$15*'THAM_SO_MOI'!$C$16*F2160^2</f>
        <v>231.80507229572407</v>
      </c>
      <c r="N2160" s="75">
        <f>'THAM_SO_MOI'!$C$12*I2160</f>
        <v>1130.112</v>
      </c>
      <c r="O2160" s="75">
        <f>M2160+N2160</f>
        <v>1361.9170722957242</v>
      </c>
      <c r="P2160" s="75">
        <f>(MIN(L2160,'THAM_SO_MOI'!$C$41)-O2160)/('THAM_SO_MOI'!$C$11*H2160)</f>
        <v>0.7812685942701881</v>
      </c>
      <c r="Q2160" s="75">
        <f>IF(P2160&gt;0,1/P2160,NA())</f>
        <v>1.2799695358727903</v>
      </c>
      <c r="R2160" s="75">
        <f>F2160-F2159</f>
        <v>0.005028991339516509</v>
      </c>
      <c r="S2160" s="75">
        <f>0.5*(Q2159+Q2160)*R2160</f>
        <v>0.006436779942400528</v>
      </c>
      <c r="T2160" s="75">
        <f>0.5*(F2159*Q2159+F2160*Q2160)*R2160</f>
        <v>0.057285473959759234</v>
      </c>
      <c r="U2160" s="76">
        <f>U2159+S2160</f>
        <v>11.079479258621221</v>
      </c>
      <c r="V2160" s="76">
        <f>V2159+T2160</f>
        <v>57.47702488980333</v>
      </c>
    </row>
    <row r="2161" spans="1:22" ht="19" customHeight="1">
      <c r="A2161" s="68" t="s">
        <v>374</v>
      </c>
      <c r="B2161" s="74">
        <v>3</v>
      </c>
      <c r="C2161" s="68" t="s">
        <v>363</v>
      </c>
      <c r="D2161" s="68" t="s">
        <v>364</v>
      </c>
      <c r="E2161" s="75">
        <f>60*F2161*'THAM_SO_MOI'!$C$51/(2*PI()*'THAM_SO_MOI'!$C$26)</f>
        <v>2237.4468304428433</v>
      </c>
      <c r="F2161" s="75">
        <f>'HANH_TRINH'!$F$1647+('THAM_SO_MOI'!$F$51-'HANH_TRINH'!$F$1647)*513/'THAM_SO_MOI'!$C$42</f>
        <v>8.907253284518134</v>
      </c>
      <c r="G2161" s="75">
        <f>3.6*F2161</f>
        <v>32.066111824265285</v>
      </c>
      <c r="H2161" s="75">
        <f>'THAM_SO_MOI'!$D$51</f>
        <v>1.375</v>
      </c>
      <c r="I2161" s="75">
        <f>IF(F2161&gt;'THAM_SO_MOI'!$C$14,'THAM_SO_MOI'!$C$13*(1+F2161^2/1500),'THAM_SO_MOI'!$C$13)</f>
        <v>0.015</v>
      </c>
      <c r="J2161" s="75">
        <f>'THAM_SO_MOI'!$C$40*('THAM_SO_MOI'!$C$23*(E2161/'THAM_SO_MOI'!$C$22)+'THAM_SO_MOI'!$C$24*(E2161/'THAM_SO_MOI'!$C$22)^2-'THAM_SO_MOI'!$C$25*(E2161/'THAM_SO_MOI'!$C$22)^3)</f>
        <v>100.70548884690008</v>
      </c>
      <c r="K2161" s="75">
        <f>'THAM_SO_MOI'!$C$31*J2161/E2161</f>
        <v>429.8864303385881</v>
      </c>
      <c r="L2161" s="75">
        <f>K2161*'THAM_SO_MOI'!$C$51*'THAM_SO_MOI'!$C$17/'THAM_SO_MOI'!$C$26</f>
        <v>9611.921205629196</v>
      </c>
      <c r="M2161" s="75">
        <f>'THAM_SO_MOI'!$C$15*'THAM_SO_MOI'!$C$16*F2161^2</f>
        <v>232.06704614308535</v>
      </c>
      <c r="N2161" s="75">
        <f>'THAM_SO_MOI'!$C$12*I2161</f>
        <v>1130.112</v>
      </c>
      <c r="O2161" s="75">
        <f>M2161+N2161</f>
        <v>1362.1790461430855</v>
      </c>
      <c r="P2161" s="75">
        <f>(MIN(L2161,'THAM_SO_MOI'!$C$41)-O2161)/('THAM_SO_MOI'!$C$11*H2161)</f>
        <v>0.7812255832846696</v>
      </c>
      <c r="Q2161" s="75">
        <f>IF(P2161&gt;0,1/P2161,NA())</f>
        <v>1.280040005596708</v>
      </c>
      <c r="R2161" s="75">
        <f>F2161-F2160</f>
        <v>0.005028991339518285</v>
      </c>
      <c r="S2161" s="75">
        <f>0.5*(Q2160+Q2161)*R2161</f>
        <v>0.0064371329065671425</v>
      </c>
      <c r="T2161" s="75">
        <f>0.5*(F2160*Q2160+F2161*Q2161)*R2161</f>
        <v>0.05732098752763882</v>
      </c>
      <c r="U2161" s="76">
        <f>U2160+S2161</f>
        <v>11.085916391527789</v>
      </c>
      <c r="V2161" s="76">
        <f>V2160+T2161</f>
        <v>57.53434587733097</v>
      </c>
    </row>
    <row r="2162" spans="1:22" ht="19" customHeight="1">
      <c r="A2162" s="68" t="s">
        <v>374</v>
      </c>
      <c r="B2162" s="74">
        <v>3</v>
      </c>
      <c r="C2162" s="68" t="s">
        <v>363</v>
      </c>
      <c r="D2162" s="68" t="s">
        <v>364</v>
      </c>
      <c r="E2162" s="75">
        <f>60*F2162*'THAM_SO_MOI'!$C$51/(2*PI()*'THAM_SO_MOI'!$C$26)</f>
        <v>2238.7100819047155</v>
      </c>
      <c r="F2162" s="75">
        <f>'HANH_TRINH'!$F$1647+('THAM_SO_MOI'!$F$51-'HANH_TRINH'!$F$1647)*514/'THAM_SO_MOI'!$C$42</f>
        <v>8.912282275857653</v>
      </c>
      <c r="G2162" s="75">
        <f>3.6*F2162</f>
        <v>32.08421619308755</v>
      </c>
      <c r="H2162" s="75">
        <f>'THAM_SO_MOI'!$D$51</f>
        <v>1.375</v>
      </c>
      <c r="I2162" s="75">
        <f>IF(F2162&gt;'THAM_SO_MOI'!$C$14,'THAM_SO_MOI'!$C$13*(1+F2162^2/1500),'THAM_SO_MOI'!$C$13)</f>
        <v>0.015</v>
      </c>
      <c r="J2162" s="75">
        <f>'THAM_SO_MOI'!$C$40*('THAM_SO_MOI'!$C$23*(E2162/'THAM_SO_MOI'!$C$22)+'THAM_SO_MOI'!$C$24*(E2162/'THAM_SO_MOI'!$C$22)^2-'THAM_SO_MOI'!$C$25*(E2162/'THAM_SO_MOI'!$C$22)^3)</f>
        <v>100.76029530556015</v>
      </c>
      <c r="K2162" s="75">
        <f>'THAM_SO_MOI'!$C$31*J2162/E2162</f>
        <v>429.8776785205645</v>
      </c>
      <c r="L2162" s="75">
        <f>K2162*'THAM_SO_MOI'!$C$51*'THAM_SO_MOI'!$C$17/'THAM_SO_MOI'!$C$26</f>
        <v>9611.725521887367</v>
      </c>
      <c r="M2162" s="75">
        <f>'THAM_SO_MOI'!$C$15*'THAM_SO_MOI'!$C$16*F2162^2</f>
        <v>232.32916794135693</v>
      </c>
      <c r="N2162" s="75">
        <f>'THAM_SO_MOI'!$C$12*I2162</f>
        <v>1130.112</v>
      </c>
      <c r="O2162" s="75">
        <f>M2162+N2162</f>
        <v>1362.441167941357</v>
      </c>
      <c r="P2162" s="75">
        <f>(MIN(L2162,'THAM_SO_MOI'!$C$41)-O2162)/('THAM_SO_MOI'!$C$11*H2162)</f>
        <v>0.7811822304873114</v>
      </c>
      <c r="Q2162" s="75">
        <f>IF(P2162&gt;0,1/P2162,NA())</f>
        <v>1.2801110432020288</v>
      </c>
      <c r="R2162" s="75">
        <f>F2162-F2161</f>
        <v>0.005028991339518285</v>
      </c>
      <c r="S2162" s="75">
        <f>0.5*(Q2161+Q2162)*R2162</f>
        <v>0.006437488726133751</v>
      </c>
      <c r="T2162" s="75">
        <f>0.5*(F2161*Q2161+F2162*Q2162)*R2162</f>
        <v>0.05735653008657795</v>
      </c>
      <c r="U2162" s="76">
        <f>U2161+S2162</f>
        <v>11.092353880253922</v>
      </c>
      <c r="V2162" s="76">
        <f>V2161+T2162</f>
        <v>57.59170240741755</v>
      </c>
    </row>
    <row r="2163" spans="1:22" ht="19" customHeight="1">
      <c r="A2163" s="68" t="s">
        <v>374</v>
      </c>
      <c r="B2163" s="74">
        <v>3</v>
      </c>
      <c r="C2163" s="68" t="s">
        <v>363</v>
      </c>
      <c r="D2163" s="68" t="s">
        <v>364</v>
      </c>
      <c r="E2163" s="75">
        <f>60*F2163*'THAM_SO_MOI'!$C$51/(2*PI()*'THAM_SO_MOI'!$C$26)</f>
        <v>2239.973333366587</v>
      </c>
      <c r="F2163" s="75">
        <f>'HANH_TRINH'!$F$1647+('THAM_SO_MOI'!$F$51-'HANH_TRINH'!$F$1647)*515/'THAM_SO_MOI'!$C$42</f>
        <v>8.91731126719717</v>
      </c>
      <c r="G2163" s="75">
        <f>3.6*F2163</f>
        <v>32.10232056190981</v>
      </c>
      <c r="H2163" s="75">
        <f>'THAM_SO_MOI'!$D$51</f>
        <v>1.375</v>
      </c>
      <c r="I2163" s="75">
        <f>IF(F2163&gt;'THAM_SO_MOI'!$C$14,'THAM_SO_MOI'!$C$13*(1+F2163^2/1500),'THAM_SO_MOI'!$C$13)</f>
        <v>0.015</v>
      </c>
      <c r="J2163" s="75">
        <f>'THAM_SO_MOI'!$C$40*('THAM_SO_MOI'!$C$23*(E2163/'THAM_SO_MOI'!$C$22)+'THAM_SO_MOI'!$C$24*(E2163/'THAM_SO_MOI'!$C$22)^2-'THAM_SO_MOI'!$C$25*(E2163/'THAM_SO_MOI'!$C$22)^3)</f>
        <v>100.81506314069743</v>
      </c>
      <c r="K2163" s="75">
        <f>'THAM_SO_MOI'!$C$31*J2163/E2163</f>
        <v>429.8687718857104</v>
      </c>
      <c r="L2163" s="75">
        <f>K2163*'THAM_SO_MOI'!$C$51*'THAM_SO_MOI'!$C$17/'THAM_SO_MOI'!$C$26</f>
        <v>9611.526376563434</v>
      </c>
      <c r="M2163" s="75">
        <f>'THAM_SO_MOI'!$C$15*'THAM_SO_MOI'!$C$16*F2163^2</f>
        <v>232.59143769053873</v>
      </c>
      <c r="N2163" s="75">
        <f>'THAM_SO_MOI'!$C$12*I2163</f>
        <v>1130.112</v>
      </c>
      <c r="O2163" s="75">
        <f>M2163+N2163</f>
        <v>1362.7034376905387</v>
      </c>
      <c r="P2163" s="75">
        <f>(MIN(L2163,'THAM_SO_MOI'!$C$41)-O2163)/('THAM_SO_MOI'!$C$11*H2163)</f>
        <v>0.781138535878115</v>
      </c>
      <c r="Q2163" s="75">
        <f>IF(P2163&gt;0,1/P2163,NA())</f>
        <v>1.2801826488765562</v>
      </c>
      <c r="R2163" s="75">
        <f>F2163-F2162</f>
        <v>0.005028991339518285</v>
      </c>
      <c r="S2163" s="75">
        <f>0.5*(Q2162+Q2163)*R2163</f>
        <v>0.00643784740204325</v>
      </c>
      <c r="T2163" s="75">
        <f>0.5*(F2162*Q2162+F2163*Q2163)*R2163</f>
        <v>0.057392101688061664</v>
      </c>
      <c r="U2163" s="76">
        <f>U2162+S2163</f>
        <v>11.098791727655966</v>
      </c>
      <c r="V2163" s="76">
        <f>V2162+T2163</f>
        <v>57.64909450910561</v>
      </c>
    </row>
    <row r="2164" spans="1:22" ht="19" customHeight="1">
      <c r="A2164" s="68" t="s">
        <v>374</v>
      </c>
      <c r="B2164" s="74">
        <v>3</v>
      </c>
      <c r="C2164" s="68" t="s">
        <v>363</v>
      </c>
      <c r="D2164" s="68" t="s">
        <v>364</v>
      </c>
      <c r="E2164" s="75">
        <f>60*F2164*'THAM_SO_MOI'!$C$51/(2*PI()*'THAM_SO_MOI'!$C$26)</f>
        <v>2241.2365848284585</v>
      </c>
      <c r="F2164" s="75">
        <f>'HANH_TRINH'!$F$1647+('THAM_SO_MOI'!$F$51-'HANH_TRINH'!$F$1647)*516/'THAM_SO_MOI'!$C$42</f>
        <v>8.922340258536687</v>
      </c>
      <c r="G2164" s="75">
        <f>3.6*F2164</f>
        <v>32.12042493073208</v>
      </c>
      <c r="H2164" s="75">
        <f>'THAM_SO_MOI'!$D$51</f>
        <v>1.375</v>
      </c>
      <c r="I2164" s="75">
        <f>IF(F2164&gt;'THAM_SO_MOI'!$C$14,'THAM_SO_MOI'!$C$13*(1+F2164^2/1500),'THAM_SO_MOI'!$C$13)</f>
        <v>0.015</v>
      </c>
      <c r="J2164" s="75">
        <f>'THAM_SO_MOI'!$C$40*('THAM_SO_MOI'!$C$23*(E2164/'THAM_SO_MOI'!$C$22)+'THAM_SO_MOI'!$C$24*(E2164/'THAM_SO_MOI'!$C$22)^2-'THAM_SO_MOI'!$C$25*(E2164/'THAM_SO_MOI'!$C$22)^3)</f>
        <v>100.8697922908826</v>
      </c>
      <c r="K2164" s="75">
        <f>'THAM_SO_MOI'!$C$31*J2164/E2164</f>
        <v>429.8597104340259</v>
      </c>
      <c r="L2164" s="75">
        <f>K2164*'THAM_SO_MOI'!$C$51*'THAM_SO_MOI'!$C$17/'THAM_SO_MOI'!$C$26</f>
        <v>9611.323769657392</v>
      </c>
      <c r="M2164" s="75">
        <f>'THAM_SO_MOI'!$C$15*'THAM_SO_MOI'!$C$16*F2164^2</f>
        <v>232.85385539063074</v>
      </c>
      <c r="N2164" s="75">
        <f>'THAM_SO_MOI'!$C$12*I2164</f>
        <v>1130.112</v>
      </c>
      <c r="O2164" s="75">
        <f>M2164+N2164</f>
        <v>1362.9658553906308</v>
      </c>
      <c r="P2164" s="75">
        <f>(MIN(L2164,'THAM_SO_MOI'!$C$41)-O2164)/('THAM_SO_MOI'!$C$11*H2164)</f>
        <v>0.7810944994570798</v>
      </c>
      <c r="Q2164" s="75">
        <f>IF(P2164&gt;0,1/P2164,NA())</f>
        <v>1.2802548228096295</v>
      </c>
      <c r="R2164" s="75">
        <f>F2164-F2163</f>
        <v>0.005028991339516509</v>
      </c>
      <c r="S2164" s="75">
        <f>0.5*(Q2163+Q2164)*R2164</f>
        <v>0.006438208935241686</v>
      </c>
      <c r="T2164" s="75">
        <f>0.5*(F2163*Q2163+F2164*Q2164)*R2164</f>
        <v>0.05742770238362215</v>
      </c>
      <c r="U2164" s="76">
        <f>U2163+S2164</f>
        <v>11.105229936591208</v>
      </c>
      <c r="V2164" s="76">
        <f>V2163+T2164</f>
        <v>57.70652221148923</v>
      </c>
    </row>
    <row r="2165" spans="1:22" ht="19" customHeight="1">
      <c r="A2165" s="68" t="s">
        <v>374</v>
      </c>
      <c r="B2165" s="74">
        <v>3</v>
      </c>
      <c r="C2165" s="68" t="s">
        <v>363</v>
      </c>
      <c r="D2165" s="68" t="s">
        <v>364</v>
      </c>
      <c r="E2165" s="75">
        <f>60*F2165*'THAM_SO_MOI'!$C$51/(2*PI()*'THAM_SO_MOI'!$C$26)</f>
        <v>2242.49983629033</v>
      </c>
      <c r="F2165" s="75">
        <f>'HANH_TRINH'!$F$1647+('THAM_SO_MOI'!$F$51-'HANH_TRINH'!$F$1647)*517/'THAM_SO_MOI'!$C$42</f>
        <v>8.927369249876206</v>
      </c>
      <c r="G2165" s="75">
        <f>3.6*F2165</f>
        <v>32.13852929955434</v>
      </c>
      <c r="H2165" s="75">
        <f>'THAM_SO_MOI'!$D$51</f>
        <v>1.375</v>
      </c>
      <c r="I2165" s="75">
        <f>IF(F2165&gt;'THAM_SO_MOI'!$C$14,'THAM_SO_MOI'!$C$13*(1+F2165^2/1500),'THAM_SO_MOI'!$C$13)</f>
        <v>0.015</v>
      </c>
      <c r="J2165" s="75">
        <f>'THAM_SO_MOI'!$C$40*('THAM_SO_MOI'!$C$23*(E2165/'THAM_SO_MOI'!$C$22)+'THAM_SO_MOI'!$C$24*(E2165/'THAM_SO_MOI'!$C$22)^2-'THAM_SO_MOI'!$C$25*(E2165/'THAM_SO_MOI'!$C$22)^3)</f>
        <v>100.92448269468626</v>
      </c>
      <c r="K2165" s="75">
        <f>'THAM_SO_MOI'!$C$31*J2165/E2165</f>
        <v>429.8504941655108</v>
      </c>
      <c r="L2165" s="75">
        <f>K2165*'THAM_SO_MOI'!$C$51*'THAM_SO_MOI'!$C$17/'THAM_SO_MOI'!$C$26</f>
        <v>9611.11770116924</v>
      </c>
      <c r="M2165" s="75">
        <f>'THAM_SO_MOI'!$C$15*'THAM_SO_MOI'!$C$16*F2165^2</f>
        <v>233.11642104163312</v>
      </c>
      <c r="N2165" s="75">
        <f>'THAM_SO_MOI'!$C$12*I2165</f>
        <v>1130.112</v>
      </c>
      <c r="O2165" s="75">
        <f>M2165+N2165</f>
        <v>1363.2284210416333</v>
      </c>
      <c r="P2165" s="75">
        <f>(MIN(L2165,'THAM_SO_MOI'!$C$41)-O2165)/('THAM_SO_MOI'!$C$11*H2165)</f>
        <v>0.781050121224205</v>
      </c>
      <c r="Q2165" s="75">
        <f>IF(P2165&gt;0,1/P2165,NA())</f>
        <v>1.2803275651921244</v>
      </c>
      <c r="R2165" s="75">
        <f>F2165-F2164</f>
        <v>0.005028991339518285</v>
      </c>
      <c r="S2165" s="75">
        <f>0.5*(Q2164+Q2165)*R2165</f>
        <v>0.006438573326691935</v>
      </c>
      <c r="T2165" s="75">
        <f>0.5*(F2164*Q2164+F2165*Q2165)*R2165</f>
        <v>0.05746333222496075</v>
      </c>
      <c r="U2165" s="76">
        <f>U2164+S2165</f>
        <v>11.1116685099179</v>
      </c>
      <c r="V2165" s="76">
        <f>V2164+T2165</f>
        <v>57.76398554371419</v>
      </c>
    </row>
    <row r="2166" spans="1:22" ht="19" customHeight="1">
      <c r="A2166" s="68" t="s">
        <v>374</v>
      </c>
      <c r="B2166" s="74">
        <v>3</v>
      </c>
      <c r="C2166" s="68" t="s">
        <v>363</v>
      </c>
      <c r="D2166" s="68" t="s">
        <v>364</v>
      </c>
      <c r="E2166" s="75">
        <f>60*F2166*'THAM_SO_MOI'!$C$51/(2*PI()*'THAM_SO_MOI'!$C$26)</f>
        <v>2243.7630877522015</v>
      </c>
      <c r="F2166" s="75">
        <f>'HANH_TRINH'!$F$1647+('THAM_SO_MOI'!$F$51-'HANH_TRINH'!$F$1647)*518/'THAM_SO_MOI'!$C$42</f>
        <v>8.932398241215722</v>
      </c>
      <c r="G2166" s="75">
        <f>3.6*F2166</f>
        <v>32.1566336683766</v>
      </c>
      <c r="H2166" s="75">
        <f>'THAM_SO_MOI'!$D$51</f>
        <v>1.375</v>
      </c>
      <c r="I2166" s="75">
        <f>IF(F2166&gt;'THAM_SO_MOI'!$C$14,'THAM_SO_MOI'!$C$13*(1+F2166^2/1500),'THAM_SO_MOI'!$C$13)</f>
        <v>0.015</v>
      </c>
      <c r="J2166" s="75">
        <f>'THAM_SO_MOI'!$C$40*('THAM_SO_MOI'!$C$23*(E2166/'THAM_SO_MOI'!$C$22)+'THAM_SO_MOI'!$C$24*(E2166/'THAM_SO_MOI'!$C$22)^2-'THAM_SO_MOI'!$C$25*(E2166/'THAM_SO_MOI'!$C$22)^3)</f>
        <v>100.97913429067908</v>
      </c>
      <c r="K2166" s="75">
        <f>'THAM_SO_MOI'!$C$31*J2166/E2166</f>
        <v>429.8411230801651</v>
      </c>
      <c r="L2166" s="75">
        <f>K2166*'THAM_SO_MOI'!$C$51*'THAM_SO_MOI'!$C$17/'THAM_SO_MOI'!$C$26</f>
        <v>9610.908171098978</v>
      </c>
      <c r="M2166" s="75">
        <f>'THAM_SO_MOI'!$C$15*'THAM_SO_MOI'!$C$16*F2166^2</f>
        <v>233.37913464354565</v>
      </c>
      <c r="N2166" s="75">
        <f>'THAM_SO_MOI'!$C$12*I2166</f>
        <v>1130.112</v>
      </c>
      <c r="O2166" s="75">
        <f>M2166+N2166</f>
        <v>1363.4911346435458</v>
      </c>
      <c r="P2166" s="75">
        <f>(MIN(L2166,'THAM_SO_MOI'!$C$41)-O2166)/('THAM_SO_MOI'!$C$11*H2166)</f>
        <v>0.7810054011794915</v>
      </c>
      <c r="Q2166" s="75">
        <f>IF(P2166&gt;0,1/P2166,NA())</f>
        <v>1.2804008762164487</v>
      </c>
      <c r="R2166" s="75">
        <f>F2166-F2165</f>
        <v>0.005028991339516509</v>
      </c>
      <c r="S2166" s="75">
        <f>0.5*(Q2165+Q2166)*R2166</f>
        <v>0.00643894057734866</v>
      </c>
      <c r="T2166" s="75">
        <f>0.5*(F2165*Q2165+F2166*Q2166)*R2166</f>
        <v>0.05749899126372492</v>
      </c>
      <c r="U2166" s="76">
        <f>U2165+S2166</f>
        <v>11.118107450495248</v>
      </c>
      <c r="V2166" s="76">
        <f>V2165+T2166</f>
        <v>57.82148453497792</v>
      </c>
    </row>
    <row r="2167" spans="1:22" ht="19" customHeight="1">
      <c r="A2167" s="68" t="s">
        <v>374</v>
      </c>
      <c r="B2167" s="74">
        <v>3</v>
      </c>
      <c r="C2167" s="68" t="s">
        <v>363</v>
      </c>
      <c r="D2167" s="68" t="s">
        <v>364</v>
      </c>
      <c r="E2167" s="75">
        <f>60*F2167*'THAM_SO_MOI'!$C$51/(2*PI()*'THAM_SO_MOI'!$C$26)</f>
        <v>2245.026339214073</v>
      </c>
      <c r="F2167" s="75">
        <f>'HANH_TRINH'!$F$1647+('THAM_SO_MOI'!$F$51-'HANH_TRINH'!$F$1647)*519/'THAM_SO_MOI'!$C$42</f>
        <v>8.93742723255524</v>
      </c>
      <c r="G2167" s="75">
        <f>3.6*F2167</f>
        <v>32.174738037198864</v>
      </c>
      <c r="H2167" s="75">
        <f>'THAM_SO_MOI'!$D$51</f>
        <v>1.375</v>
      </c>
      <c r="I2167" s="75">
        <f>IF(F2167&gt;'THAM_SO_MOI'!$C$14,'THAM_SO_MOI'!$C$13*(1+F2167^2/1500),'THAM_SO_MOI'!$C$13)</f>
        <v>0.015</v>
      </c>
      <c r="J2167" s="75">
        <f>'THAM_SO_MOI'!$C$40*('THAM_SO_MOI'!$C$23*(E2167/'THAM_SO_MOI'!$C$22)+'THAM_SO_MOI'!$C$24*(E2167/'THAM_SO_MOI'!$C$22)^2-'THAM_SO_MOI'!$C$25*(E2167/'THAM_SO_MOI'!$C$22)^3)</f>
        <v>101.03374701743172</v>
      </c>
      <c r="K2167" s="75">
        <f>'THAM_SO_MOI'!$C$31*J2167/E2167</f>
        <v>429.83159717798895</v>
      </c>
      <c r="L2167" s="75">
        <f>K2167*'THAM_SO_MOI'!$C$51*'THAM_SO_MOI'!$C$17/'THAM_SO_MOI'!$C$26</f>
        <v>9610.695179446606</v>
      </c>
      <c r="M2167" s="75">
        <f>'THAM_SO_MOI'!$C$15*'THAM_SO_MOI'!$C$16*F2167^2</f>
        <v>233.64199619636858</v>
      </c>
      <c r="N2167" s="75">
        <f>'THAM_SO_MOI'!$C$12*I2167</f>
        <v>1130.112</v>
      </c>
      <c r="O2167" s="75">
        <f>M2167+N2167</f>
        <v>1363.7539961963687</v>
      </c>
      <c r="P2167" s="75">
        <f>(MIN(L2167,'THAM_SO_MOI'!$C$41)-O2167)/('THAM_SO_MOI'!$C$11*H2167)</f>
        <v>0.7809603393229392</v>
      </c>
      <c r="Q2167" s="75">
        <f>IF(P2167&gt;0,1/P2167,NA())</f>
        <v>1.2804747560765497</v>
      </c>
      <c r="R2167" s="75">
        <f>F2167-F2166</f>
        <v>0.005028991339518285</v>
      </c>
      <c r="S2167" s="75">
        <f>0.5*(Q2166+Q2167)*R2167</f>
        <v>0.006439310688192451</v>
      </c>
      <c r="T2167" s="75">
        <f>0.5*(F2166*Q2166+F2167*Q2167)*R2167</f>
        <v>0.05753467955181287</v>
      </c>
      <c r="U2167" s="76">
        <f>U2166+S2167</f>
        <v>11.12454676118344</v>
      </c>
      <c r="V2167" s="76">
        <f>V2166+T2167</f>
        <v>57.879019214529734</v>
      </c>
    </row>
    <row r="2168" spans="1:22" ht="19" customHeight="1">
      <c r="A2168" s="68" t="s">
        <v>374</v>
      </c>
      <c r="B2168" s="74">
        <v>3</v>
      </c>
      <c r="C2168" s="68" t="s">
        <v>363</v>
      </c>
      <c r="D2168" s="68" t="s">
        <v>364</v>
      </c>
      <c r="E2168" s="75">
        <f>60*F2168*'THAM_SO_MOI'!$C$51/(2*PI()*'THAM_SO_MOI'!$C$26)</f>
        <v>2246.2895906759445</v>
      </c>
      <c r="F2168" s="75">
        <f>'HANH_TRINH'!$F$1647+('THAM_SO_MOI'!$F$51-'HANH_TRINH'!$F$1647)*520/'THAM_SO_MOI'!$C$42</f>
        <v>8.942456223894759</v>
      </c>
      <c r="G2168" s="75">
        <f>3.6*F2168</f>
        <v>32.192842406021136</v>
      </c>
      <c r="H2168" s="75">
        <f>'THAM_SO_MOI'!$D$51</f>
        <v>1.375</v>
      </c>
      <c r="I2168" s="75">
        <f>IF(F2168&gt;'THAM_SO_MOI'!$C$14,'THAM_SO_MOI'!$C$13*(1+F2168^2/1500),'THAM_SO_MOI'!$C$13)</f>
        <v>0.015</v>
      </c>
      <c r="J2168" s="75">
        <f>'THAM_SO_MOI'!$C$40*('THAM_SO_MOI'!$C$23*(E2168/'THAM_SO_MOI'!$C$22)+'THAM_SO_MOI'!$C$24*(E2168/'THAM_SO_MOI'!$C$22)^2-'THAM_SO_MOI'!$C$25*(E2168/'THAM_SO_MOI'!$C$22)^3)</f>
        <v>101.08832081351485</v>
      </c>
      <c r="K2168" s="75">
        <f>'THAM_SO_MOI'!$C$31*J2168/E2168</f>
        <v>429.82191645898234</v>
      </c>
      <c r="L2168" s="75">
        <f>K2168*'THAM_SO_MOI'!$C$51*'THAM_SO_MOI'!$C$17/'THAM_SO_MOI'!$C$26</f>
        <v>9610.478726212126</v>
      </c>
      <c r="M2168" s="75">
        <f>'THAM_SO_MOI'!$C$15*'THAM_SO_MOI'!$C$16*F2168^2</f>
        <v>233.90500570010178</v>
      </c>
      <c r="N2168" s="75">
        <f>'THAM_SO_MOI'!$C$12*I2168</f>
        <v>1130.112</v>
      </c>
      <c r="O2168" s="75">
        <f>M2168+N2168</f>
        <v>1364.017005700102</v>
      </c>
      <c r="P2168" s="75">
        <f>(MIN(L2168,'THAM_SO_MOI'!$C$41)-O2168)/('THAM_SO_MOI'!$C$11*H2168)</f>
        <v>0.7809149356545476</v>
      </c>
      <c r="Q2168" s="75">
        <f>IF(P2168&gt;0,1/P2168,NA())</f>
        <v>1.2805492049679132</v>
      </c>
      <c r="R2168" s="75">
        <f>F2168-F2167</f>
        <v>0.005028991339518285</v>
      </c>
      <c r="S2168" s="75">
        <f>0.5*(Q2167+Q2168)*R2168</f>
        <v>0.00643968366019571</v>
      </c>
      <c r="T2168" s="75">
        <f>0.5*(F2167*Q2167+F2168*Q2168)*R2168</f>
        <v>0.057570397141069464</v>
      </c>
      <c r="U2168" s="76">
        <f>U2167+S2168</f>
        <v>11.130986444843636</v>
      </c>
      <c r="V2168" s="76">
        <f>V2167+T2168</f>
        <v>57.936589611670804</v>
      </c>
    </row>
    <row r="2169" spans="1:22" ht="19" customHeight="1">
      <c r="A2169" s="68" t="s">
        <v>374</v>
      </c>
      <c r="B2169" s="74">
        <v>3</v>
      </c>
      <c r="C2169" s="68" t="s">
        <v>363</v>
      </c>
      <c r="D2169" s="68" t="s">
        <v>364</v>
      </c>
      <c r="E2169" s="75">
        <f>60*F2169*'THAM_SO_MOI'!$C$51/(2*PI()*'THAM_SO_MOI'!$C$26)</f>
        <v>2247.5528421378167</v>
      </c>
      <c r="F2169" s="75">
        <f>'HANH_TRINH'!$F$1647+('THAM_SO_MOI'!$F$51-'HANH_TRINH'!$F$1647)*521/'THAM_SO_MOI'!$C$42</f>
        <v>8.947485215234277</v>
      </c>
      <c r="G2169" s="75">
        <f>3.6*F2169</f>
        <v>32.2109467748434</v>
      </c>
      <c r="H2169" s="75">
        <f>'THAM_SO_MOI'!$D$51</f>
        <v>1.375</v>
      </c>
      <c r="I2169" s="75">
        <f>IF(F2169&gt;'THAM_SO_MOI'!$C$14,'THAM_SO_MOI'!$C$13*(1+F2169^2/1500),'THAM_SO_MOI'!$C$13)</f>
        <v>0.015</v>
      </c>
      <c r="J2169" s="75">
        <f>'THAM_SO_MOI'!$C$40*('THAM_SO_MOI'!$C$23*(E2169/'THAM_SO_MOI'!$C$22)+'THAM_SO_MOI'!$C$24*(E2169/'THAM_SO_MOI'!$C$22)^2-'THAM_SO_MOI'!$C$25*(E2169/'THAM_SO_MOI'!$C$22)^3)</f>
        <v>101.14285561749915</v>
      </c>
      <c r="K2169" s="75">
        <f>'THAM_SO_MOI'!$C$31*J2169/E2169</f>
        <v>429.81208092314523</v>
      </c>
      <c r="L2169" s="75">
        <f>K2169*'THAM_SO_MOI'!$C$51*'THAM_SO_MOI'!$C$17/'THAM_SO_MOI'!$C$26</f>
        <v>9610.258811395539</v>
      </c>
      <c r="M2169" s="75">
        <f>'THAM_SO_MOI'!$C$15*'THAM_SO_MOI'!$C$16*F2169^2</f>
        <v>234.16816315474526</v>
      </c>
      <c r="N2169" s="75">
        <f>'THAM_SO_MOI'!$C$12*I2169</f>
        <v>1130.112</v>
      </c>
      <c r="O2169" s="75">
        <f>M2169+N2169</f>
        <v>1364.2801631547454</v>
      </c>
      <c r="P2169" s="75">
        <f>(MIN(L2169,'THAM_SO_MOI'!$C$41)-O2169)/('THAM_SO_MOI'!$C$11*H2169)</f>
        <v>0.7808691901743177</v>
      </c>
      <c r="Q2169" s="75">
        <f>IF(P2169&gt;0,1/P2169,NA())</f>
        <v>1.2806242230875629</v>
      </c>
      <c r="R2169" s="75">
        <f>F2169-F2168</f>
        <v>0.005028991339518285</v>
      </c>
      <c r="S2169" s="75">
        <f>0.5*(Q2168+Q2169)*R2169</f>
        <v>0.006440059494347674</v>
      </c>
      <c r="T2169" s="75">
        <f>0.5*(F2168*Q2168+F2169*Q2169)*R2169</f>
        <v>0.057606144083509614</v>
      </c>
      <c r="U2169" s="76">
        <f>U2168+S2169</f>
        <v>11.137426504337984</v>
      </c>
      <c r="V2169" s="76">
        <f>V2168+T2169</f>
        <v>57.99419575575431</v>
      </c>
    </row>
    <row r="2170" spans="1:22" ht="19" customHeight="1">
      <c r="A2170" s="68" t="s">
        <v>374</v>
      </c>
      <c r="B2170" s="74">
        <v>3</v>
      </c>
      <c r="C2170" s="68" t="s">
        <v>363</v>
      </c>
      <c r="D2170" s="68" t="s">
        <v>364</v>
      </c>
      <c r="E2170" s="75">
        <f>60*F2170*'THAM_SO_MOI'!$C$51/(2*PI()*'THAM_SO_MOI'!$C$26)</f>
        <v>2248.816093599688</v>
      </c>
      <c r="F2170" s="75">
        <f>'HANH_TRINH'!$F$1647+('THAM_SO_MOI'!$F$51-'HANH_TRINH'!$F$1647)*522/'THAM_SO_MOI'!$C$42</f>
        <v>8.952514206573793</v>
      </c>
      <c r="G2170" s="75">
        <f>3.6*F2170</f>
        <v>32.22905114366566</v>
      </c>
      <c r="H2170" s="75">
        <f>'THAM_SO_MOI'!$D$51</f>
        <v>1.375</v>
      </c>
      <c r="I2170" s="75">
        <f>IF(F2170&gt;'THAM_SO_MOI'!$C$14,'THAM_SO_MOI'!$C$13*(1+F2170^2/1500),'THAM_SO_MOI'!$C$13)</f>
        <v>0.015</v>
      </c>
      <c r="J2170" s="75">
        <f>'THAM_SO_MOI'!$C$40*('THAM_SO_MOI'!$C$23*(E2170/'THAM_SO_MOI'!$C$22)+'THAM_SO_MOI'!$C$24*(E2170/'THAM_SO_MOI'!$C$22)^2-'THAM_SO_MOI'!$C$25*(E2170/'THAM_SO_MOI'!$C$22)^3)</f>
        <v>101.19735136795515</v>
      </c>
      <c r="K2170" s="75">
        <f>'THAM_SO_MOI'!$C$31*J2170/E2170</f>
        <v>429.80209057047756</v>
      </c>
      <c r="L2170" s="75">
        <f>K2170*'THAM_SO_MOI'!$C$51*'THAM_SO_MOI'!$C$17/'THAM_SO_MOI'!$C$26</f>
        <v>9610.03543499684</v>
      </c>
      <c r="M2170" s="75">
        <f>'THAM_SO_MOI'!$C$15*'THAM_SO_MOI'!$C$16*F2170^2</f>
        <v>234.4314685602989</v>
      </c>
      <c r="N2170" s="75">
        <f>'THAM_SO_MOI'!$C$12*I2170</f>
        <v>1130.112</v>
      </c>
      <c r="O2170" s="75">
        <f>M2170+N2170</f>
        <v>1364.543468560299</v>
      </c>
      <c r="P2170" s="75">
        <f>(MIN(L2170,'THAM_SO_MOI'!$C$41)-O2170)/('THAM_SO_MOI'!$C$11*H2170)</f>
        <v>0.7808231028822482</v>
      </c>
      <c r="Q2170" s="75">
        <f>IF(P2170&gt;0,1/P2170,NA())</f>
        <v>1.2806998106340672</v>
      </c>
      <c r="R2170" s="75">
        <f>F2170-F2169</f>
        <v>0.005028991339516509</v>
      </c>
      <c r="S2170" s="75">
        <f>0.5*(Q2169+Q2170)*R2170</f>
        <v>0.006440438191640784</v>
      </c>
      <c r="T2170" s="75">
        <f>0.5*(F2169*Q2169+F2170*Q2170)*R2170</f>
        <v>0.057641920431196834</v>
      </c>
      <c r="U2170" s="76">
        <f>U2169+S2170</f>
        <v>11.143866942529625</v>
      </c>
      <c r="V2170" s="76">
        <f>V2169+T2170</f>
        <v>58.05183767618551</v>
      </c>
    </row>
    <row r="2171" spans="1:22" ht="19" customHeight="1">
      <c r="A2171" s="68" t="s">
        <v>374</v>
      </c>
      <c r="B2171" s="74">
        <v>3</v>
      </c>
      <c r="C2171" s="68" t="s">
        <v>363</v>
      </c>
      <c r="D2171" s="68" t="s">
        <v>364</v>
      </c>
      <c r="E2171" s="75">
        <f>60*F2171*'THAM_SO_MOI'!$C$51/(2*PI()*'THAM_SO_MOI'!$C$26)</f>
        <v>2250.07934506156</v>
      </c>
      <c r="F2171" s="75">
        <f>'HANH_TRINH'!$F$1647+('THAM_SO_MOI'!$F$51-'HANH_TRINH'!$F$1647)*523/'THAM_SO_MOI'!$C$42</f>
        <v>8.957543197913312</v>
      </c>
      <c r="G2171" s="75">
        <f>3.6*F2171</f>
        <v>32.24715551248792</v>
      </c>
      <c r="H2171" s="75">
        <f>'THAM_SO_MOI'!$D$51</f>
        <v>1.375</v>
      </c>
      <c r="I2171" s="75">
        <f>IF(F2171&gt;'THAM_SO_MOI'!$C$14,'THAM_SO_MOI'!$C$13*(1+F2171^2/1500),'THAM_SO_MOI'!$C$13)</f>
        <v>0.015</v>
      </c>
      <c r="J2171" s="75">
        <f>'THAM_SO_MOI'!$C$40*('THAM_SO_MOI'!$C$23*(E2171/'THAM_SO_MOI'!$C$22)+'THAM_SO_MOI'!$C$24*(E2171/'THAM_SO_MOI'!$C$22)^2-'THAM_SO_MOI'!$C$25*(E2171/'THAM_SO_MOI'!$C$22)^3)</f>
        <v>101.2518080034536</v>
      </c>
      <c r="K2171" s="75">
        <f>'THAM_SO_MOI'!$C$31*J2171/E2171</f>
        <v>429.79194540097933</v>
      </c>
      <c r="L2171" s="75">
        <f>K2171*'THAM_SO_MOI'!$C$51*'THAM_SO_MOI'!$C$17/'THAM_SO_MOI'!$C$26</f>
        <v>9609.808597016034</v>
      </c>
      <c r="M2171" s="75">
        <f>'THAM_SO_MOI'!$C$15*'THAM_SO_MOI'!$C$16*F2171^2</f>
        <v>234.6949219167629</v>
      </c>
      <c r="N2171" s="75">
        <f>'THAM_SO_MOI'!$C$12*I2171</f>
        <v>1130.112</v>
      </c>
      <c r="O2171" s="75">
        <f>M2171+N2171</f>
        <v>1364.806921916763</v>
      </c>
      <c r="P2171" s="75">
        <f>(MIN(L2171,'THAM_SO_MOI'!$C$41)-O2171)/('THAM_SO_MOI'!$C$11*H2171)</f>
        <v>0.7807766737783399</v>
      </c>
      <c r="Q2171" s="75">
        <f>IF(P2171&gt;0,1/P2171,NA())</f>
        <v>1.2807759678075332</v>
      </c>
      <c r="R2171" s="75">
        <f>F2171-F2170</f>
        <v>0.005028991339518285</v>
      </c>
      <c r="S2171" s="75">
        <f>0.5*(Q2170+Q2171)*R2171</f>
        <v>0.006440819753084334</v>
      </c>
      <c r="T2171" s="75">
        <f>0.5*(F2170*Q2170+F2171*Q2171)*R2171</f>
        <v>0.057677726236365516</v>
      </c>
      <c r="U2171" s="76">
        <f>U2170+S2171</f>
        <v>11.15030776228271</v>
      </c>
      <c r="V2171" s="76">
        <f>V2170+T2171</f>
        <v>58.10951540242187</v>
      </c>
    </row>
    <row r="2172" spans="1:22" ht="19" customHeight="1">
      <c r="A2172" s="68" t="s">
        <v>374</v>
      </c>
      <c r="B2172" s="74">
        <v>3</v>
      </c>
      <c r="C2172" s="68" t="s">
        <v>363</v>
      </c>
      <c r="D2172" s="68" t="s">
        <v>364</v>
      </c>
      <c r="E2172" s="75">
        <f>60*F2172*'THAM_SO_MOI'!$C$51/(2*PI()*'THAM_SO_MOI'!$C$26)</f>
        <v>2251.3425965234314</v>
      </c>
      <c r="F2172" s="75">
        <f>'HANH_TRINH'!$F$1647+('THAM_SO_MOI'!$F$51-'HANH_TRINH'!$F$1647)*524/'THAM_SO_MOI'!$C$42</f>
        <v>8.962572189252828</v>
      </c>
      <c r="G2172" s="75">
        <f>3.6*F2172</f>
        <v>32.265259881310186</v>
      </c>
      <c r="H2172" s="75">
        <f>'THAM_SO_MOI'!$D$51</f>
        <v>1.375</v>
      </c>
      <c r="I2172" s="75">
        <f>IF(F2172&gt;'THAM_SO_MOI'!$C$14,'THAM_SO_MOI'!$C$13*(1+F2172^2/1500),'THAM_SO_MOI'!$C$13)</f>
        <v>0.015</v>
      </c>
      <c r="J2172" s="75">
        <f>'THAM_SO_MOI'!$C$40*('THAM_SO_MOI'!$C$23*(E2172/'THAM_SO_MOI'!$C$22)+'THAM_SO_MOI'!$C$24*(E2172/'THAM_SO_MOI'!$C$22)^2-'THAM_SO_MOI'!$C$25*(E2172/'THAM_SO_MOI'!$C$22)^3)</f>
        <v>101.30622546256514</v>
      </c>
      <c r="K2172" s="75">
        <f>'THAM_SO_MOI'!$C$31*J2172/E2172</f>
        <v>429.78164541465077</v>
      </c>
      <c r="L2172" s="75">
        <f>K2172*'THAM_SO_MOI'!$C$51*'THAM_SO_MOI'!$C$17/'THAM_SO_MOI'!$C$26</f>
        <v>9609.578297453121</v>
      </c>
      <c r="M2172" s="75">
        <f>'THAM_SO_MOI'!$C$15*'THAM_SO_MOI'!$C$16*F2172^2</f>
        <v>234.9585232241371</v>
      </c>
      <c r="N2172" s="75">
        <f>'THAM_SO_MOI'!$C$12*I2172</f>
        <v>1130.112</v>
      </c>
      <c r="O2172" s="75">
        <f>M2172+N2172</f>
        <v>1365.070523224137</v>
      </c>
      <c r="P2172" s="75">
        <f>(MIN(L2172,'THAM_SO_MOI'!$C$41)-O2172)/('THAM_SO_MOI'!$C$11*H2172)</f>
        <v>0.7807299028625931</v>
      </c>
      <c r="Q2172" s="75">
        <f>IF(P2172&gt;0,1/P2172,NA())</f>
        <v>1.2808526948096133</v>
      </c>
      <c r="R2172" s="75">
        <f>F2172-F2171</f>
        <v>0.005028991339516509</v>
      </c>
      <c r="S2172" s="75">
        <f>0.5*(Q2171+Q2172)*R2172</f>
        <v>0.006441204179679444</v>
      </c>
      <c r="T2172" s="75">
        <f>0.5*(F2171*Q2171+F2172*Q2172)*R2172</f>
        <v>0.05771356155119716</v>
      </c>
      <c r="U2172" s="76">
        <f>U2171+S2172</f>
        <v>11.15674896646239</v>
      </c>
      <c r="V2172" s="76">
        <f>V2171+T2172</f>
        <v>58.167228963973066</v>
      </c>
    </row>
    <row r="2173" spans="1:22" ht="19" customHeight="1">
      <c r="A2173" s="68" t="s">
        <v>374</v>
      </c>
      <c r="B2173" s="74">
        <v>3</v>
      </c>
      <c r="C2173" s="68" t="s">
        <v>363</v>
      </c>
      <c r="D2173" s="68" t="s">
        <v>364</v>
      </c>
      <c r="E2173" s="75">
        <f>60*F2173*'THAM_SO_MOI'!$C$51/(2*PI()*'THAM_SO_MOI'!$C$26)</f>
        <v>2252.605847985303</v>
      </c>
      <c r="F2173" s="75">
        <f>'HANH_TRINH'!$F$1647+('THAM_SO_MOI'!$F$51-'HANH_TRINH'!$F$1647)*525/'THAM_SO_MOI'!$C$42</f>
        <v>8.967601180592347</v>
      </c>
      <c r="G2173" s="75">
        <f>3.6*F2173</f>
        <v>32.28336425013245</v>
      </c>
      <c r="H2173" s="75">
        <f>'THAM_SO_MOI'!$D$51</f>
        <v>1.375</v>
      </c>
      <c r="I2173" s="75">
        <f>IF(F2173&gt;'THAM_SO_MOI'!$C$14,'THAM_SO_MOI'!$C$13*(1+F2173^2/1500),'THAM_SO_MOI'!$C$13)</f>
        <v>0.015</v>
      </c>
      <c r="J2173" s="75">
        <f>'THAM_SO_MOI'!$C$40*('THAM_SO_MOI'!$C$23*(E2173/'THAM_SO_MOI'!$C$22)+'THAM_SO_MOI'!$C$24*(E2173/'THAM_SO_MOI'!$C$22)^2-'THAM_SO_MOI'!$C$25*(E2173/'THAM_SO_MOI'!$C$22)^3)</f>
        <v>101.36060368386038</v>
      </c>
      <c r="K2173" s="75">
        <f>'THAM_SO_MOI'!$C$31*J2173/E2173</f>
        <v>429.7711906114916</v>
      </c>
      <c r="L2173" s="75">
        <f>K2173*'THAM_SO_MOI'!$C$51*'THAM_SO_MOI'!$C$17/'THAM_SO_MOI'!$C$26</f>
        <v>9609.344536308097</v>
      </c>
      <c r="M2173" s="75">
        <f>'THAM_SO_MOI'!$C$15*'THAM_SO_MOI'!$C$16*F2173^2</f>
        <v>235.2222724824217</v>
      </c>
      <c r="N2173" s="75">
        <f>'THAM_SO_MOI'!$C$12*I2173</f>
        <v>1130.112</v>
      </c>
      <c r="O2173" s="75">
        <f>M2173+N2173</f>
        <v>1365.3342724824217</v>
      </c>
      <c r="P2173" s="75">
        <f>(MIN(L2173,'THAM_SO_MOI'!$C$41)-O2173)/('THAM_SO_MOI'!$C$11*H2173)</f>
        <v>0.7806827901350072</v>
      </c>
      <c r="Q2173" s="75">
        <f>IF(P2173&gt;0,1/P2173,NA())</f>
        <v>1.2809299918435058</v>
      </c>
      <c r="R2173" s="75">
        <f>F2173-F2172</f>
        <v>0.005028991339518285</v>
      </c>
      <c r="S2173" s="75">
        <f>0.5*(Q2172+Q2173)*R2173</f>
        <v>0.00644159147245321</v>
      </c>
      <c r="T2173" s="75">
        <f>0.5*(F2172*Q2172+F2173*Q2173)*R2173</f>
        <v>0.057749426428126215</v>
      </c>
      <c r="U2173" s="76">
        <f>U2172+S2173</f>
        <v>11.163190557934843</v>
      </c>
      <c r="V2173" s="76">
        <f>V2172+T2173</f>
        <v>58.22497839040119</v>
      </c>
    </row>
    <row r="2174" spans="1:22" ht="19" customHeight="1">
      <c r="A2174" s="68" t="s">
        <v>374</v>
      </c>
      <c r="B2174" s="74">
        <v>3</v>
      </c>
      <c r="C2174" s="68" t="s">
        <v>363</v>
      </c>
      <c r="D2174" s="68" t="s">
        <v>364</v>
      </c>
      <c r="E2174" s="75">
        <f>60*F2174*'THAM_SO_MOI'!$C$51/(2*PI()*'THAM_SO_MOI'!$C$26)</f>
        <v>2253.869099447175</v>
      </c>
      <c r="F2174" s="75">
        <f>'HANH_TRINH'!$F$1647+('THAM_SO_MOI'!$F$51-'HANH_TRINH'!$F$1647)*526/'THAM_SO_MOI'!$C$42</f>
        <v>8.972630171931865</v>
      </c>
      <c r="G2174" s="75">
        <f>3.6*F2174</f>
        <v>32.301468618954715</v>
      </c>
      <c r="H2174" s="75">
        <f>'THAM_SO_MOI'!$D$51</f>
        <v>1.375</v>
      </c>
      <c r="I2174" s="75">
        <f>IF(F2174&gt;'THAM_SO_MOI'!$C$14,'THAM_SO_MOI'!$C$13*(1+F2174^2/1500),'THAM_SO_MOI'!$C$13)</f>
        <v>0.015</v>
      </c>
      <c r="J2174" s="75">
        <f>'THAM_SO_MOI'!$C$40*('THAM_SO_MOI'!$C$23*(E2174/'THAM_SO_MOI'!$C$22)+'THAM_SO_MOI'!$C$24*(E2174/'THAM_SO_MOI'!$C$22)^2-'THAM_SO_MOI'!$C$25*(E2174/'THAM_SO_MOI'!$C$22)^3)</f>
        <v>101.41494260591001</v>
      </c>
      <c r="K2174" s="75">
        <f>'THAM_SO_MOI'!$C$31*J2174/E2174</f>
        <v>429.760580991502</v>
      </c>
      <c r="L2174" s="75">
        <f>K2174*'THAM_SO_MOI'!$C$51*'THAM_SO_MOI'!$C$17/'THAM_SO_MOI'!$C$26</f>
        <v>9609.107313580966</v>
      </c>
      <c r="M2174" s="75">
        <f>'THAM_SO_MOI'!$C$15*'THAM_SO_MOI'!$C$16*F2174^2</f>
        <v>235.4861696916165</v>
      </c>
      <c r="N2174" s="75">
        <f>'THAM_SO_MOI'!$C$12*I2174</f>
        <v>1130.112</v>
      </c>
      <c r="O2174" s="75">
        <f>M2174+N2174</f>
        <v>1365.5981696916165</v>
      </c>
      <c r="P2174" s="75">
        <f>(MIN(L2174,'THAM_SO_MOI'!$C$41)-O2174)/('THAM_SO_MOI'!$C$11*H2174)</f>
        <v>0.7806353355955824</v>
      </c>
      <c r="Q2174" s="75">
        <f>IF(P2174&gt;0,1/P2174,NA())</f>
        <v>1.281007859113954</v>
      </c>
      <c r="R2174" s="75">
        <f>F2174-F2173</f>
        <v>0.005028991339518285</v>
      </c>
      <c r="S2174" s="75">
        <f>0.5*(Q2173+Q2174)*R2174</f>
        <v>0.006441981632424576</v>
      </c>
      <c r="T2174" s="75">
        <f>0.5*(F2173*Q2173+F2174*Q2174)*R2174</f>
        <v>0.057785320919534734</v>
      </c>
      <c r="U2174" s="76">
        <f>U2173+S2174</f>
        <v>11.169632539567267</v>
      </c>
      <c r="V2174" s="76">
        <f>V2173+T2174</f>
        <v>58.282763711320726</v>
      </c>
    </row>
    <row r="2175" spans="1:22" ht="19" customHeight="1">
      <c r="A2175" s="68" t="s">
        <v>374</v>
      </c>
      <c r="B2175" s="74">
        <v>3</v>
      </c>
      <c r="C2175" s="68" t="s">
        <v>363</v>
      </c>
      <c r="D2175" s="68" t="s">
        <v>364</v>
      </c>
      <c r="E2175" s="75">
        <f>60*F2175*'THAM_SO_MOI'!$C$51/(2*PI()*'THAM_SO_MOI'!$C$26)</f>
        <v>2255.132350909047</v>
      </c>
      <c r="F2175" s="75">
        <f>'HANH_TRINH'!$F$1647+('THAM_SO_MOI'!$F$51-'HANH_TRINH'!$F$1647)*527/'THAM_SO_MOI'!$C$42</f>
        <v>8.977659163271383</v>
      </c>
      <c r="G2175" s="75">
        <f>3.6*F2175</f>
        <v>32.31957298777698</v>
      </c>
      <c r="H2175" s="75">
        <f>'THAM_SO_MOI'!$D$51</f>
        <v>1.375</v>
      </c>
      <c r="I2175" s="75">
        <f>IF(F2175&gt;'THAM_SO_MOI'!$C$14,'THAM_SO_MOI'!$C$13*(1+F2175^2/1500),'THAM_SO_MOI'!$C$13)</f>
        <v>0.015</v>
      </c>
      <c r="J2175" s="75">
        <f>'THAM_SO_MOI'!$C$40*('THAM_SO_MOI'!$C$23*(E2175/'THAM_SO_MOI'!$C$22)+'THAM_SO_MOI'!$C$24*(E2175/'THAM_SO_MOI'!$C$22)^2-'THAM_SO_MOI'!$C$25*(E2175/'THAM_SO_MOI'!$C$22)^3)</f>
        <v>101.46924216728466</v>
      </c>
      <c r="K2175" s="75">
        <f>'THAM_SO_MOI'!$C$31*J2175/E2175</f>
        <v>429.7498165546818</v>
      </c>
      <c r="L2175" s="75">
        <f>K2175*'THAM_SO_MOI'!$C$51*'THAM_SO_MOI'!$C$17/'THAM_SO_MOI'!$C$26</f>
        <v>9608.866629271723</v>
      </c>
      <c r="M2175" s="75">
        <f>'THAM_SO_MOI'!$C$15*'THAM_SO_MOI'!$C$16*F2175^2</f>
        <v>235.7502148517216</v>
      </c>
      <c r="N2175" s="75">
        <f>'THAM_SO_MOI'!$C$12*I2175</f>
        <v>1130.112</v>
      </c>
      <c r="O2175" s="75">
        <f>M2175+N2175</f>
        <v>1365.8622148517218</v>
      </c>
      <c r="P2175" s="75">
        <f>(MIN(L2175,'THAM_SO_MOI'!$C$41)-O2175)/('THAM_SO_MOI'!$C$11*H2175)</f>
        <v>0.7805875392443182</v>
      </c>
      <c r="Q2175" s="75">
        <f>IF(P2175&gt;0,1/P2175,NA())</f>
        <v>1.281086296827251</v>
      </c>
      <c r="R2175" s="75">
        <f>F2175-F2174</f>
        <v>0.005028991339518285</v>
      </c>
      <c r="S2175" s="75">
        <f>0.5*(Q2174+Q2175)*R2175</f>
        <v>0.006442374660629365</v>
      </c>
      <c r="T2175" s="75">
        <f>0.5*(F2174*Q2174+F2175*Q2175)*R2175</f>
        <v>0.0578212450779767</v>
      </c>
      <c r="U2175" s="76">
        <f>U2174+S2175</f>
        <v>11.176074914227897</v>
      </c>
      <c r="V2175" s="76">
        <f>V2174+T2175</f>
        <v>58.3405849563987</v>
      </c>
    </row>
    <row r="2176" spans="1:22" ht="19" customHeight="1">
      <c r="A2176" s="68" t="s">
        <v>374</v>
      </c>
      <c r="B2176" s="74">
        <v>3</v>
      </c>
      <c r="C2176" s="68" t="s">
        <v>363</v>
      </c>
      <c r="D2176" s="68" t="s">
        <v>364</v>
      </c>
      <c r="E2176" s="75">
        <f>60*F2176*'THAM_SO_MOI'!$C$51/(2*PI()*'THAM_SO_MOI'!$C$26)</f>
        <v>2256.3956023709175</v>
      </c>
      <c r="F2176" s="75">
        <f>'HANH_TRINH'!$F$1647+('THAM_SO_MOI'!$F$51-'HANH_TRINH'!$F$1647)*528/'THAM_SO_MOI'!$C$42</f>
        <v>8.9826881546109</v>
      </c>
      <c r="G2176" s="75">
        <f>3.6*F2176</f>
        <v>32.33767735659924</v>
      </c>
      <c r="H2176" s="75">
        <f>'THAM_SO_MOI'!$D$51</f>
        <v>1.375</v>
      </c>
      <c r="I2176" s="75">
        <f>IF(F2176&gt;'THAM_SO_MOI'!$C$14,'THAM_SO_MOI'!$C$13*(1+F2176^2/1500),'THAM_SO_MOI'!$C$13)</f>
        <v>0.015</v>
      </c>
      <c r="J2176" s="75">
        <f>'THAM_SO_MOI'!$C$40*('THAM_SO_MOI'!$C$23*(E2176/'THAM_SO_MOI'!$C$22)+'THAM_SO_MOI'!$C$24*(E2176/'THAM_SO_MOI'!$C$22)^2-'THAM_SO_MOI'!$C$25*(E2176/'THAM_SO_MOI'!$C$22)^3)</f>
        <v>101.52350230655492</v>
      </c>
      <c r="K2176" s="75">
        <f>'THAM_SO_MOI'!$C$31*J2176/E2176</f>
        <v>429.7388973010311</v>
      </c>
      <c r="L2176" s="75">
        <f>K2176*'THAM_SO_MOI'!$C$51*'THAM_SO_MOI'!$C$17/'THAM_SO_MOI'!$C$26</f>
        <v>9608.622483380372</v>
      </c>
      <c r="M2176" s="75">
        <f>'THAM_SO_MOI'!$C$15*'THAM_SO_MOI'!$C$16*F2176^2</f>
        <v>236.0144079627369</v>
      </c>
      <c r="N2176" s="75">
        <f>'THAM_SO_MOI'!$C$12*I2176</f>
        <v>1130.112</v>
      </c>
      <c r="O2176" s="75">
        <f>M2176+N2176</f>
        <v>1366.126407962737</v>
      </c>
      <c r="P2176" s="75">
        <f>(MIN(L2176,'THAM_SO_MOI'!$C$41)-O2176)/('THAM_SO_MOI'!$C$11*H2176)</f>
        <v>0.7805394010812154</v>
      </c>
      <c r="Q2176" s="75">
        <f>IF(P2176&gt;0,1/P2176,NA())</f>
        <v>1.2811653051912362</v>
      </c>
      <c r="R2176" s="75">
        <f>F2176-F2175</f>
        <v>0.005028991339516509</v>
      </c>
      <c r="S2176" s="75">
        <f>0.5*(Q2175+Q2176)*R2176</f>
        <v>0.006442770558106637</v>
      </c>
      <c r="T2176" s="75">
        <f>0.5*(F2175*Q2175+F2176*Q2176)*R2176</f>
        <v>0.057857198956056004</v>
      </c>
      <c r="U2176" s="76">
        <f>U2175+S2176</f>
        <v>11.182517684786003</v>
      </c>
      <c r="V2176" s="76">
        <f>V2175+T2176</f>
        <v>58.39844215535476</v>
      </c>
    </row>
    <row r="2177" spans="1:22" ht="19" customHeight="1">
      <c r="A2177" s="68" t="s">
        <v>374</v>
      </c>
      <c r="B2177" s="74">
        <v>3</v>
      </c>
      <c r="C2177" s="68" t="s">
        <v>363</v>
      </c>
      <c r="D2177" s="68" t="s">
        <v>364</v>
      </c>
      <c r="E2177" s="75">
        <f>60*F2177*'THAM_SO_MOI'!$C$51/(2*PI()*'THAM_SO_MOI'!$C$26)</f>
        <v>2257.658853832789</v>
      </c>
      <c r="F2177" s="75">
        <f>'HANH_TRINH'!$F$1647+('THAM_SO_MOI'!$F$51-'HANH_TRINH'!$F$1647)*529/'THAM_SO_MOI'!$C$42</f>
        <v>8.987717145950418</v>
      </c>
      <c r="G2177" s="75">
        <f>3.6*F2177</f>
        <v>32.35578172542151</v>
      </c>
      <c r="H2177" s="75">
        <f>'THAM_SO_MOI'!$D$51</f>
        <v>1.375</v>
      </c>
      <c r="I2177" s="75">
        <f>IF(F2177&gt;'THAM_SO_MOI'!$C$14,'THAM_SO_MOI'!$C$13*(1+F2177^2/1500),'THAM_SO_MOI'!$C$13)</f>
        <v>0.015</v>
      </c>
      <c r="J2177" s="75">
        <f>'THAM_SO_MOI'!$C$40*('THAM_SO_MOI'!$C$23*(E2177/'THAM_SO_MOI'!$C$22)+'THAM_SO_MOI'!$C$24*(E2177/'THAM_SO_MOI'!$C$22)^2-'THAM_SO_MOI'!$C$25*(E2177/'THAM_SO_MOI'!$C$22)^3)</f>
        <v>101.57772296229153</v>
      </c>
      <c r="K2177" s="75">
        <f>'THAM_SO_MOI'!$C$31*J2177/E2177</f>
        <v>429.7278232305498</v>
      </c>
      <c r="L2177" s="75">
        <f>K2177*'THAM_SO_MOI'!$C$51*'THAM_SO_MOI'!$C$17/'THAM_SO_MOI'!$C$26</f>
        <v>9608.37487590691</v>
      </c>
      <c r="M2177" s="75">
        <f>'THAM_SO_MOI'!$C$15*'THAM_SO_MOI'!$C$16*F2177^2</f>
        <v>236.27874902466255</v>
      </c>
      <c r="N2177" s="75">
        <f>'THAM_SO_MOI'!$C$12*I2177</f>
        <v>1130.112</v>
      </c>
      <c r="O2177" s="75">
        <f>M2177+N2177</f>
        <v>1366.3907490246627</v>
      </c>
      <c r="P2177" s="75">
        <f>(MIN(L2177,'THAM_SO_MOI'!$C$41)-O2177)/('THAM_SO_MOI'!$C$11*H2177)</f>
        <v>0.7804909211062733</v>
      </c>
      <c r="Q2177" s="75">
        <f>IF(P2177&gt;0,1/P2177,NA())</f>
        <v>1.2812448844153024</v>
      </c>
      <c r="R2177" s="75">
        <f>F2177-F2176</f>
        <v>0.005028991339518285</v>
      </c>
      <c r="S2177" s="75">
        <f>0.5*(Q2176+Q2177)*R2177</f>
        <v>0.006443169325912344</v>
      </c>
      <c r="T2177" s="75">
        <f>0.5*(F2176*Q2176+F2177*Q2177)*R2177</f>
        <v>0.057893182606549284</v>
      </c>
      <c r="U2177" s="76">
        <f>U2176+S2177</f>
        <v>11.188960854111915</v>
      </c>
      <c r="V2177" s="76">
        <f>V2176+T2177</f>
        <v>58.456335337961306</v>
      </c>
    </row>
    <row r="2178" spans="1:22" ht="19" customHeight="1">
      <c r="A2178" s="68" t="s">
        <v>374</v>
      </c>
      <c r="B2178" s="74">
        <v>3</v>
      </c>
      <c r="C2178" s="68" t="s">
        <v>363</v>
      </c>
      <c r="D2178" s="68" t="s">
        <v>364</v>
      </c>
      <c r="E2178" s="75">
        <f>60*F2178*'THAM_SO_MOI'!$C$51/(2*PI()*'THAM_SO_MOI'!$C$26)</f>
        <v>2258.9221052946605</v>
      </c>
      <c r="F2178" s="75">
        <f>'HANH_TRINH'!$F$1647+('THAM_SO_MOI'!$F$51-'HANH_TRINH'!$F$1647)*530/'THAM_SO_MOI'!$C$42</f>
        <v>8.992746137289934</v>
      </c>
      <c r="G2178" s="75">
        <f>3.6*F2178</f>
        <v>32.373886094243765</v>
      </c>
      <c r="H2178" s="75">
        <f>'THAM_SO_MOI'!$D$51</f>
        <v>1.375</v>
      </c>
      <c r="I2178" s="75">
        <f>IF(F2178&gt;'THAM_SO_MOI'!$C$14,'THAM_SO_MOI'!$C$13*(1+F2178^2/1500),'THAM_SO_MOI'!$C$13)</f>
        <v>0.015</v>
      </c>
      <c r="J2178" s="75">
        <f>'THAM_SO_MOI'!$C$40*('THAM_SO_MOI'!$C$23*(E2178/'THAM_SO_MOI'!$C$22)+'THAM_SO_MOI'!$C$24*(E2178/'THAM_SO_MOI'!$C$22)^2-'THAM_SO_MOI'!$C$25*(E2178/'THAM_SO_MOI'!$C$22)^3)</f>
        <v>101.63190407306514</v>
      </c>
      <c r="K2178" s="75">
        <f>'THAM_SO_MOI'!$C$31*J2178/E2178</f>
        <v>429.71659434323817</v>
      </c>
      <c r="L2178" s="75">
        <f>K2178*'THAM_SO_MOI'!$C$51*'THAM_SO_MOI'!$C$17/'THAM_SO_MOI'!$C$26</f>
        <v>9608.123806851341</v>
      </c>
      <c r="M2178" s="75">
        <f>'THAM_SO_MOI'!$C$15*'THAM_SO_MOI'!$C$16*F2178^2</f>
        <v>236.54323803749838</v>
      </c>
      <c r="N2178" s="75">
        <f>'THAM_SO_MOI'!$C$12*I2178</f>
        <v>1130.112</v>
      </c>
      <c r="O2178" s="75">
        <f>M2178+N2178</f>
        <v>1366.6552380374985</v>
      </c>
      <c r="P2178" s="75">
        <f>(MIN(L2178,'THAM_SO_MOI'!$C$41)-O2178)/('THAM_SO_MOI'!$C$11*H2178)</f>
        <v>0.7804420993194926</v>
      </c>
      <c r="Q2178" s="75">
        <f>IF(P2178&gt;0,1/P2178,NA())</f>
        <v>1.281325034710392</v>
      </c>
      <c r="R2178" s="75">
        <f>F2178-F2177</f>
        <v>0.005028991339516509</v>
      </c>
      <c r="S2178" s="75">
        <f>0.5*(Q2177+Q2178)*R2178</f>
        <v>0.006443570965094319</v>
      </c>
      <c r="T2178" s="75">
        <f>0.5*(F2177*Q2177+F2178*Q2178)*R2178</f>
        <v>0.05792919608218134</v>
      </c>
      <c r="U2178" s="76">
        <f>U2177+S2178</f>
        <v>11.19540442507701</v>
      </c>
      <c r="V2178" s="76">
        <f>V2177+T2178</f>
        <v>58.51426453404349</v>
      </c>
    </row>
    <row r="2179" spans="1:22" ht="19" customHeight="1">
      <c r="A2179" s="68" t="s">
        <v>374</v>
      </c>
      <c r="B2179" s="74">
        <v>3</v>
      </c>
      <c r="C2179" s="68" t="s">
        <v>363</v>
      </c>
      <c r="D2179" s="68" t="s">
        <v>364</v>
      </c>
      <c r="E2179" s="75">
        <f>60*F2179*'THAM_SO_MOI'!$C$51/(2*PI()*'THAM_SO_MOI'!$C$26)</f>
        <v>2260.1853567565327</v>
      </c>
      <c r="F2179" s="75">
        <f>'HANH_TRINH'!$F$1647+('THAM_SO_MOI'!$F$51-'HANH_TRINH'!$F$1647)*531/'THAM_SO_MOI'!$C$42</f>
        <v>8.997775128629453</v>
      </c>
      <c r="G2179" s="75">
        <f>3.6*F2179</f>
        <v>32.39199046306603</v>
      </c>
      <c r="H2179" s="75">
        <f>'THAM_SO_MOI'!$D$51</f>
        <v>1.375</v>
      </c>
      <c r="I2179" s="75">
        <f>IF(F2179&gt;'THAM_SO_MOI'!$C$14,'THAM_SO_MOI'!$C$13*(1+F2179^2/1500),'THAM_SO_MOI'!$C$13)</f>
        <v>0.015</v>
      </c>
      <c r="J2179" s="75">
        <f>'THAM_SO_MOI'!$C$40*('THAM_SO_MOI'!$C$23*(E2179/'THAM_SO_MOI'!$C$22)+'THAM_SO_MOI'!$C$24*(E2179/'THAM_SO_MOI'!$C$22)^2-'THAM_SO_MOI'!$C$25*(E2179/'THAM_SO_MOI'!$C$22)^3)</f>
        <v>101.68604557744638</v>
      </c>
      <c r="K2179" s="75">
        <f>'THAM_SO_MOI'!$C$31*J2179/E2179</f>
        <v>429.7052106390959</v>
      </c>
      <c r="L2179" s="75">
        <f>K2179*'THAM_SO_MOI'!$C$51*'THAM_SO_MOI'!$C$17/'THAM_SO_MOI'!$C$26</f>
        <v>9607.869276213663</v>
      </c>
      <c r="M2179" s="75">
        <f>'THAM_SO_MOI'!$C$15*'THAM_SO_MOI'!$C$16*F2179^2</f>
        <v>236.8078750012446</v>
      </c>
      <c r="N2179" s="75">
        <f>'THAM_SO_MOI'!$C$12*I2179</f>
        <v>1130.112</v>
      </c>
      <c r="O2179" s="75">
        <f>M2179+N2179</f>
        <v>1366.9198750012447</v>
      </c>
      <c r="P2179" s="75">
        <f>(MIN(L2179,'THAM_SO_MOI'!$C$41)-O2179)/('THAM_SO_MOI'!$C$11*H2179)</f>
        <v>0.7803929357208731</v>
      </c>
      <c r="Q2179" s="75">
        <f>IF(P2179&gt;0,1/P2179,NA())</f>
        <v>1.2814057562890022</v>
      </c>
      <c r="R2179" s="75">
        <f>F2179-F2178</f>
        <v>0.005028991339518285</v>
      </c>
      <c r="S2179" s="75">
        <f>0.5*(Q2178+Q2179)*R2179</f>
        <v>0.006443975476726399</v>
      </c>
      <c r="T2179" s="75">
        <f>0.5*(F2178*Q2178+F2179*Q2179)*R2179</f>
        <v>0.057965239435932035</v>
      </c>
      <c r="U2179" s="76">
        <f>U2178+S2179</f>
        <v>11.201848400553736</v>
      </c>
      <c r="V2179" s="76">
        <f>V2178+T2179</f>
        <v>58.57222977347942</v>
      </c>
    </row>
    <row r="2180" spans="1:22" ht="19" customHeight="1">
      <c r="A2180" s="68" t="s">
        <v>374</v>
      </c>
      <c r="B2180" s="74">
        <v>3</v>
      </c>
      <c r="C2180" s="68" t="s">
        <v>363</v>
      </c>
      <c r="D2180" s="68" t="s">
        <v>364</v>
      </c>
      <c r="E2180" s="75">
        <f>60*F2180*'THAM_SO_MOI'!$C$51/(2*PI()*'THAM_SO_MOI'!$C$26)</f>
        <v>2261.4486082184044</v>
      </c>
      <c r="F2180" s="75">
        <f>'HANH_TRINH'!$F$1647+('THAM_SO_MOI'!$F$51-'HANH_TRINH'!$F$1647)*532/'THAM_SO_MOI'!$C$42</f>
        <v>9.002804119968971</v>
      </c>
      <c r="G2180" s="75">
        <f>3.6*F2180</f>
        <v>32.410094831888294</v>
      </c>
      <c r="H2180" s="75">
        <f>'THAM_SO_MOI'!$D$51</f>
        <v>1.375</v>
      </c>
      <c r="I2180" s="75">
        <f>IF(F2180&gt;'THAM_SO_MOI'!$C$14,'THAM_SO_MOI'!$C$13*(1+F2180^2/1500),'THAM_SO_MOI'!$C$13)</f>
        <v>0.015</v>
      </c>
      <c r="J2180" s="75">
        <f>'THAM_SO_MOI'!$C$40*('THAM_SO_MOI'!$C$23*(E2180/'THAM_SO_MOI'!$C$22)+'THAM_SO_MOI'!$C$24*(E2180/'THAM_SO_MOI'!$C$22)^2-'THAM_SO_MOI'!$C$25*(E2180/'THAM_SO_MOI'!$C$22)^3)</f>
        <v>101.7401474140059</v>
      </c>
      <c r="K2180" s="75">
        <f>'THAM_SO_MOI'!$C$31*J2180/E2180</f>
        <v>429.69367211812323</v>
      </c>
      <c r="L2180" s="75">
        <f>K2180*'THAM_SO_MOI'!$C$51*'THAM_SO_MOI'!$C$17/'THAM_SO_MOI'!$C$26</f>
        <v>9607.611283993876</v>
      </c>
      <c r="M2180" s="75">
        <f>'THAM_SO_MOI'!$C$15*'THAM_SO_MOI'!$C$16*F2180^2</f>
        <v>237.07265991590108</v>
      </c>
      <c r="N2180" s="75">
        <f>'THAM_SO_MOI'!$C$12*I2180</f>
        <v>1130.112</v>
      </c>
      <c r="O2180" s="75">
        <f>M2180+N2180</f>
        <v>1367.1846599159012</v>
      </c>
      <c r="P2180" s="75">
        <f>(MIN(L2180,'THAM_SO_MOI'!$C$41)-O2180)/('THAM_SO_MOI'!$C$11*H2180)</f>
        <v>0.7803434303104144</v>
      </c>
      <c r="Q2180" s="75">
        <f>IF(P2180&gt;0,1/P2180,NA())</f>
        <v>1.281487049365185</v>
      </c>
      <c r="R2180" s="75">
        <f>F2180-F2179</f>
        <v>0.005028991339518285</v>
      </c>
      <c r="S2180" s="75">
        <f>0.5*(Q2179+Q2180)*R2180</f>
        <v>0.006444382861874314</v>
      </c>
      <c r="T2180" s="75">
        <f>0.5*(F2179*Q2179+F2180*Q2180)*R2180</f>
        <v>0.05800131272072984</v>
      </c>
      <c r="U2180" s="76">
        <f>U2179+S2180</f>
        <v>11.20829278341561</v>
      </c>
      <c r="V2180" s="76">
        <f>V2179+T2180</f>
        <v>58.63023108620015</v>
      </c>
    </row>
    <row r="2181" spans="1:22" ht="19" customHeight="1">
      <c r="A2181" s="68" t="s">
        <v>374</v>
      </c>
      <c r="B2181" s="74">
        <v>3</v>
      </c>
      <c r="C2181" s="68" t="s">
        <v>363</v>
      </c>
      <c r="D2181" s="68" t="s">
        <v>364</v>
      </c>
      <c r="E2181" s="75">
        <f>60*F2181*'THAM_SO_MOI'!$C$51/(2*PI()*'THAM_SO_MOI'!$C$26)</f>
        <v>2262.7118596802757</v>
      </c>
      <c r="F2181" s="75">
        <f>'HANH_TRINH'!$F$1647+('THAM_SO_MOI'!$F$51-'HANH_TRINH'!$F$1647)*533/'THAM_SO_MOI'!$C$42</f>
        <v>9.007833111308488</v>
      </c>
      <c r="G2181" s="75">
        <f>3.6*F2181</f>
        <v>32.42819920071056</v>
      </c>
      <c r="H2181" s="75">
        <f>'THAM_SO_MOI'!$D$51</f>
        <v>1.375</v>
      </c>
      <c r="I2181" s="75">
        <f>IF(F2181&gt;'THAM_SO_MOI'!$C$14,'THAM_SO_MOI'!$C$13*(1+F2181^2/1500),'THAM_SO_MOI'!$C$13)</f>
        <v>0.015</v>
      </c>
      <c r="J2181" s="75">
        <f>'THAM_SO_MOI'!$C$40*('THAM_SO_MOI'!$C$23*(E2181/'THAM_SO_MOI'!$C$22)+'THAM_SO_MOI'!$C$24*(E2181/'THAM_SO_MOI'!$C$22)^2-'THAM_SO_MOI'!$C$25*(E2181/'THAM_SO_MOI'!$C$22)^3)</f>
        <v>101.79420952131431</v>
      </c>
      <c r="K2181" s="75">
        <f>'THAM_SO_MOI'!$C$31*J2181/E2181</f>
        <v>429.68197878032004</v>
      </c>
      <c r="L2181" s="75">
        <f>K2181*'THAM_SO_MOI'!$C$51*'THAM_SO_MOI'!$C$17/'THAM_SO_MOI'!$C$26</f>
        <v>9607.349830191983</v>
      </c>
      <c r="M2181" s="75">
        <f>'THAM_SO_MOI'!$C$15*'THAM_SO_MOI'!$C$16*F2181^2</f>
        <v>237.33759278146775</v>
      </c>
      <c r="N2181" s="75">
        <f>'THAM_SO_MOI'!$C$12*I2181</f>
        <v>1130.112</v>
      </c>
      <c r="O2181" s="75">
        <f>M2181+N2181</f>
        <v>1367.4495927814678</v>
      </c>
      <c r="P2181" s="75">
        <f>(MIN(L2181,'THAM_SO_MOI'!$C$41)-O2181)/('THAM_SO_MOI'!$C$11*H2181)</f>
        <v>0.7802935830881169</v>
      </c>
      <c r="Q2181" s="75">
        <f>IF(P2181&gt;0,1/P2181,NA())</f>
        <v>1.2815689141545485</v>
      </c>
      <c r="R2181" s="75">
        <f>F2181-F2180</f>
        <v>0.005028991339516509</v>
      </c>
      <c r="S2181" s="75">
        <f>0.5*(Q2180+Q2181)*R2181</f>
        <v>0.006444793121618441</v>
      </c>
      <c r="T2181" s="75">
        <f>0.5*(F2180*Q2180+F2181*Q2181)*R2181</f>
        <v>0.05803741598965653</v>
      </c>
      <c r="U2181" s="76">
        <f>U2180+S2181</f>
        <v>11.214737576537228</v>
      </c>
      <c r="V2181" s="76">
        <f>V2180+T2181</f>
        <v>58.68826850218981</v>
      </c>
    </row>
    <row r="2182" spans="1:22" ht="19" customHeight="1">
      <c r="A2182" s="68" t="s">
        <v>374</v>
      </c>
      <c r="B2182" s="74">
        <v>3</v>
      </c>
      <c r="C2182" s="68" t="s">
        <v>363</v>
      </c>
      <c r="D2182" s="68" t="s">
        <v>364</v>
      </c>
      <c r="E2182" s="75">
        <f>60*F2182*'THAM_SO_MOI'!$C$51/(2*PI()*'THAM_SO_MOI'!$C$26)</f>
        <v>2263.9751111421474</v>
      </c>
      <c r="F2182" s="75">
        <f>'HANH_TRINH'!$F$1647+('THAM_SO_MOI'!$F$51-'HANH_TRINH'!$F$1647)*534/'THAM_SO_MOI'!$C$42</f>
        <v>9.012862102648006</v>
      </c>
      <c r="G2182" s="75">
        <f>3.6*F2182</f>
        <v>32.44630356953282</v>
      </c>
      <c r="H2182" s="75">
        <f>'THAM_SO_MOI'!$D$51</f>
        <v>1.375</v>
      </c>
      <c r="I2182" s="75">
        <f>IF(F2182&gt;'THAM_SO_MOI'!$C$14,'THAM_SO_MOI'!$C$13*(1+F2182^2/1500),'THAM_SO_MOI'!$C$13)</f>
        <v>0.015</v>
      </c>
      <c r="J2182" s="75">
        <f>'THAM_SO_MOI'!$C$40*('THAM_SO_MOI'!$C$23*(E2182/'THAM_SO_MOI'!$C$22)+'THAM_SO_MOI'!$C$24*(E2182/'THAM_SO_MOI'!$C$22)^2-'THAM_SO_MOI'!$C$25*(E2182/'THAM_SO_MOI'!$C$22)^3)</f>
        <v>101.84823183794232</v>
      </c>
      <c r="K2182" s="75">
        <f>'THAM_SO_MOI'!$C$31*J2182/E2182</f>
        <v>429.67013062568634</v>
      </c>
      <c r="L2182" s="75">
        <f>K2182*'THAM_SO_MOI'!$C$51*'THAM_SO_MOI'!$C$17/'THAM_SO_MOI'!$C$26</f>
        <v>9607.084914807978</v>
      </c>
      <c r="M2182" s="75">
        <f>'THAM_SO_MOI'!$C$15*'THAM_SO_MOI'!$C$16*F2182^2</f>
        <v>237.60267359794477</v>
      </c>
      <c r="N2182" s="75">
        <f>'THAM_SO_MOI'!$C$12*I2182</f>
        <v>1130.112</v>
      </c>
      <c r="O2182" s="75">
        <f>M2182+N2182</f>
        <v>1367.714673597945</v>
      </c>
      <c r="P2182" s="75">
        <f>(MIN(L2182,'THAM_SO_MOI'!$C$41)-O2182)/('THAM_SO_MOI'!$C$11*H2182)</f>
        <v>0.7802433940539804</v>
      </c>
      <c r="Q2182" s="75">
        <f>IF(P2182&gt;0,1/P2182,NA())</f>
        <v>1.2816513508742582</v>
      </c>
      <c r="R2182" s="75">
        <f>F2182-F2181</f>
        <v>0.005028991339518285</v>
      </c>
      <c r="S2182" s="75">
        <f>0.5*(Q2181+Q2182)*R2182</f>
        <v>0.006445206257053816</v>
      </c>
      <c r="T2182" s="75">
        <f>0.5*(F2181*Q2181+F2182*Q2182)*R2182</f>
        <v>0.05807354929594777</v>
      </c>
      <c r="U2182" s="76">
        <f>U2181+S2182</f>
        <v>11.221182782794282</v>
      </c>
      <c r="V2182" s="76">
        <f>V2181+T2182</f>
        <v>58.746342051485755</v>
      </c>
    </row>
    <row r="2183" spans="1:22" ht="19" customHeight="1">
      <c r="A2183" s="68" t="s">
        <v>374</v>
      </c>
      <c r="B2183" s="74">
        <v>3</v>
      </c>
      <c r="C2183" s="68" t="s">
        <v>363</v>
      </c>
      <c r="D2183" s="68" t="s">
        <v>364</v>
      </c>
      <c r="E2183" s="75">
        <f>60*F2183*'THAM_SO_MOI'!$C$51/(2*PI()*'THAM_SO_MOI'!$C$26)</f>
        <v>2265.238362604019</v>
      </c>
      <c r="F2183" s="75">
        <f>'HANH_TRINH'!$F$1647+('THAM_SO_MOI'!$F$51-'HANH_TRINH'!$F$1647)*535/'THAM_SO_MOI'!$C$42</f>
        <v>9.017891093987524</v>
      </c>
      <c r="G2183" s="75">
        <f>3.6*F2183</f>
        <v>32.46440793835509</v>
      </c>
      <c r="H2183" s="75">
        <f>'THAM_SO_MOI'!$D$51</f>
        <v>1.375</v>
      </c>
      <c r="I2183" s="75">
        <f>IF(F2183&gt;'THAM_SO_MOI'!$C$14,'THAM_SO_MOI'!$C$13*(1+F2183^2/1500),'THAM_SO_MOI'!$C$13)</f>
        <v>0.015</v>
      </c>
      <c r="J2183" s="75">
        <f>'THAM_SO_MOI'!$C$40*('THAM_SO_MOI'!$C$23*(E2183/'THAM_SO_MOI'!$C$22)+'THAM_SO_MOI'!$C$24*(E2183/'THAM_SO_MOI'!$C$22)^2-'THAM_SO_MOI'!$C$25*(E2183/'THAM_SO_MOI'!$C$22)^3)</f>
        <v>101.90221430246059</v>
      </c>
      <c r="K2183" s="75">
        <f>'THAM_SO_MOI'!$C$31*J2183/E2183</f>
        <v>429.65812765422226</v>
      </c>
      <c r="L2183" s="75">
        <f>K2183*'THAM_SO_MOI'!$C$51*'THAM_SO_MOI'!$C$17/'THAM_SO_MOI'!$C$26</f>
        <v>9606.816537841867</v>
      </c>
      <c r="M2183" s="75">
        <f>'THAM_SO_MOI'!$C$15*'THAM_SO_MOI'!$C$16*F2183^2</f>
        <v>237.86790236533207</v>
      </c>
      <c r="N2183" s="75">
        <f>'THAM_SO_MOI'!$C$12*I2183</f>
        <v>1130.112</v>
      </c>
      <c r="O2183" s="75">
        <f>M2183+N2183</f>
        <v>1367.9799023653322</v>
      </c>
      <c r="P2183" s="75">
        <f>(MIN(L2183,'THAM_SO_MOI'!$C$41)-O2183)/('THAM_SO_MOI'!$C$11*H2183)</f>
        <v>0.7801928632080052</v>
      </c>
      <c r="Q2183" s="75">
        <f>IF(P2183&gt;0,1/P2183,NA())</f>
        <v>1.2817343597430377</v>
      </c>
      <c r="R2183" s="75">
        <f>F2183-F2182</f>
        <v>0.005028991339518285</v>
      </c>
      <c r="S2183" s="75">
        <f>0.5*(Q2182+Q2183)*R2183</f>
        <v>0.006445622269269653</v>
      </c>
      <c r="T2183" s="75">
        <f>0.5*(F2182*Q2182+F2183*Q2183)*R2183</f>
        <v>0.0581097126928087</v>
      </c>
      <c r="U2183" s="76">
        <f>U2182+S2183</f>
        <v>11.227628405063552</v>
      </c>
      <c r="V2183" s="76">
        <f>V2182+T2183</f>
        <v>58.804451764178566</v>
      </c>
    </row>
    <row r="2184" spans="1:22" ht="19" customHeight="1">
      <c r="A2184" s="68" t="s">
        <v>374</v>
      </c>
      <c r="B2184" s="74">
        <v>3</v>
      </c>
      <c r="C2184" s="68" t="s">
        <v>363</v>
      </c>
      <c r="D2184" s="68" t="s">
        <v>364</v>
      </c>
      <c r="E2184" s="75">
        <f>60*F2184*'THAM_SO_MOI'!$C$51/(2*PI()*'THAM_SO_MOI'!$C$26)</f>
        <v>2266.501614065891</v>
      </c>
      <c r="F2184" s="75">
        <f>'HANH_TRINH'!$F$1647+('THAM_SO_MOI'!$F$51-'HANH_TRINH'!$F$1647)*536/'THAM_SO_MOI'!$C$42</f>
        <v>9.02292008532704</v>
      </c>
      <c r="G2184" s="75">
        <f>3.6*F2184</f>
        <v>32.482512307177345</v>
      </c>
      <c r="H2184" s="75">
        <f>'THAM_SO_MOI'!$D$51</f>
        <v>1.375</v>
      </c>
      <c r="I2184" s="75">
        <f>IF(F2184&gt;'THAM_SO_MOI'!$C$14,'THAM_SO_MOI'!$C$13*(1+F2184^2/1500),'THAM_SO_MOI'!$C$13)</f>
        <v>0.015</v>
      </c>
      <c r="J2184" s="75">
        <f>'THAM_SO_MOI'!$C$40*('THAM_SO_MOI'!$C$23*(E2184/'THAM_SO_MOI'!$C$22)+'THAM_SO_MOI'!$C$24*(E2184/'THAM_SO_MOI'!$C$22)^2-'THAM_SO_MOI'!$C$25*(E2184/'THAM_SO_MOI'!$C$22)^3)</f>
        <v>101.95615685343967</v>
      </c>
      <c r="K2184" s="75">
        <f>'THAM_SO_MOI'!$C$31*J2184/E2184</f>
        <v>429.6459698659273</v>
      </c>
      <c r="L2184" s="75">
        <f>K2184*'THAM_SO_MOI'!$C$51*'THAM_SO_MOI'!$C$17/'THAM_SO_MOI'!$C$26</f>
        <v>9606.544699293641</v>
      </c>
      <c r="M2184" s="75">
        <f>'THAM_SO_MOI'!$C$15*'THAM_SO_MOI'!$C$16*F2184^2</f>
        <v>238.13327908362953</v>
      </c>
      <c r="N2184" s="75">
        <f>'THAM_SO_MOI'!$C$12*I2184</f>
        <v>1130.112</v>
      </c>
      <c r="O2184" s="75">
        <f>M2184+N2184</f>
        <v>1368.2452790836296</v>
      </c>
      <c r="P2184" s="75">
        <f>(MIN(L2184,'THAM_SO_MOI'!$C$41)-O2184)/('THAM_SO_MOI'!$C$11*H2184)</f>
        <v>0.7801419905501906</v>
      </c>
      <c r="Q2184" s="75">
        <f>IF(P2184&gt;0,1/P2184,NA())</f>
        <v>1.2818179409811743</v>
      </c>
      <c r="R2184" s="75">
        <f>F2184-F2183</f>
        <v>0.005028991339516509</v>
      </c>
      <c r="S2184" s="75">
        <f>0.5*(Q2183+Q2184)*R2184</f>
        <v>0.0064460411593698416</v>
      </c>
      <c r="T2184" s="75">
        <f>0.5*(F2183*Q2183+F2184*Q2184)*R2184</f>
        <v>0.058145906233598756</v>
      </c>
      <c r="U2184" s="76">
        <f>U2183+S2184</f>
        <v>11.234074446222921</v>
      </c>
      <c r="V2184" s="76">
        <f>V2183+T2184</f>
        <v>58.862597670412164</v>
      </c>
    </row>
    <row r="2185" spans="1:22" ht="19" customHeight="1">
      <c r="A2185" s="68" t="s">
        <v>374</v>
      </c>
      <c r="B2185" s="74">
        <v>3</v>
      </c>
      <c r="C2185" s="68" t="s">
        <v>363</v>
      </c>
      <c r="D2185" s="68" t="s">
        <v>364</v>
      </c>
      <c r="E2185" s="75">
        <f>60*F2185*'THAM_SO_MOI'!$C$51/(2*PI()*'THAM_SO_MOI'!$C$26)</f>
        <v>2267.764865527762</v>
      </c>
      <c r="F2185" s="75">
        <f>'HANH_TRINH'!$F$1647+('THAM_SO_MOI'!$F$51-'HANH_TRINH'!$F$1647)*537/'THAM_SO_MOI'!$C$42</f>
        <v>9.027949076666559</v>
      </c>
      <c r="G2185" s="75">
        <f>3.6*F2185</f>
        <v>32.500616675999616</v>
      </c>
      <c r="H2185" s="75">
        <f>'THAM_SO_MOI'!$D$51</f>
        <v>1.375</v>
      </c>
      <c r="I2185" s="75">
        <f>IF(F2185&gt;'THAM_SO_MOI'!$C$14,'THAM_SO_MOI'!$C$13*(1+F2185^2/1500),'THAM_SO_MOI'!$C$13)</f>
        <v>0.015</v>
      </c>
      <c r="J2185" s="75">
        <f>'THAM_SO_MOI'!$C$40*('THAM_SO_MOI'!$C$23*(E2185/'THAM_SO_MOI'!$C$22)+'THAM_SO_MOI'!$C$24*(E2185/'THAM_SO_MOI'!$C$22)^2-'THAM_SO_MOI'!$C$25*(E2185/'THAM_SO_MOI'!$C$22)^3)</f>
        <v>102.01005942945027</v>
      </c>
      <c r="K2185" s="75">
        <f>'THAM_SO_MOI'!$C$31*J2185/E2185</f>
        <v>429.633657260802</v>
      </c>
      <c r="L2185" s="75">
        <f>K2185*'THAM_SO_MOI'!$C$51*'THAM_SO_MOI'!$C$17/'THAM_SO_MOI'!$C$26</f>
        <v>9606.269399163308</v>
      </c>
      <c r="M2185" s="75">
        <f>'THAM_SO_MOI'!$C$15*'THAM_SO_MOI'!$C$16*F2185^2</f>
        <v>238.3988037528374</v>
      </c>
      <c r="N2185" s="75">
        <f>'THAM_SO_MOI'!$C$12*I2185</f>
        <v>1130.112</v>
      </c>
      <c r="O2185" s="75">
        <f>M2185+N2185</f>
        <v>1368.5108037528375</v>
      </c>
      <c r="P2185" s="75">
        <f>(MIN(L2185,'THAM_SO_MOI'!$C$41)-O2185)/('THAM_SO_MOI'!$C$11*H2185)</f>
        <v>0.7800907760805368</v>
      </c>
      <c r="Q2185" s="75">
        <f>IF(P2185&gt;0,1/P2185,NA())</f>
        <v>1.2819020948105144</v>
      </c>
      <c r="R2185" s="75">
        <f>F2185-F2184</f>
        <v>0.005028991339518285</v>
      </c>
      <c r="S2185" s="75">
        <f>0.5*(Q2184+Q2185)*R2185</f>
        <v>0.006446462928472955</v>
      </c>
      <c r="T2185" s="75">
        <f>0.5*(F2184*Q2184+F2185*Q2185)*R2185</f>
        <v>0.058182129971832156</v>
      </c>
      <c r="U2185" s="76">
        <f>U2184+S2185</f>
        <v>11.240520909151394</v>
      </c>
      <c r="V2185" s="76">
        <f>V2184+T2185</f>
        <v>58.920779800384</v>
      </c>
    </row>
    <row r="2186" spans="1:22" ht="19" customHeight="1">
      <c r="A2186" s="68" t="s">
        <v>374</v>
      </c>
      <c r="B2186" s="74">
        <v>3</v>
      </c>
      <c r="C2186" s="68" t="s">
        <v>363</v>
      </c>
      <c r="D2186" s="68" t="s">
        <v>364</v>
      </c>
      <c r="E2186" s="75">
        <f>60*F2186*'THAM_SO_MOI'!$C$51/(2*PI()*'THAM_SO_MOI'!$C$26)</f>
        <v>2269.0281169896343</v>
      </c>
      <c r="F2186" s="75">
        <f>'HANH_TRINH'!$F$1647+('THAM_SO_MOI'!$F$51-'HANH_TRINH'!$F$1647)*538/'THAM_SO_MOI'!$C$42</f>
        <v>9.032978068006077</v>
      </c>
      <c r="G2186" s="75">
        <f>3.6*F2186</f>
        <v>32.51872104482188</v>
      </c>
      <c r="H2186" s="75">
        <f>'THAM_SO_MOI'!$D$51</f>
        <v>1.375</v>
      </c>
      <c r="I2186" s="75">
        <f>IF(F2186&gt;'THAM_SO_MOI'!$C$14,'THAM_SO_MOI'!$C$13*(1+F2186^2/1500),'THAM_SO_MOI'!$C$13)</f>
        <v>0.015</v>
      </c>
      <c r="J2186" s="75">
        <f>'THAM_SO_MOI'!$C$40*('THAM_SO_MOI'!$C$23*(E2186/'THAM_SO_MOI'!$C$22)+'THAM_SO_MOI'!$C$24*(E2186/'THAM_SO_MOI'!$C$22)^2-'THAM_SO_MOI'!$C$25*(E2186/'THAM_SO_MOI'!$C$22)^3)</f>
        <v>102.0639219690631</v>
      </c>
      <c r="K2186" s="75">
        <f>'THAM_SO_MOI'!$C$31*J2186/E2186</f>
        <v>429.6211898388463</v>
      </c>
      <c r="L2186" s="75">
        <f>K2186*'THAM_SO_MOI'!$C$51*'THAM_SO_MOI'!$C$17/'THAM_SO_MOI'!$C$26</f>
        <v>9605.990637450868</v>
      </c>
      <c r="M2186" s="75">
        <f>'THAM_SO_MOI'!$C$15*'THAM_SO_MOI'!$C$16*F2186^2</f>
        <v>238.66447637295553</v>
      </c>
      <c r="N2186" s="75">
        <f>'THAM_SO_MOI'!$C$12*I2186</f>
        <v>1130.112</v>
      </c>
      <c r="O2186" s="75">
        <f>M2186+N2186</f>
        <v>1368.7764763729556</v>
      </c>
      <c r="P2186" s="75">
        <f>(MIN(L2186,'THAM_SO_MOI'!$C$41)-O2186)/('THAM_SO_MOI'!$C$11*H2186)</f>
        <v>0.7800392197990446</v>
      </c>
      <c r="Q2186" s="75">
        <f>IF(P2186&gt;0,1/P2186,NA())</f>
        <v>1.2819868214544676</v>
      </c>
      <c r="R2186" s="75">
        <f>F2186-F2185</f>
        <v>0.005028991339518285</v>
      </c>
      <c r="S2186" s="75">
        <f>0.5*(Q2185+Q2186)*R2186</f>
        <v>0.006446887577691758</v>
      </c>
      <c r="T2186" s="75">
        <f>0.5*(F2185*Q2185+F2186*Q2186)*R2186</f>
        <v>0.058218383960993124</v>
      </c>
      <c r="U2186" s="76">
        <f>U2185+S2186</f>
        <v>11.246967796729086</v>
      </c>
      <c r="V2186" s="76">
        <f>V2185+T2186</f>
        <v>58.97899818434499</v>
      </c>
    </row>
    <row r="2187" spans="1:22" ht="19" customHeight="1">
      <c r="A2187" s="68" t="s">
        <v>374</v>
      </c>
      <c r="B2187" s="74">
        <v>3</v>
      </c>
      <c r="C2187" s="68" t="s">
        <v>363</v>
      </c>
      <c r="D2187" s="68" t="s">
        <v>364</v>
      </c>
      <c r="E2187" s="75">
        <f>60*F2187*'THAM_SO_MOI'!$C$51/(2*PI()*'THAM_SO_MOI'!$C$26)</f>
        <v>2270.2913684515056</v>
      </c>
      <c r="F2187" s="75">
        <f>'HANH_TRINH'!$F$1647+('THAM_SO_MOI'!$F$51-'HANH_TRINH'!$F$1647)*539/'THAM_SO_MOI'!$C$42</f>
        <v>9.038007059345594</v>
      </c>
      <c r="G2187" s="75">
        <f>3.6*F2187</f>
        <v>32.53682541364414</v>
      </c>
      <c r="H2187" s="75">
        <f>'THAM_SO_MOI'!$D$51</f>
        <v>1.375</v>
      </c>
      <c r="I2187" s="75">
        <f>IF(F2187&gt;'THAM_SO_MOI'!$C$14,'THAM_SO_MOI'!$C$13*(1+F2187^2/1500),'THAM_SO_MOI'!$C$13)</f>
        <v>0.015</v>
      </c>
      <c r="J2187" s="75">
        <f>'THAM_SO_MOI'!$C$40*('THAM_SO_MOI'!$C$23*(E2187/'THAM_SO_MOI'!$C$22)+'THAM_SO_MOI'!$C$24*(E2187/'THAM_SO_MOI'!$C$22)^2-'THAM_SO_MOI'!$C$25*(E2187/'THAM_SO_MOI'!$C$22)^3)</f>
        <v>102.11774441084873</v>
      </c>
      <c r="K2187" s="75">
        <f>'THAM_SO_MOI'!$C$31*J2187/E2187</f>
        <v>429.60856760006004</v>
      </c>
      <c r="L2187" s="75">
        <f>K2187*'THAM_SO_MOI'!$C$51*'THAM_SO_MOI'!$C$17/'THAM_SO_MOI'!$C$26</f>
        <v>9605.70841415632</v>
      </c>
      <c r="M2187" s="75">
        <f>'THAM_SO_MOI'!$C$15*'THAM_SO_MOI'!$C$16*F2187^2</f>
        <v>238.93029694398382</v>
      </c>
      <c r="N2187" s="75">
        <f>'THAM_SO_MOI'!$C$12*I2187</f>
        <v>1130.112</v>
      </c>
      <c r="O2187" s="75">
        <f>M2187+N2187</f>
        <v>1369.042296943984</v>
      </c>
      <c r="P2187" s="75">
        <f>(MIN(L2187,'THAM_SO_MOI'!$C$41)-O2187)/('THAM_SO_MOI'!$C$11*H2187)</f>
        <v>0.7799873217057135</v>
      </c>
      <c r="Q2187" s="75">
        <f>IF(P2187&gt;0,1/P2187,NA())</f>
        <v>1.2820721211380106</v>
      </c>
      <c r="R2187" s="75">
        <f>F2187-F2186</f>
        <v>0.005028991339516509</v>
      </c>
      <c r="S2187" s="75">
        <f>0.5*(Q2186+Q2187)*R2187</f>
        <v>0.006447315108153715</v>
      </c>
      <c r="T2187" s="75">
        <f>0.5*(F2186*Q2186+F2187*Q2187)*R2187</f>
        <v>0.05825466825472108</v>
      </c>
      <c r="U2187" s="76">
        <f>U2186+S2187</f>
        <v>11.25341511183724</v>
      </c>
      <c r="V2187" s="76">
        <f>V2186+T2187</f>
        <v>59.03725285259971</v>
      </c>
    </row>
    <row r="2188" spans="1:22" ht="19" customHeight="1">
      <c r="A2188" s="68" t="s">
        <v>374</v>
      </c>
      <c r="B2188" s="74">
        <v>3</v>
      </c>
      <c r="C2188" s="68" t="s">
        <v>363</v>
      </c>
      <c r="D2188" s="68" t="s">
        <v>364</v>
      </c>
      <c r="E2188" s="75">
        <f>60*F2188*'THAM_SO_MOI'!$C$51/(2*PI()*'THAM_SO_MOI'!$C$26)</f>
        <v>2271.5546199133773</v>
      </c>
      <c r="F2188" s="75">
        <f>'HANH_TRINH'!$F$1647+('THAM_SO_MOI'!$F$51-'HANH_TRINH'!$F$1647)*540/'THAM_SO_MOI'!$C$42</f>
        <v>9.043036050685112</v>
      </c>
      <c r="G2188" s="75">
        <f>3.6*F2188</f>
        <v>32.5549297824664</v>
      </c>
      <c r="H2188" s="75">
        <f>'THAM_SO_MOI'!$D$51</f>
        <v>1.375</v>
      </c>
      <c r="I2188" s="75">
        <f>IF(F2188&gt;'THAM_SO_MOI'!$C$14,'THAM_SO_MOI'!$C$13*(1+F2188^2/1500),'THAM_SO_MOI'!$C$13)</f>
        <v>0.015</v>
      </c>
      <c r="J2188" s="75">
        <f>'THAM_SO_MOI'!$C$40*('THAM_SO_MOI'!$C$23*(E2188/'THAM_SO_MOI'!$C$22)+'THAM_SO_MOI'!$C$24*(E2188/'THAM_SO_MOI'!$C$22)^2-'THAM_SO_MOI'!$C$25*(E2188/'THAM_SO_MOI'!$C$22)^3)</f>
        <v>102.17152669337784</v>
      </c>
      <c r="K2188" s="75">
        <f>'THAM_SO_MOI'!$C$31*J2188/E2188</f>
        <v>429.59579054444333</v>
      </c>
      <c r="L2188" s="75">
        <f>K2188*'THAM_SO_MOI'!$C$51*'THAM_SO_MOI'!$C$17/'THAM_SO_MOI'!$C$26</f>
        <v>9605.422729279662</v>
      </c>
      <c r="M2188" s="75">
        <f>'THAM_SO_MOI'!$C$15*'THAM_SO_MOI'!$C$16*F2188^2</f>
        <v>239.1962654659225</v>
      </c>
      <c r="N2188" s="75">
        <f>'THAM_SO_MOI'!$C$12*I2188</f>
        <v>1130.112</v>
      </c>
      <c r="O2188" s="75">
        <f>M2188+N2188</f>
        <v>1369.3082654659227</v>
      </c>
      <c r="P2188" s="75">
        <f>(MIN(L2188,'THAM_SO_MOI'!$C$41)-O2188)/('THAM_SO_MOI'!$C$11*H2188)</f>
        <v>0.7799350818005437</v>
      </c>
      <c r="Q2188" s="75">
        <f>IF(P2188&gt;0,1/P2188,NA())</f>
        <v>1.2821579940876855</v>
      </c>
      <c r="R2188" s="75">
        <f>F2188-F2187</f>
        <v>0.005028991339518285</v>
      </c>
      <c r="S2188" s="75">
        <f>0.5*(Q2187+Q2188)*R2188</f>
        <v>0.006447745521001</v>
      </c>
      <c r="T2188" s="75">
        <f>0.5*(F2187*Q2187+F2188*Q2188)*R2188</f>
        <v>0.058290982906811145</v>
      </c>
      <c r="U2188" s="76">
        <f>U2187+S2188</f>
        <v>11.259862857358241</v>
      </c>
      <c r="V2188" s="76">
        <f>V2187+T2188</f>
        <v>59.09554383550652</v>
      </c>
    </row>
    <row r="2189" spans="1:22" ht="19" customHeight="1">
      <c r="A2189" s="68" t="s">
        <v>374</v>
      </c>
      <c r="B2189" s="74">
        <v>3</v>
      </c>
      <c r="C2189" s="68" t="s">
        <v>363</v>
      </c>
      <c r="D2189" s="68" t="s">
        <v>364</v>
      </c>
      <c r="E2189" s="75">
        <f>60*F2189*'THAM_SO_MOI'!$C$51/(2*PI()*'THAM_SO_MOI'!$C$26)</f>
        <v>2272.817871375249</v>
      </c>
      <c r="F2189" s="75">
        <f>'HANH_TRINH'!$F$1647+('THAM_SO_MOI'!$F$51-'HANH_TRINH'!$F$1647)*541/'THAM_SO_MOI'!$C$42</f>
        <v>9.04806504202463</v>
      </c>
      <c r="G2189" s="75">
        <f>3.6*F2189</f>
        <v>32.57303415128867</v>
      </c>
      <c r="H2189" s="75">
        <f>'THAM_SO_MOI'!$D$51</f>
        <v>1.375</v>
      </c>
      <c r="I2189" s="75">
        <f>IF(F2189&gt;'THAM_SO_MOI'!$C$14,'THAM_SO_MOI'!$C$13*(1+F2189^2/1500),'THAM_SO_MOI'!$C$13)</f>
        <v>0.015</v>
      </c>
      <c r="J2189" s="75">
        <f>'THAM_SO_MOI'!$C$40*('THAM_SO_MOI'!$C$23*(E2189/'THAM_SO_MOI'!$C$22)+'THAM_SO_MOI'!$C$24*(E2189/'THAM_SO_MOI'!$C$22)^2-'THAM_SO_MOI'!$C$25*(E2189/'THAM_SO_MOI'!$C$22)^3)</f>
        <v>102.22526875522107</v>
      </c>
      <c r="K2189" s="75">
        <f>'THAM_SO_MOI'!$C$31*J2189/E2189</f>
        <v>429.58285867199595</v>
      </c>
      <c r="L2189" s="75">
        <f>K2189*'THAM_SO_MOI'!$C$51*'THAM_SO_MOI'!$C$17/'THAM_SO_MOI'!$C$26</f>
        <v>9605.133582820892</v>
      </c>
      <c r="M2189" s="75">
        <f>'THAM_SO_MOI'!$C$15*'THAM_SO_MOI'!$C$16*F2189^2</f>
        <v>239.46238193877141</v>
      </c>
      <c r="N2189" s="75">
        <f>'THAM_SO_MOI'!$C$12*I2189</f>
        <v>1130.112</v>
      </c>
      <c r="O2189" s="75">
        <f>M2189+N2189</f>
        <v>1369.5743819387715</v>
      </c>
      <c r="P2189" s="75">
        <f>(MIN(L2189,'THAM_SO_MOI'!$C$41)-O2189)/('THAM_SO_MOI'!$C$11*H2189)</f>
        <v>0.7798825000835343</v>
      </c>
      <c r="Q2189" s="75">
        <f>IF(P2189&gt;0,1/P2189,NA())</f>
        <v>1.2822444405316038</v>
      </c>
      <c r="R2189" s="75">
        <f>F2189-F2188</f>
        <v>0.005028991339518285</v>
      </c>
      <c r="S2189" s="75">
        <f>0.5*(Q2188+Q2189)*R2189</f>
        <v>0.006448178817370006</v>
      </c>
      <c r="T2189" s="75">
        <f>0.5*(F2188*Q2188+F2189*Q2189)*R2189</f>
        <v>0.05832732797102909</v>
      </c>
      <c r="U2189" s="76">
        <f>U2188+S2189</f>
        <v>11.266311036175612</v>
      </c>
      <c r="V2189" s="76">
        <f>V2188+T2189</f>
        <v>59.15387116347755</v>
      </c>
    </row>
    <row r="2190" spans="1:22" ht="19" customHeight="1">
      <c r="A2190" s="68" t="s">
        <v>374</v>
      </c>
      <c r="B2190" s="74">
        <v>3</v>
      </c>
      <c r="C2190" s="68" t="s">
        <v>363</v>
      </c>
      <c r="D2190" s="68" t="s">
        <v>364</v>
      </c>
      <c r="E2190" s="75">
        <f>60*F2190*'THAM_SO_MOI'!$C$51/(2*PI()*'THAM_SO_MOI'!$C$26)</f>
        <v>2274.0811228371203</v>
      </c>
      <c r="F2190" s="75">
        <f>'HANH_TRINH'!$F$1647+('THAM_SO_MOI'!$F$51-'HANH_TRINH'!$F$1647)*542/'THAM_SO_MOI'!$C$42</f>
        <v>9.053094033364147</v>
      </c>
      <c r="G2190" s="75">
        <f>3.6*F2190</f>
        <v>32.59113852011093</v>
      </c>
      <c r="H2190" s="75">
        <f>'THAM_SO_MOI'!$D$51</f>
        <v>1.375</v>
      </c>
      <c r="I2190" s="75">
        <f>IF(F2190&gt;'THAM_SO_MOI'!$C$14,'THAM_SO_MOI'!$C$13*(1+F2190^2/1500),'THAM_SO_MOI'!$C$13)</f>
        <v>0.015</v>
      </c>
      <c r="J2190" s="75">
        <f>'THAM_SO_MOI'!$C$40*('THAM_SO_MOI'!$C$23*(E2190/'THAM_SO_MOI'!$C$22)+'THAM_SO_MOI'!$C$24*(E2190/'THAM_SO_MOI'!$C$22)^2-'THAM_SO_MOI'!$C$25*(E2190/'THAM_SO_MOI'!$C$22)^3)</f>
        <v>102.27897053494907</v>
      </c>
      <c r="K2190" s="75">
        <f>'THAM_SO_MOI'!$C$31*J2190/E2190</f>
        <v>429.5697719827182</v>
      </c>
      <c r="L2190" s="75">
        <f>K2190*'THAM_SO_MOI'!$C$51*'THAM_SO_MOI'!$C$17/'THAM_SO_MOI'!$C$26</f>
        <v>9604.840974780018</v>
      </c>
      <c r="M2190" s="75">
        <f>'THAM_SO_MOI'!$C$15*'THAM_SO_MOI'!$C$16*F2190^2</f>
        <v>239.72864636253055</v>
      </c>
      <c r="N2190" s="75">
        <f>'THAM_SO_MOI'!$C$12*I2190</f>
        <v>1130.112</v>
      </c>
      <c r="O2190" s="75">
        <f>M2190+N2190</f>
        <v>1369.8406463625306</v>
      </c>
      <c r="P2190" s="75">
        <f>(MIN(L2190,'THAM_SO_MOI'!$C$41)-O2190)/('THAM_SO_MOI'!$C$11*H2190)</f>
        <v>0.7798295765546861</v>
      </c>
      <c r="Q2190" s="75">
        <f>IF(P2190&gt;0,1/P2190,NA())</f>
        <v>1.2823314606994447</v>
      </c>
      <c r="R2190" s="75">
        <f>F2190-F2189</f>
        <v>0.005028991339516509</v>
      </c>
      <c r="S2190" s="75">
        <f>0.5*(Q2189+Q2190)*R2190</f>
        <v>0.006448614998411844</v>
      </c>
      <c r="T2190" s="75">
        <f>0.5*(F2189*Q2189+F2190*Q2190)*R2190</f>
        <v>0.058363703501296785</v>
      </c>
      <c r="U2190" s="76">
        <f>U2189+S2190</f>
        <v>11.272759651174024</v>
      </c>
      <c r="V2190" s="76">
        <f>V2189+T2190</f>
        <v>59.21223486697885</v>
      </c>
    </row>
    <row r="2191" spans="1:22" ht="19" customHeight="1">
      <c r="A2191" s="68" t="s">
        <v>374</v>
      </c>
      <c r="B2191" s="74">
        <v>3</v>
      </c>
      <c r="C2191" s="68" t="s">
        <v>363</v>
      </c>
      <c r="D2191" s="68" t="s">
        <v>364</v>
      </c>
      <c r="E2191" s="75">
        <f>60*F2191*'THAM_SO_MOI'!$C$51/(2*PI()*'THAM_SO_MOI'!$C$26)</f>
        <v>2275.344374298992</v>
      </c>
      <c r="F2191" s="75">
        <f>'HANH_TRINH'!$F$1647+('THAM_SO_MOI'!$F$51-'HANH_TRINH'!$F$1647)*543/'THAM_SO_MOI'!$C$42</f>
        <v>9.058123024703665</v>
      </c>
      <c r="G2191" s="75">
        <f>3.6*F2191</f>
        <v>32.609242888933196</v>
      </c>
      <c r="H2191" s="75">
        <f>'THAM_SO_MOI'!$D$51</f>
        <v>1.375</v>
      </c>
      <c r="I2191" s="75">
        <f>IF(F2191&gt;'THAM_SO_MOI'!$C$14,'THAM_SO_MOI'!$C$13*(1+F2191^2/1500),'THAM_SO_MOI'!$C$13)</f>
        <v>0.015</v>
      </c>
      <c r="J2191" s="75">
        <f>'THAM_SO_MOI'!$C$40*('THAM_SO_MOI'!$C$23*(E2191/'THAM_SO_MOI'!$C$22)+'THAM_SO_MOI'!$C$24*(E2191/'THAM_SO_MOI'!$C$22)^2-'THAM_SO_MOI'!$C$25*(E2191/'THAM_SO_MOI'!$C$22)^3)</f>
        <v>102.33263197113249</v>
      </c>
      <c r="K2191" s="75">
        <f>'THAM_SO_MOI'!$C$31*J2191/E2191</f>
        <v>429.5565304766098</v>
      </c>
      <c r="L2191" s="75">
        <f>K2191*'THAM_SO_MOI'!$C$51*'THAM_SO_MOI'!$C$17/'THAM_SO_MOI'!$C$26</f>
        <v>9604.54490515703</v>
      </c>
      <c r="M2191" s="75">
        <f>'THAM_SO_MOI'!$C$15*'THAM_SO_MOI'!$C$16*F2191^2</f>
        <v>239.99505873720005</v>
      </c>
      <c r="N2191" s="75">
        <f>'THAM_SO_MOI'!$C$12*I2191</f>
        <v>1130.112</v>
      </c>
      <c r="O2191" s="75">
        <f>M2191+N2191</f>
        <v>1370.1070587372</v>
      </c>
      <c r="P2191" s="75">
        <f>(MIN(L2191,'THAM_SO_MOI'!$C$41)-O2191)/('THAM_SO_MOI'!$C$11*H2191)</f>
        <v>0.7797763112139992</v>
      </c>
      <c r="Q2191" s="75">
        <f>IF(P2191&gt;0,1/P2191,NA())</f>
        <v>1.2824190548224585</v>
      </c>
      <c r="R2191" s="75">
        <f>F2191-F2190</f>
        <v>0.005028991339518285</v>
      </c>
      <c r="S2191" s="75">
        <f>0.5*(Q2190+Q2191)*R2191</f>
        <v>0.006449054065292355</v>
      </c>
      <c r="T2191" s="75">
        <f>0.5*(F2190*Q2190+F2191*Q2191)*R2191</f>
        <v>0.05840010955169257</v>
      </c>
      <c r="U2191" s="76">
        <f>U2190+S2191</f>
        <v>11.279208705239316</v>
      </c>
      <c r="V2191" s="76">
        <f>V2190+T2191</f>
        <v>59.27063497653054</v>
      </c>
    </row>
    <row r="2192" spans="1:22" ht="19" customHeight="1">
      <c r="A2192" s="68" t="s">
        <v>374</v>
      </c>
      <c r="B2192" s="74">
        <v>3</v>
      </c>
      <c r="C2192" s="68" t="s">
        <v>363</v>
      </c>
      <c r="D2192" s="68" t="s">
        <v>364</v>
      </c>
      <c r="E2192" s="75">
        <f>60*F2192*'THAM_SO_MOI'!$C$51/(2*PI()*'THAM_SO_MOI'!$C$26)</f>
        <v>2276.6076257608643</v>
      </c>
      <c r="F2192" s="75">
        <f>'HANH_TRINH'!$F$1647+('THAM_SO_MOI'!$F$51-'HANH_TRINH'!$F$1647)*544/'THAM_SO_MOI'!$C$42</f>
        <v>9.063152016043183</v>
      </c>
      <c r="G2192" s="75">
        <f>3.6*F2192</f>
        <v>32.62734725775546</v>
      </c>
      <c r="H2192" s="75">
        <f>'THAM_SO_MOI'!$D$51</f>
        <v>1.375</v>
      </c>
      <c r="I2192" s="75">
        <f>IF(F2192&gt;'THAM_SO_MOI'!$C$14,'THAM_SO_MOI'!$C$13*(1+F2192^2/1500),'THAM_SO_MOI'!$C$13)</f>
        <v>0.015</v>
      </c>
      <c r="J2192" s="75">
        <f>'THAM_SO_MOI'!$C$40*('THAM_SO_MOI'!$C$23*(E2192/'THAM_SO_MOI'!$C$22)+'THAM_SO_MOI'!$C$24*(E2192/'THAM_SO_MOI'!$C$22)^2-'THAM_SO_MOI'!$C$25*(E2192/'THAM_SO_MOI'!$C$22)^3)</f>
        <v>102.38625300234204</v>
      </c>
      <c r="K2192" s="75">
        <f>'THAM_SO_MOI'!$C$31*J2192/E2192</f>
        <v>429.5431341536711</v>
      </c>
      <c r="L2192" s="75">
        <f>K2192*'THAM_SO_MOI'!$C$51*'THAM_SO_MOI'!$C$17/'THAM_SO_MOI'!$C$26</f>
        <v>9604.245373951937</v>
      </c>
      <c r="M2192" s="75">
        <f>'THAM_SO_MOI'!$C$15*'THAM_SO_MOI'!$C$16*F2192^2</f>
        <v>240.2616190627798</v>
      </c>
      <c r="N2192" s="75">
        <f>'THAM_SO_MOI'!$C$12*I2192</f>
        <v>1130.112</v>
      </c>
      <c r="O2192" s="75">
        <f>M2192+N2192</f>
        <v>1370.3736190627799</v>
      </c>
      <c r="P2192" s="75">
        <f>(MIN(L2192,'THAM_SO_MOI'!$C$41)-O2192)/('THAM_SO_MOI'!$C$11*H2192)</f>
        <v>0.7797227040614733</v>
      </c>
      <c r="Q2192" s="75">
        <f>IF(P2192&gt;0,1/P2192,NA())</f>
        <v>1.2825072231334693</v>
      </c>
      <c r="R2192" s="75">
        <f>F2192-F2191</f>
        <v>0.005028991339518285</v>
      </c>
      <c r="S2192" s="75">
        <f>0.5*(Q2191+Q2192)*R2192</f>
        <v>0.0064494960191716156</v>
      </c>
      <c r="T2192" s="75">
        <f>0.5*(F2191*Q2191+F2192*Q2192)*R2192</f>
        <v>0.05843654617626614</v>
      </c>
      <c r="U2192" s="76">
        <f>U2191+S2192</f>
        <v>11.285658201258489</v>
      </c>
      <c r="V2192" s="76">
        <f>V2191+T2192</f>
        <v>59.329071522706805</v>
      </c>
    </row>
    <row r="2193" spans="1:22" ht="19" customHeight="1">
      <c r="A2193" s="68" t="s">
        <v>374</v>
      </c>
      <c r="B2193" s="74">
        <v>3</v>
      </c>
      <c r="C2193" s="68" t="s">
        <v>363</v>
      </c>
      <c r="D2193" s="68" t="s">
        <v>364</v>
      </c>
      <c r="E2193" s="75">
        <f>60*F2193*'THAM_SO_MOI'!$C$51/(2*PI()*'THAM_SO_MOI'!$C$26)</f>
        <v>2277.870877222736</v>
      </c>
      <c r="F2193" s="75">
        <f>'HANH_TRINH'!$F$1647+('THAM_SO_MOI'!$F$51-'HANH_TRINH'!$F$1647)*545/'THAM_SO_MOI'!$C$42</f>
        <v>9.068181007382702</v>
      </c>
      <c r="G2193" s="75">
        <f>3.6*F2193</f>
        <v>32.645451626577724</v>
      </c>
      <c r="H2193" s="75">
        <f>'THAM_SO_MOI'!$D$51</f>
        <v>1.375</v>
      </c>
      <c r="I2193" s="75">
        <f>IF(F2193&gt;'THAM_SO_MOI'!$C$14,'THAM_SO_MOI'!$C$13*(1+F2193^2/1500),'THAM_SO_MOI'!$C$13)</f>
        <v>0.015</v>
      </c>
      <c r="J2193" s="75">
        <f>'THAM_SO_MOI'!$C$40*('THAM_SO_MOI'!$C$23*(E2193/'THAM_SO_MOI'!$C$22)+'THAM_SO_MOI'!$C$24*(E2193/'THAM_SO_MOI'!$C$22)^2-'THAM_SO_MOI'!$C$25*(E2193/'THAM_SO_MOI'!$C$22)^3)</f>
        <v>102.4398335671483</v>
      </c>
      <c r="K2193" s="75">
        <f>'THAM_SO_MOI'!$C$31*J2193/E2193</f>
        <v>429.5295830139018</v>
      </c>
      <c r="L2193" s="75">
        <f>K2193*'THAM_SO_MOI'!$C$51*'THAM_SO_MOI'!$C$17/'THAM_SO_MOI'!$C$26</f>
        <v>9603.942381164736</v>
      </c>
      <c r="M2193" s="75">
        <f>'THAM_SO_MOI'!$C$15*'THAM_SO_MOI'!$C$16*F2193^2</f>
        <v>240.52832733926982</v>
      </c>
      <c r="N2193" s="75">
        <f>'THAM_SO_MOI'!$C$12*I2193</f>
        <v>1130.112</v>
      </c>
      <c r="O2193" s="75">
        <f>M2193+N2193</f>
        <v>1370.6403273392698</v>
      </c>
      <c r="P2193" s="75">
        <f>(MIN(L2193,'THAM_SO_MOI'!$C$41)-O2193)/('THAM_SO_MOI'!$C$11*H2193)</f>
        <v>0.7796687550971083</v>
      </c>
      <c r="Q2193" s="75">
        <f>IF(P2193&gt;0,1/P2193,NA())</f>
        <v>1.2825959658668755</v>
      </c>
      <c r="R2193" s="75">
        <f>F2193-F2192</f>
        <v>0.005028991339518285</v>
      </c>
      <c r="S2193" s="75">
        <f>0.5*(Q2192+Q2193)*R2193</f>
        <v>0.006449940861226734</v>
      </c>
      <c r="T2193" s="75">
        <f>0.5*(F2192*Q2192+F2193*Q2193)*R2193</f>
        <v>0.058473013429244804</v>
      </c>
      <c r="U2193" s="76">
        <f>U2192+S2193</f>
        <v>11.292108142119716</v>
      </c>
      <c r="V2193" s="76">
        <f>V2192+T2193</f>
        <v>59.38754453613605</v>
      </c>
    </row>
    <row r="2194" spans="1:22" ht="19" customHeight="1">
      <c r="A2194" s="68" t="s">
        <v>374</v>
      </c>
      <c r="B2194" s="74">
        <v>3</v>
      </c>
      <c r="C2194" s="68" t="s">
        <v>363</v>
      </c>
      <c r="D2194" s="68" t="s">
        <v>364</v>
      </c>
      <c r="E2194" s="75">
        <f>60*F2194*'THAM_SO_MOI'!$C$51/(2*PI()*'THAM_SO_MOI'!$C$26)</f>
        <v>2279.1341286846073</v>
      </c>
      <c r="F2194" s="75">
        <f>'HANH_TRINH'!$F$1647+('THAM_SO_MOI'!$F$51-'HANH_TRINH'!$F$1647)*546/'THAM_SO_MOI'!$C$42</f>
        <v>9.073209998722218</v>
      </c>
      <c r="G2194" s="75">
        <f>3.6*F2194</f>
        <v>32.66355599539999</v>
      </c>
      <c r="H2194" s="75">
        <f>'THAM_SO_MOI'!$D$51</f>
        <v>1.375</v>
      </c>
      <c r="I2194" s="75">
        <f>IF(F2194&gt;'THAM_SO_MOI'!$C$14,'THAM_SO_MOI'!$C$13*(1+F2194^2/1500),'THAM_SO_MOI'!$C$13)</f>
        <v>0.015</v>
      </c>
      <c r="J2194" s="75">
        <f>'THAM_SO_MOI'!$C$40*('THAM_SO_MOI'!$C$23*(E2194/'THAM_SO_MOI'!$C$22)+'THAM_SO_MOI'!$C$24*(E2194/'THAM_SO_MOI'!$C$22)^2-'THAM_SO_MOI'!$C$25*(E2194/'THAM_SO_MOI'!$C$22)^3)</f>
        <v>102.49337360412191</v>
      </c>
      <c r="K2194" s="75">
        <f>'THAM_SO_MOI'!$C$31*J2194/E2194</f>
        <v>429.515877057302</v>
      </c>
      <c r="L2194" s="75">
        <f>K2194*'THAM_SO_MOI'!$C$51*'THAM_SO_MOI'!$C$17/'THAM_SO_MOI'!$C$26</f>
        <v>9603.635926795425</v>
      </c>
      <c r="M2194" s="75">
        <f>'THAM_SO_MOI'!$C$15*'THAM_SO_MOI'!$C$16*F2194^2</f>
        <v>240.79518356667006</v>
      </c>
      <c r="N2194" s="75">
        <f>'THAM_SO_MOI'!$C$12*I2194</f>
        <v>1130.112</v>
      </c>
      <c r="O2194" s="75">
        <f>M2194+N2194</f>
        <v>1370.90718356667</v>
      </c>
      <c r="P2194" s="75">
        <f>(MIN(L2194,'THAM_SO_MOI'!$C$41)-O2194)/('THAM_SO_MOI'!$C$11*H2194)</f>
        <v>0.7796144643209049</v>
      </c>
      <c r="Q2194" s="75">
        <f>IF(P2194&gt;0,1/P2194,NA())</f>
        <v>1.2826852832586493</v>
      </c>
      <c r="R2194" s="75">
        <f>F2194-F2193</f>
        <v>0.005028991339516509</v>
      </c>
      <c r="S2194" s="75">
        <f>0.5*(Q2193+Q2194)*R2194</f>
        <v>0.006450388592638178</v>
      </c>
      <c r="T2194" s="75">
        <f>0.5*(F2193*Q2193+F2194*Q2194)*R2194</f>
        <v>0.05850951136491005</v>
      </c>
      <c r="U2194" s="76">
        <f>U2193+S2194</f>
        <v>11.298558530712354</v>
      </c>
      <c r="V2194" s="76">
        <f>V2193+T2194</f>
        <v>59.44605404750096</v>
      </c>
    </row>
    <row r="2195" spans="1:22" ht="19" customHeight="1">
      <c r="A2195" s="68" t="s">
        <v>374</v>
      </c>
      <c r="B2195" s="74">
        <v>3</v>
      </c>
      <c r="C2195" s="68" t="s">
        <v>363</v>
      </c>
      <c r="D2195" s="68" t="s">
        <v>364</v>
      </c>
      <c r="E2195" s="75">
        <f>60*F2195*'THAM_SO_MOI'!$C$51/(2*PI()*'THAM_SO_MOI'!$C$26)</f>
        <v>2280.3973801464786</v>
      </c>
      <c r="F2195" s="75">
        <f>'HANH_TRINH'!$F$1647+('THAM_SO_MOI'!$F$51-'HANH_TRINH'!$F$1647)*547/'THAM_SO_MOI'!$C$42</f>
        <v>9.078238990061736</v>
      </c>
      <c r="G2195" s="75">
        <f>3.6*F2195</f>
        <v>32.68166036422225</v>
      </c>
      <c r="H2195" s="75">
        <f>'THAM_SO_MOI'!$D$51</f>
        <v>1.375</v>
      </c>
      <c r="I2195" s="75">
        <f>IF(F2195&gt;'THAM_SO_MOI'!$C$14,'THAM_SO_MOI'!$C$13*(1+F2195^2/1500),'THAM_SO_MOI'!$C$13)</f>
        <v>0.015</v>
      </c>
      <c r="J2195" s="75">
        <f>'THAM_SO_MOI'!$C$40*('THAM_SO_MOI'!$C$23*(E2195/'THAM_SO_MOI'!$C$22)+'THAM_SO_MOI'!$C$24*(E2195/'THAM_SO_MOI'!$C$22)^2-'THAM_SO_MOI'!$C$25*(E2195/'THAM_SO_MOI'!$C$22)^3)</f>
        <v>102.54687305183354</v>
      </c>
      <c r="K2195" s="75">
        <f>'THAM_SO_MOI'!$C$31*J2195/E2195</f>
        <v>429.5020162838717</v>
      </c>
      <c r="L2195" s="75">
        <f>K2195*'THAM_SO_MOI'!$C$51*'THAM_SO_MOI'!$C$17/'THAM_SO_MOI'!$C$26</f>
        <v>9603.326010844004</v>
      </c>
      <c r="M2195" s="75">
        <f>'THAM_SO_MOI'!$C$15*'THAM_SO_MOI'!$C$16*F2195^2</f>
        <v>241.06218774498063</v>
      </c>
      <c r="N2195" s="75">
        <f>'THAM_SO_MOI'!$C$12*I2195</f>
        <v>1130.112</v>
      </c>
      <c r="O2195" s="75">
        <f>M2195+N2195</f>
        <v>1371.1741877449808</v>
      </c>
      <c r="P2195" s="75">
        <f>(MIN(L2195,'THAM_SO_MOI'!$C$41)-O2195)/('THAM_SO_MOI'!$C$11*H2195)</f>
        <v>0.7795598317328619</v>
      </c>
      <c r="Q2195" s="75">
        <f>IF(P2195&gt;0,1/P2195,NA())</f>
        <v>1.2827751755463435</v>
      </c>
      <c r="R2195" s="75">
        <f>F2195-F2194</f>
        <v>0.005028991339518285</v>
      </c>
      <c r="S2195" s="75">
        <f>0.5*(Q2194+Q2195)*R2195</f>
        <v>0.006450839214603458</v>
      </c>
      <c r="T2195" s="75">
        <f>0.5*(F2194*Q2194+F2195*Q2195)*R2195</f>
        <v>0.058546040037721826</v>
      </c>
      <c r="U2195" s="76">
        <f>U2194+S2195</f>
        <v>11.305009369926957</v>
      </c>
      <c r="V2195" s="76">
        <f>V2194+T2195</f>
        <v>59.50460008753868</v>
      </c>
    </row>
    <row r="2196" spans="1:22" ht="19" customHeight="1">
      <c r="A2196" s="68" t="s">
        <v>374</v>
      </c>
      <c r="B2196" s="74">
        <v>3</v>
      </c>
      <c r="C2196" s="68" t="s">
        <v>363</v>
      </c>
      <c r="D2196" s="68" t="s">
        <v>364</v>
      </c>
      <c r="E2196" s="75">
        <f>60*F2196*'THAM_SO_MOI'!$C$51/(2*PI()*'THAM_SO_MOI'!$C$26)</f>
        <v>2281.66063160835</v>
      </c>
      <c r="F2196" s="75">
        <f>'HANH_TRINH'!$F$1647+('THAM_SO_MOI'!$F$51-'HANH_TRINH'!$F$1647)*548/'THAM_SO_MOI'!$C$42</f>
        <v>9.083267981401253</v>
      </c>
      <c r="G2196" s="75">
        <f>3.6*F2196</f>
        <v>32.69976473304451</v>
      </c>
      <c r="H2196" s="75">
        <f>'THAM_SO_MOI'!$D$51</f>
        <v>1.375</v>
      </c>
      <c r="I2196" s="75">
        <f>IF(F2196&gt;'THAM_SO_MOI'!$C$14,'THAM_SO_MOI'!$C$13*(1+F2196^2/1500),'THAM_SO_MOI'!$C$13)</f>
        <v>0.015</v>
      </c>
      <c r="J2196" s="75">
        <f>'THAM_SO_MOI'!$C$40*('THAM_SO_MOI'!$C$23*(E2196/'THAM_SO_MOI'!$C$22)+'THAM_SO_MOI'!$C$24*(E2196/'THAM_SO_MOI'!$C$22)^2-'THAM_SO_MOI'!$C$25*(E2196/'THAM_SO_MOI'!$C$22)^3)</f>
        <v>102.60033184885387</v>
      </c>
      <c r="K2196" s="75">
        <f>'THAM_SO_MOI'!$C$31*J2196/E2196</f>
        <v>429.48800069361084</v>
      </c>
      <c r="L2196" s="75">
        <f>K2196*'THAM_SO_MOI'!$C$51*'THAM_SO_MOI'!$C$17/'THAM_SO_MOI'!$C$26</f>
        <v>9603.012633310473</v>
      </c>
      <c r="M2196" s="75">
        <f>'THAM_SO_MOI'!$C$15*'THAM_SO_MOI'!$C$16*F2196^2</f>
        <v>241.3293398742014</v>
      </c>
      <c r="N2196" s="75">
        <f>'THAM_SO_MOI'!$C$12*I2196</f>
        <v>1130.112</v>
      </c>
      <c r="O2196" s="75">
        <f>M2196+N2196</f>
        <v>1371.4413398742015</v>
      </c>
      <c r="P2196" s="75">
        <f>(MIN(L2196,'THAM_SO_MOI'!$C$41)-O2196)/('THAM_SO_MOI'!$C$11*H2196)</f>
        <v>0.7795048573329802</v>
      </c>
      <c r="Q2196" s="75">
        <f>IF(P2196&gt;0,1/P2196,NA())</f>
        <v>1.2828656429690868</v>
      </c>
      <c r="R2196" s="75">
        <f>F2196-F2195</f>
        <v>0.005028991339516509</v>
      </c>
      <c r="S2196" s="75">
        <f>0.5*(Q2195+Q2196)*R2196</f>
        <v>0.006451292728312073</v>
      </c>
      <c r="T2196" s="75">
        <f>0.5*(F2195*Q2195+F2196*Q2196)*R2196</f>
        <v>0.05858259950209143</v>
      </c>
      <c r="U2196" s="76">
        <f>U2195+S2196</f>
        <v>11.31146066265527</v>
      </c>
      <c r="V2196" s="76">
        <f>V2195+T2196</f>
        <v>59.563182687040765</v>
      </c>
    </row>
    <row r="2197" spans="1:22" ht="19" customHeight="1">
      <c r="A2197" s="68" t="s">
        <v>374</v>
      </c>
      <c r="B2197" s="74">
        <v>3</v>
      </c>
      <c r="C2197" s="68" t="s">
        <v>363</v>
      </c>
      <c r="D2197" s="68" t="s">
        <v>364</v>
      </c>
      <c r="E2197" s="75">
        <f>60*F2197*'THAM_SO_MOI'!$C$51/(2*PI()*'THAM_SO_MOI'!$C$26)</f>
        <v>2282.9238830702216</v>
      </c>
      <c r="F2197" s="75">
        <f>'HANH_TRINH'!$F$1647+('THAM_SO_MOI'!$F$51-'HANH_TRINH'!$F$1647)*549/'THAM_SO_MOI'!$C$42</f>
        <v>9.088296972740771</v>
      </c>
      <c r="G2197" s="75">
        <f>3.6*F2197</f>
        <v>32.717869101866775</v>
      </c>
      <c r="H2197" s="75">
        <f>'THAM_SO_MOI'!$D$51</f>
        <v>1.375</v>
      </c>
      <c r="I2197" s="75">
        <f>IF(F2197&gt;'THAM_SO_MOI'!$C$14,'THAM_SO_MOI'!$C$13*(1+F2197^2/1500),'THAM_SO_MOI'!$C$13)</f>
        <v>0.015</v>
      </c>
      <c r="J2197" s="75">
        <f>'THAM_SO_MOI'!$C$40*('THAM_SO_MOI'!$C$23*(E2197/'THAM_SO_MOI'!$C$22)+'THAM_SO_MOI'!$C$24*(E2197/'THAM_SO_MOI'!$C$22)^2-'THAM_SO_MOI'!$C$25*(E2197/'THAM_SO_MOI'!$C$22)^3)</f>
        <v>102.65374993375349</v>
      </c>
      <c r="K2197" s="75">
        <f>'THAM_SO_MOI'!$C$31*J2197/E2197</f>
        <v>429.4738302865194</v>
      </c>
      <c r="L2197" s="75">
        <f>K2197*'THAM_SO_MOI'!$C$51*'THAM_SO_MOI'!$C$17/'THAM_SO_MOI'!$C$26</f>
        <v>9602.695794194831</v>
      </c>
      <c r="M2197" s="75">
        <f>'THAM_SO_MOI'!$C$15*'THAM_SO_MOI'!$C$16*F2197^2</f>
        <v>241.59663995433255</v>
      </c>
      <c r="N2197" s="75">
        <f>'THAM_SO_MOI'!$C$12*I2197</f>
        <v>1130.112</v>
      </c>
      <c r="O2197" s="75">
        <f>M2197+N2197</f>
        <v>1371.7086399543327</v>
      </c>
      <c r="P2197" s="75">
        <f>(MIN(L2197,'THAM_SO_MOI'!$C$41)-O2197)/('THAM_SO_MOI'!$C$11*H2197)</f>
        <v>0.7794495411212593</v>
      </c>
      <c r="Q2197" s="75">
        <f>IF(P2197&gt;0,1/P2197,NA())</f>
        <v>1.2829566857675905</v>
      </c>
      <c r="R2197" s="75">
        <f>F2197-F2196</f>
        <v>0.005028991339518285</v>
      </c>
      <c r="S2197" s="75">
        <f>0.5*(Q2196+Q2197)*R2197</f>
        <v>0.006451749134979694</v>
      </c>
      <c r="T2197" s="75">
        <f>0.5*(F2196*Q2196+F2197*Q2197)*R2197</f>
        <v>0.05861918981269182</v>
      </c>
      <c r="U2197" s="76">
        <f>U2196+S2197</f>
        <v>11.31791241179025</v>
      </c>
      <c r="V2197" s="76">
        <f>V2196+T2197</f>
        <v>59.62180187685345</v>
      </c>
    </row>
    <row r="2198" spans="1:22" ht="19" customHeight="1">
      <c r="A2198" s="68" t="s">
        <v>374</v>
      </c>
      <c r="B2198" s="74">
        <v>3</v>
      </c>
      <c r="C2198" s="68" t="s">
        <v>363</v>
      </c>
      <c r="D2198" s="68" t="s">
        <v>364</v>
      </c>
      <c r="E2198" s="75">
        <f>60*F2198*'THAM_SO_MOI'!$C$51/(2*PI()*'THAM_SO_MOI'!$C$26)</f>
        <v>2284.1871345320938</v>
      </c>
      <c r="F2198" s="75">
        <f>'HANH_TRINH'!$F$1647+('THAM_SO_MOI'!$F$51-'HANH_TRINH'!$F$1647)*550/'THAM_SO_MOI'!$C$42</f>
        <v>9.09332596408029</v>
      </c>
      <c r="G2198" s="75">
        <f>3.6*F2198</f>
        <v>32.735973470689046</v>
      </c>
      <c r="H2198" s="75">
        <f>'THAM_SO_MOI'!$D$51</f>
        <v>1.375</v>
      </c>
      <c r="I2198" s="75">
        <f>IF(F2198&gt;'THAM_SO_MOI'!$C$14,'THAM_SO_MOI'!$C$13*(1+F2198^2/1500),'THAM_SO_MOI'!$C$13)</f>
        <v>0.015</v>
      </c>
      <c r="J2198" s="75">
        <f>'THAM_SO_MOI'!$C$40*('THAM_SO_MOI'!$C$23*(E2198/'THAM_SO_MOI'!$C$22)+'THAM_SO_MOI'!$C$24*(E2198/'THAM_SO_MOI'!$C$22)^2-'THAM_SO_MOI'!$C$25*(E2198/'THAM_SO_MOI'!$C$22)^3)</f>
        <v>102.70712724510318</v>
      </c>
      <c r="K2198" s="75">
        <f>'THAM_SO_MOI'!$C$31*J2198/E2198</f>
        <v>429.45950506259766</v>
      </c>
      <c r="L2198" s="75">
        <f>K2198*'THAM_SO_MOI'!$C$51*'THAM_SO_MOI'!$C$17/'THAM_SO_MOI'!$C$26</f>
        <v>9602.375493497088</v>
      </c>
      <c r="M2198" s="75">
        <f>'THAM_SO_MOI'!$C$15*'THAM_SO_MOI'!$C$16*F2198^2</f>
        <v>241.86408798537394</v>
      </c>
      <c r="N2198" s="75">
        <f>'THAM_SO_MOI'!$C$12*I2198</f>
        <v>1130.112</v>
      </c>
      <c r="O2198" s="75">
        <f>M2198+N2198</f>
        <v>1371.976087985374</v>
      </c>
      <c r="P2198" s="75">
        <f>(MIN(L2198,'THAM_SO_MOI'!$C$41)-O2198)/('THAM_SO_MOI'!$C$11*H2198)</f>
        <v>0.7793938830977002</v>
      </c>
      <c r="Q2198" s="75">
        <f>IF(P2198&gt;0,1/P2198,NA())</f>
        <v>1.283048304184145</v>
      </c>
      <c r="R2198" s="75">
        <f>F2198-F2197</f>
        <v>0.005028991339518285</v>
      </c>
      <c r="S2198" s="75">
        <f>0.5*(Q2197+Q2198)*R2198</f>
        <v>0.00645220843581399</v>
      </c>
      <c r="T2198" s="75">
        <f>0.5*(F2197*Q2197+F2198*Q2198)*R2198</f>
        <v>0.05865581102414771</v>
      </c>
      <c r="U2198" s="76">
        <f>U2197+S2198</f>
        <v>11.324364620226063</v>
      </c>
      <c r="V2198" s="76">
        <f>V2197+T2198</f>
        <v>59.6804576878776</v>
      </c>
    </row>
    <row r="2199" spans="1:22" ht="19" customHeight="1">
      <c r="A2199" s="68" t="s">
        <v>374</v>
      </c>
      <c r="B2199" s="74">
        <v>3</v>
      </c>
      <c r="C2199" s="68" t="s">
        <v>363</v>
      </c>
      <c r="D2199" s="68" t="s">
        <v>364</v>
      </c>
      <c r="E2199" s="75">
        <f>60*F2199*'THAM_SO_MOI'!$C$51/(2*PI()*'THAM_SO_MOI'!$C$26)</f>
        <v>2285.4503859939655</v>
      </c>
      <c r="F2199" s="75">
        <f>'HANH_TRINH'!$F$1647+('THAM_SO_MOI'!$F$51-'HANH_TRINH'!$F$1647)*551/'THAM_SO_MOI'!$C$42</f>
        <v>9.098354955419808</v>
      </c>
      <c r="G2199" s="75">
        <f>3.6*F2199</f>
        <v>32.75407783951131</v>
      </c>
      <c r="H2199" s="75">
        <f>'THAM_SO_MOI'!$D$51</f>
        <v>1.375</v>
      </c>
      <c r="I2199" s="75">
        <f>IF(F2199&gt;'THAM_SO_MOI'!$C$14,'THAM_SO_MOI'!$C$13*(1+F2199^2/1500),'THAM_SO_MOI'!$C$13)</f>
        <v>0.015</v>
      </c>
      <c r="J2199" s="75">
        <f>'THAM_SO_MOI'!$C$40*('THAM_SO_MOI'!$C$23*(E2199/'THAM_SO_MOI'!$C$22)+'THAM_SO_MOI'!$C$24*(E2199/'THAM_SO_MOI'!$C$22)^2-'THAM_SO_MOI'!$C$25*(E2199/'THAM_SO_MOI'!$C$22)^3)</f>
        <v>102.76046372147344</v>
      </c>
      <c r="K2199" s="75">
        <f>'THAM_SO_MOI'!$C$31*J2199/E2199</f>
        <v>429.44502502184525</v>
      </c>
      <c r="L2199" s="75">
        <f>K2199*'THAM_SO_MOI'!$C$51*'THAM_SO_MOI'!$C$17/'THAM_SO_MOI'!$C$26</f>
        <v>9602.051731217229</v>
      </c>
      <c r="M2199" s="75">
        <f>'THAM_SO_MOI'!$C$15*'THAM_SO_MOI'!$C$16*F2199^2</f>
        <v>242.1316839673256</v>
      </c>
      <c r="N2199" s="75">
        <f>'THAM_SO_MOI'!$C$12*I2199</f>
        <v>1130.112</v>
      </c>
      <c r="O2199" s="75">
        <f>M2199+N2199</f>
        <v>1372.2436839673258</v>
      </c>
      <c r="P2199" s="75">
        <f>(MIN(L2199,'THAM_SO_MOI'!$C$41)-O2199)/('THAM_SO_MOI'!$C$11*H2199)</f>
        <v>0.7793378832623014</v>
      </c>
      <c r="Q2199" s="75">
        <f>IF(P2199&gt;0,1/P2199,NA())</f>
        <v>1.2831404984626296</v>
      </c>
      <c r="R2199" s="75">
        <f>F2199-F2198</f>
        <v>0.005028991339518285</v>
      </c>
      <c r="S2199" s="75">
        <f>0.5*(Q2198+Q2199)*R2199</f>
        <v>0.006452670632039713</v>
      </c>
      <c r="T2199" s="75">
        <f>0.5*(F2198*Q2198+F2199*Q2199)*R2199</f>
        <v>0.05869246319126345</v>
      </c>
      <c r="U2199" s="76">
        <f>U2198+S2199</f>
        <v>11.330817290858104</v>
      </c>
      <c r="V2199" s="76">
        <f>V2198+T2199</f>
        <v>59.73915015106886</v>
      </c>
    </row>
    <row r="2200" spans="1:22" ht="19" customHeight="1">
      <c r="A2200" s="68" t="s">
        <v>374</v>
      </c>
      <c r="B2200" s="74">
        <v>3</v>
      </c>
      <c r="C2200" s="68" t="s">
        <v>363</v>
      </c>
      <c r="D2200" s="68" t="s">
        <v>364</v>
      </c>
      <c r="E2200" s="75">
        <f>60*F2200*'THAM_SO_MOI'!$C$51/(2*PI()*'THAM_SO_MOI'!$C$26)</f>
        <v>2286.713637455837</v>
      </c>
      <c r="F2200" s="75">
        <f>'HANH_TRINH'!$F$1647+('THAM_SO_MOI'!$F$51-'HANH_TRINH'!$F$1647)*552/'THAM_SO_MOI'!$C$42</f>
        <v>9.103383946759324</v>
      </c>
      <c r="G2200" s="75">
        <f>3.6*F2200</f>
        <v>32.77218220833357</v>
      </c>
      <c r="H2200" s="75">
        <f>'THAM_SO_MOI'!$D$51</f>
        <v>1.375</v>
      </c>
      <c r="I2200" s="75">
        <f>IF(F2200&gt;'THAM_SO_MOI'!$C$14,'THAM_SO_MOI'!$C$13*(1+F2200^2/1500),'THAM_SO_MOI'!$C$13)</f>
        <v>0.015</v>
      </c>
      <c r="J2200" s="75">
        <f>'THAM_SO_MOI'!$C$40*('THAM_SO_MOI'!$C$23*(E2200/'THAM_SO_MOI'!$C$22)+'THAM_SO_MOI'!$C$24*(E2200/'THAM_SO_MOI'!$C$22)^2-'THAM_SO_MOI'!$C$25*(E2200/'THAM_SO_MOI'!$C$22)^3)</f>
        <v>102.813759301435</v>
      </c>
      <c r="K2200" s="75">
        <f>'THAM_SO_MOI'!$C$31*J2200/E2200</f>
        <v>429.43039016426246</v>
      </c>
      <c r="L2200" s="75">
        <f>K2200*'THAM_SO_MOI'!$C$51*'THAM_SO_MOI'!$C$17/'THAM_SO_MOI'!$C$26</f>
        <v>9601.724507355264</v>
      </c>
      <c r="M2200" s="75">
        <f>'THAM_SO_MOI'!$C$15*'THAM_SO_MOI'!$C$16*F2200^2</f>
        <v>242.39942790018748</v>
      </c>
      <c r="N2200" s="75">
        <f>'THAM_SO_MOI'!$C$12*I2200</f>
        <v>1130.112</v>
      </c>
      <c r="O2200" s="75">
        <f>M2200+N2200</f>
        <v>1372.5114279001875</v>
      </c>
      <c r="P2200" s="75">
        <f>(MIN(L2200,'THAM_SO_MOI'!$C$41)-O2200)/('THAM_SO_MOI'!$C$11*H2200)</f>
        <v>0.779281541615064</v>
      </c>
      <c r="Q2200" s="75">
        <f>IF(P2200&gt;0,1/P2200,NA())</f>
        <v>1.283233268848504</v>
      </c>
      <c r="R2200" s="75">
        <f>F2200-F2199</f>
        <v>0.005028991339516509</v>
      </c>
      <c r="S2200" s="75">
        <f>0.5*(Q2199+Q2200)*R2200</f>
        <v>0.006453135724885022</v>
      </c>
      <c r="T2200" s="75">
        <f>0.5*(F2199*Q2199+F2200*Q2200)*R2200</f>
        <v>0.058729146368899074</v>
      </c>
      <c r="U2200" s="76">
        <f>U2199+S2200</f>
        <v>11.337270426582988</v>
      </c>
      <c r="V2200" s="76">
        <f>V2199+T2200</f>
        <v>59.79787929743776</v>
      </c>
    </row>
    <row r="2201" spans="1:22" ht="19" customHeight="1">
      <c r="A2201" s="68" t="s">
        <v>374</v>
      </c>
      <c r="B2201" s="74">
        <v>3</v>
      </c>
      <c r="C2201" s="68" t="s">
        <v>363</v>
      </c>
      <c r="D2201" s="68" t="s">
        <v>364</v>
      </c>
      <c r="E2201" s="75">
        <f>60*F2201*'THAM_SO_MOI'!$C$51/(2*PI()*'THAM_SO_MOI'!$C$26)</f>
        <v>2287.976888917709</v>
      </c>
      <c r="F2201" s="75">
        <f>'HANH_TRINH'!$F$1647+('THAM_SO_MOI'!$F$51-'HANH_TRINH'!$F$1647)*553/'THAM_SO_MOI'!$C$42</f>
        <v>9.108412938098843</v>
      </c>
      <c r="G2201" s="75">
        <f>3.6*F2201</f>
        <v>32.79028657715583</v>
      </c>
      <c r="H2201" s="75">
        <f>'THAM_SO_MOI'!$D$51</f>
        <v>1.375</v>
      </c>
      <c r="I2201" s="75">
        <f>IF(F2201&gt;'THAM_SO_MOI'!$C$14,'THAM_SO_MOI'!$C$13*(1+F2201^2/1500),'THAM_SO_MOI'!$C$13)</f>
        <v>0.015</v>
      </c>
      <c r="J2201" s="75">
        <f>'THAM_SO_MOI'!$C$40*('THAM_SO_MOI'!$C$23*(E2201/'THAM_SO_MOI'!$C$22)+'THAM_SO_MOI'!$C$24*(E2201/'THAM_SO_MOI'!$C$22)^2-'THAM_SO_MOI'!$C$25*(E2201/'THAM_SO_MOI'!$C$22)^3)</f>
        <v>102.86701392355846</v>
      </c>
      <c r="K2201" s="75">
        <f>'THAM_SO_MOI'!$C$31*J2201/E2201</f>
        <v>429.415600489849</v>
      </c>
      <c r="L2201" s="75">
        <f>K2201*'THAM_SO_MOI'!$C$51*'THAM_SO_MOI'!$C$17/'THAM_SO_MOI'!$C$26</f>
        <v>9601.393821911186</v>
      </c>
      <c r="M2201" s="75">
        <f>'THAM_SO_MOI'!$C$15*'THAM_SO_MOI'!$C$16*F2201^2</f>
        <v>242.6673197839597</v>
      </c>
      <c r="N2201" s="75">
        <f>'THAM_SO_MOI'!$C$12*I2201</f>
        <v>1130.112</v>
      </c>
      <c r="O2201" s="75">
        <f>M2201+N2201</f>
        <v>1372.7793197839599</v>
      </c>
      <c r="P2201" s="75">
        <f>(MIN(L2201,'THAM_SO_MOI'!$C$41)-O2201)/('THAM_SO_MOI'!$C$11*H2201)</f>
        <v>0.7792248581559875</v>
      </c>
      <c r="Q2201" s="75">
        <f>IF(P2201&gt;0,1/P2201,NA())</f>
        <v>1.2833266155888177</v>
      </c>
      <c r="R2201" s="75">
        <f>F2201-F2200</f>
        <v>0.005028991339518285</v>
      </c>
      <c r="S2201" s="75">
        <f>0.5*(Q2200+Q2201)*R2201</f>
        <v>0.0064536037155951695</v>
      </c>
      <c r="T2201" s="75">
        <f>0.5*(F2200*Q2200+F2201*Q2201)*R2201</f>
        <v>0.05876586061209497</v>
      </c>
      <c r="U2201" s="76">
        <f>U2200+S2201</f>
        <v>11.343724030298583</v>
      </c>
      <c r="V2201" s="76">
        <f>V2200+T2201</f>
        <v>59.85664515804986</v>
      </c>
    </row>
    <row r="2202" spans="1:22" ht="19" customHeight="1">
      <c r="A2202" s="68" t="s">
        <v>374</v>
      </c>
      <c r="B2202" s="74">
        <v>3</v>
      </c>
      <c r="C2202" s="68" t="s">
        <v>363</v>
      </c>
      <c r="D2202" s="68" t="s">
        <v>364</v>
      </c>
      <c r="E2202" s="75">
        <f>60*F2202*'THAM_SO_MOI'!$C$51/(2*PI()*'THAM_SO_MOI'!$C$26)</f>
        <v>2289.24014037958</v>
      </c>
      <c r="F2202" s="75">
        <f>'HANH_TRINH'!$F$1647+('THAM_SO_MOI'!$F$51-'HANH_TRINH'!$F$1647)*554/'THAM_SO_MOI'!$C$42</f>
        <v>9.113441929438359</v>
      </c>
      <c r="G2202" s="75">
        <f>3.6*F2202</f>
        <v>32.8083909459781</v>
      </c>
      <c r="H2202" s="75">
        <f>'THAM_SO_MOI'!$D$51</f>
        <v>1.375</v>
      </c>
      <c r="I2202" s="75">
        <f>IF(F2202&gt;'THAM_SO_MOI'!$C$14,'THAM_SO_MOI'!$C$13*(1+F2202^2/1500),'THAM_SO_MOI'!$C$13)</f>
        <v>0.015</v>
      </c>
      <c r="J2202" s="75">
        <f>'THAM_SO_MOI'!$C$40*('THAM_SO_MOI'!$C$23*(E2202/'THAM_SO_MOI'!$C$22)+'THAM_SO_MOI'!$C$24*(E2202/'THAM_SO_MOI'!$C$22)^2-'THAM_SO_MOI'!$C$25*(E2202/'THAM_SO_MOI'!$C$22)^3)</f>
        <v>102.92022752641452</v>
      </c>
      <c r="K2202" s="75">
        <f>'THAM_SO_MOI'!$C$31*J2202/E2202</f>
        <v>429.40065599860515</v>
      </c>
      <c r="L2202" s="75">
        <f>K2202*'THAM_SO_MOI'!$C$51*'THAM_SO_MOI'!$C$17/'THAM_SO_MOI'!$C$26</f>
        <v>9601.059674885004</v>
      </c>
      <c r="M2202" s="75">
        <f>'THAM_SO_MOI'!$C$15*'THAM_SO_MOI'!$C$16*F2202^2</f>
        <v>242.9353596186421</v>
      </c>
      <c r="N2202" s="75">
        <f>'THAM_SO_MOI'!$C$12*I2202</f>
        <v>1130.112</v>
      </c>
      <c r="O2202" s="75">
        <f>M2202+N2202</f>
        <v>1373.047359618642</v>
      </c>
      <c r="P2202" s="75">
        <f>(MIN(L2202,'THAM_SO_MOI'!$C$41)-O2202)/('THAM_SO_MOI'!$C$11*H2202)</f>
        <v>0.7791678328850722</v>
      </c>
      <c r="Q2202" s="75">
        <f>IF(P2202&gt;0,1/P2202,NA())</f>
        <v>1.2834205389322082</v>
      </c>
      <c r="R2202" s="75">
        <f>F2202-F2201</f>
        <v>0.005028991339516509</v>
      </c>
      <c r="S2202" s="75">
        <f>0.5*(Q2201+Q2202)*R2202</f>
        <v>0.00645407460540744</v>
      </c>
      <c r="T2202" s="75">
        <f>0.5*(F2201*Q2201+F2202*Q2202)*R2202</f>
        <v>0.058802605975843955</v>
      </c>
      <c r="U2202" s="76">
        <f>U2201+S2202</f>
        <v>11.350178104903991</v>
      </c>
      <c r="V2202" s="76">
        <f>V2201+T2202</f>
        <v>59.9154477640257</v>
      </c>
    </row>
    <row r="2203" spans="1:22" ht="19" customHeight="1">
      <c r="A2203" s="68" t="s">
        <v>374</v>
      </c>
      <c r="B2203" s="74">
        <v>3</v>
      </c>
      <c r="C2203" s="68" t="s">
        <v>363</v>
      </c>
      <c r="D2203" s="68" t="s">
        <v>364</v>
      </c>
      <c r="E2203" s="75">
        <f>60*F2203*'THAM_SO_MOI'!$C$51/(2*PI()*'THAM_SO_MOI'!$C$26)</f>
        <v>2290.503391841452</v>
      </c>
      <c r="F2203" s="75">
        <f>'HANH_TRINH'!$F$1647+('THAM_SO_MOI'!$F$51-'HANH_TRINH'!$F$1647)*555/'THAM_SO_MOI'!$C$42</f>
        <v>9.118470920777877</v>
      </c>
      <c r="G2203" s="75">
        <f>3.6*F2203</f>
        <v>32.82649531480036</v>
      </c>
      <c r="H2203" s="75">
        <f>'THAM_SO_MOI'!$D$51</f>
        <v>1.375</v>
      </c>
      <c r="I2203" s="75">
        <f>IF(F2203&gt;'THAM_SO_MOI'!$C$14,'THAM_SO_MOI'!$C$13*(1+F2203^2/1500),'THAM_SO_MOI'!$C$13)</f>
        <v>0.015</v>
      </c>
      <c r="J2203" s="75">
        <f>'THAM_SO_MOI'!$C$40*('THAM_SO_MOI'!$C$23*(E2203/'THAM_SO_MOI'!$C$22)+'THAM_SO_MOI'!$C$24*(E2203/'THAM_SO_MOI'!$C$22)^2-'THAM_SO_MOI'!$C$25*(E2203/'THAM_SO_MOI'!$C$22)^3)</f>
        <v>102.97340004857385</v>
      </c>
      <c r="K2203" s="75">
        <f>'THAM_SO_MOI'!$C$31*J2203/E2203</f>
        <v>429.38555669053096</v>
      </c>
      <c r="L2203" s="75">
        <f>K2203*'THAM_SO_MOI'!$C$51*'THAM_SO_MOI'!$C$17/'THAM_SO_MOI'!$C$26</f>
        <v>9600.722066276716</v>
      </c>
      <c r="M2203" s="75">
        <f>'THAM_SO_MOI'!$C$15*'THAM_SO_MOI'!$C$16*F2203^2</f>
        <v>243.2035474042349</v>
      </c>
      <c r="N2203" s="75">
        <f>'THAM_SO_MOI'!$C$12*I2203</f>
        <v>1130.112</v>
      </c>
      <c r="O2203" s="75">
        <f>M2203+N2203</f>
        <v>1373.315547404235</v>
      </c>
      <c r="P2203" s="75">
        <f>(MIN(L2203,'THAM_SO_MOI'!$C$41)-O2203)/('THAM_SO_MOI'!$C$11*H2203)</f>
        <v>0.7791104658023184</v>
      </c>
      <c r="Q2203" s="75">
        <f>IF(P2203&gt;0,1/P2203,NA())</f>
        <v>1.2835150391289023</v>
      </c>
      <c r="R2203" s="75">
        <f>F2203-F2202</f>
        <v>0.005028991339518285</v>
      </c>
      <c r="S2203" s="75">
        <f>0.5*(Q2202+Q2203)*R2203</f>
        <v>0.006454548395585344</v>
      </c>
      <c r="T2203" s="75">
        <f>0.5*(F2202*Q2202+F2203*Q2203)*R2203</f>
        <v>0.05883938251540282</v>
      </c>
      <c r="U2203" s="76">
        <f>U2202+S2203</f>
        <v>11.356632653299576</v>
      </c>
      <c r="V2203" s="76">
        <f>V2202+T2203</f>
        <v>59.9742871465411</v>
      </c>
    </row>
    <row r="2204" spans="1:22" ht="19" customHeight="1">
      <c r="A2204" s="68" t="s">
        <v>374</v>
      </c>
      <c r="B2204" s="74">
        <v>3</v>
      </c>
      <c r="C2204" s="68" t="s">
        <v>363</v>
      </c>
      <c r="D2204" s="68" t="s">
        <v>364</v>
      </c>
      <c r="E2204" s="75">
        <f>60*F2204*'THAM_SO_MOI'!$C$51/(2*PI()*'THAM_SO_MOI'!$C$26)</f>
        <v>2291.7666433033237</v>
      </c>
      <c r="F2204" s="75">
        <f>'HANH_TRINH'!$F$1647+('THAM_SO_MOI'!$F$51-'HANH_TRINH'!$F$1647)*556/'THAM_SO_MOI'!$C$42</f>
        <v>9.123499912117396</v>
      </c>
      <c r="G2204" s="75">
        <f>3.6*F2204</f>
        <v>32.844599683622626</v>
      </c>
      <c r="H2204" s="75">
        <f>'THAM_SO_MOI'!$D$51</f>
        <v>1.375</v>
      </c>
      <c r="I2204" s="75">
        <f>IF(F2204&gt;'THAM_SO_MOI'!$C$14,'THAM_SO_MOI'!$C$13*(1+F2204^2/1500),'THAM_SO_MOI'!$C$13)</f>
        <v>0.015</v>
      </c>
      <c r="J2204" s="75">
        <f>'THAM_SO_MOI'!$C$40*('THAM_SO_MOI'!$C$23*(E2204/'THAM_SO_MOI'!$C$22)+'THAM_SO_MOI'!$C$24*(E2204/'THAM_SO_MOI'!$C$22)^2-'THAM_SO_MOI'!$C$25*(E2204/'THAM_SO_MOI'!$C$22)^3)</f>
        <v>103.02653142860699</v>
      </c>
      <c r="K2204" s="75">
        <f>'THAM_SO_MOI'!$C$31*J2204/E2204</f>
        <v>429.37030256562593</v>
      </c>
      <c r="L2204" s="75">
        <f>K2204*'THAM_SO_MOI'!$C$51*'THAM_SO_MOI'!$C$17/'THAM_SO_MOI'!$C$26</f>
        <v>9600.380996086311</v>
      </c>
      <c r="M2204" s="75">
        <f>'THAM_SO_MOI'!$C$15*'THAM_SO_MOI'!$C$16*F2204^2</f>
        <v>243.47188314073793</v>
      </c>
      <c r="N2204" s="75">
        <f>'THAM_SO_MOI'!$C$12*I2204</f>
        <v>1130.112</v>
      </c>
      <c r="O2204" s="75">
        <f>M2204+N2204</f>
        <v>1373.583883140738</v>
      </c>
      <c r="P2204" s="75">
        <f>(MIN(L2204,'THAM_SO_MOI'!$C$41)-O2204)/('THAM_SO_MOI'!$C$11*H2204)</f>
        <v>0.7790527569077247</v>
      </c>
      <c r="Q2204" s="75">
        <f>IF(P2204&gt;0,1/P2204,NA())</f>
        <v>1.2836101164307228</v>
      </c>
      <c r="R2204" s="75">
        <f>F2204-F2203</f>
        <v>0.005028991339518285</v>
      </c>
      <c r="S2204" s="75">
        <f>0.5*(Q2203+Q2204)*R2204</f>
        <v>0.006455025087384442</v>
      </c>
      <c r="T2204" s="75">
        <f>0.5*(F2203*Q2203+F2204*Q2204)*R2204</f>
        <v>0.058876190285981296</v>
      </c>
      <c r="U2204" s="76">
        <f>U2203+S2204</f>
        <v>11.36308767838696</v>
      </c>
      <c r="V2204" s="76">
        <f>V2203+T2204</f>
        <v>60.03316333682708</v>
      </c>
    </row>
    <row r="2205" spans="1:22" ht="19" customHeight="1">
      <c r="A2205" s="68" t="s">
        <v>374</v>
      </c>
      <c r="B2205" s="74">
        <v>3</v>
      </c>
      <c r="C2205" s="68" t="s">
        <v>363</v>
      </c>
      <c r="D2205" s="68" t="s">
        <v>364</v>
      </c>
      <c r="E2205" s="75">
        <f>60*F2205*'THAM_SO_MOI'!$C$51/(2*PI()*'THAM_SO_MOI'!$C$26)</f>
        <v>2293.0298947651945</v>
      </c>
      <c r="F2205" s="75">
        <f>'HANH_TRINH'!$F$1647+('THAM_SO_MOI'!$F$51-'HANH_TRINH'!$F$1647)*557/'THAM_SO_MOI'!$C$42</f>
        <v>9.128528903456912</v>
      </c>
      <c r="G2205" s="75">
        <f>3.6*F2205</f>
        <v>32.86270405244488</v>
      </c>
      <c r="H2205" s="75">
        <f>'THAM_SO_MOI'!$D$51</f>
        <v>1.375</v>
      </c>
      <c r="I2205" s="75">
        <f>IF(F2205&gt;'THAM_SO_MOI'!$C$14,'THAM_SO_MOI'!$C$13*(1+F2205^2/1500),'THAM_SO_MOI'!$C$13)</f>
        <v>0.015</v>
      </c>
      <c r="J2205" s="75">
        <f>'THAM_SO_MOI'!$C$40*('THAM_SO_MOI'!$C$23*(E2205/'THAM_SO_MOI'!$C$22)+'THAM_SO_MOI'!$C$24*(E2205/'THAM_SO_MOI'!$C$22)^2-'THAM_SO_MOI'!$C$25*(E2205/'THAM_SO_MOI'!$C$22)^3)</f>
        <v>103.07962160508464</v>
      </c>
      <c r="K2205" s="75">
        <f>'THAM_SO_MOI'!$C$31*J2205/E2205</f>
        <v>429.3548936238905</v>
      </c>
      <c r="L2205" s="75">
        <f>K2205*'THAM_SO_MOI'!$C$51*'THAM_SO_MOI'!$C$17/'THAM_SO_MOI'!$C$26</f>
        <v>9600.0364643138</v>
      </c>
      <c r="M2205" s="75">
        <f>'THAM_SO_MOI'!$C$15*'THAM_SO_MOI'!$C$16*F2205^2</f>
        <v>243.74036682815117</v>
      </c>
      <c r="N2205" s="75">
        <f>'THAM_SO_MOI'!$C$12*I2205</f>
        <v>1130.112</v>
      </c>
      <c r="O2205" s="75">
        <f>M2205+N2205</f>
        <v>1373.8523668281512</v>
      </c>
      <c r="P2205" s="75">
        <f>(MIN(L2205,'THAM_SO_MOI'!$C$41)-O2205)/('THAM_SO_MOI'!$C$11*H2205)</f>
        <v>0.7789947062012925</v>
      </c>
      <c r="Q2205" s="75">
        <f>IF(P2205&gt;0,1/P2205,NA())</f>
        <v>1.2837057710910806</v>
      </c>
      <c r="R2205" s="75">
        <f>F2205-F2204</f>
        <v>0.005028991339516509</v>
      </c>
      <c r="S2205" s="75">
        <f>0.5*(Q2204+Q2205)*R2205</f>
        <v>0.0064555046820751446</v>
      </c>
      <c r="T2205" s="75">
        <f>0.5*(F2204*Q2204+F2205*Q2205)*R2205</f>
        <v>0.05891302934294982</v>
      </c>
      <c r="U2205" s="76">
        <f>U2204+S2205</f>
        <v>11.369543183069034</v>
      </c>
      <c r="V2205" s="76">
        <f>V2204+T2205</f>
        <v>60.092076366170026</v>
      </c>
    </row>
    <row r="2206" spans="1:22" ht="19" customHeight="1">
      <c r="A2206" s="68" t="s">
        <v>374</v>
      </c>
      <c r="B2206" s="74">
        <v>3</v>
      </c>
      <c r="C2206" s="68" t="s">
        <v>363</v>
      </c>
      <c r="D2206" s="68" t="s">
        <v>364</v>
      </c>
      <c r="E2206" s="75">
        <f>60*F2206*'THAM_SO_MOI'!$C$51/(2*PI()*'THAM_SO_MOI'!$C$26)</f>
        <v>2294.2931462270662</v>
      </c>
      <c r="F2206" s="75">
        <f>'HANH_TRINH'!$F$1647+('THAM_SO_MOI'!$F$51-'HANH_TRINH'!$F$1647)*558/'THAM_SO_MOI'!$C$42</f>
        <v>9.13355789479643</v>
      </c>
      <c r="G2206" s="75">
        <f>3.6*F2206</f>
        <v>32.88080842126715</v>
      </c>
      <c r="H2206" s="75">
        <f>'THAM_SO_MOI'!$D$51</f>
        <v>1.375</v>
      </c>
      <c r="I2206" s="75">
        <f>IF(F2206&gt;'THAM_SO_MOI'!$C$14,'THAM_SO_MOI'!$C$13*(1+F2206^2/1500),'THAM_SO_MOI'!$C$13)</f>
        <v>0.015</v>
      </c>
      <c r="J2206" s="75">
        <f>'THAM_SO_MOI'!$C$40*('THAM_SO_MOI'!$C$23*(E2206/'THAM_SO_MOI'!$C$22)+'THAM_SO_MOI'!$C$24*(E2206/'THAM_SO_MOI'!$C$22)^2-'THAM_SO_MOI'!$C$25*(E2206/'THAM_SO_MOI'!$C$22)^3)</f>
        <v>103.13267051657752</v>
      </c>
      <c r="K2206" s="75">
        <f>'THAM_SO_MOI'!$C$31*J2206/E2206</f>
        <v>429.33932986532454</v>
      </c>
      <c r="L2206" s="75">
        <f>K2206*'THAM_SO_MOI'!$C$51*'THAM_SO_MOI'!$C$17/'THAM_SO_MOI'!$C$26</f>
        <v>9599.68847095918</v>
      </c>
      <c r="M2206" s="75">
        <f>'THAM_SO_MOI'!$C$15*'THAM_SO_MOI'!$C$16*F2206^2</f>
        <v>244.00899846647476</v>
      </c>
      <c r="N2206" s="75">
        <f>'THAM_SO_MOI'!$C$12*I2206</f>
        <v>1130.112</v>
      </c>
      <c r="O2206" s="75">
        <f>M2206+N2206</f>
        <v>1374.120998466475</v>
      </c>
      <c r="P2206" s="75">
        <f>(MIN(L2206,'THAM_SO_MOI'!$C$41)-O2206)/('THAM_SO_MOI'!$C$11*H2206)</f>
        <v>0.7789363136830213</v>
      </c>
      <c r="Q2206" s="75">
        <f>IF(P2206&gt;0,1/P2206,NA())</f>
        <v>1.2838020033649862</v>
      </c>
      <c r="R2206" s="75">
        <f>F2206-F2205</f>
        <v>0.005028991339518285</v>
      </c>
      <c r="S2206" s="75">
        <f>0.5*(Q2205+Q2206)*R2206</f>
        <v>0.006455987180942713</v>
      </c>
      <c r="T2206" s="75">
        <f>0.5*(F2205*Q2205+F2206*Q2206)*R2206</f>
        <v>0.058949899741840055</v>
      </c>
      <c r="U2206" s="76">
        <f>U2205+S2206</f>
        <v>11.375999170249976</v>
      </c>
      <c r="V2206" s="76">
        <f>V2205+T2206</f>
        <v>60.15102626591187</v>
      </c>
    </row>
    <row r="2207" spans="1:22" ht="19" customHeight="1">
      <c r="A2207" s="68" t="s">
        <v>374</v>
      </c>
      <c r="B2207" s="74">
        <v>3</v>
      </c>
      <c r="C2207" s="68" t="s">
        <v>363</v>
      </c>
      <c r="D2207" s="68" t="s">
        <v>364</v>
      </c>
      <c r="E2207" s="75">
        <f>60*F2207*'THAM_SO_MOI'!$C$51/(2*PI()*'THAM_SO_MOI'!$C$26)</f>
        <v>2295.5563976889384</v>
      </c>
      <c r="F2207" s="75">
        <f>'HANH_TRINH'!$F$1647+('THAM_SO_MOI'!$F$51-'HANH_TRINH'!$F$1647)*559/'THAM_SO_MOI'!$C$42</f>
        <v>9.138586886135949</v>
      </c>
      <c r="G2207" s="75">
        <f>3.6*F2207</f>
        <v>32.89891279008942</v>
      </c>
      <c r="H2207" s="75">
        <f>'THAM_SO_MOI'!$D$51</f>
        <v>1.375</v>
      </c>
      <c r="I2207" s="75">
        <f>IF(F2207&gt;'THAM_SO_MOI'!$C$14,'THAM_SO_MOI'!$C$13*(1+F2207^2/1500),'THAM_SO_MOI'!$C$13)</f>
        <v>0.015</v>
      </c>
      <c r="J2207" s="75">
        <f>'THAM_SO_MOI'!$C$40*('THAM_SO_MOI'!$C$23*(E2207/'THAM_SO_MOI'!$C$22)+'THAM_SO_MOI'!$C$24*(E2207/'THAM_SO_MOI'!$C$22)^2-'THAM_SO_MOI'!$C$25*(E2207/'THAM_SO_MOI'!$C$22)^3)</f>
        <v>103.18567810165625</v>
      </c>
      <c r="K2207" s="75">
        <f>'THAM_SO_MOI'!$C$31*J2207/E2207</f>
        <v>429.3236112899281</v>
      </c>
      <c r="L2207" s="75">
        <f>K2207*'THAM_SO_MOI'!$C$51*'THAM_SO_MOI'!$C$17/'THAM_SO_MOI'!$C$26</f>
        <v>9599.33701602245</v>
      </c>
      <c r="M2207" s="75">
        <f>'THAM_SO_MOI'!$C$15*'THAM_SO_MOI'!$C$16*F2207^2</f>
        <v>244.2777780557086</v>
      </c>
      <c r="N2207" s="75">
        <f>'THAM_SO_MOI'!$C$12*I2207</f>
        <v>1130.112</v>
      </c>
      <c r="O2207" s="75">
        <f>M2207+N2207</f>
        <v>1374.3897780557086</v>
      </c>
      <c r="P2207" s="75">
        <f>(MIN(L2207,'THAM_SO_MOI'!$C$41)-O2207)/('THAM_SO_MOI'!$C$11*H2207)</f>
        <v>0.7788775793529112</v>
      </c>
      <c r="Q2207" s="75">
        <f>IF(P2207&gt;0,1/P2207,NA())</f>
        <v>1.2838988135090452</v>
      </c>
      <c r="R2207" s="75">
        <f>F2207-F2206</f>
        <v>0.005028991339518285</v>
      </c>
      <c r="S2207" s="75">
        <f>0.5*(Q2206+Q2207)*R2207</f>
        <v>0.006456472585266765</v>
      </c>
      <c r="T2207" s="75">
        <f>0.5*(F2206*Q2206+F2207*Q2207)*R2207</f>
        <v>0.05898680153815793</v>
      </c>
      <c r="U2207" s="76">
        <f>U2206+S2207</f>
        <v>11.382455642835243</v>
      </c>
      <c r="V2207" s="76">
        <f>V2206+T2207</f>
        <v>60.21001306745003</v>
      </c>
    </row>
    <row r="2208" spans="1:22" ht="19" customHeight="1">
      <c r="A2208" s="68" t="s">
        <v>374</v>
      </c>
      <c r="B2208" s="74">
        <v>3</v>
      </c>
      <c r="C2208" s="68" t="s">
        <v>363</v>
      </c>
      <c r="D2208" s="68" t="s">
        <v>364</v>
      </c>
      <c r="E2208" s="75">
        <f>60*F2208*'THAM_SO_MOI'!$C$51/(2*PI()*'THAM_SO_MOI'!$C$26)</f>
        <v>2296.8196491508097</v>
      </c>
      <c r="F2208" s="75">
        <f>'HANH_TRINH'!$F$1647+('THAM_SO_MOI'!$F$51-'HANH_TRINH'!$F$1647)*560/'THAM_SO_MOI'!$C$42</f>
        <v>9.143615877475465</v>
      </c>
      <c r="G2208" s="75">
        <f>3.6*F2208</f>
        <v>32.917017158911676</v>
      </c>
      <c r="H2208" s="75">
        <f>'THAM_SO_MOI'!$D$51</f>
        <v>1.375</v>
      </c>
      <c r="I2208" s="75">
        <f>IF(F2208&gt;'THAM_SO_MOI'!$C$14,'THAM_SO_MOI'!$C$13*(1+F2208^2/1500),'THAM_SO_MOI'!$C$13)</f>
        <v>0.015</v>
      </c>
      <c r="J2208" s="75">
        <f>'THAM_SO_MOI'!$C$40*('THAM_SO_MOI'!$C$23*(E2208/'THAM_SO_MOI'!$C$22)+'THAM_SO_MOI'!$C$24*(E2208/'THAM_SO_MOI'!$C$22)^2-'THAM_SO_MOI'!$C$25*(E2208/'THAM_SO_MOI'!$C$22)^3)</f>
        <v>103.23864429889143</v>
      </c>
      <c r="K2208" s="75">
        <f>'THAM_SO_MOI'!$C$31*J2208/E2208</f>
        <v>429.30773789770126</v>
      </c>
      <c r="L2208" s="75">
        <f>K2208*'THAM_SO_MOI'!$C$51*'THAM_SO_MOI'!$C$17/'THAM_SO_MOI'!$C$26</f>
        <v>9598.982099503615</v>
      </c>
      <c r="M2208" s="75">
        <f>'THAM_SO_MOI'!$C$15*'THAM_SO_MOI'!$C$16*F2208^2</f>
        <v>244.54670559585267</v>
      </c>
      <c r="N2208" s="75">
        <f>'THAM_SO_MOI'!$C$12*I2208</f>
        <v>1130.112</v>
      </c>
      <c r="O2208" s="75">
        <f>M2208+N2208</f>
        <v>1374.6587055958528</v>
      </c>
      <c r="P2208" s="75">
        <f>(MIN(L2208,'THAM_SO_MOI'!$C$41)-O2208)/('THAM_SO_MOI'!$C$11*H2208)</f>
        <v>0.7788185032109622</v>
      </c>
      <c r="Q2208" s="75">
        <f>IF(P2208&gt;0,1/P2208,NA())</f>
        <v>1.2839962017814635</v>
      </c>
      <c r="R2208" s="75">
        <f>F2208-F2207</f>
        <v>0.005028991339516509</v>
      </c>
      <c r="S2208" s="75">
        <f>0.5*(Q2207+Q2208)*R2208</f>
        <v>0.00645696089634179</v>
      </c>
      <c r="T2208" s="75">
        <f>0.5*(F2207*Q2207+F2208*Q2208)*R2208</f>
        <v>0.059023734787571065</v>
      </c>
      <c r="U2208" s="76">
        <f>U2207+S2208</f>
        <v>11.388912603731585</v>
      </c>
      <c r="V2208" s="76">
        <f>V2207+T2208</f>
        <v>60.2690368022376</v>
      </c>
    </row>
    <row r="2209" spans="1:22" ht="19" customHeight="1">
      <c r="A2209" s="68" t="s">
        <v>374</v>
      </c>
      <c r="B2209" s="74">
        <v>3</v>
      </c>
      <c r="C2209" s="68" t="s">
        <v>363</v>
      </c>
      <c r="D2209" s="68" t="s">
        <v>364</v>
      </c>
      <c r="E2209" s="75">
        <f>60*F2209*'THAM_SO_MOI'!$C$51/(2*PI()*'THAM_SO_MOI'!$C$26)</f>
        <v>2298.0829006126814</v>
      </c>
      <c r="F2209" s="75">
        <f>'HANH_TRINH'!$F$1647+('THAM_SO_MOI'!$F$51-'HANH_TRINH'!$F$1647)*561/'THAM_SO_MOI'!$C$42</f>
        <v>9.148644868814984</v>
      </c>
      <c r="G2209" s="75">
        <f>3.6*F2209</f>
        <v>32.93512152773394</v>
      </c>
      <c r="H2209" s="75">
        <f>'THAM_SO_MOI'!$D$51</f>
        <v>1.375</v>
      </c>
      <c r="I2209" s="75">
        <f>IF(F2209&gt;'THAM_SO_MOI'!$C$14,'THAM_SO_MOI'!$C$13*(1+F2209^2/1500),'THAM_SO_MOI'!$C$13)</f>
        <v>0.015</v>
      </c>
      <c r="J2209" s="75">
        <f>'THAM_SO_MOI'!$C$40*('THAM_SO_MOI'!$C$23*(E2209/'THAM_SO_MOI'!$C$22)+'THAM_SO_MOI'!$C$24*(E2209/'THAM_SO_MOI'!$C$22)^2-'THAM_SO_MOI'!$C$25*(E2209/'THAM_SO_MOI'!$C$22)^3)</f>
        <v>103.2915690468538</v>
      </c>
      <c r="K2209" s="75">
        <f>'THAM_SO_MOI'!$C$31*J2209/E2209</f>
        <v>429.29170968864395</v>
      </c>
      <c r="L2209" s="75">
        <f>K2209*'THAM_SO_MOI'!$C$51*'THAM_SO_MOI'!$C$17/'THAM_SO_MOI'!$C$26</f>
        <v>9598.62372140267</v>
      </c>
      <c r="M2209" s="75">
        <f>'THAM_SO_MOI'!$C$15*'THAM_SO_MOI'!$C$16*F2209^2</f>
        <v>244.81578108690712</v>
      </c>
      <c r="N2209" s="75">
        <f>'THAM_SO_MOI'!$C$12*I2209</f>
        <v>1130.112</v>
      </c>
      <c r="O2209" s="75">
        <f>M2209+N2209</f>
        <v>1374.927781086907</v>
      </c>
      <c r="P2209" s="75">
        <f>(MIN(L2209,'THAM_SO_MOI'!$C$41)-O2209)/('THAM_SO_MOI'!$C$11*H2209)</f>
        <v>0.7787590852571745</v>
      </c>
      <c r="Q2209" s="75">
        <f>IF(P2209&gt;0,1/P2209,NA())</f>
        <v>1.2840941684420462</v>
      </c>
      <c r="R2209" s="75">
        <f>F2209-F2208</f>
        <v>0.005028991339518285</v>
      </c>
      <c r="S2209" s="75">
        <f>0.5*(Q2208+Q2209)*R2209</f>
        <v>0.006457452115477168</v>
      </c>
      <c r="T2209" s="75">
        <f>0.5*(F2208*Q2208+F2209*Q2209)*R2209</f>
        <v>0.05906069954590928</v>
      </c>
      <c r="U2209" s="76">
        <f>U2208+S2209</f>
        <v>11.395370055847062</v>
      </c>
      <c r="V2209" s="76">
        <f>V2208+T2209</f>
        <v>60.32809750178351</v>
      </c>
    </row>
    <row r="2210" spans="1:22" ht="19" customHeight="1">
      <c r="A2210" s="68" t="s">
        <v>374</v>
      </c>
      <c r="B2210" s="74">
        <v>3</v>
      </c>
      <c r="C2210" s="68" t="s">
        <v>363</v>
      </c>
      <c r="D2210" s="68" t="s">
        <v>364</v>
      </c>
      <c r="E2210" s="75">
        <f>60*F2210*'THAM_SO_MOI'!$C$51/(2*PI()*'THAM_SO_MOI'!$C$26)</f>
        <v>2299.346152074553</v>
      </c>
      <c r="F2210" s="75">
        <f>'HANH_TRINH'!$F$1647+('THAM_SO_MOI'!$F$51-'HANH_TRINH'!$F$1647)*562/'THAM_SO_MOI'!$C$42</f>
        <v>9.153673860154502</v>
      </c>
      <c r="G2210" s="75">
        <f>3.6*F2210</f>
        <v>32.953225896556205</v>
      </c>
      <c r="H2210" s="75">
        <f>'THAM_SO_MOI'!$D$51</f>
        <v>1.375</v>
      </c>
      <c r="I2210" s="75">
        <f>IF(F2210&gt;'THAM_SO_MOI'!$C$14,'THAM_SO_MOI'!$C$13*(1+F2210^2/1500),'THAM_SO_MOI'!$C$13)</f>
        <v>0.015</v>
      </c>
      <c r="J2210" s="75">
        <f>'THAM_SO_MOI'!$C$40*('THAM_SO_MOI'!$C$23*(E2210/'THAM_SO_MOI'!$C$22)+'THAM_SO_MOI'!$C$24*(E2210/'THAM_SO_MOI'!$C$22)^2-'THAM_SO_MOI'!$C$25*(E2210/'THAM_SO_MOI'!$C$22)^3)</f>
        <v>103.34445228411388</v>
      </c>
      <c r="K2210" s="75">
        <f>'THAM_SO_MOI'!$C$31*J2210/E2210</f>
        <v>429.27552666275596</v>
      </c>
      <c r="L2210" s="75">
        <f>K2210*'THAM_SO_MOI'!$C$51*'THAM_SO_MOI'!$C$17/'THAM_SO_MOI'!$C$26</f>
        <v>9598.261881719616</v>
      </c>
      <c r="M2210" s="75">
        <f>'THAM_SO_MOI'!$C$15*'THAM_SO_MOI'!$C$16*F2210^2</f>
        <v>245.0850045288718</v>
      </c>
      <c r="N2210" s="75">
        <f>'THAM_SO_MOI'!$C$12*I2210</f>
        <v>1130.112</v>
      </c>
      <c r="O2210" s="75">
        <f>M2210+N2210</f>
        <v>1375.197004528872</v>
      </c>
      <c r="P2210" s="75">
        <f>(MIN(L2210,'THAM_SO_MOI'!$C$41)-O2210)/('THAM_SO_MOI'!$C$11*H2210)</f>
        <v>0.7786993254915476</v>
      </c>
      <c r="Q2210" s="75">
        <f>IF(P2210&gt;0,1/P2210,NA())</f>
        <v>1.2841927137522022</v>
      </c>
      <c r="R2210" s="75">
        <f>F2210-F2209</f>
        <v>0.005028991339518285</v>
      </c>
      <c r="S2210" s="75">
        <f>0.5*(Q2209+Q2210)*R2210</f>
        <v>0.006457946243976646</v>
      </c>
      <c r="T2210" s="75">
        <f>0.5*(F2209*Q2209+F2210*Q2210)*R2210</f>
        <v>0.05909769586897725</v>
      </c>
      <c r="U2210" s="76">
        <f>U2209+S2210</f>
        <v>11.401828002091039</v>
      </c>
      <c r="V2210" s="76">
        <f>V2209+T2210</f>
        <v>60.38719519765249</v>
      </c>
    </row>
    <row r="2211" spans="1:22" ht="19" customHeight="1">
      <c r="A2211" s="68" t="s">
        <v>374</v>
      </c>
      <c r="B2211" s="74">
        <v>3</v>
      </c>
      <c r="C2211" s="68" t="s">
        <v>363</v>
      </c>
      <c r="D2211" s="68" t="s">
        <v>364</v>
      </c>
      <c r="E2211" s="75">
        <f>60*F2211*'THAM_SO_MOI'!$C$51/(2*PI()*'THAM_SO_MOI'!$C$26)</f>
        <v>2300.6094035364245</v>
      </c>
      <c r="F2211" s="75">
        <f>'HANH_TRINH'!$F$1647+('THAM_SO_MOI'!$F$51-'HANH_TRINH'!$F$1647)*563/'THAM_SO_MOI'!$C$42</f>
        <v>9.158702851494018</v>
      </c>
      <c r="G2211" s="75">
        <f>3.6*F2211</f>
        <v>32.97133026537847</v>
      </c>
      <c r="H2211" s="75">
        <f>'THAM_SO_MOI'!$D$51</f>
        <v>1.375</v>
      </c>
      <c r="I2211" s="75">
        <f>IF(F2211&gt;'THAM_SO_MOI'!$C$14,'THAM_SO_MOI'!$C$13*(1+F2211^2/1500),'THAM_SO_MOI'!$C$13)</f>
        <v>0.015</v>
      </c>
      <c r="J2211" s="75">
        <f>'THAM_SO_MOI'!$C$40*('THAM_SO_MOI'!$C$23*(E2211/'THAM_SO_MOI'!$C$22)+'THAM_SO_MOI'!$C$24*(E2211/'THAM_SO_MOI'!$C$22)^2-'THAM_SO_MOI'!$C$25*(E2211/'THAM_SO_MOI'!$C$22)^3)</f>
        <v>103.39729394924242</v>
      </c>
      <c r="K2211" s="75">
        <f>'THAM_SO_MOI'!$C$31*J2211/E2211</f>
        <v>429.25918882003754</v>
      </c>
      <c r="L2211" s="75">
        <f>K2211*'THAM_SO_MOI'!$C$51*'THAM_SO_MOI'!$C$17/'THAM_SO_MOI'!$C$26</f>
        <v>9597.89658045445</v>
      </c>
      <c r="M2211" s="75">
        <f>'THAM_SO_MOI'!$C$15*'THAM_SO_MOI'!$C$16*F2211^2</f>
        <v>245.35437592174665</v>
      </c>
      <c r="N2211" s="75">
        <f>'THAM_SO_MOI'!$C$12*I2211</f>
        <v>1130.112</v>
      </c>
      <c r="O2211" s="75">
        <f>M2211+N2211</f>
        <v>1375.4663759217467</v>
      </c>
      <c r="P2211" s="75">
        <f>(MIN(L2211,'THAM_SO_MOI'!$C$41)-O2211)/('THAM_SO_MOI'!$C$11*H2211)</f>
        <v>0.7786392239140817</v>
      </c>
      <c r="Q2211" s="75">
        <f>IF(P2211&gt;0,1/P2211,NA())</f>
        <v>1.2842918379749442</v>
      </c>
      <c r="R2211" s="75">
        <f>F2211-F2210</f>
        <v>0.005028991339516509</v>
      </c>
      <c r="S2211" s="75">
        <f>0.5*(Q2210+Q2211)*R2211</f>
        <v>0.00645844328315888</v>
      </c>
      <c r="T2211" s="75">
        <f>0.5*(F2210*Q2210+F2211*Q2211)*R2211</f>
        <v>0.059134723812742325</v>
      </c>
      <c r="U2211" s="76">
        <f>U2210+S2211</f>
        <v>11.408286445374197</v>
      </c>
      <c r="V2211" s="76">
        <f>V2210+T2211</f>
        <v>60.44632992146523</v>
      </c>
    </row>
    <row r="2212" spans="1:22" ht="19" customHeight="1">
      <c r="A2212" s="68" t="s">
        <v>374</v>
      </c>
      <c r="B2212" s="74">
        <v>3</v>
      </c>
      <c r="C2212" s="68" t="s">
        <v>363</v>
      </c>
      <c r="D2212" s="68" t="s">
        <v>364</v>
      </c>
      <c r="E2212" s="75">
        <f>60*F2212*'THAM_SO_MOI'!$C$51/(2*PI()*'THAM_SO_MOI'!$C$26)</f>
        <v>2301.872654998296</v>
      </c>
      <c r="F2212" s="75">
        <f>'HANH_TRINH'!$F$1647+('THAM_SO_MOI'!$F$51-'HANH_TRINH'!$F$1647)*564/'THAM_SO_MOI'!$C$42</f>
        <v>9.163731842833537</v>
      </c>
      <c r="G2212" s="75">
        <f>3.6*F2212</f>
        <v>32.989434634200734</v>
      </c>
      <c r="H2212" s="75">
        <f>'THAM_SO_MOI'!$D$51</f>
        <v>1.375</v>
      </c>
      <c r="I2212" s="75">
        <f>IF(F2212&gt;'THAM_SO_MOI'!$C$14,'THAM_SO_MOI'!$C$13*(1+F2212^2/1500),'THAM_SO_MOI'!$C$13)</f>
        <v>0.015</v>
      </c>
      <c r="J2212" s="75">
        <f>'THAM_SO_MOI'!$C$40*('THAM_SO_MOI'!$C$23*(E2212/'THAM_SO_MOI'!$C$22)+'THAM_SO_MOI'!$C$24*(E2212/'THAM_SO_MOI'!$C$22)^2-'THAM_SO_MOI'!$C$25*(E2212/'THAM_SO_MOI'!$C$22)^3)</f>
        <v>103.45009398081005</v>
      </c>
      <c r="K2212" s="75">
        <f>'THAM_SO_MOI'!$C$31*J2212/E2212</f>
        <v>429.2426961604886</v>
      </c>
      <c r="L2212" s="75">
        <f>K2212*'THAM_SO_MOI'!$C$51*'THAM_SO_MOI'!$C$17/'THAM_SO_MOI'!$C$26</f>
        <v>9597.527817607179</v>
      </c>
      <c r="M2212" s="75">
        <f>'THAM_SO_MOI'!$C$15*'THAM_SO_MOI'!$C$16*F2212^2</f>
        <v>245.6238952655319</v>
      </c>
      <c r="N2212" s="75">
        <f>'THAM_SO_MOI'!$C$12*I2212</f>
        <v>1130.112</v>
      </c>
      <c r="O2212" s="75">
        <f>M2212+N2212</f>
        <v>1375.735895265532</v>
      </c>
      <c r="P2212" s="75">
        <f>(MIN(L2212,'THAM_SO_MOI'!$C$41)-O2212)/('THAM_SO_MOI'!$C$11*H2212)</f>
        <v>0.7785787805247771</v>
      </c>
      <c r="Q2212" s="75">
        <f>IF(P2212&gt;0,1/P2212,NA())</f>
        <v>1.2843915413748892</v>
      </c>
      <c r="R2212" s="75">
        <f>F2212-F2211</f>
        <v>0.005028991339518285</v>
      </c>
      <c r="S2212" s="75">
        <f>0.5*(Q2211+Q2212)*R2212</f>
        <v>0.006458943234357437</v>
      </c>
      <c r="T2212" s="75">
        <f>0.5*(F2211*Q2211+F2212*Q2212)*R2212</f>
        <v>0.059171783433335</v>
      </c>
      <c r="U2212" s="76">
        <f>U2211+S2212</f>
        <v>11.414745388608553</v>
      </c>
      <c r="V2212" s="76">
        <f>V2211+T2212</f>
        <v>60.50550170489856</v>
      </c>
    </row>
    <row r="2213" spans="1:22" ht="19" customHeight="1">
      <c r="A2213" s="68" t="s">
        <v>374</v>
      </c>
      <c r="B2213" s="74">
        <v>3</v>
      </c>
      <c r="C2213" s="68" t="s">
        <v>363</v>
      </c>
      <c r="D2213" s="68" t="s">
        <v>364</v>
      </c>
      <c r="E2213" s="75">
        <f>60*F2213*'THAM_SO_MOI'!$C$51/(2*PI()*'THAM_SO_MOI'!$C$26)</f>
        <v>2303.1359064601684</v>
      </c>
      <c r="F2213" s="75">
        <f>'HANH_TRINH'!$F$1647+('THAM_SO_MOI'!$F$51-'HANH_TRINH'!$F$1647)*565/'THAM_SO_MOI'!$C$42</f>
        <v>9.168760834173055</v>
      </c>
      <c r="G2213" s="75">
        <f>3.6*F2213</f>
        <v>33.007539003023</v>
      </c>
      <c r="H2213" s="75">
        <f>'THAM_SO_MOI'!$D$51</f>
        <v>1.375</v>
      </c>
      <c r="I2213" s="75">
        <f>IF(F2213&gt;'THAM_SO_MOI'!$C$14,'THAM_SO_MOI'!$C$13*(1+F2213^2/1500),'THAM_SO_MOI'!$C$13)</f>
        <v>0.015</v>
      </c>
      <c r="J2213" s="75">
        <f>'THAM_SO_MOI'!$C$40*('THAM_SO_MOI'!$C$23*(E2213/'THAM_SO_MOI'!$C$22)+'THAM_SO_MOI'!$C$24*(E2213/'THAM_SO_MOI'!$C$22)^2-'THAM_SO_MOI'!$C$25*(E2213/'THAM_SO_MOI'!$C$22)^3)</f>
        <v>103.50285231738744</v>
      </c>
      <c r="K2213" s="75">
        <f>'THAM_SO_MOI'!$C$31*J2213/E2213</f>
        <v>429.2260486841091</v>
      </c>
      <c r="L2213" s="75">
        <f>K2213*'THAM_SO_MOI'!$C$51*'THAM_SO_MOI'!$C$17/'THAM_SO_MOI'!$C$26</f>
        <v>9597.155593177793</v>
      </c>
      <c r="M2213" s="75">
        <f>'THAM_SO_MOI'!$C$15*'THAM_SO_MOI'!$C$16*F2213^2</f>
        <v>245.89356256022742</v>
      </c>
      <c r="N2213" s="75">
        <f>'THAM_SO_MOI'!$C$12*I2213</f>
        <v>1130.112</v>
      </c>
      <c r="O2213" s="75">
        <f>M2213+N2213</f>
        <v>1376.0055625602274</v>
      </c>
      <c r="P2213" s="75">
        <f>(MIN(L2213,'THAM_SO_MOI'!$C$41)-O2213)/('THAM_SO_MOI'!$C$11*H2213)</f>
        <v>0.7785179953236331</v>
      </c>
      <c r="Q2213" s="75">
        <f>IF(P2213&gt;0,1/P2213,NA())</f>
        <v>1.2844918242182648</v>
      </c>
      <c r="R2213" s="75">
        <f>F2213-F2212</f>
        <v>0.005028991339518285</v>
      </c>
      <c r="S2213" s="75">
        <f>0.5*(Q2212+Q2213)*R2213</f>
        <v>0.006459446098900278</v>
      </c>
      <c r="T2213" s="75">
        <f>0.5*(F2212*Q2212+F2213*Q2213)*R2213</f>
        <v>0.05920887478686125</v>
      </c>
      <c r="U2213" s="76">
        <f>U2212+S2213</f>
        <v>11.421204834707453</v>
      </c>
      <c r="V2213" s="76">
        <f>V2212+T2213</f>
        <v>60.564710579685425</v>
      </c>
    </row>
    <row r="2214" spans="1:22" ht="19" customHeight="1">
      <c r="A2214" s="68" t="s">
        <v>374</v>
      </c>
      <c r="B2214" s="74">
        <v>3</v>
      </c>
      <c r="C2214" s="68" t="s">
        <v>363</v>
      </c>
      <c r="D2214" s="68" t="s">
        <v>364</v>
      </c>
      <c r="E2214" s="75">
        <f>60*F2214*'THAM_SO_MOI'!$C$51/(2*PI()*'THAM_SO_MOI'!$C$26)</f>
        <v>2304.399157922039</v>
      </c>
      <c r="F2214" s="75">
        <f>'HANH_TRINH'!$F$1647+('THAM_SO_MOI'!$F$51-'HANH_TRINH'!$F$1647)*566/'THAM_SO_MOI'!$C$42</f>
        <v>9.173789825512571</v>
      </c>
      <c r="G2214" s="75">
        <f>3.6*F2214</f>
        <v>33.025643371845256</v>
      </c>
      <c r="H2214" s="75">
        <f>'THAM_SO_MOI'!$D$51</f>
        <v>1.375</v>
      </c>
      <c r="I2214" s="75">
        <f>IF(F2214&gt;'THAM_SO_MOI'!$C$14,'THAM_SO_MOI'!$C$13*(1+F2214^2/1500),'THAM_SO_MOI'!$C$13)</f>
        <v>0.015</v>
      </c>
      <c r="J2214" s="75">
        <f>'THAM_SO_MOI'!$C$40*('THAM_SO_MOI'!$C$23*(E2214/'THAM_SO_MOI'!$C$22)+'THAM_SO_MOI'!$C$24*(E2214/'THAM_SO_MOI'!$C$22)^2-'THAM_SO_MOI'!$C$25*(E2214/'THAM_SO_MOI'!$C$22)^3)</f>
        <v>103.55556889754513</v>
      </c>
      <c r="K2214" s="75">
        <f>'THAM_SO_MOI'!$C$31*J2214/E2214</f>
        <v>429.2092463908991</v>
      </c>
      <c r="L2214" s="75">
        <f>K2214*'THAM_SO_MOI'!$C$51*'THAM_SO_MOI'!$C$17/'THAM_SO_MOI'!$C$26</f>
        <v>9596.779907166303</v>
      </c>
      <c r="M2214" s="75">
        <f>'THAM_SO_MOI'!$C$15*'THAM_SO_MOI'!$C$16*F2214^2</f>
        <v>246.16337780583308</v>
      </c>
      <c r="N2214" s="75">
        <f>'THAM_SO_MOI'!$C$12*I2214</f>
        <v>1130.112</v>
      </c>
      <c r="O2214" s="75">
        <f>M2214+N2214</f>
        <v>1376.2753778058332</v>
      </c>
      <c r="P2214" s="75">
        <f>(MIN(L2214,'THAM_SO_MOI'!$C$41)-O2214)/('THAM_SO_MOI'!$C$11*H2214)</f>
        <v>0.7784568683106506</v>
      </c>
      <c r="Q2214" s="75">
        <f>IF(P2214&gt;0,1/P2214,NA())</f>
        <v>1.2845926867729047</v>
      </c>
      <c r="R2214" s="75">
        <f>F2214-F2213</f>
        <v>0.005028991339516509</v>
      </c>
      <c r="S2214" s="75">
        <f>0.5*(Q2213+Q2214)*R2214</f>
        <v>0.006459951878130298</v>
      </c>
      <c r="T2214" s="75">
        <f>0.5*(F2213*Q2213+F2214*Q2214)*R2214</f>
        <v>0.05924599792959066</v>
      </c>
      <c r="U2214" s="76">
        <f>U2213+S2214</f>
        <v>11.427664786585582</v>
      </c>
      <c r="V2214" s="76">
        <f>V2213+T2214</f>
        <v>60.62395657761502</v>
      </c>
    </row>
    <row r="2215" spans="1:22" ht="19" customHeight="1">
      <c r="A2215" s="68" t="s">
        <v>374</v>
      </c>
      <c r="B2215" s="74">
        <v>3</v>
      </c>
      <c r="C2215" s="68" t="s">
        <v>363</v>
      </c>
      <c r="D2215" s="68" t="s">
        <v>364</v>
      </c>
      <c r="E2215" s="75">
        <f>60*F2215*'THAM_SO_MOI'!$C$51/(2*PI()*'THAM_SO_MOI'!$C$26)</f>
        <v>2305.662409383911</v>
      </c>
      <c r="F2215" s="75">
        <f>'HANH_TRINH'!$F$1647+('THAM_SO_MOI'!$F$51-'HANH_TRINH'!$F$1647)*567/'THAM_SO_MOI'!$C$42</f>
        <v>9.17881881685209</v>
      </c>
      <c r="G2215" s="75">
        <f>3.6*F2215</f>
        <v>33.04374774066753</v>
      </c>
      <c r="H2215" s="75">
        <f>'THAM_SO_MOI'!$D$51</f>
        <v>1.375</v>
      </c>
      <c r="I2215" s="75">
        <f>IF(F2215&gt;'THAM_SO_MOI'!$C$14,'THAM_SO_MOI'!$C$13*(1+F2215^2/1500),'THAM_SO_MOI'!$C$13)</f>
        <v>0.015</v>
      </c>
      <c r="J2215" s="75">
        <f>'THAM_SO_MOI'!$C$40*('THAM_SO_MOI'!$C$23*(E2215/'THAM_SO_MOI'!$C$22)+'THAM_SO_MOI'!$C$24*(E2215/'THAM_SO_MOI'!$C$22)^2-'THAM_SO_MOI'!$C$25*(E2215/'THAM_SO_MOI'!$C$22)^3)</f>
        <v>103.6082436598539</v>
      </c>
      <c r="K2215" s="75">
        <f>'THAM_SO_MOI'!$C$31*J2215/E2215</f>
        <v>429.1922892808586</v>
      </c>
      <c r="L2215" s="75">
        <f>K2215*'THAM_SO_MOI'!$C$51*'THAM_SO_MOI'!$C$17/'THAM_SO_MOI'!$C$26</f>
        <v>9596.400759572703</v>
      </c>
      <c r="M2215" s="75">
        <f>'THAM_SO_MOI'!$C$15*'THAM_SO_MOI'!$C$16*F2215^2</f>
        <v>246.43334100234918</v>
      </c>
      <c r="N2215" s="75">
        <f>'THAM_SO_MOI'!$C$12*I2215</f>
        <v>1130.112</v>
      </c>
      <c r="O2215" s="75">
        <f>M2215+N2215</f>
        <v>1376.5453410023492</v>
      </c>
      <c r="P2215" s="75">
        <f>(MIN(L2215,'THAM_SO_MOI'!$C$41)-O2215)/('THAM_SO_MOI'!$C$11*H2215)</f>
        <v>0.778395399485829</v>
      </c>
      <c r="Q2215" s="75">
        <f>IF(P2215&gt;0,1/P2215,NA())</f>
        <v>1.284694129308257</v>
      </c>
      <c r="R2215" s="75">
        <f>F2215-F2214</f>
        <v>0.005028991339518285</v>
      </c>
      <c r="S2215" s="75">
        <f>0.5*(Q2214+Q2215)*R2215</f>
        <v>0.006460460573405336</v>
      </c>
      <c r="T2215" s="75">
        <f>0.5*(F2214*Q2214+F2215*Q2215)*R2215</f>
        <v>0.05928315291795701</v>
      </c>
      <c r="U2215" s="76">
        <f>U2214+S2215</f>
        <v>11.434125247158988</v>
      </c>
      <c r="V2215" s="76">
        <f>V2214+T2215</f>
        <v>60.683239730532975</v>
      </c>
    </row>
    <row r="2216" spans="1:22" ht="19" customHeight="1">
      <c r="A2216" s="68" t="s">
        <v>374</v>
      </c>
      <c r="B2216" s="74">
        <v>3</v>
      </c>
      <c r="C2216" s="68" t="s">
        <v>363</v>
      </c>
      <c r="D2216" s="68" t="s">
        <v>364</v>
      </c>
      <c r="E2216" s="75">
        <f>60*F2216*'THAM_SO_MOI'!$C$51/(2*PI()*'THAM_SO_MOI'!$C$26)</f>
        <v>2306.925660845783</v>
      </c>
      <c r="F2216" s="75">
        <f>'HANH_TRINH'!$F$1647+('THAM_SO_MOI'!$F$51-'HANH_TRINH'!$F$1647)*568/'THAM_SO_MOI'!$C$42</f>
        <v>9.183847808191608</v>
      </c>
      <c r="G2216" s="75">
        <f>3.6*F2216</f>
        <v>33.06185210948979</v>
      </c>
      <c r="H2216" s="75">
        <f>'THAM_SO_MOI'!$D$51</f>
        <v>1.375</v>
      </c>
      <c r="I2216" s="75">
        <f>IF(F2216&gt;'THAM_SO_MOI'!$C$14,'THAM_SO_MOI'!$C$13*(1+F2216^2/1500),'THAM_SO_MOI'!$C$13)</f>
        <v>0.015</v>
      </c>
      <c r="J2216" s="75">
        <f>'THAM_SO_MOI'!$C$40*('THAM_SO_MOI'!$C$23*(E2216/'THAM_SO_MOI'!$C$22)+'THAM_SO_MOI'!$C$24*(E2216/'THAM_SO_MOI'!$C$22)^2-'THAM_SO_MOI'!$C$25*(E2216/'THAM_SO_MOI'!$C$22)^3)</f>
        <v>103.66087654288441</v>
      </c>
      <c r="K2216" s="75">
        <f>'THAM_SO_MOI'!$C$31*J2216/E2216</f>
        <v>429.17517735398775</v>
      </c>
      <c r="L2216" s="75">
        <f>K2216*'THAM_SO_MOI'!$C$51*'THAM_SO_MOI'!$C$17/'THAM_SO_MOI'!$C$26</f>
        <v>9596.018150396996</v>
      </c>
      <c r="M2216" s="75">
        <f>'THAM_SO_MOI'!$C$15*'THAM_SO_MOI'!$C$16*F2216^2</f>
        <v>246.7034521497755</v>
      </c>
      <c r="N2216" s="75">
        <f>'THAM_SO_MOI'!$C$12*I2216</f>
        <v>1130.112</v>
      </c>
      <c r="O2216" s="75">
        <f>M2216+N2216</f>
        <v>1376.8154521497756</v>
      </c>
      <c r="P2216" s="75">
        <f>(MIN(L2216,'THAM_SO_MOI'!$C$41)-O2216)/('THAM_SO_MOI'!$C$11*H2216)</f>
        <v>0.7783335888491686</v>
      </c>
      <c r="Q2216" s="75">
        <f>IF(P2216&gt;0,1/P2216,NA())</f>
        <v>1.2847961520953808</v>
      </c>
      <c r="R2216" s="75">
        <f>F2216-F2215</f>
        <v>0.005028991339518285</v>
      </c>
      <c r="S2216" s="75">
        <f>0.5*(Q2215+Q2216)*R2216</f>
        <v>0.006460972186077648</v>
      </c>
      <c r="T2216" s="75">
        <f>0.5*(F2215*Q2215+F2216*Q2216)*R2216</f>
        <v>0.059320339808370114</v>
      </c>
      <c r="U2216" s="76">
        <f>U2215+S2216</f>
        <v>11.440586219345066</v>
      </c>
      <c r="V2216" s="76">
        <f>V2215+T2216</f>
        <v>60.74256007034135</v>
      </c>
    </row>
    <row r="2217" spans="1:22" ht="19" customHeight="1">
      <c r="A2217" s="68" t="s">
        <v>374</v>
      </c>
      <c r="B2217" s="74">
        <v>3</v>
      </c>
      <c r="C2217" s="68" t="s">
        <v>363</v>
      </c>
      <c r="D2217" s="68" t="s">
        <v>364</v>
      </c>
      <c r="E2217" s="75">
        <f>60*F2217*'THAM_SO_MOI'!$C$51/(2*PI()*'THAM_SO_MOI'!$C$26)</f>
        <v>2308.188912307655</v>
      </c>
      <c r="F2217" s="75">
        <f>'HANH_TRINH'!$F$1647+('THAM_SO_MOI'!$F$51-'HANH_TRINH'!$F$1647)*569/'THAM_SO_MOI'!$C$42</f>
        <v>9.188876799531126</v>
      </c>
      <c r="G2217" s="75">
        <f>3.6*F2217</f>
        <v>33.079956478312056</v>
      </c>
      <c r="H2217" s="75">
        <f>'THAM_SO_MOI'!$D$51</f>
        <v>1.375</v>
      </c>
      <c r="I2217" s="75">
        <f>IF(F2217&gt;'THAM_SO_MOI'!$C$14,'THAM_SO_MOI'!$C$13*(1+F2217^2/1500),'THAM_SO_MOI'!$C$13)</f>
        <v>0.015</v>
      </c>
      <c r="J2217" s="75">
        <f>'THAM_SO_MOI'!$C$40*('THAM_SO_MOI'!$C$23*(E2217/'THAM_SO_MOI'!$C$22)+'THAM_SO_MOI'!$C$24*(E2217/'THAM_SO_MOI'!$C$22)^2-'THAM_SO_MOI'!$C$25*(E2217/'THAM_SO_MOI'!$C$22)^3)</f>
        <v>103.7134674852072</v>
      </c>
      <c r="K2217" s="75">
        <f>'THAM_SO_MOI'!$C$31*J2217/E2217</f>
        <v>429.15791061028625</v>
      </c>
      <c r="L2217" s="75">
        <f>K2217*'THAM_SO_MOI'!$C$51*'THAM_SO_MOI'!$C$17/'THAM_SO_MOI'!$C$26</f>
        <v>9595.632079639177</v>
      </c>
      <c r="M2217" s="75">
        <f>'THAM_SO_MOI'!$C$15*'THAM_SO_MOI'!$C$16*F2217^2</f>
        <v>246.9737112481121</v>
      </c>
      <c r="N2217" s="75">
        <f>'THAM_SO_MOI'!$C$12*I2217</f>
        <v>1130.112</v>
      </c>
      <c r="O2217" s="75">
        <f>M2217+N2217</f>
        <v>1377.0857112481121</v>
      </c>
      <c r="P2217" s="75">
        <f>(MIN(L2217,'THAM_SO_MOI'!$C$41)-O2217)/('THAM_SO_MOI'!$C$11*H2217)</f>
        <v>0.778271436400669</v>
      </c>
      <c r="Q2217" s="75">
        <f>IF(P2217&gt;0,1/P2217,NA())</f>
        <v>1.2848987554069515</v>
      </c>
      <c r="R2217" s="75">
        <f>F2217-F2216</f>
        <v>0.005028991339518285</v>
      </c>
      <c r="S2217" s="75">
        <f>0.5*(Q2216+Q2217)*R2217</f>
        <v>0.006461486717516734</v>
      </c>
      <c r="T2217" s="75">
        <f>0.5*(F2216*Q2216+F2217*Q2217)*R2217</f>
        <v>0.05935755865742543</v>
      </c>
      <c r="U2217" s="76">
        <f>U2216+S2217</f>
        <v>11.447047706062582</v>
      </c>
      <c r="V2217" s="76">
        <f>V2216+T2217</f>
        <v>60.80191762899877</v>
      </c>
    </row>
    <row r="2218" spans="1:22" ht="19" customHeight="1">
      <c r="A2218" s="68" t="s">
        <v>374</v>
      </c>
      <c r="B2218" s="74">
        <v>3</v>
      </c>
      <c r="C2218" s="68" t="s">
        <v>363</v>
      </c>
      <c r="D2218" s="68" t="s">
        <v>364</v>
      </c>
      <c r="E2218" s="75">
        <f>60*F2218*'THAM_SO_MOI'!$C$51/(2*PI()*'THAM_SO_MOI'!$C$26)</f>
        <v>2309.452163769526</v>
      </c>
      <c r="F2218" s="75">
        <f>'HANH_TRINH'!$F$1647+('THAM_SO_MOI'!$F$51-'HANH_TRINH'!$F$1647)*570/'THAM_SO_MOI'!$C$42</f>
        <v>9.193905790870643</v>
      </c>
      <c r="G2218" s="75">
        <f>3.6*F2218</f>
        <v>33.09806084713431</v>
      </c>
      <c r="H2218" s="75">
        <f>'THAM_SO_MOI'!$D$51</f>
        <v>1.375</v>
      </c>
      <c r="I2218" s="75">
        <f>IF(F2218&gt;'THAM_SO_MOI'!$C$14,'THAM_SO_MOI'!$C$13*(1+F2218^2/1500),'THAM_SO_MOI'!$C$13)</f>
        <v>0.015</v>
      </c>
      <c r="J2218" s="75">
        <f>'THAM_SO_MOI'!$C$40*('THAM_SO_MOI'!$C$23*(E2218/'THAM_SO_MOI'!$C$22)+'THAM_SO_MOI'!$C$24*(E2218/'THAM_SO_MOI'!$C$22)^2-'THAM_SO_MOI'!$C$25*(E2218/'THAM_SO_MOI'!$C$22)^3)</f>
        <v>103.76601642539298</v>
      </c>
      <c r="K2218" s="75">
        <f>'THAM_SO_MOI'!$C$31*J2218/E2218</f>
        <v>429.1404890497543</v>
      </c>
      <c r="L2218" s="75">
        <f>K2218*'THAM_SO_MOI'!$C$51*'THAM_SO_MOI'!$C$17/'THAM_SO_MOI'!$C$26</f>
        <v>9595.242547299253</v>
      </c>
      <c r="M2218" s="75">
        <f>'THAM_SO_MOI'!$C$15*'THAM_SO_MOI'!$C$16*F2218^2</f>
        <v>247.24411829735888</v>
      </c>
      <c r="N2218" s="75">
        <f>'THAM_SO_MOI'!$C$12*I2218</f>
        <v>1130.112</v>
      </c>
      <c r="O2218" s="75">
        <f>M2218+N2218</f>
        <v>1377.356118297359</v>
      </c>
      <c r="P2218" s="75">
        <f>(MIN(L2218,'THAM_SO_MOI'!$C$41)-O2218)/('THAM_SO_MOI'!$C$11*H2218)</f>
        <v>0.7782089421403309</v>
      </c>
      <c r="Q2218" s="75">
        <f>IF(P2218&gt;0,1/P2218,NA())</f>
        <v>1.2850019395172596</v>
      </c>
      <c r="R2218" s="75">
        <f>F2218-F2217</f>
        <v>0.005028991339516509</v>
      </c>
      <c r="S2218" s="75">
        <f>0.5*(Q2217+Q2218)*R2218</f>
        <v>0.006462004169095657</v>
      </c>
      <c r="T2218" s="75">
        <f>0.5*(F2217*Q2217+F2218*Q2218)*R2218</f>
        <v>0.05939480952177864</v>
      </c>
      <c r="U2218" s="76">
        <f>U2217+S2218</f>
        <v>11.453509710231678</v>
      </c>
      <c r="V2218" s="76">
        <f>V2217+T2218</f>
        <v>60.86131243852055</v>
      </c>
    </row>
    <row r="2219" spans="1:22" ht="19" customHeight="1">
      <c r="A2219" s="68" t="s">
        <v>374</v>
      </c>
      <c r="B2219" s="74">
        <v>3</v>
      </c>
      <c r="C2219" s="68" t="s">
        <v>363</v>
      </c>
      <c r="D2219" s="68" t="s">
        <v>364</v>
      </c>
      <c r="E2219" s="75">
        <f>60*F2219*'THAM_SO_MOI'!$C$51/(2*PI()*'THAM_SO_MOI'!$C$26)</f>
        <v>2310.715415231398</v>
      </c>
      <c r="F2219" s="75">
        <f>'HANH_TRINH'!$F$1647+('THAM_SO_MOI'!$F$51-'HANH_TRINH'!$F$1647)*571/'THAM_SO_MOI'!$C$42</f>
        <v>9.198934782210161</v>
      </c>
      <c r="G2219" s="75">
        <f>3.6*F2219</f>
        <v>33.11616521595658</v>
      </c>
      <c r="H2219" s="75">
        <f>'THAM_SO_MOI'!$D$51</f>
        <v>1.375</v>
      </c>
      <c r="I2219" s="75">
        <f>IF(F2219&gt;'THAM_SO_MOI'!$C$14,'THAM_SO_MOI'!$C$13*(1+F2219^2/1500),'THAM_SO_MOI'!$C$13)</f>
        <v>0.015</v>
      </c>
      <c r="J2219" s="75">
        <f>'THAM_SO_MOI'!$C$40*('THAM_SO_MOI'!$C$23*(E2219/'THAM_SO_MOI'!$C$22)+'THAM_SO_MOI'!$C$24*(E2219/'THAM_SO_MOI'!$C$22)^2-'THAM_SO_MOI'!$C$25*(E2219/'THAM_SO_MOI'!$C$22)^3)</f>
        <v>103.8185233020124</v>
      </c>
      <c r="K2219" s="75">
        <f>'THAM_SO_MOI'!$C$31*J2219/E2219</f>
        <v>429.1229126723918</v>
      </c>
      <c r="L2219" s="75">
        <f>K2219*'THAM_SO_MOI'!$C$51*'THAM_SO_MOI'!$C$17/'THAM_SO_MOI'!$C$26</f>
        <v>9594.849553377217</v>
      </c>
      <c r="M2219" s="75">
        <f>'THAM_SO_MOI'!$C$15*'THAM_SO_MOI'!$C$16*F2219^2</f>
        <v>247.51467329751605</v>
      </c>
      <c r="N2219" s="75">
        <f>'THAM_SO_MOI'!$C$12*I2219</f>
        <v>1130.112</v>
      </c>
      <c r="O2219" s="75">
        <f>M2219+N2219</f>
        <v>1377.6266732975162</v>
      </c>
      <c r="P2219" s="75">
        <f>(MIN(L2219,'THAM_SO_MOI'!$C$41)-O2219)/('THAM_SO_MOI'!$C$11*H2219)</f>
        <v>0.7781461060681536</v>
      </c>
      <c r="Q2219" s="75">
        <f>IF(P2219&gt;0,1/P2219,NA())</f>
        <v>1.2851057047022163</v>
      </c>
      <c r="R2219" s="75">
        <f>F2219-F2218</f>
        <v>0.005028991339518285</v>
      </c>
      <c r="S2219" s="75">
        <f>0.5*(Q2218+Q2219)*R2219</f>
        <v>0.006462524542204744</v>
      </c>
      <c r="T2219" s="75">
        <f>0.5*(F2218*Q2218+F2219*Q2219)*R2219</f>
        <v>0.05943209245827186</v>
      </c>
      <c r="U2219" s="76">
        <f>U2218+S2219</f>
        <v>11.459972234773883</v>
      </c>
      <c r="V2219" s="76">
        <f>V2218+T2219</f>
        <v>60.92074453097882</v>
      </c>
    </row>
    <row r="2220" spans="1:22" ht="19" customHeight="1">
      <c r="A2220" s="68" t="s">
        <v>374</v>
      </c>
      <c r="B2220" s="74">
        <v>3</v>
      </c>
      <c r="C2220" s="68" t="s">
        <v>363</v>
      </c>
      <c r="D2220" s="68" t="s">
        <v>364</v>
      </c>
      <c r="E2220" s="75">
        <f>60*F2220*'THAM_SO_MOI'!$C$51/(2*PI()*'THAM_SO_MOI'!$C$26)</f>
        <v>2311.978666693269</v>
      </c>
      <c r="F2220" s="75">
        <f>'HANH_TRINH'!$F$1647+('THAM_SO_MOI'!$F$51-'HANH_TRINH'!$F$1647)*572/'THAM_SO_MOI'!$C$42</f>
        <v>9.203963773549678</v>
      </c>
      <c r="G2220" s="75">
        <f>3.6*F2220</f>
        <v>33.13426958477884</v>
      </c>
      <c r="H2220" s="75">
        <f>'THAM_SO_MOI'!$D$51</f>
        <v>1.375</v>
      </c>
      <c r="I2220" s="75">
        <f>IF(F2220&gt;'THAM_SO_MOI'!$C$14,'THAM_SO_MOI'!$C$13*(1+F2220^2/1500),'THAM_SO_MOI'!$C$13)</f>
        <v>0.015</v>
      </c>
      <c r="J2220" s="75">
        <f>'THAM_SO_MOI'!$C$40*('THAM_SO_MOI'!$C$23*(E2220/'THAM_SO_MOI'!$C$22)+'THAM_SO_MOI'!$C$24*(E2220/'THAM_SO_MOI'!$C$22)^2-'THAM_SO_MOI'!$C$25*(E2220/'THAM_SO_MOI'!$C$22)^3)</f>
        <v>103.87098805363607</v>
      </c>
      <c r="K2220" s="75">
        <f>'THAM_SO_MOI'!$C$31*J2220/E2220</f>
        <v>429.1051814781988</v>
      </c>
      <c r="L2220" s="75">
        <f>K2220*'THAM_SO_MOI'!$C$51*'THAM_SO_MOI'!$C$17/'THAM_SO_MOI'!$C$26</f>
        <v>9594.453097873073</v>
      </c>
      <c r="M2220" s="75">
        <f>'THAM_SO_MOI'!$C$15*'THAM_SO_MOI'!$C$16*F2220^2</f>
        <v>247.78537624858336</v>
      </c>
      <c r="N2220" s="75">
        <f>'THAM_SO_MOI'!$C$12*I2220</f>
        <v>1130.112</v>
      </c>
      <c r="O2220" s="75">
        <f>M2220+N2220</f>
        <v>1377.8973762485834</v>
      </c>
      <c r="P2220" s="75">
        <f>(MIN(L2220,'THAM_SO_MOI'!$C$41)-O2220)/('THAM_SO_MOI'!$C$11*H2220)</f>
        <v>0.7780829281841372</v>
      </c>
      <c r="Q2220" s="75">
        <f>IF(P2220&gt;0,1/P2220,NA())</f>
        <v>1.285210051239352</v>
      </c>
      <c r="R2220" s="75">
        <f>F2220-F2219</f>
        <v>0.005028991339516509</v>
      </c>
      <c r="S2220" s="75">
        <f>0.5*(Q2219+Q2220)*R2220</f>
        <v>0.006463047838226488</v>
      </c>
      <c r="T2220" s="75">
        <f>0.5*(F2219*Q2219+F2220*Q2220)*R2220</f>
        <v>0.05946940752370314</v>
      </c>
      <c r="U2220" s="76">
        <f>U2219+S2220</f>
        <v>11.466435282612109</v>
      </c>
      <c r="V2220" s="76">
        <f>V2219+T2220</f>
        <v>60.98021393850252</v>
      </c>
    </row>
    <row r="2221" spans="1:22" ht="19" customHeight="1">
      <c r="A2221" s="68" t="s">
        <v>374</v>
      </c>
      <c r="B2221" s="74">
        <v>3</v>
      </c>
      <c r="C2221" s="68" t="s">
        <v>363</v>
      </c>
      <c r="D2221" s="68" t="s">
        <v>364</v>
      </c>
      <c r="E2221" s="75">
        <f>60*F2221*'THAM_SO_MOI'!$C$51/(2*PI()*'THAM_SO_MOI'!$C$26)</f>
        <v>2313.241918155141</v>
      </c>
      <c r="F2221" s="75">
        <f>'HANH_TRINH'!$F$1647+('THAM_SO_MOI'!$F$51-'HANH_TRINH'!$F$1647)*573/'THAM_SO_MOI'!$C$42</f>
        <v>9.208992764889196</v>
      </c>
      <c r="G2221" s="75">
        <f>3.6*F2221</f>
        <v>33.152373953601106</v>
      </c>
      <c r="H2221" s="75">
        <f>'THAM_SO_MOI'!$D$51</f>
        <v>1.375</v>
      </c>
      <c r="I2221" s="75">
        <f>IF(F2221&gt;'THAM_SO_MOI'!$C$14,'THAM_SO_MOI'!$C$13*(1+F2221^2/1500),'THAM_SO_MOI'!$C$13)</f>
        <v>0.015</v>
      </c>
      <c r="J2221" s="75">
        <f>'THAM_SO_MOI'!$C$40*('THAM_SO_MOI'!$C$23*(E2221/'THAM_SO_MOI'!$C$22)+'THAM_SO_MOI'!$C$24*(E2221/'THAM_SO_MOI'!$C$22)^2-'THAM_SO_MOI'!$C$25*(E2221/'THAM_SO_MOI'!$C$22)^3)</f>
        <v>103.92341061883472</v>
      </c>
      <c r="K2221" s="75">
        <f>'THAM_SO_MOI'!$C$31*J2221/E2221</f>
        <v>429.0872954671753</v>
      </c>
      <c r="L2221" s="75">
        <f>K2221*'THAM_SO_MOI'!$C$51*'THAM_SO_MOI'!$C$17/'THAM_SO_MOI'!$C$26</f>
        <v>9594.053180786817</v>
      </c>
      <c r="M2221" s="75">
        <f>'THAM_SO_MOI'!$C$15*'THAM_SO_MOI'!$C$16*F2221^2</f>
        <v>248.05622715056109</v>
      </c>
      <c r="N2221" s="75">
        <f>'THAM_SO_MOI'!$C$12*I2221</f>
        <v>1130.112</v>
      </c>
      <c r="O2221" s="75">
        <f>M2221+N2221</f>
        <v>1378.168227150561</v>
      </c>
      <c r="P2221" s="75">
        <f>(MIN(L2221,'THAM_SO_MOI'!$C$41)-O2221)/('THAM_SO_MOI'!$C$11*H2221)</f>
        <v>0.778019408488282</v>
      </c>
      <c r="Q2221" s="75">
        <f>IF(P2221&gt;0,1/P2221,NA())</f>
        <v>1.2853149794078194</v>
      </c>
      <c r="R2221" s="75">
        <f>F2221-F2220</f>
        <v>0.005028991339518285</v>
      </c>
      <c r="S2221" s="75">
        <f>0.5*(Q2220+Q2221)*R2221</f>
        <v>0.0064635740585698</v>
      </c>
      <c r="T2221" s="75">
        <f>0.5*(F2220*Q2220+F2221*Q2221)*R2221</f>
        <v>0.05950675477514147</v>
      </c>
      <c r="U2221" s="76">
        <f>U2220+S2221</f>
        <v>11.472898856670678</v>
      </c>
      <c r="V2221" s="76">
        <f>V2220+T2221</f>
        <v>61.039720693277665</v>
      </c>
    </row>
    <row r="2222" spans="1:22" ht="19" customHeight="1">
      <c r="A2222" s="68" t="s">
        <v>374</v>
      </c>
      <c r="B2222" s="74">
        <v>3</v>
      </c>
      <c r="C2222" s="68" t="s">
        <v>363</v>
      </c>
      <c r="D2222" s="68" t="s">
        <v>364</v>
      </c>
      <c r="E2222" s="75">
        <f>60*F2222*'THAM_SO_MOI'!$C$51/(2*PI()*'THAM_SO_MOI'!$C$26)</f>
        <v>2314.505169617013</v>
      </c>
      <c r="F2222" s="75">
        <f>'HANH_TRINH'!$F$1647+('THAM_SO_MOI'!$F$51-'HANH_TRINH'!$F$1647)*574/'THAM_SO_MOI'!$C$42</f>
        <v>9.214021756228714</v>
      </c>
      <c r="G2222" s="75">
        <f>3.6*F2222</f>
        <v>33.17047832242337</v>
      </c>
      <c r="H2222" s="75">
        <f>'THAM_SO_MOI'!$D$51</f>
        <v>1.375</v>
      </c>
      <c r="I2222" s="75">
        <f>IF(F2222&gt;'THAM_SO_MOI'!$C$14,'THAM_SO_MOI'!$C$13*(1+F2222^2/1500),'THAM_SO_MOI'!$C$13)</f>
        <v>0.015</v>
      </c>
      <c r="J2222" s="75">
        <f>'THAM_SO_MOI'!$C$40*('THAM_SO_MOI'!$C$23*(E2222/'THAM_SO_MOI'!$C$22)+'THAM_SO_MOI'!$C$24*(E2222/'THAM_SO_MOI'!$C$22)^2-'THAM_SO_MOI'!$C$25*(E2222/'THAM_SO_MOI'!$C$22)^3)</f>
        <v>103.97579093617894</v>
      </c>
      <c r="K2222" s="75">
        <f>'THAM_SO_MOI'!$C$31*J2222/E2222</f>
        <v>429.0692546393212</v>
      </c>
      <c r="L2222" s="75">
        <f>K2222*'THAM_SO_MOI'!$C$51*'THAM_SO_MOI'!$C$17/'THAM_SO_MOI'!$C$26</f>
        <v>9593.649802118452</v>
      </c>
      <c r="M2222" s="75">
        <f>'THAM_SO_MOI'!$C$15*'THAM_SO_MOI'!$C$16*F2222^2</f>
        <v>248.32722600344906</v>
      </c>
      <c r="N2222" s="75">
        <f>'THAM_SO_MOI'!$C$12*I2222</f>
        <v>1130.112</v>
      </c>
      <c r="O2222" s="75">
        <f>M2222+N2222</f>
        <v>1378.4392260034492</v>
      </c>
      <c r="P2222" s="75">
        <f>(MIN(L2222,'THAM_SO_MOI'!$C$41)-O2222)/('THAM_SO_MOI'!$C$11*H2222)</f>
        <v>0.7779555469805876</v>
      </c>
      <c r="Q2222" s="75">
        <f>IF(P2222&gt;0,1/P2222,NA())</f>
        <v>1.2854204894883965</v>
      </c>
      <c r="R2222" s="75">
        <f>F2222-F2221</f>
        <v>0.005028991339518285</v>
      </c>
      <c r="S2222" s="75">
        <f>0.5*(Q2221+Q2222)*R2222</f>
        <v>0.006464103204635774</v>
      </c>
      <c r="T2222" s="75">
        <f>0.5*(F2221*Q2221+F2222*Q2222)*R2222</f>
        <v>0.059544134269612206</v>
      </c>
      <c r="U2222" s="76">
        <f>U2221+S2222</f>
        <v>11.479362959875314</v>
      </c>
      <c r="V2222" s="76">
        <f>V2221+T2222</f>
        <v>61.09926482754728</v>
      </c>
    </row>
    <row r="2223" spans="1:22" ht="19" customHeight="1">
      <c r="A2223" s="68" t="s">
        <v>374</v>
      </c>
      <c r="B2223" s="74">
        <v>3</v>
      </c>
      <c r="C2223" s="68" t="s">
        <v>363</v>
      </c>
      <c r="D2223" s="68" t="s">
        <v>364</v>
      </c>
      <c r="E2223" s="75">
        <f>60*F2223*'THAM_SO_MOI'!$C$51/(2*PI()*'THAM_SO_MOI'!$C$26)</f>
        <v>2315.7684210788843</v>
      </c>
      <c r="F2223" s="75">
        <f>'HANH_TRINH'!$F$1647+('THAM_SO_MOI'!$F$51-'HANH_TRINH'!$F$1647)*575/'THAM_SO_MOI'!$C$42</f>
        <v>9.219050747568232</v>
      </c>
      <c r="G2223" s="75">
        <f>3.6*F2223</f>
        <v>33.188582691245635</v>
      </c>
      <c r="H2223" s="75">
        <f>'THAM_SO_MOI'!$D$51</f>
        <v>1.375</v>
      </c>
      <c r="I2223" s="75">
        <f>IF(F2223&gt;'THAM_SO_MOI'!$C$14,'THAM_SO_MOI'!$C$13*(1+F2223^2/1500),'THAM_SO_MOI'!$C$13)</f>
        <v>0.015</v>
      </c>
      <c r="J2223" s="75">
        <f>'THAM_SO_MOI'!$C$40*('THAM_SO_MOI'!$C$23*(E2223/'THAM_SO_MOI'!$C$22)+'THAM_SO_MOI'!$C$24*(E2223/'THAM_SO_MOI'!$C$22)^2-'THAM_SO_MOI'!$C$25*(E2223/'THAM_SO_MOI'!$C$22)^3)</f>
        <v>104.0281289442394</v>
      </c>
      <c r="K2223" s="75">
        <f>'THAM_SO_MOI'!$C$31*J2223/E2223</f>
        <v>429.0510589946367</v>
      </c>
      <c r="L2223" s="75">
        <f>K2223*'THAM_SO_MOI'!$C$51*'THAM_SO_MOI'!$C$17/'THAM_SO_MOI'!$C$26</f>
        <v>9593.242961867983</v>
      </c>
      <c r="M2223" s="75">
        <f>'THAM_SO_MOI'!$C$15*'THAM_SO_MOI'!$C$16*F2223^2</f>
        <v>248.59837280724727</v>
      </c>
      <c r="N2223" s="75">
        <f>'THAM_SO_MOI'!$C$12*I2223</f>
        <v>1130.112</v>
      </c>
      <c r="O2223" s="75">
        <f>M2223+N2223</f>
        <v>1378.7103728072473</v>
      </c>
      <c r="P2223" s="75">
        <f>(MIN(L2223,'THAM_SO_MOI'!$C$41)-O2223)/('THAM_SO_MOI'!$C$11*H2223)</f>
        <v>0.7778913436610544</v>
      </c>
      <c r="Q2223" s="75">
        <f>IF(P2223&gt;0,1/P2223,NA())</f>
        <v>1.2855265817634856</v>
      </c>
      <c r="R2223" s="75">
        <f>F2223-F2222</f>
        <v>0.005028991339518285</v>
      </c>
      <c r="S2223" s="75">
        <f>0.5*(Q2222+Q2223)*R2223</f>
        <v>0.006464635277842807</v>
      </c>
      <c r="T2223" s="75">
        <f>0.5*(F2222*Q2222+F2223*Q2223)*R2223</f>
        <v>0.059581546064328396</v>
      </c>
      <c r="U2223" s="76">
        <f>U2222+S2223</f>
        <v>11.485827595153156</v>
      </c>
      <c r="V2223" s="76">
        <f>V2222+T2223</f>
        <v>61.15884637361161</v>
      </c>
    </row>
    <row r="2224" spans="1:22" ht="19" customHeight="1">
      <c r="A2224" s="68" t="s">
        <v>374</v>
      </c>
      <c r="B2224" s="74">
        <v>3</v>
      </c>
      <c r="C2224" s="68" t="s">
        <v>363</v>
      </c>
      <c r="D2224" s="68" t="s">
        <v>364</v>
      </c>
      <c r="E2224" s="75">
        <f>60*F2224*'THAM_SO_MOI'!$C$51/(2*PI()*'THAM_SO_MOI'!$C$26)</f>
        <v>2317.0316725407556</v>
      </c>
      <c r="F2224" s="75">
        <f>'HANH_TRINH'!$F$1647+('THAM_SO_MOI'!$F$51-'HANH_TRINH'!$F$1647)*576/'THAM_SO_MOI'!$C$42</f>
        <v>9.224079738907749</v>
      </c>
      <c r="G2224" s="75">
        <f>3.6*F2224</f>
        <v>33.2066870600679</v>
      </c>
      <c r="H2224" s="75">
        <f>'THAM_SO_MOI'!$D$51</f>
        <v>1.375</v>
      </c>
      <c r="I2224" s="75">
        <f>IF(F2224&gt;'THAM_SO_MOI'!$C$14,'THAM_SO_MOI'!$C$13*(1+F2224^2/1500),'THAM_SO_MOI'!$C$13)</f>
        <v>0.015</v>
      </c>
      <c r="J2224" s="75">
        <f>'THAM_SO_MOI'!$C$40*('THAM_SO_MOI'!$C$23*(E2224/'THAM_SO_MOI'!$C$22)+'THAM_SO_MOI'!$C$24*(E2224/'THAM_SO_MOI'!$C$22)^2-'THAM_SO_MOI'!$C$25*(E2224/'THAM_SO_MOI'!$C$22)^3)</f>
        <v>104.08042458158675</v>
      </c>
      <c r="K2224" s="75">
        <f>'THAM_SO_MOI'!$C$31*J2224/E2224</f>
        <v>429.0327085331218</v>
      </c>
      <c r="L2224" s="75">
        <f>K2224*'THAM_SO_MOI'!$C$51*'THAM_SO_MOI'!$C$17/'THAM_SO_MOI'!$C$26</f>
        <v>9592.832660035407</v>
      </c>
      <c r="M2224" s="75">
        <f>'THAM_SO_MOI'!$C$15*'THAM_SO_MOI'!$C$16*F2224^2</f>
        <v>248.8696675619557</v>
      </c>
      <c r="N2224" s="75">
        <f>'THAM_SO_MOI'!$C$12*I2224</f>
        <v>1130.112</v>
      </c>
      <c r="O2224" s="75">
        <f>M2224+N2224</f>
        <v>1378.9816675619559</v>
      </c>
      <c r="P2224" s="75">
        <f>(MIN(L2224,'THAM_SO_MOI'!$C$41)-O2224)/('THAM_SO_MOI'!$C$11*H2224)</f>
        <v>0.7778267985296827</v>
      </c>
      <c r="Q2224" s="75">
        <f>IF(P2224&gt;0,1/P2224,NA())</f>
        <v>1.2856332565171176</v>
      </c>
      <c r="R2224" s="75">
        <f>F2224-F2223</f>
        <v>0.005028991339516509</v>
      </c>
      <c r="S2224" s="75">
        <f>0.5*(Q2223+Q2224)*R2224</f>
        <v>0.006465170279612909</v>
      </c>
      <c r="T2224" s="75">
        <f>0.5*(F2223*Q2223+F2224*Q2224)*R2224</f>
        <v>0.05961899021656489</v>
      </c>
      <c r="U2224" s="76">
        <f>U2223+S2224</f>
        <v>11.492292765432769</v>
      </c>
      <c r="V2224" s="76">
        <f>V2223+T2224</f>
        <v>61.21846536382817</v>
      </c>
    </row>
    <row r="2225" spans="1:22" ht="19" customHeight="1">
      <c r="A2225" s="68" t="s">
        <v>374</v>
      </c>
      <c r="B2225" s="74">
        <v>3</v>
      </c>
      <c r="C2225" s="68" t="s">
        <v>363</v>
      </c>
      <c r="D2225" s="68" t="s">
        <v>364</v>
      </c>
      <c r="E2225" s="75">
        <f>60*F2225*'THAM_SO_MOI'!$C$51/(2*PI()*'THAM_SO_MOI'!$C$26)</f>
        <v>2318.2949240026273</v>
      </c>
      <c r="F2225" s="75">
        <f>'HANH_TRINH'!$F$1647+('THAM_SO_MOI'!$F$51-'HANH_TRINH'!$F$1647)*577/'THAM_SO_MOI'!$C$42</f>
        <v>9.229108730247267</v>
      </c>
      <c r="G2225" s="75">
        <f>3.6*F2225</f>
        <v>33.224791428890164</v>
      </c>
      <c r="H2225" s="75">
        <f>'THAM_SO_MOI'!$D$51</f>
        <v>1.375</v>
      </c>
      <c r="I2225" s="75">
        <f>IF(F2225&gt;'THAM_SO_MOI'!$C$14,'THAM_SO_MOI'!$C$13*(1+F2225^2/1500),'THAM_SO_MOI'!$C$13)</f>
        <v>0.015</v>
      </c>
      <c r="J2225" s="75">
        <f>'THAM_SO_MOI'!$C$40*('THAM_SO_MOI'!$C$23*(E2225/'THAM_SO_MOI'!$C$22)+'THAM_SO_MOI'!$C$24*(E2225/'THAM_SO_MOI'!$C$22)^2-'THAM_SO_MOI'!$C$25*(E2225/'THAM_SO_MOI'!$C$22)^3)</f>
        <v>104.13267778679162</v>
      </c>
      <c r="K2225" s="75">
        <f>'THAM_SO_MOI'!$C$31*J2225/E2225</f>
        <v>429.0142032547762</v>
      </c>
      <c r="L2225" s="75">
        <f>K2225*'THAM_SO_MOI'!$C$51*'THAM_SO_MOI'!$C$17/'THAM_SO_MOI'!$C$26</f>
        <v>9592.418896620713</v>
      </c>
      <c r="M2225" s="75">
        <f>'THAM_SO_MOI'!$C$15*'THAM_SO_MOI'!$C$16*F2225^2</f>
        <v>249.14111026757453</v>
      </c>
      <c r="N2225" s="75">
        <f>'THAM_SO_MOI'!$C$12*I2225</f>
        <v>1130.112</v>
      </c>
      <c r="O2225" s="75">
        <f>M2225+N2225</f>
        <v>1379.2531102675746</v>
      </c>
      <c r="P2225" s="75">
        <f>(MIN(L2225,'THAM_SO_MOI'!$C$41)-O2225)/('THAM_SO_MOI'!$C$11*H2225)</f>
        <v>0.7777619115864716</v>
      </c>
      <c r="Q2225" s="75">
        <f>IF(P2225&gt;0,1/P2225,NA())</f>
        <v>1.285740514034956</v>
      </c>
      <c r="R2225" s="75">
        <f>F2225-F2224</f>
        <v>0.005028991339518285</v>
      </c>
      <c r="S2225" s="75">
        <f>0.5*(Q2224+Q2225)*R2225</f>
        <v>0.006465708211385428</v>
      </c>
      <c r="T2225" s="75">
        <f>0.5*(F2224*Q2224+F2225*Q2225)*R2225</f>
        <v>0.05965646678378512</v>
      </c>
      <c r="U2225" s="76">
        <f>U2224+S2225</f>
        <v>11.498758473644154</v>
      </c>
      <c r="V2225" s="76">
        <f>V2224+T2225</f>
        <v>61.27812183061196</v>
      </c>
    </row>
    <row r="2226" spans="1:22" ht="19" customHeight="1">
      <c r="A2226" s="68" t="s">
        <v>374</v>
      </c>
      <c r="B2226" s="74">
        <v>3</v>
      </c>
      <c r="C2226" s="68" t="s">
        <v>363</v>
      </c>
      <c r="D2226" s="68" t="s">
        <v>364</v>
      </c>
      <c r="E2226" s="75">
        <f>60*F2226*'THAM_SO_MOI'!$C$51/(2*PI()*'THAM_SO_MOI'!$C$26)</f>
        <v>2319.558175464499</v>
      </c>
      <c r="F2226" s="75">
        <f>'HANH_TRINH'!$F$1647+('THAM_SO_MOI'!$F$51-'HANH_TRINH'!$F$1647)*578/'THAM_SO_MOI'!$C$42</f>
        <v>9.234137721586784</v>
      </c>
      <c r="G2226" s="75">
        <f>3.6*F2226</f>
        <v>33.24289579771242</v>
      </c>
      <c r="H2226" s="75">
        <f>'THAM_SO_MOI'!$D$51</f>
        <v>1.375</v>
      </c>
      <c r="I2226" s="75">
        <f>IF(F2226&gt;'THAM_SO_MOI'!$C$14,'THAM_SO_MOI'!$C$13*(1+F2226^2/1500),'THAM_SO_MOI'!$C$13)</f>
        <v>0.015</v>
      </c>
      <c r="J2226" s="75">
        <f>'THAM_SO_MOI'!$C$40*('THAM_SO_MOI'!$C$23*(E2226/'THAM_SO_MOI'!$C$22)+'THAM_SO_MOI'!$C$24*(E2226/'THAM_SO_MOI'!$C$22)^2-'THAM_SO_MOI'!$C$25*(E2226/'THAM_SO_MOI'!$C$22)^3)</f>
        <v>104.18488849842468</v>
      </c>
      <c r="K2226" s="75">
        <f>'THAM_SO_MOI'!$C$31*J2226/E2226</f>
        <v>428.9955431596001</v>
      </c>
      <c r="L2226" s="75">
        <f>K2226*'THAM_SO_MOI'!$C$51*'THAM_SO_MOI'!$C$17/'THAM_SO_MOI'!$C$26</f>
        <v>9592.001671623913</v>
      </c>
      <c r="M2226" s="75">
        <f>'THAM_SO_MOI'!$C$15*'THAM_SO_MOI'!$C$16*F2226^2</f>
        <v>249.4127009241035</v>
      </c>
      <c r="N2226" s="75">
        <f>'THAM_SO_MOI'!$C$12*I2226</f>
        <v>1130.112</v>
      </c>
      <c r="O2226" s="75">
        <f>M2226+N2226</f>
        <v>1379.5247009241036</v>
      </c>
      <c r="P2226" s="75">
        <f>(MIN(L2226,'THAM_SO_MOI'!$C$41)-O2226)/('THAM_SO_MOI'!$C$11*H2226)</f>
        <v>0.7776966828314212</v>
      </c>
      <c r="Q2226" s="75">
        <f>IF(P2226&gt;0,1/P2226,NA())</f>
        <v>1.2858483546042934</v>
      </c>
      <c r="R2226" s="75">
        <f>F2226-F2225</f>
        <v>0.005028991339516509</v>
      </c>
      <c r="S2226" s="75">
        <f>0.5*(Q2225+Q2226)*R2226</f>
        <v>0.0064662490745919215</v>
      </c>
      <c r="T2226" s="75">
        <f>0.5*(F2225*Q2225+F2226*Q2226)*R2226</f>
        <v>0.05969397582340957</v>
      </c>
      <c r="U2226" s="76">
        <f>U2225+S2226</f>
        <v>11.505224722718745</v>
      </c>
      <c r="V2226" s="76">
        <f>V2225+T2226</f>
        <v>61.337815806435366</v>
      </c>
    </row>
    <row r="2227" spans="1:22" ht="19" customHeight="1">
      <c r="A2227" s="68" t="s">
        <v>374</v>
      </c>
      <c r="B2227" s="74">
        <v>3</v>
      </c>
      <c r="C2227" s="68" t="s">
        <v>363</v>
      </c>
      <c r="D2227" s="68" t="s">
        <v>364</v>
      </c>
      <c r="E2227" s="75">
        <f>60*F2227*'THAM_SO_MOI'!$C$51/(2*PI()*'THAM_SO_MOI'!$C$26)</f>
        <v>2320.821426926371</v>
      </c>
      <c r="F2227" s="75">
        <f>'HANH_TRINH'!$F$1647+('THAM_SO_MOI'!$F$51-'HANH_TRINH'!$F$1647)*579/'THAM_SO_MOI'!$C$42</f>
        <v>9.239166712926302</v>
      </c>
      <c r="G2227" s="75">
        <f>3.6*F2227</f>
        <v>33.261000166534686</v>
      </c>
      <c r="H2227" s="75">
        <f>'THAM_SO_MOI'!$D$51</f>
        <v>1.375</v>
      </c>
      <c r="I2227" s="75">
        <f>IF(F2227&gt;'THAM_SO_MOI'!$C$14,'THAM_SO_MOI'!$C$13*(1+F2227^2/1500),'THAM_SO_MOI'!$C$13)</f>
        <v>0.015</v>
      </c>
      <c r="J2227" s="75">
        <f>'THAM_SO_MOI'!$C$40*('THAM_SO_MOI'!$C$23*(E2227/'THAM_SO_MOI'!$C$22)+'THAM_SO_MOI'!$C$24*(E2227/'THAM_SO_MOI'!$C$22)^2-'THAM_SO_MOI'!$C$25*(E2227/'THAM_SO_MOI'!$C$22)^3)</f>
        <v>104.23705665505663</v>
      </c>
      <c r="K2227" s="75">
        <f>'THAM_SO_MOI'!$C$31*J2227/E2227</f>
        <v>428.97672824759377</v>
      </c>
      <c r="L2227" s="75">
        <f>K2227*'THAM_SO_MOI'!$C$51*'THAM_SO_MOI'!$C$17/'THAM_SO_MOI'!$C$26</f>
        <v>9591.580985045011</v>
      </c>
      <c r="M2227" s="75">
        <f>'THAM_SO_MOI'!$C$15*'THAM_SO_MOI'!$C$16*F2227^2</f>
        <v>249.68443953154284</v>
      </c>
      <c r="N2227" s="75">
        <f>'THAM_SO_MOI'!$C$12*I2227</f>
        <v>1130.112</v>
      </c>
      <c r="O2227" s="75">
        <f>M2227+N2227</f>
        <v>1379.796439531543</v>
      </c>
      <c r="P2227" s="75">
        <f>(MIN(L2227,'THAM_SO_MOI'!$C$41)-O2227)/('THAM_SO_MOI'!$C$11*H2227)</f>
        <v>0.7776311122645332</v>
      </c>
      <c r="Q2227" s="75">
        <f>IF(P2227&gt;0,1/P2227,NA())</f>
        <v>1.2859567785140542</v>
      </c>
      <c r="R2227" s="75">
        <f>F2227-F2226</f>
        <v>0.005028991339518285</v>
      </c>
      <c r="S2227" s="75">
        <f>0.5*(Q2226+Q2227)*R2227</f>
        <v>0.006466792870690421</v>
      </c>
      <c r="T2227" s="75">
        <f>0.5*(F2226*Q2226+F2227*Q2227)*R2227</f>
        <v>0.05973151739313207</v>
      </c>
      <c r="U2227" s="76">
        <f>U2226+S2227</f>
        <v>11.511691515589435</v>
      </c>
      <c r="V2227" s="76">
        <f>V2226+T2227</f>
        <v>61.3975473238285</v>
      </c>
    </row>
    <row r="2228" spans="1:22" ht="19" customHeight="1">
      <c r="A2228" s="68" t="s">
        <v>374</v>
      </c>
      <c r="B2228" s="74">
        <v>3</v>
      </c>
      <c r="C2228" s="68" t="s">
        <v>363</v>
      </c>
      <c r="D2228" s="68" t="s">
        <v>364</v>
      </c>
      <c r="E2228" s="75">
        <f>60*F2228*'THAM_SO_MOI'!$C$51/(2*PI()*'THAM_SO_MOI'!$C$26)</f>
        <v>2322.0846783882425</v>
      </c>
      <c r="F2228" s="75">
        <f>'HANH_TRINH'!$F$1647+('THAM_SO_MOI'!$F$51-'HANH_TRINH'!$F$1647)*580/'THAM_SO_MOI'!$C$42</f>
        <v>9.24419570426582</v>
      </c>
      <c r="G2228" s="75">
        <f>3.6*F2228</f>
        <v>33.27910453535696</v>
      </c>
      <c r="H2228" s="75">
        <f>'THAM_SO_MOI'!$D$51</f>
        <v>1.375</v>
      </c>
      <c r="I2228" s="75">
        <f>IF(F2228&gt;'THAM_SO_MOI'!$C$14,'THAM_SO_MOI'!$C$13*(1+F2228^2/1500),'THAM_SO_MOI'!$C$13)</f>
        <v>0.015</v>
      </c>
      <c r="J2228" s="75">
        <f>'THAM_SO_MOI'!$C$40*('THAM_SO_MOI'!$C$23*(E2228/'THAM_SO_MOI'!$C$22)+'THAM_SO_MOI'!$C$24*(E2228/'THAM_SO_MOI'!$C$22)^2-'THAM_SO_MOI'!$C$25*(E2228/'THAM_SO_MOI'!$C$22)^3)</f>
        <v>104.28918219525798</v>
      </c>
      <c r="K2228" s="75">
        <f>'THAM_SO_MOI'!$C$31*J2228/E2228</f>
        <v>428.95775851875646</v>
      </c>
      <c r="L2228" s="75">
        <f>K2228*'THAM_SO_MOI'!$C$51*'THAM_SO_MOI'!$C$17/'THAM_SO_MOI'!$C$26</f>
        <v>9591.15683688399</v>
      </c>
      <c r="M2228" s="75">
        <f>'THAM_SO_MOI'!$C$15*'THAM_SO_MOI'!$C$16*F2228^2</f>
        <v>249.95632608989246</v>
      </c>
      <c r="N2228" s="75">
        <f>'THAM_SO_MOI'!$C$12*I2228</f>
        <v>1130.112</v>
      </c>
      <c r="O2228" s="75">
        <f>M2228+N2228</f>
        <v>1380.0683260898925</v>
      </c>
      <c r="P2228" s="75">
        <f>(MIN(L2228,'THAM_SO_MOI'!$C$41)-O2228)/('THAM_SO_MOI'!$C$11*H2228)</f>
        <v>0.7775651998858049</v>
      </c>
      <c r="Q2228" s="75">
        <f>IF(P2228&gt;0,1/P2228,NA())</f>
        <v>1.286065786054806</v>
      </c>
      <c r="R2228" s="75">
        <f>F2228-F2227</f>
        <v>0.005028991339518285</v>
      </c>
      <c r="S2228" s="75">
        <f>0.5*(Q2227+Q2228)*R2228</f>
        <v>0.006467339601131204</v>
      </c>
      <c r="T2228" s="75">
        <f>0.5*(F2227*Q2227+F2228*Q2228)*R2228</f>
        <v>0.059769091550604114</v>
      </c>
      <c r="U2228" s="76">
        <f>U2227+S2228</f>
        <v>11.518158855190567</v>
      </c>
      <c r="V2228" s="76">
        <f>V2227+T2228</f>
        <v>61.457316415379104</v>
      </c>
    </row>
    <row r="2229" spans="1:22" ht="19" customHeight="1">
      <c r="A2229" s="68" t="s">
        <v>374</v>
      </c>
      <c r="B2229" s="74">
        <v>3</v>
      </c>
      <c r="C2229" s="68" t="s">
        <v>363</v>
      </c>
      <c r="D2229" s="68" t="s">
        <v>364</v>
      </c>
      <c r="E2229" s="75">
        <f>60*F2229*'THAM_SO_MOI'!$C$51/(2*PI()*'THAM_SO_MOI'!$C$26)</f>
        <v>2323.347929850114</v>
      </c>
      <c r="F2229" s="75">
        <f>'HANH_TRINH'!$F$1647+('THAM_SO_MOI'!$F$51-'HANH_TRINH'!$F$1647)*581/'THAM_SO_MOI'!$C$42</f>
        <v>9.249224695605337</v>
      </c>
      <c r="G2229" s="75">
        <f>3.6*F2229</f>
        <v>33.297208904179215</v>
      </c>
      <c r="H2229" s="75">
        <f>'THAM_SO_MOI'!$D$51</f>
        <v>1.375</v>
      </c>
      <c r="I2229" s="75">
        <f>IF(F2229&gt;'THAM_SO_MOI'!$C$14,'THAM_SO_MOI'!$C$13*(1+F2229^2/1500),'THAM_SO_MOI'!$C$13)</f>
        <v>0.015</v>
      </c>
      <c r="J2229" s="75">
        <f>'THAM_SO_MOI'!$C$40*('THAM_SO_MOI'!$C$23*(E2229/'THAM_SO_MOI'!$C$22)+'THAM_SO_MOI'!$C$24*(E2229/'THAM_SO_MOI'!$C$22)^2-'THAM_SO_MOI'!$C$25*(E2229/'THAM_SO_MOI'!$C$22)^3)</f>
        <v>104.3412650575995</v>
      </c>
      <c r="K2229" s="75">
        <f>'THAM_SO_MOI'!$C$31*J2229/E2229</f>
        <v>428.93863397308894</v>
      </c>
      <c r="L2229" s="75">
        <f>K2229*'THAM_SO_MOI'!$C$51*'THAM_SO_MOI'!$C$17/'THAM_SO_MOI'!$C$26</f>
        <v>9590.729227140866</v>
      </c>
      <c r="M2229" s="75">
        <f>'THAM_SO_MOI'!$C$15*'THAM_SO_MOI'!$C$16*F2229^2</f>
        <v>250.22836059915227</v>
      </c>
      <c r="N2229" s="75">
        <f>'THAM_SO_MOI'!$C$12*I2229</f>
        <v>1130.112</v>
      </c>
      <c r="O2229" s="75">
        <f>M2229+N2229</f>
        <v>1380.3403605991523</v>
      </c>
      <c r="P2229" s="75">
        <f>(MIN(L2229,'THAM_SO_MOI'!$C$41)-O2229)/('THAM_SO_MOI'!$C$11*H2229)</f>
        <v>0.7774989456952381</v>
      </c>
      <c r="Q2229" s="75">
        <f>IF(P2229&gt;0,1/P2229,NA())</f>
        <v>1.286175377518746</v>
      </c>
      <c r="R2229" s="75">
        <f>F2229-F2228</f>
        <v>0.005028991339516509</v>
      </c>
      <c r="S2229" s="75">
        <f>0.5*(Q2228+Q2229)*R2229</f>
        <v>0.00646788926737963</v>
      </c>
      <c r="T2229" s="75">
        <f>0.5*(F2228*Q2228+F2229*Q2229)*R2229</f>
        <v>0.059806698353645764</v>
      </c>
      <c r="U2229" s="76">
        <f>U2228+S2229</f>
        <v>11.524626744457947</v>
      </c>
      <c r="V2229" s="76">
        <f>V2228+T2229</f>
        <v>61.51712311373275</v>
      </c>
    </row>
    <row r="2230" spans="1:22" ht="19" customHeight="1">
      <c r="A2230" s="68" t="s">
        <v>374</v>
      </c>
      <c r="B2230" s="74">
        <v>3</v>
      </c>
      <c r="C2230" s="68" t="s">
        <v>363</v>
      </c>
      <c r="D2230" s="68" t="s">
        <v>364</v>
      </c>
      <c r="E2230" s="75">
        <f>60*F2230*'THAM_SO_MOI'!$C$51/(2*PI()*'THAM_SO_MOI'!$C$26)</f>
        <v>2324.611181311986</v>
      </c>
      <c r="F2230" s="75">
        <f>'HANH_TRINH'!$F$1647+('THAM_SO_MOI'!$F$51-'HANH_TRINH'!$F$1647)*582/'THAM_SO_MOI'!$C$42</f>
        <v>9.254253686944855</v>
      </c>
      <c r="G2230" s="75">
        <f>3.6*F2230</f>
        <v>33.31531327300148</v>
      </c>
      <c r="H2230" s="75">
        <f>'THAM_SO_MOI'!$D$51</f>
        <v>1.375</v>
      </c>
      <c r="I2230" s="75">
        <f>IF(F2230&gt;'THAM_SO_MOI'!$C$14,'THAM_SO_MOI'!$C$13*(1+F2230^2/1500),'THAM_SO_MOI'!$C$13)</f>
        <v>0.015</v>
      </c>
      <c r="J2230" s="75">
        <f>'THAM_SO_MOI'!$C$40*('THAM_SO_MOI'!$C$23*(E2230/'THAM_SO_MOI'!$C$22)+'THAM_SO_MOI'!$C$24*(E2230/'THAM_SO_MOI'!$C$22)^2-'THAM_SO_MOI'!$C$25*(E2230/'THAM_SO_MOI'!$C$22)^3)</f>
        <v>104.39330518065182</v>
      </c>
      <c r="K2230" s="75">
        <f>'THAM_SO_MOI'!$C$31*J2230/E2230</f>
        <v>428.9193546105908</v>
      </c>
      <c r="L2230" s="75">
        <f>K2230*'THAM_SO_MOI'!$C$51*'THAM_SO_MOI'!$C$17/'THAM_SO_MOI'!$C$26</f>
        <v>9590.298155815632</v>
      </c>
      <c r="M2230" s="75">
        <f>'THAM_SO_MOI'!$C$15*'THAM_SO_MOI'!$C$16*F2230^2</f>
        <v>250.5005430593224</v>
      </c>
      <c r="N2230" s="75">
        <f>'THAM_SO_MOI'!$C$12*I2230</f>
        <v>1130.112</v>
      </c>
      <c r="O2230" s="75">
        <f>M2230+N2230</f>
        <v>1380.6125430593224</v>
      </c>
      <c r="P2230" s="75">
        <f>(MIN(L2230,'THAM_SO_MOI'!$C$41)-O2230)/('THAM_SO_MOI'!$C$11*H2230)</f>
        <v>0.7774323496928321</v>
      </c>
      <c r="Q2230" s="75">
        <f>IF(P2230&gt;0,1/P2230,NA())</f>
        <v>1.2862855531997164</v>
      </c>
      <c r="R2230" s="75">
        <f>F2230-F2229</f>
        <v>0.005028991339518285</v>
      </c>
      <c r="S2230" s="75">
        <f>0.5*(Q2229+Q2230)*R2230</f>
        <v>0.006468441870916148</v>
      </c>
      <c r="T2230" s="75">
        <f>0.5*(F2229*Q2229+F2230*Q2230)*R2230</f>
        <v>0.05984433786024624</v>
      </c>
      <c r="U2230" s="76">
        <f>U2229+S2230</f>
        <v>11.531095186328864</v>
      </c>
      <c r="V2230" s="76">
        <f>V2229+T2230</f>
        <v>61.576967451593</v>
      </c>
    </row>
    <row r="2231" spans="1:22" ht="19" customHeight="1">
      <c r="A2231" s="68" t="s">
        <v>374</v>
      </c>
      <c r="B2231" s="74">
        <v>3</v>
      </c>
      <c r="C2231" s="68" t="s">
        <v>363</v>
      </c>
      <c r="D2231" s="68" t="s">
        <v>364</v>
      </c>
      <c r="E2231" s="75">
        <f>60*F2231*'THAM_SO_MOI'!$C$51/(2*PI()*'THAM_SO_MOI'!$C$26)</f>
        <v>2325.8744327738573</v>
      </c>
      <c r="F2231" s="75">
        <f>'HANH_TRINH'!$F$1647+('THAM_SO_MOI'!$F$51-'HANH_TRINH'!$F$1647)*583/'THAM_SO_MOI'!$C$42</f>
        <v>9.259282678284372</v>
      </c>
      <c r="G2231" s="75">
        <f>3.6*F2231</f>
        <v>33.333417641823736</v>
      </c>
      <c r="H2231" s="75">
        <f>'THAM_SO_MOI'!$D$51</f>
        <v>1.375</v>
      </c>
      <c r="I2231" s="75">
        <f>IF(F2231&gt;'THAM_SO_MOI'!$C$14,'THAM_SO_MOI'!$C$13*(1+F2231^2/1500),'THAM_SO_MOI'!$C$13)</f>
        <v>0.015</v>
      </c>
      <c r="J2231" s="75">
        <f>'THAM_SO_MOI'!$C$40*('THAM_SO_MOI'!$C$23*(E2231/'THAM_SO_MOI'!$C$22)+'THAM_SO_MOI'!$C$24*(E2231/'THAM_SO_MOI'!$C$22)^2-'THAM_SO_MOI'!$C$25*(E2231/'THAM_SO_MOI'!$C$22)^3)</f>
        <v>104.4453025029856</v>
      </c>
      <c r="K2231" s="75">
        <f>'THAM_SO_MOI'!$C$31*J2231/E2231</f>
        <v>428.89992043126233</v>
      </c>
      <c r="L2231" s="75">
        <f>K2231*'THAM_SO_MOI'!$C$51*'THAM_SO_MOI'!$C$17/'THAM_SO_MOI'!$C$26</f>
        <v>9589.86362290829</v>
      </c>
      <c r="M2231" s="75">
        <f>'THAM_SO_MOI'!$C$15*'THAM_SO_MOI'!$C$16*F2231^2</f>
        <v>250.77287347040277</v>
      </c>
      <c r="N2231" s="75">
        <f>'THAM_SO_MOI'!$C$12*I2231</f>
        <v>1130.112</v>
      </c>
      <c r="O2231" s="75">
        <f>M2231+N2231</f>
        <v>1380.884873470403</v>
      </c>
      <c r="P2231" s="75">
        <f>(MIN(L2231,'THAM_SO_MOI'!$C$41)-O2231)/('THAM_SO_MOI'!$C$11*H2231)</f>
        <v>0.7773654118785878</v>
      </c>
      <c r="Q2231" s="75">
        <f>IF(P2231&gt;0,1/P2231,NA())</f>
        <v>1.2863963133931977</v>
      </c>
      <c r="R2231" s="75">
        <f>F2231-F2230</f>
        <v>0.005028991339516509</v>
      </c>
      <c r="S2231" s="75">
        <f>0.5*(Q2230+Q2231)*R2231</f>
        <v>0.006468997413213466</v>
      </c>
      <c r="T2231" s="75">
        <f>0.5*(F2230*Q2230+F2231*Q2231)*R2231</f>
        <v>0.05988201012835285</v>
      </c>
      <c r="U2231" s="76">
        <f>U2230+S2231</f>
        <v>11.537564183742077</v>
      </c>
      <c r="V2231" s="76">
        <f>V2230+T2231</f>
        <v>61.636849461721354</v>
      </c>
    </row>
    <row r="2232" spans="1:22" ht="19" customHeight="1">
      <c r="A2232" s="68" t="s">
        <v>374</v>
      </c>
      <c r="B2232" s="74">
        <v>3</v>
      </c>
      <c r="C2232" s="68" t="s">
        <v>363</v>
      </c>
      <c r="D2232" s="68" t="s">
        <v>364</v>
      </c>
      <c r="E2232" s="75">
        <f>60*F2232*'THAM_SO_MOI'!$C$51/(2*PI()*'THAM_SO_MOI'!$C$26)</f>
        <v>2327.137684235729</v>
      </c>
      <c r="F2232" s="75">
        <f>'HANH_TRINH'!$F$1647+('THAM_SO_MOI'!$F$51-'HANH_TRINH'!$F$1647)*584/'THAM_SO_MOI'!$C$42</f>
        <v>9.26431166962389</v>
      </c>
      <c r="G2232" s="75">
        <f>3.6*F2232</f>
        <v>33.35152201064601</v>
      </c>
      <c r="H2232" s="75">
        <f>'THAM_SO_MOI'!$D$51</f>
        <v>1.375</v>
      </c>
      <c r="I2232" s="75">
        <f>IF(F2232&gt;'THAM_SO_MOI'!$C$14,'THAM_SO_MOI'!$C$13*(1+F2232^2/1500),'THAM_SO_MOI'!$C$13)</f>
        <v>0.015</v>
      </c>
      <c r="J2232" s="75">
        <f>'THAM_SO_MOI'!$C$40*('THAM_SO_MOI'!$C$23*(E2232/'THAM_SO_MOI'!$C$22)+'THAM_SO_MOI'!$C$24*(E2232/'THAM_SO_MOI'!$C$22)^2-'THAM_SO_MOI'!$C$25*(E2232/'THAM_SO_MOI'!$C$22)^3)</f>
        <v>104.49725696317145</v>
      </c>
      <c r="K2232" s="75">
        <f>'THAM_SO_MOI'!$C$31*J2232/E2232</f>
        <v>428.88033143510324</v>
      </c>
      <c r="L2232" s="75">
        <f>K2232*'THAM_SO_MOI'!$C$51*'THAM_SO_MOI'!$C$17/'THAM_SO_MOI'!$C$26</f>
        <v>9589.425628418838</v>
      </c>
      <c r="M2232" s="75">
        <f>'THAM_SO_MOI'!$C$15*'THAM_SO_MOI'!$C$16*F2232^2</f>
        <v>251.04535183239346</v>
      </c>
      <c r="N2232" s="75">
        <f>'THAM_SO_MOI'!$C$12*I2232</f>
        <v>1130.112</v>
      </c>
      <c r="O2232" s="75">
        <f>M2232+N2232</f>
        <v>1381.1573518323935</v>
      </c>
      <c r="P2232" s="75">
        <f>(MIN(L2232,'THAM_SO_MOI'!$C$41)-O2232)/('THAM_SO_MOI'!$C$11*H2232)</f>
        <v>0.7772981322525042</v>
      </c>
      <c r="Q2232" s="75">
        <f>IF(P2232&gt;0,1/P2232,NA())</f>
        <v>1.286507658396317</v>
      </c>
      <c r="R2232" s="75">
        <f>F2232-F2231</f>
        <v>0.005028991339518285</v>
      </c>
      <c r="S2232" s="75">
        <f>0.5*(Q2231+Q2232)*R2232</f>
        <v>0.006469555895770834</v>
      </c>
      <c r="T2232" s="75">
        <f>0.5*(F2231*Q2231+F2232*Q2232)*R2232</f>
        <v>0.059919715216188364</v>
      </c>
      <c r="U2232" s="76">
        <f>U2231+S2232</f>
        <v>11.544033739637849</v>
      </c>
      <c r="V2232" s="76">
        <f>V2231+T2232</f>
        <v>61.69676917693754</v>
      </c>
    </row>
    <row r="2233" spans="1:22" ht="19" customHeight="1">
      <c r="A2233" s="68" t="s">
        <v>374</v>
      </c>
      <c r="B2233" s="74">
        <v>3</v>
      </c>
      <c r="C2233" s="68" t="s">
        <v>363</v>
      </c>
      <c r="D2233" s="68" t="s">
        <v>364</v>
      </c>
      <c r="E2233" s="75">
        <f>60*F2233*'THAM_SO_MOI'!$C$51/(2*PI()*'THAM_SO_MOI'!$C$26)</f>
        <v>2328.4009356976007</v>
      </c>
      <c r="F2233" s="75">
        <f>'HANH_TRINH'!$F$1647+('THAM_SO_MOI'!$F$51-'HANH_TRINH'!$F$1647)*585/'THAM_SO_MOI'!$C$42</f>
        <v>9.269340660963408</v>
      </c>
      <c r="G2233" s="75">
        <f>3.6*F2233</f>
        <v>33.36962637946827</v>
      </c>
      <c r="H2233" s="75">
        <f>'THAM_SO_MOI'!$D$51</f>
        <v>1.375</v>
      </c>
      <c r="I2233" s="75">
        <f>IF(F2233&gt;'THAM_SO_MOI'!$C$14,'THAM_SO_MOI'!$C$13*(1+F2233^2/1500),'THAM_SO_MOI'!$C$13)</f>
        <v>0.015</v>
      </c>
      <c r="J2233" s="75">
        <f>'THAM_SO_MOI'!$C$40*('THAM_SO_MOI'!$C$23*(E2233/'THAM_SO_MOI'!$C$22)+'THAM_SO_MOI'!$C$24*(E2233/'THAM_SO_MOI'!$C$22)^2-'THAM_SO_MOI'!$C$25*(E2233/'THAM_SO_MOI'!$C$22)^3)</f>
        <v>104.54916849978002</v>
      </c>
      <c r="K2233" s="75">
        <f>'THAM_SO_MOI'!$C$31*J2233/E2233</f>
        <v>428.8605876221136</v>
      </c>
      <c r="L2233" s="75">
        <f>K2233*'THAM_SO_MOI'!$C$51*'THAM_SO_MOI'!$C$17/'THAM_SO_MOI'!$C$26</f>
        <v>9588.984172347276</v>
      </c>
      <c r="M2233" s="75">
        <f>'THAM_SO_MOI'!$C$15*'THAM_SO_MOI'!$C$16*F2233^2</f>
        <v>251.31797814529446</v>
      </c>
      <c r="N2233" s="75">
        <f>'THAM_SO_MOI'!$C$12*I2233</f>
        <v>1130.112</v>
      </c>
      <c r="O2233" s="75">
        <f>M2233+N2233</f>
        <v>1381.4299781452946</v>
      </c>
      <c r="P2233" s="75">
        <f>(MIN(L2233,'THAM_SO_MOI'!$C$41)-O2233)/('THAM_SO_MOI'!$C$11*H2233)</f>
        <v>0.7772305108145815</v>
      </c>
      <c r="Q2233" s="75">
        <f>IF(P2233&gt;0,1/P2233,NA())</f>
        <v>1.2866195885078462</v>
      </c>
      <c r="R2233" s="75">
        <f>F2233-F2232</f>
        <v>0.005028991339518285</v>
      </c>
      <c r="S2233" s="75">
        <f>0.5*(Q2232+Q2233)*R2233</f>
        <v>0.006470117320079782</v>
      </c>
      <c r="T2233" s="75">
        <f>0.5*(F2232*Q2232+F2233*Q2233)*R2233</f>
        <v>0.05995745318193418</v>
      </c>
      <c r="U2233" s="76">
        <f>U2232+S2233</f>
        <v>11.550503856957928</v>
      </c>
      <c r="V2233" s="76">
        <f>V2232+T2233</f>
        <v>61.75672663011948</v>
      </c>
    </row>
    <row r="2234" spans="1:22" ht="19" customHeight="1">
      <c r="A2234" s="68" t="s">
        <v>374</v>
      </c>
      <c r="B2234" s="74">
        <v>3</v>
      </c>
      <c r="C2234" s="68" t="s">
        <v>363</v>
      </c>
      <c r="D2234" s="68" t="s">
        <v>364</v>
      </c>
      <c r="E2234" s="75">
        <f>60*F2234*'THAM_SO_MOI'!$C$51/(2*PI()*'THAM_SO_MOI'!$C$26)</f>
        <v>2329.664187159472</v>
      </c>
      <c r="F2234" s="75">
        <f>'HANH_TRINH'!$F$1647+('THAM_SO_MOI'!$F$51-'HANH_TRINH'!$F$1647)*586/'THAM_SO_MOI'!$C$42</f>
        <v>9.274369652302926</v>
      </c>
      <c r="G2234" s="75">
        <f>3.6*F2234</f>
        <v>33.38773074829054</v>
      </c>
      <c r="H2234" s="75">
        <f>'THAM_SO_MOI'!$D$51</f>
        <v>1.375</v>
      </c>
      <c r="I2234" s="75">
        <f>IF(F2234&gt;'THAM_SO_MOI'!$C$14,'THAM_SO_MOI'!$C$13*(1+F2234^2/1500),'THAM_SO_MOI'!$C$13)</f>
        <v>0.015</v>
      </c>
      <c r="J2234" s="75">
        <f>'THAM_SO_MOI'!$C$40*('THAM_SO_MOI'!$C$23*(E2234/'THAM_SO_MOI'!$C$22)+'THAM_SO_MOI'!$C$24*(E2234/'THAM_SO_MOI'!$C$22)^2-'THAM_SO_MOI'!$C$25*(E2234/'THAM_SO_MOI'!$C$22)^3)</f>
        <v>104.601037051382</v>
      </c>
      <c r="K2234" s="75">
        <f>'THAM_SO_MOI'!$C$31*J2234/E2234</f>
        <v>428.84068899229356</v>
      </c>
      <c r="L2234" s="75">
        <f>K2234*'THAM_SO_MOI'!$C$51*'THAM_SO_MOI'!$C$17/'THAM_SO_MOI'!$C$26</f>
        <v>9588.539254693607</v>
      </c>
      <c r="M2234" s="75">
        <f>'THAM_SO_MOI'!$C$15*'THAM_SO_MOI'!$C$16*F2234^2</f>
        <v>251.59075240910573</v>
      </c>
      <c r="N2234" s="75">
        <f>'THAM_SO_MOI'!$C$12*I2234</f>
        <v>1130.112</v>
      </c>
      <c r="O2234" s="75">
        <f>M2234+N2234</f>
        <v>1381.7027524091059</v>
      </c>
      <c r="P2234" s="75">
        <f>(MIN(L2234,'THAM_SO_MOI'!$C$41)-O2234)/('THAM_SO_MOI'!$C$11*H2234)</f>
        <v>0.7771625475648204</v>
      </c>
      <c r="Q2234" s="75">
        <f>IF(P2234&gt;0,1/P2234,NA())</f>
        <v>1.2867321040282034</v>
      </c>
      <c r="R2234" s="75">
        <f>F2234-F2233</f>
        <v>0.005028991339518285</v>
      </c>
      <c r="S2234" s="75">
        <f>0.5*(Q2233+Q2234)*R2234</f>
        <v>0.006470681687649257</v>
      </c>
      <c r="T2234" s="75">
        <f>0.5*(F2233*Q2233+F2234*Q2234)*R2234</f>
        <v>0.05999522408396315</v>
      </c>
      <c r="U2234" s="76">
        <f>U2233+S2234</f>
        <v>11.556974538645576</v>
      </c>
      <c r="V2234" s="76">
        <f>V2233+T2234</f>
        <v>61.81672185420344</v>
      </c>
    </row>
    <row r="2235" spans="1:22" ht="19" customHeight="1">
      <c r="A2235" s="68" t="s">
        <v>374</v>
      </c>
      <c r="B2235" s="74">
        <v>3</v>
      </c>
      <c r="C2235" s="68" t="s">
        <v>363</v>
      </c>
      <c r="D2235" s="68" t="s">
        <v>364</v>
      </c>
      <c r="E2235" s="75">
        <f>60*F2235*'THAM_SO_MOI'!$C$51/(2*PI()*'THAM_SO_MOI'!$C$26)</f>
        <v>2330.9274386213433</v>
      </c>
      <c r="F2235" s="75">
        <f>'HANH_TRINH'!$F$1647+('THAM_SO_MOI'!$F$51-'HANH_TRINH'!$F$1647)*587/'THAM_SO_MOI'!$C$42</f>
        <v>9.279398643642443</v>
      </c>
      <c r="G2235" s="75">
        <f>3.6*F2235</f>
        <v>33.405835117112794</v>
      </c>
      <c r="H2235" s="75">
        <f>'THAM_SO_MOI'!$D$51</f>
        <v>1.375</v>
      </c>
      <c r="I2235" s="75">
        <f>IF(F2235&gt;'THAM_SO_MOI'!$C$14,'THAM_SO_MOI'!$C$13*(1+F2235^2/1500),'THAM_SO_MOI'!$C$13)</f>
        <v>0.015</v>
      </c>
      <c r="J2235" s="75">
        <f>'THAM_SO_MOI'!$C$40*('THAM_SO_MOI'!$C$23*(E2235/'THAM_SO_MOI'!$C$22)+'THAM_SO_MOI'!$C$24*(E2235/'THAM_SO_MOI'!$C$22)^2-'THAM_SO_MOI'!$C$25*(E2235/'THAM_SO_MOI'!$C$22)^3)</f>
        <v>104.652862556548</v>
      </c>
      <c r="K2235" s="75">
        <f>'THAM_SO_MOI'!$C$31*J2235/E2235</f>
        <v>428.82063554564303</v>
      </c>
      <c r="L2235" s="75">
        <f>K2235*'THAM_SO_MOI'!$C$51*'THAM_SO_MOI'!$C$17/'THAM_SO_MOI'!$C$26</f>
        <v>9588.09087545783</v>
      </c>
      <c r="M2235" s="75">
        <f>'THAM_SO_MOI'!$C$15*'THAM_SO_MOI'!$C$16*F2235^2</f>
        <v>251.86367462382717</v>
      </c>
      <c r="N2235" s="75">
        <f>'THAM_SO_MOI'!$C$12*I2235</f>
        <v>1130.112</v>
      </c>
      <c r="O2235" s="75">
        <f>M2235+N2235</f>
        <v>1381.9756746238272</v>
      </c>
      <c r="P2235" s="75">
        <f>(MIN(L2235,'THAM_SO_MOI'!$C$41)-O2235)/('THAM_SO_MOI'!$C$11*H2235)</f>
        <v>0.77709424250322</v>
      </c>
      <c r="Q2235" s="75">
        <f>IF(P2235&gt;0,1/P2235,NA())</f>
        <v>1.286845205259459</v>
      </c>
      <c r="R2235" s="75">
        <f>F2235-F2234</f>
        <v>0.005028991339516509</v>
      </c>
      <c r="S2235" s="75">
        <f>0.5*(Q2234+Q2235)*R2235</f>
        <v>0.006471248999991927</v>
      </c>
      <c r="T2235" s="75">
        <f>0.5*(F2234*Q2234+F2235*Q2235)*R2235</f>
        <v>0.06003302798071304</v>
      </c>
      <c r="U2235" s="76">
        <f>U2234+S2235</f>
        <v>11.563445787645568</v>
      </c>
      <c r="V2235" s="76">
        <f>V2234+T2235</f>
        <v>61.87675488218416</v>
      </c>
    </row>
    <row r="2236" spans="1:22" ht="19" customHeight="1">
      <c r="A2236" s="68" t="s">
        <v>374</v>
      </c>
      <c r="B2236" s="74">
        <v>3</v>
      </c>
      <c r="C2236" s="68" t="s">
        <v>363</v>
      </c>
      <c r="D2236" s="68" t="s">
        <v>364</v>
      </c>
      <c r="E2236" s="75">
        <f>60*F2236*'THAM_SO_MOI'!$C$51/(2*PI()*'THAM_SO_MOI'!$C$26)</f>
        <v>2332.190690083215</v>
      </c>
      <c r="F2236" s="75">
        <f>'HANH_TRINH'!$F$1647+('THAM_SO_MOI'!$F$51-'HANH_TRINH'!$F$1647)*588/'THAM_SO_MOI'!$C$42</f>
        <v>9.284427634981961</v>
      </c>
      <c r="G2236" s="75">
        <f>3.6*F2236</f>
        <v>33.42393948593506</v>
      </c>
      <c r="H2236" s="75">
        <f>'THAM_SO_MOI'!$D$51</f>
        <v>1.375</v>
      </c>
      <c r="I2236" s="75">
        <f>IF(F2236&gt;'THAM_SO_MOI'!$C$14,'THAM_SO_MOI'!$C$13*(1+F2236^2/1500),'THAM_SO_MOI'!$C$13)</f>
        <v>0.015</v>
      </c>
      <c r="J2236" s="75">
        <f>'THAM_SO_MOI'!$C$40*('THAM_SO_MOI'!$C$23*(E2236/'THAM_SO_MOI'!$C$22)+'THAM_SO_MOI'!$C$24*(E2236/'THAM_SO_MOI'!$C$22)^2-'THAM_SO_MOI'!$C$25*(E2236/'THAM_SO_MOI'!$C$22)^3)</f>
        <v>104.70464495384869</v>
      </c>
      <c r="K2236" s="75">
        <f>'THAM_SO_MOI'!$C$31*J2236/E2236</f>
        <v>428.80042728216176</v>
      </c>
      <c r="L2236" s="75">
        <f>K2236*'THAM_SO_MOI'!$C$51*'THAM_SO_MOI'!$C$17/'THAM_SO_MOI'!$C$26</f>
        <v>9587.639034639938</v>
      </c>
      <c r="M2236" s="75">
        <f>'THAM_SO_MOI'!$C$15*'THAM_SO_MOI'!$C$16*F2236^2</f>
        <v>252.13674478945896</v>
      </c>
      <c r="N2236" s="75">
        <f>'THAM_SO_MOI'!$C$12*I2236</f>
        <v>1130.112</v>
      </c>
      <c r="O2236" s="75">
        <f>M2236+N2236</f>
        <v>1382.2487447894591</v>
      </c>
      <c r="P2236" s="75">
        <f>(MIN(L2236,'THAM_SO_MOI'!$C$41)-O2236)/('THAM_SO_MOI'!$C$11*H2236)</f>
        <v>0.7770255956297801</v>
      </c>
      <c r="Q2236" s="75">
        <f>IF(P2236&gt;0,1/P2236,NA())</f>
        <v>1.2869588925053348</v>
      </c>
      <c r="R2236" s="75">
        <f>F2236-F2235</f>
        <v>0.005028991339518285</v>
      </c>
      <c r="S2236" s="75">
        <f>0.5*(Q2235+Q2236)*R2236</f>
        <v>0.00647181925863791</v>
      </c>
      <c r="T2236" s="75">
        <f>0.5*(F2235*Q2235+F2236*Q2236)*R2236</f>
        <v>0.06007086493081402</v>
      </c>
      <c r="U2236" s="76">
        <f>U2235+S2236</f>
        <v>11.569917606904205</v>
      </c>
      <c r="V2236" s="76">
        <f>V2235+T2236</f>
        <v>61.93682574711497</v>
      </c>
    </row>
    <row r="2237" spans="1:22" ht="19" customHeight="1">
      <c r="A2237" s="68" t="s">
        <v>374</v>
      </c>
      <c r="B2237" s="74">
        <v>3</v>
      </c>
      <c r="C2237" s="68" t="s">
        <v>363</v>
      </c>
      <c r="D2237" s="68" t="s">
        <v>364</v>
      </c>
      <c r="E2237" s="75">
        <f>60*F2237*'THAM_SO_MOI'!$C$51/(2*PI()*'THAM_SO_MOI'!$C$26)</f>
        <v>2333.453941545087</v>
      </c>
      <c r="F2237" s="75">
        <f>'HANH_TRINH'!$F$1647+('THAM_SO_MOI'!$F$51-'HANH_TRINH'!$F$1647)*589/'THAM_SO_MOI'!$C$42</f>
        <v>9.28945662632148</v>
      </c>
      <c r="G2237" s="75">
        <f>3.6*F2237</f>
        <v>33.44204385475733</v>
      </c>
      <c r="H2237" s="75">
        <f>'THAM_SO_MOI'!$D$51</f>
        <v>1.375</v>
      </c>
      <c r="I2237" s="75">
        <f>IF(F2237&gt;'THAM_SO_MOI'!$C$14,'THAM_SO_MOI'!$C$13*(1+F2237^2/1500),'THAM_SO_MOI'!$C$13)</f>
        <v>0.015</v>
      </c>
      <c r="J2237" s="75">
        <f>'THAM_SO_MOI'!$C$40*('THAM_SO_MOI'!$C$23*(E2237/'THAM_SO_MOI'!$C$22)+'THAM_SO_MOI'!$C$24*(E2237/'THAM_SO_MOI'!$C$22)^2-'THAM_SO_MOI'!$C$25*(E2237/'THAM_SO_MOI'!$C$22)^3)</f>
        <v>104.75638418185477</v>
      </c>
      <c r="K2237" s="75">
        <f>'THAM_SO_MOI'!$C$31*J2237/E2237</f>
        <v>428.7800642018502</v>
      </c>
      <c r="L2237" s="75">
        <f>K2237*'THAM_SO_MOI'!$C$51*'THAM_SO_MOI'!$C$17/'THAM_SO_MOI'!$C$26</f>
        <v>9587.183732239942</v>
      </c>
      <c r="M2237" s="75">
        <f>'THAM_SO_MOI'!$C$15*'THAM_SO_MOI'!$C$16*F2237^2</f>
        <v>252.40996290600106</v>
      </c>
      <c r="N2237" s="75">
        <f>'THAM_SO_MOI'!$C$12*I2237</f>
        <v>1130.112</v>
      </c>
      <c r="O2237" s="75">
        <f>M2237+N2237</f>
        <v>1382.5219629060011</v>
      </c>
      <c r="P2237" s="75">
        <f>(MIN(L2237,'THAM_SO_MOI'!$C$41)-O2237)/('THAM_SO_MOI'!$C$11*H2237)</f>
        <v>0.7769566069445019</v>
      </c>
      <c r="Q2237" s="75">
        <f>IF(P2237&gt;0,1/P2237,NA())</f>
        <v>1.287073166071204</v>
      </c>
      <c r="R2237" s="75">
        <f>F2237-F2236</f>
        <v>0.005028991339518285</v>
      </c>
      <c r="S2237" s="75">
        <f>0.5*(Q2236+Q2237)*R2237</f>
        <v>0.006472392465111919</v>
      </c>
      <c r="T2237" s="75">
        <f>0.5*(F2236*Q2236+F2237*Q2237)*R2237</f>
        <v>0.06010873499287678</v>
      </c>
      <c r="U2237" s="76">
        <f>U2236+S2237</f>
        <v>11.576389999369317</v>
      </c>
      <c r="V2237" s="76">
        <f>V2236+T2237</f>
        <v>61.99693448210785</v>
      </c>
    </row>
    <row r="2238" spans="1:22" ht="19" customHeight="1">
      <c r="A2238" s="68" t="s">
        <v>374</v>
      </c>
      <c r="B2238" s="74">
        <v>3</v>
      </c>
      <c r="C2238" s="68" t="s">
        <v>363</v>
      </c>
      <c r="D2238" s="68" t="s">
        <v>364</v>
      </c>
      <c r="E2238" s="75">
        <f>60*F2238*'THAM_SO_MOI'!$C$51/(2*PI()*'THAM_SO_MOI'!$C$26)</f>
        <v>2334.7171930069585</v>
      </c>
      <c r="F2238" s="75">
        <f>'HANH_TRINH'!$F$1647+('THAM_SO_MOI'!$F$51-'HANH_TRINH'!$F$1647)*590/'THAM_SO_MOI'!$C$42</f>
        <v>9.294485617660996</v>
      </c>
      <c r="G2238" s="75">
        <f>3.6*F2238</f>
        <v>33.46014822357959</v>
      </c>
      <c r="H2238" s="75">
        <f>'THAM_SO_MOI'!$D$51</f>
        <v>1.375</v>
      </c>
      <c r="I2238" s="75">
        <f>IF(F2238&gt;'THAM_SO_MOI'!$C$14,'THAM_SO_MOI'!$C$13*(1+F2238^2/1500),'THAM_SO_MOI'!$C$13)</f>
        <v>0.015</v>
      </c>
      <c r="J2238" s="75">
        <f>'THAM_SO_MOI'!$C$40*('THAM_SO_MOI'!$C$23*(E2238/'THAM_SO_MOI'!$C$22)+'THAM_SO_MOI'!$C$24*(E2238/'THAM_SO_MOI'!$C$22)^2-'THAM_SO_MOI'!$C$25*(E2238/'THAM_SO_MOI'!$C$22)^3)</f>
        <v>104.80808017913677</v>
      </c>
      <c r="K2238" s="75">
        <f>'THAM_SO_MOI'!$C$31*J2238/E2238</f>
        <v>428.759546304708</v>
      </c>
      <c r="L2238" s="75">
        <f>K2238*'THAM_SO_MOI'!$C$51*'THAM_SO_MOI'!$C$17/'THAM_SO_MOI'!$C$26</f>
        <v>9586.724968257837</v>
      </c>
      <c r="M2238" s="75">
        <f>'THAM_SO_MOI'!$C$15*'THAM_SO_MOI'!$C$16*F2238^2</f>
        <v>252.68332897345329</v>
      </c>
      <c r="N2238" s="75">
        <f>'THAM_SO_MOI'!$C$12*I2238</f>
        <v>1130.112</v>
      </c>
      <c r="O2238" s="75">
        <f>M2238+N2238</f>
        <v>1382.7953289734533</v>
      </c>
      <c r="P2238" s="75">
        <f>(MIN(L2238,'THAM_SO_MOI'!$C$41)-O2238)/('THAM_SO_MOI'!$C$11*H2238)</f>
        <v>0.7768872764473848</v>
      </c>
      <c r="Q2238" s="75">
        <f>IF(P2238&gt;0,1/P2238,NA())</f>
        <v>1.2871880262640982</v>
      </c>
      <c r="R2238" s="75">
        <f>F2238-F2237</f>
        <v>0.005028991339516509</v>
      </c>
      <c r="S2238" s="75">
        <f>0.5*(Q2237+Q2238)*R2238</f>
        <v>0.006472968620953839</v>
      </c>
      <c r="T2238" s="75">
        <f>0.5*(F2237*Q2237+F2238*Q2238)*R2238</f>
        <v>0.060146638225683724</v>
      </c>
      <c r="U2238" s="76">
        <f>U2237+S2238</f>
        <v>11.582862967990271</v>
      </c>
      <c r="V2238" s="76">
        <f>V2237+T2238</f>
        <v>62.05708112033353</v>
      </c>
    </row>
    <row r="2239" spans="1:22" ht="19" customHeight="1">
      <c r="A2239" s="68" t="s">
        <v>374</v>
      </c>
      <c r="B2239" s="74">
        <v>3</v>
      </c>
      <c r="C2239" s="68" t="s">
        <v>363</v>
      </c>
      <c r="D2239" s="68" t="s">
        <v>364</v>
      </c>
      <c r="E2239" s="75">
        <f>60*F2239*'THAM_SO_MOI'!$C$51/(2*PI()*'THAM_SO_MOI'!$C$26)</f>
        <v>2335.9804444688302</v>
      </c>
      <c r="F2239" s="75">
        <f>'HANH_TRINH'!$F$1647+('THAM_SO_MOI'!$F$51-'HANH_TRINH'!$F$1647)*591/'THAM_SO_MOI'!$C$42</f>
        <v>9.299514609000514</v>
      </c>
      <c r="G2239" s="75">
        <f>3.6*F2239</f>
        <v>33.47825259240185</v>
      </c>
      <c r="H2239" s="75">
        <f>'THAM_SO_MOI'!$D$51</f>
        <v>1.375</v>
      </c>
      <c r="I2239" s="75">
        <f>IF(F2239&gt;'THAM_SO_MOI'!$C$14,'THAM_SO_MOI'!$C$13*(1+F2239^2/1500),'THAM_SO_MOI'!$C$13)</f>
        <v>0.015</v>
      </c>
      <c r="J2239" s="75">
        <f>'THAM_SO_MOI'!$C$40*('THAM_SO_MOI'!$C$23*(E2239/'THAM_SO_MOI'!$C$22)+'THAM_SO_MOI'!$C$24*(E2239/'THAM_SO_MOI'!$C$22)^2-'THAM_SO_MOI'!$C$25*(E2239/'THAM_SO_MOI'!$C$22)^3)</f>
        <v>104.85973288426545</v>
      </c>
      <c r="K2239" s="75">
        <f>'THAM_SO_MOI'!$C$31*J2239/E2239</f>
        <v>428.7388735907354</v>
      </c>
      <c r="L2239" s="75">
        <f>K2239*'THAM_SO_MOI'!$C$51*'THAM_SO_MOI'!$C$17/'THAM_SO_MOI'!$C$26</f>
        <v>9586.262742693621</v>
      </c>
      <c r="M2239" s="75">
        <f>'THAM_SO_MOI'!$C$15*'THAM_SO_MOI'!$C$16*F2239^2</f>
        <v>252.95684299181593</v>
      </c>
      <c r="N2239" s="75">
        <f>'THAM_SO_MOI'!$C$12*I2239</f>
        <v>1130.112</v>
      </c>
      <c r="O2239" s="75">
        <f>M2239+N2239</f>
        <v>1383.068842991816</v>
      </c>
      <c r="P2239" s="75">
        <f>(MIN(L2239,'THAM_SO_MOI'!$C$41)-O2239)/('THAM_SO_MOI'!$C$11*H2239)</f>
        <v>0.7768176041384284</v>
      </c>
      <c r="Q2239" s="75">
        <f>IF(P2239&gt;0,1/P2239,NA())</f>
        <v>1.2873034733927073</v>
      </c>
      <c r="R2239" s="75">
        <f>F2239-F2238</f>
        <v>0.005028991339518285</v>
      </c>
      <c r="S2239" s="75">
        <f>0.5*(Q2238+Q2239)*R2239</f>
        <v>0.006473547727718759</v>
      </c>
      <c r="T2239" s="75">
        <f>0.5*(F2238*Q2238+F2239*Q2239)*R2239</f>
        <v>0.060184574688189586</v>
      </c>
      <c r="U2239" s="76">
        <f>U2238+S2239</f>
        <v>11.58933651571799</v>
      </c>
      <c r="V2239" s="76">
        <f>V2238+T2239</f>
        <v>62.117265695021715</v>
      </c>
    </row>
    <row r="2240" spans="1:22" ht="19" customHeight="1">
      <c r="A2240" s="68" t="s">
        <v>374</v>
      </c>
      <c r="B2240" s="74">
        <v>3</v>
      </c>
      <c r="C2240" s="68" t="s">
        <v>363</v>
      </c>
      <c r="D2240" s="68" t="s">
        <v>364</v>
      </c>
      <c r="E2240" s="75">
        <f>60*F2240*'THAM_SO_MOI'!$C$51/(2*PI()*'THAM_SO_MOI'!$C$26)</f>
        <v>2337.243695930702</v>
      </c>
      <c r="F2240" s="75">
        <f>'HANH_TRINH'!$F$1647+('THAM_SO_MOI'!$F$51-'HANH_TRINH'!$F$1647)*592/'THAM_SO_MOI'!$C$42</f>
        <v>9.304543600340033</v>
      </c>
      <c r="G2240" s="75">
        <f>3.6*F2240</f>
        <v>33.496356961224116</v>
      </c>
      <c r="H2240" s="75">
        <f>'THAM_SO_MOI'!$D$51</f>
        <v>1.375</v>
      </c>
      <c r="I2240" s="75">
        <f>IF(F2240&gt;'THAM_SO_MOI'!$C$14,'THAM_SO_MOI'!$C$13*(1+F2240^2/1500),'THAM_SO_MOI'!$C$13)</f>
        <v>0.015</v>
      </c>
      <c r="J2240" s="75">
        <f>'THAM_SO_MOI'!$C$40*('THAM_SO_MOI'!$C$23*(E2240/'THAM_SO_MOI'!$C$22)+'THAM_SO_MOI'!$C$24*(E2240/'THAM_SO_MOI'!$C$22)^2-'THAM_SO_MOI'!$C$25*(E2240/'THAM_SO_MOI'!$C$22)^3)</f>
        <v>104.91134223581142</v>
      </c>
      <c r="K2240" s="75">
        <f>'THAM_SO_MOI'!$C$31*J2240/E2240</f>
        <v>428.71804605993225</v>
      </c>
      <c r="L2240" s="75">
        <f>K2240*'THAM_SO_MOI'!$C$51*'THAM_SO_MOI'!$C$17/'THAM_SO_MOI'!$C$26</f>
        <v>9585.797055547297</v>
      </c>
      <c r="M2240" s="75">
        <f>'THAM_SO_MOI'!$C$15*'THAM_SO_MOI'!$C$16*F2240^2</f>
        <v>253.23050496108883</v>
      </c>
      <c r="N2240" s="75">
        <f>'THAM_SO_MOI'!$C$12*I2240</f>
        <v>1130.112</v>
      </c>
      <c r="O2240" s="75">
        <f>M2240+N2240</f>
        <v>1383.342504961089</v>
      </c>
      <c r="P2240" s="75">
        <f>(MIN(L2240,'THAM_SO_MOI'!$C$41)-O2240)/('THAM_SO_MOI'!$C$11*H2240)</f>
        <v>0.7767475900176333</v>
      </c>
      <c r="Q2240" s="75">
        <f>IF(P2240&gt;0,1/P2240,NA())</f>
        <v>1.2874195077673798</v>
      </c>
      <c r="R2240" s="75">
        <f>F2240-F2239</f>
        <v>0.005028991339518285</v>
      </c>
      <c r="S2240" s="75">
        <f>0.5*(Q2239+Q2240)*R2240</f>
        <v>0.006474129786956388</v>
      </c>
      <c r="T2240" s="75">
        <f>0.5*(F2239*Q2239+F2240*Q2240)*R2240</f>
        <v>0.0602225444393303</v>
      </c>
      <c r="U2240" s="76">
        <f>U2239+S2240</f>
        <v>11.595810645504947</v>
      </c>
      <c r="V2240" s="76">
        <f>V2239+T2240</f>
        <v>62.17748823946104</v>
      </c>
    </row>
    <row r="2241" spans="1:22" ht="19" customHeight="1">
      <c r="A2241" s="68" t="s">
        <v>374</v>
      </c>
      <c r="B2241" s="74">
        <v>3</v>
      </c>
      <c r="C2241" s="68" t="s">
        <v>363</v>
      </c>
      <c r="D2241" s="68" t="s">
        <v>364</v>
      </c>
      <c r="E2241" s="75">
        <f>60*F2241*'THAM_SO_MOI'!$C$51/(2*PI()*'THAM_SO_MOI'!$C$26)</f>
        <v>2338.5069473925732</v>
      </c>
      <c r="F2241" s="75">
        <f>'HANH_TRINH'!$F$1647+('THAM_SO_MOI'!$F$51-'HANH_TRINH'!$F$1647)*593/'THAM_SO_MOI'!$C$42</f>
        <v>9.309572591679549</v>
      </c>
      <c r="G2241" s="75">
        <f>3.6*F2241</f>
        <v>33.51446133004638</v>
      </c>
      <c r="H2241" s="75">
        <f>'THAM_SO_MOI'!$D$51</f>
        <v>1.375</v>
      </c>
      <c r="I2241" s="75">
        <f>IF(F2241&gt;'THAM_SO_MOI'!$C$14,'THAM_SO_MOI'!$C$13*(1+F2241^2/1500),'THAM_SO_MOI'!$C$13)</f>
        <v>0.015</v>
      </c>
      <c r="J2241" s="75">
        <f>'THAM_SO_MOI'!$C$40*('THAM_SO_MOI'!$C$23*(E2241/'THAM_SO_MOI'!$C$22)+'THAM_SO_MOI'!$C$24*(E2241/'THAM_SO_MOI'!$C$22)^2-'THAM_SO_MOI'!$C$25*(E2241/'THAM_SO_MOI'!$C$22)^3)</f>
        <v>104.96290817234531</v>
      </c>
      <c r="K2241" s="75">
        <f>'THAM_SO_MOI'!$C$31*J2241/E2241</f>
        <v>428.6970637122986</v>
      </c>
      <c r="L2241" s="75">
        <f>K2241*'THAM_SO_MOI'!$C$51*'THAM_SO_MOI'!$C$17/'THAM_SO_MOI'!$C$26</f>
        <v>9585.327906818866</v>
      </c>
      <c r="M2241" s="75">
        <f>'THAM_SO_MOI'!$C$15*'THAM_SO_MOI'!$C$16*F2241^2</f>
        <v>253.5043148812719</v>
      </c>
      <c r="N2241" s="75">
        <f>'THAM_SO_MOI'!$C$12*I2241</f>
        <v>1130.112</v>
      </c>
      <c r="O2241" s="75">
        <f>M2241+N2241</f>
        <v>1383.616314881272</v>
      </c>
      <c r="P2241" s="75">
        <f>(MIN(L2241,'THAM_SO_MOI'!$C$41)-O2241)/('THAM_SO_MOI'!$C$11*H2241)</f>
        <v>0.7766772340849994</v>
      </c>
      <c r="Q2241" s="75">
        <f>IF(P2241&gt;0,1/P2241,NA())</f>
        <v>1.2875361297001273</v>
      </c>
      <c r="R2241" s="75">
        <f>F2241-F2240</f>
        <v>0.005028991339516509</v>
      </c>
      <c r="S2241" s="75">
        <f>0.5*(Q2240+Q2241)*R2241</f>
        <v>0.006474714800231653</v>
      </c>
      <c r="T2241" s="75">
        <f>0.5*(F2240*Q2240+F2241*Q2241)*R2241</f>
        <v>0.06026054753821457</v>
      </c>
      <c r="U2241" s="76">
        <f>U2240+S2241</f>
        <v>11.60228536030518</v>
      </c>
      <c r="V2241" s="76">
        <f>V2240+T2241</f>
        <v>62.237748786999255</v>
      </c>
    </row>
    <row r="2242" spans="1:22" ht="19" customHeight="1">
      <c r="A2242" s="68" t="s">
        <v>374</v>
      </c>
      <c r="B2242" s="74">
        <v>3</v>
      </c>
      <c r="C2242" s="68" t="s">
        <v>363</v>
      </c>
      <c r="D2242" s="68" t="s">
        <v>364</v>
      </c>
      <c r="E2242" s="75">
        <f>60*F2242*'THAM_SO_MOI'!$C$51/(2*PI()*'THAM_SO_MOI'!$C$26)</f>
        <v>2339.770198854445</v>
      </c>
      <c r="F2242" s="75">
        <f>'HANH_TRINH'!$F$1647+('THAM_SO_MOI'!$F$51-'HANH_TRINH'!$F$1647)*594/'THAM_SO_MOI'!$C$42</f>
        <v>9.314601583019067</v>
      </c>
      <c r="G2242" s="75">
        <f>3.6*F2242</f>
        <v>33.532565698868645</v>
      </c>
      <c r="H2242" s="75">
        <f>'THAM_SO_MOI'!$D$51</f>
        <v>1.375</v>
      </c>
      <c r="I2242" s="75">
        <f>IF(F2242&gt;'THAM_SO_MOI'!$C$14,'THAM_SO_MOI'!$C$13*(1+F2242^2/1500),'THAM_SO_MOI'!$C$13)</f>
        <v>0.015</v>
      </c>
      <c r="J2242" s="75">
        <f>'THAM_SO_MOI'!$C$40*('THAM_SO_MOI'!$C$23*(E2242/'THAM_SO_MOI'!$C$22)+'THAM_SO_MOI'!$C$24*(E2242/'THAM_SO_MOI'!$C$22)^2-'THAM_SO_MOI'!$C$25*(E2242/'THAM_SO_MOI'!$C$22)^3)</f>
        <v>105.01443063243781</v>
      </c>
      <c r="K2242" s="75">
        <f>'THAM_SO_MOI'!$C$31*J2242/E2242</f>
        <v>428.6759265478345</v>
      </c>
      <c r="L2242" s="75">
        <f>K2242*'THAM_SO_MOI'!$C$51*'THAM_SO_MOI'!$C$17/'THAM_SO_MOI'!$C$26</f>
        <v>9584.855296508325</v>
      </c>
      <c r="M2242" s="75">
        <f>'THAM_SO_MOI'!$C$15*'THAM_SO_MOI'!$C$16*F2242^2</f>
        <v>253.77827275236535</v>
      </c>
      <c r="N2242" s="75">
        <f>'THAM_SO_MOI'!$C$12*I2242</f>
        <v>1130.112</v>
      </c>
      <c r="O2242" s="75">
        <f>M2242+N2242</f>
        <v>1383.8902727523655</v>
      </c>
      <c r="P2242" s="75">
        <f>(MIN(L2242,'THAM_SO_MOI'!$C$41)-O2242)/('THAM_SO_MOI'!$C$11*H2242)</f>
        <v>0.7766065363405267</v>
      </c>
      <c r="Q2242" s="75">
        <f>IF(P2242&gt;0,1/P2242,NA())</f>
        <v>1.2876533395046261</v>
      </c>
      <c r="R2242" s="75">
        <f>F2242-F2241</f>
        <v>0.005028991339518285</v>
      </c>
      <c r="S2242" s="75">
        <f>0.5*(Q2241+Q2242)*R2242</f>
        <v>0.006475302769124697</v>
      </c>
      <c r="T2242" s="75">
        <f>0.5*(F2241*Q2241+F2242*Q2242)*R2242</f>
        <v>0.06029858404412439</v>
      </c>
      <c r="U2242" s="76">
        <f>U2241+S2242</f>
        <v>11.608760663074305</v>
      </c>
      <c r="V2242" s="76">
        <f>V2241+T2242</f>
        <v>62.29804737104338</v>
      </c>
    </row>
    <row r="2243" spans="1:22" ht="19" customHeight="1">
      <c r="A2243" s="68" t="s">
        <v>374</v>
      </c>
      <c r="B2243" s="74">
        <v>3</v>
      </c>
      <c r="C2243" s="68" t="s">
        <v>363</v>
      </c>
      <c r="D2243" s="68" t="s">
        <v>364</v>
      </c>
      <c r="E2243" s="75">
        <f>60*F2243*'THAM_SO_MOI'!$C$51/(2*PI()*'THAM_SO_MOI'!$C$26)</f>
        <v>2341.0334503163167</v>
      </c>
      <c r="F2243" s="75">
        <f>'HANH_TRINH'!$F$1647+('THAM_SO_MOI'!$F$51-'HANH_TRINH'!$F$1647)*595/'THAM_SO_MOI'!$C$42</f>
        <v>9.319630574358586</v>
      </c>
      <c r="G2243" s="75">
        <f>3.6*F2243</f>
        <v>33.55067006769091</v>
      </c>
      <c r="H2243" s="75">
        <f>'THAM_SO_MOI'!$D$51</f>
        <v>1.375</v>
      </c>
      <c r="I2243" s="75">
        <f>IF(F2243&gt;'THAM_SO_MOI'!$C$14,'THAM_SO_MOI'!$C$13*(1+F2243^2/1500),'THAM_SO_MOI'!$C$13)</f>
        <v>0.015</v>
      </c>
      <c r="J2243" s="75">
        <f>'THAM_SO_MOI'!$C$40*('THAM_SO_MOI'!$C$23*(E2243/'THAM_SO_MOI'!$C$22)+'THAM_SO_MOI'!$C$24*(E2243/'THAM_SO_MOI'!$C$22)^2-'THAM_SO_MOI'!$C$25*(E2243/'THAM_SO_MOI'!$C$22)^3)</f>
        <v>105.06590955465956</v>
      </c>
      <c r="K2243" s="75">
        <f>'THAM_SO_MOI'!$C$31*J2243/E2243</f>
        <v>428.65463456653976</v>
      </c>
      <c r="L2243" s="75">
        <f>K2243*'THAM_SO_MOI'!$C$51*'THAM_SO_MOI'!$C$17/'THAM_SO_MOI'!$C$26</f>
        <v>9584.379224615674</v>
      </c>
      <c r="M2243" s="75">
        <f>'THAM_SO_MOI'!$C$15*'THAM_SO_MOI'!$C$16*F2243^2</f>
        <v>254.0523785743691</v>
      </c>
      <c r="N2243" s="75">
        <f>'THAM_SO_MOI'!$C$12*I2243</f>
        <v>1130.112</v>
      </c>
      <c r="O2243" s="75">
        <f>M2243+N2243</f>
        <v>1384.1643785743693</v>
      </c>
      <c r="P2243" s="75">
        <f>(MIN(L2243,'THAM_SO_MOI'!$C$41)-O2243)/('THAM_SO_MOI'!$C$11*H2243)</f>
        <v>0.7765354967842144</v>
      </c>
      <c r="Q2243" s="75">
        <f>IF(P2243&gt;0,1/P2243,NA())</f>
        <v>1.28777113749622</v>
      </c>
      <c r="R2243" s="75">
        <f>F2243-F2242</f>
        <v>0.005028991339518285</v>
      </c>
      <c r="S2243" s="75">
        <f>0.5*(Q2242+Q2243)*R2243</f>
        <v>0.006475893695210331</v>
      </c>
      <c r="T2243" s="75">
        <f>0.5*(F2242*Q2242+F2243*Q2243)*R2243</f>
        <v>0.060336654016323786</v>
      </c>
      <c r="U2243" s="76">
        <f>U2242+S2243</f>
        <v>11.615236556769515</v>
      </c>
      <c r="V2243" s="76">
        <f>V2242+T2243</f>
        <v>62.358384025059706</v>
      </c>
    </row>
    <row r="2244" spans="1:22" ht="19" customHeight="1">
      <c r="A2244" s="68" t="s">
        <v>374</v>
      </c>
      <c r="B2244" s="74">
        <v>3</v>
      </c>
      <c r="C2244" s="68" t="s">
        <v>363</v>
      </c>
      <c r="D2244" s="68" t="s">
        <v>364</v>
      </c>
      <c r="E2244" s="75">
        <f>60*F2244*'THAM_SO_MOI'!$C$51/(2*PI()*'THAM_SO_MOI'!$C$26)</f>
        <v>2342.296701778188</v>
      </c>
      <c r="F2244" s="75">
        <f>'HANH_TRINH'!$F$1647+('THAM_SO_MOI'!$F$51-'HANH_TRINH'!$F$1647)*596/'THAM_SO_MOI'!$C$42</f>
        <v>9.324659565698102</v>
      </c>
      <c r="G2244" s="75">
        <f>3.6*F2244</f>
        <v>33.568774436513166</v>
      </c>
      <c r="H2244" s="75">
        <f>'THAM_SO_MOI'!$D$51</f>
        <v>1.375</v>
      </c>
      <c r="I2244" s="75">
        <f>IF(F2244&gt;'THAM_SO_MOI'!$C$14,'THAM_SO_MOI'!$C$13*(1+F2244^2/1500),'THAM_SO_MOI'!$C$13)</f>
        <v>0.015</v>
      </c>
      <c r="J2244" s="75">
        <f>'THAM_SO_MOI'!$C$40*('THAM_SO_MOI'!$C$23*(E2244/'THAM_SO_MOI'!$C$22)+'THAM_SO_MOI'!$C$24*(E2244/'THAM_SO_MOI'!$C$22)^2-'THAM_SO_MOI'!$C$25*(E2244/'THAM_SO_MOI'!$C$22)^3)</f>
        <v>105.11734487758117</v>
      </c>
      <c r="K2244" s="75">
        <f>'THAM_SO_MOI'!$C$31*J2244/E2244</f>
        <v>428.63318776841464</v>
      </c>
      <c r="L2244" s="75">
        <f>K2244*'THAM_SO_MOI'!$C$51*'THAM_SO_MOI'!$C$17/'THAM_SO_MOI'!$C$26</f>
        <v>9583.899691140914</v>
      </c>
      <c r="M2244" s="75">
        <f>'THAM_SO_MOI'!$C$15*'THAM_SO_MOI'!$C$16*F2244^2</f>
        <v>254.326632347283</v>
      </c>
      <c r="N2244" s="75">
        <f>'THAM_SO_MOI'!$C$12*I2244</f>
        <v>1130.112</v>
      </c>
      <c r="O2244" s="75">
        <f>M2244+N2244</f>
        <v>1384.4386323472831</v>
      </c>
      <c r="P2244" s="75">
        <f>(MIN(L2244,'THAM_SO_MOI'!$C$41)-O2244)/('THAM_SO_MOI'!$C$11*H2244)</f>
        <v>0.7764641154160634</v>
      </c>
      <c r="Q2244" s="75">
        <f>IF(P2244&gt;0,1/P2244,NA())</f>
        <v>1.2878895239919186</v>
      </c>
      <c r="R2244" s="75">
        <f>F2244-F2243</f>
        <v>0.005028991339516509</v>
      </c>
      <c r="S2244" s="75">
        <f>0.5*(Q2243+Q2244)*R2244</f>
        <v>0.006476487580078605</v>
      </c>
      <c r="T2244" s="75">
        <f>0.5*(F2243*Q2243+F2244*Q2244)*R2244</f>
        <v>0.0603747575142505</v>
      </c>
      <c r="U2244" s="76">
        <f>U2243+S2244</f>
        <v>11.621713044349594</v>
      </c>
      <c r="V2244" s="76">
        <f>V2243+T2244</f>
        <v>62.41875878257396</v>
      </c>
    </row>
    <row r="2245" spans="1:22" ht="19" customHeight="1">
      <c r="A2245" s="68" t="s">
        <v>374</v>
      </c>
      <c r="B2245" s="74">
        <v>3</v>
      </c>
      <c r="C2245" s="68" t="s">
        <v>363</v>
      </c>
      <c r="D2245" s="68" t="s">
        <v>364</v>
      </c>
      <c r="E2245" s="75">
        <f>60*F2245*'THAM_SO_MOI'!$C$51/(2*PI()*'THAM_SO_MOI'!$C$26)</f>
        <v>2343.55995324006</v>
      </c>
      <c r="F2245" s="75">
        <f>'HANH_TRINH'!$F$1647+('THAM_SO_MOI'!$F$51-'HANH_TRINH'!$F$1647)*597/'THAM_SO_MOI'!$C$42</f>
        <v>9.32968855703762</v>
      </c>
      <c r="G2245" s="75">
        <f>3.6*F2245</f>
        <v>33.58687880533544</v>
      </c>
      <c r="H2245" s="75">
        <f>'THAM_SO_MOI'!$D$51</f>
        <v>1.375</v>
      </c>
      <c r="I2245" s="75">
        <f>IF(F2245&gt;'THAM_SO_MOI'!$C$14,'THAM_SO_MOI'!$C$13*(1+F2245^2/1500),'THAM_SO_MOI'!$C$13)</f>
        <v>0.015</v>
      </c>
      <c r="J2245" s="75">
        <f>'THAM_SO_MOI'!$C$40*('THAM_SO_MOI'!$C$23*(E2245/'THAM_SO_MOI'!$C$22)+'THAM_SO_MOI'!$C$24*(E2245/'THAM_SO_MOI'!$C$22)^2-'THAM_SO_MOI'!$C$25*(E2245/'THAM_SO_MOI'!$C$22)^3)</f>
        <v>105.16873653977338</v>
      </c>
      <c r="K2245" s="75">
        <f>'THAM_SO_MOI'!$C$31*J2245/E2245</f>
        <v>428.611586153459</v>
      </c>
      <c r="L2245" s="75">
        <f>K2245*'THAM_SO_MOI'!$C$51*'THAM_SO_MOI'!$C$17/'THAM_SO_MOI'!$C$26</f>
        <v>9583.416696084047</v>
      </c>
      <c r="M2245" s="75">
        <f>'THAM_SO_MOI'!$C$15*'THAM_SO_MOI'!$C$16*F2245^2</f>
        <v>254.60103407110728</v>
      </c>
      <c r="N2245" s="75">
        <f>'THAM_SO_MOI'!$C$12*I2245</f>
        <v>1130.112</v>
      </c>
      <c r="O2245" s="75">
        <f>M2245+N2245</f>
        <v>1384.7130340711074</v>
      </c>
      <c r="P2245" s="75">
        <f>(MIN(L2245,'THAM_SO_MOI'!$C$41)-O2245)/('THAM_SO_MOI'!$C$11*H2245)</f>
        <v>0.7763923922360739</v>
      </c>
      <c r="Q2245" s="75">
        <f>IF(P2245&gt;0,1/P2245,NA())</f>
        <v>1.2880084993104037</v>
      </c>
      <c r="R2245" s="75">
        <f>F2245-F2244</f>
        <v>0.005028991339518285</v>
      </c>
      <c r="S2245" s="75">
        <f>0.5*(Q2244+Q2245)*R2245</f>
        <v>0.006477084425334824</v>
      </c>
      <c r="T2245" s="75">
        <f>0.5*(F2244*Q2244+F2245*Q2245)*R2245</f>
        <v>0.060412894597516614</v>
      </c>
      <c r="U2245" s="76">
        <f>U2244+S2245</f>
        <v>11.628190128774929</v>
      </c>
      <c r="V2245" s="76">
        <f>V2244+T2245</f>
        <v>62.47917167717148</v>
      </c>
    </row>
    <row r="2246" spans="1:22" ht="19" customHeight="1">
      <c r="A2246" s="68" t="s">
        <v>374</v>
      </c>
      <c r="B2246" s="74">
        <v>3</v>
      </c>
      <c r="C2246" s="68" t="s">
        <v>363</v>
      </c>
      <c r="D2246" s="68" t="s">
        <v>364</v>
      </c>
      <c r="E2246" s="75">
        <f>60*F2246*'THAM_SO_MOI'!$C$51/(2*PI()*'THAM_SO_MOI'!$C$26)</f>
        <v>2344.823204701932</v>
      </c>
      <c r="F2246" s="75">
        <f>'HANH_TRINH'!$F$1647+('THAM_SO_MOI'!$F$51-'HANH_TRINH'!$F$1647)*598/'THAM_SO_MOI'!$C$42</f>
        <v>9.334717548377139</v>
      </c>
      <c r="G2246" s="75">
        <f>3.6*F2246</f>
        <v>33.6049831741577</v>
      </c>
      <c r="H2246" s="75">
        <f>'THAM_SO_MOI'!$D$51</f>
        <v>1.375</v>
      </c>
      <c r="I2246" s="75">
        <f>IF(F2246&gt;'THAM_SO_MOI'!$C$14,'THAM_SO_MOI'!$C$13*(1+F2246^2/1500),'THAM_SO_MOI'!$C$13)</f>
        <v>0.015</v>
      </c>
      <c r="J2246" s="75">
        <f>'THAM_SO_MOI'!$C$40*('THAM_SO_MOI'!$C$23*(E2246/'THAM_SO_MOI'!$C$22)+'THAM_SO_MOI'!$C$24*(E2246/'THAM_SO_MOI'!$C$22)^2-'THAM_SO_MOI'!$C$25*(E2246/'THAM_SO_MOI'!$C$22)^3)</f>
        <v>105.22008447980673</v>
      </c>
      <c r="K2246" s="75">
        <f>'THAM_SO_MOI'!$C$31*J2246/E2246</f>
        <v>428.58982972167274</v>
      </c>
      <c r="L2246" s="75">
        <f>K2246*'THAM_SO_MOI'!$C$51*'THAM_SO_MOI'!$C$17/'THAM_SO_MOI'!$C$26</f>
        <v>9582.93023944507</v>
      </c>
      <c r="M2246" s="75">
        <f>'THAM_SO_MOI'!$C$15*'THAM_SO_MOI'!$C$16*F2246^2</f>
        <v>254.87558374584182</v>
      </c>
      <c r="N2246" s="75">
        <f>'THAM_SO_MOI'!$C$12*I2246</f>
        <v>1130.112</v>
      </c>
      <c r="O2246" s="75">
        <f>M2246+N2246</f>
        <v>1384.987583745842</v>
      </c>
      <c r="P2246" s="75">
        <f>(MIN(L2246,'THAM_SO_MOI'!$C$41)-O2246)/('THAM_SO_MOI'!$C$11*H2246)</f>
        <v>0.7763203272442452</v>
      </c>
      <c r="Q2246" s="75">
        <f>IF(P2246&gt;0,1/P2246,NA())</f>
        <v>1.2881280637720323</v>
      </c>
      <c r="R2246" s="75">
        <f>F2246-F2245</f>
        <v>0.005028991339518285</v>
      </c>
      <c r="S2246" s="75">
        <f>0.5*(Q2245+Q2246)*R2246</f>
        <v>0.006477684232578985</v>
      </c>
      <c r="T2246" s="75">
        <f>0.5*(F2245*Q2245+F2246*Q2246)*R2246</f>
        <v>0.06045106532571691</v>
      </c>
      <c r="U2246" s="76">
        <f>U2245+S2246</f>
        <v>11.634667813007507</v>
      </c>
      <c r="V2246" s="76">
        <f>V2245+T2246</f>
        <v>62.539622742497194</v>
      </c>
    </row>
    <row r="2247" spans="1:22" ht="19" customHeight="1">
      <c r="A2247" s="68" t="s">
        <v>374</v>
      </c>
      <c r="B2247" s="74">
        <v>3</v>
      </c>
      <c r="C2247" s="68" t="s">
        <v>363</v>
      </c>
      <c r="D2247" s="68" t="s">
        <v>364</v>
      </c>
      <c r="E2247" s="75">
        <f>60*F2247*'THAM_SO_MOI'!$C$51/(2*PI()*'THAM_SO_MOI'!$C$26)</f>
        <v>2346.0864561638036</v>
      </c>
      <c r="F2247" s="75">
        <f>'HANH_TRINH'!$F$1647+('THAM_SO_MOI'!$F$51-'HANH_TRINH'!$F$1647)*599/'THAM_SO_MOI'!$C$42</f>
        <v>9.339746539716657</v>
      </c>
      <c r="G2247" s="75">
        <f>3.6*F2247</f>
        <v>33.62308754297997</v>
      </c>
      <c r="H2247" s="75">
        <f>'THAM_SO_MOI'!$D$51</f>
        <v>1.375</v>
      </c>
      <c r="I2247" s="75">
        <f>IF(F2247&gt;'THAM_SO_MOI'!$C$14,'THAM_SO_MOI'!$C$13*(1+F2247^2/1500),'THAM_SO_MOI'!$C$13)</f>
        <v>0.015</v>
      </c>
      <c r="J2247" s="75">
        <f>'THAM_SO_MOI'!$C$40*('THAM_SO_MOI'!$C$23*(E2247/'THAM_SO_MOI'!$C$22)+'THAM_SO_MOI'!$C$24*(E2247/'THAM_SO_MOI'!$C$22)^2-'THAM_SO_MOI'!$C$25*(E2247/'THAM_SO_MOI'!$C$22)^3)</f>
        <v>105.271388636252</v>
      </c>
      <c r="K2247" s="75">
        <f>'THAM_SO_MOI'!$C$31*J2247/E2247</f>
        <v>428.56791847305624</v>
      </c>
      <c r="L2247" s="75">
        <f>K2247*'THAM_SO_MOI'!$C$51*'THAM_SO_MOI'!$C$17/'THAM_SO_MOI'!$C$26</f>
        <v>9582.440321223987</v>
      </c>
      <c r="M2247" s="75">
        <f>'THAM_SO_MOI'!$C$15*'THAM_SO_MOI'!$C$16*F2247^2</f>
        <v>255.15028137148664</v>
      </c>
      <c r="N2247" s="75">
        <f>'THAM_SO_MOI'!$C$12*I2247</f>
        <v>1130.112</v>
      </c>
      <c r="O2247" s="75">
        <f>M2247+N2247</f>
        <v>1385.2622813714868</v>
      </c>
      <c r="P2247" s="75">
        <f>(MIN(L2247,'THAM_SO_MOI'!$C$41)-O2247)/('THAM_SO_MOI'!$C$11*H2247)</f>
        <v>0.7762479204405777</v>
      </c>
      <c r="Q2247" s="75">
        <f>IF(P2247&gt;0,1/P2247,NA())</f>
        <v>1.2882482176988335</v>
      </c>
      <c r="R2247" s="75">
        <f>F2247-F2246</f>
        <v>0.005028991339518285</v>
      </c>
      <c r="S2247" s="75">
        <f>0.5*(Q2246+Q2247)*R2247</f>
        <v>0.006478287003428654</v>
      </c>
      <c r="T2247" s="75">
        <f>0.5*(F2246*Q2246+F2247*Q2247)*R2247</f>
        <v>0.06048926975864243</v>
      </c>
      <c r="U2247" s="76">
        <f>U2246+S2247</f>
        <v>11.641146100010936</v>
      </c>
      <c r="V2247" s="76">
        <f>V2246+T2247</f>
        <v>62.600112012255835</v>
      </c>
    </row>
    <row r="2248" spans="1:22" ht="19" customHeight="1">
      <c r="A2248" s="68" t="s">
        <v>374</v>
      </c>
      <c r="B2248" s="74">
        <v>3</v>
      </c>
      <c r="C2248" s="68" t="s">
        <v>363</v>
      </c>
      <c r="D2248" s="68" t="s">
        <v>364</v>
      </c>
      <c r="E2248" s="75">
        <f>60*F2248*'THAM_SO_MOI'!$C$51/(2*PI()*'THAM_SO_MOI'!$C$26)</f>
        <v>2347.349707625675</v>
      </c>
      <c r="F2248" s="75">
        <f>'HANH_TRINH'!$F$1647+('THAM_SO_MOI'!$F$51-'HANH_TRINH'!$F$1647)*600/'THAM_SO_MOI'!$C$42</f>
        <v>9.344775531056174</v>
      </c>
      <c r="G2248" s="75">
        <f>3.6*F2248</f>
        <v>33.641191911802224</v>
      </c>
      <c r="H2248" s="75">
        <f>'THAM_SO_MOI'!$D$51</f>
        <v>1.375</v>
      </c>
      <c r="I2248" s="75">
        <f>IF(F2248&gt;'THAM_SO_MOI'!$C$14,'THAM_SO_MOI'!$C$13*(1+F2248^2/1500),'THAM_SO_MOI'!$C$13)</f>
        <v>0.015</v>
      </c>
      <c r="J2248" s="75">
        <f>'THAM_SO_MOI'!$C$40*('THAM_SO_MOI'!$C$23*(E2248/'THAM_SO_MOI'!$C$22)+'THAM_SO_MOI'!$C$24*(E2248/'THAM_SO_MOI'!$C$22)^2-'THAM_SO_MOI'!$C$25*(E2248/'THAM_SO_MOI'!$C$22)^3)</f>
        <v>105.32264894767964</v>
      </c>
      <c r="K2248" s="75">
        <f>'THAM_SO_MOI'!$C$31*J2248/E2248</f>
        <v>428.5458524076089</v>
      </c>
      <c r="L2248" s="75">
        <f>K2248*'THAM_SO_MOI'!$C$51*'THAM_SO_MOI'!$C$17/'THAM_SO_MOI'!$C$26</f>
        <v>9581.946941420787</v>
      </c>
      <c r="M2248" s="75">
        <f>'THAM_SO_MOI'!$C$15*'THAM_SO_MOI'!$C$16*F2248^2</f>
        <v>255.42512694804162</v>
      </c>
      <c r="N2248" s="75">
        <f>'THAM_SO_MOI'!$C$12*I2248</f>
        <v>1130.112</v>
      </c>
      <c r="O2248" s="75">
        <f>M2248+N2248</f>
        <v>1385.5371269480418</v>
      </c>
      <c r="P2248" s="75">
        <f>(MIN(L2248,'THAM_SO_MOI'!$C$41)-O2248)/('THAM_SO_MOI'!$C$11*H2248)</f>
        <v>0.7761751718250707</v>
      </c>
      <c r="Q2248" s="75">
        <f>IF(P2248&gt;0,1/P2248,NA())</f>
        <v>1.2883689614145162</v>
      </c>
      <c r="R2248" s="75">
        <f>F2248-F2247</f>
        <v>0.005028991339516509</v>
      </c>
      <c r="S2248" s="75">
        <f>0.5*(Q2247+Q2248)*R2248</f>
        <v>0.006478892739505246</v>
      </c>
      <c r="T2248" s="75">
        <f>0.5*(F2247*Q2247+F2248*Q2248)*R2248</f>
        <v>0.06052750795615271</v>
      </c>
      <c r="U2248" s="76">
        <f>U2247+S2248</f>
        <v>11.64762499275044</v>
      </c>
      <c r="V2248" s="76">
        <f>V2247+T2248</f>
        <v>62.66063952021199</v>
      </c>
    </row>
    <row r="2249" spans="1:22" ht="19" customHeight="1">
      <c r="A2249" s="68" t="s">
        <v>374</v>
      </c>
      <c r="B2249" s="74">
        <v>3</v>
      </c>
      <c r="C2249" s="68" t="s">
        <v>363</v>
      </c>
      <c r="D2249" s="68" t="s">
        <v>364</v>
      </c>
      <c r="E2249" s="75">
        <f>60*F2249*'THAM_SO_MOI'!$C$51/(2*PI()*'THAM_SO_MOI'!$C$26)</f>
        <v>2348.6129590875466</v>
      </c>
      <c r="F2249" s="75">
        <f>'HANH_TRINH'!$F$1647+('THAM_SO_MOI'!$F$51-'HANH_TRINH'!$F$1647)*601/'THAM_SO_MOI'!$C$42</f>
        <v>9.349804522395692</v>
      </c>
      <c r="G2249" s="75">
        <f>3.6*F2249</f>
        <v>33.65929628062449</v>
      </c>
      <c r="H2249" s="75">
        <f>'THAM_SO_MOI'!$D$51</f>
        <v>1.375</v>
      </c>
      <c r="I2249" s="75">
        <f>IF(F2249&gt;'THAM_SO_MOI'!$C$14,'THAM_SO_MOI'!$C$13*(1+F2249^2/1500),'THAM_SO_MOI'!$C$13)</f>
        <v>0.015</v>
      </c>
      <c r="J2249" s="75">
        <f>'THAM_SO_MOI'!$C$40*('THAM_SO_MOI'!$C$23*(E2249/'THAM_SO_MOI'!$C$22)+'THAM_SO_MOI'!$C$24*(E2249/'THAM_SO_MOI'!$C$22)^2-'THAM_SO_MOI'!$C$25*(E2249/'THAM_SO_MOI'!$C$22)^3)</f>
        <v>105.3738653526605</v>
      </c>
      <c r="K2249" s="75">
        <f>'THAM_SO_MOI'!$C$31*J2249/E2249</f>
        <v>428.5236315253312</v>
      </c>
      <c r="L2249" s="75">
        <f>K2249*'THAM_SO_MOI'!$C$51*'THAM_SO_MOI'!$C$17/'THAM_SO_MOI'!$C$26</f>
        <v>9581.450100035485</v>
      </c>
      <c r="M2249" s="75">
        <f>'THAM_SO_MOI'!$C$15*'THAM_SO_MOI'!$C$16*F2249^2</f>
        <v>255.700120475507</v>
      </c>
      <c r="N2249" s="75">
        <f>'THAM_SO_MOI'!$C$12*I2249</f>
        <v>1130.112</v>
      </c>
      <c r="O2249" s="75">
        <f>M2249+N2249</f>
        <v>1385.812120475507</v>
      </c>
      <c r="P2249" s="75">
        <f>(MIN(L2249,'THAM_SO_MOI'!$C$41)-O2249)/('THAM_SO_MOI'!$C$11*H2249)</f>
        <v>0.7761020813977253</v>
      </c>
      <c r="Q2249" s="75">
        <f>IF(P2249&gt;0,1/P2249,NA())</f>
        <v>1.2884902952444663</v>
      </c>
      <c r="R2249" s="75">
        <f>F2249-F2248</f>
        <v>0.005028991339518285</v>
      </c>
      <c r="S2249" s="75">
        <f>0.5*(Q2248+Q2249)*R2249</f>
        <v>0.006479501442447775</v>
      </c>
      <c r="T2249" s="75">
        <f>0.5*(F2248*Q2248+F2249*Q2249)*R2249</f>
        <v>0.06056577997830438</v>
      </c>
      <c r="U2249" s="76">
        <f>U2248+S2249</f>
        <v>11.654104494192888</v>
      </c>
      <c r="V2249" s="76">
        <f>V2248+T2249</f>
        <v>62.72120530019029</v>
      </c>
    </row>
    <row r="2250" spans="1:22" ht="19" customHeight="1">
      <c r="A2250" s="68" t="s">
        <v>374</v>
      </c>
      <c r="B2250" s="74">
        <v>3</v>
      </c>
      <c r="C2250" s="68" t="s">
        <v>363</v>
      </c>
      <c r="D2250" s="68" t="s">
        <v>364</v>
      </c>
      <c r="E2250" s="75">
        <f>60*F2250*'THAM_SO_MOI'!$C$51/(2*PI()*'THAM_SO_MOI'!$C$26)</f>
        <v>2349.876210549418</v>
      </c>
      <c r="F2250" s="75">
        <f>'HANH_TRINH'!$F$1647+('THAM_SO_MOI'!$F$51-'HANH_TRINH'!$F$1647)*602/'THAM_SO_MOI'!$C$42</f>
        <v>9.354833513735208</v>
      </c>
      <c r="G2250" s="75">
        <f>3.6*F2250</f>
        <v>33.67740064944675</v>
      </c>
      <c r="H2250" s="75">
        <f>'THAM_SO_MOI'!$D$51</f>
        <v>1.375</v>
      </c>
      <c r="I2250" s="75">
        <f>IF(F2250&gt;'THAM_SO_MOI'!$C$14,'THAM_SO_MOI'!$C$13*(1+F2250^2/1500),'THAM_SO_MOI'!$C$13)</f>
        <v>0.015</v>
      </c>
      <c r="J2250" s="75">
        <f>'THAM_SO_MOI'!$C$40*('THAM_SO_MOI'!$C$23*(E2250/'THAM_SO_MOI'!$C$22)+'THAM_SO_MOI'!$C$24*(E2250/'THAM_SO_MOI'!$C$22)^2-'THAM_SO_MOI'!$C$25*(E2250/'THAM_SO_MOI'!$C$22)^3)</f>
        <v>105.42503778976511</v>
      </c>
      <c r="K2250" s="75">
        <f>'THAM_SO_MOI'!$C$31*J2250/E2250</f>
        <v>428.501255826223</v>
      </c>
      <c r="L2250" s="75">
        <f>K2250*'THAM_SO_MOI'!$C$51*'THAM_SO_MOI'!$C$17/'THAM_SO_MOI'!$C$26</f>
        <v>9580.94979706807</v>
      </c>
      <c r="M2250" s="75">
        <f>'THAM_SO_MOI'!$C$15*'THAM_SO_MOI'!$C$16*F2250^2</f>
        <v>255.97526195388255</v>
      </c>
      <c r="N2250" s="75">
        <f>'THAM_SO_MOI'!$C$12*I2250</f>
        <v>1130.112</v>
      </c>
      <c r="O2250" s="75">
        <f>M2250+N2250</f>
        <v>1386.0872619538827</v>
      </c>
      <c r="P2250" s="75">
        <f>(MIN(L2250,'THAM_SO_MOI'!$C$41)-O2250)/('THAM_SO_MOI'!$C$11*H2250)</f>
        <v>0.7760286491585403</v>
      </c>
      <c r="Q2250" s="75">
        <f>IF(P2250&gt;0,1/P2250,NA())</f>
        <v>1.2886122195157552</v>
      </c>
      <c r="R2250" s="75">
        <f>F2250-F2249</f>
        <v>0.005028991339516509</v>
      </c>
      <c r="S2250" s="75">
        <f>0.5*(Q2249+Q2250)*R2250</f>
        <v>0.006480113113887685</v>
      </c>
      <c r="T2250" s="75">
        <f>0.5*(F2249*Q2249+F2250*Q2250)*R2250</f>
        <v>0.0606040858851163</v>
      </c>
      <c r="U2250" s="76">
        <f>U2249+S2250</f>
        <v>11.660584607306776</v>
      </c>
      <c r="V2250" s="76">
        <f>V2249+T2250</f>
        <v>62.78180938607541</v>
      </c>
    </row>
    <row r="2251" spans="1:22" ht="19" customHeight="1">
      <c r="A2251" s="68" t="s">
        <v>374</v>
      </c>
      <c r="B2251" s="74">
        <v>3</v>
      </c>
      <c r="C2251" s="68" t="s">
        <v>363</v>
      </c>
      <c r="D2251" s="68" t="s">
        <v>364</v>
      </c>
      <c r="E2251" s="75">
        <f>60*F2251*'THAM_SO_MOI'!$C$51/(2*PI()*'THAM_SO_MOI'!$C$26)</f>
        <v>2351.13946201129</v>
      </c>
      <c r="F2251" s="75">
        <f>'HANH_TRINH'!$F$1647+('THAM_SO_MOI'!$F$51-'HANH_TRINH'!$F$1647)*603/'THAM_SO_MOI'!$C$42</f>
        <v>9.359862505074727</v>
      </c>
      <c r="G2251" s="75">
        <f>3.6*F2251</f>
        <v>33.69550501826902</v>
      </c>
      <c r="H2251" s="75">
        <f>'THAM_SO_MOI'!$D$51</f>
        <v>1.375</v>
      </c>
      <c r="I2251" s="75">
        <f>IF(F2251&gt;'THAM_SO_MOI'!$C$14,'THAM_SO_MOI'!$C$13*(1+F2251^2/1500),'THAM_SO_MOI'!$C$13)</f>
        <v>0.015</v>
      </c>
      <c r="J2251" s="75">
        <f>'THAM_SO_MOI'!$C$40*('THAM_SO_MOI'!$C$23*(E2251/'THAM_SO_MOI'!$C$22)+'THAM_SO_MOI'!$C$24*(E2251/'THAM_SO_MOI'!$C$22)^2-'THAM_SO_MOI'!$C$25*(E2251/'THAM_SO_MOI'!$C$22)^3)</f>
        <v>105.47616619756424</v>
      </c>
      <c r="K2251" s="75">
        <f>'THAM_SO_MOI'!$C$31*J2251/E2251</f>
        <v>428.47872531028435</v>
      </c>
      <c r="L2251" s="75">
        <f>K2251*'THAM_SO_MOI'!$C$51*'THAM_SO_MOI'!$C$17/'THAM_SO_MOI'!$C$26</f>
        <v>9580.44603251855</v>
      </c>
      <c r="M2251" s="75">
        <f>'THAM_SO_MOI'!$C$15*'THAM_SO_MOI'!$C$16*F2251^2</f>
        <v>256.25055138316844</v>
      </c>
      <c r="N2251" s="75">
        <f>'THAM_SO_MOI'!$C$12*I2251</f>
        <v>1130.112</v>
      </c>
      <c r="O2251" s="75">
        <f>M2251+N2251</f>
        <v>1386.3625513831685</v>
      </c>
      <c r="P2251" s="75">
        <f>(MIN(L2251,'THAM_SO_MOI'!$C$41)-O2251)/('THAM_SO_MOI'!$C$11*H2251)</f>
        <v>0.7759548751075172</v>
      </c>
      <c r="Q2251" s="75">
        <f>IF(P2251&gt;0,1/P2251,NA())</f>
        <v>1.2887347345571338</v>
      </c>
      <c r="R2251" s="75">
        <f>F2251-F2250</f>
        <v>0.005028991339518285</v>
      </c>
      <c r="S2251" s="75">
        <f>0.5*(Q2250+Q2251)*R2251</f>
        <v>0.0064807277554831955</v>
      </c>
      <c r="T2251" s="75">
        <f>0.5*(F2250*Q2250+F2251*Q2251)*R2251</f>
        <v>0.06064242573689064</v>
      </c>
      <c r="U2251" s="76">
        <f>U2250+S2251</f>
        <v>11.667065335062258</v>
      </c>
      <c r="V2251" s="76">
        <f>V2250+T2251</f>
        <v>62.842451811812296</v>
      </c>
    </row>
    <row r="2252" spans="1:22" ht="19" customHeight="1">
      <c r="A2252" s="68" t="s">
        <v>374</v>
      </c>
      <c r="B2252" s="74">
        <v>3</v>
      </c>
      <c r="C2252" s="68" t="s">
        <v>363</v>
      </c>
      <c r="D2252" s="68" t="s">
        <v>364</v>
      </c>
      <c r="E2252" s="75">
        <f>60*F2252*'THAM_SO_MOI'!$C$51/(2*PI()*'THAM_SO_MOI'!$C$26)</f>
        <v>2352.4027134731614</v>
      </c>
      <c r="F2252" s="75">
        <f>'HANH_TRINH'!$F$1647+('THAM_SO_MOI'!$F$51-'HANH_TRINH'!$F$1647)*604/'THAM_SO_MOI'!$C$42</f>
        <v>9.364891496414245</v>
      </c>
      <c r="G2252" s="75">
        <f>3.6*F2252</f>
        <v>33.71360938709128</v>
      </c>
      <c r="H2252" s="75">
        <f>'THAM_SO_MOI'!$D$51</f>
        <v>1.375</v>
      </c>
      <c r="I2252" s="75">
        <f>IF(F2252&gt;'THAM_SO_MOI'!$C$14,'THAM_SO_MOI'!$C$13*(1+F2252^2/1500),'THAM_SO_MOI'!$C$13)</f>
        <v>0.015</v>
      </c>
      <c r="J2252" s="75">
        <f>'THAM_SO_MOI'!$C$40*('THAM_SO_MOI'!$C$23*(E2252/'THAM_SO_MOI'!$C$22)+'THAM_SO_MOI'!$C$24*(E2252/'THAM_SO_MOI'!$C$22)^2-'THAM_SO_MOI'!$C$25*(E2252/'THAM_SO_MOI'!$C$22)^3)</f>
        <v>105.52725051462838</v>
      </c>
      <c r="K2252" s="75">
        <f>'THAM_SO_MOI'!$C$31*J2252/E2252</f>
        <v>428.456039977515</v>
      </c>
      <c r="L2252" s="75">
        <f>K2252*'THAM_SO_MOI'!$C$51*'THAM_SO_MOI'!$C$17/'THAM_SO_MOI'!$C$26</f>
        <v>9579.938806386917</v>
      </c>
      <c r="M2252" s="75">
        <f>'THAM_SO_MOI'!$C$15*'THAM_SO_MOI'!$C$16*F2252^2</f>
        <v>256.52598876336464</v>
      </c>
      <c r="N2252" s="75">
        <f>'THAM_SO_MOI'!$C$12*I2252</f>
        <v>1130.112</v>
      </c>
      <c r="O2252" s="75">
        <f>M2252+N2252</f>
        <v>1386.6379887633648</v>
      </c>
      <c r="P2252" s="75">
        <f>(MIN(L2252,'THAM_SO_MOI'!$C$41)-O2252)/('THAM_SO_MOI'!$C$11*H2252)</f>
        <v>0.7758807592446546</v>
      </c>
      <c r="Q2252" s="75">
        <f>IF(P2252&gt;0,1/P2252,NA())</f>
        <v>1.2888578406990436</v>
      </c>
      <c r="R2252" s="75">
        <f>F2252-F2251</f>
        <v>0.005028991339518285</v>
      </c>
      <c r="S2252" s="75">
        <f>0.5*(Q2251+Q2252)*R2252</f>
        <v>0.006481345368884975</v>
      </c>
      <c r="T2252" s="75">
        <f>0.5*(F2251*Q2251+F2252*Q2252)*R2252</f>
        <v>0.06068079959389227</v>
      </c>
      <c r="U2252" s="76">
        <f>U2251+S2252</f>
        <v>11.673546680431143</v>
      </c>
      <c r="V2252" s="76">
        <f>V2251+T2252</f>
        <v>62.903132611406186</v>
      </c>
    </row>
    <row r="2253" spans="1:22" ht="19" customHeight="1">
      <c r="A2253" s="68" t="s">
        <v>374</v>
      </c>
      <c r="B2253" s="74">
        <v>3</v>
      </c>
      <c r="C2253" s="68" t="s">
        <v>363</v>
      </c>
      <c r="D2253" s="68" t="s">
        <v>364</v>
      </c>
      <c r="E2253" s="75">
        <f>60*F2253*'THAM_SO_MOI'!$C$51/(2*PI()*'THAM_SO_MOI'!$C$26)</f>
        <v>2353.6659649350327</v>
      </c>
      <c r="F2253" s="75">
        <f>'HANH_TRINH'!$F$1647+('THAM_SO_MOI'!$F$51-'HANH_TRINH'!$F$1647)*605/'THAM_SO_MOI'!$C$42</f>
        <v>9.369920487753761</v>
      </c>
      <c r="G2253" s="75">
        <f>3.6*F2253</f>
        <v>33.73171375591354</v>
      </c>
      <c r="H2253" s="75">
        <f>'THAM_SO_MOI'!$D$51</f>
        <v>1.375</v>
      </c>
      <c r="I2253" s="75">
        <f>IF(F2253&gt;'THAM_SO_MOI'!$C$14,'THAM_SO_MOI'!$C$13*(1+F2253^2/1500),'THAM_SO_MOI'!$C$13)</f>
        <v>0.015</v>
      </c>
      <c r="J2253" s="75">
        <f>'THAM_SO_MOI'!$C$40*('THAM_SO_MOI'!$C$23*(E2253/'THAM_SO_MOI'!$C$22)+'THAM_SO_MOI'!$C$24*(E2253/'THAM_SO_MOI'!$C$22)^2-'THAM_SO_MOI'!$C$25*(E2253/'THAM_SO_MOI'!$C$22)^3)</f>
        <v>105.57829067952831</v>
      </c>
      <c r="K2253" s="75">
        <f>'THAM_SO_MOI'!$C$31*J2253/E2253</f>
        <v>428.43319982791536</v>
      </c>
      <c r="L2253" s="75">
        <f>K2253*'THAM_SO_MOI'!$C$51*'THAM_SO_MOI'!$C$17/'THAM_SO_MOI'!$C$26</f>
        <v>9579.42811867318</v>
      </c>
      <c r="M2253" s="75">
        <f>'THAM_SO_MOI'!$C$15*'THAM_SO_MOI'!$C$16*F2253^2</f>
        <v>256.801574094471</v>
      </c>
      <c r="N2253" s="75">
        <f>'THAM_SO_MOI'!$C$12*I2253</f>
        <v>1130.112</v>
      </c>
      <c r="O2253" s="75">
        <f>M2253+N2253</f>
        <v>1386.9135740944712</v>
      </c>
      <c r="P2253" s="75">
        <f>(MIN(L2253,'THAM_SO_MOI'!$C$41)-O2253)/('THAM_SO_MOI'!$C$11*H2253)</f>
        <v>0.7758063015699536</v>
      </c>
      <c r="Q2253" s="75">
        <f>IF(P2253&gt;0,1/P2253,NA())</f>
        <v>1.2889815382736114</v>
      </c>
      <c r="R2253" s="75">
        <f>F2253-F2252</f>
        <v>0.005028991339516509</v>
      </c>
      <c r="S2253" s="75">
        <f>0.5*(Q2252+Q2253)*R2253</f>
        <v>0.006481965955759048</v>
      </c>
      <c r="T2253" s="75">
        <f>0.5*(F2252*Q2252+F2253*Q2253)*R2253</f>
        <v>0.06071920751656306</v>
      </c>
      <c r="U2253" s="76">
        <f>U2252+S2253</f>
        <v>11.680028646386901</v>
      </c>
      <c r="V2253" s="76">
        <f>V2252+T2253</f>
        <v>62.96385181892275</v>
      </c>
    </row>
    <row r="2254" spans="1:22" ht="19" customHeight="1">
      <c r="A2254" s="68" t="s">
        <v>374</v>
      </c>
      <c r="B2254" s="74">
        <v>3</v>
      </c>
      <c r="C2254" s="68" t="s">
        <v>363</v>
      </c>
      <c r="D2254" s="68" t="s">
        <v>364</v>
      </c>
      <c r="E2254" s="75">
        <f>60*F2254*'THAM_SO_MOI'!$C$51/(2*PI()*'THAM_SO_MOI'!$C$26)</f>
        <v>2354.9292163969044</v>
      </c>
      <c r="F2254" s="75">
        <f>'HANH_TRINH'!$F$1647+('THAM_SO_MOI'!$F$51-'HANH_TRINH'!$F$1647)*606/'THAM_SO_MOI'!$C$42</f>
        <v>9.37494947909328</v>
      </c>
      <c r="G2254" s="75">
        <f>3.6*F2254</f>
        <v>33.74981812473581</v>
      </c>
      <c r="H2254" s="75">
        <f>'THAM_SO_MOI'!$D$51</f>
        <v>1.375</v>
      </c>
      <c r="I2254" s="75">
        <f>IF(F2254&gt;'THAM_SO_MOI'!$C$14,'THAM_SO_MOI'!$C$13*(1+F2254^2/1500),'THAM_SO_MOI'!$C$13)</f>
        <v>0.015</v>
      </c>
      <c r="J2254" s="75">
        <f>'THAM_SO_MOI'!$C$40*('THAM_SO_MOI'!$C$23*(E2254/'THAM_SO_MOI'!$C$22)+'THAM_SO_MOI'!$C$24*(E2254/'THAM_SO_MOI'!$C$22)^2-'THAM_SO_MOI'!$C$25*(E2254/'THAM_SO_MOI'!$C$22)^3)</f>
        <v>105.62928663083461</v>
      </c>
      <c r="K2254" s="75">
        <f>'THAM_SO_MOI'!$C$31*J2254/E2254</f>
        <v>428.41020486148506</v>
      </c>
      <c r="L2254" s="75">
        <f>K2254*'THAM_SO_MOI'!$C$51*'THAM_SO_MOI'!$C$17/'THAM_SO_MOI'!$C$26</f>
        <v>9578.91396937733</v>
      </c>
      <c r="M2254" s="75">
        <f>'THAM_SO_MOI'!$C$15*'THAM_SO_MOI'!$C$16*F2254^2</f>
        <v>257.07730737648774</v>
      </c>
      <c r="N2254" s="75">
        <f>'THAM_SO_MOI'!$C$12*I2254</f>
        <v>1130.112</v>
      </c>
      <c r="O2254" s="75">
        <f>M2254+N2254</f>
        <v>1387.1893073764877</v>
      </c>
      <c r="P2254" s="75">
        <f>(MIN(L2254,'THAM_SO_MOI'!$C$41)-O2254)/('THAM_SO_MOI'!$C$11*H2254)</f>
        <v>0.775731502083413</v>
      </c>
      <c r="Q2254" s="75">
        <f>IF(P2254&gt;0,1/P2254,NA())</f>
        <v>1.289105827614658</v>
      </c>
      <c r="R2254" s="75">
        <f>F2254-F2253</f>
        <v>0.005028991339518285</v>
      </c>
      <c r="S2254" s="75">
        <f>0.5*(Q2253+Q2254)*R2254</f>
        <v>0.006482589517786808</v>
      </c>
      <c r="T2254" s="75">
        <f>0.5*(F2253*Q2253+F2254*Q2254)*R2254</f>
        <v>0.060757649565522466</v>
      </c>
      <c r="U2254" s="76">
        <f>U2253+S2254</f>
        <v>11.686511235904689</v>
      </c>
      <c r="V2254" s="76">
        <f>V2253+T2254</f>
        <v>63.02460946848827</v>
      </c>
    </row>
    <row r="2255" spans="1:22" ht="19" customHeight="1">
      <c r="A2255" s="68" t="s">
        <v>374</v>
      </c>
      <c r="B2255" s="74">
        <v>3</v>
      </c>
      <c r="C2255" s="68" t="s">
        <v>363</v>
      </c>
      <c r="D2255" s="68" t="s">
        <v>364</v>
      </c>
      <c r="E2255" s="75">
        <f>60*F2255*'THAM_SO_MOI'!$C$51/(2*PI()*'THAM_SO_MOI'!$C$26)</f>
        <v>2356.192467858776</v>
      </c>
      <c r="F2255" s="75">
        <f>'HANH_TRINH'!$F$1647+('THAM_SO_MOI'!$F$51-'HANH_TRINH'!$F$1647)*607/'THAM_SO_MOI'!$C$42</f>
        <v>9.379978470432796</v>
      </c>
      <c r="G2255" s="75">
        <f>3.6*F2255</f>
        <v>33.76792249355807</v>
      </c>
      <c r="H2255" s="75">
        <f>'THAM_SO_MOI'!$D$51</f>
        <v>1.375</v>
      </c>
      <c r="I2255" s="75">
        <f>IF(F2255&gt;'THAM_SO_MOI'!$C$14,'THAM_SO_MOI'!$C$13*(1+F2255^2/1500),'THAM_SO_MOI'!$C$13)</f>
        <v>0.015</v>
      </c>
      <c r="J2255" s="75">
        <f>'THAM_SO_MOI'!$C$40*('THAM_SO_MOI'!$C$23*(E2255/'THAM_SO_MOI'!$C$22)+'THAM_SO_MOI'!$C$24*(E2255/'THAM_SO_MOI'!$C$22)^2-'THAM_SO_MOI'!$C$25*(E2255/'THAM_SO_MOI'!$C$22)^3)</f>
        <v>105.680238307118</v>
      </c>
      <c r="K2255" s="75">
        <f>'THAM_SO_MOI'!$C$31*J2255/E2255</f>
        <v>428.38705507822436</v>
      </c>
      <c r="L2255" s="75">
        <f>K2255*'THAM_SO_MOI'!$C$51*'THAM_SO_MOI'!$C$17/'THAM_SO_MOI'!$C$26</f>
        <v>9578.396358499373</v>
      </c>
      <c r="M2255" s="75">
        <f>'THAM_SO_MOI'!$C$15*'THAM_SO_MOI'!$C$16*F2255^2</f>
        <v>257.35318860941464</v>
      </c>
      <c r="N2255" s="75">
        <f>'THAM_SO_MOI'!$C$12*I2255</f>
        <v>1130.112</v>
      </c>
      <c r="O2255" s="75">
        <f>M2255+N2255</f>
        <v>1387.4651886094148</v>
      </c>
      <c r="P2255" s="75">
        <f>(MIN(L2255,'THAM_SO_MOI'!$C$41)-O2255)/('THAM_SO_MOI'!$C$11*H2255)</f>
        <v>0.7756563607850339</v>
      </c>
      <c r="Q2255" s="75">
        <f>IF(P2255&gt;0,1/P2255,NA())</f>
        <v>1.2892307090576944</v>
      </c>
      <c r="R2255" s="75">
        <f>F2255-F2254</f>
        <v>0.005028991339516509</v>
      </c>
      <c r="S2255" s="75">
        <f>0.5*(Q2254+Q2255)*R2255</f>
        <v>0.006483216056642125</v>
      </c>
      <c r="T2255" s="75">
        <f>0.5*(F2254*Q2254+F2255*Q2255)*R2255</f>
        <v>0.06079612580135327</v>
      </c>
      <c r="U2255" s="76">
        <f>U2254+S2255</f>
        <v>11.692994451961331</v>
      </c>
      <c r="V2255" s="76">
        <f>V2254+T2255</f>
        <v>63.085405594289625</v>
      </c>
    </row>
    <row r="2256" spans="1:22" ht="19" customHeight="1">
      <c r="A2256" s="68" t="s">
        <v>374</v>
      </c>
      <c r="B2256" s="74">
        <v>3</v>
      </c>
      <c r="C2256" s="68" t="s">
        <v>363</v>
      </c>
      <c r="D2256" s="68" t="s">
        <v>364</v>
      </c>
      <c r="E2256" s="75">
        <f>60*F2256*'THAM_SO_MOI'!$C$51/(2*PI()*'THAM_SO_MOI'!$C$26)</f>
        <v>2357.455719320648</v>
      </c>
      <c r="F2256" s="75">
        <f>'HANH_TRINH'!$F$1647+('THAM_SO_MOI'!$F$51-'HANH_TRINH'!$F$1647)*608/'THAM_SO_MOI'!$C$42</f>
        <v>9.385007461772314</v>
      </c>
      <c r="G2256" s="75">
        <f>3.6*F2256</f>
        <v>33.78602686238033</v>
      </c>
      <c r="H2256" s="75">
        <f>'THAM_SO_MOI'!$D$51</f>
        <v>1.375</v>
      </c>
      <c r="I2256" s="75">
        <f>IF(F2256&gt;'THAM_SO_MOI'!$C$14,'THAM_SO_MOI'!$C$13*(1+F2256^2/1500),'THAM_SO_MOI'!$C$13)</f>
        <v>0.015</v>
      </c>
      <c r="J2256" s="75">
        <f>'THAM_SO_MOI'!$C$40*('THAM_SO_MOI'!$C$23*(E2256/'THAM_SO_MOI'!$C$22)+'THAM_SO_MOI'!$C$24*(E2256/'THAM_SO_MOI'!$C$22)^2-'THAM_SO_MOI'!$C$25*(E2256/'THAM_SO_MOI'!$C$22)^3)</f>
        <v>105.73114564694905</v>
      </c>
      <c r="K2256" s="75">
        <f>'THAM_SO_MOI'!$C$31*J2256/E2256</f>
        <v>428.36375047813306</v>
      </c>
      <c r="L2256" s="75">
        <f>K2256*'THAM_SO_MOI'!$C$51*'THAM_SO_MOI'!$C$17/'THAM_SO_MOI'!$C$26</f>
        <v>9577.875286039305</v>
      </c>
      <c r="M2256" s="75">
        <f>'THAM_SO_MOI'!$C$15*'THAM_SO_MOI'!$C$16*F2256^2</f>
        <v>257.62921779325194</v>
      </c>
      <c r="N2256" s="75">
        <f>'THAM_SO_MOI'!$C$12*I2256</f>
        <v>1130.112</v>
      </c>
      <c r="O2256" s="75">
        <f>M2256+N2256</f>
        <v>1387.741217793252</v>
      </c>
      <c r="P2256" s="75">
        <f>(MIN(L2256,'THAM_SO_MOI'!$C$41)-O2256)/('THAM_SO_MOI'!$C$11*H2256)</f>
        <v>0.7755808776748156</v>
      </c>
      <c r="Q2256" s="75">
        <f>IF(P2256&gt;0,1/P2256,NA())</f>
        <v>1.2893561829399287</v>
      </c>
      <c r="R2256" s="75">
        <f>F2256-F2255</f>
        <v>0.005028991339518285</v>
      </c>
      <c r="S2256" s="75">
        <f>0.5*(Q2255+Q2256)*R2256</f>
        <v>0.006483845574025708</v>
      </c>
      <c r="T2256" s="75">
        <f>0.5*(F2255*Q2255+F2256*Q2256)*R2256</f>
        <v>0.06083463628492367</v>
      </c>
      <c r="U2256" s="76">
        <f>U2255+S2256</f>
        <v>11.699478297535357</v>
      </c>
      <c r="V2256" s="76">
        <f>V2255+T2256</f>
        <v>63.14624023057455</v>
      </c>
    </row>
    <row r="2257" spans="1:22" ht="19" customHeight="1">
      <c r="A2257" s="68" t="s">
        <v>374</v>
      </c>
      <c r="B2257" s="74">
        <v>3</v>
      </c>
      <c r="C2257" s="68" t="s">
        <v>363</v>
      </c>
      <c r="D2257" s="68" t="s">
        <v>364</v>
      </c>
      <c r="E2257" s="75">
        <f>60*F2257*'THAM_SO_MOI'!$C$51/(2*PI()*'THAM_SO_MOI'!$C$26)</f>
        <v>2358.7189707825196</v>
      </c>
      <c r="F2257" s="75">
        <f>'HANH_TRINH'!$F$1647+('THAM_SO_MOI'!$F$51-'HANH_TRINH'!$F$1647)*609/'THAM_SO_MOI'!$C$42</f>
        <v>9.390036453111833</v>
      </c>
      <c r="G2257" s="75">
        <f>3.6*F2257</f>
        <v>33.8041312312026</v>
      </c>
      <c r="H2257" s="75">
        <f>'THAM_SO_MOI'!$D$51</f>
        <v>1.375</v>
      </c>
      <c r="I2257" s="75">
        <f>IF(F2257&gt;'THAM_SO_MOI'!$C$14,'THAM_SO_MOI'!$C$13*(1+F2257^2/1500),'THAM_SO_MOI'!$C$13)</f>
        <v>0.015</v>
      </c>
      <c r="J2257" s="75">
        <f>'THAM_SO_MOI'!$C$40*('THAM_SO_MOI'!$C$23*(E2257/'THAM_SO_MOI'!$C$22)+'THAM_SO_MOI'!$C$24*(E2257/'THAM_SO_MOI'!$C$22)^2-'THAM_SO_MOI'!$C$25*(E2257/'THAM_SO_MOI'!$C$22)^3)</f>
        <v>105.78200858889844</v>
      </c>
      <c r="K2257" s="75">
        <f>'THAM_SO_MOI'!$C$31*J2257/E2257</f>
        <v>428.3402910612112</v>
      </c>
      <c r="L2257" s="75">
        <f>K2257*'THAM_SO_MOI'!$C$51*'THAM_SO_MOI'!$C$17/'THAM_SO_MOI'!$C$26</f>
        <v>9577.350751997126</v>
      </c>
      <c r="M2257" s="75">
        <f>'THAM_SO_MOI'!$C$15*'THAM_SO_MOI'!$C$16*F2257^2</f>
        <v>257.9053949279995</v>
      </c>
      <c r="N2257" s="75">
        <f>'THAM_SO_MOI'!$C$12*I2257</f>
        <v>1130.112</v>
      </c>
      <c r="O2257" s="75">
        <f>M2257+N2257</f>
        <v>1388.0173949279997</v>
      </c>
      <c r="P2257" s="75">
        <f>(MIN(L2257,'THAM_SO_MOI'!$C$41)-O2257)/('THAM_SO_MOI'!$C$11*H2257)</f>
        <v>0.7755050527527583</v>
      </c>
      <c r="Q2257" s="75">
        <f>IF(P2257&gt;0,1/P2257,NA())</f>
        <v>1.2894822496002665</v>
      </c>
      <c r="R2257" s="75">
        <f>F2257-F2256</f>
        <v>0.005028991339518285</v>
      </c>
      <c r="S2257" s="75">
        <f>0.5*(Q2256+Q2257)*R2257</f>
        <v>0.006484478071630775</v>
      </c>
      <c r="T2257" s="75">
        <f>0.5*(F2256*Q2256+F2257*Q2257)*R2257</f>
        <v>0.06087318107706576</v>
      </c>
      <c r="U2257" s="76">
        <f>U2256+S2257</f>
        <v>11.705962775606988</v>
      </c>
      <c r="V2257" s="76">
        <f>V2256+T2257</f>
        <v>63.20711341165161</v>
      </c>
    </row>
    <row r="2258" spans="1:22" ht="19" customHeight="1">
      <c r="A2258" s="68" t="s">
        <v>374</v>
      </c>
      <c r="B2258" s="74">
        <v>3</v>
      </c>
      <c r="C2258" s="68" t="s">
        <v>363</v>
      </c>
      <c r="D2258" s="68" t="s">
        <v>364</v>
      </c>
      <c r="E2258" s="75">
        <f>60*F2258*'THAM_SO_MOI'!$C$51/(2*PI()*'THAM_SO_MOI'!$C$26)</f>
        <v>2359.9822222443913</v>
      </c>
      <c r="F2258" s="75">
        <f>'HANH_TRINH'!$F$1647+('THAM_SO_MOI'!$F$51-'HANH_TRINH'!$F$1647)*610/'THAM_SO_MOI'!$C$42</f>
        <v>9.395065444451351</v>
      </c>
      <c r="G2258" s="75">
        <f>3.6*F2258</f>
        <v>33.82223560002487</v>
      </c>
      <c r="H2258" s="75">
        <f>'THAM_SO_MOI'!$D$51</f>
        <v>1.375</v>
      </c>
      <c r="I2258" s="75">
        <f>IF(F2258&gt;'THAM_SO_MOI'!$C$14,'THAM_SO_MOI'!$C$13*(1+F2258^2/1500),'THAM_SO_MOI'!$C$13)</f>
        <v>0.015</v>
      </c>
      <c r="J2258" s="75">
        <f>'THAM_SO_MOI'!$C$40*('THAM_SO_MOI'!$C$23*(E2258/'THAM_SO_MOI'!$C$22)+'THAM_SO_MOI'!$C$24*(E2258/'THAM_SO_MOI'!$C$22)^2-'THAM_SO_MOI'!$C$25*(E2258/'THAM_SO_MOI'!$C$22)^3)</f>
        <v>105.83282707153687</v>
      </c>
      <c r="K2258" s="75">
        <f>'THAM_SO_MOI'!$C$31*J2258/E2258</f>
        <v>428.3166768274591</v>
      </c>
      <c r="L2258" s="75">
        <f>K2258*'THAM_SO_MOI'!$C$51*'THAM_SO_MOI'!$C$17/'THAM_SO_MOI'!$C$26</f>
        <v>9576.822756372845</v>
      </c>
      <c r="M2258" s="75">
        <f>'THAM_SO_MOI'!$C$15*'THAM_SO_MOI'!$C$16*F2258^2</f>
        <v>258.1817200136573</v>
      </c>
      <c r="N2258" s="75">
        <f>'THAM_SO_MOI'!$C$12*I2258</f>
        <v>1130.112</v>
      </c>
      <c r="O2258" s="75">
        <f>M2258+N2258</f>
        <v>1388.2937200136573</v>
      </c>
      <c r="P2258" s="75">
        <f>(MIN(L2258,'THAM_SO_MOI'!$C$41)-O2258)/('THAM_SO_MOI'!$C$11*H2258)</f>
        <v>0.7754288860188625</v>
      </c>
      <c r="Q2258" s="75">
        <f>IF(P2258&gt;0,1/P2258,NA())</f>
        <v>1.289608909379312</v>
      </c>
      <c r="R2258" s="75">
        <f>F2258-F2257</f>
        <v>0.005028991339518285</v>
      </c>
      <c r="S2258" s="75">
        <f>0.5*(Q2257+Q2258)*R2258</f>
        <v>0.0064851135511682385</v>
      </c>
      <c r="T2258" s="75">
        <f>0.5*(F2257*Q2257+F2258*Q2258)*R2258</f>
        <v>0.06091176023881192</v>
      </c>
      <c r="U2258" s="76">
        <f>U2257+S2258</f>
        <v>11.712447889158156</v>
      </c>
      <c r="V2258" s="76">
        <f>V2257+T2258</f>
        <v>63.26802517189042</v>
      </c>
    </row>
    <row r="2259" spans="1:22" ht="19" customHeight="1">
      <c r="A2259" s="68" t="s">
        <v>374</v>
      </c>
      <c r="B2259" s="74">
        <v>3</v>
      </c>
      <c r="C2259" s="68" t="s">
        <v>363</v>
      </c>
      <c r="D2259" s="68" t="s">
        <v>364</v>
      </c>
      <c r="E2259" s="75">
        <f>60*F2259*'THAM_SO_MOI'!$C$51/(2*PI()*'THAM_SO_MOI'!$C$26)</f>
        <v>2361.2454737062626</v>
      </c>
      <c r="F2259" s="75">
        <f>'HANH_TRINH'!$F$1647+('THAM_SO_MOI'!$F$51-'HANH_TRINH'!$F$1647)*611/'THAM_SO_MOI'!$C$42</f>
        <v>9.400094435790868</v>
      </c>
      <c r="G2259" s="75">
        <f>3.6*F2259</f>
        <v>33.840339968847125</v>
      </c>
      <c r="H2259" s="75">
        <f>'THAM_SO_MOI'!$D$51</f>
        <v>1.375</v>
      </c>
      <c r="I2259" s="75">
        <f>IF(F2259&gt;'THAM_SO_MOI'!$C$14,'THAM_SO_MOI'!$C$13*(1+F2259^2/1500),'THAM_SO_MOI'!$C$13)</f>
        <v>0.015</v>
      </c>
      <c r="J2259" s="75">
        <f>'THAM_SO_MOI'!$C$40*('THAM_SO_MOI'!$C$23*(E2259/'THAM_SO_MOI'!$C$22)+'THAM_SO_MOI'!$C$24*(E2259/'THAM_SO_MOI'!$C$22)^2-'THAM_SO_MOI'!$C$25*(E2259/'THAM_SO_MOI'!$C$22)^3)</f>
        <v>105.8836010334349</v>
      </c>
      <c r="K2259" s="75">
        <f>'THAM_SO_MOI'!$C$31*J2259/E2259</f>
        <v>428.2929077768763</v>
      </c>
      <c r="L2259" s="75">
        <f>K2259*'THAM_SO_MOI'!$C$51*'THAM_SO_MOI'!$C$17/'THAM_SO_MOI'!$C$26</f>
        <v>9576.291299166453</v>
      </c>
      <c r="M2259" s="75">
        <f>'THAM_SO_MOI'!$C$15*'THAM_SO_MOI'!$C$16*F2259^2</f>
        <v>258.4581930502253</v>
      </c>
      <c r="N2259" s="75">
        <f>'THAM_SO_MOI'!$C$12*I2259</f>
        <v>1130.112</v>
      </c>
      <c r="O2259" s="75">
        <f>M2259+N2259</f>
        <v>1388.5701930502255</v>
      </c>
      <c r="P2259" s="75">
        <f>(MIN(L2259,'THAM_SO_MOI'!$C$41)-O2259)/('THAM_SO_MOI'!$C$11*H2259)</f>
        <v>0.7753523774731277</v>
      </c>
      <c r="Q2259" s="75">
        <f>IF(P2259&gt;0,1/P2259,NA())</f>
        <v>1.289736162619374</v>
      </c>
      <c r="R2259" s="75">
        <f>F2259-F2258</f>
        <v>0.005028991339516509</v>
      </c>
      <c r="S2259" s="75">
        <f>0.5*(Q2258+Q2259)*R2259</f>
        <v>0.006485752014352989</v>
      </c>
      <c r="T2259" s="75">
        <f>0.5*(F2258*Q2258+F2259*Q2259)*R2259</f>
        <v>0.06095037383126632</v>
      </c>
      <c r="U2259" s="76">
        <f>U2258+S2259</f>
        <v>11.718933641172509</v>
      </c>
      <c r="V2259" s="76">
        <f>V2258+T2259</f>
        <v>63.32897554572169</v>
      </c>
    </row>
    <row r="2260" spans="1:22" ht="19" customHeight="1">
      <c r="A2260" s="68" t="s">
        <v>374</v>
      </c>
      <c r="B2260" s="74">
        <v>3</v>
      </c>
      <c r="C2260" s="68" t="s">
        <v>363</v>
      </c>
      <c r="D2260" s="68" t="s">
        <v>364</v>
      </c>
      <c r="E2260" s="75">
        <f>60*F2260*'THAM_SO_MOI'!$C$51/(2*PI()*'THAM_SO_MOI'!$C$26)</f>
        <v>2362.508725168135</v>
      </c>
      <c r="F2260" s="75">
        <f>'HANH_TRINH'!$F$1647+('THAM_SO_MOI'!$F$51-'HANH_TRINH'!$F$1647)*612/'THAM_SO_MOI'!$C$42</f>
        <v>9.405123427130386</v>
      </c>
      <c r="G2260" s="75">
        <f>3.6*F2260</f>
        <v>33.85844433766939</v>
      </c>
      <c r="H2260" s="75">
        <f>'THAM_SO_MOI'!$D$51</f>
        <v>1.375</v>
      </c>
      <c r="I2260" s="75">
        <f>IF(F2260&gt;'THAM_SO_MOI'!$C$14,'THAM_SO_MOI'!$C$13*(1+F2260^2/1500),'THAM_SO_MOI'!$C$13)</f>
        <v>0.015</v>
      </c>
      <c r="J2260" s="75">
        <f>'THAM_SO_MOI'!$C$40*('THAM_SO_MOI'!$C$23*(E2260/'THAM_SO_MOI'!$C$22)+'THAM_SO_MOI'!$C$24*(E2260/'THAM_SO_MOI'!$C$22)^2-'THAM_SO_MOI'!$C$25*(E2260/'THAM_SO_MOI'!$C$22)^3)</f>
        <v>105.93433041316324</v>
      </c>
      <c r="K2260" s="75">
        <f>'THAM_SO_MOI'!$C$31*J2260/E2260</f>
        <v>428.2689839094629</v>
      </c>
      <c r="L2260" s="75">
        <f>K2260*'THAM_SO_MOI'!$C$51*'THAM_SO_MOI'!$C$17/'THAM_SO_MOI'!$C$26</f>
        <v>9575.756380377949</v>
      </c>
      <c r="M2260" s="75">
        <f>'THAM_SO_MOI'!$C$15*'THAM_SO_MOI'!$C$16*F2260^2</f>
        <v>258.7348140377037</v>
      </c>
      <c r="N2260" s="75">
        <f>'THAM_SO_MOI'!$C$12*I2260</f>
        <v>1130.112</v>
      </c>
      <c r="O2260" s="75">
        <f>M2260+N2260</f>
        <v>1388.8468140377038</v>
      </c>
      <c r="P2260" s="75">
        <f>(MIN(L2260,'THAM_SO_MOI'!$C$41)-O2260)/('THAM_SO_MOI'!$C$11*H2260)</f>
        <v>0.7752755271155535</v>
      </c>
      <c r="Q2260" s="75">
        <f>IF(P2260&gt;0,1/P2260,NA())</f>
        <v>1.2898640096644658</v>
      </c>
      <c r="R2260" s="75">
        <f>F2260-F2259</f>
        <v>0.005028991339518285</v>
      </c>
      <c r="S2260" s="75">
        <f>0.5*(Q2259+Q2260)*R2260</f>
        <v>0.006486393462917653</v>
      </c>
      <c r="T2260" s="75">
        <f>0.5*(F2259*Q2259+F2260*Q2260)*R2260</f>
        <v>0.06098902191573439</v>
      </c>
      <c r="U2260" s="76">
        <f>U2259+S2260</f>
        <v>11.725420034635427</v>
      </c>
      <c r="V2260" s="76">
        <f>V2259+T2260</f>
        <v>63.38996456763743</v>
      </c>
    </row>
    <row r="2261" spans="1:22" ht="19" customHeight="1">
      <c r="A2261" s="68" t="s">
        <v>374</v>
      </c>
      <c r="B2261" s="74">
        <v>3</v>
      </c>
      <c r="C2261" s="68" t="s">
        <v>363</v>
      </c>
      <c r="D2261" s="68" t="s">
        <v>364</v>
      </c>
      <c r="E2261" s="75">
        <f>60*F2261*'THAM_SO_MOI'!$C$51/(2*PI()*'THAM_SO_MOI'!$C$26)</f>
        <v>2363.7719766300065</v>
      </c>
      <c r="F2261" s="75">
        <f>'HANH_TRINH'!$F$1647+('THAM_SO_MOI'!$F$51-'HANH_TRINH'!$F$1647)*613/'THAM_SO_MOI'!$C$42</f>
        <v>9.410152418469904</v>
      </c>
      <c r="G2261" s="75">
        <f>3.6*F2261</f>
        <v>33.876548706491654</v>
      </c>
      <c r="H2261" s="75">
        <f>'THAM_SO_MOI'!$D$51</f>
        <v>1.375</v>
      </c>
      <c r="I2261" s="75">
        <f>IF(F2261&gt;'THAM_SO_MOI'!$C$14,'THAM_SO_MOI'!$C$13*(1+F2261^2/1500),'THAM_SO_MOI'!$C$13)</f>
        <v>0.015</v>
      </c>
      <c r="J2261" s="75">
        <f>'THAM_SO_MOI'!$C$40*('THAM_SO_MOI'!$C$23*(E2261/'THAM_SO_MOI'!$C$22)+'THAM_SO_MOI'!$C$24*(E2261/'THAM_SO_MOI'!$C$22)^2-'THAM_SO_MOI'!$C$25*(E2261/'THAM_SO_MOI'!$C$22)^3)</f>
        <v>105.98501514929252</v>
      </c>
      <c r="K2261" s="75">
        <f>'THAM_SO_MOI'!$C$31*J2261/E2261</f>
        <v>428.24490522521904</v>
      </c>
      <c r="L2261" s="75">
        <f>K2261*'THAM_SO_MOI'!$C$51*'THAM_SO_MOI'!$C$17/'THAM_SO_MOI'!$C$26</f>
        <v>9575.218000007333</v>
      </c>
      <c r="M2261" s="75">
        <f>'THAM_SO_MOI'!$C$15*'THAM_SO_MOI'!$C$16*F2261^2</f>
        <v>259.01158297609237</v>
      </c>
      <c r="N2261" s="75">
        <f>'THAM_SO_MOI'!$C$12*I2261</f>
        <v>1130.112</v>
      </c>
      <c r="O2261" s="75">
        <f>M2261+N2261</f>
        <v>1389.1235829760924</v>
      </c>
      <c r="P2261" s="75">
        <f>(MIN(L2261,'THAM_SO_MOI'!$C$41)-O2261)/('THAM_SO_MOI'!$C$11*H2261)</f>
        <v>0.7751983349461402</v>
      </c>
      <c r="Q2261" s="75">
        <f>IF(P2261&gt;0,1/P2261,NA())</f>
        <v>1.2899924508603062</v>
      </c>
      <c r="R2261" s="75">
        <f>F2261-F2260</f>
        <v>0.005028991339518285</v>
      </c>
      <c r="S2261" s="75">
        <f>0.5*(Q2260+Q2261)*R2261</f>
        <v>0.006487037898589687</v>
      </c>
      <c r="T2261" s="75">
        <f>0.5*(F2260*Q2260+F2261*Q2261)*R2261</f>
        <v>0.06102770455350777</v>
      </c>
      <c r="U2261" s="76">
        <f>U2260+S2261</f>
        <v>11.731907072534016</v>
      </c>
      <c r="V2261" s="76">
        <f>V2260+T2261</f>
        <v>63.45099227219094</v>
      </c>
    </row>
    <row r="2262" spans="1:22" ht="19" customHeight="1">
      <c r="A2262" s="68" t="s">
        <v>374</v>
      </c>
      <c r="B2262" s="74">
        <v>3</v>
      </c>
      <c r="C2262" s="68" t="s">
        <v>363</v>
      </c>
      <c r="D2262" s="68" t="s">
        <v>364</v>
      </c>
      <c r="E2262" s="75">
        <f>60*F2262*'THAM_SO_MOI'!$C$51/(2*PI()*'THAM_SO_MOI'!$C$26)</f>
        <v>2365.035228091878</v>
      </c>
      <c r="F2262" s="75">
        <f>'HANH_TRINH'!$F$1647+('THAM_SO_MOI'!$F$51-'HANH_TRINH'!$F$1647)*614/'THAM_SO_MOI'!$C$42</f>
        <v>9.41518140980942</v>
      </c>
      <c r="G2262" s="75">
        <f>3.6*F2262</f>
        <v>33.89465307531392</v>
      </c>
      <c r="H2262" s="75">
        <f>'THAM_SO_MOI'!$D$51</f>
        <v>1.375</v>
      </c>
      <c r="I2262" s="75">
        <f>IF(F2262&gt;'THAM_SO_MOI'!$C$14,'THAM_SO_MOI'!$C$13*(1+F2262^2/1500),'THAM_SO_MOI'!$C$13)</f>
        <v>0.015</v>
      </c>
      <c r="J2262" s="75">
        <f>'THAM_SO_MOI'!$C$40*('THAM_SO_MOI'!$C$23*(E2262/'THAM_SO_MOI'!$C$22)+'THAM_SO_MOI'!$C$24*(E2262/'THAM_SO_MOI'!$C$22)^2-'THAM_SO_MOI'!$C$25*(E2262/'THAM_SO_MOI'!$C$22)^3)</f>
        <v>106.03565518039342</v>
      </c>
      <c r="K2262" s="75">
        <f>'THAM_SO_MOI'!$C$31*J2262/E2262</f>
        <v>428.2206717241449</v>
      </c>
      <c r="L2262" s="75">
        <f>K2262*'THAM_SO_MOI'!$C$51*'THAM_SO_MOI'!$C$17/'THAM_SO_MOI'!$C$26</f>
        <v>9574.676158054615</v>
      </c>
      <c r="M2262" s="75">
        <f>'THAM_SO_MOI'!$C$15*'THAM_SO_MOI'!$C$16*F2262^2</f>
        <v>259.2884998653912</v>
      </c>
      <c r="N2262" s="75">
        <f>'THAM_SO_MOI'!$C$12*I2262</f>
        <v>1130.112</v>
      </c>
      <c r="O2262" s="75">
        <f>M2262+N2262</f>
        <v>1389.4004998653913</v>
      </c>
      <c r="P2262" s="75">
        <f>(MIN(L2262,'THAM_SO_MOI'!$C$41)-O2262)/('THAM_SO_MOI'!$C$11*H2262)</f>
        <v>0.7751208009648886</v>
      </c>
      <c r="Q2262" s="75">
        <f>IF(P2262&gt;0,1/P2262,NA())</f>
        <v>1.2901214865543236</v>
      </c>
      <c r="R2262" s="75">
        <f>F2262-F2261</f>
        <v>0.005028991339516509</v>
      </c>
      <c r="S2262" s="75">
        <f>0.5*(Q2261+Q2262)*R2262</f>
        <v>0.006487685323112006</v>
      </c>
      <c r="T2262" s="75">
        <f>0.5*(F2261*Q2261+F2262*Q2262)*R2262</f>
        <v>0.061066421806058355</v>
      </c>
      <c r="U2262" s="76">
        <f>U2261+S2262</f>
        <v>11.738394757857128</v>
      </c>
      <c r="V2262" s="76">
        <f>V2261+T2262</f>
        <v>63.512058693997</v>
      </c>
    </row>
    <row r="2263" spans="1:22" ht="19" customHeight="1">
      <c r="A2263" s="68" t="s">
        <v>374</v>
      </c>
      <c r="B2263" s="74">
        <v>3</v>
      </c>
      <c r="C2263" s="68" t="s">
        <v>363</v>
      </c>
      <c r="D2263" s="68" t="s">
        <v>364</v>
      </c>
      <c r="E2263" s="75">
        <f>60*F2263*'THAM_SO_MOI'!$C$51/(2*PI()*'THAM_SO_MOI'!$C$26)</f>
        <v>2366.298479553749</v>
      </c>
      <c r="F2263" s="75">
        <f>'HANH_TRINH'!$F$1647+('THAM_SO_MOI'!$F$51-'HANH_TRINH'!$F$1647)*615/'THAM_SO_MOI'!$C$42</f>
        <v>9.420210401148939</v>
      </c>
      <c r="G2263" s="75">
        <f>3.6*F2263</f>
        <v>33.91275744413618</v>
      </c>
      <c r="H2263" s="75">
        <f>'THAM_SO_MOI'!$D$51</f>
        <v>1.375</v>
      </c>
      <c r="I2263" s="75">
        <f>IF(F2263&gt;'THAM_SO_MOI'!$C$14,'THAM_SO_MOI'!$C$13*(1+F2263^2/1500),'THAM_SO_MOI'!$C$13)</f>
        <v>0.015</v>
      </c>
      <c r="J2263" s="75">
        <f>'THAM_SO_MOI'!$C$40*('THAM_SO_MOI'!$C$23*(E2263/'THAM_SO_MOI'!$C$22)+'THAM_SO_MOI'!$C$24*(E2263/'THAM_SO_MOI'!$C$22)^2-'THAM_SO_MOI'!$C$25*(E2263/'THAM_SO_MOI'!$C$22)^3)</f>
        <v>106.08625044503651</v>
      </c>
      <c r="K2263" s="75">
        <f>'THAM_SO_MOI'!$C$31*J2263/E2263</f>
        <v>428.19628340623996</v>
      </c>
      <c r="L2263" s="75">
        <f>K2263*'THAM_SO_MOI'!$C$51*'THAM_SO_MOI'!$C$17/'THAM_SO_MOI'!$C$26</f>
        <v>9574.130854519784</v>
      </c>
      <c r="M2263" s="75">
        <f>'THAM_SO_MOI'!$C$15*'THAM_SO_MOI'!$C$16*F2263^2</f>
        <v>259.56556470560037</v>
      </c>
      <c r="N2263" s="75">
        <f>'THAM_SO_MOI'!$C$12*I2263</f>
        <v>1130.112</v>
      </c>
      <c r="O2263" s="75">
        <f>M2263+N2263</f>
        <v>1389.6775647056004</v>
      </c>
      <c r="P2263" s="75">
        <f>(MIN(L2263,'THAM_SO_MOI'!$C$41)-O2263)/('THAM_SO_MOI'!$C$11*H2263)</f>
        <v>0.7750429251717976</v>
      </c>
      <c r="Q2263" s="75">
        <f>IF(P2263&gt;0,1/P2263,NA())</f>
        <v>1.29025111709566</v>
      </c>
      <c r="R2263" s="75">
        <f>F2263-F2262</f>
        <v>0.005028991339518285</v>
      </c>
      <c r="S2263" s="75">
        <f>0.5*(Q2262+Q2263)*R2263</f>
        <v>0.006488335738243009</v>
      </c>
      <c r="T2263" s="75">
        <f>0.5*(F2262*Q2262+F2263*Q2263)*R2263</f>
        <v>0.06110517373503893</v>
      </c>
      <c r="U2263" s="76">
        <f>U2262+S2263</f>
        <v>11.744883093595371</v>
      </c>
      <c r="V2263" s="76">
        <f>V2262+T2263</f>
        <v>63.573163867732035</v>
      </c>
    </row>
    <row r="2264" spans="1:22" ht="19" customHeight="1">
      <c r="A2264" s="68" t="s">
        <v>374</v>
      </c>
      <c r="B2264" s="74">
        <v>3</v>
      </c>
      <c r="C2264" s="68" t="s">
        <v>363</v>
      </c>
      <c r="D2264" s="68" t="s">
        <v>364</v>
      </c>
      <c r="E2264" s="75">
        <f>60*F2264*'THAM_SO_MOI'!$C$51/(2*PI()*'THAM_SO_MOI'!$C$26)</f>
        <v>2367.561731015621</v>
      </c>
      <c r="F2264" s="75">
        <f>'HANH_TRINH'!$F$1647+('THAM_SO_MOI'!$F$51-'HANH_TRINH'!$F$1647)*616/'THAM_SO_MOI'!$C$42</f>
        <v>9.425239392488457</v>
      </c>
      <c r="G2264" s="75">
        <f>3.6*F2264</f>
        <v>33.93086181295845</v>
      </c>
      <c r="H2264" s="75">
        <f>'THAM_SO_MOI'!$D$51</f>
        <v>1.375</v>
      </c>
      <c r="I2264" s="75">
        <f>IF(F2264&gt;'THAM_SO_MOI'!$C$14,'THAM_SO_MOI'!$C$13*(1+F2264^2/1500),'THAM_SO_MOI'!$C$13)</f>
        <v>0.015</v>
      </c>
      <c r="J2264" s="75">
        <f>'THAM_SO_MOI'!$C$40*('THAM_SO_MOI'!$C$23*(E2264/'THAM_SO_MOI'!$C$22)+'THAM_SO_MOI'!$C$24*(E2264/'THAM_SO_MOI'!$C$22)^2-'THAM_SO_MOI'!$C$25*(E2264/'THAM_SO_MOI'!$C$22)^3)</f>
        <v>106.13680088179257</v>
      </c>
      <c r="K2264" s="75">
        <f>'THAM_SO_MOI'!$C$31*J2264/E2264</f>
        <v>428.17174027150475</v>
      </c>
      <c r="L2264" s="75">
        <f>K2264*'THAM_SO_MOI'!$C$51*'THAM_SO_MOI'!$C$17/'THAM_SO_MOI'!$C$26</f>
        <v>9573.582089402847</v>
      </c>
      <c r="M2264" s="75">
        <f>'THAM_SO_MOI'!$C$15*'THAM_SO_MOI'!$C$16*F2264^2</f>
        <v>259.84277749671986</v>
      </c>
      <c r="N2264" s="75">
        <f>'THAM_SO_MOI'!$C$12*I2264</f>
        <v>1130.112</v>
      </c>
      <c r="O2264" s="75">
        <f>M2264+N2264</f>
        <v>1389.95477749672</v>
      </c>
      <c r="P2264" s="75">
        <f>(MIN(L2264,'THAM_SO_MOI'!$C$41)-O2264)/('THAM_SO_MOI'!$C$11*H2264)</f>
        <v>0.7749647075668681</v>
      </c>
      <c r="Q2264" s="75">
        <f>IF(P2264&gt;0,1/P2264,NA())</f>
        <v>1.2903813428351698</v>
      </c>
      <c r="R2264" s="75">
        <f>F2264-F2263</f>
        <v>0.005028991339518285</v>
      </c>
      <c r="S2264" s="75">
        <f>0.5*(Q2263+Q2264)*R2264</f>
        <v>0.006488989145735956</v>
      </c>
      <c r="T2264" s="75">
        <f>0.5*(F2263*Q2263+F2264*Q2264)*R2264</f>
        <v>0.06114396040208926</v>
      </c>
      <c r="U2264" s="76">
        <f>U2263+S2264</f>
        <v>11.751372082741106</v>
      </c>
      <c r="V2264" s="76">
        <f>V2263+T2264</f>
        <v>63.634307828134126</v>
      </c>
    </row>
    <row r="2265" spans="1:22" ht="19" customHeight="1">
      <c r="A2265" s="68" t="s">
        <v>374</v>
      </c>
      <c r="B2265" s="74">
        <v>3</v>
      </c>
      <c r="C2265" s="68" t="s">
        <v>363</v>
      </c>
      <c r="D2265" s="68" t="s">
        <v>364</v>
      </c>
      <c r="E2265" s="75">
        <f>60*F2265*'THAM_SO_MOI'!$C$51/(2*PI()*'THAM_SO_MOI'!$C$26)</f>
        <v>2368.824982477492</v>
      </c>
      <c r="F2265" s="75">
        <f>'HANH_TRINH'!$F$1647+('THAM_SO_MOI'!$F$51-'HANH_TRINH'!$F$1647)*617/'THAM_SO_MOI'!$C$42</f>
        <v>9.430268383827974</v>
      </c>
      <c r="G2265" s="75">
        <f>3.6*F2265</f>
        <v>33.948966181780705</v>
      </c>
      <c r="H2265" s="75">
        <f>'THAM_SO_MOI'!$D$51</f>
        <v>1.375</v>
      </c>
      <c r="I2265" s="75">
        <f>IF(F2265&gt;'THAM_SO_MOI'!$C$14,'THAM_SO_MOI'!$C$13*(1+F2265^2/1500),'THAM_SO_MOI'!$C$13)</f>
        <v>0.015</v>
      </c>
      <c r="J2265" s="75">
        <f>'THAM_SO_MOI'!$C$40*('THAM_SO_MOI'!$C$23*(E2265/'THAM_SO_MOI'!$C$22)+'THAM_SO_MOI'!$C$24*(E2265/'THAM_SO_MOI'!$C$22)^2-'THAM_SO_MOI'!$C$25*(E2265/'THAM_SO_MOI'!$C$22)^3)</f>
        <v>106.18730642923212</v>
      </c>
      <c r="K2265" s="75">
        <f>'THAM_SO_MOI'!$C$31*J2265/E2265</f>
        <v>428.1470423199389</v>
      </c>
      <c r="L2265" s="75">
        <f>K2265*'THAM_SO_MOI'!$C$51*'THAM_SO_MOI'!$C$17/'THAM_SO_MOI'!$C$26</f>
        <v>9573.029862703801</v>
      </c>
      <c r="M2265" s="75">
        <f>'THAM_SO_MOI'!$C$15*'THAM_SO_MOI'!$C$16*F2265^2</f>
        <v>260.1201382387495</v>
      </c>
      <c r="N2265" s="75">
        <f>'THAM_SO_MOI'!$C$12*I2265</f>
        <v>1130.112</v>
      </c>
      <c r="O2265" s="75">
        <f>M2265+N2265</f>
        <v>1390.2321382387495</v>
      </c>
      <c r="P2265" s="75">
        <f>(MIN(L2265,'THAM_SO_MOI'!$C$41)-O2265)/('THAM_SO_MOI'!$C$11*H2265)</f>
        <v>0.7748861481500995</v>
      </c>
      <c r="Q2265" s="75">
        <f>IF(P2265&gt;0,1/P2265,NA())</f>
        <v>1.2905121641254256</v>
      </c>
      <c r="R2265" s="75">
        <f>F2265-F2264</f>
        <v>0.005028991339516509</v>
      </c>
      <c r="S2265" s="75">
        <f>0.5*(Q2264+Q2265)*R2265</f>
        <v>0.006489645547359612</v>
      </c>
      <c r="T2265" s="75">
        <f>0.5*(F2264*Q2264+F2265*Q2265)*R2265</f>
        <v>0.0611827818690305</v>
      </c>
      <c r="U2265" s="76">
        <f>U2264+S2265</f>
        <v>11.757861728288466</v>
      </c>
      <c r="V2265" s="76">
        <f>V2264+T2265</f>
        <v>63.695490610003155</v>
      </c>
    </row>
    <row r="2266" spans="1:22" ht="19" customHeight="1">
      <c r="A2266" s="68" t="s">
        <v>374</v>
      </c>
      <c r="B2266" s="74">
        <v>3</v>
      </c>
      <c r="C2266" s="68" t="s">
        <v>363</v>
      </c>
      <c r="D2266" s="68" t="s">
        <v>364</v>
      </c>
      <c r="E2266" s="75">
        <f>60*F2266*'THAM_SO_MOI'!$C$51/(2*PI()*'THAM_SO_MOI'!$C$26)</f>
        <v>2370.088233939364</v>
      </c>
      <c r="F2266" s="75">
        <f>'HANH_TRINH'!$F$1647+('THAM_SO_MOI'!$F$51-'HANH_TRINH'!$F$1647)*618/'THAM_SO_MOI'!$C$42</f>
        <v>9.435297375167492</v>
      </c>
      <c r="G2266" s="75">
        <f>3.6*F2266</f>
        <v>33.96707055060297</v>
      </c>
      <c r="H2266" s="75">
        <f>'THAM_SO_MOI'!$D$51</f>
        <v>1.375</v>
      </c>
      <c r="I2266" s="75">
        <f>IF(F2266&gt;'THAM_SO_MOI'!$C$14,'THAM_SO_MOI'!$C$13*(1+F2266^2/1500),'THAM_SO_MOI'!$C$13)</f>
        <v>0.015</v>
      </c>
      <c r="J2266" s="75">
        <f>'THAM_SO_MOI'!$C$40*('THAM_SO_MOI'!$C$23*(E2266/'THAM_SO_MOI'!$C$22)+'THAM_SO_MOI'!$C$24*(E2266/'THAM_SO_MOI'!$C$22)^2-'THAM_SO_MOI'!$C$25*(E2266/'THAM_SO_MOI'!$C$22)^3)</f>
        <v>106.2377670259259</v>
      </c>
      <c r="K2266" s="75">
        <f>'THAM_SO_MOI'!$C$31*J2266/E2266</f>
        <v>428.1221895515426</v>
      </c>
      <c r="L2266" s="75">
        <f>K2266*'THAM_SO_MOI'!$C$51*'THAM_SO_MOI'!$C$17/'THAM_SO_MOI'!$C$26</f>
        <v>9572.474174422645</v>
      </c>
      <c r="M2266" s="75">
        <f>'THAM_SO_MOI'!$C$15*'THAM_SO_MOI'!$C$16*F2266^2</f>
        <v>260.3976469316895</v>
      </c>
      <c r="N2266" s="75">
        <f>'THAM_SO_MOI'!$C$12*I2266</f>
        <v>1130.112</v>
      </c>
      <c r="O2266" s="75">
        <f>M2266+N2266</f>
        <v>1390.5096469316895</v>
      </c>
      <c r="P2266" s="75">
        <f>(MIN(L2266,'THAM_SO_MOI'!$C$41)-O2266)/('THAM_SO_MOI'!$C$11*H2266)</f>
        <v>0.7748072469214919</v>
      </c>
      <c r="Q2266" s="75">
        <f>IF(P2266&gt;0,1/P2266,NA())</f>
        <v>1.2906435813207178</v>
      </c>
      <c r="R2266" s="75">
        <f>F2266-F2265</f>
        <v>0.005028991339518285</v>
      </c>
      <c r="S2266" s="75">
        <f>0.5*(Q2265+Q2266)*R2266</f>
        <v>0.006490304944898259</v>
      </c>
      <c r="T2266" s="75">
        <f>0.5*(F2265*Q2265+F2266*Q2266)*R2266</f>
        <v>0.06122163819786576</v>
      </c>
      <c r="U2266" s="76">
        <f>U2265+S2266</f>
        <v>11.764352033233365</v>
      </c>
      <c r="V2266" s="76">
        <f>V2265+T2266</f>
        <v>63.75671224820102</v>
      </c>
    </row>
    <row r="2267" spans="1:22" ht="19" customHeight="1">
      <c r="A2267" s="68" t="s">
        <v>374</v>
      </c>
      <c r="B2267" s="74">
        <v>3</v>
      </c>
      <c r="C2267" s="68" t="s">
        <v>363</v>
      </c>
      <c r="D2267" s="68" t="s">
        <v>364</v>
      </c>
      <c r="E2267" s="75">
        <f>60*F2267*'THAM_SO_MOI'!$C$51/(2*PI()*'THAM_SO_MOI'!$C$26)</f>
        <v>2371.351485401236</v>
      </c>
      <c r="F2267" s="75">
        <f>'HANH_TRINH'!$F$1647+('THAM_SO_MOI'!$F$51-'HANH_TRINH'!$F$1647)*619/'THAM_SO_MOI'!$C$42</f>
        <v>9.44032636650701</v>
      </c>
      <c r="G2267" s="75">
        <f>3.6*F2267</f>
        <v>33.98517491942524</v>
      </c>
      <c r="H2267" s="75">
        <f>'THAM_SO_MOI'!$D$51</f>
        <v>1.375</v>
      </c>
      <c r="I2267" s="75">
        <f>IF(F2267&gt;'THAM_SO_MOI'!$C$14,'THAM_SO_MOI'!$C$13*(1+F2267^2/1500),'THAM_SO_MOI'!$C$13)</f>
        <v>0.015</v>
      </c>
      <c r="J2267" s="75">
        <f>'THAM_SO_MOI'!$C$40*('THAM_SO_MOI'!$C$23*(E2267/'THAM_SO_MOI'!$C$22)+'THAM_SO_MOI'!$C$24*(E2267/'THAM_SO_MOI'!$C$22)^2-'THAM_SO_MOI'!$C$25*(E2267/'THAM_SO_MOI'!$C$22)^3)</f>
        <v>106.28818261044454</v>
      </c>
      <c r="K2267" s="75">
        <f>'THAM_SO_MOI'!$C$31*J2267/E2267</f>
        <v>428.0971819663157</v>
      </c>
      <c r="L2267" s="75">
        <f>K2267*'THAM_SO_MOI'!$C$51*'THAM_SO_MOI'!$C$17/'THAM_SO_MOI'!$C$26</f>
        <v>9571.915024559377</v>
      </c>
      <c r="M2267" s="75">
        <f>'THAM_SO_MOI'!$C$15*'THAM_SO_MOI'!$C$16*F2267^2</f>
        <v>260.67530357553983</v>
      </c>
      <c r="N2267" s="75">
        <f>'THAM_SO_MOI'!$C$12*I2267</f>
        <v>1130.112</v>
      </c>
      <c r="O2267" s="75">
        <f>M2267+N2267</f>
        <v>1390.78730357554</v>
      </c>
      <c r="P2267" s="75">
        <f>(MIN(L2267,'THAM_SO_MOI'!$C$41)-O2267)/('THAM_SO_MOI'!$C$11*H2267)</f>
        <v>0.7747280038810452</v>
      </c>
      <c r="Q2267" s="75">
        <f>IF(P2267&gt;0,1/P2267,NA())</f>
        <v>1.2907755947770592</v>
      </c>
      <c r="R2267" s="75">
        <f>F2267-F2266</f>
        <v>0.005028991339518285</v>
      </c>
      <c r="S2267" s="75">
        <f>0.5*(Q2266+Q2267)*R2267</f>
        <v>0.006490967340131073</v>
      </c>
      <c r="T2267" s="75">
        <f>0.5*(F2266*Q2266+F2267*Q2267)*R2267</f>
        <v>0.061260529450585896</v>
      </c>
      <c r="U2267" s="76">
        <f>U2266+S2267</f>
        <v>11.770843000573496</v>
      </c>
      <c r="V2267" s="76">
        <f>V2266+T2267</f>
        <v>63.817972777651605</v>
      </c>
    </row>
    <row r="2268" spans="1:22" ht="19" customHeight="1">
      <c r="A2268" s="68" t="s">
        <v>374</v>
      </c>
      <c r="B2268" s="74">
        <v>3</v>
      </c>
      <c r="C2268" s="68" t="s">
        <v>363</v>
      </c>
      <c r="D2268" s="68" t="s">
        <v>364</v>
      </c>
      <c r="E2268" s="75">
        <f>60*F2268*'THAM_SO_MOI'!$C$51/(2*PI()*'THAM_SO_MOI'!$C$26)</f>
        <v>2372.6147368631073</v>
      </c>
      <c r="F2268" s="75">
        <f>'HANH_TRINH'!$F$1647+('THAM_SO_MOI'!$F$51-'HANH_TRINH'!$F$1647)*620/'THAM_SO_MOI'!$C$42</f>
        <v>9.445355357846527</v>
      </c>
      <c r="G2268" s="75">
        <f>3.6*F2268</f>
        <v>34.0032792882475</v>
      </c>
      <c r="H2268" s="75">
        <f>'THAM_SO_MOI'!$D$51</f>
        <v>1.375</v>
      </c>
      <c r="I2268" s="75">
        <f>IF(F2268&gt;'THAM_SO_MOI'!$C$14,'THAM_SO_MOI'!$C$13*(1+F2268^2/1500),'THAM_SO_MOI'!$C$13)</f>
        <v>0.015</v>
      </c>
      <c r="J2268" s="75">
        <f>'THAM_SO_MOI'!$C$40*('THAM_SO_MOI'!$C$23*(E2268/'THAM_SO_MOI'!$C$22)+'THAM_SO_MOI'!$C$24*(E2268/'THAM_SO_MOI'!$C$22)^2-'THAM_SO_MOI'!$C$25*(E2268/'THAM_SO_MOI'!$C$22)^3)</f>
        <v>106.33855312135866</v>
      </c>
      <c r="K2268" s="75">
        <f>'THAM_SO_MOI'!$C$31*J2268/E2268</f>
        <v>428.07201956425837</v>
      </c>
      <c r="L2268" s="75">
        <f>K2268*'THAM_SO_MOI'!$C$51*'THAM_SO_MOI'!$C$17/'THAM_SO_MOI'!$C$26</f>
        <v>9571.352413114004</v>
      </c>
      <c r="M2268" s="75">
        <f>'THAM_SO_MOI'!$C$15*'THAM_SO_MOI'!$C$16*F2268^2</f>
        <v>260.9531081703003</v>
      </c>
      <c r="N2268" s="75">
        <f>'THAM_SO_MOI'!$C$12*I2268</f>
        <v>1130.112</v>
      </c>
      <c r="O2268" s="75">
        <f>M2268+N2268</f>
        <v>1391.0651081703004</v>
      </c>
      <c r="P2268" s="75">
        <f>(MIN(L2268,'THAM_SO_MOI'!$C$41)-O2268)/('THAM_SO_MOI'!$C$11*H2268)</f>
        <v>0.7746484190287598</v>
      </c>
      <c r="Q2268" s="75">
        <f>IF(P2268&gt;0,1/P2268,NA())</f>
        <v>1.2909082048521856</v>
      </c>
      <c r="R2268" s="75">
        <f>F2268-F2267</f>
        <v>0.005028991339516509</v>
      </c>
      <c r="S2268" s="75">
        <f>0.5*(Q2267+Q2268)*R2268</f>
        <v>0.006491632734852772</v>
      </c>
      <c r="T2268" s="75">
        <f>0.5*(F2267*Q2267+F2268*Q2268)*R2268</f>
        <v>0.061299455689364284</v>
      </c>
      <c r="U2268" s="76">
        <f>U2267+S2268</f>
        <v>11.77733463330835</v>
      </c>
      <c r="V2268" s="76">
        <f>V2267+T2268</f>
        <v>63.87927223334097</v>
      </c>
    </row>
    <row r="2269" spans="1:22" ht="19" customHeight="1">
      <c r="A2269" s="68" t="s">
        <v>374</v>
      </c>
      <c r="B2269" s="74">
        <v>3</v>
      </c>
      <c r="C2269" s="68" t="s">
        <v>363</v>
      </c>
      <c r="D2269" s="68" t="s">
        <v>364</v>
      </c>
      <c r="E2269" s="75">
        <f>60*F2269*'THAM_SO_MOI'!$C$51/(2*PI()*'THAM_SO_MOI'!$C$26)</f>
        <v>2373.877988324979</v>
      </c>
      <c r="F2269" s="75">
        <f>'HANH_TRINH'!$F$1647+('THAM_SO_MOI'!$F$51-'HANH_TRINH'!$F$1647)*621/'THAM_SO_MOI'!$C$42</f>
        <v>9.450384349186045</v>
      </c>
      <c r="G2269" s="75">
        <f>3.6*F2269</f>
        <v>34.02138365706976</v>
      </c>
      <c r="H2269" s="75">
        <f>'THAM_SO_MOI'!$D$51</f>
        <v>1.375</v>
      </c>
      <c r="I2269" s="75">
        <f>IF(F2269&gt;'THAM_SO_MOI'!$C$14,'THAM_SO_MOI'!$C$13*(1+F2269^2/1500),'THAM_SO_MOI'!$C$13)</f>
        <v>0.015</v>
      </c>
      <c r="J2269" s="75">
        <f>'THAM_SO_MOI'!$C$40*('THAM_SO_MOI'!$C$23*(E2269/'THAM_SO_MOI'!$C$22)+'THAM_SO_MOI'!$C$24*(E2269/'THAM_SO_MOI'!$C$22)^2-'THAM_SO_MOI'!$C$25*(E2269/'THAM_SO_MOI'!$C$22)^3)</f>
        <v>106.38887849723893</v>
      </c>
      <c r="K2269" s="75">
        <f>'THAM_SO_MOI'!$C$31*J2269/E2269</f>
        <v>428.0467023453706</v>
      </c>
      <c r="L2269" s="75">
        <f>K2269*'THAM_SO_MOI'!$C$51*'THAM_SO_MOI'!$C$17/'THAM_SO_MOI'!$C$26</f>
        <v>9570.786340086523</v>
      </c>
      <c r="M2269" s="75">
        <f>'THAM_SO_MOI'!$C$15*'THAM_SO_MOI'!$C$16*F2269^2</f>
        <v>261.2310607159711</v>
      </c>
      <c r="N2269" s="75">
        <f>'THAM_SO_MOI'!$C$12*I2269</f>
        <v>1130.112</v>
      </c>
      <c r="O2269" s="75">
        <f>M2269+N2269</f>
        <v>1391.3430607159712</v>
      </c>
      <c r="P2269" s="75">
        <f>(MIN(L2269,'THAM_SO_MOI'!$C$41)-O2269)/('THAM_SO_MOI'!$C$11*H2269)</f>
        <v>0.7745684923646355</v>
      </c>
      <c r="Q2269" s="75">
        <f>IF(P2269&gt;0,1/P2269,NA())</f>
        <v>1.29104141190556</v>
      </c>
      <c r="R2269" s="75">
        <f>F2269-F2268</f>
        <v>0.005028991339518285</v>
      </c>
      <c r="S2269" s="75">
        <f>0.5*(Q2268+Q2269)*R2269</f>
        <v>0.006492301130873629</v>
      </c>
      <c r="T2269" s="75">
        <f>0.5*(F2268*Q2268+F2269*Q2269)*R2269</f>
        <v>0.06133841697655735</v>
      </c>
      <c r="U2269" s="76">
        <f>U2268+S2269</f>
        <v>11.783826934439222</v>
      </c>
      <c r="V2269" s="76">
        <f>V2268+T2269</f>
        <v>63.940610650317524</v>
      </c>
    </row>
    <row r="2270" spans="1:22" ht="19" customHeight="1">
      <c r="A2270" s="68" t="s">
        <v>374</v>
      </c>
      <c r="B2270" s="74">
        <v>3</v>
      </c>
      <c r="C2270" s="68" t="s">
        <v>363</v>
      </c>
      <c r="D2270" s="68" t="s">
        <v>364</v>
      </c>
      <c r="E2270" s="75">
        <f>60*F2270*'THAM_SO_MOI'!$C$51/(2*PI()*'THAM_SO_MOI'!$C$26)</f>
        <v>2375.1412397868507</v>
      </c>
      <c r="F2270" s="75">
        <f>'HANH_TRINH'!$F$1647+('THAM_SO_MOI'!$F$51-'HANH_TRINH'!$F$1647)*622/'THAM_SO_MOI'!$C$42</f>
        <v>9.455413340525563</v>
      </c>
      <c r="G2270" s="75">
        <f>3.6*F2270</f>
        <v>34.03948802589203</v>
      </c>
      <c r="H2270" s="75">
        <f>'THAM_SO_MOI'!$D$51</f>
        <v>1.375</v>
      </c>
      <c r="I2270" s="75">
        <f>IF(F2270&gt;'THAM_SO_MOI'!$C$14,'THAM_SO_MOI'!$C$13*(1+F2270^2/1500),'THAM_SO_MOI'!$C$13)</f>
        <v>0.015</v>
      </c>
      <c r="J2270" s="75">
        <f>'THAM_SO_MOI'!$C$40*('THAM_SO_MOI'!$C$23*(E2270/'THAM_SO_MOI'!$C$22)+'THAM_SO_MOI'!$C$24*(E2270/'THAM_SO_MOI'!$C$22)^2-'THAM_SO_MOI'!$C$25*(E2270/'THAM_SO_MOI'!$C$22)^3)</f>
        <v>106.43915867665604</v>
      </c>
      <c r="K2270" s="75">
        <f>'THAM_SO_MOI'!$C$31*J2270/E2270</f>
        <v>428.0212303096523</v>
      </c>
      <c r="L2270" s="75">
        <f>K2270*'THAM_SO_MOI'!$C$51*'THAM_SO_MOI'!$C$17/'THAM_SO_MOI'!$C$26</f>
        <v>9570.216805476934</v>
      </c>
      <c r="M2270" s="75">
        <f>'THAM_SO_MOI'!$C$15*'THAM_SO_MOI'!$C$16*F2270^2</f>
        <v>261.5091612125522</v>
      </c>
      <c r="N2270" s="75">
        <f>'THAM_SO_MOI'!$C$12*I2270</f>
        <v>1130.112</v>
      </c>
      <c r="O2270" s="75">
        <f>M2270+N2270</f>
        <v>1391.6211612125524</v>
      </c>
      <c r="P2270" s="75">
        <f>(MIN(L2270,'THAM_SO_MOI'!$C$41)-O2270)/('THAM_SO_MOI'!$C$11*H2270)</f>
        <v>0.7744882238886724</v>
      </c>
      <c r="Q2270" s="75">
        <f>IF(P2270&gt;0,1/P2270,NA())</f>
        <v>1.2911752162983738</v>
      </c>
      <c r="R2270" s="75">
        <f>F2270-F2269</f>
        <v>0.005028991339518285</v>
      </c>
      <c r="S2270" s="75">
        <f>0.5*(Q2269+Q2270)*R2270</f>
        <v>0.006492972529998846</v>
      </c>
      <c r="T2270" s="75">
        <f>0.5*(F2269*Q2269+F2270*Q2270)*R2270</f>
        <v>0.06137741337451005</v>
      </c>
      <c r="U2270" s="76">
        <f>U2269+S2270</f>
        <v>11.790319906969222</v>
      </c>
      <c r="V2270" s="76">
        <f>V2269+T2270</f>
        <v>64.00198806369204</v>
      </c>
    </row>
    <row r="2271" spans="1:22" ht="19" customHeight="1">
      <c r="A2271" s="68" t="s">
        <v>374</v>
      </c>
      <c r="B2271" s="74">
        <v>3</v>
      </c>
      <c r="C2271" s="68" t="s">
        <v>363</v>
      </c>
      <c r="D2271" s="68" t="s">
        <v>364</v>
      </c>
      <c r="E2271" s="75">
        <f>60*F2271*'THAM_SO_MOI'!$C$51/(2*PI()*'THAM_SO_MOI'!$C$26)</f>
        <v>2376.4044912487225</v>
      </c>
      <c r="F2271" s="75">
        <f>'HANH_TRINH'!$F$1647+('THAM_SO_MOI'!$F$51-'HANH_TRINH'!$F$1647)*623/'THAM_SO_MOI'!$C$42</f>
        <v>9.460442331865082</v>
      </c>
      <c r="G2271" s="75">
        <f>3.6*F2271</f>
        <v>34.0575923947143</v>
      </c>
      <c r="H2271" s="75">
        <f>'THAM_SO_MOI'!$D$51</f>
        <v>1.375</v>
      </c>
      <c r="I2271" s="75">
        <f>IF(F2271&gt;'THAM_SO_MOI'!$C$14,'THAM_SO_MOI'!$C$13*(1+F2271^2/1500),'THAM_SO_MOI'!$C$13)</f>
        <v>0.015</v>
      </c>
      <c r="J2271" s="75">
        <f>'THAM_SO_MOI'!$C$40*('THAM_SO_MOI'!$C$23*(E2271/'THAM_SO_MOI'!$C$22)+'THAM_SO_MOI'!$C$24*(E2271/'THAM_SO_MOI'!$C$22)^2-'THAM_SO_MOI'!$C$25*(E2271/'THAM_SO_MOI'!$C$22)^3)</f>
        <v>106.48939359818057</v>
      </c>
      <c r="K2271" s="75">
        <f>'THAM_SO_MOI'!$C$31*J2271/E2271</f>
        <v>427.99560345710347</v>
      </c>
      <c r="L2271" s="75">
        <f>K2271*'THAM_SO_MOI'!$C$51*'THAM_SO_MOI'!$C$17/'THAM_SO_MOI'!$C$26</f>
        <v>9569.643809285231</v>
      </c>
      <c r="M2271" s="75">
        <f>'THAM_SO_MOI'!$C$15*'THAM_SO_MOI'!$C$16*F2271^2</f>
        <v>261.78740966004364</v>
      </c>
      <c r="N2271" s="75">
        <f>'THAM_SO_MOI'!$C$12*I2271</f>
        <v>1130.112</v>
      </c>
      <c r="O2271" s="75">
        <f>M2271+N2271</f>
        <v>1391.8994096600436</v>
      </c>
      <c r="P2271" s="75">
        <f>(MIN(L2271,'THAM_SO_MOI'!$C$41)-O2271)/('THAM_SO_MOI'!$C$11*H2271)</f>
        <v>0.77440761360087</v>
      </c>
      <c r="Q2271" s="75">
        <f>IF(P2271&gt;0,1/P2271,NA())</f>
        <v>1.291309618393551</v>
      </c>
      <c r="R2271" s="75">
        <f>F2271-F2270</f>
        <v>0.005028991339518285</v>
      </c>
      <c r="S2271" s="75">
        <f>0.5*(Q2270+Q2271)*R2271</f>
        <v>0.0064936469340515</v>
      </c>
      <c r="T2271" s="75">
        <f>0.5*(F2270*Q2270+F2271*Q2271)*R2271</f>
        <v>0.061416444945772676</v>
      </c>
      <c r="U2271" s="76">
        <f>U2270+S2271</f>
        <v>11.796813553903274</v>
      </c>
      <c r="V2271" s="76">
        <f>V2270+T2271</f>
        <v>64.06340450863782</v>
      </c>
    </row>
    <row r="2272" spans="1:22" ht="19" customHeight="1">
      <c r="A2272" s="68" t="s">
        <v>374</v>
      </c>
      <c r="B2272" s="74">
        <v>3</v>
      </c>
      <c r="C2272" s="68" t="s">
        <v>363</v>
      </c>
      <c r="D2272" s="68" t="s">
        <v>364</v>
      </c>
      <c r="E2272" s="75">
        <f>60*F2272*'THAM_SO_MOI'!$C$51/(2*PI()*'THAM_SO_MOI'!$C$26)</f>
        <v>2377.6677427105938</v>
      </c>
      <c r="F2272" s="75">
        <f>'HANH_TRINH'!$F$1647+('THAM_SO_MOI'!$F$51-'HANH_TRINH'!$F$1647)*624/'THAM_SO_MOI'!$C$42</f>
        <v>9.465471323204598</v>
      </c>
      <c r="G2272" s="75">
        <f>3.6*F2272</f>
        <v>34.075696763536556</v>
      </c>
      <c r="H2272" s="75">
        <f>'THAM_SO_MOI'!$D$51</f>
        <v>1.375</v>
      </c>
      <c r="I2272" s="75">
        <f>IF(F2272&gt;'THAM_SO_MOI'!$C$14,'THAM_SO_MOI'!$C$13*(1+F2272^2/1500),'THAM_SO_MOI'!$C$13)</f>
        <v>0.015</v>
      </c>
      <c r="J2272" s="75">
        <f>'THAM_SO_MOI'!$C$40*('THAM_SO_MOI'!$C$23*(E2272/'THAM_SO_MOI'!$C$22)+'THAM_SO_MOI'!$C$24*(E2272/'THAM_SO_MOI'!$C$22)^2-'THAM_SO_MOI'!$C$25*(E2272/'THAM_SO_MOI'!$C$22)^3)</f>
        <v>106.53958320038316</v>
      </c>
      <c r="K2272" s="75">
        <f>'THAM_SO_MOI'!$C$31*J2272/E2272</f>
        <v>427.969821787724</v>
      </c>
      <c r="L2272" s="75">
        <f>K2272*'THAM_SO_MOI'!$C$51*'THAM_SO_MOI'!$C$17/'THAM_SO_MOI'!$C$26</f>
        <v>9569.06735151142</v>
      </c>
      <c r="M2272" s="75">
        <f>'THAM_SO_MOI'!$C$15*'THAM_SO_MOI'!$C$16*F2272^2</f>
        <v>262.06580605844516</v>
      </c>
      <c r="N2272" s="75">
        <f>'THAM_SO_MOI'!$C$12*I2272</f>
        <v>1130.112</v>
      </c>
      <c r="O2272" s="75">
        <f>M2272+N2272</f>
        <v>1392.1778060584452</v>
      </c>
      <c r="P2272" s="75">
        <f>(MIN(L2272,'THAM_SO_MOI'!$C$41)-O2272)/('THAM_SO_MOI'!$C$11*H2272)</f>
        <v>0.7743266615012286</v>
      </c>
      <c r="Q2272" s="75">
        <f>IF(P2272&gt;0,1/P2272,NA())</f>
        <v>1.291444618555748</v>
      </c>
      <c r="R2272" s="75">
        <f>F2272-F2271</f>
        <v>0.005028991339516509</v>
      </c>
      <c r="S2272" s="75">
        <f>0.5*(Q2271+Q2272)*R2272</f>
        <v>0.006494324344858796</v>
      </c>
      <c r="T2272" s="75">
        <f>0.5*(F2271*Q2271+F2272*Q2272)*R2272</f>
        <v>0.061455511752971245</v>
      </c>
      <c r="U2272" s="76">
        <f>U2271+S2272</f>
        <v>11.803307878248132</v>
      </c>
      <c r="V2272" s="76">
        <f>V2271+T2272</f>
        <v>64.12486002039078</v>
      </c>
    </row>
    <row r="2273" spans="1:22" ht="19" customHeight="1">
      <c r="A2273" s="68" t="s">
        <v>374</v>
      </c>
      <c r="B2273" s="74">
        <v>3</v>
      </c>
      <c r="C2273" s="68" t="s">
        <v>363</v>
      </c>
      <c r="D2273" s="68" t="s">
        <v>364</v>
      </c>
      <c r="E2273" s="75">
        <f>60*F2273*'THAM_SO_MOI'!$C$51/(2*PI()*'THAM_SO_MOI'!$C$26)</f>
        <v>2378.9309941724655</v>
      </c>
      <c r="F2273" s="75">
        <f>'HANH_TRINH'!$F$1647+('THAM_SO_MOI'!$F$51-'HANH_TRINH'!$F$1647)*625/'THAM_SO_MOI'!$C$42</f>
        <v>9.470500314544116</v>
      </c>
      <c r="G2273" s="75">
        <f>3.6*F2273</f>
        <v>34.09380113235882</v>
      </c>
      <c r="H2273" s="75">
        <f>'THAM_SO_MOI'!$D$51</f>
        <v>1.375</v>
      </c>
      <c r="I2273" s="75">
        <f>IF(F2273&gt;'THAM_SO_MOI'!$C$14,'THAM_SO_MOI'!$C$13*(1+F2273^2/1500),'THAM_SO_MOI'!$C$13)</f>
        <v>0.015</v>
      </c>
      <c r="J2273" s="75">
        <f>'THAM_SO_MOI'!$C$40*('THAM_SO_MOI'!$C$23*(E2273/'THAM_SO_MOI'!$C$22)+'THAM_SO_MOI'!$C$24*(E2273/'THAM_SO_MOI'!$C$22)^2-'THAM_SO_MOI'!$C$25*(E2273/'THAM_SO_MOI'!$C$22)^3)</f>
        <v>106.58972742183451</v>
      </c>
      <c r="K2273" s="75">
        <f>'THAM_SO_MOI'!$C$31*J2273/E2273</f>
        <v>427.94388530151406</v>
      </c>
      <c r="L2273" s="75">
        <f>K2273*'THAM_SO_MOI'!$C$51*'THAM_SO_MOI'!$C$17/'THAM_SO_MOI'!$C$26</f>
        <v>9568.487432155498</v>
      </c>
      <c r="M2273" s="75">
        <f>'THAM_SO_MOI'!$C$15*'THAM_SO_MOI'!$C$16*F2273^2</f>
        <v>262.34435040775713</v>
      </c>
      <c r="N2273" s="75">
        <f>'THAM_SO_MOI'!$C$12*I2273</f>
        <v>1130.112</v>
      </c>
      <c r="O2273" s="75">
        <f>M2273+N2273</f>
        <v>1392.4563504077573</v>
      </c>
      <c r="P2273" s="75">
        <f>(MIN(L2273,'THAM_SO_MOI'!$C$41)-O2273)/('THAM_SO_MOI'!$C$11*H2273)</f>
        <v>0.7742453675897483</v>
      </c>
      <c r="Q2273" s="75">
        <f>IF(P2273&gt;0,1/P2273,NA())</f>
        <v>1.291580217151358</v>
      </c>
      <c r="R2273" s="75">
        <f>F2273-F2272</f>
        <v>0.005028991339518285</v>
      </c>
      <c r="S2273" s="75">
        <f>0.5*(Q2272+Q2273)*R2273</f>
        <v>0.006495004764265839</v>
      </c>
      <c r="T2273" s="75">
        <f>0.5*(F2272*Q2272+F2273*Q2273)*R2273</f>
        <v>0.06149461385893803</v>
      </c>
      <c r="U2273" s="76">
        <f>U2272+S2273</f>
        <v>11.809802883012399</v>
      </c>
      <c r="V2273" s="76">
        <f>V2272+T2273</f>
        <v>64.18635463424972</v>
      </c>
    </row>
    <row r="2274" spans="1:22" ht="19" customHeight="1">
      <c r="A2274" s="68" t="s">
        <v>374</v>
      </c>
      <c r="B2274" s="74">
        <v>3</v>
      </c>
      <c r="C2274" s="68" t="s">
        <v>363</v>
      </c>
      <c r="D2274" s="68" t="s">
        <v>364</v>
      </c>
      <c r="E2274" s="75">
        <f>60*F2274*'THAM_SO_MOI'!$C$51/(2*PI()*'THAM_SO_MOI'!$C$26)</f>
        <v>2380.1942456343368</v>
      </c>
      <c r="F2274" s="75">
        <f>'HANH_TRINH'!$F$1647+('THAM_SO_MOI'!$F$51-'HANH_TRINH'!$F$1647)*626/'THAM_SO_MOI'!$C$42</f>
        <v>9.475529305883633</v>
      </c>
      <c r="G2274" s="75">
        <f>3.6*F2274</f>
        <v>34.11190550118108</v>
      </c>
      <c r="H2274" s="75">
        <f>'THAM_SO_MOI'!$D$51</f>
        <v>1.375</v>
      </c>
      <c r="I2274" s="75">
        <f>IF(F2274&gt;'THAM_SO_MOI'!$C$14,'THAM_SO_MOI'!$C$13*(1+F2274^2/1500),'THAM_SO_MOI'!$C$13)</f>
        <v>0.015</v>
      </c>
      <c r="J2274" s="75">
        <f>'THAM_SO_MOI'!$C$40*('THAM_SO_MOI'!$C$23*(E2274/'THAM_SO_MOI'!$C$22)+'THAM_SO_MOI'!$C$24*(E2274/'THAM_SO_MOI'!$C$22)^2-'THAM_SO_MOI'!$C$25*(E2274/'THAM_SO_MOI'!$C$22)^3)</f>
        <v>106.6398262011053</v>
      </c>
      <c r="K2274" s="75">
        <f>'THAM_SO_MOI'!$C$31*J2274/E2274</f>
        <v>427.91779399847377</v>
      </c>
      <c r="L2274" s="75">
        <f>K2274*'THAM_SO_MOI'!$C$51*'THAM_SO_MOI'!$C$17/'THAM_SO_MOI'!$C$26</f>
        <v>9567.904051217472</v>
      </c>
      <c r="M2274" s="75">
        <f>'THAM_SO_MOI'!$C$15*'THAM_SO_MOI'!$C$16*F2274^2</f>
        <v>262.62304270797927</v>
      </c>
      <c r="N2274" s="75">
        <f>'THAM_SO_MOI'!$C$12*I2274</f>
        <v>1130.112</v>
      </c>
      <c r="O2274" s="75">
        <f>M2274+N2274</f>
        <v>1392.7350427079793</v>
      </c>
      <c r="P2274" s="75">
        <f>(MIN(L2274,'THAM_SO_MOI'!$C$41)-O2274)/('THAM_SO_MOI'!$C$11*H2274)</f>
        <v>0.7741637318664293</v>
      </c>
      <c r="Q2274" s="75">
        <f>IF(P2274&gt;0,1/P2274,NA())</f>
        <v>1.2917164145485125</v>
      </c>
      <c r="R2274" s="75">
        <f>F2274-F2273</f>
        <v>0.005028991339516509</v>
      </c>
      <c r="S2274" s="75">
        <f>0.5*(Q2273+Q2274)*R2274</f>
        <v>0.006495688194110409</v>
      </c>
      <c r="T2274" s="75">
        <f>0.5*(F2273*Q2273+F2274*Q2274)*R2274</f>
        <v>0.06153375132647303</v>
      </c>
      <c r="U2274" s="76">
        <f>U2273+S2274</f>
        <v>11.81629857120651</v>
      </c>
      <c r="V2274" s="76">
        <f>V2273+T2274</f>
        <v>64.2478883855762</v>
      </c>
    </row>
    <row r="2275" spans="1:22" ht="19" customHeight="1">
      <c r="A2275" s="68" t="s">
        <v>374</v>
      </c>
      <c r="B2275" s="74">
        <v>3</v>
      </c>
      <c r="C2275" s="68" t="s">
        <v>363</v>
      </c>
      <c r="D2275" s="68" t="s">
        <v>364</v>
      </c>
      <c r="E2275" s="75">
        <f>60*F2275*'THAM_SO_MOI'!$C$51/(2*PI()*'THAM_SO_MOI'!$C$26)</f>
        <v>2381.457497096209</v>
      </c>
      <c r="F2275" s="75">
        <f>'HANH_TRINH'!$F$1647+('THAM_SO_MOI'!$F$51-'HANH_TRINH'!$F$1647)*627/'THAM_SO_MOI'!$C$42</f>
        <v>9.480558297223151</v>
      </c>
      <c r="G2275" s="75">
        <f>3.6*F2275</f>
        <v>34.13000987000335</v>
      </c>
      <c r="H2275" s="75">
        <f>'THAM_SO_MOI'!$D$51</f>
        <v>1.375</v>
      </c>
      <c r="I2275" s="75">
        <f>IF(F2275&gt;'THAM_SO_MOI'!$C$14,'THAM_SO_MOI'!$C$13*(1+F2275^2/1500),'THAM_SO_MOI'!$C$13)</f>
        <v>0.015</v>
      </c>
      <c r="J2275" s="75">
        <f>'THAM_SO_MOI'!$C$40*('THAM_SO_MOI'!$C$23*(E2275/'THAM_SO_MOI'!$C$22)+'THAM_SO_MOI'!$C$24*(E2275/'THAM_SO_MOI'!$C$22)^2-'THAM_SO_MOI'!$C$25*(E2275/'THAM_SO_MOI'!$C$22)^3)</f>
        <v>106.68987947676612</v>
      </c>
      <c r="K2275" s="75">
        <f>'THAM_SO_MOI'!$C$31*J2275/E2275</f>
        <v>427.89154787860286</v>
      </c>
      <c r="L2275" s="75">
        <f>K2275*'THAM_SO_MOI'!$C$51*'THAM_SO_MOI'!$C$17/'THAM_SO_MOI'!$C$26</f>
        <v>9567.317208697335</v>
      </c>
      <c r="M2275" s="75">
        <f>'THAM_SO_MOI'!$C$15*'THAM_SO_MOI'!$C$16*F2275^2</f>
        <v>262.90188295911173</v>
      </c>
      <c r="N2275" s="75">
        <f>'THAM_SO_MOI'!$C$12*I2275</f>
        <v>1130.112</v>
      </c>
      <c r="O2275" s="75">
        <f>M2275+N2275</f>
        <v>1393.013882959112</v>
      </c>
      <c r="P2275" s="75">
        <f>(MIN(L2275,'THAM_SO_MOI'!$C$41)-O2275)/('THAM_SO_MOI'!$C$11*H2275)</f>
        <v>0.7740817543312712</v>
      </c>
      <c r="Q2275" s="75">
        <f>IF(P2275&gt;0,1/P2275,NA())</f>
        <v>1.291853211117086</v>
      </c>
      <c r="R2275" s="75">
        <f>F2275-F2274</f>
        <v>0.005028991339518285</v>
      </c>
      <c r="S2275" s="75">
        <f>0.5*(Q2274+Q2275)*R2275</f>
        <v>0.006496374636257396</v>
      </c>
      <c r="T2275" s="75">
        <f>0.5*(F2274*Q2274+F2275*Q2275)*R2275</f>
        <v>0.06157292421867017</v>
      </c>
      <c r="U2275" s="76">
        <f>U2274+S2275</f>
        <v>11.822794945842766</v>
      </c>
      <c r="V2275" s="76">
        <f>V2274+T2275</f>
        <v>64.30946130979487</v>
      </c>
    </row>
    <row r="2276" spans="1:22" ht="19" customHeight="1">
      <c r="A2276" s="68" t="s">
        <v>374</v>
      </c>
      <c r="B2276" s="74">
        <v>3</v>
      </c>
      <c r="C2276" s="68" t="s">
        <v>363</v>
      </c>
      <c r="D2276" s="68" t="s">
        <v>364</v>
      </c>
      <c r="E2276" s="75">
        <f>60*F2276*'THAM_SO_MOI'!$C$51/(2*PI()*'THAM_SO_MOI'!$C$26)</f>
        <v>2382.7207485580807</v>
      </c>
      <c r="F2276" s="75">
        <f>'HANH_TRINH'!$F$1647+('THAM_SO_MOI'!$F$51-'HANH_TRINH'!$F$1647)*628/'THAM_SO_MOI'!$C$42</f>
        <v>9.48558728856267</v>
      </c>
      <c r="G2276" s="75">
        <f>3.6*F2276</f>
        <v>34.14811423882561</v>
      </c>
      <c r="H2276" s="75">
        <f>'THAM_SO_MOI'!$D$51</f>
        <v>1.375</v>
      </c>
      <c r="I2276" s="75">
        <f>IF(F2276&gt;'THAM_SO_MOI'!$C$14,'THAM_SO_MOI'!$C$13*(1+F2276^2/1500),'THAM_SO_MOI'!$C$13)</f>
        <v>0.015</v>
      </c>
      <c r="J2276" s="75">
        <f>'THAM_SO_MOI'!$C$40*('THAM_SO_MOI'!$C$23*(E2276/'THAM_SO_MOI'!$C$22)+'THAM_SO_MOI'!$C$24*(E2276/'THAM_SO_MOI'!$C$22)^2-'THAM_SO_MOI'!$C$25*(E2276/'THAM_SO_MOI'!$C$22)^3)</f>
        <v>106.73988718738768</v>
      </c>
      <c r="K2276" s="75">
        <f>'THAM_SO_MOI'!$C$31*J2276/E2276</f>
        <v>427.8651469419015</v>
      </c>
      <c r="L2276" s="75">
        <f>K2276*'THAM_SO_MOI'!$C$51*'THAM_SO_MOI'!$C$17/'THAM_SO_MOI'!$C$26</f>
        <v>9566.726904595092</v>
      </c>
      <c r="M2276" s="75">
        <f>'THAM_SO_MOI'!$C$15*'THAM_SO_MOI'!$C$16*F2276^2</f>
        <v>263.18087116115447</v>
      </c>
      <c r="N2276" s="75">
        <f>'THAM_SO_MOI'!$C$12*I2276</f>
        <v>1130.112</v>
      </c>
      <c r="O2276" s="75">
        <f>M2276+N2276</f>
        <v>1393.2928711611546</v>
      </c>
      <c r="P2276" s="75">
        <f>(MIN(L2276,'THAM_SO_MOI'!$C$41)-O2276)/('THAM_SO_MOI'!$C$11*H2276)</f>
        <v>0.7739994349842745</v>
      </c>
      <c r="Q2276" s="75">
        <f>IF(P2276&gt;0,1/P2276,NA())</f>
        <v>1.2919906072286955</v>
      </c>
      <c r="R2276" s="75">
        <f>F2276-F2275</f>
        <v>0.005028991339518285</v>
      </c>
      <c r="S2276" s="75">
        <f>0.5*(Q2275+Q2276)*R2276</f>
        <v>0.006497064092564396</v>
      </c>
      <c r="T2276" s="75">
        <f>0.5*(F2275*Q2275+F2276*Q2276)*R2276</f>
        <v>0.061612132598591704</v>
      </c>
      <c r="U2276" s="76">
        <f>U2275+S2276</f>
        <v>11.82929200993533</v>
      </c>
      <c r="V2276" s="76">
        <f>V2275+T2276</f>
        <v>64.37107344239347</v>
      </c>
    </row>
    <row r="2277" spans="1:22" ht="19" customHeight="1">
      <c r="A2277" s="68" t="s">
        <v>374</v>
      </c>
      <c r="B2277" s="74">
        <v>3</v>
      </c>
      <c r="C2277" s="68" t="s">
        <v>363</v>
      </c>
      <c r="D2277" s="68" t="s">
        <v>364</v>
      </c>
      <c r="E2277" s="75">
        <f>60*F2277*'THAM_SO_MOI'!$C$51/(2*PI()*'THAM_SO_MOI'!$C$26)</f>
        <v>2383.984000019952</v>
      </c>
      <c r="F2277" s="75">
        <f>'HANH_TRINH'!$F$1647+('THAM_SO_MOI'!$F$51-'HANH_TRINH'!$F$1647)*629/'THAM_SO_MOI'!$C$42</f>
        <v>9.490616279902186</v>
      </c>
      <c r="G2277" s="75">
        <f>3.6*F2277</f>
        <v>34.16621860764787</v>
      </c>
      <c r="H2277" s="75">
        <f>'THAM_SO_MOI'!$D$51</f>
        <v>1.375</v>
      </c>
      <c r="I2277" s="75">
        <f>IF(F2277&gt;'THAM_SO_MOI'!$C$14,'THAM_SO_MOI'!$C$13*(1+F2277^2/1500),'THAM_SO_MOI'!$C$13)</f>
        <v>0.015</v>
      </c>
      <c r="J2277" s="75">
        <f>'THAM_SO_MOI'!$C$40*('THAM_SO_MOI'!$C$23*(E2277/'THAM_SO_MOI'!$C$22)+'THAM_SO_MOI'!$C$24*(E2277/'THAM_SO_MOI'!$C$22)^2-'THAM_SO_MOI'!$C$25*(E2277/'THAM_SO_MOI'!$C$22)^3)</f>
        <v>106.78984927154052</v>
      </c>
      <c r="K2277" s="75">
        <f>'THAM_SO_MOI'!$C$31*J2277/E2277</f>
        <v>427.83859118836955</v>
      </c>
      <c r="L2277" s="75">
        <f>K2277*'THAM_SO_MOI'!$C$51*'THAM_SO_MOI'!$C$17/'THAM_SO_MOI'!$C$26</f>
        <v>9566.133138910734</v>
      </c>
      <c r="M2277" s="75">
        <f>'THAM_SO_MOI'!$C$15*'THAM_SO_MOI'!$C$16*F2277^2</f>
        <v>263.46000731410743</v>
      </c>
      <c r="N2277" s="75">
        <f>'THAM_SO_MOI'!$C$12*I2277</f>
        <v>1130.112</v>
      </c>
      <c r="O2277" s="75">
        <f>M2277+N2277</f>
        <v>1393.5720073141074</v>
      </c>
      <c r="P2277" s="75">
        <f>(MIN(L2277,'THAM_SO_MOI'!$C$41)-O2277)/('THAM_SO_MOI'!$C$11*H2277)</f>
        <v>0.7739167738254381</v>
      </c>
      <c r="Q2277" s="75">
        <f>IF(P2277&gt;0,1/P2277,NA())</f>
        <v>1.2921286032567068</v>
      </c>
      <c r="R2277" s="75">
        <f>F2277-F2276</f>
        <v>0.005028991339516509</v>
      </c>
      <c r="S2277" s="75">
        <f>0.5*(Q2276+Q2277)*R2277</f>
        <v>0.006497756564904663</v>
      </c>
      <c r="T2277" s="75">
        <f>0.5*(F2276*Q2276+F2277*Q2277)*R2277</f>
        <v>0.0616513765294858</v>
      </c>
      <c r="U2277" s="76">
        <f>U2276+S2277</f>
        <v>11.835789766500234</v>
      </c>
      <c r="V2277" s="76">
        <f>V2276+T2277</f>
        <v>64.43272481892295</v>
      </c>
    </row>
    <row r="2278" spans="1:22" ht="19" customHeight="1">
      <c r="A2278" s="68" t="s">
        <v>374</v>
      </c>
      <c r="B2278" s="74">
        <v>3</v>
      </c>
      <c r="C2278" s="68" t="s">
        <v>363</v>
      </c>
      <c r="D2278" s="68" t="s">
        <v>364</v>
      </c>
      <c r="E2278" s="75">
        <f>60*F2278*'THAM_SO_MOI'!$C$51/(2*PI()*'THAM_SO_MOI'!$C$26)</f>
        <v>2385.2472514818237</v>
      </c>
      <c r="F2278" s="75">
        <f>'HANH_TRINH'!$F$1647+('THAM_SO_MOI'!$F$51-'HANH_TRINH'!$F$1647)*630/'THAM_SO_MOI'!$C$42</f>
        <v>9.495645271241704</v>
      </c>
      <c r="G2278" s="75">
        <f>3.6*F2278</f>
        <v>34.184322976470135</v>
      </c>
      <c r="H2278" s="75">
        <f>'THAM_SO_MOI'!$D$51</f>
        <v>1.375</v>
      </c>
      <c r="I2278" s="75">
        <f>IF(F2278&gt;'THAM_SO_MOI'!$C$14,'THAM_SO_MOI'!$C$13*(1+F2278^2/1500),'THAM_SO_MOI'!$C$13)</f>
        <v>0.015</v>
      </c>
      <c r="J2278" s="75">
        <f>'THAM_SO_MOI'!$C$40*('THAM_SO_MOI'!$C$23*(E2278/'THAM_SO_MOI'!$C$22)+'THAM_SO_MOI'!$C$24*(E2278/'THAM_SO_MOI'!$C$22)^2-'THAM_SO_MOI'!$C$25*(E2278/'THAM_SO_MOI'!$C$22)^3)</f>
        <v>106.83976566779539</v>
      </c>
      <c r="K2278" s="75">
        <f>'THAM_SO_MOI'!$C$31*J2278/E2278</f>
        <v>427.81188061800714</v>
      </c>
      <c r="L2278" s="75">
        <f>K2278*'THAM_SO_MOI'!$C$51*'THAM_SO_MOI'!$C$17/'THAM_SO_MOI'!$C$26</f>
        <v>9565.53591164427</v>
      </c>
      <c r="M2278" s="75">
        <f>'THAM_SO_MOI'!$C$15*'THAM_SO_MOI'!$C$16*F2278^2</f>
        <v>263.7392914179707</v>
      </c>
      <c r="N2278" s="75">
        <f>'THAM_SO_MOI'!$C$12*I2278</f>
        <v>1130.112</v>
      </c>
      <c r="O2278" s="75">
        <f>M2278+N2278</f>
        <v>1393.8512914179707</v>
      </c>
      <c r="P2278" s="75">
        <f>(MIN(L2278,'THAM_SO_MOI'!$C$41)-O2278)/('THAM_SO_MOI'!$C$11*H2278)</f>
        <v>0.7738337708547632</v>
      </c>
      <c r="Q2278" s="75">
        <f>IF(P2278&gt;0,1/P2278,NA())</f>
        <v>1.2922671995762314</v>
      </c>
      <c r="R2278" s="75">
        <f>F2278-F2277</f>
        <v>0.005028991339518285</v>
      </c>
      <c r="S2278" s="75">
        <f>0.5*(Q2277+Q2278)*R2278</f>
        <v>0.006498452055167125</v>
      </c>
      <c r="T2278" s="75">
        <f>0.5*(F2277*Q2277+F2278*Q2278)*R2278</f>
        <v>0.061690656074787145</v>
      </c>
      <c r="U2278" s="76">
        <f>U2277+S2278</f>
        <v>11.842288218555401</v>
      </c>
      <c r="V2278" s="76">
        <f>V2277+T2278</f>
        <v>64.49441547499774</v>
      </c>
    </row>
    <row r="2279" spans="1:22" ht="19" customHeight="1">
      <c r="A2279" s="68" t="s">
        <v>374</v>
      </c>
      <c r="B2279" s="74">
        <v>3</v>
      </c>
      <c r="C2279" s="68" t="s">
        <v>363</v>
      </c>
      <c r="D2279" s="68" t="s">
        <v>364</v>
      </c>
      <c r="E2279" s="75">
        <f>60*F2279*'THAM_SO_MOI'!$C$51/(2*PI()*'THAM_SO_MOI'!$C$26)</f>
        <v>2386.510502943695</v>
      </c>
      <c r="F2279" s="75">
        <f>'HANH_TRINH'!$F$1647+('THAM_SO_MOI'!$F$51-'HANH_TRINH'!$F$1647)*631/'THAM_SO_MOI'!$C$42</f>
        <v>9.50067426258122</v>
      </c>
      <c r="G2279" s="75">
        <f>3.6*F2279</f>
        <v>34.2024273452924</v>
      </c>
      <c r="H2279" s="75">
        <f>'THAM_SO_MOI'!$D$51</f>
        <v>1.375</v>
      </c>
      <c r="I2279" s="75">
        <f>IF(F2279&gt;'THAM_SO_MOI'!$C$14,'THAM_SO_MOI'!$C$13*(1+F2279^2/1500),'THAM_SO_MOI'!$C$13)</f>
        <v>0.015</v>
      </c>
      <c r="J2279" s="75">
        <f>'THAM_SO_MOI'!$C$40*('THAM_SO_MOI'!$C$23*(E2279/'THAM_SO_MOI'!$C$22)+'THAM_SO_MOI'!$C$24*(E2279/'THAM_SO_MOI'!$C$22)^2-'THAM_SO_MOI'!$C$25*(E2279/'THAM_SO_MOI'!$C$22)^3)</f>
        <v>106.8896363147229</v>
      </c>
      <c r="K2279" s="75">
        <f>'THAM_SO_MOI'!$C$31*J2279/E2279</f>
        <v>427.7850152308142</v>
      </c>
      <c r="L2279" s="75">
        <f>K2279*'THAM_SO_MOI'!$C$51*'THAM_SO_MOI'!$C$17/'THAM_SO_MOI'!$C$26</f>
        <v>9564.9352227957</v>
      </c>
      <c r="M2279" s="75">
        <f>'THAM_SO_MOI'!$C$15*'THAM_SO_MOI'!$C$16*F2279^2</f>
        <v>264.01872347274417</v>
      </c>
      <c r="N2279" s="75">
        <f>'THAM_SO_MOI'!$C$12*I2279</f>
        <v>1130.112</v>
      </c>
      <c r="O2279" s="75">
        <f>M2279+N2279</f>
        <v>1394.1307234727442</v>
      </c>
      <c r="P2279" s="75">
        <f>(MIN(L2279,'THAM_SO_MOI'!$C$41)-O2279)/('THAM_SO_MOI'!$C$11*H2279)</f>
        <v>0.7737504260722498</v>
      </c>
      <c r="Q2279" s="75">
        <f>IF(P2279&gt;0,1/P2279,NA())</f>
        <v>1.2924063965641344</v>
      </c>
      <c r="R2279" s="75">
        <f>F2279-F2278</f>
        <v>0.005028991339516509</v>
      </c>
      <c r="S2279" s="75">
        <f>0.5*(Q2278+Q2279)*R2279</f>
        <v>0.0064991505652334455</v>
      </c>
      <c r="T2279" s="75">
        <f>0.5*(F2278*Q2278+F2279*Q2279)*R2279</f>
        <v>0.06172997129789938</v>
      </c>
      <c r="U2279" s="76">
        <f>U2278+S2279</f>
        <v>11.848787369120634</v>
      </c>
      <c r="V2279" s="76">
        <f>V2278+T2279</f>
        <v>64.55614544629563</v>
      </c>
    </row>
    <row r="2280" spans="1:22" ht="19" customHeight="1">
      <c r="A2280" s="68" t="s">
        <v>374</v>
      </c>
      <c r="B2280" s="74">
        <v>3</v>
      </c>
      <c r="C2280" s="68" t="s">
        <v>363</v>
      </c>
      <c r="D2280" s="68" t="s">
        <v>364</v>
      </c>
      <c r="E2280" s="75">
        <f>60*F2280*'THAM_SO_MOI'!$C$51/(2*PI()*'THAM_SO_MOI'!$C$26)</f>
        <v>2387.7737544055667</v>
      </c>
      <c r="F2280" s="75">
        <f>'HANH_TRINH'!$F$1647+('THAM_SO_MOI'!$F$51-'HANH_TRINH'!$F$1647)*632/'THAM_SO_MOI'!$C$42</f>
        <v>9.50570325392074</v>
      </c>
      <c r="G2280" s="75">
        <f>3.6*F2280</f>
        <v>34.220531714114664</v>
      </c>
      <c r="H2280" s="75">
        <f>'THAM_SO_MOI'!$D$51</f>
        <v>1.375</v>
      </c>
      <c r="I2280" s="75">
        <f>IF(F2280&gt;'THAM_SO_MOI'!$C$14,'THAM_SO_MOI'!$C$13*(1+F2280^2/1500),'THAM_SO_MOI'!$C$13)</f>
        <v>0.015</v>
      </c>
      <c r="J2280" s="75">
        <f>'THAM_SO_MOI'!$C$40*('THAM_SO_MOI'!$C$23*(E2280/'THAM_SO_MOI'!$C$22)+'THAM_SO_MOI'!$C$24*(E2280/'THAM_SO_MOI'!$C$22)^2-'THAM_SO_MOI'!$C$25*(E2280/'THAM_SO_MOI'!$C$22)^3)</f>
        <v>106.93946115089375</v>
      </c>
      <c r="K2280" s="75">
        <f>'THAM_SO_MOI'!$C$31*J2280/E2280</f>
        <v>427.75799502679087</v>
      </c>
      <c r="L2280" s="75">
        <f>K2280*'THAM_SO_MOI'!$C$51*'THAM_SO_MOI'!$C$17/'THAM_SO_MOI'!$C$26</f>
        <v>9564.331072365021</v>
      </c>
      <c r="M2280" s="75">
        <f>'THAM_SO_MOI'!$C$15*'THAM_SO_MOI'!$C$16*F2280^2</f>
        <v>264.29830347842807</v>
      </c>
      <c r="N2280" s="75">
        <f>'THAM_SO_MOI'!$C$12*I2280</f>
        <v>1130.112</v>
      </c>
      <c r="O2280" s="75">
        <f>M2280+N2280</f>
        <v>1394.4103034784282</v>
      </c>
      <c r="P2280" s="75">
        <f>(MIN(L2280,'THAM_SO_MOI'!$C$41)-O2280)/('THAM_SO_MOI'!$C$11*H2280)</f>
        <v>0.773666739477897</v>
      </c>
      <c r="Q2280" s="75">
        <f>IF(P2280&gt;0,1/P2280,NA())</f>
        <v>1.2925461945990366</v>
      </c>
      <c r="R2280" s="75">
        <f>F2280-F2279</f>
        <v>0.005028991339518285</v>
      </c>
      <c r="S2280" s="75">
        <f>0.5*(Q2279+Q2280)*R2280</f>
        <v>0.006499852097012469</v>
      </c>
      <c r="T2280" s="75">
        <f>0.5*(F2279*Q2279+F2280*Q2280)*R2280</f>
        <v>0.06176932226252237</v>
      </c>
      <c r="U2280" s="76">
        <f>U2279+S2280</f>
        <v>11.855287221217647</v>
      </c>
      <c r="V2280" s="76">
        <f>V2279+T2280</f>
        <v>64.61791476855815</v>
      </c>
    </row>
    <row r="2281" spans="1:22" ht="19" customHeight="1">
      <c r="A2281" s="68" t="s">
        <v>374</v>
      </c>
      <c r="B2281" s="74">
        <v>3</v>
      </c>
      <c r="C2281" s="68" t="s">
        <v>363</v>
      </c>
      <c r="D2281" s="68" t="s">
        <v>364</v>
      </c>
      <c r="E2281" s="75">
        <f>60*F2281*'THAM_SO_MOI'!$C$51/(2*PI()*'THAM_SO_MOI'!$C$26)</f>
        <v>2389.037005867438</v>
      </c>
      <c r="F2281" s="75">
        <f>'HANH_TRINH'!$F$1647+('THAM_SO_MOI'!$F$51-'HANH_TRINH'!$F$1647)*633/'THAM_SO_MOI'!$C$42</f>
        <v>9.510732245260257</v>
      </c>
      <c r="G2281" s="75">
        <f>3.6*F2281</f>
        <v>34.23863608293693</v>
      </c>
      <c r="H2281" s="75">
        <f>'THAM_SO_MOI'!$D$51</f>
        <v>1.375</v>
      </c>
      <c r="I2281" s="75">
        <f>IF(F2281&gt;'THAM_SO_MOI'!$C$14,'THAM_SO_MOI'!$C$13*(1+F2281^2/1500),'THAM_SO_MOI'!$C$13)</f>
        <v>0.015</v>
      </c>
      <c r="J2281" s="75">
        <f>'THAM_SO_MOI'!$C$40*('THAM_SO_MOI'!$C$23*(E2281/'THAM_SO_MOI'!$C$22)+'THAM_SO_MOI'!$C$24*(E2281/'THAM_SO_MOI'!$C$22)^2-'THAM_SO_MOI'!$C$25*(E2281/'THAM_SO_MOI'!$C$22)^3)</f>
        <v>106.98924011487851</v>
      </c>
      <c r="K2281" s="75">
        <f>'THAM_SO_MOI'!$C$31*J2281/E2281</f>
        <v>427.7308200059369</v>
      </c>
      <c r="L2281" s="75">
        <f>K2281*'THAM_SO_MOI'!$C$51*'THAM_SO_MOI'!$C$17/'THAM_SO_MOI'!$C$26</f>
        <v>9563.723460352227</v>
      </c>
      <c r="M2281" s="75">
        <f>'THAM_SO_MOI'!$C$15*'THAM_SO_MOI'!$C$16*F2281^2</f>
        <v>264.5780314350222</v>
      </c>
      <c r="N2281" s="75">
        <f>'THAM_SO_MOI'!$C$12*I2281</f>
        <v>1130.112</v>
      </c>
      <c r="O2281" s="75">
        <f>M2281+N2281</f>
        <v>1394.6900314350223</v>
      </c>
      <c r="P2281" s="75">
        <f>(MIN(L2281,'THAM_SO_MOI'!$C$41)-O2281)/('THAM_SO_MOI'!$C$11*H2281)</f>
        <v>0.7735827110717051</v>
      </c>
      <c r="Q2281" s="75">
        <f>IF(P2281&gt;0,1/P2281,NA())</f>
        <v>1.2926865940613141</v>
      </c>
      <c r="R2281" s="75">
        <f>F2281-F2280</f>
        <v>0.005028991339518285</v>
      </c>
      <c r="S2281" s="75">
        <f>0.5*(Q2280+Q2281)*R2281</f>
        <v>0.006500556652405804</v>
      </c>
      <c r="T2281" s="75">
        <f>0.5*(F2280*Q2280+F2281*Q2281)*R2281</f>
        <v>0.06180870903232552</v>
      </c>
      <c r="U2281" s="76">
        <f>U2280+S2281</f>
        <v>11.861787777870052</v>
      </c>
      <c r="V2281" s="76">
        <f>V2280+T2281</f>
        <v>64.67972347759047</v>
      </c>
    </row>
    <row r="2282" spans="1:22" ht="19" customHeight="1">
      <c r="A2282" s="68" t="s">
        <v>374</v>
      </c>
      <c r="B2282" s="74">
        <v>3</v>
      </c>
      <c r="C2282" s="68" t="s">
        <v>363</v>
      </c>
      <c r="D2282" s="68" t="s">
        <v>364</v>
      </c>
      <c r="E2282" s="75">
        <f>60*F2282*'THAM_SO_MOI'!$C$51/(2*PI()*'THAM_SO_MOI'!$C$26)</f>
        <v>2390.30025732931</v>
      </c>
      <c r="F2282" s="75">
        <f>'HANH_TRINH'!$F$1647+('THAM_SO_MOI'!$F$51-'HANH_TRINH'!$F$1647)*634/'THAM_SO_MOI'!$C$42</f>
        <v>9.515761236599776</v>
      </c>
      <c r="G2282" s="75">
        <f>3.6*F2282</f>
        <v>34.25674045175919</v>
      </c>
      <c r="H2282" s="75">
        <f>'THAM_SO_MOI'!$D$51</f>
        <v>1.375</v>
      </c>
      <c r="I2282" s="75">
        <f>IF(F2282&gt;'THAM_SO_MOI'!$C$14,'THAM_SO_MOI'!$C$13*(1+F2282^2/1500),'THAM_SO_MOI'!$C$13)</f>
        <v>0.015</v>
      </c>
      <c r="J2282" s="75">
        <f>'THAM_SO_MOI'!$C$40*('THAM_SO_MOI'!$C$23*(E2282/'THAM_SO_MOI'!$C$22)+'THAM_SO_MOI'!$C$24*(E2282/'THAM_SO_MOI'!$C$22)^2-'THAM_SO_MOI'!$C$25*(E2282/'THAM_SO_MOI'!$C$22)^3)</f>
        <v>107.03897314524792</v>
      </c>
      <c r="K2282" s="75">
        <f>'THAM_SO_MOI'!$C$31*J2282/E2282</f>
        <v>427.7034901682525</v>
      </c>
      <c r="L2282" s="75">
        <f>K2282*'THAM_SO_MOI'!$C$51*'THAM_SO_MOI'!$C$17/'THAM_SO_MOI'!$C$26</f>
        <v>9563.11238675733</v>
      </c>
      <c r="M2282" s="75">
        <f>'THAM_SO_MOI'!$C$15*'THAM_SO_MOI'!$C$16*F2282^2</f>
        <v>264.8579073425266</v>
      </c>
      <c r="N2282" s="75">
        <f>'THAM_SO_MOI'!$C$12*I2282</f>
        <v>1130.112</v>
      </c>
      <c r="O2282" s="75">
        <f>M2282+N2282</f>
        <v>1394.9699073425268</v>
      </c>
      <c r="P2282" s="75">
        <f>(MIN(L2282,'THAM_SO_MOI'!$C$41)-O2282)/('THAM_SO_MOI'!$C$11*H2282)</f>
        <v>0.7734983408536745</v>
      </c>
      <c r="Q2282" s="75">
        <f>IF(P2282&gt;0,1/P2282,NA())</f>
        <v>1.2928275953331019</v>
      </c>
      <c r="R2282" s="75">
        <f>F2282-F2281</f>
        <v>0.005028991339518285</v>
      </c>
      <c r="S2282" s="75">
        <f>0.5*(Q2281+Q2282)*R2282</f>
        <v>0.006501264233333078</v>
      </c>
      <c r="T2282" s="75">
        <f>0.5*(F2281*Q2281+F2282*Q2282)*R2282</f>
        <v>0.061848131671187905</v>
      </c>
      <c r="U2282" s="76">
        <f>U2281+S2282</f>
        <v>11.868289042103385</v>
      </c>
      <c r="V2282" s="76">
        <f>V2281+T2282</f>
        <v>64.74157160926165</v>
      </c>
    </row>
    <row r="2283" spans="1:22" ht="19" customHeight="1">
      <c r="A2283" s="68" t="s">
        <v>374</v>
      </c>
      <c r="B2283" s="74">
        <v>3</v>
      </c>
      <c r="C2283" s="68" t="s">
        <v>363</v>
      </c>
      <c r="D2283" s="68" t="s">
        <v>364</v>
      </c>
      <c r="E2283" s="75">
        <f>60*F2283*'THAM_SO_MOI'!$C$51/(2*PI()*'THAM_SO_MOI'!$C$26)</f>
        <v>2391.5635087911814</v>
      </c>
      <c r="F2283" s="75">
        <f>'HANH_TRINH'!$F$1647+('THAM_SO_MOI'!$F$51-'HANH_TRINH'!$F$1647)*635/'THAM_SO_MOI'!$C$42</f>
        <v>9.520790227939292</v>
      </c>
      <c r="G2283" s="75">
        <f>3.6*F2283</f>
        <v>34.27484482058145</v>
      </c>
      <c r="H2283" s="75">
        <f>'THAM_SO_MOI'!$D$51</f>
        <v>1.375</v>
      </c>
      <c r="I2283" s="75">
        <f>IF(F2283&gt;'THAM_SO_MOI'!$C$14,'THAM_SO_MOI'!$C$13*(1+F2283^2/1500),'THAM_SO_MOI'!$C$13)</f>
        <v>0.015</v>
      </c>
      <c r="J2283" s="75">
        <f>'THAM_SO_MOI'!$C$40*('THAM_SO_MOI'!$C$23*(E2283/'THAM_SO_MOI'!$C$22)+'THAM_SO_MOI'!$C$24*(E2283/'THAM_SO_MOI'!$C$22)^2-'THAM_SO_MOI'!$C$25*(E2283/'THAM_SO_MOI'!$C$22)^3)</f>
        <v>107.08866018057255</v>
      </c>
      <c r="K2283" s="75">
        <f>'THAM_SO_MOI'!$C$31*J2283/E2283</f>
        <v>427.6760055137375</v>
      </c>
      <c r="L2283" s="75">
        <f>K2283*'THAM_SO_MOI'!$C$51*'THAM_SO_MOI'!$C$17/'THAM_SO_MOI'!$C$26</f>
        <v>9562.497851580321</v>
      </c>
      <c r="M2283" s="75">
        <f>'THAM_SO_MOI'!$C$15*'THAM_SO_MOI'!$C$16*F2283^2</f>
        <v>265.1379312009411</v>
      </c>
      <c r="N2283" s="75">
        <f>'THAM_SO_MOI'!$C$12*I2283</f>
        <v>1130.112</v>
      </c>
      <c r="O2283" s="75">
        <f>M2283+N2283</f>
        <v>1395.2499312009413</v>
      </c>
      <c r="P2283" s="75">
        <f>(MIN(L2283,'THAM_SO_MOI'!$C$41)-O2283)/('THAM_SO_MOI'!$C$11*H2283)</f>
        <v>0.7734136288238049</v>
      </c>
      <c r="Q2283" s="75">
        <f>IF(P2283&gt;0,1/P2283,NA())</f>
        <v>1.292969198798299</v>
      </c>
      <c r="R2283" s="75">
        <f>F2283-F2282</f>
        <v>0.005028991339516509</v>
      </c>
      <c r="S2283" s="75">
        <f>0.5*(Q2282+Q2283)*R2283</f>
        <v>0.006501974841718184</v>
      </c>
      <c r="T2283" s="75">
        <f>0.5*(F2282*Q2282+F2283*Q2283)*R2283</f>
        <v>0.061887590243067836</v>
      </c>
      <c r="U2283" s="76">
        <f>U2282+S2283</f>
        <v>11.874791016945103</v>
      </c>
      <c r="V2283" s="76">
        <f>V2282+T2283</f>
        <v>64.80345919950473</v>
      </c>
    </row>
    <row r="2284" spans="1:22" ht="19" customHeight="1">
      <c r="A2284" s="68" t="s">
        <v>374</v>
      </c>
      <c r="B2284" s="74">
        <v>3</v>
      </c>
      <c r="C2284" s="68" t="s">
        <v>363</v>
      </c>
      <c r="D2284" s="68" t="s">
        <v>364</v>
      </c>
      <c r="E2284" s="75">
        <f>60*F2284*'THAM_SO_MOI'!$C$51/(2*PI()*'THAM_SO_MOI'!$C$26)</f>
        <v>2392.826760253053</v>
      </c>
      <c r="F2284" s="75">
        <f>'HANH_TRINH'!$F$1647+('THAM_SO_MOI'!$F$51-'HANH_TRINH'!$F$1647)*636/'THAM_SO_MOI'!$C$42</f>
        <v>9.52581921927881</v>
      </c>
      <c r="G2284" s="75">
        <f>3.6*F2284</f>
        <v>34.29294918940372</v>
      </c>
      <c r="H2284" s="75">
        <f>'THAM_SO_MOI'!$D$51</f>
        <v>1.375</v>
      </c>
      <c r="I2284" s="75">
        <f>IF(F2284&gt;'THAM_SO_MOI'!$C$14,'THAM_SO_MOI'!$C$13*(1+F2284^2/1500),'THAM_SO_MOI'!$C$13)</f>
        <v>0.015</v>
      </c>
      <c r="J2284" s="75">
        <f>'THAM_SO_MOI'!$C$40*('THAM_SO_MOI'!$C$23*(E2284/'THAM_SO_MOI'!$C$22)+'THAM_SO_MOI'!$C$24*(E2284/'THAM_SO_MOI'!$C$22)^2-'THAM_SO_MOI'!$C$25*(E2284/'THAM_SO_MOI'!$C$22)^3)</f>
        <v>107.13830115942308</v>
      </c>
      <c r="K2284" s="75">
        <f>'THAM_SO_MOI'!$C$31*J2284/E2284</f>
        <v>427.648366042392</v>
      </c>
      <c r="L2284" s="75">
        <f>K2284*'THAM_SO_MOI'!$C$51*'THAM_SO_MOI'!$C$17/'THAM_SO_MOI'!$C$26</f>
        <v>9561.879854821203</v>
      </c>
      <c r="M2284" s="75">
        <f>'THAM_SO_MOI'!$C$15*'THAM_SO_MOI'!$C$16*F2284^2</f>
        <v>265.4181030102661</v>
      </c>
      <c r="N2284" s="75">
        <f>'THAM_SO_MOI'!$C$12*I2284</f>
        <v>1130.112</v>
      </c>
      <c r="O2284" s="75">
        <f>M2284+N2284</f>
        <v>1395.5301030102662</v>
      </c>
      <c r="P2284" s="75">
        <f>(MIN(L2284,'THAM_SO_MOI'!$C$41)-O2284)/('THAM_SO_MOI'!$C$11*H2284)</f>
        <v>0.7733285749820963</v>
      </c>
      <c r="Q2284" s="75">
        <f>IF(P2284&gt;0,1/P2284,NA())</f>
        <v>1.2931114048425685</v>
      </c>
      <c r="R2284" s="75">
        <f>F2284-F2283</f>
        <v>0.005028991339518285</v>
      </c>
      <c r="S2284" s="75">
        <f>0.5*(Q2283+Q2284)*R2284</f>
        <v>0.0065026884795030705</v>
      </c>
      <c r="T2284" s="75">
        <f>0.5*(F2283*Q2283+F2284*Q2284)*R2284</f>
        <v>0.06192708481213427</v>
      </c>
      <c r="U2284" s="76">
        <f>U2283+S2284</f>
        <v>11.881293705424607</v>
      </c>
      <c r="V2284" s="76">
        <f>V2283+T2284</f>
        <v>64.86538628431687</v>
      </c>
    </row>
    <row r="2285" spans="1:22" ht="19" customHeight="1">
      <c r="A2285" s="68" t="s">
        <v>374</v>
      </c>
      <c r="B2285" s="74">
        <v>3</v>
      </c>
      <c r="C2285" s="68" t="s">
        <v>363</v>
      </c>
      <c r="D2285" s="68" t="s">
        <v>364</v>
      </c>
      <c r="E2285" s="75">
        <f>60*F2285*'THAM_SO_MOI'!$C$51/(2*PI()*'THAM_SO_MOI'!$C$26)</f>
        <v>2394.090011714925</v>
      </c>
      <c r="F2285" s="75">
        <f>'HANH_TRINH'!$F$1647+('THAM_SO_MOI'!$F$51-'HANH_TRINH'!$F$1647)*637/'THAM_SO_MOI'!$C$42</f>
        <v>9.530848210618327</v>
      </c>
      <c r="G2285" s="75">
        <f>3.6*F2285</f>
        <v>34.31105355822598</v>
      </c>
      <c r="H2285" s="75">
        <f>'THAM_SO_MOI'!$D$51</f>
        <v>1.375</v>
      </c>
      <c r="I2285" s="75">
        <f>IF(F2285&gt;'THAM_SO_MOI'!$C$14,'THAM_SO_MOI'!$C$13*(1+F2285^2/1500),'THAM_SO_MOI'!$C$13)</f>
        <v>0.015</v>
      </c>
      <c r="J2285" s="75">
        <f>'THAM_SO_MOI'!$C$40*('THAM_SO_MOI'!$C$23*(E2285/'THAM_SO_MOI'!$C$22)+'THAM_SO_MOI'!$C$24*(E2285/'THAM_SO_MOI'!$C$22)^2-'THAM_SO_MOI'!$C$25*(E2285/'THAM_SO_MOI'!$C$22)^3)</f>
        <v>107.18789602037016</v>
      </c>
      <c r="K2285" s="75">
        <f>'THAM_SO_MOI'!$C$31*J2285/E2285</f>
        <v>427.620571754216</v>
      </c>
      <c r="L2285" s="75">
        <f>K2285*'THAM_SO_MOI'!$C$51*'THAM_SO_MOI'!$C$17/'THAM_SO_MOI'!$C$26</f>
        <v>9561.258396479974</v>
      </c>
      <c r="M2285" s="75">
        <f>'THAM_SO_MOI'!$C$15*'THAM_SO_MOI'!$C$16*F2285^2</f>
        <v>265.6984227705012</v>
      </c>
      <c r="N2285" s="75">
        <f>'THAM_SO_MOI'!$C$12*I2285</f>
        <v>1130.112</v>
      </c>
      <c r="O2285" s="75">
        <f>M2285+N2285</f>
        <v>1395.8104227705012</v>
      </c>
      <c r="P2285" s="75">
        <f>(MIN(L2285,'THAM_SO_MOI'!$C$41)-O2285)/('THAM_SO_MOI'!$C$11*H2285)</f>
        <v>0.7732431793285486</v>
      </c>
      <c r="Q2285" s="75">
        <f>IF(P2285&gt;0,1/P2285,NA())</f>
        <v>1.293254213853341</v>
      </c>
      <c r="R2285" s="75">
        <f>F2285-F2284</f>
        <v>0.005028991339516509</v>
      </c>
      <c r="S2285" s="75">
        <f>0.5*(Q2284+Q2285)*R2285</f>
        <v>0.006503405148622492</v>
      </c>
      <c r="T2285" s="75">
        <f>0.5*(F2284*Q2284+F2285*Q2285)*R2285</f>
        <v>0.061966615442526685</v>
      </c>
      <c r="U2285" s="76">
        <f>U2284+S2285</f>
        <v>11.88779711057323</v>
      </c>
      <c r="V2285" s="76">
        <f>V2284+T2285</f>
        <v>64.9273528997594</v>
      </c>
    </row>
    <row r="2286" spans="1:22" ht="19" customHeight="1">
      <c r="A2286" s="68" t="s">
        <v>374</v>
      </c>
      <c r="B2286" s="74">
        <v>3</v>
      </c>
      <c r="C2286" s="68" t="s">
        <v>363</v>
      </c>
      <c r="D2286" s="68" t="s">
        <v>364</v>
      </c>
      <c r="E2286" s="75">
        <f>60*F2286*'THAM_SO_MOI'!$C$51/(2*PI()*'THAM_SO_MOI'!$C$26)</f>
        <v>2395.3532631767966</v>
      </c>
      <c r="F2286" s="75">
        <f>'HANH_TRINH'!$F$1647+('THAM_SO_MOI'!$F$51-'HANH_TRINH'!$F$1647)*638/'THAM_SO_MOI'!$C$42</f>
        <v>9.535877201957845</v>
      </c>
      <c r="G2286" s="75">
        <f>3.6*F2286</f>
        <v>34.32915792704824</v>
      </c>
      <c r="H2286" s="75">
        <f>'THAM_SO_MOI'!$D$51</f>
        <v>1.375</v>
      </c>
      <c r="I2286" s="75">
        <f>IF(F2286&gt;'THAM_SO_MOI'!$C$14,'THAM_SO_MOI'!$C$13*(1+F2286^2/1500),'THAM_SO_MOI'!$C$13)</f>
        <v>0.015</v>
      </c>
      <c r="J2286" s="75">
        <f>'THAM_SO_MOI'!$C$40*('THAM_SO_MOI'!$C$23*(E2286/'THAM_SO_MOI'!$C$22)+'THAM_SO_MOI'!$C$24*(E2286/'THAM_SO_MOI'!$C$22)^2-'THAM_SO_MOI'!$C$25*(E2286/'THAM_SO_MOI'!$C$22)^3)</f>
        <v>107.23744470198447</v>
      </c>
      <c r="K2286" s="75">
        <f>'THAM_SO_MOI'!$C$31*J2286/E2286</f>
        <v>427.59262264920955</v>
      </c>
      <c r="L2286" s="75">
        <f>K2286*'THAM_SO_MOI'!$C$51*'THAM_SO_MOI'!$C$17/'THAM_SO_MOI'!$C$26</f>
        <v>9560.63347655664</v>
      </c>
      <c r="M2286" s="75">
        <f>'THAM_SO_MOI'!$C$15*'THAM_SO_MOI'!$C$16*F2286^2</f>
        <v>265.9788904816467</v>
      </c>
      <c r="N2286" s="75">
        <f>'THAM_SO_MOI'!$C$12*I2286</f>
        <v>1130.112</v>
      </c>
      <c r="O2286" s="75">
        <f>M2286+N2286</f>
        <v>1396.0908904816467</v>
      </c>
      <c r="P2286" s="75">
        <f>(MIN(L2286,'THAM_SO_MOI'!$C$41)-O2286)/('THAM_SO_MOI'!$C$11*H2286)</f>
        <v>0.7731574418631623</v>
      </c>
      <c r="Q2286" s="75">
        <f>IF(P2286&gt;0,1/P2286,NA())</f>
        <v>1.2933976262198168</v>
      </c>
      <c r="R2286" s="75">
        <f>F2286-F2285</f>
        <v>0.005028991339518285</v>
      </c>
      <c r="S2286" s="75">
        <f>0.5*(Q2285+Q2286)*R2286</f>
        <v>0.006504124851038472</v>
      </c>
      <c r="T2286" s="75">
        <f>0.5*(F2285*Q2285+F2286*Q2286)*R2286</f>
        <v>0.062006182198683445</v>
      </c>
      <c r="U2286" s="76">
        <f>U2285+S2286</f>
        <v>11.894301235424269</v>
      </c>
      <c r="V2286" s="76">
        <f>V2285+T2286</f>
        <v>64.98935908195809</v>
      </c>
    </row>
    <row r="2287" spans="1:22" ht="19" customHeight="1">
      <c r="A2287" s="68" t="s">
        <v>374</v>
      </c>
      <c r="B2287" s="74">
        <v>3</v>
      </c>
      <c r="C2287" s="68" t="s">
        <v>363</v>
      </c>
      <c r="D2287" s="68" t="s">
        <v>364</v>
      </c>
      <c r="E2287" s="75">
        <f>60*F2287*'THAM_SO_MOI'!$C$51/(2*PI()*'THAM_SO_MOI'!$C$26)</f>
        <v>2396.6165146386684</v>
      </c>
      <c r="F2287" s="75">
        <f>'HANH_TRINH'!$F$1647+('THAM_SO_MOI'!$F$51-'HANH_TRINH'!$F$1647)*639/'THAM_SO_MOI'!$C$42</f>
        <v>9.540906193297364</v>
      </c>
      <c r="G2287" s="75">
        <f>3.6*F2287</f>
        <v>34.34726229587051</v>
      </c>
      <c r="H2287" s="75">
        <f>'THAM_SO_MOI'!$D$51</f>
        <v>1.375</v>
      </c>
      <c r="I2287" s="75">
        <f>IF(F2287&gt;'THAM_SO_MOI'!$C$14,'THAM_SO_MOI'!$C$13*(1+F2287^2/1500),'THAM_SO_MOI'!$C$13)</f>
        <v>0.015</v>
      </c>
      <c r="J2287" s="75">
        <f>'THAM_SO_MOI'!$C$40*('THAM_SO_MOI'!$C$23*(E2287/'THAM_SO_MOI'!$C$22)+'THAM_SO_MOI'!$C$24*(E2287/'THAM_SO_MOI'!$C$22)^2-'THAM_SO_MOI'!$C$25*(E2287/'THAM_SO_MOI'!$C$22)^3)</f>
        <v>107.28694714283664</v>
      </c>
      <c r="K2287" s="75">
        <f>'THAM_SO_MOI'!$C$31*J2287/E2287</f>
        <v>427.5645187273726</v>
      </c>
      <c r="L2287" s="75">
        <f>K2287*'THAM_SO_MOI'!$C$51*'THAM_SO_MOI'!$C$17/'THAM_SO_MOI'!$C$26</f>
        <v>9560.005095051198</v>
      </c>
      <c r="M2287" s="75">
        <f>'THAM_SO_MOI'!$C$15*'THAM_SO_MOI'!$C$16*F2287^2</f>
        <v>266.2595061437025</v>
      </c>
      <c r="N2287" s="75">
        <f>'THAM_SO_MOI'!$C$12*I2287</f>
        <v>1130.112</v>
      </c>
      <c r="O2287" s="75">
        <f>M2287+N2287</f>
        <v>1396.3715061437026</v>
      </c>
      <c r="P2287" s="75">
        <f>(MIN(L2287,'THAM_SO_MOI'!$C$41)-O2287)/('THAM_SO_MOI'!$C$11*H2287)</f>
        <v>0.773071362585937</v>
      </c>
      <c r="Q2287" s="75">
        <f>IF(P2287&gt;0,1/P2287,NA())</f>
        <v>1.2935416423329702</v>
      </c>
      <c r="R2287" s="75">
        <f>F2287-F2286</f>
        <v>0.005028991339518285</v>
      </c>
      <c r="S2287" s="75">
        <f>0.5*(Q2286+Q2287)*R2287</f>
        <v>0.006504847588705867</v>
      </c>
      <c r="T2287" s="75">
        <f>0.5*(F2286*Q2286+F2287*Q2287)*R2287</f>
        <v>0.062045785145014</v>
      </c>
      <c r="U2287" s="76">
        <f>U2286+S2287</f>
        <v>11.900806083012975</v>
      </c>
      <c r="V2287" s="76">
        <f>V2286+T2287</f>
        <v>65.0514048671031</v>
      </c>
    </row>
    <row r="2288" spans="1:22" ht="19" customHeight="1">
      <c r="A2288" s="68" t="s">
        <v>374</v>
      </c>
      <c r="B2288" s="74">
        <v>3</v>
      </c>
      <c r="C2288" s="68" t="s">
        <v>363</v>
      </c>
      <c r="D2288" s="68" t="s">
        <v>364</v>
      </c>
      <c r="E2288" s="75">
        <f>60*F2288*'THAM_SO_MOI'!$C$51/(2*PI()*'THAM_SO_MOI'!$C$26)</f>
        <v>2397.87976610054</v>
      </c>
      <c r="F2288" s="75">
        <f>'HANH_TRINH'!$F$1647+('THAM_SO_MOI'!$F$51-'HANH_TRINH'!$F$1647)*640/'THAM_SO_MOI'!$C$42</f>
        <v>9.545935184636882</v>
      </c>
      <c r="G2288" s="75">
        <f>3.6*F2288</f>
        <v>34.36536666469278</v>
      </c>
      <c r="H2288" s="75">
        <f>'THAM_SO_MOI'!$D$51</f>
        <v>1.375</v>
      </c>
      <c r="I2288" s="75">
        <f>IF(F2288&gt;'THAM_SO_MOI'!$C$14,'THAM_SO_MOI'!$C$13*(1+F2288^2/1500),'THAM_SO_MOI'!$C$13)</f>
        <v>0.015</v>
      </c>
      <c r="J2288" s="75">
        <f>'THAM_SO_MOI'!$C$40*('THAM_SO_MOI'!$C$23*(E2288/'THAM_SO_MOI'!$C$22)+'THAM_SO_MOI'!$C$24*(E2288/'THAM_SO_MOI'!$C$22)^2-'THAM_SO_MOI'!$C$25*(E2288/'THAM_SO_MOI'!$C$22)^3)</f>
        <v>107.3364032814973</v>
      </c>
      <c r="K2288" s="75">
        <f>'THAM_SO_MOI'!$C$31*J2288/E2288</f>
        <v>427.5362599887051</v>
      </c>
      <c r="L2288" s="75">
        <f>K2288*'THAM_SO_MOI'!$C$51*'THAM_SO_MOI'!$C$17/'THAM_SO_MOI'!$C$26</f>
        <v>9559.373251963643</v>
      </c>
      <c r="M2288" s="75">
        <f>'THAM_SO_MOI'!$C$15*'THAM_SO_MOI'!$C$16*F2288^2</f>
        <v>266.5402697566685</v>
      </c>
      <c r="N2288" s="75">
        <f>'THAM_SO_MOI'!$C$12*I2288</f>
        <v>1130.112</v>
      </c>
      <c r="O2288" s="75">
        <f>M2288+N2288</f>
        <v>1396.6522697566686</v>
      </c>
      <c r="P2288" s="75">
        <f>(MIN(L2288,'THAM_SO_MOI'!$C$41)-O2288)/('THAM_SO_MOI'!$C$11*H2288)</f>
        <v>0.7729849414968727</v>
      </c>
      <c r="Q2288" s="75">
        <f>IF(P2288&gt;0,1/P2288,NA())</f>
        <v>1.293686262585551</v>
      </c>
      <c r="R2288" s="75">
        <f>F2288-F2287</f>
        <v>0.005028991339518285</v>
      </c>
      <c r="S2288" s="75">
        <f>0.5*(Q2287+Q2288)*R2288</f>
        <v>0.00650557336359764</v>
      </c>
      <c r="T2288" s="75">
        <f>0.5*(F2287*Q2287+F2288*Q2288)*R2288</f>
        <v>0.06208542434613995</v>
      </c>
      <c r="U2288" s="76">
        <f>U2287+S2288</f>
        <v>11.907311656376573</v>
      </c>
      <c r="V2288" s="76">
        <f>V2287+T2288</f>
        <v>65.11349029144924</v>
      </c>
    </row>
    <row r="2289" spans="1:22" ht="19" customHeight="1">
      <c r="A2289" s="68" t="s">
        <v>374</v>
      </c>
      <c r="B2289" s="74">
        <v>3</v>
      </c>
      <c r="C2289" s="68" t="s">
        <v>363</v>
      </c>
      <c r="D2289" s="68" t="s">
        <v>364</v>
      </c>
      <c r="E2289" s="75">
        <f>60*F2289*'THAM_SO_MOI'!$C$51/(2*PI()*'THAM_SO_MOI'!$C$26)</f>
        <v>2399.143017562412</v>
      </c>
      <c r="F2289" s="75">
        <f>'HANH_TRINH'!$F$1647+('THAM_SO_MOI'!$F$51-'HANH_TRINH'!$F$1647)*641/'THAM_SO_MOI'!$C$42</f>
        <v>9.550964175976398</v>
      </c>
      <c r="G2289" s="75">
        <f>3.6*F2289</f>
        <v>34.383471033515036</v>
      </c>
      <c r="H2289" s="75">
        <f>'THAM_SO_MOI'!$D$51</f>
        <v>1.375</v>
      </c>
      <c r="I2289" s="75">
        <f>IF(F2289&gt;'THAM_SO_MOI'!$C$14,'THAM_SO_MOI'!$C$13*(1+F2289^2/1500),'THAM_SO_MOI'!$C$13)</f>
        <v>0.015</v>
      </c>
      <c r="J2289" s="75">
        <f>'THAM_SO_MOI'!$C$40*('THAM_SO_MOI'!$C$23*(E2289/'THAM_SO_MOI'!$C$22)+'THAM_SO_MOI'!$C$24*(E2289/'THAM_SO_MOI'!$C$22)^2-'THAM_SO_MOI'!$C$25*(E2289/'THAM_SO_MOI'!$C$22)^3)</f>
        <v>107.38581305653712</v>
      </c>
      <c r="K2289" s="75">
        <f>'THAM_SO_MOI'!$C$31*J2289/E2289</f>
        <v>427.5078464332072</v>
      </c>
      <c r="L2289" s="75">
        <f>K2289*'THAM_SO_MOI'!$C$51*'THAM_SO_MOI'!$C$17/'THAM_SO_MOI'!$C$26</f>
        <v>9558.737947293983</v>
      </c>
      <c r="M2289" s="75">
        <f>'THAM_SO_MOI'!$C$15*'THAM_SO_MOI'!$C$16*F2289^2</f>
        <v>266.8211813205447</v>
      </c>
      <c r="N2289" s="75">
        <f>'THAM_SO_MOI'!$C$12*I2289</f>
        <v>1130.112</v>
      </c>
      <c r="O2289" s="75">
        <f>M2289+N2289</f>
        <v>1396.933181320545</v>
      </c>
      <c r="P2289" s="75">
        <f>(MIN(L2289,'THAM_SO_MOI'!$C$41)-O2289)/('THAM_SO_MOI'!$C$11*H2289)</f>
        <v>0.7728981785959694</v>
      </c>
      <c r="Q2289" s="75">
        <f>IF(P2289&gt;0,1/P2289,NA())</f>
        <v>1.2938314873720869</v>
      </c>
      <c r="R2289" s="75">
        <f>F2289-F2288</f>
        <v>0.005028991339516509</v>
      </c>
      <c r="S2289" s="75">
        <f>0.5*(Q2288+Q2289)*R2289</f>
        <v>0.006506302177691102</v>
      </c>
      <c r="T2289" s="75">
        <f>0.5*(F2288*Q2288+F2289*Q2289)*R2289</f>
        <v>0.06212509986676409</v>
      </c>
      <c r="U2289" s="76">
        <f>U2288+S2289</f>
        <v>11.913817958554263</v>
      </c>
      <c r="V2289" s="76">
        <f>V2288+T2289</f>
        <v>65.175615391316</v>
      </c>
    </row>
    <row r="2290" spans="1:22" ht="19" customHeight="1">
      <c r="A2290" s="68" t="s">
        <v>374</v>
      </c>
      <c r="B2290" s="74">
        <v>3</v>
      </c>
      <c r="C2290" s="68" t="s">
        <v>363</v>
      </c>
      <c r="D2290" s="68" t="s">
        <v>364</v>
      </c>
      <c r="E2290" s="75">
        <f>60*F2290*'THAM_SO_MOI'!$C$51/(2*PI()*'THAM_SO_MOI'!$C$26)</f>
        <v>2400.4062690242836</v>
      </c>
      <c r="F2290" s="75">
        <f>'HANH_TRINH'!$F$1647+('THAM_SO_MOI'!$F$51-'HANH_TRINH'!$F$1647)*642/'THAM_SO_MOI'!$C$42</f>
        <v>9.555993167315917</v>
      </c>
      <c r="G2290" s="75">
        <f>3.6*F2290</f>
        <v>34.4015754023373</v>
      </c>
      <c r="H2290" s="75">
        <f>'THAM_SO_MOI'!$D$51</f>
        <v>1.375</v>
      </c>
      <c r="I2290" s="75">
        <f>IF(F2290&gt;'THAM_SO_MOI'!$C$14,'THAM_SO_MOI'!$C$13*(1+F2290^2/1500),'THAM_SO_MOI'!$C$13)</f>
        <v>0.015</v>
      </c>
      <c r="J2290" s="75">
        <f>'THAM_SO_MOI'!$C$40*('THAM_SO_MOI'!$C$23*(E2290/'THAM_SO_MOI'!$C$22)+'THAM_SO_MOI'!$C$24*(E2290/'THAM_SO_MOI'!$C$22)^2-'THAM_SO_MOI'!$C$25*(E2290/'THAM_SO_MOI'!$C$22)^3)</f>
        <v>107.43517640652672</v>
      </c>
      <c r="K2290" s="75">
        <f>'THAM_SO_MOI'!$C$31*J2290/E2290</f>
        <v>427.4792780608786</v>
      </c>
      <c r="L2290" s="75">
        <f>K2290*'THAM_SO_MOI'!$C$51*'THAM_SO_MOI'!$C$17/'THAM_SO_MOI'!$C$26</f>
        <v>9558.09918104221</v>
      </c>
      <c r="M2290" s="75">
        <f>'THAM_SO_MOI'!$C$15*'THAM_SO_MOI'!$C$16*F2290^2</f>
        <v>267.1022408353314</v>
      </c>
      <c r="N2290" s="75">
        <f>'THAM_SO_MOI'!$C$12*I2290</f>
        <v>1130.112</v>
      </c>
      <c r="O2290" s="75">
        <f>M2290+N2290</f>
        <v>1397.2142408353316</v>
      </c>
      <c r="P2290" s="75">
        <f>(MIN(L2290,'THAM_SO_MOI'!$C$41)-O2290)/('THAM_SO_MOI'!$C$11*H2290)</f>
        <v>0.7728110738832271</v>
      </c>
      <c r="Q2290" s="75">
        <f>IF(P2290&gt;0,1/P2290,NA())</f>
        <v>1.293977317088887</v>
      </c>
      <c r="R2290" s="75">
        <f>F2290-F2289</f>
        <v>0.005028991339518285</v>
      </c>
      <c r="S2290" s="75">
        <f>0.5*(Q2289+Q2290)*R2290</f>
        <v>0.006507034032981703</v>
      </c>
      <c r="T2290" s="75">
        <f>0.5*(F2289*Q2289+F2290*Q2290)*R2290</f>
        <v>0.06216481177180225</v>
      </c>
      <c r="U2290" s="76">
        <f>U2289+S2290</f>
        <v>11.920324992587245</v>
      </c>
      <c r="V2290" s="76">
        <f>V2289+T2290</f>
        <v>65.23778020308781</v>
      </c>
    </row>
    <row r="2291" spans="1:22" ht="19" customHeight="1">
      <c r="A2291" s="68" t="s">
        <v>374</v>
      </c>
      <c r="B2291" s="74">
        <v>3</v>
      </c>
      <c r="C2291" s="68" t="s">
        <v>363</v>
      </c>
      <c r="D2291" s="68" t="s">
        <v>364</v>
      </c>
      <c r="E2291" s="75">
        <f>60*F2291*'THAM_SO_MOI'!$C$51/(2*PI()*'THAM_SO_MOI'!$C$26)</f>
        <v>2401.669520486155</v>
      </c>
      <c r="F2291" s="75">
        <f>'HANH_TRINH'!$F$1647+('THAM_SO_MOI'!$F$51-'HANH_TRINH'!$F$1647)*643/'THAM_SO_MOI'!$C$42</f>
        <v>9.561022158655435</v>
      </c>
      <c r="G2291" s="75">
        <f>3.6*F2291</f>
        <v>34.419679771159565</v>
      </c>
      <c r="H2291" s="75">
        <f>'THAM_SO_MOI'!$D$51</f>
        <v>1.375</v>
      </c>
      <c r="I2291" s="75">
        <f>IF(F2291&gt;'THAM_SO_MOI'!$C$14,'THAM_SO_MOI'!$C$13*(1+F2291^2/1500),'THAM_SO_MOI'!$C$13)</f>
        <v>0.015</v>
      </c>
      <c r="J2291" s="75">
        <f>'THAM_SO_MOI'!$C$40*('THAM_SO_MOI'!$C$23*(E2291/'THAM_SO_MOI'!$C$22)+'THAM_SO_MOI'!$C$24*(E2291/'THAM_SO_MOI'!$C$22)^2-'THAM_SO_MOI'!$C$25*(E2291/'THAM_SO_MOI'!$C$22)^3)</f>
        <v>107.48449327003678</v>
      </c>
      <c r="K2291" s="75">
        <f>'THAM_SO_MOI'!$C$31*J2291/E2291</f>
        <v>427.4505548717196</v>
      </c>
      <c r="L2291" s="75">
        <f>K2291*'THAM_SO_MOI'!$C$51*'THAM_SO_MOI'!$C$17/'THAM_SO_MOI'!$C$26</f>
        <v>9557.45695320833</v>
      </c>
      <c r="M2291" s="75">
        <f>'THAM_SO_MOI'!$C$15*'THAM_SO_MOI'!$C$16*F2291^2</f>
        <v>267.3834483010282</v>
      </c>
      <c r="N2291" s="75">
        <f>'THAM_SO_MOI'!$C$12*I2291</f>
        <v>1130.112</v>
      </c>
      <c r="O2291" s="75">
        <f>M2291+N2291</f>
        <v>1397.4954483010283</v>
      </c>
      <c r="P2291" s="75">
        <f>(MIN(L2291,'THAM_SO_MOI'!$C$41)-O2291)/('THAM_SO_MOI'!$C$11*H2291)</f>
        <v>0.772723627358646</v>
      </c>
      <c r="Q2291" s="75">
        <f>IF(P2291&gt;0,1/P2291,NA())</f>
        <v>1.2941237521340443</v>
      </c>
      <c r="R2291" s="75">
        <f>F2291-F2290</f>
        <v>0.005028991339518285</v>
      </c>
      <c r="S2291" s="75">
        <f>0.5*(Q2290+Q2291)*R2291</f>
        <v>0.006507768931460068</v>
      </c>
      <c r="T2291" s="75">
        <f>0.5*(F2290*Q2290+F2291*Q2291)*R2291</f>
        <v>0.06220456012616433</v>
      </c>
      <c r="U2291" s="76">
        <f>U2290+S2291</f>
        <v>11.926832761518705</v>
      </c>
      <c r="V2291" s="76">
        <f>V2290+T2291</f>
        <v>65.29998476321397</v>
      </c>
    </row>
    <row r="2292" spans="1:22" ht="19" customHeight="1">
      <c r="A2292" s="68" t="s">
        <v>374</v>
      </c>
      <c r="B2292" s="74">
        <v>3</v>
      </c>
      <c r="C2292" s="68" t="s">
        <v>363</v>
      </c>
      <c r="D2292" s="68" t="s">
        <v>364</v>
      </c>
      <c r="E2292" s="75">
        <f>60*F2292*'THAM_SO_MOI'!$C$51/(2*PI()*'THAM_SO_MOI'!$C$26)</f>
        <v>2402.932771948026</v>
      </c>
      <c r="F2292" s="75">
        <f>'HANH_TRINH'!$F$1647+('THAM_SO_MOI'!$F$51-'HANH_TRINH'!$F$1647)*644/'THAM_SO_MOI'!$C$42</f>
        <v>9.566051149994951</v>
      </c>
      <c r="G2292" s="75">
        <f>3.6*F2292</f>
        <v>34.43778413998183</v>
      </c>
      <c r="H2292" s="75">
        <f>'THAM_SO_MOI'!$D$51</f>
        <v>1.375</v>
      </c>
      <c r="I2292" s="75">
        <f>IF(F2292&gt;'THAM_SO_MOI'!$C$14,'THAM_SO_MOI'!$C$13*(1+F2292^2/1500),'THAM_SO_MOI'!$C$13)</f>
        <v>0.015</v>
      </c>
      <c r="J2292" s="75">
        <f>'THAM_SO_MOI'!$C$40*('THAM_SO_MOI'!$C$23*(E2292/'THAM_SO_MOI'!$C$22)+'THAM_SO_MOI'!$C$24*(E2292/'THAM_SO_MOI'!$C$22)^2-'THAM_SO_MOI'!$C$25*(E2292/'THAM_SO_MOI'!$C$22)^3)</f>
        <v>107.53376358563796</v>
      </c>
      <c r="K2292" s="75">
        <f>'THAM_SO_MOI'!$C$31*J2292/E2292</f>
        <v>427.42167686573015</v>
      </c>
      <c r="L2292" s="75">
        <f>K2292*'THAM_SO_MOI'!$C$51*'THAM_SO_MOI'!$C$17/'THAM_SO_MOI'!$C$26</f>
        <v>9556.811263792342</v>
      </c>
      <c r="M2292" s="75">
        <f>'THAM_SO_MOI'!$C$15*'THAM_SO_MOI'!$C$16*F2292^2</f>
        <v>267.66480371763527</v>
      </c>
      <c r="N2292" s="75">
        <f>'THAM_SO_MOI'!$C$12*I2292</f>
        <v>1130.112</v>
      </c>
      <c r="O2292" s="75">
        <f>M2292+N2292</f>
        <v>1397.7768037176354</v>
      </c>
      <c r="P2292" s="75">
        <f>(MIN(L2292,'THAM_SO_MOI'!$C$41)-O2292)/('THAM_SO_MOI'!$C$11*H2292)</f>
        <v>0.7726358390222261</v>
      </c>
      <c r="Q2292" s="75">
        <f>IF(P2292&gt;0,1/P2292,NA())</f>
        <v>1.2942707929074377</v>
      </c>
      <c r="R2292" s="75">
        <f>F2292-F2291</f>
        <v>0.005028991339516509</v>
      </c>
      <c r="S2292" s="75">
        <f>0.5*(Q2291+Q2292)*R2292</f>
        <v>0.006508506875132694</v>
      </c>
      <c r="T2292" s="75">
        <f>0.5*(F2291*Q2291+F2292*Q2292)*R2292</f>
        <v>0.062244344994952044</v>
      </c>
      <c r="U2292" s="76">
        <f>U2291+S2292</f>
        <v>11.933341268393837</v>
      </c>
      <c r="V2292" s="76">
        <f>V2291+T2292</f>
        <v>65.36222910820892</v>
      </c>
    </row>
    <row r="2293" spans="1:22" ht="19" customHeight="1">
      <c r="A2293" s="68" t="s">
        <v>374</v>
      </c>
      <c r="B2293" s="74">
        <v>3</v>
      </c>
      <c r="C2293" s="68" t="s">
        <v>363</v>
      </c>
      <c r="D2293" s="68" t="s">
        <v>364</v>
      </c>
      <c r="E2293" s="75">
        <f>60*F2293*'THAM_SO_MOI'!$C$51/(2*PI()*'THAM_SO_MOI'!$C$26)</f>
        <v>2404.196023409898</v>
      </c>
      <c r="F2293" s="75">
        <f>'HANH_TRINH'!$F$1647+('THAM_SO_MOI'!$F$51-'HANH_TRINH'!$F$1647)*645/'THAM_SO_MOI'!$C$42</f>
        <v>9.57108014133447</v>
      </c>
      <c r="G2293" s="75">
        <f>3.6*F2293</f>
        <v>34.455888508804094</v>
      </c>
      <c r="H2293" s="75">
        <f>'THAM_SO_MOI'!$D$51</f>
        <v>1.375</v>
      </c>
      <c r="I2293" s="75">
        <f>IF(F2293&gt;'THAM_SO_MOI'!$C$14,'THAM_SO_MOI'!$C$13*(1+F2293^2/1500),'THAM_SO_MOI'!$C$13)</f>
        <v>0.015</v>
      </c>
      <c r="J2293" s="75">
        <f>'THAM_SO_MOI'!$C$40*('THAM_SO_MOI'!$C$23*(E2293/'THAM_SO_MOI'!$C$22)+'THAM_SO_MOI'!$C$24*(E2293/'THAM_SO_MOI'!$C$22)^2-'THAM_SO_MOI'!$C$25*(E2293/'THAM_SO_MOI'!$C$22)^3)</f>
        <v>107.58298729190088</v>
      </c>
      <c r="K2293" s="75">
        <f>'THAM_SO_MOI'!$C$31*J2293/E2293</f>
        <v>427.3926440429101</v>
      </c>
      <c r="L2293" s="75">
        <f>K2293*'THAM_SO_MOI'!$C$51*'THAM_SO_MOI'!$C$17/'THAM_SO_MOI'!$C$26</f>
        <v>9556.162112794244</v>
      </c>
      <c r="M2293" s="75">
        <f>'THAM_SO_MOI'!$C$15*'THAM_SO_MOI'!$C$16*F2293^2</f>
        <v>267.9463070851526</v>
      </c>
      <c r="N2293" s="75">
        <f>'THAM_SO_MOI'!$C$12*I2293</f>
        <v>1130.112</v>
      </c>
      <c r="O2293" s="75">
        <f>M2293+N2293</f>
        <v>1398.0583070851526</v>
      </c>
      <c r="P2293" s="75">
        <f>(MIN(L2293,'THAM_SO_MOI'!$C$41)-O2293)/('THAM_SO_MOI'!$C$11*H2293)</f>
        <v>0.772547708873967</v>
      </c>
      <c r="Q2293" s="75">
        <f>IF(P2293&gt;0,1/P2293,NA())</f>
        <v>1.2944184398107372</v>
      </c>
      <c r="R2293" s="75">
        <f>F2293-F2292</f>
        <v>0.005028991339518285</v>
      </c>
      <c r="S2293" s="75">
        <f>0.5*(Q2292+Q2293)*R2293</f>
        <v>0.006509247866021968</v>
      </c>
      <c r="T2293" s="75">
        <f>0.5*(F2292*Q2292+F2293*Q2293)*R2293</f>
        <v>0.0622841664434595</v>
      </c>
      <c r="U2293" s="76">
        <f>U2292+S2293</f>
        <v>11.93985051625986</v>
      </c>
      <c r="V2293" s="76">
        <f>V2292+T2293</f>
        <v>65.42451327465238</v>
      </c>
    </row>
    <row r="2294" spans="1:22" ht="19" customHeight="1">
      <c r="A2294" s="68" t="s">
        <v>374</v>
      </c>
      <c r="B2294" s="74">
        <v>3</v>
      </c>
      <c r="C2294" s="68" t="s">
        <v>363</v>
      </c>
      <c r="D2294" s="68" t="s">
        <v>364</v>
      </c>
      <c r="E2294" s="75">
        <f>60*F2294*'THAM_SO_MOI'!$C$51/(2*PI()*'THAM_SO_MOI'!$C$26)</f>
        <v>2405.4592748717696</v>
      </c>
      <c r="F2294" s="75">
        <f>'HANH_TRINH'!$F$1647+('THAM_SO_MOI'!$F$51-'HANH_TRINH'!$F$1647)*646/'THAM_SO_MOI'!$C$42</f>
        <v>9.576109132673988</v>
      </c>
      <c r="G2294" s="75">
        <f>3.6*F2294</f>
        <v>34.47399287762636</v>
      </c>
      <c r="H2294" s="75">
        <f>'THAM_SO_MOI'!$D$51</f>
        <v>1.375</v>
      </c>
      <c r="I2294" s="75">
        <f>IF(F2294&gt;'THAM_SO_MOI'!$C$14,'THAM_SO_MOI'!$C$13*(1+F2294^2/1500),'THAM_SO_MOI'!$C$13)</f>
        <v>0.015</v>
      </c>
      <c r="J2294" s="75">
        <f>'THAM_SO_MOI'!$C$40*('THAM_SO_MOI'!$C$23*(E2294/'THAM_SO_MOI'!$C$22)+'THAM_SO_MOI'!$C$24*(E2294/'THAM_SO_MOI'!$C$22)^2-'THAM_SO_MOI'!$C$25*(E2294/'THAM_SO_MOI'!$C$22)^3)</f>
        <v>107.63216432739623</v>
      </c>
      <c r="K2294" s="75">
        <f>'THAM_SO_MOI'!$C$31*J2294/E2294</f>
        <v>427.3634564032596</v>
      </c>
      <c r="L2294" s="75">
        <f>K2294*'THAM_SO_MOI'!$C$51*'THAM_SO_MOI'!$C$17/'THAM_SO_MOI'!$C$26</f>
        <v>9555.509500214039</v>
      </c>
      <c r="M2294" s="75">
        <f>'THAM_SO_MOI'!$C$15*'THAM_SO_MOI'!$C$16*F2294^2</f>
        <v>268.2279584035803</v>
      </c>
      <c r="N2294" s="75">
        <f>'THAM_SO_MOI'!$C$12*I2294</f>
        <v>1130.112</v>
      </c>
      <c r="O2294" s="75">
        <f>M2294+N2294</f>
        <v>1398.3399584035803</v>
      </c>
      <c r="P2294" s="75">
        <f>(MIN(L2294,'THAM_SO_MOI'!$C$41)-O2294)/('THAM_SO_MOI'!$C$11*H2294)</f>
        <v>0.7724592369138692</v>
      </c>
      <c r="Q2294" s="75">
        <f>IF(P2294&gt;0,1/P2294,NA())</f>
        <v>1.2945666932474031</v>
      </c>
      <c r="R2294" s="75">
        <f>F2294-F2293</f>
        <v>0.005028991339518285</v>
      </c>
      <c r="S2294" s="75">
        <f>0.5*(Q2293+Q2294)*R2294</f>
        <v>0.006509991906145492</v>
      </c>
      <c r="T2294" s="75">
        <f>0.5*(F2293*Q2293+F2294*Q2294)*R2294</f>
        <v>0.06232402453697571</v>
      </c>
      <c r="U2294" s="76">
        <f>U2293+S2294</f>
        <v>11.946360508166006</v>
      </c>
      <c r="V2294" s="76">
        <f>V2293+T2294</f>
        <v>65.48683729918936</v>
      </c>
    </row>
    <row r="2295" spans="1:22" ht="19" customHeight="1">
      <c r="A2295" s="68" t="s">
        <v>374</v>
      </c>
      <c r="B2295" s="74">
        <v>3</v>
      </c>
      <c r="C2295" s="68" t="s">
        <v>363</v>
      </c>
      <c r="D2295" s="68" t="s">
        <v>364</v>
      </c>
      <c r="E2295" s="75">
        <f>60*F2295*'THAM_SO_MOI'!$C$51/(2*PI()*'THAM_SO_MOI'!$C$26)</f>
        <v>2406.722526333641</v>
      </c>
      <c r="F2295" s="75">
        <f>'HANH_TRINH'!$F$1647+('THAM_SO_MOI'!$F$51-'HANH_TRINH'!$F$1647)*647/'THAM_SO_MOI'!$C$42</f>
        <v>9.581138124013505</v>
      </c>
      <c r="G2295" s="75">
        <f>3.6*F2295</f>
        <v>34.492097246448616</v>
      </c>
      <c r="H2295" s="75">
        <f>'THAM_SO_MOI'!$D$51</f>
        <v>1.375</v>
      </c>
      <c r="I2295" s="75">
        <f>IF(F2295&gt;'THAM_SO_MOI'!$C$14,'THAM_SO_MOI'!$C$13*(1+F2295^2/1500),'THAM_SO_MOI'!$C$13)</f>
        <v>0.015</v>
      </c>
      <c r="J2295" s="75">
        <f>'THAM_SO_MOI'!$C$40*('THAM_SO_MOI'!$C$23*(E2295/'THAM_SO_MOI'!$C$22)+'THAM_SO_MOI'!$C$24*(E2295/'THAM_SO_MOI'!$C$22)^2-'THAM_SO_MOI'!$C$25*(E2295/'THAM_SO_MOI'!$C$22)^3)</f>
        <v>107.68129463069461</v>
      </c>
      <c r="K2295" s="75">
        <f>'THAM_SO_MOI'!$C$31*J2295/E2295</f>
        <v>427.3341139467786</v>
      </c>
      <c r="L2295" s="75">
        <f>K2295*'THAM_SO_MOI'!$C$51*'THAM_SO_MOI'!$C$17/'THAM_SO_MOI'!$C$26</f>
        <v>9554.853426051723</v>
      </c>
      <c r="M2295" s="75">
        <f>'THAM_SO_MOI'!$C$15*'THAM_SO_MOI'!$C$16*F2295^2</f>
        <v>268.50975767291817</v>
      </c>
      <c r="N2295" s="75">
        <f>'THAM_SO_MOI'!$C$12*I2295</f>
        <v>1130.112</v>
      </c>
      <c r="O2295" s="75">
        <f>M2295+N2295</f>
        <v>1398.6217576729182</v>
      </c>
      <c r="P2295" s="75">
        <f>(MIN(L2295,'THAM_SO_MOI'!$C$41)-O2295)/('THAM_SO_MOI'!$C$11*H2295)</f>
        <v>0.7723704231419322</v>
      </c>
      <c r="Q2295" s="75">
        <f>IF(P2295&gt;0,1/P2295,NA())</f>
        <v>1.2947155536226926</v>
      </c>
      <c r="R2295" s="75">
        <f>F2295-F2294</f>
        <v>0.005028991339516509</v>
      </c>
      <c r="S2295" s="75">
        <f>0.5*(Q2294+Q2295)*R2295</f>
        <v>0.006510738997536779</v>
      </c>
      <c r="T2295" s="75">
        <f>0.5*(F2294*Q2294+F2295*Q2295)*R2295</f>
        <v>0.06236391934098265</v>
      </c>
      <c r="U2295" s="76">
        <f>U2294+S2295</f>
        <v>11.952871247163543</v>
      </c>
      <c r="V2295" s="76">
        <f>V2294+T2295</f>
        <v>65.54920121853034</v>
      </c>
    </row>
    <row r="2296" spans="1:22" ht="19" customHeight="1">
      <c r="A2296" s="68" t="s">
        <v>374</v>
      </c>
      <c r="B2296" s="74">
        <v>3</v>
      </c>
      <c r="C2296" s="68" t="s">
        <v>363</v>
      </c>
      <c r="D2296" s="68" t="s">
        <v>364</v>
      </c>
      <c r="E2296" s="75">
        <f>60*F2296*'THAM_SO_MOI'!$C$51/(2*PI()*'THAM_SO_MOI'!$C$26)</f>
        <v>2407.9857777955126</v>
      </c>
      <c r="F2296" s="75">
        <f>'HANH_TRINH'!$F$1647+('THAM_SO_MOI'!$F$51-'HANH_TRINH'!$F$1647)*648/'THAM_SO_MOI'!$C$42</f>
        <v>9.586167115353023</v>
      </c>
      <c r="G2296" s="75">
        <f>3.6*F2296</f>
        <v>34.51020161527088</v>
      </c>
      <c r="H2296" s="75">
        <f>'THAM_SO_MOI'!$D$51</f>
        <v>1.375</v>
      </c>
      <c r="I2296" s="75">
        <f>IF(F2296&gt;'THAM_SO_MOI'!$C$14,'THAM_SO_MOI'!$C$13*(1+F2296^2/1500),'THAM_SO_MOI'!$C$13)</f>
        <v>0.015</v>
      </c>
      <c r="J2296" s="75">
        <f>'THAM_SO_MOI'!$C$40*('THAM_SO_MOI'!$C$23*(E2296/'THAM_SO_MOI'!$C$22)+'THAM_SO_MOI'!$C$24*(E2296/'THAM_SO_MOI'!$C$22)^2-'THAM_SO_MOI'!$C$25*(E2296/'THAM_SO_MOI'!$C$22)^3)</f>
        <v>107.73037814036672</v>
      </c>
      <c r="K2296" s="75">
        <f>'THAM_SO_MOI'!$C$31*J2296/E2296</f>
        <v>427.3046166734671</v>
      </c>
      <c r="L2296" s="75">
        <f>K2296*'THAM_SO_MOI'!$C$51*'THAM_SO_MOI'!$C$17/'THAM_SO_MOI'!$C$26</f>
        <v>9554.193890307299</v>
      </c>
      <c r="M2296" s="75">
        <f>'THAM_SO_MOI'!$C$15*'THAM_SO_MOI'!$C$16*F2296^2</f>
        <v>268.79170489316647</v>
      </c>
      <c r="N2296" s="75">
        <f>'THAM_SO_MOI'!$C$12*I2296</f>
        <v>1130.112</v>
      </c>
      <c r="O2296" s="75">
        <f>M2296+N2296</f>
        <v>1398.9037048931666</v>
      </c>
      <c r="P2296" s="75">
        <f>(MIN(L2296,'THAM_SO_MOI'!$C$41)-O2296)/('THAM_SO_MOI'!$C$11*H2296)</f>
        <v>0.7722812675581564</v>
      </c>
      <c r="Q2296" s="75">
        <f>IF(P2296&gt;0,1/P2296,NA())</f>
        <v>1.2948650213436588</v>
      </c>
      <c r="R2296" s="75">
        <f>F2296-F2295</f>
        <v>0.005028991339518285</v>
      </c>
      <c r="S2296" s="75">
        <f>0.5*(Q2295+Q2296)*R2296</f>
        <v>0.006511489142245282</v>
      </c>
      <c r="T2296" s="75">
        <f>0.5*(F2295*Q2295+F2296*Q2296)*R2296</f>
        <v>0.06240385092115595</v>
      </c>
      <c r="U2296" s="76">
        <f>U2295+S2296</f>
        <v>11.959382736305788</v>
      </c>
      <c r="V2296" s="76">
        <f>V2295+T2296</f>
        <v>65.6116050694515</v>
      </c>
    </row>
    <row r="2297" spans="1:22" ht="19" customHeight="1">
      <c r="A2297" s="68" t="s">
        <v>374</v>
      </c>
      <c r="B2297" s="74">
        <v>3</v>
      </c>
      <c r="C2297" s="68" t="s">
        <v>363</v>
      </c>
      <c r="D2297" s="68" t="s">
        <v>364</v>
      </c>
      <c r="E2297" s="75">
        <f>60*F2297*'THAM_SO_MOI'!$C$51/(2*PI()*'THAM_SO_MOI'!$C$26)</f>
        <v>2409.249029257385</v>
      </c>
      <c r="F2297" s="75">
        <f>'HANH_TRINH'!$F$1647+('THAM_SO_MOI'!$F$51-'HANH_TRINH'!$F$1647)*649/'THAM_SO_MOI'!$C$42</f>
        <v>9.591196106692541</v>
      </c>
      <c r="G2297" s="75">
        <f>3.6*F2297</f>
        <v>34.52830598409315</v>
      </c>
      <c r="H2297" s="75">
        <f>'THAM_SO_MOI'!$D$51</f>
        <v>1.375</v>
      </c>
      <c r="I2297" s="75">
        <f>IF(F2297&gt;'THAM_SO_MOI'!$C$14,'THAM_SO_MOI'!$C$13*(1+F2297^2/1500),'THAM_SO_MOI'!$C$13)</f>
        <v>0.015</v>
      </c>
      <c r="J2297" s="75">
        <f>'THAM_SO_MOI'!$C$40*('THAM_SO_MOI'!$C$23*(E2297/'THAM_SO_MOI'!$C$22)+'THAM_SO_MOI'!$C$24*(E2297/'THAM_SO_MOI'!$C$22)^2-'THAM_SO_MOI'!$C$25*(E2297/'THAM_SO_MOI'!$C$22)^3)</f>
        <v>107.77941479498318</v>
      </c>
      <c r="K2297" s="75">
        <f>'THAM_SO_MOI'!$C$31*J2297/E2297</f>
        <v>427.27496458332496</v>
      </c>
      <c r="L2297" s="75">
        <f>K2297*'THAM_SO_MOI'!$C$51*'THAM_SO_MOI'!$C$17/'THAM_SO_MOI'!$C$26</f>
        <v>9553.530892980763</v>
      </c>
      <c r="M2297" s="75">
        <f>'THAM_SO_MOI'!$C$15*'THAM_SO_MOI'!$C$16*F2297^2</f>
        <v>269.0738000643249</v>
      </c>
      <c r="N2297" s="75">
        <f>'THAM_SO_MOI'!$C$12*I2297</f>
        <v>1130.112</v>
      </c>
      <c r="O2297" s="75">
        <f>M2297+N2297</f>
        <v>1399.1858000643251</v>
      </c>
      <c r="P2297" s="75">
        <f>(MIN(L2297,'THAM_SO_MOI'!$C$41)-O2297)/('THAM_SO_MOI'!$C$11*H2297)</f>
        <v>0.7721917701625415</v>
      </c>
      <c r="Q2297" s="75">
        <f>IF(P2297&gt;0,1/P2297,NA())</f>
        <v>1.2950150968191572</v>
      </c>
      <c r="R2297" s="75">
        <f>F2297-F2296</f>
        <v>0.005028991339518285</v>
      </c>
      <c r="S2297" s="75">
        <f>0.5*(Q2296+Q2297)*R2297</f>
        <v>0.006512242342315697</v>
      </c>
      <c r="T2297" s="75">
        <f>0.5*(F2296*Q2296+F2297*Q2297)*R2297</f>
        <v>0.06244381934316694</v>
      </c>
      <c r="U2297" s="76">
        <f>U2296+S2297</f>
        <v>11.965894978648103</v>
      </c>
      <c r="V2297" s="76">
        <f>V2296+T2297</f>
        <v>65.67404888879467</v>
      </c>
    </row>
    <row r="2298" spans="1:22" ht="19" customHeight="1">
      <c r="A2298" s="68" t="s">
        <v>374</v>
      </c>
      <c r="B2298" s="74">
        <v>3</v>
      </c>
      <c r="C2298" s="68" t="s">
        <v>363</v>
      </c>
      <c r="D2298" s="68" t="s">
        <v>364</v>
      </c>
      <c r="E2298" s="75">
        <f>60*F2298*'THAM_SO_MOI'!$C$51/(2*PI()*'THAM_SO_MOI'!$C$26)</f>
        <v>2410.512280719256</v>
      </c>
      <c r="F2298" s="75">
        <f>'HANH_TRINH'!$F$1647+('THAM_SO_MOI'!$F$51-'HANH_TRINH'!$F$1647)*650/'THAM_SO_MOI'!$C$42</f>
        <v>9.596225098032058</v>
      </c>
      <c r="G2298" s="75">
        <f>3.6*F2298</f>
        <v>34.54641035291541</v>
      </c>
      <c r="H2298" s="75">
        <f>'THAM_SO_MOI'!$D$51</f>
        <v>1.375</v>
      </c>
      <c r="I2298" s="75">
        <f>IF(F2298&gt;'THAM_SO_MOI'!$C$14,'THAM_SO_MOI'!$C$13*(1+F2298^2/1500),'THAM_SO_MOI'!$C$13)</f>
        <v>0.015</v>
      </c>
      <c r="J2298" s="75">
        <f>'THAM_SO_MOI'!$C$40*('THAM_SO_MOI'!$C$23*(E2298/'THAM_SO_MOI'!$C$22)+'THAM_SO_MOI'!$C$24*(E2298/'THAM_SO_MOI'!$C$22)^2-'THAM_SO_MOI'!$C$25*(E2298/'THAM_SO_MOI'!$C$22)^3)</f>
        <v>107.82840453311464</v>
      </c>
      <c r="K2298" s="75">
        <f>'THAM_SO_MOI'!$C$31*J2298/E2298</f>
        <v>427.2451576763524</v>
      </c>
      <c r="L2298" s="75">
        <f>K2298*'THAM_SO_MOI'!$C$51*'THAM_SO_MOI'!$C$17/'THAM_SO_MOI'!$C$26</f>
        <v>9552.86443407212</v>
      </c>
      <c r="M2298" s="75">
        <f>'THAM_SO_MOI'!$C$15*'THAM_SO_MOI'!$C$16*F2298^2</f>
        <v>269.3560431863936</v>
      </c>
      <c r="N2298" s="75">
        <f>'THAM_SO_MOI'!$C$12*I2298</f>
        <v>1130.112</v>
      </c>
      <c r="O2298" s="75">
        <f>M2298+N2298</f>
        <v>1399.4680431863937</v>
      </c>
      <c r="P2298" s="75">
        <f>(MIN(L2298,'THAM_SO_MOI'!$C$41)-O2298)/('THAM_SO_MOI'!$C$11*H2298)</f>
        <v>0.7721019309550877</v>
      </c>
      <c r="Q2298" s="75">
        <f>IF(P2298&gt;0,1/P2298,NA())</f>
        <v>1.2951657804598455</v>
      </c>
      <c r="R2298" s="75">
        <f>F2298-F2297</f>
        <v>0.005028991339516509</v>
      </c>
      <c r="S2298" s="75">
        <f>0.5*(Q2297+Q2298)*R2298</f>
        <v>0.006512998599808688</v>
      </c>
      <c r="T2298" s="75">
        <f>0.5*(F2297*Q2297+F2298*Q2298)*R2298</f>
        <v>0.06248382467288115</v>
      </c>
      <c r="U2298" s="76">
        <f>U2297+S2298</f>
        <v>11.972407977247912</v>
      </c>
      <c r="V2298" s="76">
        <f>V2297+T2298</f>
        <v>65.73653271346755</v>
      </c>
    </row>
    <row r="2299" spans="1:22" ht="19" customHeight="1">
      <c r="A2299" s="68" t="s">
        <v>374</v>
      </c>
      <c r="B2299" s="74">
        <v>3</v>
      </c>
      <c r="C2299" s="68" t="s">
        <v>363</v>
      </c>
      <c r="D2299" s="68" t="s">
        <v>364</v>
      </c>
      <c r="E2299" s="75">
        <f>60*F2299*'THAM_SO_MOI'!$C$51/(2*PI()*'THAM_SO_MOI'!$C$26)</f>
        <v>2411.775532181128</v>
      </c>
      <c r="F2299" s="75">
        <f>'HANH_TRINH'!$F$1647+('THAM_SO_MOI'!$F$51-'HANH_TRINH'!$F$1647)*651/'THAM_SO_MOI'!$C$42</f>
        <v>9.601254089371576</v>
      </c>
      <c r="G2299" s="75">
        <f>3.6*F2299</f>
        <v>34.56451472173767</v>
      </c>
      <c r="H2299" s="75">
        <f>'THAM_SO_MOI'!$D$51</f>
        <v>1.375</v>
      </c>
      <c r="I2299" s="75">
        <f>IF(F2299&gt;'THAM_SO_MOI'!$C$14,'THAM_SO_MOI'!$C$13*(1+F2299^2/1500),'THAM_SO_MOI'!$C$13)</f>
        <v>0.015</v>
      </c>
      <c r="J2299" s="75">
        <f>'THAM_SO_MOI'!$C$40*('THAM_SO_MOI'!$C$23*(E2299/'THAM_SO_MOI'!$C$22)+'THAM_SO_MOI'!$C$24*(E2299/'THAM_SO_MOI'!$C$22)^2-'THAM_SO_MOI'!$C$25*(E2299/'THAM_SO_MOI'!$C$22)^3)</f>
        <v>107.87734729333175</v>
      </c>
      <c r="K2299" s="75">
        <f>'THAM_SO_MOI'!$C$31*J2299/E2299</f>
        <v>427.21519595254927</v>
      </c>
      <c r="L2299" s="75">
        <f>K2299*'THAM_SO_MOI'!$C$51*'THAM_SO_MOI'!$C$17/'THAM_SO_MOI'!$C$26</f>
        <v>9552.194513581368</v>
      </c>
      <c r="M2299" s="75">
        <f>'THAM_SO_MOI'!$C$15*'THAM_SO_MOI'!$C$16*F2299^2</f>
        <v>269.6384342593727</v>
      </c>
      <c r="N2299" s="75">
        <f>'THAM_SO_MOI'!$C$12*I2299</f>
        <v>1130.112</v>
      </c>
      <c r="O2299" s="75">
        <f>M2299+N2299</f>
        <v>1399.7504342593727</v>
      </c>
      <c r="P2299" s="75">
        <f>(MIN(L2299,'THAM_SO_MOI'!$C$41)-O2299)/('THAM_SO_MOI'!$C$11*H2299)</f>
        <v>0.772011749935795</v>
      </c>
      <c r="Q2299" s="75">
        <f>IF(P2299&gt;0,1/P2299,NA())</f>
        <v>1.2953170726781889</v>
      </c>
      <c r="R2299" s="75">
        <f>F2299-F2298</f>
        <v>0.005028991339518285</v>
      </c>
      <c r="S2299" s="75">
        <f>0.5*(Q2298+Q2299)*R2299</f>
        <v>0.006513757916800897</v>
      </c>
      <c r="T2299" s="75">
        <f>0.5*(F2298*Q2298+F2299*Q2299)*R2299</f>
        <v>0.06252386697635899</v>
      </c>
      <c r="U2299" s="76">
        <f>U2298+S2299</f>
        <v>11.978921735164713</v>
      </c>
      <c r="V2299" s="76">
        <f>V2298+T2299</f>
        <v>65.79905658044392</v>
      </c>
    </row>
    <row r="2300" spans="1:22" ht="19" customHeight="1">
      <c r="A2300" s="68" t="s">
        <v>374</v>
      </c>
      <c r="B2300" s="74">
        <v>3</v>
      </c>
      <c r="C2300" s="68" t="s">
        <v>363</v>
      </c>
      <c r="D2300" s="68" t="s">
        <v>364</v>
      </c>
      <c r="E2300" s="75">
        <f>60*F2300*'THAM_SO_MOI'!$C$51/(2*PI()*'THAM_SO_MOI'!$C$26)</f>
        <v>2413.0387836429995</v>
      </c>
      <c r="F2300" s="75">
        <f>'HANH_TRINH'!$F$1647+('THAM_SO_MOI'!$F$51-'HANH_TRINH'!$F$1647)*652/'THAM_SO_MOI'!$C$42</f>
        <v>9.606283080711094</v>
      </c>
      <c r="G2300" s="75">
        <f>3.6*F2300</f>
        <v>34.58261909055994</v>
      </c>
      <c r="H2300" s="75">
        <f>'THAM_SO_MOI'!$D$51</f>
        <v>1.375</v>
      </c>
      <c r="I2300" s="75">
        <f>IF(F2300&gt;'THAM_SO_MOI'!$C$14,'THAM_SO_MOI'!$C$13*(1+F2300^2/1500),'THAM_SO_MOI'!$C$13)</f>
        <v>0.015</v>
      </c>
      <c r="J2300" s="75">
        <f>'THAM_SO_MOI'!$C$40*('THAM_SO_MOI'!$C$23*(E2300/'THAM_SO_MOI'!$C$22)+'THAM_SO_MOI'!$C$24*(E2300/'THAM_SO_MOI'!$C$22)^2-'THAM_SO_MOI'!$C$25*(E2300/'THAM_SO_MOI'!$C$22)^3)</f>
        <v>107.9262430142052</v>
      </c>
      <c r="K2300" s="75">
        <f>'THAM_SO_MOI'!$C$31*J2300/E2300</f>
        <v>427.18507941191575</v>
      </c>
      <c r="L2300" s="75">
        <f>K2300*'THAM_SO_MOI'!$C$51*'THAM_SO_MOI'!$C$17/'THAM_SO_MOI'!$C$26</f>
        <v>9551.521131508507</v>
      </c>
      <c r="M2300" s="75">
        <f>'THAM_SO_MOI'!$C$15*'THAM_SO_MOI'!$C$16*F2300^2</f>
        <v>269.92097328326196</v>
      </c>
      <c r="N2300" s="75">
        <f>'THAM_SO_MOI'!$C$12*I2300</f>
        <v>1130.112</v>
      </c>
      <c r="O2300" s="75">
        <f>M2300+N2300</f>
        <v>1400.032973283262</v>
      </c>
      <c r="P2300" s="75">
        <f>(MIN(L2300,'THAM_SO_MOI'!$C$41)-O2300)/('THAM_SO_MOI'!$C$11*H2300)</f>
        <v>0.7719212271046633</v>
      </c>
      <c r="Q2300" s="75">
        <f>IF(P2300&gt;0,1/P2300,NA())</f>
        <v>1.2954689738884613</v>
      </c>
      <c r="R2300" s="75">
        <f>F2300-F2299</f>
        <v>0.005028991339518285</v>
      </c>
      <c r="S2300" s="75">
        <f>0.5*(Q2299+Q2300)*R2300</f>
        <v>0.00651452029536425</v>
      </c>
      <c r="T2300" s="75">
        <f>0.5*(F2299*Q2299+F2300*Q2300)*R2300</f>
        <v>0.06256394631965742</v>
      </c>
      <c r="U2300" s="76">
        <f>U2299+S2300</f>
        <v>11.985436255460076</v>
      </c>
      <c r="V2300" s="76">
        <f>V2299+T2300</f>
        <v>65.86162052676357</v>
      </c>
    </row>
    <row r="2301" spans="1:22" ht="19" customHeight="1">
      <c r="A2301" s="68" t="s">
        <v>374</v>
      </c>
      <c r="B2301" s="74">
        <v>3</v>
      </c>
      <c r="C2301" s="68" t="s">
        <v>363</v>
      </c>
      <c r="D2301" s="68" t="s">
        <v>364</v>
      </c>
      <c r="E2301" s="75">
        <f>60*F2301*'THAM_SO_MOI'!$C$51/(2*PI()*'THAM_SO_MOI'!$C$26)</f>
        <v>2414.302035104871</v>
      </c>
      <c r="F2301" s="75">
        <f>'HANH_TRINH'!$F$1647+('THAM_SO_MOI'!$F$51-'HANH_TRINH'!$F$1647)*653/'THAM_SO_MOI'!$C$42</f>
        <v>9.61131207205061</v>
      </c>
      <c r="G2301" s="75">
        <f>3.6*F2301</f>
        <v>34.6007234593822</v>
      </c>
      <c r="H2301" s="75">
        <f>'THAM_SO_MOI'!$D$51</f>
        <v>1.375</v>
      </c>
      <c r="I2301" s="75">
        <f>IF(F2301&gt;'THAM_SO_MOI'!$C$14,'THAM_SO_MOI'!$C$13*(1+F2301^2/1500),'THAM_SO_MOI'!$C$13)</f>
        <v>0.015</v>
      </c>
      <c r="J2301" s="75">
        <f>'THAM_SO_MOI'!$C$40*('THAM_SO_MOI'!$C$23*(E2301/'THAM_SO_MOI'!$C$22)+'THAM_SO_MOI'!$C$24*(E2301/'THAM_SO_MOI'!$C$22)^2-'THAM_SO_MOI'!$C$25*(E2301/'THAM_SO_MOI'!$C$22)^3)</f>
        <v>107.97509163430558</v>
      </c>
      <c r="K2301" s="75">
        <f>'THAM_SO_MOI'!$C$31*J2301/E2301</f>
        <v>427.1548080544518</v>
      </c>
      <c r="L2301" s="75">
        <f>K2301*'THAM_SO_MOI'!$C$51*'THAM_SO_MOI'!$C$17/'THAM_SO_MOI'!$C$26</f>
        <v>9550.84428785354</v>
      </c>
      <c r="M2301" s="75">
        <f>'THAM_SO_MOI'!$C$15*'THAM_SO_MOI'!$C$16*F2301^2</f>
        <v>270.20366025806146</v>
      </c>
      <c r="N2301" s="75">
        <f>'THAM_SO_MOI'!$C$12*I2301</f>
        <v>1130.112</v>
      </c>
      <c r="O2301" s="75">
        <f>M2301+N2301</f>
        <v>1400.3156602580616</v>
      </c>
      <c r="P2301" s="75">
        <f>(MIN(L2301,'THAM_SO_MOI'!$C$41)-O2301)/('THAM_SO_MOI'!$C$11*H2301)</f>
        <v>0.7718303624616931</v>
      </c>
      <c r="Q2301" s="75">
        <f>IF(P2301&gt;0,1/P2301,NA())</f>
        <v>1.2956214845067477</v>
      </c>
      <c r="R2301" s="75">
        <f>F2301-F2300</f>
        <v>0.005028991339516509</v>
      </c>
      <c r="S2301" s="75">
        <f>0.5*(Q2300+Q2301)*R2301</f>
        <v>0.006515285737586684</v>
      </c>
      <c r="T2301" s="75">
        <f>0.5*(F2300*Q2300+F2301*Q2301)*R2301</f>
        <v>0.06260406276902879</v>
      </c>
      <c r="U2301" s="76">
        <f>U2300+S2301</f>
        <v>11.991951541197663</v>
      </c>
      <c r="V2301" s="76">
        <f>V2300+T2301</f>
        <v>65.9242245895326</v>
      </c>
    </row>
    <row r="2302" spans="1:22" ht="19" customHeight="1">
      <c r="A2302" s="68" t="s">
        <v>374</v>
      </c>
      <c r="B2302" s="74">
        <v>3</v>
      </c>
      <c r="C2302" s="68" t="s">
        <v>363</v>
      </c>
      <c r="D2302" s="68" t="s">
        <v>364</v>
      </c>
      <c r="E2302" s="75">
        <f>60*F2302*'THAM_SO_MOI'!$C$51/(2*PI()*'THAM_SO_MOI'!$C$26)</f>
        <v>2415.5652865667425</v>
      </c>
      <c r="F2302" s="75">
        <f>'HANH_TRINH'!$F$1647+('THAM_SO_MOI'!$F$51-'HANH_TRINH'!$F$1647)*654/'THAM_SO_MOI'!$C$42</f>
        <v>9.616341063390129</v>
      </c>
      <c r="G2302" s="75">
        <f>3.6*F2302</f>
        <v>34.618827828204466</v>
      </c>
      <c r="H2302" s="75">
        <f>'THAM_SO_MOI'!$D$51</f>
        <v>1.375</v>
      </c>
      <c r="I2302" s="75">
        <f>IF(F2302&gt;'THAM_SO_MOI'!$C$14,'THAM_SO_MOI'!$C$13*(1+F2302^2/1500),'THAM_SO_MOI'!$C$13)</f>
        <v>0.015</v>
      </c>
      <c r="J2302" s="75">
        <f>'THAM_SO_MOI'!$C$40*('THAM_SO_MOI'!$C$23*(E2302/'THAM_SO_MOI'!$C$22)+'THAM_SO_MOI'!$C$24*(E2302/'THAM_SO_MOI'!$C$22)^2-'THAM_SO_MOI'!$C$25*(E2302/'THAM_SO_MOI'!$C$22)^3)</f>
        <v>108.02389309220356</v>
      </c>
      <c r="K2302" s="75">
        <f>'THAM_SO_MOI'!$C$31*J2302/E2302</f>
        <v>427.1243818801571</v>
      </c>
      <c r="L2302" s="75">
        <f>K2302*'THAM_SO_MOI'!$C$51*'THAM_SO_MOI'!$C$17/'THAM_SO_MOI'!$C$26</f>
        <v>9550.163982616461</v>
      </c>
      <c r="M2302" s="75">
        <f>'THAM_SO_MOI'!$C$15*'THAM_SO_MOI'!$C$16*F2302^2</f>
        <v>270.4864951837714</v>
      </c>
      <c r="N2302" s="75">
        <f>'THAM_SO_MOI'!$C$12*I2302</f>
        <v>1130.112</v>
      </c>
      <c r="O2302" s="75">
        <f>M2302+N2302</f>
        <v>1400.5984951837715</v>
      </c>
      <c r="P2302" s="75">
        <f>(MIN(L2302,'THAM_SO_MOI'!$C$41)-O2302)/('THAM_SO_MOI'!$C$11*H2302)</f>
        <v>0.7717391560068835</v>
      </c>
      <c r="Q2302" s="75">
        <f>IF(P2302&gt;0,1/P2302,NA())</f>
        <v>1.2957746049509513</v>
      </c>
      <c r="R2302" s="75">
        <f>F2302-F2301</f>
        <v>0.005028991339518285</v>
      </c>
      <c r="S2302" s="75">
        <f>0.5*(Q2301+Q2302)*R2302</f>
        <v>0.00651605424557216</v>
      </c>
      <c r="T2302" s="75">
        <f>0.5*(F2301*Q2301+F2302*Q2302)*R2302</f>
        <v>0.0626442163909216</v>
      </c>
      <c r="U2302" s="76">
        <f>U2301+S2302</f>
        <v>11.998467595443236</v>
      </c>
      <c r="V2302" s="76">
        <f>V2301+T2302</f>
        <v>65.98686880592352</v>
      </c>
    </row>
    <row r="2303" spans="1:22" ht="19" customHeight="1">
      <c r="A2303" s="68" t="s">
        <v>374</v>
      </c>
      <c r="B2303" s="74">
        <v>3</v>
      </c>
      <c r="C2303" s="68" t="s">
        <v>363</v>
      </c>
      <c r="D2303" s="68" t="s">
        <v>364</v>
      </c>
      <c r="E2303" s="75">
        <f>60*F2303*'THAM_SO_MOI'!$C$51/(2*PI()*'THAM_SO_MOI'!$C$26)</f>
        <v>2416.828538028614</v>
      </c>
      <c r="F2303" s="75">
        <f>'HANH_TRINH'!$F$1647+('THAM_SO_MOI'!$F$51-'HANH_TRINH'!$F$1647)*655/'THAM_SO_MOI'!$C$42</f>
        <v>9.621370054729645</v>
      </c>
      <c r="G2303" s="75">
        <f>3.6*F2303</f>
        <v>34.636932197026724</v>
      </c>
      <c r="H2303" s="75">
        <f>'THAM_SO_MOI'!$D$51</f>
        <v>1.375</v>
      </c>
      <c r="I2303" s="75">
        <f>IF(F2303&gt;'THAM_SO_MOI'!$C$14,'THAM_SO_MOI'!$C$13*(1+F2303^2/1500),'THAM_SO_MOI'!$C$13)</f>
        <v>0.015</v>
      </c>
      <c r="J2303" s="75">
        <f>'THAM_SO_MOI'!$C$40*('THAM_SO_MOI'!$C$23*(E2303/'THAM_SO_MOI'!$C$22)+'THAM_SO_MOI'!$C$24*(E2303/'THAM_SO_MOI'!$C$22)^2-'THAM_SO_MOI'!$C$25*(E2303/'THAM_SO_MOI'!$C$22)^3)</f>
        <v>108.07264732646982</v>
      </c>
      <c r="K2303" s="75">
        <f>'THAM_SO_MOI'!$C$31*J2303/E2303</f>
        <v>427.09380088903214</v>
      </c>
      <c r="L2303" s="75">
        <f>K2303*'THAM_SO_MOI'!$C$51*'THAM_SO_MOI'!$C$17/'THAM_SO_MOI'!$C$26</f>
        <v>9549.480215797275</v>
      </c>
      <c r="M2303" s="75">
        <f>'THAM_SO_MOI'!$C$15*'THAM_SO_MOI'!$C$16*F2303^2</f>
        <v>270.7694780603914</v>
      </c>
      <c r="N2303" s="75">
        <f>'THAM_SO_MOI'!$C$12*I2303</f>
        <v>1130.112</v>
      </c>
      <c r="O2303" s="75">
        <f>M2303+N2303</f>
        <v>1400.8814780603916</v>
      </c>
      <c r="P2303" s="75">
        <f>(MIN(L2303,'THAM_SO_MOI'!$C$41)-O2303)/('THAM_SO_MOI'!$C$11*H2303)</f>
        <v>0.7716476077402353</v>
      </c>
      <c r="Q2303" s="75">
        <f>IF(P2303&gt;0,1/P2303,NA())</f>
        <v>1.2959283356407896</v>
      </c>
      <c r="R2303" s="75">
        <f>F2303-F2302</f>
        <v>0.005028991339516509</v>
      </c>
      <c r="S2303" s="75">
        <f>0.5*(Q2302+Q2303)*R2303</f>
        <v>0.006516825821417667</v>
      </c>
      <c r="T2303" s="75">
        <f>0.5*(F2302*Q2302+F2303*Q2303)*R2303</f>
        <v>0.0626844072517596</v>
      </c>
      <c r="U2303" s="76">
        <f>U2302+S2303</f>
        <v>12.004984421264654</v>
      </c>
      <c r="V2303" s="76">
        <f>V2302+T2303</f>
        <v>66.04955321317529</v>
      </c>
    </row>
    <row r="2304" spans="1:22" ht="19" customHeight="1">
      <c r="A2304" s="68" t="s">
        <v>374</v>
      </c>
      <c r="B2304" s="74">
        <v>3</v>
      </c>
      <c r="C2304" s="68" t="s">
        <v>363</v>
      </c>
      <c r="D2304" s="68" t="s">
        <v>364</v>
      </c>
      <c r="E2304" s="75">
        <f>60*F2304*'THAM_SO_MOI'!$C$51/(2*PI()*'THAM_SO_MOI'!$C$26)</f>
        <v>2418.0917894904856</v>
      </c>
      <c r="F2304" s="75">
        <f>'HANH_TRINH'!$F$1647+('THAM_SO_MOI'!$F$51-'HANH_TRINH'!$F$1647)*656/'THAM_SO_MOI'!$C$42</f>
        <v>9.626399046069164</v>
      </c>
      <c r="G2304" s="75">
        <f>3.6*F2304</f>
        <v>34.65503656584899</v>
      </c>
      <c r="H2304" s="75">
        <f>'THAM_SO_MOI'!$D$51</f>
        <v>1.375</v>
      </c>
      <c r="I2304" s="75">
        <f>IF(F2304&gt;'THAM_SO_MOI'!$C$14,'THAM_SO_MOI'!$C$13*(1+F2304^2/1500),'THAM_SO_MOI'!$C$13)</f>
        <v>0.015</v>
      </c>
      <c r="J2304" s="75">
        <f>'THAM_SO_MOI'!$C$40*('THAM_SO_MOI'!$C$23*(E2304/'THAM_SO_MOI'!$C$22)+'THAM_SO_MOI'!$C$24*(E2304/'THAM_SO_MOI'!$C$22)^2-'THAM_SO_MOI'!$C$25*(E2304/'THAM_SO_MOI'!$C$22)^3)</f>
        <v>108.12135427567497</v>
      </c>
      <c r="K2304" s="75">
        <f>'THAM_SO_MOI'!$C$31*J2304/E2304</f>
        <v>427.06306508107645</v>
      </c>
      <c r="L2304" s="75">
        <f>K2304*'THAM_SO_MOI'!$C$51*'THAM_SO_MOI'!$C$17/'THAM_SO_MOI'!$C$26</f>
        <v>9548.792987395978</v>
      </c>
      <c r="M2304" s="75">
        <f>'THAM_SO_MOI'!$C$15*'THAM_SO_MOI'!$C$16*F2304^2</f>
        <v>271.05260888792185</v>
      </c>
      <c r="N2304" s="75">
        <f>'THAM_SO_MOI'!$C$12*I2304</f>
        <v>1130.112</v>
      </c>
      <c r="O2304" s="75">
        <f>M2304+N2304</f>
        <v>1401.164608887922</v>
      </c>
      <c r="P2304" s="75">
        <f>(MIN(L2304,'THAM_SO_MOI'!$C$41)-O2304)/('THAM_SO_MOI'!$C$11*H2304)</f>
        <v>0.7715557176617478</v>
      </c>
      <c r="Q2304" s="75">
        <f>IF(P2304&gt;0,1/P2304,NA())</f>
        <v>1.296082676997804</v>
      </c>
      <c r="R2304" s="75">
        <f>F2304-F2303</f>
        <v>0.005028991339518285</v>
      </c>
      <c r="S2304" s="75">
        <f>0.5*(Q2303+Q2304)*R2304</f>
        <v>0.006517600467247754</v>
      </c>
      <c r="T2304" s="75">
        <f>0.5*(F2303*Q2303+F2304*Q2304)*R2304</f>
        <v>0.06272463541827392</v>
      </c>
      <c r="U2304" s="76">
        <f>U2303+S2304</f>
        <v>12.011502021731902</v>
      </c>
      <c r="V2304" s="76">
        <f>V2303+T2304</f>
        <v>66.11227784859356</v>
      </c>
    </row>
    <row r="2305" spans="1:22" ht="19" customHeight="1">
      <c r="A2305" s="68" t="s">
        <v>374</v>
      </c>
      <c r="B2305" s="74">
        <v>3</v>
      </c>
      <c r="C2305" s="68" t="s">
        <v>363</v>
      </c>
      <c r="D2305" s="68" t="s">
        <v>364</v>
      </c>
      <c r="E2305" s="75">
        <f>60*F2305*'THAM_SO_MOI'!$C$51/(2*PI()*'THAM_SO_MOI'!$C$26)</f>
        <v>2419.3550409523577</v>
      </c>
      <c r="F2305" s="75">
        <f>'HANH_TRINH'!$F$1647+('THAM_SO_MOI'!$F$51-'HANH_TRINH'!$F$1647)*657/'THAM_SO_MOI'!$C$42</f>
        <v>9.631428037408682</v>
      </c>
      <c r="G2305" s="75">
        <f>3.6*F2305</f>
        <v>34.67314093467126</v>
      </c>
      <c r="H2305" s="75">
        <f>'THAM_SO_MOI'!$D$51</f>
        <v>1.375</v>
      </c>
      <c r="I2305" s="75">
        <f>IF(F2305&gt;'THAM_SO_MOI'!$C$14,'THAM_SO_MOI'!$C$13*(1+F2305^2/1500),'THAM_SO_MOI'!$C$13)</f>
        <v>0.015</v>
      </c>
      <c r="J2305" s="75">
        <f>'THAM_SO_MOI'!$C$40*('THAM_SO_MOI'!$C$23*(E2305/'THAM_SO_MOI'!$C$22)+'THAM_SO_MOI'!$C$24*(E2305/'THAM_SO_MOI'!$C$22)^2-'THAM_SO_MOI'!$C$25*(E2305/'THAM_SO_MOI'!$C$22)^3)</f>
        <v>108.17001387838972</v>
      </c>
      <c r="K2305" s="75">
        <f>'THAM_SO_MOI'!$C$31*J2305/E2305</f>
        <v>427.03217445629036</v>
      </c>
      <c r="L2305" s="75">
        <f>K2305*'THAM_SO_MOI'!$C$51*'THAM_SO_MOI'!$C$17/'THAM_SO_MOI'!$C$26</f>
        <v>9548.102297412572</v>
      </c>
      <c r="M2305" s="75">
        <f>'THAM_SO_MOI'!$C$15*'THAM_SO_MOI'!$C$16*F2305^2</f>
        <v>271.3358876663625</v>
      </c>
      <c r="N2305" s="75">
        <f>'THAM_SO_MOI'!$C$12*I2305</f>
        <v>1130.112</v>
      </c>
      <c r="O2305" s="75">
        <f>M2305+N2305</f>
        <v>1401.4478876663625</v>
      </c>
      <c r="P2305" s="75">
        <f>(MIN(L2305,'THAM_SO_MOI'!$C$41)-O2305)/('THAM_SO_MOI'!$C$11*H2305)</f>
        <v>0.7714634857714213</v>
      </c>
      <c r="Q2305" s="75">
        <f>IF(P2305&gt;0,1/P2305,NA())</f>
        <v>1.2962376294453581</v>
      </c>
      <c r="R2305" s="75">
        <f>F2305-F2304</f>
        <v>0.005028991339518285</v>
      </c>
      <c r="S2305" s="75">
        <f>0.5*(Q2304+Q2305)*R2305</f>
        <v>0.006518378185180025</v>
      </c>
      <c r="T2305" s="75">
        <f>0.5*(F2304*Q2304+F2305*Q2305)*R2305</f>
        <v>0.06276490095717158</v>
      </c>
      <c r="U2305" s="76">
        <f>U2304+S2305</f>
        <v>12.018020399917082</v>
      </c>
      <c r="V2305" s="76">
        <f>V2304+T2305</f>
        <v>66.17504274955074</v>
      </c>
    </row>
    <row r="2306" spans="1:22" ht="19" customHeight="1">
      <c r="A2306" s="68" t="s">
        <v>374</v>
      </c>
      <c r="B2306" s="74">
        <v>3</v>
      </c>
      <c r="C2306" s="68" t="s">
        <v>363</v>
      </c>
      <c r="D2306" s="68" t="s">
        <v>364</v>
      </c>
      <c r="E2306" s="75">
        <f>60*F2306*'THAM_SO_MOI'!$C$51/(2*PI()*'THAM_SO_MOI'!$C$26)</f>
        <v>2420.6182924142295</v>
      </c>
      <c r="F2306" s="75">
        <f>'HANH_TRINH'!$F$1647+('THAM_SO_MOI'!$F$51-'HANH_TRINH'!$F$1647)*658/'THAM_SO_MOI'!$C$42</f>
        <v>9.6364570287482</v>
      </c>
      <c r="G2306" s="75">
        <f>3.6*F2306</f>
        <v>34.691245303493524</v>
      </c>
      <c r="H2306" s="75">
        <f>'THAM_SO_MOI'!$D$51</f>
        <v>1.375</v>
      </c>
      <c r="I2306" s="75">
        <f>IF(F2306&gt;'THAM_SO_MOI'!$C$14,'THAM_SO_MOI'!$C$13*(1+F2306^2/1500),'THAM_SO_MOI'!$C$13)</f>
        <v>0.015</v>
      </c>
      <c r="J2306" s="75">
        <f>'THAM_SO_MOI'!$C$40*('THAM_SO_MOI'!$C$23*(E2306/'THAM_SO_MOI'!$C$22)+'THAM_SO_MOI'!$C$24*(E2306/'THAM_SO_MOI'!$C$22)^2-'THAM_SO_MOI'!$C$25*(E2306/'THAM_SO_MOI'!$C$22)^3)</f>
        <v>108.21862607318465</v>
      </c>
      <c r="K2306" s="75">
        <f>'THAM_SO_MOI'!$C$31*J2306/E2306</f>
        <v>427.0011290146737</v>
      </c>
      <c r="L2306" s="75">
        <f>K2306*'THAM_SO_MOI'!$C$51*'THAM_SO_MOI'!$C$17/'THAM_SO_MOI'!$C$26</f>
        <v>9547.408145847057</v>
      </c>
      <c r="M2306" s="75">
        <f>'THAM_SO_MOI'!$C$15*'THAM_SO_MOI'!$C$16*F2306^2</f>
        <v>271.6193143957135</v>
      </c>
      <c r="N2306" s="75">
        <f>'THAM_SO_MOI'!$C$12*I2306</f>
        <v>1130.112</v>
      </c>
      <c r="O2306" s="75">
        <f>M2306+N2306</f>
        <v>1401.7313143957135</v>
      </c>
      <c r="P2306" s="75">
        <f>(MIN(L2306,'THAM_SO_MOI'!$C$41)-O2306)/('THAM_SO_MOI'!$C$11*H2306)</f>
        <v>0.771370912069256</v>
      </c>
      <c r="Q2306" s="75">
        <f>IF(P2306&gt;0,1/P2306,NA())</f>
        <v>1.2963931934086426</v>
      </c>
      <c r="R2306" s="75">
        <f>F2306-F2305</f>
        <v>0.005028991339518285</v>
      </c>
      <c r="S2306" s="75">
        <f>0.5*(Q2305+Q2306)*R2306</f>
        <v>0.006519158977350468</v>
      </c>
      <c r="T2306" s="75">
        <f>0.5*(F2305*Q2305+F2306*Q2306)*R2306</f>
        <v>0.06280520393537929</v>
      </c>
      <c r="U2306" s="76">
        <f>U2305+S2306</f>
        <v>12.024539558894434</v>
      </c>
      <c r="V2306" s="76">
        <f>V2305+T2306</f>
        <v>66.23784795348612</v>
      </c>
    </row>
    <row r="2307" spans="1:22" ht="19" customHeight="1">
      <c r="A2307" s="68" t="s">
        <v>374</v>
      </c>
      <c r="B2307" s="74">
        <v>3</v>
      </c>
      <c r="C2307" s="68" t="s">
        <v>363</v>
      </c>
      <c r="D2307" s="68" t="s">
        <v>364</v>
      </c>
      <c r="E2307" s="75">
        <f>60*F2307*'THAM_SO_MOI'!$C$51/(2*PI()*'THAM_SO_MOI'!$C$26)</f>
        <v>2421.8815438761007</v>
      </c>
      <c r="F2307" s="75">
        <f>'HANH_TRINH'!$F$1647+('THAM_SO_MOI'!$F$51-'HANH_TRINH'!$F$1647)*659/'THAM_SO_MOI'!$C$42</f>
        <v>9.641486020087717</v>
      </c>
      <c r="G2307" s="75">
        <f>3.6*F2307</f>
        <v>34.70934967231578</v>
      </c>
      <c r="H2307" s="75">
        <f>'THAM_SO_MOI'!$D$51</f>
        <v>1.375</v>
      </c>
      <c r="I2307" s="75">
        <f>IF(F2307&gt;'THAM_SO_MOI'!$C$14,'THAM_SO_MOI'!$C$13*(1+F2307^2/1500),'THAM_SO_MOI'!$C$13)</f>
        <v>0.015</v>
      </c>
      <c r="J2307" s="75">
        <f>'THAM_SO_MOI'!$C$40*('THAM_SO_MOI'!$C$23*(E2307/'THAM_SO_MOI'!$C$22)+'THAM_SO_MOI'!$C$24*(E2307/'THAM_SO_MOI'!$C$22)^2-'THAM_SO_MOI'!$C$25*(E2307/'THAM_SO_MOI'!$C$22)^3)</f>
        <v>108.26719079863042</v>
      </c>
      <c r="K2307" s="75">
        <f>'THAM_SO_MOI'!$C$31*J2307/E2307</f>
        <v>426.9699287562266</v>
      </c>
      <c r="L2307" s="75">
        <f>K2307*'THAM_SO_MOI'!$C$51*'THAM_SO_MOI'!$C$17/'THAM_SO_MOI'!$C$26</f>
        <v>9546.710532699435</v>
      </c>
      <c r="M2307" s="75">
        <f>'THAM_SO_MOI'!$C$15*'THAM_SO_MOI'!$C$16*F2307^2</f>
        <v>271.90288907597466</v>
      </c>
      <c r="N2307" s="75">
        <f>'THAM_SO_MOI'!$C$12*I2307</f>
        <v>1130.112</v>
      </c>
      <c r="O2307" s="75">
        <f>M2307+N2307</f>
        <v>1402.0148890759747</v>
      </c>
      <c r="P2307" s="75">
        <f>(MIN(L2307,'THAM_SO_MOI'!$C$41)-O2307)/('THAM_SO_MOI'!$C$11*H2307)</f>
        <v>0.771277996555252</v>
      </c>
      <c r="Q2307" s="75">
        <f>IF(P2307&gt;0,1/P2307,NA())</f>
        <v>1.2965493693146775</v>
      </c>
      <c r="R2307" s="75">
        <f>F2307-F2306</f>
        <v>0.005028991339516509</v>
      </c>
      <c r="S2307" s="75">
        <f>0.5*(Q2306+Q2307)*R2307</f>
        <v>0.006519942845899659</v>
      </c>
      <c r="T2307" s="75">
        <f>0.5*(F2306*Q2306+F2307*Q2307)*R2307</f>
        <v>0.062845544419911</v>
      </c>
      <c r="U2307" s="76">
        <f>U2306+S2307</f>
        <v>12.031059501740334</v>
      </c>
      <c r="V2307" s="76">
        <f>V2306+T2307</f>
        <v>66.30069349790604</v>
      </c>
    </row>
    <row r="2308" spans="1:22" ht="19" customHeight="1">
      <c r="A2308" s="68" t="s">
        <v>374</v>
      </c>
      <c r="B2308" s="74">
        <v>3</v>
      </c>
      <c r="C2308" s="68" t="s">
        <v>363</v>
      </c>
      <c r="D2308" s="68" t="s">
        <v>364</v>
      </c>
      <c r="E2308" s="75">
        <f>60*F2308*'THAM_SO_MOI'!$C$51/(2*PI()*'THAM_SO_MOI'!$C$26)</f>
        <v>2423.1447953379725</v>
      </c>
      <c r="F2308" s="75">
        <f>'HANH_TRINH'!$F$1647+('THAM_SO_MOI'!$F$51-'HANH_TRINH'!$F$1647)*660/'THAM_SO_MOI'!$C$42</f>
        <v>9.646515011427235</v>
      </c>
      <c r="G2308" s="75">
        <f>3.6*F2308</f>
        <v>34.727454041138046</v>
      </c>
      <c r="H2308" s="75">
        <f>'THAM_SO_MOI'!$D$51</f>
        <v>1.375</v>
      </c>
      <c r="I2308" s="75">
        <f>IF(F2308&gt;'THAM_SO_MOI'!$C$14,'THAM_SO_MOI'!$C$13*(1+F2308^2/1500),'THAM_SO_MOI'!$C$13)</f>
        <v>0.015</v>
      </c>
      <c r="J2308" s="75">
        <f>'THAM_SO_MOI'!$C$40*('THAM_SO_MOI'!$C$23*(E2308/'THAM_SO_MOI'!$C$22)+'THAM_SO_MOI'!$C$24*(E2308/'THAM_SO_MOI'!$C$22)^2-'THAM_SO_MOI'!$C$25*(E2308/'THAM_SO_MOI'!$C$22)^3)</f>
        <v>108.31570799329772</v>
      </c>
      <c r="K2308" s="75">
        <f>'THAM_SO_MOI'!$C$31*J2308/E2308</f>
        <v>426.93857368094893</v>
      </c>
      <c r="L2308" s="75">
        <f>K2308*'THAM_SO_MOI'!$C$51*'THAM_SO_MOI'!$C$17/'THAM_SO_MOI'!$C$26</f>
        <v>9546.009457969702</v>
      </c>
      <c r="M2308" s="75">
        <f>'THAM_SO_MOI'!$C$15*'THAM_SO_MOI'!$C$16*F2308^2</f>
        <v>272.1866117071462</v>
      </c>
      <c r="N2308" s="75">
        <f>'THAM_SO_MOI'!$C$12*I2308</f>
        <v>1130.112</v>
      </c>
      <c r="O2308" s="75">
        <f>M2308+N2308</f>
        <v>1402.2986117071464</v>
      </c>
      <c r="P2308" s="75">
        <f>(MIN(L2308,'THAM_SO_MOI'!$C$41)-O2308)/('THAM_SO_MOI'!$C$11*H2308)</f>
        <v>0.7711847392294087</v>
      </c>
      <c r="Q2308" s="75">
        <f>IF(P2308&gt;0,1/P2308,NA())</f>
        <v>1.2967061575923178</v>
      </c>
      <c r="R2308" s="75">
        <f>F2308-F2307</f>
        <v>0.005028991339518285</v>
      </c>
      <c r="S2308" s="75">
        <f>0.5*(Q2307+Q2308)*R2308</f>
        <v>0.006520729792986604</v>
      </c>
      <c r="T2308" s="75">
        <f>0.5*(F2307*Q2307+F2308*Q2308)*R2308</f>
        <v>0.06288592247800137</v>
      </c>
      <c r="U2308" s="76">
        <f>U2307+S2308</f>
        <v>12.03758023153332</v>
      </c>
      <c r="V2308" s="76">
        <f>V2307+T2308</f>
        <v>66.36357942038404</v>
      </c>
    </row>
    <row r="2309" spans="1:22" ht="19" customHeight="1">
      <c r="A2309" s="68" t="s">
        <v>374</v>
      </c>
      <c r="B2309" s="74">
        <v>3</v>
      </c>
      <c r="C2309" s="68" t="s">
        <v>363</v>
      </c>
      <c r="D2309" s="68" t="s">
        <v>364</v>
      </c>
      <c r="E2309" s="75">
        <f>60*F2309*'THAM_SO_MOI'!$C$51/(2*PI()*'THAM_SO_MOI'!$C$26)</f>
        <v>2424.4080467998438</v>
      </c>
      <c r="F2309" s="75">
        <f>'HANH_TRINH'!$F$1647+('THAM_SO_MOI'!$F$51-'HANH_TRINH'!$F$1647)*661/'THAM_SO_MOI'!$C$42</f>
        <v>9.651544002766752</v>
      </c>
      <c r="G2309" s="75">
        <f>3.6*F2309</f>
        <v>34.74555840996031</v>
      </c>
      <c r="H2309" s="75">
        <f>'THAM_SO_MOI'!$D$51</f>
        <v>1.375</v>
      </c>
      <c r="I2309" s="75">
        <f>IF(F2309&gt;'THAM_SO_MOI'!$C$14,'THAM_SO_MOI'!$C$13*(1+F2309^2/1500),'THAM_SO_MOI'!$C$13)</f>
        <v>0.015</v>
      </c>
      <c r="J2309" s="75">
        <f>'THAM_SO_MOI'!$C$40*('THAM_SO_MOI'!$C$23*(E2309/'THAM_SO_MOI'!$C$22)+'THAM_SO_MOI'!$C$24*(E2309/'THAM_SO_MOI'!$C$22)^2-'THAM_SO_MOI'!$C$25*(E2309/'THAM_SO_MOI'!$C$22)^3)</f>
        <v>108.36417759575717</v>
      </c>
      <c r="K2309" s="75">
        <f>'THAM_SO_MOI'!$C$31*J2309/E2309</f>
        <v>426.9070637888408</v>
      </c>
      <c r="L2309" s="75">
        <f>K2309*'THAM_SO_MOI'!$C$51*'THAM_SO_MOI'!$C$17/'THAM_SO_MOI'!$C$26</f>
        <v>9545.30492165786</v>
      </c>
      <c r="M2309" s="75">
        <f>'THAM_SO_MOI'!$C$15*'THAM_SO_MOI'!$C$16*F2309^2</f>
        <v>272.47048228922785</v>
      </c>
      <c r="N2309" s="75">
        <f>'THAM_SO_MOI'!$C$12*I2309</f>
        <v>1130.112</v>
      </c>
      <c r="O2309" s="75">
        <f>M2309+N2309</f>
        <v>1402.582482289228</v>
      </c>
      <c r="P2309" s="75">
        <f>(MIN(L2309,'THAM_SO_MOI'!$C$41)-O2309)/('THAM_SO_MOI'!$C$11*H2309)</f>
        <v>0.7710911400917266</v>
      </c>
      <c r="Q2309" s="75">
        <f>IF(P2309&gt;0,1/P2309,NA())</f>
        <v>1.2968635586722512</v>
      </c>
      <c r="R2309" s="75">
        <f>F2309-F2308</f>
        <v>0.005028991339516509</v>
      </c>
      <c r="S2309" s="75">
        <f>0.5*(Q2308+Q2309)*R2309</f>
        <v>0.006521519820763403</v>
      </c>
      <c r="T2309" s="75">
        <f>0.5*(F2308*Q2308+F2309*Q2309)*R2309</f>
        <v>0.06292633817686197</v>
      </c>
      <c r="U2309" s="76">
        <f>U2308+S2309</f>
        <v>12.044101751354084</v>
      </c>
      <c r="V2309" s="76">
        <f>V2308+T2309</f>
        <v>66.42650575856091</v>
      </c>
    </row>
    <row r="2310" spans="1:22" ht="19" customHeight="1">
      <c r="A2310" s="68" t="s">
        <v>374</v>
      </c>
      <c r="B2310" s="74">
        <v>3</v>
      </c>
      <c r="C2310" s="68" t="s">
        <v>363</v>
      </c>
      <c r="D2310" s="68" t="s">
        <v>364</v>
      </c>
      <c r="E2310" s="75">
        <f>60*F2310*'THAM_SO_MOI'!$C$51/(2*PI()*'THAM_SO_MOI'!$C$26)</f>
        <v>2425.671298261715</v>
      </c>
      <c r="F2310" s="75">
        <f>'HANH_TRINH'!$F$1647+('THAM_SO_MOI'!$F$51-'HANH_TRINH'!$F$1647)*662/'THAM_SO_MOI'!$C$42</f>
        <v>9.65657299410627</v>
      </c>
      <c r="G2310" s="75">
        <f>3.6*F2310</f>
        <v>34.763662778782574</v>
      </c>
      <c r="H2310" s="75">
        <f>'THAM_SO_MOI'!$D$51</f>
        <v>1.375</v>
      </c>
      <c r="I2310" s="75">
        <f>IF(F2310&gt;'THAM_SO_MOI'!$C$14,'THAM_SO_MOI'!$C$13*(1+F2310^2/1500),'THAM_SO_MOI'!$C$13)</f>
        <v>0.015</v>
      </c>
      <c r="J2310" s="75">
        <f>'THAM_SO_MOI'!$C$40*('THAM_SO_MOI'!$C$23*(E2310/'THAM_SO_MOI'!$C$22)+'THAM_SO_MOI'!$C$24*(E2310/'THAM_SO_MOI'!$C$22)^2-'THAM_SO_MOI'!$C$25*(E2310/'THAM_SO_MOI'!$C$22)^3)</f>
        <v>108.41259954457944</v>
      </c>
      <c r="K2310" s="75">
        <f>'THAM_SO_MOI'!$C$31*J2310/E2310</f>
        <v>426.87539907990225</v>
      </c>
      <c r="L2310" s="75">
        <f>K2310*'THAM_SO_MOI'!$C$51*'THAM_SO_MOI'!$C$17/'THAM_SO_MOI'!$C$26</f>
        <v>9544.596923763913</v>
      </c>
      <c r="M2310" s="75">
        <f>'THAM_SO_MOI'!$C$15*'THAM_SO_MOI'!$C$16*F2310^2</f>
        <v>272.75450082221994</v>
      </c>
      <c r="N2310" s="75">
        <f>'THAM_SO_MOI'!$C$12*I2310</f>
        <v>1130.112</v>
      </c>
      <c r="O2310" s="75">
        <f>M2310+N2310</f>
        <v>1402.8665008222201</v>
      </c>
      <c r="P2310" s="75">
        <f>(MIN(L2310,'THAM_SO_MOI'!$C$41)-O2310)/('THAM_SO_MOI'!$C$11*H2310)</f>
        <v>0.7709971991422057</v>
      </c>
      <c r="Q2310" s="75">
        <f>IF(P2310&gt;0,1/P2310,NA())</f>
        <v>1.2970215729870067</v>
      </c>
      <c r="R2310" s="75">
        <f>F2310-F2309</f>
        <v>0.005028991339518285</v>
      </c>
      <c r="S2310" s="75">
        <f>0.5*(Q2309+Q2310)*R2310</f>
        <v>0.0065223129314098275</v>
      </c>
      <c r="T2310" s="75">
        <f>0.5*(F2309*Q2309+F2310*Q2310)*R2310</f>
        <v>0.06296679158401468</v>
      </c>
      <c r="U2310" s="76">
        <f>U2309+S2310</f>
        <v>12.050624064285493</v>
      </c>
      <c r="V2310" s="76">
        <f>V2309+T2310</f>
        <v>66.48947255014492</v>
      </c>
    </row>
    <row r="2311" spans="1:22" ht="19" customHeight="1">
      <c r="A2311" s="68" t="s">
        <v>374</v>
      </c>
      <c r="B2311" s="74">
        <v>3</v>
      </c>
      <c r="C2311" s="68" t="s">
        <v>363</v>
      </c>
      <c r="D2311" s="68" t="s">
        <v>364</v>
      </c>
      <c r="E2311" s="75">
        <f>60*F2311*'THAM_SO_MOI'!$C$51/(2*PI()*'THAM_SO_MOI'!$C$26)</f>
        <v>2426.9345497235868</v>
      </c>
      <c r="F2311" s="75">
        <f>'HANH_TRINH'!$F$1647+('THAM_SO_MOI'!$F$51-'HANH_TRINH'!$F$1647)*663/'THAM_SO_MOI'!$C$42</f>
        <v>9.661601985445788</v>
      </c>
      <c r="G2311" s="75">
        <f>3.6*F2311</f>
        <v>34.78176714760484</v>
      </c>
      <c r="H2311" s="75">
        <f>'THAM_SO_MOI'!$D$51</f>
        <v>1.375</v>
      </c>
      <c r="I2311" s="75">
        <f>IF(F2311&gt;'THAM_SO_MOI'!$C$14,'THAM_SO_MOI'!$C$13*(1+F2311^2/1500),'THAM_SO_MOI'!$C$13)</f>
        <v>0.015</v>
      </c>
      <c r="J2311" s="75">
        <f>'THAM_SO_MOI'!$C$40*('THAM_SO_MOI'!$C$23*(E2311/'THAM_SO_MOI'!$C$22)+'THAM_SO_MOI'!$C$24*(E2311/'THAM_SO_MOI'!$C$22)^2-'THAM_SO_MOI'!$C$25*(E2311/'THAM_SO_MOI'!$C$22)^3)</f>
        <v>108.46097377833517</v>
      </c>
      <c r="K2311" s="75">
        <f>'THAM_SO_MOI'!$C$31*J2311/E2311</f>
        <v>426.8435795541331</v>
      </c>
      <c r="L2311" s="75">
        <f>K2311*'THAM_SO_MOI'!$C$51*'THAM_SO_MOI'!$C$17/'THAM_SO_MOI'!$C$26</f>
        <v>9543.885464287854</v>
      </c>
      <c r="M2311" s="75">
        <f>'THAM_SO_MOI'!$C$15*'THAM_SO_MOI'!$C$16*F2311^2</f>
        <v>273.03866730612225</v>
      </c>
      <c r="N2311" s="75">
        <f>'THAM_SO_MOI'!$C$12*I2311</f>
        <v>1130.112</v>
      </c>
      <c r="O2311" s="75">
        <f>M2311+N2311</f>
        <v>1403.1506673061224</v>
      </c>
      <c r="P2311" s="75">
        <f>(MIN(L2311,'THAM_SO_MOI'!$C$41)-O2311)/('THAM_SO_MOI'!$C$11*H2311)</f>
        <v>0.7709029163808458</v>
      </c>
      <c r="Q2311" s="75">
        <f>IF(P2311&gt;0,1/P2311,NA())</f>
        <v>1.2971802009709539</v>
      </c>
      <c r="R2311" s="75">
        <f>F2311-F2310</f>
        <v>0.005028991339518285</v>
      </c>
      <c r="S2311" s="75">
        <f>0.5*(Q2310+Q2311)*R2311</f>
        <v>0.006523109127098779</v>
      </c>
      <c r="T2311" s="75">
        <f>0.5*(F2310*Q2310+F2311*Q2311)*R2311</f>
        <v>0.06300728276695895</v>
      </c>
      <c r="U2311" s="76">
        <f>U2310+S2311</f>
        <v>12.057147173412591</v>
      </c>
      <c r="V2311" s="76">
        <f>V2310+T2311</f>
        <v>66.55247983291189</v>
      </c>
    </row>
    <row r="2312" spans="1:22" ht="19" customHeight="1">
      <c r="A2312" s="68" t="s">
        <v>374</v>
      </c>
      <c r="B2312" s="74">
        <v>3</v>
      </c>
      <c r="C2312" s="68" t="s">
        <v>363</v>
      </c>
      <c r="D2312" s="68" t="s">
        <v>364</v>
      </c>
      <c r="E2312" s="75">
        <f>60*F2312*'THAM_SO_MOI'!$C$51/(2*PI()*'THAM_SO_MOI'!$C$26)</f>
        <v>2428.197801185459</v>
      </c>
      <c r="F2312" s="75">
        <f>'HANH_TRINH'!$F$1647+('THAM_SO_MOI'!$F$51-'HANH_TRINH'!$F$1647)*664/'THAM_SO_MOI'!$C$42</f>
        <v>9.666630976785306</v>
      </c>
      <c r="G2312" s="75">
        <f>3.6*F2312</f>
        <v>34.7998715164271</v>
      </c>
      <c r="H2312" s="75">
        <f>'THAM_SO_MOI'!$D$51</f>
        <v>1.375</v>
      </c>
      <c r="I2312" s="75">
        <f>IF(F2312&gt;'THAM_SO_MOI'!$C$14,'THAM_SO_MOI'!$C$13*(1+F2312^2/1500),'THAM_SO_MOI'!$C$13)</f>
        <v>0.015</v>
      </c>
      <c r="J2312" s="75">
        <f>'THAM_SO_MOI'!$C$40*('THAM_SO_MOI'!$C$23*(E2312/'THAM_SO_MOI'!$C$22)+'THAM_SO_MOI'!$C$24*(E2312/'THAM_SO_MOI'!$C$22)^2-'THAM_SO_MOI'!$C$25*(E2312/'THAM_SO_MOI'!$C$22)^3)</f>
        <v>108.50930023559502</v>
      </c>
      <c r="K2312" s="75">
        <f>'THAM_SO_MOI'!$C$31*J2312/E2312</f>
        <v>426.81160521153333</v>
      </c>
      <c r="L2312" s="75">
        <f>K2312*'THAM_SO_MOI'!$C$51*'THAM_SO_MOI'!$C$17/'THAM_SO_MOI'!$C$26</f>
        <v>9543.170543229682</v>
      </c>
      <c r="M2312" s="75">
        <f>'THAM_SO_MOI'!$C$15*'THAM_SO_MOI'!$C$16*F2312^2</f>
        <v>273.32298174093484</v>
      </c>
      <c r="N2312" s="75">
        <f>'THAM_SO_MOI'!$C$12*I2312</f>
        <v>1130.112</v>
      </c>
      <c r="O2312" s="75">
        <f>M2312+N2312</f>
        <v>1403.434981740935</v>
      </c>
      <c r="P2312" s="75">
        <f>(MIN(L2312,'THAM_SO_MOI'!$C$41)-O2312)/('THAM_SO_MOI'!$C$11*H2312)</f>
        <v>0.7708082918076464</v>
      </c>
      <c r="Q2312" s="75">
        <f>IF(P2312&gt;0,1/P2312,NA())</f>
        <v>1.297339443060309</v>
      </c>
      <c r="R2312" s="75">
        <f>F2312-F2311</f>
        <v>0.005028991339518285</v>
      </c>
      <c r="S2312" s="75">
        <f>0.5*(Q2311+Q2312)*R2312</f>
        <v>0.006523908410021643</v>
      </c>
      <c r="T2312" s="75">
        <f>0.5*(F2311*Q2311+F2312*Q2312)*R2312</f>
        <v>0.06304781179341659</v>
      </c>
      <c r="U2312" s="76">
        <f>U2311+S2312</f>
        <v>12.063671081822614</v>
      </c>
      <c r="V2312" s="76">
        <f>V2311+T2312</f>
        <v>66.6155276447053</v>
      </c>
    </row>
    <row r="2313" spans="1:22" ht="19" customHeight="1">
      <c r="A2313" s="68" t="s">
        <v>374</v>
      </c>
      <c r="B2313" s="74">
        <v>3</v>
      </c>
      <c r="C2313" s="68" t="s">
        <v>363</v>
      </c>
      <c r="D2313" s="68" t="s">
        <v>364</v>
      </c>
      <c r="E2313" s="75">
        <f>60*F2313*'THAM_SO_MOI'!$C$51/(2*PI()*'THAM_SO_MOI'!$C$26)</f>
        <v>2429.4610526473302</v>
      </c>
      <c r="F2313" s="75">
        <f>'HANH_TRINH'!$F$1647+('THAM_SO_MOI'!$F$51-'HANH_TRINH'!$F$1647)*665/'THAM_SO_MOI'!$C$42</f>
        <v>9.671659968124823</v>
      </c>
      <c r="G2313" s="75">
        <f>3.6*F2313</f>
        <v>34.81797588524936</v>
      </c>
      <c r="H2313" s="75">
        <f>'THAM_SO_MOI'!$D$51</f>
        <v>1.375</v>
      </c>
      <c r="I2313" s="75">
        <f>IF(F2313&gt;'THAM_SO_MOI'!$C$14,'THAM_SO_MOI'!$C$13*(1+F2313^2/1500),'THAM_SO_MOI'!$C$13)</f>
        <v>0.015</v>
      </c>
      <c r="J2313" s="75">
        <f>'THAM_SO_MOI'!$C$40*('THAM_SO_MOI'!$C$23*(E2313/'THAM_SO_MOI'!$C$22)+'THAM_SO_MOI'!$C$24*(E2313/'THAM_SO_MOI'!$C$22)^2-'THAM_SO_MOI'!$C$25*(E2313/'THAM_SO_MOI'!$C$22)^3)</f>
        <v>108.55757885492963</v>
      </c>
      <c r="K2313" s="75">
        <f>'THAM_SO_MOI'!$C$31*J2313/E2313</f>
        <v>426.7794760521033</v>
      </c>
      <c r="L2313" s="75">
        <f>K2313*'THAM_SO_MOI'!$C$51*'THAM_SO_MOI'!$C$17/'THAM_SO_MOI'!$C$26</f>
        <v>9542.45216058941</v>
      </c>
      <c r="M2313" s="75">
        <f>'THAM_SO_MOI'!$C$15*'THAM_SO_MOI'!$C$16*F2313^2</f>
        <v>273.60744412665764</v>
      </c>
      <c r="N2313" s="75">
        <f>'THAM_SO_MOI'!$C$12*I2313</f>
        <v>1130.112</v>
      </c>
      <c r="O2313" s="75">
        <f>M2313+N2313</f>
        <v>1403.7194441266577</v>
      </c>
      <c r="P2313" s="75">
        <f>(MIN(L2313,'THAM_SO_MOI'!$C$41)-O2313)/('THAM_SO_MOI'!$C$11*H2313)</f>
        <v>0.7707133254226091</v>
      </c>
      <c r="Q2313" s="75">
        <f>IF(P2313&gt;0,1/P2313,NA())</f>
        <v>1.2974992996931318</v>
      </c>
      <c r="R2313" s="75">
        <f>F2313-F2312</f>
        <v>0.005028991339516509</v>
      </c>
      <c r="S2313" s="75">
        <f>0.5*(Q2312+Q2313)*R2313</f>
        <v>0.00652471078237448</v>
      </c>
      <c r="T2313" s="75">
        <f>0.5*(F2312*Q2312+F2313*Q2313)*R2313</f>
        <v>0.06308837873119863</v>
      </c>
      <c r="U2313" s="76">
        <f>U2312+S2313</f>
        <v>12.070195792604988</v>
      </c>
      <c r="V2313" s="76">
        <f>V2312+T2313</f>
        <v>66.67861602343649</v>
      </c>
    </row>
    <row r="2314" spans="1:22" ht="19" customHeight="1">
      <c r="A2314" s="68" t="s">
        <v>374</v>
      </c>
      <c r="B2314" s="74">
        <v>3</v>
      </c>
      <c r="C2314" s="68" t="s">
        <v>363</v>
      </c>
      <c r="D2314" s="68" t="s">
        <v>364</v>
      </c>
      <c r="E2314" s="75">
        <f>60*F2314*'THAM_SO_MOI'!$C$51/(2*PI()*'THAM_SO_MOI'!$C$26)</f>
        <v>2430.724304109202</v>
      </c>
      <c r="F2314" s="75">
        <f>'HANH_TRINH'!$F$1647+('THAM_SO_MOI'!$F$51-'HANH_TRINH'!$F$1647)*666/'THAM_SO_MOI'!$C$42</f>
        <v>9.676688959464341</v>
      </c>
      <c r="G2314" s="75">
        <f>3.6*F2314</f>
        <v>34.83608025407163</v>
      </c>
      <c r="H2314" s="75">
        <f>'THAM_SO_MOI'!$D$51</f>
        <v>1.375</v>
      </c>
      <c r="I2314" s="75">
        <f>IF(F2314&gt;'THAM_SO_MOI'!$C$14,'THAM_SO_MOI'!$C$13*(1+F2314^2/1500),'THAM_SO_MOI'!$C$13)</f>
        <v>0.015</v>
      </c>
      <c r="J2314" s="75">
        <f>'THAM_SO_MOI'!$C$40*('THAM_SO_MOI'!$C$23*(E2314/'THAM_SO_MOI'!$C$22)+'THAM_SO_MOI'!$C$24*(E2314/'THAM_SO_MOI'!$C$22)^2-'THAM_SO_MOI'!$C$25*(E2314/'THAM_SO_MOI'!$C$22)^3)</f>
        <v>108.60580957490963</v>
      </c>
      <c r="K2314" s="75">
        <f>'THAM_SO_MOI'!$C$31*J2314/E2314</f>
        <v>426.7471920758426</v>
      </c>
      <c r="L2314" s="75">
        <f>K2314*'THAM_SO_MOI'!$C$51*'THAM_SO_MOI'!$C$17/'THAM_SO_MOI'!$C$26</f>
        <v>9541.730316367022</v>
      </c>
      <c r="M2314" s="75">
        <f>'THAM_SO_MOI'!$C$15*'THAM_SO_MOI'!$C$16*F2314^2</f>
        <v>273.89205446329083</v>
      </c>
      <c r="N2314" s="75">
        <f>'THAM_SO_MOI'!$C$12*I2314</f>
        <v>1130.112</v>
      </c>
      <c r="O2314" s="75">
        <f>M2314+N2314</f>
        <v>1404.004054463291</v>
      </c>
      <c r="P2314" s="75">
        <f>(MIN(L2314,'THAM_SO_MOI'!$C$41)-O2314)/('THAM_SO_MOI'!$C$11*H2314)</f>
        <v>0.7706180172257321</v>
      </c>
      <c r="Q2314" s="75">
        <f>IF(P2314&gt;0,1/P2314,NA())</f>
        <v>1.2976597713093394</v>
      </c>
      <c r="R2314" s="75">
        <f>F2314-F2313</f>
        <v>0.005028991339518285</v>
      </c>
      <c r="S2314" s="75">
        <f>0.5*(Q2313+Q2314)*R2314</f>
        <v>0.006525516246371873</v>
      </c>
      <c r="T2314" s="75">
        <f>0.5*(F2313*Q2313+F2314*Q2314)*R2314</f>
        <v>0.06312898364833948</v>
      </c>
      <c r="U2314" s="76">
        <f>U2313+S2314</f>
        <v>12.07672130885136</v>
      </c>
      <c r="V2314" s="76">
        <f>V2313+T2314</f>
        <v>66.74174500708483</v>
      </c>
    </row>
    <row r="2315" spans="1:22" ht="19" customHeight="1">
      <c r="A2315" s="68" t="s">
        <v>374</v>
      </c>
      <c r="B2315" s="74">
        <v>3</v>
      </c>
      <c r="C2315" s="68" t="s">
        <v>363</v>
      </c>
      <c r="D2315" s="68" t="s">
        <v>364</v>
      </c>
      <c r="E2315" s="75">
        <f>60*F2315*'THAM_SO_MOI'!$C$51/(2*PI()*'THAM_SO_MOI'!$C$26)</f>
        <v>2431.9875555710737</v>
      </c>
      <c r="F2315" s="75">
        <f>'HANH_TRINH'!$F$1647+('THAM_SO_MOI'!$F$51-'HANH_TRINH'!$F$1647)*667/'THAM_SO_MOI'!$C$42</f>
        <v>9.681717950803858</v>
      </c>
      <c r="G2315" s="75">
        <f>3.6*F2315</f>
        <v>34.85418462289389</v>
      </c>
      <c r="H2315" s="75">
        <f>'THAM_SO_MOI'!$D$51</f>
        <v>1.375</v>
      </c>
      <c r="I2315" s="75">
        <f>IF(F2315&gt;'THAM_SO_MOI'!$C$14,'THAM_SO_MOI'!$C$13*(1+F2315^2/1500),'THAM_SO_MOI'!$C$13)</f>
        <v>0.015</v>
      </c>
      <c r="J2315" s="75">
        <f>'THAM_SO_MOI'!$C$40*('THAM_SO_MOI'!$C$23*(E2315/'THAM_SO_MOI'!$C$22)+'THAM_SO_MOI'!$C$24*(E2315/'THAM_SO_MOI'!$C$22)^2-'THAM_SO_MOI'!$C$25*(E2315/'THAM_SO_MOI'!$C$22)^3)</f>
        <v>108.65399233410572</v>
      </c>
      <c r="K2315" s="75">
        <f>'THAM_SO_MOI'!$C$31*J2315/E2315</f>
        <v>426.7147532827514</v>
      </c>
      <c r="L2315" s="75">
        <f>K2315*'THAM_SO_MOI'!$C$51*'THAM_SO_MOI'!$C$17/'THAM_SO_MOI'!$C$26</f>
        <v>9541.005010562529</v>
      </c>
      <c r="M2315" s="75">
        <f>'THAM_SO_MOI'!$C$15*'THAM_SO_MOI'!$C$16*F2315^2</f>
        <v>274.1768127508342</v>
      </c>
      <c r="N2315" s="75">
        <f>'THAM_SO_MOI'!$C$12*I2315</f>
        <v>1130.112</v>
      </c>
      <c r="O2315" s="75">
        <f>M2315+N2315</f>
        <v>1404.2888127508343</v>
      </c>
      <c r="P2315" s="75">
        <f>(MIN(L2315,'THAM_SO_MOI'!$C$41)-O2315)/('THAM_SO_MOI'!$C$11*H2315)</f>
        <v>0.7705223672170165</v>
      </c>
      <c r="Q2315" s="75">
        <f>IF(P2315&gt;0,1/P2315,NA())</f>
        <v>1.2978208583506978</v>
      </c>
      <c r="R2315" s="75">
        <f>F2315-F2314</f>
        <v>0.005028991339516509</v>
      </c>
      <c r="S2315" s="75">
        <f>0.5*(Q2314+Q2315)*R2315</f>
        <v>0.006526324804221591</v>
      </c>
      <c r="T2315" s="75">
        <f>0.5*(F2314*Q2314+F2315*Q2315)*R2315</f>
        <v>0.06316962661285218</v>
      </c>
      <c r="U2315" s="76">
        <f>U2314+S2315</f>
        <v>12.083247633655581</v>
      </c>
      <c r="V2315" s="76">
        <f>V2314+T2315</f>
        <v>66.80491463369768</v>
      </c>
    </row>
    <row r="2316" spans="1:22" ht="19" customHeight="1">
      <c r="A2316" s="68" t="s">
        <v>374</v>
      </c>
      <c r="B2316" s="74">
        <v>3</v>
      </c>
      <c r="C2316" s="68" t="s">
        <v>363</v>
      </c>
      <c r="D2316" s="68" t="s">
        <v>364</v>
      </c>
      <c r="E2316" s="75">
        <f>60*F2316*'THAM_SO_MOI'!$C$51/(2*PI()*'THAM_SO_MOI'!$C$26)</f>
        <v>2433.2508070329454</v>
      </c>
      <c r="F2316" s="75">
        <f>'HANH_TRINH'!$F$1647+('THAM_SO_MOI'!$F$51-'HANH_TRINH'!$F$1647)*668/'THAM_SO_MOI'!$C$42</f>
        <v>9.686746942143376</v>
      </c>
      <c r="G2316" s="75">
        <f>3.6*F2316</f>
        <v>34.872288991716154</v>
      </c>
      <c r="H2316" s="75">
        <f>'THAM_SO_MOI'!$D$51</f>
        <v>1.375</v>
      </c>
      <c r="I2316" s="75">
        <f>IF(F2316&gt;'THAM_SO_MOI'!$C$14,'THAM_SO_MOI'!$C$13*(1+F2316^2/1500),'THAM_SO_MOI'!$C$13)</f>
        <v>0.015</v>
      </c>
      <c r="J2316" s="75">
        <f>'THAM_SO_MOI'!$C$40*('THAM_SO_MOI'!$C$23*(E2316/'THAM_SO_MOI'!$C$22)+'THAM_SO_MOI'!$C$24*(E2316/'THAM_SO_MOI'!$C$22)^2-'THAM_SO_MOI'!$C$25*(E2316/'THAM_SO_MOI'!$C$22)^3)</f>
        <v>108.70212707108851</v>
      </c>
      <c r="K2316" s="75">
        <f>'THAM_SO_MOI'!$C$31*J2316/E2316</f>
        <v>426.68215967282975</v>
      </c>
      <c r="L2316" s="75">
        <f>K2316*'THAM_SO_MOI'!$C$51*'THAM_SO_MOI'!$C$17/'THAM_SO_MOI'!$C$26</f>
        <v>9540.276243175924</v>
      </c>
      <c r="M2316" s="75">
        <f>'THAM_SO_MOI'!$C$15*'THAM_SO_MOI'!$C$16*F2316^2</f>
        <v>274.4617189892879</v>
      </c>
      <c r="N2316" s="75">
        <f>'THAM_SO_MOI'!$C$12*I2316</f>
        <v>1130.112</v>
      </c>
      <c r="O2316" s="75">
        <f>M2316+N2316</f>
        <v>1404.573718989288</v>
      </c>
      <c r="P2316" s="75">
        <f>(MIN(L2316,'THAM_SO_MOI'!$C$41)-O2316)/('THAM_SO_MOI'!$C$11*H2316)</f>
        <v>0.7704263753964619</v>
      </c>
      <c r="Q2316" s="75">
        <f>IF(P2316&gt;0,1/P2316,NA())</f>
        <v>1.2979825612608336</v>
      </c>
      <c r="R2316" s="75">
        <f>F2316-F2315</f>
        <v>0.005028991339518285</v>
      </c>
      <c r="S2316" s="75">
        <f>0.5*(Q2315+Q2316)*R2316</f>
        <v>0.00652713645815917</v>
      </c>
      <c r="T2316" s="75">
        <f>0.5*(F2315*Q2315+F2316*Q2316)*R2316</f>
        <v>0.06321030769306304</v>
      </c>
      <c r="U2316" s="76">
        <f>U2315+S2316</f>
        <v>12.08977477011374</v>
      </c>
      <c r="V2316" s="76">
        <f>V2315+T2316</f>
        <v>66.86812494139075</v>
      </c>
    </row>
    <row r="2317" spans="1:22" ht="19" customHeight="1">
      <c r="A2317" s="68" t="s">
        <v>374</v>
      </c>
      <c r="B2317" s="74">
        <v>3</v>
      </c>
      <c r="C2317" s="68" t="s">
        <v>363</v>
      </c>
      <c r="D2317" s="68" t="s">
        <v>364</v>
      </c>
      <c r="E2317" s="75">
        <f>60*F2317*'THAM_SO_MOI'!$C$51/(2*PI()*'THAM_SO_MOI'!$C$26)</f>
        <v>2434.514058494817</v>
      </c>
      <c r="F2317" s="75">
        <f>'HANH_TRINH'!$F$1647+('THAM_SO_MOI'!$F$51-'HANH_TRINH'!$F$1647)*669/'THAM_SO_MOI'!$C$42</f>
        <v>9.691775933482894</v>
      </c>
      <c r="G2317" s="75">
        <f>3.6*F2317</f>
        <v>34.89039336053842</v>
      </c>
      <c r="H2317" s="75">
        <f>'THAM_SO_MOI'!$D$51</f>
        <v>1.375</v>
      </c>
      <c r="I2317" s="75">
        <f>IF(F2317&gt;'THAM_SO_MOI'!$C$14,'THAM_SO_MOI'!$C$13*(1+F2317^2/1500),'THAM_SO_MOI'!$C$13)</f>
        <v>0.015</v>
      </c>
      <c r="J2317" s="75">
        <f>'THAM_SO_MOI'!$C$40*('THAM_SO_MOI'!$C$23*(E2317/'THAM_SO_MOI'!$C$22)+'THAM_SO_MOI'!$C$24*(E2317/'THAM_SO_MOI'!$C$22)^2-'THAM_SO_MOI'!$C$25*(E2317/'THAM_SO_MOI'!$C$22)^3)</f>
        <v>108.75021372442865</v>
      </c>
      <c r="K2317" s="75">
        <f>'THAM_SO_MOI'!$C$31*J2317/E2317</f>
        <v>426.6494112460775</v>
      </c>
      <c r="L2317" s="75">
        <f>K2317*'THAM_SO_MOI'!$C$51*'THAM_SO_MOI'!$C$17/'THAM_SO_MOI'!$C$26</f>
        <v>9539.54401420721</v>
      </c>
      <c r="M2317" s="75">
        <f>'THAM_SO_MOI'!$C$15*'THAM_SO_MOI'!$C$16*F2317^2</f>
        <v>274.74677317865184</v>
      </c>
      <c r="N2317" s="75">
        <f>'THAM_SO_MOI'!$C$12*I2317</f>
        <v>1130.112</v>
      </c>
      <c r="O2317" s="75">
        <f>M2317+N2317</f>
        <v>1404.858773178652</v>
      </c>
      <c r="P2317" s="75">
        <f>(MIN(L2317,'THAM_SO_MOI'!$C$41)-O2317)/('THAM_SO_MOI'!$C$11*H2317)</f>
        <v>0.770330041764068</v>
      </c>
      <c r="Q2317" s="75">
        <f>IF(P2317&gt;0,1/P2317,NA())</f>
        <v>1.2981448804852322</v>
      </c>
      <c r="R2317" s="75">
        <f>F2317-F2316</f>
        <v>0.005028991339518285</v>
      </c>
      <c r="S2317" s="75">
        <f>0.5*(Q2316+Q2317)*R2317</f>
        <v>0.006527951210413363</v>
      </c>
      <c r="T2317" s="75">
        <f>0.5*(F2316*Q2316+F2317*Q2317)*R2317</f>
        <v>0.06325102695727766</v>
      </c>
      <c r="U2317" s="76">
        <f>U2316+S2317</f>
        <v>12.096302721324154</v>
      </c>
      <c r="V2317" s="76">
        <f>V2316+T2317</f>
        <v>66.93137596834802</v>
      </c>
    </row>
    <row r="2318" spans="1:22" ht="19" customHeight="1">
      <c r="A2318" s="68" t="s">
        <v>374</v>
      </c>
      <c r="B2318" s="74">
        <v>3</v>
      </c>
      <c r="C2318" s="68" t="s">
        <v>363</v>
      </c>
      <c r="D2318" s="68" t="s">
        <v>364</v>
      </c>
      <c r="E2318" s="75">
        <f>60*F2318*'THAM_SO_MOI'!$C$51/(2*PI()*'THAM_SO_MOI'!$C$26)</f>
        <v>2435.777309956689</v>
      </c>
      <c r="F2318" s="75">
        <f>'HANH_TRINH'!$F$1647+('THAM_SO_MOI'!$F$51-'HANH_TRINH'!$F$1647)*670/'THAM_SO_MOI'!$C$42</f>
        <v>9.696804924822413</v>
      </c>
      <c r="G2318" s="75">
        <f>3.6*F2318</f>
        <v>34.90849772936069</v>
      </c>
      <c r="H2318" s="75">
        <f>'THAM_SO_MOI'!$D$51</f>
        <v>1.375</v>
      </c>
      <c r="I2318" s="75">
        <f>IF(F2318&gt;'THAM_SO_MOI'!$C$14,'THAM_SO_MOI'!$C$13*(1+F2318^2/1500),'THAM_SO_MOI'!$C$13)</f>
        <v>0.015</v>
      </c>
      <c r="J2318" s="75">
        <f>'THAM_SO_MOI'!$C$40*('THAM_SO_MOI'!$C$23*(E2318/'THAM_SO_MOI'!$C$22)+'THAM_SO_MOI'!$C$24*(E2318/'THAM_SO_MOI'!$C$22)^2-'THAM_SO_MOI'!$C$25*(E2318/'THAM_SO_MOI'!$C$22)^3)</f>
        <v>108.79825223269685</v>
      </c>
      <c r="K2318" s="75">
        <f>'THAM_SO_MOI'!$C$31*J2318/E2318</f>
        <v>426.6165080024949</v>
      </c>
      <c r="L2318" s="75">
        <f>K2318*'THAM_SO_MOI'!$C$51*'THAM_SO_MOI'!$C$17/'THAM_SO_MOI'!$C$26</f>
        <v>9538.808323656393</v>
      </c>
      <c r="M2318" s="75">
        <f>'THAM_SO_MOI'!$C$15*'THAM_SO_MOI'!$C$16*F2318^2</f>
        <v>275.03197531892613</v>
      </c>
      <c r="N2318" s="75">
        <f>'THAM_SO_MOI'!$C$12*I2318</f>
        <v>1130.112</v>
      </c>
      <c r="O2318" s="75">
        <f>M2318+N2318</f>
        <v>1405.143975318926</v>
      </c>
      <c r="P2318" s="75">
        <f>(MIN(L2318,'THAM_SO_MOI'!$C$41)-O2318)/('THAM_SO_MOI'!$C$11*H2318)</f>
        <v>0.7702333663198357</v>
      </c>
      <c r="Q2318" s="75">
        <f>IF(P2318&gt;0,1/P2318,NA())</f>
        <v>1.2983078164712418</v>
      </c>
      <c r="R2318" s="75">
        <f>F2318-F2317</f>
        <v>0.005028991339518285</v>
      </c>
      <c r="S2318" s="75">
        <f>0.5*(Q2317+Q2318)*R2318</f>
        <v>0.006528769063231501</v>
      </c>
      <c r="T2318" s="75">
        <f>0.5*(F2317*Q2317+F2318*Q2318)*R2318</f>
        <v>0.06329178447402656</v>
      </c>
      <c r="U2318" s="76">
        <f>U2317+S2318</f>
        <v>12.102831490387386</v>
      </c>
      <c r="V2318" s="76">
        <f>V2317+T2318</f>
        <v>66.99466775282205</v>
      </c>
    </row>
    <row r="2319" spans="1:22" ht="19" customHeight="1">
      <c r="A2319" s="68" t="s">
        <v>374</v>
      </c>
      <c r="B2319" s="74">
        <v>3</v>
      </c>
      <c r="C2319" s="68" t="s">
        <v>363</v>
      </c>
      <c r="D2319" s="68" t="s">
        <v>364</v>
      </c>
      <c r="E2319" s="75">
        <f>60*F2319*'THAM_SO_MOI'!$C$51/(2*PI()*'THAM_SO_MOI'!$C$26)</f>
        <v>2437.0405614185606</v>
      </c>
      <c r="F2319" s="75">
        <f>'HANH_TRINH'!$F$1647+('THAM_SO_MOI'!$F$51-'HANH_TRINH'!$F$1647)*671/'THAM_SO_MOI'!$C$42</f>
        <v>9.70183391616193</v>
      </c>
      <c r="G2319" s="75">
        <f>3.6*F2319</f>
        <v>34.92660209818295</v>
      </c>
      <c r="H2319" s="75">
        <f>'THAM_SO_MOI'!$D$51</f>
        <v>1.375</v>
      </c>
      <c r="I2319" s="75">
        <f>IF(F2319&gt;'THAM_SO_MOI'!$C$14,'THAM_SO_MOI'!$C$13*(1+F2319^2/1500),'THAM_SO_MOI'!$C$13)</f>
        <v>0.015</v>
      </c>
      <c r="J2319" s="75">
        <f>'THAM_SO_MOI'!$C$40*('THAM_SO_MOI'!$C$23*(E2319/'THAM_SO_MOI'!$C$22)+'THAM_SO_MOI'!$C$24*(E2319/'THAM_SO_MOI'!$C$22)^2-'THAM_SO_MOI'!$C$25*(E2319/'THAM_SO_MOI'!$C$22)^3)</f>
        <v>108.84624253446367</v>
      </c>
      <c r="K2319" s="75">
        <f>'THAM_SO_MOI'!$C$31*J2319/E2319</f>
        <v>426.5834499420817</v>
      </c>
      <c r="L2319" s="75">
        <f>K2319*'THAM_SO_MOI'!$C$51*'THAM_SO_MOI'!$C$17/'THAM_SO_MOI'!$C$26</f>
        <v>9538.069171523463</v>
      </c>
      <c r="M2319" s="75">
        <f>'THAM_SO_MOI'!$C$15*'THAM_SO_MOI'!$C$16*F2319^2</f>
        <v>275.3173254101105</v>
      </c>
      <c r="N2319" s="75">
        <f>'THAM_SO_MOI'!$C$12*I2319</f>
        <v>1130.112</v>
      </c>
      <c r="O2319" s="75">
        <f>M2319+N2319</f>
        <v>1405.4293254101106</v>
      </c>
      <c r="P2319" s="75">
        <f>(MIN(L2319,'THAM_SO_MOI'!$C$41)-O2319)/('THAM_SO_MOI'!$C$11*H2319)</f>
        <v>0.7701363490637643</v>
      </c>
      <c r="Q2319" s="75">
        <f>IF(P2319&gt;0,1/P2319,NA())</f>
        <v>1.2984713696680792</v>
      </c>
      <c r="R2319" s="75">
        <f>F2319-F2318</f>
        <v>0.005028991339516509</v>
      </c>
      <c r="S2319" s="75">
        <f>0.5*(Q2318+Q2319)*R2319</f>
        <v>0.006529590018865687</v>
      </c>
      <c r="T2319" s="75">
        <f>0.5*(F2318*Q2318+F2319*Q2319)*R2319</f>
        <v>0.06333258031193172</v>
      </c>
      <c r="U2319" s="76">
        <f>U2318+S2319</f>
        <v>12.109361080406252</v>
      </c>
      <c r="V2319" s="76">
        <f>V2318+T2319</f>
        <v>67.05800033313399</v>
      </c>
    </row>
    <row r="2320" spans="1:22" ht="19" customHeight="1">
      <c r="A2320" s="68" t="s">
        <v>374</v>
      </c>
      <c r="B2320" s="74">
        <v>3</v>
      </c>
      <c r="C2320" s="68" t="s">
        <v>363</v>
      </c>
      <c r="D2320" s="68" t="s">
        <v>364</v>
      </c>
      <c r="E2320" s="75">
        <f>60*F2320*'THAM_SO_MOI'!$C$51/(2*PI()*'THAM_SO_MOI'!$C$26)</f>
        <v>2438.303812880432</v>
      </c>
      <c r="F2320" s="75">
        <f>'HANH_TRINH'!$F$1647+('THAM_SO_MOI'!$F$51-'HANH_TRINH'!$F$1647)*672/'THAM_SO_MOI'!$C$42</f>
        <v>9.706862907501447</v>
      </c>
      <c r="G2320" s="75">
        <f>3.6*F2320</f>
        <v>34.94470646700521</v>
      </c>
      <c r="H2320" s="75">
        <f>'THAM_SO_MOI'!$D$51</f>
        <v>1.375</v>
      </c>
      <c r="I2320" s="75">
        <f>IF(F2320&gt;'THAM_SO_MOI'!$C$14,'THAM_SO_MOI'!$C$13*(1+F2320^2/1500),'THAM_SO_MOI'!$C$13)</f>
        <v>0.015</v>
      </c>
      <c r="J2320" s="75">
        <f>'THAM_SO_MOI'!$C$40*('THAM_SO_MOI'!$C$23*(E2320/'THAM_SO_MOI'!$C$22)+'THAM_SO_MOI'!$C$24*(E2320/'THAM_SO_MOI'!$C$22)^2-'THAM_SO_MOI'!$C$25*(E2320/'THAM_SO_MOI'!$C$22)^3)</f>
        <v>108.89418456829979</v>
      </c>
      <c r="K2320" s="75">
        <f>'THAM_SO_MOI'!$C$31*J2320/E2320</f>
        <v>426.550237064838</v>
      </c>
      <c r="L2320" s="75">
        <f>K2320*'THAM_SO_MOI'!$C$51*'THAM_SO_MOI'!$C$17/'THAM_SO_MOI'!$C$26</f>
        <v>9537.326557808421</v>
      </c>
      <c r="M2320" s="75">
        <f>'THAM_SO_MOI'!$C$15*'THAM_SO_MOI'!$C$16*F2320^2</f>
        <v>275.6028234522053</v>
      </c>
      <c r="N2320" s="75">
        <f>'THAM_SO_MOI'!$C$12*I2320</f>
        <v>1130.112</v>
      </c>
      <c r="O2320" s="75">
        <f>M2320+N2320</f>
        <v>1405.7148234522053</v>
      </c>
      <c r="P2320" s="75">
        <f>(MIN(L2320,'THAM_SO_MOI'!$C$41)-O2320)/('THAM_SO_MOI'!$C$11*H2320)</f>
        <v>0.7700389899958537</v>
      </c>
      <c r="Q2320" s="75">
        <f>IF(P2320&gt;0,1/P2320,NA())</f>
        <v>1.2986355405268304</v>
      </c>
      <c r="R2320" s="75">
        <f>F2320-F2319</f>
        <v>0.005028991339518285</v>
      </c>
      <c r="S2320" s="75">
        <f>0.5*(Q2319+Q2320)*R2320</f>
        <v>0.006530414079586647</v>
      </c>
      <c r="T2320" s="75">
        <f>0.5*(F2319*Q2319+F2320*Q2320)*R2320</f>
        <v>0.06337341453984116</v>
      </c>
      <c r="U2320" s="76">
        <f>U2319+S2320</f>
        <v>12.115891494485838</v>
      </c>
      <c r="V2320" s="76">
        <f>V2319+T2320</f>
        <v>67.12137374767383</v>
      </c>
    </row>
    <row r="2321" spans="1:22" ht="19" customHeight="1">
      <c r="A2321" s="68" t="s">
        <v>374</v>
      </c>
      <c r="B2321" s="74">
        <v>3</v>
      </c>
      <c r="C2321" s="68" t="s">
        <v>363</v>
      </c>
      <c r="D2321" s="68" t="s">
        <v>364</v>
      </c>
      <c r="E2321" s="75">
        <f>60*F2321*'THAM_SO_MOI'!$C$51/(2*PI()*'THAM_SO_MOI'!$C$26)</f>
        <v>2439.5670643423036</v>
      </c>
      <c r="F2321" s="75">
        <f>'HANH_TRINH'!$F$1647+('THAM_SO_MOI'!$F$51-'HANH_TRINH'!$F$1647)*673/'THAM_SO_MOI'!$C$42</f>
        <v>9.711891898840966</v>
      </c>
      <c r="G2321" s="75">
        <f>3.6*F2321</f>
        <v>34.962810835827476</v>
      </c>
      <c r="H2321" s="75">
        <f>'THAM_SO_MOI'!$D$51</f>
        <v>1.375</v>
      </c>
      <c r="I2321" s="75">
        <f>IF(F2321&gt;'THAM_SO_MOI'!$C$14,'THAM_SO_MOI'!$C$13*(1+F2321^2/1500),'THAM_SO_MOI'!$C$13)</f>
        <v>0.015</v>
      </c>
      <c r="J2321" s="75">
        <f>'THAM_SO_MOI'!$C$40*('THAM_SO_MOI'!$C$23*(E2321/'THAM_SO_MOI'!$C$22)+'THAM_SO_MOI'!$C$24*(E2321/'THAM_SO_MOI'!$C$22)^2-'THAM_SO_MOI'!$C$25*(E2321/'THAM_SO_MOI'!$C$22)^3)</f>
        <v>108.94207827277593</v>
      </c>
      <c r="K2321" s="75">
        <f>'THAM_SO_MOI'!$C$31*J2321/E2321</f>
        <v>426.51686937076386</v>
      </c>
      <c r="L2321" s="75">
        <f>K2321*'THAM_SO_MOI'!$C$51*'THAM_SO_MOI'!$C$17/'THAM_SO_MOI'!$C$26</f>
        <v>9536.580482511275</v>
      </c>
      <c r="M2321" s="75">
        <f>'THAM_SO_MOI'!$C$15*'THAM_SO_MOI'!$C$16*F2321^2</f>
        <v>275.8884694452104</v>
      </c>
      <c r="N2321" s="75">
        <f>'THAM_SO_MOI'!$C$12*I2321</f>
        <v>1130.112</v>
      </c>
      <c r="O2321" s="75">
        <f>M2321+N2321</f>
        <v>1406.0004694452105</v>
      </c>
      <c r="P2321" s="75">
        <f>(MIN(L2321,'THAM_SO_MOI'!$C$41)-O2321)/('THAM_SO_MOI'!$C$11*H2321)</f>
        <v>0.7699412891161047</v>
      </c>
      <c r="Q2321" s="75">
        <f>IF(P2321&gt;0,1/P2321,NA())</f>
        <v>1.2988003295004527</v>
      </c>
      <c r="R2321" s="75">
        <f>F2321-F2320</f>
        <v>0.005028991339518285</v>
      </c>
      <c r="S2321" s="75">
        <f>0.5*(Q2320+Q2321)*R2321</f>
        <v>0.006531241247660674</v>
      </c>
      <c r="T2321" s="75">
        <f>0.5*(F2320*Q2320+F2321*Q2321)*R2321</f>
        <v>0.06341428722660561</v>
      </c>
      <c r="U2321" s="76">
        <f>U2320+S2321</f>
        <v>12.1224227357335</v>
      </c>
      <c r="V2321" s="76">
        <f>V2320+T2321</f>
        <v>67.18478803490044</v>
      </c>
    </row>
    <row r="2322" spans="1:22" ht="19" customHeight="1">
      <c r="A2322" s="68" t="s">
        <v>374</v>
      </c>
      <c r="B2322" s="74">
        <v>3</v>
      </c>
      <c r="C2322" s="68" t="s">
        <v>363</v>
      </c>
      <c r="D2322" s="68" t="s">
        <v>364</v>
      </c>
      <c r="E2322" s="75">
        <f>60*F2322*'THAM_SO_MOI'!$C$51/(2*PI()*'THAM_SO_MOI'!$C$26)</f>
        <v>2440.830315804175</v>
      </c>
      <c r="F2322" s="75">
        <f>'HANH_TRINH'!$F$1647+('THAM_SO_MOI'!$F$51-'HANH_TRINH'!$F$1647)*674/'THAM_SO_MOI'!$C$42</f>
        <v>9.716920890180482</v>
      </c>
      <c r="G2322" s="75">
        <f>3.6*F2322</f>
        <v>34.98091520464974</v>
      </c>
      <c r="H2322" s="75">
        <f>'THAM_SO_MOI'!$D$51</f>
        <v>1.375</v>
      </c>
      <c r="I2322" s="75">
        <f>IF(F2322&gt;'THAM_SO_MOI'!$C$14,'THAM_SO_MOI'!$C$13*(1+F2322^2/1500),'THAM_SO_MOI'!$C$13)</f>
        <v>0.015</v>
      </c>
      <c r="J2322" s="75">
        <f>'THAM_SO_MOI'!$C$40*('THAM_SO_MOI'!$C$23*(E2322/'THAM_SO_MOI'!$C$22)+'THAM_SO_MOI'!$C$24*(E2322/'THAM_SO_MOI'!$C$22)^2-'THAM_SO_MOI'!$C$25*(E2322/'THAM_SO_MOI'!$C$22)^3)</f>
        <v>108.9899235864626</v>
      </c>
      <c r="K2322" s="75">
        <f>'THAM_SO_MOI'!$C$31*J2322/E2322</f>
        <v>426.48334685985895</v>
      </c>
      <c r="L2322" s="75">
        <f>K2322*'THAM_SO_MOI'!$C$51*'THAM_SO_MOI'!$C$17/'THAM_SO_MOI'!$C$26</f>
        <v>9535.830945632013</v>
      </c>
      <c r="M2322" s="75">
        <f>'THAM_SO_MOI'!$C$15*'THAM_SO_MOI'!$C$16*F2322^2</f>
        <v>276.17426338912566</v>
      </c>
      <c r="N2322" s="75">
        <f>'THAM_SO_MOI'!$C$12*I2322</f>
        <v>1130.112</v>
      </c>
      <c r="O2322" s="75">
        <f>M2322+N2322</f>
        <v>1406.2862633891257</v>
      </c>
      <c r="P2322" s="75">
        <f>(MIN(L2322,'THAM_SO_MOI'!$C$41)-O2322)/('THAM_SO_MOI'!$C$11*H2322)</f>
        <v>0.7698432464245157</v>
      </c>
      <c r="Q2322" s="75">
        <f>IF(P2322&gt;0,1/P2322,NA())</f>
        <v>1.2989657370437833</v>
      </c>
      <c r="R2322" s="75">
        <f>F2322-F2321</f>
        <v>0.005028991339516509</v>
      </c>
      <c r="S2322" s="75">
        <f>0.5*(Q2321+Q2322)*R2322</f>
        <v>0.006532071525370414</v>
      </c>
      <c r="T2322" s="75">
        <f>0.5*(F2321*Q2321+F2322*Q2322)*R2322</f>
        <v>0.06345519844128014</v>
      </c>
      <c r="U2322" s="76">
        <f>U2321+S2322</f>
        <v>12.12895480725887</v>
      </c>
      <c r="V2322" s="76">
        <f>V2321+T2322</f>
        <v>67.24824323334171</v>
      </c>
    </row>
    <row r="2323" spans="1:22" ht="19" customHeight="1">
      <c r="A2323" s="68" t="s">
        <v>374</v>
      </c>
      <c r="B2323" s="74">
        <v>3</v>
      </c>
      <c r="C2323" s="68" t="s">
        <v>363</v>
      </c>
      <c r="D2323" s="68" t="s">
        <v>364</v>
      </c>
      <c r="E2323" s="75">
        <f>60*F2323*'THAM_SO_MOI'!$C$51/(2*PI()*'THAM_SO_MOI'!$C$26)</f>
        <v>2442.0935672660466</v>
      </c>
      <c r="F2323" s="75">
        <f>'HANH_TRINH'!$F$1647+('THAM_SO_MOI'!$F$51-'HANH_TRINH'!$F$1647)*675/'THAM_SO_MOI'!$C$42</f>
        <v>9.72194988152</v>
      </c>
      <c r="G2323" s="75">
        <f>3.6*F2323</f>
        <v>34.999019573472005</v>
      </c>
      <c r="H2323" s="75">
        <f>'THAM_SO_MOI'!$D$51</f>
        <v>1.375</v>
      </c>
      <c r="I2323" s="75">
        <f>IF(F2323&gt;'THAM_SO_MOI'!$C$14,'THAM_SO_MOI'!$C$13*(1+F2323^2/1500),'THAM_SO_MOI'!$C$13)</f>
        <v>0.015</v>
      </c>
      <c r="J2323" s="75">
        <f>'THAM_SO_MOI'!$C$40*('THAM_SO_MOI'!$C$23*(E2323/'THAM_SO_MOI'!$C$22)+'THAM_SO_MOI'!$C$24*(E2323/'THAM_SO_MOI'!$C$22)^2-'THAM_SO_MOI'!$C$25*(E2323/'THAM_SO_MOI'!$C$22)^3)</f>
        <v>109.03772044793061</v>
      </c>
      <c r="K2323" s="75">
        <f>'THAM_SO_MOI'!$C$31*J2323/E2323</f>
        <v>426.4496695321239</v>
      </c>
      <c r="L2323" s="75">
        <f>K2323*'THAM_SO_MOI'!$C$51*'THAM_SO_MOI'!$C$17/'THAM_SO_MOI'!$C$26</f>
        <v>9535.07794717065</v>
      </c>
      <c r="M2323" s="75">
        <f>'THAM_SO_MOI'!$C$15*'THAM_SO_MOI'!$C$16*F2323^2</f>
        <v>276.46020528395127</v>
      </c>
      <c r="N2323" s="75">
        <f>'THAM_SO_MOI'!$C$12*I2323</f>
        <v>1130.112</v>
      </c>
      <c r="O2323" s="75">
        <f>M2323+N2323</f>
        <v>1406.5722052839515</v>
      </c>
      <c r="P2323" s="75">
        <f>(MIN(L2323,'THAM_SO_MOI'!$C$41)-O2323)/('THAM_SO_MOI'!$C$11*H2323)</f>
        <v>0.7697448619210889</v>
      </c>
      <c r="Q2323" s="75">
        <f>IF(P2323&gt;0,1/P2323,NA())</f>
        <v>1.2991317636135333</v>
      </c>
      <c r="R2323" s="75">
        <f>F2323-F2322</f>
        <v>0.005028991339518285</v>
      </c>
      <c r="S2323" s="75">
        <f>0.5*(Q2322+Q2323)*R2323</f>
        <v>0.006532904915014874</v>
      </c>
      <c r="T2323" s="75">
        <f>0.5*(F2322*Q2322+F2323*Q2323)*R2323</f>
        <v>0.0634961482531248</v>
      </c>
      <c r="U2323" s="76">
        <f>U2322+S2323</f>
        <v>12.135487712173884</v>
      </c>
      <c r="V2323" s="76">
        <f>V2322+T2323</f>
        <v>67.31173938159483</v>
      </c>
    </row>
    <row r="2324" spans="1:22" ht="19" customHeight="1">
      <c r="A2324" s="68" t="s">
        <v>374</v>
      </c>
      <c r="B2324" s="74">
        <v>3</v>
      </c>
      <c r="C2324" s="68" t="s">
        <v>363</v>
      </c>
      <c r="D2324" s="68" t="s">
        <v>364</v>
      </c>
      <c r="E2324" s="75">
        <f>60*F2324*'THAM_SO_MOI'!$C$51/(2*PI()*'THAM_SO_MOI'!$C$26)</f>
        <v>2443.3568187279184</v>
      </c>
      <c r="F2324" s="75">
        <f>'HANH_TRINH'!$F$1647+('THAM_SO_MOI'!$F$51-'HANH_TRINH'!$F$1647)*676/'THAM_SO_MOI'!$C$42</f>
        <v>9.726978872859519</v>
      </c>
      <c r="G2324" s="75">
        <f>3.6*F2324</f>
        <v>35.01712394229427</v>
      </c>
      <c r="H2324" s="75">
        <f>'THAM_SO_MOI'!$D$51</f>
        <v>1.375</v>
      </c>
      <c r="I2324" s="75">
        <f>IF(F2324&gt;'THAM_SO_MOI'!$C$14,'THAM_SO_MOI'!$C$13*(1+F2324^2/1500),'THAM_SO_MOI'!$C$13)</f>
        <v>0.015</v>
      </c>
      <c r="J2324" s="75">
        <f>'THAM_SO_MOI'!$C$40*('THAM_SO_MOI'!$C$23*(E2324/'THAM_SO_MOI'!$C$22)+'THAM_SO_MOI'!$C$24*(E2324/'THAM_SO_MOI'!$C$22)^2-'THAM_SO_MOI'!$C$25*(E2324/'THAM_SO_MOI'!$C$22)^3)</f>
        <v>109.08546879575047</v>
      </c>
      <c r="K2324" s="75">
        <f>'THAM_SO_MOI'!$C$31*J2324/E2324</f>
        <v>426.41583738755793</v>
      </c>
      <c r="L2324" s="75">
        <f>K2324*'THAM_SO_MOI'!$C$51*'THAM_SO_MOI'!$C$17/'THAM_SO_MOI'!$C$26</f>
        <v>9534.32148712717</v>
      </c>
      <c r="M2324" s="75">
        <f>'THAM_SO_MOI'!$C$15*'THAM_SO_MOI'!$C$16*F2324^2</f>
        <v>276.7462951296872</v>
      </c>
      <c r="N2324" s="75">
        <f>'THAM_SO_MOI'!$C$12*I2324</f>
        <v>1130.112</v>
      </c>
      <c r="O2324" s="75">
        <f>M2324+N2324</f>
        <v>1406.8582951296873</v>
      </c>
      <c r="P2324" s="75">
        <f>(MIN(L2324,'THAM_SO_MOI'!$C$41)-O2324)/('THAM_SO_MOI'!$C$11*H2324)</f>
        <v>0.7696461356058222</v>
      </c>
      <c r="Q2324" s="75">
        <f>IF(P2324&gt;0,1/P2324,NA())</f>
        <v>1.2992984096683031</v>
      </c>
      <c r="R2324" s="75">
        <f>F2324-F2323</f>
        <v>0.005028991339518285</v>
      </c>
      <c r="S2324" s="75">
        <f>0.5*(Q2323+Q2324)*R2324</f>
        <v>0.006533741418888676</v>
      </c>
      <c r="T2324" s="75">
        <f>0.5*(F2323*Q2323+F2324*Q2324)*R2324</f>
        <v>0.0635371367314033</v>
      </c>
      <c r="U2324" s="76">
        <f>U2323+S2324</f>
        <v>12.142021453592772</v>
      </c>
      <c r="V2324" s="76">
        <f>V2323+T2324</f>
        <v>67.37527651832623</v>
      </c>
    </row>
    <row r="2325" spans="1:22" ht="19" customHeight="1">
      <c r="A2325" s="68" t="s">
        <v>374</v>
      </c>
      <c r="B2325" s="74">
        <v>3</v>
      </c>
      <c r="C2325" s="68" t="s">
        <v>363</v>
      </c>
      <c r="D2325" s="68" t="s">
        <v>364</v>
      </c>
      <c r="E2325" s="75">
        <f>60*F2325*'THAM_SO_MOI'!$C$51/(2*PI()*'THAM_SO_MOI'!$C$26)</f>
        <v>2444.6200701897897</v>
      </c>
      <c r="F2325" s="75">
        <f>'HANH_TRINH'!$F$1647+('THAM_SO_MOI'!$F$51-'HANH_TRINH'!$F$1647)*677/'THAM_SO_MOI'!$C$42</f>
        <v>9.732007864199035</v>
      </c>
      <c r="G2325" s="75">
        <f>3.6*F2325</f>
        <v>35.035228311116526</v>
      </c>
      <c r="H2325" s="75">
        <f>'THAM_SO_MOI'!$D$51</f>
        <v>1.375</v>
      </c>
      <c r="I2325" s="75">
        <f>IF(F2325&gt;'THAM_SO_MOI'!$C$14,'THAM_SO_MOI'!$C$13*(1+F2325^2/1500),'THAM_SO_MOI'!$C$13)</f>
        <v>0.015</v>
      </c>
      <c r="J2325" s="75">
        <f>'THAM_SO_MOI'!$C$40*('THAM_SO_MOI'!$C$23*(E2325/'THAM_SO_MOI'!$C$22)+'THAM_SO_MOI'!$C$24*(E2325/'THAM_SO_MOI'!$C$22)^2-'THAM_SO_MOI'!$C$25*(E2325/'THAM_SO_MOI'!$C$22)^3)</f>
        <v>109.13316856849293</v>
      </c>
      <c r="K2325" s="75">
        <f>'THAM_SO_MOI'!$C$31*J2325/E2325</f>
        <v>426.3818504261618</v>
      </c>
      <c r="L2325" s="75">
        <f>K2325*'THAM_SO_MOI'!$C$51*'THAM_SO_MOI'!$C$17/'THAM_SO_MOI'!$C$26</f>
        <v>9533.56156550159</v>
      </c>
      <c r="M2325" s="75">
        <f>'THAM_SO_MOI'!$C$15*'THAM_SO_MOI'!$C$16*F2325^2</f>
        <v>277.0325329263332</v>
      </c>
      <c r="N2325" s="75">
        <f>'THAM_SO_MOI'!$C$12*I2325</f>
        <v>1130.112</v>
      </c>
      <c r="O2325" s="75">
        <f>M2325+N2325</f>
        <v>1407.1445329263333</v>
      </c>
      <c r="P2325" s="75">
        <f>(MIN(L2325,'THAM_SO_MOI'!$C$41)-O2325)/('THAM_SO_MOI'!$C$11*H2325)</f>
        <v>0.7695470674787176</v>
      </c>
      <c r="Q2325" s="75">
        <f>IF(P2325&gt;0,1/P2325,NA())</f>
        <v>1.299465675668572</v>
      </c>
      <c r="R2325" s="75">
        <f>F2325-F2324</f>
        <v>0.005028991339516509</v>
      </c>
      <c r="S2325" s="75">
        <f>0.5*(Q2324+Q2325)*R2325</f>
        <v>0.006534581039302844</v>
      </c>
      <c r="T2325" s="75">
        <f>0.5*(F2324*Q2324+F2325*Q2325)*R2325</f>
        <v>0.06357816394558498</v>
      </c>
      <c r="U2325" s="76">
        <f>U2324+S2325</f>
        <v>12.148556034632074</v>
      </c>
      <c r="V2325" s="76">
        <f>V2324+T2325</f>
        <v>67.43885468227181</v>
      </c>
    </row>
    <row r="2326" spans="1:22" ht="19" customHeight="1">
      <c r="A2326" s="68" t="s">
        <v>374</v>
      </c>
      <c r="B2326" s="74">
        <v>3</v>
      </c>
      <c r="C2326" s="68" t="s">
        <v>363</v>
      </c>
      <c r="D2326" s="68" t="s">
        <v>364</v>
      </c>
      <c r="E2326" s="75">
        <f>60*F2326*'THAM_SO_MOI'!$C$51/(2*PI()*'THAM_SO_MOI'!$C$26)</f>
        <v>2445.883321651662</v>
      </c>
      <c r="F2326" s="75">
        <f>'HANH_TRINH'!$F$1647+('THAM_SO_MOI'!$F$51-'HANH_TRINH'!$F$1647)*678/'THAM_SO_MOI'!$C$42</f>
        <v>9.737036855538554</v>
      </c>
      <c r="G2326" s="75">
        <f>3.6*F2326</f>
        <v>35.05333267993879</v>
      </c>
      <c r="H2326" s="75">
        <f>'THAM_SO_MOI'!$D$51</f>
        <v>1.375</v>
      </c>
      <c r="I2326" s="75">
        <f>IF(F2326&gt;'THAM_SO_MOI'!$C$14,'THAM_SO_MOI'!$C$13*(1+F2326^2/1500),'THAM_SO_MOI'!$C$13)</f>
        <v>0.015</v>
      </c>
      <c r="J2326" s="75">
        <f>'THAM_SO_MOI'!$C$40*('THAM_SO_MOI'!$C$23*(E2326/'THAM_SO_MOI'!$C$22)+'THAM_SO_MOI'!$C$24*(E2326/'THAM_SO_MOI'!$C$22)^2-'THAM_SO_MOI'!$C$25*(E2326/'THAM_SO_MOI'!$C$22)^3)</f>
        <v>109.18081970472863</v>
      </c>
      <c r="K2326" s="75">
        <f>'THAM_SO_MOI'!$C$31*J2326/E2326</f>
        <v>426.34770864793506</v>
      </c>
      <c r="L2326" s="75">
        <f>K2326*'THAM_SO_MOI'!$C$51*'THAM_SO_MOI'!$C$17/'THAM_SO_MOI'!$C$26</f>
        <v>9532.798182293896</v>
      </c>
      <c r="M2326" s="75">
        <f>'THAM_SO_MOI'!$C$15*'THAM_SO_MOI'!$C$16*F2326^2</f>
        <v>277.3189186738897</v>
      </c>
      <c r="N2326" s="75">
        <f>'THAM_SO_MOI'!$C$12*I2326</f>
        <v>1130.112</v>
      </c>
      <c r="O2326" s="75">
        <f>M2326+N2326</f>
        <v>1407.4309186738897</v>
      </c>
      <c r="P2326" s="75">
        <f>(MIN(L2326,'THAM_SO_MOI'!$C$41)-O2326)/('THAM_SO_MOI'!$C$11*H2326)</f>
        <v>0.7694476575397734</v>
      </c>
      <c r="Q2326" s="75">
        <f>IF(P2326&gt;0,1/P2326,NA())</f>
        <v>1.299633562076715</v>
      </c>
      <c r="R2326" s="75">
        <f>F2326-F2325</f>
        <v>0.005028991339518285</v>
      </c>
      <c r="S2326" s="75">
        <f>0.5*(Q2325+Q2326)*R2326</f>
        <v>0.006535423778584813</v>
      </c>
      <c r="T2326" s="75">
        <f>0.5*(F2325*Q2325+F2326*Q2326)*R2326</f>
        <v>0.06361922996534551</v>
      </c>
      <c r="U2326" s="76">
        <f>U2325+S2326</f>
        <v>12.15509145841066</v>
      </c>
      <c r="V2326" s="76">
        <f>V2325+T2326</f>
        <v>67.50247391223715</v>
      </c>
    </row>
    <row r="2327" spans="1:22" ht="19" customHeight="1">
      <c r="A2327" s="68" t="s">
        <v>374</v>
      </c>
      <c r="B2327" s="74">
        <v>3</v>
      </c>
      <c r="C2327" s="68" t="s">
        <v>363</v>
      </c>
      <c r="D2327" s="68" t="s">
        <v>364</v>
      </c>
      <c r="E2327" s="75">
        <f>60*F2327*'THAM_SO_MOI'!$C$51/(2*PI()*'THAM_SO_MOI'!$C$26)</f>
        <v>2447.146573113533</v>
      </c>
      <c r="F2327" s="75">
        <f>'HANH_TRINH'!$F$1647+('THAM_SO_MOI'!$F$51-'HANH_TRINH'!$F$1647)*679/'THAM_SO_MOI'!$C$42</f>
        <v>9.74206584687807</v>
      </c>
      <c r="G2327" s="75">
        <f>3.6*F2327</f>
        <v>35.071437048761055</v>
      </c>
      <c r="H2327" s="75">
        <f>'THAM_SO_MOI'!$D$51</f>
        <v>1.375</v>
      </c>
      <c r="I2327" s="75">
        <f>IF(F2327&gt;'THAM_SO_MOI'!$C$14,'THAM_SO_MOI'!$C$13*(1+F2327^2/1500),'THAM_SO_MOI'!$C$13)</f>
        <v>0.015</v>
      </c>
      <c r="J2327" s="75">
        <f>'THAM_SO_MOI'!$C$40*('THAM_SO_MOI'!$C$23*(E2327/'THAM_SO_MOI'!$C$22)+'THAM_SO_MOI'!$C$24*(E2327/'THAM_SO_MOI'!$C$22)^2-'THAM_SO_MOI'!$C$25*(E2327/'THAM_SO_MOI'!$C$22)^3)</f>
        <v>109.22842214302817</v>
      </c>
      <c r="K2327" s="75">
        <f>'THAM_SO_MOI'!$C$31*J2327/E2327</f>
        <v>426.3134120528778</v>
      </c>
      <c r="L2327" s="75">
        <f>K2327*'THAM_SO_MOI'!$C$51*'THAM_SO_MOI'!$C$17/'THAM_SO_MOI'!$C$26</f>
        <v>9532.031337504095</v>
      </c>
      <c r="M2327" s="75">
        <f>'THAM_SO_MOI'!$C$15*'THAM_SO_MOI'!$C$16*F2327^2</f>
        <v>277.6054523723563</v>
      </c>
      <c r="N2327" s="75">
        <f>'THAM_SO_MOI'!$C$12*I2327</f>
        <v>1130.112</v>
      </c>
      <c r="O2327" s="75">
        <f>M2327+N2327</f>
        <v>1407.7174523723563</v>
      </c>
      <c r="P2327" s="75">
        <f>(MIN(L2327,'THAM_SO_MOI'!$C$41)-O2327)/('THAM_SO_MOI'!$C$11*H2327)</f>
        <v>0.7693479057889905</v>
      </c>
      <c r="Q2327" s="75">
        <f>IF(P2327&gt;0,1/P2327,NA())</f>
        <v>1.2998020693569947</v>
      </c>
      <c r="R2327" s="75">
        <f>F2327-F2326</f>
        <v>0.005028991339516509</v>
      </c>
      <c r="S2327" s="75">
        <f>0.5*(Q2326+Q2327)*R2327</f>
        <v>0.006536269639055376</v>
      </c>
      <c r="T2327" s="75">
        <f>0.5*(F2326*Q2326+F2327*Q2327)*R2327</f>
        <v>0.0636603348603427</v>
      </c>
      <c r="U2327" s="76">
        <f>U2326+S2327</f>
        <v>12.161627728049714</v>
      </c>
      <c r="V2327" s="76">
        <f>V2326+T2327</f>
        <v>67.5661342470975</v>
      </c>
    </row>
    <row r="2328" spans="1:22" ht="19" customHeight="1">
      <c r="A2328" s="68" t="s">
        <v>374</v>
      </c>
      <c r="B2328" s="74">
        <v>3</v>
      </c>
      <c r="C2328" s="68" t="s">
        <v>363</v>
      </c>
      <c r="D2328" s="68" t="s">
        <v>364</v>
      </c>
      <c r="E2328" s="75">
        <f>60*F2328*'THAM_SO_MOI'!$C$51/(2*PI()*'THAM_SO_MOI'!$C$26)</f>
        <v>2448.409824575405</v>
      </c>
      <c r="F2328" s="75">
        <f>'HANH_TRINH'!$F$1647+('THAM_SO_MOI'!$F$51-'HANH_TRINH'!$F$1647)*680/'THAM_SO_MOI'!$C$42</f>
        <v>9.747094838217588</v>
      </c>
      <c r="G2328" s="75">
        <f>3.6*F2328</f>
        <v>35.08954141758332</v>
      </c>
      <c r="H2328" s="75">
        <f>'THAM_SO_MOI'!$D$51</f>
        <v>1.375</v>
      </c>
      <c r="I2328" s="75">
        <f>IF(F2328&gt;'THAM_SO_MOI'!$C$14,'THAM_SO_MOI'!$C$13*(1+F2328^2/1500),'THAM_SO_MOI'!$C$13)</f>
        <v>0.015</v>
      </c>
      <c r="J2328" s="75">
        <f>'THAM_SO_MOI'!$C$40*('THAM_SO_MOI'!$C$23*(E2328/'THAM_SO_MOI'!$C$22)+'THAM_SO_MOI'!$C$24*(E2328/'THAM_SO_MOI'!$C$22)^2-'THAM_SO_MOI'!$C$25*(E2328/'THAM_SO_MOI'!$C$22)^3)</f>
        <v>109.2759758219622</v>
      </c>
      <c r="K2328" s="75">
        <f>'THAM_SO_MOI'!$C$31*J2328/E2328</f>
        <v>426.27896064098996</v>
      </c>
      <c r="L2328" s="75">
        <f>K2328*'THAM_SO_MOI'!$C$51*'THAM_SO_MOI'!$C$17/'THAM_SO_MOI'!$C$26</f>
        <v>9531.261031132182</v>
      </c>
      <c r="M2328" s="75">
        <f>'THAM_SO_MOI'!$C$15*'THAM_SO_MOI'!$C$16*F2328^2</f>
        <v>277.8921340217333</v>
      </c>
      <c r="N2328" s="75">
        <f>'THAM_SO_MOI'!$C$12*I2328</f>
        <v>1130.112</v>
      </c>
      <c r="O2328" s="75">
        <f>M2328+N2328</f>
        <v>1408.0041340217333</v>
      </c>
      <c r="P2328" s="75">
        <f>(MIN(L2328,'THAM_SO_MOI'!$C$41)-O2328)/('THAM_SO_MOI'!$C$11*H2328)</f>
        <v>0.7692478122263683</v>
      </c>
      <c r="Q2328" s="75">
        <f>IF(P2328&gt;0,1/P2328,NA())</f>
        <v>1.2999711979755721</v>
      </c>
      <c r="R2328" s="75">
        <f>F2328-F2327</f>
        <v>0.005028991339518285</v>
      </c>
      <c r="S2328" s="75">
        <f>0.5*(Q2327+Q2328)*R2328</f>
        <v>0.006537118623063317</v>
      </c>
      <c r="T2328" s="75">
        <f>0.5*(F2327*Q2327+F2328*Q2328)*R2328</f>
        <v>0.0637014787005537</v>
      </c>
      <c r="U2328" s="76">
        <f>U2327+S2328</f>
        <v>12.168164846672777</v>
      </c>
      <c r="V2328" s="76">
        <f>V2327+T2328</f>
        <v>67.62983572579805</v>
      </c>
    </row>
    <row r="2329" spans="1:22" ht="19" customHeight="1">
      <c r="A2329" s="68" t="s">
        <v>374</v>
      </c>
      <c r="B2329" s="74">
        <v>3</v>
      </c>
      <c r="C2329" s="68" t="s">
        <v>363</v>
      </c>
      <c r="D2329" s="68" t="s">
        <v>364</v>
      </c>
      <c r="E2329" s="75">
        <f>60*F2329*'THAM_SO_MOI'!$C$51/(2*PI()*'THAM_SO_MOI'!$C$26)</f>
        <v>2449.6730760372766</v>
      </c>
      <c r="F2329" s="75">
        <f>'HANH_TRINH'!$F$1647+('THAM_SO_MOI'!$F$51-'HANH_TRINH'!$F$1647)*681/'THAM_SO_MOI'!$C$42</f>
        <v>9.752123829557107</v>
      </c>
      <c r="G2329" s="75">
        <f>3.6*F2329</f>
        <v>35.107645786405584</v>
      </c>
      <c r="H2329" s="75">
        <f>'THAM_SO_MOI'!$D$51</f>
        <v>1.375</v>
      </c>
      <c r="I2329" s="75">
        <f>IF(F2329&gt;'THAM_SO_MOI'!$C$14,'THAM_SO_MOI'!$C$13*(1+F2329^2/1500),'THAM_SO_MOI'!$C$13)</f>
        <v>0.015</v>
      </c>
      <c r="J2329" s="75">
        <f>'THAM_SO_MOI'!$C$40*('THAM_SO_MOI'!$C$23*(E2329/'THAM_SO_MOI'!$C$22)+'THAM_SO_MOI'!$C$24*(E2329/'THAM_SO_MOI'!$C$22)^2-'THAM_SO_MOI'!$C$25*(E2329/'THAM_SO_MOI'!$C$22)^3)</f>
        <v>109.32348068010144</v>
      </c>
      <c r="K2329" s="75">
        <f>'THAM_SO_MOI'!$C$31*J2329/E2329</f>
        <v>426.2443544122718</v>
      </c>
      <c r="L2329" s="75">
        <f>K2329*'THAM_SO_MOI'!$C$51*'THAM_SO_MOI'!$C$17/'THAM_SO_MOI'!$C$26</f>
        <v>9530.487263178164</v>
      </c>
      <c r="M2329" s="75">
        <f>'THAM_SO_MOI'!$C$15*'THAM_SO_MOI'!$C$16*F2329^2</f>
        <v>278.17896362202055</v>
      </c>
      <c r="N2329" s="75">
        <f>'THAM_SO_MOI'!$C$12*I2329</f>
        <v>1130.112</v>
      </c>
      <c r="O2329" s="75">
        <f>M2329+N2329</f>
        <v>1408.2909636220206</v>
      </c>
      <c r="P2329" s="75">
        <f>(MIN(L2329,'THAM_SO_MOI'!$C$41)-O2329)/('THAM_SO_MOI'!$C$11*H2329)</f>
        <v>0.7691473768519075</v>
      </c>
      <c r="Q2329" s="75">
        <f>IF(P2329&gt;0,1/P2329,NA())</f>
        <v>1.3001409484005055</v>
      </c>
      <c r="R2329" s="75">
        <f>F2329-F2328</f>
        <v>0.005028991339518285</v>
      </c>
      <c r="S2329" s="75">
        <f>0.5*(Q2328+Q2329)*R2329</f>
        <v>0.006537970732950797</v>
      </c>
      <c r="T2329" s="75">
        <f>0.5*(F2328*Q2328+F2329*Q2329)*R2329</f>
        <v>0.06374266155593844</v>
      </c>
      <c r="U2329" s="76">
        <f>U2328+S2329</f>
        <v>12.174702817405729</v>
      </c>
      <c r="V2329" s="76">
        <f>V2328+T2329</f>
        <v>67.69357838735398</v>
      </c>
    </row>
    <row r="2330" spans="1:22" ht="19" customHeight="1">
      <c r="A2330" s="68" t="s">
        <v>374</v>
      </c>
      <c r="B2330" s="74">
        <v>3</v>
      </c>
      <c r="C2330" s="68" t="s">
        <v>363</v>
      </c>
      <c r="D2330" s="68" t="s">
        <v>364</v>
      </c>
      <c r="E2330" s="75">
        <f>60*F2330*'THAM_SO_MOI'!$C$51/(2*PI()*'THAM_SO_MOI'!$C$26)</f>
        <v>2450.9363274991483</v>
      </c>
      <c r="F2330" s="75">
        <f>'HANH_TRINH'!$F$1647+('THAM_SO_MOI'!$F$51-'HANH_TRINH'!$F$1647)*682/'THAM_SO_MOI'!$C$42</f>
        <v>9.757152820896625</v>
      </c>
      <c r="G2330" s="75">
        <f>3.6*F2330</f>
        <v>35.12575015522785</v>
      </c>
      <c r="H2330" s="75">
        <f>'THAM_SO_MOI'!$D$51</f>
        <v>1.375</v>
      </c>
      <c r="I2330" s="75">
        <f>IF(F2330&gt;'THAM_SO_MOI'!$C$14,'THAM_SO_MOI'!$C$13*(1+F2330^2/1500),'THAM_SO_MOI'!$C$13)</f>
        <v>0.015</v>
      </c>
      <c r="J2330" s="75">
        <f>'THAM_SO_MOI'!$C$40*('THAM_SO_MOI'!$C$23*(E2330/'THAM_SO_MOI'!$C$22)+'THAM_SO_MOI'!$C$24*(E2330/'THAM_SO_MOI'!$C$22)^2-'THAM_SO_MOI'!$C$25*(E2330/'THAM_SO_MOI'!$C$22)^3)</f>
        <v>109.37093665601648</v>
      </c>
      <c r="K2330" s="75">
        <f>'THAM_SO_MOI'!$C$31*J2330/E2330</f>
        <v>426.20959336672297</v>
      </c>
      <c r="L2330" s="75">
        <f>K2330*'THAM_SO_MOI'!$C$51*'THAM_SO_MOI'!$C$17/'THAM_SO_MOI'!$C$26</f>
        <v>9529.710033642034</v>
      </c>
      <c r="M2330" s="75">
        <f>'THAM_SO_MOI'!$C$15*'THAM_SO_MOI'!$C$16*F2330^2</f>
        <v>278.46594117321814</v>
      </c>
      <c r="N2330" s="75">
        <f>'THAM_SO_MOI'!$C$12*I2330</f>
        <v>1130.112</v>
      </c>
      <c r="O2330" s="75">
        <f>M2330+N2330</f>
        <v>1408.5779411732183</v>
      </c>
      <c r="P2330" s="75">
        <f>(MIN(L2330,'THAM_SO_MOI'!$C$41)-O2330)/('THAM_SO_MOI'!$C$11*H2330)</f>
        <v>0.7690465996656076</v>
      </c>
      <c r="Q2330" s="75">
        <f>IF(P2330&gt;0,1/P2330,NA())</f>
        <v>1.3003113211017567</v>
      </c>
      <c r="R2330" s="75">
        <f>F2330-F2329</f>
        <v>0.005028991339518285</v>
      </c>
      <c r="S2330" s="75">
        <f>0.5*(Q2329+Q2330)*R2330</f>
        <v>0.006538825971078773</v>
      </c>
      <c r="T2330" s="75">
        <f>0.5*(F2329*Q2329+F2330*Q2330)*R2330</f>
        <v>0.0637838834966873</v>
      </c>
      <c r="U2330" s="76">
        <f>U2329+S2330</f>
        <v>12.181241643376808</v>
      </c>
      <c r="V2330" s="76">
        <f>V2329+T2330</f>
        <v>67.75736227085066</v>
      </c>
    </row>
    <row r="2331" spans="1:22" ht="19" customHeight="1">
      <c r="A2331" s="68" t="s">
        <v>374</v>
      </c>
      <c r="B2331" s="74">
        <v>3</v>
      </c>
      <c r="C2331" s="68" t="s">
        <v>363</v>
      </c>
      <c r="D2331" s="68" t="s">
        <v>364</v>
      </c>
      <c r="E2331" s="75">
        <f>60*F2331*'THAM_SO_MOI'!$C$51/(2*PI()*'THAM_SO_MOI'!$C$26)</f>
        <v>2452.1995789610196</v>
      </c>
      <c r="F2331" s="75">
        <f>'HANH_TRINH'!$F$1647+('THAM_SO_MOI'!$F$51-'HANH_TRINH'!$F$1647)*683/'THAM_SO_MOI'!$C$42</f>
        <v>9.762181812236141</v>
      </c>
      <c r="G2331" s="75">
        <f>3.6*F2331</f>
        <v>35.14385452405011</v>
      </c>
      <c r="H2331" s="75">
        <f>'THAM_SO_MOI'!$D$51</f>
        <v>1.375</v>
      </c>
      <c r="I2331" s="75">
        <f>IF(F2331&gt;'THAM_SO_MOI'!$C$14,'THAM_SO_MOI'!$C$13*(1+F2331^2/1500),'THAM_SO_MOI'!$C$13)</f>
        <v>0.015</v>
      </c>
      <c r="J2331" s="75">
        <f>'THAM_SO_MOI'!$C$40*('THAM_SO_MOI'!$C$23*(E2331/'THAM_SO_MOI'!$C$22)+'THAM_SO_MOI'!$C$24*(E2331/'THAM_SO_MOI'!$C$22)^2-'THAM_SO_MOI'!$C$25*(E2331/'THAM_SO_MOI'!$C$22)^3)</f>
        <v>109.41834368827796</v>
      </c>
      <c r="K2331" s="75">
        <f>'THAM_SO_MOI'!$C$31*J2331/E2331</f>
        <v>426.1746775043436</v>
      </c>
      <c r="L2331" s="75">
        <f>K2331*'THAM_SO_MOI'!$C$51*'THAM_SO_MOI'!$C$17/'THAM_SO_MOI'!$C$26</f>
        <v>9528.929342523796</v>
      </c>
      <c r="M2331" s="75">
        <f>'THAM_SO_MOI'!$C$15*'THAM_SO_MOI'!$C$16*F2331^2</f>
        <v>278.7530666753258</v>
      </c>
      <c r="N2331" s="75">
        <f>'THAM_SO_MOI'!$C$12*I2331</f>
        <v>1130.112</v>
      </c>
      <c r="O2331" s="75">
        <f>M2331+N2331</f>
        <v>1408.8650666753258</v>
      </c>
      <c r="P2331" s="75">
        <f>(MIN(L2331,'THAM_SO_MOI'!$C$41)-O2331)/('THAM_SO_MOI'!$C$11*H2331)</f>
        <v>0.7689454806674687</v>
      </c>
      <c r="Q2331" s="75">
        <f>IF(P2331&gt;0,1/P2331,NA())</f>
        <v>1.3004823165511925</v>
      </c>
      <c r="R2331" s="75">
        <f>F2331-F2330</f>
        <v>0.005028991339516509</v>
      </c>
      <c r="S2331" s="75">
        <f>0.5*(Q2330+Q2331)*R2331</f>
        <v>0.00653968433981316</v>
      </c>
      <c r="T2331" s="75">
        <f>0.5*(F2330*Q2330+F2331*Q2331)*R2331</f>
        <v>0.06382514459308646</v>
      </c>
      <c r="U2331" s="76">
        <f>U2330+S2331</f>
        <v>12.187781327716621</v>
      </c>
      <c r="V2331" s="76">
        <f>V2330+T2331</f>
        <v>67.82118741544375</v>
      </c>
    </row>
    <row r="2332" spans="1:22" ht="19" customHeight="1">
      <c r="A2332" s="68" t="s">
        <v>374</v>
      </c>
      <c r="B2332" s="74">
        <v>3</v>
      </c>
      <c r="C2332" s="68" t="s">
        <v>363</v>
      </c>
      <c r="D2332" s="68" t="s">
        <v>364</v>
      </c>
      <c r="E2332" s="75">
        <f>60*F2332*'THAM_SO_MOI'!$C$51/(2*PI()*'THAM_SO_MOI'!$C$26)</f>
        <v>2453.4628304228913</v>
      </c>
      <c r="F2332" s="75">
        <f>'HANH_TRINH'!$F$1647+('THAM_SO_MOI'!$F$51-'HANH_TRINH'!$F$1647)*684/'THAM_SO_MOI'!$C$42</f>
        <v>9.76721080357566</v>
      </c>
      <c r="G2332" s="75">
        <f>3.6*F2332</f>
        <v>35.16195889287238</v>
      </c>
      <c r="H2332" s="75">
        <f>'THAM_SO_MOI'!$D$51</f>
        <v>1.375</v>
      </c>
      <c r="I2332" s="75">
        <f>IF(F2332&gt;'THAM_SO_MOI'!$C$14,'THAM_SO_MOI'!$C$13*(1+F2332^2/1500),'THAM_SO_MOI'!$C$13)</f>
        <v>0.015</v>
      </c>
      <c r="J2332" s="75">
        <f>'THAM_SO_MOI'!$C$40*('THAM_SO_MOI'!$C$23*(E2332/'THAM_SO_MOI'!$C$22)+'THAM_SO_MOI'!$C$24*(E2332/'THAM_SO_MOI'!$C$22)^2-'THAM_SO_MOI'!$C$25*(E2332/'THAM_SO_MOI'!$C$22)^3)</f>
        <v>109.46570171545659</v>
      </c>
      <c r="K2332" s="75">
        <f>'THAM_SO_MOI'!$C$31*J2332/E2332</f>
        <v>426.13960682513385</v>
      </c>
      <c r="L2332" s="75">
        <f>K2332*'THAM_SO_MOI'!$C$51*'THAM_SO_MOI'!$C$17/'THAM_SO_MOI'!$C$26</f>
        <v>9528.145189823448</v>
      </c>
      <c r="M2332" s="75">
        <f>'THAM_SO_MOI'!$C$15*'THAM_SO_MOI'!$C$16*F2332^2</f>
        <v>279.0403401283439</v>
      </c>
      <c r="N2332" s="75">
        <f>'THAM_SO_MOI'!$C$12*I2332</f>
        <v>1130.112</v>
      </c>
      <c r="O2332" s="75">
        <f>M2332+N2332</f>
        <v>1409.152340128344</v>
      </c>
      <c r="P2332" s="75">
        <f>(MIN(L2332,'THAM_SO_MOI'!$C$41)-O2332)/('THAM_SO_MOI'!$C$11*H2332)</f>
        <v>0.768844019857491</v>
      </c>
      <c r="Q2332" s="75">
        <f>IF(P2332&gt;0,1/P2332,NA())</f>
        <v>1.300653935222589</v>
      </c>
      <c r="R2332" s="75">
        <f>F2332-F2331</f>
        <v>0.005028991339518285</v>
      </c>
      <c r="S2332" s="75">
        <f>0.5*(Q2331+Q2332)*R2332</f>
        <v>0.006540545841538701</v>
      </c>
      <c r="T2332" s="75">
        <f>0.5*(F2331*Q2331+F2332*Q2332)*R2332</f>
        <v>0.06386644491565363</v>
      </c>
      <c r="U2332" s="76">
        <f>U2331+S2332</f>
        <v>12.19432187355816</v>
      </c>
      <c r="V2332" s="76">
        <f>V2331+T2332</f>
        <v>67.88505386035939</v>
      </c>
    </row>
    <row r="2333" spans="1:22" ht="19" customHeight="1">
      <c r="A2333" s="68" t="s">
        <v>374</v>
      </c>
      <c r="B2333" s="74">
        <v>3</v>
      </c>
      <c r="C2333" s="68" t="s">
        <v>363</v>
      </c>
      <c r="D2333" s="68" t="s">
        <v>364</v>
      </c>
      <c r="E2333" s="75">
        <f>60*F2333*'THAM_SO_MOI'!$C$51/(2*PI()*'THAM_SO_MOI'!$C$26)</f>
        <v>2454.7260818847626</v>
      </c>
      <c r="F2333" s="75">
        <f>'HANH_TRINH'!$F$1647+('THAM_SO_MOI'!$F$51-'HANH_TRINH'!$F$1647)*685/'THAM_SO_MOI'!$C$42</f>
        <v>9.772239794915176</v>
      </c>
      <c r="G2333" s="75">
        <f>3.6*F2333</f>
        <v>35.180063261694634</v>
      </c>
      <c r="H2333" s="75">
        <f>'THAM_SO_MOI'!$D$51</f>
        <v>1.375</v>
      </c>
      <c r="I2333" s="75">
        <f>IF(F2333&gt;'THAM_SO_MOI'!$C$14,'THAM_SO_MOI'!$C$13*(1+F2333^2/1500),'THAM_SO_MOI'!$C$13)</f>
        <v>0.015</v>
      </c>
      <c r="J2333" s="75">
        <f>'THAM_SO_MOI'!$C$40*('THAM_SO_MOI'!$C$23*(E2333/'THAM_SO_MOI'!$C$22)+'THAM_SO_MOI'!$C$24*(E2333/'THAM_SO_MOI'!$C$22)^2-'THAM_SO_MOI'!$C$25*(E2333/'THAM_SO_MOI'!$C$22)^3)</f>
        <v>109.51301067612297</v>
      </c>
      <c r="K2333" s="75">
        <f>'THAM_SO_MOI'!$C$31*J2333/E2333</f>
        <v>426.1043813290936</v>
      </c>
      <c r="L2333" s="75">
        <f>K2333*'THAM_SO_MOI'!$C$51*'THAM_SO_MOI'!$C$17/'THAM_SO_MOI'!$C$26</f>
        <v>9527.357575540993</v>
      </c>
      <c r="M2333" s="75">
        <f>'THAM_SO_MOI'!$C$15*'THAM_SO_MOI'!$C$16*F2333^2</f>
        <v>279.3277615322722</v>
      </c>
      <c r="N2333" s="75">
        <f>'THAM_SO_MOI'!$C$12*I2333</f>
        <v>1130.112</v>
      </c>
      <c r="O2333" s="75">
        <f>M2333+N2333</f>
        <v>1409.4397615322723</v>
      </c>
      <c r="P2333" s="75">
        <f>(MIN(L2333,'THAM_SO_MOI'!$C$41)-O2333)/('THAM_SO_MOI'!$C$11*H2333)</f>
        <v>0.7687422172356744</v>
      </c>
      <c r="Q2333" s="75">
        <f>IF(P2333&gt;0,1/P2333,NA())</f>
        <v>1.300826177591634</v>
      </c>
      <c r="R2333" s="75">
        <f>F2333-F2332</f>
        <v>0.005028991339516509</v>
      </c>
      <c r="S2333" s="75">
        <f>0.5*(Q2332+Q2333)*R2333</f>
        <v>0.00654141047863358</v>
      </c>
      <c r="T2333" s="75">
        <f>0.5*(F2332*Q2332+F2333*Q2333)*R2333</f>
        <v>0.06390778453489039</v>
      </c>
      <c r="U2333" s="76">
        <f>U2332+S2333</f>
        <v>12.200863284036792</v>
      </c>
      <c r="V2333" s="76">
        <f>V2332+T2333</f>
        <v>67.94896164489428</v>
      </c>
    </row>
    <row r="2334" spans="1:22" ht="19" customHeight="1">
      <c r="A2334" s="68" t="s">
        <v>374</v>
      </c>
      <c r="B2334" s="74">
        <v>3</v>
      </c>
      <c r="C2334" s="68" t="s">
        <v>363</v>
      </c>
      <c r="D2334" s="68" t="s">
        <v>364</v>
      </c>
      <c r="E2334" s="75">
        <f>60*F2334*'THAM_SO_MOI'!$C$51/(2*PI()*'THAM_SO_MOI'!$C$26)</f>
        <v>2455.9893333466343</v>
      </c>
      <c r="F2334" s="75">
        <f>'HANH_TRINH'!$F$1647+('THAM_SO_MOI'!$F$51-'HANH_TRINH'!$F$1647)*686/'THAM_SO_MOI'!$C$42</f>
        <v>9.777268786254695</v>
      </c>
      <c r="G2334" s="75">
        <f>3.6*F2334</f>
        <v>35.1981676305169</v>
      </c>
      <c r="H2334" s="75">
        <f>'THAM_SO_MOI'!$D$51</f>
        <v>1.375</v>
      </c>
      <c r="I2334" s="75">
        <f>IF(F2334&gt;'THAM_SO_MOI'!$C$14,'THAM_SO_MOI'!$C$13*(1+F2334^2/1500),'THAM_SO_MOI'!$C$13)</f>
        <v>0.015</v>
      </c>
      <c r="J2334" s="75">
        <f>'THAM_SO_MOI'!$C$40*('THAM_SO_MOI'!$C$23*(E2334/'THAM_SO_MOI'!$C$22)+'THAM_SO_MOI'!$C$24*(E2334/'THAM_SO_MOI'!$C$22)^2-'THAM_SO_MOI'!$C$25*(E2334/'THAM_SO_MOI'!$C$22)^3)</f>
        <v>109.56027050884776</v>
      </c>
      <c r="K2334" s="75">
        <f>'THAM_SO_MOI'!$C$31*J2334/E2334</f>
        <v>426.0690010162227</v>
      </c>
      <c r="L2334" s="75">
        <f>K2334*'THAM_SO_MOI'!$C$51*'THAM_SO_MOI'!$C$17/'THAM_SO_MOI'!$C$26</f>
        <v>9526.566499676428</v>
      </c>
      <c r="M2334" s="75">
        <f>'THAM_SO_MOI'!$C$15*'THAM_SO_MOI'!$C$16*F2334^2</f>
        <v>279.6153308871108</v>
      </c>
      <c r="N2334" s="75">
        <f>'THAM_SO_MOI'!$C$12*I2334</f>
        <v>1130.112</v>
      </c>
      <c r="O2334" s="75">
        <f>M2334+N2334</f>
        <v>1409.7273308871108</v>
      </c>
      <c r="P2334" s="75">
        <f>(MIN(L2334,'THAM_SO_MOI'!$C$41)-O2334)/('THAM_SO_MOI'!$C$11*H2334)</f>
        <v>0.7686400728020186</v>
      </c>
      <c r="Q2334" s="75">
        <f>IF(P2334&gt;0,1/P2334,NA())</f>
        <v>1.3009990441359327</v>
      </c>
      <c r="R2334" s="75">
        <f>F2334-F2333</f>
        <v>0.005028991339518285</v>
      </c>
      <c r="S2334" s="75">
        <f>0.5*(Q2333+Q2334)*R2334</f>
        <v>0.006542278253504088</v>
      </c>
      <c r="T2334" s="75">
        <f>0.5*(F2333*Q2333+F2334*Q2334)*R2334</f>
        <v>0.0639491635216209</v>
      </c>
      <c r="U2334" s="76">
        <f>U2333+S2334</f>
        <v>12.207405562290296</v>
      </c>
      <c r="V2334" s="76">
        <f>V2333+T2334</f>
        <v>68.01291080841591</v>
      </c>
    </row>
    <row r="2335" spans="1:22" ht="19" customHeight="1">
      <c r="A2335" s="68" t="s">
        <v>374</v>
      </c>
      <c r="B2335" s="74">
        <v>3</v>
      </c>
      <c r="C2335" s="68" t="s">
        <v>363</v>
      </c>
      <c r="D2335" s="68" t="s">
        <v>364</v>
      </c>
      <c r="E2335" s="75">
        <f>60*F2335*'THAM_SO_MOI'!$C$51/(2*PI()*'THAM_SO_MOI'!$C$26)</f>
        <v>2457.2525848085065</v>
      </c>
      <c r="F2335" s="75">
        <f>'HANH_TRINH'!$F$1647+('THAM_SO_MOI'!$F$51-'HANH_TRINH'!$F$1647)*687/'THAM_SO_MOI'!$C$42</f>
        <v>9.782297777594213</v>
      </c>
      <c r="G2335" s="75">
        <f>3.6*F2335</f>
        <v>35.21627199933917</v>
      </c>
      <c r="H2335" s="75">
        <f>'THAM_SO_MOI'!$D$51</f>
        <v>1.375</v>
      </c>
      <c r="I2335" s="75">
        <f>IF(F2335&gt;'THAM_SO_MOI'!$C$14,'THAM_SO_MOI'!$C$13*(1+F2335^2/1500),'THAM_SO_MOI'!$C$13)</f>
        <v>0.015</v>
      </c>
      <c r="J2335" s="75">
        <f>'THAM_SO_MOI'!$C$40*('THAM_SO_MOI'!$C$23*(E2335/'THAM_SO_MOI'!$C$22)+'THAM_SO_MOI'!$C$24*(E2335/'THAM_SO_MOI'!$C$22)^2-'THAM_SO_MOI'!$C$25*(E2335/'THAM_SO_MOI'!$C$22)^3)</f>
        <v>109.60748115220166</v>
      </c>
      <c r="K2335" s="75">
        <f>'THAM_SO_MOI'!$C$31*J2335/E2335</f>
        <v>426.0334658865214</v>
      </c>
      <c r="L2335" s="75">
        <f>K2335*'THAM_SO_MOI'!$C$51*'THAM_SO_MOI'!$C$17/'THAM_SO_MOI'!$C$26</f>
        <v>9525.771962229754</v>
      </c>
      <c r="M2335" s="75">
        <f>'THAM_SO_MOI'!$C$15*'THAM_SO_MOI'!$C$16*F2335^2</f>
        <v>279.90304819285967</v>
      </c>
      <c r="N2335" s="75">
        <f>'THAM_SO_MOI'!$C$12*I2335</f>
        <v>1130.112</v>
      </c>
      <c r="O2335" s="75">
        <f>M2335+N2335</f>
        <v>1410.0150481928597</v>
      </c>
      <c r="P2335" s="75">
        <f>(MIN(L2335,'THAM_SO_MOI'!$C$41)-O2335)/('THAM_SO_MOI'!$C$11*H2335)</f>
        <v>0.7685375865565239</v>
      </c>
      <c r="Q2335" s="75">
        <f>IF(P2335&gt;0,1/P2335,NA())</f>
        <v>1.3011725353350074</v>
      </c>
      <c r="R2335" s="75">
        <f>F2335-F2334</f>
        <v>0.005028991339518285</v>
      </c>
      <c r="S2335" s="75">
        <f>0.5*(Q2334+Q2335)*R2335</f>
        <v>0.006543149168549987</v>
      </c>
      <c r="T2335" s="75">
        <f>0.5*(F2334*Q2334+F2335*Q2335)*R2335</f>
        <v>0.06399058194665386</v>
      </c>
      <c r="U2335" s="76">
        <f>U2334+S2335</f>
        <v>12.213948711458846</v>
      </c>
      <c r="V2335" s="76">
        <f>V2334+T2335</f>
        <v>68.07690139036256</v>
      </c>
    </row>
    <row r="2336" spans="1:22" ht="19" customHeight="1">
      <c r="A2336" s="68" t="s">
        <v>374</v>
      </c>
      <c r="B2336" s="74">
        <v>3</v>
      </c>
      <c r="C2336" s="68" t="s">
        <v>363</v>
      </c>
      <c r="D2336" s="68" t="s">
        <v>364</v>
      </c>
      <c r="E2336" s="75">
        <f>60*F2336*'THAM_SO_MOI'!$C$51/(2*PI()*'THAM_SO_MOI'!$C$26)</f>
        <v>2458.5158362703783</v>
      </c>
      <c r="F2336" s="75">
        <f>'HANH_TRINH'!$F$1647+('THAM_SO_MOI'!$F$51-'HANH_TRINH'!$F$1647)*688/'THAM_SO_MOI'!$C$42</f>
        <v>9.787326768933731</v>
      </c>
      <c r="G2336" s="75">
        <f>3.6*F2336</f>
        <v>35.234376368161435</v>
      </c>
      <c r="H2336" s="75">
        <f>'THAM_SO_MOI'!$D$51</f>
        <v>1.375</v>
      </c>
      <c r="I2336" s="75">
        <f>IF(F2336&gt;'THAM_SO_MOI'!$C$14,'THAM_SO_MOI'!$C$13*(1+F2336^2/1500),'THAM_SO_MOI'!$C$13)</f>
        <v>0.015</v>
      </c>
      <c r="J2336" s="75">
        <f>'THAM_SO_MOI'!$C$40*('THAM_SO_MOI'!$C$23*(E2336/'THAM_SO_MOI'!$C$22)+'THAM_SO_MOI'!$C$24*(E2336/'THAM_SO_MOI'!$C$22)^2-'THAM_SO_MOI'!$C$25*(E2336/'THAM_SO_MOI'!$C$22)^3)</f>
        <v>109.65464254475525</v>
      </c>
      <c r="K2336" s="75">
        <f>'THAM_SO_MOI'!$C$31*J2336/E2336</f>
        <v>425.9977759399896</v>
      </c>
      <c r="L2336" s="75">
        <f>K2336*'THAM_SO_MOI'!$C$51*'THAM_SO_MOI'!$C$17/'THAM_SO_MOI'!$C$26</f>
        <v>9524.973963200973</v>
      </c>
      <c r="M2336" s="75">
        <f>'THAM_SO_MOI'!$C$15*'THAM_SO_MOI'!$C$16*F2336^2</f>
        <v>280.1909134495189</v>
      </c>
      <c r="N2336" s="75">
        <f>'THAM_SO_MOI'!$C$12*I2336</f>
        <v>1130.112</v>
      </c>
      <c r="O2336" s="75">
        <f>M2336+N2336</f>
        <v>1410.302913449519</v>
      </c>
      <c r="P2336" s="75">
        <f>(MIN(L2336,'THAM_SO_MOI'!$C$41)-O2336)/('THAM_SO_MOI'!$C$11*H2336)</f>
        <v>0.7684347584991909</v>
      </c>
      <c r="Q2336" s="75">
        <f>IF(P2336&gt;0,1/P2336,NA())</f>
        <v>1.3013466516703032</v>
      </c>
      <c r="R2336" s="75">
        <f>F2336-F2335</f>
        <v>0.005028991339518285</v>
      </c>
      <c r="S2336" s="75">
        <f>0.5*(Q2335+Q2336)*R2336</f>
        <v>0.006544023226189938</v>
      </c>
      <c r="T2336" s="75">
        <f>0.5*(F2335*Q2335+F2336*Q2336)*R2336</f>
        <v>0.06403203988103114</v>
      </c>
      <c r="U2336" s="76">
        <f>U2335+S2336</f>
        <v>12.220492734685036</v>
      </c>
      <c r="V2336" s="76">
        <f>V2335+T2336</f>
        <v>68.14093343024359</v>
      </c>
    </row>
    <row r="2337" spans="1:22" ht="19" customHeight="1">
      <c r="A2337" s="68" t="s">
        <v>374</v>
      </c>
      <c r="B2337" s="74">
        <v>3</v>
      </c>
      <c r="C2337" s="68" t="s">
        <v>363</v>
      </c>
      <c r="D2337" s="68" t="s">
        <v>364</v>
      </c>
      <c r="E2337" s="75">
        <f>60*F2337*'THAM_SO_MOI'!$C$51/(2*PI()*'THAM_SO_MOI'!$C$26)</f>
        <v>2459.7790877322495</v>
      </c>
      <c r="F2337" s="75">
        <f>'HANH_TRINH'!$F$1647+('THAM_SO_MOI'!$F$51-'HANH_TRINH'!$F$1647)*689/'THAM_SO_MOI'!$C$42</f>
        <v>9.792355760273248</v>
      </c>
      <c r="G2337" s="75">
        <f>3.6*F2337</f>
        <v>35.25248073698369</v>
      </c>
      <c r="H2337" s="75">
        <f>'THAM_SO_MOI'!$D$51</f>
        <v>1.375</v>
      </c>
      <c r="I2337" s="75">
        <f>IF(F2337&gt;'THAM_SO_MOI'!$C$14,'THAM_SO_MOI'!$C$13*(1+F2337^2/1500),'THAM_SO_MOI'!$C$13)</f>
        <v>0.015</v>
      </c>
      <c r="J2337" s="75">
        <f>'THAM_SO_MOI'!$C$40*('THAM_SO_MOI'!$C$23*(E2337/'THAM_SO_MOI'!$C$22)+'THAM_SO_MOI'!$C$24*(E2337/'THAM_SO_MOI'!$C$22)^2-'THAM_SO_MOI'!$C$25*(E2337/'THAM_SO_MOI'!$C$22)^3)</f>
        <v>109.7017546250792</v>
      </c>
      <c r="K2337" s="75">
        <f>'THAM_SO_MOI'!$C$31*J2337/E2337</f>
        <v>425.9619311766273</v>
      </c>
      <c r="L2337" s="75">
        <f>K2337*'THAM_SO_MOI'!$C$51*'THAM_SO_MOI'!$C$17/'THAM_SO_MOI'!$C$26</f>
        <v>9524.172502590081</v>
      </c>
      <c r="M2337" s="75">
        <f>'THAM_SO_MOI'!$C$15*'THAM_SO_MOI'!$C$16*F2337^2</f>
        <v>280.4789266570882</v>
      </c>
      <c r="N2337" s="75">
        <f>'THAM_SO_MOI'!$C$12*I2337</f>
        <v>1130.112</v>
      </c>
      <c r="O2337" s="75">
        <f>M2337+N2337</f>
        <v>1410.5909266570884</v>
      </c>
      <c r="P2337" s="75">
        <f>(MIN(L2337,'THAM_SO_MOI'!$C$41)-O2337)/('THAM_SO_MOI'!$C$11*H2337)</f>
        <v>0.7683315886300183</v>
      </c>
      <c r="Q2337" s="75">
        <f>IF(P2337&gt;0,1/P2337,NA())</f>
        <v>1.3015213936251933</v>
      </c>
      <c r="R2337" s="75">
        <f>F2337-F2336</f>
        <v>0.005028991339516509</v>
      </c>
      <c r="S2337" s="75">
        <f>0.5*(Q2336+Q2337)*R2337</f>
        <v>0.006544900428847657</v>
      </c>
      <c r="T2337" s="75">
        <f>0.5*(F2336*Q2336+F2337*Q2337)*R2337</f>
        <v>0.06407353739589282</v>
      </c>
      <c r="U2337" s="76">
        <f>U2336+S2337</f>
        <v>12.227037635113884</v>
      </c>
      <c r="V2337" s="76">
        <f>V2336+T2337</f>
        <v>68.20500696763949</v>
      </c>
    </row>
    <row r="2338" spans="1:22" ht="19" customHeight="1">
      <c r="A2338" s="68" t="s">
        <v>374</v>
      </c>
      <c r="B2338" s="74">
        <v>3</v>
      </c>
      <c r="C2338" s="68" t="s">
        <v>363</v>
      </c>
      <c r="D2338" s="68" t="s">
        <v>364</v>
      </c>
      <c r="E2338" s="75">
        <f>60*F2338*'THAM_SO_MOI'!$C$51/(2*PI()*'THAM_SO_MOI'!$C$26)</f>
        <v>2461.0423391941213</v>
      </c>
      <c r="F2338" s="75">
        <f>'HANH_TRINH'!$F$1647+('THAM_SO_MOI'!$F$51-'HANH_TRINH'!$F$1647)*690/'THAM_SO_MOI'!$C$42</f>
        <v>9.797384751612766</v>
      </c>
      <c r="G2338" s="75">
        <f>3.6*F2338</f>
        <v>35.27058510580596</v>
      </c>
      <c r="H2338" s="75">
        <f>'THAM_SO_MOI'!$D$51</f>
        <v>1.375</v>
      </c>
      <c r="I2338" s="75">
        <f>IF(F2338&gt;'THAM_SO_MOI'!$C$14,'THAM_SO_MOI'!$C$13*(1+F2338^2/1500),'THAM_SO_MOI'!$C$13)</f>
        <v>0.015</v>
      </c>
      <c r="J2338" s="75">
        <f>'THAM_SO_MOI'!$C$40*('THAM_SO_MOI'!$C$23*(E2338/'THAM_SO_MOI'!$C$22)+'THAM_SO_MOI'!$C$24*(E2338/'THAM_SO_MOI'!$C$22)^2-'THAM_SO_MOI'!$C$25*(E2338/'THAM_SO_MOI'!$C$22)^3)</f>
        <v>109.74881733174418</v>
      </c>
      <c r="K2338" s="75">
        <f>'THAM_SO_MOI'!$C$31*J2338/E2338</f>
        <v>425.92593159643445</v>
      </c>
      <c r="L2338" s="75">
        <f>K2338*'THAM_SO_MOI'!$C$51*'THAM_SO_MOI'!$C$17/'THAM_SO_MOI'!$C$26</f>
        <v>9523.36758039708</v>
      </c>
      <c r="M2338" s="75">
        <f>'THAM_SO_MOI'!$C$15*'THAM_SO_MOI'!$C$16*F2338^2</f>
        <v>280.76708781556795</v>
      </c>
      <c r="N2338" s="75">
        <f>'THAM_SO_MOI'!$C$12*I2338</f>
        <v>1130.112</v>
      </c>
      <c r="O2338" s="75">
        <f>M2338+N2338</f>
        <v>1410.879087815568</v>
      </c>
      <c r="P2338" s="75">
        <f>(MIN(L2338,'THAM_SO_MOI'!$C$41)-O2338)/('THAM_SO_MOI'!$C$11*H2338)</f>
        <v>0.7682280769490069</v>
      </c>
      <c r="Q2338" s="75">
        <f>IF(P2338&gt;0,1/P2338,NA())</f>
        <v>1.3016967616849775</v>
      </c>
      <c r="R2338" s="75">
        <f>F2338-F2337</f>
        <v>0.005028991339518285</v>
      </c>
      <c r="S2338" s="75">
        <f>0.5*(Q2337+Q2338)*R2338</f>
        <v>0.006545780778965808</v>
      </c>
      <c r="T2338" s="75">
        <f>0.5*(F2337*Q2337+F2338*Q2338)*R2338</f>
        <v>0.06411507456261324</v>
      </c>
      <c r="U2338" s="76">
        <f>U2337+S2338</f>
        <v>12.23358341589285</v>
      </c>
      <c r="V2338" s="76">
        <f>V2337+T2338</f>
        <v>68.2691220422021</v>
      </c>
    </row>
    <row r="2339" spans="1:22" ht="19" customHeight="1">
      <c r="A2339" s="68" t="s">
        <v>374</v>
      </c>
      <c r="B2339" s="74">
        <v>3</v>
      </c>
      <c r="C2339" s="68" t="s">
        <v>363</v>
      </c>
      <c r="D2339" s="68" t="s">
        <v>364</v>
      </c>
      <c r="E2339" s="75">
        <f>60*F2339*'THAM_SO_MOI'!$C$51/(2*PI()*'THAM_SO_MOI'!$C$26)</f>
        <v>2462.305590655992</v>
      </c>
      <c r="F2339" s="75">
        <f>'HANH_TRINH'!$F$1647+('THAM_SO_MOI'!$F$51-'HANH_TRINH'!$F$1647)*691/'THAM_SO_MOI'!$C$42</f>
        <v>9.802413742952282</v>
      </c>
      <c r="G2339" s="75">
        <f>3.6*F2339</f>
        <v>35.28868947462822</v>
      </c>
      <c r="H2339" s="75">
        <f>'THAM_SO_MOI'!$D$51</f>
        <v>1.375</v>
      </c>
      <c r="I2339" s="75">
        <f>IF(F2339&gt;'THAM_SO_MOI'!$C$14,'THAM_SO_MOI'!$C$13*(1+F2339^2/1500),'THAM_SO_MOI'!$C$13)</f>
        <v>0.015</v>
      </c>
      <c r="J2339" s="75">
        <f>'THAM_SO_MOI'!$C$40*('THAM_SO_MOI'!$C$23*(E2339/'THAM_SO_MOI'!$C$22)+'THAM_SO_MOI'!$C$24*(E2339/'THAM_SO_MOI'!$C$22)^2-'THAM_SO_MOI'!$C$25*(E2339/'THAM_SO_MOI'!$C$22)^3)</f>
        <v>109.79583060332081</v>
      </c>
      <c r="K2339" s="75">
        <f>'THAM_SO_MOI'!$C$31*J2339/E2339</f>
        <v>425.8897771994111</v>
      </c>
      <c r="L2339" s="75">
        <f>K2339*'THAM_SO_MOI'!$C$51*'THAM_SO_MOI'!$C$17/'THAM_SO_MOI'!$C$26</f>
        <v>9522.559196621973</v>
      </c>
      <c r="M2339" s="75">
        <f>'THAM_SO_MOI'!$C$15*'THAM_SO_MOI'!$C$16*F2339^2</f>
        <v>281.0553969249579</v>
      </c>
      <c r="N2339" s="75">
        <f>'THAM_SO_MOI'!$C$12*I2339</f>
        <v>1130.112</v>
      </c>
      <c r="O2339" s="75">
        <f>M2339+N2339</f>
        <v>1411.167396924958</v>
      </c>
      <c r="P2339" s="75">
        <f>(MIN(L2339,'THAM_SO_MOI'!$C$41)-O2339)/('THAM_SO_MOI'!$C$11*H2339)</f>
        <v>0.7681242234561567</v>
      </c>
      <c r="Q2339" s="75">
        <f>IF(P2339&gt;0,1/P2339,NA())</f>
        <v>1.3018727563368901</v>
      </c>
      <c r="R2339" s="75">
        <f>F2339-F2338</f>
        <v>0.005028991339516509</v>
      </c>
      <c r="S2339" s="75">
        <f>0.5*(Q2338+Q2339)*R2339</f>
        <v>0.006546664278980571</v>
      </c>
      <c r="T2339" s="75">
        <f>0.5*(F2338*Q2338+F2339*Q2339)*R2339</f>
        <v>0.06415665145255245</v>
      </c>
      <c r="U2339" s="76">
        <f>U2338+S2339</f>
        <v>12.24013008017183</v>
      </c>
      <c r="V2339" s="76">
        <f>V2338+T2339</f>
        <v>68.33327869365465</v>
      </c>
    </row>
    <row r="2340" spans="1:22" ht="19" customHeight="1">
      <c r="A2340" s="68" t="s">
        <v>374</v>
      </c>
      <c r="B2340" s="74">
        <v>3</v>
      </c>
      <c r="C2340" s="68" t="s">
        <v>363</v>
      </c>
      <c r="D2340" s="68" t="s">
        <v>364</v>
      </c>
      <c r="E2340" s="75">
        <f>60*F2340*'THAM_SO_MOI'!$C$51/(2*PI()*'THAM_SO_MOI'!$C$26)</f>
        <v>2463.568842117864</v>
      </c>
      <c r="F2340" s="75">
        <f>'HANH_TRINH'!$F$1647+('THAM_SO_MOI'!$F$51-'HANH_TRINH'!$F$1647)*692/'THAM_SO_MOI'!$C$42</f>
        <v>9.8074427342918</v>
      </c>
      <c r="G2340" s="75">
        <f>3.6*F2340</f>
        <v>35.306793843450485</v>
      </c>
      <c r="H2340" s="75">
        <f>'THAM_SO_MOI'!$D$51</f>
        <v>1.375</v>
      </c>
      <c r="I2340" s="75">
        <f>IF(F2340&gt;'THAM_SO_MOI'!$C$14,'THAM_SO_MOI'!$C$13*(1+F2340^2/1500),'THAM_SO_MOI'!$C$13)</f>
        <v>0.015</v>
      </c>
      <c r="J2340" s="75">
        <f>'THAM_SO_MOI'!$C$40*('THAM_SO_MOI'!$C$23*(E2340/'THAM_SO_MOI'!$C$22)+'THAM_SO_MOI'!$C$24*(E2340/'THAM_SO_MOI'!$C$22)^2-'THAM_SO_MOI'!$C$25*(E2340/'THAM_SO_MOI'!$C$22)^3)</f>
        <v>109.84279437837976</v>
      </c>
      <c r="K2340" s="75">
        <f>'THAM_SO_MOI'!$C$31*J2340/E2340</f>
        <v>425.8534679855573</v>
      </c>
      <c r="L2340" s="75">
        <f>K2340*'THAM_SO_MOI'!$C$51*'THAM_SO_MOI'!$C$17/'THAM_SO_MOI'!$C$26</f>
        <v>9521.747351264754</v>
      </c>
      <c r="M2340" s="75">
        <f>'THAM_SO_MOI'!$C$15*'THAM_SO_MOI'!$C$16*F2340^2</f>
        <v>281.34385398525814</v>
      </c>
      <c r="N2340" s="75">
        <f>'THAM_SO_MOI'!$C$12*I2340</f>
        <v>1130.112</v>
      </c>
      <c r="O2340" s="75">
        <f>M2340+N2340</f>
        <v>1411.4558539852583</v>
      </c>
      <c r="P2340" s="75">
        <f>(MIN(L2340,'THAM_SO_MOI'!$C$41)-O2340)/('THAM_SO_MOI'!$C$11*H2340)</f>
        <v>0.7680200281514674</v>
      </c>
      <c r="Q2340" s="75">
        <f>IF(P2340&gt;0,1/P2340,NA())</f>
        <v>1.3020493780701015</v>
      </c>
      <c r="R2340" s="75">
        <f>F2340-F2339</f>
        <v>0.005028991339518285</v>
      </c>
      <c r="S2340" s="75">
        <f>0.5*(Q2339+Q2340)*R2340</f>
        <v>0.0065475509313563645</v>
      </c>
      <c r="T2340" s="75">
        <f>0.5*(F2339*Q2339+F2340*Q2340)*R2340</f>
        <v>0.06419826813739626</v>
      </c>
      <c r="U2340" s="76">
        <f>U2339+S2340</f>
        <v>12.246677631103188</v>
      </c>
      <c r="V2340" s="76">
        <f>V2339+T2340</f>
        <v>68.39747696179205</v>
      </c>
    </row>
    <row r="2341" spans="1:22" ht="19" customHeight="1">
      <c r="A2341" s="68" t="s">
        <v>374</v>
      </c>
      <c r="B2341" s="74">
        <v>3</v>
      </c>
      <c r="C2341" s="68" t="s">
        <v>363</v>
      </c>
      <c r="D2341" s="68" t="s">
        <v>364</v>
      </c>
      <c r="E2341" s="75">
        <f>60*F2341*'THAM_SO_MOI'!$C$51/(2*PI()*'THAM_SO_MOI'!$C$26)</f>
        <v>2464.8320935797356</v>
      </c>
      <c r="F2341" s="75">
        <f>'HANH_TRINH'!$F$1647+('THAM_SO_MOI'!$F$51-'HANH_TRINH'!$F$1647)*693/'THAM_SO_MOI'!$C$42</f>
        <v>9.812471725631319</v>
      </c>
      <c r="G2341" s="75">
        <f>3.6*F2341</f>
        <v>35.32489821227275</v>
      </c>
      <c r="H2341" s="75">
        <f>'THAM_SO_MOI'!$D$51</f>
        <v>1.375</v>
      </c>
      <c r="I2341" s="75">
        <f>IF(F2341&gt;'THAM_SO_MOI'!$C$14,'THAM_SO_MOI'!$C$13*(1+F2341^2/1500),'THAM_SO_MOI'!$C$13)</f>
        <v>0.015</v>
      </c>
      <c r="J2341" s="75">
        <f>'THAM_SO_MOI'!$C$40*('THAM_SO_MOI'!$C$23*(E2341/'THAM_SO_MOI'!$C$22)+'THAM_SO_MOI'!$C$24*(E2341/'THAM_SO_MOI'!$C$22)^2-'THAM_SO_MOI'!$C$25*(E2341/'THAM_SO_MOI'!$C$22)^3)</f>
        <v>109.8897085954917</v>
      </c>
      <c r="K2341" s="75">
        <f>'THAM_SO_MOI'!$C$31*J2341/E2341</f>
        <v>425.81700395487286</v>
      </c>
      <c r="L2341" s="75">
        <f>K2341*'THAM_SO_MOI'!$C$51*'THAM_SO_MOI'!$C$17/'THAM_SO_MOI'!$C$26</f>
        <v>9520.932044325426</v>
      </c>
      <c r="M2341" s="75">
        <f>'THAM_SO_MOI'!$C$15*'THAM_SO_MOI'!$C$16*F2341^2</f>
        <v>281.6324589964687</v>
      </c>
      <c r="N2341" s="75">
        <f>'THAM_SO_MOI'!$C$12*I2341</f>
        <v>1130.112</v>
      </c>
      <c r="O2341" s="75">
        <f>M2341+N2341</f>
        <v>1411.744458996469</v>
      </c>
      <c r="P2341" s="75">
        <f>(MIN(L2341,'THAM_SO_MOI'!$C$41)-O2341)/('THAM_SO_MOI'!$C$11*H2341)</f>
        <v>0.7679154910349392</v>
      </c>
      <c r="Q2341" s="75">
        <f>IF(P2341&gt;0,1/P2341,NA())</f>
        <v>1.3022266273757215</v>
      </c>
      <c r="R2341" s="75">
        <f>F2341-F2340</f>
        <v>0.005028991339518285</v>
      </c>
      <c r="S2341" s="75">
        <f>0.5*(Q2340+Q2341)*R2341</f>
        <v>0.006548440738551159</v>
      </c>
      <c r="T2341" s="75">
        <f>0.5*(F2340*Q2340+F2341*Q2341)*R2341</f>
        <v>0.06423992468881691</v>
      </c>
      <c r="U2341" s="76">
        <f>U2340+S2341</f>
        <v>12.25322607184174</v>
      </c>
      <c r="V2341" s="76">
        <f>V2340+T2341</f>
        <v>68.46171688648087</v>
      </c>
    </row>
    <row r="2342" spans="1:22" ht="19" customHeight="1">
      <c r="A2342" s="68" t="s">
        <v>374</v>
      </c>
      <c r="B2342" s="74">
        <v>3</v>
      </c>
      <c r="C2342" s="68" t="s">
        <v>363</v>
      </c>
      <c r="D2342" s="68" t="s">
        <v>364</v>
      </c>
      <c r="E2342" s="75">
        <f>60*F2342*'THAM_SO_MOI'!$C$51/(2*PI()*'THAM_SO_MOI'!$C$26)</f>
        <v>2466.0953450416077</v>
      </c>
      <c r="F2342" s="75">
        <f>'HANH_TRINH'!$F$1647+('THAM_SO_MOI'!$F$51-'HANH_TRINH'!$F$1647)*694/'THAM_SO_MOI'!$C$42</f>
        <v>9.817500716970837</v>
      </c>
      <c r="G2342" s="75">
        <f>3.6*F2342</f>
        <v>35.343002581095014</v>
      </c>
      <c r="H2342" s="75">
        <f>'THAM_SO_MOI'!$D$51</f>
        <v>1.375</v>
      </c>
      <c r="I2342" s="75">
        <f>IF(F2342&gt;'THAM_SO_MOI'!$C$14,'THAM_SO_MOI'!$C$13*(1+F2342^2/1500),'THAM_SO_MOI'!$C$13)</f>
        <v>0.015</v>
      </c>
      <c r="J2342" s="75">
        <f>'THAM_SO_MOI'!$C$40*('THAM_SO_MOI'!$C$23*(E2342/'THAM_SO_MOI'!$C$22)+'THAM_SO_MOI'!$C$24*(E2342/'THAM_SO_MOI'!$C$22)^2-'THAM_SO_MOI'!$C$25*(E2342/'THAM_SO_MOI'!$C$22)^3)</f>
        <v>109.93657319322725</v>
      </c>
      <c r="K2342" s="75">
        <f>'THAM_SO_MOI'!$C$31*J2342/E2342</f>
        <v>425.780385107358</v>
      </c>
      <c r="L2342" s="75">
        <f>K2342*'THAM_SO_MOI'!$C$51*'THAM_SO_MOI'!$C$17/'THAM_SO_MOI'!$C$26</f>
        <v>9520.113275803988</v>
      </c>
      <c r="M2342" s="75">
        <f>'THAM_SO_MOI'!$C$15*'THAM_SO_MOI'!$C$16*F2342^2</f>
        <v>281.92121195858954</v>
      </c>
      <c r="N2342" s="75">
        <f>'THAM_SO_MOI'!$C$12*I2342</f>
        <v>1130.112</v>
      </c>
      <c r="O2342" s="75">
        <f>M2342+N2342</f>
        <v>1412.0332119585896</v>
      </c>
      <c r="P2342" s="75">
        <f>(MIN(L2342,'THAM_SO_MOI'!$C$41)-O2342)/('THAM_SO_MOI'!$C$11*H2342)</f>
        <v>0.7678106121065718</v>
      </c>
      <c r="Q2342" s="75">
        <f>IF(P2342&gt;0,1/P2342,NA())</f>
        <v>1.302404504746804</v>
      </c>
      <c r="R2342" s="75">
        <f>F2342-F2341</f>
        <v>0.005028991339518285</v>
      </c>
      <c r="S2342" s="75">
        <f>0.5*(Q2341+Q2342)*R2342</f>
        <v>0.006549333703041944</v>
      </c>
      <c r="T2342" s="75">
        <f>0.5*(F2341*Q2341+F2342*Q2342)*R2342</f>
        <v>0.06428162117872264</v>
      </c>
      <c r="U2342" s="76">
        <f>U2341+S2342</f>
        <v>12.259775405544781</v>
      </c>
      <c r="V2342" s="76">
        <f>V2341+T2342</f>
        <v>68.5259985076596</v>
      </c>
    </row>
    <row r="2343" spans="1:22" ht="19" customHeight="1">
      <c r="A2343" s="68" t="s">
        <v>374</v>
      </c>
      <c r="B2343" s="74">
        <v>3</v>
      </c>
      <c r="C2343" s="68" t="s">
        <v>363</v>
      </c>
      <c r="D2343" s="68" t="s">
        <v>364</v>
      </c>
      <c r="E2343" s="75">
        <f>60*F2343*'THAM_SO_MOI'!$C$51/(2*PI()*'THAM_SO_MOI'!$C$26)</f>
        <v>2467.358596503479</v>
      </c>
      <c r="F2343" s="75">
        <f>'HANH_TRINH'!$F$1647+('THAM_SO_MOI'!$F$51-'HANH_TRINH'!$F$1647)*695/'THAM_SO_MOI'!$C$42</f>
        <v>9.822529708310354</v>
      </c>
      <c r="G2343" s="75">
        <f>3.6*F2343</f>
        <v>35.36110694991727</v>
      </c>
      <c r="H2343" s="75">
        <f>'THAM_SO_MOI'!$D$51</f>
        <v>1.375</v>
      </c>
      <c r="I2343" s="75">
        <f>IF(F2343&gt;'THAM_SO_MOI'!$C$14,'THAM_SO_MOI'!$C$13*(1+F2343^2/1500),'THAM_SO_MOI'!$C$13)</f>
        <v>0.015</v>
      </c>
      <c r="J2343" s="75">
        <f>'THAM_SO_MOI'!$C$40*('THAM_SO_MOI'!$C$23*(E2343/'THAM_SO_MOI'!$C$22)+'THAM_SO_MOI'!$C$24*(E2343/'THAM_SO_MOI'!$C$22)^2-'THAM_SO_MOI'!$C$25*(E2343/'THAM_SO_MOI'!$C$22)^3)</f>
        <v>109.98338811015708</v>
      </c>
      <c r="K2343" s="75">
        <f>'THAM_SO_MOI'!$C$31*J2343/E2343</f>
        <v>425.7436114430127</v>
      </c>
      <c r="L2343" s="75">
        <f>K2343*'THAM_SO_MOI'!$C$51*'THAM_SO_MOI'!$C$17/'THAM_SO_MOI'!$C$26</f>
        <v>9519.291045700445</v>
      </c>
      <c r="M2343" s="75">
        <f>'THAM_SO_MOI'!$C$15*'THAM_SO_MOI'!$C$16*F2343^2</f>
        <v>282.2101128716205</v>
      </c>
      <c r="N2343" s="75">
        <f>'THAM_SO_MOI'!$C$12*I2343</f>
        <v>1130.112</v>
      </c>
      <c r="O2343" s="75">
        <f>M2343+N2343</f>
        <v>1412.3221128716204</v>
      </c>
      <c r="P2343" s="75">
        <f>(MIN(L2343,'THAM_SO_MOI'!$C$41)-O2343)/('THAM_SO_MOI'!$C$11*H2343)</f>
        <v>0.767705391366366</v>
      </c>
      <c r="Q2343" s="75">
        <f>IF(P2343&gt;0,1/P2343,NA())</f>
        <v>1.3025830106783476</v>
      </c>
      <c r="R2343" s="75">
        <f>F2343-F2342</f>
        <v>0.005028991339516509</v>
      </c>
      <c r="S2343" s="75">
        <f>0.5*(Q2342+Q2343)*R2343</f>
        <v>0.006550229827310858</v>
      </c>
      <c r="T2343" s="75">
        <f>0.5*(F2342*Q2342+F2343*Q2343)*R2343</f>
        <v>0.0643233576791222</v>
      </c>
      <c r="U2343" s="76">
        <f>U2342+S2343</f>
        <v>12.266325635372093</v>
      </c>
      <c r="V2343" s="76">
        <f>V2342+T2343</f>
        <v>68.59032186533872</v>
      </c>
    </row>
    <row r="2344" spans="1:22" ht="19" customHeight="1">
      <c r="A2344" s="68" t="s">
        <v>374</v>
      </c>
      <c r="B2344" s="74">
        <v>3</v>
      </c>
      <c r="C2344" s="68" t="s">
        <v>363</v>
      </c>
      <c r="D2344" s="68" t="s">
        <v>364</v>
      </c>
      <c r="E2344" s="75">
        <f>60*F2344*'THAM_SO_MOI'!$C$51/(2*PI()*'THAM_SO_MOI'!$C$26)</f>
        <v>2468.6218479653508</v>
      </c>
      <c r="F2344" s="75">
        <f>'HANH_TRINH'!$F$1647+('THAM_SO_MOI'!$F$51-'HANH_TRINH'!$F$1647)*696/'THAM_SO_MOI'!$C$42</f>
        <v>9.827558699649872</v>
      </c>
      <c r="G2344" s="75">
        <f>3.6*F2344</f>
        <v>35.37921131873954</v>
      </c>
      <c r="H2344" s="75">
        <f>'THAM_SO_MOI'!$D$51</f>
        <v>1.375</v>
      </c>
      <c r="I2344" s="75">
        <f>IF(F2344&gt;'THAM_SO_MOI'!$C$14,'THAM_SO_MOI'!$C$13*(1+F2344^2/1500),'THAM_SO_MOI'!$C$13)</f>
        <v>0.015</v>
      </c>
      <c r="J2344" s="75">
        <f>'THAM_SO_MOI'!$C$40*('THAM_SO_MOI'!$C$23*(E2344/'THAM_SO_MOI'!$C$22)+'THAM_SO_MOI'!$C$24*(E2344/'THAM_SO_MOI'!$C$22)^2-'THAM_SO_MOI'!$C$25*(E2344/'THAM_SO_MOI'!$C$22)^3)</f>
        <v>110.03015328485182</v>
      </c>
      <c r="K2344" s="75">
        <f>'THAM_SO_MOI'!$C$31*J2344/E2344</f>
        <v>425.7066829618368</v>
      </c>
      <c r="L2344" s="75">
        <f>K2344*'THAM_SO_MOI'!$C$51*'THAM_SO_MOI'!$C$17/'THAM_SO_MOI'!$C$26</f>
        <v>9518.46535401479</v>
      </c>
      <c r="M2344" s="75">
        <f>'THAM_SO_MOI'!$C$15*'THAM_SO_MOI'!$C$16*F2344^2</f>
        <v>282.49916173556187</v>
      </c>
      <c r="N2344" s="75">
        <f>'THAM_SO_MOI'!$C$12*I2344</f>
        <v>1130.112</v>
      </c>
      <c r="O2344" s="75">
        <f>M2344+N2344</f>
        <v>1412.6111617355618</v>
      </c>
      <c r="P2344" s="75">
        <f>(MIN(L2344,'THAM_SO_MOI'!$C$41)-O2344)/('THAM_SO_MOI'!$C$11*H2344)</f>
        <v>0.7675998288143208</v>
      </c>
      <c r="Q2344" s="75">
        <f>IF(P2344&gt;0,1/P2344,NA())</f>
        <v>1.3027621456673044</v>
      </c>
      <c r="R2344" s="75">
        <f>F2344-F2343</f>
        <v>0.005028991339518285</v>
      </c>
      <c r="S2344" s="75">
        <f>0.5*(Q2343+Q2344)*R2344</f>
        <v>0.006551129113859098</v>
      </c>
      <c r="T2344" s="75">
        <f>0.5*(F2343*Q2343+F2344*Q2344)*R2344</f>
        <v>0.06436513426226144</v>
      </c>
      <c r="U2344" s="76">
        <f>U2343+S2344</f>
        <v>12.272876764485952</v>
      </c>
      <c r="V2344" s="76">
        <f>V2343+T2344</f>
        <v>68.65468699960098</v>
      </c>
    </row>
    <row r="2345" spans="1:22" ht="19" customHeight="1">
      <c r="A2345" s="68" t="s">
        <v>374</v>
      </c>
      <c r="B2345" s="74">
        <v>3</v>
      </c>
      <c r="C2345" s="68" t="s">
        <v>363</v>
      </c>
      <c r="D2345" s="68" t="s">
        <v>364</v>
      </c>
      <c r="E2345" s="75">
        <f>60*F2345*'THAM_SO_MOI'!$C$51/(2*PI()*'THAM_SO_MOI'!$C$26)</f>
        <v>2469.8850994272225</v>
      </c>
      <c r="F2345" s="75">
        <f>'HANH_TRINH'!$F$1647+('THAM_SO_MOI'!$F$51-'HANH_TRINH'!$F$1647)*697/'THAM_SO_MOI'!$C$42</f>
        <v>9.83258769098939</v>
      </c>
      <c r="G2345" s="75">
        <f>3.6*F2345</f>
        <v>35.39731568756181</v>
      </c>
      <c r="H2345" s="75">
        <f>'THAM_SO_MOI'!$D$51</f>
        <v>1.375</v>
      </c>
      <c r="I2345" s="75">
        <f>IF(F2345&gt;'THAM_SO_MOI'!$C$14,'THAM_SO_MOI'!$C$13*(1+F2345^2/1500),'THAM_SO_MOI'!$C$13)</f>
        <v>0.015</v>
      </c>
      <c r="J2345" s="75">
        <f>'THAM_SO_MOI'!$C$40*('THAM_SO_MOI'!$C$23*(E2345/'THAM_SO_MOI'!$C$22)+'THAM_SO_MOI'!$C$24*(E2345/'THAM_SO_MOI'!$C$22)^2-'THAM_SO_MOI'!$C$25*(E2345/'THAM_SO_MOI'!$C$22)^3)</f>
        <v>110.07686865588214</v>
      </c>
      <c r="K2345" s="75">
        <f>'THAM_SO_MOI'!$C$31*J2345/E2345</f>
        <v>425.6695996638304</v>
      </c>
      <c r="L2345" s="75">
        <f>K2345*'THAM_SO_MOI'!$C$51*'THAM_SO_MOI'!$C$17/'THAM_SO_MOI'!$C$26</f>
        <v>9517.636200747027</v>
      </c>
      <c r="M2345" s="75">
        <f>'THAM_SO_MOI'!$C$15*'THAM_SO_MOI'!$C$16*F2345^2</f>
        <v>282.78835855041353</v>
      </c>
      <c r="N2345" s="75">
        <f>'THAM_SO_MOI'!$C$12*I2345</f>
        <v>1130.112</v>
      </c>
      <c r="O2345" s="75">
        <f>M2345+N2345</f>
        <v>1412.9003585504136</v>
      </c>
      <c r="P2345" s="75">
        <f>(MIN(L2345,'THAM_SO_MOI'!$C$41)-O2345)/('THAM_SO_MOI'!$C$11*H2345)</f>
        <v>0.7674939244504368</v>
      </c>
      <c r="Q2345" s="75">
        <f>IF(P2345&gt;0,1/P2345,NA())</f>
        <v>1.3029419102125777</v>
      </c>
      <c r="R2345" s="75">
        <f>F2345-F2344</f>
        <v>0.005028991339518285</v>
      </c>
      <c r="S2345" s="75">
        <f>0.5*(Q2344+Q2345)*R2345</f>
        <v>0.006552031565183799</v>
      </c>
      <c r="T2345" s="75">
        <f>0.5*(F2344*Q2344+F2345*Q2345)*R2345</f>
        <v>0.06440695100039659</v>
      </c>
      <c r="U2345" s="76">
        <f>U2344+S2345</f>
        <v>12.279428796051135</v>
      </c>
      <c r="V2345" s="76">
        <f>V2344+T2345</f>
        <v>68.71909395060138</v>
      </c>
    </row>
    <row r="2346" spans="1:22" ht="19" customHeight="1">
      <c r="A2346" s="68" t="s">
        <v>374</v>
      </c>
      <c r="B2346" s="74">
        <v>3</v>
      </c>
      <c r="C2346" s="68" t="s">
        <v>363</v>
      </c>
      <c r="D2346" s="68" t="s">
        <v>364</v>
      </c>
      <c r="E2346" s="75">
        <f>60*F2346*'THAM_SO_MOI'!$C$51/(2*PI()*'THAM_SO_MOI'!$C$26)</f>
        <v>2471.148350889094</v>
      </c>
      <c r="F2346" s="75">
        <f>'HANH_TRINH'!$F$1647+('THAM_SO_MOI'!$F$51-'HANH_TRINH'!$F$1647)*698/'THAM_SO_MOI'!$C$42</f>
        <v>9.837616682328907</v>
      </c>
      <c r="G2346" s="75">
        <f>3.6*F2346</f>
        <v>35.415420056384065</v>
      </c>
      <c r="H2346" s="75">
        <f>'THAM_SO_MOI'!$D$51</f>
        <v>1.375</v>
      </c>
      <c r="I2346" s="75">
        <f>IF(F2346&gt;'THAM_SO_MOI'!$C$14,'THAM_SO_MOI'!$C$13*(1+F2346^2/1500),'THAM_SO_MOI'!$C$13)</f>
        <v>0.015</v>
      </c>
      <c r="J2346" s="75">
        <f>'THAM_SO_MOI'!$C$40*('THAM_SO_MOI'!$C$23*(E2346/'THAM_SO_MOI'!$C$22)+'THAM_SO_MOI'!$C$24*(E2346/'THAM_SO_MOI'!$C$22)^2-'THAM_SO_MOI'!$C$25*(E2346/'THAM_SO_MOI'!$C$22)^3)</f>
        <v>110.12353416181865</v>
      </c>
      <c r="K2346" s="75">
        <f>'THAM_SO_MOI'!$C$31*J2346/E2346</f>
        <v>425.63236154899346</v>
      </c>
      <c r="L2346" s="75">
        <f>K2346*'THAM_SO_MOI'!$C$51*'THAM_SO_MOI'!$C$17/'THAM_SO_MOI'!$C$26</f>
        <v>9516.803585897154</v>
      </c>
      <c r="M2346" s="75">
        <f>'THAM_SO_MOI'!$C$15*'THAM_SO_MOI'!$C$16*F2346^2</f>
        <v>283.07770331617536</v>
      </c>
      <c r="N2346" s="75">
        <f>'THAM_SO_MOI'!$C$12*I2346</f>
        <v>1130.112</v>
      </c>
      <c r="O2346" s="75">
        <f>M2346+N2346</f>
        <v>1413.1897033161754</v>
      </c>
      <c r="P2346" s="75">
        <f>(MIN(L2346,'THAM_SO_MOI'!$C$41)-O2346)/('THAM_SO_MOI'!$C$11*H2346)</f>
        <v>0.7673876782747139</v>
      </c>
      <c r="Q2346" s="75">
        <f>IF(P2346&gt;0,1/P2346,NA())</f>
        <v>1.3031223048150302</v>
      </c>
      <c r="R2346" s="75">
        <f>F2346-F2345</f>
        <v>0.005028991339516509</v>
      </c>
      <c r="S2346" s="75">
        <f>0.5*(Q2345+Q2346)*R2346</f>
        <v>0.006552937183798865</v>
      </c>
      <c r="T2346" s="75">
        <f>0.5*(F2345*Q2345+F2346*Q2346)*R2346</f>
        <v>0.06444880796599912</v>
      </c>
      <c r="U2346" s="76">
        <f>U2345+S2346</f>
        <v>12.285981733234934</v>
      </c>
      <c r="V2346" s="76">
        <f>V2345+T2346</f>
        <v>68.78354275856738</v>
      </c>
    </row>
    <row r="2347" spans="1:22" ht="19" customHeight="1">
      <c r="A2347" s="68" t="s">
        <v>374</v>
      </c>
      <c r="B2347" s="74">
        <v>3</v>
      </c>
      <c r="C2347" s="68" t="s">
        <v>363</v>
      </c>
      <c r="D2347" s="68" t="s">
        <v>364</v>
      </c>
      <c r="E2347" s="75">
        <f>60*F2347*'THAM_SO_MOI'!$C$51/(2*PI()*'THAM_SO_MOI'!$C$26)</f>
        <v>2472.411602350966</v>
      </c>
      <c r="F2347" s="75">
        <f>'HANH_TRINH'!$F$1647+('THAM_SO_MOI'!$F$51-'HANH_TRINH'!$F$1647)*699/'THAM_SO_MOI'!$C$42</f>
        <v>9.842645673668425</v>
      </c>
      <c r="G2347" s="75">
        <f>3.6*F2347</f>
        <v>35.43352442520633</v>
      </c>
      <c r="H2347" s="75">
        <f>'THAM_SO_MOI'!$D$51</f>
        <v>1.375</v>
      </c>
      <c r="I2347" s="75">
        <f>IF(F2347&gt;'THAM_SO_MOI'!$C$14,'THAM_SO_MOI'!$C$13*(1+F2347^2/1500),'THAM_SO_MOI'!$C$13)</f>
        <v>0.015</v>
      </c>
      <c r="J2347" s="75">
        <f>'THAM_SO_MOI'!$C$40*('THAM_SO_MOI'!$C$23*(E2347/'THAM_SO_MOI'!$C$22)+'THAM_SO_MOI'!$C$24*(E2347/'THAM_SO_MOI'!$C$22)^2-'THAM_SO_MOI'!$C$25*(E2347/'THAM_SO_MOI'!$C$22)^3)</f>
        <v>110.17014974123205</v>
      </c>
      <c r="K2347" s="75">
        <f>'THAM_SO_MOI'!$C$31*J2347/E2347</f>
        <v>425.594968617326</v>
      </c>
      <c r="L2347" s="75">
        <f>K2347*'THAM_SO_MOI'!$C$51*'THAM_SO_MOI'!$C$17/'THAM_SO_MOI'!$C$26</f>
        <v>9515.967509465172</v>
      </c>
      <c r="M2347" s="75">
        <f>'THAM_SO_MOI'!$C$15*'THAM_SO_MOI'!$C$16*F2347^2</f>
        <v>283.3671960328475</v>
      </c>
      <c r="N2347" s="75">
        <f>'THAM_SO_MOI'!$C$12*I2347</f>
        <v>1130.112</v>
      </c>
      <c r="O2347" s="75">
        <f>M2347+N2347</f>
        <v>1413.4791960328475</v>
      </c>
      <c r="P2347" s="75">
        <f>(MIN(L2347,'THAM_SO_MOI'!$C$41)-O2347)/('THAM_SO_MOI'!$C$11*H2347)</f>
        <v>0.7672810902871519</v>
      </c>
      <c r="Q2347" s="75">
        <f>IF(P2347&gt;0,1/P2347,NA())</f>
        <v>1.3033033299774845</v>
      </c>
      <c r="R2347" s="75">
        <f>F2347-F2346</f>
        <v>0.005028991339518285</v>
      </c>
      <c r="S2347" s="75">
        <f>0.5*(Q2346+Q2347)*R2347</f>
        <v>0.0065538459722350026</v>
      </c>
      <c r="T2347" s="75">
        <f>0.5*(F2346*Q2346+F2347*Q2347)*R2347</f>
        <v>0.06449070523175633</v>
      </c>
      <c r="U2347" s="76">
        <f>U2346+S2347</f>
        <v>12.292535579207168</v>
      </c>
      <c r="V2347" s="76">
        <f>V2346+T2347</f>
        <v>68.84803346379914</v>
      </c>
    </row>
    <row r="2348" spans="1:22" ht="19" customHeight="1">
      <c r="A2348" s="68" t="s">
        <v>374</v>
      </c>
      <c r="B2348" s="74">
        <v>3</v>
      </c>
      <c r="C2348" s="68" t="s">
        <v>363</v>
      </c>
      <c r="D2348" s="68" t="s">
        <v>364</v>
      </c>
      <c r="E2348" s="75">
        <f>60*F2348*'THAM_SO_MOI'!$C$51/(2*PI()*'THAM_SO_MOI'!$C$26)</f>
        <v>2473.6748538128372</v>
      </c>
      <c r="F2348" s="75">
        <f>'HANH_TRINH'!$F$1647+('THAM_SO_MOI'!$F$51-'HANH_TRINH'!$F$1647)*700/'THAM_SO_MOI'!$C$42</f>
        <v>9.847674665007943</v>
      </c>
      <c r="G2348" s="75">
        <f>3.6*F2348</f>
        <v>35.4516287940286</v>
      </c>
      <c r="H2348" s="75">
        <f>'THAM_SO_MOI'!$D$51</f>
        <v>1.375</v>
      </c>
      <c r="I2348" s="75">
        <f>IF(F2348&gt;'THAM_SO_MOI'!$C$14,'THAM_SO_MOI'!$C$13*(1+F2348^2/1500),'THAM_SO_MOI'!$C$13)</f>
        <v>0.015</v>
      </c>
      <c r="J2348" s="75">
        <f>'THAM_SO_MOI'!$C$40*('THAM_SO_MOI'!$C$23*(E2348/'THAM_SO_MOI'!$C$22)+'THAM_SO_MOI'!$C$24*(E2348/'THAM_SO_MOI'!$C$22)^2-'THAM_SO_MOI'!$C$25*(E2348/'THAM_SO_MOI'!$C$22)^3)</f>
        <v>110.21671533269298</v>
      </c>
      <c r="K2348" s="75">
        <f>'THAM_SO_MOI'!$C$31*J2348/E2348</f>
        <v>425.55742086882816</v>
      </c>
      <c r="L2348" s="75">
        <f>K2348*'THAM_SO_MOI'!$C$51*'THAM_SO_MOI'!$C$17/'THAM_SO_MOI'!$C$26</f>
        <v>9515.127971451084</v>
      </c>
      <c r="M2348" s="75">
        <f>'THAM_SO_MOI'!$C$15*'THAM_SO_MOI'!$C$16*F2348^2</f>
        <v>283.65683670043</v>
      </c>
      <c r="N2348" s="75">
        <f>'THAM_SO_MOI'!$C$12*I2348</f>
        <v>1130.112</v>
      </c>
      <c r="O2348" s="75">
        <f>M2348+N2348</f>
        <v>1413.76883670043</v>
      </c>
      <c r="P2348" s="75">
        <f>(MIN(L2348,'THAM_SO_MOI'!$C$41)-O2348)/('THAM_SO_MOI'!$C$11*H2348)</f>
        <v>0.7671741604877513</v>
      </c>
      <c r="Q2348" s="75">
        <f>IF(P2348&gt;0,1/P2348,NA())</f>
        <v>1.3034849862047275</v>
      </c>
      <c r="R2348" s="75">
        <f>F2348-F2347</f>
        <v>0.005028991339518285</v>
      </c>
      <c r="S2348" s="75">
        <f>0.5*(Q2347+Q2348)*R2348</f>
        <v>0.006554757933018898</v>
      </c>
      <c r="T2348" s="75">
        <f>0.5*(F2347*Q2347+F2348*Q2348)*R2348</f>
        <v>0.06453264287036689</v>
      </c>
      <c r="U2348" s="76">
        <f>U2347+S2348</f>
        <v>12.299090337140187</v>
      </c>
      <c r="V2348" s="76">
        <f>V2347+T2348</f>
        <v>68.9125661066695</v>
      </c>
    </row>
    <row r="2349" spans="1:22" ht="19" customHeight="1">
      <c r="A2349" s="68" t="s">
        <v>374</v>
      </c>
      <c r="B2349" s="74">
        <v>3</v>
      </c>
      <c r="C2349" s="68" t="s">
        <v>363</v>
      </c>
      <c r="D2349" s="68" t="s">
        <v>364</v>
      </c>
      <c r="E2349" s="75">
        <f>60*F2349*'THAM_SO_MOI'!$C$51/(2*PI()*'THAM_SO_MOI'!$C$26)</f>
        <v>2474.9381052747085</v>
      </c>
      <c r="F2349" s="75">
        <f>'HANH_TRINH'!$F$1647+('THAM_SO_MOI'!$F$51-'HANH_TRINH'!$F$1647)*701/'THAM_SO_MOI'!$C$42</f>
        <v>9.85270365634746</v>
      </c>
      <c r="G2349" s="75">
        <f>3.6*F2349</f>
        <v>35.46973316285086</v>
      </c>
      <c r="H2349" s="75">
        <f>'THAM_SO_MOI'!$D$51</f>
        <v>1.375</v>
      </c>
      <c r="I2349" s="75">
        <f>IF(F2349&gt;'THAM_SO_MOI'!$C$14,'THAM_SO_MOI'!$C$13*(1+F2349^2/1500),'THAM_SO_MOI'!$C$13)</f>
        <v>0.015</v>
      </c>
      <c r="J2349" s="75">
        <f>'THAM_SO_MOI'!$C$40*('THAM_SO_MOI'!$C$23*(E2349/'THAM_SO_MOI'!$C$22)+'THAM_SO_MOI'!$C$24*(E2349/'THAM_SO_MOI'!$C$22)^2-'THAM_SO_MOI'!$C$25*(E2349/'THAM_SO_MOI'!$C$22)^3)</f>
        <v>110.26323087477208</v>
      </c>
      <c r="K2349" s="75">
        <f>'THAM_SO_MOI'!$C$31*J2349/E2349</f>
        <v>425.5197183034999</v>
      </c>
      <c r="L2349" s="75">
        <f>K2349*'THAM_SO_MOI'!$C$51*'THAM_SO_MOI'!$C$17/'THAM_SO_MOI'!$C$26</f>
        <v>9514.284971854886</v>
      </c>
      <c r="M2349" s="75">
        <f>'THAM_SO_MOI'!$C$15*'THAM_SO_MOI'!$C$16*F2349^2</f>
        <v>283.94662531892266</v>
      </c>
      <c r="N2349" s="75">
        <f>'THAM_SO_MOI'!$C$12*I2349</f>
        <v>1130.112</v>
      </c>
      <c r="O2349" s="75">
        <f>M2349+N2349</f>
        <v>1414.0586253189226</v>
      </c>
      <c r="P2349" s="75">
        <f>(MIN(L2349,'THAM_SO_MOI'!$C$41)-O2349)/('THAM_SO_MOI'!$C$11*H2349)</f>
        <v>0.7670668888765118</v>
      </c>
      <c r="Q2349" s="75">
        <f>IF(P2349&gt;0,1/P2349,NA())</f>
        <v>1.303667274003516</v>
      </c>
      <c r="R2349" s="75">
        <f>F2349-F2348</f>
        <v>0.005028991339516509</v>
      </c>
      <c r="S2349" s="75">
        <f>0.5*(Q2348+Q2349)*R2349</f>
        <v>0.006555673068694074</v>
      </c>
      <c r="T2349" s="75">
        <f>0.5*(F2348*Q2348+F2349*Q2349)*R2349</f>
        <v>0.06457462095474605</v>
      </c>
      <c r="U2349" s="76">
        <f>U2348+S2349</f>
        <v>12.305646010208882</v>
      </c>
      <c r="V2349" s="76">
        <f>V2348+T2349</f>
        <v>68.97714072762425</v>
      </c>
    </row>
    <row r="2350" spans="1:22" ht="19" customHeight="1">
      <c r="A2350" s="68" t="s">
        <v>374</v>
      </c>
      <c r="B2350" s="74">
        <v>3</v>
      </c>
      <c r="C2350" s="68" t="s">
        <v>363</v>
      </c>
      <c r="D2350" s="68" t="s">
        <v>364</v>
      </c>
      <c r="E2350" s="75">
        <f>60*F2350*'THAM_SO_MOI'!$C$51/(2*PI()*'THAM_SO_MOI'!$C$26)</f>
        <v>2476.2013567365807</v>
      </c>
      <c r="F2350" s="75">
        <f>'HANH_TRINH'!$F$1647+('THAM_SO_MOI'!$F$51-'HANH_TRINH'!$F$1647)*702/'THAM_SO_MOI'!$C$42</f>
        <v>9.857732647686978</v>
      </c>
      <c r="G2350" s="75">
        <f>3.6*F2350</f>
        <v>35.48783753167312</v>
      </c>
      <c r="H2350" s="75">
        <f>'THAM_SO_MOI'!$D$51</f>
        <v>1.375</v>
      </c>
      <c r="I2350" s="75">
        <f>IF(F2350&gt;'THAM_SO_MOI'!$C$14,'THAM_SO_MOI'!$C$13*(1+F2350^2/1500),'THAM_SO_MOI'!$C$13)</f>
        <v>0.015</v>
      </c>
      <c r="J2350" s="75">
        <f>'THAM_SO_MOI'!$C$40*('THAM_SO_MOI'!$C$23*(E2350/'THAM_SO_MOI'!$C$22)+'THAM_SO_MOI'!$C$24*(E2350/'THAM_SO_MOI'!$C$22)^2-'THAM_SO_MOI'!$C$25*(E2350/'THAM_SO_MOI'!$C$22)^3)</f>
        <v>110.30969630603998</v>
      </c>
      <c r="K2350" s="75">
        <f>'THAM_SO_MOI'!$C$31*J2350/E2350</f>
        <v>425.48186092134074</v>
      </c>
      <c r="L2350" s="75">
        <f>K2350*'THAM_SO_MOI'!$C$51*'THAM_SO_MOI'!$C$17/'THAM_SO_MOI'!$C$26</f>
        <v>9513.438510676575</v>
      </c>
      <c r="M2350" s="75">
        <f>'THAM_SO_MOI'!$C$15*'THAM_SO_MOI'!$C$16*F2350^2</f>
        <v>284.2365618883257</v>
      </c>
      <c r="N2350" s="75">
        <f>'THAM_SO_MOI'!$C$12*I2350</f>
        <v>1130.112</v>
      </c>
      <c r="O2350" s="75">
        <f>M2350+N2350</f>
        <v>1414.3485618883258</v>
      </c>
      <c r="P2350" s="75">
        <f>(MIN(L2350,'THAM_SO_MOI'!$C$41)-O2350)/('THAM_SO_MOI'!$C$11*H2350)</f>
        <v>0.7669592754534328</v>
      </c>
      <c r="Q2350" s="75">
        <f>IF(P2350&gt;0,1/P2350,NA())</f>
        <v>1.3038501938825782</v>
      </c>
      <c r="R2350" s="75">
        <f>F2350-F2349</f>
        <v>0.005028991339518285</v>
      </c>
      <c r="S2350" s="75">
        <f>0.5*(Q2349+Q2350)*R2350</f>
        <v>0.006556591381820907</v>
      </c>
      <c r="T2350" s="75">
        <f>0.5*(F2349*Q2349+F2350*Q2350)*R2350</f>
        <v>0.06461663955802648</v>
      </c>
      <c r="U2350" s="76">
        <f>U2349+S2350</f>
        <v>12.312202601590704</v>
      </c>
      <c r="V2350" s="76">
        <f>V2349+T2350</f>
        <v>69.04175736718227</v>
      </c>
    </row>
    <row r="2351" spans="1:22" ht="19" customHeight="1">
      <c r="A2351" s="68" t="s">
        <v>374</v>
      </c>
      <c r="B2351" s="74">
        <v>3</v>
      </c>
      <c r="C2351" s="68" t="s">
        <v>363</v>
      </c>
      <c r="D2351" s="68" t="s">
        <v>364</v>
      </c>
      <c r="E2351" s="75">
        <f>60*F2351*'THAM_SO_MOI'!$C$51/(2*PI()*'THAM_SO_MOI'!$C$26)</f>
        <v>2477.464608198452</v>
      </c>
      <c r="F2351" s="75">
        <f>'HANH_TRINH'!$F$1647+('THAM_SO_MOI'!$F$51-'HANH_TRINH'!$F$1647)*703/'THAM_SO_MOI'!$C$42</f>
        <v>9.862761639026495</v>
      </c>
      <c r="G2351" s="75">
        <f>3.6*F2351</f>
        <v>35.50594190049538</v>
      </c>
      <c r="H2351" s="75">
        <f>'THAM_SO_MOI'!$D$51</f>
        <v>1.375</v>
      </c>
      <c r="I2351" s="75">
        <f>IF(F2351&gt;'THAM_SO_MOI'!$C$14,'THAM_SO_MOI'!$C$13*(1+F2351^2/1500),'THAM_SO_MOI'!$C$13)</f>
        <v>0.015</v>
      </c>
      <c r="J2351" s="75">
        <f>'THAM_SO_MOI'!$C$40*('THAM_SO_MOI'!$C$23*(E2351/'THAM_SO_MOI'!$C$22)+'THAM_SO_MOI'!$C$24*(E2351/'THAM_SO_MOI'!$C$22)^2-'THAM_SO_MOI'!$C$25*(E2351/'THAM_SO_MOI'!$C$22)^3)</f>
        <v>110.35611156506737</v>
      </c>
      <c r="K2351" s="75">
        <f>'THAM_SO_MOI'!$C$31*J2351/E2351</f>
        <v>425.44384872235133</v>
      </c>
      <c r="L2351" s="75">
        <f>K2351*'THAM_SO_MOI'!$C$51*'THAM_SO_MOI'!$C$17/'THAM_SO_MOI'!$C$26</f>
        <v>9512.58858791616</v>
      </c>
      <c r="M2351" s="75">
        <f>'THAM_SO_MOI'!$C$15*'THAM_SO_MOI'!$C$16*F2351^2</f>
        <v>284.52664640863884</v>
      </c>
      <c r="N2351" s="75">
        <f>'THAM_SO_MOI'!$C$12*I2351</f>
        <v>1130.112</v>
      </c>
      <c r="O2351" s="75">
        <f>M2351+N2351</f>
        <v>1414.638646408639</v>
      </c>
      <c r="P2351" s="75">
        <f>(MIN(L2351,'THAM_SO_MOI'!$C$41)-O2351)/('THAM_SO_MOI'!$C$11*H2351)</f>
        <v>0.7668513202185153</v>
      </c>
      <c r="Q2351" s="75">
        <f>IF(P2351&gt;0,1/P2351,NA())</f>
        <v>1.304033746352616</v>
      </c>
      <c r="R2351" s="75">
        <f>F2351-F2350</f>
        <v>0.005028991339516509</v>
      </c>
      <c r="S2351" s="75">
        <f>0.5*(Q2350+Q2351)*R2351</f>
        <v>0.006557512874953489</v>
      </c>
      <c r="T2351" s="75">
        <f>0.5*(F2350*Q2350+F2351*Q2351)*R2351</f>
        <v>0.06465869875333026</v>
      </c>
      <c r="U2351" s="76">
        <f>U2350+S2351</f>
        <v>12.318760114465658</v>
      </c>
      <c r="V2351" s="76">
        <f>V2350+T2351</f>
        <v>69.1064160659356</v>
      </c>
    </row>
    <row r="2352" spans="1:22" ht="19" customHeight="1">
      <c r="A2352" s="68" t="s">
        <v>374</v>
      </c>
      <c r="B2352" s="74">
        <v>3</v>
      </c>
      <c r="C2352" s="68" t="s">
        <v>363</v>
      </c>
      <c r="D2352" s="68" t="s">
        <v>364</v>
      </c>
      <c r="E2352" s="75">
        <f>60*F2352*'THAM_SO_MOI'!$C$51/(2*PI()*'THAM_SO_MOI'!$C$26)</f>
        <v>2478.7278596603237</v>
      </c>
      <c r="F2352" s="75">
        <f>'HANH_TRINH'!$F$1647+('THAM_SO_MOI'!$F$51-'HANH_TRINH'!$F$1647)*704/'THAM_SO_MOI'!$C$42</f>
        <v>9.867790630366013</v>
      </c>
      <c r="G2352" s="75">
        <f>3.6*F2352</f>
        <v>35.52404626931765</v>
      </c>
      <c r="H2352" s="75">
        <f>'THAM_SO_MOI'!$D$51</f>
        <v>1.375</v>
      </c>
      <c r="I2352" s="75">
        <f>IF(F2352&gt;'THAM_SO_MOI'!$C$14,'THAM_SO_MOI'!$C$13*(1+F2352^2/1500),'THAM_SO_MOI'!$C$13)</f>
        <v>0.015</v>
      </c>
      <c r="J2352" s="75">
        <f>'THAM_SO_MOI'!$C$40*('THAM_SO_MOI'!$C$23*(E2352/'THAM_SO_MOI'!$C$22)+'THAM_SO_MOI'!$C$24*(E2352/'THAM_SO_MOI'!$C$22)^2-'THAM_SO_MOI'!$C$25*(E2352/'THAM_SO_MOI'!$C$22)^3)</f>
        <v>110.4024765904249</v>
      </c>
      <c r="K2352" s="75">
        <f>'THAM_SO_MOI'!$C$31*J2352/E2352</f>
        <v>425.40568170653154</v>
      </c>
      <c r="L2352" s="75">
        <f>K2352*'THAM_SO_MOI'!$C$51*'THAM_SO_MOI'!$C$17/'THAM_SO_MOI'!$C$26</f>
        <v>9511.735203573635</v>
      </c>
      <c r="M2352" s="75">
        <f>'THAM_SO_MOI'!$C$15*'THAM_SO_MOI'!$C$16*F2352^2</f>
        <v>284.81687887986243</v>
      </c>
      <c r="N2352" s="75">
        <f>'THAM_SO_MOI'!$C$12*I2352</f>
        <v>1130.112</v>
      </c>
      <c r="O2352" s="75">
        <f>M2352+N2352</f>
        <v>1414.9288788798626</v>
      </c>
      <c r="P2352" s="75">
        <f>(MIN(L2352,'THAM_SO_MOI'!$C$41)-O2352)/('THAM_SO_MOI'!$C$11*H2352)</f>
        <v>0.7667430231717587</v>
      </c>
      <c r="Q2352" s="75">
        <f>IF(P2352&gt;0,1/P2352,NA())</f>
        <v>1.3042179319263127</v>
      </c>
      <c r="R2352" s="75">
        <f>F2352-F2351</f>
        <v>0.005028991339518285</v>
      </c>
      <c r="S2352" s="75">
        <f>0.5*(Q2351+Q2352)*R2352</f>
        <v>0.006558437550674382</v>
      </c>
      <c r="T2352" s="75">
        <f>0.5*(F2351*Q2351+F2352*Q2352)*R2352</f>
        <v>0.06470079861411174</v>
      </c>
      <c r="U2352" s="76">
        <f>U2351+S2352</f>
        <v>12.325318552016332</v>
      </c>
      <c r="V2352" s="76">
        <f>V2351+T2352</f>
        <v>69.17111686454972</v>
      </c>
    </row>
    <row r="2353" spans="1:22" ht="19" customHeight="1">
      <c r="A2353" s="68" t="s">
        <v>374</v>
      </c>
      <c r="B2353" s="74">
        <v>3</v>
      </c>
      <c r="C2353" s="68" t="s">
        <v>363</v>
      </c>
      <c r="D2353" s="68" t="s">
        <v>364</v>
      </c>
      <c r="E2353" s="75">
        <f>60*F2353*'THAM_SO_MOI'!$C$51/(2*PI()*'THAM_SO_MOI'!$C$26)</f>
        <v>2479.9911111221954</v>
      </c>
      <c r="F2353" s="75">
        <f>'HANH_TRINH'!$F$1647+('THAM_SO_MOI'!$F$51-'HANH_TRINH'!$F$1647)*705/'THAM_SO_MOI'!$C$42</f>
        <v>9.872819621705531</v>
      </c>
      <c r="G2353" s="75">
        <f>3.6*F2353</f>
        <v>35.542150638139915</v>
      </c>
      <c r="H2353" s="75">
        <f>'THAM_SO_MOI'!$D$51</f>
        <v>1.375</v>
      </c>
      <c r="I2353" s="75">
        <f>IF(F2353&gt;'THAM_SO_MOI'!$C$14,'THAM_SO_MOI'!$C$13*(1+F2353^2/1500),'THAM_SO_MOI'!$C$13)</f>
        <v>0.015</v>
      </c>
      <c r="J2353" s="75">
        <f>'THAM_SO_MOI'!$C$40*('THAM_SO_MOI'!$C$23*(E2353/'THAM_SO_MOI'!$C$22)+'THAM_SO_MOI'!$C$24*(E2353/'THAM_SO_MOI'!$C$22)^2-'THAM_SO_MOI'!$C$25*(E2353/'THAM_SO_MOI'!$C$22)^3)</f>
        <v>110.44879132068317</v>
      </c>
      <c r="K2353" s="75">
        <f>'THAM_SO_MOI'!$C$31*J2353/E2353</f>
        <v>425.367359873881</v>
      </c>
      <c r="L2353" s="75">
        <f>K2353*'THAM_SO_MOI'!$C$51*'THAM_SO_MOI'!$C$17/'THAM_SO_MOI'!$C$26</f>
        <v>9510.878357649</v>
      </c>
      <c r="M2353" s="75">
        <f>'THAM_SO_MOI'!$C$15*'THAM_SO_MOI'!$C$16*F2353^2</f>
        <v>285.10725930199624</v>
      </c>
      <c r="N2353" s="75">
        <f>'THAM_SO_MOI'!$C$12*I2353</f>
        <v>1130.112</v>
      </c>
      <c r="O2353" s="75">
        <f>M2353+N2353</f>
        <v>1415.2192593019963</v>
      </c>
      <c r="P2353" s="75">
        <f>(MIN(L2353,'THAM_SO_MOI'!$C$41)-O2353)/('THAM_SO_MOI'!$C$11*H2353)</f>
        <v>0.7666343843131632</v>
      </c>
      <c r="Q2353" s="75">
        <f>IF(P2353&gt;0,1/P2353,NA())</f>
        <v>1.3044027511183336</v>
      </c>
      <c r="R2353" s="75">
        <f>F2353-F2352</f>
        <v>0.005028991339518285</v>
      </c>
      <c r="S2353" s="75">
        <f>0.5*(Q2352+Q2353)*R2353</f>
        <v>0.0065593654115599</v>
      </c>
      <c r="T2353" s="75">
        <f>0.5*(F2352*Q2352+F2353*Q2353)*R2353</f>
        <v>0.0647429392138156</v>
      </c>
      <c r="U2353" s="76">
        <f>U2352+S2353</f>
        <v>12.331877917427892</v>
      </c>
      <c r="V2353" s="76">
        <f>V2352+T2353</f>
        <v>69.23585980376353</v>
      </c>
    </row>
    <row r="2354" spans="1:22" ht="19" customHeight="1">
      <c r="A2354" s="68" t="s">
        <v>374</v>
      </c>
      <c r="B2354" s="74">
        <v>3</v>
      </c>
      <c r="C2354" s="68" t="s">
        <v>363</v>
      </c>
      <c r="D2354" s="68" t="s">
        <v>364</v>
      </c>
      <c r="E2354" s="75">
        <f>60*F2354*'THAM_SO_MOI'!$C$51/(2*PI()*'THAM_SO_MOI'!$C$26)</f>
        <v>2481.2543625840667</v>
      </c>
      <c r="F2354" s="75">
        <f>'HANH_TRINH'!$F$1647+('THAM_SO_MOI'!$F$51-'HANH_TRINH'!$F$1647)*706/'THAM_SO_MOI'!$C$42</f>
        <v>9.877848613045048</v>
      </c>
      <c r="G2354" s="75">
        <f>3.6*F2354</f>
        <v>35.56025500696217</v>
      </c>
      <c r="H2354" s="75">
        <f>'THAM_SO_MOI'!$D$51</f>
        <v>1.375</v>
      </c>
      <c r="I2354" s="75">
        <f>IF(F2354&gt;'THAM_SO_MOI'!$C$14,'THAM_SO_MOI'!$C$13*(1+F2354^2/1500),'THAM_SO_MOI'!$C$13)</f>
        <v>0.015</v>
      </c>
      <c r="J2354" s="75">
        <f>'THAM_SO_MOI'!$C$40*('THAM_SO_MOI'!$C$23*(E2354/'THAM_SO_MOI'!$C$22)+'THAM_SO_MOI'!$C$24*(E2354/'THAM_SO_MOI'!$C$22)^2-'THAM_SO_MOI'!$C$25*(E2354/'THAM_SO_MOI'!$C$22)^3)</f>
        <v>110.49505569441287</v>
      </c>
      <c r="K2354" s="75">
        <f>'THAM_SO_MOI'!$C$31*J2354/E2354</f>
        <v>425.32888322440016</v>
      </c>
      <c r="L2354" s="75">
        <f>K2354*'THAM_SO_MOI'!$C$51*'THAM_SO_MOI'!$C$17/'THAM_SO_MOI'!$C$26</f>
        <v>9510.018050142258</v>
      </c>
      <c r="M2354" s="75">
        <f>'THAM_SO_MOI'!$C$15*'THAM_SO_MOI'!$C$16*F2354^2</f>
        <v>285.39778767504026</v>
      </c>
      <c r="N2354" s="75">
        <f>'THAM_SO_MOI'!$C$12*I2354</f>
        <v>1130.112</v>
      </c>
      <c r="O2354" s="75">
        <f>M2354+N2354</f>
        <v>1415.5097876750403</v>
      </c>
      <c r="P2354" s="75">
        <f>(MIN(L2354,'THAM_SO_MOI'!$C$41)-O2354)/('THAM_SO_MOI'!$C$11*H2354)</f>
        <v>0.766525403642729</v>
      </c>
      <c r="Q2354" s="75">
        <f>IF(P2354&gt;0,1/P2354,NA())</f>
        <v>1.3045882044453305</v>
      </c>
      <c r="R2354" s="75">
        <f>F2354-F2353</f>
        <v>0.005028991339516509</v>
      </c>
      <c r="S2354" s="75">
        <f>0.5*(Q2353+Q2354)*R2354</f>
        <v>0.006560296460203284</v>
      </c>
      <c r="T2354" s="75">
        <f>0.5*(F2353*Q2353+F2354*Q2354)*R2354</f>
        <v>0.06478512062610543</v>
      </c>
      <c r="U2354" s="76">
        <f>U2353+S2354</f>
        <v>12.338438213888095</v>
      </c>
      <c r="V2354" s="76">
        <f>V2353+T2354</f>
        <v>69.30064492438964</v>
      </c>
    </row>
    <row r="2355" spans="1:22" ht="19" customHeight="1">
      <c r="A2355" s="68" t="s">
        <v>374</v>
      </c>
      <c r="B2355" s="74">
        <v>3</v>
      </c>
      <c r="C2355" s="68" t="s">
        <v>363</v>
      </c>
      <c r="D2355" s="68" t="s">
        <v>364</v>
      </c>
      <c r="E2355" s="75">
        <f>60*F2355*'THAM_SO_MOI'!$C$51/(2*PI()*'THAM_SO_MOI'!$C$26)</f>
        <v>2482.5176140459384</v>
      </c>
      <c r="F2355" s="75">
        <f>'HANH_TRINH'!$F$1647+('THAM_SO_MOI'!$F$51-'HANH_TRINH'!$F$1647)*707/'THAM_SO_MOI'!$C$42</f>
        <v>9.882877604384566</v>
      </c>
      <c r="G2355" s="75">
        <f>3.6*F2355</f>
        <v>35.57835937578444</v>
      </c>
      <c r="H2355" s="75">
        <f>'THAM_SO_MOI'!$D$51</f>
        <v>1.375</v>
      </c>
      <c r="I2355" s="75">
        <f>IF(F2355&gt;'THAM_SO_MOI'!$C$14,'THAM_SO_MOI'!$C$13*(1+F2355^2/1500),'THAM_SO_MOI'!$C$13)</f>
        <v>0.015</v>
      </c>
      <c r="J2355" s="75">
        <f>'THAM_SO_MOI'!$C$40*('THAM_SO_MOI'!$C$23*(E2355/'THAM_SO_MOI'!$C$22)+'THAM_SO_MOI'!$C$24*(E2355/'THAM_SO_MOI'!$C$22)^2-'THAM_SO_MOI'!$C$25*(E2355/'THAM_SO_MOI'!$C$22)^3)</f>
        <v>110.54126965018465</v>
      </c>
      <c r="K2355" s="75">
        <f>'THAM_SO_MOI'!$C$31*J2355/E2355</f>
        <v>425.29025175808863</v>
      </c>
      <c r="L2355" s="75">
        <f>K2355*'THAM_SO_MOI'!$C$51*'THAM_SO_MOI'!$C$17/'THAM_SO_MOI'!$C$26</f>
        <v>9509.154281053405</v>
      </c>
      <c r="M2355" s="75">
        <f>'THAM_SO_MOI'!$C$15*'THAM_SO_MOI'!$C$16*F2355^2</f>
        <v>285.6884639989947</v>
      </c>
      <c r="N2355" s="75">
        <f>'THAM_SO_MOI'!$C$12*I2355</f>
        <v>1130.112</v>
      </c>
      <c r="O2355" s="75">
        <f>M2355+N2355</f>
        <v>1415.8004639989947</v>
      </c>
      <c r="P2355" s="75">
        <f>(MIN(L2355,'THAM_SO_MOI'!$C$41)-O2355)/('THAM_SO_MOI'!$C$11*H2355)</f>
        <v>0.7664160811604555</v>
      </c>
      <c r="Q2355" s="75">
        <f>IF(P2355&gt;0,1/P2355,NA())</f>
        <v>1.3047742924259464</v>
      </c>
      <c r="R2355" s="75">
        <f>F2355-F2354</f>
        <v>0.005028991339518285</v>
      </c>
      <c r="S2355" s="75">
        <f>0.5*(Q2354+Q2355)*R2355</f>
        <v>0.00656123069921473</v>
      </c>
      <c r="T2355" s="75">
        <f>0.5*(F2354*Q2354+F2355*Q2355)*R2355</f>
        <v>0.0648273429248646</v>
      </c>
      <c r="U2355" s="76">
        <f>U2354+S2355</f>
        <v>12.344999444587309</v>
      </c>
      <c r="V2355" s="76">
        <f>V2354+T2355</f>
        <v>69.3654722673145</v>
      </c>
    </row>
    <row r="2356" spans="1:22" ht="19" customHeight="1">
      <c r="A2356" s="68" t="s">
        <v>374</v>
      </c>
      <c r="B2356" s="74">
        <v>3</v>
      </c>
      <c r="C2356" s="68" t="s">
        <v>363</v>
      </c>
      <c r="D2356" s="68" t="s">
        <v>364</v>
      </c>
      <c r="E2356" s="75">
        <f>60*F2356*'THAM_SO_MOI'!$C$51/(2*PI()*'THAM_SO_MOI'!$C$26)</f>
        <v>2483.7808655078106</v>
      </c>
      <c r="F2356" s="75">
        <f>'HANH_TRINH'!$F$1647+('THAM_SO_MOI'!$F$51-'HANH_TRINH'!$F$1647)*708/'THAM_SO_MOI'!$C$42</f>
        <v>9.887906595724084</v>
      </c>
      <c r="G2356" s="75">
        <f>3.6*F2356</f>
        <v>35.5964637446067</v>
      </c>
      <c r="H2356" s="75">
        <f>'THAM_SO_MOI'!$D$51</f>
        <v>1.375</v>
      </c>
      <c r="I2356" s="75">
        <f>IF(F2356&gt;'THAM_SO_MOI'!$C$14,'THAM_SO_MOI'!$C$13*(1+F2356^2/1500),'THAM_SO_MOI'!$C$13)</f>
        <v>0.015</v>
      </c>
      <c r="J2356" s="75">
        <f>'THAM_SO_MOI'!$C$40*('THAM_SO_MOI'!$C$23*(E2356/'THAM_SO_MOI'!$C$22)+'THAM_SO_MOI'!$C$24*(E2356/'THAM_SO_MOI'!$C$22)^2-'THAM_SO_MOI'!$C$25*(E2356/'THAM_SO_MOI'!$C$22)^3)</f>
        <v>110.58743312656914</v>
      </c>
      <c r="K2356" s="75">
        <f>'THAM_SO_MOI'!$C$31*J2356/E2356</f>
        <v>425.2514654749465</v>
      </c>
      <c r="L2356" s="75">
        <f>K2356*'THAM_SO_MOI'!$C$51*'THAM_SO_MOI'!$C$17/'THAM_SO_MOI'!$C$26</f>
        <v>9508.287050382438</v>
      </c>
      <c r="M2356" s="75">
        <f>'THAM_SO_MOI'!$C$15*'THAM_SO_MOI'!$C$16*F2356^2</f>
        <v>285.9792882738593</v>
      </c>
      <c r="N2356" s="75">
        <f>'THAM_SO_MOI'!$C$12*I2356</f>
        <v>1130.112</v>
      </c>
      <c r="O2356" s="75">
        <f>M2356+N2356</f>
        <v>1416.0912882738594</v>
      </c>
      <c r="P2356" s="75">
        <f>(MIN(L2356,'THAM_SO_MOI'!$C$41)-O2356)/('THAM_SO_MOI'!$C$11*H2356)</f>
        <v>0.7663064168663427</v>
      </c>
      <c r="Q2356" s="75">
        <f>IF(P2356&gt;0,1/P2356,NA())</f>
        <v>1.3049610155808176</v>
      </c>
      <c r="R2356" s="75">
        <f>F2356-F2355</f>
        <v>0.005028991339518285</v>
      </c>
      <c r="S2356" s="75">
        <f>0.5*(Q2355+Q2356)*R2356</f>
        <v>0.00656216813120055</v>
      </c>
      <c r="T2356" s="75">
        <f>0.5*(F2355*Q2355+F2356*Q2356)*R2356</f>
        <v>0.06486960618399051</v>
      </c>
      <c r="U2356" s="76">
        <f>U2355+S2356</f>
        <v>12.351561612718509</v>
      </c>
      <c r="V2356" s="76">
        <f>V2355+T2356</f>
        <v>69.43034187349849</v>
      </c>
    </row>
    <row r="2357" spans="1:22" ht="19" customHeight="1">
      <c r="A2357" s="68" t="s">
        <v>374</v>
      </c>
      <c r="B2357" s="74">
        <v>3</v>
      </c>
      <c r="C2357" s="68" t="s">
        <v>363</v>
      </c>
      <c r="D2357" s="68" t="s">
        <v>364</v>
      </c>
      <c r="E2357" s="75">
        <f>60*F2357*'THAM_SO_MOI'!$C$51/(2*PI()*'THAM_SO_MOI'!$C$26)</f>
        <v>2485.044116969682</v>
      </c>
      <c r="F2357" s="75">
        <f>'HANH_TRINH'!$F$1647+('THAM_SO_MOI'!$F$51-'HANH_TRINH'!$F$1647)*709/'THAM_SO_MOI'!$C$42</f>
        <v>9.8929355870636</v>
      </c>
      <c r="G2357" s="75">
        <f>3.6*F2357</f>
        <v>35.614568113428966</v>
      </c>
      <c r="H2357" s="75">
        <f>'THAM_SO_MOI'!$D$51</f>
        <v>1.375</v>
      </c>
      <c r="I2357" s="75">
        <f>IF(F2357&gt;'THAM_SO_MOI'!$C$14,'THAM_SO_MOI'!$C$13*(1+F2357^2/1500),'THAM_SO_MOI'!$C$13)</f>
        <v>0.015</v>
      </c>
      <c r="J2357" s="75">
        <f>'THAM_SO_MOI'!$C$40*('THAM_SO_MOI'!$C$23*(E2357/'THAM_SO_MOI'!$C$22)+'THAM_SO_MOI'!$C$24*(E2357/'THAM_SO_MOI'!$C$22)^2-'THAM_SO_MOI'!$C$25*(E2357/'THAM_SO_MOI'!$C$22)^3)</f>
        <v>110.63354606213703</v>
      </c>
      <c r="K2357" s="75">
        <f>'THAM_SO_MOI'!$C$31*J2357/E2357</f>
        <v>425.2125243749742</v>
      </c>
      <c r="L2357" s="75">
        <f>K2357*'THAM_SO_MOI'!$C$51*'THAM_SO_MOI'!$C$17/'THAM_SO_MOI'!$C$26</f>
        <v>9507.41635812937</v>
      </c>
      <c r="M2357" s="75">
        <f>'THAM_SO_MOI'!$C$15*'THAM_SO_MOI'!$C$16*F2357^2</f>
        <v>286.2702604996341</v>
      </c>
      <c r="N2357" s="75">
        <f>'THAM_SO_MOI'!$C$12*I2357</f>
        <v>1130.112</v>
      </c>
      <c r="O2357" s="75">
        <f>M2357+N2357</f>
        <v>1416.3822604996342</v>
      </c>
      <c r="P2357" s="75">
        <f>(MIN(L2357,'THAM_SO_MOI'!$C$41)-O2357)/('THAM_SO_MOI'!$C$11*H2357)</f>
        <v>0.7661964107603917</v>
      </c>
      <c r="Q2357" s="75">
        <f>IF(P2357&gt;0,1/P2357,NA())</f>
        <v>1.3051483744325767</v>
      </c>
      <c r="R2357" s="75">
        <f>F2357-F2356</f>
        <v>0.005028991339516509</v>
      </c>
      <c r="S2357" s="75">
        <f>0.5*(Q2356+Q2357)*R2357</f>
        <v>0.006563108758784039</v>
      </c>
      <c r="T2357" s="75">
        <f>0.5*(F2356*Q2356+F2357*Q2357)*R2357</f>
        <v>0.06491191047760098</v>
      </c>
      <c r="U2357" s="76">
        <f>U2356+S2357</f>
        <v>12.358124721477292</v>
      </c>
      <c r="V2357" s="76">
        <f>V2356+T2357</f>
        <v>69.4952537839761</v>
      </c>
    </row>
    <row r="2358" spans="1:22" ht="19" customHeight="1">
      <c r="A2358" s="68" t="s">
        <v>374</v>
      </c>
      <c r="B2358" s="74">
        <v>3</v>
      </c>
      <c r="C2358" s="68" t="s">
        <v>363</v>
      </c>
      <c r="D2358" s="68" t="s">
        <v>364</v>
      </c>
      <c r="E2358" s="75">
        <f>60*F2358*'THAM_SO_MOI'!$C$51/(2*PI()*'THAM_SO_MOI'!$C$26)</f>
        <v>2486.3073684315536</v>
      </c>
      <c r="F2358" s="75">
        <f>'HANH_TRINH'!$F$1647+('THAM_SO_MOI'!$F$51-'HANH_TRINH'!$F$1647)*710/'THAM_SO_MOI'!$C$42</f>
        <v>9.89796457840312</v>
      </c>
      <c r="G2358" s="75">
        <f>3.6*F2358</f>
        <v>35.63267248225123</v>
      </c>
      <c r="H2358" s="75">
        <f>'THAM_SO_MOI'!$D$51</f>
        <v>1.375</v>
      </c>
      <c r="I2358" s="75">
        <f>IF(F2358&gt;'THAM_SO_MOI'!$C$14,'THAM_SO_MOI'!$C$13*(1+F2358^2/1500),'THAM_SO_MOI'!$C$13)</f>
        <v>0.015</v>
      </c>
      <c r="J2358" s="75">
        <f>'THAM_SO_MOI'!$C$40*('THAM_SO_MOI'!$C$23*(E2358/'THAM_SO_MOI'!$C$22)+'THAM_SO_MOI'!$C$24*(E2358/'THAM_SO_MOI'!$C$22)^2-'THAM_SO_MOI'!$C$25*(E2358/'THAM_SO_MOI'!$C$22)^3)</f>
        <v>110.67960839545893</v>
      </c>
      <c r="K2358" s="75">
        <f>'THAM_SO_MOI'!$C$31*J2358/E2358</f>
        <v>425.1734284581712</v>
      </c>
      <c r="L2358" s="75">
        <f>K2358*'THAM_SO_MOI'!$C$51*'THAM_SO_MOI'!$C$17/'THAM_SO_MOI'!$C$26</f>
        <v>9506.542204294192</v>
      </c>
      <c r="M2358" s="75">
        <f>'THAM_SO_MOI'!$C$15*'THAM_SO_MOI'!$C$16*F2358^2</f>
        <v>286.56138067631935</v>
      </c>
      <c r="N2358" s="75">
        <f>'THAM_SO_MOI'!$C$12*I2358</f>
        <v>1130.112</v>
      </c>
      <c r="O2358" s="75">
        <f>M2358+N2358</f>
        <v>1416.6733806763195</v>
      </c>
      <c r="P2358" s="75">
        <f>(MIN(L2358,'THAM_SO_MOI'!$C$41)-O2358)/('THAM_SO_MOI'!$C$11*H2358)</f>
        <v>0.7660860628426015</v>
      </c>
      <c r="Q2358" s="75">
        <f>IF(P2358&gt;0,1/P2358,NA())</f>
        <v>1.3053363695058606</v>
      </c>
      <c r="R2358" s="75">
        <f>F2358-F2357</f>
        <v>0.005028991339518285</v>
      </c>
      <c r="S2358" s="75">
        <f>0.5*(Q2357+Q2358)*R2358</f>
        <v>0.006564052584605505</v>
      </c>
      <c r="T2358" s="75">
        <f>0.5*(F2357*Q2357+F2358*Q2358)*R2358</f>
        <v>0.06495425588003495</v>
      </c>
      <c r="U2358" s="76">
        <f>U2357+S2358</f>
        <v>12.364688774061898</v>
      </c>
      <c r="V2358" s="76">
        <f>V2357+T2358</f>
        <v>69.56020803985614</v>
      </c>
    </row>
    <row r="2359" spans="1:22" ht="19" customHeight="1">
      <c r="A2359" s="68" t="s">
        <v>374</v>
      </c>
      <c r="B2359" s="74">
        <v>3</v>
      </c>
      <c r="C2359" s="68" t="s">
        <v>363</v>
      </c>
      <c r="D2359" s="68" t="s">
        <v>364</v>
      </c>
      <c r="E2359" s="75">
        <f>60*F2359*'THAM_SO_MOI'!$C$51/(2*PI()*'THAM_SO_MOI'!$C$26)</f>
        <v>2487.5706198934254</v>
      </c>
      <c r="F2359" s="75">
        <f>'HANH_TRINH'!$F$1647+('THAM_SO_MOI'!$F$51-'HANH_TRINH'!$F$1647)*711/'THAM_SO_MOI'!$C$42</f>
        <v>9.902993569742637</v>
      </c>
      <c r="G2359" s="75">
        <f>3.6*F2359</f>
        <v>35.650776851073495</v>
      </c>
      <c r="H2359" s="75">
        <f>'THAM_SO_MOI'!$D$51</f>
        <v>1.375</v>
      </c>
      <c r="I2359" s="75">
        <f>IF(F2359&gt;'THAM_SO_MOI'!$C$14,'THAM_SO_MOI'!$C$13*(1+F2359^2/1500),'THAM_SO_MOI'!$C$13)</f>
        <v>0.015</v>
      </c>
      <c r="J2359" s="75">
        <f>'THAM_SO_MOI'!$C$40*('THAM_SO_MOI'!$C$23*(E2359/'THAM_SO_MOI'!$C$22)+'THAM_SO_MOI'!$C$24*(E2359/'THAM_SO_MOI'!$C$22)^2-'THAM_SO_MOI'!$C$25*(E2359/'THAM_SO_MOI'!$C$22)^3)</f>
        <v>110.7256200651055</v>
      </c>
      <c r="K2359" s="75">
        <f>'THAM_SO_MOI'!$C$31*J2359/E2359</f>
        <v>425.1341777245378</v>
      </c>
      <c r="L2359" s="75">
        <f>K2359*'THAM_SO_MOI'!$C$51*'THAM_SO_MOI'!$C$17/'THAM_SO_MOI'!$C$26</f>
        <v>9505.664588876905</v>
      </c>
      <c r="M2359" s="75">
        <f>'THAM_SO_MOI'!$C$15*'THAM_SO_MOI'!$C$16*F2359^2</f>
        <v>286.8526488039148</v>
      </c>
      <c r="N2359" s="75">
        <f>'THAM_SO_MOI'!$C$12*I2359</f>
        <v>1130.112</v>
      </c>
      <c r="O2359" s="75">
        <f>M2359+N2359</f>
        <v>1416.9646488039148</v>
      </c>
      <c r="P2359" s="75">
        <f>(MIN(L2359,'THAM_SO_MOI'!$C$41)-O2359)/('THAM_SO_MOI'!$C$11*H2359)</f>
        <v>0.7659753731129726</v>
      </c>
      <c r="Q2359" s="75">
        <f>IF(P2359&gt;0,1/P2359,NA())</f>
        <v>1.3055250013273096</v>
      </c>
      <c r="R2359" s="75">
        <f>F2359-F2358</f>
        <v>0.005028991339518285</v>
      </c>
      <c r="S2359" s="75">
        <f>0.5*(Q2358+Q2359)*R2359</f>
        <v>0.0065649996113014255</v>
      </c>
      <c r="T2359" s="75">
        <f>0.5*(F2358*Q2358+F2359*Q2359)*R2359</f>
        <v>0.06499664246564658</v>
      </c>
      <c r="U2359" s="76">
        <f>U2358+S2359</f>
        <v>12.3712537736732</v>
      </c>
      <c r="V2359" s="76">
        <f>V2358+T2359</f>
        <v>69.62520468232178</v>
      </c>
    </row>
    <row r="2360" spans="1:22" ht="19" customHeight="1">
      <c r="A2360" s="68" t="s">
        <v>374</v>
      </c>
      <c r="B2360" s="74">
        <v>3</v>
      </c>
      <c r="C2360" s="68" t="s">
        <v>363</v>
      </c>
      <c r="D2360" s="68" t="s">
        <v>364</v>
      </c>
      <c r="E2360" s="75">
        <f>60*F2360*'THAM_SO_MOI'!$C$51/(2*PI()*'THAM_SO_MOI'!$C$26)</f>
        <v>2488.833871355297</v>
      </c>
      <c r="F2360" s="75">
        <f>'HANH_TRINH'!$F$1647+('THAM_SO_MOI'!$F$51-'HANH_TRINH'!$F$1647)*712/'THAM_SO_MOI'!$C$42</f>
        <v>9.908022561082156</v>
      </c>
      <c r="G2360" s="75">
        <f>3.6*F2360</f>
        <v>35.66888121989576</v>
      </c>
      <c r="H2360" s="75">
        <f>'THAM_SO_MOI'!$D$51</f>
        <v>1.375</v>
      </c>
      <c r="I2360" s="75">
        <f>IF(F2360&gt;'THAM_SO_MOI'!$C$14,'THAM_SO_MOI'!$C$13*(1+F2360^2/1500),'THAM_SO_MOI'!$C$13)</f>
        <v>0.015</v>
      </c>
      <c r="J2360" s="75">
        <f>'THAM_SO_MOI'!$C$40*('THAM_SO_MOI'!$C$23*(E2360/'THAM_SO_MOI'!$C$22)+'THAM_SO_MOI'!$C$24*(E2360/'THAM_SO_MOI'!$C$22)^2-'THAM_SO_MOI'!$C$25*(E2360/'THAM_SO_MOI'!$C$22)^3)</f>
        <v>110.7715810096474</v>
      </c>
      <c r="K2360" s="75">
        <f>'THAM_SO_MOI'!$C$31*J2360/E2360</f>
        <v>425.09477217407374</v>
      </c>
      <c r="L2360" s="75">
        <f>K2360*'THAM_SO_MOI'!$C$51*'THAM_SO_MOI'!$C$17/'THAM_SO_MOI'!$C$26</f>
        <v>9504.783511877506</v>
      </c>
      <c r="M2360" s="75">
        <f>'THAM_SO_MOI'!$C$15*'THAM_SO_MOI'!$C$16*F2360^2</f>
        <v>287.14406488242054</v>
      </c>
      <c r="N2360" s="75">
        <f>'THAM_SO_MOI'!$C$12*I2360</f>
        <v>1130.112</v>
      </c>
      <c r="O2360" s="75">
        <f>M2360+N2360</f>
        <v>1417.2560648824206</v>
      </c>
      <c r="P2360" s="75">
        <f>(MIN(L2360,'THAM_SO_MOI'!$C$41)-O2360)/('THAM_SO_MOI'!$C$11*H2360)</f>
        <v>0.7658643415715042</v>
      </c>
      <c r="Q2360" s="75">
        <f>IF(P2360&gt;0,1/P2360,NA())</f>
        <v>1.305714270425575</v>
      </c>
      <c r="R2360" s="75">
        <f>F2360-F2359</f>
        <v>0.005028991339518285</v>
      </c>
      <c r="S2360" s="75">
        <f>0.5*(Q2359+Q2360)*R2360</f>
        <v>0.006565949841527645</v>
      </c>
      <c r="T2360" s="75">
        <f>0.5*(F2359*Q2359+F2360*Q2360)*R2360</f>
        <v>0.06503907030903489</v>
      </c>
      <c r="U2360" s="76">
        <f>U2359+S2360</f>
        <v>12.377819723514728</v>
      </c>
      <c r="V2360" s="76">
        <f>V2359+T2360</f>
        <v>69.69024375263082</v>
      </c>
    </row>
    <row r="2361" spans="1:22" ht="19" customHeight="1">
      <c r="A2361" s="68" t="s">
        <v>374</v>
      </c>
      <c r="B2361" s="74">
        <v>3</v>
      </c>
      <c r="C2361" s="68" t="s">
        <v>363</v>
      </c>
      <c r="D2361" s="68" t="s">
        <v>364</v>
      </c>
      <c r="E2361" s="75">
        <f>60*F2361*'THAM_SO_MOI'!$C$51/(2*PI()*'THAM_SO_MOI'!$C$26)</f>
        <v>2490.0971228171684</v>
      </c>
      <c r="F2361" s="75">
        <f>'HANH_TRINH'!$F$1647+('THAM_SO_MOI'!$F$51-'HANH_TRINH'!$F$1647)*713/'THAM_SO_MOI'!$C$42</f>
        <v>9.913051552421672</v>
      </c>
      <c r="G2361" s="75">
        <f>3.6*F2361</f>
        <v>35.686985588718024</v>
      </c>
      <c r="H2361" s="75">
        <f>'THAM_SO_MOI'!$D$51</f>
        <v>1.375</v>
      </c>
      <c r="I2361" s="75">
        <f>IF(F2361&gt;'THAM_SO_MOI'!$C$14,'THAM_SO_MOI'!$C$13*(1+F2361^2/1500),'THAM_SO_MOI'!$C$13)</f>
        <v>0.015</v>
      </c>
      <c r="J2361" s="75">
        <f>'THAM_SO_MOI'!$C$40*('THAM_SO_MOI'!$C$23*(E2361/'THAM_SO_MOI'!$C$22)+'THAM_SO_MOI'!$C$24*(E2361/'THAM_SO_MOI'!$C$22)^2-'THAM_SO_MOI'!$C$25*(E2361/'THAM_SO_MOI'!$C$22)^3)</f>
        <v>110.81749116765526</v>
      </c>
      <c r="K2361" s="75">
        <f>'THAM_SO_MOI'!$C$31*J2361/E2361</f>
        <v>425.05521180677925</v>
      </c>
      <c r="L2361" s="75">
        <f>K2361*'THAM_SO_MOI'!$C$51*'THAM_SO_MOI'!$C$17/'THAM_SO_MOI'!$C$26</f>
        <v>9503.898973296</v>
      </c>
      <c r="M2361" s="75">
        <f>'THAM_SO_MOI'!$C$15*'THAM_SO_MOI'!$C$16*F2361^2</f>
        <v>287.4356289118365</v>
      </c>
      <c r="N2361" s="75">
        <f>'THAM_SO_MOI'!$C$12*I2361</f>
        <v>1130.112</v>
      </c>
      <c r="O2361" s="75">
        <f>M2361+N2361</f>
        <v>1417.5476289118365</v>
      </c>
      <c r="P2361" s="75">
        <f>(MIN(L2361,'THAM_SO_MOI'!$C$41)-O2361)/('THAM_SO_MOI'!$C$11*H2361)</f>
        <v>0.7657529682181973</v>
      </c>
      <c r="Q2361" s="75">
        <f>IF(P2361&gt;0,1/P2361,NA())</f>
        <v>1.3059041773313182</v>
      </c>
      <c r="R2361" s="75">
        <f>F2361-F2360</f>
        <v>0.005028991339516509</v>
      </c>
      <c r="S2361" s="75">
        <f>0.5*(Q2360+Q2361)*R2361</f>
        <v>0.006566903277945482</v>
      </c>
      <c r="T2361" s="75">
        <f>0.5*(F2360*Q2360+F2361*Q2361)*R2361</f>
        <v>0.06508153948490651</v>
      </c>
      <c r="U2361" s="76">
        <f>U2360+S2361</f>
        <v>12.384386626792674</v>
      </c>
      <c r="V2361" s="76">
        <f>V2360+T2361</f>
        <v>69.75532529211573</v>
      </c>
    </row>
    <row r="2362" spans="1:22" ht="19" customHeight="1">
      <c r="A2362" s="68" t="s">
        <v>374</v>
      </c>
      <c r="B2362" s="74">
        <v>3</v>
      </c>
      <c r="C2362" s="68" t="s">
        <v>363</v>
      </c>
      <c r="D2362" s="68" t="s">
        <v>364</v>
      </c>
      <c r="E2362" s="75">
        <f>60*F2362*'THAM_SO_MOI'!$C$51/(2*PI()*'THAM_SO_MOI'!$C$26)</f>
        <v>2491.36037427904</v>
      </c>
      <c r="F2362" s="75">
        <f>'HANH_TRINH'!$F$1647+('THAM_SO_MOI'!$F$51-'HANH_TRINH'!$F$1647)*714/'THAM_SO_MOI'!$C$42</f>
        <v>9.91808054376119</v>
      </c>
      <c r="G2362" s="75">
        <f>3.6*F2362</f>
        <v>35.70508995754029</v>
      </c>
      <c r="H2362" s="75">
        <f>'THAM_SO_MOI'!$D$51</f>
        <v>1.375</v>
      </c>
      <c r="I2362" s="75">
        <f>IF(F2362&gt;'THAM_SO_MOI'!$C$14,'THAM_SO_MOI'!$C$13*(1+F2362^2/1500),'THAM_SO_MOI'!$C$13)</f>
        <v>0.015</v>
      </c>
      <c r="J2362" s="75">
        <f>'THAM_SO_MOI'!$C$40*('THAM_SO_MOI'!$C$23*(E2362/'THAM_SO_MOI'!$C$22)+'THAM_SO_MOI'!$C$24*(E2362/'THAM_SO_MOI'!$C$22)^2-'THAM_SO_MOI'!$C$25*(E2362/'THAM_SO_MOI'!$C$22)^3)</f>
        <v>110.86335047769977</v>
      </c>
      <c r="K2362" s="75">
        <f>'THAM_SO_MOI'!$C$31*J2362/E2362</f>
        <v>425.01549662265427</v>
      </c>
      <c r="L2362" s="75">
        <f>K2362*'THAM_SO_MOI'!$C$51*'THAM_SO_MOI'!$C$17/'THAM_SO_MOI'!$C$26</f>
        <v>9503.010973132386</v>
      </c>
      <c r="M2362" s="75">
        <f>'THAM_SO_MOI'!$C$15*'THAM_SO_MOI'!$C$16*F2362^2</f>
        <v>287.7273408921628</v>
      </c>
      <c r="N2362" s="75">
        <f>'THAM_SO_MOI'!$C$12*I2362</f>
        <v>1130.112</v>
      </c>
      <c r="O2362" s="75">
        <f>M2362+N2362</f>
        <v>1417.839340892163</v>
      </c>
      <c r="P2362" s="75">
        <f>(MIN(L2362,'THAM_SO_MOI'!$C$41)-O2362)/('THAM_SO_MOI'!$C$11*H2362)</f>
        <v>0.7656412530530514</v>
      </c>
      <c r="Q2362" s="75">
        <f>IF(P2362&gt;0,1/P2362,NA())</f>
        <v>1.3060947225772197</v>
      </c>
      <c r="R2362" s="75">
        <f>F2362-F2361</f>
        <v>0.005028991339518285</v>
      </c>
      <c r="S2362" s="75">
        <f>0.5*(Q2361+Q2362)*R2362</f>
        <v>0.006567859923235662</v>
      </c>
      <c r="T2362" s="75">
        <f>0.5*(F2361*Q2361+F2362*Q2362)*R2362</f>
        <v>0.06512405006821416</v>
      </c>
      <c r="U2362" s="76">
        <f>U2361+S2362</f>
        <v>12.39095448671591</v>
      </c>
      <c r="V2362" s="76">
        <f>V2361+T2362</f>
        <v>69.82044934218395</v>
      </c>
    </row>
    <row r="2363" spans="1:22" ht="19" customHeight="1">
      <c r="A2363" s="68" t="s">
        <v>374</v>
      </c>
      <c r="B2363" s="74">
        <v>3</v>
      </c>
      <c r="C2363" s="68" t="s">
        <v>363</v>
      </c>
      <c r="D2363" s="68" t="s">
        <v>364</v>
      </c>
      <c r="E2363" s="75">
        <f>60*F2363*'THAM_SO_MOI'!$C$51/(2*PI()*'THAM_SO_MOI'!$C$26)</f>
        <v>2492.6236257409114</v>
      </c>
      <c r="F2363" s="75">
        <f>'HANH_TRINH'!$F$1647+('THAM_SO_MOI'!$F$51-'HANH_TRINH'!$F$1647)*715/'THAM_SO_MOI'!$C$42</f>
        <v>9.923109535100707</v>
      </c>
      <c r="G2363" s="75">
        <f>3.6*F2363</f>
        <v>35.723194326362545</v>
      </c>
      <c r="H2363" s="75">
        <f>'THAM_SO_MOI'!$D$51</f>
        <v>1.375</v>
      </c>
      <c r="I2363" s="75">
        <f>IF(F2363&gt;'THAM_SO_MOI'!$C$14,'THAM_SO_MOI'!$C$13*(1+F2363^2/1500),'THAM_SO_MOI'!$C$13)</f>
        <v>0.015</v>
      </c>
      <c r="J2363" s="75">
        <f>'THAM_SO_MOI'!$C$40*('THAM_SO_MOI'!$C$23*(E2363/'THAM_SO_MOI'!$C$22)+'THAM_SO_MOI'!$C$24*(E2363/'THAM_SO_MOI'!$C$22)^2-'THAM_SO_MOI'!$C$25*(E2363/'THAM_SO_MOI'!$C$22)^3)</f>
        <v>110.90915887835149</v>
      </c>
      <c r="K2363" s="75">
        <f>'THAM_SO_MOI'!$C$31*J2363/E2363</f>
        <v>424.9756266216986</v>
      </c>
      <c r="L2363" s="75">
        <f>K2363*'THAM_SO_MOI'!$C$51*'THAM_SO_MOI'!$C$17/'THAM_SO_MOI'!$C$26</f>
        <v>9502.119511386658</v>
      </c>
      <c r="M2363" s="75">
        <f>'THAM_SO_MOI'!$C$15*'THAM_SO_MOI'!$C$16*F2363^2</f>
        <v>288.0192008233993</v>
      </c>
      <c r="N2363" s="75">
        <f>'THAM_SO_MOI'!$C$12*I2363</f>
        <v>1130.112</v>
      </c>
      <c r="O2363" s="75">
        <f>M2363+N2363</f>
        <v>1418.1312008233995</v>
      </c>
      <c r="P2363" s="75">
        <f>(MIN(L2363,'THAM_SO_MOI'!$C$41)-O2363)/('THAM_SO_MOI'!$C$11*H2363)</f>
        <v>0.7655291960760662</v>
      </c>
      <c r="Q2363" s="75">
        <f>IF(P2363&gt;0,1/P2363,NA())</f>
        <v>1.3062859066979802</v>
      </c>
      <c r="R2363" s="75">
        <f>F2363-F2362</f>
        <v>0.005028991339516509</v>
      </c>
      <c r="S2363" s="75">
        <f>0.5*(Q2362+Q2363)*R2363</f>
        <v>0.006568819780072834</v>
      </c>
      <c r="T2363" s="75">
        <f>0.5*(F2362*Q2362+F2363*Q2363)*R2363</f>
        <v>0.06516660213390409</v>
      </c>
      <c r="U2363" s="76">
        <f>U2362+S2363</f>
        <v>12.397523306495982</v>
      </c>
      <c r="V2363" s="76">
        <f>V2362+T2363</f>
        <v>69.88561594431785</v>
      </c>
    </row>
    <row r="2364" spans="1:22" ht="19" customHeight="1">
      <c r="A2364" s="68" t="s">
        <v>374</v>
      </c>
      <c r="B2364" s="74">
        <v>3</v>
      </c>
      <c r="C2364" s="68" t="s">
        <v>363</v>
      </c>
      <c r="D2364" s="68" t="s">
        <v>364</v>
      </c>
      <c r="E2364" s="75">
        <f>60*F2364*'THAM_SO_MOI'!$C$51/(2*PI()*'THAM_SO_MOI'!$C$26)</f>
        <v>2493.8868772027836</v>
      </c>
      <c r="F2364" s="75">
        <f>'HANH_TRINH'!$F$1647+('THAM_SO_MOI'!$F$51-'HANH_TRINH'!$F$1647)*716/'THAM_SO_MOI'!$C$42</f>
        <v>9.928138526440225</v>
      </c>
      <c r="G2364" s="75">
        <f>3.6*F2364</f>
        <v>35.74129869518481</v>
      </c>
      <c r="H2364" s="75">
        <f>'THAM_SO_MOI'!$D$51</f>
        <v>1.375</v>
      </c>
      <c r="I2364" s="75">
        <f>IF(F2364&gt;'THAM_SO_MOI'!$C$14,'THAM_SO_MOI'!$C$13*(1+F2364^2/1500),'THAM_SO_MOI'!$C$13)</f>
        <v>0.015</v>
      </c>
      <c r="J2364" s="75">
        <f>'THAM_SO_MOI'!$C$40*('THAM_SO_MOI'!$C$23*(E2364/'THAM_SO_MOI'!$C$22)+'THAM_SO_MOI'!$C$24*(E2364/'THAM_SO_MOI'!$C$22)^2-'THAM_SO_MOI'!$C$25*(E2364/'THAM_SO_MOI'!$C$22)^3)</f>
        <v>110.95491630818123</v>
      </c>
      <c r="K2364" s="75">
        <f>'THAM_SO_MOI'!$C$31*J2364/E2364</f>
        <v>424.9356018039127</v>
      </c>
      <c r="L2364" s="75">
        <f>K2364*'THAM_SO_MOI'!$C$51*'THAM_SO_MOI'!$C$17/'THAM_SO_MOI'!$C$26</f>
        <v>9501.224588058827</v>
      </c>
      <c r="M2364" s="75">
        <f>'THAM_SO_MOI'!$C$15*'THAM_SO_MOI'!$C$16*F2364^2</f>
        <v>288.3112087055461</v>
      </c>
      <c r="N2364" s="75">
        <f>'THAM_SO_MOI'!$C$12*I2364</f>
        <v>1130.112</v>
      </c>
      <c r="O2364" s="75">
        <f>M2364+N2364</f>
        <v>1418.4232087055461</v>
      </c>
      <c r="P2364" s="75">
        <f>(MIN(L2364,'THAM_SO_MOI'!$C$41)-O2364)/('THAM_SO_MOI'!$C$11*H2364)</f>
        <v>0.7654167972872424</v>
      </c>
      <c r="Q2364" s="75">
        <f>IF(P2364&gt;0,1/P2364,NA())</f>
        <v>1.3064777302303234</v>
      </c>
      <c r="R2364" s="75">
        <f>F2364-F2363</f>
        <v>0.005028991339518285</v>
      </c>
      <c r="S2364" s="75">
        <f>0.5*(Q2363+Q2364)*R2364</f>
        <v>0.006569782851160368</v>
      </c>
      <c r="T2364" s="75">
        <f>0.5*(F2363*Q2363+F2364*Q2364)*R2364</f>
        <v>0.06520919575726149</v>
      </c>
      <c r="U2364" s="76">
        <f>U2363+S2364</f>
        <v>12.404093089347143</v>
      </c>
      <c r="V2364" s="76">
        <f>V2363+T2364</f>
        <v>69.95082514007511</v>
      </c>
    </row>
    <row r="2365" spans="1:22" ht="19" customHeight="1">
      <c r="A2365" s="68" t="s">
        <v>374</v>
      </c>
      <c r="B2365" s="74">
        <v>3</v>
      </c>
      <c r="C2365" s="68" t="s">
        <v>363</v>
      </c>
      <c r="D2365" s="68" t="s">
        <v>364</v>
      </c>
      <c r="E2365" s="75">
        <f>60*F2365*'THAM_SO_MOI'!$C$51/(2*PI()*'THAM_SO_MOI'!$C$26)</f>
        <v>2495.1501286646553</v>
      </c>
      <c r="F2365" s="75">
        <f>'HANH_TRINH'!$F$1647+('THAM_SO_MOI'!$F$51-'HANH_TRINH'!$F$1647)*717/'THAM_SO_MOI'!$C$42</f>
        <v>9.933167517779744</v>
      </c>
      <c r="G2365" s="75">
        <f>3.6*F2365</f>
        <v>35.75940306400708</v>
      </c>
      <c r="H2365" s="75">
        <f>'THAM_SO_MOI'!$D$51</f>
        <v>1.375</v>
      </c>
      <c r="I2365" s="75">
        <f>IF(F2365&gt;'THAM_SO_MOI'!$C$14,'THAM_SO_MOI'!$C$13*(1+F2365^2/1500),'THAM_SO_MOI'!$C$13)</f>
        <v>0.015</v>
      </c>
      <c r="J2365" s="75">
        <f>'THAM_SO_MOI'!$C$40*('THAM_SO_MOI'!$C$23*(E2365/'THAM_SO_MOI'!$C$22)+'THAM_SO_MOI'!$C$24*(E2365/'THAM_SO_MOI'!$C$22)^2-'THAM_SO_MOI'!$C$25*(E2365/'THAM_SO_MOI'!$C$22)^3)</f>
        <v>111.0006227057595</v>
      </c>
      <c r="K2365" s="75">
        <f>'THAM_SO_MOI'!$C$31*J2365/E2365</f>
        <v>424.8954221692961</v>
      </c>
      <c r="L2365" s="75">
        <f>K2365*'THAM_SO_MOI'!$C$51*'THAM_SO_MOI'!$C$17/'THAM_SO_MOI'!$C$26</f>
        <v>9500.326203148885</v>
      </c>
      <c r="M2365" s="75">
        <f>'THAM_SO_MOI'!$C$15*'THAM_SO_MOI'!$C$16*F2365^2</f>
        <v>288.6033645386032</v>
      </c>
      <c r="N2365" s="75">
        <f>'THAM_SO_MOI'!$C$12*I2365</f>
        <v>1130.112</v>
      </c>
      <c r="O2365" s="75">
        <f>M2365+N2365</f>
        <v>1418.7153645386034</v>
      </c>
      <c r="P2365" s="75">
        <f>(MIN(L2365,'THAM_SO_MOI'!$C$41)-O2365)/('THAM_SO_MOI'!$C$11*H2365)</f>
        <v>0.7653040566865796</v>
      </c>
      <c r="Q2365" s="75">
        <f>IF(P2365&gt;0,1/P2365,NA())</f>
        <v>1.306670193713003</v>
      </c>
      <c r="R2365" s="75">
        <f>F2365-F2364</f>
        <v>0.005028991339518285</v>
      </c>
      <c r="S2365" s="75">
        <f>0.5*(Q2364+Q2365)*R2365</f>
        <v>0.006570749139195587</v>
      </c>
      <c r="T2365" s="75">
        <f>0.5*(F2364*Q2364+F2365*Q2365)*R2365</f>
        <v>0.06525183101356588</v>
      </c>
      <c r="U2365" s="76">
        <f>U2364+S2365</f>
        <v>12.410663838486338</v>
      </c>
      <c r="V2365" s="76">
        <f>V2364+T2365</f>
        <v>70.01607697108868</v>
      </c>
    </row>
    <row r="2366" spans="1:22" ht="19" customHeight="1">
      <c r="A2366" s="68" t="s">
        <v>374</v>
      </c>
      <c r="B2366" s="74">
        <v>3</v>
      </c>
      <c r="C2366" s="68" t="s">
        <v>363</v>
      </c>
      <c r="D2366" s="68" t="s">
        <v>364</v>
      </c>
      <c r="E2366" s="75">
        <f>60*F2366*'THAM_SO_MOI'!$C$51/(2*PI()*'THAM_SO_MOI'!$C$26)</f>
        <v>2496.413380126527</v>
      </c>
      <c r="F2366" s="75">
        <f>'HANH_TRINH'!$F$1647+('THAM_SO_MOI'!$F$51-'HANH_TRINH'!$F$1647)*718/'THAM_SO_MOI'!$C$42</f>
        <v>9.938196509119262</v>
      </c>
      <c r="G2366" s="75">
        <f>3.6*F2366</f>
        <v>35.777507432829346</v>
      </c>
      <c r="H2366" s="75">
        <f>'THAM_SO_MOI'!$D$51</f>
        <v>1.375</v>
      </c>
      <c r="I2366" s="75">
        <f>IF(F2366&gt;'THAM_SO_MOI'!$C$14,'THAM_SO_MOI'!$C$13*(1+F2366^2/1500),'THAM_SO_MOI'!$C$13)</f>
        <v>0.015</v>
      </c>
      <c r="J2366" s="75">
        <f>'THAM_SO_MOI'!$C$40*('THAM_SO_MOI'!$C$23*(E2366/'THAM_SO_MOI'!$C$22)+'THAM_SO_MOI'!$C$24*(E2366/'THAM_SO_MOI'!$C$22)^2-'THAM_SO_MOI'!$C$25*(E2366/'THAM_SO_MOI'!$C$22)^3)</f>
        <v>111.04627800965697</v>
      </c>
      <c r="K2366" s="75">
        <f>'THAM_SO_MOI'!$C$31*J2366/E2366</f>
        <v>424.85508771784896</v>
      </c>
      <c r="L2366" s="75">
        <f>K2366*'THAM_SO_MOI'!$C$51*'THAM_SO_MOI'!$C$17/'THAM_SO_MOI'!$C$26</f>
        <v>9499.424356656831</v>
      </c>
      <c r="M2366" s="75">
        <f>'THAM_SO_MOI'!$C$15*'THAM_SO_MOI'!$C$16*F2366^2</f>
        <v>288.8956683225706</v>
      </c>
      <c r="N2366" s="75">
        <f>'THAM_SO_MOI'!$C$12*I2366</f>
        <v>1130.112</v>
      </c>
      <c r="O2366" s="75">
        <f>M2366+N2366</f>
        <v>1419.0076683225707</v>
      </c>
      <c r="P2366" s="75">
        <f>(MIN(L2366,'THAM_SO_MOI'!$C$41)-O2366)/('THAM_SO_MOI'!$C$11*H2366)</f>
        <v>0.7651909742740776</v>
      </c>
      <c r="Q2366" s="75">
        <f>IF(P2366&gt;0,1/P2366,NA())</f>
        <v>1.3068632976868049</v>
      </c>
      <c r="R2366" s="75">
        <f>F2366-F2365</f>
        <v>0.005028991339518285</v>
      </c>
      <c r="S2366" s="75">
        <f>0.5*(Q2365+Q2366)*R2366</f>
        <v>0.00657171864689531</v>
      </c>
      <c r="T2366" s="75">
        <f>0.5*(F2365*Q2365+F2366*Q2366)*R2366</f>
        <v>0.06529450797834471</v>
      </c>
      <c r="U2366" s="76">
        <f>U2365+S2366</f>
        <v>12.417235557133234</v>
      </c>
      <c r="V2366" s="76">
        <f>V2365+T2366</f>
        <v>70.08137147906703</v>
      </c>
    </row>
    <row r="2367" spans="1:22" ht="19" customHeight="1">
      <c r="A2367" s="68" t="s">
        <v>374</v>
      </c>
      <c r="B2367" s="74">
        <v>3</v>
      </c>
      <c r="C2367" s="68" t="s">
        <v>363</v>
      </c>
      <c r="D2367" s="68" t="s">
        <v>364</v>
      </c>
      <c r="E2367" s="75">
        <f>60*F2367*'THAM_SO_MOI'!$C$51/(2*PI()*'THAM_SO_MOI'!$C$26)</f>
        <v>2497.6766315883983</v>
      </c>
      <c r="F2367" s="75">
        <f>'HANH_TRINH'!$F$1647+('THAM_SO_MOI'!$F$51-'HANH_TRINH'!$F$1647)*719/'THAM_SO_MOI'!$C$42</f>
        <v>9.943225500458778</v>
      </c>
      <c r="G2367" s="75">
        <f>3.6*F2367</f>
        <v>35.7956118016516</v>
      </c>
      <c r="H2367" s="75">
        <f>'THAM_SO_MOI'!$D$51</f>
        <v>1.375</v>
      </c>
      <c r="I2367" s="75">
        <f>IF(F2367&gt;'THAM_SO_MOI'!$C$14,'THAM_SO_MOI'!$C$13*(1+F2367^2/1500),'THAM_SO_MOI'!$C$13)</f>
        <v>0.015</v>
      </c>
      <c r="J2367" s="75">
        <f>'THAM_SO_MOI'!$C$40*('THAM_SO_MOI'!$C$23*(E2367/'THAM_SO_MOI'!$C$22)+'THAM_SO_MOI'!$C$24*(E2367/'THAM_SO_MOI'!$C$22)^2-'THAM_SO_MOI'!$C$25*(E2367/'THAM_SO_MOI'!$C$22)^3)</f>
        <v>111.09188215844436</v>
      </c>
      <c r="K2367" s="75">
        <f>'THAM_SO_MOI'!$C$31*J2367/E2367</f>
        <v>424.8145984495716</v>
      </c>
      <c r="L2367" s="75">
        <f>K2367*'THAM_SO_MOI'!$C$51*'THAM_SO_MOI'!$C$17/'THAM_SO_MOI'!$C$26</f>
        <v>9498.519048582675</v>
      </c>
      <c r="M2367" s="75">
        <f>'THAM_SO_MOI'!$C$15*'THAM_SO_MOI'!$C$16*F2367^2</f>
        <v>289.1881200574482</v>
      </c>
      <c r="N2367" s="75">
        <f>'THAM_SO_MOI'!$C$12*I2367</f>
        <v>1130.112</v>
      </c>
      <c r="O2367" s="75">
        <f>M2367+N2367</f>
        <v>1419.3001200574483</v>
      </c>
      <c r="P2367" s="75">
        <f>(MIN(L2367,'THAM_SO_MOI'!$C$41)-O2367)/('THAM_SO_MOI'!$C$11*H2367)</f>
        <v>0.7650775500497374</v>
      </c>
      <c r="Q2367" s="75">
        <f>IF(P2367&gt;0,1/P2367,NA())</f>
        <v>1.3070570426945483</v>
      </c>
      <c r="R2367" s="75">
        <f>F2367-F2366</f>
        <v>0.005028991339516509</v>
      </c>
      <c r="S2367" s="75">
        <f>0.5*(Q2366+Q2367)*R2367</f>
        <v>0.006572691376981935</v>
      </c>
      <c r="T2367" s="75">
        <f>0.5*(F2366*Q2366+F2367*Q2367)*R2367</f>
        <v>0.06533722672723555</v>
      </c>
      <c r="U2367" s="76">
        <f>U2366+S2367</f>
        <v>12.423808248510216</v>
      </c>
      <c r="V2367" s="76">
        <f>V2366+T2367</f>
        <v>70.14670870579427</v>
      </c>
    </row>
    <row r="2368" spans="1:22" ht="19" customHeight="1">
      <c r="A2368" s="68" t="s">
        <v>374</v>
      </c>
      <c r="B2368" s="74">
        <v>3</v>
      </c>
      <c r="C2368" s="68" t="s">
        <v>363</v>
      </c>
      <c r="D2368" s="68" t="s">
        <v>364</v>
      </c>
      <c r="E2368" s="75">
        <f>60*F2368*'THAM_SO_MOI'!$C$51/(2*PI()*'THAM_SO_MOI'!$C$26)</f>
        <v>2498.9398830502696</v>
      </c>
      <c r="F2368" s="75">
        <f>'HANH_TRINH'!$F$1647+('THAM_SO_MOI'!$F$51-'HANH_TRINH'!$F$1647)*720/'THAM_SO_MOI'!$C$42</f>
        <v>9.948254491798297</v>
      </c>
      <c r="G2368" s="75">
        <f>3.6*F2368</f>
        <v>35.81371617047387</v>
      </c>
      <c r="H2368" s="75">
        <f>'THAM_SO_MOI'!$D$51</f>
        <v>1.375</v>
      </c>
      <c r="I2368" s="75">
        <f>IF(F2368&gt;'THAM_SO_MOI'!$C$14,'THAM_SO_MOI'!$C$13*(1+F2368^2/1500),'THAM_SO_MOI'!$C$13)</f>
        <v>0.015</v>
      </c>
      <c r="J2368" s="75">
        <f>'THAM_SO_MOI'!$C$40*('THAM_SO_MOI'!$C$23*(E2368/'THAM_SO_MOI'!$C$22)+'THAM_SO_MOI'!$C$24*(E2368/'THAM_SO_MOI'!$C$22)^2-'THAM_SO_MOI'!$C$25*(E2368/'THAM_SO_MOI'!$C$22)^3)</f>
        <v>111.13743509069224</v>
      </c>
      <c r="K2368" s="75">
        <f>'THAM_SO_MOI'!$C$31*J2368/E2368</f>
        <v>424.7739543644634</v>
      </c>
      <c r="L2368" s="75">
        <f>K2368*'THAM_SO_MOI'!$C$51*'THAM_SO_MOI'!$C$17/'THAM_SO_MOI'!$C$26</f>
        <v>9497.610278926402</v>
      </c>
      <c r="M2368" s="75">
        <f>'THAM_SO_MOI'!$C$15*'THAM_SO_MOI'!$C$16*F2368^2</f>
        <v>289.48071974323614</v>
      </c>
      <c r="N2368" s="75">
        <f>'THAM_SO_MOI'!$C$12*I2368</f>
        <v>1130.112</v>
      </c>
      <c r="O2368" s="75">
        <f>M2368+N2368</f>
        <v>1419.592719743236</v>
      </c>
      <c r="P2368" s="75">
        <f>(MIN(L2368,'THAM_SO_MOI'!$C$41)-O2368)/('THAM_SO_MOI'!$C$11*H2368)</f>
        <v>0.7649637840135574</v>
      </c>
      <c r="Q2368" s="75">
        <f>IF(P2368&gt;0,1/P2368,NA())</f>
        <v>1.307251429281098</v>
      </c>
      <c r="R2368" s="75">
        <f>F2368-F2367</f>
        <v>0.005028991339518285</v>
      </c>
      <c r="S2368" s="75">
        <f>0.5*(Q2367+Q2368)*R2368</f>
        <v>0.006573667332197403</v>
      </c>
      <c r="T2368" s="75">
        <f>0.5*(F2367*Q2367+F2368*Q2368)*R2368</f>
        <v>0.06537998733612511</v>
      </c>
      <c r="U2368" s="76">
        <f>U2367+S2368</f>
        <v>12.430381915842414</v>
      </c>
      <c r="V2368" s="76">
        <f>V2367+T2368</f>
        <v>70.2120886931304</v>
      </c>
    </row>
    <row r="2369" spans="1:22" ht="19" customHeight="1">
      <c r="A2369" s="68" t="s">
        <v>374</v>
      </c>
      <c r="B2369" s="74">
        <v>3</v>
      </c>
      <c r="C2369" s="68" t="s">
        <v>363</v>
      </c>
      <c r="D2369" s="68" t="s">
        <v>364</v>
      </c>
      <c r="E2369" s="75">
        <f>60*F2369*'THAM_SO_MOI'!$C$51/(2*PI()*'THAM_SO_MOI'!$C$26)</f>
        <v>2500.203134512141</v>
      </c>
      <c r="F2369" s="75">
        <f>'HANH_TRINH'!$F$1647+('THAM_SO_MOI'!$F$51-'HANH_TRINH'!$F$1647)*721/'THAM_SO_MOI'!$C$42</f>
        <v>9.953283483137813</v>
      </c>
      <c r="G2369" s="75">
        <f>3.6*F2369</f>
        <v>35.83182053929613</v>
      </c>
      <c r="H2369" s="75">
        <f>'THAM_SO_MOI'!$D$51</f>
        <v>1.375</v>
      </c>
      <c r="I2369" s="75">
        <f>IF(F2369&gt;'THAM_SO_MOI'!$C$14,'THAM_SO_MOI'!$C$13*(1+F2369^2/1500),'THAM_SO_MOI'!$C$13)</f>
        <v>0.015</v>
      </c>
      <c r="J2369" s="75">
        <f>'THAM_SO_MOI'!$C$40*('THAM_SO_MOI'!$C$23*(E2369/'THAM_SO_MOI'!$C$22)+'THAM_SO_MOI'!$C$24*(E2369/'THAM_SO_MOI'!$C$22)^2-'THAM_SO_MOI'!$C$25*(E2369/'THAM_SO_MOI'!$C$22)^3)</f>
        <v>111.18293674497133</v>
      </c>
      <c r="K2369" s="75">
        <f>'THAM_SO_MOI'!$C$31*J2369/E2369</f>
        <v>424.733155462525</v>
      </c>
      <c r="L2369" s="75">
        <f>K2369*'THAM_SO_MOI'!$C$51*'THAM_SO_MOI'!$C$17/'THAM_SO_MOI'!$C$26</f>
        <v>9496.698047688029</v>
      </c>
      <c r="M2369" s="75">
        <f>'THAM_SO_MOI'!$C$15*'THAM_SO_MOI'!$C$16*F2369^2</f>
        <v>289.77346737993423</v>
      </c>
      <c r="N2369" s="75">
        <f>'THAM_SO_MOI'!$C$12*I2369</f>
        <v>1130.112</v>
      </c>
      <c r="O2369" s="75">
        <f>M2369+N2369</f>
        <v>1419.8854673799342</v>
      </c>
      <c r="P2369" s="75">
        <f>(MIN(L2369,'THAM_SO_MOI'!$C$41)-O2369)/('THAM_SO_MOI'!$C$11*H2369)</f>
        <v>0.7648496761655392</v>
      </c>
      <c r="Q2369" s="75">
        <f>IF(P2369&gt;0,1/P2369,NA())</f>
        <v>1.3074464579933565</v>
      </c>
      <c r="R2369" s="75">
        <f>F2369-F2368</f>
        <v>0.005028991339516509</v>
      </c>
      <c r="S2369" s="75">
        <f>0.5*(Q2368+Q2369)*R2369</f>
        <v>0.006574646515277672</v>
      </c>
      <c r="T2369" s="75">
        <f>0.5*(F2368*Q2368+F2369*Q2369)*R2369</f>
        <v>0.06542278988089575</v>
      </c>
      <c r="U2369" s="76">
        <f>U2368+S2369</f>
        <v>12.436956562357691</v>
      </c>
      <c r="V2369" s="76">
        <f>V2368+T2369</f>
        <v>70.2775114830113</v>
      </c>
    </row>
    <row r="2370" spans="1:22" ht="19" customHeight="1">
      <c r="A2370" s="68" t="s">
        <v>374</v>
      </c>
      <c r="B2370" s="74">
        <v>3</v>
      </c>
      <c r="C2370" s="68" t="s">
        <v>363</v>
      </c>
      <c r="D2370" s="68" t="s">
        <v>364</v>
      </c>
      <c r="E2370" s="75">
        <f>60*F2370*'THAM_SO_MOI'!$C$51/(2*PI()*'THAM_SO_MOI'!$C$26)</f>
        <v>2501.4663859740126</v>
      </c>
      <c r="F2370" s="75">
        <f>'HANH_TRINH'!$F$1647+('THAM_SO_MOI'!$F$51-'HANH_TRINH'!$F$1647)*722/'THAM_SO_MOI'!$C$42</f>
        <v>9.958312474477331</v>
      </c>
      <c r="G2370" s="75">
        <f>3.6*F2370</f>
        <v>35.849924908118396</v>
      </c>
      <c r="H2370" s="75">
        <f>'THAM_SO_MOI'!$D$51</f>
        <v>1.375</v>
      </c>
      <c r="I2370" s="75">
        <f>IF(F2370&gt;'THAM_SO_MOI'!$C$14,'THAM_SO_MOI'!$C$13*(1+F2370^2/1500),'THAM_SO_MOI'!$C$13)</f>
        <v>0.015</v>
      </c>
      <c r="J2370" s="75">
        <f>'THAM_SO_MOI'!$C$40*('THAM_SO_MOI'!$C$23*(E2370/'THAM_SO_MOI'!$C$22)+'THAM_SO_MOI'!$C$24*(E2370/'THAM_SO_MOI'!$C$22)^2-'THAM_SO_MOI'!$C$25*(E2370/'THAM_SO_MOI'!$C$22)^3)</f>
        <v>111.22838705985221</v>
      </c>
      <c r="K2370" s="75">
        <f>'THAM_SO_MOI'!$C$31*J2370/E2370</f>
        <v>424.6922017437558</v>
      </c>
      <c r="L2370" s="75">
        <f>K2370*'THAM_SO_MOI'!$C$51*'THAM_SO_MOI'!$C$17/'THAM_SO_MOI'!$C$26</f>
        <v>9495.782354867539</v>
      </c>
      <c r="M2370" s="75">
        <f>'THAM_SO_MOI'!$C$15*'THAM_SO_MOI'!$C$16*F2370^2</f>
        <v>290.0663629675427</v>
      </c>
      <c r="N2370" s="75">
        <f>'THAM_SO_MOI'!$C$12*I2370</f>
        <v>1130.112</v>
      </c>
      <c r="O2370" s="75">
        <f>M2370+N2370</f>
        <v>1420.1783629675429</v>
      </c>
      <c r="P2370" s="75">
        <f>(MIN(L2370,'THAM_SO_MOI'!$C$41)-O2370)/('THAM_SO_MOI'!$C$11*H2370)</f>
        <v>0.7647352265056815</v>
      </c>
      <c r="Q2370" s="75">
        <f>IF(P2370&gt;0,1/P2370,NA())</f>
        <v>1.3076421293802798</v>
      </c>
      <c r="R2370" s="75">
        <f>F2370-F2369</f>
        <v>0.005028991339518285</v>
      </c>
      <c r="S2370" s="75">
        <f>0.5*(Q2369+Q2370)*R2370</f>
        <v>0.0065756289289875605</v>
      </c>
      <c r="T2370" s="75">
        <f>0.5*(F2369*Q2369+F2370*Q2370)*R2370</f>
        <v>0.06546563443777219</v>
      </c>
      <c r="U2370" s="76">
        <f>U2369+S2370</f>
        <v>12.443532191286678</v>
      </c>
      <c r="V2370" s="76">
        <f>V2369+T2370</f>
        <v>70.34297711744907</v>
      </c>
    </row>
    <row r="2371" spans="1:22" ht="19" customHeight="1">
      <c r="A2371" s="68" t="s">
        <v>374</v>
      </c>
      <c r="B2371" s="74">
        <v>3</v>
      </c>
      <c r="C2371" s="68" t="s">
        <v>363</v>
      </c>
      <c r="D2371" s="68" t="s">
        <v>364</v>
      </c>
      <c r="E2371" s="75">
        <f>60*F2371*'THAM_SO_MOI'!$C$51/(2*PI()*'THAM_SO_MOI'!$C$26)</f>
        <v>2502.729637435885</v>
      </c>
      <c r="F2371" s="75">
        <f>'HANH_TRINH'!$F$1647+('THAM_SO_MOI'!$F$51-'HANH_TRINH'!$F$1647)*723/'THAM_SO_MOI'!$C$42</f>
        <v>9.96334146581685</v>
      </c>
      <c r="G2371" s="75">
        <f>3.6*F2371</f>
        <v>35.86802927694066</v>
      </c>
      <c r="H2371" s="75">
        <f>'THAM_SO_MOI'!$D$51</f>
        <v>1.375</v>
      </c>
      <c r="I2371" s="75">
        <f>IF(F2371&gt;'THAM_SO_MOI'!$C$14,'THAM_SO_MOI'!$C$13*(1+F2371^2/1500),'THAM_SO_MOI'!$C$13)</f>
        <v>0.015</v>
      </c>
      <c r="J2371" s="75">
        <f>'THAM_SO_MOI'!$C$40*('THAM_SO_MOI'!$C$23*(E2371/'THAM_SO_MOI'!$C$22)+'THAM_SO_MOI'!$C$24*(E2371/'THAM_SO_MOI'!$C$22)^2-'THAM_SO_MOI'!$C$25*(E2371/'THAM_SO_MOI'!$C$22)^3)</f>
        <v>111.2737859739056</v>
      </c>
      <c r="K2371" s="75">
        <f>'THAM_SO_MOI'!$C$31*J2371/E2371</f>
        <v>424.6510932081563</v>
      </c>
      <c r="L2371" s="75">
        <f>K2371*'THAM_SO_MOI'!$C$51*'THAM_SO_MOI'!$C$17/'THAM_SO_MOI'!$C$26</f>
        <v>9494.863200464944</v>
      </c>
      <c r="M2371" s="75">
        <f>'THAM_SO_MOI'!$C$15*'THAM_SO_MOI'!$C$16*F2371^2</f>
        <v>290.3594065060615</v>
      </c>
      <c r="N2371" s="75">
        <f>'THAM_SO_MOI'!$C$12*I2371</f>
        <v>1130.112</v>
      </c>
      <c r="O2371" s="75">
        <f>M2371+N2371</f>
        <v>1420.4714065060616</v>
      </c>
      <c r="P2371" s="75">
        <f>(MIN(L2371,'THAM_SO_MOI'!$C$41)-O2371)/('THAM_SO_MOI'!$C$11*H2371)</f>
        <v>0.7646204350339852</v>
      </c>
      <c r="Q2371" s="75">
        <f>IF(P2371&gt;0,1/P2371,NA())</f>
        <v>1.3078384439928719</v>
      </c>
      <c r="R2371" s="75">
        <f>F2371-F2370</f>
        <v>0.005028991339518285</v>
      </c>
      <c r="S2371" s="75">
        <f>0.5*(Q2370+Q2371)*R2371</f>
        <v>0.006576614576085949</v>
      </c>
      <c r="T2371" s="75">
        <f>0.5*(F2370*Q2370+F2371*Q2371)*R2371</f>
        <v>0.06550852108297553</v>
      </c>
      <c r="U2371" s="76">
        <f>U2370+S2371</f>
        <v>12.450108805862765</v>
      </c>
      <c r="V2371" s="76">
        <f>V2370+T2371</f>
        <v>70.40848563853204</v>
      </c>
    </row>
    <row r="2372" spans="1:22" ht="19" customHeight="1">
      <c r="A2372" s="68" t="s">
        <v>374</v>
      </c>
      <c r="B2372" s="74">
        <v>3</v>
      </c>
      <c r="C2372" s="68" t="s">
        <v>363</v>
      </c>
      <c r="D2372" s="68" t="s">
        <v>364</v>
      </c>
      <c r="E2372" s="75">
        <f>60*F2372*'THAM_SO_MOI'!$C$51/(2*PI()*'THAM_SO_MOI'!$C$26)</f>
        <v>2503.9928888977565</v>
      </c>
      <c r="F2372" s="75">
        <f>'HANH_TRINH'!$F$1647+('THAM_SO_MOI'!$F$51-'HANH_TRINH'!$F$1647)*724/'THAM_SO_MOI'!$C$42</f>
        <v>9.968370457156368</v>
      </c>
      <c r="G2372" s="75">
        <f>3.6*F2372</f>
        <v>35.886133645762925</v>
      </c>
      <c r="H2372" s="75">
        <f>'THAM_SO_MOI'!$D$51</f>
        <v>1.375</v>
      </c>
      <c r="I2372" s="75">
        <f>IF(F2372&gt;'THAM_SO_MOI'!$C$14,'THAM_SO_MOI'!$C$13*(1+F2372^2/1500),'THAM_SO_MOI'!$C$13)</f>
        <v>0.015</v>
      </c>
      <c r="J2372" s="75">
        <f>'THAM_SO_MOI'!$C$40*('THAM_SO_MOI'!$C$23*(E2372/'THAM_SO_MOI'!$C$22)+'THAM_SO_MOI'!$C$24*(E2372/'THAM_SO_MOI'!$C$22)^2-'THAM_SO_MOI'!$C$25*(E2372/'THAM_SO_MOI'!$C$22)^3)</f>
        <v>111.31913342570213</v>
      </c>
      <c r="K2372" s="75">
        <f>'THAM_SO_MOI'!$C$31*J2372/E2372</f>
        <v>424.6098298557262</v>
      </c>
      <c r="L2372" s="75">
        <f>K2372*'THAM_SO_MOI'!$C$51*'THAM_SO_MOI'!$C$17/'THAM_SO_MOI'!$C$26</f>
        <v>9493.94058448024</v>
      </c>
      <c r="M2372" s="75">
        <f>'THAM_SO_MOI'!$C$15*'THAM_SO_MOI'!$C$16*F2372^2</f>
        <v>290.6525979954905</v>
      </c>
      <c r="N2372" s="75">
        <f>'THAM_SO_MOI'!$C$12*I2372</f>
        <v>1130.112</v>
      </c>
      <c r="O2372" s="75">
        <f>M2372+N2372</f>
        <v>1420.7645979954905</v>
      </c>
      <c r="P2372" s="75">
        <f>(MIN(L2372,'THAM_SO_MOI'!$C$41)-O2372)/('THAM_SO_MOI'!$C$11*H2372)</f>
        <v>0.7645053017504497</v>
      </c>
      <c r="Q2372" s="75">
        <f>IF(P2372&gt;0,1/P2372,NA())</f>
        <v>1.3080354023841951</v>
      </c>
      <c r="R2372" s="75">
        <f>F2372-F2371</f>
        <v>0.005028991339518285</v>
      </c>
      <c r="S2372" s="75">
        <f>0.5*(Q2371+Q2372)*R2372</f>
        <v>0.0065776034593513265</v>
      </c>
      <c r="T2372" s="75">
        <f>0.5*(F2371*Q2371+F2372*Q2372)*R2372</f>
        <v>0.06555144989297793</v>
      </c>
      <c r="U2372" s="76">
        <f>U2371+S2372</f>
        <v>12.456686409322117</v>
      </c>
      <c r="V2372" s="76">
        <f>V2371+T2372</f>
        <v>70.47403708842502</v>
      </c>
    </row>
    <row r="2373" spans="1:22" ht="19" customHeight="1">
      <c r="A2373" s="68" t="s">
        <v>374</v>
      </c>
      <c r="B2373" s="74">
        <v>3</v>
      </c>
      <c r="C2373" s="68" t="s">
        <v>363</v>
      </c>
      <c r="D2373" s="68" t="s">
        <v>364</v>
      </c>
      <c r="E2373" s="75">
        <f>60*F2373*'THAM_SO_MOI'!$C$51/(2*PI()*'THAM_SO_MOI'!$C$26)</f>
        <v>2505.256140359628</v>
      </c>
      <c r="F2373" s="75">
        <f>'HANH_TRINH'!$F$1647+('THAM_SO_MOI'!$F$51-'HANH_TRINH'!$F$1647)*725/'THAM_SO_MOI'!$C$42</f>
        <v>9.973399448495885</v>
      </c>
      <c r="G2373" s="75">
        <f>3.6*F2373</f>
        <v>35.90423801458518</v>
      </c>
      <c r="H2373" s="75">
        <f>'THAM_SO_MOI'!$D$51</f>
        <v>1.375</v>
      </c>
      <c r="I2373" s="75">
        <f>IF(F2373&gt;'THAM_SO_MOI'!$C$14,'THAM_SO_MOI'!$C$13*(1+F2373^2/1500),'THAM_SO_MOI'!$C$13)</f>
        <v>0.015</v>
      </c>
      <c r="J2373" s="75">
        <f>'THAM_SO_MOI'!$C$40*('THAM_SO_MOI'!$C$23*(E2373/'THAM_SO_MOI'!$C$22)+'THAM_SO_MOI'!$C$24*(E2373/'THAM_SO_MOI'!$C$22)^2-'THAM_SO_MOI'!$C$25*(E2373/'THAM_SO_MOI'!$C$22)^3)</f>
        <v>111.36442935381241</v>
      </c>
      <c r="K2373" s="75">
        <f>'THAM_SO_MOI'!$C$31*J2373/E2373</f>
        <v>424.56841168646565</v>
      </c>
      <c r="L2373" s="75">
        <f>K2373*'THAM_SO_MOI'!$C$51*'THAM_SO_MOI'!$C$17/'THAM_SO_MOI'!$C$26</f>
        <v>9493.014506913427</v>
      </c>
      <c r="M2373" s="75">
        <f>'THAM_SO_MOI'!$C$15*'THAM_SO_MOI'!$C$16*F2373^2</f>
        <v>290.9459374358297</v>
      </c>
      <c r="N2373" s="75">
        <f>'THAM_SO_MOI'!$C$12*I2373</f>
        <v>1130.112</v>
      </c>
      <c r="O2373" s="75">
        <f>M2373+N2373</f>
        <v>1421.05793743583</v>
      </c>
      <c r="P2373" s="75">
        <f>(MIN(L2373,'THAM_SO_MOI'!$C$41)-O2373)/('THAM_SO_MOI'!$C$11*H2373)</f>
        <v>0.7643898266550754</v>
      </c>
      <c r="Q2373" s="75">
        <f>IF(P2373&gt;0,1/P2373,NA())</f>
        <v>1.3082330051093705</v>
      </c>
      <c r="R2373" s="75">
        <f>F2373-F2372</f>
        <v>0.005028991339516509</v>
      </c>
      <c r="S2373" s="75">
        <f>0.5*(Q2372+Q2373)*R2373</f>
        <v>0.006578595581567895</v>
      </c>
      <c r="T2373" s="75">
        <f>0.5*(F2372*Q2372+F2373*Q2373)*R2373</f>
        <v>0.06559442094436423</v>
      </c>
      <c r="U2373" s="76">
        <f>U2372+S2373</f>
        <v>12.463265004903684</v>
      </c>
      <c r="V2373" s="76">
        <f>V2372+T2373</f>
        <v>70.53963150936939</v>
      </c>
    </row>
    <row r="2374" spans="1:22" ht="19" customHeight="1">
      <c r="A2374" s="68" t="s">
        <v>374</v>
      </c>
      <c r="B2374" s="74">
        <v>3</v>
      </c>
      <c r="C2374" s="68" t="s">
        <v>363</v>
      </c>
      <c r="D2374" s="68" t="s">
        <v>364</v>
      </c>
      <c r="E2374" s="75">
        <f>60*F2374*'THAM_SO_MOI'!$C$51/(2*PI()*'THAM_SO_MOI'!$C$26)</f>
        <v>2506.5193918214995</v>
      </c>
      <c r="F2374" s="75">
        <f>'HANH_TRINH'!$F$1647+('THAM_SO_MOI'!$F$51-'HANH_TRINH'!$F$1647)*726/'THAM_SO_MOI'!$C$42</f>
        <v>9.978428439835403</v>
      </c>
      <c r="G2374" s="75">
        <f>3.6*F2374</f>
        <v>35.922342383407454</v>
      </c>
      <c r="H2374" s="75">
        <f>'THAM_SO_MOI'!$D$51</f>
        <v>1.375</v>
      </c>
      <c r="I2374" s="75">
        <f>IF(F2374&gt;'THAM_SO_MOI'!$C$14,'THAM_SO_MOI'!$C$13*(1+F2374^2/1500),'THAM_SO_MOI'!$C$13)</f>
        <v>0.015</v>
      </c>
      <c r="J2374" s="75">
        <f>'THAM_SO_MOI'!$C$40*('THAM_SO_MOI'!$C$23*(E2374/'THAM_SO_MOI'!$C$22)+'THAM_SO_MOI'!$C$24*(E2374/'THAM_SO_MOI'!$C$22)^2-'THAM_SO_MOI'!$C$25*(E2374/'THAM_SO_MOI'!$C$22)^3)</f>
        <v>111.40967369680715</v>
      </c>
      <c r="K2374" s="75">
        <f>'THAM_SO_MOI'!$C$31*J2374/E2374</f>
        <v>424.5268387003746</v>
      </c>
      <c r="L2374" s="75">
        <f>K2374*'THAM_SO_MOI'!$C$51*'THAM_SO_MOI'!$C$17/'THAM_SO_MOI'!$C$26</f>
        <v>9492.084967764504</v>
      </c>
      <c r="M2374" s="75">
        <f>'THAM_SO_MOI'!$C$15*'THAM_SO_MOI'!$C$16*F2374^2</f>
        <v>291.2394248270793</v>
      </c>
      <c r="N2374" s="75">
        <f>'THAM_SO_MOI'!$C$12*I2374</f>
        <v>1130.112</v>
      </c>
      <c r="O2374" s="75">
        <f>M2374+N2374</f>
        <v>1421.3514248270794</v>
      </c>
      <c r="P2374" s="75">
        <f>(MIN(L2374,'THAM_SO_MOI'!$C$41)-O2374)/('THAM_SO_MOI'!$C$11*H2374)</f>
        <v>0.7642740097478622</v>
      </c>
      <c r="Q2374" s="75">
        <f>IF(P2374&gt;0,1/P2374,NA())</f>
        <v>1.3084312527255832</v>
      </c>
      <c r="R2374" s="75">
        <f>F2374-F2373</f>
        <v>0.005028991339518285</v>
      </c>
      <c r="S2374" s="75">
        <f>0.5*(Q2373+Q2374)*R2374</f>
        <v>0.006579590945539511</v>
      </c>
      <c r="T2374" s="75">
        <f>0.5*(F2373*Q2373+F2374*Q2374)*R2374</f>
        <v>0.06563743431397155</v>
      </c>
      <c r="U2374" s="76">
        <f>U2373+S2374</f>
        <v>12.469844595849224</v>
      </c>
      <c r="V2374" s="76">
        <f>V2373+T2374</f>
        <v>70.60526894368336</v>
      </c>
    </row>
    <row r="2375" spans="1:22" ht="19" customHeight="1">
      <c r="A2375" s="68" t="s">
        <v>374</v>
      </c>
      <c r="B2375" s="74">
        <v>3</v>
      </c>
      <c r="C2375" s="68" t="s">
        <v>363</v>
      </c>
      <c r="D2375" s="68" t="s">
        <v>364</v>
      </c>
      <c r="E2375" s="75">
        <f>60*F2375*'THAM_SO_MOI'!$C$51/(2*PI()*'THAM_SO_MOI'!$C$26)</f>
        <v>2507.7826432833713</v>
      </c>
      <c r="F2375" s="75">
        <f>'HANH_TRINH'!$F$1647+('THAM_SO_MOI'!$F$51-'HANH_TRINH'!$F$1647)*727/'THAM_SO_MOI'!$C$42</f>
        <v>9.98345743117492</v>
      </c>
      <c r="G2375" s="75">
        <f>3.6*F2375</f>
        <v>35.94044675222971</v>
      </c>
      <c r="H2375" s="75">
        <f>'THAM_SO_MOI'!$D$51</f>
        <v>1.375</v>
      </c>
      <c r="I2375" s="75">
        <f>IF(F2375&gt;'THAM_SO_MOI'!$C$14,'THAM_SO_MOI'!$C$13*(1+F2375^2/1500),'THAM_SO_MOI'!$C$13)</f>
        <v>0.015</v>
      </c>
      <c r="J2375" s="75">
        <f>'THAM_SO_MOI'!$C$40*('THAM_SO_MOI'!$C$23*(E2375/'THAM_SO_MOI'!$C$22)+'THAM_SO_MOI'!$C$24*(E2375/'THAM_SO_MOI'!$C$22)^2-'THAM_SO_MOI'!$C$25*(E2375/'THAM_SO_MOI'!$C$22)^3)</f>
        <v>111.45486639325692</v>
      </c>
      <c r="K2375" s="75">
        <f>'THAM_SO_MOI'!$C$31*J2375/E2375</f>
        <v>424.4851108974529</v>
      </c>
      <c r="L2375" s="75">
        <f>K2375*'THAM_SO_MOI'!$C$51*'THAM_SO_MOI'!$C$17/'THAM_SO_MOI'!$C$26</f>
        <v>9491.151967033471</v>
      </c>
      <c r="M2375" s="75">
        <f>'THAM_SO_MOI'!$C$15*'THAM_SO_MOI'!$C$16*F2375^2</f>
        <v>291.53306016923904</v>
      </c>
      <c r="N2375" s="75">
        <f>'THAM_SO_MOI'!$C$12*I2375</f>
        <v>1130.112</v>
      </c>
      <c r="O2375" s="75">
        <f>M2375+N2375</f>
        <v>1421.645060169239</v>
      </c>
      <c r="P2375" s="75">
        <f>(MIN(L2375,'THAM_SO_MOI'!$C$41)-O2375)/('THAM_SO_MOI'!$C$11*H2375)</f>
        <v>0.7641578510288098</v>
      </c>
      <c r="Q2375" s="75">
        <f>IF(P2375&gt;0,1/P2375,NA())</f>
        <v>1.308630145792088</v>
      </c>
      <c r="R2375" s="75">
        <f>F2375-F2374</f>
        <v>0.005028991339516509</v>
      </c>
      <c r="S2375" s="75">
        <f>0.5*(Q2374+Q2375)*R2375</f>
        <v>0.006580589554064165</v>
      </c>
      <c r="T2375" s="75">
        <f>0.5*(F2374*Q2374+F2375*Q2375)*R2375</f>
        <v>0.06568049007863469</v>
      </c>
      <c r="U2375" s="76">
        <f>U2374+S2375</f>
        <v>12.476425185403288</v>
      </c>
      <c r="V2375" s="76">
        <f>V2374+T2375</f>
        <v>70.67094943376199</v>
      </c>
    </row>
    <row r="2376" spans="1:22" ht="19" customHeight="1">
      <c r="A2376" s="68" t="s">
        <v>374</v>
      </c>
      <c r="B2376" s="74">
        <v>3</v>
      </c>
      <c r="C2376" s="68" t="s">
        <v>363</v>
      </c>
      <c r="D2376" s="68" t="s">
        <v>364</v>
      </c>
      <c r="E2376" s="75">
        <f>60*F2376*'THAM_SO_MOI'!$C$51/(2*PI()*'THAM_SO_MOI'!$C$26)</f>
        <v>2509.045894745243</v>
      </c>
      <c r="F2376" s="75">
        <f>'HANH_TRINH'!$F$1647+('THAM_SO_MOI'!$F$51-'HANH_TRINH'!$F$1647)*728/'THAM_SO_MOI'!$C$42</f>
        <v>9.988486422514438</v>
      </c>
      <c r="G2376" s="75">
        <f>3.6*F2376</f>
        <v>35.958551121051975</v>
      </c>
      <c r="H2376" s="75">
        <f>'THAM_SO_MOI'!$D$51</f>
        <v>1.375</v>
      </c>
      <c r="I2376" s="75">
        <f>IF(F2376&gt;'THAM_SO_MOI'!$C$14,'THAM_SO_MOI'!$C$13*(1+F2376^2/1500),'THAM_SO_MOI'!$C$13)</f>
        <v>0.015</v>
      </c>
      <c r="J2376" s="75">
        <f>'THAM_SO_MOI'!$C$40*('THAM_SO_MOI'!$C$23*(E2376/'THAM_SO_MOI'!$C$22)+'THAM_SO_MOI'!$C$24*(E2376/'THAM_SO_MOI'!$C$22)^2-'THAM_SO_MOI'!$C$25*(E2376/'THAM_SO_MOI'!$C$22)^3)</f>
        <v>111.50000738173244</v>
      </c>
      <c r="K2376" s="75">
        <f>'THAM_SO_MOI'!$C$31*J2376/E2376</f>
        <v>424.44322827770077</v>
      </c>
      <c r="L2376" s="75">
        <f>K2376*'THAM_SO_MOI'!$C$51*'THAM_SO_MOI'!$C$17/'THAM_SO_MOI'!$C$26</f>
        <v>9490.21550472033</v>
      </c>
      <c r="M2376" s="75">
        <f>'THAM_SO_MOI'!$C$15*'THAM_SO_MOI'!$C$16*F2376^2</f>
        <v>291.82684346230917</v>
      </c>
      <c r="N2376" s="75">
        <f>'THAM_SO_MOI'!$C$12*I2376</f>
        <v>1130.112</v>
      </c>
      <c r="O2376" s="75">
        <f>M2376+N2376</f>
        <v>1421.9388434623093</v>
      </c>
      <c r="P2376" s="75">
        <f>(MIN(L2376,'THAM_SO_MOI'!$C$41)-O2376)/('THAM_SO_MOI'!$C$11*H2376)</f>
        <v>0.7640413504979187</v>
      </c>
      <c r="Q2376" s="75">
        <f>IF(P2376&gt;0,1/P2376,NA())</f>
        <v>1.3088296848702092</v>
      </c>
      <c r="R2376" s="75">
        <f>F2376-F2375</f>
        <v>0.005028991339518285</v>
      </c>
      <c r="S2376" s="75">
        <f>0.5*(Q2375+Q2376)*R2376</f>
        <v>0.006581591409968845</v>
      </c>
      <c r="T2376" s="75">
        <f>0.5*(F2375*Q2375+F2376*Q2376)*R2376</f>
        <v>0.0657235883155344</v>
      </c>
      <c r="U2376" s="76">
        <f>U2375+S2376</f>
        <v>12.483006776813257</v>
      </c>
      <c r="V2376" s="76">
        <f>V2375+T2376</f>
        <v>70.73667302207753</v>
      </c>
    </row>
    <row r="2377" spans="1:22" ht="19" customHeight="1">
      <c r="A2377" s="68" t="s">
        <v>374</v>
      </c>
      <c r="B2377" s="74">
        <v>3</v>
      </c>
      <c r="C2377" s="68" t="s">
        <v>363</v>
      </c>
      <c r="D2377" s="68" t="s">
        <v>364</v>
      </c>
      <c r="E2377" s="75">
        <f>60*F2377*'THAM_SO_MOI'!$C$51/(2*PI()*'THAM_SO_MOI'!$C$26)</f>
        <v>2510.3091462071143</v>
      </c>
      <c r="F2377" s="75">
        <f>'HANH_TRINH'!$F$1647+('THAM_SO_MOI'!$F$51-'HANH_TRINH'!$F$1647)*729/'THAM_SO_MOI'!$C$42</f>
        <v>9.993515413853956</v>
      </c>
      <c r="G2377" s="75">
        <f>3.6*F2377</f>
        <v>35.97665548987424</v>
      </c>
      <c r="H2377" s="75">
        <f>'THAM_SO_MOI'!$D$51</f>
        <v>1.375</v>
      </c>
      <c r="I2377" s="75">
        <f>IF(F2377&gt;'THAM_SO_MOI'!$C$14,'THAM_SO_MOI'!$C$13*(1+F2377^2/1500),'THAM_SO_MOI'!$C$13)</f>
        <v>0.015</v>
      </c>
      <c r="J2377" s="75">
        <f>'THAM_SO_MOI'!$C$40*('THAM_SO_MOI'!$C$23*(E2377/'THAM_SO_MOI'!$C$22)+'THAM_SO_MOI'!$C$24*(E2377/'THAM_SO_MOI'!$C$22)^2-'THAM_SO_MOI'!$C$25*(E2377/'THAM_SO_MOI'!$C$22)^3)</f>
        <v>111.54509660080436</v>
      </c>
      <c r="K2377" s="75">
        <f>'THAM_SO_MOI'!$C$31*J2377/E2377</f>
        <v>424.40119084111825</v>
      </c>
      <c r="L2377" s="75">
        <f>K2377*'THAM_SO_MOI'!$C$51*'THAM_SO_MOI'!$C$17/'THAM_SO_MOI'!$C$26</f>
        <v>9489.275580825082</v>
      </c>
      <c r="M2377" s="75">
        <f>'THAM_SO_MOI'!$C$15*'THAM_SO_MOI'!$C$16*F2377^2</f>
        <v>292.1207747062896</v>
      </c>
      <c r="N2377" s="75">
        <f>'THAM_SO_MOI'!$C$12*I2377</f>
        <v>1130.112</v>
      </c>
      <c r="O2377" s="75">
        <f>M2377+N2377</f>
        <v>1422.2327747062895</v>
      </c>
      <c r="P2377" s="75">
        <f>(MIN(L2377,'THAM_SO_MOI'!$C$41)-O2377)/('THAM_SO_MOI'!$C$11*H2377)</f>
        <v>0.7639245081551888</v>
      </c>
      <c r="Q2377" s="75">
        <f>IF(P2377&gt;0,1/P2377,NA())</f>
        <v>1.3090298705233492</v>
      </c>
      <c r="R2377" s="75">
        <f>F2377-F2376</f>
        <v>0.005028991339518285</v>
      </c>
      <c r="S2377" s="75">
        <f>0.5*(Q2376+Q2377)*R2377</f>
        <v>0.0065825965160746965</v>
      </c>
      <c r="T2377" s="75">
        <f>0.5*(F2376*Q2376+F2377*Q2377)*R2377</f>
        <v>0.06576672910184991</v>
      </c>
      <c r="U2377" s="76">
        <f>U2376+S2377</f>
        <v>12.489589373329332</v>
      </c>
      <c r="V2377" s="76">
        <f>V2376+T2377</f>
        <v>70.80243975117938</v>
      </c>
    </row>
    <row r="2378" spans="1:22" ht="19" customHeight="1">
      <c r="A2378" s="68" t="s">
        <v>374</v>
      </c>
      <c r="B2378" s="74">
        <v>3</v>
      </c>
      <c r="C2378" s="68" t="s">
        <v>363</v>
      </c>
      <c r="D2378" s="68" t="s">
        <v>364</v>
      </c>
      <c r="E2378" s="75">
        <f>60*F2378*'THAM_SO_MOI'!$C$51/(2*PI()*'THAM_SO_MOI'!$C$26)</f>
        <v>2511.5723976689856</v>
      </c>
      <c r="F2378" s="75">
        <f>'HANH_TRINH'!$F$1647+('THAM_SO_MOI'!$F$51-'HANH_TRINH'!$F$1647)*730/'THAM_SO_MOI'!$C$42</f>
        <v>9.998544405193472</v>
      </c>
      <c r="G2378" s="75">
        <f>3.6*F2378</f>
        <v>35.994759858696504</v>
      </c>
      <c r="H2378" s="75">
        <f>'THAM_SO_MOI'!$D$51</f>
        <v>1.375</v>
      </c>
      <c r="I2378" s="75">
        <f>IF(F2378&gt;'THAM_SO_MOI'!$C$14,'THAM_SO_MOI'!$C$13*(1+F2378^2/1500),'THAM_SO_MOI'!$C$13)</f>
        <v>0.015</v>
      </c>
      <c r="J2378" s="75">
        <f>'THAM_SO_MOI'!$C$40*('THAM_SO_MOI'!$C$23*(E2378/'THAM_SO_MOI'!$C$22)+'THAM_SO_MOI'!$C$24*(E2378/'THAM_SO_MOI'!$C$22)^2-'THAM_SO_MOI'!$C$25*(E2378/'THAM_SO_MOI'!$C$22)^3)</f>
        <v>111.59013398904325</v>
      </c>
      <c r="K2378" s="75">
        <f>'THAM_SO_MOI'!$C$31*J2378/E2378</f>
        <v>424.35899858770506</v>
      </c>
      <c r="L2378" s="75">
        <f>K2378*'THAM_SO_MOI'!$C$51*'THAM_SO_MOI'!$C$17/'THAM_SO_MOI'!$C$26</f>
        <v>9488.332195347724</v>
      </c>
      <c r="M2378" s="75">
        <f>'THAM_SO_MOI'!$C$15*'THAM_SO_MOI'!$C$16*F2378^2</f>
        <v>292.41485390118015</v>
      </c>
      <c r="N2378" s="75">
        <f>'THAM_SO_MOI'!$C$12*I2378</f>
        <v>1130.112</v>
      </c>
      <c r="O2378" s="75">
        <f>M2378+N2378</f>
        <v>1422.5268539011802</v>
      </c>
      <c r="P2378" s="75">
        <f>(MIN(L2378,'THAM_SO_MOI'!$C$41)-O2378)/('THAM_SO_MOI'!$C$11*H2378)</f>
        <v>0.7638073240006197</v>
      </c>
      <c r="Q2378" s="75">
        <f>IF(P2378&gt;0,1/P2378,NA())</f>
        <v>1.3092307033169908</v>
      </c>
      <c r="R2378" s="75">
        <f>F2378-F2377</f>
        <v>0.005028991339516509</v>
      </c>
      <c r="S2378" s="75">
        <f>0.5*(Q2377+Q2378)*R2378</f>
        <v>0.006583604875220297</v>
      </c>
      <c r="T2378" s="75">
        <f>0.5*(F2377*Q2377+F2378*Q2378)*R2378</f>
        <v>0.06580991251499141</v>
      </c>
      <c r="U2378" s="76">
        <f>U2377+S2378</f>
        <v>12.496172978204553</v>
      </c>
      <c r="V2378" s="76">
        <f>V2377+T2378</f>
        <v>70.86824966369437</v>
      </c>
    </row>
    <row r="2379" spans="1:22" ht="19" customHeight="1">
      <c r="A2379" s="68" t="s">
        <v>374</v>
      </c>
      <c r="B2379" s="74">
        <v>3</v>
      </c>
      <c r="C2379" s="68" t="s">
        <v>363</v>
      </c>
      <c r="D2379" s="68" t="s">
        <v>364</v>
      </c>
      <c r="E2379" s="75">
        <f>60*F2379*'THAM_SO_MOI'!$C$51/(2*PI()*'THAM_SO_MOI'!$C$26)</f>
        <v>2512.8356491308573</v>
      </c>
      <c r="F2379" s="75">
        <f>'HANH_TRINH'!$F$1647+('THAM_SO_MOI'!$F$51-'HANH_TRINH'!$F$1647)*731/'THAM_SO_MOI'!$C$42</f>
        <v>10.00357339653299</v>
      </c>
      <c r="G2379" s="75">
        <f>3.6*F2379</f>
        <v>36.01286422751877</v>
      </c>
      <c r="H2379" s="75">
        <f>'THAM_SO_MOI'!$D$51</f>
        <v>1.375</v>
      </c>
      <c r="I2379" s="75">
        <f>IF(F2379&gt;'THAM_SO_MOI'!$C$14,'THAM_SO_MOI'!$C$13*(1+F2379^2/1500),'THAM_SO_MOI'!$C$13)</f>
        <v>0.015</v>
      </c>
      <c r="J2379" s="75">
        <f>'THAM_SO_MOI'!$C$40*('THAM_SO_MOI'!$C$23*(E2379/'THAM_SO_MOI'!$C$22)+'THAM_SO_MOI'!$C$24*(E2379/'THAM_SO_MOI'!$C$22)^2-'THAM_SO_MOI'!$C$25*(E2379/'THAM_SO_MOI'!$C$22)^3)</f>
        <v>111.63511948501987</v>
      </c>
      <c r="K2379" s="75">
        <f>'THAM_SO_MOI'!$C$31*J2379/E2379</f>
        <v>424.3166515174615</v>
      </c>
      <c r="L2379" s="75">
        <f>K2379*'THAM_SO_MOI'!$C$51*'THAM_SO_MOI'!$C$17/'THAM_SO_MOI'!$C$26</f>
        <v>9487.385348288257</v>
      </c>
      <c r="M2379" s="75">
        <f>'THAM_SO_MOI'!$C$15*'THAM_SO_MOI'!$C$16*F2379^2</f>
        <v>292.7090810469811</v>
      </c>
      <c r="N2379" s="75">
        <f>'THAM_SO_MOI'!$C$12*I2379</f>
        <v>1130.112</v>
      </c>
      <c r="O2379" s="75">
        <f>M2379+N2379</f>
        <v>1422.8210810469811</v>
      </c>
      <c r="P2379" s="75">
        <f>(MIN(L2379,'THAM_SO_MOI'!$C$41)-O2379)/('THAM_SO_MOI'!$C$11*H2379)</f>
        <v>0.7636897980342117</v>
      </c>
      <c r="Q2379" s="75">
        <f>IF(P2379&gt;0,1/P2379,NA())</f>
        <v>1.3094321838187004</v>
      </c>
      <c r="R2379" s="75">
        <f>F2379-F2378</f>
        <v>0.005028991339518285</v>
      </c>
      <c r="S2379" s="75">
        <f>0.5*(Q2378+Q2379)*R2379</f>
        <v>0.0065846164902616695</v>
      </c>
      <c r="T2379" s="75">
        <f>0.5*(F2378*Q2378+F2379*Q2379)*R2379</f>
        <v>0.06585313863260073</v>
      </c>
      <c r="U2379" s="76">
        <f>U2378+S2379</f>
        <v>12.502757594694815</v>
      </c>
      <c r="V2379" s="76">
        <f>V2378+T2379</f>
        <v>70.93410280232698</v>
      </c>
    </row>
    <row r="2380" spans="1:22" ht="19" customHeight="1">
      <c r="A2380" s="68" t="s">
        <v>374</v>
      </c>
      <c r="B2380" s="74">
        <v>3</v>
      </c>
      <c r="C2380" s="68" t="s">
        <v>363</v>
      </c>
      <c r="D2380" s="68" t="s">
        <v>364</v>
      </c>
      <c r="E2380" s="75">
        <f>60*F2380*'THAM_SO_MOI'!$C$51/(2*PI()*'THAM_SO_MOI'!$C$26)</f>
        <v>2514.0989005927295</v>
      </c>
      <c r="F2380" s="75">
        <f>'HANH_TRINH'!$F$1647+('THAM_SO_MOI'!$F$51-'HANH_TRINH'!$F$1647)*732/'THAM_SO_MOI'!$C$42</f>
        <v>10.008602387872509</v>
      </c>
      <c r="G2380" s="75">
        <f>3.6*F2380</f>
        <v>36.03096859634103</v>
      </c>
      <c r="H2380" s="75">
        <f>'THAM_SO_MOI'!$D$51</f>
        <v>1.375</v>
      </c>
      <c r="I2380" s="75">
        <f>IF(F2380&gt;'THAM_SO_MOI'!$C$14,'THAM_SO_MOI'!$C$13*(1+F2380^2/1500),'THAM_SO_MOI'!$C$13)</f>
        <v>0.015</v>
      </c>
      <c r="J2380" s="75">
        <f>'THAM_SO_MOI'!$C$40*('THAM_SO_MOI'!$C$23*(E2380/'THAM_SO_MOI'!$C$22)+'THAM_SO_MOI'!$C$24*(E2380/'THAM_SO_MOI'!$C$22)^2-'THAM_SO_MOI'!$C$25*(E2380/'THAM_SO_MOI'!$C$22)^3)</f>
        <v>111.68005302730482</v>
      </c>
      <c r="K2380" s="75">
        <f>'THAM_SO_MOI'!$C$31*J2380/E2380</f>
        <v>424.2741496303872</v>
      </c>
      <c r="L2380" s="75">
        <f>K2380*'THAM_SO_MOI'!$C$51*'THAM_SO_MOI'!$C$17/'THAM_SO_MOI'!$C$26</f>
        <v>9486.435039646678</v>
      </c>
      <c r="M2380" s="75">
        <f>'THAM_SO_MOI'!$C$15*'THAM_SO_MOI'!$C$16*F2380^2</f>
        <v>293.00345614369235</v>
      </c>
      <c r="N2380" s="75">
        <f>'THAM_SO_MOI'!$C$12*I2380</f>
        <v>1130.112</v>
      </c>
      <c r="O2380" s="75">
        <f>M2380+N2380</f>
        <v>1423.1154561436924</v>
      </c>
      <c r="P2380" s="75">
        <f>(MIN(L2380,'THAM_SO_MOI'!$C$41)-O2380)/('THAM_SO_MOI'!$C$11*H2380)</f>
        <v>0.7635719302559645</v>
      </c>
      <c r="Q2380" s="75">
        <f>IF(P2380&gt;0,1/P2380,NA())</f>
        <v>1.3096343125981336</v>
      </c>
      <c r="R2380" s="75">
        <f>F2380-F2379</f>
        <v>0.005028991339518285</v>
      </c>
      <c r="S2380" s="75">
        <f>0.5*(Q2379+Q2380)*R2380</f>
        <v>0.006585631364051377</v>
      </c>
      <c r="T2380" s="75">
        <f>0.5*(F2379*Q2379+F2380*Q2380)*R2380</f>
        <v>0.06589640753234248</v>
      </c>
      <c r="U2380" s="76">
        <f>U2379+S2380</f>
        <v>12.509343226058867</v>
      </c>
      <c r="V2380" s="76">
        <f>V2379+T2380</f>
        <v>70.99999920985931</v>
      </c>
    </row>
    <row r="2381" spans="1:22" ht="19" customHeight="1">
      <c r="A2381" s="68" t="s">
        <v>374</v>
      </c>
      <c r="B2381" s="74">
        <v>3</v>
      </c>
      <c r="C2381" s="68" t="s">
        <v>363</v>
      </c>
      <c r="D2381" s="68" t="s">
        <v>364</v>
      </c>
      <c r="E2381" s="75">
        <f>60*F2381*'THAM_SO_MOI'!$C$51/(2*PI()*'THAM_SO_MOI'!$C$26)</f>
        <v>2515.3621520546008</v>
      </c>
      <c r="F2381" s="75">
        <f>'HANH_TRINH'!$F$1647+('THAM_SO_MOI'!$F$51-'HANH_TRINH'!$F$1647)*733/'THAM_SO_MOI'!$C$42</f>
        <v>10.013631379212026</v>
      </c>
      <c r="G2381" s="75">
        <f>3.6*F2381</f>
        <v>36.04907296516329</v>
      </c>
      <c r="H2381" s="75">
        <f>'THAM_SO_MOI'!$D$51</f>
        <v>1.375</v>
      </c>
      <c r="I2381" s="75">
        <f>IF(F2381&gt;'THAM_SO_MOI'!$C$14,'THAM_SO_MOI'!$C$13*(1+F2381^2/1500),'THAM_SO_MOI'!$C$13)</f>
        <v>0.015</v>
      </c>
      <c r="J2381" s="75">
        <f>'THAM_SO_MOI'!$C$40*('THAM_SO_MOI'!$C$23*(E2381/'THAM_SO_MOI'!$C$22)+'THAM_SO_MOI'!$C$24*(E2381/'THAM_SO_MOI'!$C$22)^2-'THAM_SO_MOI'!$C$25*(E2381/'THAM_SO_MOI'!$C$22)^3)</f>
        <v>111.72493455446876</v>
      </c>
      <c r="K2381" s="75">
        <f>'THAM_SO_MOI'!$C$31*J2381/E2381</f>
        <v>424.23149292648276</v>
      </c>
      <c r="L2381" s="75">
        <f>K2381*'THAM_SO_MOI'!$C$51*'THAM_SO_MOI'!$C$17/'THAM_SO_MOI'!$C$26</f>
        <v>9485.481269422997</v>
      </c>
      <c r="M2381" s="75">
        <f>'THAM_SO_MOI'!$C$15*'THAM_SO_MOI'!$C$16*F2381^2</f>
        <v>293.29797919131374</v>
      </c>
      <c r="N2381" s="75">
        <f>'THAM_SO_MOI'!$C$12*I2381</f>
        <v>1130.112</v>
      </c>
      <c r="O2381" s="75">
        <f>M2381+N2381</f>
        <v>1423.4099791913138</v>
      </c>
      <c r="P2381" s="75">
        <f>(MIN(L2381,'THAM_SO_MOI'!$C$41)-O2381)/('THAM_SO_MOI'!$C$11*H2381)</f>
        <v>0.7634537206658791</v>
      </c>
      <c r="Q2381" s="75">
        <f>IF(P2381&gt;0,1/P2381,NA())</f>
        <v>1.3098370902270366</v>
      </c>
      <c r="R2381" s="75">
        <f>F2381-F2380</f>
        <v>0.005028991339516509</v>
      </c>
      <c r="S2381" s="75">
        <f>0.5*(Q2380+Q2381)*R2381</f>
        <v>0.006586649499459471</v>
      </c>
      <c r="T2381" s="75">
        <f>0.5*(F2380*Q2380+F2381*Q2381)*R2381</f>
        <v>0.0659397192921137</v>
      </c>
      <c r="U2381" s="76">
        <f>U2380+S2381</f>
        <v>12.515929875558326</v>
      </c>
      <c r="V2381" s="76">
        <f>V2380+T2381</f>
        <v>71.06593892915143</v>
      </c>
    </row>
    <row r="2382" spans="1:22" ht="19" customHeight="1">
      <c r="A2382" s="68" t="s">
        <v>374</v>
      </c>
      <c r="B2382" s="74">
        <v>3</v>
      </c>
      <c r="C2382" s="68" t="s">
        <v>363</v>
      </c>
      <c r="D2382" s="68" t="s">
        <v>364</v>
      </c>
      <c r="E2382" s="75">
        <f>60*F2382*'THAM_SO_MOI'!$C$51/(2*PI()*'THAM_SO_MOI'!$C$26)</f>
        <v>2516.6254035164725</v>
      </c>
      <c r="F2382" s="75">
        <f>'HANH_TRINH'!$F$1647+('THAM_SO_MOI'!$F$51-'HANH_TRINH'!$F$1647)*734/'THAM_SO_MOI'!$C$42</f>
        <v>10.018660370551544</v>
      </c>
      <c r="G2382" s="75">
        <f>3.6*F2382</f>
        <v>36.06717733398556</v>
      </c>
      <c r="H2382" s="75">
        <f>'THAM_SO_MOI'!$D$51</f>
        <v>1.375</v>
      </c>
      <c r="I2382" s="75">
        <f>IF(F2382&gt;'THAM_SO_MOI'!$C$14,'THAM_SO_MOI'!$C$13*(1+F2382^2/1500),'THAM_SO_MOI'!$C$13)</f>
        <v>0.015</v>
      </c>
      <c r="J2382" s="75">
        <f>'THAM_SO_MOI'!$C$40*('THAM_SO_MOI'!$C$23*(E2382/'THAM_SO_MOI'!$C$22)+'THAM_SO_MOI'!$C$24*(E2382/'THAM_SO_MOI'!$C$22)^2-'THAM_SO_MOI'!$C$25*(E2382/'THAM_SO_MOI'!$C$22)^3)</f>
        <v>111.76976400508231</v>
      </c>
      <c r="K2382" s="75">
        <f>'THAM_SO_MOI'!$C$31*J2382/E2382</f>
        <v>424.1886814057475</v>
      </c>
      <c r="L2382" s="75">
        <f>K2382*'THAM_SO_MOI'!$C$51*'THAM_SO_MOI'!$C$17/'THAM_SO_MOI'!$C$26</f>
        <v>9484.5240376172</v>
      </c>
      <c r="M2382" s="75">
        <f>'THAM_SO_MOI'!$C$15*'THAM_SO_MOI'!$C$16*F2382^2</f>
        <v>293.59265018984553</v>
      </c>
      <c r="N2382" s="75">
        <f>'THAM_SO_MOI'!$C$12*I2382</f>
        <v>1130.112</v>
      </c>
      <c r="O2382" s="75">
        <f>M2382+N2382</f>
        <v>1423.7046501898456</v>
      </c>
      <c r="P2382" s="75">
        <f>(MIN(L2382,'THAM_SO_MOI'!$C$41)-O2382)/('THAM_SO_MOI'!$C$11*H2382)</f>
        <v>0.7633351692639542</v>
      </c>
      <c r="Q2382" s="75">
        <f>IF(P2382&gt;0,1/P2382,NA())</f>
        <v>1.3100405172792573</v>
      </c>
      <c r="R2382" s="75">
        <f>F2382-F2381</f>
        <v>0.005028991339518285</v>
      </c>
      <c r="S2382" s="75">
        <f>0.5*(Q2381+Q2382)*R2382</f>
        <v>0.006587670899373519</v>
      </c>
      <c r="T2382" s="75">
        <f>0.5*(F2381*Q2381+F2382*Q2382)*R2382</f>
        <v>0.06598307399004472</v>
      </c>
      <c r="U2382" s="76">
        <f>U2381+S2382</f>
        <v>12.5225175464577</v>
      </c>
      <c r="V2382" s="76">
        <f>V2381+T2382</f>
        <v>71.13192200314147</v>
      </c>
    </row>
    <row r="2383" spans="1:22" ht="19" customHeight="1">
      <c r="A2383" s="68" t="s">
        <v>374</v>
      </c>
      <c r="B2383" s="74">
        <v>3</v>
      </c>
      <c r="C2383" s="68" t="s">
        <v>363</v>
      </c>
      <c r="D2383" s="68" t="s">
        <v>364</v>
      </c>
      <c r="E2383" s="75">
        <f>60*F2383*'THAM_SO_MOI'!$C$51/(2*PI()*'THAM_SO_MOI'!$C$26)</f>
        <v>2517.888654978344</v>
      </c>
      <c r="F2383" s="75">
        <f>'HANH_TRINH'!$F$1647+('THAM_SO_MOI'!$F$51-'HANH_TRINH'!$F$1647)*735/'THAM_SO_MOI'!$C$42</f>
        <v>10.023689361891062</v>
      </c>
      <c r="G2383" s="75">
        <f>3.6*F2383</f>
        <v>36.085281702807826</v>
      </c>
      <c r="H2383" s="75">
        <f>'THAM_SO_MOI'!$D$51</f>
        <v>1.375</v>
      </c>
      <c r="I2383" s="75">
        <f>IF(F2383&gt;'THAM_SO_MOI'!$C$14,'THAM_SO_MOI'!$C$13*(1+F2383^2/1500),'THAM_SO_MOI'!$C$13)</f>
        <v>0.015</v>
      </c>
      <c r="J2383" s="75">
        <f>'THAM_SO_MOI'!$C$40*('THAM_SO_MOI'!$C$23*(E2383/'THAM_SO_MOI'!$C$22)+'THAM_SO_MOI'!$C$24*(E2383/'THAM_SO_MOI'!$C$22)^2-'THAM_SO_MOI'!$C$25*(E2383/'THAM_SO_MOI'!$C$22)^3)</f>
        <v>111.81454131771615</v>
      </c>
      <c r="K2383" s="75">
        <f>'THAM_SO_MOI'!$C$31*J2383/E2383</f>
        <v>424.14571506818186</v>
      </c>
      <c r="L2383" s="75">
        <f>K2383*'THAM_SO_MOI'!$C$51*'THAM_SO_MOI'!$C$17/'THAM_SO_MOI'!$C$26</f>
        <v>9483.563344229298</v>
      </c>
      <c r="M2383" s="75">
        <f>'THAM_SO_MOI'!$C$15*'THAM_SO_MOI'!$C$16*F2383^2</f>
        <v>293.88746913928753</v>
      </c>
      <c r="N2383" s="75">
        <f>'THAM_SO_MOI'!$C$12*I2383</f>
        <v>1130.112</v>
      </c>
      <c r="O2383" s="75">
        <f>M2383+N2383</f>
        <v>1423.9994691392876</v>
      </c>
      <c r="P2383" s="75">
        <f>(MIN(L2383,'THAM_SO_MOI'!$C$41)-O2383)/('THAM_SO_MOI'!$C$11*H2383)</f>
        <v>0.7632162760501905</v>
      </c>
      <c r="Q2383" s="75">
        <f>IF(P2383&gt;0,1/P2383,NA())</f>
        <v>1.3102445943307401</v>
      </c>
      <c r="R2383" s="75">
        <f>F2383-F2382</f>
        <v>0.005028991339518285</v>
      </c>
      <c r="S2383" s="75">
        <f>0.5*(Q2382+Q2383)*R2383</f>
        <v>0.00658869556667769</v>
      </c>
      <c r="T2383" s="75">
        <f>0.5*(F2382*Q2382+F2383*Q2383)*R2383</f>
        <v>0.06602647170428981</v>
      </c>
      <c r="U2383" s="76">
        <f>U2382+S2383</f>
        <v>12.529106242024376</v>
      </c>
      <c r="V2383" s="76">
        <f>V2382+T2383</f>
        <v>71.19794847484576</v>
      </c>
    </row>
    <row r="2384" spans="1:22" ht="19" customHeight="1">
      <c r="A2384" s="68" t="s">
        <v>374</v>
      </c>
      <c r="B2384" s="74">
        <v>3</v>
      </c>
      <c r="C2384" s="68" t="s">
        <v>363</v>
      </c>
      <c r="D2384" s="68" t="s">
        <v>364</v>
      </c>
      <c r="E2384" s="75">
        <f>60*F2384*'THAM_SO_MOI'!$C$51/(2*PI()*'THAM_SO_MOI'!$C$26)</f>
        <v>2519.151906440216</v>
      </c>
      <c r="F2384" s="75">
        <f>'HANH_TRINH'!$F$1647+('THAM_SO_MOI'!$F$51-'HANH_TRINH'!$F$1647)*736/'THAM_SO_MOI'!$C$42</f>
        <v>10.02871835323058</v>
      </c>
      <c r="G2384" s="75">
        <f>3.6*F2384</f>
        <v>36.10338607163009</v>
      </c>
      <c r="H2384" s="75">
        <f>'THAM_SO_MOI'!$D$51</f>
        <v>1.375</v>
      </c>
      <c r="I2384" s="75">
        <f>IF(F2384&gt;'THAM_SO_MOI'!$C$14,'THAM_SO_MOI'!$C$13*(1+F2384^2/1500),'THAM_SO_MOI'!$C$13)</f>
        <v>0.015</v>
      </c>
      <c r="J2384" s="75">
        <f>'THAM_SO_MOI'!$C$40*('THAM_SO_MOI'!$C$23*(E2384/'THAM_SO_MOI'!$C$22)+'THAM_SO_MOI'!$C$24*(E2384/'THAM_SO_MOI'!$C$22)^2-'THAM_SO_MOI'!$C$25*(E2384/'THAM_SO_MOI'!$C$22)^3)</f>
        <v>111.85926643094093</v>
      </c>
      <c r="K2384" s="75">
        <f>'THAM_SO_MOI'!$C$31*J2384/E2384</f>
        <v>424.1025939137858</v>
      </c>
      <c r="L2384" s="75">
        <f>K2384*'THAM_SO_MOI'!$C$51*'THAM_SO_MOI'!$C$17/'THAM_SO_MOI'!$C$26</f>
        <v>9482.599189259288</v>
      </c>
      <c r="M2384" s="75">
        <f>'THAM_SO_MOI'!$C$15*'THAM_SO_MOI'!$C$16*F2384^2</f>
        <v>294.18243603963987</v>
      </c>
      <c r="N2384" s="75">
        <f>'THAM_SO_MOI'!$C$12*I2384</f>
        <v>1130.112</v>
      </c>
      <c r="O2384" s="75">
        <f>M2384+N2384</f>
        <v>1424.29443603964</v>
      </c>
      <c r="P2384" s="75">
        <f>(MIN(L2384,'THAM_SO_MOI'!$C$41)-O2384)/('THAM_SO_MOI'!$C$11*H2384)</f>
        <v>0.7630970410245879</v>
      </c>
      <c r="Q2384" s="75">
        <f>IF(P2384&gt;0,1/P2384,NA())</f>
        <v>1.3104493219595368</v>
      </c>
      <c r="R2384" s="75">
        <f>F2384-F2383</f>
        <v>0.005028991339518285</v>
      </c>
      <c r="S2384" s="75">
        <f>0.5*(Q2383+Q2384)*R2384</f>
        <v>0.006589723504276029</v>
      </c>
      <c r="T2384" s="75">
        <f>0.5*(F2383*Q2383+F2384*Q2384)*R2384</f>
        <v>0.06606991251326057</v>
      </c>
      <c r="U2384" s="76">
        <f>U2383+S2384</f>
        <v>12.535695965528653</v>
      </c>
      <c r="V2384" s="76">
        <f>V2383+T2384</f>
        <v>71.26401838735902</v>
      </c>
    </row>
    <row r="2385" spans="1:22" ht="19" customHeight="1">
      <c r="A2385" s="68" t="s">
        <v>374</v>
      </c>
      <c r="B2385" s="74">
        <v>3</v>
      </c>
      <c r="C2385" s="68" t="s">
        <v>363</v>
      </c>
      <c r="D2385" s="68" t="s">
        <v>364</v>
      </c>
      <c r="E2385" s="75">
        <f>60*F2385*'THAM_SO_MOI'!$C$51/(2*PI()*'THAM_SO_MOI'!$C$26)</f>
        <v>2520.4151579020872</v>
      </c>
      <c r="F2385" s="75">
        <f>'HANH_TRINH'!$F$1647+('THAM_SO_MOI'!$F$51-'HANH_TRINH'!$F$1647)*737/'THAM_SO_MOI'!$C$42</f>
        <v>10.033747344570097</v>
      </c>
      <c r="G2385" s="75">
        <f>3.6*F2385</f>
        <v>36.12149044045235</v>
      </c>
      <c r="H2385" s="75">
        <f>'THAM_SO_MOI'!$D$51</f>
        <v>1.375</v>
      </c>
      <c r="I2385" s="75">
        <f>IF(F2385&gt;'THAM_SO_MOI'!$C$14,'THAM_SO_MOI'!$C$13*(1+F2385^2/1500),'THAM_SO_MOI'!$C$13)</f>
        <v>0.015</v>
      </c>
      <c r="J2385" s="75">
        <f>'THAM_SO_MOI'!$C$40*('THAM_SO_MOI'!$C$23*(E2385/'THAM_SO_MOI'!$C$22)+'THAM_SO_MOI'!$C$24*(E2385/'THAM_SO_MOI'!$C$22)^2-'THAM_SO_MOI'!$C$25*(E2385/'THAM_SO_MOI'!$C$22)^3)</f>
        <v>111.90393928332725</v>
      </c>
      <c r="K2385" s="75">
        <f>'THAM_SO_MOI'!$C$31*J2385/E2385</f>
        <v>424.05931794255906</v>
      </c>
      <c r="L2385" s="75">
        <f>K2385*'THAM_SO_MOI'!$C$51*'THAM_SO_MOI'!$C$17/'THAM_SO_MOI'!$C$26</f>
        <v>9481.631572707165</v>
      </c>
      <c r="M2385" s="75">
        <f>'THAM_SO_MOI'!$C$15*'THAM_SO_MOI'!$C$16*F2385^2</f>
        <v>294.47755089090236</v>
      </c>
      <c r="N2385" s="75">
        <f>'THAM_SO_MOI'!$C$12*I2385</f>
        <v>1130.112</v>
      </c>
      <c r="O2385" s="75">
        <f>M2385+N2385</f>
        <v>1424.5895508909025</v>
      </c>
      <c r="P2385" s="75">
        <f>(MIN(L2385,'THAM_SO_MOI'!$C$41)-O2385)/('THAM_SO_MOI'!$C$11*H2385)</f>
        <v>0.7629774641871461</v>
      </c>
      <c r="Q2385" s="75">
        <f>IF(P2385&gt;0,1/P2385,NA())</f>
        <v>1.310654700745809</v>
      </c>
      <c r="R2385" s="75">
        <f>F2385-F2384</f>
        <v>0.005028991339516509</v>
      </c>
      <c r="S2385" s="75">
        <f>0.5*(Q2384+Q2385)*R2385</f>
        <v>0.006590754715078534</v>
      </c>
      <c r="T2385" s="75">
        <f>0.5*(F2384*Q2384+F2385*Q2385)*R2385</f>
        <v>0.06611339649548666</v>
      </c>
      <c r="U2385" s="76">
        <f>U2384+S2385</f>
        <v>12.542286720243732</v>
      </c>
      <c r="V2385" s="76">
        <f>V2384+T2385</f>
        <v>71.3301317838545</v>
      </c>
    </row>
    <row r="2386" spans="1:22" ht="19" customHeight="1">
      <c r="A2386" s="68" t="s">
        <v>374</v>
      </c>
      <c r="B2386" s="74">
        <v>3</v>
      </c>
      <c r="C2386" s="68" t="s">
        <v>363</v>
      </c>
      <c r="D2386" s="68" t="s">
        <v>364</v>
      </c>
      <c r="E2386" s="75">
        <f>60*F2386*'THAM_SO_MOI'!$C$51/(2*PI()*'THAM_SO_MOI'!$C$26)</f>
        <v>2521.6784093639594</v>
      </c>
      <c r="F2386" s="75">
        <f>'HANH_TRINH'!$F$1647+('THAM_SO_MOI'!$F$51-'HANH_TRINH'!$F$1647)*738/'THAM_SO_MOI'!$C$42</f>
        <v>10.038776335909615</v>
      </c>
      <c r="G2386" s="75">
        <f>3.6*F2386</f>
        <v>36.13959480927461</v>
      </c>
      <c r="H2386" s="75">
        <f>'THAM_SO_MOI'!$D$51</f>
        <v>1.375</v>
      </c>
      <c r="I2386" s="75">
        <f>IF(F2386&gt;'THAM_SO_MOI'!$C$14,'THAM_SO_MOI'!$C$13*(1+F2386^2/1500),'THAM_SO_MOI'!$C$13)</f>
        <v>0.015</v>
      </c>
      <c r="J2386" s="75">
        <f>'THAM_SO_MOI'!$C$40*('THAM_SO_MOI'!$C$23*(E2386/'THAM_SO_MOI'!$C$22)+'THAM_SO_MOI'!$C$24*(E2386/'THAM_SO_MOI'!$C$22)^2-'THAM_SO_MOI'!$C$25*(E2386/'THAM_SO_MOI'!$C$22)^3)</f>
        <v>111.94855981344583</v>
      </c>
      <c r="K2386" s="75">
        <f>'THAM_SO_MOI'!$C$31*J2386/E2386</f>
        <v>424.01588715450174</v>
      </c>
      <c r="L2386" s="75">
        <f>K2386*'THAM_SO_MOI'!$C$51*'THAM_SO_MOI'!$C$17/'THAM_SO_MOI'!$C$26</f>
        <v>9480.660494572932</v>
      </c>
      <c r="M2386" s="75">
        <f>'THAM_SO_MOI'!$C$15*'THAM_SO_MOI'!$C$16*F2386^2</f>
        <v>294.77281369307525</v>
      </c>
      <c r="N2386" s="75">
        <f>'THAM_SO_MOI'!$C$12*I2386</f>
        <v>1130.112</v>
      </c>
      <c r="O2386" s="75">
        <f>M2386+N2386</f>
        <v>1424.8848136930753</v>
      </c>
      <c r="P2386" s="75">
        <f>(MIN(L2386,'THAM_SO_MOI'!$C$41)-O2386)/('THAM_SO_MOI'!$C$11*H2386)</f>
        <v>0.7628575455378653</v>
      </c>
      <c r="Q2386" s="75">
        <f>IF(P2386&gt;0,1/P2386,NA())</f>
        <v>1.3108607312718306</v>
      </c>
      <c r="R2386" s="75">
        <f>F2386-F2385</f>
        <v>0.005028991339518285</v>
      </c>
      <c r="S2386" s="75">
        <f>0.5*(Q2385+Q2386)*R2386</f>
        <v>0.006591789202015122</v>
      </c>
      <c r="T2386" s="75">
        <f>0.5*(F2385*Q2385+F2386*Q2386)*R2386</f>
        <v>0.06615692372975633</v>
      </c>
      <c r="U2386" s="76">
        <f>U2385+S2386</f>
        <v>12.548878509445748</v>
      </c>
      <c r="V2386" s="76">
        <f>V2385+T2386</f>
        <v>71.39628870758425</v>
      </c>
    </row>
    <row r="2387" spans="1:22" ht="19" customHeight="1">
      <c r="A2387" s="68" t="s">
        <v>374</v>
      </c>
      <c r="B2387" s="74">
        <v>3</v>
      </c>
      <c r="C2387" s="68" t="s">
        <v>363</v>
      </c>
      <c r="D2387" s="68" t="s">
        <v>364</v>
      </c>
      <c r="E2387" s="75">
        <f>60*F2387*'THAM_SO_MOI'!$C$51/(2*PI()*'THAM_SO_MOI'!$C$26)</f>
        <v>2522.9416608258307</v>
      </c>
      <c r="F2387" s="75">
        <f>'HANH_TRINH'!$F$1647+('THAM_SO_MOI'!$F$51-'HANH_TRINH'!$F$1647)*739/'THAM_SO_MOI'!$C$42</f>
        <v>10.043805327249132</v>
      </c>
      <c r="G2387" s="75">
        <f>3.6*F2387</f>
        <v>36.15769917809688</v>
      </c>
      <c r="H2387" s="75">
        <f>'THAM_SO_MOI'!$D$51</f>
        <v>1.375</v>
      </c>
      <c r="I2387" s="75">
        <f>IF(F2387&gt;'THAM_SO_MOI'!$C$14,'THAM_SO_MOI'!$C$13*(1+F2387^2/1500),'THAM_SO_MOI'!$C$13)</f>
        <v>0.015</v>
      </c>
      <c r="J2387" s="75">
        <f>'THAM_SO_MOI'!$C$40*('THAM_SO_MOI'!$C$23*(E2387/'THAM_SO_MOI'!$C$22)+'THAM_SO_MOI'!$C$24*(E2387/'THAM_SO_MOI'!$C$22)^2-'THAM_SO_MOI'!$C$25*(E2387/'THAM_SO_MOI'!$C$22)^3)</f>
        <v>111.99312795986728</v>
      </c>
      <c r="K2387" s="75">
        <f>'THAM_SO_MOI'!$C$31*J2387/E2387</f>
        <v>423.97230154961414</v>
      </c>
      <c r="L2387" s="75">
        <f>K2387*'THAM_SO_MOI'!$C$51*'THAM_SO_MOI'!$C$17/'THAM_SO_MOI'!$C$26</f>
        <v>9479.685954856594</v>
      </c>
      <c r="M2387" s="75">
        <f>'THAM_SO_MOI'!$C$15*'THAM_SO_MOI'!$C$16*F2387^2</f>
        <v>295.0682244461583</v>
      </c>
      <c r="N2387" s="75">
        <f>'THAM_SO_MOI'!$C$12*I2387</f>
        <v>1130.112</v>
      </c>
      <c r="O2387" s="75">
        <f>M2387+N2387</f>
        <v>1425.1802244461583</v>
      </c>
      <c r="P2387" s="75">
        <f>(MIN(L2387,'THAM_SO_MOI'!$C$41)-O2387)/('THAM_SO_MOI'!$C$11*H2387)</f>
        <v>0.7627372850767458</v>
      </c>
      <c r="Q2387" s="75">
        <f>IF(P2387&gt;0,1/P2387,NA())</f>
        <v>1.311067414121995</v>
      </c>
      <c r="R2387" s="75">
        <f>F2387-F2386</f>
        <v>0.005028991339516509</v>
      </c>
      <c r="S2387" s="75">
        <f>0.5*(Q2386+Q2387)*R2387</f>
        <v>0.006592826968010065</v>
      </c>
      <c r="T2387" s="75">
        <f>0.5*(F2386*Q2386+F2387*Q2387)*R2387</f>
        <v>0.06620049429485998</v>
      </c>
      <c r="U2387" s="76">
        <f>U2386+S2387</f>
        <v>12.555471336413758</v>
      </c>
      <c r="V2387" s="76">
        <f>V2386+T2387</f>
        <v>71.46248920187911</v>
      </c>
    </row>
    <row r="2388" spans="1:22" ht="19" customHeight="1">
      <c r="A2388" s="68" t="s">
        <v>374</v>
      </c>
      <c r="B2388" s="74">
        <v>3</v>
      </c>
      <c r="C2388" s="68" t="s">
        <v>363</v>
      </c>
      <c r="D2388" s="68" t="s">
        <v>364</v>
      </c>
      <c r="E2388" s="75">
        <f>60*F2388*'THAM_SO_MOI'!$C$51/(2*PI()*'THAM_SO_MOI'!$C$26)</f>
        <v>2524.2049122877024</v>
      </c>
      <c r="F2388" s="75">
        <f>'HANH_TRINH'!$F$1647+('THAM_SO_MOI'!$F$51-'HANH_TRINH'!$F$1647)*740/'THAM_SO_MOI'!$C$42</f>
        <v>10.04883431858865</v>
      </c>
      <c r="G2388" s="75">
        <f>3.6*F2388</f>
        <v>36.17580354691914</v>
      </c>
      <c r="H2388" s="75">
        <f>'THAM_SO_MOI'!$D$51</f>
        <v>1.375</v>
      </c>
      <c r="I2388" s="75">
        <f>IF(F2388&gt;'THAM_SO_MOI'!$C$14,'THAM_SO_MOI'!$C$13*(1+F2388^2/1500),'THAM_SO_MOI'!$C$13)</f>
        <v>0.015</v>
      </c>
      <c r="J2388" s="75">
        <f>'THAM_SO_MOI'!$C$40*('THAM_SO_MOI'!$C$23*(E2388/'THAM_SO_MOI'!$C$22)+'THAM_SO_MOI'!$C$24*(E2388/'THAM_SO_MOI'!$C$22)^2-'THAM_SO_MOI'!$C$25*(E2388/'THAM_SO_MOI'!$C$22)^3)</f>
        <v>112.03764366116226</v>
      </c>
      <c r="K2388" s="75">
        <f>'THAM_SO_MOI'!$C$31*J2388/E2388</f>
        <v>423.928561127896</v>
      </c>
      <c r="L2388" s="75">
        <f>K2388*'THAM_SO_MOI'!$C$51*'THAM_SO_MOI'!$C$17/'THAM_SO_MOI'!$C$26</f>
        <v>9478.707953558147</v>
      </c>
      <c r="M2388" s="75">
        <f>'THAM_SO_MOI'!$C$15*'THAM_SO_MOI'!$C$16*F2388^2</f>
        <v>295.3637831501517</v>
      </c>
      <c r="N2388" s="75">
        <f>'THAM_SO_MOI'!$C$12*I2388</f>
        <v>1130.112</v>
      </c>
      <c r="O2388" s="75">
        <f>M2388+N2388</f>
        <v>1425.4757831501518</v>
      </c>
      <c r="P2388" s="75">
        <f>(MIN(L2388,'THAM_SO_MOI'!$C$41)-O2388)/('THAM_SO_MOI'!$C$11*H2388)</f>
        <v>0.7626166828037875</v>
      </c>
      <c r="Q2388" s="75">
        <f>IF(P2388&gt;0,1/P2388,NA())</f>
        <v>1.311274749882817</v>
      </c>
      <c r="R2388" s="75">
        <f>F2388-F2387</f>
        <v>0.005028991339518285</v>
      </c>
      <c r="S2388" s="75">
        <f>0.5*(Q2387+Q2388)*R2388</f>
        <v>0.006593868016016919</v>
      </c>
      <c r="T2388" s="75">
        <f>0.5*(F2387*Q2387+F2388*Q2388)*R2388</f>
        <v>0.06624410826994105</v>
      </c>
      <c r="U2388" s="76">
        <f>U2387+S2388</f>
        <v>12.562065204429775</v>
      </c>
      <c r="V2388" s="76">
        <f>V2387+T2388</f>
        <v>71.52873331014905</v>
      </c>
    </row>
    <row r="2389" spans="1:22" ht="19" customHeight="1">
      <c r="A2389" s="68" t="s">
        <v>374</v>
      </c>
      <c r="B2389" s="74">
        <v>3</v>
      </c>
      <c r="C2389" s="68" t="s">
        <v>363</v>
      </c>
      <c r="D2389" s="68" t="s">
        <v>364</v>
      </c>
      <c r="E2389" s="75">
        <f>60*F2389*'THAM_SO_MOI'!$C$51/(2*PI()*'THAM_SO_MOI'!$C$26)</f>
        <v>2525.468163749574</v>
      </c>
      <c r="F2389" s="75">
        <f>'HANH_TRINH'!$F$1647+('THAM_SO_MOI'!$F$51-'HANH_TRINH'!$F$1647)*741/'THAM_SO_MOI'!$C$42</f>
        <v>10.053863309928168</v>
      </c>
      <c r="G2389" s="75">
        <f>3.6*F2389</f>
        <v>36.193907915741406</v>
      </c>
      <c r="H2389" s="75">
        <f>'THAM_SO_MOI'!$D$51</f>
        <v>1.375</v>
      </c>
      <c r="I2389" s="75">
        <f>IF(F2389&gt;'THAM_SO_MOI'!$C$14,'THAM_SO_MOI'!$C$13*(1+F2389^2/1500),'THAM_SO_MOI'!$C$13)</f>
        <v>0.015</v>
      </c>
      <c r="J2389" s="75">
        <f>'THAM_SO_MOI'!$C$40*('THAM_SO_MOI'!$C$23*(E2389/'THAM_SO_MOI'!$C$22)+'THAM_SO_MOI'!$C$24*(E2389/'THAM_SO_MOI'!$C$22)^2-'THAM_SO_MOI'!$C$25*(E2389/'THAM_SO_MOI'!$C$22)^3)</f>
        <v>112.08210685590147</v>
      </c>
      <c r="K2389" s="75">
        <f>'THAM_SO_MOI'!$C$31*J2389/E2389</f>
        <v>423.88466588934733</v>
      </c>
      <c r="L2389" s="75">
        <f>K2389*'THAM_SO_MOI'!$C$51*'THAM_SO_MOI'!$C$17/'THAM_SO_MOI'!$C$26</f>
        <v>9477.72649067759</v>
      </c>
      <c r="M2389" s="75">
        <f>'THAM_SO_MOI'!$C$15*'THAM_SO_MOI'!$C$16*F2389^2</f>
        <v>295.6594898050554</v>
      </c>
      <c r="N2389" s="75">
        <f>'THAM_SO_MOI'!$C$12*I2389</f>
        <v>1130.112</v>
      </c>
      <c r="O2389" s="75">
        <f>M2389+N2389</f>
        <v>1425.7714898050554</v>
      </c>
      <c r="P2389" s="75">
        <f>(MIN(L2389,'THAM_SO_MOI'!$C$41)-O2389)/('THAM_SO_MOI'!$C$11*H2389)</f>
        <v>0.7624957387189901</v>
      </c>
      <c r="Q2389" s="75">
        <f>IF(P2389&gt;0,1/P2389,NA())</f>
        <v>1.3114827391429391</v>
      </c>
      <c r="R2389" s="75">
        <f>F2389-F2388</f>
        <v>0.005028991339518285</v>
      </c>
      <c r="S2389" s="75">
        <f>0.5*(Q2388+Q2389)*R2389</f>
        <v>0.006594912348983625</v>
      </c>
      <c r="T2389" s="75">
        <f>0.5*(F2388*Q2388+F2389*Q2389)*R2389</f>
        <v>0.066287765734146</v>
      </c>
      <c r="U2389" s="76">
        <f>U2388+S2389</f>
        <v>12.568660116778759</v>
      </c>
      <c r="V2389" s="76">
        <f>V2388+T2389</f>
        <v>71.5950210758832</v>
      </c>
    </row>
    <row r="2390" spans="1:22" ht="19" customHeight="1">
      <c r="A2390" s="68" t="s">
        <v>374</v>
      </c>
      <c r="B2390" s="74">
        <v>3</v>
      </c>
      <c r="C2390" s="68" t="s">
        <v>363</v>
      </c>
      <c r="D2390" s="68" t="s">
        <v>364</v>
      </c>
      <c r="E2390" s="75">
        <f>60*F2390*'THAM_SO_MOI'!$C$51/(2*PI()*'THAM_SO_MOI'!$C$26)</f>
        <v>2526.731415211446</v>
      </c>
      <c r="F2390" s="75">
        <f>'HANH_TRINH'!$F$1647+('THAM_SO_MOI'!$F$51-'HANH_TRINH'!$F$1647)*742/'THAM_SO_MOI'!$C$42</f>
        <v>10.058892301267687</v>
      </c>
      <c r="G2390" s="75">
        <f>3.6*F2390</f>
        <v>36.21201228456367</v>
      </c>
      <c r="H2390" s="75">
        <f>'THAM_SO_MOI'!$D$51</f>
        <v>1.375</v>
      </c>
      <c r="I2390" s="75">
        <f>IF(F2390&gt;'THAM_SO_MOI'!$C$14,'THAM_SO_MOI'!$C$13*(1+F2390^2/1500),'THAM_SO_MOI'!$C$13)</f>
        <v>0.015</v>
      </c>
      <c r="J2390" s="75">
        <f>'THAM_SO_MOI'!$C$40*('THAM_SO_MOI'!$C$23*(E2390/'THAM_SO_MOI'!$C$22)+'THAM_SO_MOI'!$C$24*(E2390/'THAM_SO_MOI'!$C$22)^2-'THAM_SO_MOI'!$C$25*(E2390/'THAM_SO_MOI'!$C$22)^3)</f>
        <v>112.12651748265547</v>
      </c>
      <c r="K2390" s="75">
        <f>'THAM_SO_MOI'!$C$31*J2390/E2390</f>
        <v>423.84061583396806</v>
      </c>
      <c r="L2390" s="75">
        <f>K2390*'THAM_SO_MOI'!$C$51*'THAM_SO_MOI'!$C$17/'THAM_SO_MOI'!$C$26</f>
        <v>9476.741566214923</v>
      </c>
      <c r="M2390" s="75">
        <f>'THAM_SO_MOI'!$C$15*'THAM_SO_MOI'!$C$16*F2390^2</f>
        <v>295.9553444108694</v>
      </c>
      <c r="N2390" s="75">
        <f>'THAM_SO_MOI'!$C$12*I2390</f>
        <v>1130.112</v>
      </c>
      <c r="O2390" s="75">
        <f>M2390+N2390</f>
        <v>1426.0673444108695</v>
      </c>
      <c r="P2390" s="75">
        <f>(MIN(L2390,'THAM_SO_MOI'!$C$41)-O2390)/('THAM_SO_MOI'!$C$11*H2390)</f>
        <v>0.7623744528223536</v>
      </c>
      <c r="Q2390" s="75">
        <f>IF(P2390&gt;0,1/P2390,NA())</f>
        <v>1.3116913824931347</v>
      </c>
      <c r="R2390" s="75">
        <f>F2390-F2389</f>
        <v>0.005028991339518285</v>
      </c>
      <c r="S2390" s="75">
        <f>0.5*(Q2389+Q2390)*R2390</f>
        <v>0.006595959969878149</v>
      </c>
      <c r="T2390" s="75">
        <f>0.5*(F2389*Q2389+F2390*Q2390)*R2390</f>
        <v>0.06633146676688191</v>
      </c>
      <c r="U2390" s="76">
        <f>U2389+S2390</f>
        <v>12.575256076748637</v>
      </c>
      <c r="V2390" s="76">
        <f>V2389+T2390</f>
        <v>71.66135254265008</v>
      </c>
    </row>
    <row r="2391" spans="1:22" ht="19" customHeight="1">
      <c r="A2391" s="68" t="s">
        <v>374</v>
      </c>
      <c r="B2391" s="74">
        <v>3</v>
      </c>
      <c r="C2391" s="68" t="s">
        <v>363</v>
      </c>
      <c r="D2391" s="68" t="s">
        <v>364</v>
      </c>
      <c r="E2391" s="75">
        <f>60*F2391*'THAM_SO_MOI'!$C$51/(2*PI()*'THAM_SO_MOI'!$C$26)</f>
        <v>2527.994666673317</v>
      </c>
      <c r="F2391" s="75">
        <f>'HANH_TRINH'!$F$1647+('THAM_SO_MOI'!$F$51-'HANH_TRINH'!$F$1647)*743/'THAM_SO_MOI'!$C$42</f>
        <v>10.063921292607203</v>
      </c>
      <c r="G2391" s="75">
        <f>3.6*F2391</f>
        <v>36.230116653385934</v>
      </c>
      <c r="H2391" s="75">
        <f>'THAM_SO_MOI'!$D$51</f>
        <v>1.375</v>
      </c>
      <c r="I2391" s="75">
        <f>IF(F2391&gt;'THAM_SO_MOI'!$C$14,'THAM_SO_MOI'!$C$13*(1+F2391^2/1500),'THAM_SO_MOI'!$C$13)</f>
        <v>0.015</v>
      </c>
      <c r="J2391" s="75">
        <f>'THAM_SO_MOI'!$C$40*('THAM_SO_MOI'!$C$23*(E2391/'THAM_SO_MOI'!$C$22)+'THAM_SO_MOI'!$C$24*(E2391/'THAM_SO_MOI'!$C$22)^2-'THAM_SO_MOI'!$C$25*(E2391/'THAM_SO_MOI'!$C$22)^3)</f>
        <v>112.17087547999495</v>
      </c>
      <c r="K2391" s="75">
        <f>'THAM_SO_MOI'!$C$31*J2391/E2391</f>
        <v>423.79641096175834</v>
      </c>
      <c r="L2391" s="75">
        <f>K2391*'THAM_SO_MOI'!$C$51*'THAM_SO_MOI'!$C$17/'THAM_SO_MOI'!$C$26</f>
        <v>9475.75318017015</v>
      </c>
      <c r="M2391" s="75">
        <f>'THAM_SO_MOI'!$C$15*'THAM_SO_MOI'!$C$16*F2391^2</f>
        <v>296.2513469675935</v>
      </c>
      <c r="N2391" s="75">
        <f>'THAM_SO_MOI'!$C$12*I2391</f>
        <v>1130.112</v>
      </c>
      <c r="O2391" s="75">
        <f>M2391+N2391</f>
        <v>1426.3633469675935</v>
      </c>
      <c r="P2391" s="75">
        <f>(MIN(L2391,'THAM_SO_MOI'!$C$41)-O2391)/('THAM_SO_MOI'!$C$11*H2391)</f>
        <v>0.7622528251138784</v>
      </c>
      <c r="Q2391" s="75">
        <f>IF(P2391&gt;0,1/P2391,NA())</f>
        <v>1.3119006805263107</v>
      </c>
      <c r="R2391" s="75">
        <f>F2391-F2390</f>
        <v>0.005028991339516509</v>
      </c>
      <c r="S2391" s="75">
        <f>0.5*(Q2390+Q2391)*R2391</f>
        <v>0.00659701088167452</v>
      </c>
      <c r="T2391" s="75">
        <f>0.5*(F2390*Q2390+F2391*Q2391)*R2391</f>
        <v>0.06637521144767657</v>
      </c>
      <c r="U2391" s="76">
        <f>U2390+S2391</f>
        <v>12.581853087630313</v>
      </c>
      <c r="V2391" s="76">
        <f>V2390+T2391</f>
        <v>71.72772775409776</v>
      </c>
    </row>
    <row r="2392" spans="1:22" ht="19" customHeight="1">
      <c r="A2392" s="68" t="s">
        <v>374</v>
      </c>
      <c r="B2392" s="74">
        <v>3</v>
      </c>
      <c r="C2392" s="68" t="s">
        <v>363</v>
      </c>
      <c r="D2392" s="68" t="s">
        <v>364</v>
      </c>
      <c r="E2392" s="75">
        <f>60*F2392*'THAM_SO_MOI'!$C$51/(2*PI()*'THAM_SO_MOI'!$C$26)</f>
        <v>2529.257918135189</v>
      </c>
      <c r="F2392" s="75">
        <f>'HANH_TRINH'!$F$1647+('THAM_SO_MOI'!$F$51-'HANH_TRINH'!$F$1647)*744/'THAM_SO_MOI'!$C$42</f>
        <v>10.068950283946721</v>
      </c>
      <c r="G2392" s="75">
        <f>3.6*F2392</f>
        <v>36.2482210222082</v>
      </c>
      <c r="H2392" s="75">
        <f>'THAM_SO_MOI'!$D$51</f>
        <v>1.375</v>
      </c>
      <c r="I2392" s="75">
        <f>IF(F2392&gt;'THAM_SO_MOI'!$C$14,'THAM_SO_MOI'!$C$13*(1+F2392^2/1500),'THAM_SO_MOI'!$C$13)</f>
        <v>0.015</v>
      </c>
      <c r="J2392" s="75">
        <f>'THAM_SO_MOI'!$C$40*('THAM_SO_MOI'!$C$23*(E2392/'THAM_SO_MOI'!$C$22)+'THAM_SO_MOI'!$C$24*(E2392/'THAM_SO_MOI'!$C$22)^2-'THAM_SO_MOI'!$C$25*(E2392/'THAM_SO_MOI'!$C$22)^3)</f>
        <v>112.21518078649056</v>
      </c>
      <c r="K2392" s="75">
        <f>'THAM_SO_MOI'!$C$31*J2392/E2392</f>
        <v>423.7520512727181</v>
      </c>
      <c r="L2392" s="75">
        <f>K2392*'THAM_SO_MOI'!$C$51*'THAM_SO_MOI'!$C$17/'THAM_SO_MOI'!$C$26</f>
        <v>9474.761332543265</v>
      </c>
      <c r="M2392" s="75">
        <f>'THAM_SO_MOI'!$C$15*'THAM_SO_MOI'!$C$16*F2392^2</f>
        <v>296.547497475228</v>
      </c>
      <c r="N2392" s="75">
        <f>'THAM_SO_MOI'!$C$12*I2392</f>
        <v>1130.112</v>
      </c>
      <c r="O2392" s="75">
        <f>M2392+N2392</f>
        <v>1426.6594974752281</v>
      </c>
      <c r="P2392" s="75">
        <f>(MIN(L2392,'THAM_SO_MOI'!$C$41)-O2392)/('THAM_SO_MOI'!$C$11*H2392)</f>
        <v>0.762130855593564</v>
      </c>
      <c r="Q2392" s="75">
        <f>IF(P2392&gt;0,1/P2392,NA())</f>
        <v>1.3121106338375166</v>
      </c>
      <c r="R2392" s="75">
        <f>F2392-F2391</f>
        <v>0.005028991339518285</v>
      </c>
      <c r="S2392" s="75">
        <f>0.5*(Q2391+Q2392)*R2392</f>
        <v>0.00659806508736684</v>
      </c>
      <c r="T2392" s="75">
        <f>0.5*(F2391*Q2391+F2392*Q2392)*R2392</f>
        <v>0.0664189998563197</v>
      </c>
      <c r="U2392" s="76">
        <f>U2391+S2392</f>
        <v>12.58845115271768</v>
      </c>
      <c r="V2392" s="76">
        <f>V2391+T2392</f>
        <v>71.79414675395408</v>
      </c>
    </row>
    <row r="2393" spans="1:22" ht="19" customHeight="1">
      <c r="A2393" s="68" t="s">
        <v>374</v>
      </c>
      <c r="B2393" s="74">
        <v>3</v>
      </c>
      <c r="C2393" s="68" t="s">
        <v>363</v>
      </c>
      <c r="D2393" s="68" t="s">
        <v>364</v>
      </c>
      <c r="E2393" s="75">
        <f>60*F2393*'THAM_SO_MOI'!$C$51/(2*PI()*'THAM_SO_MOI'!$C$26)</f>
        <v>2530.52116959706</v>
      </c>
      <c r="F2393" s="75">
        <f>'HANH_TRINH'!$F$1647+('THAM_SO_MOI'!$F$51-'HANH_TRINH'!$F$1647)*745/'THAM_SO_MOI'!$C$42</f>
        <v>10.073979275286238</v>
      </c>
      <c r="G2393" s="75">
        <f>3.6*F2393</f>
        <v>36.266325391030456</v>
      </c>
      <c r="H2393" s="75">
        <f>'THAM_SO_MOI'!$D$51</f>
        <v>1.375</v>
      </c>
      <c r="I2393" s="75">
        <f>IF(F2393&gt;'THAM_SO_MOI'!$C$14,'THAM_SO_MOI'!$C$13*(1+F2393^2/1500),'THAM_SO_MOI'!$C$13)</f>
        <v>0.015</v>
      </c>
      <c r="J2393" s="75">
        <f>'THAM_SO_MOI'!$C$40*('THAM_SO_MOI'!$C$23*(E2393/'THAM_SO_MOI'!$C$22)+'THAM_SO_MOI'!$C$24*(E2393/'THAM_SO_MOI'!$C$22)^2-'THAM_SO_MOI'!$C$25*(E2393/'THAM_SO_MOI'!$C$22)^3)</f>
        <v>112.25943334071296</v>
      </c>
      <c r="K2393" s="75">
        <f>'THAM_SO_MOI'!$C$31*J2393/E2393</f>
        <v>423.70753676684745</v>
      </c>
      <c r="L2393" s="75">
        <f>K2393*'THAM_SO_MOI'!$C$51*'THAM_SO_MOI'!$C$17/'THAM_SO_MOI'!$C$26</f>
        <v>9473.766023334276</v>
      </c>
      <c r="M2393" s="75">
        <f>'THAM_SO_MOI'!$C$15*'THAM_SO_MOI'!$C$16*F2393^2</f>
        <v>296.8437959337727</v>
      </c>
      <c r="N2393" s="75">
        <f>'THAM_SO_MOI'!$C$12*I2393</f>
        <v>1130.112</v>
      </c>
      <c r="O2393" s="75">
        <f>M2393+N2393</f>
        <v>1426.9557959337728</v>
      </c>
      <c r="P2393" s="75">
        <f>(MIN(L2393,'THAM_SO_MOI'!$C$41)-O2393)/('THAM_SO_MOI'!$C$11*H2393)</f>
        <v>0.7620085442614112</v>
      </c>
      <c r="Q2393" s="75">
        <f>IF(P2393&gt;0,1/P2393,NA())</f>
        <v>1.3123212430239424</v>
      </c>
      <c r="R2393" s="75">
        <f>F2393-F2392</f>
        <v>0.005028991339516509</v>
      </c>
      <c r="S2393" s="75">
        <f>0.5*(Q2392+Q2393)*R2393</f>
        <v>0.006599122589943667</v>
      </c>
      <c r="T2393" s="75">
        <f>0.5*(F2392*Q2392+F2393*Q2393)*R2393</f>
        <v>0.0664628320726054</v>
      </c>
      <c r="U2393" s="76">
        <f>U2392+S2393</f>
        <v>12.595050275307623</v>
      </c>
      <c r="V2393" s="76">
        <f>V2392+T2393</f>
        <v>71.86060958602668</v>
      </c>
    </row>
    <row r="2394" spans="1:22" ht="19" customHeight="1">
      <c r="A2394" s="68" t="s">
        <v>374</v>
      </c>
      <c r="B2394" s="74">
        <v>3</v>
      </c>
      <c r="C2394" s="68" t="s">
        <v>363</v>
      </c>
      <c r="D2394" s="68" t="s">
        <v>364</v>
      </c>
      <c r="E2394" s="75">
        <f>60*F2394*'THAM_SO_MOI'!$C$51/(2*PI()*'THAM_SO_MOI'!$C$26)</f>
        <v>2531.7844210589324</v>
      </c>
      <c r="F2394" s="75">
        <f>'HANH_TRINH'!$F$1647+('THAM_SO_MOI'!$F$51-'HANH_TRINH'!$F$1647)*746/'THAM_SO_MOI'!$C$42</f>
        <v>10.079008266625756</v>
      </c>
      <c r="G2394" s="75">
        <f>3.6*F2394</f>
        <v>36.28442975985272</v>
      </c>
      <c r="H2394" s="75">
        <f>'THAM_SO_MOI'!$D$51</f>
        <v>1.375</v>
      </c>
      <c r="I2394" s="75">
        <f>IF(F2394&gt;'THAM_SO_MOI'!$C$14,'THAM_SO_MOI'!$C$13*(1+F2394^2/1500),'THAM_SO_MOI'!$C$13)</f>
        <v>0.015</v>
      </c>
      <c r="J2394" s="75">
        <f>'THAM_SO_MOI'!$C$40*('THAM_SO_MOI'!$C$23*(E2394/'THAM_SO_MOI'!$C$22)+'THAM_SO_MOI'!$C$24*(E2394/'THAM_SO_MOI'!$C$22)^2-'THAM_SO_MOI'!$C$25*(E2394/'THAM_SO_MOI'!$C$22)^3)</f>
        <v>112.30363308123282</v>
      </c>
      <c r="K2394" s="75">
        <f>'THAM_SO_MOI'!$C$31*J2394/E2394</f>
        <v>423.66286744414623</v>
      </c>
      <c r="L2394" s="75">
        <f>K2394*'THAM_SO_MOI'!$C$51*'THAM_SO_MOI'!$C$17/'THAM_SO_MOI'!$C$26</f>
        <v>9472.767252543174</v>
      </c>
      <c r="M2394" s="75">
        <f>'THAM_SO_MOI'!$C$15*'THAM_SO_MOI'!$C$16*F2394^2</f>
        <v>297.1402423432277</v>
      </c>
      <c r="N2394" s="75">
        <f>'THAM_SO_MOI'!$C$12*I2394</f>
        <v>1130.112</v>
      </c>
      <c r="O2394" s="75">
        <f>M2394+N2394</f>
        <v>1427.2522423432279</v>
      </c>
      <c r="P2394" s="75">
        <f>(MIN(L2394,'THAM_SO_MOI'!$C$41)-O2394)/('THAM_SO_MOI'!$C$11*H2394)</f>
        <v>0.761885891117419</v>
      </c>
      <c r="Q2394" s="75">
        <f>IF(P2394&gt;0,1/P2394,NA())</f>
        <v>1.3125325086849309</v>
      </c>
      <c r="R2394" s="75">
        <f>F2394-F2393</f>
        <v>0.005028991339518285</v>
      </c>
      <c r="S2394" s="75">
        <f>0.5*(Q2393+Q2394)*R2394</f>
        <v>0.006600183392423001</v>
      </c>
      <c r="T2394" s="75">
        <f>0.5*(F2393*Q2393+F2394*Q2394)*R2394</f>
        <v>0.06650670817668455</v>
      </c>
      <c r="U2394" s="76">
        <f>U2393+S2394</f>
        <v>12.601650458700046</v>
      </c>
      <c r="V2394" s="76">
        <f>V2393+T2394</f>
        <v>71.92711629420337</v>
      </c>
    </row>
    <row r="2395" spans="1:22" ht="19" customHeight="1">
      <c r="A2395" s="68" t="s">
        <v>374</v>
      </c>
      <c r="B2395" s="74">
        <v>3</v>
      </c>
      <c r="C2395" s="68" t="s">
        <v>363</v>
      </c>
      <c r="D2395" s="68" t="s">
        <v>364</v>
      </c>
      <c r="E2395" s="75">
        <f>60*F2395*'THAM_SO_MOI'!$C$51/(2*PI()*'THAM_SO_MOI'!$C$26)</f>
        <v>2533.047672520804</v>
      </c>
      <c r="F2395" s="75">
        <f>'HANH_TRINH'!$F$1647+('THAM_SO_MOI'!$F$51-'HANH_TRINH'!$F$1647)*747/'THAM_SO_MOI'!$C$42</f>
        <v>10.084037257965274</v>
      </c>
      <c r="G2395" s="75">
        <f>3.6*F2395</f>
        <v>36.30253412867499</v>
      </c>
      <c r="H2395" s="75">
        <f>'THAM_SO_MOI'!$D$51</f>
        <v>1.375</v>
      </c>
      <c r="I2395" s="75">
        <f>IF(F2395&gt;'THAM_SO_MOI'!$C$14,'THAM_SO_MOI'!$C$13*(1+F2395^2/1500),'THAM_SO_MOI'!$C$13)</f>
        <v>0.015</v>
      </c>
      <c r="J2395" s="75">
        <f>'THAM_SO_MOI'!$C$40*('THAM_SO_MOI'!$C$23*(E2395/'THAM_SO_MOI'!$C$22)+'THAM_SO_MOI'!$C$24*(E2395/'THAM_SO_MOI'!$C$22)^2-'THAM_SO_MOI'!$C$25*(E2395/'THAM_SO_MOI'!$C$22)^3)</f>
        <v>112.34777994662076</v>
      </c>
      <c r="K2395" s="75">
        <f>'THAM_SO_MOI'!$C$31*J2395/E2395</f>
        <v>423.6180433046145</v>
      </c>
      <c r="L2395" s="75">
        <f>K2395*'THAM_SO_MOI'!$C$51*'THAM_SO_MOI'!$C$17/'THAM_SO_MOI'!$C$26</f>
        <v>9471.765020169963</v>
      </c>
      <c r="M2395" s="75">
        <f>'THAM_SO_MOI'!$C$15*'THAM_SO_MOI'!$C$16*F2395^2</f>
        <v>297.4368367035931</v>
      </c>
      <c r="N2395" s="75">
        <f>'THAM_SO_MOI'!$C$12*I2395</f>
        <v>1130.112</v>
      </c>
      <c r="O2395" s="75">
        <f>M2395+N2395</f>
        <v>1427.5488367035932</v>
      </c>
      <c r="P2395" s="75">
        <f>(MIN(L2395,'THAM_SO_MOI'!$C$41)-O2395)/('THAM_SO_MOI'!$C$11*H2395)</f>
        <v>0.7617628961615881</v>
      </c>
      <c r="Q2395" s="75">
        <f>IF(P2395&gt;0,1/P2395,NA())</f>
        <v>1.3127444314219738</v>
      </c>
      <c r="R2395" s="75">
        <f>F2395-F2394</f>
        <v>0.005028991339518285</v>
      </c>
      <c r="S2395" s="75">
        <f>0.5*(Q2394+Q2395)*R2395</f>
        <v>0.006601247497817344</v>
      </c>
      <c r="T2395" s="75">
        <f>0.5*(F2394*Q2394+F2395*Q2395)*R2395</f>
        <v>0.06655062824871331</v>
      </c>
      <c r="U2395" s="76">
        <f>U2394+S2395</f>
        <v>12.608251706197864</v>
      </c>
      <c r="V2395" s="76">
        <f>V2394+T2395</f>
        <v>71.99366692245209</v>
      </c>
    </row>
    <row r="2396" spans="1:22" ht="19" customHeight="1">
      <c r="A2396" s="68" t="s">
        <v>374</v>
      </c>
      <c r="B2396" s="74">
        <v>3</v>
      </c>
      <c r="C2396" s="68" t="s">
        <v>363</v>
      </c>
      <c r="D2396" s="68" t="s">
        <v>364</v>
      </c>
      <c r="E2396" s="75">
        <f>60*F2396*'THAM_SO_MOI'!$C$51/(2*PI()*'THAM_SO_MOI'!$C$26)</f>
        <v>2534.310923982676</v>
      </c>
      <c r="F2396" s="75">
        <f>'HANH_TRINH'!$F$1647+('THAM_SO_MOI'!$F$51-'HANH_TRINH'!$F$1647)*748/'THAM_SO_MOI'!$C$42</f>
        <v>10.089066249304793</v>
      </c>
      <c r="G2396" s="75">
        <f>3.6*F2396</f>
        <v>36.32063849749726</v>
      </c>
      <c r="H2396" s="75">
        <f>'THAM_SO_MOI'!$D$51</f>
        <v>1.375</v>
      </c>
      <c r="I2396" s="75">
        <f>IF(F2396&gt;'THAM_SO_MOI'!$C$14,'THAM_SO_MOI'!$C$13*(1+F2396^2/1500),'THAM_SO_MOI'!$C$13)</f>
        <v>0.015</v>
      </c>
      <c r="J2396" s="75">
        <f>'THAM_SO_MOI'!$C$40*('THAM_SO_MOI'!$C$23*(E2396/'THAM_SO_MOI'!$C$22)+'THAM_SO_MOI'!$C$24*(E2396/'THAM_SO_MOI'!$C$22)^2-'THAM_SO_MOI'!$C$25*(E2396/'THAM_SO_MOI'!$C$22)^3)</f>
        <v>112.39187387544742</v>
      </c>
      <c r="K2396" s="75">
        <f>'THAM_SO_MOI'!$C$31*J2396/E2396</f>
        <v>423.5730643482522</v>
      </c>
      <c r="L2396" s="75">
        <f>K2396*'THAM_SO_MOI'!$C$51*'THAM_SO_MOI'!$C$17/'THAM_SO_MOI'!$C$26</f>
        <v>9470.759326214644</v>
      </c>
      <c r="M2396" s="75">
        <f>'THAM_SO_MOI'!$C$15*'THAM_SO_MOI'!$C$16*F2396^2</f>
        <v>297.73357901486867</v>
      </c>
      <c r="N2396" s="75">
        <f>'THAM_SO_MOI'!$C$12*I2396</f>
        <v>1130.112</v>
      </c>
      <c r="O2396" s="75">
        <f>M2396+N2396</f>
        <v>1427.8455790148687</v>
      </c>
      <c r="P2396" s="75">
        <f>(MIN(L2396,'THAM_SO_MOI'!$C$41)-O2396)/('THAM_SO_MOI'!$C$11*H2396)</f>
        <v>0.7616395593939181</v>
      </c>
      <c r="Q2396" s="75">
        <f>IF(P2396&gt;0,1/P2396,NA())</f>
        <v>1.3129570118387226</v>
      </c>
      <c r="R2396" s="75">
        <f>F2396-F2395</f>
        <v>0.005028991339518285</v>
      </c>
      <c r="S2396" s="75">
        <f>0.5*(Q2395+Q2396)*R2396</f>
        <v>0.006602314909159352</v>
      </c>
      <c r="T2396" s="75">
        <f>0.5*(F2395*Q2395+F2396*Q2396)*R2396</f>
        <v>0.06659459236911174</v>
      </c>
      <c r="U2396" s="76">
        <f>U2395+S2396</f>
        <v>12.614854021107023</v>
      </c>
      <c r="V2396" s="76">
        <f>V2395+T2396</f>
        <v>72.0602615148212</v>
      </c>
    </row>
    <row r="2397" spans="1:22" ht="19" customHeight="1">
      <c r="A2397" s="68" t="s">
        <v>374</v>
      </c>
      <c r="B2397" s="74">
        <v>3</v>
      </c>
      <c r="C2397" s="68" t="s">
        <v>363</v>
      </c>
      <c r="D2397" s="68" t="s">
        <v>364</v>
      </c>
      <c r="E2397" s="75">
        <f>60*F2397*'THAM_SO_MOI'!$C$51/(2*PI()*'THAM_SO_MOI'!$C$26)</f>
        <v>2535.5741754445467</v>
      </c>
      <c r="F2397" s="75">
        <f>'HANH_TRINH'!$F$1647+('THAM_SO_MOI'!$F$51-'HANH_TRINH'!$F$1647)*749/'THAM_SO_MOI'!$C$42</f>
        <v>10.09409524064431</v>
      </c>
      <c r="G2397" s="75">
        <f>3.6*F2397</f>
        <v>36.338742866319514</v>
      </c>
      <c r="H2397" s="75">
        <f>'THAM_SO_MOI'!$D$51</f>
        <v>1.375</v>
      </c>
      <c r="I2397" s="75">
        <f>IF(F2397&gt;'THAM_SO_MOI'!$C$14,'THAM_SO_MOI'!$C$13*(1+F2397^2/1500),'THAM_SO_MOI'!$C$13)</f>
        <v>0.015</v>
      </c>
      <c r="J2397" s="75">
        <f>'THAM_SO_MOI'!$C$40*('THAM_SO_MOI'!$C$23*(E2397/'THAM_SO_MOI'!$C$22)+'THAM_SO_MOI'!$C$24*(E2397/'THAM_SO_MOI'!$C$22)^2-'THAM_SO_MOI'!$C$25*(E2397/'THAM_SO_MOI'!$C$22)^3)</f>
        <v>112.4359148062834</v>
      </c>
      <c r="K2397" s="75">
        <f>'THAM_SO_MOI'!$C$31*J2397/E2397</f>
        <v>423.52793057505943</v>
      </c>
      <c r="L2397" s="75">
        <f>K2397*'THAM_SO_MOI'!$C$51*'THAM_SO_MOI'!$C$17/'THAM_SO_MOI'!$C$26</f>
        <v>9469.750170677215</v>
      </c>
      <c r="M2397" s="75">
        <f>'THAM_SO_MOI'!$C$15*'THAM_SO_MOI'!$C$16*F2397^2</f>
        <v>298.03046927705446</v>
      </c>
      <c r="N2397" s="75">
        <f>'THAM_SO_MOI'!$C$12*I2397</f>
        <v>1130.112</v>
      </c>
      <c r="O2397" s="75">
        <f>M2397+N2397</f>
        <v>1428.1424692770545</v>
      </c>
      <c r="P2397" s="75">
        <f>(MIN(L2397,'THAM_SO_MOI'!$C$41)-O2397)/('THAM_SO_MOI'!$C$11*H2397)</f>
        <v>0.761515880814409</v>
      </c>
      <c r="Q2397" s="75">
        <f>IF(P2397&gt;0,1/P2397,NA())</f>
        <v>1.3131702505409897</v>
      </c>
      <c r="R2397" s="75">
        <f>F2397-F2396</f>
        <v>0.005028991339516509</v>
      </c>
      <c r="S2397" s="75">
        <f>0.5*(Q2396+Q2397)*R2397</f>
        <v>0.006603385629487885</v>
      </c>
      <c r="T2397" s="75">
        <f>0.5*(F2396*Q2396+F2397*Q2397)*R2397</f>
        <v>0.06663860061842349</v>
      </c>
      <c r="U2397" s="76">
        <f>U2396+S2397</f>
        <v>12.62145740673651</v>
      </c>
      <c r="V2397" s="76">
        <f>V2396+T2397</f>
        <v>72.12690011543962</v>
      </c>
    </row>
    <row r="2398" spans="1:22" ht="19" customHeight="1">
      <c r="A2398" s="68" t="s">
        <v>374</v>
      </c>
      <c r="B2398" s="74">
        <v>3</v>
      </c>
      <c r="C2398" s="68" t="s">
        <v>363</v>
      </c>
      <c r="D2398" s="68" t="s">
        <v>364</v>
      </c>
      <c r="E2398" s="75">
        <f>60*F2398*'THAM_SO_MOI'!$C$51/(2*PI()*'THAM_SO_MOI'!$C$26)</f>
        <v>2536.8374269064184</v>
      </c>
      <c r="F2398" s="75">
        <f>'HANH_TRINH'!$F$1647+('THAM_SO_MOI'!$F$51-'HANH_TRINH'!$F$1647)*750/'THAM_SO_MOI'!$C$42</f>
        <v>10.099124231983827</v>
      </c>
      <c r="G2398" s="75">
        <f>3.6*F2398</f>
        <v>36.35684723514178</v>
      </c>
      <c r="H2398" s="75">
        <f>'THAM_SO_MOI'!$D$51</f>
        <v>1.375</v>
      </c>
      <c r="I2398" s="75">
        <f>IF(F2398&gt;'THAM_SO_MOI'!$C$14,'THAM_SO_MOI'!$C$13*(1+F2398^2/1500),'THAM_SO_MOI'!$C$13)</f>
        <v>0.015</v>
      </c>
      <c r="J2398" s="75">
        <f>'THAM_SO_MOI'!$C$40*('THAM_SO_MOI'!$C$23*(E2398/'THAM_SO_MOI'!$C$22)+'THAM_SO_MOI'!$C$24*(E2398/'THAM_SO_MOI'!$C$22)^2-'THAM_SO_MOI'!$C$25*(E2398/'THAM_SO_MOI'!$C$22)^3)</f>
        <v>112.47990267769951</v>
      </c>
      <c r="K2398" s="75">
        <f>'THAM_SO_MOI'!$C$31*J2398/E2398</f>
        <v>423.4826419850362</v>
      </c>
      <c r="L2398" s="75">
        <f>K2398*'THAM_SO_MOI'!$C$51*'THAM_SO_MOI'!$C$17/'THAM_SO_MOI'!$C$26</f>
        <v>9468.737553557678</v>
      </c>
      <c r="M2398" s="75">
        <f>'THAM_SO_MOI'!$C$15*'THAM_SO_MOI'!$C$16*F2398^2</f>
        <v>298.3275074901506</v>
      </c>
      <c r="N2398" s="75">
        <f>'THAM_SO_MOI'!$C$12*I2398</f>
        <v>1130.112</v>
      </c>
      <c r="O2398" s="75">
        <f>M2398+N2398</f>
        <v>1428.4395074901506</v>
      </c>
      <c r="P2398" s="75">
        <f>(MIN(L2398,'THAM_SO_MOI'!$C$41)-O2398)/('THAM_SO_MOI'!$C$11*H2398)</f>
        <v>0.7613918604230613</v>
      </c>
      <c r="Q2398" s="75">
        <f>IF(P2398&gt;0,1/P2398,NA())</f>
        <v>1.3133841481367532</v>
      </c>
      <c r="R2398" s="75">
        <f>F2398-F2397</f>
        <v>0.005028991339518285</v>
      </c>
      <c r="S2398" s="75">
        <f>0.5*(Q2397+Q2398)*R2398</f>
        <v>0.006604459661862013</v>
      </c>
      <c r="T2398" s="75">
        <f>0.5*(F2397*Q2397+F2398*Q2398)*R2398</f>
        <v>0.06668265307745737</v>
      </c>
      <c r="U2398" s="76">
        <f>U2397+S2398</f>
        <v>12.628061866398372</v>
      </c>
      <c r="V2398" s="76">
        <f>V2397+T2398</f>
        <v>72.19358276851709</v>
      </c>
    </row>
    <row r="2399" spans="1:22" ht="19" customHeight="1">
      <c r="A2399" s="68" t="s">
        <v>374</v>
      </c>
      <c r="B2399" s="74">
        <v>3</v>
      </c>
      <c r="C2399" s="68" t="s">
        <v>363</v>
      </c>
      <c r="D2399" s="68" t="s">
        <v>364</v>
      </c>
      <c r="E2399" s="75">
        <f>60*F2399*'THAM_SO_MOI'!$C$51/(2*PI()*'THAM_SO_MOI'!$C$26)</f>
        <v>2538.1006783682897</v>
      </c>
      <c r="F2399" s="75">
        <f>'HANH_TRINH'!$F$1647+('THAM_SO_MOI'!$F$51-'HANH_TRINH'!$F$1647)*751/'THAM_SO_MOI'!$C$42</f>
        <v>10.104153223323344</v>
      </c>
      <c r="G2399" s="75">
        <f>3.6*F2399</f>
        <v>36.37495160396404</v>
      </c>
      <c r="H2399" s="75">
        <f>'THAM_SO_MOI'!$D$51</f>
        <v>1.375</v>
      </c>
      <c r="I2399" s="75">
        <f>IF(F2399&gt;'THAM_SO_MOI'!$C$14,'THAM_SO_MOI'!$C$13*(1+F2399^2/1500),'THAM_SO_MOI'!$C$13)</f>
        <v>0.015</v>
      </c>
      <c r="J2399" s="75">
        <f>'THAM_SO_MOI'!$C$40*('THAM_SO_MOI'!$C$23*(E2399/'THAM_SO_MOI'!$C$22)+'THAM_SO_MOI'!$C$24*(E2399/'THAM_SO_MOI'!$C$22)^2-'THAM_SO_MOI'!$C$25*(E2399/'THAM_SO_MOI'!$C$22)^3)</f>
        <v>112.52383742826625</v>
      </c>
      <c r="K2399" s="75">
        <f>'THAM_SO_MOI'!$C$31*J2399/E2399</f>
        <v>423.4371985781824</v>
      </c>
      <c r="L2399" s="75">
        <f>K2399*'THAM_SO_MOI'!$C$51*'THAM_SO_MOI'!$C$17/'THAM_SO_MOI'!$C$26</f>
        <v>9467.72147485603</v>
      </c>
      <c r="M2399" s="75">
        <f>'THAM_SO_MOI'!$C$15*'THAM_SO_MOI'!$C$16*F2399^2</f>
        <v>298.62469365415694</v>
      </c>
      <c r="N2399" s="75">
        <f>'THAM_SO_MOI'!$C$12*I2399</f>
        <v>1130.112</v>
      </c>
      <c r="O2399" s="75">
        <f>M2399+N2399</f>
        <v>1428.736693654157</v>
      </c>
      <c r="P2399" s="75">
        <f>(MIN(L2399,'THAM_SO_MOI'!$C$41)-O2399)/('THAM_SO_MOI'!$C$11*H2399)</f>
        <v>0.7612674982198744</v>
      </c>
      <c r="Q2399" s="75">
        <f>IF(P2399&gt;0,1/P2399,NA())</f>
        <v>1.313598705236163</v>
      </c>
      <c r="R2399" s="75">
        <f>F2399-F2398</f>
        <v>0.005028991339516509</v>
      </c>
      <c r="S2399" s="75">
        <f>0.5*(Q2398+Q2399)*R2399</f>
        <v>0.006605537009335381</v>
      </c>
      <c r="T2399" s="75">
        <f>0.5*(F2398*Q2398+F2399*Q2399)*R2399</f>
        <v>0.06672674982702903</v>
      </c>
      <c r="U2399" s="76">
        <f>U2398+S2399</f>
        <v>12.634667403407708</v>
      </c>
      <c r="V2399" s="76">
        <f>V2398+T2399</f>
        <v>72.26030951834412</v>
      </c>
    </row>
    <row r="2400" spans="1:22" ht="19" customHeight="1">
      <c r="A2400" s="68" t="s">
        <v>374</v>
      </c>
      <c r="B2400" s="74">
        <v>3</v>
      </c>
      <c r="C2400" s="68" t="s">
        <v>363</v>
      </c>
      <c r="D2400" s="68" t="s">
        <v>364</v>
      </c>
      <c r="E2400" s="75">
        <f>60*F2400*'THAM_SO_MOI'!$C$51/(2*PI()*'THAM_SO_MOI'!$C$26)</f>
        <v>2539.3639298301614</v>
      </c>
      <c r="F2400" s="75">
        <f>'HANH_TRINH'!$F$1647+('THAM_SO_MOI'!$F$51-'HANH_TRINH'!$F$1647)*752/'THAM_SO_MOI'!$C$42</f>
        <v>10.109182214662862</v>
      </c>
      <c r="G2400" s="75">
        <f>3.6*F2400</f>
        <v>36.39305597278631</v>
      </c>
      <c r="H2400" s="75">
        <f>'THAM_SO_MOI'!$D$51</f>
        <v>1.375</v>
      </c>
      <c r="I2400" s="75">
        <f>IF(F2400&gt;'THAM_SO_MOI'!$C$14,'THAM_SO_MOI'!$C$13*(1+F2400^2/1500),'THAM_SO_MOI'!$C$13)</f>
        <v>0.015</v>
      </c>
      <c r="J2400" s="75">
        <f>'THAM_SO_MOI'!$C$40*('THAM_SO_MOI'!$C$23*(E2400/'THAM_SO_MOI'!$C$22)+'THAM_SO_MOI'!$C$24*(E2400/'THAM_SO_MOI'!$C$22)^2-'THAM_SO_MOI'!$C$25*(E2400/'THAM_SO_MOI'!$C$22)^3)</f>
        <v>112.56771899655436</v>
      </c>
      <c r="K2400" s="75">
        <f>'THAM_SO_MOI'!$C$31*J2400/E2400</f>
        <v>423.3916003544982</v>
      </c>
      <c r="L2400" s="75">
        <f>K2400*'THAM_SO_MOI'!$C$51*'THAM_SO_MOI'!$C$17/'THAM_SO_MOI'!$C$26</f>
        <v>9466.701934572277</v>
      </c>
      <c r="M2400" s="75">
        <f>'THAM_SO_MOI'!$C$15*'THAM_SO_MOI'!$C$16*F2400^2</f>
        <v>298.9220277690736</v>
      </c>
      <c r="N2400" s="75">
        <f>'THAM_SO_MOI'!$C$12*I2400</f>
        <v>1130.112</v>
      </c>
      <c r="O2400" s="75">
        <f>M2400+N2400</f>
        <v>1429.0340277690736</v>
      </c>
      <c r="P2400" s="75">
        <f>(MIN(L2400,'THAM_SO_MOI'!$C$41)-O2400)/('THAM_SO_MOI'!$C$11*H2400)</f>
        <v>0.7611427942048489</v>
      </c>
      <c r="Q2400" s="75">
        <f>IF(P2400&gt;0,1/P2400,NA())</f>
        <v>1.3138139224515428</v>
      </c>
      <c r="R2400" s="75">
        <f>F2400-F2399</f>
        <v>0.005028991339518285</v>
      </c>
      <c r="S2400" s="75">
        <f>0.5*(Q2399+Q2400)*R2400</f>
        <v>0.0066066176749912265</v>
      </c>
      <c r="T2400" s="75">
        <f>0.5*(F2399*Q2399+F2400*Q2400)*R2400</f>
        <v>0.06677089094831451</v>
      </c>
      <c r="U2400" s="76">
        <f>U2399+S2400</f>
        <v>12.6412740210827</v>
      </c>
      <c r="V2400" s="76">
        <f>V2399+T2400</f>
        <v>72.32708040929244</v>
      </c>
    </row>
    <row r="2401" spans="1:22" ht="19" customHeight="1">
      <c r="A2401" s="68" t="s">
        <v>374</v>
      </c>
      <c r="B2401" s="74">
        <v>3</v>
      </c>
      <c r="C2401" s="68" t="s">
        <v>363</v>
      </c>
      <c r="D2401" s="68" t="s">
        <v>364</v>
      </c>
      <c r="E2401" s="75">
        <f>60*F2401*'THAM_SO_MOI'!$C$51/(2*PI()*'THAM_SO_MOI'!$C$26)</f>
        <v>2540.6271812920336</v>
      </c>
      <c r="F2401" s="75">
        <f>'HANH_TRINH'!$F$1647+('THAM_SO_MOI'!$F$51-'HANH_TRINH'!$F$1647)*753/'THAM_SO_MOI'!$C$42</f>
        <v>10.11421120600238</v>
      </c>
      <c r="G2401" s="75">
        <f>3.6*F2401</f>
        <v>36.41116034160857</v>
      </c>
      <c r="H2401" s="75">
        <f>'THAM_SO_MOI'!$D$51</f>
        <v>1.375</v>
      </c>
      <c r="I2401" s="75">
        <f>IF(F2401&gt;'THAM_SO_MOI'!$C$14,'THAM_SO_MOI'!$C$13*(1+F2401^2/1500),'THAM_SO_MOI'!$C$13)</f>
        <v>0.015</v>
      </c>
      <c r="J2401" s="75">
        <f>'THAM_SO_MOI'!$C$40*('THAM_SO_MOI'!$C$23*(E2401/'THAM_SO_MOI'!$C$22)+'THAM_SO_MOI'!$C$24*(E2401/'THAM_SO_MOI'!$C$22)^2-'THAM_SO_MOI'!$C$25*(E2401/'THAM_SO_MOI'!$C$22)^3)</f>
        <v>112.61154732113445</v>
      </c>
      <c r="K2401" s="75">
        <f>'THAM_SO_MOI'!$C$31*J2401/E2401</f>
        <v>423.3458473139833</v>
      </c>
      <c r="L2401" s="75">
        <f>K2401*'THAM_SO_MOI'!$C$51*'THAM_SO_MOI'!$C$17/'THAM_SO_MOI'!$C$26</f>
        <v>9465.67893270641</v>
      </c>
      <c r="M2401" s="75">
        <f>'THAM_SO_MOI'!$C$15*'THAM_SO_MOI'!$C$16*F2401^2</f>
        <v>299.21950983490063</v>
      </c>
      <c r="N2401" s="75">
        <f>'THAM_SO_MOI'!$C$12*I2401</f>
        <v>1130.112</v>
      </c>
      <c r="O2401" s="75">
        <f>M2401+N2401</f>
        <v>1429.3315098349008</v>
      </c>
      <c r="P2401" s="75">
        <f>(MIN(L2401,'THAM_SO_MOI'!$C$41)-O2401)/('THAM_SO_MOI'!$C$11*H2401)</f>
        <v>0.761017748377984</v>
      </c>
      <c r="Q2401" s="75">
        <f>IF(P2401&gt;0,1/P2401,NA())</f>
        <v>1.3140298003973987</v>
      </c>
      <c r="R2401" s="75">
        <f>F2401-F2400</f>
        <v>0.005028991339518285</v>
      </c>
      <c r="S2401" s="75">
        <f>0.5*(Q2400+Q2401)*R2401</f>
        <v>0.006607701661907408</v>
      </c>
      <c r="T2401" s="75">
        <f>0.5*(F2400*Q2400+F2401*Q2401)*R2401</f>
        <v>0.06681507652249753</v>
      </c>
      <c r="U2401" s="76">
        <f>U2400+S2401</f>
        <v>12.647881722744607</v>
      </c>
      <c r="V2401" s="76">
        <f>V2400+T2401</f>
        <v>72.39389548581494</v>
      </c>
    </row>
    <row r="2402" spans="1:22" ht="19" customHeight="1">
      <c r="A2402" s="68" t="s">
        <v>374</v>
      </c>
      <c r="B2402" s="74">
        <v>3</v>
      </c>
      <c r="C2402" s="68" t="s">
        <v>363</v>
      </c>
      <c r="D2402" s="68" t="s">
        <v>364</v>
      </c>
      <c r="E2402" s="75">
        <f>60*F2402*'THAM_SO_MOI'!$C$51/(2*PI()*'THAM_SO_MOI'!$C$26)</f>
        <v>2541.890432753905</v>
      </c>
      <c r="F2402" s="75">
        <f>'HANH_TRINH'!$F$1647+('THAM_SO_MOI'!$F$51-'HANH_TRINH'!$F$1647)*754/'THAM_SO_MOI'!$C$42</f>
        <v>10.119240197341897</v>
      </c>
      <c r="G2402" s="75">
        <f>3.6*F2402</f>
        <v>36.42926471043083</v>
      </c>
      <c r="H2402" s="75">
        <f>'THAM_SO_MOI'!$D$51</f>
        <v>1.375</v>
      </c>
      <c r="I2402" s="75">
        <f>IF(F2402&gt;'THAM_SO_MOI'!$C$14,'THAM_SO_MOI'!$C$13*(1+F2402^2/1500),'THAM_SO_MOI'!$C$13)</f>
        <v>0.015</v>
      </c>
      <c r="J2402" s="75">
        <f>'THAM_SO_MOI'!$C$40*('THAM_SO_MOI'!$C$23*(E2402/'THAM_SO_MOI'!$C$22)+'THAM_SO_MOI'!$C$24*(E2402/'THAM_SO_MOI'!$C$22)^2-'THAM_SO_MOI'!$C$25*(E2402/'THAM_SO_MOI'!$C$22)^3)</f>
        <v>112.65532234057716</v>
      </c>
      <c r="K2402" s="75">
        <f>'THAM_SO_MOI'!$C$31*J2402/E2402</f>
        <v>423.299939456638</v>
      </c>
      <c r="L2402" s="75">
        <f>K2402*'THAM_SO_MOI'!$C$51*'THAM_SO_MOI'!$C$17/'THAM_SO_MOI'!$C$26</f>
        <v>9464.652469258437</v>
      </c>
      <c r="M2402" s="75">
        <f>'THAM_SO_MOI'!$C$15*'THAM_SO_MOI'!$C$16*F2402^2</f>
        <v>299.51713985163775</v>
      </c>
      <c r="N2402" s="75">
        <f>'THAM_SO_MOI'!$C$12*I2402</f>
        <v>1130.112</v>
      </c>
      <c r="O2402" s="75">
        <f>M2402+N2402</f>
        <v>1429.6291398516378</v>
      </c>
      <c r="P2402" s="75">
        <f>(MIN(L2402,'THAM_SO_MOI'!$C$41)-O2402)/('THAM_SO_MOI'!$C$11*H2402)</f>
        <v>0.7608923607392802</v>
      </c>
      <c r="Q2402" s="75">
        <f>IF(P2402&gt;0,1/P2402,NA())</f>
        <v>1.3142463396904178</v>
      </c>
      <c r="R2402" s="75">
        <f>F2402-F2401</f>
        <v>0.005028991339516509</v>
      </c>
      <c r="S2402" s="75">
        <f>0.5*(Q2401+Q2402)*R2402</f>
        <v>0.006608788973179754</v>
      </c>
      <c r="T2402" s="75">
        <f>0.5*(F2401*Q2401+F2402*Q2402)*R2402</f>
        <v>0.06685930663100552</v>
      </c>
      <c r="U2402" s="76">
        <f>U2401+S2402</f>
        <v>12.654490511717787</v>
      </c>
      <c r="V2402" s="76">
        <f>V2401+T2402</f>
        <v>72.46075479244594</v>
      </c>
    </row>
    <row r="2403" spans="1:22" ht="19" customHeight="1">
      <c r="A2403" s="68" t="s">
        <v>374</v>
      </c>
      <c r="B2403" s="74">
        <v>3</v>
      </c>
      <c r="C2403" s="68" t="s">
        <v>363</v>
      </c>
      <c r="D2403" s="68" t="s">
        <v>364</v>
      </c>
      <c r="E2403" s="75">
        <f>60*F2403*'THAM_SO_MOI'!$C$51/(2*PI()*'THAM_SO_MOI'!$C$26)</f>
        <v>2543.1536842157766</v>
      </c>
      <c r="F2403" s="75">
        <f>'HANH_TRINH'!$F$1647+('THAM_SO_MOI'!$F$51-'HANH_TRINH'!$F$1647)*755/'THAM_SO_MOI'!$C$42</f>
        <v>10.124269188681415</v>
      </c>
      <c r="G2403" s="75">
        <f>3.6*F2403</f>
        <v>36.44736907925309</v>
      </c>
      <c r="H2403" s="75">
        <f>'THAM_SO_MOI'!$D$51</f>
        <v>1.375</v>
      </c>
      <c r="I2403" s="75">
        <f>IF(F2403&gt;'THAM_SO_MOI'!$C$14,'THAM_SO_MOI'!$C$13*(1+F2403^2/1500),'THAM_SO_MOI'!$C$13)</f>
        <v>0.015</v>
      </c>
      <c r="J2403" s="75">
        <f>'THAM_SO_MOI'!$C$40*('THAM_SO_MOI'!$C$23*(E2403/'THAM_SO_MOI'!$C$22)+'THAM_SO_MOI'!$C$24*(E2403/'THAM_SO_MOI'!$C$22)^2-'THAM_SO_MOI'!$C$25*(E2403/'THAM_SO_MOI'!$C$22)^3)</f>
        <v>112.69904399345319</v>
      </c>
      <c r="K2403" s="75">
        <f>'THAM_SO_MOI'!$C$31*J2403/E2403</f>
        <v>423.25387678246227</v>
      </c>
      <c r="L2403" s="75">
        <f>K2403*'THAM_SO_MOI'!$C$51*'THAM_SO_MOI'!$C$17/'THAM_SO_MOI'!$C$26</f>
        <v>9463.622544228356</v>
      </c>
      <c r="M2403" s="75">
        <f>'THAM_SO_MOI'!$C$15*'THAM_SO_MOI'!$C$16*F2403^2</f>
        <v>299.81491781928526</v>
      </c>
      <c r="N2403" s="75">
        <f>'THAM_SO_MOI'!$C$12*I2403</f>
        <v>1130.112</v>
      </c>
      <c r="O2403" s="75">
        <f>M2403+N2403</f>
        <v>1429.9269178192853</v>
      </c>
      <c r="P2403" s="75">
        <f>(MIN(L2403,'THAM_SO_MOI'!$C$41)-O2403)/('THAM_SO_MOI'!$C$11*H2403)</f>
        <v>0.7607666312887378</v>
      </c>
      <c r="Q2403" s="75">
        <f>IF(P2403&gt;0,1/P2403,NA())</f>
        <v>1.3144635409494778</v>
      </c>
      <c r="R2403" s="75">
        <f>F2403-F2402</f>
        <v>0.005028991339518285</v>
      </c>
      <c r="S2403" s="75">
        <f>0.5*(Q2402+Q2403)*R2403</f>
        <v>0.00660987961192209</v>
      </c>
      <c r="T2403" s="75">
        <f>0.5*(F2402*Q2402+F2403*Q2403)*R2403</f>
        <v>0.06690358135551037</v>
      </c>
      <c r="U2403" s="76">
        <f>U2402+S2403</f>
        <v>12.66110039132971</v>
      </c>
      <c r="V2403" s="76">
        <f>V2402+T2403</f>
        <v>72.52765837380144</v>
      </c>
    </row>
    <row r="2404" spans="1:22" ht="19" customHeight="1">
      <c r="A2404" s="68" t="s">
        <v>374</v>
      </c>
      <c r="B2404" s="74">
        <v>3</v>
      </c>
      <c r="C2404" s="68" t="s">
        <v>363</v>
      </c>
      <c r="D2404" s="68" t="s">
        <v>364</v>
      </c>
      <c r="E2404" s="75">
        <f>60*F2404*'THAM_SO_MOI'!$C$51/(2*PI()*'THAM_SO_MOI'!$C$26)</f>
        <v>2544.416935677649</v>
      </c>
      <c r="F2404" s="75">
        <f>'HANH_TRINH'!$F$1647+('THAM_SO_MOI'!$F$51-'HANH_TRINH'!$F$1647)*756/'THAM_SO_MOI'!$C$42</f>
        <v>10.129298180020934</v>
      </c>
      <c r="G2404" s="75">
        <f>3.6*F2404</f>
        <v>36.465473448075365</v>
      </c>
      <c r="H2404" s="75">
        <f>'THAM_SO_MOI'!$D$51</f>
        <v>1.375</v>
      </c>
      <c r="I2404" s="75">
        <f>IF(F2404&gt;'THAM_SO_MOI'!$C$14,'THAM_SO_MOI'!$C$13*(1+F2404^2/1500),'THAM_SO_MOI'!$C$13)</f>
        <v>0.015</v>
      </c>
      <c r="J2404" s="75">
        <f>'THAM_SO_MOI'!$C$40*('THAM_SO_MOI'!$C$23*(E2404/'THAM_SO_MOI'!$C$22)+'THAM_SO_MOI'!$C$24*(E2404/'THAM_SO_MOI'!$C$22)^2-'THAM_SO_MOI'!$C$25*(E2404/'THAM_SO_MOI'!$C$22)^3)</f>
        <v>112.74271221833315</v>
      </c>
      <c r="K2404" s="75">
        <f>'THAM_SO_MOI'!$C$31*J2404/E2404</f>
        <v>423.207659291456</v>
      </c>
      <c r="L2404" s="75">
        <f>K2404*'THAM_SO_MOI'!$C$51*'THAM_SO_MOI'!$C$17/'THAM_SO_MOI'!$C$26</f>
        <v>9462.589157616168</v>
      </c>
      <c r="M2404" s="75">
        <f>'THAM_SO_MOI'!$C$15*'THAM_SO_MOI'!$C$16*F2404^2</f>
        <v>300.1128437378431</v>
      </c>
      <c r="N2404" s="75">
        <f>'THAM_SO_MOI'!$C$12*I2404</f>
        <v>1130.112</v>
      </c>
      <c r="O2404" s="75">
        <f>M2404+N2404</f>
        <v>1430.2248437378432</v>
      </c>
      <c r="P2404" s="75">
        <f>(MIN(L2404,'THAM_SO_MOI'!$C$41)-O2404)/('THAM_SO_MOI'!$C$11*H2404)</f>
        <v>0.7606405600263566</v>
      </c>
      <c r="Q2404" s="75">
        <f>IF(P2404&gt;0,1/P2404,NA())</f>
        <v>1.3146814047956494</v>
      </c>
      <c r="R2404" s="75">
        <f>F2404-F2403</f>
        <v>0.005028991339518285</v>
      </c>
      <c r="S2404" s="75">
        <f>0.5*(Q2403+Q2404)*R2404</f>
        <v>0.0066109735812452585</v>
      </c>
      <c r="T2404" s="75">
        <f>0.5*(F2403*Q2403+F2404*Q2404)*R2404</f>
        <v>0.06694790077771637</v>
      </c>
      <c r="U2404" s="76">
        <f>U2403+S2404</f>
        <v>12.667711364910955</v>
      </c>
      <c r="V2404" s="76">
        <f>V2403+T2404</f>
        <v>72.59460627457916</v>
      </c>
    </row>
    <row r="2405" spans="1:22" ht="19" customHeight="1">
      <c r="A2405" s="68" t="s">
        <v>374</v>
      </c>
      <c r="B2405" s="74">
        <v>3</v>
      </c>
      <c r="C2405" s="68" t="s">
        <v>363</v>
      </c>
      <c r="D2405" s="68" t="s">
        <v>364</v>
      </c>
      <c r="E2405" s="75">
        <f>60*F2405*'THAM_SO_MOI'!$C$51/(2*PI()*'THAM_SO_MOI'!$C$26)</f>
        <v>2545.68018713952</v>
      </c>
      <c r="F2405" s="75">
        <f>'HANH_TRINH'!$F$1647+('THAM_SO_MOI'!$F$51-'HANH_TRINH'!$F$1647)*757/'THAM_SO_MOI'!$C$42</f>
        <v>10.13432717136045</v>
      </c>
      <c r="G2405" s="75">
        <f>3.6*F2405</f>
        <v>36.48357781689762</v>
      </c>
      <c r="H2405" s="75">
        <f>'THAM_SO_MOI'!$D$51</f>
        <v>1.375</v>
      </c>
      <c r="I2405" s="75">
        <f>IF(F2405&gt;'THAM_SO_MOI'!$C$14,'THAM_SO_MOI'!$C$13*(1+F2405^2/1500),'THAM_SO_MOI'!$C$13)</f>
        <v>0.015</v>
      </c>
      <c r="J2405" s="75">
        <f>'THAM_SO_MOI'!$C$40*('THAM_SO_MOI'!$C$23*(E2405/'THAM_SO_MOI'!$C$22)+'THAM_SO_MOI'!$C$24*(E2405/'THAM_SO_MOI'!$C$22)^2-'THAM_SO_MOI'!$C$25*(E2405/'THAM_SO_MOI'!$C$22)^3)</f>
        <v>112.78632695378765</v>
      </c>
      <c r="K2405" s="75">
        <f>'THAM_SO_MOI'!$C$31*J2405/E2405</f>
        <v>423.16128698361905</v>
      </c>
      <c r="L2405" s="75">
        <f>K2405*'THAM_SO_MOI'!$C$51*'THAM_SO_MOI'!$C$17/'THAM_SO_MOI'!$C$26</f>
        <v>9461.552309421864</v>
      </c>
      <c r="M2405" s="75">
        <f>'THAM_SO_MOI'!$C$15*'THAM_SO_MOI'!$C$16*F2405^2</f>
        <v>300.41091760731103</v>
      </c>
      <c r="N2405" s="75">
        <f>'THAM_SO_MOI'!$C$12*I2405</f>
        <v>1130.112</v>
      </c>
      <c r="O2405" s="75">
        <f>M2405+N2405</f>
        <v>1430.5229176073112</v>
      </c>
      <c r="P2405" s="75">
        <f>(MIN(L2405,'THAM_SO_MOI'!$C$41)-O2405)/('THAM_SO_MOI'!$C$11*H2405)</f>
        <v>0.7605141469521357</v>
      </c>
      <c r="Q2405" s="75">
        <f>IF(P2405&gt;0,1/P2405,NA())</f>
        <v>1.3148999318522037</v>
      </c>
      <c r="R2405" s="75">
        <f>F2405-F2404</f>
        <v>0.005028991339516509</v>
      </c>
      <c r="S2405" s="75">
        <f>0.5*(Q2404+Q2405)*R2405</f>
        <v>0.006612070884278149</v>
      </c>
      <c r="T2405" s="75">
        <f>0.5*(F2404*Q2404+F2405*Q2405)*R2405</f>
        <v>0.06699226497957321</v>
      </c>
      <c r="U2405" s="76">
        <f>U2404+S2405</f>
        <v>12.674323435795234</v>
      </c>
      <c r="V2405" s="76">
        <f>V2404+T2405</f>
        <v>72.66159853955874</v>
      </c>
    </row>
    <row r="2406" spans="1:22" ht="19" customHeight="1">
      <c r="A2406" s="68" t="s">
        <v>374</v>
      </c>
      <c r="B2406" s="74">
        <v>3</v>
      </c>
      <c r="C2406" s="68" t="s">
        <v>363</v>
      </c>
      <c r="D2406" s="68" t="s">
        <v>364</v>
      </c>
      <c r="E2406" s="75">
        <f>60*F2406*'THAM_SO_MOI'!$C$51/(2*PI()*'THAM_SO_MOI'!$C$26)</f>
        <v>2546.9434386013913</v>
      </c>
      <c r="F2406" s="75">
        <f>'HANH_TRINH'!$F$1647+('THAM_SO_MOI'!$F$51-'HANH_TRINH'!$F$1647)*758/'THAM_SO_MOI'!$C$42</f>
        <v>10.139356162699968</v>
      </c>
      <c r="G2406" s="75">
        <f>3.6*F2406</f>
        <v>36.501682185719886</v>
      </c>
      <c r="H2406" s="75">
        <f>'THAM_SO_MOI'!$D$51</f>
        <v>1.375</v>
      </c>
      <c r="I2406" s="75">
        <f>IF(F2406&gt;'THAM_SO_MOI'!$C$14,'THAM_SO_MOI'!$C$13*(1+F2406^2/1500),'THAM_SO_MOI'!$C$13)</f>
        <v>0.015</v>
      </c>
      <c r="J2406" s="75">
        <f>'THAM_SO_MOI'!$C$40*('THAM_SO_MOI'!$C$23*(E2406/'THAM_SO_MOI'!$C$22)+'THAM_SO_MOI'!$C$24*(E2406/'THAM_SO_MOI'!$C$22)^2-'THAM_SO_MOI'!$C$25*(E2406/'THAM_SO_MOI'!$C$22)^3)</f>
        <v>112.82988813838742</v>
      </c>
      <c r="K2406" s="75">
        <f>'THAM_SO_MOI'!$C$31*J2406/E2406</f>
        <v>423.1147598589518</v>
      </c>
      <c r="L2406" s="75">
        <f>K2406*'THAM_SO_MOI'!$C$51*'THAM_SO_MOI'!$C$17/'THAM_SO_MOI'!$C$26</f>
        <v>9460.511999645454</v>
      </c>
      <c r="M2406" s="75">
        <f>'THAM_SO_MOI'!$C$15*'THAM_SO_MOI'!$C$16*F2406^2</f>
        <v>300.70913942768937</v>
      </c>
      <c r="N2406" s="75">
        <f>'THAM_SO_MOI'!$C$12*I2406</f>
        <v>1130.112</v>
      </c>
      <c r="O2406" s="75">
        <f>M2406+N2406</f>
        <v>1430.8211394276896</v>
      </c>
      <c r="P2406" s="75">
        <f>(MIN(L2406,'THAM_SO_MOI'!$C$41)-O2406)/('THAM_SO_MOI'!$C$11*H2406)</f>
        <v>0.7603873920660763</v>
      </c>
      <c r="Q2406" s="75">
        <f>IF(P2406&gt;0,1/P2406,NA())</f>
        <v>1.31511912274461</v>
      </c>
      <c r="R2406" s="75">
        <f>F2406-F2405</f>
        <v>0.005028991339518285</v>
      </c>
      <c r="S2406" s="75">
        <f>0.5*(Q2405+Q2406)*R2406</f>
        <v>0.0066131715241677215</v>
      </c>
      <c r="T2406" s="75">
        <f>0.5*(F2405*Q2405+F2406*Q2406)*R2406</f>
        <v>0.06703667404327676</v>
      </c>
      <c r="U2406" s="76">
        <f>U2405+S2406</f>
        <v>12.680936607319401</v>
      </c>
      <c r="V2406" s="76">
        <f>V2405+T2406</f>
        <v>72.72863521360202</v>
      </c>
    </row>
    <row r="2407" spans="1:22" ht="19" customHeight="1">
      <c r="A2407" s="68" t="s">
        <v>374</v>
      </c>
      <c r="B2407" s="74">
        <v>3</v>
      </c>
      <c r="C2407" s="68" t="s">
        <v>363</v>
      </c>
      <c r="D2407" s="68" t="s">
        <v>364</v>
      </c>
      <c r="E2407" s="75">
        <f>60*F2407*'THAM_SO_MOI'!$C$51/(2*PI()*'THAM_SO_MOI'!$C$26)</f>
        <v>2548.206690063263</v>
      </c>
      <c r="F2407" s="75">
        <f>'HANH_TRINH'!$F$1647+('THAM_SO_MOI'!$F$51-'HANH_TRINH'!$F$1647)*759/'THAM_SO_MOI'!$C$42</f>
        <v>10.144385154039487</v>
      </c>
      <c r="G2407" s="75">
        <f>3.6*F2407</f>
        <v>36.51978655454215</v>
      </c>
      <c r="H2407" s="75">
        <f>'THAM_SO_MOI'!$D$51</f>
        <v>1.375</v>
      </c>
      <c r="I2407" s="75">
        <f>IF(F2407&gt;'THAM_SO_MOI'!$C$14,'THAM_SO_MOI'!$C$13*(1+F2407^2/1500),'THAM_SO_MOI'!$C$13)</f>
        <v>0.015</v>
      </c>
      <c r="J2407" s="75">
        <f>'THAM_SO_MOI'!$C$40*('THAM_SO_MOI'!$C$23*(E2407/'THAM_SO_MOI'!$C$22)+'THAM_SO_MOI'!$C$24*(E2407/'THAM_SO_MOI'!$C$22)^2-'THAM_SO_MOI'!$C$25*(E2407/'THAM_SO_MOI'!$C$22)^3)</f>
        <v>112.87339571070306</v>
      </c>
      <c r="K2407" s="75">
        <f>'THAM_SO_MOI'!$C$31*J2407/E2407</f>
        <v>423.06807791745393</v>
      </c>
      <c r="L2407" s="75">
        <f>K2407*'THAM_SO_MOI'!$C$51*'THAM_SO_MOI'!$C$17/'THAM_SO_MOI'!$C$26</f>
        <v>9459.468228286938</v>
      </c>
      <c r="M2407" s="75">
        <f>'THAM_SO_MOI'!$C$15*'THAM_SO_MOI'!$C$16*F2407^2</f>
        <v>301.007509198978</v>
      </c>
      <c r="N2407" s="75">
        <f>'THAM_SO_MOI'!$C$12*I2407</f>
        <v>1130.112</v>
      </c>
      <c r="O2407" s="75">
        <f>M2407+N2407</f>
        <v>1431.119509198978</v>
      </c>
      <c r="P2407" s="75">
        <f>(MIN(L2407,'THAM_SO_MOI'!$C$41)-O2407)/('THAM_SO_MOI'!$C$11*H2407)</f>
        <v>0.760260295368178</v>
      </c>
      <c r="Q2407" s="75">
        <f>IF(P2407&gt;0,1/P2407,NA())</f>
        <v>1.315338978100548</v>
      </c>
      <c r="R2407" s="75">
        <f>F2407-F2406</f>
        <v>0.005028991339518285</v>
      </c>
      <c r="S2407" s="75">
        <f>0.5*(Q2406+Q2407)*R2407</f>
        <v>0.006614275504058007</v>
      </c>
      <c r="T2407" s="75">
        <f>0.5*(F2406*Q2406+F2407*Q2407)*R2407</f>
        <v>0.06708112805105648</v>
      </c>
      <c r="U2407" s="76">
        <f>U2406+S2407</f>
        <v>12.687550882823459</v>
      </c>
      <c r="V2407" s="76">
        <f>V2406+T2407</f>
        <v>72.79571634165308</v>
      </c>
    </row>
    <row r="2408" spans="1:22" ht="19" customHeight="1">
      <c r="A2408" s="68" t="s">
        <v>374</v>
      </c>
      <c r="B2408" s="74">
        <v>3</v>
      </c>
      <c r="C2408" s="68" t="s">
        <v>363</v>
      </c>
      <c r="D2408" s="68" t="s">
        <v>364</v>
      </c>
      <c r="E2408" s="75">
        <f>60*F2408*'THAM_SO_MOI'!$C$51/(2*PI()*'THAM_SO_MOI'!$C$26)</f>
        <v>2549.4699415251343</v>
      </c>
      <c r="F2408" s="75">
        <f>'HANH_TRINH'!$F$1647+('THAM_SO_MOI'!$F$51-'HANH_TRINH'!$F$1647)*760/'THAM_SO_MOI'!$C$42</f>
        <v>10.149414145379003</v>
      </c>
      <c r="G2408" s="75">
        <f>3.6*F2408</f>
        <v>36.537890923364415</v>
      </c>
      <c r="H2408" s="75">
        <f>'THAM_SO_MOI'!$D$51</f>
        <v>1.375</v>
      </c>
      <c r="I2408" s="75">
        <f>IF(F2408&gt;'THAM_SO_MOI'!$C$14,'THAM_SO_MOI'!$C$13*(1+F2408^2/1500),'THAM_SO_MOI'!$C$13)</f>
        <v>0.015</v>
      </c>
      <c r="J2408" s="75">
        <f>'THAM_SO_MOI'!$C$40*('THAM_SO_MOI'!$C$23*(E2408/'THAM_SO_MOI'!$C$22)+'THAM_SO_MOI'!$C$24*(E2408/'THAM_SO_MOI'!$C$22)^2-'THAM_SO_MOI'!$C$25*(E2408/'THAM_SO_MOI'!$C$22)^3)</f>
        <v>112.91684960930522</v>
      </c>
      <c r="K2408" s="75">
        <f>'THAM_SO_MOI'!$C$31*J2408/E2408</f>
        <v>423.02124115912557</v>
      </c>
      <c r="L2408" s="75">
        <f>K2408*'THAM_SO_MOI'!$C$51*'THAM_SO_MOI'!$C$17/'THAM_SO_MOI'!$C$26</f>
        <v>9458.42099534631</v>
      </c>
      <c r="M2408" s="75">
        <f>'THAM_SO_MOI'!$C$15*'THAM_SO_MOI'!$C$16*F2408^2</f>
        <v>301.30602692117674</v>
      </c>
      <c r="N2408" s="75">
        <f>'THAM_SO_MOI'!$C$12*I2408</f>
        <v>1130.112</v>
      </c>
      <c r="O2408" s="75">
        <f>M2408+N2408</f>
        <v>1431.4180269211768</v>
      </c>
      <c r="P2408" s="75">
        <f>(MIN(L2408,'THAM_SO_MOI'!$C$41)-O2408)/('THAM_SO_MOI'!$C$11*H2408)</f>
        <v>0.7601328568584407</v>
      </c>
      <c r="Q2408" s="75">
        <f>IF(P2408&gt;0,1/P2408,NA())</f>
        <v>1.315559498549909</v>
      </c>
      <c r="R2408" s="75">
        <f>F2408-F2407</f>
        <v>0.005028991339516509</v>
      </c>
      <c r="S2408" s="75">
        <f>0.5*(Q2407+Q2408)*R2408</f>
        <v>0.006615382827111162</v>
      </c>
      <c r="T2408" s="75">
        <f>0.5*(F2407*Q2407+F2408*Q2408)*R2408</f>
        <v>0.06712562708538891</v>
      </c>
      <c r="U2408" s="76">
        <f>U2407+S2408</f>
        <v>12.69416626565057</v>
      </c>
      <c r="V2408" s="76">
        <f>V2407+T2408</f>
        <v>72.86284196873846</v>
      </c>
    </row>
    <row r="2409" spans="1:22" ht="19" customHeight="1">
      <c r="A2409" s="68" t="s">
        <v>374</v>
      </c>
      <c r="B2409" s="74">
        <v>3</v>
      </c>
      <c r="C2409" s="68" t="s">
        <v>363</v>
      </c>
      <c r="D2409" s="68" t="s">
        <v>364</v>
      </c>
      <c r="E2409" s="75">
        <f>60*F2409*'THAM_SO_MOI'!$C$51/(2*PI()*'THAM_SO_MOI'!$C$26)</f>
        <v>2550.7331929870065</v>
      </c>
      <c r="F2409" s="75">
        <f>'HANH_TRINH'!$F$1647+('THAM_SO_MOI'!$F$51-'HANH_TRINH'!$F$1647)*761/'THAM_SO_MOI'!$C$42</f>
        <v>10.154443136718522</v>
      </c>
      <c r="G2409" s="75">
        <f>3.6*F2409</f>
        <v>36.55599529218668</v>
      </c>
      <c r="H2409" s="75">
        <f>'THAM_SO_MOI'!$D$51</f>
        <v>1.375</v>
      </c>
      <c r="I2409" s="75">
        <f>IF(F2409&gt;'THAM_SO_MOI'!$C$14,'THAM_SO_MOI'!$C$13*(1+F2409^2/1500),'THAM_SO_MOI'!$C$13)</f>
        <v>0.015</v>
      </c>
      <c r="J2409" s="75">
        <f>'THAM_SO_MOI'!$C$40*('THAM_SO_MOI'!$C$23*(E2409/'THAM_SO_MOI'!$C$22)+'THAM_SO_MOI'!$C$24*(E2409/'THAM_SO_MOI'!$C$22)^2-'THAM_SO_MOI'!$C$25*(E2409/'THAM_SO_MOI'!$C$22)^3)</f>
        <v>112.96024977276464</v>
      </c>
      <c r="K2409" s="75">
        <f>'THAM_SO_MOI'!$C$31*J2409/E2409</f>
        <v>422.97424958396675</v>
      </c>
      <c r="L2409" s="75">
        <f>K2409*'THAM_SO_MOI'!$C$51*'THAM_SO_MOI'!$C$17/'THAM_SO_MOI'!$C$26</f>
        <v>9457.370300823575</v>
      </c>
      <c r="M2409" s="75">
        <f>'THAM_SO_MOI'!$C$15*'THAM_SO_MOI'!$C$16*F2409^2</f>
        <v>301.60469259428595</v>
      </c>
      <c r="N2409" s="75">
        <f>'THAM_SO_MOI'!$C$12*I2409</f>
        <v>1130.112</v>
      </c>
      <c r="O2409" s="75">
        <f>M2409+N2409</f>
        <v>1431.716692594286</v>
      </c>
      <c r="P2409" s="75">
        <f>(MIN(L2409,'THAM_SO_MOI'!$C$41)-O2409)/('THAM_SO_MOI'!$C$11*H2409)</f>
        <v>0.7600050765368644</v>
      </c>
      <c r="Q2409" s="75">
        <f>IF(P2409&gt;0,1/P2409,NA())</f>
        <v>1.3157806847248006</v>
      </c>
      <c r="R2409" s="75">
        <f>F2409-F2408</f>
        <v>0.005028991339518285</v>
      </c>
      <c r="S2409" s="75">
        <f>0.5*(Q2408+Q2409)*R2409</f>
        <v>0.006616493496507486</v>
      </c>
      <c r="T2409" s="75">
        <f>0.5*(F2408*Q2408+F2409*Q2409)*R2409</f>
        <v>0.06717017122899849</v>
      </c>
      <c r="U2409" s="76">
        <f>U2408+S2409</f>
        <v>12.700782759147076</v>
      </c>
      <c r="V2409" s="76">
        <f>V2408+T2409</f>
        <v>72.93001213996746</v>
      </c>
    </row>
    <row r="2410" spans="1:22" ht="19" customHeight="1">
      <c r="A2410" s="68" t="s">
        <v>374</v>
      </c>
      <c r="B2410" s="74">
        <v>3</v>
      </c>
      <c r="C2410" s="68" t="s">
        <v>363</v>
      </c>
      <c r="D2410" s="68" t="s">
        <v>364</v>
      </c>
      <c r="E2410" s="75">
        <f>60*F2410*'THAM_SO_MOI'!$C$51/(2*PI()*'THAM_SO_MOI'!$C$26)</f>
        <v>2551.9964444488783</v>
      </c>
      <c r="F2410" s="75">
        <f>'HANH_TRINH'!$F$1647+('THAM_SO_MOI'!$F$51-'HANH_TRINH'!$F$1647)*762/'THAM_SO_MOI'!$C$42</f>
        <v>10.15947212805804</v>
      </c>
      <c r="G2410" s="75">
        <f>3.6*F2410</f>
        <v>36.574099661008944</v>
      </c>
      <c r="H2410" s="75">
        <f>'THAM_SO_MOI'!$D$51</f>
        <v>1.375</v>
      </c>
      <c r="I2410" s="75">
        <f>IF(F2410&gt;'THAM_SO_MOI'!$C$14,'THAM_SO_MOI'!$C$13*(1+F2410^2/1500),'THAM_SO_MOI'!$C$13)</f>
        <v>0.015</v>
      </c>
      <c r="J2410" s="75">
        <f>'THAM_SO_MOI'!$C$40*('THAM_SO_MOI'!$C$23*(E2410/'THAM_SO_MOI'!$C$22)+'THAM_SO_MOI'!$C$24*(E2410/'THAM_SO_MOI'!$C$22)^2-'THAM_SO_MOI'!$C$25*(E2410/'THAM_SO_MOI'!$C$22)^3)</f>
        <v>113.00359613965185</v>
      </c>
      <c r="K2410" s="75">
        <f>'THAM_SO_MOI'!$C$31*J2410/E2410</f>
        <v>422.9271031919774</v>
      </c>
      <c r="L2410" s="75">
        <f>K2410*'THAM_SO_MOI'!$C$51*'THAM_SO_MOI'!$C$17/'THAM_SO_MOI'!$C$26</f>
        <v>9456.316144718729</v>
      </c>
      <c r="M2410" s="75">
        <f>'THAM_SO_MOI'!$C$15*'THAM_SO_MOI'!$C$16*F2410^2</f>
        <v>301.9035062183054</v>
      </c>
      <c r="N2410" s="75">
        <f>'THAM_SO_MOI'!$C$12*I2410</f>
        <v>1130.112</v>
      </c>
      <c r="O2410" s="75">
        <f>M2410+N2410</f>
        <v>1432.0155062183055</v>
      </c>
      <c r="P2410" s="75">
        <f>(MIN(L2410,'THAM_SO_MOI'!$C$41)-O2410)/('THAM_SO_MOI'!$C$11*H2410)</f>
        <v>0.7598769544034493</v>
      </c>
      <c r="Q2410" s="75">
        <f>IF(P2410&gt;0,1/P2410,NA())</f>
        <v>1.3160025372595519</v>
      </c>
      <c r="R2410" s="75">
        <f>F2410-F2409</f>
        <v>0.005028991339518285</v>
      </c>
      <c r="S2410" s="75">
        <f>0.5*(Q2409+Q2410)*R2410</f>
        <v>0.006617607515424418</v>
      </c>
      <c r="T2410" s="75">
        <f>0.5*(F2409*Q2409+F2410*Q2410)*R2410</f>
        <v>0.06721476056464455</v>
      </c>
      <c r="U2410" s="76">
        <f>U2409+S2410</f>
        <v>12.707400366662501</v>
      </c>
      <c r="V2410" s="76">
        <f>V2409+T2410</f>
        <v>72.9972269005321</v>
      </c>
    </row>
    <row r="2411" spans="1:22" ht="19" customHeight="1">
      <c r="A2411" s="68" t="s">
        <v>374</v>
      </c>
      <c r="B2411" s="74">
        <v>3</v>
      </c>
      <c r="C2411" s="68" t="s">
        <v>363</v>
      </c>
      <c r="D2411" s="68" t="s">
        <v>364</v>
      </c>
      <c r="E2411" s="75">
        <f>60*F2411*'THAM_SO_MOI'!$C$51/(2*PI()*'THAM_SO_MOI'!$C$26)</f>
        <v>2553.2596959107495</v>
      </c>
      <c r="F2411" s="75">
        <f>'HANH_TRINH'!$F$1647+('THAM_SO_MOI'!$F$51-'HANH_TRINH'!$F$1647)*763/'THAM_SO_MOI'!$C$42</f>
        <v>10.164501119397556</v>
      </c>
      <c r="G2411" s="75">
        <f>3.6*F2411</f>
        <v>36.5922040298312</v>
      </c>
      <c r="H2411" s="75">
        <f>'THAM_SO_MOI'!$D$51</f>
        <v>1.375</v>
      </c>
      <c r="I2411" s="75">
        <f>IF(F2411&gt;'THAM_SO_MOI'!$C$14,'THAM_SO_MOI'!$C$13*(1+F2411^2/1500),'THAM_SO_MOI'!$C$13)</f>
        <v>0.015</v>
      </c>
      <c r="J2411" s="75">
        <f>'THAM_SO_MOI'!$C$40*('THAM_SO_MOI'!$C$23*(E2411/'THAM_SO_MOI'!$C$22)+'THAM_SO_MOI'!$C$24*(E2411/'THAM_SO_MOI'!$C$22)^2-'THAM_SO_MOI'!$C$25*(E2411/'THAM_SO_MOI'!$C$22)^3)</f>
        <v>113.04688864853756</v>
      </c>
      <c r="K2411" s="75">
        <f>'THAM_SO_MOI'!$C$31*J2411/E2411</f>
        <v>422.8798019831576</v>
      </c>
      <c r="L2411" s="75">
        <f>K2411*'THAM_SO_MOI'!$C$51*'THAM_SO_MOI'!$C$17/'THAM_SO_MOI'!$C$26</f>
        <v>9455.258527031778</v>
      </c>
      <c r="M2411" s="75">
        <f>'THAM_SO_MOI'!$C$15*'THAM_SO_MOI'!$C$16*F2411^2</f>
        <v>302.202467793235</v>
      </c>
      <c r="N2411" s="75">
        <f>'THAM_SO_MOI'!$C$12*I2411</f>
        <v>1130.112</v>
      </c>
      <c r="O2411" s="75">
        <f>M2411+N2411</f>
        <v>1432.314467793235</v>
      </c>
      <c r="P2411" s="75">
        <f>(MIN(L2411,'THAM_SO_MOI'!$C$41)-O2411)/('THAM_SO_MOI'!$C$11*H2411)</f>
        <v>0.7597484904581954</v>
      </c>
      <c r="Q2411" s="75">
        <f>IF(P2411&gt;0,1/P2411,NA())</f>
        <v>1.3162250567907174</v>
      </c>
      <c r="R2411" s="75">
        <f>F2411-F2410</f>
        <v>0.005028991339516509</v>
      </c>
      <c r="S2411" s="75">
        <f>0.5*(Q2410+Q2411)*R2411</f>
        <v>0.00661872488705759</v>
      </c>
      <c r="T2411" s="75">
        <f>0.5*(F2410*Q2410+F2411*Q2411)*R2411</f>
        <v>0.06725939517533519</v>
      </c>
      <c r="U2411" s="76">
        <f>U2410+S2411</f>
        <v>12.71401909154956</v>
      </c>
      <c r="V2411" s="76">
        <f>V2410+T2411</f>
        <v>73.06448629570744</v>
      </c>
    </row>
    <row r="2412" spans="1:22" ht="19" customHeight="1">
      <c r="A2412" s="68" t="s">
        <v>374</v>
      </c>
      <c r="B2412" s="74">
        <v>3</v>
      </c>
      <c r="C2412" s="68" t="s">
        <v>363</v>
      </c>
      <c r="D2412" s="68" t="s">
        <v>364</v>
      </c>
      <c r="E2412" s="75">
        <f>60*F2412*'THAM_SO_MOI'!$C$51/(2*PI()*'THAM_SO_MOI'!$C$26)</f>
        <v>2554.5229473726213</v>
      </c>
      <c r="F2412" s="75">
        <f>'HANH_TRINH'!$F$1647+('THAM_SO_MOI'!$F$51-'HANH_TRINH'!$F$1647)*764/'THAM_SO_MOI'!$C$42</f>
        <v>10.169530110737075</v>
      </c>
      <c r="G2412" s="75">
        <f>3.6*F2412</f>
        <v>36.61030839865347</v>
      </c>
      <c r="H2412" s="75">
        <f>'THAM_SO_MOI'!$D$51</f>
        <v>1.375</v>
      </c>
      <c r="I2412" s="75">
        <f>IF(F2412&gt;'THAM_SO_MOI'!$C$14,'THAM_SO_MOI'!$C$13*(1+F2412^2/1500),'THAM_SO_MOI'!$C$13)</f>
        <v>0.015</v>
      </c>
      <c r="J2412" s="75">
        <f>'THAM_SO_MOI'!$C$40*('THAM_SO_MOI'!$C$23*(E2412/'THAM_SO_MOI'!$C$22)+'THAM_SO_MOI'!$C$24*(E2412/'THAM_SO_MOI'!$C$22)^2-'THAM_SO_MOI'!$C$25*(E2412/'THAM_SO_MOI'!$C$22)^3)</f>
        <v>113.0901272379924</v>
      </c>
      <c r="K2412" s="75">
        <f>'THAM_SO_MOI'!$C$31*J2412/E2412</f>
        <v>422.8323459575072</v>
      </c>
      <c r="L2412" s="75">
        <f>K2412*'THAM_SO_MOI'!$C$51*'THAM_SO_MOI'!$C$17/'THAM_SO_MOI'!$C$26</f>
        <v>9454.197447762714</v>
      </c>
      <c r="M2412" s="75">
        <f>'THAM_SO_MOI'!$C$15*'THAM_SO_MOI'!$C$16*F2412^2</f>
        <v>302.50157731907495</v>
      </c>
      <c r="N2412" s="75">
        <f>'THAM_SO_MOI'!$C$12*I2412</f>
        <v>1130.112</v>
      </c>
      <c r="O2412" s="75">
        <f>M2412+N2412</f>
        <v>1432.613577319075</v>
      </c>
      <c r="P2412" s="75">
        <f>(MIN(L2412,'THAM_SO_MOI'!$C$41)-O2412)/('THAM_SO_MOI'!$C$11*H2412)</f>
        <v>0.7596196847011021</v>
      </c>
      <c r="Q2412" s="75">
        <f>IF(P2412&gt;0,1/P2412,NA())</f>
        <v>1.3164482439570844</v>
      </c>
      <c r="R2412" s="75">
        <f>F2412-F2411</f>
        <v>0.005028991339518285</v>
      </c>
      <c r="S2412" s="75">
        <f>0.5*(Q2411+Q2412)*R2412</f>
        <v>0.006619845614620856</v>
      </c>
      <c r="T2412" s="75">
        <f>0.5*(F2411*Q2411+F2412*Q2412)*R2412</f>
        <v>0.06730407514432805</v>
      </c>
      <c r="U2412" s="76">
        <f>U2411+S2412</f>
        <v>12.72063893716418</v>
      </c>
      <c r="V2412" s="76">
        <f>V2411+T2412</f>
        <v>73.13179037085176</v>
      </c>
    </row>
    <row r="2413" spans="1:22" ht="19" customHeight="1">
      <c r="A2413" s="68" t="s">
        <v>374</v>
      </c>
      <c r="B2413" s="74">
        <v>3</v>
      </c>
      <c r="C2413" s="68" t="s">
        <v>363</v>
      </c>
      <c r="D2413" s="68" t="s">
        <v>364</v>
      </c>
      <c r="E2413" s="75">
        <f>60*F2413*'THAM_SO_MOI'!$C$51/(2*PI()*'THAM_SO_MOI'!$C$26)</f>
        <v>2555.786198834493</v>
      </c>
      <c r="F2413" s="75">
        <f>'HANH_TRINH'!$F$1647+('THAM_SO_MOI'!$F$51-'HANH_TRINH'!$F$1647)*765/'THAM_SO_MOI'!$C$42</f>
        <v>10.174559102076593</v>
      </c>
      <c r="G2413" s="75">
        <f>3.6*F2413</f>
        <v>36.62841276747574</v>
      </c>
      <c r="H2413" s="75">
        <f>'THAM_SO_MOI'!$D$51</f>
        <v>1.375</v>
      </c>
      <c r="I2413" s="75">
        <f>IF(F2413&gt;'THAM_SO_MOI'!$C$14,'THAM_SO_MOI'!$C$13*(1+F2413^2/1500),'THAM_SO_MOI'!$C$13)</f>
        <v>0.015</v>
      </c>
      <c r="J2413" s="75">
        <f>'THAM_SO_MOI'!$C$40*('THAM_SO_MOI'!$C$23*(E2413/'THAM_SO_MOI'!$C$22)+'THAM_SO_MOI'!$C$24*(E2413/'THAM_SO_MOI'!$C$22)^2-'THAM_SO_MOI'!$C$25*(E2413/'THAM_SO_MOI'!$C$22)^3)</f>
        <v>113.13331184658706</v>
      </c>
      <c r="K2413" s="75">
        <f>'THAM_SO_MOI'!$C$31*J2413/E2413</f>
        <v>422.78473511502636</v>
      </c>
      <c r="L2413" s="75">
        <f>K2413*'THAM_SO_MOI'!$C$51*'THAM_SO_MOI'!$C$17/'THAM_SO_MOI'!$C$26</f>
        <v>9453.132906911544</v>
      </c>
      <c r="M2413" s="75">
        <f>'THAM_SO_MOI'!$C$15*'THAM_SO_MOI'!$C$16*F2413^2</f>
        <v>302.80083479582527</v>
      </c>
      <c r="N2413" s="75">
        <f>'THAM_SO_MOI'!$C$12*I2413</f>
        <v>1130.112</v>
      </c>
      <c r="O2413" s="75">
        <f>M2413+N2413</f>
        <v>1432.9128347958253</v>
      </c>
      <c r="P2413" s="75">
        <f>(MIN(L2413,'THAM_SO_MOI'!$C$41)-O2413)/('THAM_SO_MOI'!$C$11*H2413)</f>
        <v>0.7594905371321703</v>
      </c>
      <c r="Q2413" s="75">
        <f>IF(P2413&gt;0,1/P2413,NA())</f>
        <v>1.316672099399673</v>
      </c>
      <c r="R2413" s="75">
        <f>F2413-F2412</f>
        <v>0.005028991339518285</v>
      </c>
      <c r="S2413" s="75">
        <f>0.5*(Q2412+Q2413)*R2413</f>
        <v>0.006620969701325272</v>
      </c>
      <c r="T2413" s="75">
        <f>0.5*(F2412*Q2412+F2413*Q2413)*R2413</f>
        <v>0.06734880055491703</v>
      </c>
      <c r="U2413" s="76">
        <f>U2412+S2413</f>
        <v>12.727259906865505</v>
      </c>
      <c r="V2413" s="76">
        <f>V2412+T2413</f>
        <v>73.19913917140667</v>
      </c>
    </row>
    <row r="2414" spans="1:22" ht="19" customHeight="1">
      <c r="A2414" s="68" t="s">
        <v>374</v>
      </c>
      <c r="B2414" s="74">
        <v>3</v>
      </c>
      <c r="C2414" s="68" t="s">
        <v>363</v>
      </c>
      <c r="D2414" s="68" t="s">
        <v>364</v>
      </c>
      <c r="E2414" s="75">
        <f>60*F2414*'THAM_SO_MOI'!$C$51/(2*PI()*'THAM_SO_MOI'!$C$26)</f>
        <v>2557.049450296365</v>
      </c>
      <c r="F2414" s="75">
        <f>'HANH_TRINH'!$F$1647+('THAM_SO_MOI'!$F$51-'HANH_TRINH'!$F$1647)*766/'THAM_SO_MOI'!$C$42</f>
        <v>10.179588093416111</v>
      </c>
      <c r="G2414" s="75">
        <f>3.6*F2414</f>
        <v>36.646517136298</v>
      </c>
      <c r="H2414" s="75">
        <f>'THAM_SO_MOI'!$D$51</f>
        <v>1.375</v>
      </c>
      <c r="I2414" s="75">
        <f>IF(F2414&gt;'THAM_SO_MOI'!$C$14,'THAM_SO_MOI'!$C$13*(1+F2414^2/1500),'THAM_SO_MOI'!$C$13)</f>
        <v>0.015</v>
      </c>
      <c r="J2414" s="75">
        <f>'THAM_SO_MOI'!$C$40*('THAM_SO_MOI'!$C$23*(E2414/'THAM_SO_MOI'!$C$22)+'THAM_SO_MOI'!$C$24*(E2414/'THAM_SO_MOI'!$C$22)^2-'THAM_SO_MOI'!$C$25*(E2414/'THAM_SO_MOI'!$C$22)^3)</f>
        <v>113.17644241289216</v>
      </c>
      <c r="K2414" s="75">
        <f>'THAM_SO_MOI'!$C$31*J2414/E2414</f>
        <v>422.73696945571504</v>
      </c>
      <c r="L2414" s="75">
        <f>K2414*'THAM_SO_MOI'!$C$51*'THAM_SO_MOI'!$C$17/'THAM_SO_MOI'!$C$26</f>
        <v>9452.064904478264</v>
      </c>
      <c r="M2414" s="75">
        <f>'THAM_SO_MOI'!$C$15*'THAM_SO_MOI'!$C$16*F2414^2</f>
        <v>303.1002402234858</v>
      </c>
      <c r="N2414" s="75">
        <f>'THAM_SO_MOI'!$C$12*I2414</f>
        <v>1130.112</v>
      </c>
      <c r="O2414" s="75">
        <f>M2414+N2414</f>
        <v>1433.2122402234859</v>
      </c>
      <c r="P2414" s="75">
        <f>(MIN(L2414,'THAM_SO_MOI'!$C$41)-O2414)/('THAM_SO_MOI'!$C$11*H2414)</f>
        <v>0.7593610477513995</v>
      </c>
      <c r="Q2414" s="75">
        <f>IF(P2414&gt;0,1/P2414,NA())</f>
        <v>1.316896623761746</v>
      </c>
      <c r="R2414" s="75">
        <f>F2414-F2413</f>
        <v>0.005028991339518285</v>
      </c>
      <c r="S2414" s="75">
        <f>0.5*(Q2413+Q2414)*R2414</f>
        <v>0.0066220971504025025</v>
      </c>
      <c r="T2414" s="75">
        <f>0.5*(F2413*Q2413+F2414*Q2414)*R2414</f>
        <v>0.06739357149067025</v>
      </c>
      <c r="U2414" s="76">
        <f>U2413+S2414</f>
        <v>12.733882004015907</v>
      </c>
      <c r="V2414" s="76">
        <f>V2413+T2414</f>
        <v>73.26653274289734</v>
      </c>
    </row>
    <row r="2415" spans="1:22" ht="19" customHeight="1">
      <c r="A2415" s="68" t="s">
        <v>374</v>
      </c>
      <c r="B2415" s="74">
        <v>3</v>
      </c>
      <c r="C2415" s="68" t="s">
        <v>363</v>
      </c>
      <c r="D2415" s="68" t="s">
        <v>364</v>
      </c>
      <c r="E2415" s="75">
        <f>60*F2415*'THAM_SO_MOI'!$C$51/(2*PI()*'THAM_SO_MOI'!$C$26)</f>
        <v>2558.3127017582365</v>
      </c>
      <c r="F2415" s="75">
        <f>'HANH_TRINH'!$F$1647+('THAM_SO_MOI'!$F$51-'HANH_TRINH'!$F$1647)*767/'THAM_SO_MOI'!$C$42</f>
        <v>10.184617084755628</v>
      </c>
      <c r="G2415" s="75">
        <f>3.6*F2415</f>
        <v>36.66462150512026</v>
      </c>
      <c r="H2415" s="75">
        <f>'THAM_SO_MOI'!$D$51</f>
        <v>1.375</v>
      </c>
      <c r="I2415" s="75">
        <f>IF(F2415&gt;'THAM_SO_MOI'!$C$14,'THAM_SO_MOI'!$C$13*(1+F2415^2/1500),'THAM_SO_MOI'!$C$13)</f>
        <v>0.015</v>
      </c>
      <c r="J2415" s="75">
        <f>'THAM_SO_MOI'!$C$40*('THAM_SO_MOI'!$C$23*(E2415/'THAM_SO_MOI'!$C$22)+'THAM_SO_MOI'!$C$24*(E2415/'THAM_SO_MOI'!$C$22)^2-'THAM_SO_MOI'!$C$25*(E2415/'THAM_SO_MOI'!$C$22)^3)</f>
        <v>113.2195188754783</v>
      </c>
      <c r="K2415" s="75">
        <f>'THAM_SO_MOI'!$C$31*J2415/E2415</f>
        <v>422.68904897957316</v>
      </c>
      <c r="L2415" s="75">
        <f>K2415*'THAM_SO_MOI'!$C$51*'THAM_SO_MOI'!$C$17/'THAM_SO_MOI'!$C$26</f>
        <v>9450.993440462873</v>
      </c>
      <c r="M2415" s="75">
        <f>'THAM_SO_MOI'!$C$15*'THAM_SO_MOI'!$C$16*F2415^2</f>
        <v>303.3997936020565</v>
      </c>
      <c r="N2415" s="75">
        <f>'THAM_SO_MOI'!$C$12*I2415</f>
        <v>1130.112</v>
      </c>
      <c r="O2415" s="75">
        <f>M2415+N2415</f>
        <v>1433.5117936020565</v>
      </c>
      <c r="P2415" s="75">
        <f>(MIN(L2415,'THAM_SO_MOI'!$C$41)-O2415)/('THAM_SO_MOI'!$C$11*H2415)</f>
        <v>0.7592312165587894</v>
      </c>
      <c r="Q2415" s="75">
        <f>IF(P2415&gt;0,1/P2415,NA())</f>
        <v>1.3171218176888109</v>
      </c>
      <c r="R2415" s="75">
        <f>F2415-F2414</f>
        <v>0.005028991339516509</v>
      </c>
      <c r="S2415" s="75">
        <f>0.5*(Q2414+Q2415)*R2415</f>
        <v>0.006623227965090812</v>
      </c>
      <c r="T2415" s="75">
        <f>0.5*(F2414*Q2414+F2415*Q2415)*R2415</f>
        <v>0.06743838803528812</v>
      </c>
      <c r="U2415" s="76">
        <f>U2414+S2415</f>
        <v>12.740505231980999</v>
      </c>
      <c r="V2415" s="76">
        <f>V2414+T2415</f>
        <v>73.33397113093262</v>
      </c>
    </row>
    <row r="2416" spans="1:22" ht="19" customHeight="1">
      <c r="A2416" s="68" t="s">
        <v>374</v>
      </c>
      <c r="B2416" s="74">
        <v>3</v>
      </c>
      <c r="C2416" s="68" t="s">
        <v>363</v>
      </c>
      <c r="D2416" s="68" t="s">
        <v>364</v>
      </c>
      <c r="E2416" s="75">
        <f>60*F2416*'THAM_SO_MOI'!$C$51/(2*PI()*'THAM_SO_MOI'!$C$26)</f>
        <v>2559.5759532201077</v>
      </c>
      <c r="F2416" s="75">
        <f>'HANH_TRINH'!$F$1647+('THAM_SO_MOI'!$F$51-'HANH_TRINH'!$F$1647)*768/'THAM_SO_MOI'!$C$42</f>
        <v>10.189646076095146</v>
      </c>
      <c r="G2416" s="75">
        <f>3.6*F2416</f>
        <v>36.68272587394252</v>
      </c>
      <c r="H2416" s="75">
        <f>'THAM_SO_MOI'!$D$51</f>
        <v>1.375</v>
      </c>
      <c r="I2416" s="75">
        <f>IF(F2416&gt;'THAM_SO_MOI'!$C$14,'THAM_SO_MOI'!$C$13*(1+F2416^2/1500),'THAM_SO_MOI'!$C$13)</f>
        <v>0.015</v>
      </c>
      <c r="J2416" s="75">
        <f>'THAM_SO_MOI'!$C$40*('THAM_SO_MOI'!$C$23*(E2416/'THAM_SO_MOI'!$C$22)+'THAM_SO_MOI'!$C$24*(E2416/'THAM_SO_MOI'!$C$22)^2-'THAM_SO_MOI'!$C$25*(E2416/'THAM_SO_MOI'!$C$22)^3)</f>
        <v>113.26254117291617</v>
      </c>
      <c r="K2416" s="75">
        <f>'THAM_SO_MOI'!$C$31*J2416/E2416</f>
        <v>422.6409736866006</v>
      </c>
      <c r="L2416" s="75">
        <f>K2416*'THAM_SO_MOI'!$C$51*'THAM_SO_MOI'!$C$17/'THAM_SO_MOI'!$C$26</f>
        <v>9449.918514865372</v>
      </c>
      <c r="M2416" s="75">
        <f>'THAM_SO_MOI'!$C$15*'THAM_SO_MOI'!$C$16*F2416^2</f>
        <v>303.6994949315376</v>
      </c>
      <c r="N2416" s="75">
        <f>'THAM_SO_MOI'!$C$12*I2416</f>
        <v>1130.112</v>
      </c>
      <c r="O2416" s="75">
        <f>M2416+N2416</f>
        <v>1433.8114949315377</v>
      </c>
      <c r="P2416" s="75">
        <f>(MIN(L2416,'THAM_SO_MOI'!$C$41)-O2416)/('THAM_SO_MOI'!$C$11*H2416)</f>
        <v>0.7591010435543404</v>
      </c>
      <c r="Q2416" s="75">
        <f>IF(P2416&gt;0,1/P2416,NA())</f>
        <v>1.3173476818286245</v>
      </c>
      <c r="R2416" s="75">
        <f>F2416-F2415</f>
        <v>0.005028991339518285</v>
      </c>
      <c r="S2416" s="75">
        <f>0.5*(Q2415+Q2416)*R2416</f>
        <v>0.006624362148649127</v>
      </c>
      <c r="T2416" s="75">
        <f>0.5*(F2415*Q2415+F2416*Q2416)*R2416</f>
        <v>0.06748325027274668</v>
      </c>
      <c r="U2416" s="76">
        <f>U2415+S2416</f>
        <v>12.747129594129648</v>
      </c>
      <c r="V2416" s="76">
        <f>V2415+T2416</f>
        <v>73.40145438120537</v>
      </c>
    </row>
    <row r="2417" spans="1:22" ht="19" customHeight="1">
      <c r="A2417" s="68" t="s">
        <v>374</v>
      </c>
      <c r="B2417" s="74">
        <v>3</v>
      </c>
      <c r="C2417" s="68" t="s">
        <v>363</v>
      </c>
      <c r="D2417" s="68" t="s">
        <v>364</v>
      </c>
      <c r="E2417" s="75">
        <f>60*F2417*'THAM_SO_MOI'!$C$51/(2*PI()*'THAM_SO_MOI'!$C$26)</f>
        <v>2560.839204681979</v>
      </c>
      <c r="F2417" s="75">
        <f>'HANH_TRINH'!$F$1647+('THAM_SO_MOI'!$F$51-'HANH_TRINH'!$F$1647)*769/'THAM_SO_MOI'!$C$42</f>
        <v>10.194675067434662</v>
      </c>
      <c r="G2417" s="75">
        <f>3.6*F2417</f>
        <v>36.70083024276479</v>
      </c>
      <c r="H2417" s="75">
        <f>'THAM_SO_MOI'!$D$51</f>
        <v>1.375</v>
      </c>
      <c r="I2417" s="75">
        <f>IF(F2417&gt;'THAM_SO_MOI'!$C$14,'THAM_SO_MOI'!$C$13*(1+F2417^2/1500),'THAM_SO_MOI'!$C$13)</f>
        <v>0.015</v>
      </c>
      <c r="J2417" s="75">
        <f>'THAM_SO_MOI'!$C$40*('THAM_SO_MOI'!$C$23*(E2417/'THAM_SO_MOI'!$C$22)+'THAM_SO_MOI'!$C$24*(E2417/'THAM_SO_MOI'!$C$22)^2-'THAM_SO_MOI'!$C$25*(E2417/'THAM_SO_MOI'!$C$22)^3)</f>
        <v>113.30550924377648</v>
      </c>
      <c r="K2417" s="75">
        <f>'THAM_SO_MOI'!$C$31*J2417/E2417</f>
        <v>422.59274357679794</v>
      </c>
      <c r="L2417" s="75">
        <f>K2417*'THAM_SO_MOI'!$C$51*'THAM_SO_MOI'!$C$17/'THAM_SO_MOI'!$C$26</f>
        <v>9448.84012768577</v>
      </c>
      <c r="M2417" s="75">
        <f>'THAM_SO_MOI'!$C$15*'THAM_SO_MOI'!$C$16*F2417^2</f>
        <v>303.9993442119288</v>
      </c>
      <c r="N2417" s="75">
        <f>'THAM_SO_MOI'!$C$12*I2417</f>
        <v>1130.112</v>
      </c>
      <c r="O2417" s="75">
        <f>M2417+N2417</f>
        <v>1434.111344211929</v>
      </c>
      <c r="P2417" s="75">
        <f>(MIN(L2417,'THAM_SO_MOI'!$C$41)-O2417)/('THAM_SO_MOI'!$C$11*H2417)</f>
        <v>0.7589705287380532</v>
      </c>
      <c r="Q2417" s="75">
        <f>IF(P2417&gt;0,1/P2417,NA())</f>
        <v>1.3175742168311972</v>
      </c>
      <c r="R2417" s="75">
        <f>F2417-F2416</f>
        <v>0.005028991339516509</v>
      </c>
      <c r="S2417" s="75">
        <f>0.5*(Q2416+Q2417)*R2417</f>
        <v>0.006625499704331319</v>
      </c>
      <c r="T2417" s="75">
        <f>0.5*(F2416*Q2416+F2417*Q2417)*R2417</f>
        <v>0.06752815828703596</v>
      </c>
      <c r="U2417" s="76">
        <f>U2416+S2417</f>
        <v>12.753755093833979</v>
      </c>
      <c r="V2417" s="76">
        <f>V2416+T2417</f>
        <v>73.4689825394924</v>
      </c>
    </row>
    <row r="2418" spans="1:22" ht="19" customHeight="1">
      <c r="A2418" s="68" t="s">
        <v>374</v>
      </c>
      <c r="B2418" s="74">
        <v>3</v>
      </c>
      <c r="C2418" s="68" t="s">
        <v>363</v>
      </c>
      <c r="D2418" s="68" t="s">
        <v>364</v>
      </c>
      <c r="E2418" s="75">
        <f>60*F2418*'THAM_SO_MOI'!$C$51/(2*PI()*'THAM_SO_MOI'!$C$26)</f>
        <v>2562.102456143851</v>
      </c>
      <c r="F2418" s="75">
        <f>'HANH_TRINH'!$F$1647+('THAM_SO_MOI'!$F$51-'HANH_TRINH'!$F$1647)*770/'THAM_SO_MOI'!$C$42</f>
        <v>10.19970405877418</v>
      </c>
      <c r="G2418" s="75">
        <f>3.6*F2418</f>
        <v>36.71893461158705</v>
      </c>
      <c r="H2418" s="75">
        <f>'THAM_SO_MOI'!$D$51</f>
        <v>1.375</v>
      </c>
      <c r="I2418" s="75">
        <f>IF(F2418&gt;'THAM_SO_MOI'!$C$14,'THAM_SO_MOI'!$C$13*(1+F2418^2/1500),'THAM_SO_MOI'!$C$13)</f>
        <v>0.015</v>
      </c>
      <c r="J2418" s="75">
        <f>'THAM_SO_MOI'!$C$40*('THAM_SO_MOI'!$C$23*(E2418/'THAM_SO_MOI'!$C$22)+'THAM_SO_MOI'!$C$24*(E2418/'THAM_SO_MOI'!$C$22)^2-'THAM_SO_MOI'!$C$25*(E2418/'THAM_SO_MOI'!$C$22)^3)</f>
        <v>113.34842302662983</v>
      </c>
      <c r="K2418" s="75">
        <f>'THAM_SO_MOI'!$C$31*J2418/E2418</f>
        <v>422.5443586501644</v>
      </c>
      <c r="L2418" s="75">
        <f>K2418*'THAM_SO_MOI'!$C$51*'THAM_SO_MOI'!$C$17/'THAM_SO_MOI'!$C$26</f>
        <v>9447.758278924051</v>
      </c>
      <c r="M2418" s="75">
        <f>'THAM_SO_MOI'!$C$15*'THAM_SO_MOI'!$C$16*F2418^2</f>
        <v>304.2993414432304</v>
      </c>
      <c r="N2418" s="75">
        <f>'THAM_SO_MOI'!$C$12*I2418</f>
        <v>1130.112</v>
      </c>
      <c r="O2418" s="75">
        <f>M2418+N2418</f>
        <v>1434.4113414432304</v>
      </c>
      <c r="P2418" s="75">
        <f>(MIN(L2418,'THAM_SO_MOI'!$C$41)-O2418)/('THAM_SO_MOI'!$C$11*H2418)</f>
        <v>0.7588396721099262</v>
      </c>
      <c r="Q2418" s="75">
        <f>IF(P2418&gt;0,1/P2418,NA())</f>
        <v>1.3178014233488033</v>
      </c>
      <c r="R2418" s="75">
        <f>F2418-F2417</f>
        <v>0.005028991339518285</v>
      </c>
      <c r="S2418" s="75">
        <f>0.5*(Q2417+Q2418)*R2418</f>
        <v>0.006626640635421339</v>
      </c>
      <c r="T2418" s="75">
        <f>0.5*(F2417*Q2417+F2418*Q2418)*R2418</f>
        <v>0.06757311216251817</v>
      </c>
      <c r="U2418" s="76">
        <f>U2417+S2418</f>
        <v>12.7603817344694</v>
      </c>
      <c r="V2418" s="76">
        <f>V2417+T2418</f>
        <v>73.53655565165492</v>
      </c>
    </row>
    <row r="2419" spans="1:22" ht="19" customHeight="1">
      <c r="A2419" s="68" t="s">
        <v>374</v>
      </c>
      <c r="B2419" s="74">
        <v>3</v>
      </c>
      <c r="C2419" s="68" t="s">
        <v>363</v>
      </c>
      <c r="D2419" s="68" t="s">
        <v>364</v>
      </c>
      <c r="E2419" s="75">
        <f>60*F2419*'THAM_SO_MOI'!$C$51/(2*PI()*'THAM_SO_MOI'!$C$26)</f>
        <v>2563.365707605723</v>
      </c>
      <c r="F2419" s="75">
        <f>'HANH_TRINH'!$F$1647+('THAM_SO_MOI'!$F$51-'HANH_TRINH'!$F$1647)*771/'THAM_SO_MOI'!$C$42</f>
        <v>10.204733050113699</v>
      </c>
      <c r="G2419" s="75">
        <f>3.6*F2419</f>
        <v>36.73703898040932</v>
      </c>
      <c r="H2419" s="75">
        <f>'THAM_SO_MOI'!$D$51</f>
        <v>1.375</v>
      </c>
      <c r="I2419" s="75">
        <f>IF(F2419&gt;'THAM_SO_MOI'!$C$14,'THAM_SO_MOI'!$C$13*(1+F2419^2/1500),'THAM_SO_MOI'!$C$13)</f>
        <v>0.015</v>
      </c>
      <c r="J2419" s="75">
        <f>'THAM_SO_MOI'!$C$40*('THAM_SO_MOI'!$C$23*(E2419/'THAM_SO_MOI'!$C$22)+'THAM_SO_MOI'!$C$24*(E2419/'THAM_SO_MOI'!$C$22)^2-'THAM_SO_MOI'!$C$25*(E2419/'THAM_SO_MOI'!$C$22)^3)</f>
        <v>113.39128246004685</v>
      </c>
      <c r="K2419" s="75">
        <f>'THAM_SO_MOI'!$C$31*J2419/E2419</f>
        <v>422.49581890670044</v>
      </c>
      <c r="L2419" s="75">
        <f>K2419*'THAM_SO_MOI'!$C$51*'THAM_SO_MOI'!$C$17/'THAM_SO_MOI'!$C$26</f>
        <v>9446.672968580224</v>
      </c>
      <c r="M2419" s="75">
        <f>'THAM_SO_MOI'!$C$15*'THAM_SO_MOI'!$C$16*F2419^2</f>
        <v>304.59948662544235</v>
      </c>
      <c r="N2419" s="75">
        <f>'THAM_SO_MOI'!$C$12*I2419</f>
        <v>1130.112</v>
      </c>
      <c r="O2419" s="75">
        <f>M2419+N2419</f>
        <v>1434.7114866254424</v>
      </c>
      <c r="P2419" s="75">
        <f>(MIN(L2419,'THAM_SO_MOI'!$C$41)-O2419)/('THAM_SO_MOI'!$C$11*H2419)</f>
        <v>0.7587084736699604</v>
      </c>
      <c r="Q2419" s="75">
        <f>IF(P2419&gt;0,1/P2419,NA())</f>
        <v>1.318029302035978</v>
      </c>
      <c r="R2419" s="75">
        <f>F2419-F2418</f>
        <v>0.005028991339518285</v>
      </c>
      <c r="S2419" s="75">
        <f>0.5*(Q2418+Q2419)*R2419</f>
        <v>0.006627784945198132</v>
      </c>
      <c r="T2419" s="75">
        <f>0.5*(F2418*Q2418+F2419*Q2419)*R2419</f>
        <v>0.06761811198357054</v>
      </c>
      <c r="U2419" s="76">
        <f>U2418+S2419</f>
        <v>12.767009519414598</v>
      </c>
      <c r="V2419" s="76">
        <f>V2418+T2419</f>
        <v>73.6041737636385</v>
      </c>
    </row>
    <row r="2420" spans="1:22" ht="19" customHeight="1">
      <c r="A2420" s="68" t="s">
        <v>374</v>
      </c>
      <c r="B2420" s="74">
        <v>3</v>
      </c>
      <c r="C2420" s="68" t="s">
        <v>363</v>
      </c>
      <c r="D2420" s="68" t="s">
        <v>364</v>
      </c>
      <c r="E2420" s="75">
        <f>60*F2420*'THAM_SO_MOI'!$C$51/(2*PI()*'THAM_SO_MOI'!$C$26)</f>
        <v>2564.6289590675947</v>
      </c>
      <c r="F2420" s="75">
        <f>'HANH_TRINH'!$F$1647+('THAM_SO_MOI'!$F$51-'HANH_TRINH'!$F$1647)*772/'THAM_SO_MOI'!$C$42</f>
        <v>10.209762041453217</v>
      </c>
      <c r="G2420" s="75">
        <f>3.6*F2420</f>
        <v>36.75514334923158</v>
      </c>
      <c r="H2420" s="75">
        <f>'THAM_SO_MOI'!$D$51</f>
        <v>1.375</v>
      </c>
      <c r="I2420" s="75">
        <f>IF(F2420&gt;'THAM_SO_MOI'!$C$14,'THAM_SO_MOI'!$C$13*(1+F2420^2/1500),'THAM_SO_MOI'!$C$13)</f>
        <v>0.015</v>
      </c>
      <c r="J2420" s="75">
        <f>'THAM_SO_MOI'!$C$40*('THAM_SO_MOI'!$C$23*(E2420/'THAM_SO_MOI'!$C$22)+'THAM_SO_MOI'!$C$24*(E2420/'THAM_SO_MOI'!$C$22)^2-'THAM_SO_MOI'!$C$25*(E2420/'THAM_SO_MOI'!$C$22)^3)</f>
        <v>113.43408748259823</v>
      </c>
      <c r="K2420" s="75">
        <f>'THAM_SO_MOI'!$C$31*J2420/E2420</f>
        <v>422.4471243464061</v>
      </c>
      <c r="L2420" s="75">
        <f>K2420*'THAM_SO_MOI'!$C$51*'THAM_SO_MOI'!$C$17/'THAM_SO_MOI'!$C$26</f>
        <v>9445.584196654292</v>
      </c>
      <c r="M2420" s="75">
        <f>'THAM_SO_MOI'!$C$15*'THAM_SO_MOI'!$C$16*F2420^2</f>
        <v>304.89977975856453</v>
      </c>
      <c r="N2420" s="75">
        <f>'THAM_SO_MOI'!$C$12*I2420</f>
        <v>1130.112</v>
      </c>
      <c r="O2420" s="75">
        <f>M2420+N2420</f>
        <v>1435.0117797585647</v>
      </c>
      <c r="P2420" s="75">
        <f>(MIN(L2420,'THAM_SO_MOI'!$C$41)-O2420)/('THAM_SO_MOI'!$C$11*H2420)</f>
        <v>0.7585769334181559</v>
      </c>
      <c r="Q2420" s="75">
        <f>IF(P2420&gt;0,1/P2420,NA())</f>
        <v>1.3182578535495262</v>
      </c>
      <c r="R2420" s="75">
        <f>F2420-F2419</f>
        <v>0.005028991339518285</v>
      </c>
      <c r="S2420" s="75">
        <f>0.5*(Q2419+Q2420)*R2420</f>
        <v>0.0066289326369613965</v>
      </c>
      <c r="T2420" s="75">
        <f>0.5*(F2419*Q2419+F2420*Q2420)*R2420</f>
        <v>0.06766315783484811</v>
      </c>
      <c r="U2420" s="76">
        <f>U2419+S2420</f>
        <v>12.773638452051559</v>
      </c>
      <c r="V2420" s="76">
        <f>V2419+T2420</f>
        <v>73.67183692147334</v>
      </c>
    </row>
    <row r="2421" spans="1:22" ht="19" customHeight="1">
      <c r="A2421" s="68" t="s">
        <v>374</v>
      </c>
      <c r="B2421" s="74">
        <v>3</v>
      </c>
      <c r="C2421" s="68" t="s">
        <v>363</v>
      </c>
      <c r="D2421" s="68" t="s">
        <v>364</v>
      </c>
      <c r="E2421" s="75">
        <f>60*F2421*'THAM_SO_MOI'!$C$51/(2*PI()*'THAM_SO_MOI'!$C$26)</f>
        <v>2565.892210529466</v>
      </c>
      <c r="F2421" s="75">
        <f>'HANH_TRINH'!$F$1647+('THAM_SO_MOI'!$F$51-'HANH_TRINH'!$F$1647)*773/'THAM_SO_MOI'!$C$42</f>
        <v>10.214791032792734</v>
      </c>
      <c r="G2421" s="75">
        <f>3.6*F2421</f>
        <v>36.773247718053845</v>
      </c>
      <c r="H2421" s="75">
        <f>'THAM_SO_MOI'!$D$51</f>
        <v>1.375</v>
      </c>
      <c r="I2421" s="75">
        <f>IF(F2421&gt;'THAM_SO_MOI'!$C$14,'THAM_SO_MOI'!$C$13*(1+F2421^2/1500),'THAM_SO_MOI'!$C$13)</f>
        <v>0.015</v>
      </c>
      <c r="J2421" s="75">
        <f>'THAM_SO_MOI'!$C$40*('THAM_SO_MOI'!$C$23*(E2421/'THAM_SO_MOI'!$C$22)+'THAM_SO_MOI'!$C$24*(E2421/'THAM_SO_MOI'!$C$22)^2-'THAM_SO_MOI'!$C$25*(E2421/'THAM_SO_MOI'!$C$22)^3)</f>
        <v>113.47683803285454</v>
      </c>
      <c r="K2421" s="75">
        <f>'THAM_SO_MOI'!$C$31*J2421/E2421</f>
        <v>422.39827496928103</v>
      </c>
      <c r="L2421" s="75">
        <f>K2421*'THAM_SO_MOI'!$C$51*'THAM_SO_MOI'!$C$17/'THAM_SO_MOI'!$C$26</f>
        <v>9444.491963146245</v>
      </c>
      <c r="M2421" s="75">
        <f>'THAM_SO_MOI'!$C$15*'THAM_SO_MOI'!$C$16*F2421^2</f>
        <v>305.2002208425969</v>
      </c>
      <c r="N2421" s="75">
        <f>'THAM_SO_MOI'!$C$12*I2421</f>
        <v>1130.112</v>
      </c>
      <c r="O2421" s="75">
        <f>M2421+N2421</f>
        <v>1435.312220842597</v>
      </c>
      <c r="P2421" s="75">
        <f>(MIN(L2421,'THAM_SO_MOI'!$C$41)-O2421)/('THAM_SO_MOI'!$C$11*H2421)</f>
        <v>0.7584450513545122</v>
      </c>
      <c r="Q2421" s="75">
        <f>IF(P2421&gt;0,1/P2421,NA())</f>
        <v>1.3184870785485292</v>
      </c>
      <c r="R2421" s="75">
        <f>F2421-F2420</f>
        <v>0.005028991339516509</v>
      </c>
      <c r="S2421" s="75">
        <f>0.5*(Q2420+Q2421)*R2421</f>
        <v>0.006630083714017582</v>
      </c>
      <c r="T2421" s="75">
        <f>0.5*(F2420*Q2420+F2421*Q2421)*R2421</f>
        <v>0.06770824980114117</v>
      </c>
      <c r="U2421" s="76">
        <f>U2420+S2421</f>
        <v>12.780268535765577</v>
      </c>
      <c r="V2421" s="76">
        <f>V2420+T2421</f>
        <v>73.73954517127449</v>
      </c>
    </row>
    <row r="2422" spans="1:22" ht="19" customHeight="1">
      <c r="A2422" s="68" t="s">
        <v>374</v>
      </c>
      <c r="B2422" s="74">
        <v>3</v>
      </c>
      <c r="C2422" s="68" t="s">
        <v>363</v>
      </c>
      <c r="D2422" s="68" t="s">
        <v>364</v>
      </c>
      <c r="E2422" s="75">
        <f>60*F2422*'THAM_SO_MOI'!$C$51/(2*PI()*'THAM_SO_MOI'!$C$26)</f>
        <v>2567.1554619913377</v>
      </c>
      <c r="F2422" s="75">
        <f>'HANH_TRINH'!$F$1647+('THAM_SO_MOI'!$F$51-'HANH_TRINH'!$F$1647)*774/'THAM_SO_MOI'!$C$42</f>
        <v>10.219820024132252</v>
      </c>
      <c r="G2422" s="75">
        <f>3.6*F2422</f>
        <v>36.79135208687611</v>
      </c>
      <c r="H2422" s="75">
        <f>'THAM_SO_MOI'!$D$51</f>
        <v>1.375</v>
      </c>
      <c r="I2422" s="75">
        <f>IF(F2422&gt;'THAM_SO_MOI'!$C$14,'THAM_SO_MOI'!$C$13*(1+F2422^2/1500),'THAM_SO_MOI'!$C$13)</f>
        <v>0.015</v>
      </c>
      <c r="J2422" s="75">
        <f>'THAM_SO_MOI'!$C$40*('THAM_SO_MOI'!$C$23*(E2422/'THAM_SO_MOI'!$C$22)+'THAM_SO_MOI'!$C$24*(E2422/'THAM_SO_MOI'!$C$22)^2-'THAM_SO_MOI'!$C$25*(E2422/'THAM_SO_MOI'!$C$22)^3)</f>
        <v>113.51953404938656</v>
      </c>
      <c r="K2422" s="75">
        <f>'THAM_SO_MOI'!$C$31*J2422/E2422</f>
        <v>422.34927077532564</v>
      </c>
      <c r="L2422" s="75">
        <f>K2422*'THAM_SO_MOI'!$C$51*'THAM_SO_MOI'!$C$17/'THAM_SO_MOI'!$C$26</f>
        <v>9443.396268056094</v>
      </c>
      <c r="M2422" s="75">
        <f>'THAM_SO_MOI'!$C$15*'THAM_SO_MOI'!$C$16*F2422^2</f>
        <v>305.50080987753955</v>
      </c>
      <c r="N2422" s="75">
        <f>'THAM_SO_MOI'!$C$12*I2422</f>
        <v>1130.112</v>
      </c>
      <c r="O2422" s="75">
        <f>M2422+N2422</f>
        <v>1435.6128098775396</v>
      </c>
      <c r="P2422" s="75">
        <f>(MIN(L2422,'THAM_SO_MOI'!$C$41)-O2422)/('THAM_SO_MOI'!$C$11*H2422)</f>
        <v>0.7583128274790298</v>
      </c>
      <c r="Q2422" s="75">
        <f>IF(P2422&gt;0,1/P2422,NA())</f>
        <v>1.3187169776943457</v>
      </c>
      <c r="R2422" s="75">
        <f>F2422-F2421</f>
        <v>0.005028991339518285</v>
      </c>
      <c r="S2422" s="75">
        <f>0.5*(Q2421+Q2422)*R2422</f>
        <v>0.006631238179693955</v>
      </c>
      <c r="T2422" s="75">
        <f>0.5*(F2421*Q2421+F2422*Q2422)*R2422</f>
        <v>0.06775338796751929</v>
      </c>
      <c r="U2422" s="76">
        <f>U2421+S2422</f>
        <v>12.78689977394527</v>
      </c>
      <c r="V2422" s="76">
        <f>V2421+T2422</f>
        <v>73.807298559242</v>
      </c>
    </row>
    <row r="2423" spans="1:22" ht="19" customHeight="1">
      <c r="A2423" s="68" t="s">
        <v>374</v>
      </c>
      <c r="B2423" s="74">
        <v>3</v>
      </c>
      <c r="C2423" s="68" t="s">
        <v>363</v>
      </c>
      <c r="D2423" s="68" t="s">
        <v>364</v>
      </c>
      <c r="E2423" s="75">
        <f>60*F2423*'THAM_SO_MOI'!$C$51/(2*PI()*'THAM_SO_MOI'!$C$26)</f>
        <v>2568.418713453209</v>
      </c>
      <c r="F2423" s="75">
        <f>'HANH_TRINH'!$F$1647+('THAM_SO_MOI'!$F$51-'HANH_TRINH'!$F$1647)*775/'THAM_SO_MOI'!$C$42</f>
        <v>10.224849015471769</v>
      </c>
      <c r="G2423" s="75">
        <f>3.6*F2423</f>
        <v>36.80945645569837</v>
      </c>
      <c r="H2423" s="75">
        <f>'THAM_SO_MOI'!$D$51</f>
        <v>1.375</v>
      </c>
      <c r="I2423" s="75">
        <f>IF(F2423&gt;'THAM_SO_MOI'!$C$14,'THAM_SO_MOI'!$C$13*(1+F2423^2/1500),'THAM_SO_MOI'!$C$13)</f>
        <v>0.015</v>
      </c>
      <c r="J2423" s="75">
        <f>'THAM_SO_MOI'!$C$40*('THAM_SO_MOI'!$C$23*(E2423/'THAM_SO_MOI'!$C$22)+'THAM_SO_MOI'!$C$24*(E2423/'THAM_SO_MOI'!$C$22)^2-'THAM_SO_MOI'!$C$25*(E2423/'THAM_SO_MOI'!$C$22)^3)</f>
        <v>113.56217547076484</v>
      </c>
      <c r="K2423" s="75">
        <f>'THAM_SO_MOI'!$C$31*J2423/E2423</f>
        <v>422.30011176453974</v>
      </c>
      <c r="L2423" s="75">
        <f>K2423*'THAM_SO_MOI'!$C$51*'THAM_SO_MOI'!$C$17/'THAM_SO_MOI'!$C$26</f>
        <v>9442.297111383834</v>
      </c>
      <c r="M2423" s="75">
        <f>'THAM_SO_MOI'!$C$15*'THAM_SO_MOI'!$C$16*F2423^2</f>
        <v>305.80154686339245</v>
      </c>
      <c r="N2423" s="75">
        <f>'THAM_SO_MOI'!$C$12*I2423</f>
        <v>1130.112</v>
      </c>
      <c r="O2423" s="75">
        <f>M2423+N2423</f>
        <v>1435.9135468633926</v>
      </c>
      <c r="P2423" s="75">
        <f>(MIN(L2423,'THAM_SO_MOI'!$C$41)-O2423)/('THAM_SO_MOI'!$C$11*H2423)</f>
        <v>0.7581802617917084</v>
      </c>
      <c r="Q2423" s="75">
        <f>IF(P2423&gt;0,1/P2423,NA())</f>
        <v>1.3189475516506202</v>
      </c>
      <c r="R2423" s="75">
        <f>F2423-F2422</f>
        <v>0.005028991339516509</v>
      </c>
      <c r="S2423" s="75">
        <f>0.5*(Q2422+Q2423)*R2423</f>
        <v>0.006632396037312862</v>
      </c>
      <c r="T2423" s="75">
        <f>0.5*(F2422*Q2422+F2423*Q2423)*R2423</f>
        <v>0.06779857241906861</v>
      </c>
      <c r="U2423" s="76">
        <f>U2422+S2423</f>
        <v>12.793532169982583</v>
      </c>
      <c r="V2423" s="76">
        <f>V2422+T2423</f>
        <v>73.87509713166106</v>
      </c>
    </row>
    <row r="2424" spans="1:22" ht="19" customHeight="1">
      <c r="A2424" s="68" t="s">
        <v>374</v>
      </c>
      <c r="B2424" s="74">
        <v>3</v>
      </c>
      <c r="C2424" s="68" t="s">
        <v>363</v>
      </c>
      <c r="D2424" s="68" t="s">
        <v>364</v>
      </c>
      <c r="E2424" s="75">
        <f>60*F2424*'THAM_SO_MOI'!$C$51/(2*PI()*'THAM_SO_MOI'!$C$26)</f>
        <v>2569.681964915081</v>
      </c>
      <c r="F2424" s="75">
        <f>'HANH_TRINH'!$F$1647+('THAM_SO_MOI'!$F$51-'HANH_TRINH'!$F$1647)*776/'THAM_SO_MOI'!$C$42</f>
        <v>10.229878006811287</v>
      </c>
      <c r="G2424" s="75">
        <f>3.6*F2424</f>
        <v>36.82756082452063</v>
      </c>
      <c r="H2424" s="75">
        <f>'THAM_SO_MOI'!$D$51</f>
        <v>1.375</v>
      </c>
      <c r="I2424" s="75">
        <f>IF(F2424&gt;'THAM_SO_MOI'!$C$14,'THAM_SO_MOI'!$C$13*(1+F2424^2/1500),'THAM_SO_MOI'!$C$13)</f>
        <v>0.015</v>
      </c>
      <c r="J2424" s="75">
        <f>'THAM_SO_MOI'!$C$40*('THAM_SO_MOI'!$C$23*(E2424/'THAM_SO_MOI'!$C$22)+'THAM_SO_MOI'!$C$24*(E2424/'THAM_SO_MOI'!$C$22)^2-'THAM_SO_MOI'!$C$25*(E2424/'THAM_SO_MOI'!$C$22)^3)</f>
        <v>113.60476223556009</v>
      </c>
      <c r="K2424" s="75">
        <f>'THAM_SO_MOI'!$C$31*J2424/E2424</f>
        <v>422.2507979369233</v>
      </c>
      <c r="L2424" s="75">
        <f>K2424*'THAM_SO_MOI'!$C$51*'THAM_SO_MOI'!$C$17/'THAM_SO_MOI'!$C$26</f>
        <v>9441.194493129464</v>
      </c>
      <c r="M2424" s="75">
        <f>'THAM_SO_MOI'!$C$15*'THAM_SO_MOI'!$C$16*F2424^2</f>
        <v>306.1024318001557</v>
      </c>
      <c r="N2424" s="75">
        <f>'THAM_SO_MOI'!$C$12*I2424</f>
        <v>1130.112</v>
      </c>
      <c r="O2424" s="75">
        <f>M2424+N2424</f>
        <v>1436.2144318001558</v>
      </c>
      <c r="P2424" s="75">
        <f>(MIN(L2424,'THAM_SO_MOI'!$C$41)-O2424)/('THAM_SO_MOI'!$C$11*H2424)</f>
        <v>0.758047354292548</v>
      </c>
      <c r="Q2424" s="75">
        <f>IF(P2424&gt;0,1/P2424,NA())</f>
        <v>1.3191788010832854</v>
      </c>
      <c r="R2424" s="75">
        <f>F2424-F2423</f>
        <v>0.005028991339518285</v>
      </c>
      <c r="S2424" s="75">
        <f>0.5*(Q2423+Q2424)*R2424</f>
        <v>0.006633557290226887</v>
      </c>
      <c r="T2424" s="75">
        <f>0.5*(F2423*Q2423+F2424*Q2424)*R2424</f>
        <v>0.06784380324125144</v>
      </c>
      <c r="U2424" s="76">
        <f>U2423+S2424</f>
        <v>12.80016572727281</v>
      </c>
      <c r="V2424" s="76">
        <f>V2423+T2424</f>
        <v>73.94294093490231</v>
      </c>
    </row>
    <row r="2425" spans="1:22" ht="19" customHeight="1">
      <c r="A2425" s="68" t="s">
        <v>374</v>
      </c>
      <c r="B2425" s="74">
        <v>3</v>
      </c>
      <c r="C2425" s="68" t="s">
        <v>363</v>
      </c>
      <c r="D2425" s="68" t="s">
        <v>364</v>
      </c>
      <c r="E2425" s="75">
        <f>60*F2425*'THAM_SO_MOI'!$C$51/(2*PI()*'THAM_SO_MOI'!$C$26)</f>
        <v>2570.945216376953</v>
      </c>
      <c r="F2425" s="75">
        <f>'HANH_TRINH'!$F$1647+('THAM_SO_MOI'!$F$51-'HANH_TRINH'!$F$1647)*777/'THAM_SO_MOI'!$C$42</f>
        <v>10.234906998150805</v>
      </c>
      <c r="G2425" s="75">
        <f>3.6*F2425</f>
        <v>36.8456651933429</v>
      </c>
      <c r="H2425" s="75">
        <f>'THAM_SO_MOI'!$D$51</f>
        <v>1.375</v>
      </c>
      <c r="I2425" s="75">
        <f>IF(F2425&gt;'THAM_SO_MOI'!$C$14,'THAM_SO_MOI'!$C$13*(1+F2425^2/1500),'THAM_SO_MOI'!$C$13)</f>
        <v>0.015</v>
      </c>
      <c r="J2425" s="75">
        <f>'THAM_SO_MOI'!$C$40*('THAM_SO_MOI'!$C$23*(E2425/'THAM_SO_MOI'!$C$22)+'THAM_SO_MOI'!$C$24*(E2425/'THAM_SO_MOI'!$C$22)^2-'THAM_SO_MOI'!$C$25*(E2425/'THAM_SO_MOI'!$C$22)^3)</f>
        <v>113.64729428234293</v>
      </c>
      <c r="K2425" s="75">
        <f>'THAM_SO_MOI'!$C$31*J2425/E2425</f>
        <v>422.2013292924763</v>
      </c>
      <c r="L2425" s="75">
        <f>K2425*'THAM_SO_MOI'!$C$51*'THAM_SO_MOI'!$C$17/'THAM_SO_MOI'!$C$26</f>
        <v>9440.088413292984</v>
      </c>
      <c r="M2425" s="75">
        <f>'THAM_SO_MOI'!$C$15*'THAM_SO_MOI'!$C$16*F2425^2</f>
        <v>306.4034646878293</v>
      </c>
      <c r="N2425" s="75">
        <f>'THAM_SO_MOI'!$C$12*I2425</f>
        <v>1130.112</v>
      </c>
      <c r="O2425" s="75">
        <f>M2425+N2425</f>
        <v>1436.5154646878293</v>
      </c>
      <c r="P2425" s="75">
        <f>(MIN(L2425,'THAM_SO_MOI'!$C$41)-O2425)/('THAM_SO_MOI'!$C$11*H2425)</f>
        <v>0.7579141049815487</v>
      </c>
      <c r="Q2425" s="75">
        <f>IF(P2425&gt;0,1/P2425,NA())</f>
        <v>1.3194107266605692</v>
      </c>
      <c r="R2425" s="75">
        <f>F2425-F2424</f>
        <v>0.005028991339518285</v>
      </c>
      <c r="S2425" s="75">
        <f>0.5*(Q2424+Q2425)*R2425</f>
        <v>0.006634721941783743</v>
      </c>
      <c r="T2425" s="75">
        <f>0.5*(F2424*Q2424+F2425*Q2425)*R2425</f>
        <v>0.06788908051954763</v>
      </c>
      <c r="U2425" s="76">
        <f>U2424+S2425</f>
        <v>12.806800449214595</v>
      </c>
      <c r="V2425" s="76">
        <f>V2424+T2425</f>
        <v>74.01083001542186</v>
      </c>
    </row>
    <row r="2426" spans="1:22" ht="19" customHeight="1">
      <c r="A2426" s="68" t="s">
        <v>374</v>
      </c>
      <c r="B2426" s="74">
        <v>3</v>
      </c>
      <c r="C2426" s="68" t="s">
        <v>363</v>
      </c>
      <c r="D2426" s="68" t="s">
        <v>364</v>
      </c>
      <c r="E2426" s="75">
        <f>60*F2426*'THAM_SO_MOI'!$C$51/(2*PI()*'THAM_SO_MOI'!$C$26)</f>
        <v>2572.2084678388237</v>
      </c>
      <c r="F2426" s="75">
        <f>'HANH_TRINH'!$F$1647+('THAM_SO_MOI'!$F$51-'HANH_TRINH'!$F$1647)*778/'THAM_SO_MOI'!$C$42</f>
        <v>10.239935989490322</v>
      </c>
      <c r="G2426" s="75">
        <f>3.6*F2426</f>
        <v>36.86376956216516</v>
      </c>
      <c r="H2426" s="75">
        <f>'THAM_SO_MOI'!$D$51</f>
        <v>1.375</v>
      </c>
      <c r="I2426" s="75">
        <f>IF(F2426&gt;'THAM_SO_MOI'!$C$14,'THAM_SO_MOI'!$C$13*(1+F2426^2/1500),'THAM_SO_MOI'!$C$13)</f>
        <v>0.015</v>
      </c>
      <c r="J2426" s="75">
        <f>'THAM_SO_MOI'!$C$40*('THAM_SO_MOI'!$C$23*(E2426/'THAM_SO_MOI'!$C$22)+'THAM_SO_MOI'!$C$24*(E2426/'THAM_SO_MOI'!$C$22)^2-'THAM_SO_MOI'!$C$25*(E2426/'THAM_SO_MOI'!$C$22)^3)</f>
        <v>113.68977154968397</v>
      </c>
      <c r="K2426" s="75">
        <f>'THAM_SO_MOI'!$C$31*J2426/E2426</f>
        <v>422.1517058311989</v>
      </c>
      <c r="L2426" s="75">
        <f>K2426*'THAM_SO_MOI'!$C$51*'THAM_SO_MOI'!$C$17/'THAM_SO_MOI'!$C$26</f>
        <v>9438.978871874398</v>
      </c>
      <c r="M2426" s="75">
        <f>'THAM_SO_MOI'!$C$15*'THAM_SO_MOI'!$C$16*F2426^2</f>
        <v>306.704645526413</v>
      </c>
      <c r="N2426" s="75">
        <f>'THAM_SO_MOI'!$C$12*I2426</f>
        <v>1130.112</v>
      </c>
      <c r="O2426" s="75">
        <f>M2426+N2426</f>
        <v>1436.8166455264131</v>
      </c>
      <c r="P2426" s="75">
        <f>(MIN(L2426,'THAM_SO_MOI'!$C$41)-O2426)/('THAM_SO_MOI'!$C$11*H2426)</f>
        <v>0.7577805138587107</v>
      </c>
      <c r="Q2426" s="75">
        <f>IF(P2426&gt;0,1/P2426,NA())</f>
        <v>1.3196433290529974</v>
      </c>
      <c r="R2426" s="75">
        <f>F2426-F2425</f>
        <v>0.005028991339516509</v>
      </c>
      <c r="S2426" s="75">
        <f>0.5*(Q2425+Q2426)*R2426</f>
        <v>0.006635889995349723</v>
      </c>
      <c r="T2426" s="75">
        <f>0.5*(F2425*Q2425+F2426*Q2426)*R2426</f>
        <v>0.06793440433969455</v>
      </c>
      <c r="U2426" s="76">
        <f>U2425+S2426</f>
        <v>12.813436339209945</v>
      </c>
      <c r="V2426" s="76">
        <f>V2425+T2426</f>
        <v>74.07876441976155</v>
      </c>
    </row>
    <row r="2427" spans="1:22" ht="19" customHeight="1">
      <c r="A2427" s="68" t="s">
        <v>374</v>
      </c>
      <c r="B2427" s="74">
        <v>3</v>
      </c>
      <c r="C2427" s="68" t="s">
        <v>363</v>
      </c>
      <c r="D2427" s="68" t="s">
        <v>364</v>
      </c>
      <c r="E2427" s="75">
        <f>60*F2427*'THAM_SO_MOI'!$C$51/(2*PI()*'THAM_SO_MOI'!$C$26)</f>
        <v>2573.4717193006954</v>
      </c>
      <c r="F2427" s="75">
        <f>'HANH_TRINH'!$F$1647+('THAM_SO_MOI'!$F$51-'HANH_TRINH'!$F$1647)*779/'THAM_SO_MOI'!$C$42</f>
        <v>10.24496498082984</v>
      </c>
      <c r="G2427" s="75">
        <f>3.6*F2427</f>
        <v>36.881873930987425</v>
      </c>
      <c r="H2427" s="75">
        <f>'THAM_SO_MOI'!$D$51</f>
        <v>1.375</v>
      </c>
      <c r="I2427" s="75">
        <f>IF(F2427&gt;'THAM_SO_MOI'!$C$14,'THAM_SO_MOI'!$C$13*(1+F2427^2/1500),'THAM_SO_MOI'!$C$13)</f>
        <v>0.015</v>
      </c>
      <c r="J2427" s="75">
        <f>'THAM_SO_MOI'!$C$40*('THAM_SO_MOI'!$C$23*(E2427/'THAM_SO_MOI'!$C$22)+'THAM_SO_MOI'!$C$24*(E2427/'THAM_SO_MOI'!$C$22)^2-'THAM_SO_MOI'!$C$25*(E2427/'THAM_SO_MOI'!$C$22)^3)</f>
        <v>113.73219397615394</v>
      </c>
      <c r="K2427" s="75">
        <f>'THAM_SO_MOI'!$C$31*J2427/E2427</f>
        <v>422.101927553091</v>
      </c>
      <c r="L2427" s="75">
        <f>K2427*'THAM_SO_MOI'!$C$51*'THAM_SO_MOI'!$C$17/'THAM_SO_MOI'!$C$26</f>
        <v>9437.865868873703</v>
      </c>
      <c r="M2427" s="75">
        <f>'THAM_SO_MOI'!$C$15*'THAM_SO_MOI'!$C$16*F2427^2</f>
        <v>307.0059743159071</v>
      </c>
      <c r="N2427" s="75">
        <f>'THAM_SO_MOI'!$C$12*I2427</f>
        <v>1130.112</v>
      </c>
      <c r="O2427" s="75">
        <f>M2427+N2427</f>
        <v>1437.1179743159073</v>
      </c>
      <c r="P2427" s="75">
        <f>(MIN(L2427,'THAM_SO_MOI'!$C$41)-O2427)/('THAM_SO_MOI'!$C$11*H2427)</f>
        <v>0.7576465809240337</v>
      </c>
      <c r="Q2427" s="75">
        <f>IF(P2427&gt;0,1/P2427,NA())</f>
        <v>1.3198766089334022</v>
      </c>
      <c r="R2427" s="75">
        <f>F2427-F2426</f>
        <v>0.005028991339518285</v>
      </c>
      <c r="S2427" s="75">
        <f>0.5*(Q2426+Q2427)*R2427</f>
        <v>0.006637061454309722</v>
      </c>
      <c r="T2427" s="75">
        <f>0.5*(F2426*Q2426+F2427*Q2427)*R2427</f>
        <v>0.0679797747876879</v>
      </c>
      <c r="U2427" s="76">
        <f>U2426+S2427</f>
        <v>12.820073400664254</v>
      </c>
      <c r="V2427" s="76">
        <f>V2426+T2427</f>
        <v>74.14674419454924</v>
      </c>
    </row>
    <row r="2428" spans="1:22" ht="19" customHeight="1">
      <c r="A2428" s="68" t="s">
        <v>374</v>
      </c>
      <c r="B2428" s="74">
        <v>3</v>
      </c>
      <c r="C2428" s="68" t="s">
        <v>363</v>
      </c>
      <c r="D2428" s="68" t="s">
        <v>364</v>
      </c>
      <c r="E2428" s="75">
        <f>60*F2428*'THAM_SO_MOI'!$C$51/(2*PI()*'THAM_SO_MOI'!$C$26)</f>
        <v>2574.7349707625667</v>
      </c>
      <c r="F2428" s="75">
        <f>'HANH_TRINH'!$F$1647+('THAM_SO_MOI'!$F$51-'HANH_TRINH'!$F$1647)*780/'THAM_SO_MOI'!$C$42</f>
        <v>10.249993972169356</v>
      </c>
      <c r="G2428" s="75">
        <f>3.6*F2428</f>
        <v>36.89997829980968</v>
      </c>
      <c r="H2428" s="75">
        <f>'THAM_SO_MOI'!$D$51</f>
        <v>1.375</v>
      </c>
      <c r="I2428" s="75">
        <f>IF(F2428&gt;'THAM_SO_MOI'!$C$14,'THAM_SO_MOI'!$C$13*(1+F2428^2/1500),'THAM_SO_MOI'!$C$13)</f>
        <v>0.015</v>
      </c>
      <c r="J2428" s="75">
        <f>'THAM_SO_MOI'!$C$40*('THAM_SO_MOI'!$C$23*(E2428/'THAM_SO_MOI'!$C$22)+'THAM_SO_MOI'!$C$24*(E2428/'THAM_SO_MOI'!$C$22)^2-'THAM_SO_MOI'!$C$25*(E2428/'THAM_SO_MOI'!$C$22)^3)</f>
        <v>113.77456150032344</v>
      </c>
      <c r="K2428" s="75">
        <f>'THAM_SO_MOI'!$C$31*J2428/E2428</f>
        <v>422.05199445815254</v>
      </c>
      <c r="L2428" s="75">
        <f>K2428*'THAM_SO_MOI'!$C$51*'THAM_SO_MOI'!$C$17/'THAM_SO_MOI'!$C$26</f>
        <v>9436.749404290897</v>
      </c>
      <c r="M2428" s="75">
        <f>'THAM_SO_MOI'!$C$15*'THAM_SO_MOI'!$C$16*F2428^2</f>
        <v>307.3074510563114</v>
      </c>
      <c r="N2428" s="75">
        <f>'THAM_SO_MOI'!$C$12*I2428</f>
        <v>1130.112</v>
      </c>
      <c r="O2428" s="75">
        <f>M2428+N2428</f>
        <v>1437.4194510563116</v>
      </c>
      <c r="P2428" s="75">
        <f>(MIN(L2428,'THAM_SO_MOI'!$C$41)-O2428)/('THAM_SO_MOI'!$C$11*H2428)</f>
        <v>0.7575123061775175</v>
      </c>
      <c r="Q2428" s="75">
        <f>IF(P2428&gt;0,1/P2428,NA())</f>
        <v>1.3201105669769242</v>
      </c>
      <c r="R2428" s="75">
        <f>F2428-F2427</f>
        <v>0.005028991339516509</v>
      </c>
      <c r="S2428" s="75">
        <f>0.5*(Q2427+Q2428)*R2428</f>
        <v>0.006638236322043838</v>
      </c>
      <c r="T2428" s="75">
        <f>0.5*(F2427*Q2427+F2428*Q2428)*R2428</f>
        <v>0.06802519194954224</v>
      </c>
      <c r="U2428" s="76">
        <f>U2427+S2428</f>
        <v>12.826711636986298</v>
      </c>
      <c r="V2428" s="76">
        <f>V2427+T2428</f>
        <v>74.21476938649879</v>
      </c>
    </row>
    <row r="2429" spans="1:22" ht="19" customHeight="1">
      <c r="A2429" s="68" t="s">
        <v>374</v>
      </c>
      <c r="B2429" s="74">
        <v>3</v>
      </c>
      <c r="C2429" s="68" t="s">
        <v>363</v>
      </c>
      <c r="D2429" s="68" t="s">
        <v>364</v>
      </c>
      <c r="E2429" s="75">
        <f>60*F2429*'THAM_SO_MOI'!$C$51/(2*PI()*'THAM_SO_MOI'!$C$26)</f>
        <v>2575.9982222244385</v>
      </c>
      <c r="F2429" s="75">
        <f>'HANH_TRINH'!$F$1647+('THAM_SO_MOI'!$F$51-'HANH_TRINH'!$F$1647)*781/'THAM_SO_MOI'!$C$42</f>
        <v>10.255022963508875</v>
      </c>
      <c r="G2429" s="75">
        <f>3.6*F2429</f>
        <v>36.91808266863195</v>
      </c>
      <c r="H2429" s="75">
        <f>'THAM_SO_MOI'!$D$51</f>
        <v>1.375</v>
      </c>
      <c r="I2429" s="75">
        <f>IF(F2429&gt;'THAM_SO_MOI'!$C$14,'THAM_SO_MOI'!$C$13*(1+F2429^2/1500),'THAM_SO_MOI'!$C$13)</f>
        <v>0.015</v>
      </c>
      <c r="J2429" s="75">
        <f>'THAM_SO_MOI'!$C$40*('THAM_SO_MOI'!$C$23*(E2429/'THAM_SO_MOI'!$C$22)+'THAM_SO_MOI'!$C$24*(E2429/'THAM_SO_MOI'!$C$22)^2-'THAM_SO_MOI'!$C$25*(E2429/'THAM_SO_MOI'!$C$22)^3)</f>
        <v>113.81687406076313</v>
      </c>
      <c r="K2429" s="75">
        <f>'THAM_SO_MOI'!$C$31*J2429/E2429</f>
        <v>422.00190654638345</v>
      </c>
      <c r="L2429" s="75">
        <f>K2429*'THAM_SO_MOI'!$C$51*'THAM_SO_MOI'!$C$17/'THAM_SO_MOI'!$C$26</f>
        <v>9435.62947812598</v>
      </c>
      <c r="M2429" s="75">
        <f>'THAM_SO_MOI'!$C$15*'THAM_SO_MOI'!$C$16*F2429^2</f>
        <v>307.609075747626</v>
      </c>
      <c r="N2429" s="75">
        <f>'THAM_SO_MOI'!$C$12*I2429</f>
        <v>1130.112</v>
      </c>
      <c r="O2429" s="75">
        <f>M2429+N2429</f>
        <v>1437.721075747626</v>
      </c>
      <c r="P2429" s="75">
        <f>(MIN(L2429,'THAM_SO_MOI'!$C$41)-O2429)/('THAM_SO_MOI'!$C$11*H2429)</f>
        <v>0.7573776896191623</v>
      </c>
      <c r="Q2429" s="75">
        <f>IF(P2429&gt;0,1/P2429,NA())</f>
        <v>1.3203452038610184</v>
      </c>
      <c r="R2429" s="75">
        <f>F2429-F2428</f>
        <v>0.005028991339518285</v>
      </c>
      <c r="S2429" s="75">
        <f>0.5*(Q2428+Q2429)*R2429</f>
        <v>0.0066394146019625455</v>
      </c>
      <c r="T2429" s="75">
        <f>0.5*(F2428*Q2428+F2429*Q2429)*R2429</f>
        <v>0.0680706559116516</v>
      </c>
      <c r="U2429" s="76">
        <f>U2428+S2429</f>
        <v>12.833351051588261</v>
      </c>
      <c r="V2429" s="76">
        <f>V2428+T2429</f>
        <v>74.28284004241044</v>
      </c>
    </row>
    <row r="2430" spans="1:22" ht="19" customHeight="1">
      <c r="A2430" s="68" t="s">
        <v>374</v>
      </c>
      <c r="B2430" s="74">
        <v>3</v>
      </c>
      <c r="C2430" s="68" t="s">
        <v>363</v>
      </c>
      <c r="D2430" s="68" t="s">
        <v>364</v>
      </c>
      <c r="E2430" s="75">
        <f>60*F2430*'THAM_SO_MOI'!$C$51/(2*PI()*'THAM_SO_MOI'!$C$26)</f>
        <v>2577.26147368631</v>
      </c>
      <c r="F2430" s="75">
        <f>'HANH_TRINH'!$F$1647+('THAM_SO_MOI'!$F$51-'HANH_TRINH'!$F$1647)*782/'THAM_SO_MOI'!$C$42</f>
        <v>10.260051954848393</v>
      </c>
      <c r="G2430" s="75">
        <f>3.6*F2430</f>
        <v>36.93618703745422</v>
      </c>
      <c r="H2430" s="75">
        <f>'THAM_SO_MOI'!$D$51</f>
        <v>1.375</v>
      </c>
      <c r="I2430" s="75">
        <f>IF(F2430&gt;'THAM_SO_MOI'!$C$14,'THAM_SO_MOI'!$C$13*(1+F2430^2/1500),'THAM_SO_MOI'!$C$13)</f>
        <v>0.015</v>
      </c>
      <c r="J2430" s="75">
        <f>'THAM_SO_MOI'!$C$40*('THAM_SO_MOI'!$C$23*(E2430/'THAM_SO_MOI'!$C$22)+'THAM_SO_MOI'!$C$24*(E2430/'THAM_SO_MOI'!$C$22)^2-'THAM_SO_MOI'!$C$25*(E2430/'THAM_SO_MOI'!$C$22)^3)</f>
        <v>113.85913159604367</v>
      </c>
      <c r="K2430" s="75">
        <f>'THAM_SO_MOI'!$C$31*J2430/E2430</f>
        <v>421.9516638177839</v>
      </c>
      <c r="L2430" s="75">
        <f>K2430*'THAM_SO_MOI'!$C$51*'THAM_SO_MOI'!$C$17/'THAM_SO_MOI'!$C$26</f>
        <v>9434.506090378954</v>
      </c>
      <c r="M2430" s="75">
        <f>'THAM_SO_MOI'!$C$15*'THAM_SO_MOI'!$C$16*F2430^2</f>
        <v>307.9108483898509</v>
      </c>
      <c r="N2430" s="75">
        <f>'THAM_SO_MOI'!$C$12*I2430</f>
        <v>1130.112</v>
      </c>
      <c r="O2430" s="75">
        <f>M2430+N2430</f>
        <v>1438.0228483898509</v>
      </c>
      <c r="P2430" s="75">
        <f>(MIN(L2430,'THAM_SO_MOI'!$C$41)-O2430)/('THAM_SO_MOI'!$C$11*H2430)</f>
        <v>0.7572427312489681</v>
      </c>
      <c r="Q2430" s="75">
        <f>IF(P2430&gt;0,1/P2430,NA())</f>
        <v>1.3205805202654597</v>
      </c>
      <c r="R2430" s="75">
        <f>F2430-F2429</f>
        <v>0.005028991339518285</v>
      </c>
      <c r="S2430" s="75">
        <f>0.5*(Q2429+Q2430)*R2430</f>
        <v>0.006640596297471557</v>
      </c>
      <c r="T2430" s="75">
        <f>0.5*(F2429*Q2429+F2430*Q2430)*R2430</f>
        <v>0.06811616676042977</v>
      </c>
      <c r="U2430" s="76">
        <f>U2429+S2430</f>
        <v>12.839991647885732</v>
      </c>
      <c r="V2430" s="76">
        <f>V2429+T2430</f>
        <v>74.35095620917087</v>
      </c>
    </row>
    <row r="2431" spans="1:22" ht="19" customHeight="1">
      <c r="A2431" s="68" t="s">
        <v>374</v>
      </c>
      <c r="B2431" s="74">
        <v>3</v>
      </c>
      <c r="C2431" s="68" t="s">
        <v>363</v>
      </c>
      <c r="D2431" s="68" t="s">
        <v>364</v>
      </c>
      <c r="E2431" s="75">
        <f>60*F2431*'THAM_SO_MOI'!$C$51/(2*PI()*'THAM_SO_MOI'!$C$26)</f>
        <v>2578.5247251481824</v>
      </c>
      <c r="F2431" s="75">
        <f>'HANH_TRINH'!$F$1647+('THAM_SO_MOI'!$F$51-'HANH_TRINH'!$F$1647)*783/'THAM_SO_MOI'!$C$42</f>
        <v>10.265080946187911</v>
      </c>
      <c r="G2431" s="75">
        <f>3.6*F2431</f>
        <v>36.95429140627648</v>
      </c>
      <c r="H2431" s="75">
        <f>'THAM_SO_MOI'!$D$51</f>
        <v>1.375</v>
      </c>
      <c r="I2431" s="75">
        <f>IF(F2431&gt;'THAM_SO_MOI'!$C$14,'THAM_SO_MOI'!$C$13*(1+F2431^2/1500),'THAM_SO_MOI'!$C$13)</f>
        <v>0.015</v>
      </c>
      <c r="J2431" s="75">
        <f>'THAM_SO_MOI'!$C$40*('THAM_SO_MOI'!$C$23*(E2431/'THAM_SO_MOI'!$C$22)+'THAM_SO_MOI'!$C$24*(E2431/'THAM_SO_MOI'!$C$22)^2-'THAM_SO_MOI'!$C$25*(E2431/'THAM_SO_MOI'!$C$22)^3)</f>
        <v>113.90133404473572</v>
      </c>
      <c r="K2431" s="75">
        <f>'THAM_SO_MOI'!$C$31*J2431/E2431</f>
        <v>421.90126627235395</v>
      </c>
      <c r="L2431" s="75">
        <f>K2431*'THAM_SO_MOI'!$C$51*'THAM_SO_MOI'!$C$17/'THAM_SO_MOI'!$C$26</f>
        <v>9433.379241049823</v>
      </c>
      <c r="M2431" s="75">
        <f>'THAM_SO_MOI'!$C$15*'THAM_SO_MOI'!$C$16*F2431^2</f>
        <v>308.2127689829861</v>
      </c>
      <c r="N2431" s="75">
        <f>'THAM_SO_MOI'!$C$12*I2431</f>
        <v>1130.112</v>
      </c>
      <c r="O2431" s="75">
        <f>M2431+N2431</f>
        <v>1438.3247689829861</v>
      </c>
      <c r="P2431" s="75">
        <f>(MIN(L2431,'THAM_SO_MOI'!$C$41)-O2431)/('THAM_SO_MOI'!$C$11*H2431)</f>
        <v>0.7571074310669352</v>
      </c>
      <c r="Q2431" s="75">
        <f>IF(P2431&gt;0,1/P2431,NA())</f>
        <v>1.3208165168723471</v>
      </c>
      <c r="R2431" s="75">
        <f>F2431-F2430</f>
        <v>0.005028991339518285</v>
      </c>
      <c r="S2431" s="75">
        <f>0.5*(Q2430+Q2431)*R2431</f>
        <v>0.006641781411997645</v>
      </c>
      <c r="T2431" s="75">
        <f>0.5*(F2430*Q2430+F2431*Q2431)*R2431</f>
        <v>0.06816172458257513</v>
      </c>
      <c r="U2431" s="76">
        <f>U2430+S2431</f>
        <v>12.84663342929773</v>
      </c>
      <c r="V2431" s="76">
        <f>V2430+T2431</f>
        <v>74.41911793375345</v>
      </c>
    </row>
    <row r="2432" spans="1:22" ht="19" customHeight="1">
      <c r="A2432" s="68" t="s">
        <v>374</v>
      </c>
      <c r="B2432" s="74">
        <v>3</v>
      </c>
      <c r="C2432" s="68" t="s">
        <v>363</v>
      </c>
      <c r="D2432" s="68" t="s">
        <v>364</v>
      </c>
      <c r="E2432" s="75">
        <f>60*F2432*'THAM_SO_MOI'!$C$51/(2*PI()*'THAM_SO_MOI'!$C$26)</f>
        <v>2579.787976610054</v>
      </c>
      <c r="F2432" s="75">
        <f>'HANH_TRINH'!$F$1647+('THAM_SO_MOI'!$F$51-'HANH_TRINH'!$F$1647)*784/'THAM_SO_MOI'!$C$42</f>
        <v>10.270109937527428</v>
      </c>
      <c r="G2432" s="75">
        <f>3.6*F2432</f>
        <v>36.97239577509874</v>
      </c>
      <c r="H2432" s="75">
        <f>'THAM_SO_MOI'!$D$51</f>
        <v>1.375</v>
      </c>
      <c r="I2432" s="75">
        <f>IF(F2432&gt;'THAM_SO_MOI'!$C$14,'THAM_SO_MOI'!$C$13*(1+F2432^2/1500),'THAM_SO_MOI'!$C$13)</f>
        <v>0.015</v>
      </c>
      <c r="J2432" s="75">
        <f>'THAM_SO_MOI'!$C$40*('THAM_SO_MOI'!$C$23*(E2432/'THAM_SO_MOI'!$C$22)+'THAM_SO_MOI'!$C$24*(E2432/'THAM_SO_MOI'!$C$22)^2-'THAM_SO_MOI'!$C$25*(E2432/'THAM_SO_MOI'!$C$22)^3)</f>
        <v>113.94348134540992</v>
      </c>
      <c r="K2432" s="75">
        <f>'THAM_SO_MOI'!$C$31*J2432/E2432</f>
        <v>421.85071391009353</v>
      </c>
      <c r="L2432" s="75">
        <f>K2432*'THAM_SO_MOI'!$C$51*'THAM_SO_MOI'!$C$17/'THAM_SO_MOI'!$C$26</f>
        <v>9432.248930138583</v>
      </c>
      <c r="M2432" s="75">
        <f>'THAM_SO_MOI'!$C$15*'THAM_SO_MOI'!$C$16*F2432^2</f>
        <v>308.51483752703143</v>
      </c>
      <c r="N2432" s="75">
        <f>'THAM_SO_MOI'!$C$12*I2432</f>
        <v>1130.112</v>
      </c>
      <c r="O2432" s="75">
        <f>M2432+N2432</f>
        <v>1438.6268375270315</v>
      </c>
      <c r="P2432" s="75">
        <f>(MIN(L2432,'THAM_SO_MOI'!$C$41)-O2432)/('THAM_SO_MOI'!$C$11*H2432)</f>
        <v>0.7569717890730636</v>
      </c>
      <c r="Q2432" s="75">
        <f>IF(P2432&gt;0,1/P2432,NA())</f>
        <v>1.3210531943661101</v>
      </c>
      <c r="R2432" s="75">
        <f>F2432-F2431</f>
        <v>0.005028991339516509</v>
      </c>
      <c r="S2432" s="75">
        <f>0.5*(Q2431+Q2432)*R2432</f>
        <v>0.00664296994897459</v>
      </c>
      <c r="T2432" s="75">
        <f>0.5*(F2431*Q2431+F2432*Q2432)*R2432</f>
        <v>0.06820732946492705</v>
      </c>
      <c r="U2432" s="76">
        <f>U2431+S2432</f>
        <v>12.853276399246704</v>
      </c>
      <c r="V2432" s="76">
        <f>V2431+T2432</f>
        <v>74.48732526321838</v>
      </c>
    </row>
    <row r="2433" spans="1:22" ht="19" customHeight="1">
      <c r="A2433" s="68" t="s">
        <v>374</v>
      </c>
      <c r="B2433" s="74">
        <v>3</v>
      </c>
      <c r="C2433" s="68" t="s">
        <v>363</v>
      </c>
      <c r="D2433" s="68" t="s">
        <v>364</v>
      </c>
      <c r="E2433" s="75">
        <f>60*F2433*'THAM_SO_MOI'!$C$51/(2*PI()*'THAM_SO_MOI'!$C$26)</f>
        <v>2581.051228071926</v>
      </c>
      <c r="F2433" s="75">
        <f>'HANH_TRINH'!$F$1647+('THAM_SO_MOI'!$F$51-'HANH_TRINH'!$F$1647)*785/'THAM_SO_MOI'!$C$42</f>
        <v>10.275138928866946</v>
      </c>
      <c r="G2433" s="75">
        <f>3.6*F2433</f>
        <v>36.990500143921004</v>
      </c>
      <c r="H2433" s="75">
        <f>'THAM_SO_MOI'!$D$51</f>
        <v>1.375</v>
      </c>
      <c r="I2433" s="75">
        <f>IF(F2433&gt;'THAM_SO_MOI'!$C$14,'THAM_SO_MOI'!$C$13*(1+F2433^2/1500),'THAM_SO_MOI'!$C$13)</f>
        <v>0.015</v>
      </c>
      <c r="J2433" s="75">
        <f>'THAM_SO_MOI'!$C$40*('THAM_SO_MOI'!$C$23*(E2433/'THAM_SO_MOI'!$C$22)+'THAM_SO_MOI'!$C$24*(E2433/'THAM_SO_MOI'!$C$22)^2-'THAM_SO_MOI'!$C$25*(E2433/'THAM_SO_MOI'!$C$22)^3)</f>
        <v>113.9855734366369</v>
      </c>
      <c r="K2433" s="75">
        <f>'THAM_SO_MOI'!$C$31*J2433/E2433</f>
        <v>421.8000067310025</v>
      </c>
      <c r="L2433" s="75">
        <f>K2433*'THAM_SO_MOI'!$C$51*'THAM_SO_MOI'!$C$17/'THAM_SO_MOI'!$C$26</f>
        <v>9431.115157645234</v>
      </c>
      <c r="M2433" s="75">
        <f>'THAM_SO_MOI'!$C$15*'THAM_SO_MOI'!$C$16*F2433^2</f>
        <v>308.8170540219872</v>
      </c>
      <c r="N2433" s="75">
        <f>'THAM_SO_MOI'!$C$12*I2433</f>
        <v>1130.112</v>
      </c>
      <c r="O2433" s="75">
        <f>M2433+N2433</f>
        <v>1438.9290540219872</v>
      </c>
      <c r="P2433" s="75">
        <f>(MIN(L2433,'THAM_SO_MOI'!$C$41)-O2433)/('THAM_SO_MOI'!$C$11*H2433)</f>
        <v>0.756835805267353</v>
      </c>
      <c r="Q2433" s="75">
        <f>IF(P2433&gt;0,1/P2433,NA())</f>
        <v>1.321290553433514</v>
      </c>
      <c r="R2433" s="75">
        <f>F2433-F2432</f>
        <v>0.005028991339518285</v>
      </c>
      <c r="S2433" s="75">
        <f>0.5*(Q2432+Q2433)*R2433</f>
        <v>0.006644161911857299</v>
      </c>
      <c r="T2433" s="75">
        <f>0.5*(F2432*Q2432+F2433*Q2433)*R2433</f>
        <v>0.06825298149461086</v>
      </c>
      <c r="U2433" s="76">
        <f>U2432+S2433</f>
        <v>12.859920561158562</v>
      </c>
      <c r="V2433" s="76">
        <f>V2432+T2433</f>
        <v>74.55557824471299</v>
      </c>
    </row>
    <row r="2434" spans="1:22" ht="19" customHeight="1">
      <c r="A2434" s="68" t="s">
        <v>374</v>
      </c>
      <c r="B2434" s="74">
        <v>3</v>
      </c>
      <c r="C2434" s="68" t="s">
        <v>363</v>
      </c>
      <c r="D2434" s="68" t="s">
        <v>364</v>
      </c>
      <c r="E2434" s="75">
        <f>60*F2434*'THAM_SO_MOI'!$C$51/(2*PI()*'THAM_SO_MOI'!$C$26)</f>
        <v>2582.3144795337976</v>
      </c>
      <c r="F2434" s="75">
        <f>'HANH_TRINH'!$F$1647+('THAM_SO_MOI'!$F$51-'HANH_TRINH'!$F$1647)*786/'THAM_SO_MOI'!$C$42</f>
        <v>10.280167920206464</v>
      </c>
      <c r="G2434" s="75">
        <f>3.6*F2434</f>
        <v>37.008604512743275</v>
      </c>
      <c r="H2434" s="75">
        <f>'THAM_SO_MOI'!$D$51</f>
        <v>1.375</v>
      </c>
      <c r="I2434" s="75">
        <f>IF(F2434&gt;'THAM_SO_MOI'!$C$14,'THAM_SO_MOI'!$C$13*(1+F2434^2/1500),'THAM_SO_MOI'!$C$13)</f>
        <v>0.015</v>
      </c>
      <c r="J2434" s="75">
        <f>'THAM_SO_MOI'!$C$40*('THAM_SO_MOI'!$C$23*(E2434/'THAM_SO_MOI'!$C$22)+'THAM_SO_MOI'!$C$24*(E2434/'THAM_SO_MOI'!$C$22)^2-'THAM_SO_MOI'!$C$25*(E2434/'THAM_SO_MOI'!$C$22)^3)</f>
        <v>114.0276102569873</v>
      </c>
      <c r="K2434" s="75">
        <f>'THAM_SO_MOI'!$C$31*J2434/E2434</f>
        <v>421.74914473508085</v>
      </c>
      <c r="L2434" s="75">
        <f>K2434*'THAM_SO_MOI'!$C$51*'THAM_SO_MOI'!$C$17/'THAM_SO_MOI'!$C$26</f>
        <v>9429.977923569772</v>
      </c>
      <c r="M2434" s="75">
        <f>'THAM_SO_MOI'!$C$15*'THAM_SO_MOI'!$C$16*F2434^2</f>
        <v>309.11941846785317</v>
      </c>
      <c r="N2434" s="75">
        <f>'THAM_SO_MOI'!$C$12*I2434</f>
        <v>1130.112</v>
      </c>
      <c r="O2434" s="75">
        <f>M2434+N2434</f>
        <v>1439.2314184678532</v>
      </c>
      <c r="P2434" s="75">
        <f>(MIN(L2434,'THAM_SO_MOI'!$C$41)-O2434)/('THAM_SO_MOI'!$C$11*H2434)</f>
        <v>0.7566994796498029</v>
      </c>
      <c r="Q2434" s="75">
        <f>IF(P2434&gt;0,1/P2434,NA())</f>
        <v>1.3215285947636644</v>
      </c>
      <c r="R2434" s="75">
        <f>F2434-F2433</f>
        <v>0.005028991339518285</v>
      </c>
      <c r="S2434" s="75">
        <f>0.5*(Q2433+Q2434)*R2434</f>
        <v>0.006645357304098351</v>
      </c>
      <c r="T2434" s="75">
        <f>0.5*(F2433*Q2433+F2434*Q2434)*R2434</f>
        <v>0.0682986807587976</v>
      </c>
      <c r="U2434" s="76">
        <f>U2433+S2434</f>
        <v>12.86656591846266</v>
      </c>
      <c r="V2434" s="76">
        <f>V2433+T2434</f>
        <v>74.62387692547179</v>
      </c>
    </row>
    <row r="2435" spans="1:22" ht="19" customHeight="1">
      <c r="A2435" s="68" t="s">
        <v>374</v>
      </c>
      <c r="B2435" s="74">
        <v>3</v>
      </c>
      <c r="C2435" s="68" t="s">
        <v>363</v>
      </c>
      <c r="D2435" s="68" t="s">
        <v>364</v>
      </c>
      <c r="E2435" s="75">
        <f>60*F2435*'THAM_SO_MOI'!$C$51/(2*PI()*'THAM_SO_MOI'!$C$26)</f>
        <v>2583.5777309956684</v>
      </c>
      <c r="F2435" s="75">
        <f>'HANH_TRINH'!$F$1647+('THAM_SO_MOI'!$F$51-'HANH_TRINH'!$F$1647)*787/'THAM_SO_MOI'!$C$42</f>
        <v>10.285196911545981</v>
      </c>
      <c r="G2435" s="75">
        <f>3.6*F2435</f>
        <v>37.02670888156553</v>
      </c>
      <c r="H2435" s="75">
        <f>'THAM_SO_MOI'!$D$51</f>
        <v>1.375</v>
      </c>
      <c r="I2435" s="75">
        <f>IF(F2435&gt;'THAM_SO_MOI'!$C$14,'THAM_SO_MOI'!$C$13*(1+F2435^2/1500),'THAM_SO_MOI'!$C$13)</f>
        <v>0.015</v>
      </c>
      <c r="J2435" s="75">
        <f>'THAM_SO_MOI'!$C$40*('THAM_SO_MOI'!$C$23*(E2435/'THAM_SO_MOI'!$C$22)+'THAM_SO_MOI'!$C$24*(E2435/'THAM_SO_MOI'!$C$22)^2-'THAM_SO_MOI'!$C$25*(E2435/'THAM_SO_MOI'!$C$22)^3)</f>
        <v>114.06959174503179</v>
      </c>
      <c r="K2435" s="75">
        <f>'THAM_SO_MOI'!$C$31*J2435/E2435</f>
        <v>421.6981279223289</v>
      </c>
      <c r="L2435" s="75">
        <f>K2435*'THAM_SO_MOI'!$C$51*'THAM_SO_MOI'!$C$17/'THAM_SO_MOI'!$C$26</f>
        <v>9428.837227912203</v>
      </c>
      <c r="M2435" s="75">
        <f>'THAM_SO_MOI'!$C$15*'THAM_SO_MOI'!$C$16*F2435^2</f>
        <v>309.42193086462936</v>
      </c>
      <c r="N2435" s="75">
        <f>'THAM_SO_MOI'!$C$12*I2435</f>
        <v>1130.112</v>
      </c>
      <c r="O2435" s="75">
        <f>M2435+N2435</f>
        <v>1439.5339308646294</v>
      </c>
      <c r="P2435" s="75">
        <f>(MIN(L2435,'THAM_SO_MOI'!$C$41)-O2435)/('THAM_SO_MOI'!$C$11*H2435)</f>
        <v>0.7565628122204141</v>
      </c>
      <c r="Q2435" s="75">
        <f>IF(P2435&gt;0,1/P2435,NA())</f>
        <v>1.3217673190480104</v>
      </c>
      <c r="R2435" s="75">
        <f>F2435-F2434</f>
        <v>0.005028991339516509</v>
      </c>
      <c r="S2435" s="75">
        <f>0.5*(Q2434+Q2435)*R2435</f>
        <v>0.006646556129169144</v>
      </c>
      <c r="T2435" s="75">
        <f>0.5*(F2434*Q2434+F2435*Q2435)*R2435</f>
        <v>0.06834442734492117</v>
      </c>
      <c r="U2435" s="76">
        <f>U2434+S2435</f>
        <v>12.87321247459183</v>
      </c>
      <c r="V2435" s="76">
        <f>V2434+T2435</f>
        <v>74.69222135281672</v>
      </c>
    </row>
    <row r="2436" spans="1:22" ht="19" customHeight="1">
      <c r="A2436" s="68" t="s">
        <v>374</v>
      </c>
      <c r="B2436" s="74">
        <v>3</v>
      </c>
      <c r="C2436" s="68" t="s">
        <v>363</v>
      </c>
      <c r="D2436" s="68" t="s">
        <v>364</v>
      </c>
      <c r="E2436" s="75">
        <f>60*F2436*'THAM_SO_MOI'!$C$51/(2*PI()*'THAM_SO_MOI'!$C$26)</f>
        <v>2584.84098245754</v>
      </c>
      <c r="F2436" s="75">
        <f>'HANH_TRINH'!$F$1647+('THAM_SO_MOI'!$F$51-'HANH_TRINH'!$F$1647)*788/'THAM_SO_MOI'!$C$42</f>
        <v>10.2902259028855</v>
      </c>
      <c r="G2436" s="75">
        <f>3.6*F2436</f>
        <v>37.0448132503878</v>
      </c>
      <c r="H2436" s="75">
        <f>'THAM_SO_MOI'!$D$51</f>
        <v>1.375</v>
      </c>
      <c r="I2436" s="75">
        <f>IF(F2436&gt;'THAM_SO_MOI'!$C$14,'THAM_SO_MOI'!$C$13*(1+F2436^2/1500),'THAM_SO_MOI'!$C$13)</f>
        <v>0.015</v>
      </c>
      <c r="J2436" s="75">
        <f>'THAM_SO_MOI'!$C$40*('THAM_SO_MOI'!$C$23*(E2436/'THAM_SO_MOI'!$C$22)+'THAM_SO_MOI'!$C$24*(E2436/'THAM_SO_MOI'!$C$22)^2-'THAM_SO_MOI'!$C$25*(E2436/'THAM_SO_MOI'!$C$22)^3)</f>
        <v>114.11151783934106</v>
      </c>
      <c r="K2436" s="75">
        <f>'THAM_SO_MOI'!$C$31*J2436/E2436</f>
        <v>421.6469562927464</v>
      </c>
      <c r="L2436" s="75">
        <f>K2436*'THAM_SO_MOI'!$C$51*'THAM_SO_MOI'!$C$17/'THAM_SO_MOI'!$C$26</f>
        <v>9427.693070672527</v>
      </c>
      <c r="M2436" s="75">
        <f>'THAM_SO_MOI'!$C$15*'THAM_SO_MOI'!$C$16*F2436^2</f>
        <v>309.7245912123159</v>
      </c>
      <c r="N2436" s="75">
        <f>'THAM_SO_MOI'!$C$12*I2436</f>
        <v>1130.112</v>
      </c>
      <c r="O2436" s="75">
        <f>M2436+N2436</f>
        <v>1439.8365912123159</v>
      </c>
      <c r="P2436" s="75">
        <f>(MIN(L2436,'THAM_SO_MOI'!$C$41)-O2436)/('THAM_SO_MOI'!$C$11*H2436)</f>
        <v>0.7564258029791866</v>
      </c>
      <c r="Q2436" s="75">
        <f>IF(P2436&gt;0,1/P2436,NA())</f>
        <v>1.3220067269803533</v>
      </c>
      <c r="R2436" s="75">
        <f>F2436-F2435</f>
        <v>0.005028991339518285</v>
      </c>
      <c r="S2436" s="75">
        <f>0.5*(Q2435+Q2436)*R2436</f>
        <v>0.006647758390559929</v>
      </c>
      <c r="T2436" s="75">
        <f>0.5*(F2435*Q2435+F2436*Q2436)*R2436</f>
        <v>0.06839022134067929</v>
      </c>
      <c r="U2436" s="76">
        <f>U2435+S2436</f>
        <v>12.87986023298239</v>
      </c>
      <c r="V2436" s="76">
        <f>V2435+T2436</f>
        <v>74.7606115741574</v>
      </c>
    </row>
    <row r="2437" spans="1:22" ht="19" customHeight="1">
      <c r="A2437" s="68" t="s">
        <v>374</v>
      </c>
      <c r="B2437" s="74">
        <v>3</v>
      </c>
      <c r="C2437" s="68" t="s">
        <v>363</v>
      </c>
      <c r="D2437" s="68" t="s">
        <v>364</v>
      </c>
      <c r="E2437" s="75">
        <f>60*F2437*'THAM_SO_MOI'!$C$51/(2*PI()*'THAM_SO_MOI'!$C$26)</f>
        <v>2586.104233919412</v>
      </c>
      <c r="F2437" s="75">
        <f>'HANH_TRINH'!$F$1647+('THAM_SO_MOI'!$F$51-'HANH_TRINH'!$F$1647)*789/'THAM_SO_MOI'!$C$42</f>
        <v>10.295254894225017</v>
      </c>
      <c r="G2437" s="75">
        <f>3.6*F2437</f>
        <v>37.06291761921006</v>
      </c>
      <c r="H2437" s="75">
        <f>'THAM_SO_MOI'!$D$51</f>
        <v>1.375</v>
      </c>
      <c r="I2437" s="75">
        <f>IF(F2437&gt;'THAM_SO_MOI'!$C$14,'THAM_SO_MOI'!$C$13*(1+F2437^2/1500),'THAM_SO_MOI'!$C$13)</f>
        <v>0.015</v>
      </c>
      <c r="J2437" s="75">
        <f>'THAM_SO_MOI'!$C$40*('THAM_SO_MOI'!$C$23*(E2437/'THAM_SO_MOI'!$C$22)+'THAM_SO_MOI'!$C$24*(E2437/'THAM_SO_MOI'!$C$22)^2-'THAM_SO_MOI'!$C$25*(E2437/'THAM_SO_MOI'!$C$22)^3)</f>
        <v>114.15338847848572</v>
      </c>
      <c r="K2437" s="75">
        <f>'THAM_SO_MOI'!$C$31*J2437/E2437</f>
        <v>421.59562984633334</v>
      </c>
      <c r="L2437" s="75">
        <f>K2437*'THAM_SO_MOI'!$C$51*'THAM_SO_MOI'!$C$17/'THAM_SO_MOI'!$C$26</f>
        <v>9426.54545185074</v>
      </c>
      <c r="M2437" s="75">
        <f>'THAM_SO_MOI'!$C$15*'THAM_SO_MOI'!$C$16*F2437^2</f>
        <v>310.02739951091274</v>
      </c>
      <c r="N2437" s="75">
        <f>'THAM_SO_MOI'!$C$12*I2437</f>
        <v>1130.112</v>
      </c>
      <c r="O2437" s="75">
        <f>M2437+N2437</f>
        <v>1440.1393995109129</v>
      </c>
      <c r="P2437" s="75">
        <f>(MIN(L2437,'THAM_SO_MOI'!$C$41)-O2437)/('THAM_SO_MOI'!$C$11*H2437)</f>
        <v>0.7562884519261199</v>
      </c>
      <c r="Q2437" s="75">
        <f>IF(P2437&gt;0,1/P2437,NA())</f>
        <v>1.322246819256851</v>
      </c>
      <c r="R2437" s="75">
        <f>F2437-F2436</f>
        <v>0.005028991339518285</v>
      </c>
      <c r="S2437" s="75">
        <f>0.5*(Q2436+Q2437)*R2437</f>
        <v>0.006648964091758707</v>
      </c>
      <c r="T2437" s="75">
        <f>0.5*(F2436*Q2436+F2437*Q2437)*R2437</f>
        <v>0.06843606283381679</v>
      </c>
      <c r="U2437" s="76">
        <f>U2436+S2437</f>
        <v>12.88650919707415</v>
      </c>
      <c r="V2437" s="76">
        <f>V2436+T2437</f>
        <v>74.8290476369912</v>
      </c>
    </row>
    <row r="2438" spans="1:22" ht="19" customHeight="1">
      <c r="A2438" s="68" t="s">
        <v>374</v>
      </c>
      <c r="B2438" s="74">
        <v>3</v>
      </c>
      <c r="C2438" s="68" t="s">
        <v>363</v>
      </c>
      <c r="D2438" s="68" t="s">
        <v>364</v>
      </c>
      <c r="E2438" s="75">
        <f>60*F2438*'THAM_SO_MOI'!$C$51/(2*PI()*'THAM_SO_MOI'!$C$26)</f>
        <v>2587.367485381283</v>
      </c>
      <c r="F2438" s="75">
        <f>'HANH_TRINH'!$F$1647+('THAM_SO_MOI'!$F$51-'HANH_TRINH'!$F$1647)*790/'THAM_SO_MOI'!$C$42</f>
        <v>10.300283885564534</v>
      </c>
      <c r="G2438" s="75">
        <f>3.6*F2438</f>
        <v>37.081021988032326</v>
      </c>
      <c r="H2438" s="75">
        <f>'THAM_SO_MOI'!$D$51</f>
        <v>1.375</v>
      </c>
      <c r="I2438" s="75">
        <f>IF(F2438&gt;'THAM_SO_MOI'!$C$14,'THAM_SO_MOI'!$C$13*(1+F2438^2/1500),'THAM_SO_MOI'!$C$13)</f>
        <v>0.015</v>
      </c>
      <c r="J2438" s="75">
        <f>'THAM_SO_MOI'!$C$40*('THAM_SO_MOI'!$C$23*(E2438/'THAM_SO_MOI'!$C$22)+'THAM_SO_MOI'!$C$24*(E2438/'THAM_SO_MOI'!$C$22)^2-'THAM_SO_MOI'!$C$25*(E2438/'THAM_SO_MOI'!$C$22)^3)</f>
        <v>114.19520360103641</v>
      </c>
      <c r="K2438" s="75">
        <f>'THAM_SO_MOI'!$C$31*J2438/E2438</f>
        <v>421.54414858308974</v>
      </c>
      <c r="L2438" s="75">
        <f>K2438*'THAM_SO_MOI'!$C$51*'THAM_SO_MOI'!$C$17/'THAM_SO_MOI'!$C$26</f>
        <v>9425.394371446842</v>
      </c>
      <c r="M2438" s="75">
        <f>'THAM_SO_MOI'!$C$15*'THAM_SO_MOI'!$C$16*F2438^2</f>
        <v>310.33035576041976</v>
      </c>
      <c r="N2438" s="75">
        <f>'THAM_SO_MOI'!$C$12*I2438</f>
        <v>1130.112</v>
      </c>
      <c r="O2438" s="75">
        <f>M2438+N2438</f>
        <v>1440.4423557604198</v>
      </c>
      <c r="P2438" s="75">
        <f>(MIN(L2438,'THAM_SO_MOI'!$C$41)-O2438)/('THAM_SO_MOI'!$C$11*H2438)</f>
        <v>0.7561507590612143</v>
      </c>
      <c r="Q2438" s="75">
        <f>IF(P2438&gt;0,1/P2438,NA())</f>
        <v>1.3224875965760219</v>
      </c>
      <c r="R2438" s="75">
        <f>F2438-F2437</f>
        <v>0.005028991339516509</v>
      </c>
      <c r="S2438" s="75">
        <f>0.5*(Q2437+Q2438)*R2438</f>
        <v>0.006650173236272385</v>
      </c>
      <c r="T2438" s="75">
        <f>0.5*(F2437*Q2437+F2438*Q2438)*R2438</f>
        <v>0.06848195191234323</v>
      </c>
      <c r="U2438" s="76">
        <f>U2437+S2438</f>
        <v>12.893159370310421</v>
      </c>
      <c r="V2438" s="76">
        <f>V2437+T2438</f>
        <v>74.89752958890355</v>
      </c>
    </row>
    <row r="2439" spans="1:22" ht="19" customHeight="1">
      <c r="A2439" s="68" t="s">
        <v>374</v>
      </c>
      <c r="B2439" s="74">
        <v>3</v>
      </c>
      <c r="C2439" s="68" t="s">
        <v>363</v>
      </c>
      <c r="D2439" s="68" t="s">
        <v>364</v>
      </c>
      <c r="E2439" s="75">
        <f>60*F2439*'THAM_SO_MOI'!$C$51/(2*PI()*'THAM_SO_MOI'!$C$26)</f>
        <v>2588.6307368431553</v>
      </c>
      <c r="F2439" s="75">
        <f>'HANH_TRINH'!$F$1647+('THAM_SO_MOI'!$F$51-'HANH_TRINH'!$F$1647)*791/'THAM_SO_MOI'!$C$42</f>
        <v>10.305312876904052</v>
      </c>
      <c r="G2439" s="75">
        <f>3.6*F2439</f>
        <v>37.09912635685459</v>
      </c>
      <c r="H2439" s="75">
        <f>'THAM_SO_MOI'!$D$51</f>
        <v>1.375</v>
      </c>
      <c r="I2439" s="75">
        <f>IF(F2439&gt;'THAM_SO_MOI'!$C$14,'THAM_SO_MOI'!$C$13*(1+F2439^2/1500),'THAM_SO_MOI'!$C$13)</f>
        <v>0.015</v>
      </c>
      <c r="J2439" s="75">
        <f>'THAM_SO_MOI'!$C$40*('THAM_SO_MOI'!$C$23*(E2439/'THAM_SO_MOI'!$C$22)+'THAM_SO_MOI'!$C$24*(E2439/'THAM_SO_MOI'!$C$22)^2-'THAM_SO_MOI'!$C$25*(E2439/'THAM_SO_MOI'!$C$22)^3)</f>
        <v>114.23696314556385</v>
      </c>
      <c r="K2439" s="75">
        <f>'THAM_SO_MOI'!$C$31*J2439/E2439</f>
        <v>421.4925125030158</v>
      </c>
      <c r="L2439" s="75">
        <f>K2439*'THAM_SO_MOI'!$C$51*'THAM_SO_MOI'!$C$17/'THAM_SO_MOI'!$C$26</f>
        <v>9424.239829460843</v>
      </c>
      <c r="M2439" s="75">
        <f>'THAM_SO_MOI'!$C$15*'THAM_SO_MOI'!$C$16*F2439^2</f>
        <v>310.6334599608371</v>
      </c>
      <c r="N2439" s="75">
        <f>'THAM_SO_MOI'!$C$12*I2439</f>
        <v>1130.112</v>
      </c>
      <c r="O2439" s="75">
        <f>M2439+N2439</f>
        <v>1440.7454599608373</v>
      </c>
      <c r="P2439" s="75">
        <f>(MIN(L2439,'THAM_SO_MOI'!$C$41)-O2439)/('THAM_SO_MOI'!$C$11*H2439)</f>
        <v>0.7560127243844703</v>
      </c>
      <c r="Q2439" s="75">
        <f>IF(P2439&gt;0,1/P2439,NA())</f>
        <v>1.3227290596387502</v>
      </c>
      <c r="R2439" s="75">
        <f>F2439-F2438</f>
        <v>0.005028991339518285</v>
      </c>
      <c r="S2439" s="75">
        <f>0.5*(Q2438+Q2439)*R2439</f>
        <v>0.006651385827626802</v>
      </c>
      <c r="T2439" s="75">
        <f>0.5*(F2438*Q2438+F2439*Q2439)*R2439</f>
        <v>0.06852788866453385</v>
      </c>
      <c r="U2439" s="76">
        <f>U2438+S2439</f>
        <v>12.899810756138049</v>
      </c>
      <c r="V2439" s="76">
        <f>V2438+T2439</f>
        <v>74.96605747756809</v>
      </c>
    </row>
    <row r="2440" spans="1:22" ht="19" customHeight="1">
      <c r="A2440" s="68" t="s">
        <v>374</v>
      </c>
      <c r="B2440" s="74">
        <v>3</v>
      </c>
      <c r="C2440" s="68" t="s">
        <v>363</v>
      </c>
      <c r="D2440" s="68" t="s">
        <v>364</v>
      </c>
      <c r="E2440" s="75">
        <f>60*F2440*'THAM_SO_MOI'!$C$51/(2*PI()*'THAM_SO_MOI'!$C$26)</f>
        <v>2589.893988305027</v>
      </c>
      <c r="F2440" s="75">
        <f>'HANH_TRINH'!$F$1647+('THAM_SO_MOI'!$F$51-'HANH_TRINH'!$F$1647)*792/'THAM_SO_MOI'!$C$42</f>
        <v>10.31034186824357</v>
      </c>
      <c r="G2440" s="75">
        <f>3.6*F2440</f>
        <v>37.117230725676855</v>
      </c>
      <c r="H2440" s="75">
        <f>'THAM_SO_MOI'!$D$51</f>
        <v>1.375</v>
      </c>
      <c r="I2440" s="75">
        <f>IF(F2440&gt;'THAM_SO_MOI'!$C$14,'THAM_SO_MOI'!$C$13*(1+F2440^2/1500),'THAM_SO_MOI'!$C$13)</f>
        <v>0.015</v>
      </c>
      <c r="J2440" s="75">
        <f>'THAM_SO_MOI'!$C$40*('THAM_SO_MOI'!$C$23*(E2440/'THAM_SO_MOI'!$C$22)+'THAM_SO_MOI'!$C$24*(E2440/'THAM_SO_MOI'!$C$22)^2-'THAM_SO_MOI'!$C$25*(E2440/'THAM_SO_MOI'!$C$22)^3)</f>
        <v>114.27866705063857</v>
      </c>
      <c r="K2440" s="75">
        <f>'THAM_SO_MOI'!$C$31*J2440/E2440</f>
        <v>421.44072160611114</v>
      </c>
      <c r="L2440" s="75">
        <f>K2440*'THAM_SO_MOI'!$C$51*'THAM_SO_MOI'!$C$17/'THAM_SO_MOI'!$C$26</f>
        <v>9423.081825892727</v>
      </c>
      <c r="M2440" s="75">
        <f>'THAM_SO_MOI'!$C$15*'THAM_SO_MOI'!$C$16*F2440^2</f>
        <v>310.93671211216474</v>
      </c>
      <c r="N2440" s="75">
        <f>'THAM_SO_MOI'!$C$12*I2440</f>
        <v>1130.112</v>
      </c>
      <c r="O2440" s="75">
        <f>M2440+N2440</f>
        <v>1441.0487121121648</v>
      </c>
      <c r="P2440" s="75">
        <f>(MIN(L2440,'THAM_SO_MOI'!$C$41)-O2440)/('THAM_SO_MOI'!$C$11*H2440)</f>
        <v>0.7558743478958865</v>
      </c>
      <c r="Q2440" s="75">
        <f>IF(P2440&gt;0,1/P2440,NA())</f>
        <v>1.322971209148295</v>
      </c>
      <c r="R2440" s="75">
        <f>F2440-F2439</f>
        <v>0.005028991339518285</v>
      </c>
      <c r="S2440" s="75">
        <f>0.5*(Q2439+Q2440)*R2440</f>
        <v>0.006652601869345624</v>
      </c>
      <c r="T2440" s="75">
        <f>0.5*(F2439*Q2439+F2440*Q2440)*R2440</f>
        <v>0.06857387317871246</v>
      </c>
      <c r="U2440" s="76">
        <f>U2439+S2440</f>
        <v>12.906463358007395</v>
      </c>
      <c r="V2440" s="76">
        <f>V2439+T2440</f>
        <v>75.03463135074679</v>
      </c>
    </row>
    <row r="2441" spans="1:22" ht="19" customHeight="1">
      <c r="A2441" s="68" t="s">
        <v>374</v>
      </c>
      <c r="B2441" s="74">
        <v>3</v>
      </c>
      <c r="C2441" s="68" t="s">
        <v>363</v>
      </c>
      <c r="D2441" s="68" t="s">
        <v>364</v>
      </c>
      <c r="E2441" s="75">
        <f>60*F2441*'THAM_SO_MOI'!$C$51/(2*PI()*'THAM_SO_MOI'!$C$26)</f>
        <v>2591.1572397668983</v>
      </c>
      <c r="F2441" s="75">
        <f>'HANH_TRINH'!$F$1647+('THAM_SO_MOI'!$F$51-'HANH_TRINH'!$F$1647)*793/'THAM_SO_MOI'!$C$42</f>
        <v>10.315370859583087</v>
      </c>
      <c r="G2441" s="75">
        <f>3.6*F2441</f>
        <v>37.13533509449911</v>
      </c>
      <c r="H2441" s="75">
        <f>'THAM_SO_MOI'!$D$51</f>
        <v>1.375</v>
      </c>
      <c r="I2441" s="75">
        <f>IF(F2441&gt;'THAM_SO_MOI'!$C$14,'THAM_SO_MOI'!$C$13*(1+F2441^2/1500),'THAM_SO_MOI'!$C$13)</f>
        <v>0.015</v>
      </c>
      <c r="J2441" s="75">
        <f>'THAM_SO_MOI'!$C$40*('THAM_SO_MOI'!$C$23*(E2441/'THAM_SO_MOI'!$C$22)+'THAM_SO_MOI'!$C$24*(E2441/'THAM_SO_MOI'!$C$22)^2-'THAM_SO_MOI'!$C$25*(E2441/'THAM_SO_MOI'!$C$22)^3)</f>
        <v>114.32031525483131</v>
      </c>
      <c r="K2441" s="75">
        <f>'THAM_SO_MOI'!$C$31*J2441/E2441</f>
        <v>421.3887758923761</v>
      </c>
      <c r="L2441" s="75">
        <f>K2441*'THAM_SO_MOI'!$C$51*'THAM_SO_MOI'!$C$17/'THAM_SO_MOI'!$C$26</f>
        <v>9421.920360742506</v>
      </c>
      <c r="M2441" s="75">
        <f>'THAM_SO_MOI'!$C$15*'THAM_SO_MOI'!$C$16*F2441^2</f>
        <v>311.2401122144026</v>
      </c>
      <c r="N2441" s="75">
        <f>'THAM_SO_MOI'!$C$12*I2441</f>
        <v>1130.112</v>
      </c>
      <c r="O2441" s="75">
        <f>M2441+N2441</f>
        <v>1441.3521122144027</v>
      </c>
      <c r="P2441" s="75">
        <f>(MIN(L2441,'THAM_SO_MOI'!$C$41)-O2441)/('THAM_SO_MOI'!$C$11*H2441)</f>
        <v>0.7557356295954644</v>
      </c>
      <c r="Q2441" s="75">
        <f>IF(P2441&gt;0,1/P2441,NA())</f>
        <v>1.3232140458102886</v>
      </c>
      <c r="R2441" s="75">
        <f>F2441-F2440</f>
        <v>0.005028991339516509</v>
      </c>
      <c r="S2441" s="75">
        <f>0.5*(Q2440+Q2441)*R2441</f>
        <v>0.006653821364971501</v>
      </c>
      <c r="T2441" s="75">
        <f>0.5*(F2440*Q2440+F2441*Q2441)*R2441</f>
        <v>0.06861990554346938</v>
      </c>
      <c r="U2441" s="76">
        <f>U2440+S2441</f>
        <v>12.913117179372366</v>
      </c>
      <c r="V2441" s="76">
        <f>V2440+T2441</f>
        <v>75.10325125629026</v>
      </c>
    </row>
    <row r="2442" spans="1:22" ht="19" customHeight="1">
      <c r="A2442" s="68" t="s">
        <v>374</v>
      </c>
      <c r="B2442" s="74">
        <v>3</v>
      </c>
      <c r="C2442" s="68" t="s">
        <v>363</v>
      </c>
      <c r="D2442" s="68" t="s">
        <v>364</v>
      </c>
      <c r="E2442" s="75">
        <f>60*F2442*'THAM_SO_MOI'!$C$51/(2*PI()*'THAM_SO_MOI'!$C$26)</f>
        <v>2592.42049122877</v>
      </c>
      <c r="F2442" s="75">
        <f>'HANH_TRINH'!$F$1647+('THAM_SO_MOI'!$F$51-'HANH_TRINH'!$F$1647)*794/'THAM_SO_MOI'!$C$42</f>
        <v>10.320399850922605</v>
      </c>
      <c r="G2442" s="75">
        <f>3.6*F2442</f>
        <v>37.153439463321384</v>
      </c>
      <c r="H2442" s="75">
        <f>'THAM_SO_MOI'!$D$51</f>
        <v>1.375</v>
      </c>
      <c r="I2442" s="75">
        <f>IF(F2442&gt;'THAM_SO_MOI'!$C$14,'THAM_SO_MOI'!$C$13*(1+F2442^2/1500),'THAM_SO_MOI'!$C$13)</f>
        <v>0.015</v>
      </c>
      <c r="J2442" s="75">
        <f>'THAM_SO_MOI'!$C$40*('THAM_SO_MOI'!$C$23*(E2442/'THAM_SO_MOI'!$C$22)+'THAM_SO_MOI'!$C$24*(E2442/'THAM_SO_MOI'!$C$22)^2-'THAM_SO_MOI'!$C$25*(E2442/'THAM_SO_MOI'!$C$22)^3)</f>
        <v>114.36190769671272</v>
      </c>
      <c r="K2442" s="75">
        <f>'THAM_SO_MOI'!$C$31*J2442/E2442</f>
        <v>421.33667536181053</v>
      </c>
      <c r="L2442" s="75">
        <f>K2442*'THAM_SO_MOI'!$C$51*'THAM_SO_MOI'!$C$17/'THAM_SO_MOI'!$C$26</f>
        <v>9420.755434010176</v>
      </c>
      <c r="M2442" s="75">
        <f>'THAM_SO_MOI'!$C$15*'THAM_SO_MOI'!$C$16*F2442^2</f>
        <v>311.54366026755076</v>
      </c>
      <c r="N2442" s="75">
        <f>'THAM_SO_MOI'!$C$12*I2442</f>
        <v>1130.112</v>
      </c>
      <c r="O2442" s="75">
        <f>M2442+N2442</f>
        <v>1441.655660267551</v>
      </c>
      <c r="P2442" s="75">
        <f>(MIN(L2442,'THAM_SO_MOI'!$C$41)-O2442)/('THAM_SO_MOI'!$C$11*H2442)</f>
        <v>0.7555965694832031</v>
      </c>
      <c r="Q2442" s="75">
        <f>IF(P2442&gt;0,1/P2442,NA())</f>
        <v>1.323457570332749</v>
      </c>
      <c r="R2442" s="75">
        <f>F2442-F2441</f>
        <v>0.005028991339518285</v>
      </c>
      <c r="S2442" s="75">
        <f>0.5*(Q2441+Q2442)*R2442</f>
        <v>0.006655044318066099</v>
      </c>
      <c r="T2442" s="75">
        <f>0.5*(F2441*Q2441+F2442*Q2442)*R2442</f>
        <v>0.06866598584766256</v>
      </c>
      <c r="U2442" s="76">
        <f>U2441+S2442</f>
        <v>12.919772223690432</v>
      </c>
      <c r="V2442" s="76">
        <f>V2441+T2442</f>
        <v>75.17191724213792</v>
      </c>
    </row>
    <row r="2443" spans="1:22" ht="19" customHeight="1">
      <c r="A2443" s="68" t="s">
        <v>374</v>
      </c>
      <c r="B2443" s="74">
        <v>3</v>
      </c>
      <c r="C2443" s="68" t="s">
        <v>363</v>
      </c>
      <c r="D2443" s="68" t="s">
        <v>364</v>
      </c>
      <c r="E2443" s="75">
        <f>60*F2443*'THAM_SO_MOI'!$C$51/(2*PI()*'THAM_SO_MOI'!$C$26)</f>
        <v>2593.683742690642</v>
      </c>
      <c r="F2443" s="75">
        <f>'HANH_TRINH'!$F$1647+('THAM_SO_MOI'!$F$51-'HANH_TRINH'!$F$1647)*795/'THAM_SO_MOI'!$C$42</f>
        <v>10.325428842262124</v>
      </c>
      <c r="G2443" s="75">
        <f>3.6*F2443</f>
        <v>37.17154383214365</v>
      </c>
      <c r="H2443" s="75">
        <f>'THAM_SO_MOI'!$D$51</f>
        <v>1.375</v>
      </c>
      <c r="I2443" s="75">
        <f>IF(F2443&gt;'THAM_SO_MOI'!$C$14,'THAM_SO_MOI'!$C$13*(1+F2443^2/1500),'THAM_SO_MOI'!$C$13)</f>
        <v>0.015</v>
      </c>
      <c r="J2443" s="75">
        <f>'THAM_SO_MOI'!$C$40*('THAM_SO_MOI'!$C$23*(E2443/'THAM_SO_MOI'!$C$22)+'THAM_SO_MOI'!$C$24*(E2443/'THAM_SO_MOI'!$C$22)^2-'THAM_SO_MOI'!$C$25*(E2443/'THAM_SO_MOI'!$C$22)^3)</f>
        <v>114.4034443148534</v>
      </c>
      <c r="K2443" s="75">
        <f>'THAM_SO_MOI'!$C$31*J2443/E2443</f>
        <v>421.2844200144144</v>
      </c>
      <c r="L2443" s="75">
        <f>K2443*'THAM_SO_MOI'!$C$51*'THAM_SO_MOI'!$C$17/'THAM_SO_MOI'!$C$26</f>
        <v>9419.587045695735</v>
      </c>
      <c r="M2443" s="75">
        <f>'THAM_SO_MOI'!$C$15*'THAM_SO_MOI'!$C$16*F2443^2</f>
        <v>311.84735627160927</v>
      </c>
      <c r="N2443" s="75">
        <f>'THAM_SO_MOI'!$C$12*I2443</f>
        <v>1130.112</v>
      </c>
      <c r="O2443" s="75">
        <f>M2443+N2443</f>
        <v>1441.9593562716093</v>
      </c>
      <c r="P2443" s="75">
        <f>(MIN(L2443,'THAM_SO_MOI'!$C$41)-O2443)/('THAM_SO_MOI'!$C$11*H2443)</f>
        <v>0.7554571675591027</v>
      </c>
      <c r="Q2443" s="75">
        <f>IF(P2443&gt;0,1/P2443,NA())</f>
        <v>1.323701783426081</v>
      </c>
      <c r="R2443" s="75">
        <f>F2443-F2442</f>
        <v>0.005028991339518285</v>
      </c>
      <c r="S2443" s="75">
        <f>0.5*(Q2442+Q2443)*R2443</f>
        <v>0.006656270732188987</v>
      </c>
      <c r="T2443" s="75">
        <f>0.5*(F2442*Q2442+F2443*Q2443)*R2443</f>
        <v>0.06871211418019987</v>
      </c>
      <c r="U2443" s="76">
        <f>U2442+S2443</f>
        <v>12.92642849442262</v>
      </c>
      <c r="V2443" s="76">
        <f>V2442+T2443</f>
        <v>75.24062935631812</v>
      </c>
    </row>
    <row r="2444" spans="1:22" ht="19" customHeight="1">
      <c r="A2444" s="68" t="s">
        <v>374</v>
      </c>
      <c r="B2444" s="74">
        <v>3</v>
      </c>
      <c r="C2444" s="68" t="s">
        <v>363</v>
      </c>
      <c r="D2444" s="68" t="s">
        <v>364</v>
      </c>
      <c r="E2444" s="75">
        <f>60*F2444*'THAM_SO_MOI'!$C$51/(2*PI()*'THAM_SO_MOI'!$C$26)</f>
        <v>2594.946994152513</v>
      </c>
      <c r="F2444" s="75">
        <f>'HANH_TRINH'!$F$1647+('THAM_SO_MOI'!$F$51-'HANH_TRINH'!$F$1647)*796/'THAM_SO_MOI'!$C$42</f>
        <v>10.330457833601642</v>
      </c>
      <c r="G2444" s="75">
        <f>3.6*F2444</f>
        <v>37.18964820096591</v>
      </c>
      <c r="H2444" s="75">
        <f>'THAM_SO_MOI'!$D$51</f>
        <v>1.375</v>
      </c>
      <c r="I2444" s="75">
        <f>IF(F2444&gt;'THAM_SO_MOI'!$C$14,'THAM_SO_MOI'!$C$13*(1+F2444^2/1500),'THAM_SO_MOI'!$C$13)</f>
        <v>0.015</v>
      </c>
      <c r="J2444" s="75">
        <f>'THAM_SO_MOI'!$C$40*('THAM_SO_MOI'!$C$23*(E2444/'THAM_SO_MOI'!$C$22)+'THAM_SO_MOI'!$C$24*(E2444/'THAM_SO_MOI'!$C$22)^2-'THAM_SO_MOI'!$C$25*(E2444/'THAM_SO_MOI'!$C$22)^3)</f>
        <v>114.44492504782401</v>
      </c>
      <c r="K2444" s="75">
        <f>'THAM_SO_MOI'!$C$31*J2444/E2444</f>
        <v>421.23200985018786</v>
      </c>
      <c r="L2444" s="75">
        <f>K2444*'THAM_SO_MOI'!$C$51*'THAM_SO_MOI'!$C$17/'THAM_SO_MOI'!$C$26</f>
        <v>9418.415195799185</v>
      </c>
      <c r="M2444" s="75">
        <f>'THAM_SO_MOI'!$C$15*'THAM_SO_MOI'!$C$16*F2444^2</f>
        <v>312.151200226578</v>
      </c>
      <c r="N2444" s="75">
        <f>'THAM_SO_MOI'!$C$12*I2444</f>
        <v>1130.112</v>
      </c>
      <c r="O2444" s="75">
        <f>M2444+N2444</f>
        <v>1442.2632002265782</v>
      </c>
      <c r="P2444" s="75">
        <f>(MIN(L2444,'THAM_SO_MOI'!$C$41)-O2444)/('THAM_SO_MOI'!$C$11*H2444)</f>
        <v>0.7553174238231637</v>
      </c>
      <c r="Q2444" s="75">
        <f>IF(P2444&gt;0,1/P2444,NA())</f>
        <v>1.3239466858030828</v>
      </c>
      <c r="R2444" s="75">
        <f>F2444-F2443</f>
        <v>0.005028991339518285</v>
      </c>
      <c r="S2444" s="75">
        <f>0.5*(Q2443+Q2444)*R2444</f>
        <v>0.006657500610921154</v>
      </c>
      <c r="T2444" s="75">
        <f>0.5*(F2443*Q2443+F2444*Q2444)*R2444</f>
        <v>0.06875829063028202</v>
      </c>
      <c r="U2444" s="76">
        <f>U2443+S2444</f>
        <v>12.93308599503354</v>
      </c>
      <c r="V2444" s="76">
        <f>V2443+T2444</f>
        <v>75.30938764694841</v>
      </c>
    </row>
    <row r="2445" spans="1:22" ht="19" customHeight="1">
      <c r="A2445" s="68" t="s">
        <v>374</v>
      </c>
      <c r="B2445" s="74">
        <v>3</v>
      </c>
      <c r="C2445" s="68" t="s">
        <v>363</v>
      </c>
      <c r="D2445" s="68" t="s">
        <v>364</v>
      </c>
      <c r="E2445" s="75">
        <f>60*F2445*'THAM_SO_MOI'!$C$51/(2*PI()*'THAM_SO_MOI'!$C$26)</f>
        <v>2596.210245614385</v>
      </c>
      <c r="F2445" s="75">
        <f>'HANH_TRINH'!$F$1647+('THAM_SO_MOI'!$F$51-'HANH_TRINH'!$F$1647)*797/'THAM_SO_MOI'!$C$42</f>
        <v>10.335486824941158</v>
      </c>
      <c r="G2445" s="75">
        <f>3.6*F2445</f>
        <v>37.20775256978817</v>
      </c>
      <c r="H2445" s="75">
        <f>'THAM_SO_MOI'!$D$51</f>
        <v>1.375</v>
      </c>
      <c r="I2445" s="75">
        <f>IF(F2445&gt;'THAM_SO_MOI'!$C$14,'THAM_SO_MOI'!$C$13*(1+F2445^2/1500),'THAM_SO_MOI'!$C$13)</f>
        <v>0.015</v>
      </c>
      <c r="J2445" s="75">
        <f>'THAM_SO_MOI'!$C$40*('THAM_SO_MOI'!$C$23*(E2445/'THAM_SO_MOI'!$C$22)+'THAM_SO_MOI'!$C$24*(E2445/'THAM_SO_MOI'!$C$22)^2-'THAM_SO_MOI'!$C$25*(E2445/'THAM_SO_MOI'!$C$22)^3)</f>
        <v>114.48634983419525</v>
      </c>
      <c r="K2445" s="75">
        <f>'THAM_SO_MOI'!$C$31*J2445/E2445</f>
        <v>421.1794448691307</v>
      </c>
      <c r="L2445" s="75">
        <f>K2445*'THAM_SO_MOI'!$C$51*'THAM_SO_MOI'!$C$17/'THAM_SO_MOI'!$C$26</f>
        <v>9417.239884320526</v>
      </c>
      <c r="M2445" s="75">
        <f>'THAM_SO_MOI'!$C$15*'THAM_SO_MOI'!$C$16*F2445^2</f>
        <v>312.45519213245694</v>
      </c>
      <c r="N2445" s="75">
        <f>'THAM_SO_MOI'!$C$12*I2445</f>
        <v>1130.112</v>
      </c>
      <c r="O2445" s="75">
        <f>M2445+N2445</f>
        <v>1442.567192132457</v>
      </c>
      <c r="P2445" s="75">
        <f>(MIN(L2445,'THAM_SO_MOI'!$C$41)-O2445)/('THAM_SO_MOI'!$C$11*H2445)</f>
        <v>0.7551773382753855</v>
      </c>
      <c r="Q2445" s="75">
        <f>IF(P2445&gt;0,1/P2445,NA())</f>
        <v>1.3241922781789524</v>
      </c>
      <c r="R2445" s="75">
        <f>F2445-F2444</f>
        <v>0.005028991339516509</v>
      </c>
      <c r="S2445" s="75">
        <f>0.5*(Q2444+Q2445)*R2445</f>
        <v>0.006658733957850937</v>
      </c>
      <c r="T2445" s="75">
        <f>0.5*(F2444*Q2444+F2445*Q2445)*R2445</f>
        <v>0.06880451528725766</v>
      </c>
      <c r="U2445" s="76">
        <f>U2444+S2445</f>
        <v>12.939744728991391</v>
      </c>
      <c r="V2445" s="76">
        <f>V2444+T2445</f>
        <v>75.37819216223566</v>
      </c>
    </row>
    <row r="2446" spans="1:22" ht="19" customHeight="1">
      <c r="A2446" s="68" t="s">
        <v>374</v>
      </c>
      <c r="B2446" s="74">
        <v>3</v>
      </c>
      <c r="C2446" s="68" t="s">
        <v>363</v>
      </c>
      <c r="D2446" s="68" t="s">
        <v>364</v>
      </c>
      <c r="E2446" s="75">
        <f>60*F2446*'THAM_SO_MOI'!$C$51/(2*PI()*'THAM_SO_MOI'!$C$26)</f>
        <v>2597.473497076256</v>
      </c>
      <c r="F2446" s="75">
        <f>'HANH_TRINH'!$F$1647+('THAM_SO_MOI'!$F$51-'HANH_TRINH'!$F$1647)*798/'THAM_SO_MOI'!$C$42</f>
        <v>10.340515816280675</v>
      </c>
      <c r="G2446" s="75">
        <f>3.6*F2446</f>
        <v>37.225856938610434</v>
      </c>
      <c r="H2446" s="75">
        <f>'THAM_SO_MOI'!$D$51</f>
        <v>1.375</v>
      </c>
      <c r="I2446" s="75">
        <f>IF(F2446&gt;'THAM_SO_MOI'!$C$14,'THAM_SO_MOI'!$C$13*(1+F2446^2/1500),'THAM_SO_MOI'!$C$13)</f>
        <v>0.015</v>
      </c>
      <c r="J2446" s="75">
        <f>'THAM_SO_MOI'!$C$40*('THAM_SO_MOI'!$C$23*(E2446/'THAM_SO_MOI'!$C$22)+'THAM_SO_MOI'!$C$24*(E2446/'THAM_SO_MOI'!$C$22)^2-'THAM_SO_MOI'!$C$25*(E2446/'THAM_SO_MOI'!$C$22)^3)</f>
        <v>114.52771861253774</v>
      </c>
      <c r="K2446" s="75">
        <f>'THAM_SO_MOI'!$C$31*J2446/E2446</f>
        <v>421.1267250712432</v>
      </c>
      <c r="L2446" s="75">
        <f>K2446*'THAM_SO_MOI'!$C$51*'THAM_SO_MOI'!$C$17/'THAM_SO_MOI'!$C$26</f>
        <v>9416.061111259762</v>
      </c>
      <c r="M2446" s="75">
        <f>'THAM_SO_MOI'!$C$15*'THAM_SO_MOI'!$C$16*F2446^2</f>
        <v>312.7593319892461</v>
      </c>
      <c r="N2446" s="75">
        <f>'THAM_SO_MOI'!$C$12*I2446</f>
        <v>1130.112</v>
      </c>
      <c r="O2446" s="75">
        <f>M2446+N2446</f>
        <v>1442.8713319892463</v>
      </c>
      <c r="P2446" s="75">
        <f>(MIN(L2446,'THAM_SO_MOI'!$C$41)-O2446)/('THAM_SO_MOI'!$C$11*H2446)</f>
        <v>0.7550369109157685</v>
      </c>
      <c r="Q2446" s="75">
        <f>IF(P2446&gt;0,1/P2446,NA())</f>
        <v>1.3244385612712906</v>
      </c>
      <c r="R2446" s="75">
        <f>F2446-F2445</f>
        <v>0.005028991339516509</v>
      </c>
      <c r="S2446" s="75">
        <f>0.5*(Q2445+Q2446)*R2446</f>
        <v>0.006659970776585806</v>
      </c>
      <c r="T2446" s="75">
        <f>0.5*(F2445*Q2445+F2446*Q2446)*R2446</f>
        <v>0.06885078824074543</v>
      </c>
      <c r="U2446" s="76">
        <f>U2445+S2446</f>
        <v>12.946404699767976</v>
      </c>
      <c r="V2446" s="76">
        <f>V2445+T2446</f>
        <v>75.44704295047642</v>
      </c>
    </row>
    <row r="2447" spans="1:22" ht="19" customHeight="1">
      <c r="A2447" s="68" t="s">
        <v>374</v>
      </c>
      <c r="B2447" s="74">
        <v>3</v>
      </c>
      <c r="C2447" s="68" t="s">
        <v>363</v>
      </c>
      <c r="D2447" s="68" t="s">
        <v>364</v>
      </c>
      <c r="E2447" s="75">
        <f>60*F2447*'THAM_SO_MOI'!$C$51/(2*PI()*'THAM_SO_MOI'!$C$26)</f>
        <v>2598.7367485381283</v>
      </c>
      <c r="F2447" s="75">
        <f>'HANH_TRINH'!$F$1647+('THAM_SO_MOI'!$F$51-'HANH_TRINH'!$F$1647)*799/'THAM_SO_MOI'!$C$42</f>
        <v>10.345544807620193</v>
      </c>
      <c r="G2447" s="75">
        <f>3.6*F2447</f>
        <v>37.2439613074327</v>
      </c>
      <c r="H2447" s="75">
        <f>'THAM_SO_MOI'!$D$51</f>
        <v>1.375</v>
      </c>
      <c r="I2447" s="75">
        <f>IF(F2447&gt;'THAM_SO_MOI'!$C$14,'THAM_SO_MOI'!$C$13*(1+F2447^2/1500),'THAM_SO_MOI'!$C$13)</f>
        <v>0.015</v>
      </c>
      <c r="J2447" s="75">
        <f>'THAM_SO_MOI'!$C$40*('THAM_SO_MOI'!$C$23*(E2447/'THAM_SO_MOI'!$C$22)+'THAM_SO_MOI'!$C$24*(E2447/'THAM_SO_MOI'!$C$22)^2-'THAM_SO_MOI'!$C$25*(E2447/'THAM_SO_MOI'!$C$22)^3)</f>
        <v>114.56903132142213</v>
      </c>
      <c r="K2447" s="75">
        <f>'THAM_SO_MOI'!$C$31*J2447/E2447</f>
        <v>421.07385045652507</v>
      </c>
      <c r="L2447" s="75">
        <f>K2447*'THAM_SO_MOI'!$C$51*'THAM_SO_MOI'!$C$17/'THAM_SO_MOI'!$C$26</f>
        <v>9414.878876616887</v>
      </c>
      <c r="M2447" s="75">
        <f>'THAM_SO_MOI'!$C$15*'THAM_SO_MOI'!$C$16*F2447^2</f>
        <v>313.06361979694566</v>
      </c>
      <c r="N2447" s="75">
        <f>'THAM_SO_MOI'!$C$12*I2447</f>
        <v>1130.112</v>
      </c>
      <c r="O2447" s="75">
        <f>M2447+N2447</f>
        <v>1443.1756197969457</v>
      </c>
      <c r="P2447" s="75">
        <f>(MIN(L2447,'THAM_SO_MOI'!$C$41)-O2447)/('THAM_SO_MOI'!$C$11*H2447)</f>
        <v>0.7548961417443127</v>
      </c>
      <c r="Q2447" s="75">
        <f>IF(P2447&gt;0,1/P2447,NA())</f>
        <v>1.324685535800109</v>
      </c>
      <c r="R2447" s="75">
        <f>F2447-F2446</f>
        <v>0.005028991339518285</v>
      </c>
      <c r="S2447" s="75">
        <f>0.5*(Q2446+Q2447)*R2447</f>
        <v>0.006661211070740632</v>
      </c>
      <c r="T2447" s="75">
        <f>0.5*(F2446*Q2446+F2447*Q2447)*R2447</f>
        <v>0.06889710958051318</v>
      </c>
      <c r="U2447" s="76">
        <f>U2446+S2447</f>
        <v>12.953065910838717</v>
      </c>
      <c r="V2447" s="76">
        <f>V2446+T2447</f>
        <v>75.51594006005693</v>
      </c>
    </row>
    <row r="2448" spans="1:22" ht="19" customHeight="1">
      <c r="A2448" s="68" t="s">
        <v>374</v>
      </c>
      <c r="B2448" s="74">
        <v>3</v>
      </c>
      <c r="C2448" s="68" t="s">
        <v>363</v>
      </c>
      <c r="D2448" s="68" t="s">
        <v>364</v>
      </c>
      <c r="E2448" s="75">
        <f>60*F2448*'THAM_SO_MOI'!$C$51/(2*PI()*'THAM_SO_MOI'!$C$26)</f>
        <v>2600.0</v>
      </c>
      <c r="F2448" s="75">
        <f>'HANH_TRINH'!$F$1647+('THAM_SO_MOI'!$F$51-'HANH_TRINH'!$F$1647)*800/'THAM_SO_MOI'!$C$42</f>
        <v>10.350573798959712</v>
      </c>
      <c r="G2448" s="75">
        <f>3.6*F2448</f>
        <v>37.26206567625496</v>
      </c>
      <c r="H2448" s="75">
        <f>'THAM_SO_MOI'!$D$51</f>
        <v>1.375</v>
      </c>
      <c r="I2448" s="75">
        <f>IF(F2448&gt;'THAM_SO_MOI'!$C$14,'THAM_SO_MOI'!$C$13*(1+F2448^2/1500),'THAM_SO_MOI'!$C$13)</f>
        <v>0.015</v>
      </c>
      <c r="J2448" s="75">
        <f>'THAM_SO_MOI'!$C$40*('THAM_SO_MOI'!$C$23*(E2448/'THAM_SO_MOI'!$C$22)+'THAM_SO_MOI'!$C$24*(E2448/'THAM_SO_MOI'!$C$22)^2-'THAM_SO_MOI'!$C$25*(E2448/'THAM_SO_MOI'!$C$22)^3)</f>
        <v>114.61028789941905</v>
      </c>
      <c r="K2448" s="75">
        <f>'THAM_SO_MOI'!$C$31*J2448/E2448</f>
        <v>421.0208210249764</v>
      </c>
      <c r="L2448" s="75">
        <f>K2448*'THAM_SO_MOI'!$C$51*'THAM_SO_MOI'!$C$17/'THAM_SO_MOI'!$C$26</f>
        <v>9413.6931803919</v>
      </c>
      <c r="M2448" s="75">
        <f>'THAM_SO_MOI'!$C$15*'THAM_SO_MOI'!$C$16*F2448^2</f>
        <v>313.3680555555555</v>
      </c>
      <c r="N2448" s="75">
        <f>'THAM_SO_MOI'!$C$12*I2448</f>
        <v>1130.112</v>
      </c>
      <c r="O2448" s="75">
        <f>M2448+N2448</f>
        <v>1443.4800555555555</v>
      </c>
      <c r="P2448" s="75">
        <f>(MIN(L2448,'THAM_SO_MOI'!$C$41)-O2448)/('THAM_SO_MOI'!$C$11*H2448)</f>
        <v>0.7547550307610175</v>
      </c>
      <c r="Q2448" s="75">
        <f>IF(P2448&gt;0,1/P2448,NA())</f>
        <v>1.324933202487836</v>
      </c>
      <c r="R2448" s="75">
        <f>F2448-F2447</f>
        <v>0.005028991339518285</v>
      </c>
      <c r="S2448" s="75">
        <f>0.5*(Q2447+Q2448)*R2448</f>
        <v>0.00666245484393772</v>
      </c>
      <c r="T2448" s="75">
        <f>0.5*(F2447*Q2447+F2448*Q2448)*R2448</f>
        <v>0.06894347939647824</v>
      </c>
      <c r="U2448" s="76">
        <f>U2447+S2448</f>
        <v>12.959728365682654</v>
      </c>
      <c r="V2448" s="76">
        <f>V2447+T2448</f>
        <v>75.58488353945341</v>
      </c>
    </row>
    <row r="2449" spans="1:29" ht="19" customHeight="1">
      <c r="A2449" s="68" t="s">
        <v>375</v>
      </c>
      <c r="B2449" s="74">
        <v>3</v>
      </c>
      <c r="C2449" s="68" t="s">
        <v>370</v>
      </c>
      <c r="D2449" s="68" t="s">
        <v>371</v>
      </c>
      <c r="F2449" s="75">
        <f>F2448+S2449*(W2449+2*Y2449+2*AA2449+AC2449)/6</f>
        <v>10.341625329230439</v>
      </c>
      <c r="G2449" s="75">
        <f>3.6*F2449</f>
        <v>37.229851185229585</v>
      </c>
      <c r="H2449" s="75">
        <f>'THAM_SO_MOI'!$C$35</f>
        <v>1.05</v>
      </c>
      <c r="I2449" s="75">
        <f>IF(F2449&gt;'THAM_SO_MOI'!$C$14,'THAM_SO_MOI'!$C$13*(1+F2449^2/1500),'THAM_SO_MOI'!$C$13)</f>
        <v>0.015</v>
      </c>
      <c r="J2449" s="75">
        <f>0</f>
        <v>0.0</v>
      </c>
      <c r="K2449" s="75">
        <f>0</f>
        <v>0.0</v>
      </c>
      <c r="L2449" s="75">
        <f>0</f>
        <v>0.0</v>
      </c>
      <c r="M2449" s="75">
        <f>'THAM_SO_MOI'!$C$15*'THAM_SO_MOI'!$C$16*F2449^2</f>
        <v>312.82645226677823</v>
      </c>
      <c r="N2449" s="75">
        <f>'THAM_SO_MOI'!$C$12*I2449</f>
        <v>1130.112</v>
      </c>
      <c r="O2449" s="75">
        <f>M2449+N2449</f>
        <v>1442.9384522667783</v>
      </c>
      <c r="P2449" s="75">
        <f>-O2449/('THAM_SO_MOI'!$C$11*H2449)</f>
        <v>-0.1789358199735588</v>
      </c>
      <c r="R2449" s="75">
        <f>F2449-F2448</f>
        <v>-0.008948469729272546</v>
      </c>
      <c r="S2449" s="75">
        <f>'THAM_SO_MOI'!$C$34/'THAM_SO_MOI'!$C$43</f>
        <v>0.05</v>
      </c>
      <c r="T2449" s="75">
        <f>S2449*(F2448+2*X2449+2*Z2449+AB2449)/6</f>
        <v>0.51730496421244</v>
      </c>
      <c r="U2449" s="76">
        <f>U2448+S2449</f>
        <v>13.009728365682655</v>
      </c>
      <c r="V2449" s="76">
        <f>V2448+T2449</f>
        <v>76.10218850366586</v>
      </c>
      <c r="W2449" s="75">
        <f>-('THAM_SO_MOI'!$C$12*IF(F2448&gt;'THAM_SO_MOI'!$C$14,'THAM_SO_MOI'!$C$13*(1+F2448^2/1500),'THAM_SO_MOI'!$C$13)+'THAM_SO_MOI'!$C$15*'THAM_SO_MOI'!$C$16*F2448^2)/('THAM_SO_MOI'!$C$11*'THAM_SO_MOI'!$C$35)</f>
        <v>-0.179002983079806</v>
      </c>
      <c r="X2449" s="75">
        <f>F2448+S2449*W2449/2</f>
        <v>10.346098724382717</v>
      </c>
      <c r="Y2449" s="75">
        <f>-('THAM_SO_MOI'!$C$12*IF(X2449&gt;'THAM_SO_MOI'!$C$14,'THAM_SO_MOI'!$C$13*(1+X2449^2/1500),'THAM_SO_MOI'!$C$13)+'THAM_SO_MOI'!$C$15*'THAM_SO_MOI'!$C$16*X2449^2)/('THAM_SO_MOI'!$C$11*'THAM_SO_MOI'!$C$35)</f>
        <v>-0.17896938796291179</v>
      </c>
      <c r="Z2449" s="75">
        <f>F2448+S2449*Y2449/2</f>
        <v>10.346099564260639</v>
      </c>
      <c r="AA2449" s="75">
        <f>-('THAM_SO_MOI'!$C$12*IF(Z2449&gt;'THAM_SO_MOI'!$C$14,'THAM_SO_MOI'!$C$13*(1+Z2449^2/1500),'THAM_SO_MOI'!$C$13)+'THAM_SO_MOI'!$C$15*'THAM_SO_MOI'!$C$16*Z2449^2)/('THAM_SO_MOI'!$C$11*'THAM_SO_MOI'!$C$35)</f>
        <v>-0.17896939426664968</v>
      </c>
      <c r="AB2449" s="75">
        <f>F2448+S2449*AA2449</f>
        <v>10.341625329246378</v>
      </c>
      <c r="AC2449" s="75">
        <f>-('THAM_SO_MOI'!$C$12*IF(AB2449&gt;'THAM_SO_MOI'!$C$14,'THAM_SO_MOI'!$C$13*(1+AB2449^2/1500),'THAM_SO_MOI'!$C$13)+'THAM_SO_MOI'!$C$15*'THAM_SO_MOI'!$C$16*AB2449^2)/('THAM_SO_MOI'!$C$11*'THAM_SO_MOI'!$C$35)</f>
        <v>-0.1789358199736784</v>
      </c>
    </row>
    <row r="2450" spans="1:29" ht="19" customHeight="1">
      <c r="A2450" s="68" t="s">
        <v>375</v>
      </c>
      <c r="B2450" s="74">
        <v>3</v>
      </c>
      <c r="C2450" s="68" t="s">
        <v>370</v>
      </c>
      <c r="D2450" s="68" t="s">
        <v>371</v>
      </c>
      <c r="F2450" s="75">
        <f>F2449+S2450*(W2450+2*Y2450+2*AA2450+AC2450)/6</f>
        <v>10.33268021557491</v>
      </c>
      <c r="G2450" s="75">
        <f>3.6*F2450</f>
        <v>37.19764877606968</v>
      </c>
      <c r="H2450" s="75">
        <f>'THAM_SO_MOI'!$C$35</f>
        <v>1.05</v>
      </c>
      <c r="I2450" s="75">
        <f>IF(F2450&gt;'THAM_SO_MOI'!$C$14,'THAM_SO_MOI'!$C$13*(1+F2450^2/1500),'THAM_SO_MOI'!$C$13)</f>
        <v>0.015</v>
      </c>
      <c r="J2450" s="75">
        <f>0</f>
        <v>0.0</v>
      </c>
      <c r="K2450" s="75">
        <f>0</f>
        <v>0.0</v>
      </c>
      <c r="L2450" s="75">
        <f>0</f>
        <v>0.0</v>
      </c>
      <c r="M2450" s="75">
        <f>'THAM_SO_MOI'!$C$15*'THAM_SO_MOI'!$C$16*F2450^2</f>
        <v>312.28552027919955</v>
      </c>
      <c r="N2450" s="75">
        <f>'THAM_SO_MOI'!$C$12*I2450</f>
        <v>1130.112</v>
      </c>
      <c r="O2450" s="75">
        <f>M2450+N2450</f>
        <v>1442.3975202791996</v>
      </c>
      <c r="P2450" s="75">
        <f>-O2450/('THAM_SO_MOI'!$C$11*H2450)</f>
        <v>-0.17886874011398804</v>
      </c>
      <c r="R2450" s="75">
        <f>F2450-F2449</f>
        <v>-0.008945113655528303</v>
      </c>
      <c r="S2450" s="75">
        <f>'THAM_SO_MOI'!$C$34/'THAM_SO_MOI'!$C$43</f>
        <v>0.05</v>
      </c>
      <c r="T2450" s="75">
        <f>S2450*(F2449+2*X2450+2*Z2450+AB2450)/6</f>
        <v>0.516857624645163</v>
      </c>
      <c r="U2450" s="76">
        <f>U2449+S2450</f>
        <v>13.059728365682655</v>
      </c>
      <c r="V2450" s="76">
        <f>V2449+T2450</f>
        <v>76.61904612831103</v>
      </c>
      <c r="W2450" s="75">
        <f>-('THAM_SO_MOI'!$C$12*IF(F2449&gt;'THAM_SO_MOI'!$C$14,'THAM_SO_MOI'!$C$13*(1+F2449^2/1500),'THAM_SO_MOI'!$C$13)+'THAM_SO_MOI'!$C$15*'THAM_SO_MOI'!$C$16*F2449^2)/('THAM_SO_MOI'!$C$11*'THAM_SO_MOI'!$C$35)</f>
        <v>-0.1789358199735588</v>
      </c>
      <c r="X2450" s="75">
        <f>F2449+S2450*W2450/2</f>
        <v>10.3371519337311</v>
      </c>
      <c r="Y2450" s="75">
        <f>-('THAM_SO_MOI'!$C$12*IF(X2450&gt;'THAM_SO_MOI'!$C$14,'THAM_SO_MOI'!$C$13*(1+X2450^2/1500),'THAM_SO_MOI'!$C$13)+'THAM_SO_MOI'!$C$15*'THAM_SO_MOI'!$C$16*X2450^2)/('THAM_SO_MOI'!$C$11*'THAM_SO_MOI'!$C$35)</f>
        <v>-0.17890226649870336</v>
      </c>
      <c r="Z2450" s="75">
        <f>F2449+S2450*Y2450/2</f>
        <v>10.337152772567972</v>
      </c>
      <c r="AA2450" s="75">
        <f>-('THAM_SO_MOI'!$C$12*IF(Z2450&gt;'THAM_SO_MOI'!$C$14,'THAM_SO_MOI'!$C$13*(1+Z2450^2/1500),'THAM_SO_MOI'!$C$13)+'THAM_SO_MOI'!$C$15*'THAM_SO_MOI'!$C$16*Z2450^2)/('THAM_SO_MOI'!$C$11*'THAM_SO_MOI'!$C$35)</f>
        <v>-0.17890227278918325</v>
      </c>
      <c r="AB2450" s="75">
        <f>F2449+S2450*AA2450</f>
        <v>10.33268021559098</v>
      </c>
      <c r="AC2450" s="75">
        <f>-('THAM_SO_MOI'!$C$12*IF(AB2450&gt;'THAM_SO_MOI'!$C$14,'THAM_SO_MOI'!$C$13*(1+AB2450^2/1500),'THAM_SO_MOI'!$C$13)+'THAM_SO_MOI'!$C$15*'THAM_SO_MOI'!$C$16*AB2450^2)/('THAM_SO_MOI'!$C$11*'THAM_SO_MOI'!$C$35)</f>
        <v>-0.1788687401141085</v>
      </c>
    </row>
    <row r="2451" spans="1:29" ht="19" customHeight="1">
      <c r="A2451" s="68" t="s">
        <v>375</v>
      </c>
      <c r="B2451" s="74">
        <v>3</v>
      </c>
      <c r="C2451" s="68" t="s">
        <v>370</v>
      </c>
      <c r="D2451" s="68" t="s">
        <v>371</v>
      </c>
      <c r="F2451" s="75">
        <f>F2450+S2451*(W2451+2*Y2451+2*AA2451+AC2451)/6</f>
        <v>10.323738453833204</v>
      </c>
      <c r="G2451" s="75">
        <f>3.6*F2451</f>
        <v>37.165458433799536</v>
      </c>
      <c r="H2451" s="75">
        <f>'THAM_SO_MOI'!$C$35</f>
        <v>1.05</v>
      </c>
      <c r="I2451" s="75">
        <f>IF(F2451&gt;'THAM_SO_MOI'!$C$14,'THAM_SO_MOI'!$C$13*(1+F2451^2/1500),'THAM_SO_MOI'!$C$13)</f>
        <v>0.015</v>
      </c>
      <c r="J2451" s="75">
        <f>0</f>
        <v>0.0</v>
      </c>
      <c r="K2451" s="75">
        <f>0</f>
        <v>0.0</v>
      </c>
      <c r="L2451" s="75">
        <f>0</f>
        <v>0.0</v>
      </c>
      <c r="M2451" s="75">
        <f>'THAM_SO_MOI'!$C$15*'THAM_SO_MOI'!$C$16*F2451^2</f>
        <v>311.74525881472664</v>
      </c>
      <c r="N2451" s="75">
        <f>'THAM_SO_MOI'!$C$12*I2451</f>
        <v>1130.112</v>
      </c>
      <c r="O2451" s="75">
        <f>M2451+N2451</f>
        <v>1441.8572588147267</v>
      </c>
      <c r="P2451" s="75">
        <f>-O2451/('THAM_SO_MOI'!$C$11*H2451)</f>
        <v>-0.178801743404604</v>
      </c>
      <c r="R2451" s="75">
        <f>F2451-F2450</f>
        <v>-0.008941761741706244</v>
      </c>
      <c r="S2451" s="75">
        <f>'THAM_SO_MOI'!$C$34/'THAM_SO_MOI'!$C$43</f>
        <v>0.05</v>
      </c>
      <c r="T2451" s="75">
        <f>S2451*(F2450+2*X2451+2*Z2451+AB2451)/6</f>
        <v>0.5164104527775552</v>
      </c>
      <c r="U2451" s="76">
        <f>U2450+S2451</f>
        <v>13.109728365682656</v>
      </c>
      <c r="V2451" s="76">
        <f>V2450+T2451</f>
        <v>77.13545658108858</v>
      </c>
      <c r="W2451" s="75">
        <f>-('THAM_SO_MOI'!$C$12*IF(F2450&gt;'THAM_SO_MOI'!$C$14,'THAM_SO_MOI'!$C$13*(1+F2450^2/1500),'THAM_SO_MOI'!$C$13)+'THAM_SO_MOI'!$C$15*'THAM_SO_MOI'!$C$16*F2450^2)/('THAM_SO_MOI'!$C$11*'THAM_SO_MOI'!$C$35)</f>
        <v>-0.17886874011398804</v>
      </c>
      <c r="X2451" s="75">
        <f>F2450+S2451*W2451/2</f>
        <v>10.328208497072062</v>
      </c>
      <c r="Y2451" s="75">
        <f>-('THAM_SO_MOI'!$C$12*IF(X2451&gt;'THAM_SO_MOI'!$C$14,'THAM_SO_MOI'!$C$13*(1+X2451^2/1500),'THAM_SO_MOI'!$C$13)+'THAM_SO_MOI'!$C$15*'THAM_SO_MOI'!$C$16*X2451^2)/('THAM_SO_MOI'!$C$11*'THAM_SO_MOI'!$C$35)</f>
        <v>-0.17883522823289316</v>
      </c>
      <c r="Z2451" s="75">
        <f>F2450+S2451*Y2451/2</f>
        <v>10.328209334869088</v>
      </c>
      <c r="AA2451" s="75">
        <f>-('THAM_SO_MOI'!$C$12*IF(Z2451&gt;'THAM_SO_MOI'!$C$14,'THAM_SO_MOI'!$C$13*(1+Z2451^2/1500),'THAM_SO_MOI'!$C$13)+'THAM_SO_MOI'!$C$15*'THAM_SO_MOI'!$C$16*Z2451^2)/('THAM_SO_MOI'!$C$11*'THAM_SO_MOI'!$C$35)</f>
        <v>-0.17883523451013952</v>
      </c>
      <c r="AB2451" s="75">
        <f>F2450+S2451*AA2451</f>
        <v>10.323738453849403</v>
      </c>
      <c r="AC2451" s="75">
        <f>-('THAM_SO_MOI'!$C$12*IF(AB2451&gt;'THAM_SO_MOI'!$C$14,'THAM_SO_MOI'!$C$13*(1+AB2451^2/1500),'THAM_SO_MOI'!$C$13)+'THAM_SO_MOI'!$C$15*'THAM_SO_MOI'!$C$16*AB2451^2)/('THAM_SO_MOI'!$C$11*'THAM_SO_MOI'!$C$35)</f>
        <v>-0.17880174340472535</v>
      </c>
    </row>
    <row r="2452" spans="1:29" ht="19" customHeight="1">
      <c r="A2452" s="68" t="s">
        <v>375</v>
      </c>
      <c r="B2452" s="74">
        <v>3</v>
      </c>
      <c r="C2452" s="68" t="s">
        <v>370</v>
      </c>
      <c r="D2452" s="68" t="s">
        <v>371</v>
      </c>
      <c r="F2452" s="75">
        <f>F2451+S2452*(W2452+2*Y2452+2*AA2452+AC2452)/6</f>
        <v>10.314800039850219</v>
      </c>
      <c r="G2452" s="75">
        <f>3.6*F2452</f>
        <v>37.13328014346079</v>
      </c>
      <c r="H2452" s="75">
        <f>'THAM_SO_MOI'!$C$35</f>
        <v>1.05</v>
      </c>
      <c r="I2452" s="75">
        <f>IF(F2452&gt;'THAM_SO_MOI'!$C$14,'THAM_SO_MOI'!$C$13*(1+F2452^2/1500),'THAM_SO_MOI'!$C$13)</f>
        <v>0.015</v>
      </c>
      <c r="J2452" s="75">
        <f>0</f>
        <v>0.0</v>
      </c>
      <c r="K2452" s="75">
        <f>0</f>
        <v>0.0</v>
      </c>
      <c r="L2452" s="75">
        <f>0</f>
        <v>0.0</v>
      </c>
      <c r="M2452" s="75">
        <f>'THAM_SO_MOI'!$C$15*'THAM_SO_MOI'!$C$16*F2452^2</f>
        <v>311.20566709662523</v>
      </c>
      <c r="N2452" s="75">
        <f>'THAM_SO_MOI'!$C$12*I2452</f>
        <v>1130.112</v>
      </c>
      <c r="O2452" s="75">
        <f>M2452+N2452</f>
        <v>1441.3176670966254</v>
      </c>
      <c r="P2452" s="75">
        <f>-O2452/('THAM_SO_MOI'!$C$11*H2452)</f>
        <v>-0.1787348297490855</v>
      </c>
      <c r="R2452" s="75">
        <f>F2452-F2451</f>
        <v>-0.008938413982985338</v>
      </c>
      <c r="S2452" s="75">
        <f>'THAM_SO_MOI'!$C$34/'THAM_SO_MOI'!$C$43</f>
        <v>0.05</v>
      </c>
      <c r="T2452" s="75">
        <f>S2452*(F2451+2*X2452+2*Z2452+AB2452)/6</f>
        <v>0.5159634484017407</v>
      </c>
      <c r="U2452" s="76">
        <f>U2451+S2452</f>
        <v>13.159728365682657</v>
      </c>
      <c r="V2452" s="76">
        <f>V2451+T2452</f>
        <v>77.65142002949031</v>
      </c>
      <c r="W2452" s="75">
        <f>-('THAM_SO_MOI'!$C$12*IF(F2451&gt;'THAM_SO_MOI'!$C$14,'THAM_SO_MOI'!$C$13*(1+F2451^2/1500),'THAM_SO_MOI'!$C$13)+'THAM_SO_MOI'!$C$15*'THAM_SO_MOI'!$C$16*F2451^2)/('THAM_SO_MOI'!$C$11*'THAM_SO_MOI'!$C$35)</f>
        <v>-0.178801743404604</v>
      </c>
      <c r="X2452" s="75">
        <f>F2451+S2452*W2452/2</f>
        <v>10.319268410248089</v>
      </c>
      <c r="Y2452" s="75">
        <f>-('THAM_SO_MOI'!$C$12*IF(X2452&gt;'THAM_SO_MOI'!$C$14,'THAM_SO_MOI'!$C$13*(1+X2452^2/1500),'THAM_SO_MOI'!$C$13)+'THAM_SO_MOI'!$C$15*'THAM_SO_MOI'!$C$16*X2452^2)/('THAM_SO_MOI'!$C$11*'THAM_SO_MOI'!$C$35)</f>
        <v>-0.17876827306907575</v>
      </c>
      <c r="Z2452" s="75">
        <f>F2451+S2452*Y2452/2</f>
        <v>10.319269247006478</v>
      </c>
      <c r="AA2452" s="75">
        <f>-('THAM_SO_MOI'!$C$12*IF(Z2452&gt;'THAM_SO_MOI'!$C$14,'THAM_SO_MOI'!$C$13*(1+Z2452^2/1500),'THAM_SO_MOI'!$C$13)+'THAM_SO_MOI'!$C$15*'THAM_SO_MOI'!$C$16*Z2452^2)/('THAM_SO_MOI'!$C$11*'THAM_SO_MOI'!$C$35)</f>
        <v>-0.1787682793331132</v>
      </c>
      <c r="AB2452" s="75">
        <f>F2451+S2452*AA2452</f>
        <v>10.31480003986655</v>
      </c>
      <c r="AC2452" s="75">
        <f>-('THAM_SO_MOI'!$C$12*IF(AB2452&gt;'THAM_SO_MOI'!$C$14,'THAM_SO_MOI'!$C$13*(1+AB2452^2/1500),'THAM_SO_MOI'!$C$13)+'THAM_SO_MOI'!$C$15*'THAM_SO_MOI'!$C$16*AB2452^2)/('THAM_SO_MOI'!$C$11*'THAM_SO_MOI'!$C$35)</f>
        <v>-0.17873482974920768</v>
      </c>
    </row>
    <row r="2453" spans="1:29" ht="19" customHeight="1">
      <c r="A2453" s="68" t="s">
        <v>375</v>
      </c>
      <c r="B2453" s="74">
        <v>3</v>
      </c>
      <c r="C2453" s="68" t="s">
        <v>370</v>
      </c>
      <c r="D2453" s="68" t="s">
        <v>371</v>
      </c>
      <c r="F2453" s="75">
        <f>F2452+S2453*(W2453+2*Y2453+2*AA2453+AC2453)/6</f>
        <v>10.305864969475667</v>
      </c>
      <c r="G2453" s="75">
        <f>3.6*F2453</f>
        <v>37.1011138901124</v>
      </c>
      <c r="H2453" s="75">
        <f>'THAM_SO_MOI'!$C$35</f>
        <v>1.05</v>
      </c>
      <c r="I2453" s="75">
        <f>IF(F2453&gt;'THAM_SO_MOI'!$C$14,'THAM_SO_MOI'!$C$13*(1+F2453^2/1500),'THAM_SO_MOI'!$C$13)</f>
        <v>0.015</v>
      </c>
      <c r="J2453" s="75">
        <f>0</f>
        <v>0.0</v>
      </c>
      <c r="K2453" s="75">
        <f>0</f>
        <v>0.0</v>
      </c>
      <c r="L2453" s="75">
        <f>0</f>
        <v>0.0</v>
      </c>
      <c r="M2453" s="75">
        <f>'THAM_SO_MOI'!$C$15*'THAM_SO_MOI'!$C$16*F2453^2</f>
        <v>310.6667443495172</v>
      </c>
      <c r="N2453" s="75">
        <f>'THAM_SO_MOI'!$C$12*I2453</f>
        <v>1130.112</v>
      </c>
      <c r="O2453" s="75">
        <f>M2453+N2453</f>
        <v>1440.7787443495172</v>
      </c>
      <c r="P2453" s="75">
        <f>-O2453/('THAM_SO_MOI'!$C$11*H2453)</f>
        <v>-0.17866799905127942</v>
      </c>
      <c r="R2453" s="75">
        <f>F2453-F2452</f>
        <v>-0.008935070374551657</v>
      </c>
      <c r="S2453" s="75">
        <f>'THAM_SO_MOI'!$C$34/'THAM_SO_MOI'!$C$43</f>
        <v>0.05</v>
      </c>
      <c r="T2453" s="75">
        <f>S2453*(F2452+2*X2453+2*Z2453+AB2453)/6</f>
        <v>0.5155166113100852</v>
      </c>
      <c r="U2453" s="76">
        <f>U2452+S2453</f>
        <v>13.209728365682658</v>
      </c>
      <c r="V2453" s="76">
        <f>V2452+T2453</f>
        <v>78.1669366408004</v>
      </c>
      <c r="W2453" s="75">
        <f>-('THAM_SO_MOI'!$C$12*IF(F2452&gt;'THAM_SO_MOI'!$C$14,'THAM_SO_MOI'!$C$13*(1+F2452^2/1500),'THAM_SO_MOI'!$C$13)+'THAM_SO_MOI'!$C$15*'THAM_SO_MOI'!$C$16*F2452^2)/('THAM_SO_MOI'!$C$11*'THAM_SO_MOI'!$C$35)</f>
        <v>-0.1787348297490855</v>
      </c>
      <c r="X2453" s="75">
        <f>F2452+S2453*W2453/2</f>
        <v>10.310331669106493</v>
      </c>
      <c r="Y2453" s="75">
        <f>-('THAM_SO_MOI'!$C$12*IF(X2453&gt;'THAM_SO_MOI'!$C$14,'THAM_SO_MOI'!$C$13*(1+X2453^2/1500),'THAM_SO_MOI'!$C$13)+'THAM_SO_MOI'!$C$15*'THAM_SO_MOI'!$C$16*X2453^2)/('THAM_SO_MOI'!$C$11*'THAM_SO_MOI'!$C$35)</f>
        <v>-0.17870140091101408</v>
      </c>
      <c r="Z2453" s="75">
        <f>F2452+S2453*Y2453/2</f>
        <v>10.310332504827445</v>
      </c>
      <c r="AA2453" s="75">
        <f>-('THAM_SO_MOI'!$C$12*IF(Z2453&gt;'THAM_SO_MOI'!$C$14,'THAM_SO_MOI'!$C$13*(1+Z2453^2/1500),'THAM_SO_MOI'!$C$13)+'THAM_SO_MOI'!$C$15*'THAM_SO_MOI'!$C$16*Z2453^2)/('THAM_SO_MOI'!$C$11*'THAM_SO_MOI'!$C$35)</f>
        <v>-0.17870140716186714</v>
      </c>
      <c r="AB2453" s="75">
        <f>F2452+S2453*AA2453</f>
        <v>10.305864969492125</v>
      </c>
      <c r="AC2453" s="75">
        <f>-('THAM_SO_MOI'!$C$12*IF(AB2453&gt;'THAM_SO_MOI'!$C$14,'THAM_SO_MOI'!$C$13*(1+AB2453^2/1500),'THAM_SO_MOI'!$C$13)+'THAM_SO_MOI'!$C$15*'THAM_SO_MOI'!$C$16*AB2453^2)/('THAM_SO_MOI'!$C$11*'THAM_SO_MOI'!$C$35)</f>
        <v>-0.17866799905140246</v>
      </c>
    </row>
    <row r="2454" spans="1:29" ht="19" customHeight="1">
      <c r="A2454" s="68" t="s">
        <v>375</v>
      </c>
      <c r="B2454" s="74">
        <v>3</v>
      </c>
      <c r="C2454" s="68" t="s">
        <v>370</v>
      </c>
      <c r="D2454" s="68" t="s">
        <v>371</v>
      </c>
      <c r="F2454" s="75">
        <f>F2453+S2454*(W2454+2*Y2454+2*AA2454+AC2454)/6</f>
        <v>10.296933238564064</v>
      </c>
      <c r="G2454" s="75">
        <f>3.6*F2454</f>
        <v>37.06895965883063</v>
      </c>
      <c r="H2454" s="75">
        <f>'THAM_SO_MOI'!$C$35</f>
        <v>1.05</v>
      </c>
      <c r="I2454" s="75">
        <f>IF(F2454&gt;'THAM_SO_MOI'!$C$14,'THAM_SO_MOI'!$C$13*(1+F2454^2/1500),'THAM_SO_MOI'!$C$13)</f>
        <v>0.015</v>
      </c>
      <c r="J2454" s="75">
        <f>0</f>
        <v>0.0</v>
      </c>
      <c r="K2454" s="75">
        <f>0</f>
        <v>0.0</v>
      </c>
      <c r="L2454" s="75">
        <f>0</f>
        <v>0.0</v>
      </c>
      <c r="M2454" s="75">
        <f>'THAM_SO_MOI'!$C$15*'THAM_SO_MOI'!$C$16*F2454^2</f>
        <v>310.12848979937786</v>
      </c>
      <c r="N2454" s="75">
        <f>'THAM_SO_MOI'!$C$12*I2454</f>
        <v>1130.112</v>
      </c>
      <c r="O2454" s="75">
        <f>M2454+N2454</f>
        <v>1440.2404897993779</v>
      </c>
      <c r="P2454" s="75">
        <f>-O2454/('THAM_SO_MOI'!$C$11*H2454)</f>
        <v>-0.17860125121520062</v>
      </c>
      <c r="R2454" s="75">
        <f>F2454-F2453</f>
        <v>-0.008931730911603708</v>
      </c>
      <c r="S2454" s="75">
        <f>'THAM_SO_MOI'!$C$34/'THAM_SO_MOI'!$C$43</f>
        <v>0.05</v>
      </c>
      <c r="T2454" s="75">
        <f>S2454*(F2453+2*X2454+2*Z2454+AB2454)/6</f>
        <v>0.5150699412951941</v>
      </c>
      <c r="U2454" s="76">
        <f>U2453+S2454</f>
        <v>13.259728365682658</v>
      </c>
      <c r="V2454" s="76">
        <f>V2453+T2454</f>
        <v>78.6820065820956</v>
      </c>
      <c r="W2454" s="75">
        <f>-('THAM_SO_MOI'!$C$12*IF(F2453&gt;'THAM_SO_MOI'!$C$14,'THAM_SO_MOI'!$C$13*(1+F2453^2/1500),'THAM_SO_MOI'!$C$13)+'THAM_SO_MOI'!$C$15*'THAM_SO_MOI'!$C$16*F2453^2)/('THAM_SO_MOI'!$C$11*'THAM_SO_MOI'!$C$35)</f>
        <v>-0.17866799905127942</v>
      </c>
      <c r="X2454" s="75">
        <f>F2453+S2454*W2454/2</f>
        <v>10.301398269499385</v>
      </c>
      <c r="Y2454" s="75">
        <f>-('THAM_SO_MOI'!$C$12*IF(X2454&gt;'THAM_SO_MOI'!$C$14,'THAM_SO_MOI'!$C$13*(1+X2454^2/1500),'THAM_SO_MOI'!$C$13)+'THAM_SO_MOI'!$C$15*'THAM_SO_MOI'!$C$16*X2454^2)/('THAM_SO_MOI'!$C$11*'THAM_SO_MOI'!$C$35)</f>
        <v>-0.17863461166263908</v>
      </c>
      <c r="Z2454" s="75">
        <f>F2453+S2454*Y2454/2</f>
        <v>10.301399104184101</v>
      </c>
      <c r="AA2454" s="75">
        <f>-('THAM_SO_MOI'!$C$12*IF(Z2454&gt;'THAM_SO_MOI'!$C$14,'THAM_SO_MOI'!$C$13*(1+Z2454^2/1500),'THAM_SO_MOI'!$C$13)+'THAM_SO_MOI'!$C$15*'THAM_SO_MOI'!$C$16*Z2454^2)/('THAM_SO_MOI'!$C$11*'THAM_SO_MOI'!$C$35)</f>
        <v>-0.1786346179003322</v>
      </c>
      <c r="AB2454" s="75">
        <f>F2453+S2454*AA2454</f>
        <v>10.296933238580651</v>
      </c>
      <c r="AC2454" s="75">
        <f>-('THAM_SO_MOI'!$C$12*IF(AB2454&gt;'THAM_SO_MOI'!$C$14,'THAM_SO_MOI'!$C$13*(1+AB2454^2/1500),'THAM_SO_MOI'!$C$13)+'THAM_SO_MOI'!$C$15*'THAM_SO_MOI'!$C$16*AB2454^2)/('THAM_SO_MOI'!$C$11*'THAM_SO_MOI'!$C$35)</f>
        <v>-0.17860125121532455</v>
      </c>
    </row>
    <row r="2455" spans="1:29" ht="19" customHeight="1">
      <c r="A2455" s="68" t="s">
        <v>375</v>
      </c>
      <c r="B2455" s="74">
        <v>3</v>
      </c>
      <c r="C2455" s="68" t="s">
        <v>370</v>
      </c>
      <c r="D2455" s="68" t="s">
        <v>371</v>
      </c>
      <c r="F2455" s="75">
        <f>F2454+S2455*(W2455+2*Y2455+2*AA2455+AC2455)/6</f>
        <v>10.288004842974717</v>
      </c>
      <c r="G2455" s="75">
        <f>3.6*F2455</f>
        <v>37.03681743470898</v>
      </c>
      <c r="H2455" s="75">
        <f>'THAM_SO_MOI'!$C$35</f>
        <v>1.05</v>
      </c>
      <c r="I2455" s="75">
        <f>IF(F2455&gt;'THAM_SO_MOI'!$C$14,'THAM_SO_MOI'!$C$13*(1+F2455^2/1500),'THAM_SO_MOI'!$C$13)</f>
        <v>0.015</v>
      </c>
      <c r="J2455" s="75">
        <f>0</f>
        <v>0.0</v>
      </c>
      <c r="K2455" s="75">
        <f>0</f>
        <v>0.0</v>
      </c>
      <c r="L2455" s="75">
        <f>0</f>
        <v>0.0</v>
      </c>
      <c r="M2455" s="75">
        <f>'THAM_SO_MOI'!$C$15*'THAM_SO_MOI'!$C$16*F2455^2</f>
        <v>309.5909026735333</v>
      </c>
      <c r="N2455" s="75">
        <f>'THAM_SO_MOI'!$C$12*I2455</f>
        <v>1130.112</v>
      </c>
      <c r="O2455" s="75">
        <f>M2455+N2455</f>
        <v>1439.7029026735333</v>
      </c>
      <c r="P2455" s="75">
        <f>-O2455/('THAM_SO_MOI'!$C$11*H2455)</f>
        <v>-0.17853458614503143</v>
      </c>
      <c r="R2455" s="75">
        <f>F2455-F2454</f>
        <v>-0.008928395589347105</v>
      </c>
      <c r="S2455" s="75">
        <f>'THAM_SO_MOI'!$C$34/'THAM_SO_MOI'!$C$43</f>
        <v>0.05</v>
      </c>
      <c r="T2455" s="75">
        <f>S2455*(F2454+2*X2455+2*Z2455+AB2455)/6</f>
        <v>0.5146234381499133</v>
      </c>
      <c r="U2455" s="76">
        <f>U2454+S2455</f>
        <v>13.309728365682659</v>
      </c>
      <c r="V2455" s="76">
        <f>V2454+T2455</f>
        <v>79.19663002024551</v>
      </c>
      <c r="W2455" s="75">
        <f>-('THAM_SO_MOI'!$C$12*IF(F2454&gt;'THAM_SO_MOI'!$C$14,'THAM_SO_MOI'!$C$13*(1+F2454^2/1500),'THAM_SO_MOI'!$C$13)+'THAM_SO_MOI'!$C$15*'THAM_SO_MOI'!$C$16*F2454^2)/('THAM_SO_MOI'!$C$11*'THAM_SO_MOI'!$C$35)</f>
        <v>-0.17860125121520062</v>
      </c>
      <c r="X2455" s="75">
        <f>F2454+S2455*W2455/2</f>
        <v>10.292468207283683</v>
      </c>
      <c r="Y2455" s="75">
        <f>-('THAM_SO_MOI'!$C$12*IF(X2455&gt;'THAM_SO_MOI'!$C$14,'THAM_SO_MOI'!$C$13*(1+X2455^2/1500),'THAM_SO_MOI'!$C$13)+'THAM_SO_MOI'!$C$15*'THAM_SO_MOI'!$C$16*X2455^2)/('THAM_SO_MOI'!$C$11*'THAM_SO_MOI'!$C$35)</f>
        <v>-0.1785679052280494</v>
      </c>
      <c r="Z2455" s="75">
        <f>F2454+S2455*Y2455/2</f>
        <v>10.292469040933362</v>
      </c>
      <c r="AA2455" s="75">
        <f>-('THAM_SO_MOI'!$C$12*IF(Z2455&gt;'THAM_SO_MOI'!$C$14,'THAM_SO_MOI'!$C$13*(1+Z2455^2/1500),'THAM_SO_MOI'!$C$13)+'THAM_SO_MOI'!$C$15*'THAM_SO_MOI'!$C$16*Z2455^2)/('THAM_SO_MOI'!$C$11*'THAM_SO_MOI'!$C$35)</f>
        <v>-0.17856791145260695</v>
      </c>
      <c r="AB2455" s="75">
        <f>F2454+S2455*AA2455</f>
        <v>10.288004842991434</v>
      </c>
      <c r="AC2455" s="75">
        <f>-('THAM_SO_MOI'!$C$12*IF(AB2455&gt;'THAM_SO_MOI'!$C$14,'THAM_SO_MOI'!$C$13*(1+AB2455^2/1500),'THAM_SO_MOI'!$C$13)+'THAM_SO_MOI'!$C$15*'THAM_SO_MOI'!$C$16*AB2455^2)/('THAM_SO_MOI'!$C$11*'THAM_SO_MOI'!$C$35)</f>
        <v>-0.1785345861451562</v>
      </c>
    </row>
    <row r="2456" spans="1:29" ht="19" customHeight="1">
      <c r="A2456" s="68" t="s">
        <v>375</v>
      </c>
      <c r="B2456" s="74">
        <v>3</v>
      </c>
      <c r="C2456" s="68" t="s">
        <v>370</v>
      </c>
      <c r="D2456" s="68" t="s">
        <v>371</v>
      </c>
      <c r="F2456" s="75">
        <f>F2455+S2456*(W2456+2*Y2456+2*AA2456+AC2456)/6</f>
        <v>10.279079778571724</v>
      </c>
      <c r="G2456" s="75">
        <f>3.6*F2456</f>
        <v>37.00468720285821</v>
      </c>
      <c r="H2456" s="75">
        <f>'THAM_SO_MOI'!$C$35</f>
        <v>1.05</v>
      </c>
      <c r="I2456" s="75">
        <f>IF(F2456&gt;'THAM_SO_MOI'!$C$14,'THAM_SO_MOI'!$C$13*(1+F2456^2/1500),'THAM_SO_MOI'!$C$13)</f>
        <v>0.015</v>
      </c>
      <c r="J2456" s="75">
        <f>0</f>
        <v>0.0</v>
      </c>
      <c r="K2456" s="75">
        <f>0</f>
        <v>0.0</v>
      </c>
      <c r="L2456" s="75">
        <f>0</f>
        <v>0.0</v>
      </c>
      <c r="M2456" s="75">
        <f>'THAM_SO_MOI'!$C$15*'THAM_SO_MOI'!$C$16*F2456^2</f>
        <v>309.05398220065825</v>
      </c>
      <c r="N2456" s="75">
        <f>'THAM_SO_MOI'!$C$12*I2456</f>
        <v>1130.112</v>
      </c>
      <c r="O2456" s="75">
        <f>M2456+N2456</f>
        <v>1439.1659822006584</v>
      </c>
      <c r="P2456" s="75">
        <f>-O2456/('THAM_SO_MOI'!$C$11*H2456)</f>
        <v>-0.17846800374512134</v>
      </c>
      <c r="R2456" s="75">
        <f>F2456-F2455</f>
        <v>-0.008925064402992788</v>
      </c>
      <c r="S2456" s="75">
        <f>'THAM_SO_MOI'!$C$34/'THAM_SO_MOI'!$C$43</f>
        <v>0.05</v>
      </c>
      <c r="T2456" s="75">
        <f>S2456*(F2455+2*X2456+2*Z2456+AB2456)/6</f>
        <v>0.5141771016673277</v>
      </c>
      <c r="U2456" s="76">
        <f>U2455+S2456</f>
        <v>13.35972836568266</v>
      </c>
      <c r="V2456" s="76">
        <f>V2455+T2456</f>
        <v>79.71080712191284</v>
      </c>
      <c r="W2456" s="75">
        <f>-('THAM_SO_MOI'!$C$12*IF(F2455&gt;'THAM_SO_MOI'!$C$14,'THAM_SO_MOI'!$C$13*(1+F2455^2/1500),'THAM_SO_MOI'!$C$13)+'THAM_SO_MOI'!$C$15*'THAM_SO_MOI'!$C$16*F2455^2)/('THAM_SO_MOI'!$C$11*'THAM_SO_MOI'!$C$35)</f>
        <v>-0.17853458614503143</v>
      </c>
      <c r="X2456" s="75">
        <f>F2455+S2456*W2456/2</f>
        <v>10.28354147832109</v>
      </c>
      <c r="Y2456" s="75">
        <f>-('THAM_SO_MOI'!$C$12*IF(X2456&gt;'THAM_SO_MOI'!$C$14,'THAM_SO_MOI'!$C$13*(1+X2456^2/1500),'THAM_SO_MOI'!$C$13)+'THAM_SO_MOI'!$C$15*'THAM_SO_MOI'!$C$16*X2456^2)/('THAM_SO_MOI'!$C$11*'THAM_SO_MOI'!$C$35)</f>
        <v>-0.178501281511511</v>
      </c>
      <c r="Z2456" s="75">
        <f>F2455+S2456*Y2456/2</f>
        <v>10.283542310936928</v>
      </c>
      <c r="AA2456" s="75">
        <f>-('THAM_SO_MOI'!$C$12*IF(Z2456&gt;'THAM_SO_MOI'!$C$14,'THAM_SO_MOI'!$C$13*(1+Z2456^2/1500),'THAM_SO_MOI'!$C$13)+'THAM_SO_MOI'!$C$15*'THAM_SO_MOI'!$C$16*Z2456^2)/('THAM_SO_MOI'!$C$11*'THAM_SO_MOI'!$C$35)</f>
        <v>-0.17850128772295734</v>
      </c>
      <c r="AB2456" s="75">
        <f>F2455+S2456*AA2456</f>
        <v>10.279079778588569</v>
      </c>
      <c r="AC2456" s="75">
        <f>-('THAM_SO_MOI'!$C$12*IF(AB2456&gt;'THAM_SO_MOI'!$C$14,'THAM_SO_MOI'!$C$13*(1+AB2456^2/1500),'THAM_SO_MOI'!$C$13)+'THAM_SO_MOI'!$C$15*'THAM_SO_MOI'!$C$16*AB2456^2)/('THAM_SO_MOI'!$C$11*'THAM_SO_MOI'!$C$35)</f>
        <v>-0.17846800374524693</v>
      </c>
    </row>
    <row r="2457" spans="1:29" ht="19" customHeight="1">
      <c r="A2457" s="68" t="s">
        <v>375</v>
      </c>
      <c r="B2457" s="74">
        <v>3</v>
      </c>
      <c r="C2457" s="68" t="s">
        <v>370</v>
      </c>
      <c r="D2457" s="68" t="s">
        <v>371</v>
      </c>
      <c r="F2457" s="75">
        <f>F2456+S2457*(W2457+2*Y2457+2*AA2457+AC2457)/6</f>
        <v>10.27015804122396</v>
      </c>
      <c r="G2457" s="75">
        <f>3.6*F2457</f>
        <v>36.972568948406256</v>
      </c>
      <c r="H2457" s="75">
        <f>'THAM_SO_MOI'!$C$35</f>
        <v>1.05</v>
      </c>
      <c r="I2457" s="75">
        <f>IF(F2457&gt;'THAM_SO_MOI'!$C$14,'THAM_SO_MOI'!$C$13*(1+F2457^2/1500),'THAM_SO_MOI'!$C$13)</f>
        <v>0.015</v>
      </c>
      <c r="J2457" s="75">
        <f>0</f>
        <v>0.0</v>
      </c>
      <c r="K2457" s="75">
        <f>0</f>
        <v>0.0</v>
      </c>
      <c r="L2457" s="75">
        <f>0</f>
        <v>0.0</v>
      </c>
      <c r="M2457" s="75">
        <f>'THAM_SO_MOI'!$C$15*'THAM_SO_MOI'!$C$16*F2457^2</f>
        <v>308.51772761077274</v>
      </c>
      <c r="N2457" s="75">
        <f>'THAM_SO_MOI'!$C$12*I2457</f>
        <v>1130.112</v>
      </c>
      <c r="O2457" s="75">
        <f>M2457+N2457</f>
        <v>1438.6297276107728</v>
      </c>
      <c r="P2457" s="75">
        <f>-O2457/('THAM_SO_MOI'!$C$11*H2457)</f>
        <v>-0.17840150391998671</v>
      </c>
      <c r="R2457" s="75">
        <f>F2457-F2456</f>
        <v>-0.008921737347764136</v>
      </c>
      <c r="S2457" s="75">
        <f>'THAM_SO_MOI'!$C$34/'THAM_SO_MOI'!$C$43</f>
        <v>0.05</v>
      </c>
      <c r="T2457" s="75">
        <f>S2457*(F2456+2*X2457+2*Z2457+AB2457)/6</f>
        <v>0.5137309316407619</v>
      </c>
      <c r="U2457" s="76">
        <f>U2456+S2457</f>
        <v>13.40972836568266</v>
      </c>
      <c r="V2457" s="76">
        <f>V2456+T2457</f>
        <v>80.2245380535536</v>
      </c>
      <c r="W2457" s="75">
        <f>-('THAM_SO_MOI'!$C$12*IF(F2456&gt;'THAM_SO_MOI'!$C$14,'THAM_SO_MOI'!$C$13*(1+F2456^2/1500),'THAM_SO_MOI'!$C$13)+'THAM_SO_MOI'!$C$15*'THAM_SO_MOI'!$C$16*F2456^2)/('THAM_SO_MOI'!$C$11*'THAM_SO_MOI'!$C$35)</f>
        <v>-0.17846800374512134</v>
      </c>
      <c r="X2457" s="75">
        <f>F2456+S2457*W2457/2</f>
        <v>10.274618078478095</v>
      </c>
      <c r="Y2457" s="75">
        <f>-('THAM_SO_MOI'!$C$12*IF(X2457&gt;'THAM_SO_MOI'!$C$14,'THAM_SO_MOI'!$C$13*(1+X2457^2/1500),'THAM_SO_MOI'!$C$13)+'THAM_SO_MOI'!$C$15*'THAM_SO_MOI'!$C$16*X2457^2)/('THAM_SO_MOI'!$C$11*'THAM_SO_MOI'!$C$35)</f>
        <v>-0.1784347404174569</v>
      </c>
      <c r="Z2457" s="75">
        <f>F2456+S2457*Y2457/2</f>
        <v>10.274618910061287</v>
      </c>
      <c r="AA2457" s="75">
        <f>-('THAM_SO_MOI'!$C$12*IF(Z2457&gt;'THAM_SO_MOI'!$C$14,'THAM_SO_MOI'!$C$13*(1+Z2457^2/1500),'THAM_SO_MOI'!$C$13)+'THAM_SO_MOI'!$C$15*'THAM_SO_MOI'!$C$16*Z2457^2)/('THAM_SO_MOI'!$C$11*'THAM_SO_MOI'!$C$35)</f>
        <v>-0.17843474661581632</v>
      </c>
      <c r="AB2457" s="75">
        <f>F2456+S2457*AA2457</f>
        <v>10.270158041240933</v>
      </c>
      <c r="AC2457" s="75">
        <f>-('THAM_SO_MOI'!$C$12*IF(AB2457&gt;'THAM_SO_MOI'!$C$14,'THAM_SO_MOI'!$C$13*(1+AB2457^2/1500),'THAM_SO_MOI'!$C$13)+'THAM_SO_MOI'!$C$15*'THAM_SO_MOI'!$C$16*AB2457^2)/('THAM_SO_MOI'!$C$11*'THAM_SO_MOI'!$C$35)</f>
        <v>-0.17840150392011317</v>
      </c>
    </row>
    <row r="2458" spans="1:29" ht="19" customHeight="1">
      <c r="A2458" s="68" t="s">
        <v>375</v>
      </c>
      <c r="B2458" s="74">
        <v>3</v>
      </c>
      <c r="C2458" s="68" t="s">
        <v>370</v>
      </c>
      <c r="D2458" s="68" t="s">
        <v>371</v>
      </c>
      <c r="F2458" s="75">
        <f>F2457+S2458*(W2458+2*Y2458+2*AA2458+AC2458)/6</f>
        <v>10.261239626805068</v>
      </c>
      <c r="G2458" s="75">
        <f>3.6*F2458</f>
        <v>36.94046265649825</v>
      </c>
      <c r="H2458" s="75">
        <f>'THAM_SO_MOI'!$C$35</f>
        <v>1.05</v>
      </c>
      <c r="I2458" s="75">
        <f>IF(F2458&gt;'THAM_SO_MOI'!$C$14,'THAM_SO_MOI'!$C$13*(1+F2458^2/1500),'THAM_SO_MOI'!$C$13)</f>
        <v>0.015</v>
      </c>
      <c r="J2458" s="75">
        <f>0</f>
        <v>0.0</v>
      </c>
      <c r="K2458" s="75">
        <f>0</f>
        <v>0.0</v>
      </c>
      <c r="L2458" s="75">
        <f>0</f>
        <v>0.0</v>
      </c>
      <c r="M2458" s="75">
        <f>'THAM_SO_MOI'!$C$15*'THAM_SO_MOI'!$C$16*F2458^2</f>
        <v>307.98213813524023</v>
      </c>
      <c r="N2458" s="75">
        <f>'THAM_SO_MOI'!$C$12*I2458</f>
        <v>1130.112</v>
      </c>
      <c r="O2458" s="75">
        <f>M2458+N2458</f>
        <v>1438.0941381352404</v>
      </c>
      <c r="P2458" s="75">
        <f>-O2458/('THAM_SO_MOI'!$C$11*H2458)</f>
        <v>-0.17833508657431058</v>
      </c>
      <c r="R2458" s="75">
        <f>F2458-F2457</f>
        <v>-0.00891841441889163</v>
      </c>
      <c r="S2458" s="75">
        <f>'THAM_SO_MOI'!$C$34/'THAM_SO_MOI'!$C$43</f>
        <v>0.05</v>
      </c>
      <c r="T2458" s="75">
        <f>S2458*(F2457+2*X2458+2*Z2458+AB2458)/6</f>
        <v>0.5132849278637788</v>
      </c>
      <c r="U2458" s="76">
        <f>U2457+S2458</f>
        <v>13.459728365682661</v>
      </c>
      <c r="V2458" s="76">
        <f>V2457+T2458</f>
        <v>80.73782298141738</v>
      </c>
      <c r="W2458" s="75">
        <f>-('THAM_SO_MOI'!$C$12*IF(F2457&gt;'THAM_SO_MOI'!$C$14,'THAM_SO_MOI'!$C$13*(1+F2457^2/1500),'THAM_SO_MOI'!$C$13)+'THAM_SO_MOI'!$C$15*'THAM_SO_MOI'!$C$16*F2457^2)/('THAM_SO_MOI'!$C$11*'THAM_SO_MOI'!$C$35)</f>
        <v>-0.17840150391998671</v>
      </c>
      <c r="X2458" s="75">
        <f>F2457+S2458*W2458/2</f>
        <v>10.26569800362596</v>
      </c>
      <c r="Y2458" s="75">
        <f>-('THAM_SO_MOI'!$C$12*IF(X2458&gt;'THAM_SO_MOI'!$C$14,'THAM_SO_MOI'!$C$13*(1+X2458^2/1500),'THAM_SO_MOI'!$C$13)+'THAM_SO_MOI'!$C$15*'THAM_SO_MOI'!$C$16*X2458^2)/('THAM_SO_MOI'!$C$11*'THAM_SO_MOI'!$C$35)</f>
        <v>-0.1783682818504869</v>
      </c>
      <c r="Z2458" s="75">
        <f>F2457+S2458*Y2458/2</f>
        <v>10.265698834177698</v>
      </c>
      <c r="AA2458" s="75">
        <f>-('THAM_SO_MOI'!$C$12*IF(Z2458&gt;'THAM_SO_MOI'!$C$14,'THAM_SO_MOI'!$C$13*(1+Z2458^2/1500),'THAM_SO_MOI'!$C$13)+'THAM_SO_MOI'!$C$15*'THAM_SO_MOI'!$C$16*Z2458^2)/('THAM_SO_MOI'!$C$11*'THAM_SO_MOI'!$C$35)</f>
        <v>-0.17836828803578367</v>
      </c>
      <c r="AB2458" s="75">
        <f>F2457+S2458*AA2458</f>
        <v>10.26123962682217</v>
      </c>
      <c r="AC2458" s="75">
        <f>-('THAM_SO_MOI'!$C$12*IF(AB2458&gt;'THAM_SO_MOI'!$C$14,'THAM_SO_MOI'!$C$13*(1+AB2458^2/1500),'THAM_SO_MOI'!$C$13)+'THAM_SO_MOI'!$C$15*'THAM_SO_MOI'!$C$16*AB2458^2)/('THAM_SO_MOI'!$C$11*'THAM_SO_MOI'!$C$35)</f>
        <v>-0.17833508657443786</v>
      </c>
    </row>
    <row r="2459" spans="1:29" ht="19" customHeight="1">
      <c r="A2459" s="68" t="s">
        <v>375</v>
      </c>
      <c r="B2459" s="74">
        <v>3</v>
      </c>
      <c r="C2459" s="68" t="s">
        <v>370</v>
      </c>
      <c r="D2459" s="68" t="s">
        <v>371</v>
      </c>
      <c r="F2459" s="75">
        <f>F2458+S2459*(W2459+2*Y2459+2*AA2459+AC2459)/6</f>
        <v>10.252324531193457</v>
      </c>
      <c r="G2459" s="75">
        <f>3.6*F2459</f>
        <v>36.908368312296446</v>
      </c>
      <c r="H2459" s="75">
        <f>'THAM_SO_MOI'!$C$35</f>
        <v>1.05</v>
      </c>
      <c r="I2459" s="75">
        <f>IF(F2459&gt;'THAM_SO_MOI'!$C$14,'THAM_SO_MOI'!$C$13*(1+F2459^2/1500),'THAM_SO_MOI'!$C$13)</f>
        <v>0.015</v>
      </c>
      <c r="J2459" s="75">
        <f>0</f>
        <v>0.0</v>
      </c>
      <c r="K2459" s="75">
        <f>0</f>
        <v>0.0</v>
      </c>
      <c r="L2459" s="75">
        <f>0</f>
        <v>0.0</v>
      </c>
      <c r="M2459" s="75">
        <f>'THAM_SO_MOI'!$C$15*'THAM_SO_MOI'!$C$16*F2459^2</f>
        <v>307.44721300676514</v>
      </c>
      <c r="N2459" s="75">
        <f>'THAM_SO_MOI'!$C$12*I2459</f>
        <v>1130.112</v>
      </c>
      <c r="O2459" s="75">
        <f>M2459+N2459</f>
        <v>1437.5592130067653</v>
      </c>
      <c r="P2459" s="75">
        <f>-O2459/('THAM_SO_MOI'!$C$11*H2459)</f>
        <v>-0.17826875161294212</v>
      </c>
      <c r="R2459" s="75">
        <f>F2459-F2458</f>
        <v>-0.008915095611611079</v>
      </c>
      <c r="S2459" s="75">
        <f>'THAM_SO_MOI'!$C$34/'THAM_SO_MOI'!$C$43</f>
        <v>0.05</v>
      </c>
      <c r="T2459" s="75">
        <f>S2459*(F2458+2*X2459+2*Z2459+AB2459)/6</f>
        <v>0.5128390901301796</v>
      </c>
      <c r="U2459" s="76">
        <f>U2458+S2459</f>
        <v>13.509728365682662</v>
      </c>
      <c r="V2459" s="76">
        <f>V2458+T2459</f>
        <v>81.25066207154757</v>
      </c>
      <c r="W2459" s="75">
        <f>-('THAM_SO_MOI'!$C$12*IF(F2458&gt;'THAM_SO_MOI'!$C$14,'THAM_SO_MOI'!$C$13*(1+F2458^2/1500),'THAM_SO_MOI'!$C$13)+'THAM_SO_MOI'!$C$15*'THAM_SO_MOI'!$C$16*F2458^2)/('THAM_SO_MOI'!$C$11*'THAM_SO_MOI'!$C$35)</f>
        <v>-0.17833508657431058</v>
      </c>
      <c r="X2459" s="75">
        <f>F2458+S2459*W2459/2</f>
        <v>10.25678124964071</v>
      </c>
      <c r="Y2459" s="75">
        <f>-('THAM_SO_MOI'!$C$12*IF(X2459&gt;'THAM_SO_MOI'!$C$14,'THAM_SO_MOI'!$C$13*(1+X2459^2/1500),'THAM_SO_MOI'!$C$13)+'THAM_SO_MOI'!$C$15*'THAM_SO_MOI'!$C$16*X2459^2)/('THAM_SO_MOI'!$C$11*'THAM_SO_MOI'!$C$35)</f>
        <v>-0.17830190571536708</v>
      </c>
      <c r="Z2459" s="75">
        <f>F2458+S2459*Y2459/2</f>
        <v>10.256782079162184</v>
      </c>
      <c r="AA2459" s="75">
        <f>-('THAM_SO_MOI'!$C$12*IF(Z2459&gt;'THAM_SO_MOI'!$C$14,'THAM_SO_MOI'!$C$13*(1+Z2459^2/1500),'THAM_SO_MOI'!$C$13)+'THAM_SO_MOI'!$C$15*'THAM_SO_MOI'!$C$16*Z2459^2)/('THAM_SO_MOI'!$C$11*'THAM_SO_MOI'!$C$35)</f>
        <v>-0.1783019118876254</v>
      </c>
      <c r="AB2459" s="75">
        <f>F2458+S2459*AA2459</f>
        <v>10.252324531210688</v>
      </c>
      <c r="AC2459" s="75">
        <f>-('THAM_SO_MOI'!$C$12*IF(AB2459&gt;'THAM_SO_MOI'!$C$14,'THAM_SO_MOI'!$C$13*(1+AB2459^2/1500),'THAM_SO_MOI'!$C$13)+'THAM_SO_MOI'!$C$15*'THAM_SO_MOI'!$C$16*AB2459^2)/('THAM_SO_MOI'!$C$11*'THAM_SO_MOI'!$C$35)</f>
        <v>-0.17826875161307026</v>
      </c>
    </row>
    <row r="2460" spans="1:29" ht="19" customHeight="1">
      <c r="A2460" s="68" t="s">
        <v>375</v>
      </c>
      <c r="B2460" s="74">
        <v>3</v>
      </c>
      <c r="C2460" s="68" t="s">
        <v>370</v>
      </c>
      <c r="D2460" s="68" t="s">
        <v>371</v>
      </c>
      <c r="F2460" s="75">
        <f>F2459+S2460*(W2460+2*Y2460+2*AA2460+AC2460)/6</f>
        <v>10.243412750272286</v>
      </c>
      <c r="G2460" s="75">
        <f>3.6*F2460</f>
        <v>36.87628590098023</v>
      </c>
      <c r="H2460" s="75">
        <f>'THAM_SO_MOI'!$C$35</f>
        <v>1.05</v>
      </c>
      <c r="I2460" s="75">
        <f>IF(F2460&gt;'THAM_SO_MOI'!$C$14,'THAM_SO_MOI'!$C$13*(1+F2460^2/1500),'THAM_SO_MOI'!$C$13)</f>
        <v>0.015</v>
      </c>
      <c r="J2460" s="75">
        <f>0</f>
        <v>0.0</v>
      </c>
      <c r="K2460" s="75">
        <f>0</f>
        <v>0.0</v>
      </c>
      <c r="L2460" s="75">
        <f>0</f>
        <v>0.0</v>
      </c>
      <c r="M2460" s="75">
        <f>'THAM_SO_MOI'!$C$15*'THAM_SO_MOI'!$C$16*F2460^2</f>
        <v>306.9129514593895</v>
      </c>
      <c r="N2460" s="75">
        <f>'THAM_SO_MOI'!$C$12*I2460</f>
        <v>1130.112</v>
      </c>
      <c r="O2460" s="75">
        <f>M2460+N2460</f>
        <v>1437.0249514593895</v>
      </c>
      <c r="P2460" s="75">
        <f>-O2460/('THAM_SO_MOI'!$C$11*H2460)</f>
        <v>-0.17820249894089651</v>
      </c>
      <c r="R2460" s="75">
        <f>F2460-F2459</f>
        <v>-0.008911780921170731</v>
      </c>
      <c r="S2460" s="75">
        <f>'THAM_SO_MOI'!$C$34/'THAM_SO_MOI'!$C$43</f>
        <v>0.05</v>
      </c>
      <c r="T2460" s="75">
        <f>S2460*(F2459+2*X2460+2*Z2460+AB2460)/6</f>
        <v>0.5123934182340036</v>
      </c>
      <c r="U2460" s="76">
        <f>U2459+S2460</f>
        <v>13.559728365682663</v>
      </c>
      <c r="V2460" s="76">
        <f>V2459+T2460</f>
        <v>81.76305548978156</v>
      </c>
      <c r="W2460" s="75">
        <f>-('THAM_SO_MOI'!$C$12*IF(F2459&gt;'THAM_SO_MOI'!$C$14,'THAM_SO_MOI'!$C$13*(1+F2459^2/1500),'THAM_SO_MOI'!$C$13)+'THAM_SO_MOI'!$C$15*'THAM_SO_MOI'!$C$16*F2459^2)/('THAM_SO_MOI'!$C$11*'THAM_SO_MOI'!$C$35)</f>
        <v>-0.17826875161294212</v>
      </c>
      <c r="X2460" s="75">
        <f>F2459+S2460*W2460/2</f>
        <v>10.247867812403133</v>
      </c>
      <c r="Y2460" s="75">
        <f>-('THAM_SO_MOI'!$C$12*IF(X2460&gt;'THAM_SO_MOI'!$C$14,'THAM_SO_MOI'!$C$13*(1+X2460^2/1500),'THAM_SO_MOI'!$C$13)+'THAM_SO_MOI'!$C$15*'THAM_SO_MOI'!$C$16*X2460^2)/('THAM_SO_MOI'!$C$11*'THAM_SO_MOI'!$C$35)</f>
        <v>-0.17823561191702977</v>
      </c>
      <c r="Z2460" s="75">
        <f>F2459+S2460*Y2460/2</f>
        <v>10.24786864089553</v>
      </c>
      <c r="AA2460" s="75">
        <f>-('THAM_SO_MOI'!$C$12*IF(Z2460&gt;'THAM_SO_MOI'!$C$14,'THAM_SO_MOI'!$C$13*(1+Z2460^2/1500),'THAM_SO_MOI'!$C$13)+'THAM_SO_MOI'!$C$15*'THAM_SO_MOI'!$C$16*Z2460^2)/('THAM_SO_MOI'!$C$11*'THAM_SO_MOI'!$C$35)</f>
        <v>-0.17823561807627372</v>
      </c>
      <c r="AB2460" s="75">
        <f>F2459+S2460*AA2460</f>
        <v>10.243412750289643</v>
      </c>
      <c r="AC2460" s="75">
        <f>-('THAM_SO_MOI'!$C$12*IF(AB2460&gt;'THAM_SO_MOI'!$C$14,'THAM_SO_MOI'!$C$13*(1+AB2460^2/1500),'THAM_SO_MOI'!$C$13)+'THAM_SO_MOI'!$C$15*'THAM_SO_MOI'!$C$16*AB2460^2)/('THAM_SO_MOI'!$C$11*'THAM_SO_MOI'!$C$35)</f>
        <v>-0.17820249894102552</v>
      </c>
    </row>
    <row r="2461" spans="1:29" ht="19" customHeight="1">
      <c r="A2461" s="68" t="s">
        <v>375</v>
      </c>
      <c r="B2461" s="74">
        <v>3</v>
      </c>
      <c r="C2461" s="68" t="s">
        <v>370</v>
      </c>
      <c r="D2461" s="68" t="s">
        <v>371</v>
      </c>
      <c r="F2461" s="75">
        <f>F2460+S2461*(W2461+2*Y2461+2*AA2461+AC2461)/6</f>
        <v>10.23450427992946</v>
      </c>
      <c r="G2461" s="75">
        <f>3.6*F2461</f>
        <v>36.844215407746056</v>
      </c>
      <c r="H2461" s="75">
        <f>'THAM_SO_MOI'!$C$35</f>
        <v>1.05</v>
      </c>
      <c r="I2461" s="75">
        <f>IF(F2461&gt;'THAM_SO_MOI'!$C$14,'THAM_SO_MOI'!$C$13*(1+F2461^2/1500),'THAM_SO_MOI'!$C$13)</f>
        <v>0.015</v>
      </c>
      <c r="J2461" s="75">
        <f>0</f>
        <v>0.0</v>
      </c>
      <c r="K2461" s="75">
        <f>0</f>
        <v>0.0</v>
      </c>
      <c r="L2461" s="75">
        <f>0</f>
        <v>0.0</v>
      </c>
      <c r="M2461" s="75">
        <f>'THAM_SO_MOI'!$C$15*'THAM_SO_MOI'!$C$16*F2461^2</f>
        <v>306.37935272849126</v>
      </c>
      <c r="N2461" s="75">
        <f>'THAM_SO_MOI'!$C$12*I2461</f>
        <v>1130.112</v>
      </c>
      <c r="O2461" s="75">
        <f>M2461+N2461</f>
        <v>1436.4913527284914</v>
      </c>
      <c r="P2461" s="75">
        <f>-O2461/('THAM_SO_MOI'!$C$11*H2461)</f>
        <v>-0.1781363284633546</v>
      </c>
      <c r="R2461" s="75">
        <f>F2461-F2460</f>
        <v>-0.008908470342825936</v>
      </c>
      <c r="S2461" s="75">
        <f>'THAM_SO_MOI'!$C$34/'THAM_SO_MOI'!$C$43</f>
        <v>0.05</v>
      </c>
      <c r="T2461" s="75">
        <f>S2461*(F2460+2*X2461+2*Z2461+AB2461)/6</f>
        <v>0.5119479119695276</v>
      </c>
      <c r="U2461" s="76">
        <f>U2460+S2461</f>
        <v>13.609728365682663</v>
      </c>
      <c r="V2461" s="76">
        <f>V2460+T2461</f>
        <v>82.27500340175109</v>
      </c>
      <c r="W2461" s="75">
        <f>-('THAM_SO_MOI'!$C$12*IF(F2460&gt;'THAM_SO_MOI'!$C$14,'THAM_SO_MOI'!$C$13*(1+F2460^2/1500),'THAM_SO_MOI'!$C$13)+'THAM_SO_MOI'!$C$15*'THAM_SO_MOI'!$C$16*F2460^2)/('THAM_SO_MOI'!$C$11*'THAM_SO_MOI'!$C$35)</f>
        <v>-0.17820249894089651</v>
      </c>
      <c r="X2461" s="75">
        <f>F2460+S2461*W2461/2</f>
        <v>10.238957687798765</v>
      </c>
      <c r="Y2461" s="75">
        <f>-('THAM_SO_MOI'!$C$12*IF(X2461&gt;'THAM_SO_MOI'!$C$14,'THAM_SO_MOI'!$C$13*(1+X2461^2/1500),'THAM_SO_MOI'!$C$13)+'THAM_SO_MOI'!$C$15*'THAM_SO_MOI'!$C$16*X2461^2)/('THAM_SO_MOI'!$C$11*'THAM_SO_MOI'!$C$35)</f>
        <v>-0.17816940036057297</v>
      </c>
      <c r="Z2461" s="75">
        <f>F2460+S2461*Y2461/2</f>
        <v>10.238958515263272</v>
      </c>
      <c r="AA2461" s="75">
        <f>-('THAM_SO_MOI'!$C$12*IF(Z2461&gt;'THAM_SO_MOI'!$C$14,'THAM_SO_MOI'!$C$13*(1+Z2461^2/1500),'THAM_SO_MOI'!$C$13)+'THAM_SO_MOI'!$C$15*'THAM_SO_MOI'!$C$16*Z2461^2)/('THAM_SO_MOI'!$C$11*'THAM_SO_MOI'!$C$35)</f>
        <v>-0.17816940650682675</v>
      </c>
      <c r="AB2461" s="75">
        <f>F2460+S2461*AA2461</f>
        <v>10.234504279946945</v>
      </c>
      <c r="AC2461" s="75">
        <f>-('THAM_SO_MOI'!$C$12*IF(AB2461&gt;'THAM_SO_MOI'!$C$14,'THAM_SO_MOI'!$C$13*(1+AB2461^2/1500),'THAM_SO_MOI'!$C$13)+'THAM_SO_MOI'!$C$15*'THAM_SO_MOI'!$C$16*AB2461^2)/('THAM_SO_MOI'!$C$11*'THAM_SO_MOI'!$C$35)</f>
        <v>-0.1781363284634844</v>
      </c>
    </row>
    <row r="2462" spans="1:29" ht="19" customHeight="1">
      <c r="A2462" s="68" t="s">
        <v>375</v>
      </c>
      <c r="B2462" s="74">
        <v>3</v>
      </c>
      <c r="C2462" s="68" t="s">
        <v>370</v>
      </c>
      <c r="D2462" s="68" t="s">
        <v>371</v>
      </c>
      <c r="F2462" s="75">
        <f>F2461+S2462*(W2462+2*Y2462+2*AA2462+AC2462)/6</f>
        <v>10.225599116057621</v>
      </c>
      <c r="G2462" s="75">
        <f>3.6*F2462</f>
        <v>36.812156817807434</v>
      </c>
      <c r="H2462" s="75">
        <f>'THAM_SO_MOI'!$C$35</f>
        <v>1.05</v>
      </c>
      <c r="I2462" s="75">
        <f>IF(F2462&gt;'THAM_SO_MOI'!$C$14,'THAM_SO_MOI'!$C$13*(1+F2462^2/1500),'THAM_SO_MOI'!$C$13)</f>
        <v>0.015</v>
      </c>
      <c r="J2462" s="75">
        <f>0</f>
        <v>0.0</v>
      </c>
      <c r="K2462" s="75">
        <f>0</f>
        <v>0.0</v>
      </c>
      <c r="L2462" s="75">
        <f>0</f>
        <v>0.0</v>
      </c>
      <c r="M2462" s="75">
        <f>'THAM_SO_MOI'!$C$15*'THAM_SO_MOI'!$C$16*F2462^2</f>
        <v>305.8464160507814</v>
      </c>
      <c r="N2462" s="75">
        <f>'THAM_SO_MOI'!$C$12*I2462</f>
        <v>1130.112</v>
      </c>
      <c r="O2462" s="75">
        <f>M2462+N2462</f>
        <v>1435.9584160507816</v>
      </c>
      <c r="P2462" s="75">
        <f>-O2462/('THAM_SO_MOI'!$C$11*H2462)</f>
        <v>-0.17807024008566238</v>
      </c>
      <c r="R2462" s="75">
        <f>F2462-F2461</f>
        <v>-0.00890516387183915</v>
      </c>
      <c r="S2462" s="75">
        <f>'THAM_SO_MOI'!$C$34/'THAM_SO_MOI'!$C$43</f>
        <v>0.05</v>
      </c>
      <c r="T2462" s="75">
        <f>S2462*(F2461+2*X2462+2*Z2462+AB2462)/6</f>
        <v>0.5115025711312651</v>
      </c>
      <c r="U2462" s="76">
        <f>U2461+S2462</f>
        <v>13.659728365682664</v>
      </c>
      <c r="V2462" s="76">
        <f>V2461+T2462</f>
        <v>82.78650597288235</v>
      </c>
      <c r="W2462" s="75">
        <f>-('THAM_SO_MOI'!$C$12*IF(F2461&gt;'THAM_SO_MOI'!$C$14,'THAM_SO_MOI'!$C$13*(1+F2461^2/1500),'THAM_SO_MOI'!$C$13)+'THAM_SO_MOI'!$C$15*'THAM_SO_MOI'!$C$16*F2461^2)/('THAM_SO_MOI'!$C$11*'THAM_SO_MOI'!$C$35)</f>
        <v>-0.1781363284633546</v>
      </c>
      <c r="X2462" s="75">
        <f>F2461+S2462*W2462/2</f>
        <v>10.230050871717877</v>
      </c>
      <c r="Y2462" s="75">
        <f>-('THAM_SO_MOI'!$C$12*IF(X2462&gt;'THAM_SO_MOI'!$C$14,'THAM_SO_MOI'!$C$13*(1+X2462^2/1500),'THAM_SO_MOI'!$C$13)+'THAM_SO_MOI'!$C$15*'THAM_SO_MOI'!$C$16*X2462^2)/('THAM_SO_MOI'!$C$11*'THAM_SO_MOI'!$C$35)</f>
        <v>-0.17810327095126016</v>
      </c>
      <c r="Z2462" s="75">
        <f>F2461+S2462*Y2462/2</f>
        <v>10.230051698155679</v>
      </c>
      <c r="AA2462" s="75">
        <f>-('THAM_SO_MOI'!$C$12*IF(Z2462&gt;'THAM_SO_MOI'!$C$14,'THAM_SO_MOI'!$C$13*(1+Z2462^2/1500),'THAM_SO_MOI'!$C$13)+'THAM_SO_MOI'!$C$15*'THAM_SO_MOI'!$C$16*Z2462^2)/('THAM_SO_MOI'!$C$11*'THAM_SO_MOI'!$C$35)</f>
        <v>-0.1781032770845478</v>
      </c>
      <c r="AB2462" s="75">
        <f>F2461+S2462*AA2462</f>
        <v>10.225599116075234</v>
      </c>
      <c r="AC2462" s="75">
        <f>-('THAM_SO_MOI'!$C$12*IF(AB2462&gt;'THAM_SO_MOI'!$C$14,'THAM_SO_MOI'!$C$13*(1+AB2462^2/1500),'THAM_SO_MOI'!$C$13)+'THAM_SO_MOI'!$C$15*'THAM_SO_MOI'!$C$16*AB2462^2)/('THAM_SO_MOI'!$C$11*'THAM_SO_MOI'!$C$35)</f>
        <v>-0.17807024008579303</v>
      </c>
    </row>
    <row r="2463" spans="1:29" ht="19" customHeight="1">
      <c r="A2463" s="68" t="s">
        <v>375</v>
      </c>
      <c r="B2463" s="74">
        <v>3</v>
      </c>
      <c r="C2463" s="68" t="s">
        <v>370</v>
      </c>
      <c r="D2463" s="68" t="s">
        <v>371</v>
      </c>
      <c r="F2463" s="75">
        <f>F2462+S2463*(W2463+2*Y2463+2*AA2463+AC2463)/6</f>
        <v>10.21669725455414</v>
      </c>
      <c r="G2463" s="75">
        <f>3.6*F2463</f>
        <v>36.7801101163949</v>
      </c>
      <c r="H2463" s="75">
        <f>'THAM_SO_MOI'!$C$35</f>
        <v>1.05</v>
      </c>
      <c r="I2463" s="75">
        <f>IF(F2463&gt;'THAM_SO_MOI'!$C$14,'THAM_SO_MOI'!$C$13*(1+F2463^2/1500),'THAM_SO_MOI'!$C$13)</f>
        <v>0.015</v>
      </c>
      <c r="J2463" s="75">
        <f>0</f>
        <v>0.0</v>
      </c>
      <c r="K2463" s="75">
        <f>0</f>
        <v>0.0</v>
      </c>
      <c r="L2463" s="75">
        <f>0</f>
        <v>0.0</v>
      </c>
      <c r="M2463" s="75">
        <f>'THAM_SO_MOI'!$C$15*'THAM_SO_MOI'!$C$16*F2463^2</f>
        <v>305.31414066430125</v>
      </c>
      <c r="N2463" s="75">
        <f>'THAM_SO_MOI'!$C$12*I2463</f>
        <v>1130.112</v>
      </c>
      <c r="O2463" s="75">
        <f>M2463+N2463</f>
        <v>1435.4261406643013</v>
      </c>
      <c r="P2463" s="75">
        <f>-O2463/('THAM_SO_MOI'!$C$11*H2463)</f>
        <v>-0.17800423371333102</v>
      </c>
      <c r="R2463" s="75">
        <f>F2463-F2462</f>
        <v>-0.008901861503481712</v>
      </c>
      <c r="S2463" s="75">
        <f>'THAM_SO_MOI'!$C$34/'THAM_SO_MOI'!$C$43</f>
        <v>0.05</v>
      </c>
      <c r="T2463" s="75">
        <f>S2463*(F2462+2*X2463+2*Z2463+AB2463)/6</f>
        <v>0.5110573955139665</v>
      </c>
      <c r="U2463" s="76">
        <f>U2462+S2463</f>
        <v>13.709728365682665</v>
      </c>
      <c r="V2463" s="76">
        <f>V2462+T2463</f>
        <v>83.29756336839633</v>
      </c>
      <c r="W2463" s="75">
        <f>-('THAM_SO_MOI'!$C$12*IF(F2462&gt;'THAM_SO_MOI'!$C$14,'THAM_SO_MOI'!$C$13*(1+F2462^2/1500),'THAM_SO_MOI'!$C$13)+'THAM_SO_MOI'!$C$15*'THAM_SO_MOI'!$C$16*F2462^2)/('THAM_SO_MOI'!$C$11*'THAM_SO_MOI'!$C$35)</f>
        <v>-0.17807024008566238</v>
      </c>
      <c r="X2463" s="75">
        <f>F2462+S2463*W2463/2</f>
        <v>10.221147360055479</v>
      </c>
      <c r="Y2463" s="75">
        <f>-('THAM_SO_MOI'!$C$12*IF(X2463&gt;'THAM_SO_MOI'!$C$14,'THAM_SO_MOI'!$C$13*(1+X2463^2/1500),'THAM_SO_MOI'!$C$13)+'THAM_SO_MOI'!$C$15*'THAM_SO_MOI'!$C$16*X2463^2)/('THAM_SO_MOI'!$C$11*'THAM_SO_MOI'!$C$35)</f>
        <v>-0.17803722359452007</v>
      </c>
      <c r="Z2463" s="75">
        <f>F2462+S2463*Y2463/2</f>
        <v>10.221148185467758</v>
      </c>
      <c r="AA2463" s="75">
        <f>-('THAM_SO_MOI'!$C$12*IF(Z2463&gt;'THAM_SO_MOI'!$C$14,'THAM_SO_MOI'!$C$13*(1+Z2463^2/1500),'THAM_SO_MOI'!$C$13)+'THAM_SO_MOI'!$C$15*'THAM_SO_MOI'!$C$16*Z2463^2)/('THAM_SO_MOI'!$C$11*'THAM_SO_MOI'!$C$35)</f>
        <v>-0.17803722971486555</v>
      </c>
      <c r="AB2463" s="75">
        <f>F2462+S2463*AA2463</f>
        <v>10.216697254571878</v>
      </c>
      <c r="AC2463" s="75">
        <f>-('THAM_SO_MOI'!$C$12*IF(AB2463&gt;'THAM_SO_MOI'!$C$14,'THAM_SO_MOI'!$C$13*(1+AB2463^2/1500),'THAM_SO_MOI'!$C$13)+'THAM_SO_MOI'!$C$15*'THAM_SO_MOI'!$C$16*AB2463^2)/('THAM_SO_MOI'!$C$11*'THAM_SO_MOI'!$C$35)</f>
        <v>-0.1780042337134625</v>
      </c>
    </row>
    <row r="2464" spans="1:29" ht="19" customHeight="1">
      <c r="A2464" s="68" t="s">
        <v>375</v>
      </c>
      <c r="B2464" s="74">
        <v>3</v>
      </c>
      <c r="C2464" s="68" t="s">
        <v>370</v>
      </c>
      <c r="D2464" s="68" t="s">
        <v>371</v>
      </c>
      <c r="F2464" s="75">
        <f>F2463+S2464*(W2464+2*Y2464+2*AA2464+AC2464)/6</f>
        <v>10.207798691321106</v>
      </c>
      <c r="G2464" s="75">
        <f>3.6*F2464</f>
        <v>36.748075288755985</v>
      </c>
      <c r="H2464" s="75">
        <f>'THAM_SO_MOI'!$C$35</f>
        <v>1.05</v>
      </c>
      <c r="I2464" s="75">
        <f>IF(F2464&gt;'THAM_SO_MOI'!$C$14,'THAM_SO_MOI'!$C$13*(1+F2464^2/1500),'THAM_SO_MOI'!$C$13)</f>
        <v>0.015</v>
      </c>
      <c r="J2464" s="75">
        <f>0</f>
        <v>0.0</v>
      </c>
      <c r="K2464" s="75">
        <f>0</f>
        <v>0.0</v>
      </c>
      <c r="L2464" s="75">
        <f>0</f>
        <v>0.0</v>
      </c>
      <c r="M2464" s="75">
        <f>'THAM_SO_MOI'!$C$15*'THAM_SO_MOI'!$C$16*F2464^2</f>
        <v>304.78252580842036</v>
      </c>
      <c r="N2464" s="75">
        <f>'THAM_SO_MOI'!$C$12*I2464</f>
        <v>1130.112</v>
      </c>
      <c r="O2464" s="75">
        <f>M2464+N2464</f>
        <v>1434.8945258084204</v>
      </c>
      <c r="P2464" s="75">
        <f>-O2464/('THAM_SO_MOI'!$C$11*H2464)</f>
        <v>-0.17793830925203627</v>
      </c>
      <c r="R2464" s="75">
        <f>F2464-F2463</f>
        <v>-0.00889856323303384</v>
      </c>
      <c r="S2464" s="75">
        <f>'THAM_SO_MOI'!$C$34/'THAM_SO_MOI'!$C$43</f>
        <v>0.05</v>
      </c>
      <c r="T2464" s="75">
        <f>S2464*(F2463+2*X2464+2*Z2464+AB2464)/6</f>
        <v>0.5106123849126184</v>
      </c>
      <c r="U2464" s="76">
        <f>U2463+S2464</f>
        <v>13.759728365682665</v>
      </c>
      <c r="V2464" s="76">
        <f>V2463+T2464</f>
        <v>83.80817575330894</v>
      </c>
      <c r="W2464" s="75">
        <f>-('THAM_SO_MOI'!$C$12*IF(F2463&gt;'THAM_SO_MOI'!$C$14,'THAM_SO_MOI'!$C$13*(1+F2463^2/1500),'THAM_SO_MOI'!$C$13)+'THAM_SO_MOI'!$C$15*'THAM_SO_MOI'!$C$16*F2463^2)/('THAM_SO_MOI'!$C$11*'THAM_SO_MOI'!$C$35)</f>
        <v>-0.17800423371333102</v>
      </c>
      <c r="X2464" s="75">
        <f>F2463+S2464*W2464/2</f>
        <v>10.212247148711306</v>
      </c>
      <c r="Y2464" s="75">
        <f>-('THAM_SO_MOI'!$C$12*IF(X2464&gt;'THAM_SO_MOI'!$C$14,'THAM_SO_MOI'!$C$13*(1+X2464^2/1500),'THAM_SO_MOI'!$C$13)+'THAM_SO_MOI'!$C$15*'THAM_SO_MOI'!$C$16*X2464^2)/('THAM_SO_MOI'!$C$11*'THAM_SO_MOI'!$C$35)</f>
        <v>-0.1779712581959461</v>
      </c>
      <c r="Z2464" s="75">
        <f>F2463+S2464*Y2464/2</f>
        <v>10.21224797309924</v>
      </c>
      <c r="AA2464" s="75">
        <f>-('THAM_SO_MOI'!$C$12*IF(Z2464&gt;'THAM_SO_MOI'!$C$14,'THAM_SO_MOI'!$C$13*(1+Z2464^2/1500),'THAM_SO_MOI'!$C$13)+'THAM_SO_MOI'!$C$15*'THAM_SO_MOI'!$C$16*Z2464^2)/('THAM_SO_MOI'!$C$11*'THAM_SO_MOI'!$C$35)</f>
        <v>-0.17797126430337346</v>
      </c>
      <c r="AB2464" s="75">
        <f>F2463+S2464*AA2464</f>
        <v>10.20779869133897</v>
      </c>
      <c r="AC2464" s="75">
        <f>-('THAM_SO_MOI'!$C$12*IF(AB2464&gt;'THAM_SO_MOI'!$C$14,'THAM_SO_MOI'!$C$13*(1+AB2464^2/1500),'THAM_SO_MOI'!$C$13)+'THAM_SO_MOI'!$C$15*'THAM_SO_MOI'!$C$16*AB2464^2)/('THAM_SO_MOI'!$C$11*'THAM_SO_MOI'!$C$35)</f>
        <v>-0.17793830925216855</v>
      </c>
    </row>
    <row r="2465" spans="1:29" ht="19" customHeight="1">
      <c r="A2465" s="68" t="s">
        <v>375</v>
      </c>
      <c r="B2465" s="74">
        <v>3</v>
      </c>
      <c r="C2465" s="68" t="s">
        <v>370</v>
      </c>
      <c r="D2465" s="68" t="s">
        <v>371</v>
      </c>
      <c r="F2465" s="75">
        <f>F2464+S2465*(W2465+2*Y2465+2*AA2465+AC2465)/6</f>
        <v>10.198903422265323</v>
      </c>
      <c r="G2465" s="75">
        <f>3.6*F2465</f>
        <v>36.716052320155164</v>
      </c>
      <c r="H2465" s="75">
        <f>'THAM_SO_MOI'!$C$35</f>
        <v>1.05</v>
      </c>
      <c r="I2465" s="75">
        <f>IF(F2465&gt;'THAM_SO_MOI'!$C$14,'THAM_SO_MOI'!$C$13*(1+F2465^2/1500),'THAM_SO_MOI'!$C$13)</f>
        <v>0.015</v>
      </c>
      <c r="J2465" s="75">
        <f>0</f>
        <v>0.0</v>
      </c>
      <c r="K2465" s="75">
        <f>0</f>
        <v>0.0</v>
      </c>
      <c r="L2465" s="75">
        <f>0</f>
        <v>0.0</v>
      </c>
      <c r="M2465" s="75">
        <f>'THAM_SO_MOI'!$C$15*'THAM_SO_MOI'!$C$16*F2465^2</f>
        <v>304.2515707238338</v>
      </c>
      <c r="N2465" s="75">
        <f>'THAM_SO_MOI'!$C$12*I2465</f>
        <v>1130.112</v>
      </c>
      <c r="O2465" s="75">
        <f>M2465+N2465</f>
        <v>1434.3635707238338</v>
      </c>
      <c r="P2465" s="75">
        <f>-O2465/('THAM_SO_MOI'!$C$11*H2465)</f>
        <v>-0.1778724666076183</v>
      </c>
      <c r="R2465" s="75">
        <f>F2465-F2464</f>
        <v>-0.008895269055782862</v>
      </c>
      <c r="S2465" s="75">
        <f>'THAM_SO_MOI'!$C$34/'THAM_SO_MOI'!$C$43</f>
        <v>0.05</v>
      </c>
      <c r="T2465" s="75">
        <f>S2465*(F2464+2*X2465+2*Z2465+AB2465)/6</f>
        <v>0.5101675391224432</v>
      </c>
      <c r="U2465" s="76">
        <f>U2464+S2465</f>
        <v>13.809728365682666</v>
      </c>
      <c r="V2465" s="76">
        <f>V2464+T2465</f>
        <v>84.3183432924314</v>
      </c>
      <c r="W2465" s="75">
        <f>-('THAM_SO_MOI'!$C$12*IF(F2464&gt;'THAM_SO_MOI'!$C$14,'THAM_SO_MOI'!$C$13*(1+F2464^2/1500),'THAM_SO_MOI'!$C$13)+'THAM_SO_MOI'!$C$15*'THAM_SO_MOI'!$C$16*F2464^2)/('THAM_SO_MOI'!$C$11*'THAM_SO_MOI'!$C$35)</f>
        <v>-0.17793830925203627</v>
      </c>
      <c r="X2465" s="75">
        <f>F2464+S2465*W2465/2</f>
        <v>10.203350233589804</v>
      </c>
      <c r="Y2465" s="75">
        <f>-('THAM_SO_MOI'!$C$12*IF(X2465&gt;'THAM_SO_MOI'!$C$14,'THAM_SO_MOI'!$C$13*(1+X2465^2/1500),'THAM_SO_MOI'!$C$13)+'THAM_SO_MOI'!$C$15*'THAM_SO_MOI'!$C$16*X2465^2)/('THAM_SO_MOI'!$C$11*'THAM_SO_MOI'!$C$35)</f>
        <v>-0.1779053746612964</v>
      </c>
      <c r="Z2465" s="75">
        <f>F2464+S2465*Y2465/2</f>
        <v>10.203351056954574</v>
      </c>
      <c r="AA2465" s="75">
        <f>-('THAM_SO_MOI'!$C$12*IF(Z2465&gt;'THAM_SO_MOI'!$C$14,'THAM_SO_MOI'!$C$13*(1+Z2465^2/1500),'THAM_SO_MOI'!$C$13)+'THAM_SO_MOI'!$C$15*'THAM_SO_MOI'!$C$16*Z2465^2)/('THAM_SO_MOI'!$C$11*'THAM_SO_MOI'!$C$35)</f>
        <v>-0.17790538075582948</v>
      </c>
      <c r="AB2465" s="75">
        <f>F2464+S2465*AA2465</f>
        <v>10.198903422283314</v>
      </c>
      <c r="AC2465" s="75">
        <f>-('THAM_SO_MOI'!$C$12*IF(AB2465&gt;'THAM_SO_MOI'!$C$14,'THAM_SO_MOI'!$C$13*(1+AB2465^2/1500),'THAM_SO_MOI'!$C$13)+'THAM_SO_MOI'!$C$15*'THAM_SO_MOI'!$C$16*AB2465^2)/('THAM_SO_MOI'!$C$11*'THAM_SO_MOI'!$C$35)</f>
        <v>-0.1778724666077514</v>
      </c>
    </row>
    <row r="2466" spans="1:29" ht="19" customHeight="1">
      <c r="A2466" s="68" t="s">
        <v>375</v>
      </c>
      <c r="B2466" s="74">
        <v>3</v>
      </c>
      <c r="C2466" s="68" t="s">
        <v>370</v>
      </c>
      <c r="D2466" s="68" t="s">
        <v>371</v>
      </c>
      <c r="F2466" s="75">
        <f>F2465+S2466*(W2466+2*Y2466+2*AA2466+AC2466)/6</f>
        <v>10.190011443298296</v>
      </c>
      <c r="G2466" s="75">
        <f>3.6*F2466</f>
        <v>36.68404119587387</v>
      </c>
      <c r="H2466" s="75">
        <f>'THAM_SO_MOI'!$C$35</f>
        <v>1.05</v>
      </c>
      <c r="I2466" s="75">
        <f>IF(F2466&gt;'THAM_SO_MOI'!$C$14,'THAM_SO_MOI'!$C$13*(1+F2466^2/1500),'THAM_SO_MOI'!$C$13)</f>
        <v>0.015</v>
      </c>
      <c r="J2466" s="75">
        <f>0</f>
        <v>0.0</v>
      </c>
      <c r="K2466" s="75">
        <f>0</f>
        <v>0.0</v>
      </c>
      <c r="L2466" s="75">
        <f>0</f>
        <v>0.0</v>
      </c>
      <c r="M2466" s="75">
        <f>'THAM_SO_MOI'!$C$15*'THAM_SO_MOI'!$C$16*F2466^2</f>
        <v>303.72127465255943</v>
      </c>
      <c r="N2466" s="75">
        <f>'THAM_SO_MOI'!$C$12*I2466</f>
        <v>1130.112</v>
      </c>
      <c r="O2466" s="75">
        <f>M2466+N2466</f>
        <v>1433.8332746525596</v>
      </c>
      <c r="P2466" s="75">
        <f>-O2466/('THAM_SO_MOI'!$C$11*H2466)</f>
        <v>-0.17780670568608128</v>
      </c>
      <c r="R2466" s="75">
        <f>F2466-F2465</f>
        <v>-0.008891978967026759</v>
      </c>
      <c r="S2466" s="75">
        <f>'THAM_SO_MOI'!$C$34/'THAM_SO_MOI'!$C$43</f>
        <v>0.05</v>
      </c>
      <c r="T2466" s="75">
        <f>S2466*(F2465+2*X2466+2*Z2466+AB2466)/6</f>
        <v>0.5097228579388986</v>
      </c>
      <c r="U2466" s="76">
        <f>U2465+S2466</f>
        <v>13.859728365682667</v>
      </c>
      <c r="V2466" s="76">
        <f>V2465+T2466</f>
        <v>84.82806615037029</v>
      </c>
      <c r="W2466" s="75">
        <f>-('THAM_SO_MOI'!$C$12*IF(F2465&gt;'THAM_SO_MOI'!$C$14,'THAM_SO_MOI'!$C$13*(1+F2465^2/1500),'THAM_SO_MOI'!$C$13)+'THAM_SO_MOI'!$C$15*'THAM_SO_MOI'!$C$16*F2465^2)/('THAM_SO_MOI'!$C$11*'THAM_SO_MOI'!$C$35)</f>
        <v>-0.1778724666076183</v>
      </c>
      <c r="X2466" s="75">
        <f>F2465+S2466*W2466/2</f>
        <v>10.194456610600133</v>
      </c>
      <c r="Y2466" s="75">
        <f>-('THAM_SO_MOI'!$C$12*IF(X2466&gt;'THAM_SO_MOI'!$C$14,'THAM_SO_MOI'!$C$13*(1+X2466^2/1500),'THAM_SO_MOI'!$C$13)+'THAM_SO_MOI'!$C$15*'THAM_SO_MOI'!$C$16*X2466^2)/('THAM_SO_MOI'!$C$11*'THAM_SO_MOI'!$C$35)</f>
        <v>-0.17783957289649313</v>
      </c>
      <c r="Z2466" s="75">
        <f>F2465+S2466*Y2466/2</f>
        <v>10.19445743294291</v>
      </c>
      <c r="AA2466" s="75">
        <f>-('THAM_SO_MOI'!$C$12*IF(Z2466&gt;'THAM_SO_MOI'!$C$14,'THAM_SO_MOI'!$C$13*(1+Z2466^2/1500),'THAM_SO_MOI'!$C$13)+'THAM_SO_MOI'!$C$15*'THAM_SO_MOI'!$C$16*Z2466^2)/('THAM_SO_MOI'!$C$11*'THAM_SO_MOI'!$C$35)</f>
        <v>-0.17783957897815583</v>
      </c>
      <c r="AB2466" s="75">
        <f>F2465+S2466*AA2466</f>
        <v>10.190011443316415</v>
      </c>
      <c r="AC2466" s="75">
        <f>-('THAM_SO_MOI'!$C$12*IF(AB2466&gt;'THAM_SO_MOI'!$C$14,'THAM_SO_MOI'!$C$13*(1+AB2466^2/1500),'THAM_SO_MOI'!$C$13)+'THAM_SO_MOI'!$C$15*'THAM_SO_MOI'!$C$16*AB2466^2)/('THAM_SO_MOI'!$C$11*'THAM_SO_MOI'!$C$35)</f>
        <v>-0.17780670568621523</v>
      </c>
    </row>
    <row r="2467" spans="1:29" ht="19" customHeight="1">
      <c r="A2467" s="68" t="s">
        <v>375</v>
      </c>
      <c r="B2467" s="74">
        <v>3</v>
      </c>
      <c r="C2467" s="68" t="s">
        <v>370</v>
      </c>
      <c r="D2467" s="68" t="s">
        <v>371</v>
      </c>
      <c r="F2467" s="75">
        <f>F2466+S2467*(W2467+2*Y2467+2*AA2467+AC2467)/6</f>
        <v>10.18112275033623</v>
      </c>
      <c r="G2467" s="75">
        <f>3.6*F2467</f>
        <v>36.65204190121043</v>
      </c>
      <c r="H2467" s="75">
        <f>'THAM_SO_MOI'!$C$35</f>
        <v>1.05</v>
      </c>
      <c r="I2467" s="75">
        <f>IF(F2467&gt;'THAM_SO_MOI'!$C$14,'THAM_SO_MOI'!$C$13*(1+F2467^2/1500),'THAM_SO_MOI'!$C$13)</f>
        <v>0.015</v>
      </c>
      <c r="J2467" s="75">
        <f>0</f>
        <v>0.0</v>
      </c>
      <c r="K2467" s="75">
        <f>0</f>
        <v>0.0</v>
      </c>
      <c r="L2467" s="75">
        <f>0</f>
        <v>0.0</v>
      </c>
      <c r="M2467" s="75">
        <f>'THAM_SO_MOI'!$C$15*'THAM_SO_MOI'!$C$16*F2467^2</f>
        <v>303.1916368379359</v>
      </c>
      <c r="N2467" s="75">
        <f>'THAM_SO_MOI'!$C$12*I2467</f>
        <v>1130.112</v>
      </c>
      <c r="O2467" s="75">
        <f>M2467+N2467</f>
        <v>1433.303636837936</v>
      </c>
      <c r="P2467" s="75">
        <f>-O2467/('THAM_SO_MOI'!$C$11*H2467)</f>
        <v>-0.17774102639359327</v>
      </c>
      <c r="R2467" s="75">
        <f>F2467-F2466</f>
        <v>-0.008888692962065292</v>
      </c>
      <c r="S2467" s="75">
        <f>'THAM_SO_MOI'!$C$34/'THAM_SO_MOI'!$C$43</f>
        <v>0.05</v>
      </c>
      <c r="T2467" s="75">
        <f>S2467*(F2466+2*X2467+2*Z2467+AB2467)/6</f>
        <v>0.5092783411576773</v>
      </c>
      <c r="U2467" s="76">
        <f>U2466+S2467</f>
        <v>13.909728365682668</v>
      </c>
      <c r="V2467" s="76">
        <f>V2466+T2467</f>
        <v>85.33734449152797</v>
      </c>
      <c r="W2467" s="75">
        <f>-('THAM_SO_MOI'!$C$12*IF(F2466&gt;'THAM_SO_MOI'!$C$14,'THAM_SO_MOI'!$C$13*(1+F2466^2/1500),'THAM_SO_MOI'!$C$13)+'THAM_SO_MOI'!$C$15*'THAM_SO_MOI'!$C$16*F2466^2)/('THAM_SO_MOI'!$C$11*'THAM_SO_MOI'!$C$35)</f>
        <v>-0.17780670568608128</v>
      </c>
      <c r="X2467" s="75">
        <f>F2466+S2467*W2467/2</f>
        <v>10.185566275656145</v>
      </c>
      <c r="Y2467" s="75">
        <f>-('THAM_SO_MOI'!$C$12*IF(X2467&gt;'THAM_SO_MOI'!$C$14,'THAM_SO_MOI'!$C$13*(1+X2467^2/1500),'THAM_SO_MOI'!$C$13)+'THAM_SO_MOI'!$C$15*'THAM_SO_MOI'!$C$16*X2467^2)/('THAM_SO_MOI'!$C$11*'THAM_SO_MOI'!$C$35)</f>
        <v>-0.17777385280762248</v>
      </c>
      <c r="Z2467" s="75">
        <f>F2466+S2467*Y2467/2</f>
        <v>10.185567096978106</v>
      </c>
      <c r="AA2467" s="75">
        <f>-('THAM_SO_MOI'!$C$12*IF(Z2467&gt;'THAM_SO_MOI'!$C$14,'THAM_SO_MOI'!$C$13*(1+Z2467^2/1500),'THAM_SO_MOI'!$C$13)+'THAM_SO_MOI'!$C$15*'THAM_SO_MOI'!$C$16*Z2467^2)/('THAM_SO_MOI'!$C$11*'THAM_SO_MOI'!$C$35)</f>
        <v>-0.1777738588764386</v>
      </c>
      <c r="AB2467" s="75">
        <f>F2466+S2467*AA2467</f>
        <v>10.181122750354474</v>
      </c>
      <c r="AC2467" s="75">
        <f>-('THAM_SO_MOI'!$C$12*IF(AB2467&gt;'THAM_SO_MOI'!$C$14,'THAM_SO_MOI'!$C$13*(1+AB2467^2/1500),'THAM_SO_MOI'!$C$13)+'THAM_SO_MOI'!$C$15*'THAM_SO_MOI'!$C$16*AB2467^2)/('THAM_SO_MOI'!$C$11*'THAM_SO_MOI'!$C$35)</f>
        <v>-0.177741026393728</v>
      </c>
    </row>
    <row r="2468" spans="1:29" ht="19" customHeight="1">
      <c r="A2468" s="68" t="s">
        <v>375</v>
      </c>
      <c r="B2468" s="74">
        <v>3</v>
      </c>
      <c r="C2468" s="68" t="s">
        <v>370</v>
      </c>
      <c r="D2468" s="68" t="s">
        <v>371</v>
      </c>
      <c r="F2468" s="75">
        <f>F2467+S2468*(W2468+2*Y2468+2*AA2468+AC2468)/6</f>
        <v>10.172237339300015</v>
      </c>
      <c r="G2468" s="75">
        <f>3.6*F2468</f>
        <v>36.620054421480056</v>
      </c>
      <c r="H2468" s="75">
        <f>'THAM_SO_MOI'!$C$35</f>
        <v>1.05</v>
      </c>
      <c r="I2468" s="75">
        <f>IF(F2468&gt;'THAM_SO_MOI'!$C$14,'THAM_SO_MOI'!$C$13*(1+F2468^2/1500),'THAM_SO_MOI'!$C$13)</f>
        <v>0.015</v>
      </c>
      <c r="J2468" s="75">
        <f>0</f>
        <v>0.0</v>
      </c>
      <c r="K2468" s="75">
        <f>0</f>
        <v>0.0</v>
      </c>
      <c r="L2468" s="75">
        <f>0</f>
        <v>0.0</v>
      </c>
      <c r="M2468" s="75">
        <f>'THAM_SO_MOI'!$C$15*'THAM_SO_MOI'!$C$16*F2468^2</f>
        <v>302.66265652461965</v>
      </c>
      <c r="N2468" s="75">
        <f>'THAM_SO_MOI'!$C$12*I2468</f>
        <v>1130.112</v>
      </c>
      <c r="O2468" s="75">
        <f>M2468+N2468</f>
        <v>1432.7746565246198</v>
      </c>
      <c r="P2468" s="75">
        <f>-O2468/('THAM_SO_MOI'!$C$11*H2468)</f>
        <v>-0.17767542863648558</v>
      </c>
      <c r="R2468" s="75">
        <f>F2468-F2467</f>
        <v>-0.008885411036215984</v>
      </c>
      <c r="S2468" s="75">
        <f>'THAM_SO_MOI'!$C$34/'THAM_SO_MOI'!$C$43</f>
        <v>0.05</v>
      </c>
      <c r="T2468" s="75">
        <f>S2468*(F2467+2*X2468+2*Z2468+AB2468)/6</f>
        <v>0.5088339885747069</v>
      </c>
      <c r="U2468" s="76">
        <f>U2467+S2468</f>
        <v>13.959728365682668</v>
      </c>
      <c r="V2468" s="76">
        <f>V2467+T2468</f>
        <v>85.84617848010268</v>
      </c>
      <c r="W2468" s="75">
        <f>-('THAM_SO_MOI'!$C$12*IF(F2467&gt;'THAM_SO_MOI'!$C$14,'THAM_SO_MOI'!$C$13*(1+F2467^2/1500),'THAM_SO_MOI'!$C$13)+'THAM_SO_MOI'!$C$15*'THAM_SO_MOI'!$C$16*F2467^2)/('THAM_SO_MOI'!$C$11*'THAM_SO_MOI'!$C$35)</f>
        <v>-0.17774102639359327</v>
      </c>
      <c r="X2468" s="75">
        <f>F2467+S2468*W2468/2</f>
        <v>10.176679224676391</v>
      </c>
      <c r="Y2468" s="75">
        <f>-('THAM_SO_MOI'!$C$12*IF(X2468&gt;'THAM_SO_MOI'!$C$14,'THAM_SO_MOI'!$C$13*(1+X2468^2/1500),'THAM_SO_MOI'!$C$13)+'THAM_SO_MOI'!$C$15*'THAM_SO_MOI'!$C$16*X2468^2)/('THAM_SO_MOI'!$C$11*'THAM_SO_MOI'!$C$35)</f>
        <v>-0.17770821430093417</v>
      </c>
      <c r="Z2468" s="75">
        <f>F2467+S2468*Y2468/2</f>
        <v>10.176680044978708</v>
      </c>
      <c r="AA2468" s="75">
        <f>-('THAM_SO_MOI'!$C$12*IF(Z2468&gt;'THAM_SO_MOI'!$C$14,'THAM_SO_MOI'!$C$13*(1+Z2468^2/1500),'THAM_SO_MOI'!$C$13)+'THAM_SO_MOI'!$C$15*'THAM_SO_MOI'!$C$16*Z2468^2)/('THAM_SO_MOI'!$C$11*'THAM_SO_MOI'!$C$35)</f>
        <v>-0.17770822035692754</v>
      </c>
      <c r="AB2468" s="75">
        <f>F2467+S2468*AA2468</f>
        <v>10.172237339318384</v>
      </c>
      <c r="AC2468" s="75">
        <f>-('THAM_SO_MOI'!$C$12*IF(AB2468&gt;'THAM_SO_MOI'!$C$14,'THAM_SO_MOI'!$C$13*(1+AB2468^2/1500),'THAM_SO_MOI'!$C$13)+'THAM_SO_MOI'!$C$15*'THAM_SO_MOI'!$C$16*AB2468^2)/('THAM_SO_MOI'!$C$11*'THAM_SO_MOI'!$C$35)</f>
        <v>-0.17767542863662114</v>
      </c>
    </row>
    <row r="2469" spans="1:29" ht="19" customHeight="1">
      <c r="A2469" s="68" t="s">
        <v>376</v>
      </c>
      <c r="B2469" s="74">
        <v>4</v>
      </c>
      <c r="C2469" s="68" t="s">
        <v>363</v>
      </c>
      <c r="D2469" s="68" t="s">
        <v>364</v>
      </c>
      <c r="E2469" s="75">
        <f>60*F2469*'THAM_SO_MOI'!$C$52/(2*PI()*'THAM_SO_MOI'!$C$26)</f>
        <v>1600.284015229391</v>
      </c>
      <c r="F2469" s="75">
        <f>'HANH_TRINH'!$F$2468+('THAM_SO_MOI'!$F$52-'HANH_TRINH'!$F$2468)*0/'THAM_SO_MOI'!$C$42</f>
        <v>10.172237339300015</v>
      </c>
      <c r="G2469" s="75">
        <f>3.6*F2469</f>
        <v>36.620054421480056</v>
      </c>
      <c r="H2469" s="75">
        <f>'THAM_SO_MOI'!$D$52</f>
        <v>1.1774754878398197</v>
      </c>
      <c r="I2469" s="75">
        <f>IF(F2469&gt;'THAM_SO_MOI'!$C$14,'THAM_SO_MOI'!$C$13*(1+F2469^2/1500),'THAM_SO_MOI'!$C$13)</f>
        <v>0.015</v>
      </c>
      <c r="J2469" s="75">
        <f>'THAM_SO_MOI'!$C$40*('THAM_SO_MOI'!$C$23*(E2469/'THAM_SO_MOI'!$C$22)+'THAM_SO_MOI'!$C$24*(E2469/'THAM_SO_MOI'!$C$22)^2-'THAM_SO_MOI'!$C$25*(E2469/'THAM_SO_MOI'!$C$22)^3)</f>
        <v>69.46088799774625</v>
      </c>
      <c r="K2469" s="75">
        <f>'THAM_SO_MOI'!$C$31*J2469/E2469</f>
        <v>414.5687692052928</v>
      </c>
      <c r="L2469" s="75">
        <f>K2469*'THAM_SO_MOI'!$C$52*'THAM_SO_MOI'!$C$17/'THAM_SO_MOI'!$C$26</f>
        <v>5805.300545903247</v>
      </c>
      <c r="M2469" s="75">
        <f>'THAM_SO_MOI'!$C$15*'THAM_SO_MOI'!$C$16*F2469^2</f>
        <v>302.66265652461965</v>
      </c>
      <c r="N2469" s="75">
        <f>'THAM_SO_MOI'!$C$12*I2469</f>
        <v>1130.112</v>
      </c>
      <c r="O2469" s="75">
        <f>M2469+N2469</f>
        <v>1432.7746565246198</v>
      </c>
      <c r="P2469" s="75">
        <f>(MIN(L2469,'THAM_SO_MOI'!$C$41)-O2469)/('THAM_SO_MOI'!$C$11*H2469)</f>
        <v>0.4835254019235205</v>
      </c>
      <c r="Q2469" s="75">
        <f>IF(P2469&gt;0,1/P2469,NA())</f>
        <v>2.068143671504916</v>
      </c>
      <c r="R2469" s="75">
        <f>0</f>
        <v>0.0</v>
      </c>
      <c r="S2469" s="75">
        <f>0</f>
        <v>0.0</v>
      </c>
      <c r="T2469" s="75">
        <f>0</f>
        <v>0.0</v>
      </c>
      <c r="U2469" s="76">
        <f>U2468+S2469</f>
        <v>13.959728365682668</v>
      </c>
      <c r="V2469" s="76">
        <f>V2468+T2469</f>
        <v>85.84617848010268</v>
      </c>
    </row>
    <row r="2470" spans="1:29" ht="19" customHeight="1">
      <c r="A2470" s="68" t="s">
        <v>376</v>
      </c>
      <c r="B2470" s="74">
        <v>4</v>
      </c>
      <c r="C2470" s="68" t="s">
        <v>363</v>
      </c>
      <c r="D2470" s="68" t="s">
        <v>364</v>
      </c>
      <c r="E2470" s="75">
        <f>60*F2470*'THAM_SO_MOI'!$C$52/(2*PI()*'THAM_SO_MOI'!$C$26)</f>
        <v>1601.5336602103541</v>
      </c>
      <c r="F2470" s="75">
        <f>'HANH_TRINH'!$F$2468+('THAM_SO_MOI'!$F$52-'HANH_TRINH'!$F$2468)*1/'THAM_SO_MOI'!$C$42</f>
        <v>10.180180732607234</v>
      </c>
      <c r="G2470" s="75">
        <f>3.6*F2470</f>
        <v>36.64865063738604</v>
      </c>
      <c r="H2470" s="75">
        <f>'THAM_SO_MOI'!$D$52</f>
        <v>1.1774754878398197</v>
      </c>
      <c r="I2470" s="75">
        <f>IF(F2470&gt;'THAM_SO_MOI'!$C$14,'THAM_SO_MOI'!$C$13*(1+F2470^2/1500),'THAM_SO_MOI'!$C$13)</f>
        <v>0.015</v>
      </c>
      <c r="J2470" s="75">
        <f>'THAM_SO_MOI'!$C$40*('THAM_SO_MOI'!$C$23*(E2470/'THAM_SO_MOI'!$C$22)+'THAM_SO_MOI'!$C$24*(E2470/'THAM_SO_MOI'!$C$22)^2-'THAM_SO_MOI'!$C$25*(E2470/'THAM_SO_MOI'!$C$22)^3)</f>
        <v>69.52663035312142</v>
      </c>
      <c r="K2470" s="75">
        <f>'THAM_SO_MOI'!$C$31*J2470/E2470</f>
        <v>414.63735841119365</v>
      </c>
      <c r="L2470" s="75">
        <f>K2470*'THAM_SO_MOI'!$C$52*'THAM_SO_MOI'!$C$17/'THAM_SO_MOI'!$C$26</f>
        <v>5806.261016117205</v>
      </c>
      <c r="M2470" s="75">
        <f>'THAM_SO_MOI'!$C$15*'THAM_SO_MOI'!$C$16*F2470^2</f>
        <v>303.1355332645016</v>
      </c>
      <c r="N2470" s="75">
        <f>'THAM_SO_MOI'!$C$12*I2470</f>
        <v>1130.112</v>
      </c>
      <c r="O2470" s="75">
        <f>M2470+N2470</f>
        <v>1433.2475332645017</v>
      </c>
      <c r="P2470" s="75">
        <f>(MIN(L2470,'THAM_SO_MOI'!$C$41)-O2470)/('THAM_SO_MOI'!$C$11*H2470)</f>
        <v>0.4835793212910651</v>
      </c>
      <c r="Q2470" s="75">
        <f>IF(P2470&gt;0,1/P2470,NA())</f>
        <v>2.0679130723170496</v>
      </c>
      <c r="R2470" s="75">
        <f>F2470-F2469</f>
        <v>0.007943393307218827</v>
      </c>
      <c r="S2470" s="75">
        <f>0.5*(Q2469+Q2470)*R2470</f>
        <v>0.016427162728576347</v>
      </c>
      <c r="T2470" s="75">
        <f>0.5*(F2469*Q2469+F2470*Q2470)*R2470</f>
        <v>0.16716623815606133</v>
      </c>
      <c r="U2470" s="76">
        <f>U2469+S2470</f>
        <v>13.976155528411244</v>
      </c>
      <c r="V2470" s="76">
        <f>V2469+T2470</f>
        <v>86.01334471825874</v>
      </c>
    </row>
    <row r="2471" spans="1:29" ht="19" customHeight="1">
      <c r="A2471" s="68" t="s">
        <v>376</v>
      </c>
      <c r="B2471" s="74">
        <v>4</v>
      </c>
      <c r="C2471" s="68" t="s">
        <v>363</v>
      </c>
      <c r="D2471" s="68" t="s">
        <v>364</v>
      </c>
      <c r="E2471" s="75">
        <f>60*F2471*'THAM_SO_MOI'!$C$52/(2*PI()*'THAM_SO_MOI'!$C$26)</f>
        <v>1602.7833051913176</v>
      </c>
      <c r="F2471" s="75">
        <f>'HANH_TRINH'!$F$2468+('THAM_SO_MOI'!$F$52-'HANH_TRINH'!$F$2468)*2/'THAM_SO_MOI'!$C$42</f>
        <v>10.188124125914454</v>
      </c>
      <c r="G2471" s="75">
        <f>3.6*F2471</f>
        <v>36.67724685329203</v>
      </c>
      <c r="H2471" s="75">
        <f>'THAM_SO_MOI'!$D$52</f>
        <v>1.1774754878398197</v>
      </c>
      <c r="I2471" s="75">
        <f>IF(F2471&gt;'THAM_SO_MOI'!$C$14,'THAM_SO_MOI'!$C$13*(1+F2471^2/1500),'THAM_SO_MOI'!$C$13)</f>
        <v>0.015</v>
      </c>
      <c r="J2471" s="75">
        <f>'THAM_SO_MOI'!$C$40*('THAM_SO_MOI'!$C$23*(E2471/'THAM_SO_MOI'!$C$22)+'THAM_SO_MOI'!$C$24*(E2471/'THAM_SO_MOI'!$C$22)^2-'THAM_SO_MOI'!$C$25*(E2471/'THAM_SO_MOI'!$C$22)^3)</f>
        <v>69.59236523323904</v>
      </c>
      <c r="K2471" s="75">
        <f>'THAM_SO_MOI'!$C$31*J2471/E2471</f>
        <v>414.70579611736684</v>
      </c>
      <c r="L2471" s="75">
        <f>K2471*'THAM_SO_MOI'!$C$52*'THAM_SO_MOI'!$C$17/'THAM_SO_MOI'!$C$26</f>
        <v>5807.219364846101</v>
      </c>
      <c r="M2471" s="75">
        <f>'THAM_SO_MOI'!$C$15*'THAM_SO_MOI'!$C$16*F2471^2</f>
        <v>303.6087791247425</v>
      </c>
      <c r="N2471" s="75">
        <f>'THAM_SO_MOI'!$C$12*I2471</f>
        <v>1130.112</v>
      </c>
      <c r="O2471" s="75">
        <f>M2471+N2471</f>
        <v>1433.7207791247426</v>
      </c>
      <c r="P2471" s="75">
        <f>(MIN(L2471,'THAM_SO_MOI'!$C$41)-O2471)/('THAM_SO_MOI'!$C$11*H2471)</f>
        <v>0.48363296524091803</v>
      </c>
      <c r="Q2471" s="75">
        <f>IF(P2471&gt;0,1/P2471,NA())</f>
        <v>2.0676837020442926</v>
      </c>
      <c r="R2471" s="75">
        <f>F2471-F2470</f>
        <v>0.007943393307220603</v>
      </c>
      <c r="S2471" s="75">
        <f>0.5*(Q2470+Q2471)*R2471</f>
        <v>0.016425335869412503</v>
      </c>
      <c r="T2471" s="75">
        <f>0.5*(F2470*Q2470+F2471*Q2471)*R2471</f>
        <v>0.16727812057773006</v>
      </c>
      <c r="U2471" s="76">
        <f>U2470+S2471</f>
        <v>13.992580864280656</v>
      </c>
      <c r="V2471" s="76">
        <f>V2470+T2471</f>
        <v>86.18062283883647</v>
      </c>
    </row>
    <row r="2472" spans="1:29" ht="19" customHeight="1">
      <c r="A2472" s="68" t="s">
        <v>376</v>
      </c>
      <c r="B2472" s="74">
        <v>4</v>
      </c>
      <c r="C2472" s="68" t="s">
        <v>363</v>
      </c>
      <c r="D2472" s="68" t="s">
        <v>364</v>
      </c>
      <c r="E2472" s="75">
        <f>60*F2472*'THAM_SO_MOI'!$C$52/(2*PI()*'THAM_SO_MOI'!$C$26)</f>
        <v>1604.0329501722806</v>
      </c>
      <c r="F2472" s="75">
        <f>'HANH_TRINH'!$F$2468+('THAM_SO_MOI'!$F$52-'HANH_TRINH'!$F$2468)*3/'THAM_SO_MOI'!$C$42</f>
        <v>10.196067519221673</v>
      </c>
      <c r="G2472" s="75">
        <f>3.6*F2472</f>
        <v>36.705843069198025</v>
      </c>
      <c r="H2472" s="75">
        <f>'THAM_SO_MOI'!$D$52</f>
        <v>1.1774754878398197</v>
      </c>
      <c r="I2472" s="75">
        <f>IF(F2472&gt;'THAM_SO_MOI'!$C$14,'THAM_SO_MOI'!$C$13*(1+F2472^2/1500),'THAM_SO_MOI'!$C$13)</f>
        <v>0.015</v>
      </c>
      <c r="J2472" s="75">
        <f>'THAM_SO_MOI'!$C$40*('THAM_SO_MOI'!$C$23*(E2472/'THAM_SO_MOI'!$C$22)+'THAM_SO_MOI'!$C$24*(E2472/'THAM_SO_MOI'!$C$22)^2-'THAM_SO_MOI'!$C$25*(E2472/'THAM_SO_MOI'!$C$22)^3)</f>
        <v>69.65809257863343</v>
      </c>
      <c r="K2472" s="75">
        <f>'THAM_SO_MOI'!$C$31*J2472/E2472</f>
        <v>414.7740823238127</v>
      </c>
      <c r="L2472" s="75">
        <f>K2472*'THAM_SO_MOI'!$C$52*'THAM_SO_MOI'!$C$17/'THAM_SO_MOI'!$C$26</f>
        <v>5808.175592089938</v>
      </c>
      <c r="M2472" s="75">
        <f>'THAM_SO_MOI'!$C$15*'THAM_SO_MOI'!$C$16*F2472^2</f>
        <v>304.08239410534213</v>
      </c>
      <c r="N2472" s="75">
        <f>'THAM_SO_MOI'!$C$12*I2472</f>
        <v>1130.112</v>
      </c>
      <c r="O2472" s="75">
        <f>M2472+N2472</f>
        <v>1434.1943941053423</v>
      </c>
      <c r="P2472" s="75">
        <f>(MIN(L2472,'THAM_SO_MOI'!$C$41)-O2472)/('THAM_SO_MOI'!$C$11*H2472)</f>
        <v>0.48368633377307974</v>
      </c>
      <c r="Q2472" s="75">
        <f>IF(P2472&gt;0,1/P2472,NA())</f>
        <v>2.0674555598859397</v>
      </c>
      <c r="R2472" s="75">
        <f>F2472-F2471</f>
        <v>0.007943393307218827</v>
      </c>
      <c r="S2472" s="75">
        <f>0.5*(Q2471+Q2472)*R2472</f>
        <v>0.016423518768817206</v>
      </c>
      <c r="T2472" s="75">
        <f>0.5*(F2471*Q2471+F2472*Q2472)*R2472</f>
        <v>0.1673900734367302</v>
      </c>
      <c r="U2472" s="76">
        <f>U2471+S2472</f>
        <v>14.009004383049474</v>
      </c>
      <c r="V2472" s="76">
        <f>V2471+T2472</f>
        <v>86.3480129122732</v>
      </c>
    </row>
    <row r="2473" spans="1:29" ht="19" customHeight="1">
      <c r="A2473" s="68" t="s">
        <v>376</v>
      </c>
      <c r="B2473" s="74">
        <v>4</v>
      </c>
      <c r="C2473" s="68" t="s">
        <v>363</v>
      </c>
      <c r="D2473" s="68" t="s">
        <v>364</v>
      </c>
      <c r="E2473" s="75">
        <f>60*F2473*'THAM_SO_MOI'!$C$52/(2*PI()*'THAM_SO_MOI'!$C$26)</f>
        <v>1605.2825951532436</v>
      </c>
      <c r="F2473" s="75">
        <f>'HANH_TRINH'!$F$2468+('THAM_SO_MOI'!$F$52-'HANH_TRINH'!$F$2468)*4/'THAM_SO_MOI'!$C$42</f>
        <v>10.204010912528892</v>
      </c>
      <c r="G2473" s="75">
        <f>3.6*F2473</f>
        <v>36.73443928510401</v>
      </c>
      <c r="H2473" s="75">
        <f>'THAM_SO_MOI'!$D$52</f>
        <v>1.1774754878398197</v>
      </c>
      <c r="I2473" s="75">
        <f>IF(F2473&gt;'THAM_SO_MOI'!$C$14,'THAM_SO_MOI'!$C$13*(1+F2473^2/1500),'THAM_SO_MOI'!$C$13)</f>
        <v>0.015</v>
      </c>
      <c r="J2473" s="75">
        <f>'THAM_SO_MOI'!$C$40*('THAM_SO_MOI'!$C$23*(E2473/'THAM_SO_MOI'!$C$22)+'THAM_SO_MOI'!$C$24*(E2473/'THAM_SO_MOI'!$C$22)^2-'THAM_SO_MOI'!$C$25*(E2473/'THAM_SO_MOI'!$C$22)^3)</f>
        <v>69.72381232983892</v>
      </c>
      <c r="K2473" s="75">
        <f>'THAM_SO_MOI'!$C$31*J2473/E2473</f>
        <v>414.8422170305311</v>
      </c>
      <c r="L2473" s="75">
        <f>K2473*'THAM_SO_MOI'!$C$52*'THAM_SO_MOI'!$C$17/'THAM_SO_MOI'!$C$26</f>
        <v>5809.129697848713</v>
      </c>
      <c r="M2473" s="75">
        <f>'THAM_SO_MOI'!$C$15*'THAM_SO_MOI'!$C$16*F2473^2</f>
        <v>304.5563782063005</v>
      </c>
      <c r="N2473" s="75">
        <f>'THAM_SO_MOI'!$C$12*I2473</f>
        <v>1130.112</v>
      </c>
      <c r="O2473" s="75">
        <f>M2473+N2473</f>
        <v>1434.6683782063005</v>
      </c>
      <c r="P2473" s="75">
        <f>(MIN(L2473,'THAM_SO_MOI'!$C$41)-O2473)/('THAM_SO_MOI'!$C$11*H2473)</f>
        <v>0.48373942688754973</v>
      </c>
      <c r="Q2473" s="75">
        <f>IF(P2473&gt;0,1/P2473,NA())</f>
        <v>2.0672286450458386</v>
      </c>
      <c r="R2473" s="75">
        <f>F2473-F2472</f>
        <v>0.007943393307218827</v>
      </c>
      <c r="S2473" s="75">
        <f>0.5*(Q2472+Q2473)*R2473</f>
        <v>0.016421711420459242</v>
      </c>
      <c r="T2473" s="75">
        <f>0.5*(F2472*Q2472+F2473*Q2473)*R2473</f>
        <v>0.16750209690103163</v>
      </c>
      <c r="U2473" s="76">
        <f>U2472+S2473</f>
        <v>14.025426094469934</v>
      </c>
      <c r="V2473" s="76">
        <f>V2472+T2473</f>
        <v>86.51551500917424</v>
      </c>
    </row>
    <row r="2474" spans="1:29" ht="19" customHeight="1">
      <c r="A2474" s="68" t="s">
        <v>376</v>
      </c>
      <c r="B2474" s="74">
        <v>4</v>
      </c>
      <c r="C2474" s="68" t="s">
        <v>363</v>
      </c>
      <c r="D2474" s="68" t="s">
        <v>364</v>
      </c>
      <c r="E2474" s="75">
        <f>60*F2474*'THAM_SO_MOI'!$C$52/(2*PI()*'THAM_SO_MOI'!$C$26)</f>
        <v>1606.5322401342073</v>
      </c>
      <c r="F2474" s="75">
        <f>'HANH_TRINH'!$F$2468+('THAM_SO_MOI'!$F$52-'HANH_TRINH'!$F$2468)*5/'THAM_SO_MOI'!$C$42</f>
        <v>10.211954305836112</v>
      </c>
      <c r="G2474" s="75">
        <f>3.6*F2474</f>
        <v>36.76303550101001</v>
      </c>
      <c r="H2474" s="75">
        <f>'THAM_SO_MOI'!$D$52</f>
        <v>1.1774754878398197</v>
      </c>
      <c r="I2474" s="75">
        <f>IF(F2474&gt;'THAM_SO_MOI'!$C$14,'THAM_SO_MOI'!$C$13*(1+F2474^2/1500),'THAM_SO_MOI'!$C$13)</f>
        <v>0.015</v>
      </c>
      <c r="J2474" s="75">
        <f>'THAM_SO_MOI'!$C$40*('THAM_SO_MOI'!$C$23*(E2474/'THAM_SO_MOI'!$C$22)+'THAM_SO_MOI'!$C$24*(E2474/'THAM_SO_MOI'!$C$22)^2-'THAM_SO_MOI'!$C$25*(E2474/'THAM_SO_MOI'!$C$22)^3)</f>
        <v>69.78952442738982</v>
      </c>
      <c r="K2474" s="75">
        <f>'THAM_SO_MOI'!$C$31*J2474/E2474</f>
        <v>414.910200237522</v>
      </c>
      <c r="L2474" s="75">
        <f>K2474*'THAM_SO_MOI'!$C$52*'THAM_SO_MOI'!$C$17/'THAM_SO_MOI'!$C$26</f>
        <v>5810.081682122428</v>
      </c>
      <c r="M2474" s="75">
        <f>'THAM_SO_MOI'!$C$15*'THAM_SO_MOI'!$C$16*F2474^2</f>
        <v>305.0307314276178</v>
      </c>
      <c r="N2474" s="75">
        <f>'THAM_SO_MOI'!$C$12*I2474</f>
        <v>1130.112</v>
      </c>
      <c r="O2474" s="75">
        <f>M2474+N2474</f>
        <v>1435.142731427618</v>
      </c>
      <c r="P2474" s="75">
        <f>(MIN(L2474,'THAM_SO_MOI'!$C$41)-O2474)/('THAM_SO_MOI'!$C$11*H2474)</f>
        <v>0.4837922445843284</v>
      </c>
      <c r="Q2474" s="75">
        <f>IF(P2474&gt;0,1/P2474,NA())</f>
        <v>2.067002956732377</v>
      </c>
      <c r="R2474" s="75">
        <f>F2474-F2473</f>
        <v>0.007943393307220603</v>
      </c>
      <c r="S2474" s="75">
        <f>0.5*(Q2473+Q2474)*R2474</f>
        <v>0.016419913818032494</v>
      </c>
      <c r="T2474" s="75">
        <f>0.5*(F2473*Q2473+F2474*Q2474)*R2474</f>
        <v>0.16761419113865925</v>
      </c>
      <c r="U2474" s="76">
        <f>U2473+S2474</f>
        <v>14.041846008287965</v>
      </c>
      <c r="V2474" s="76">
        <f>V2473+T2474</f>
        <v>86.68312920031289</v>
      </c>
    </row>
    <row r="2475" spans="1:29" ht="19" customHeight="1">
      <c r="A2475" s="68" t="s">
        <v>376</v>
      </c>
      <c r="B2475" s="74">
        <v>4</v>
      </c>
      <c r="C2475" s="68" t="s">
        <v>363</v>
      </c>
      <c r="D2475" s="68" t="s">
        <v>364</v>
      </c>
      <c r="E2475" s="75">
        <f>60*F2475*'THAM_SO_MOI'!$C$52/(2*PI()*'THAM_SO_MOI'!$C$26)</f>
        <v>1607.7818851151703</v>
      </c>
      <c r="F2475" s="75">
        <f>'HANH_TRINH'!$F$2468+('THAM_SO_MOI'!$F$52-'HANH_TRINH'!$F$2468)*6/'THAM_SO_MOI'!$C$42</f>
        <v>10.219897699143331</v>
      </c>
      <c r="G2475" s="75">
        <f>3.6*F2475</f>
        <v>36.791631716915994</v>
      </c>
      <c r="H2475" s="75">
        <f>'THAM_SO_MOI'!$D$52</f>
        <v>1.1774754878398197</v>
      </c>
      <c r="I2475" s="75">
        <f>IF(F2475&gt;'THAM_SO_MOI'!$C$14,'THAM_SO_MOI'!$C$13*(1+F2475^2/1500),'THAM_SO_MOI'!$C$13)</f>
        <v>0.015</v>
      </c>
      <c r="J2475" s="75">
        <f>'THAM_SO_MOI'!$C$40*('THAM_SO_MOI'!$C$23*(E2475/'THAM_SO_MOI'!$C$22)+'THAM_SO_MOI'!$C$24*(E2475/'THAM_SO_MOI'!$C$22)^2-'THAM_SO_MOI'!$C$25*(E2475/'THAM_SO_MOI'!$C$22)^3)</f>
        <v>69.85522881182042</v>
      </c>
      <c r="K2475" s="75">
        <f>'THAM_SO_MOI'!$C$31*J2475/E2475</f>
        <v>414.9780319447854</v>
      </c>
      <c r="L2475" s="75">
        <f>K2475*'THAM_SO_MOI'!$C$52*'THAM_SO_MOI'!$C$17/'THAM_SO_MOI'!$C$26</f>
        <v>5811.031544911081</v>
      </c>
      <c r="M2475" s="75">
        <f>'THAM_SO_MOI'!$C$15*'THAM_SO_MOI'!$C$16*F2475^2</f>
        <v>305.50545376929387</v>
      </c>
      <c r="N2475" s="75">
        <f>'THAM_SO_MOI'!$C$12*I2475</f>
        <v>1130.112</v>
      </c>
      <c r="O2475" s="75">
        <f>M2475+N2475</f>
        <v>1435.617453769294</v>
      </c>
      <c r="P2475" s="75">
        <f>(MIN(L2475,'THAM_SO_MOI'!$C$41)-O2475)/('THAM_SO_MOI'!$C$11*H2475)</f>
        <v>0.48384478686341537</v>
      </c>
      <c r="Q2475" s="75">
        <f>IF(P2475&gt;0,1/P2475,NA())</f>
        <v>2.0667784941584793</v>
      </c>
      <c r="R2475" s="75">
        <f>F2475-F2474</f>
        <v>0.007943393307218827</v>
      </c>
      <c r="S2475" s="75">
        <f>0.5*(Q2474+Q2475)*R2475</f>
        <v>0.01641812595525588</v>
      </c>
      <c r="T2475" s="75">
        <f>0.5*(F2474*Q2474+F2475*Q2475)*R2475</f>
        <v>0.16772635631769328</v>
      </c>
      <c r="U2475" s="76">
        <f>U2474+S2475</f>
        <v>14.058264134243222</v>
      </c>
      <c r="V2475" s="76">
        <f>V2474+T2475</f>
        <v>86.85085555663058</v>
      </c>
    </row>
    <row r="2476" spans="1:29" ht="19" customHeight="1">
      <c r="A2476" s="68" t="s">
        <v>376</v>
      </c>
      <c r="B2476" s="74">
        <v>4</v>
      </c>
      <c r="C2476" s="68" t="s">
        <v>363</v>
      </c>
      <c r="D2476" s="68" t="s">
        <v>364</v>
      </c>
      <c r="E2476" s="75">
        <f>60*F2476*'THAM_SO_MOI'!$C$52/(2*PI()*'THAM_SO_MOI'!$C$26)</f>
        <v>1609.0315300961336</v>
      </c>
      <c r="F2476" s="75">
        <f>'HANH_TRINH'!$F$2468+('THAM_SO_MOI'!$F$52-'HANH_TRINH'!$F$2468)*7/'THAM_SO_MOI'!$C$42</f>
        <v>10.22784109245055</v>
      </c>
      <c r="G2476" s="75">
        <f>3.6*F2476</f>
        <v>36.82022793282198</v>
      </c>
      <c r="H2476" s="75">
        <f>'THAM_SO_MOI'!$D$52</f>
        <v>1.1774754878398197</v>
      </c>
      <c r="I2476" s="75">
        <f>IF(F2476&gt;'THAM_SO_MOI'!$C$14,'THAM_SO_MOI'!$C$13*(1+F2476^2/1500),'THAM_SO_MOI'!$C$13)</f>
        <v>0.015</v>
      </c>
      <c r="J2476" s="75">
        <f>'THAM_SO_MOI'!$C$40*('THAM_SO_MOI'!$C$23*(E2476/'THAM_SO_MOI'!$C$22)+'THAM_SO_MOI'!$C$24*(E2476/'THAM_SO_MOI'!$C$22)^2-'THAM_SO_MOI'!$C$25*(E2476/'THAM_SO_MOI'!$C$22)^3)</f>
        <v>69.92092542366505</v>
      </c>
      <c r="K2476" s="75">
        <f>'THAM_SO_MOI'!$C$31*J2476/E2476</f>
        <v>415.0457121523213</v>
      </c>
      <c r="L2476" s="75">
        <f>K2476*'THAM_SO_MOI'!$C$52*'THAM_SO_MOI'!$C$17/'THAM_SO_MOI'!$C$26</f>
        <v>5811.979286214672</v>
      </c>
      <c r="M2476" s="75">
        <f>'THAM_SO_MOI'!$C$15*'THAM_SO_MOI'!$C$16*F2476^2</f>
        <v>305.9805452313287</v>
      </c>
      <c r="N2476" s="75">
        <f>'THAM_SO_MOI'!$C$12*I2476</f>
        <v>1130.112</v>
      </c>
      <c r="O2476" s="75">
        <f>M2476+N2476</f>
        <v>1436.0925452313288</v>
      </c>
      <c r="P2476" s="75">
        <f>(MIN(L2476,'THAM_SO_MOI'!$C$41)-O2476)/('THAM_SO_MOI'!$C$11*H2476)</f>
        <v>0.48389705372481073</v>
      </c>
      <c r="Q2476" s="75">
        <f>IF(P2476&gt;0,1/P2476,NA())</f>
        <v>2.0665552565415988</v>
      </c>
      <c r="R2476" s="75">
        <f>F2476-F2475</f>
        <v>0.007943393307218827</v>
      </c>
      <c r="S2476" s="75">
        <f>0.5*(Q2475+Q2476)*R2476</f>
        <v>0.016416347825906348</v>
      </c>
      <c r="T2476" s="75">
        <f>0.5*(F2475*Q2475+F2476*Q2476)*R2476</f>
        <v>0.16783859260660783</v>
      </c>
      <c r="U2476" s="76">
        <f>U2475+S2476</f>
        <v>14.074680482069128</v>
      </c>
      <c r="V2476" s="76">
        <f>V2475+T2476</f>
        <v>87.01869414923719</v>
      </c>
    </row>
    <row r="2477" spans="1:29" ht="19" customHeight="1">
      <c r="A2477" s="68" t="s">
        <v>376</v>
      </c>
      <c r="B2477" s="74">
        <v>4</v>
      </c>
      <c r="C2477" s="68" t="s">
        <v>363</v>
      </c>
      <c r="D2477" s="68" t="s">
        <v>364</v>
      </c>
      <c r="E2477" s="75">
        <f>60*F2477*'THAM_SO_MOI'!$C$52/(2*PI()*'THAM_SO_MOI'!$C$26)</f>
        <v>1610.281175077097</v>
      </c>
      <c r="F2477" s="75">
        <f>'HANH_TRINH'!$F$2468+('THAM_SO_MOI'!$F$52-'HANH_TRINH'!$F$2468)*8/'THAM_SO_MOI'!$C$42</f>
        <v>10.23578448575777</v>
      </c>
      <c r="G2477" s="75">
        <f>3.6*F2477</f>
        <v>36.84882414872798</v>
      </c>
      <c r="H2477" s="75">
        <f>'THAM_SO_MOI'!$D$52</f>
        <v>1.1774754878398197</v>
      </c>
      <c r="I2477" s="75">
        <f>IF(F2477&gt;'THAM_SO_MOI'!$C$14,'THAM_SO_MOI'!$C$13*(1+F2477^2/1500),'THAM_SO_MOI'!$C$13)</f>
        <v>0.015</v>
      </c>
      <c r="J2477" s="75">
        <f>'THAM_SO_MOI'!$C$40*('THAM_SO_MOI'!$C$23*(E2477/'THAM_SO_MOI'!$C$22)+'THAM_SO_MOI'!$C$24*(E2477/'THAM_SO_MOI'!$C$22)^2-'THAM_SO_MOI'!$C$25*(E2477/'THAM_SO_MOI'!$C$22)^3)</f>
        <v>69.98661420345806</v>
      </c>
      <c r="K2477" s="75">
        <f>'THAM_SO_MOI'!$C$31*J2477/E2477</f>
        <v>415.11324086012996</v>
      </c>
      <c r="L2477" s="75">
        <f>K2477*'THAM_SO_MOI'!$C$52*'THAM_SO_MOI'!$C$17/'THAM_SO_MOI'!$C$26</f>
        <v>5812.924906033205</v>
      </c>
      <c r="M2477" s="75">
        <f>'THAM_SO_MOI'!$C$15*'THAM_SO_MOI'!$C$16*F2477^2</f>
        <v>306.45600581372247</v>
      </c>
      <c r="N2477" s="75">
        <f>'THAM_SO_MOI'!$C$12*I2477</f>
        <v>1130.112</v>
      </c>
      <c r="O2477" s="75">
        <f>M2477+N2477</f>
        <v>1436.5680058137225</v>
      </c>
      <c r="P2477" s="75">
        <f>(MIN(L2477,'THAM_SO_MOI'!$C$41)-O2477)/('THAM_SO_MOI'!$C$11*H2477)</f>
        <v>0.4839490451685148</v>
      </c>
      <c r="Q2477" s="75">
        <f>IF(P2477&gt;0,1/P2477,NA())</f>
        <v>2.066333243103708</v>
      </c>
      <c r="R2477" s="75">
        <f>F2477-F2476</f>
        <v>0.007943393307220603</v>
      </c>
      <c r="S2477" s="75">
        <f>0.5*(Q2476+Q2477)*R2477</f>
        <v>0.016414579423785765</v>
      </c>
      <c r="T2477" s="75">
        <f>0.5*(F2476*Q2476+F2477*Q2477)*R2477</f>
        <v>0.16795090017393413</v>
      </c>
      <c r="U2477" s="76">
        <f>U2476+S2477</f>
        <v>14.091095061492915</v>
      </c>
      <c r="V2477" s="76">
        <f>V2476+T2477</f>
        <v>87.18664504941113</v>
      </c>
    </row>
    <row r="2478" spans="1:29" ht="19" customHeight="1">
      <c r="A2478" s="68" t="s">
        <v>376</v>
      </c>
      <c r="B2478" s="74">
        <v>4</v>
      </c>
      <c r="C2478" s="68" t="s">
        <v>363</v>
      </c>
      <c r="D2478" s="68" t="s">
        <v>364</v>
      </c>
      <c r="E2478" s="75">
        <f>60*F2478*'THAM_SO_MOI'!$C$52/(2*PI()*'THAM_SO_MOI'!$C$26)</f>
        <v>1611.5308200580605</v>
      </c>
      <c r="F2478" s="75">
        <f>'HANH_TRINH'!$F$2468+('THAM_SO_MOI'!$F$52-'HANH_TRINH'!$F$2468)*9/'THAM_SO_MOI'!$C$42</f>
        <v>10.24372787906499</v>
      </c>
      <c r="G2478" s="75">
        <f>3.6*F2478</f>
        <v>36.87742036463396</v>
      </c>
      <c r="H2478" s="75">
        <f>'THAM_SO_MOI'!$D$52</f>
        <v>1.1774754878398197</v>
      </c>
      <c r="I2478" s="75">
        <f>IF(F2478&gt;'THAM_SO_MOI'!$C$14,'THAM_SO_MOI'!$C$13*(1+F2478^2/1500),'THAM_SO_MOI'!$C$13)</f>
        <v>0.015</v>
      </c>
      <c r="J2478" s="75">
        <f>'THAM_SO_MOI'!$C$40*('THAM_SO_MOI'!$C$23*(E2478/'THAM_SO_MOI'!$C$22)+'THAM_SO_MOI'!$C$24*(E2478/'THAM_SO_MOI'!$C$22)^2-'THAM_SO_MOI'!$C$25*(E2478/'THAM_SO_MOI'!$C$22)^3)</f>
        <v>70.0522950917337</v>
      </c>
      <c r="K2478" s="75">
        <f>'THAM_SO_MOI'!$C$31*J2478/E2478</f>
        <v>415.1806180682109</v>
      </c>
      <c r="L2478" s="75">
        <f>K2478*'THAM_SO_MOI'!$C$52*'THAM_SO_MOI'!$C$17/'THAM_SO_MOI'!$C$26</f>
        <v>5813.868404366674</v>
      </c>
      <c r="M2478" s="75">
        <f>'THAM_SO_MOI'!$C$15*'THAM_SO_MOI'!$C$16*F2478^2</f>
        <v>306.93183551647496</v>
      </c>
      <c r="N2478" s="75">
        <f>'THAM_SO_MOI'!$C$12*I2478</f>
        <v>1130.112</v>
      </c>
      <c r="O2478" s="75">
        <f>M2478+N2478</f>
        <v>1437.0438355164752</v>
      </c>
      <c r="P2478" s="75">
        <f>(MIN(L2478,'THAM_SO_MOI'!$C$41)-O2478)/('THAM_SO_MOI'!$C$11*H2478)</f>
        <v>0.484000761194527</v>
      </c>
      <c r="Q2478" s="75">
        <f>IF(P2478&gt;0,1/P2478,NA())</f>
        <v>2.0661124530712986</v>
      </c>
      <c r="R2478" s="75">
        <f>F2478-F2477</f>
        <v>0.007943393307218827</v>
      </c>
      <c r="S2478" s="75">
        <f>0.5*(Q2477+Q2478)*R2478</f>
        <v>0.016412820742720893</v>
      </c>
      <c r="T2478" s="75">
        <f>0.5*(F2477*Q2477+F2478*Q2478)*R2478</f>
        <v>0.16806327918826142</v>
      </c>
      <c r="U2478" s="76">
        <f>U2477+S2478</f>
        <v>14.107507882235636</v>
      </c>
      <c r="V2478" s="76">
        <f>V2477+T2478</f>
        <v>87.35470832859939</v>
      </c>
    </row>
    <row r="2479" spans="1:29" ht="19" customHeight="1">
      <c r="A2479" s="68" t="s">
        <v>376</v>
      </c>
      <c r="B2479" s="74">
        <v>4</v>
      </c>
      <c r="C2479" s="68" t="s">
        <v>363</v>
      </c>
      <c r="D2479" s="68" t="s">
        <v>364</v>
      </c>
      <c r="E2479" s="75">
        <f>60*F2479*'THAM_SO_MOI'!$C$52/(2*PI()*'THAM_SO_MOI'!$C$26)</f>
        <v>1612.7804650390233</v>
      </c>
      <c r="F2479" s="75">
        <f>'HANH_TRINH'!$F$2468+('THAM_SO_MOI'!$F$52-'HANH_TRINH'!$F$2468)*10/'THAM_SO_MOI'!$C$42</f>
        <v>10.251671272372208</v>
      </c>
      <c r="G2479" s="75">
        <f>3.6*F2479</f>
        <v>36.90601658053995</v>
      </c>
      <c r="H2479" s="75">
        <f>'THAM_SO_MOI'!$D$52</f>
        <v>1.1774754878398197</v>
      </c>
      <c r="I2479" s="75">
        <f>IF(F2479&gt;'THAM_SO_MOI'!$C$14,'THAM_SO_MOI'!$C$13*(1+F2479^2/1500),'THAM_SO_MOI'!$C$13)</f>
        <v>0.015</v>
      </c>
      <c r="J2479" s="75">
        <f>'THAM_SO_MOI'!$C$40*('THAM_SO_MOI'!$C$23*(E2479/'THAM_SO_MOI'!$C$22)+'THAM_SO_MOI'!$C$24*(E2479/'THAM_SO_MOI'!$C$22)^2-'THAM_SO_MOI'!$C$25*(E2479/'THAM_SO_MOI'!$C$22)^3)</f>
        <v>70.11796802902627</v>
      </c>
      <c r="K2479" s="75">
        <f>'THAM_SO_MOI'!$C$31*J2479/E2479</f>
        <v>415.24784377656437</v>
      </c>
      <c r="L2479" s="75">
        <f>K2479*'THAM_SO_MOI'!$C$52*'THAM_SO_MOI'!$C$17/'THAM_SO_MOI'!$C$26</f>
        <v>5814.8097812150845</v>
      </c>
      <c r="M2479" s="75">
        <f>'THAM_SO_MOI'!$C$15*'THAM_SO_MOI'!$C$16*F2479^2</f>
        <v>307.40803433958627</v>
      </c>
      <c r="N2479" s="75">
        <f>'THAM_SO_MOI'!$C$12*I2479</f>
        <v>1130.112</v>
      </c>
      <c r="O2479" s="75">
        <f>M2479+N2479</f>
        <v>1437.5200343395863</v>
      </c>
      <c r="P2479" s="75">
        <f>(MIN(L2479,'THAM_SO_MOI'!$C$41)-O2479)/('THAM_SO_MOI'!$C$11*H2479)</f>
        <v>0.4840522018028479</v>
      </c>
      <c r="Q2479" s="75">
        <f>IF(P2479&gt;0,1/P2479,NA())</f>
        <v>2.0658928856753658</v>
      </c>
      <c r="R2479" s="75">
        <f>F2479-F2478</f>
        <v>0.007943393307218827</v>
      </c>
      <c r="S2479" s="75">
        <f>0.5*(Q2478+Q2479)*R2479</f>
        <v>0.016411071776596356</v>
      </c>
      <c r="T2479" s="75">
        <f>0.5*(F2478*Q2478+F2479*Q2479)*R2479</f>
        <v>0.16817572981857565</v>
      </c>
      <c r="U2479" s="76">
        <f>U2478+S2479</f>
        <v>14.123918954012233</v>
      </c>
      <c r="V2479" s="76">
        <f>V2478+T2479</f>
        <v>87.52288405841796</v>
      </c>
    </row>
    <row r="2480" spans="1:29" ht="19" customHeight="1">
      <c r="A2480" s="68" t="s">
        <v>376</v>
      </c>
      <c r="B2480" s="74">
        <v>4</v>
      </c>
      <c r="C2480" s="68" t="s">
        <v>363</v>
      </c>
      <c r="D2480" s="68" t="s">
        <v>364</v>
      </c>
      <c r="E2480" s="75">
        <f>60*F2480*'THAM_SO_MOI'!$C$52/(2*PI()*'THAM_SO_MOI'!$C$26)</f>
        <v>1614.0301100199868</v>
      </c>
      <c r="F2480" s="75">
        <f>'HANH_TRINH'!$F$2468+('THAM_SO_MOI'!$F$52-'HANH_TRINH'!$F$2468)*11/'THAM_SO_MOI'!$C$42</f>
        <v>10.259614665679429</v>
      </c>
      <c r="G2480" s="75">
        <f>3.6*F2480</f>
        <v>36.93461279644595</v>
      </c>
      <c r="H2480" s="75">
        <f>'THAM_SO_MOI'!$D$52</f>
        <v>1.1774754878398197</v>
      </c>
      <c r="I2480" s="75">
        <f>IF(F2480&gt;'THAM_SO_MOI'!$C$14,'THAM_SO_MOI'!$C$13*(1+F2480^2/1500),'THAM_SO_MOI'!$C$13)</f>
        <v>0.015</v>
      </c>
      <c r="J2480" s="75">
        <f>'THAM_SO_MOI'!$C$40*('THAM_SO_MOI'!$C$23*(E2480/'THAM_SO_MOI'!$C$22)+'THAM_SO_MOI'!$C$24*(E2480/'THAM_SO_MOI'!$C$22)^2-'THAM_SO_MOI'!$C$25*(E2480/'THAM_SO_MOI'!$C$22)^3)</f>
        <v>70.18363295587018</v>
      </c>
      <c r="K2480" s="75">
        <f>'THAM_SO_MOI'!$C$31*J2480/E2480</f>
        <v>415.31491798519045</v>
      </c>
      <c r="L2480" s="75">
        <f>K2480*'THAM_SO_MOI'!$C$52*'THAM_SO_MOI'!$C$17/'THAM_SO_MOI'!$C$26</f>
        <v>5815.749036578433</v>
      </c>
      <c r="M2480" s="75">
        <f>'THAM_SO_MOI'!$C$15*'THAM_SO_MOI'!$C$16*F2480^2</f>
        <v>307.88460228305644</v>
      </c>
      <c r="N2480" s="75">
        <f>'THAM_SO_MOI'!$C$12*I2480</f>
        <v>1130.112</v>
      </c>
      <c r="O2480" s="75">
        <f>M2480+N2480</f>
        <v>1437.9966022830565</v>
      </c>
      <c r="P2480" s="75">
        <f>(MIN(L2480,'THAM_SO_MOI'!$C$41)-O2480)/('THAM_SO_MOI'!$C$11*H2480)</f>
        <v>0.4841033669934772</v>
      </c>
      <c r="Q2480" s="75">
        <f>IF(P2480&gt;0,1/P2480,NA())</f>
        <v>2.0656745401514094</v>
      </c>
      <c r="R2480" s="75">
        <f>F2480-F2479</f>
        <v>0.007943393307220603</v>
      </c>
      <c r="S2480" s="75">
        <f>0.5*(Q2479+Q2480)*R2480</f>
        <v>0.016409332519321532</v>
      </c>
      <c r="T2480" s="75">
        <f>0.5*(F2479*Q2479+F2480*Q2480)*R2480</f>
        <v>0.16828825223392252</v>
      </c>
      <c r="U2480" s="76">
        <f>U2479+S2480</f>
        <v>14.140328286531554</v>
      </c>
      <c r="V2480" s="76">
        <f>V2479+T2480</f>
        <v>87.69117231065188</v>
      </c>
    </row>
    <row r="2481" spans="1:22" ht="19" customHeight="1">
      <c r="A2481" s="68" t="s">
        <v>376</v>
      </c>
      <c r="B2481" s="74">
        <v>4</v>
      </c>
      <c r="C2481" s="68" t="s">
        <v>363</v>
      </c>
      <c r="D2481" s="68" t="s">
        <v>364</v>
      </c>
      <c r="E2481" s="75">
        <f>60*F2481*'THAM_SO_MOI'!$C$52/(2*PI()*'THAM_SO_MOI'!$C$26)</f>
        <v>1615.27975500095</v>
      </c>
      <c r="F2481" s="75">
        <f>'HANH_TRINH'!$F$2468+('THAM_SO_MOI'!$F$52-'HANH_TRINH'!$F$2468)*12/'THAM_SO_MOI'!$C$42</f>
        <v>10.267558058986648</v>
      </c>
      <c r="G2481" s="75">
        <f>3.6*F2481</f>
        <v>36.96320901235193</v>
      </c>
      <c r="H2481" s="75">
        <f>'THAM_SO_MOI'!$D$52</f>
        <v>1.1774754878398197</v>
      </c>
      <c r="I2481" s="75">
        <f>IF(F2481&gt;'THAM_SO_MOI'!$C$14,'THAM_SO_MOI'!$C$13*(1+F2481^2/1500),'THAM_SO_MOI'!$C$13)</f>
        <v>0.015</v>
      </c>
      <c r="J2481" s="75">
        <f>'THAM_SO_MOI'!$C$40*('THAM_SO_MOI'!$C$23*(E2481/'THAM_SO_MOI'!$C$22)+'THAM_SO_MOI'!$C$24*(E2481/'THAM_SO_MOI'!$C$22)^2-'THAM_SO_MOI'!$C$25*(E2481/'THAM_SO_MOI'!$C$22)^3)</f>
        <v>70.24928981279966</v>
      </c>
      <c r="K2481" s="75">
        <f>'THAM_SO_MOI'!$C$31*J2481/E2481</f>
        <v>415.38184069408896</v>
      </c>
      <c r="L2481" s="75">
        <f>K2481*'THAM_SO_MOI'!$C$52*'THAM_SO_MOI'!$C$17/'THAM_SO_MOI'!$C$26</f>
        <v>5816.68617045672</v>
      </c>
      <c r="M2481" s="75">
        <f>'THAM_SO_MOI'!$C$15*'THAM_SO_MOI'!$C$16*F2481^2</f>
        <v>308.36153934688537</v>
      </c>
      <c r="N2481" s="75">
        <f>'THAM_SO_MOI'!$C$12*I2481</f>
        <v>1130.112</v>
      </c>
      <c r="O2481" s="75">
        <f>M2481+N2481</f>
        <v>1438.4735393468854</v>
      </c>
      <c r="P2481" s="75">
        <f>(MIN(L2481,'THAM_SO_MOI'!$C$41)-O2481)/('THAM_SO_MOI'!$C$11*H2481)</f>
        <v>0.48415425676641494</v>
      </c>
      <c r="Q2481" s="75">
        <f>IF(P2481&gt;0,1/P2481,NA())</f>
        <v>2.065457415739422</v>
      </c>
      <c r="R2481" s="75">
        <f>F2481-F2480</f>
        <v>0.007943393307218827</v>
      </c>
      <c r="S2481" s="75">
        <f>0.5*(Q2480+Q2481)*R2481</f>
        <v>0.016407602964830525</v>
      </c>
      <c r="T2481" s="75">
        <f>0.5*(F2480*Q2480+F2481*Q2481)*R2481</f>
        <v>0.16840084660340796</v>
      </c>
      <c r="U2481" s="76">
        <f>U2480+S2481</f>
        <v>14.156735889496385</v>
      </c>
      <c r="V2481" s="76">
        <f>V2480+T2481</f>
        <v>87.85957315725528</v>
      </c>
    </row>
    <row r="2482" spans="1:22" ht="19" customHeight="1">
      <c r="A2482" s="68" t="s">
        <v>376</v>
      </c>
      <c r="B2482" s="74">
        <v>4</v>
      </c>
      <c r="C2482" s="68" t="s">
        <v>363</v>
      </c>
      <c r="D2482" s="68" t="s">
        <v>364</v>
      </c>
      <c r="E2482" s="75">
        <f>60*F2482*'THAM_SO_MOI'!$C$52/(2*PI()*'THAM_SO_MOI'!$C$26)</f>
        <v>1616.529399981913</v>
      </c>
      <c r="F2482" s="75">
        <f>'HANH_TRINH'!$F$2468+('THAM_SO_MOI'!$F$52-'HANH_TRINH'!$F$2468)*13/'THAM_SO_MOI'!$C$42</f>
        <v>10.275501452293867</v>
      </c>
      <c r="G2482" s="75">
        <f>3.6*F2482</f>
        <v>36.991805228257924</v>
      </c>
      <c r="H2482" s="75">
        <f>'THAM_SO_MOI'!$D$52</f>
        <v>1.1774754878398197</v>
      </c>
      <c r="I2482" s="75">
        <f>IF(F2482&gt;'THAM_SO_MOI'!$C$14,'THAM_SO_MOI'!$C$13*(1+F2482^2/1500),'THAM_SO_MOI'!$C$13)</f>
        <v>0.015</v>
      </c>
      <c r="J2482" s="75">
        <f>'THAM_SO_MOI'!$C$40*('THAM_SO_MOI'!$C$23*(E2482/'THAM_SO_MOI'!$C$22)+'THAM_SO_MOI'!$C$24*(E2482/'THAM_SO_MOI'!$C$22)^2-'THAM_SO_MOI'!$C$25*(E2482/'THAM_SO_MOI'!$C$22)^3)</f>
        <v>70.31493854034905</v>
      </c>
      <c r="K2482" s="75">
        <f>'THAM_SO_MOI'!$C$31*J2482/E2482</f>
        <v>415.44861190326003</v>
      </c>
      <c r="L2482" s="75">
        <f>K2482*'THAM_SO_MOI'!$C$52*'THAM_SO_MOI'!$C$17/'THAM_SO_MOI'!$C$26</f>
        <v>5817.621182849945</v>
      </c>
      <c r="M2482" s="75">
        <f>'THAM_SO_MOI'!$C$15*'THAM_SO_MOI'!$C$16*F2482^2</f>
        <v>308.8388455310731</v>
      </c>
      <c r="N2482" s="75">
        <f>'THAM_SO_MOI'!$C$12*I2482</f>
        <v>1130.112</v>
      </c>
      <c r="O2482" s="75">
        <f>M2482+N2482</f>
        <v>1438.9508455310731</v>
      </c>
      <c r="P2482" s="75">
        <f>(MIN(L2482,'THAM_SO_MOI'!$C$41)-O2482)/('THAM_SO_MOI'!$C$11*H2482)</f>
        <v>0.48420487112166105</v>
      </c>
      <c r="Q2482" s="75">
        <f>IF(P2482&gt;0,1/P2482,NA())</f>
        <v>2.065241511683885</v>
      </c>
      <c r="R2482" s="75">
        <f>F2482-F2481</f>
        <v>0.007943393307218827</v>
      </c>
      <c r="S2482" s="75">
        <f>0.5*(Q2481+Q2482)*R2482</f>
        <v>0.01640588310711514</v>
      </c>
      <c r="T2482" s="75">
        <f>0.5*(F2481*Q2481+F2482*Q2482)*R2482</f>
        <v>0.1685135130965376</v>
      </c>
      <c r="U2482" s="76">
        <f>U2481+S2482</f>
        <v>14.1731417726035</v>
      </c>
      <c r="V2482" s="76">
        <f>V2481+T2482</f>
        <v>88.02808667035183</v>
      </c>
    </row>
    <row r="2483" spans="1:22" ht="19" customHeight="1">
      <c r="A2483" s="68" t="s">
        <v>376</v>
      </c>
      <c r="B2483" s="74">
        <v>4</v>
      </c>
      <c r="C2483" s="68" t="s">
        <v>363</v>
      </c>
      <c r="D2483" s="68" t="s">
        <v>364</v>
      </c>
      <c r="E2483" s="75">
        <f>60*F2483*'THAM_SO_MOI'!$C$52/(2*PI()*'THAM_SO_MOI'!$C$26)</f>
        <v>1617.7790449628767</v>
      </c>
      <c r="F2483" s="75">
        <f>'HANH_TRINH'!$F$2468+('THAM_SO_MOI'!$F$52-'HANH_TRINH'!$F$2468)*14/'THAM_SO_MOI'!$C$42</f>
        <v>10.283444845601087</v>
      </c>
      <c r="G2483" s="75">
        <f>3.6*F2483</f>
        <v>37.020401444163916</v>
      </c>
      <c r="H2483" s="75">
        <f>'THAM_SO_MOI'!$D$52</f>
        <v>1.1774754878398197</v>
      </c>
      <c r="I2483" s="75">
        <f>IF(F2483&gt;'THAM_SO_MOI'!$C$14,'THAM_SO_MOI'!$C$13*(1+F2483^2/1500),'THAM_SO_MOI'!$C$13)</f>
        <v>0.015</v>
      </c>
      <c r="J2483" s="75">
        <f>'THAM_SO_MOI'!$C$40*('THAM_SO_MOI'!$C$23*(E2483/'THAM_SO_MOI'!$C$22)+'THAM_SO_MOI'!$C$24*(E2483/'THAM_SO_MOI'!$C$22)^2-'THAM_SO_MOI'!$C$25*(E2483/'THAM_SO_MOI'!$C$22)^3)</f>
        <v>70.38057907905268</v>
      </c>
      <c r="K2483" s="75">
        <f>'THAM_SO_MOI'!$C$31*J2483/E2483</f>
        <v>415.51523161270364</v>
      </c>
      <c r="L2483" s="75">
        <f>K2483*'THAM_SO_MOI'!$C$52*'THAM_SO_MOI'!$C$17/'THAM_SO_MOI'!$C$26</f>
        <v>5818.554073758112</v>
      </c>
      <c r="M2483" s="75">
        <f>'THAM_SO_MOI'!$C$15*'THAM_SO_MOI'!$C$16*F2483^2</f>
        <v>309.31652083561977</v>
      </c>
      <c r="N2483" s="75">
        <f>'THAM_SO_MOI'!$C$12*I2483</f>
        <v>1130.112</v>
      </c>
      <c r="O2483" s="75">
        <f>M2483+N2483</f>
        <v>1439.4285208356198</v>
      </c>
      <c r="P2483" s="75">
        <f>(MIN(L2483,'THAM_SO_MOI'!$C$41)-O2483)/('THAM_SO_MOI'!$C$11*H2483)</f>
        <v>0.4842552100592159</v>
      </c>
      <c r="Q2483" s="75">
        <f>IF(P2483&gt;0,1/P2483,NA())</f>
        <v>2.065026827233759</v>
      </c>
      <c r="R2483" s="75">
        <f>F2483-F2482</f>
        <v>0.007943393307220603</v>
      </c>
      <c r="S2483" s="75">
        <f>0.5*(Q2482+Q2483)*R2483</f>
        <v>0.016404172940191784</v>
      </c>
      <c r="T2483" s="75">
        <f>0.5*(F2482*Q2482+F2483*Q2483)*R2483</f>
        <v>0.16862625188287936</v>
      </c>
      <c r="U2483" s="76">
        <f>U2482+S2483</f>
        <v>14.189545945543692</v>
      </c>
      <c r="V2483" s="76">
        <f>V2482+T2483</f>
        <v>88.19671292223471</v>
      </c>
    </row>
    <row r="2484" spans="1:22" ht="19" customHeight="1">
      <c r="A2484" s="68" t="s">
        <v>376</v>
      </c>
      <c r="B2484" s="74">
        <v>4</v>
      </c>
      <c r="C2484" s="68" t="s">
        <v>363</v>
      </c>
      <c r="D2484" s="68" t="s">
        <v>364</v>
      </c>
      <c r="E2484" s="75">
        <f>60*F2484*'THAM_SO_MOI'!$C$52/(2*PI()*'THAM_SO_MOI'!$C$26)</f>
        <v>1619.0286899438397</v>
      </c>
      <c r="F2484" s="75">
        <f>'HANH_TRINH'!$F$2468+('THAM_SO_MOI'!$F$52-'HANH_TRINH'!$F$2468)*15/'THAM_SO_MOI'!$C$42</f>
        <v>10.291388238908306</v>
      </c>
      <c r="G2484" s="75">
        <f>3.6*F2484</f>
        <v>37.0489976600699</v>
      </c>
      <c r="H2484" s="75">
        <f>'THAM_SO_MOI'!$D$52</f>
        <v>1.1774754878398197</v>
      </c>
      <c r="I2484" s="75">
        <f>IF(F2484&gt;'THAM_SO_MOI'!$C$14,'THAM_SO_MOI'!$C$13*(1+F2484^2/1500),'THAM_SO_MOI'!$C$13)</f>
        <v>0.015</v>
      </c>
      <c r="J2484" s="75">
        <f>'THAM_SO_MOI'!$C$40*('THAM_SO_MOI'!$C$23*(E2484/'THAM_SO_MOI'!$C$22)+'THAM_SO_MOI'!$C$24*(E2484/'THAM_SO_MOI'!$C$22)^2-'THAM_SO_MOI'!$C$25*(E2484/'THAM_SO_MOI'!$C$22)^3)</f>
        <v>70.44621136944482</v>
      </c>
      <c r="K2484" s="75">
        <f>'THAM_SO_MOI'!$C$31*J2484/E2484</f>
        <v>415.5816998224198</v>
      </c>
      <c r="L2484" s="75">
        <f>K2484*'THAM_SO_MOI'!$C$52*'THAM_SO_MOI'!$C$17/'THAM_SO_MOI'!$C$26</f>
        <v>5819.484843181216</v>
      </c>
      <c r="M2484" s="75">
        <f>'THAM_SO_MOI'!$C$15*'THAM_SO_MOI'!$C$16*F2484^2</f>
        <v>309.79456526052513</v>
      </c>
      <c r="N2484" s="75">
        <f>'THAM_SO_MOI'!$C$12*I2484</f>
        <v>1130.112</v>
      </c>
      <c r="O2484" s="75">
        <f>M2484+N2484</f>
        <v>1439.9065652605252</v>
      </c>
      <c r="P2484" s="75">
        <f>(MIN(L2484,'THAM_SO_MOI'!$C$41)-O2484)/('THAM_SO_MOI'!$C$11*H2484)</f>
        <v>0.484305273579079</v>
      </c>
      <c r="Q2484" s="75">
        <f>IF(P2484&gt;0,1/P2484,NA())</f>
        <v>2.064813361642482</v>
      </c>
      <c r="R2484" s="75">
        <f>F2484-F2483</f>
        <v>0.007943393307218827</v>
      </c>
      <c r="S2484" s="75">
        <f>0.5*(Q2483+Q2484)*R2484</f>
        <v>0.016402472458101433</v>
      </c>
      <c r="T2484" s="75">
        <f>0.5*(F2483*Q2483+F2484*Q2484)*R2484</f>
        <v>0.1687390631320636</v>
      </c>
      <c r="U2484" s="76">
        <f>U2483+S2484</f>
        <v>14.205948418001794</v>
      </c>
      <c r="V2484" s="76">
        <f>V2483+T2484</f>
        <v>88.36545198536678</v>
      </c>
    </row>
    <row r="2485" spans="1:22" ht="19" customHeight="1">
      <c r="A2485" s="68" t="s">
        <v>376</v>
      </c>
      <c r="B2485" s="74">
        <v>4</v>
      </c>
      <c r="C2485" s="68" t="s">
        <v>363</v>
      </c>
      <c r="D2485" s="68" t="s">
        <v>364</v>
      </c>
      <c r="E2485" s="75">
        <f>60*F2485*'THAM_SO_MOI'!$C$52/(2*PI()*'THAM_SO_MOI'!$C$26)</f>
        <v>1620.2783349248032</v>
      </c>
      <c r="F2485" s="75">
        <f>'HANH_TRINH'!$F$2468+('THAM_SO_MOI'!$F$52-'HANH_TRINH'!$F$2468)*16/'THAM_SO_MOI'!$C$42</f>
        <v>10.299331632215525</v>
      </c>
      <c r="G2485" s="75">
        <f>3.6*F2485</f>
        <v>37.07759387597589</v>
      </c>
      <c r="H2485" s="75">
        <f>'THAM_SO_MOI'!$D$52</f>
        <v>1.1774754878398197</v>
      </c>
      <c r="I2485" s="75">
        <f>IF(F2485&gt;'THAM_SO_MOI'!$C$14,'THAM_SO_MOI'!$C$13*(1+F2485^2/1500),'THAM_SO_MOI'!$C$13)</f>
        <v>0.015</v>
      </c>
      <c r="J2485" s="75">
        <f>'THAM_SO_MOI'!$C$40*('THAM_SO_MOI'!$C$23*(E2485/'THAM_SO_MOI'!$C$22)+'THAM_SO_MOI'!$C$24*(E2485/'THAM_SO_MOI'!$C$22)^2-'THAM_SO_MOI'!$C$25*(E2485/'THAM_SO_MOI'!$C$22)^3)</f>
        <v>70.51183535205985</v>
      </c>
      <c r="K2485" s="75">
        <f>'THAM_SO_MOI'!$C$31*J2485/E2485</f>
        <v>415.6480165324086</v>
      </c>
      <c r="L2485" s="75">
        <f>K2485*'THAM_SO_MOI'!$C$52*'THAM_SO_MOI'!$C$17/'THAM_SO_MOI'!$C$26</f>
        <v>5820.4134911192605</v>
      </c>
      <c r="M2485" s="75">
        <f>'THAM_SO_MOI'!$C$15*'THAM_SO_MOI'!$C$16*F2485^2</f>
        <v>310.2729788057893</v>
      </c>
      <c r="N2485" s="75">
        <f>'THAM_SO_MOI'!$C$12*I2485</f>
        <v>1130.112</v>
      </c>
      <c r="O2485" s="75">
        <f>M2485+N2485</f>
        <v>1440.3849788057894</v>
      </c>
      <c r="P2485" s="75">
        <f>(MIN(L2485,'THAM_SO_MOI'!$C$41)-O2485)/('THAM_SO_MOI'!$C$11*H2485)</f>
        <v>0.48435506168125064</v>
      </c>
      <c r="Q2485" s="75">
        <f>IF(P2485&gt;0,1/P2485,NA())</f>
        <v>2.064601114167958</v>
      </c>
      <c r="R2485" s="75">
        <f>F2485-F2484</f>
        <v>0.007943393307218827</v>
      </c>
      <c r="S2485" s="75">
        <f>0.5*(Q2484+Q2485)*R2485</f>
        <v>0.016400781654942596</v>
      </c>
      <c r="T2485" s="75">
        <f>0.5*(F2484*Q2484+F2485*Q2485)*R2485</f>
        <v>0.16885194701412373</v>
      </c>
      <c r="U2485" s="76">
        <f>U2484+S2485</f>
        <v>14.222349199656737</v>
      </c>
      <c r="V2485" s="76">
        <f>V2484+T2485</f>
        <v>88.5343039323809</v>
      </c>
    </row>
    <row r="2486" spans="1:22" ht="19" customHeight="1">
      <c r="A2486" s="68" t="s">
        <v>376</v>
      </c>
      <c r="B2486" s="74">
        <v>4</v>
      </c>
      <c r="C2486" s="68" t="s">
        <v>363</v>
      </c>
      <c r="D2486" s="68" t="s">
        <v>364</v>
      </c>
      <c r="E2486" s="75">
        <f>60*F2486*'THAM_SO_MOI'!$C$52/(2*PI()*'THAM_SO_MOI'!$C$26)</f>
        <v>1621.5279799057664</v>
      </c>
      <c r="F2486" s="75">
        <f>'HANH_TRINH'!$F$2468+('THAM_SO_MOI'!$F$52-'HANH_TRINH'!$F$2468)*17/'THAM_SO_MOI'!$C$42</f>
        <v>10.307275025522745</v>
      </c>
      <c r="G2486" s="75">
        <f>3.6*F2486</f>
        <v>37.106190091881885</v>
      </c>
      <c r="H2486" s="75">
        <f>'THAM_SO_MOI'!$D$52</f>
        <v>1.1774754878398197</v>
      </c>
      <c r="I2486" s="75">
        <f>IF(F2486&gt;'THAM_SO_MOI'!$C$14,'THAM_SO_MOI'!$C$13*(1+F2486^2/1500),'THAM_SO_MOI'!$C$13)</f>
        <v>0.015</v>
      </c>
      <c r="J2486" s="75">
        <f>'THAM_SO_MOI'!$C$40*('THAM_SO_MOI'!$C$23*(E2486/'THAM_SO_MOI'!$C$22)+'THAM_SO_MOI'!$C$24*(E2486/'THAM_SO_MOI'!$C$22)^2-'THAM_SO_MOI'!$C$25*(E2486/'THAM_SO_MOI'!$C$22)^3)</f>
        <v>70.57745096743201</v>
      </c>
      <c r="K2486" s="75">
        <f>'THAM_SO_MOI'!$C$31*J2486/E2486</f>
        <v>415.7141817426697</v>
      </c>
      <c r="L2486" s="75">
        <f>K2486*'THAM_SO_MOI'!$C$52*'THAM_SO_MOI'!$C$17/'THAM_SO_MOI'!$C$26</f>
        <v>5821.340017572244</v>
      </c>
      <c r="M2486" s="75">
        <f>'THAM_SO_MOI'!$C$15*'THAM_SO_MOI'!$C$16*F2486^2</f>
        <v>310.7517614714124</v>
      </c>
      <c r="N2486" s="75">
        <f>'THAM_SO_MOI'!$C$12*I2486</f>
        <v>1130.112</v>
      </c>
      <c r="O2486" s="75">
        <f>M2486+N2486</f>
        <v>1440.8637614714125</v>
      </c>
      <c r="P2486" s="75">
        <f>(MIN(L2486,'THAM_SO_MOI'!$C$41)-O2486)/('THAM_SO_MOI'!$C$11*H2486)</f>
        <v>0.4844045743657308</v>
      </c>
      <c r="Q2486" s="75">
        <f>IF(P2486&gt;0,1/P2486,NA())</f>
        <v>2.0643900840725524</v>
      </c>
      <c r="R2486" s="75">
        <f>F2486-F2485</f>
        <v>0.007943393307220603</v>
      </c>
      <c r="S2486" s="75">
        <f>0.5*(Q2485+Q2486)*R2486</f>
        <v>0.016399100524838225</v>
      </c>
      <c r="T2486" s="75">
        <f>0.5*(F2485*Q2485+F2486*Q2486)*R2486</f>
        <v>0.16896490369915754</v>
      </c>
      <c r="U2486" s="76">
        <f>U2485+S2486</f>
        <v>14.238748300181575</v>
      </c>
      <c r="V2486" s="76">
        <f>V2485+T2486</f>
        <v>88.70326883608006</v>
      </c>
    </row>
    <row r="2487" spans="1:22" ht="19" customHeight="1">
      <c r="A2487" s="68" t="s">
        <v>376</v>
      </c>
      <c r="B2487" s="74">
        <v>4</v>
      </c>
      <c r="C2487" s="68" t="s">
        <v>363</v>
      </c>
      <c r="D2487" s="68" t="s">
        <v>364</v>
      </c>
      <c r="E2487" s="75">
        <f>60*F2487*'THAM_SO_MOI'!$C$52/(2*PI()*'THAM_SO_MOI'!$C$26)</f>
        <v>1622.7776248867294</v>
      </c>
      <c r="F2487" s="75">
        <f>'HANH_TRINH'!$F$2468+('THAM_SO_MOI'!$F$52-'HANH_TRINH'!$F$2468)*18/'THAM_SO_MOI'!$C$42</f>
        <v>10.315218418829964</v>
      </c>
      <c r="G2487" s="75">
        <f>3.6*F2487</f>
        <v>37.13478630778787</v>
      </c>
      <c r="H2487" s="75">
        <f>'THAM_SO_MOI'!$D$52</f>
        <v>1.1774754878398197</v>
      </c>
      <c r="I2487" s="75">
        <f>IF(F2487&gt;'THAM_SO_MOI'!$C$14,'THAM_SO_MOI'!$C$13*(1+F2487^2/1500),'THAM_SO_MOI'!$C$13)</f>
        <v>0.015</v>
      </c>
      <c r="J2487" s="75">
        <f>'THAM_SO_MOI'!$C$40*('THAM_SO_MOI'!$C$23*(E2487/'THAM_SO_MOI'!$C$22)+'THAM_SO_MOI'!$C$24*(E2487/'THAM_SO_MOI'!$C$22)^2-'THAM_SO_MOI'!$C$25*(E2487/'THAM_SO_MOI'!$C$22)^3)</f>
        <v>70.64305815609563</v>
      </c>
      <c r="K2487" s="75">
        <f>'THAM_SO_MOI'!$C$31*J2487/E2487</f>
        <v>415.7801954532033</v>
      </c>
      <c r="L2487" s="75">
        <f>K2487*'THAM_SO_MOI'!$C$52*'THAM_SO_MOI'!$C$17/'THAM_SO_MOI'!$C$26</f>
        <v>5822.264422540162</v>
      </c>
      <c r="M2487" s="75">
        <f>'THAM_SO_MOI'!$C$15*'THAM_SO_MOI'!$C$16*F2487^2</f>
        <v>311.2309132573942</v>
      </c>
      <c r="N2487" s="75">
        <f>'THAM_SO_MOI'!$C$12*I2487</f>
        <v>1130.112</v>
      </c>
      <c r="O2487" s="75">
        <f>M2487+N2487</f>
        <v>1441.3429132573942</v>
      </c>
      <c r="P2487" s="75">
        <f>(MIN(L2487,'THAM_SO_MOI'!$C$41)-O2487)/('THAM_SO_MOI'!$C$11*H2487)</f>
        <v>0.48445381163251894</v>
      </c>
      <c r="Q2487" s="75">
        <f>IF(P2487&gt;0,1/P2487,NA())</f>
        <v>2.064180270623089</v>
      </c>
      <c r="R2487" s="75">
        <f>F2487-F2486</f>
        <v>0.007943393307218827</v>
      </c>
      <c r="S2487" s="75">
        <f>0.5*(Q2486+Q2487)*R2487</f>
        <v>0.016397429061935708</v>
      </c>
      <c r="T2487" s="75">
        <f>0.5*(F2486*Q2486+F2487*Q2487)*R2487</f>
        <v>0.169077933357328</v>
      </c>
      <c r="U2487" s="76">
        <f>U2486+S2487</f>
        <v>14.25514572924351</v>
      </c>
      <c r="V2487" s="76">
        <f>V2486+T2487</f>
        <v>88.87234676943739</v>
      </c>
    </row>
    <row r="2488" spans="1:22" ht="19" customHeight="1">
      <c r="A2488" s="68" t="s">
        <v>376</v>
      </c>
      <c r="B2488" s="74">
        <v>4</v>
      </c>
      <c r="C2488" s="68" t="s">
        <v>363</v>
      </c>
      <c r="D2488" s="68" t="s">
        <v>364</v>
      </c>
      <c r="E2488" s="75">
        <f>60*F2488*'THAM_SO_MOI'!$C$52/(2*PI()*'THAM_SO_MOI'!$C$26)</f>
        <v>1624.0272698676927</v>
      </c>
      <c r="F2488" s="75">
        <f>'HANH_TRINH'!$F$2468+('THAM_SO_MOI'!$F$52-'HANH_TRINH'!$F$2468)*19/'THAM_SO_MOI'!$C$42</f>
        <v>10.323161812137183</v>
      </c>
      <c r="G2488" s="75">
        <f>3.6*F2488</f>
        <v>37.16338252369386</v>
      </c>
      <c r="H2488" s="75">
        <f>'THAM_SO_MOI'!$D$52</f>
        <v>1.1774754878398197</v>
      </c>
      <c r="I2488" s="75">
        <f>IF(F2488&gt;'THAM_SO_MOI'!$C$14,'THAM_SO_MOI'!$C$13*(1+F2488^2/1500),'THAM_SO_MOI'!$C$13)</f>
        <v>0.015</v>
      </c>
      <c r="J2488" s="75">
        <f>'THAM_SO_MOI'!$C$40*('THAM_SO_MOI'!$C$23*(E2488/'THAM_SO_MOI'!$C$22)+'THAM_SO_MOI'!$C$24*(E2488/'THAM_SO_MOI'!$C$22)^2-'THAM_SO_MOI'!$C$25*(E2488/'THAM_SO_MOI'!$C$22)^3)</f>
        <v>70.70865685858509</v>
      </c>
      <c r="K2488" s="75">
        <f>'THAM_SO_MOI'!$C$31*J2488/E2488</f>
        <v>415.84605766400966</v>
      </c>
      <c r="L2488" s="75">
        <f>K2488*'THAM_SO_MOI'!$C$52*'THAM_SO_MOI'!$C$17/'THAM_SO_MOI'!$C$26</f>
        <v>5823.186706023024</v>
      </c>
      <c r="M2488" s="75">
        <f>'THAM_SO_MOI'!$C$15*'THAM_SO_MOI'!$C$16*F2488^2</f>
        <v>311.7104341637348</v>
      </c>
      <c r="N2488" s="75">
        <f>'THAM_SO_MOI'!$C$12*I2488</f>
        <v>1130.112</v>
      </c>
      <c r="O2488" s="75">
        <f>M2488+N2488</f>
        <v>1441.822434163735</v>
      </c>
      <c r="P2488" s="75">
        <f>(MIN(L2488,'THAM_SO_MOI'!$C$41)-O2488)/('THAM_SO_MOI'!$C$11*H2488)</f>
        <v>0.4845027734816162</v>
      </c>
      <c r="Q2488" s="75">
        <f>IF(P2488&gt;0,1/P2488,NA())</f>
        <v>2.0639716730908324</v>
      </c>
      <c r="R2488" s="75">
        <f>F2488-F2487</f>
        <v>0.007943393307218827</v>
      </c>
      <c r="S2488" s="75">
        <f>0.5*(Q2487+Q2488)*R2488</f>
        <v>0.01639576726043978</v>
      </c>
      <c r="T2488" s="75">
        <f>0.5*(F2487*Q2487+F2488*Q2488)*R2488</f>
        <v>0.16919103615920378</v>
      </c>
      <c r="U2488" s="76">
        <f>U2487+S2488</f>
        <v>14.27154149650395</v>
      </c>
      <c r="V2488" s="76">
        <f>V2487+T2488</f>
        <v>89.04153780559659</v>
      </c>
    </row>
    <row r="2489" spans="1:22" ht="19" customHeight="1">
      <c r="A2489" s="68" t="s">
        <v>376</v>
      </c>
      <c r="B2489" s="74">
        <v>4</v>
      </c>
      <c r="C2489" s="68" t="s">
        <v>363</v>
      </c>
      <c r="D2489" s="68" t="s">
        <v>364</v>
      </c>
      <c r="E2489" s="75">
        <f>60*F2489*'THAM_SO_MOI'!$C$52/(2*PI()*'THAM_SO_MOI'!$C$26)</f>
        <v>1625.276914848656</v>
      </c>
      <c r="F2489" s="75">
        <f>'HANH_TRINH'!$F$2468+('THAM_SO_MOI'!$F$52-'HANH_TRINH'!$F$2468)*20/'THAM_SO_MOI'!$C$42</f>
        <v>10.331105205444402</v>
      </c>
      <c r="G2489" s="75">
        <f>3.6*F2489</f>
        <v>37.19197873959985</v>
      </c>
      <c r="H2489" s="75">
        <f>'THAM_SO_MOI'!$D$52</f>
        <v>1.1774754878398197</v>
      </c>
      <c r="I2489" s="75">
        <f>IF(F2489&gt;'THAM_SO_MOI'!$C$14,'THAM_SO_MOI'!$C$13*(1+F2489^2/1500),'THAM_SO_MOI'!$C$13)</f>
        <v>0.015</v>
      </c>
      <c r="J2489" s="75">
        <f>'THAM_SO_MOI'!$C$40*('THAM_SO_MOI'!$C$23*(E2489/'THAM_SO_MOI'!$C$22)+'THAM_SO_MOI'!$C$24*(E2489/'THAM_SO_MOI'!$C$22)^2-'THAM_SO_MOI'!$C$25*(E2489/'THAM_SO_MOI'!$C$22)^3)</f>
        <v>70.77424701543463</v>
      </c>
      <c r="K2489" s="75">
        <f>'THAM_SO_MOI'!$C$31*J2489/E2489</f>
        <v>415.9117683750884</v>
      </c>
      <c r="L2489" s="75">
        <f>K2489*'THAM_SO_MOI'!$C$52*'THAM_SO_MOI'!$C$17/'THAM_SO_MOI'!$C$26</f>
        <v>5824.106868020824</v>
      </c>
      <c r="M2489" s="75">
        <f>'THAM_SO_MOI'!$C$15*'THAM_SO_MOI'!$C$16*F2489^2</f>
        <v>312.19032419043424</v>
      </c>
      <c r="N2489" s="75">
        <f>'THAM_SO_MOI'!$C$12*I2489</f>
        <v>1130.112</v>
      </c>
      <c r="O2489" s="75">
        <f>M2489+N2489</f>
        <v>1442.3023241904343</v>
      </c>
      <c r="P2489" s="75">
        <f>(MIN(L2489,'THAM_SO_MOI'!$C$41)-O2489)/('THAM_SO_MOI'!$C$11*H2489)</f>
        <v>0.4845514599130217</v>
      </c>
      <c r="Q2489" s="75">
        <f>IF(P2489&gt;0,1/P2489,NA())</f>
        <v>2.063764290751498</v>
      </c>
      <c r="R2489" s="75">
        <f>F2489-F2488</f>
        <v>0.007943393307218827</v>
      </c>
      <c r="S2489" s="75">
        <f>0.5*(Q2488+Q2489)*R2489</f>
        <v>0.016394115114575808</v>
      </c>
      <c r="T2489" s="75">
        <f>0.5*(F2488*Q2488+F2489*Q2489)*R2489</f>
        <v>0.1693042122753828</v>
      </c>
      <c r="U2489" s="76">
        <f>U2488+S2489</f>
        <v>14.287935611618526</v>
      </c>
      <c r="V2489" s="76">
        <f>V2488+T2489</f>
        <v>89.21084201787197</v>
      </c>
    </row>
    <row r="2490" spans="1:22" ht="19" customHeight="1">
      <c r="A2490" s="68" t="s">
        <v>376</v>
      </c>
      <c r="B2490" s="74">
        <v>4</v>
      </c>
      <c r="C2490" s="68" t="s">
        <v>363</v>
      </c>
      <c r="D2490" s="68" t="s">
        <v>364</v>
      </c>
      <c r="E2490" s="75">
        <f>60*F2490*'THAM_SO_MOI'!$C$52/(2*PI()*'THAM_SO_MOI'!$C$26)</f>
        <v>1626.5265598296194</v>
      </c>
      <c r="F2490" s="75">
        <f>'HANH_TRINH'!$F$2468+('THAM_SO_MOI'!$F$52-'HANH_TRINH'!$F$2468)*21/'THAM_SO_MOI'!$C$42</f>
        <v>10.339048598751623</v>
      </c>
      <c r="G2490" s="75">
        <f>3.6*F2490</f>
        <v>37.22057495550584</v>
      </c>
      <c r="H2490" s="75">
        <f>'THAM_SO_MOI'!$D$52</f>
        <v>1.1774754878398197</v>
      </c>
      <c r="I2490" s="75">
        <f>IF(F2490&gt;'THAM_SO_MOI'!$C$14,'THAM_SO_MOI'!$C$13*(1+F2490^2/1500),'THAM_SO_MOI'!$C$13)</f>
        <v>0.015</v>
      </c>
      <c r="J2490" s="75">
        <f>'THAM_SO_MOI'!$C$40*('THAM_SO_MOI'!$C$23*(E2490/'THAM_SO_MOI'!$C$22)+'THAM_SO_MOI'!$C$24*(E2490/'THAM_SO_MOI'!$C$22)^2-'THAM_SO_MOI'!$C$25*(E2490/'THAM_SO_MOI'!$C$22)^3)</f>
        <v>70.8398285671786</v>
      </c>
      <c r="K2490" s="75">
        <f>'THAM_SO_MOI'!$C$31*J2490/E2490</f>
        <v>415.9773275864397</v>
      </c>
      <c r="L2490" s="75">
        <f>K2490*'THAM_SO_MOI'!$C$52*'THAM_SO_MOI'!$C$17/'THAM_SO_MOI'!$C$26</f>
        <v>5825.024908533563</v>
      </c>
      <c r="M2490" s="75">
        <f>'THAM_SO_MOI'!$C$15*'THAM_SO_MOI'!$C$16*F2490^2</f>
        <v>312.6705833374926</v>
      </c>
      <c r="N2490" s="75">
        <f>'THAM_SO_MOI'!$C$12*I2490</f>
        <v>1130.112</v>
      </c>
      <c r="O2490" s="75">
        <f>M2490+N2490</f>
        <v>1442.7825833374927</v>
      </c>
      <c r="P2490" s="75">
        <f>(MIN(L2490,'THAM_SO_MOI'!$C$41)-O2490)/('THAM_SO_MOI'!$C$11*H2490)</f>
        <v>0.4845998709267356</v>
      </c>
      <c r="Q2490" s="75">
        <f>IF(P2490&gt;0,1/P2490,NA())</f>
        <v>2.0635581228852313</v>
      </c>
      <c r="R2490" s="75">
        <f>F2490-F2489</f>
        <v>0.007943393307220603</v>
      </c>
      <c r="S2490" s="75">
        <f>0.5*(Q2489+Q2490)*R2490</f>
        <v>0.016392472618611792</v>
      </c>
      <c r="T2490" s="75">
        <f>0.5*(F2489*Q2489+F2490*Q2490)*R2490</f>
        <v>0.16941746187671974</v>
      </c>
      <c r="U2490" s="76">
        <f>U2489+S2490</f>
        <v>14.304328084237138</v>
      </c>
      <c r="V2490" s="76">
        <f>V2489+T2490</f>
        <v>89.38025947974869</v>
      </c>
    </row>
    <row r="2491" spans="1:22" ht="19" customHeight="1">
      <c r="A2491" s="68" t="s">
        <v>376</v>
      </c>
      <c r="B2491" s="74">
        <v>4</v>
      </c>
      <c r="C2491" s="68" t="s">
        <v>363</v>
      </c>
      <c r="D2491" s="68" t="s">
        <v>364</v>
      </c>
      <c r="E2491" s="75">
        <f>60*F2491*'THAM_SO_MOI'!$C$52/(2*PI()*'THAM_SO_MOI'!$C$26)</f>
        <v>1627.7762048105826</v>
      </c>
      <c r="F2491" s="75">
        <f>'HANH_TRINH'!$F$2468+('THAM_SO_MOI'!$F$52-'HANH_TRINH'!$F$2468)*22/'THAM_SO_MOI'!$C$42</f>
        <v>10.346991992058841</v>
      </c>
      <c r="G2491" s="75">
        <f>3.6*F2491</f>
        <v>37.24917117141183</v>
      </c>
      <c r="H2491" s="75">
        <f>'THAM_SO_MOI'!$D$52</f>
        <v>1.1774754878398197</v>
      </c>
      <c r="I2491" s="75">
        <f>IF(F2491&gt;'THAM_SO_MOI'!$C$14,'THAM_SO_MOI'!$C$13*(1+F2491^2/1500),'THAM_SO_MOI'!$C$13)</f>
        <v>0.015</v>
      </c>
      <c r="J2491" s="75">
        <f>'THAM_SO_MOI'!$C$40*('THAM_SO_MOI'!$C$23*(E2491/'THAM_SO_MOI'!$C$22)+'THAM_SO_MOI'!$C$24*(E2491/'THAM_SO_MOI'!$C$22)^2-'THAM_SO_MOI'!$C$25*(E2491/'THAM_SO_MOI'!$C$22)^3)</f>
        <v>70.90540145435129</v>
      </c>
      <c r="K2491" s="75">
        <f>'THAM_SO_MOI'!$C$31*J2491/E2491</f>
        <v>416.0427352980636</v>
      </c>
      <c r="L2491" s="75">
        <f>K2491*'THAM_SO_MOI'!$C$52*'THAM_SO_MOI'!$C$17/'THAM_SO_MOI'!$C$26</f>
        <v>5825.94082756124</v>
      </c>
      <c r="M2491" s="75">
        <f>'THAM_SO_MOI'!$C$15*'THAM_SO_MOI'!$C$16*F2491^2</f>
        <v>313.15121160490963</v>
      </c>
      <c r="N2491" s="75">
        <f>'THAM_SO_MOI'!$C$12*I2491</f>
        <v>1130.112</v>
      </c>
      <c r="O2491" s="75">
        <f>M2491+N2491</f>
        <v>1443.2632116049097</v>
      </c>
      <c r="P2491" s="75">
        <f>(MIN(L2491,'THAM_SO_MOI'!$C$41)-O2491)/('THAM_SO_MOI'!$C$11*H2491)</f>
        <v>0.48464800652275797</v>
      </c>
      <c r="Q2491" s="75">
        <f>IF(P2491&gt;0,1/P2491,NA())</f>
        <v>2.0633531687766102</v>
      </c>
      <c r="R2491" s="75">
        <f>F2491-F2490</f>
        <v>0.007943393307218827</v>
      </c>
      <c r="S2491" s="75">
        <f>0.5*(Q2490+Q2491)*R2491</f>
        <v>0.016390839766836238</v>
      </c>
      <c r="T2491" s="75">
        <f>0.5*(F2490*Q2490+F2491*Q2491)*R2491</f>
        <v>0.16953078513409955</v>
      </c>
      <c r="U2491" s="76">
        <f>U2490+S2491</f>
        <v>14.320718924003975</v>
      </c>
      <c r="V2491" s="76">
        <f>V2490+T2491</f>
        <v>89.54979026488279</v>
      </c>
    </row>
    <row r="2492" spans="1:22" ht="19" customHeight="1">
      <c r="A2492" s="68" t="s">
        <v>376</v>
      </c>
      <c r="B2492" s="74">
        <v>4</v>
      </c>
      <c r="C2492" s="68" t="s">
        <v>363</v>
      </c>
      <c r="D2492" s="68" t="s">
        <v>364</v>
      </c>
      <c r="E2492" s="75">
        <f>60*F2492*'THAM_SO_MOI'!$C$52/(2*PI()*'THAM_SO_MOI'!$C$26)</f>
        <v>1629.0258497915459</v>
      </c>
      <c r="F2492" s="75">
        <f>'HANH_TRINH'!$F$2468+('THAM_SO_MOI'!$F$52-'HANH_TRINH'!$F$2468)*23/'THAM_SO_MOI'!$C$42</f>
        <v>10.35493538536606</v>
      </c>
      <c r="G2492" s="75">
        <f>3.6*F2492</f>
        <v>37.277767387317816</v>
      </c>
      <c r="H2492" s="75">
        <f>'THAM_SO_MOI'!$D$52</f>
        <v>1.1774754878398197</v>
      </c>
      <c r="I2492" s="75">
        <f>IF(F2492&gt;'THAM_SO_MOI'!$C$14,'THAM_SO_MOI'!$C$13*(1+F2492^2/1500),'THAM_SO_MOI'!$C$13)</f>
        <v>0.015</v>
      </c>
      <c r="J2492" s="75">
        <f>'THAM_SO_MOI'!$C$40*('THAM_SO_MOI'!$C$23*(E2492/'THAM_SO_MOI'!$C$22)+'THAM_SO_MOI'!$C$24*(E2492/'THAM_SO_MOI'!$C$22)^2-'THAM_SO_MOI'!$C$25*(E2492/'THAM_SO_MOI'!$C$22)^3)</f>
        <v>70.97096561748704</v>
      </c>
      <c r="K2492" s="75">
        <f>'THAM_SO_MOI'!$C$31*J2492/E2492</f>
        <v>416.10799150995996</v>
      </c>
      <c r="L2492" s="75">
        <f>K2492*'THAM_SO_MOI'!$C$52*'THAM_SO_MOI'!$C$17/'THAM_SO_MOI'!$C$26</f>
        <v>5826.854625103858</v>
      </c>
      <c r="M2492" s="75">
        <f>'THAM_SO_MOI'!$C$15*'THAM_SO_MOI'!$C$16*F2492^2</f>
        <v>313.63220899268555</v>
      </c>
      <c r="N2492" s="75">
        <f>'THAM_SO_MOI'!$C$12*I2492</f>
        <v>1130.112</v>
      </c>
      <c r="O2492" s="75">
        <f>M2492+N2492</f>
        <v>1443.7442089926856</v>
      </c>
      <c r="P2492" s="75">
        <f>(MIN(L2492,'THAM_SO_MOI'!$C$41)-O2492)/('THAM_SO_MOI'!$C$11*H2492)</f>
        <v>0.484695866701089</v>
      </c>
      <c r="Q2492" s="75">
        <f>IF(P2492&gt;0,1/P2492,NA())</f>
        <v>2.0631494277146336</v>
      </c>
      <c r="R2492" s="75">
        <f>F2492-F2491</f>
        <v>0.007943393307218827</v>
      </c>
      <c r="S2492" s="75">
        <f>0.5*(Q2491+Q2492)*R2492</f>
        <v>0.01638921655359483</v>
      </c>
      <c r="T2492" s="75">
        <f>0.5*(F2491*Q2491+F2492*Q2492)*R2492</f>
        <v>0.1696441822188173</v>
      </c>
      <c r="U2492" s="76">
        <f>U2491+S2492</f>
        <v>14.33710814055757</v>
      </c>
      <c r="V2492" s="76">
        <f>V2491+T2492</f>
        <v>89.7194344471016</v>
      </c>
    </row>
    <row r="2493" spans="1:22" ht="19" customHeight="1">
      <c r="A2493" s="68" t="s">
        <v>376</v>
      </c>
      <c r="B2493" s="74">
        <v>4</v>
      </c>
      <c r="C2493" s="68" t="s">
        <v>363</v>
      </c>
      <c r="D2493" s="68" t="s">
        <v>364</v>
      </c>
      <c r="E2493" s="75">
        <f>60*F2493*'THAM_SO_MOI'!$C$52/(2*PI()*'THAM_SO_MOI'!$C$26)</f>
        <v>1630.275494772509</v>
      </c>
      <c r="F2493" s="75">
        <f>'HANH_TRINH'!$F$2468+('THAM_SO_MOI'!$F$52-'HANH_TRINH'!$F$2468)*24/'THAM_SO_MOI'!$C$42</f>
        <v>10.36287877867328</v>
      </c>
      <c r="G2493" s="75">
        <f>3.6*F2493</f>
        <v>37.306363603223815</v>
      </c>
      <c r="H2493" s="75">
        <f>'THAM_SO_MOI'!$D$52</f>
        <v>1.1774754878398197</v>
      </c>
      <c r="I2493" s="75">
        <f>IF(F2493&gt;'THAM_SO_MOI'!$C$14,'THAM_SO_MOI'!$C$13*(1+F2493^2/1500),'THAM_SO_MOI'!$C$13)</f>
        <v>0.015</v>
      </c>
      <c r="J2493" s="75">
        <f>'THAM_SO_MOI'!$C$40*('THAM_SO_MOI'!$C$23*(E2493/'THAM_SO_MOI'!$C$22)+'THAM_SO_MOI'!$C$24*(E2493/'THAM_SO_MOI'!$C$22)^2-'THAM_SO_MOI'!$C$25*(E2493/'THAM_SO_MOI'!$C$22)^3)</f>
        <v>71.0365209971201</v>
      </c>
      <c r="K2493" s="75">
        <f>'THAM_SO_MOI'!$C$31*J2493/E2493</f>
        <v>416.1730962221287</v>
      </c>
      <c r="L2493" s="75">
        <f>K2493*'THAM_SO_MOI'!$C$52*'THAM_SO_MOI'!$C$17/'THAM_SO_MOI'!$C$26</f>
        <v>5827.766301161412</v>
      </c>
      <c r="M2493" s="75">
        <f>'THAM_SO_MOI'!$C$15*'THAM_SO_MOI'!$C$16*F2493^2</f>
        <v>314.11357550082033</v>
      </c>
      <c r="N2493" s="75">
        <f>'THAM_SO_MOI'!$C$12*I2493</f>
        <v>1130.112</v>
      </c>
      <c r="O2493" s="75">
        <f>M2493+N2493</f>
        <v>1444.2255755008205</v>
      </c>
      <c r="P2493" s="75">
        <f>(MIN(L2493,'THAM_SO_MOI'!$C$41)-O2493)/('THAM_SO_MOI'!$C$11*H2493)</f>
        <v>0.48474345146172815</v>
      </c>
      <c r="Q2493" s="75">
        <f>IF(P2493&gt;0,1/P2493,NA())</f>
        <v>2.0629468989927195</v>
      </c>
      <c r="R2493" s="75">
        <f>F2493-F2492</f>
        <v>0.007943393307220603</v>
      </c>
      <c r="S2493" s="75">
        <f>0.5*(Q2492+Q2493)*R2493</f>
        <v>0.01638760297325735</v>
      </c>
      <c r="T2493" s="75">
        <f>0.5*(F2492*Q2492+F2493*Q2493)*R2493</f>
        <v>0.16975765330223833</v>
      </c>
      <c r="U2493" s="76">
        <f>U2492+S2493</f>
        <v>14.353495743530827</v>
      </c>
      <c r="V2493" s="76">
        <f>V2492+T2493</f>
        <v>89.88919210040385</v>
      </c>
    </row>
    <row r="2494" spans="1:22" ht="19" customHeight="1">
      <c r="A2494" s="68" t="s">
        <v>376</v>
      </c>
      <c r="B2494" s="74">
        <v>4</v>
      </c>
      <c r="C2494" s="68" t="s">
        <v>363</v>
      </c>
      <c r="D2494" s="68" t="s">
        <v>364</v>
      </c>
      <c r="E2494" s="75">
        <f>60*F2494*'THAM_SO_MOI'!$C$52/(2*PI()*'THAM_SO_MOI'!$C$26)</f>
        <v>1631.525139753472</v>
      </c>
      <c r="F2494" s="75">
        <f>'HANH_TRINH'!$F$2468+('THAM_SO_MOI'!$F$52-'HANH_TRINH'!$F$2468)*25/'THAM_SO_MOI'!$C$42</f>
        <v>10.3708221719805</v>
      </c>
      <c r="G2494" s="75">
        <f>3.6*F2494</f>
        <v>37.3349598191298</v>
      </c>
      <c r="H2494" s="75">
        <f>'THAM_SO_MOI'!$D$52</f>
        <v>1.1774754878398197</v>
      </c>
      <c r="I2494" s="75">
        <f>IF(F2494&gt;'THAM_SO_MOI'!$C$14,'THAM_SO_MOI'!$C$13*(1+F2494^2/1500),'THAM_SO_MOI'!$C$13)</f>
        <v>0.015</v>
      </c>
      <c r="J2494" s="75">
        <f>'THAM_SO_MOI'!$C$40*('THAM_SO_MOI'!$C$23*(E2494/'THAM_SO_MOI'!$C$22)+'THAM_SO_MOI'!$C$24*(E2494/'THAM_SO_MOI'!$C$22)^2-'THAM_SO_MOI'!$C$25*(E2494/'THAM_SO_MOI'!$C$22)^3)</f>
        <v>71.10206753378488</v>
      </c>
      <c r="K2494" s="75">
        <f>'THAM_SO_MOI'!$C$31*J2494/E2494</f>
        <v>416.23804943457014</v>
      </c>
      <c r="L2494" s="75">
        <f>K2494*'THAM_SO_MOI'!$C$52*'THAM_SO_MOI'!$C$17/'THAM_SO_MOI'!$C$26</f>
        <v>5828.675855733907</v>
      </c>
      <c r="M2494" s="75">
        <f>'THAM_SO_MOI'!$C$15*'THAM_SO_MOI'!$C$16*F2494^2</f>
        <v>314.5953111293138</v>
      </c>
      <c r="N2494" s="75">
        <f>'THAM_SO_MOI'!$C$12*I2494</f>
        <v>1130.112</v>
      </c>
      <c r="O2494" s="75">
        <f>M2494+N2494</f>
        <v>1444.707311129314</v>
      </c>
      <c r="P2494" s="75">
        <f>(MIN(L2494,'THAM_SO_MOI'!$C$41)-O2494)/('THAM_SO_MOI'!$C$11*H2494)</f>
        <v>0.4847907608046759</v>
      </c>
      <c r="Q2494" s="75">
        <f>IF(P2494&gt;0,1/P2494,NA())</f>
        <v>2.0627455819086946</v>
      </c>
      <c r="R2494" s="75">
        <f>F2494-F2493</f>
        <v>0.007943393307218827</v>
      </c>
      <c r="S2494" s="75">
        <f>0.5*(Q2493+Q2494)*R2494</f>
        <v>0.016385999020217663</v>
      </c>
      <c r="T2494" s="75">
        <f>0.5*(F2493*Q2493+F2494*Q2494)*R2494</f>
        <v>0.16987119855579844</v>
      </c>
      <c r="U2494" s="76">
        <f>U2493+S2494</f>
        <v>14.369881742551044</v>
      </c>
      <c r="V2494" s="76">
        <f>V2493+T2494</f>
        <v>90.05906329895964</v>
      </c>
    </row>
    <row r="2495" spans="1:22" ht="19" customHeight="1">
      <c r="A2495" s="68" t="s">
        <v>376</v>
      </c>
      <c r="B2495" s="74">
        <v>4</v>
      </c>
      <c r="C2495" s="68" t="s">
        <v>363</v>
      </c>
      <c r="D2495" s="68" t="s">
        <v>364</v>
      </c>
      <c r="E2495" s="75">
        <f>60*F2495*'THAM_SO_MOI'!$C$52/(2*PI()*'THAM_SO_MOI'!$C$26)</f>
        <v>1632.7747847344356</v>
      </c>
      <c r="F2495" s="75">
        <f>'HANH_TRINH'!$F$2468+('THAM_SO_MOI'!$F$52-'HANH_TRINH'!$F$2468)*26/'THAM_SO_MOI'!$C$42</f>
        <v>10.378765565287718</v>
      </c>
      <c r="G2495" s="75">
        <f>3.6*F2495</f>
        <v>37.363556035035785</v>
      </c>
      <c r="H2495" s="75">
        <f>'THAM_SO_MOI'!$D$52</f>
        <v>1.1774754878398197</v>
      </c>
      <c r="I2495" s="75">
        <f>IF(F2495&gt;'THAM_SO_MOI'!$C$14,'THAM_SO_MOI'!$C$13*(1+F2495^2/1500),'THAM_SO_MOI'!$C$13)</f>
        <v>0.015</v>
      </c>
      <c r="J2495" s="75">
        <f>'THAM_SO_MOI'!$C$40*('THAM_SO_MOI'!$C$23*(E2495/'THAM_SO_MOI'!$C$22)+'THAM_SO_MOI'!$C$24*(E2495/'THAM_SO_MOI'!$C$22)^2-'THAM_SO_MOI'!$C$25*(E2495/'THAM_SO_MOI'!$C$22)^3)</f>
        <v>71.16760516801563</v>
      </c>
      <c r="K2495" s="75">
        <f>'THAM_SO_MOI'!$C$31*J2495/E2495</f>
        <v>416.30285114728406</v>
      </c>
      <c r="L2495" s="75">
        <f>K2495*'THAM_SO_MOI'!$C$52*'THAM_SO_MOI'!$C$17/'THAM_SO_MOI'!$C$26</f>
        <v>5829.58328882134</v>
      </c>
      <c r="M2495" s="75">
        <f>'THAM_SO_MOI'!$C$15*'THAM_SO_MOI'!$C$16*F2495^2</f>
        <v>315.07741587816616</v>
      </c>
      <c r="N2495" s="75">
        <f>'THAM_SO_MOI'!$C$12*I2495</f>
        <v>1130.112</v>
      </c>
      <c r="O2495" s="75">
        <f>M2495+N2495</f>
        <v>1445.1894158781663</v>
      </c>
      <c r="P2495" s="75">
        <f>(MIN(L2495,'THAM_SO_MOI'!$C$41)-O2495)/('THAM_SO_MOI'!$C$11*H2495)</f>
        <v>0.4848377947299321</v>
      </c>
      <c r="Q2495" s="75">
        <f>IF(P2495&gt;0,1/P2495,NA())</f>
        <v>2.062545475764791</v>
      </c>
      <c r="R2495" s="75">
        <f>F2495-F2494</f>
        <v>0.007943393307218827</v>
      </c>
      <c r="S2495" s="75">
        <f>0.5*(Q2494+Q2495)*R2495</f>
        <v>0.016384404688926622</v>
      </c>
      <c r="T2495" s="75">
        <f>0.5*(F2494*Q2494+F2495*Q2495)*R2495</f>
        <v>0.16998481815134664</v>
      </c>
      <c r="U2495" s="76">
        <f>U2494+S2495</f>
        <v>14.38626614723997</v>
      </c>
      <c r="V2495" s="76">
        <f>V2494+T2495</f>
        <v>90.22904811711099</v>
      </c>
    </row>
    <row r="2496" spans="1:22" ht="19" customHeight="1">
      <c r="A2496" s="68" t="s">
        <v>376</v>
      </c>
      <c r="B2496" s="74">
        <v>4</v>
      </c>
      <c r="C2496" s="68" t="s">
        <v>363</v>
      </c>
      <c r="D2496" s="68" t="s">
        <v>364</v>
      </c>
      <c r="E2496" s="75">
        <f>60*F2496*'THAM_SO_MOI'!$C$52/(2*PI()*'THAM_SO_MOI'!$C$26)</f>
        <v>1634.0244297153988</v>
      </c>
      <c r="F2496" s="75">
        <f>'HANH_TRINH'!$F$2468+('THAM_SO_MOI'!$F$52-'HANH_TRINH'!$F$2468)*27/'THAM_SO_MOI'!$C$42</f>
        <v>10.386708958594939</v>
      </c>
      <c r="G2496" s="75">
        <f>3.6*F2496</f>
        <v>37.392152250941784</v>
      </c>
      <c r="H2496" s="75">
        <f>'THAM_SO_MOI'!$D$52</f>
        <v>1.1774754878398197</v>
      </c>
      <c r="I2496" s="75">
        <f>IF(F2496&gt;'THAM_SO_MOI'!$C$14,'THAM_SO_MOI'!$C$13*(1+F2496^2/1500),'THAM_SO_MOI'!$C$13)</f>
        <v>0.015</v>
      </c>
      <c r="J2496" s="75">
        <f>'THAM_SO_MOI'!$C$40*('THAM_SO_MOI'!$C$23*(E2496/'THAM_SO_MOI'!$C$22)+'THAM_SO_MOI'!$C$24*(E2496/'THAM_SO_MOI'!$C$22)^2-'THAM_SO_MOI'!$C$25*(E2496/'THAM_SO_MOI'!$C$22)^3)</f>
        <v>71.23313384034667</v>
      </c>
      <c r="K2496" s="75">
        <f>'THAM_SO_MOI'!$C$31*J2496/E2496</f>
        <v>416.3675013602704</v>
      </c>
      <c r="L2496" s="75">
        <f>K2496*'THAM_SO_MOI'!$C$52*'THAM_SO_MOI'!$C$17/'THAM_SO_MOI'!$C$26</f>
        <v>5830.488600423713</v>
      </c>
      <c r="M2496" s="75">
        <f>'THAM_SO_MOI'!$C$15*'THAM_SO_MOI'!$C$16*F2496^2</f>
        <v>315.5598897473774</v>
      </c>
      <c r="N2496" s="75">
        <f>'THAM_SO_MOI'!$C$12*I2496</f>
        <v>1130.112</v>
      </c>
      <c r="O2496" s="75">
        <f>M2496+N2496</f>
        <v>1445.6718897473775</v>
      </c>
      <c r="P2496" s="75">
        <f>(MIN(L2496,'THAM_SO_MOI'!$C$41)-O2496)/('THAM_SO_MOI'!$C$11*H2496)</f>
        <v>0.48488455323749685</v>
      </c>
      <c r="Q2496" s="75">
        <f>IF(P2496&gt;0,1/P2496,NA())</f>
        <v>2.0623465798676395</v>
      </c>
      <c r="R2496" s="75">
        <f>F2496-F2495</f>
        <v>0.007943393307220603</v>
      </c>
      <c r="S2496" s="75">
        <f>0.5*(Q2495+Q2496)*R2496</f>
        <v>0.016382819973859045</v>
      </c>
      <c r="T2496" s="75">
        <f>0.5*(F2495*Q2495+F2496*Q2496)*R2496</f>
        <v>0.17009851226080464</v>
      </c>
      <c r="U2496" s="76">
        <f>U2495+S2496</f>
        <v>14.40264896721383</v>
      </c>
      <c r="V2496" s="76">
        <f>V2495+T2496</f>
        <v>90.3991466293718</v>
      </c>
    </row>
    <row r="2497" spans="1:22" ht="19" customHeight="1">
      <c r="A2497" s="68" t="s">
        <v>376</v>
      </c>
      <c r="B2497" s="74">
        <v>4</v>
      </c>
      <c r="C2497" s="68" t="s">
        <v>363</v>
      </c>
      <c r="D2497" s="68" t="s">
        <v>364</v>
      </c>
      <c r="E2497" s="75">
        <f>60*F2497*'THAM_SO_MOI'!$C$52/(2*PI()*'THAM_SO_MOI'!$C$26)</f>
        <v>1635.2740746963623</v>
      </c>
      <c r="F2497" s="75">
        <f>'HANH_TRINH'!$F$2468+('THAM_SO_MOI'!$F$52-'HANH_TRINH'!$F$2468)*28/'THAM_SO_MOI'!$C$42</f>
        <v>10.394652351902158</v>
      </c>
      <c r="G2497" s="75">
        <f>3.6*F2497</f>
        <v>37.42074846684777</v>
      </c>
      <c r="H2497" s="75">
        <f>'THAM_SO_MOI'!$D$52</f>
        <v>1.1774754878398197</v>
      </c>
      <c r="I2497" s="75">
        <f>IF(F2497&gt;'THAM_SO_MOI'!$C$14,'THAM_SO_MOI'!$C$13*(1+F2497^2/1500),'THAM_SO_MOI'!$C$13)</f>
        <v>0.015</v>
      </c>
      <c r="J2497" s="75">
        <f>'THAM_SO_MOI'!$C$40*('THAM_SO_MOI'!$C$23*(E2497/'THAM_SO_MOI'!$C$22)+'THAM_SO_MOI'!$C$24*(E2497/'THAM_SO_MOI'!$C$22)^2-'THAM_SO_MOI'!$C$25*(E2497/'THAM_SO_MOI'!$C$22)^3)</f>
        <v>71.29865349131235</v>
      </c>
      <c r="K2497" s="75">
        <f>'THAM_SO_MOI'!$C$31*J2497/E2497</f>
        <v>416.4320000735295</v>
      </c>
      <c r="L2497" s="75">
        <f>K2497*'THAM_SO_MOI'!$C$52*'THAM_SO_MOI'!$C$17/'THAM_SO_MOI'!$C$26</f>
        <v>5831.391790541026</v>
      </c>
      <c r="M2497" s="75">
        <f>'THAM_SO_MOI'!$C$15*'THAM_SO_MOI'!$C$16*F2497^2</f>
        <v>316.0427327369473</v>
      </c>
      <c r="N2497" s="75">
        <f>'THAM_SO_MOI'!$C$12*I2497</f>
        <v>1130.112</v>
      </c>
      <c r="O2497" s="75">
        <f>M2497+N2497</f>
        <v>1446.1547327369474</v>
      </c>
      <c r="P2497" s="75">
        <f>(MIN(L2497,'THAM_SO_MOI'!$C$41)-O2497)/('THAM_SO_MOI'!$C$11*H2497)</f>
        <v>0.48493103632737017</v>
      </c>
      <c r="Q2497" s="75">
        <f>IF(P2497&gt;0,1/P2497,NA())</f>
        <v>2.0621488935282626</v>
      </c>
      <c r="R2497" s="75">
        <f>F2497-F2496</f>
        <v>0.007943393307218827</v>
      </c>
      <c r="S2497" s="75">
        <f>0.5*(Q2496+Q2497)*R2497</f>
        <v>0.016381244869513676</v>
      </c>
      <c r="T2497" s="75">
        <f>0.5*(F2496*Q2496+F2497*Q2497)*R2497</f>
        <v>0.170212281056167</v>
      </c>
      <c r="U2497" s="76">
        <f>U2496+S2497</f>
        <v>14.419030212083344</v>
      </c>
      <c r="V2497" s="76">
        <f>V2496+T2497</f>
        <v>90.56935891042797</v>
      </c>
    </row>
    <row r="2498" spans="1:22" ht="19" customHeight="1">
      <c r="A2498" s="68" t="s">
        <v>376</v>
      </c>
      <c r="B2498" s="74">
        <v>4</v>
      </c>
      <c r="C2498" s="68" t="s">
        <v>363</v>
      </c>
      <c r="D2498" s="68" t="s">
        <v>364</v>
      </c>
      <c r="E2498" s="75">
        <f>60*F2498*'THAM_SO_MOI'!$C$52/(2*PI()*'THAM_SO_MOI'!$C$26)</f>
        <v>1636.5237196773255</v>
      </c>
      <c r="F2498" s="75">
        <f>'HANH_TRINH'!$F$2468+('THAM_SO_MOI'!$F$52-'HANH_TRINH'!$F$2468)*29/'THAM_SO_MOI'!$C$42</f>
        <v>10.402595745209377</v>
      </c>
      <c r="G2498" s="75">
        <f>3.6*F2498</f>
        <v>37.449344682753754</v>
      </c>
      <c r="H2498" s="75">
        <f>'THAM_SO_MOI'!$D$52</f>
        <v>1.1774754878398197</v>
      </c>
      <c r="I2498" s="75">
        <f>IF(F2498&gt;'THAM_SO_MOI'!$C$14,'THAM_SO_MOI'!$C$13*(1+F2498^2/1500),'THAM_SO_MOI'!$C$13)</f>
        <v>0.015</v>
      </c>
      <c r="J2498" s="75">
        <f>'THAM_SO_MOI'!$C$40*('THAM_SO_MOI'!$C$23*(E2498/'THAM_SO_MOI'!$C$22)+'THAM_SO_MOI'!$C$24*(E2498/'THAM_SO_MOI'!$C$22)^2-'THAM_SO_MOI'!$C$25*(E2498/'THAM_SO_MOI'!$C$22)^3)</f>
        <v>71.36416406144694</v>
      </c>
      <c r="K2498" s="75">
        <f>'THAM_SO_MOI'!$C$31*J2498/E2498</f>
        <v>416.49634728706104</v>
      </c>
      <c r="L2498" s="75">
        <f>K2498*'THAM_SO_MOI'!$C$52*'THAM_SO_MOI'!$C$17/'THAM_SO_MOI'!$C$26</f>
        <v>5832.292859173278</v>
      </c>
      <c r="M2498" s="75">
        <f>'THAM_SO_MOI'!$C$15*'THAM_SO_MOI'!$C$16*F2498^2</f>
        <v>316.5259448468761</v>
      </c>
      <c r="N2498" s="75">
        <f>'THAM_SO_MOI'!$C$12*I2498</f>
        <v>1130.112</v>
      </c>
      <c r="O2498" s="75">
        <f>M2498+N2498</f>
        <v>1446.637944846876</v>
      </c>
      <c r="P2498" s="75">
        <f>(MIN(L2498,'THAM_SO_MOI'!$C$41)-O2498)/('THAM_SO_MOI'!$C$11*H2498)</f>
        <v>0.4849772439995519</v>
      </c>
      <c r="Q2498" s="75">
        <f>IF(P2498&gt;0,1/P2498,NA())</f>
        <v>2.06195241606207</v>
      </c>
      <c r="R2498" s="75">
        <f>F2498-F2497</f>
        <v>0.007943393307218827</v>
      </c>
      <c r="S2498" s="75">
        <f>0.5*(Q2497+Q2498)*R2498</f>
        <v>0.016379679370446123</v>
      </c>
      <c r="T2498" s="75">
        <f>0.5*(F2497*Q2497+F2498*Q2498)*R2498</f>
        <v>0.17032612470984473</v>
      </c>
      <c r="U2498" s="76">
        <f>U2497+S2498</f>
        <v>14.43540989145379</v>
      </c>
      <c r="V2498" s="76">
        <f>V2497+T2498</f>
        <v>90.73968503513781</v>
      </c>
    </row>
    <row r="2499" spans="1:22" ht="19" customHeight="1">
      <c r="A2499" s="68" t="s">
        <v>376</v>
      </c>
      <c r="B2499" s="74">
        <v>4</v>
      </c>
      <c r="C2499" s="68" t="s">
        <v>363</v>
      </c>
      <c r="D2499" s="68" t="s">
        <v>364</v>
      </c>
      <c r="E2499" s="75">
        <f>60*F2499*'THAM_SO_MOI'!$C$52/(2*PI()*'THAM_SO_MOI'!$C$26)</f>
        <v>1637.773364658289</v>
      </c>
      <c r="F2499" s="75">
        <f>'HANH_TRINH'!$F$2468+('THAM_SO_MOI'!$F$52-'HANH_TRINH'!$F$2468)*30/'THAM_SO_MOI'!$C$42</f>
        <v>10.410539138516597</v>
      </c>
      <c r="G2499" s="75">
        <f>3.6*F2499</f>
        <v>37.47794089865975</v>
      </c>
      <c r="H2499" s="75">
        <f>'THAM_SO_MOI'!$D$52</f>
        <v>1.1774754878398197</v>
      </c>
      <c r="I2499" s="75">
        <f>IF(F2499&gt;'THAM_SO_MOI'!$C$14,'THAM_SO_MOI'!$C$13*(1+F2499^2/1500),'THAM_SO_MOI'!$C$13)</f>
        <v>0.015</v>
      </c>
      <c r="J2499" s="75">
        <f>'THAM_SO_MOI'!$C$40*('THAM_SO_MOI'!$C$23*(E2499/'THAM_SO_MOI'!$C$22)+'THAM_SO_MOI'!$C$24*(E2499/'THAM_SO_MOI'!$C$22)^2-'THAM_SO_MOI'!$C$25*(E2499/'THAM_SO_MOI'!$C$22)^3)</f>
        <v>71.42966549128478</v>
      </c>
      <c r="K2499" s="75">
        <f>'THAM_SO_MOI'!$C$31*J2499/E2499</f>
        <v>416.56054300086504</v>
      </c>
      <c r="L2499" s="75">
        <f>K2499*'THAM_SO_MOI'!$C$52*'THAM_SO_MOI'!$C$17/'THAM_SO_MOI'!$C$26</f>
        <v>5833.191806320468</v>
      </c>
      <c r="M2499" s="75">
        <f>'THAM_SO_MOI'!$C$15*'THAM_SO_MOI'!$C$16*F2499^2</f>
        <v>317.0095260771638</v>
      </c>
      <c r="N2499" s="75">
        <f>'THAM_SO_MOI'!$C$12*I2499</f>
        <v>1130.112</v>
      </c>
      <c r="O2499" s="75">
        <f>M2499+N2499</f>
        <v>1447.121526077164</v>
      </c>
      <c r="P2499" s="75">
        <f>(MIN(L2499,'THAM_SO_MOI'!$C$41)-O2499)/('THAM_SO_MOI'!$C$11*H2499)</f>
        <v>0.4850231762540419</v>
      </c>
      <c r="Q2499" s="75">
        <f>IF(P2499&gt;0,1/P2499,NA())</f>
        <v>2.0617571467888522</v>
      </c>
      <c r="R2499" s="75">
        <f>F2499-F2498</f>
        <v>0.007943393307220603</v>
      </c>
      <c r="S2499" s="75">
        <f>0.5*(Q2498+Q2499)*R2499</f>
        <v>0.01637812347123581</v>
      </c>
      <c r="T2499" s="75">
        <f>0.5*(F2498*Q2498+F2499*Q2499)*R2499</f>
        <v>0.17044004339432398</v>
      </c>
      <c r="U2499" s="76">
        <f>U2498+S2499</f>
        <v>14.451788014925027</v>
      </c>
      <c r="V2499" s="76">
        <f>V2498+T2499</f>
        <v>90.91012507853213</v>
      </c>
    </row>
    <row r="2500" spans="1:22" ht="19" customHeight="1">
      <c r="A2500" s="68" t="s">
        <v>376</v>
      </c>
      <c r="B2500" s="74">
        <v>4</v>
      </c>
      <c r="C2500" s="68" t="s">
        <v>363</v>
      </c>
      <c r="D2500" s="68" t="s">
        <v>364</v>
      </c>
      <c r="E2500" s="75">
        <f>60*F2500*'THAM_SO_MOI'!$C$52/(2*PI()*'THAM_SO_MOI'!$C$26)</f>
        <v>1639.0230096392518</v>
      </c>
      <c r="F2500" s="75">
        <f>'HANH_TRINH'!$F$2468+('THAM_SO_MOI'!$F$52-'HANH_TRINH'!$F$2468)*31/'THAM_SO_MOI'!$C$42</f>
        <v>10.418482531823816</v>
      </c>
      <c r="G2500" s="75">
        <f>3.6*F2500</f>
        <v>37.50653711456574</v>
      </c>
      <c r="H2500" s="75">
        <f>'THAM_SO_MOI'!$D$52</f>
        <v>1.1774754878398197</v>
      </c>
      <c r="I2500" s="75">
        <f>IF(F2500&gt;'THAM_SO_MOI'!$C$14,'THAM_SO_MOI'!$C$13*(1+F2500^2/1500),'THAM_SO_MOI'!$C$13)</f>
        <v>0.015</v>
      </c>
      <c r="J2500" s="75">
        <f>'THAM_SO_MOI'!$C$40*('THAM_SO_MOI'!$C$23*(E2500/'THAM_SO_MOI'!$C$22)+'THAM_SO_MOI'!$C$24*(E2500/'THAM_SO_MOI'!$C$22)^2-'THAM_SO_MOI'!$C$25*(E2500/'THAM_SO_MOI'!$C$22)^3)</f>
        <v>71.49515772136013</v>
      </c>
      <c r="K2500" s="75">
        <f>'THAM_SO_MOI'!$C$31*J2500/E2500</f>
        <v>416.62458721494147</v>
      </c>
      <c r="L2500" s="75">
        <f>K2500*'THAM_SO_MOI'!$C$52*'THAM_SO_MOI'!$C$17/'THAM_SO_MOI'!$C$26</f>
        <v>5834.088631982595</v>
      </c>
      <c r="M2500" s="75">
        <f>'THAM_SO_MOI'!$C$15*'THAM_SO_MOI'!$C$16*F2500^2</f>
        <v>317.49347642781015</v>
      </c>
      <c r="N2500" s="75">
        <f>'THAM_SO_MOI'!$C$12*I2500</f>
        <v>1130.112</v>
      </c>
      <c r="O2500" s="75">
        <f>M2500+N2500</f>
        <v>1447.6054764278101</v>
      </c>
      <c r="P2500" s="75">
        <f>(MIN(L2500,'THAM_SO_MOI'!$C$41)-O2500)/('THAM_SO_MOI'!$C$11*H2500)</f>
        <v>0.4850688330908403</v>
      </c>
      <c r="Q2500" s="75">
        <f>IF(P2500&gt;0,1/P2500,NA())</f>
        <v>2.061563085032773</v>
      </c>
      <c r="R2500" s="75">
        <f>F2500-F2499</f>
        <v>0.007943393307218827</v>
      </c>
      <c r="S2500" s="75">
        <f>0.5*(Q2499+Q2500)*R2500</f>
        <v>0.016376577166485936</v>
      </c>
      <c r="T2500" s="75">
        <f>0.5*(F2499*Q2499+F2500*Q2500)*R2500</f>
        <v>0.17055403728216603</v>
      </c>
      <c r="U2500" s="76">
        <f>U2499+S2500</f>
        <v>14.468164592091513</v>
      </c>
      <c r="V2500" s="76">
        <f>V2499+T2500</f>
        <v>91.0806791158143</v>
      </c>
    </row>
    <row r="2501" spans="1:22" ht="19" customHeight="1">
      <c r="A2501" s="68" t="s">
        <v>376</v>
      </c>
      <c r="B2501" s="74">
        <v>4</v>
      </c>
      <c r="C2501" s="68" t="s">
        <v>363</v>
      </c>
      <c r="D2501" s="68" t="s">
        <v>364</v>
      </c>
      <c r="E2501" s="75">
        <f>60*F2501*'THAM_SO_MOI'!$C$52/(2*PI()*'THAM_SO_MOI'!$C$26)</f>
        <v>1640.272654620215</v>
      </c>
      <c r="F2501" s="75">
        <f>'HANH_TRINH'!$F$2468+('THAM_SO_MOI'!$F$52-'HANH_TRINH'!$F$2468)*32/'THAM_SO_MOI'!$C$42</f>
        <v>10.426425925131035</v>
      </c>
      <c r="G2501" s="75">
        <f>3.6*F2501</f>
        <v>37.53513333047173</v>
      </c>
      <c r="H2501" s="75">
        <f>'THAM_SO_MOI'!$D$52</f>
        <v>1.1774754878398197</v>
      </c>
      <c r="I2501" s="75">
        <f>IF(F2501&gt;'THAM_SO_MOI'!$C$14,'THAM_SO_MOI'!$C$13*(1+F2501^2/1500),'THAM_SO_MOI'!$C$13)</f>
        <v>0.015</v>
      </c>
      <c r="J2501" s="75">
        <f>'THAM_SO_MOI'!$C$40*('THAM_SO_MOI'!$C$23*(E2501/'THAM_SO_MOI'!$C$22)+'THAM_SO_MOI'!$C$24*(E2501/'THAM_SO_MOI'!$C$22)^2-'THAM_SO_MOI'!$C$25*(E2501/'THAM_SO_MOI'!$C$22)^3)</f>
        <v>71.56064069220739</v>
      </c>
      <c r="K2501" s="75">
        <f>'THAM_SO_MOI'!$C$31*J2501/E2501</f>
        <v>416.6884799292907</v>
      </c>
      <c r="L2501" s="75">
        <f>K2501*'THAM_SO_MOI'!$C$52*'THAM_SO_MOI'!$C$17/'THAM_SO_MOI'!$C$26</f>
        <v>5834.983336159665</v>
      </c>
      <c r="M2501" s="75">
        <f>'THAM_SO_MOI'!$C$15*'THAM_SO_MOI'!$C$16*F2501^2</f>
        <v>317.9777958988154</v>
      </c>
      <c r="N2501" s="75">
        <f>'THAM_SO_MOI'!$C$12*I2501</f>
        <v>1130.112</v>
      </c>
      <c r="O2501" s="75">
        <f>M2501+N2501</f>
        <v>1448.0897958988155</v>
      </c>
      <c r="P2501" s="75">
        <f>(MIN(L2501,'THAM_SO_MOI'!$C$41)-O2501)/('THAM_SO_MOI'!$C$11*H2501)</f>
        <v>0.4851142145099476</v>
      </c>
      <c r="Q2501" s="75">
        <f>IF(P2501&gt;0,1/P2501,NA())</f>
        <v>2.0613702301223626</v>
      </c>
      <c r="R2501" s="75">
        <f>F2501-F2500</f>
        <v>0.007943393307218827</v>
      </c>
      <c r="S2501" s="75">
        <f>0.5*(Q2500+Q2501)*R2501</f>
        <v>0.016375040450856415</v>
      </c>
      <c r="T2501" s="75">
        <f>0.5*(F2500*Q2500+F2501*Q2501)*R2501</f>
        <v>0.1706681065463518</v>
      </c>
      <c r="U2501" s="76">
        <f>U2500+S2501</f>
        <v>14.48453963254237</v>
      </c>
      <c r="V2501" s="76">
        <f>V2500+T2501</f>
        <v>91.25134722236066</v>
      </c>
    </row>
    <row r="2502" spans="1:22" ht="19" customHeight="1">
      <c r="A2502" s="68" t="s">
        <v>376</v>
      </c>
      <c r="B2502" s="74">
        <v>4</v>
      </c>
      <c r="C2502" s="68" t="s">
        <v>363</v>
      </c>
      <c r="D2502" s="68" t="s">
        <v>364</v>
      </c>
      <c r="E2502" s="75">
        <f>60*F2502*'THAM_SO_MOI'!$C$52/(2*PI()*'THAM_SO_MOI'!$C$26)</f>
        <v>1641.5222996011785</v>
      </c>
      <c r="F2502" s="75">
        <f>'HANH_TRINH'!$F$2468+('THAM_SO_MOI'!$F$52-'HANH_TRINH'!$F$2468)*33/'THAM_SO_MOI'!$C$42</f>
        <v>10.434369318438256</v>
      </c>
      <c r="G2502" s="75">
        <f>3.6*F2502</f>
        <v>37.56372954637772</v>
      </c>
      <c r="H2502" s="75">
        <f>'THAM_SO_MOI'!$D$52</f>
        <v>1.1774754878398197</v>
      </c>
      <c r="I2502" s="75">
        <f>IF(F2502&gt;'THAM_SO_MOI'!$C$14,'THAM_SO_MOI'!$C$13*(1+F2502^2/1500),'THAM_SO_MOI'!$C$13)</f>
        <v>0.015</v>
      </c>
      <c r="J2502" s="75">
        <f>'THAM_SO_MOI'!$C$40*('THAM_SO_MOI'!$C$23*(E2502/'THAM_SO_MOI'!$C$22)+'THAM_SO_MOI'!$C$24*(E2502/'THAM_SO_MOI'!$C$22)^2-'THAM_SO_MOI'!$C$25*(E2502/'THAM_SO_MOI'!$C$22)^3)</f>
        <v>71.62611434436083</v>
      </c>
      <c r="K2502" s="75">
        <f>'THAM_SO_MOI'!$C$31*J2502/E2502</f>
        <v>416.7522211439123</v>
      </c>
      <c r="L2502" s="75">
        <f>K2502*'THAM_SO_MOI'!$C$52*'THAM_SO_MOI'!$C$17/'THAM_SO_MOI'!$C$26</f>
        <v>5835.8759188516715</v>
      </c>
      <c r="M2502" s="75">
        <f>'THAM_SO_MOI'!$C$15*'THAM_SO_MOI'!$C$16*F2502^2</f>
        <v>318.46248449017946</v>
      </c>
      <c r="N2502" s="75">
        <f>'THAM_SO_MOI'!$C$12*I2502</f>
        <v>1130.112</v>
      </c>
      <c r="O2502" s="75">
        <f>M2502+N2502</f>
        <v>1448.5744844901797</v>
      </c>
      <c r="P2502" s="75">
        <f>(MIN(L2502,'THAM_SO_MOI'!$C$41)-O2502)/('THAM_SO_MOI'!$C$11*H2502)</f>
        <v>0.48515932051136307</v>
      </c>
      <c r="Q2502" s="75">
        <f>IF(P2502&gt;0,1/P2502,NA())</f>
        <v>2.06117858139052</v>
      </c>
      <c r="R2502" s="75">
        <f>F2502-F2501</f>
        <v>0.007943393307220603</v>
      </c>
      <c r="S2502" s="75">
        <f>0.5*(Q2501+Q2502)*R2502</f>
        <v>0.016373513319030843</v>
      </c>
      <c r="T2502" s="75">
        <f>0.5*(F2501*Q2501+F2502*Q2502)*R2502</f>
        <v>0.17078225135993969</v>
      </c>
      <c r="U2502" s="76">
        <f>U2501+S2502</f>
        <v>14.500913145861402</v>
      </c>
      <c r="V2502" s="76">
        <f>V2501+T2502</f>
        <v>91.4221294737206</v>
      </c>
    </row>
    <row r="2503" spans="1:22" ht="19" customHeight="1">
      <c r="A2503" s="68" t="s">
        <v>376</v>
      </c>
      <c r="B2503" s="74">
        <v>4</v>
      </c>
      <c r="C2503" s="68" t="s">
        <v>363</v>
      </c>
      <c r="D2503" s="68" t="s">
        <v>364</v>
      </c>
      <c r="E2503" s="75">
        <f>60*F2503*'THAM_SO_MOI'!$C$52/(2*PI()*'THAM_SO_MOI'!$C$26)</f>
        <v>1642.7719445821417</v>
      </c>
      <c r="F2503" s="75">
        <f>'HANH_TRINH'!$F$2468+('THAM_SO_MOI'!$F$52-'HANH_TRINH'!$F$2468)*34/'THAM_SO_MOI'!$C$42</f>
        <v>10.442312711745474</v>
      </c>
      <c r="G2503" s="75">
        <f>3.6*F2503</f>
        <v>37.59232576228371</v>
      </c>
      <c r="H2503" s="75">
        <f>'THAM_SO_MOI'!$D$52</f>
        <v>1.1774754878398197</v>
      </c>
      <c r="I2503" s="75">
        <f>IF(F2503&gt;'THAM_SO_MOI'!$C$14,'THAM_SO_MOI'!$C$13*(1+F2503^2/1500),'THAM_SO_MOI'!$C$13)</f>
        <v>0.015</v>
      </c>
      <c r="J2503" s="75">
        <f>'THAM_SO_MOI'!$C$40*('THAM_SO_MOI'!$C$23*(E2503/'THAM_SO_MOI'!$C$22)+'THAM_SO_MOI'!$C$24*(E2503/'THAM_SO_MOI'!$C$22)^2-'THAM_SO_MOI'!$C$25*(E2503/'THAM_SO_MOI'!$C$22)^3)</f>
        <v>71.69157861835473</v>
      </c>
      <c r="K2503" s="75">
        <f>'THAM_SO_MOI'!$C$31*J2503/E2503</f>
        <v>416.81581085880634</v>
      </c>
      <c r="L2503" s="75">
        <f>K2503*'THAM_SO_MOI'!$C$52*'THAM_SO_MOI'!$C$17/'THAM_SO_MOI'!$C$26</f>
        <v>5836.766380058618</v>
      </c>
      <c r="M2503" s="75">
        <f>'THAM_SO_MOI'!$C$15*'THAM_SO_MOI'!$C$16*F2503^2</f>
        <v>318.9475422019023</v>
      </c>
      <c r="N2503" s="75">
        <f>'THAM_SO_MOI'!$C$12*I2503</f>
        <v>1130.112</v>
      </c>
      <c r="O2503" s="75">
        <f>M2503+N2503</f>
        <v>1449.0595422019023</v>
      </c>
      <c r="P2503" s="75">
        <f>(MIN(L2503,'THAM_SO_MOI'!$C$41)-O2503)/('THAM_SO_MOI'!$C$11*H2503)</f>
        <v>0.4852041510950871</v>
      </c>
      <c r="Q2503" s="75">
        <f>IF(P2503&gt;0,1/P2503,NA())</f>
        <v>2.0609881381744954</v>
      </c>
      <c r="R2503" s="75">
        <f>F2503-F2502</f>
        <v>0.007943393307218827</v>
      </c>
      <c r="S2503" s="75">
        <f>0.5*(Q2502+Q2503)*R2503</f>
        <v>0.016371995765716466</v>
      </c>
      <c r="T2503" s="75">
        <f>0.5*(F2502*Q2502+F2503*Q2503)*R2503</f>
        <v>0.17089647189606597</v>
      </c>
      <c r="U2503" s="76">
        <f>U2502+S2503</f>
        <v>14.517285141627118</v>
      </c>
      <c r="V2503" s="76">
        <f>V2502+T2503</f>
        <v>91.59302594561667</v>
      </c>
    </row>
    <row r="2504" spans="1:22" ht="19" customHeight="1">
      <c r="A2504" s="68" t="s">
        <v>376</v>
      </c>
      <c r="B2504" s="74">
        <v>4</v>
      </c>
      <c r="C2504" s="68" t="s">
        <v>363</v>
      </c>
      <c r="D2504" s="68" t="s">
        <v>364</v>
      </c>
      <c r="E2504" s="75">
        <f>60*F2504*'THAM_SO_MOI'!$C$52/(2*PI()*'THAM_SO_MOI'!$C$26)</f>
        <v>1644.021589563105</v>
      </c>
      <c r="F2504" s="75">
        <f>'HANH_TRINH'!$F$2468+('THAM_SO_MOI'!$F$52-'HANH_TRINH'!$F$2468)*35/'THAM_SO_MOI'!$C$42</f>
        <v>10.450256105052693</v>
      </c>
      <c r="G2504" s="75">
        <f>3.6*F2504</f>
        <v>37.6209219781897</v>
      </c>
      <c r="H2504" s="75">
        <f>'THAM_SO_MOI'!$D$52</f>
        <v>1.1774754878398197</v>
      </c>
      <c r="I2504" s="75">
        <f>IF(F2504&gt;'THAM_SO_MOI'!$C$14,'THAM_SO_MOI'!$C$13*(1+F2504^2/1500),'THAM_SO_MOI'!$C$13)</f>
        <v>0.015</v>
      </c>
      <c r="J2504" s="75">
        <f>'THAM_SO_MOI'!$C$40*('THAM_SO_MOI'!$C$23*(E2504/'THAM_SO_MOI'!$C$22)+'THAM_SO_MOI'!$C$24*(E2504/'THAM_SO_MOI'!$C$22)^2-'THAM_SO_MOI'!$C$25*(E2504/'THAM_SO_MOI'!$C$22)^3)</f>
        <v>71.75703345472344</v>
      </c>
      <c r="K2504" s="75">
        <f>'THAM_SO_MOI'!$C$31*J2504/E2504</f>
        <v>416.87924907397297</v>
      </c>
      <c r="L2504" s="75">
        <f>K2504*'THAM_SO_MOI'!$C$52*'THAM_SO_MOI'!$C$17/'THAM_SO_MOI'!$C$26</f>
        <v>5837.654719780501</v>
      </c>
      <c r="M2504" s="75">
        <f>'THAM_SO_MOI'!$C$15*'THAM_SO_MOI'!$C$16*F2504^2</f>
        <v>319.43296903398397</v>
      </c>
      <c r="N2504" s="75">
        <f>'THAM_SO_MOI'!$C$12*I2504</f>
        <v>1130.112</v>
      </c>
      <c r="O2504" s="75">
        <f>M2504+N2504</f>
        <v>1449.544969033984</v>
      </c>
      <c r="P2504" s="75">
        <f>(MIN(L2504,'THAM_SO_MOI'!$C$41)-O2504)/('THAM_SO_MOI'!$C$11*H2504)</f>
        <v>0.4852487062611193</v>
      </c>
      <c r="Q2504" s="75">
        <f>IF(P2504&gt;0,1/P2504,NA())</f>
        <v>2.0607988998158926</v>
      </c>
      <c r="R2504" s="75">
        <f>F2504-F2503</f>
        <v>0.007943393307218827</v>
      </c>
      <c r="S2504" s="75">
        <f>0.5*(Q2503+Q2504)*R2504</f>
        <v>0.01637048778567708</v>
      </c>
      <c r="T2504" s="75">
        <f>0.5*(F2503*Q2503+F2504*Q2504)*R2504</f>
        <v>0.17101076832828943</v>
      </c>
      <c r="U2504" s="76">
        <f>U2503+S2504</f>
        <v>14.533655629412795</v>
      </c>
      <c r="V2504" s="76">
        <f>V2503+T2504</f>
        <v>91.76403671394496</v>
      </c>
    </row>
    <row r="2505" spans="1:22" ht="19" customHeight="1">
      <c r="A2505" s="68" t="s">
        <v>376</v>
      </c>
      <c r="B2505" s="74">
        <v>4</v>
      </c>
      <c r="C2505" s="68" t="s">
        <v>363</v>
      </c>
      <c r="D2505" s="68" t="s">
        <v>364</v>
      </c>
      <c r="E2505" s="75">
        <f>60*F2505*'THAM_SO_MOI'!$C$52/(2*PI()*'THAM_SO_MOI'!$C$26)</f>
        <v>1645.2712345440684</v>
      </c>
      <c r="F2505" s="75">
        <f>'HANH_TRINH'!$F$2468+('THAM_SO_MOI'!$F$52-'HANH_TRINH'!$F$2468)*36/'THAM_SO_MOI'!$C$42</f>
        <v>10.458199498359914</v>
      </c>
      <c r="G2505" s="75">
        <f>3.6*F2505</f>
        <v>37.64951819409569</v>
      </c>
      <c r="H2505" s="75">
        <f>'THAM_SO_MOI'!$D$52</f>
        <v>1.1774754878398197</v>
      </c>
      <c r="I2505" s="75">
        <f>IF(F2505&gt;'THAM_SO_MOI'!$C$14,'THAM_SO_MOI'!$C$13*(1+F2505^2/1500),'THAM_SO_MOI'!$C$13)</f>
        <v>0.015</v>
      </c>
      <c r="J2505" s="75">
        <f>'THAM_SO_MOI'!$C$40*('THAM_SO_MOI'!$C$23*(E2505/'THAM_SO_MOI'!$C$22)+'THAM_SO_MOI'!$C$24*(E2505/'THAM_SO_MOI'!$C$22)^2-'THAM_SO_MOI'!$C$25*(E2505/'THAM_SO_MOI'!$C$22)^3)</f>
        <v>71.82247879400128</v>
      </c>
      <c r="K2505" s="75">
        <f>'THAM_SO_MOI'!$C$31*J2505/E2505</f>
        <v>416.9425357894121</v>
      </c>
      <c r="L2505" s="75">
        <f>K2505*'THAM_SO_MOI'!$C$52*'THAM_SO_MOI'!$C$17/'THAM_SO_MOI'!$C$26</f>
        <v>5838.540938017325</v>
      </c>
      <c r="M2505" s="75">
        <f>'THAM_SO_MOI'!$C$15*'THAM_SO_MOI'!$C$16*F2505^2</f>
        <v>319.91876498642455</v>
      </c>
      <c r="N2505" s="75">
        <f>'THAM_SO_MOI'!$C$12*I2505</f>
        <v>1130.112</v>
      </c>
      <c r="O2505" s="75">
        <f>M2505+N2505</f>
        <v>1450.0307649864246</v>
      </c>
      <c r="P2505" s="75">
        <f>(MIN(L2505,'THAM_SO_MOI'!$C$41)-O2505)/('THAM_SO_MOI'!$C$11*H2505)</f>
        <v>0.4852929860094602</v>
      </c>
      <c r="Q2505" s="75">
        <f>IF(P2505&gt;0,1/P2505,NA())</f>
        <v>2.060610865660659</v>
      </c>
      <c r="R2505" s="75">
        <f>F2505-F2504</f>
        <v>0.007943393307220603</v>
      </c>
      <c r="S2505" s="75">
        <f>0.5*(Q2504+Q2505)*R2505</f>
        <v>0.016368989373700037</v>
      </c>
      <c r="T2505" s="75">
        <f>0.5*(F2504*Q2504+F2505*Q2505)*R2505</f>
        <v>0.17112514083024885</v>
      </c>
      <c r="U2505" s="76">
        <f>U2504+S2505</f>
        <v>14.550024618786495</v>
      </c>
      <c r="V2505" s="76">
        <f>V2504+T2505</f>
        <v>91.93516185477522</v>
      </c>
    </row>
    <row r="2506" spans="1:22" ht="19" customHeight="1">
      <c r="A2506" s="68" t="s">
        <v>376</v>
      </c>
      <c r="B2506" s="74">
        <v>4</v>
      </c>
      <c r="C2506" s="68" t="s">
        <v>363</v>
      </c>
      <c r="D2506" s="68" t="s">
        <v>364</v>
      </c>
      <c r="E2506" s="75">
        <f>60*F2506*'THAM_SO_MOI'!$C$52/(2*PI()*'THAM_SO_MOI'!$C$26)</f>
        <v>1646.5208795250317</v>
      </c>
      <c r="F2506" s="75">
        <f>'HANH_TRINH'!$F$2468+('THAM_SO_MOI'!$F$52-'HANH_TRINH'!$F$2468)*37/'THAM_SO_MOI'!$C$42</f>
        <v>10.466142891667133</v>
      </c>
      <c r="G2506" s="75">
        <f>3.6*F2506</f>
        <v>37.678114410001676</v>
      </c>
      <c r="H2506" s="75">
        <f>'THAM_SO_MOI'!$D$52</f>
        <v>1.1774754878398197</v>
      </c>
      <c r="I2506" s="75">
        <f>IF(F2506&gt;'THAM_SO_MOI'!$C$14,'THAM_SO_MOI'!$C$13*(1+F2506^2/1500),'THAM_SO_MOI'!$C$13)</f>
        <v>0.015</v>
      </c>
      <c r="J2506" s="75">
        <f>'THAM_SO_MOI'!$C$40*('THAM_SO_MOI'!$C$23*(E2506/'THAM_SO_MOI'!$C$22)+'THAM_SO_MOI'!$C$24*(E2506/'THAM_SO_MOI'!$C$22)^2-'THAM_SO_MOI'!$C$25*(E2506/'THAM_SO_MOI'!$C$22)^3)</f>
        <v>71.88791457672257</v>
      </c>
      <c r="K2506" s="75">
        <f>'THAM_SO_MOI'!$C$31*J2506/E2506</f>
        <v>417.0056710051238</v>
      </c>
      <c r="L2506" s="75">
        <f>K2506*'THAM_SO_MOI'!$C$52*'THAM_SO_MOI'!$C$17/'THAM_SO_MOI'!$C$26</f>
        <v>5839.425034769089</v>
      </c>
      <c r="M2506" s="75">
        <f>'THAM_SO_MOI'!$C$15*'THAM_SO_MOI'!$C$16*F2506^2</f>
        <v>320.4049300592238</v>
      </c>
      <c r="N2506" s="75">
        <f>'THAM_SO_MOI'!$C$12*I2506</f>
        <v>1130.112</v>
      </c>
      <c r="O2506" s="75">
        <f>M2506+N2506</f>
        <v>1450.5169300592238</v>
      </c>
      <c r="P2506" s="75">
        <f>(MIN(L2506,'THAM_SO_MOI'!$C$41)-O2506)/('THAM_SO_MOI'!$C$11*H2506)</f>
        <v>0.4853369903401095</v>
      </c>
      <c r="Q2506" s="75">
        <f>IF(P2506&gt;0,1/P2506,NA())</f>
        <v>2.060424035059084</v>
      </c>
      <c r="R2506" s="75">
        <f>F2506-F2505</f>
        <v>0.007943393307218827</v>
      </c>
      <c r="S2506" s="75">
        <f>0.5*(Q2505+Q2506)*R2506</f>
        <v>0.016367500524596203</v>
      </c>
      <c r="T2506" s="75">
        <f>0.5*(F2505*Q2505+F2506*Q2506)*R2506</f>
        <v>0.17123958957566332</v>
      </c>
      <c r="U2506" s="76">
        <f>U2505+S2506</f>
        <v>14.566392119311091</v>
      </c>
      <c r="V2506" s="76">
        <f>V2505+T2506</f>
        <v>92.10640144435088</v>
      </c>
    </row>
    <row r="2507" spans="1:22" ht="19" customHeight="1">
      <c r="A2507" s="68" t="s">
        <v>376</v>
      </c>
      <c r="B2507" s="74">
        <v>4</v>
      </c>
      <c r="C2507" s="68" t="s">
        <v>363</v>
      </c>
      <c r="D2507" s="68" t="s">
        <v>364</v>
      </c>
      <c r="E2507" s="75">
        <f>60*F2507*'THAM_SO_MOI'!$C$52/(2*PI()*'THAM_SO_MOI'!$C$26)</f>
        <v>1647.7705245059944</v>
      </c>
      <c r="F2507" s="75">
        <f>'HANH_TRINH'!$F$2468+('THAM_SO_MOI'!$F$52-'HANH_TRINH'!$F$2468)*38/'THAM_SO_MOI'!$C$42</f>
        <v>10.474086284974351</v>
      </c>
      <c r="G2507" s="75">
        <f>3.6*F2507</f>
        <v>37.70671062590767</v>
      </c>
      <c r="H2507" s="75">
        <f>'THAM_SO_MOI'!$D$52</f>
        <v>1.1774754878398197</v>
      </c>
      <c r="I2507" s="75">
        <f>IF(F2507&gt;'THAM_SO_MOI'!$C$14,'THAM_SO_MOI'!$C$13*(1+F2507^2/1500),'THAM_SO_MOI'!$C$13)</f>
        <v>0.015</v>
      </c>
      <c r="J2507" s="75">
        <f>'THAM_SO_MOI'!$C$40*('THAM_SO_MOI'!$C$23*(E2507/'THAM_SO_MOI'!$C$22)+'THAM_SO_MOI'!$C$24*(E2507/'THAM_SO_MOI'!$C$22)^2-'THAM_SO_MOI'!$C$25*(E2507/'THAM_SO_MOI'!$C$22)^3)</f>
        <v>71.95334074342158</v>
      </c>
      <c r="K2507" s="75">
        <f>'THAM_SO_MOI'!$C$31*J2507/E2507</f>
        <v>417.0686547211081</v>
      </c>
      <c r="L2507" s="75">
        <f>K2507*'THAM_SO_MOI'!$C$52*'THAM_SO_MOI'!$C$17/'THAM_SO_MOI'!$C$26</f>
        <v>5840.307010035791</v>
      </c>
      <c r="M2507" s="75">
        <f>'THAM_SO_MOI'!$C$15*'THAM_SO_MOI'!$C$16*F2507^2</f>
        <v>320.89146425238187</v>
      </c>
      <c r="N2507" s="75">
        <f>'THAM_SO_MOI'!$C$12*I2507</f>
        <v>1130.112</v>
      </c>
      <c r="O2507" s="75">
        <f>M2507+N2507</f>
        <v>1451.003464252382</v>
      </c>
      <c r="P2507" s="75">
        <f>(MIN(L2507,'THAM_SO_MOI'!$C$41)-O2507)/('THAM_SO_MOI'!$C$11*H2507)</f>
        <v>0.4853807192530674</v>
      </c>
      <c r="Q2507" s="75">
        <f>IF(P2507&gt;0,1/P2507,NA())</f>
        <v>2.0602384073657873</v>
      </c>
      <c r="R2507" s="75">
        <f>F2507-F2506</f>
        <v>0.007943393307218827</v>
      </c>
      <c r="S2507" s="75">
        <f>0.5*(Q2506+Q2507)*R2507</f>
        <v>0.016366021233232855</v>
      </c>
      <c r="T2507" s="75">
        <f>0.5*(F2506*Q2506+F2507*Q2507)*R2507</f>
        <v>0.1713541147386776</v>
      </c>
      <c r="U2507" s="76">
        <f>U2506+S2507</f>
        <v>14.582758140544325</v>
      </c>
      <c r="V2507" s="76">
        <f>V2506+T2507</f>
        <v>92.27775555908956</v>
      </c>
    </row>
    <row r="2508" spans="1:22" ht="19" customHeight="1">
      <c r="A2508" s="68" t="s">
        <v>376</v>
      </c>
      <c r="B2508" s="74">
        <v>4</v>
      </c>
      <c r="C2508" s="68" t="s">
        <v>363</v>
      </c>
      <c r="D2508" s="68" t="s">
        <v>364</v>
      </c>
      <c r="E2508" s="75">
        <f>60*F2508*'THAM_SO_MOI'!$C$52/(2*PI()*'THAM_SO_MOI'!$C$26)</f>
        <v>1649.0201694869581</v>
      </c>
      <c r="F2508" s="75">
        <f>'HANH_TRINH'!$F$2468+('THAM_SO_MOI'!$F$52-'HANH_TRINH'!$F$2468)*39/'THAM_SO_MOI'!$C$42</f>
        <v>10.482029678281572</v>
      </c>
      <c r="G2508" s="75">
        <f>3.6*F2508</f>
        <v>37.73530684181366</v>
      </c>
      <c r="H2508" s="75">
        <f>'THAM_SO_MOI'!$D$52</f>
        <v>1.1774754878398197</v>
      </c>
      <c r="I2508" s="75">
        <f>IF(F2508&gt;'THAM_SO_MOI'!$C$14,'THAM_SO_MOI'!$C$13*(1+F2508^2/1500),'THAM_SO_MOI'!$C$13)</f>
        <v>0.015</v>
      </c>
      <c r="J2508" s="75">
        <f>'THAM_SO_MOI'!$C$40*('THAM_SO_MOI'!$C$23*(E2508/'THAM_SO_MOI'!$C$22)+'THAM_SO_MOI'!$C$24*(E2508/'THAM_SO_MOI'!$C$22)^2-'THAM_SO_MOI'!$C$25*(E2508/'THAM_SO_MOI'!$C$22)^3)</f>
        <v>72.01875723463267</v>
      </c>
      <c r="K2508" s="75">
        <f>'THAM_SO_MOI'!$C$31*J2508/E2508</f>
        <v>417.1314869373648</v>
      </c>
      <c r="L2508" s="75">
        <f>K2508*'THAM_SO_MOI'!$C$52*'THAM_SO_MOI'!$C$17/'THAM_SO_MOI'!$C$26</f>
        <v>5841.186863817433</v>
      </c>
      <c r="M2508" s="75">
        <f>'THAM_SO_MOI'!$C$15*'THAM_SO_MOI'!$C$16*F2508^2</f>
        <v>321.3783675658989</v>
      </c>
      <c r="N2508" s="75">
        <f>'THAM_SO_MOI'!$C$12*I2508</f>
        <v>1130.112</v>
      </c>
      <c r="O2508" s="75">
        <f>M2508+N2508</f>
        <v>1451.4903675658989</v>
      </c>
      <c r="P2508" s="75">
        <f>(MIN(L2508,'THAM_SO_MOI'!$C$41)-O2508)/('THAM_SO_MOI'!$C$11*H2508)</f>
        <v>0.48542417274833377</v>
      </c>
      <c r="Q2508" s="75">
        <f>IF(P2508&gt;0,1/P2508,NA())</f>
        <v>2.060053981939721</v>
      </c>
      <c r="R2508" s="75">
        <f>F2508-F2507</f>
        <v>0.007943393307220603</v>
      </c>
      <c r="S2508" s="75">
        <f>0.5*(Q2507+Q2508)*R2508</f>
        <v>0.016364551494500678</v>
      </c>
      <c r="T2508" s="75">
        <f>0.5*(F2507*Q2507+F2508*Q2508)*R2508</f>
        <v>0.17146871649351894</v>
      </c>
      <c r="U2508" s="76">
        <f>U2507+S2508</f>
        <v>14.599122692038826</v>
      </c>
      <c r="V2508" s="76">
        <f>V2507+T2508</f>
        <v>92.44922427558308</v>
      </c>
    </row>
    <row r="2509" spans="1:22" ht="19" customHeight="1">
      <c r="A2509" s="68" t="s">
        <v>376</v>
      </c>
      <c r="B2509" s="74">
        <v>4</v>
      </c>
      <c r="C2509" s="68" t="s">
        <v>363</v>
      </c>
      <c r="D2509" s="68" t="s">
        <v>364</v>
      </c>
      <c r="E2509" s="75">
        <f>60*F2509*'THAM_SO_MOI'!$C$52/(2*PI()*'THAM_SO_MOI'!$C$26)</f>
        <v>1650.2698144679212</v>
      </c>
      <c r="F2509" s="75">
        <f>'HANH_TRINH'!$F$2468+('THAM_SO_MOI'!$F$52-'HANH_TRINH'!$F$2468)*40/'THAM_SO_MOI'!$C$42</f>
        <v>10.48997307158879</v>
      </c>
      <c r="G2509" s="75">
        <f>3.6*F2509</f>
        <v>37.763903057719645</v>
      </c>
      <c r="H2509" s="75">
        <f>'THAM_SO_MOI'!$D$52</f>
        <v>1.1774754878398197</v>
      </c>
      <c r="I2509" s="75">
        <f>IF(F2509&gt;'THAM_SO_MOI'!$C$14,'THAM_SO_MOI'!$C$13*(1+F2509^2/1500),'THAM_SO_MOI'!$C$13)</f>
        <v>0.015</v>
      </c>
      <c r="J2509" s="75">
        <f>'THAM_SO_MOI'!$C$40*('THAM_SO_MOI'!$C$23*(E2509/'THAM_SO_MOI'!$C$22)+'THAM_SO_MOI'!$C$24*(E2509/'THAM_SO_MOI'!$C$22)^2-'THAM_SO_MOI'!$C$25*(E2509/'THAM_SO_MOI'!$C$22)^3)</f>
        <v>72.08416399089012</v>
      </c>
      <c r="K2509" s="75">
        <f>'THAM_SO_MOI'!$C$31*J2509/E2509</f>
        <v>417.1941676538941</v>
      </c>
      <c r="L2509" s="75">
        <f>K2509*'THAM_SO_MOI'!$C$52*'THAM_SO_MOI'!$C$17/'THAM_SO_MOI'!$C$26</f>
        <v>5842.064596114013</v>
      </c>
      <c r="M2509" s="75">
        <f>'THAM_SO_MOI'!$C$15*'THAM_SO_MOI'!$C$16*F2509^2</f>
        <v>321.8656399997746</v>
      </c>
      <c r="N2509" s="75">
        <f>'THAM_SO_MOI'!$C$12*I2509</f>
        <v>1130.112</v>
      </c>
      <c r="O2509" s="75">
        <f>M2509+N2509</f>
        <v>1451.9776399997747</v>
      </c>
      <c r="P2509" s="75">
        <f>(MIN(L2509,'THAM_SO_MOI'!$C$41)-O2509)/('THAM_SO_MOI'!$C$11*H2509)</f>
        <v>0.4854673508259085</v>
      </c>
      <c r="Q2509" s="75">
        <f>IF(P2509&gt;0,1/P2509,NA())</f>
        <v>2.0598707581441578</v>
      </c>
      <c r="R2509" s="75">
        <f>F2509-F2508</f>
        <v>0.007943393307218827</v>
      </c>
      <c r="S2509" s="75">
        <f>0.5*(Q2508+Q2509)*R2509</f>
        <v>0.016363091303313773</v>
      </c>
      <c r="T2509" s="75">
        <f>0.5*(F2508*Q2508+F2509*Q2509)*R2509</f>
        <v>0.1715833950144974</v>
      </c>
      <c r="U2509" s="76">
        <f>U2508+S2509</f>
        <v>14.61548578334214</v>
      </c>
      <c r="V2509" s="76">
        <f>V2508+T2509</f>
        <v>92.62080767059757</v>
      </c>
    </row>
    <row r="2510" spans="1:22" ht="19" customHeight="1">
      <c r="A2510" s="68" t="s">
        <v>376</v>
      </c>
      <c r="B2510" s="74">
        <v>4</v>
      </c>
      <c r="C2510" s="68" t="s">
        <v>363</v>
      </c>
      <c r="D2510" s="68" t="s">
        <v>364</v>
      </c>
      <c r="E2510" s="75">
        <f>60*F2510*'THAM_SO_MOI'!$C$52/(2*PI()*'THAM_SO_MOI'!$C$26)</f>
        <v>1651.5194594488846</v>
      </c>
      <c r="F2510" s="75">
        <f>'HANH_TRINH'!$F$2468+('THAM_SO_MOI'!$F$52-'HANH_TRINH'!$F$2468)*41/'THAM_SO_MOI'!$C$42</f>
        <v>10.49791646489601</v>
      </c>
      <c r="G2510" s="75">
        <f>3.6*F2510</f>
        <v>37.79249927362564</v>
      </c>
      <c r="H2510" s="75">
        <f>'THAM_SO_MOI'!$D$52</f>
        <v>1.1774754878398197</v>
      </c>
      <c r="I2510" s="75">
        <f>IF(F2510&gt;'THAM_SO_MOI'!$C$14,'THAM_SO_MOI'!$C$13*(1+F2510^2/1500),'THAM_SO_MOI'!$C$13)</f>
        <v>0.015</v>
      </c>
      <c r="J2510" s="75">
        <f>'THAM_SO_MOI'!$C$40*('THAM_SO_MOI'!$C$23*(E2510/'THAM_SO_MOI'!$C$22)+'THAM_SO_MOI'!$C$24*(E2510/'THAM_SO_MOI'!$C$22)^2-'THAM_SO_MOI'!$C$25*(E2510/'THAM_SO_MOI'!$C$22)^3)</f>
        <v>72.14956095272825</v>
      </c>
      <c r="K2510" s="75">
        <f>'THAM_SO_MOI'!$C$31*J2510/E2510</f>
        <v>417.25669687069575</v>
      </c>
      <c r="L2510" s="75">
        <f>K2510*'THAM_SO_MOI'!$C$52*'THAM_SO_MOI'!$C$17/'THAM_SO_MOI'!$C$26</f>
        <v>5842.940206925529</v>
      </c>
      <c r="M2510" s="75">
        <f>'THAM_SO_MOI'!$C$15*'THAM_SO_MOI'!$C$16*F2510^2</f>
        <v>322.35328155400913</v>
      </c>
      <c r="N2510" s="75">
        <f>'THAM_SO_MOI'!$C$12*I2510</f>
        <v>1130.112</v>
      </c>
      <c r="O2510" s="75">
        <f>M2510+N2510</f>
        <v>1452.4652815540092</v>
      </c>
      <c r="P2510" s="75">
        <f>(MIN(L2510,'THAM_SO_MOI'!$C$41)-O2510)/('THAM_SO_MOI'!$C$11*H2510)</f>
        <v>0.48551025348579135</v>
      </c>
      <c r="Q2510" s="75">
        <f>IF(P2510&gt;0,1/P2510,NA())</f>
        <v>2.059688735346689</v>
      </c>
      <c r="R2510" s="75">
        <f>F2510-F2509</f>
        <v>0.007943393307218827</v>
      </c>
      <c r="S2510" s="75">
        <f>0.5*(Q2509+Q2510)*R2510</f>
        <v>0.016361640654642486</v>
      </c>
      <c r="T2510" s="75">
        <f>0.5*(F2509*Q2509+F2510*Q2510)*R2510</f>
        <v>0.17169815047635195</v>
      </c>
      <c r="U2510" s="76">
        <f>U2509+S2510</f>
        <v>14.631847423996781</v>
      </c>
      <c r="V2510" s="76">
        <f>V2509+T2510</f>
        <v>92.79250582107392</v>
      </c>
    </row>
    <row r="2511" spans="1:22" ht="19" customHeight="1">
      <c r="A2511" s="68" t="s">
        <v>376</v>
      </c>
      <c r="B2511" s="74">
        <v>4</v>
      </c>
      <c r="C2511" s="68" t="s">
        <v>363</v>
      </c>
      <c r="D2511" s="68" t="s">
        <v>364</v>
      </c>
      <c r="E2511" s="75">
        <f>60*F2511*'THAM_SO_MOI'!$C$52/(2*PI()*'THAM_SO_MOI'!$C$26)</f>
        <v>1652.769104429848</v>
      </c>
      <c r="F2511" s="75">
        <f>'HANH_TRINH'!$F$2468+('THAM_SO_MOI'!$F$52-'HANH_TRINH'!$F$2468)*42/'THAM_SO_MOI'!$C$42</f>
        <v>10.50585985820323</v>
      </c>
      <c r="G2511" s="75">
        <f>3.6*F2511</f>
        <v>37.82109548953163</v>
      </c>
      <c r="H2511" s="75">
        <f>'THAM_SO_MOI'!$D$52</f>
        <v>1.1774754878398197</v>
      </c>
      <c r="I2511" s="75">
        <f>IF(F2511&gt;'THAM_SO_MOI'!$C$14,'THAM_SO_MOI'!$C$13*(1+F2511^2/1500),'THAM_SO_MOI'!$C$13)</f>
        <v>0.015</v>
      </c>
      <c r="J2511" s="75">
        <f>'THAM_SO_MOI'!$C$40*('THAM_SO_MOI'!$C$23*(E2511/'THAM_SO_MOI'!$C$22)+'THAM_SO_MOI'!$C$24*(E2511/'THAM_SO_MOI'!$C$22)^2-'THAM_SO_MOI'!$C$25*(E2511/'THAM_SO_MOI'!$C$22)^3)</f>
        <v>72.21494806068142</v>
      </c>
      <c r="K2511" s="75">
        <f>'THAM_SO_MOI'!$C$31*J2511/E2511</f>
        <v>417.3190745877702</v>
      </c>
      <c r="L2511" s="75">
        <f>K2511*'THAM_SO_MOI'!$C$52*'THAM_SO_MOI'!$C$17/'THAM_SO_MOI'!$C$26</f>
        <v>5843.81369625199</v>
      </c>
      <c r="M2511" s="75">
        <f>'THAM_SO_MOI'!$C$15*'THAM_SO_MOI'!$C$16*F2511^2</f>
        <v>322.8412922286026</v>
      </c>
      <c r="N2511" s="75">
        <f>'THAM_SO_MOI'!$C$12*I2511</f>
        <v>1130.112</v>
      </c>
      <c r="O2511" s="75">
        <f>M2511+N2511</f>
        <v>1452.9532922286025</v>
      </c>
      <c r="P2511" s="75">
        <f>(MIN(L2511,'THAM_SO_MOI'!$C$41)-O2511)/('THAM_SO_MOI'!$C$11*H2511)</f>
        <v>0.48555288072798336</v>
      </c>
      <c r="Q2511" s="75">
        <f>IF(P2511&gt;0,1/P2511,NA())</f>
        <v>2.0595079129192118</v>
      </c>
      <c r="R2511" s="75">
        <f>F2511-F2510</f>
        <v>0.007943393307220603</v>
      </c>
      <c r="S2511" s="75">
        <f>0.5*(Q2510+Q2511)*R2511</f>
        <v>0.016360199543480447</v>
      </c>
      <c r="T2511" s="75">
        <f>0.5*(F2510*Q2510+F2511*Q2511)*R2511</f>
        <v>0.17181298305390616</v>
      </c>
      <c r="U2511" s="76">
        <f>U2510+S2511</f>
        <v>14.648207623540262</v>
      </c>
      <c r="V2511" s="76">
        <f>V2510+T2511</f>
        <v>92.96431880412783</v>
      </c>
    </row>
    <row r="2512" spans="1:22" ht="19" customHeight="1">
      <c r="A2512" s="68" t="s">
        <v>376</v>
      </c>
      <c r="B2512" s="74">
        <v>4</v>
      </c>
      <c r="C2512" s="68" t="s">
        <v>363</v>
      </c>
      <c r="D2512" s="68" t="s">
        <v>364</v>
      </c>
      <c r="E2512" s="75">
        <f>60*F2512*'THAM_SO_MOI'!$C$52/(2*PI()*'THAM_SO_MOI'!$C$26)</f>
        <v>1654.0187494108113</v>
      </c>
      <c r="F2512" s="75">
        <f>'HANH_TRINH'!$F$2468+('THAM_SO_MOI'!$F$52-'HANH_TRINH'!$F$2468)*43/'THAM_SO_MOI'!$C$42</f>
        <v>10.51380325151045</v>
      </c>
      <c r="G2512" s="75">
        <f>3.6*F2512</f>
        <v>37.84969170543762</v>
      </c>
      <c r="H2512" s="75">
        <f>'THAM_SO_MOI'!$D$52</f>
        <v>1.1774754878398197</v>
      </c>
      <c r="I2512" s="75">
        <f>IF(F2512&gt;'THAM_SO_MOI'!$C$14,'THAM_SO_MOI'!$C$13*(1+F2512^2/1500),'THAM_SO_MOI'!$C$13)</f>
        <v>0.015</v>
      </c>
      <c r="J2512" s="75">
        <f>'THAM_SO_MOI'!$C$40*('THAM_SO_MOI'!$C$23*(E2512/'THAM_SO_MOI'!$C$22)+'THAM_SO_MOI'!$C$24*(E2512/'THAM_SO_MOI'!$C$22)^2-'THAM_SO_MOI'!$C$25*(E2512/'THAM_SO_MOI'!$C$22)^3)</f>
        <v>72.28032525528386</v>
      </c>
      <c r="K2512" s="75">
        <f>'THAM_SO_MOI'!$C$31*J2512/E2512</f>
        <v>417.38130080511695</v>
      </c>
      <c r="L2512" s="75">
        <f>K2512*'THAM_SO_MOI'!$C$52*'THAM_SO_MOI'!$C$17/'THAM_SO_MOI'!$C$26</f>
        <v>5844.685064093385</v>
      </c>
      <c r="M2512" s="75">
        <f>'THAM_SO_MOI'!$C$15*'THAM_SO_MOI'!$C$16*F2512^2</f>
        <v>323.32967202355474</v>
      </c>
      <c r="N2512" s="75">
        <f>'THAM_SO_MOI'!$C$12*I2512</f>
        <v>1130.112</v>
      </c>
      <c r="O2512" s="75">
        <f>M2512+N2512</f>
        <v>1453.441672023555</v>
      </c>
      <c r="P2512" s="75">
        <f>(MIN(L2512,'THAM_SO_MOI'!$C$41)-O2512)/('THAM_SO_MOI'!$C$11*H2512)</f>
        <v>0.4855952325524832</v>
      </c>
      <c r="Q2512" s="75">
        <f>IF(P2512&gt;0,1/P2512,NA())</f>
        <v>2.0593282902379397</v>
      </c>
      <c r="R2512" s="75">
        <f>F2512-F2511</f>
        <v>0.007943393307218827</v>
      </c>
      <c r="S2512" s="75">
        <f>0.5*(Q2511+Q2512)*R2512</f>
        <v>0.01635876796484456</v>
      </c>
      <c r="T2512" s="75">
        <f>0.5*(F2511*Q2511+F2512*Q2512)*R2512</f>
        <v>0.17192789292206917</v>
      </c>
      <c r="U2512" s="76">
        <f>U2511+S2512</f>
        <v>14.664566391505106</v>
      </c>
      <c r="V2512" s="76">
        <f>V2511+T2512</f>
        <v>93.1362466970499</v>
      </c>
    </row>
    <row r="2513" spans="1:22" ht="19" customHeight="1">
      <c r="A2513" s="68" t="s">
        <v>376</v>
      </c>
      <c r="B2513" s="74">
        <v>4</v>
      </c>
      <c r="C2513" s="68" t="s">
        <v>363</v>
      </c>
      <c r="D2513" s="68" t="s">
        <v>364</v>
      </c>
      <c r="E2513" s="75">
        <f>60*F2513*'THAM_SO_MOI'!$C$52/(2*PI()*'THAM_SO_MOI'!$C$26)</f>
        <v>1655.2683943917743</v>
      </c>
      <c r="F2513" s="75">
        <f>'HANH_TRINH'!$F$2468+('THAM_SO_MOI'!$F$52-'HANH_TRINH'!$F$2468)*44/'THAM_SO_MOI'!$C$42</f>
        <v>10.521746644817668</v>
      </c>
      <c r="G2513" s="75">
        <f>3.6*F2513</f>
        <v>37.878287921343606</v>
      </c>
      <c r="H2513" s="75">
        <f>'THAM_SO_MOI'!$D$52</f>
        <v>1.1774754878398197</v>
      </c>
      <c r="I2513" s="75">
        <f>IF(F2513&gt;'THAM_SO_MOI'!$C$14,'THAM_SO_MOI'!$C$13*(1+F2513^2/1500),'THAM_SO_MOI'!$C$13)</f>
        <v>0.015</v>
      </c>
      <c r="J2513" s="75">
        <f>'THAM_SO_MOI'!$C$40*('THAM_SO_MOI'!$C$23*(E2513/'THAM_SO_MOI'!$C$22)+'THAM_SO_MOI'!$C$24*(E2513/'THAM_SO_MOI'!$C$22)^2-'THAM_SO_MOI'!$C$25*(E2513/'THAM_SO_MOI'!$C$22)^3)</f>
        <v>72.34569247706995</v>
      </c>
      <c r="K2513" s="75">
        <f>'THAM_SO_MOI'!$C$31*J2513/E2513</f>
        <v>417.4433755227364</v>
      </c>
      <c r="L2513" s="75">
        <f>K2513*'THAM_SO_MOI'!$C$52*'THAM_SO_MOI'!$C$17/'THAM_SO_MOI'!$C$26</f>
        <v>5845.554310449724</v>
      </c>
      <c r="M2513" s="75">
        <f>'THAM_SO_MOI'!$C$15*'THAM_SO_MOI'!$C$16*F2513^2</f>
        <v>323.8184209388657</v>
      </c>
      <c r="N2513" s="75">
        <f>'THAM_SO_MOI'!$C$12*I2513</f>
        <v>1130.112</v>
      </c>
      <c r="O2513" s="75">
        <f>M2513+N2513</f>
        <v>1453.9304209388658</v>
      </c>
      <c r="P2513" s="75">
        <f>(MIN(L2513,'THAM_SO_MOI'!$C$41)-O2513)/('THAM_SO_MOI'!$C$11*H2513)</f>
        <v>0.4856373089592921</v>
      </c>
      <c r="Q2513" s="75">
        <f>IF(P2513&gt;0,1/P2513,NA())</f>
        <v>2.0591498666833763</v>
      </c>
      <c r="R2513" s="75">
        <f>F2513-F2512</f>
        <v>0.007943393307218827</v>
      </c>
      <c r="S2513" s="75">
        <f>0.5*(Q2512+Q2513)*R2513</f>
        <v>0.016357345913807858</v>
      </c>
      <c r="T2513" s="75">
        <f>0.5*(F2512*Q2512+F2513*Q2513)*R2513</f>
        <v>0.17204288025618206</v>
      </c>
      <c r="U2513" s="76">
        <f>U2512+S2513</f>
        <v>14.680923737418913</v>
      </c>
      <c r="V2513" s="76">
        <f>V2512+T2513</f>
        <v>93.30828957730608</v>
      </c>
    </row>
    <row r="2514" spans="1:22" ht="19" customHeight="1">
      <c r="A2514" s="68" t="s">
        <v>376</v>
      </c>
      <c r="B2514" s="74">
        <v>4</v>
      </c>
      <c r="C2514" s="68" t="s">
        <v>363</v>
      </c>
      <c r="D2514" s="68" t="s">
        <v>364</v>
      </c>
      <c r="E2514" s="75">
        <f>60*F2514*'THAM_SO_MOI'!$C$52/(2*PI()*'THAM_SO_MOI'!$C$26)</f>
        <v>1656.5180393727376</v>
      </c>
      <c r="F2514" s="75">
        <f>'HANH_TRINH'!$F$2468+('THAM_SO_MOI'!$F$52-'HANH_TRINH'!$F$2468)*45/'THAM_SO_MOI'!$C$42</f>
        <v>10.529690038124889</v>
      </c>
      <c r="G2514" s="75">
        <f>3.6*F2514</f>
        <v>37.9068841372496</v>
      </c>
      <c r="H2514" s="75">
        <f>'THAM_SO_MOI'!$D$52</f>
        <v>1.1774754878398197</v>
      </c>
      <c r="I2514" s="75">
        <f>IF(F2514&gt;'THAM_SO_MOI'!$C$14,'THAM_SO_MOI'!$C$13*(1+F2514^2/1500),'THAM_SO_MOI'!$C$13)</f>
        <v>0.015</v>
      </c>
      <c r="J2514" s="75">
        <f>'THAM_SO_MOI'!$C$40*('THAM_SO_MOI'!$C$23*(E2514/'THAM_SO_MOI'!$C$22)+'THAM_SO_MOI'!$C$24*(E2514/'THAM_SO_MOI'!$C$22)^2-'THAM_SO_MOI'!$C$25*(E2514/'THAM_SO_MOI'!$C$22)^3)</f>
        <v>72.41104966657397</v>
      </c>
      <c r="K2514" s="75">
        <f>'THAM_SO_MOI'!$C$31*J2514/E2514</f>
        <v>417.50529874062835</v>
      </c>
      <c r="L2514" s="75">
        <f>K2514*'THAM_SO_MOI'!$C$52*'THAM_SO_MOI'!$C$17/'THAM_SO_MOI'!$C$26</f>
        <v>5846.421435321</v>
      </c>
      <c r="M2514" s="75">
        <f>'THAM_SO_MOI'!$C$15*'THAM_SO_MOI'!$C$16*F2514^2</f>
        <v>324.3075389745356</v>
      </c>
      <c r="N2514" s="75">
        <f>'THAM_SO_MOI'!$C$12*I2514</f>
        <v>1130.112</v>
      </c>
      <c r="O2514" s="75">
        <f>M2514+N2514</f>
        <v>1454.4195389745357</v>
      </c>
      <c r="P2514" s="75">
        <f>(MIN(L2514,'THAM_SO_MOI'!$C$41)-O2514)/('THAM_SO_MOI'!$C$11*H2514)</f>
        <v>0.48567910994840924</v>
      </c>
      <c r="Q2514" s="75">
        <f>IF(P2514&gt;0,1/P2514,NA())</f>
        <v>2.058972641640329</v>
      </c>
      <c r="R2514" s="75">
        <f>F2514-F2513</f>
        <v>0.007943393307220603</v>
      </c>
      <c r="S2514" s="75">
        <f>0.5*(Q2513+Q2514)*R2514</f>
        <v>0.016355933385466523</v>
      </c>
      <c r="T2514" s="75">
        <f>0.5*(F2513*Q2513+F2514*Q2514)*R2514</f>
        <v>0.1721579452316732</v>
      </c>
      <c r="U2514" s="76">
        <f>U2513+S2514</f>
        <v>14.69727967080438</v>
      </c>
      <c r="V2514" s="76">
        <f>V2513+T2514</f>
        <v>93.48044752253776</v>
      </c>
    </row>
    <row r="2515" spans="1:22" ht="19" customHeight="1">
      <c r="A2515" s="68" t="s">
        <v>376</v>
      </c>
      <c r="B2515" s="74">
        <v>4</v>
      </c>
      <c r="C2515" s="68" t="s">
        <v>363</v>
      </c>
      <c r="D2515" s="68" t="s">
        <v>364</v>
      </c>
      <c r="E2515" s="75">
        <f>60*F2515*'THAM_SO_MOI'!$C$52/(2*PI()*'THAM_SO_MOI'!$C$26)</f>
        <v>1657.7676843537008</v>
      </c>
      <c r="F2515" s="75">
        <f>'HANH_TRINH'!$F$2468+('THAM_SO_MOI'!$F$52-'HANH_TRINH'!$F$2468)*46/'THAM_SO_MOI'!$C$42</f>
        <v>10.537633431432107</v>
      </c>
      <c r="G2515" s="75">
        <f>3.6*F2515</f>
        <v>37.93548035315559</v>
      </c>
      <c r="H2515" s="75">
        <f>'THAM_SO_MOI'!$D$52</f>
        <v>1.1774754878398197</v>
      </c>
      <c r="I2515" s="75">
        <f>IF(F2515&gt;'THAM_SO_MOI'!$C$14,'THAM_SO_MOI'!$C$13*(1+F2515^2/1500),'THAM_SO_MOI'!$C$13)</f>
        <v>0.015</v>
      </c>
      <c r="J2515" s="75">
        <f>'THAM_SO_MOI'!$C$40*('THAM_SO_MOI'!$C$23*(E2515/'THAM_SO_MOI'!$C$22)+'THAM_SO_MOI'!$C$24*(E2515/'THAM_SO_MOI'!$C$22)^2-'THAM_SO_MOI'!$C$25*(E2515/'THAM_SO_MOI'!$C$22)^3)</f>
        <v>72.47639676433023</v>
      </c>
      <c r="K2515" s="75">
        <f>'THAM_SO_MOI'!$C$31*J2515/E2515</f>
        <v>417.56707045879267</v>
      </c>
      <c r="L2515" s="75">
        <f>K2515*'THAM_SO_MOI'!$C$52*'THAM_SO_MOI'!$C$17/'THAM_SO_MOI'!$C$26</f>
        <v>5847.286438707212</v>
      </c>
      <c r="M2515" s="75">
        <f>'THAM_SO_MOI'!$C$15*'THAM_SO_MOI'!$C$16*F2515^2</f>
        <v>324.7970261305642</v>
      </c>
      <c r="N2515" s="75">
        <f>'THAM_SO_MOI'!$C$12*I2515</f>
        <v>1130.112</v>
      </c>
      <c r="O2515" s="75">
        <f>M2515+N2515</f>
        <v>1454.9090261305641</v>
      </c>
      <c r="P2515" s="75">
        <f>(MIN(L2515,'THAM_SO_MOI'!$C$41)-O2515)/('THAM_SO_MOI'!$C$11*H2515)</f>
        <v>0.4857206355198345</v>
      </c>
      <c r="Q2515" s="75">
        <f>IF(P2515&gt;0,1/P2515,NA())</f>
        <v>2.058796614497892</v>
      </c>
      <c r="R2515" s="75">
        <f>F2515-F2514</f>
        <v>0.007943393307218827</v>
      </c>
      <c r="S2515" s="75">
        <f>0.5*(Q2514+Q2515)*R2515</f>
        <v>0.016354530374939894</v>
      </c>
      <c r="T2515" s="75">
        <f>0.5*(F2514*Q2514+F2515*Q2515)*R2515</f>
        <v>0.172273088024059</v>
      </c>
      <c r="U2515" s="76">
        <f>U2514+S2515</f>
        <v>14.71363420117932</v>
      </c>
      <c r="V2515" s="76">
        <f>V2514+T2515</f>
        <v>93.65272061056181</v>
      </c>
    </row>
    <row r="2516" spans="1:22" ht="19" customHeight="1">
      <c r="A2516" s="68" t="s">
        <v>376</v>
      </c>
      <c r="B2516" s="74">
        <v>4</v>
      </c>
      <c r="C2516" s="68" t="s">
        <v>363</v>
      </c>
      <c r="D2516" s="68" t="s">
        <v>364</v>
      </c>
      <c r="E2516" s="75">
        <f>60*F2516*'THAM_SO_MOI'!$C$52/(2*PI()*'THAM_SO_MOI'!$C$26)</f>
        <v>1659.017329334664</v>
      </c>
      <c r="F2516" s="75">
        <f>'HANH_TRINH'!$F$2468+('THAM_SO_MOI'!$F$52-'HANH_TRINH'!$F$2468)*47/'THAM_SO_MOI'!$C$42</f>
        <v>10.545576824739326</v>
      </c>
      <c r="G2516" s="75">
        <f>3.6*F2516</f>
        <v>37.964076569061575</v>
      </c>
      <c r="H2516" s="75">
        <f>'THAM_SO_MOI'!$D$52</f>
        <v>1.1774754878398197</v>
      </c>
      <c r="I2516" s="75">
        <f>IF(F2516&gt;'THAM_SO_MOI'!$C$14,'THAM_SO_MOI'!$C$13*(1+F2516^2/1500),'THAM_SO_MOI'!$C$13)</f>
        <v>0.015</v>
      </c>
      <c r="J2516" s="75">
        <f>'THAM_SO_MOI'!$C$40*('THAM_SO_MOI'!$C$23*(E2516/'THAM_SO_MOI'!$C$22)+'THAM_SO_MOI'!$C$24*(E2516/'THAM_SO_MOI'!$C$22)^2-'THAM_SO_MOI'!$C$25*(E2516/'THAM_SO_MOI'!$C$22)^3)</f>
        <v>72.54173371087306</v>
      </c>
      <c r="K2516" s="75">
        <f>'THAM_SO_MOI'!$C$31*J2516/E2516</f>
        <v>417.62869067722954</v>
      </c>
      <c r="L2516" s="75">
        <f>K2516*'THAM_SO_MOI'!$C$52*'THAM_SO_MOI'!$C$17/'THAM_SO_MOI'!$C$26</f>
        <v>5848.149320608363</v>
      </c>
      <c r="M2516" s="75">
        <f>'THAM_SO_MOI'!$C$15*'THAM_SO_MOI'!$C$16*F2516^2</f>
        <v>325.2868824069516</v>
      </c>
      <c r="N2516" s="75">
        <f>'THAM_SO_MOI'!$C$12*I2516</f>
        <v>1130.112</v>
      </c>
      <c r="O2516" s="75">
        <f>M2516+N2516</f>
        <v>1455.3988824069515</v>
      </c>
      <c r="P2516" s="75">
        <f>(MIN(L2516,'THAM_SO_MOI'!$C$41)-O2516)/('THAM_SO_MOI'!$C$11*H2516)</f>
        <v>0.4857618856735682</v>
      </c>
      <c r="Q2516" s="75">
        <f>IF(P2516&gt;0,1/P2516,NA())</f>
        <v>2.0586217846494437</v>
      </c>
      <c r="R2516" s="75">
        <f>F2516-F2515</f>
        <v>0.007943393307218827</v>
      </c>
      <c r="S2516" s="75">
        <f>0.5*(Q2515+Q2516)*R2516</f>
        <v>0.016353136877403304</v>
      </c>
      <c r="T2516" s="75">
        <f>0.5*(F2515*Q2515+F2516*Q2516)*R2516</f>
        <v>0.17238830880929082</v>
      </c>
      <c r="U2516" s="76">
        <f>U2515+S2516</f>
        <v>14.729987338056723</v>
      </c>
      <c r="V2516" s="76">
        <f>V2515+T2516</f>
        <v>93.8251089193711</v>
      </c>
    </row>
    <row r="2517" spans="1:22" ht="19" customHeight="1">
      <c r="A2517" s="68" t="s">
        <v>376</v>
      </c>
      <c r="B2517" s="74">
        <v>4</v>
      </c>
      <c r="C2517" s="68" t="s">
        <v>363</v>
      </c>
      <c r="D2517" s="68" t="s">
        <v>364</v>
      </c>
      <c r="E2517" s="75">
        <f>60*F2517*'THAM_SO_MOI'!$C$52/(2*PI()*'THAM_SO_MOI'!$C$26)</f>
        <v>1660.2669743156275</v>
      </c>
      <c r="F2517" s="75">
        <f>'HANH_TRINH'!$F$2468+('THAM_SO_MOI'!$F$52-'HANH_TRINH'!$F$2468)*48/'THAM_SO_MOI'!$C$42</f>
        <v>10.553520218046547</v>
      </c>
      <c r="G2517" s="75">
        <f>3.6*F2517</f>
        <v>37.99267278496757</v>
      </c>
      <c r="H2517" s="75">
        <f>'THAM_SO_MOI'!$D$52</f>
        <v>1.1774754878398197</v>
      </c>
      <c r="I2517" s="75">
        <f>IF(F2517&gt;'THAM_SO_MOI'!$C$14,'THAM_SO_MOI'!$C$13*(1+F2517^2/1500),'THAM_SO_MOI'!$C$13)</f>
        <v>0.015</v>
      </c>
      <c r="J2517" s="75">
        <f>'THAM_SO_MOI'!$C$40*('THAM_SO_MOI'!$C$23*(E2517/'THAM_SO_MOI'!$C$22)+'THAM_SO_MOI'!$C$24*(E2517/'THAM_SO_MOI'!$C$22)^2-'THAM_SO_MOI'!$C$25*(E2517/'THAM_SO_MOI'!$C$22)^3)</f>
        <v>72.60706044673682</v>
      </c>
      <c r="K2517" s="75">
        <f>'THAM_SO_MOI'!$C$31*J2517/E2517</f>
        <v>417.69015939593913</v>
      </c>
      <c r="L2517" s="75">
        <f>K2517*'THAM_SO_MOI'!$C$52*'THAM_SO_MOI'!$C$17/'THAM_SO_MOI'!$C$26</f>
        <v>5849.010081024459</v>
      </c>
      <c r="M2517" s="75">
        <f>'THAM_SO_MOI'!$C$15*'THAM_SO_MOI'!$C$16*F2517^2</f>
        <v>325.77710780369796</v>
      </c>
      <c r="N2517" s="75">
        <f>'THAM_SO_MOI'!$C$12*I2517</f>
        <v>1130.112</v>
      </c>
      <c r="O2517" s="75">
        <f>M2517+N2517</f>
        <v>1455.8891078036982</v>
      </c>
      <c r="P2517" s="75">
        <f>(MIN(L2517,'THAM_SO_MOI'!$C$41)-O2517)/('THAM_SO_MOI'!$C$11*H2517)</f>
        <v>0.4858028604096112</v>
      </c>
      <c r="Q2517" s="75">
        <f>IF(P2517&gt;0,1/P2517,NA())</f>
        <v>2.058448151492638</v>
      </c>
      <c r="R2517" s="75">
        <f>F2517-F2516</f>
        <v>0.007943393307220603</v>
      </c>
      <c r="S2517" s="75">
        <f>0.5*(Q2516+Q2517)*R2517</f>
        <v>0.016351752888055085</v>
      </c>
      <c r="T2517" s="75">
        <f>0.5*(F2516*Q2516+F2517*Q2517)*R2517</f>
        <v>0.17250360776340978</v>
      </c>
      <c r="U2517" s="76">
        <f>U2516+S2517</f>
        <v>14.746339090944778</v>
      </c>
      <c r="V2517" s="76">
        <f>V2516+T2517</f>
        <v>93.9976125271345</v>
      </c>
    </row>
    <row r="2518" spans="1:22" ht="19" customHeight="1">
      <c r="A2518" s="68" t="s">
        <v>376</v>
      </c>
      <c r="B2518" s="74">
        <v>4</v>
      </c>
      <c r="C2518" s="68" t="s">
        <v>363</v>
      </c>
      <c r="D2518" s="68" t="s">
        <v>364</v>
      </c>
      <c r="E2518" s="75">
        <f>60*F2518*'THAM_SO_MOI'!$C$52/(2*PI()*'THAM_SO_MOI'!$C$26)</f>
        <v>1661.5166192965908</v>
      </c>
      <c r="F2518" s="75">
        <f>'HANH_TRINH'!$F$2468+('THAM_SO_MOI'!$F$52-'HANH_TRINH'!$F$2468)*49/'THAM_SO_MOI'!$C$42</f>
        <v>10.561463611353766</v>
      </c>
      <c r="G2518" s="75">
        <f>3.6*F2518</f>
        <v>38.02126900087356</v>
      </c>
      <c r="H2518" s="75">
        <f>'THAM_SO_MOI'!$D$52</f>
        <v>1.1774754878398197</v>
      </c>
      <c r="I2518" s="75">
        <f>IF(F2518&gt;'THAM_SO_MOI'!$C$14,'THAM_SO_MOI'!$C$13*(1+F2518^2/1500),'THAM_SO_MOI'!$C$13)</f>
        <v>0.015</v>
      </c>
      <c r="J2518" s="75">
        <f>'THAM_SO_MOI'!$C$40*('THAM_SO_MOI'!$C$23*(E2518/'THAM_SO_MOI'!$C$22)+'THAM_SO_MOI'!$C$24*(E2518/'THAM_SO_MOI'!$C$22)^2-'THAM_SO_MOI'!$C$25*(E2518/'THAM_SO_MOI'!$C$22)^3)</f>
        <v>72.67237691245575</v>
      </c>
      <c r="K2518" s="75">
        <f>'THAM_SO_MOI'!$C$31*J2518/E2518</f>
        <v>417.75147661492116</v>
      </c>
      <c r="L2518" s="75">
        <f>K2518*'THAM_SO_MOI'!$C$52*'THAM_SO_MOI'!$C$17/'THAM_SO_MOI'!$C$26</f>
        <v>5849.868719955491</v>
      </c>
      <c r="M2518" s="75">
        <f>'THAM_SO_MOI'!$C$15*'THAM_SO_MOI'!$C$16*F2518^2</f>
        <v>326.267702320803</v>
      </c>
      <c r="N2518" s="75">
        <f>'THAM_SO_MOI'!$C$12*I2518</f>
        <v>1130.112</v>
      </c>
      <c r="O2518" s="75">
        <f>M2518+N2518</f>
        <v>1456.379702320803</v>
      </c>
      <c r="P2518" s="75">
        <f>(MIN(L2518,'THAM_SO_MOI'!$C$41)-O2518)/('THAM_SO_MOI'!$C$11*H2518)</f>
        <v>0.48584355972796206</v>
      </c>
      <c r="Q2518" s="75">
        <f>IF(P2518&gt;0,1/P2518,NA())</f>
        <v>2.0582757144294126</v>
      </c>
      <c r="R2518" s="75">
        <f>F2518-F2517</f>
        <v>0.007943393307218827</v>
      </c>
      <c r="S2518" s="75">
        <f>0.5*(Q2517+Q2518)*R2518</f>
        <v>0.016350378402116617</v>
      </c>
      <c r="T2518" s="75">
        <f>0.5*(F2517*Q2517+F2518*Q2518)*R2518</f>
        <v>0.17261898506254744</v>
      </c>
      <c r="U2518" s="76">
        <f>U2517+S2518</f>
        <v>14.762689469346894</v>
      </c>
      <c r="V2518" s="76">
        <f>V2517+T2518</f>
        <v>94.17023151219705</v>
      </c>
    </row>
    <row r="2519" spans="1:22" ht="19" customHeight="1">
      <c r="A2519" s="68" t="s">
        <v>376</v>
      </c>
      <c r="B2519" s="74">
        <v>4</v>
      </c>
      <c r="C2519" s="68" t="s">
        <v>363</v>
      </c>
      <c r="D2519" s="68" t="s">
        <v>364</v>
      </c>
      <c r="E2519" s="75">
        <f>60*F2519*'THAM_SO_MOI'!$C$52/(2*PI()*'THAM_SO_MOI'!$C$26)</f>
        <v>1662.766264277554</v>
      </c>
      <c r="F2519" s="75">
        <f>'HANH_TRINH'!$F$2468+('THAM_SO_MOI'!$F$52-'HANH_TRINH'!$F$2468)*50/'THAM_SO_MOI'!$C$42</f>
        <v>10.569407004660984</v>
      </c>
      <c r="G2519" s="75">
        <f>3.6*F2519</f>
        <v>38.049865216779544</v>
      </c>
      <c r="H2519" s="75">
        <f>'THAM_SO_MOI'!$D$52</f>
        <v>1.1774754878398197</v>
      </c>
      <c r="I2519" s="75">
        <f>IF(F2519&gt;'THAM_SO_MOI'!$C$14,'THAM_SO_MOI'!$C$13*(1+F2519^2/1500),'THAM_SO_MOI'!$C$13)</f>
        <v>0.015</v>
      </c>
      <c r="J2519" s="75">
        <f>'THAM_SO_MOI'!$C$40*('THAM_SO_MOI'!$C$23*(E2519/'THAM_SO_MOI'!$C$22)+'THAM_SO_MOI'!$C$24*(E2519/'THAM_SO_MOI'!$C$22)^2-'THAM_SO_MOI'!$C$25*(E2519/'THAM_SO_MOI'!$C$22)^3)</f>
        <v>72.73768304856418</v>
      </c>
      <c r="K2519" s="75">
        <f>'THAM_SO_MOI'!$C$31*J2519/E2519</f>
        <v>417.81264233417573</v>
      </c>
      <c r="L2519" s="75">
        <f>K2519*'THAM_SO_MOI'!$C$52*'THAM_SO_MOI'!$C$17/'THAM_SO_MOI'!$C$26</f>
        <v>5850.725237401461</v>
      </c>
      <c r="M2519" s="75">
        <f>'THAM_SO_MOI'!$C$15*'THAM_SO_MOI'!$C$16*F2519^2</f>
        <v>326.7586659582668</v>
      </c>
      <c r="N2519" s="75">
        <f>'THAM_SO_MOI'!$C$12*I2519</f>
        <v>1130.112</v>
      </c>
      <c r="O2519" s="75">
        <f>M2519+N2519</f>
        <v>1456.870665958267</v>
      </c>
      <c r="P2519" s="75">
        <f>(MIN(L2519,'THAM_SO_MOI'!$C$41)-O2519)/('THAM_SO_MOI'!$C$11*H2519)</f>
        <v>0.4858839836286214</v>
      </c>
      <c r="Q2519" s="75">
        <f>IF(P2519&gt;0,1/P2519,NA())</f>
        <v>2.058104472865967</v>
      </c>
      <c r="R2519" s="75">
        <f>F2519-F2518</f>
        <v>0.007943393307218827</v>
      </c>
      <c r="S2519" s="75">
        <f>0.5*(Q2518+Q2519)*R2519</f>
        <v>0.016349013414865148</v>
      </c>
      <c r="T2519" s="75">
        <f>0.5*(F2518*Q2518+F2519*Q2519)*R2519</f>
        <v>0.17273444088327394</v>
      </c>
      <c r="U2519" s="76">
        <f>U2518+S2519</f>
        <v>14.77903848276176</v>
      </c>
      <c r="V2519" s="76">
        <f>V2518+T2519</f>
        <v>94.34296595308032</v>
      </c>
    </row>
    <row r="2520" spans="1:22" ht="19" customHeight="1">
      <c r="A2520" s="68" t="s">
        <v>376</v>
      </c>
      <c r="B2520" s="74">
        <v>4</v>
      </c>
      <c r="C2520" s="68" t="s">
        <v>363</v>
      </c>
      <c r="D2520" s="68" t="s">
        <v>364</v>
      </c>
      <c r="E2520" s="75">
        <f>60*F2520*'THAM_SO_MOI'!$C$52/(2*PI()*'THAM_SO_MOI'!$C$26)</f>
        <v>1664.0159092585172</v>
      </c>
      <c r="F2520" s="75">
        <f>'HANH_TRINH'!$F$2468+('THAM_SO_MOI'!$F$52-'HANH_TRINH'!$F$2468)*51/'THAM_SO_MOI'!$C$42</f>
        <v>10.577350397968205</v>
      </c>
      <c r="G2520" s="75">
        <f>3.6*F2520</f>
        <v>38.078461432685536</v>
      </c>
      <c r="H2520" s="75">
        <f>'THAM_SO_MOI'!$D$52</f>
        <v>1.1774754878398197</v>
      </c>
      <c r="I2520" s="75">
        <f>IF(F2520&gt;'THAM_SO_MOI'!$C$14,'THAM_SO_MOI'!$C$13*(1+F2520^2/1500),'THAM_SO_MOI'!$C$13)</f>
        <v>0.015</v>
      </c>
      <c r="J2520" s="75">
        <f>'THAM_SO_MOI'!$C$40*('THAM_SO_MOI'!$C$23*(E2520/'THAM_SO_MOI'!$C$22)+'THAM_SO_MOI'!$C$24*(E2520/'THAM_SO_MOI'!$C$22)^2-'THAM_SO_MOI'!$C$25*(E2520/'THAM_SO_MOI'!$C$22)^3)</f>
        <v>72.80297879559645</v>
      </c>
      <c r="K2520" s="75">
        <f>'THAM_SO_MOI'!$C$31*J2520/E2520</f>
        <v>417.8736565537028</v>
      </c>
      <c r="L2520" s="75">
        <f>K2520*'THAM_SO_MOI'!$C$52*'THAM_SO_MOI'!$C$17/'THAM_SO_MOI'!$C$26</f>
        <v>5851.579633362372</v>
      </c>
      <c r="M2520" s="75">
        <f>'THAM_SO_MOI'!$C$15*'THAM_SO_MOI'!$C$16*F2520^2</f>
        <v>327.2499987160896</v>
      </c>
      <c r="N2520" s="75">
        <f>'THAM_SO_MOI'!$C$12*I2520</f>
        <v>1130.112</v>
      </c>
      <c r="O2520" s="75">
        <f>M2520+N2520</f>
        <v>1457.3619987160896</v>
      </c>
      <c r="P2520" s="75">
        <f>(MIN(L2520,'THAM_SO_MOI'!$C$41)-O2520)/('THAM_SO_MOI'!$C$11*H2520)</f>
        <v>0.48592413211158936</v>
      </c>
      <c r="Q2520" s="75">
        <f>IF(P2520&gt;0,1/P2520,NA())</f>
        <v>2.057934426212766</v>
      </c>
      <c r="R2520" s="75">
        <f>F2520-F2519</f>
        <v>0.007943393307220603</v>
      </c>
      <c r="S2520" s="75">
        <f>0.5*(Q2519+Q2520)*R2520</f>
        <v>0.016347657921600832</v>
      </c>
      <c r="T2520" s="75">
        <f>0.5*(F2519*Q2519+F2520*Q2520)*R2520</f>
        <v>0.1728499754022515</v>
      </c>
      <c r="U2520" s="76">
        <f>U2519+S2520</f>
        <v>14.79538614068336</v>
      </c>
      <c r="V2520" s="76">
        <f>V2519+T2520</f>
        <v>94.51581592848258</v>
      </c>
    </row>
    <row r="2521" spans="1:22" ht="19" customHeight="1">
      <c r="A2521" s="68" t="s">
        <v>376</v>
      </c>
      <c r="B2521" s="74">
        <v>4</v>
      </c>
      <c r="C2521" s="68" t="s">
        <v>363</v>
      </c>
      <c r="D2521" s="68" t="s">
        <v>364</v>
      </c>
      <c r="E2521" s="75">
        <f>60*F2521*'THAM_SO_MOI'!$C$52/(2*PI()*'THAM_SO_MOI'!$C$26)</f>
        <v>1665.2655542394803</v>
      </c>
      <c r="F2521" s="75">
        <f>'HANH_TRINH'!$F$2468+('THAM_SO_MOI'!$F$52-'HANH_TRINH'!$F$2468)*52/'THAM_SO_MOI'!$C$42</f>
        <v>10.585293791275424</v>
      </c>
      <c r="G2521" s="75">
        <f>3.6*F2521</f>
        <v>38.10705764859153</v>
      </c>
      <c r="H2521" s="75">
        <f>'THAM_SO_MOI'!$D$52</f>
        <v>1.1774754878398197</v>
      </c>
      <c r="I2521" s="75">
        <f>IF(F2521&gt;'THAM_SO_MOI'!$C$14,'THAM_SO_MOI'!$C$13*(1+F2521^2/1500),'THAM_SO_MOI'!$C$13)</f>
        <v>0.015</v>
      </c>
      <c r="J2521" s="75">
        <f>'THAM_SO_MOI'!$C$40*('THAM_SO_MOI'!$C$23*(E2521/'THAM_SO_MOI'!$C$22)+'THAM_SO_MOI'!$C$24*(E2521/'THAM_SO_MOI'!$C$22)^2-'THAM_SO_MOI'!$C$25*(E2521/'THAM_SO_MOI'!$C$22)^3)</f>
        <v>72.86826409408681</v>
      </c>
      <c r="K2521" s="75">
        <f>'THAM_SO_MOI'!$C$31*J2521/E2521</f>
        <v>417.93451927350236</v>
      </c>
      <c r="L2521" s="75">
        <f>K2521*'THAM_SO_MOI'!$C$52*'THAM_SO_MOI'!$C$17/'THAM_SO_MOI'!$C$26</f>
        <v>5852.43190783822</v>
      </c>
      <c r="M2521" s="75">
        <f>'THAM_SO_MOI'!$C$15*'THAM_SO_MOI'!$C$16*F2521^2</f>
        <v>327.7417005942711</v>
      </c>
      <c r="N2521" s="75">
        <f>'THAM_SO_MOI'!$C$12*I2521</f>
        <v>1130.112</v>
      </c>
      <c r="O2521" s="75">
        <f>M2521+N2521</f>
        <v>1457.8537005942712</v>
      </c>
      <c r="P2521" s="75">
        <f>(MIN(L2521,'THAM_SO_MOI'!$C$41)-O2521)/('THAM_SO_MOI'!$C$11*H2521)</f>
        <v>0.48596400517686567</v>
      </c>
      <c r="Q2521" s="75">
        <f>IF(P2521&gt;0,1/P2521,NA())</f>
        <v>2.057765573884535</v>
      </c>
      <c r="R2521" s="75">
        <f>F2521-F2520</f>
        <v>0.007943393307218827</v>
      </c>
      <c r="S2521" s="75">
        <f>0.5*(Q2520+Q2521)*R2521</f>
        <v>0.01634631191764671</v>
      </c>
      <c r="T2521" s="75">
        <f>0.5*(F2520*Q2520+F2521*Q2521)*R2521</f>
        <v>0.17296558879623516</v>
      </c>
      <c r="U2521" s="76">
        <f>U2520+S2521</f>
        <v>14.811732452601007</v>
      </c>
      <c r="V2521" s="76">
        <f>V2520+T2521</f>
        <v>94.68878151727881</v>
      </c>
    </row>
    <row r="2522" spans="1:22" ht="19" customHeight="1">
      <c r="A2522" s="68" t="s">
        <v>376</v>
      </c>
      <c r="B2522" s="74">
        <v>4</v>
      </c>
      <c r="C2522" s="68" t="s">
        <v>363</v>
      </c>
      <c r="D2522" s="68" t="s">
        <v>364</v>
      </c>
      <c r="E2522" s="75">
        <f>60*F2522*'THAM_SO_MOI'!$C$52/(2*PI()*'THAM_SO_MOI'!$C$26)</f>
        <v>1666.5151992204435</v>
      </c>
      <c r="F2522" s="75">
        <f>'HANH_TRINH'!$F$2468+('THAM_SO_MOI'!$F$52-'HANH_TRINH'!$F$2468)*53/'THAM_SO_MOI'!$C$42</f>
        <v>10.593237184582643</v>
      </c>
      <c r="G2522" s="75">
        <f>3.6*F2522</f>
        <v>38.13565386449751</v>
      </c>
      <c r="H2522" s="75">
        <f>'THAM_SO_MOI'!$D$52</f>
        <v>1.1774754878398197</v>
      </c>
      <c r="I2522" s="75">
        <f>IF(F2522&gt;'THAM_SO_MOI'!$C$14,'THAM_SO_MOI'!$C$13*(1+F2522^2/1500),'THAM_SO_MOI'!$C$13)</f>
        <v>0.015</v>
      </c>
      <c r="J2522" s="75">
        <f>'THAM_SO_MOI'!$C$40*('THAM_SO_MOI'!$C$23*(E2522/'THAM_SO_MOI'!$C$22)+'THAM_SO_MOI'!$C$24*(E2522/'THAM_SO_MOI'!$C$22)^2-'THAM_SO_MOI'!$C$25*(E2522/'THAM_SO_MOI'!$C$22)^3)</f>
        <v>72.93353888456964</v>
      </c>
      <c r="K2522" s="75">
        <f>'THAM_SO_MOI'!$C$31*J2522/E2522</f>
        <v>417.9952304935744</v>
      </c>
      <c r="L2522" s="75">
        <f>K2522*'THAM_SO_MOI'!$C$52*'THAM_SO_MOI'!$C$17/'THAM_SO_MOI'!$C$26</f>
        <v>5853.282060829007</v>
      </c>
      <c r="M2522" s="75">
        <f>'THAM_SO_MOI'!$C$15*'THAM_SO_MOI'!$C$16*F2522^2</f>
        <v>328.23377159281137</v>
      </c>
      <c r="N2522" s="75">
        <f>'THAM_SO_MOI'!$C$12*I2522</f>
        <v>1130.112</v>
      </c>
      <c r="O2522" s="75">
        <f>M2522+N2522</f>
        <v>1458.3457715928114</v>
      </c>
      <c r="P2522" s="75">
        <f>(MIN(L2522,'THAM_SO_MOI'!$C$41)-O2522)/('THAM_SO_MOI'!$C$11*H2522)</f>
        <v>0.4860036028244503</v>
      </c>
      <c r="Q2522" s="75">
        <f>IF(P2522&gt;0,1/P2522,NA())</f>
        <v>2.0575979153002506</v>
      </c>
      <c r="R2522" s="75">
        <f>F2522-F2521</f>
        <v>0.007943393307218827</v>
      </c>
      <c r="S2522" s="75">
        <f>0.5*(Q2521+Q2522)*R2522</f>
        <v>0.016344975398381572</v>
      </c>
      <c r="T2522" s="75">
        <f>0.5*(F2521*Q2521+F2522*Q2522)*R2522</f>
        <v>0.1730812812424218</v>
      </c>
      <c r="U2522" s="76">
        <f>U2521+S2522</f>
        <v>14.828077427999387</v>
      </c>
      <c r="V2522" s="76">
        <f>V2521+T2522</f>
        <v>94.86186279852123</v>
      </c>
    </row>
    <row r="2523" spans="1:22" ht="19" customHeight="1">
      <c r="A2523" s="68" t="s">
        <v>376</v>
      </c>
      <c r="B2523" s="74">
        <v>4</v>
      </c>
      <c r="C2523" s="68" t="s">
        <v>363</v>
      </c>
      <c r="D2523" s="68" t="s">
        <v>364</v>
      </c>
      <c r="E2523" s="75">
        <f>60*F2523*'THAM_SO_MOI'!$C$52/(2*PI()*'THAM_SO_MOI'!$C$26)</f>
        <v>1667.764844201407</v>
      </c>
      <c r="F2523" s="75">
        <f>'HANH_TRINH'!$F$2468+('THAM_SO_MOI'!$F$52-'HANH_TRINH'!$F$2468)*54/'THAM_SO_MOI'!$C$42</f>
        <v>10.601180577889863</v>
      </c>
      <c r="G2523" s="75">
        <f>3.6*F2523</f>
        <v>38.16425008040351</v>
      </c>
      <c r="H2523" s="75">
        <f>'THAM_SO_MOI'!$D$52</f>
        <v>1.1774754878398197</v>
      </c>
      <c r="I2523" s="75">
        <f>IF(F2523&gt;'THAM_SO_MOI'!$C$14,'THAM_SO_MOI'!$C$13*(1+F2523^2/1500),'THAM_SO_MOI'!$C$13)</f>
        <v>0.015</v>
      </c>
      <c r="J2523" s="75">
        <f>'THAM_SO_MOI'!$C$40*('THAM_SO_MOI'!$C$23*(E2523/'THAM_SO_MOI'!$C$22)+'THAM_SO_MOI'!$C$24*(E2523/'THAM_SO_MOI'!$C$22)^2-'THAM_SO_MOI'!$C$25*(E2523/'THAM_SO_MOI'!$C$22)^3)</f>
        <v>72.99880310757925</v>
      </c>
      <c r="K2523" s="75">
        <f>'THAM_SO_MOI'!$C$31*J2523/E2523</f>
        <v>418.05579021391907</v>
      </c>
      <c r="L2523" s="75">
        <f>K2523*'THAM_SO_MOI'!$C$52*'THAM_SO_MOI'!$C$17/'THAM_SO_MOI'!$C$26</f>
        <v>5854.1300923347335</v>
      </c>
      <c r="M2523" s="75">
        <f>'THAM_SO_MOI'!$C$15*'THAM_SO_MOI'!$C$16*F2523^2</f>
        <v>328.7262117117106</v>
      </c>
      <c r="N2523" s="75">
        <f>'THAM_SO_MOI'!$C$12*I2523</f>
        <v>1130.112</v>
      </c>
      <c r="O2523" s="75">
        <f>M2523+N2523</f>
        <v>1458.8382117117108</v>
      </c>
      <c r="P2523" s="75">
        <f>(MIN(L2523,'THAM_SO_MOI'!$C$41)-O2523)/('THAM_SO_MOI'!$C$11*H2523)</f>
        <v>0.4860429250543436</v>
      </c>
      <c r="Q2523" s="75">
        <f>IF(P2523&gt;0,1/P2523,NA())</f>
        <v>2.057431449883139</v>
      </c>
      <c r="R2523" s="75">
        <f>F2523-F2522</f>
        <v>0.007943393307220603</v>
      </c>
      <c r="S2523" s="75">
        <f>0.5*(Q2522+Q2523)*R2523</f>
        <v>0.01634364835920699</v>
      </c>
      <c r="T2523" s="75">
        <f>0.5*(F2522*Q2522+F2523*Q2523)*R2523</f>
        <v>0.17319705291810283</v>
      </c>
      <c r="U2523" s="76">
        <f>U2522+S2523</f>
        <v>14.844421076358595</v>
      </c>
      <c r="V2523" s="76">
        <f>V2522+T2523</f>
        <v>95.03505985143933</v>
      </c>
    </row>
    <row r="2524" spans="1:22" ht="19" customHeight="1">
      <c r="A2524" s="68" t="s">
        <v>376</v>
      </c>
      <c r="B2524" s="74">
        <v>4</v>
      </c>
      <c r="C2524" s="68" t="s">
        <v>363</v>
      </c>
      <c r="D2524" s="68" t="s">
        <v>364</v>
      </c>
      <c r="E2524" s="75">
        <f>60*F2524*'THAM_SO_MOI'!$C$52/(2*PI()*'THAM_SO_MOI'!$C$26)</f>
        <v>1669.0144891823702</v>
      </c>
      <c r="F2524" s="75">
        <f>'HANH_TRINH'!$F$2468+('THAM_SO_MOI'!$F$52-'HANH_TRINH'!$F$2468)*55/'THAM_SO_MOI'!$C$42</f>
        <v>10.609123971197082</v>
      </c>
      <c r="G2524" s="75">
        <f>3.6*F2524</f>
        <v>38.1928462963095</v>
      </c>
      <c r="H2524" s="75">
        <f>'THAM_SO_MOI'!$D$52</f>
        <v>1.1774754878398197</v>
      </c>
      <c r="I2524" s="75">
        <f>IF(F2524&gt;'THAM_SO_MOI'!$C$14,'THAM_SO_MOI'!$C$13*(1+F2524^2/1500),'THAM_SO_MOI'!$C$13)</f>
        <v>0.015</v>
      </c>
      <c r="J2524" s="75">
        <f>'THAM_SO_MOI'!$C$40*('THAM_SO_MOI'!$C$23*(E2524/'THAM_SO_MOI'!$C$22)+'THAM_SO_MOI'!$C$24*(E2524/'THAM_SO_MOI'!$C$22)^2-'THAM_SO_MOI'!$C$25*(E2524/'THAM_SO_MOI'!$C$22)^3)</f>
        <v>73.06405670364991</v>
      </c>
      <c r="K2524" s="75">
        <f>'THAM_SO_MOI'!$C$31*J2524/E2524</f>
        <v>418.1161984345361</v>
      </c>
      <c r="L2524" s="75">
        <f>K2524*'THAM_SO_MOI'!$C$52*'THAM_SO_MOI'!$C$17/'THAM_SO_MOI'!$C$26</f>
        <v>5854.976002355399</v>
      </c>
      <c r="M2524" s="75">
        <f>'THAM_SO_MOI'!$C$15*'THAM_SO_MOI'!$C$16*F2524^2</f>
        <v>329.2190209509685</v>
      </c>
      <c r="N2524" s="75">
        <f>'THAM_SO_MOI'!$C$12*I2524</f>
        <v>1130.112</v>
      </c>
      <c r="O2524" s="75">
        <f>M2524+N2524</f>
        <v>1459.3310209509687</v>
      </c>
      <c r="P2524" s="75">
        <f>(MIN(L2524,'THAM_SO_MOI'!$C$41)-O2524)/('THAM_SO_MOI'!$C$11*H2524)</f>
        <v>0.48608197186654534</v>
      </c>
      <c r="Q2524" s="75">
        <f>IF(P2524&gt;0,1/P2524,NA())</f>
        <v>2.0572661770606704</v>
      </c>
      <c r="R2524" s="75">
        <f>F2524-F2523</f>
        <v>0.007943393307218827</v>
      </c>
      <c r="S2524" s="75">
        <f>0.5*(Q2523+Q2524)*R2524</f>
        <v>0.01634233079554732</v>
      </c>
      <c r="T2524" s="75">
        <f>0.5*(F2523*Q2523+F2524*Q2524)*R2524</f>
        <v>0.17331290400066512</v>
      </c>
      <c r="U2524" s="76">
        <f>U2523+S2524</f>
        <v>14.860763407154142</v>
      </c>
      <c r="V2524" s="76">
        <f>V2523+T2524</f>
        <v>95.20837275544</v>
      </c>
    </row>
    <row r="2525" spans="1:22" ht="19" customHeight="1">
      <c r="A2525" s="68" t="s">
        <v>376</v>
      </c>
      <c r="B2525" s="74">
        <v>4</v>
      </c>
      <c r="C2525" s="68" t="s">
        <v>363</v>
      </c>
      <c r="D2525" s="68" t="s">
        <v>364</v>
      </c>
      <c r="E2525" s="75">
        <f>60*F2525*'THAM_SO_MOI'!$C$52/(2*PI()*'THAM_SO_MOI'!$C$26)</f>
        <v>1670.2641341633334</v>
      </c>
      <c r="F2525" s="75">
        <f>'HANH_TRINH'!$F$2468+('THAM_SO_MOI'!$F$52-'HANH_TRINH'!$F$2468)*56/'THAM_SO_MOI'!$C$42</f>
        <v>10.617067364504301</v>
      </c>
      <c r="G2525" s="75">
        <f>3.6*F2525</f>
        <v>38.22144251221548</v>
      </c>
      <c r="H2525" s="75">
        <f>'THAM_SO_MOI'!$D$52</f>
        <v>1.1774754878398197</v>
      </c>
      <c r="I2525" s="75">
        <f>IF(F2525&gt;'THAM_SO_MOI'!$C$14,'THAM_SO_MOI'!$C$13*(1+F2525^2/1500),'THAM_SO_MOI'!$C$13)</f>
        <v>0.015</v>
      </c>
      <c r="J2525" s="75">
        <f>'THAM_SO_MOI'!$C$40*('THAM_SO_MOI'!$C$23*(E2525/'THAM_SO_MOI'!$C$22)+'THAM_SO_MOI'!$C$24*(E2525/'THAM_SO_MOI'!$C$22)^2-'THAM_SO_MOI'!$C$25*(E2525/'THAM_SO_MOI'!$C$22)^3)</f>
        <v>73.12929961331596</v>
      </c>
      <c r="K2525" s="75">
        <f>'THAM_SO_MOI'!$C$31*J2525/E2525</f>
        <v>418.17645515542574</v>
      </c>
      <c r="L2525" s="75">
        <f>K2525*'THAM_SO_MOI'!$C$52*'THAM_SO_MOI'!$C$17/'THAM_SO_MOI'!$C$26</f>
        <v>5855.819790891002</v>
      </c>
      <c r="M2525" s="75">
        <f>'THAM_SO_MOI'!$C$15*'THAM_SO_MOI'!$C$16*F2525^2</f>
        <v>329.7121993105853</v>
      </c>
      <c r="N2525" s="75">
        <f>'THAM_SO_MOI'!$C$12*I2525</f>
        <v>1130.112</v>
      </c>
      <c r="O2525" s="75">
        <f>M2525+N2525</f>
        <v>1459.8241993105853</v>
      </c>
      <c r="P2525" s="75">
        <f>(MIN(L2525,'THAM_SO_MOI'!$C$41)-O2525)/('THAM_SO_MOI'!$C$11*H2525)</f>
        <v>0.48612074326105525</v>
      </c>
      <c r="Q2525" s="75">
        <f>IF(P2525&gt;0,1/P2525,NA())</f>
        <v>2.0571020962645545</v>
      </c>
      <c r="R2525" s="75">
        <f>F2525-F2524</f>
        <v>0.007943393307218827</v>
      </c>
      <c r="S2525" s="75">
        <f>0.5*(Q2524+Q2525)*R2525</f>
        <v>0.016341022702882534</v>
      </c>
      <c r="T2525" s="75">
        <f>0.5*(F2524*Q2524+F2525*Q2525)*R2525</f>
        <v>0.17342883466794054</v>
      </c>
      <c r="U2525" s="76">
        <f>U2524+S2525</f>
        <v>14.877104429857024</v>
      </c>
      <c r="V2525" s="76">
        <f>V2524+T2525</f>
        <v>95.38180159010794</v>
      </c>
    </row>
    <row r="2526" spans="1:22" ht="19" customHeight="1">
      <c r="A2526" s="68" t="s">
        <v>376</v>
      </c>
      <c r="B2526" s="74">
        <v>4</v>
      </c>
      <c r="C2526" s="68" t="s">
        <v>363</v>
      </c>
      <c r="D2526" s="68" t="s">
        <v>364</v>
      </c>
      <c r="E2526" s="75">
        <f>60*F2526*'THAM_SO_MOI'!$C$52/(2*PI()*'THAM_SO_MOI'!$C$26)</f>
        <v>1671.513779144297</v>
      </c>
      <c r="F2526" s="75">
        <f>'HANH_TRINH'!$F$2468+('THAM_SO_MOI'!$F$52-'HANH_TRINH'!$F$2468)*57/'THAM_SO_MOI'!$C$42</f>
        <v>10.625010757811522</v>
      </c>
      <c r="G2526" s="75">
        <f>3.6*F2526</f>
        <v>38.25003872812148</v>
      </c>
      <c r="H2526" s="75">
        <f>'THAM_SO_MOI'!$D$52</f>
        <v>1.1774754878398197</v>
      </c>
      <c r="I2526" s="75">
        <f>IF(F2526&gt;'THAM_SO_MOI'!$C$14,'THAM_SO_MOI'!$C$13*(1+F2526^2/1500),'THAM_SO_MOI'!$C$13)</f>
        <v>0.015</v>
      </c>
      <c r="J2526" s="75">
        <f>'THAM_SO_MOI'!$C$40*('THAM_SO_MOI'!$C$23*(E2526/'THAM_SO_MOI'!$C$22)+'THAM_SO_MOI'!$C$24*(E2526/'THAM_SO_MOI'!$C$22)^2-'THAM_SO_MOI'!$C$25*(E2526/'THAM_SO_MOI'!$C$22)^3)</f>
        <v>73.19453177711175</v>
      </c>
      <c r="K2526" s="75">
        <f>'THAM_SO_MOI'!$C$31*J2526/E2526</f>
        <v>418.23656037658805</v>
      </c>
      <c r="L2526" s="75">
        <f>K2526*'THAM_SO_MOI'!$C$52*'THAM_SO_MOI'!$C$17/'THAM_SO_MOI'!$C$26</f>
        <v>5856.661457941547</v>
      </c>
      <c r="M2526" s="75">
        <f>'THAM_SO_MOI'!$C$15*'THAM_SO_MOI'!$C$16*F2526^2</f>
        <v>330.2057467905609</v>
      </c>
      <c r="N2526" s="75">
        <f>'THAM_SO_MOI'!$C$12*I2526</f>
        <v>1130.112</v>
      </c>
      <c r="O2526" s="75">
        <f>M2526+N2526</f>
        <v>1460.317746790561</v>
      </c>
      <c r="P2526" s="75">
        <f>(MIN(L2526,'THAM_SO_MOI'!$C$41)-O2526)/('THAM_SO_MOI'!$C$11*H2526)</f>
        <v>0.48615923923787413</v>
      </c>
      <c r="Q2526" s="75">
        <f>IF(P2526&gt;0,1/P2526,NA())</f>
        <v>2.05693920693073</v>
      </c>
      <c r="R2526" s="75">
        <f>F2526-F2525</f>
        <v>0.007943393307220603</v>
      </c>
      <c r="S2526" s="75">
        <f>0.5*(Q2525+Q2526)*R2526</f>
        <v>0.016339724076715273</v>
      </c>
      <c r="T2526" s="75">
        <f>0.5*(F2525*Q2525+F2526*Q2526)*R2526</f>
        <v>0.173544845097858</v>
      </c>
      <c r="U2526" s="76">
        <f>U2525+S2526</f>
        <v>14.89344415393374</v>
      </c>
      <c r="V2526" s="76">
        <f>V2525+T2526</f>
        <v>95.55534643520579</v>
      </c>
    </row>
    <row r="2527" spans="1:22" ht="19" customHeight="1">
      <c r="A2527" s="68" t="s">
        <v>376</v>
      </c>
      <c r="B2527" s="74">
        <v>4</v>
      </c>
      <c r="C2527" s="68" t="s">
        <v>363</v>
      </c>
      <c r="D2527" s="68" t="s">
        <v>364</v>
      </c>
      <c r="E2527" s="75">
        <f>60*F2527*'THAM_SO_MOI'!$C$52/(2*PI()*'THAM_SO_MOI'!$C$26)</f>
        <v>1672.7634241252601</v>
      </c>
      <c r="F2527" s="75">
        <f>'HANH_TRINH'!$F$2468+('THAM_SO_MOI'!$F$52-'HANH_TRINH'!$F$2468)*58/'THAM_SO_MOI'!$C$42</f>
        <v>10.63295415111874</v>
      </c>
      <c r="G2527" s="75">
        <f>3.6*F2527</f>
        <v>38.278634944027466</v>
      </c>
      <c r="H2527" s="75">
        <f>'THAM_SO_MOI'!$D$52</f>
        <v>1.1774754878398197</v>
      </c>
      <c r="I2527" s="75">
        <f>IF(F2527&gt;'THAM_SO_MOI'!$C$14,'THAM_SO_MOI'!$C$13*(1+F2527^2/1500),'THAM_SO_MOI'!$C$13)</f>
        <v>0.015</v>
      </c>
      <c r="J2527" s="75">
        <f>'THAM_SO_MOI'!$C$40*('THAM_SO_MOI'!$C$23*(E2527/'THAM_SO_MOI'!$C$22)+'THAM_SO_MOI'!$C$24*(E2527/'THAM_SO_MOI'!$C$22)^2-'THAM_SO_MOI'!$C$25*(E2527/'THAM_SO_MOI'!$C$22)^3)</f>
        <v>73.25975313557153</v>
      </c>
      <c r="K2527" s="75">
        <f>'THAM_SO_MOI'!$C$31*J2527/E2527</f>
        <v>418.29651409802284</v>
      </c>
      <c r="L2527" s="75">
        <f>K2527*'THAM_SO_MOI'!$C$52*'THAM_SO_MOI'!$C$17/'THAM_SO_MOI'!$C$26</f>
        <v>5857.501003507032</v>
      </c>
      <c r="M2527" s="75">
        <f>'THAM_SO_MOI'!$C$15*'THAM_SO_MOI'!$C$16*F2527^2</f>
        <v>330.6996633908953</v>
      </c>
      <c r="N2527" s="75">
        <f>'THAM_SO_MOI'!$C$12*I2527</f>
        <v>1130.112</v>
      </c>
      <c r="O2527" s="75">
        <f>M2527+N2527</f>
        <v>1460.8116633908953</v>
      </c>
      <c r="P2527" s="75">
        <f>(MIN(L2527,'THAM_SO_MOI'!$C$41)-O2527)/('THAM_SO_MOI'!$C$11*H2527)</f>
        <v>0.4861974597970013</v>
      </c>
      <c r="Q2527" s="75">
        <f>IF(P2527&gt;0,1/P2527,NA())</f>
        <v>2.0567775084993722</v>
      </c>
      <c r="R2527" s="75">
        <f>F2527-F2526</f>
        <v>0.007943393307218827</v>
      </c>
      <c r="S2527" s="75">
        <f>0.5*(Q2526+Q2527)*R2527</f>
        <v>0.016338434912570848</v>
      </c>
      <c r="T2527" s="75">
        <f>0.5*(F2526*Q2526+F2527*Q2527)*R2527</f>
        <v>0.17366093546844447</v>
      </c>
      <c r="U2527" s="76">
        <f>U2526+S2527</f>
        <v>14.90978258884631</v>
      </c>
      <c r="V2527" s="76">
        <f>V2526+T2527</f>
        <v>95.72900737067424</v>
      </c>
    </row>
    <row r="2528" spans="1:22" ht="19" customHeight="1">
      <c r="A2528" s="68" t="s">
        <v>376</v>
      </c>
      <c r="B2528" s="74">
        <v>4</v>
      </c>
      <c r="C2528" s="68" t="s">
        <v>363</v>
      </c>
      <c r="D2528" s="68" t="s">
        <v>364</v>
      </c>
      <c r="E2528" s="75">
        <f>60*F2528*'THAM_SO_MOI'!$C$52/(2*PI()*'THAM_SO_MOI'!$C$26)</f>
        <v>1674.0130691062232</v>
      </c>
      <c r="F2528" s="75">
        <f>'HANH_TRINH'!$F$2468+('THAM_SO_MOI'!$F$52-'HANH_TRINH'!$F$2468)*59/'THAM_SO_MOI'!$C$42</f>
        <v>10.64089754442596</v>
      </c>
      <c r="G2528" s="75">
        <f>3.6*F2528</f>
        <v>38.30723115993345</v>
      </c>
      <c r="H2528" s="75">
        <f>'THAM_SO_MOI'!$D$52</f>
        <v>1.1774754878398197</v>
      </c>
      <c r="I2528" s="75">
        <f>IF(F2528&gt;'THAM_SO_MOI'!$C$14,'THAM_SO_MOI'!$C$13*(1+F2528^2/1500),'THAM_SO_MOI'!$C$13)</f>
        <v>0.015</v>
      </c>
      <c r="J2528" s="75">
        <f>'THAM_SO_MOI'!$C$40*('THAM_SO_MOI'!$C$23*(E2528/'THAM_SO_MOI'!$C$22)+'THAM_SO_MOI'!$C$24*(E2528/'THAM_SO_MOI'!$C$22)^2-'THAM_SO_MOI'!$C$25*(E2528/'THAM_SO_MOI'!$C$22)^3)</f>
        <v>73.32496362922963</v>
      </c>
      <c r="K2528" s="75">
        <f>'THAM_SO_MOI'!$C$31*J2528/E2528</f>
        <v>418.35631631973</v>
      </c>
      <c r="L2528" s="75">
        <f>K2528*'THAM_SO_MOI'!$C$52*'THAM_SO_MOI'!$C$17/'THAM_SO_MOI'!$C$26</f>
        <v>5858.338427587451</v>
      </c>
      <c r="M2528" s="75">
        <f>'THAM_SO_MOI'!$C$15*'THAM_SO_MOI'!$C$16*F2528^2</f>
        <v>331.1939491115885</v>
      </c>
      <c r="N2528" s="75">
        <f>'THAM_SO_MOI'!$C$12*I2528</f>
        <v>1130.112</v>
      </c>
      <c r="O2528" s="75">
        <f>M2528+N2528</f>
        <v>1461.3059491115887</v>
      </c>
      <c r="P2528" s="75">
        <f>(MIN(L2528,'THAM_SO_MOI'!$C$41)-O2528)/('THAM_SO_MOI'!$C$11*H2528)</f>
        <v>0.48623540493843675</v>
      </c>
      <c r="Q2528" s="75">
        <f>IF(P2528&gt;0,1/P2528,NA())</f>
        <v>2.0566170004148754</v>
      </c>
      <c r="R2528" s="75">
        <f>F2528-F2527</f>
        <v>0.007943393307218827</v>
      </c>
      <c r="S2528" s="75">
        <f>0.5*(Q2527+Q2528)*R2528</f>
        <v>0.016337155206030053</v>
      </c>
      <c r="T2528" s="75">
        <f>0.5*(F2527*Q2527+F2528*Q2528)*R2528</f>
        <v>0.17377710595817505</v>
      </c>
      <c r="U2528" s="76">
        <f>U2527+S2528</f>
        <v>14.92611974405234</v>
      </c>
      <c r="V2528" s="76">
        <f>V2527+T2528</f>
        <v>95.90278447663242</v>
      </c>
    </row>
    <row r="2529" spans="1:22" ht="19" customHeight="1">
      <c r="A2529" s="68" t="s">
        <v>376</v>
      </c>
      <c r="B2529" s="74">
        <v>4</v>
      </c>
      <c r="C2529" s="68" t="s">
        <v>363</v>
      </c>
      <c r="D2529" s="68" t="s">
        <v>364</v>
      </c>
      <c r="E2529" s="75">
        <f>60*F2529*'THAM_SO_MOI'!$C$52/(2*PI()*'THAM_SO_MOI'!$C$26)</f>
        <v>1675.2627140871869</v>
      </c>
      <c r="F2529" s="75">
        <f>'HANH_TRINH'!$F$2468+('THAM_SO_MOI'!$F$52-'HANH_TRINH'!$F$2468)*60/'THAM_SO_MOI'!$C$42</f>
        <v>10.64884093773318</v>
      </c>
      <c r="G2529" s="75">
        <f>3.6*F2529</f>
        <v>38.33582737583945</v>
      </c>
      <c r="H2529" s="75">
        <f>'THAM_SO_MOI'!$D$52</f>
        <v>1.1774754878398197</v>
      </c>
      <c r="I2529" s="75">
        <f>IF(F2529&gt;'THAM_SO_MOI'!$C$14,'THAM_SO_MOI'!$C$13*(1+F2529^2/1500),'THAM_SO_MOI'!$C$13)</f>
        <v>0.015</v>
      </c>
      <c r="J2529" s="75">
        <f>'THAM_SO_MOI'!$C$40*('THAM_SO_MOI'!$C$23*(E2529/'THAM_SO_MOI'!$C$22)+'THAM_SO_MOI'!$C$24*(E2529/'THAM_SO_MOI'!$C$22)^2-'THAM_SO_MOI'!$C$25*(E2529/'THAM_SO_MOI'!$C$22)^3)</f>
        <v>73.3901631986204</v>
      </c>
      <c r="K2529" s="75">
        <f>'THAM_SO_MOI'!$C$31*J2529/E2529</f>
        <v>418.4159670417098</v>
      </c>
      <c r="L2529" s="75">
        <f>K2529*'THAM_SO_MOI'!$C$52*'THAM_SO_MOI'!$C$17/'THAM_SO_MOI'!$C$26</f>
        <v>5859.1737301828125</v>
      </c>
      <c r="M2529" s="75">
        <f>'THAM_SO_MOI'!$C$15*'THAM_SO_MOI'!$C$16*F2529^2</f>
        <v>331.68860395264056</v>
      </c>
      <c r="N2529" s="75">
        <f>'THAM_SO_MOI'!$C$12*I2529</f>
        <v>1130.112</v>
      </c>
      <c r="O2529" s="75">
        <f>M2529+N2529</f>
        <v>1461.8006039526406</v>
      </c>
      <c r="P2529" s="75">
        <f>(MIN(L2529,'THAM_SO_MOI'!$C$41)-O2529)/('THAM_SO_MOI'!$C$11*H2529)</f>
        <v>0.4862730746621807</v>
      </c>
      <c r="Q2529" s="75">
        <f>IF(P2529&gt;0,1/P2529,NA())</f>
        <v>2.056457682125853</v>
      </c>
      <c r="R2529" s="75">
        <f>F2529-F2528</f>
        <v>0.007943393307220603</v>
      </c>
      <c r="S2529" s="75">
        <f>0.5*(Q2528+Q2529)*R2529</f>
        <v>0.016335884952696268</v>
      </c>
      <c r="T2529" s="75">
        <f>0.5*(F2528*Q2528+F2529*Q2529)*R2529</f>
        <v>0.1738933567456247</v>
      </c>
      <c r="U2529" s="76">
        <f>U2528+S2529</f>
        <v>14.942455629005035</v>
      </c>
      <c r="V2529" s="76">
        <f>V2528+T2529</f>
        <v>96.07667783337804</v>
      </c>
    </row>
    <row r="2530" spans="1:22" ht="19" customHeight="1">
      <c r="A2530" s="68" t="s">
        <v>376</v>
      </c>
      <c r="B2530" s="74">
        <v>4</v>
      </c>
      <c r="C2530" s="68" t="s">
        <v>363</v>
      </c>
      <c r="D2530" s="68" t="s">
        <v>364</v>
      </c>
      <c r="E2530" s="75">
        <f>60*F2530*'THAM_SO_MOI'!$C$52/(2*PI()*'THAM_SO_MOI'!$C$26)</f>
        <v>1676.5123590681499</v>
      </c>
      <c r="F2530" s="75">
        <f>'HANH_TRINH'!$F$2468+('THAM_SO_MOI'!$F$52-'HANH_TRINH'!$F$2468)*61/'THAM_SO_MOI'!$C$42</f>
        <v>10.656784331040399</v>
      </c>
      <c r="G2530" s="75">
        <f>3.6*F2530</f>
        <v>38.364423591745435</v>
      </c>
      <c r="H2530" s="75">
        <f>'THAM_SO_MOI'!$D$52</f>
        <v>1.1774754878398197</v>
      </c>
      <c r="I2530" s="75">
        <f>IF(F2530&gt;'THAM_SO_MOI'!$C$14,'THAM_SO_MOI'!$C$13*(1+F2530^2/1500),'THAM_SO_MOI'!$C$13)</f>
        <v>0.015</v>
      </c>
      <c r="J2530" s="75">
        <f>'THAM_SO_MOI'!$C$40*('THAM_SO_MOI'!$C$23*(E2530/'THAM_SO_MOI'!$C$22)+'THAM_SO_MOI'!$C$24*(E2530/'THAM_SO_MOI'!$C$22)^2-'THAM_SO_MOI'!$C$25*(E2530/'THAM_SO_MOI'!$C$22)^3)</f>
        <v>73.4553517842781</v>
      </c>
      <c r="K2530" s="75">
        <f>'THAM_SO_MOI'!$C$31*J2530/E2530</f>
        <v>418.4754662639621</v>
      </c>
      <c r="L2530" s="75">
        <f>K2530*'THAM_SO_MOI'!$C$52*'THAM_SO_MOI'!$C$17/'THAM_SO_MOI'!$C$26</f>
        <v>5860.006911293113</v>
      </c>
      <c r="M2530" s="75">
        <f>'THAM_SO_MOI'!$C$15*'THAM_SO_MOI'!$C$16*F2530^2</f>
        <v>332.1836279140514</v>
      </c>
      <c r="N2530" s="75">
        <f>'THAM_SO_MOI'!$C$12*I2530</f>
        <v>1130.112</v>
      </c>
      <c r="O2530" s="75">
        <f>M2530+N2530</f>
        <v>1462.2956279140515</v>
      </c>
      <c r="P2530" s="75">
        <f>(MIN(L2530,'THAM_SO_MOI'!$C$41)-O2530)/('THAM_SO_MOI'!$C$11*H2530)</f>
        <v>0.4863104689682333</v>
      </c>
      <c r="Q2530" s="75">
        <f>IF(P2530&gt;0,1/P2530,NA())</f>
        <v>2.056299553085134</v>
      </c>
      <c r="R2530" s="75">
        <f>F2530-F2529</f>
        <v>0.007943393307218827</v>
      </c>
      <c r="S2530" s="75">
        <f>0.5*(Q2529+Q2530)*R2530</f>
        <v>0.01633462414819538</v>
      </c>
      <c r="T2530" s="75">
        <f>0.5*(F2529*Q2529+F2530*Q2530)*R2530</f>
        <v>0.1740096880094686</v>
      </c>
      <c r="U2530" s="76">
        <f>U2529+S2530</f>
        <v>14.95879025315323</v>
      </c>
      <c r="V2530" s="76">
        <f>V2529+T2530</f>
        <v>96.2506875213875</v>
      </c>
    </row>
    <row r="2531" spans="1:22" ht="19" customHeight="1">
      <c r="A2531" s="68" t="s">
        <v>376</v>
      </c>
      <c r="B2531" s="74">
        <v>4</v>
      </c>
      <c r="C2531" s="68" t="s">
        <v>363</v>
      </c>
      <c r="D2531" s="68" t="s">
        <v>364</v>
      </c>
      <c r="E2531" s="75">
        <f>60*F2531*'THAM_SO_MOI'!$C$52/(2*PI()*'THAM_SO_MOI'!$C$26)</f>
        <v>1677.762004049113</v>
      </c>
      <c r="F2531" s="75">
        <f>'HANH_TRINH'!$F$2468+('THAM_SO_MOI'!$F$52-'HANH_TRINH'!$F$2468)*62/'THAM_SO_MOI'!$C$42</f>
        <v>10.664727724347618</v>
      </c>
      <c r="G2531" s="75">
        <f>3.6*F2531</f>
        <v>38.39301980765143</v>
      </c>
      <c r="H2531" s="75">
        <f>'THAM_SO_MOI'!$D$52</f>
        <v>1.1774754878398197</v>
      </c>
      <c r="I2531" s="75">
        <f>IF(F2531&gt;'THAM_SO_MOI'!$C$14,'THAM_SO_MOI'!$C$13*(1+F2531^2/1500),'THAM_SO_MOI'!$C$13)</f>
        <v>0.015</v>
      </c>
      <c r="J2531" s="75">
        <f>'THAM_SO_MOI'!$C$40*('THAM_SO_MOI'!$C$23*(E2531/'THAM_SO_MOI'!$C$22)+'THAM_SO_MOI'!$C$24*(E2531/'THAM_SO_MOI'!$C$22)^2-'THAM_SO_MOI'!$C$25*(E2531/'THAM_SO_MOI'!$C$22)^3)</f>
        <v>73.52052932673708</v>
      </c>
      <c r="K2531" s="75">
        <f>'THAM_SO_MOI'!$C$31*J2531/E2531</f>
        <v>418.53481398648694</v>
      </c>
      <c r="L2531" s="75">
        <f>K2531*'THAM_SO_MOI'!$C$52*'THAM_SO_MOI'!$C$17/'THAM_SO_MOI'!$C$26</f>
        <v>5860.837970918352</v>
      </c>
      <c r="M2531" s="75">
        <f>'THAM_SO_MOI'!$C$15*'THAM_SO_MOI'!$C$16*F2531^2</f>
        <v>332.679020995821</v>
      </c>
      <c r="N2531" s="75">
        <f>'THAM_SO_MOI'!$C$12*I2531</f>
        <v>1130.112</v>
      </c>
      <c r="O2531" s="75">
        <f>M2531+N2531</f>
        <v>1462.791020995821</v>
      </c>
      <c r="P2531" s="75">
        <f>(MIN(L2531,'THAM_SO_MOI'!$C$41)-O2531)/('THAM_SO_MOI'!$C$11*H2531)</f>
        <v>0.4863475878565943</v>
      </c>
      <c r="Q2531" s="75">
        <f>IF(P2531&gt;0,1/P2531,NA())</f>
        <v>2.0561426127497575</v>
      </c>
      <c r="R2531" s="75">
        <f>F2531-F2530</f>
        <v>0.007943393307218827</v>
      </c>
      <c r="S2531" s="75">
        <f>0.5*(Q2530+Q2531)*R2531</f>
        <v>0.016333372788208685</v>
      </c>
      <c r="T2531" s="75">
        <f>0.5*(F2530*Q2530+F2531*Q2531)*R2531</f>
        <v>0.17412609992883343</v>
      </c>
      <c r="U2531" s="76">
        <f>U2530+S2531</f>
        <v>14.975123625941439</v>
      </c>
      <c r="V2531" s="76">
        <f>V2530+T2531</f>
        <v>96.42481362131633</v>
      </c>
    </row>
    <row r="2532" spans="1:22" ht="19" customHeight="1">
      <c r="A2532" s="68" t="s">
        <v>376</v>
      </c>
      <c r="B2532" s="74">
        <v>4</v>
      </c>
      <c r="C2532" s="68" t="s">
        <v>363</v>
      </c>
      <c r="D2532" s="68" t="s">
        <v>364</v>
      </c>
      <c r="E2532" s="75">
        <f>60*F2532*'THAM_SO_MOI'!$C$52/(2*PI()*'THAM_SO_MOI'!$C$26)</f>
        <v>1679.0116490300763</v>
      </c>
      <c r="F2532" s="75">
        <f>'HANH_TRINH'!$F$2468+('THAM_SO_MOI'!$F$52-'HANH_TRINH'!$F$2468)*63/'THAM_SO_MOI'!$C$42</f>
        <v>10.672671117654836</v>
      </c>
      <c r="G2532" s="75">
        <f>3.6*F2532</f>
        <v>38.42161602355741</v>
      </c>
      <c r="H2532" s="75">
        <f>'THAM_SO_MOI'!$D$52</f>
        <v>1.1774754878398197</v>
      </c>
      <c r="I2532" s="75">
        <f>IF(F2532&gt;'THAM_SO_MOI'!$C$14,'THAM_SO_MOI'!$C$13*(1+F2532^2/1500),'THAM_SO_MOI'!$C$13)</f>
        <v>0.015</v>
      </c>
      <c r="J2532" s="75">
        <f>'THAM_SO_MOI'!$C$40*('THAM_SO_MOI'!$C$23*(E2532/'THAM_SO_MOI'!$C$22)+'THAM_SO_MOI'!$C$24*(E2532/'THAM_SO_MOI'!$C$22)^2-'THAM_SO_MOI'!$C$25*(E2532/'THAM_SO_MOI'!$C$22)^3)</f>
        <v>73.58569576653164</v>
      </c>
      <c r="K2532" s="75">
        <f>'THAM_SO_MOI'!$C$31*J2532/E2532</f>
        <v>418.5940102092844</v>
      </c>
      <c r="L2532" s="75">
        <f>K2532*'THAM_SO_MOI'!$C$52*'THAM_SO_MOI'!$C$17/'THAM_SO_MOI'!$C$26</f>
        <v>5861.666909058532</v>
      </c>
      <c r="M2532" s="75">
        <f>'THAM_SO_MOI'!$C$15*'THAM_SO_MOI'!$C$16*F2532^2</f>
        <v>333.17478319794947</v>
      </c>
      <c r="N2532" s="75">
        <f>'THAM_SO_MOI'!$C$12*I2532</f>
        <v>1130.112</v>
      </c>
      <c r="O2532" s="75">
        <f>M2532+N2532</f>
        <v>1463.2867831979495</v>
      </c>
      <c r="P2532" s="75">
        <f>(MIN(L2532,'THAM_SO_MOI'!$C$41)-O2532)/('THAM_SO_MOI'!$C$11*H2532)</f>
        <v>0.48638443132726394</v>
      </c>
      <c r="Q2532" s="75">
        <f>IF(P2532&gt;0,1/P2532,NA())</f>
        <v>2.0559868605809664</v>
      </c>
      <c r="R2532" s="75">
        <f>F2532-F2531</f>
        <v>0.007943393307218827</v>
      </c>
      <c r="S2532" s="75">
        <f>0.5*(Q2531+Q2532)*R2532</f>
        <v>0.016332130868436275</v>
      </c>
      <c r="T2532" s="75">
        <f>0.5*(F2531*Q2531+F2532*Q2532)*R2532</f>
        <v>0.17424259268290934</v>
      </c>
      <c r="U2532" s="76">
        <f>U2531+S2532</f>
        <v>14.991455756809875</v>
      </c>
      <c r="V2532" s="76">
        <f>V2531+T2532</f>
        <v>96.59905621399925</v>
      </c>
    </row>
    <row r="2533" spans="1:22" ht="19" customHeight="1">
      <c r="A2533" s="68" t="s">
        <v>376</v>
      </c>
      <c r="B2533" s="74">
        <v>4</v>
      </c>
      <c r="C2533" s="68" t="s">
        <v>363</v>
      </c>
      <c r="D2533" s="68" t="s">
        <v>364</v>
      </c>
      <c r="E2533" s="75">
        <f>60*F2533*'THAM_SO_MOI'!$C$52/(2*PI()*'THAM_SO_MOI'!$C$26)</f>
        <v>1680.2612940110398</v>
      </c>
      <c r="F2533" s="75">
        <f>'HANH_TRINH'!$F$2468+('THAM_SO_MOI'!$F$52-'HANH_TRINH'!$F$2468)*64/'THAM_SO_MOI'!$C$42</f>
        <v>10.680614510962057</v>
      </c>
      <c r="G2533" s="75">
        <f>3.6*F2533</f>
        <v>38.450212239463404</v>
      </c>
      <c r="H2533" s="75">
        <f>'THAM_SO_MOI'!$D$52</f>
        <v>1.1774754878398197</v>
      </c>
      <c r="I2533" s="75">
        <f>IF(F2533&gt;'THAM_SO_MOI'!$C$14,'THAM_SO_MOI'!$C$13*(1+F2533^2/1500),'THAM_SO_MOI'!$C$13)</f>
        <v>0.015</v>
      </c>
      <c r="J2533" s="75">
        <f>'THAM_SO_MOI'!$C$40*('THAM_SO_MOI'!$C$23*(E2533/'THAM_SO_MOI'!$C$22)+'THAM_SO_MOI'!$C$24*(E2533/'THAM_SO_MOI'!$C$22)^2-'THAM_SO_MOI'!$C$25*(E2533/'THAM_SO_MOI'!$C$22)^3)</f>
        <v>73.65085104419609</v>
      </c>
      <c r="K2533" s="75">
        <f>'THAM_SO_MOI'!$C$31*J2533/E2533</f>
        <v>418.6530549323541</v>
      </c>
      <c r="L2533" s="75">
        <f>K2533*'THAM_SO_MOI'!$C$52*'THAM_SO_MOI'!$C$17/'THAM_SO_MOI'!$C$26</f>
        <v>5862.493725713646</v>
      </c>
      <c r="M2533" s="75">
        <f>'THAM_SO_MOI'!$C$15*'THAM_SO_MOI'!$C$16*F2533^2</f>
        <v>333.67091452043684</v>
      </c>
      <c r="N2533" s="75">
        <f>'THAM_SO_MOI'!$C$12*I2533</f>
        <v>1130.112</v>
      </c>
      <c r="O2533" s="75">
        <f>M2533+N2533</f>
        <v>1463.7829145204369</v>
      </c>
      <c r="P2533" s="75">
        <f>(MIN(L2533,'THAM_SO_MOI'!$C$41)-O2533)/('THAM_SO_MOI'!$C$11*H2533)</f>
        <v>0.4864209993802415</v>
      </c>
      <c r="Q2533" s="75">
        <f>IF(P2533&gt;0,1/P2533,NA())</f>
        <v>2.0558322960442075</v>
      </c>
      <c r="R2533" s="75">
        <f>F2533-F2532</f>
        <v>0.007943393307220603</v>
      </c>
      <c r="S2533" s="75">
        <f>0.5*(Q2532+Q2533)*R2533</f>
        <v>0.016330898384618934</v>
      </c>
      <c r="T2533" s="75">
        <f>0.5*(F2532*Q2532+F2533*Q2533)*R2533</f>
        <v>0.1743591664511843</v>
      </c>
      <c r="U2533" s="76">
        <f>U2532+S2533</f>
        <v>15.007786655194494</v>
      </c>
      <c r="V2533" s="76">
        <f>V2532+T2533</f>
        <v>96.77341538045043</v>
      </c>
    </row>
    <row r="2534" spans="1:22" ht="19" customHeight="1">
      <c r="A2534" s="68" t="s">
        <v>376</v>
      </c>
      <c r="B2534" s="74">
        <v>4</v>
      </c>
      <c r="C2534" s="68" t="s">
        <v>363</v>
      </c>
      <c r="D2534" s="68" t="s">
        <v>364</v>
      </c>
      <c r="E2534" s="75">
        <f>60*F2534*'THAM_SO_MOI'!$C$52/(2*PI()*'THAM_SO_MOI'!$C$26)</f>
        <v>1681.5109389920026</v>
      </c>
      <c r="F2534" s="75">
        <f>'HANH_TRINH'!$F$2468+('THAM_SO_MOI'!$F$52-'HANH_TRINH'!$F$2468)*65/'THAM_SO_MOI'!$C$42</f>
        <v>10.688557904269276</v>
      </c>
      <c r="G2534" s="75">
        <f>3.6*F2534</f>
        <v>38.478808455369396</v>
      </c>
      <c r="H2534" s="75">
        <f>'THAM_SO_MOI'!$D$52</f>
        <v>1.1774754878398197</v>
      </c>
      <c r="I2534" s="75">
        <f>IF(F2534&gt;'THAM_SO_MOI'!$C$14,'THAM_SO_MOI'!$C$13*(1+F2534^2/1500),'THAM_SO_MOI'!$C$13)</f>
        <v>0.015</v>
      </c>
      <c r="J2534" s="75">
        <f>'THAM_SO_MOI'!$C$40*('THAM_SO_MOI'!$C$23*(E2534/'THAM_SO_MOI'!$C$22)+'THAM_SO_MOI'!$C$24*(E2534/'THAM_SO_MOI'!$C$22)^2-'THAM_SO_MOI'!$C$25*(E2534/'THAM_SO_MOI'!$C$22)^3)</f>
        <v>73.71599510026473</v>
      </c>
      <c r="K2534" s="75">
        <f>'THAM_SO_MOI'!$C$31*J2534/E2534</f>
        <v>418.7119481556966</v>
      </c>
      <c r="L2534" s="75">
        <f>K2534*'THAM_SO_MOI'!$C$52*'THAM_SO_MOI'!$C$17/'THAM_SO_MOI'!$C$26</f>
        <v>5863.318420883702</v>
      </c>
      <c r="M2534" s="75">
        <f>'THAM_SO_MOI'!$C$15*'THAM_SO_MOI'!$C$16*F2534^2</f>
        <v>334.16741496328285</v>
      </c>
      <c r="N2534" s="75">
        <f>'THAM_SO_MOI'!$C$12*I2534</f>
        <v>1130.112</v>
      </c>
      <c r="O2534" s="75">
        <f>M2534+N2534</f>
        <v>1464.279414963283</v>
      </c>
      <c r="P2534" s="75">
        <f>(MIN(L2534,'THAM_SO_MOI'!$C$41)-O2534)/('THAM_SO_MOI'!$C$11*H2534)</f>
        <v>0.48645729201552784</v>
      </c>
      <c r="Q2534" s="75">
        <f>IF(P2534&gt;0,1/P2534,NA())</f>
        <v>2.0556789186091176</v>
      </c>
      <c r="R2534" s="75">
        <f>F2534-F2533</f>
        <v>0.007943393307218827</v>
      </c>
      <c r="S2534" s="75">
        <f>0.5*(Q2533+Q2534)*R2534</f>
        <v>0.016329675332516183</v>
      </c>
      <c r="T2534" s="75">
        <f>0.5*(F2533*Q2533+F2534*Q2534)*R2534</f>
        <v>0.17447582141321114</v>
      </c>
      <c r="U2534" s="76">
        <f>U2533+S2534</f>
        <v>15.02411633052701</v>
      </c>
      <c r="V2534" s="76">
        <f>V2533+T2534</f>
        <v>96.94789120186364</v>
      </c>
    </row>
    <row r="2535" spans="1:22" ht="19" customHeight="1">
      <c r="A2535" s="68" t="s">
        <v>376</v>
      </c>
      <c r="B2535" s="74">
        <v>4</v>
      </c>
      <c r="C2535" s="68" t="s">
        <v>363</v>
      </c>
      <c r="D2535" s="68" t="s">
        <v>364</v>
      </c>
      <c r="E2535" s="75">
        <f>60*F2535*'THAM_SO_MOI'!$C$52/(2*PI()*'THAM_SO_MOI'!$C$26)</f>
        <v>1682.7605839729658</v>
      </c>
      <c r="F2535" s="75">
        <f>'HANH_TRINH'!$F$2468+('THAM_SO_MOI'!$F$52-'HANH_TRINH'!$F$2468)*66/'THAM_SO_MOI'!$C$42</f>
        <v>10.696501297576495</v>
      </c>
      <c r="G2535" s="75">
        <f>3.6*F2535</f>
        <v>38.50740467127538</v>
      </c>
      <c r="H2535" s="75">
        <f>'THAM_SO_MOI'!$D$52</f>
        <v>1.1774754878398197</v>
      </c>
      <c r="I2535" s="75">
        <f>IF(F2535&gt;'THAM_SO_MOI'!$C$14,'THAM_SO_MOI'!$C$13*(1+F2535^2/1500),'THAM_SO_MOI'!$C$13)</f>
        <v>0.015</v>
      </c>
      <c r="J2535" s="75">
        <f>'THAM_SO_MOI'!$C$40*('THAM_SO_MOI'!$C$23*(E2535/'THAM_SO_MOI'!$C$22)+'THAM_SO_MOI'!$C$24*(E2535/'THAM_SO_MOI'!$C$22)^2-'THAM_SO_MOI'!$C$25*(E2535/'THAM_SO_MOI'!$C$22)^3)</f>
        <v>73.78112787527193</v>
      </c>
      <c r="K2535" s="75">
        <f>'THAM_SO_MOI'!$C$31*J2535/E2535</f>
        <v>418.77068987931153</v>
      </c>
      <c r="L2535" s="75">
        <f>K2535*'THAM_SO_MOI'!$C$52*'THAM_SO_MOI'!$C$17/'THAM_SO_MOI'!$C$26</f>
        <v>5864.140994568697</v>
      </c>
      <c r="M2535" s="75">
        <f>'THAM_SO_MOI'!$C$15*'THAM_SO_MOI'!$C$16*F2535^2</f>
        <v>334.66428452648773</v>
      </c>
      <c r="N2535" s="75">
        <f>'THAM_SO_MOI'!$C$12*I2535</f>
        <v>1130.112</v>
      </c>
      <c r="O2535" s="75">
        <f>M2535+N2535</f>
        <v>1464.7762845264879</v>
      </c>
      <c r="P2535" s="75">
        <f>(MIN(L2535,'THAM_SO_MOI'!$C$41)-O2535)/('THAM_SO_MOI'!$C$11*H2535)</f>
        <v>0.4864933092331227</v>
      </c>
      <c r="Q2535" s="75">
        <f>IF(P2535&gt;0,1/P2535,NA())</f>
        <v>2.055526727749528</v>
      </c>
      <c r="R2535" s="75">
        <f>F2535-F2534</f>
        <v>0.007943393307218827</v>
      </c>
      <c r="S2535" s="75">
        <f>0.5*(Q2534+Q2535)*R2535</f>
        <v>0.01632846170794276</v>
      </c>
      <c r="T2535" s="75">
        <f>0.5*(F2534*Q2534+F2535*Q2535)*R2535</f>
        <v>0.1745925577489982</v>
      </c>
      <c r="U2535" s="76">
        <f>U2534+S2535</f>
        <v>15.040444792234952</v>
      </c>
      <c r="V2535" s="76">
        <f>V2534+T2535</f>
        <v>97.12248375961263</v>
      </c>
    </row>
    <row r="2536" spans="1:22" ht="19" customHeight="1">
      <c r="A2536" s="68" t="s">
        <v>376</v>
      </c>
      <c r="B2536" s="74">
        <v>4</v>
      </c>
      <c r="C2536" s="68" t="s">
        <v>363</v>
      </c>
      <c r="D2536" s="68" t="s">
        <v>364</v>
      </c>
      <c r="E2536" s="75">
        <f>60*F2536*'THAM_SO_MOI'!$C$52/(2*PI()*'THAM_SO_MOI'!$C$26)</f>
        <v>1684.0102289539293</v>
      </c>
      <c r="F2536" s="75">
        <f>'HANH_TRINH'!$F$2468+('THAM_SO_MOI'!$F$52-'HANH_TRINH'!$F$2468)*67/'THAM_SO_MOI'!$C$42</f>
        <v>10.704444690883715</v>
      </c>
      <c r="G2536" s="75">
        <f>3.6*F2536</f>
        <v>38.53600088718137</v>
      </c>
      <c r="H2536" s="75">
        <f>'THAM_SO_MOI'!$D$52</f>
        <v>1.1774754878398197</v>
      </c>
      <c r="I2536" s="75">
        <f>IF(F2536&gt;'THAM_SO_MOI'!$C$14,'THAM_SO_MOI'!$C$13*(1+F2536^2/1500),'THAM_SO_MOI'!$C$13)</f>
        <v>0.015</v>
      </c>
      <c r="J2536" s="75">
        <f>'THAM_SO_MOI'!$C$40*('THAM_SO_MOI'!$C$23*(E2536/'THAM_SO_MOI'!$C$22)+'THAM_SO_MOI'!$C$24*(E2536/'THAM_SO_MOI'!$C$22)^2-'THAM_SO_MOI'!$C$25*(E2536/'THAM_SO_MOI'!$C$22)^3)</f>
        <v>73.84624930975194</v>
      </c>
      <c r="K2536" s="75">
        <f>'THAM_SO_MOI'!$C$31*J2536/E2536</f>
        <v>418.8292801031988</v>
      </c>
      <c r="L2536" s="75">
        <f>K2536*'THAM_SO_MOI'!$C$52*'THAM_SO_MOI'!$C$17/'THAM_SO_MOI'!$C$26</f>
        <v>5864.96144676863</v>
      </c>
      <c r="M2536" s="75">
        <f>'THAM_SO_MOI'!$C$15*'THAM_SO_MOI'!$C$16*F2536^2</f>
        <v>335.16152321005154</v>
      </c>
      <c r="N2536" s="75">
        <f>'THAM_SO_MOI'!$C$12*I2536</f>
        <v>1130.112</v>
      </c>
      <c r="O2536" s="75">
        <f>M2536+N2536</f>
        <v>1465.2735232100517</v>
      </c>
      <c r="P2536" s="75">
        <f>(MIN(L2536,'THAM_SO_MOI'!$C$41)-O2536)/('THAM_SO_MOI'!$C$11*H2536)</f>
        <v>0.4865290510330258</v>
      </c>
      <c r="Q2536" s="75">
        <f>IF(P2536&gt;0,1/P2536,NA())</f>
        <v>2.055375722943458</v>
      </c>
      <c r="R2536" s="75">
        <f>F2536-F2535</f>
        <v>0.007943393307220603</v>
      </c>
      <c r="S2536" s="75">
        <f>0.5*(Q2535+Q2536)*R2536</f>
        <v>0.01632725750673572</v>
      </c>
      <c r="T2536" s="75">
        <f>0.5*(F2535*Q2535+F2536*Q2536)*R2536</f>
        <v>0.17470937563866</v>
      </c>
      <c r="U2536" s="76">
        <f>U2535+S2536</f>
        <v>15.056772049741689</v>
      </c>
      <c r="V2536" s="76">
        <f>V2535+T2536</f>
        <v>97.29719313525129</v>
      </c>
    </row>
    <row r="2537" spans="1:22" ht="19" customHeight="1">
      <c r="A2537" s="68" t="s">
        <v>376</v>
      </c>
      <c r="B2537" s="74">
        <v>4</v>
      </c>
      <c r="C2537" s="68" t="s">
        <v>363</v>
      </c>
      <c r="D2537" s="68" t="s">
        <v>364</v>
      </c>
      <c r="E2537" s="75">
        <f>60*F2537*'THAM_SO_MOI'!$C$52/(2*PI()*'THAM_SO_MOI'!$C$26)</f>
        <v>1685.2598739348925</v>
      </c>
      <c r="F2537" s="75">
        <f>'HANH_TRINH'!$F$2468+('THAM_SO_MOI'!$F$52-'HANH_TRINH'!$F$2468)*68/'THAM_SO_MOI'!$C$42</f>
        <v>10.712388084190934</v>
      </c>
      <c r="G2537" s="75">
        <f>3.6*F2537</f>
        <v>38.564597103087365</v>
      </c>
      <c r="H2537" s="75">
        <f>'THAM_SO_MOI'!$D$52</f>
        <v>1.1774754878398197</v>
      </c>
      <c r="I2537" s="75">
        <f>IF(F2537&gt;'THAM_SO_MOI'!$C$14,'THAM_SO_MOI'!$C$13*(1+F2537^2/1500),'THAM_SO_MOI'!$C$13)</f>
        <v>0.015</v>
      </c>
      <c r="J2537" s="75">
        <f>'THAM_SO_MOI'!$C$40*('THAM_SO_MOI'!$C$23*(E2537/'THAM_SO_MOI'!$C$22)+'THAM_SO_MOI'!$C$24*(E2537/'THAM_SO_MOI'!$C$22)^2-'THAM_SO_MOI'!$C$25*(E2537/'THAM_SO_MOI'!$C$22)^3)</f>
        <v>73.91135934423916</v>
      </c>
      <c r="K2537" s="75">
        <f>'THAM_SO_MOI'!$C$31*J2537/E2537</f>
        <v>418.88771882735904</v>
      </c>
      <c r="L2537" s="75">
        <f>K2537*'THAM_SO_MOI'!$C$52*'THAM_SO_MOI'!$C$17/'THAM_SO_MOI'!$C$26</f>
        <v>5865.779777483506</v>
      </c>
      <c r="M2537" s="75">
        <f>'THAM_SO_MOI'!$C$15*'THAM_SO_MOI'!$C$16*F2537^2</f>
        <v>335.65913101397405</v>
      </c>
      <c r="N2537" s="75">
        <f>'THAM_SO_MOI'!$C$12*I2537</f>
        <v>1130.112</v>
      </c>
      <c r="O2537" s="75">
        <f>M2537+N2537</f>
        <v>1465.7711310139741</v>
      </c>
      <c r="P2537" s="75">
        <f>(MIN(L2537,'THAM_SO_MOI'!$C$41)-O2537)/('THAM_SO_MOI'!$C$11*H2537)</f>
        <v>0.48656451741523793</v>
      </c>
      <c r="Q2537" s="75">
        <f>IF(P2537&gt;0,1/P2537,NA())</f>
        <v>2.0552259036731035</v>
      </c>
      <c r="R2537" s="75">
        <f>F2537-F2536</f>
        <v>0.007943393307218827</v>
      </c>
      <c r="S2537" s="75">
        <f>0.5*(Q2536+Q2537)*R2537</f>
        <v>0.01632606272475441</v>
      </c>
      <c r="T2537" s="75">
        <f>0.5*(F2536*Q2536+F2537*Q2537)*R2537</f>
        <v>0.17482627526241712</v>
      </c>
      <c r="U2537" s="76">
        <f>U2536+S2537</f>
        <v>15.073098112466443</v>
      </c>
      <c r="V2537" s="76">
        <f>V2536+T2537</f>
        <v>97.47201941051371</v>
      </c>
    </row>
    <row r="2538" spans="1:22" ht="19" customHeight="1">
      <c r="A2538" s="68" t="s">
        <v>376</v>
      </c>
      <c r="B2538" s="74">
        <v>4</v>
      </c>
      <c r="C2538" s="68" t="s">
        <v>363</v>
      </c>
      <c r="D2538" s="68" t="s">
        <v>364</v>
      </c>
      <c r="E2538" s="75">
        <f>60*F2538*'THAM_SO_MOI'!$C$52/(2*PI()*'THAM_SO_MOI'!$C$26)</f>
        <v>1686.5095189158556</v>
      </c>
      <c r="F2538" s="75">
        <f>'HANH_TRINH'!$F$2468+('THAM_SO_MOI'!$F$52-'HANH_TRINH'!$F$2468)*69/'THAM_SO_MOI'!$C$42</f>
        <v>10.720331477498153</v>
      </c>
      <c r="G2538" s="75">
        <f>3.6*F2538</f>
        <v>38.59319331899335</v>
      </c>
      <c r="H2538" s="75">
        <f>'THAM_SO_MOI'!$D$52</f>
        <v>1.1774754878398197</v>
      </c>
      <c r="I2538" s="75">
        <f>IF(F2538&gt;'THAM_SO_MOI'!$C$14,'THAM_SO_MOI'!$C$13*(1+F2538^2/1500),'THAM_SO_MOI'!$C$13)</f>
        <v>0.015</v>
      </c>
      <c r="J2538" s="75">
        <f>'THAM_SO_MOI'!$C$40*('THAM_SO_MOI'!$C$23*(E2538/'THAM_SO_MOI'!$C$22)+'THAM_SO_MOI'!$C$24*(E2538/'THAM_SO_MOI'!$C$22)^2-'THAM_SO_MOI'!$C$25*(E2538/'THAM_SO_MOI'!$C$22)^3)</f>
        <v>73.97645791926779</v>
      </c>
      <c r="K2538" s="75">
        <f>'THAM_SO_MOI'!$C$31*J2538/E2538</f>
        <v>418.9460060517915</v>
      </c>
      <c r="L2538" s="75">
        <f>K2538*'THAM_SO_MOI'!$C$52*'THAM_SO_MOI'!$C$17/'THAM_SO_MOI'!$C$26</f>
        <v>5866.595986713318</v>
      </c>
      <c r="M2538" s="75">
        <f>'THAM_SO_MOI'!$C$15*'THAM_SO_MOI'!$C$16*F2538^2</f>
        <v>336.15710793825536</v>
      </c>
      <c r="N2538" s="75">
        <f>'THAM_SO_MOI'!$C$12*I2538</f>
        <v>1130.112</v>
      </c>
      <c r="O2538" s="75">
        <f>M2538+N2538</f>
        <v>1466.2691079382555</v>
      </c>
      <c r="P2538" s="75">
        <f>(MIN(L2538,'THAM_SO_MOI'!$C$41)-O2538)/('THAM_SO_MOI'!$C$11*H2538)</f>
        <v>0.486599708379758</v>
      </c>
      <c r="Q2538" s="75">
        <f>IF(P2538&gt;0,1/P2538,NA())</f>
        <v>2.055077269424847</v>
      </c>
      <c r="R2538" s="75">
        <f>F2538-F2537</f>
        <v>0.007943393307218827</v>
      </c>
      <c r="S2538" s="75">
        <f>0.5*(Q2537+Q2538)*R2538</f>
        <v>0.016324877357913284</v>
      </c>
      <c r="T2538" s="75">
        <f>0.5*(F2537*Q2537+F2538*Q2538)*R2538</f>
        <v>0.17494325680094938</v>
      </c>
      <c r="U2538" s="76">
        <f>U2537+S2538</f>
        <v>15.089422989824357</v>
      </c>
      <c r="V2538" s="76">
        <f>V2537+T2538</f>
        <v>97.64696266731465</v>
      </c>
    </row>
    <row r="2539" spans="1:22" ht="19" customHeight="1">
      <c r="A2539" s="68" t="s">
        <v>376</v>
      </c>
      <c r="B2539" s="74">
        <v>4</v>
      </c>
      <c r="C2539" s="68" t="s">
        <v>363</v>
      </c>
      <c r="D2539" s="68" t="s">
        <v>364</v>
      </c>
      <c r="E2539" s="75">
        <f>60*F2539*'THAM_SO_MOI'!$C$52/(2*PI()*'THAM_SO_MOI'!$C$26)</f>
        <v>1687.7591638968192</v>
      </c>
      <c r="F2539" s="75">
        <f>'HANH_TRINH'!$F$2468+('THAM_SO_MOI'!$F$52-'HANH_TRINH'!$F$2468)*70/'THAM_SO_MOI'!$C$42</f>
        <v>10.728274870805373</v>
      </c>
      <c r="G2539" s="75">
        <f>3.6*F2539</f>
        <v>38.62178953489934</v>
      </c>
      <c r="H2539" s="75">
        <f>'THAM_SO_MOI'!$D$52</f>
        <v>1.1774754878398197</v>
      </c>
      <c r="I2539" s="75">
        <f>IF(F2539&gt;'THAM_SO_MOI'!$C$14,'THAM_SO_MOI'!$C$13*(1+F2539^2/1500),'THAM_SO_MOI'!$C$13)</f>
        <v>0.015</v>
      </c>
      <c r="J2539" s="75">
        <f>'THAM_SO_MOI'!$C$40*('THAM_SO_MOI'!$C$23*(E2539/'THAM_SO_MOI'!$C$22)+'THAM_SO_MOI'!$C$24*(E2539/'THAM_SO_MOI'!$C$22)^2-'THAM_SO_MOI'!$C$25*(E2539/'THAM_SO_MOI'!$C$22)^3)</f>
        <v>74.0415449753722</v>
      </c>
      <c r="K2539" s="75">
        <f>'THAM_SO_MOI'!$C$31*J2539/E2539</f>
        <v>419.00414177649645</v>
      </c>
      <c r="L2539" s="75">
        <f>K2539*'THAM_SO_MOI'!$C$52*'THAM_SO_MOI'!$C$17/'THAM_SO_MOI'!$C$26</f>
        <v>5867.410074458067</v>
      </c>
      <c r="M2539" s="75">
        <f>'THAM_SO_MOI'!$C$15*'THAM_SO_MOI'!$C$16*F2539^2</f>
        <v>336.65545398289566</v>
      </c>
      <c r="N2539" s="75">
        <f>'THAM_SO_MOI'!$C$12*I2539</f>
        <v>1130.112</v>
      </c>
      <c r="O2539" s="75">
        <f>M2539+N2539</f>
        <v>1466.7674539828959</v>
      </c>
      <c r="P2539" s="75">
        <f>(MIN(L2539,'THAM_SO_MOI'!$C$41)-O2539)/('THAM_SO_MOI'!$C$11*H2539)</f>
        <v>0.4866346239265865</v>
      </c>
      <c r="Q2539" s="75">
        <f>IF(P2539&gt;0,1/P2539,NA())</f>
        <v>2.054929819689237</v>
      </c>
      <c r="R2539" s="75">
        <f>F2539-F2538</f>
        <v>0.007943393307220603</v>
      </c>
      <c r="S2539" s="75">
        <f>0.5*(Q2538+Q2539)*R2539</f>
        <v>0.016323701402149025</v>
      </c>
      <c r="T2539" s="75">
        <f>0.5*(F2538*Q2538+F2539*Q2539)*R2539</f>
        <v>0.17506032043504505</v>
      </c>
      <c r="U2539" s="76">
        <f>U2538+S2539</f>
        <v>15.105746691226505</v>
      </c>
      <c r="V2539" s="76">
        <f>V2538+T2539</f>
        <v>97.8220229877497</v>
      </c>
    </row>
    <row r="2540" spans="1:22" ht="19" customHeight="1">
      <c r="A2540" s="68" t="s">
        <v>376</v>
      </c>
      <c r="B2540" s="74">
        <v>4</v>
      </c>
      <c r="C2540" s="68" t="s">
        <v>363</v>
      </c>
      <c r="D2540" s="68" t="s">
        <v>364</v>
      </c>
      <c r="E2540" s="75">
        <f>60*F2540*'THAM_SO_MOI'!$C$52/(2*PI()*'THAM_SO_MOI'!$C$26)</f>
        <v>1689.0088088777823</v>
      </c>
      <c r="F2540" s="75">
        <f>'HANH_TRINH'!$F$2468+('THAM_SO_MOI'!$F$52-'HANH_TRINH'!$F$2468)*71/'THAM_SO_MOI'!$C$42</f>
        <v>10.736218264112592</v>
      </c>
      <c r="G2540" s="75">
        <f>3.6*F2540</f>
        <v>38.650385750805334</v>
      </c>
      <c r="H2540" s="75">
        <f>'THAM_SO_MOI'!$D$52</f>
        <v>1.1774754878398197</v>
      </c>
      <c r="I2540" s="75">
        <f>IF(F2540&gt;'THAM_SO_MOI'!$C$14,'THAM_SO_MOI'!$C$13*(1+F2540^2/1500),'THAM_SO_MOI'!$C$13)</f>
        <v>0.015</v>
      </c>
      <c r="J2540" s="75">
        <f>'THAM_SO_MOI'!$C$40*('THAM_SO_MOI'!$C$23*(E2540/'THAM_SO_MOI'!$C$22)+'THAM_SO_MOI'!$C$24*(E2540/'THAM_SO_MOI'!$C$22)^2-'THAM_SO_MOI'!$C$25*(E2540/'THAM_SO_MOI'!$C$22)^3)</f>
        <v>74.10662045308672</v>
      </c>
      <c r="K2540" s="75">
        <f>'THAM_SO_MOI'!$C$31*J2540/E2540</f>
        <v>419.0621260014741</v>
      </c>
      <c r="L2540" s="75">
        <f>K2540*'THAM_SO_MOI'!$C$52*'THAM_SO_MOI'!$C$17/'THAM_SO_MOI'!$C$26</f>
        <v>5868.222040717759</v>
      </c>
      <c r="M2540" s="75">
        <f>'THAM_SO_MOI'!$C$15*'THAM_SO_MOI'!$C$16*F2540^2</f>
        <v>337.15416914789455</v>
      </c>
      <c r="N2540" s="75">
        <f>'THAM_SO_MOI'!$C$12*I2540</f>
        <v>1130.112</v>
      </c>
      <c r="O2540" s="75">
        <f>M2540+N2540</f>
        <v>1467.2661691478947</v>
      </c>
      <c r="P2540" s="75">
        <f>(MIN(L2540,'THAM_SO_MOI'!$C$41)-O2540)/('THAM_SO_MOI'!$C$11*H2540)</f>
        <v>0.4866692640557239</v>
      </c>
      <c r="Q2540" s="75">
        <f>IF(P2540&gt;0,1/P2540,NA())</f>
        <v>2.0547835539609904</v>
      </c>
      <c r="R2540" s="75">
        <f>F2540-F2539</f>
        <v>0.007943393307218827</v>
      </c>
      <c r="S2540" s="75">
        <f>0.5*(Q2539+Q2540)*R2540</f>
        <v>0.016322534853420462</v>
      </c>
      <c r="T2540" s="75">
        <f>0.5*(F2539*Q2539+F2540*Q2540)*R2540</f>
        <v>0.175177466345601</v>
      </c>
      <c r="U2540" s="76">
        <f>U2539+S2540</f>
        <v>15.122069226079926</v>
      </c>
      <c r="V2540" s="76">
        <f>V2539+T2540</f>
        <v>97.9972004540953</v>
      </c>
    </row>
    <row r="2541" spans="1:22" ht="19" customHeight="1">
      <c r="A2541" s="68" t="s">
        <v>376</v>
      </c>
      <c r="B2541" s="74">
        <v>4</v>
      </c>
      <c r="C2541" s="68" t="s">
        <v>363</v>
      </c>
      <c r="D2541" s="68" t="s">
        <v>364</v>
      </c>
      <c r="E2541" s="75">
        <f>60*F2541*'THAM_SO_MOI'!$C$52/(2*PI()*'THAM_SO_MOI'!$C$26)</f>
        <v>1690.2584538587455</v>
      </c>
      <c r="F2541" s="75">
        <f>'HANH_TRINH'!$F$2468+('THAM_SO_MOI'!$F$52-'HANH_TRINH'!$F$2468)*72/'THAM_SO_MOI'!$C$42</f>
        <v>10.744161657419811</v>
      </c>
      <c r="G2541" s="75">
        <f>3.6*F2541</f>
        <v>38.67898196671132</v>
      </c>
      <c r="H2541" s="75">
        <f>'THAM_SO_MOI'!$D$52</f>
        <v>1.1774754878398197</v>
      </c>
      <c r="I2541" s="75">
        <f>IF(F2541&gt;'THAM_SO_MOI'!$C$14,'THAM_SO_MOI'!$C$13*(1+F2541^2/1500),'THAM_SO_MOI'!$C$13)</f>
        <v>0.015</v>
      </c>
      <c r="J2541" s="75">
        <f>'THAM_SO_MOI'!$C$40*('THAM_SO_MOI'!$C$23*(E2541/'THAM_SO_MOI'!$C$22)+'THAM_SO_MOI'!$C$24*(E2541/'THAM_SO_MOI'!$C$22)^2-'THAM_SO_MOI'!$C$25*(E2541/'THAM_SO_MOI'!$C$22)^3)</f>
        <v>74.17168429294561</v>
      </c>
      <c r="K2541" s="75">
        <f>'THAM_SO_MOI'!$C$31*J2541/E2541</f>
        <v>419.11995872672406</v>
      </c>
      <c r="L2541" s="75">
        <f>K2541*'THAM_SO_MOI'!$C$52*'THAM_SO_MOI'!$C$17/'THAM_SO_MOI'!$C$26</f>
        <v>5869.031885492387</v>
      </c>
      <c r="M2541" s="75">
        <f>'THAM_SO_MOI'!$C$15*'THAM_SO_MOI'!$C$16*F2541^2</f>
        <v>337.65325343325236</v>
      </c>
      <c r="N2541" s="75">
        <f>'THAM_SO_MOI'!$C$12*I2541</f>
        <v>1130.112</v>
      </c>
      <c r="O2541" s="75">
        <f>M2541+N2541</f>
        <v>1467.7652534332524</v>
      </c>
      <c r="P2541" s="75">
        <f>(MIN(L2541,'THAM_SO_MOI'!$C$41)-O2541)/('THAM_SO_MOI'!$C$11*H2541)</f>
        <v>0.48670362876716927</v>
      </c>
      <c r="Q2541" s="75">
        <f>IF(P2541&gt;0,1/P2541,NA())</f>
        <v>2.054638471738995</v>
      </c>
      <c r="R2541" s="75">
        <f>F2541-F2540</f>
        <v>0.007943393307218827</v>
      </c>
      <c r="S2541" s="75">
        <f>0.5*(Q2540+Q2541)*R2541</f>
        <v>0.01632137770774145</v>
      </c>
      <c r="T2541" s="75">
        <f>0.5*(F2540*Q2540+F2541*Q2541)*R2541</f>
        <v>0.1752946947139767</v>
      </c>
      <c r="U2541" s="76">
        <f>U2540+S2541</f>
        <v>15.138390603787668</v>
      </c>
      <c r="V2541" s="76">
        <f>V2540+T2541</f>
        <v>98.17249514880929</v>
      </c>
    </row>
    <row r="2542" spans="1:22" ht="19" customHeight="1">
      <c r="A2542" s="68" t="s">
        <v>376</v>
      </c>
      <c r="B2542" s="74">
        <v>4</v>
      </c>
      <c r="C2542" s="68" t="s">
        <v>363</v>
      </c>
      <c r="D2542" s="68" t="s">
        <v>364</v>
      </c>
      <c r="E2542" s="75">
        <f>60*F2542*'THAM_SO_MOI'!$C$52/(2*PI()*'THAM_SO_MOI'!$C$26)</f>
        <v>1691.508098839709</v>
      </c>
      <c r="F2542" s="75">
        <f>'HANH_TRINH'!$F$2468+('THAM_SO_MOI'!$F$52-'HANH_TRINH'!$F$2468)*73/'THAM_SO_MOI'!$C$42</f>
        <v>10.752105050727032</v>
      </c>
      <c r="G2542" s="75">
        <f>3.6*F2542</f>
        <v>38.70757818261732</v>
      </c>
      <c r="H2542" s="75">
        <f>'THAM_SO_MOI'!$D$52</f>
        <v>1.1774754878398197</v>
      </c>
      <c r="I2542" s="75">
        <f>IF(F2542&gt;'THAM_SO_MOI'!$C$14,'THAM_SO_MOI'!$C$13*(1+F2542^2/1500),'THAM_SO_MOI'!$C$13)</f>
        <v>0.015</v>
      </c>
      <c r="J2542" s="75">
        <f>'THAM_SO_MOI'!$C$40*('THAM_SO_MOI'!$C$23*(E2542/'THAM_SO_MOI'!$C$22)+'THAM_SO_MOI'!$C$24*(E2542/'THAM_SO_MOI'!$C$22)^2-'THAM_SO_MOI'!$C$25*(E2542/'THAM_SO_MOI'!$C$22)^3)</f>
        <v>74.23673643548327</v>
      </c>
      <c r="K2542" s="75">
        <f>'THAM_SO_MOI'!$C$31*J2542/E2542</f>
        <v>419.1776399522467</v>
      </c>
      <c r="L2542" s="75">
        <f>K2542*'THAM_SO_MOI'!$C$52*'THAM_SO_MOI'!$C$17/'THAM_SO_MOI'!$C$26</f>
        <v>5869.839608781956</v>
      </c>
      <c r="M2542" s="75">
        <f>'THAM_SO_MOI'!$C$15*'THAM_SO_MOI'!$C$16*F2542^2</f>
        <v>338.15270683896904</v>
      </c>
      <c r="N2542" s="75">
        <f>'THAM_SO_MOI'!$C$12*I2542</f>
        <v>1130.112</v>
      </c>
      <c r="O2542" s="75">
        <f>M2542+N2542</f>
        <v>1468.2647068389692</v>
      </c>
      <c r="P2542" s="75">
        <f>(MIN(L2542,'THAM_SO_MOI'!$C$41)-O2542)/('THAM_SO_MOI'!$C$11*H2542)</f>
        <v>0.4867377180609235</v>
      </c>
      <c r="Q2542" s="75">
        <f>IF(P2542&gt;0,1/P2542,NA())</f>
        <v>2.054494572526292</v>
      </c>
      <c r="R2542" s="75">
        <f>F2542-F2541</f>
        <v>0.007943393307220603</v>
      </c>
      <c r="S2542" s="75">
        <f>0.5*(Q2541+Q2542)*R2542</f>
        <v>0.01632022996114795</v>
      </c>
      <c r="T2542" s="75">
        <f>0.5*(F2541*Q2541+F2542*Q2542)*R2542</f>
        <v>0.17541200572164264</v>
      </c>
      <c r="U2542" s="76">
        <f>U2541+S2542</f>
        <v>15.154710833748815</v>
      </c>
      <c r="V2542" s="76">
        <f>V2541+T2542</f>
        <v>98.34790715453093</v>
      </c>
    </row>
    <row r="2543" spans="1:22" ht="19" customHeight="1">
      <c r="A2543" s="68" t="s">
        <v>376</v>
      </c>
      <c r="B2543" s="74">
        <v>4</v>
      </c>
      <c r="C2543" s="68" t="s">
        <v>363</v>
      </c>
      <c r="D2543" s="68" t="s">
        <v>364</v>
      </c>
      <c r="E2543" s="75">
        <f>60*F2543*'THAM_SO_MOI'!$C$52/(2*PI()*'THAM_SO_MOI'!$C$26)</f>
        <v>1692.7577438206722</v>
      </c>
      <c r="F2543" s="75">
        <f>'HANH_TRINH'!$F$2468+('THAM_SO_MOI'!$F$52-'HANH_TRINH'!$F$2468)*74/'THAM_SO_MOI'!$C$42</f>
        <v>10.76004844403425</v>
      </c>
      <c r="G2543" s="75">
        <f>3.6*F2543</f>
        <v>38.7361743985233</v>
      </c>
      <c r="H2543" s="75">
        <f>'THAM_SO_MOI'!$D$52</f>
        <v>1.1774754878398197</v>
      </c>
      <c r="I2543" s="75">
        <f>IF(F2543&gt;'THAM_SO_MOI'!$C$14,'THAM_SO_MOI'!$C$13*(1+F2543^2/1500),'THAM_SO_MOI'!$C$13)</f>
        <v>0.015</v>
      </c>
      <c r="J2543" s="75">
        <f>'THAM_SO_MOI'!$C$40*('THAM_SO_MOI'!$C$23*(E2543/'THAM_SO_MOI'!$C$22)+'THAM_SO_MOI'!$C$24*(E2543/'THAM_SO_MOI'!$C$22)^2-'THAM_SO_MOI'!$C$25*(E2543/'THAM_SO_MOI'!$C$22)^3)</f>
        <v>74.30177682123393</v>
      </c>
      <c r="K2543" s="75">
        <f>'THAM_SO_MOI'!$C$31*J2543/E2543</f>
        <v>419.23516967804187</v>
      </c>
      <c r="L2543" s="75">
        <f>K2543*'THAM_SO_MOI'!$C$52*'THAM_SO_MOI'!$C$17/'THAM_SO_MOI'!$C$26</f>
        <v>5870.645210586463</v>
      </c>
      <c r="M2543" s="75">
        <f>'THAM_SO_MOI'!$C$15*'THAM_SO_MOI'!$C$16*F2543^2</f>
        <v>338.6525293650444</v>
      </c>
      <c r="N2543" s="75">
        <f>'THAM_SO_MOI'!$C$12*I2543</f>
        <v>1130.112</v>
      </c>
      <c r="O2543" s="75">
        <f>M2543+N2543</f>
        <v>1468.7645293650444</v>
      </c>
      <c r="P2543" s="75">
        <f>(MIN(L2543,'THAM_SO_MOI'!$C$41)-O2543)/('THAM_SO_MOI'!$C$11*H2543)</f>
        <v>0.4867715319369859</v>
      </c>
      <c r="Q2543" s="75">
        <f>IF(P2543&gt;0,1/P2543,NA())</f>
        <v>2.054351855830084</v>
      </c>
      <c r="R2543" s="75">
        <f>F2543-F2542</f>
        <v>0.007943393307218827</v>
      </c>
      <c r="S2543" s="75">
        <f>0.5*(Q2542+Q2543)*R2543</f>
        <v>0.016319091609698008</v>
      </c>
      <c r="T2543" s="75">
        <f>0.5*(F2542*Q2542+F2543*Q2543)*R2543</f>
        <v>0.1755293995501807</v>
      </c>
      <c r="U2543" s="76">
        <f>U2542+S2543</f>
        <v>15.171029925358514</v>
      </c>
      <c r="V2543" s="76">
        <f>V2542+T2543</f>
        <v>98.52343655408112</v>
      </c>
    </row>
    <row r="2544" spans="1:22" ht="19" customHeight="1">
      <c r="A2544" s="68" t="s">
        <v>376</v>
      </c>
      <c r="B2544" s="74">
        <v>4</v>
      </c>
      <c r="C2544" s="68" t="s">
        <v>363</v>
      </c>
      <c r="D2544" s="68" t="s">
        <v>364</v>
      </c>
      <c r="E2544" s="75">
        <f>60*F2544*'THAM_SO_MOI'!$C$52/(2*PI()*'THAM_SO_MOI'!$C$26)</f>
        <v>1694.0073888016354</v>
      </c>
      <c r="F2544" s="75">
        <f>'HANH_TRINH'!$F$2468+('THAM_SO_MOI'!$F$52-'HANH_TRINH'!$F$2468)*75/'THAM_SO_MOI'!$C$42</f>
        <v>10.76799183734147</v>
      </c>
      <c r="G2544" s="75">
        <f>3.6*F2544</f>
        <v>38.76477061442929</v>
      </c>
      <c r="H2544" s="75">
        <f>'THAM_SO_MOI'!$D$52</f>
        <v>1.1774754878398197</v>
      </c>
      <c r="I2544" s="75">
        <f>IF(F2544&gt;'THAM_SO_MOI'!$C$14,'THAM_SO_MOI'!$C$13*(1+F2544^2/1500),'THAM_SO_MOI'!$C$13)</f>
        <v>0.015</v>
      </c>
      <c r="J2544" s="75">
        <f>'THAM_SO_MOI'!$C$40*('THAM_SO_MOI'!$C$23*(E2544/'THAM_SO_MOI'!$C$22)+'THAM_SO_MOI'!$C$24*(E2544/'THAM_SO_MOI'!$C$22)^2-'THAM_SO_MOI'!$C$25*(E2544/'THAM_SO_MOI'!$C$22)^3)</f>
        <v>74.36680539073194</v>
      </c>
      <c r="K2544" s="75">
        <f>'THAM_SO_MOI'!$C$31*J2544/E2544</f>
        <v>419.2925479041096</v>
      </c>
      <c r="L2544" s="75">
        <f>K2544*'THAM_SO_MOI'!$C$52*'THAM_SO_MOI'!$C$17/'THAM_SO_MOI'!$C$26</f>
        <v>5871.44869090591</v>
      </c>
      <c r="M2544" s="75">
        <f>'THAM_SO_MOI'!$C$15*'THAM_SO_MOI'!$C$16*F2544^2</f>
        <v>339.1527210114786</v>
      </c>
      <c r="N2544" s="75">
        <f>'THAM_SO_MOI'!$C$12*I2544</f>
        <v>1130.112</v>
      </c>
      <c r="O2544" s="75">
        <f>M2544+N2544</f>
        <v>1469.2647210114787</v>
      </c>
      <c r="P2544" s="75">
        <f>(MIN(L2544,'THAM_SO_MOI'!$C$41)-O2544)/('THAM_SO_MOI'!$C$11*H2544)</f>
        <v>0.48680507039535703</v>
      </c>
      <c r="Q2544" s="75">
        <f>IF(P2544&gt;0,1/P2544,NA())</f>
        <v>2.0542103211617198</v>
      </c>
      <c r="R2544" s="75">
        <f>F2544-F2543</f>
        <v>0.007943393307218827</v>
      </c>
      <c r="S2544" s="75">
        <f>0.5*(Q2543+Q2544)*R2544</f>
        <v>0.016317962649504553</v>
      </c>
      <c r="T2544" s="75">
        <f>0.5*(F2543*Q2543+F2544*Q2544)*R2544</f>
        <v>0.17564687638163842</v>
      </c>
      <c r="U2544" s="76">
        <f>U2543+S2544</f>
        <v>15.187347888008018</v>
      </c>
      <c r="V2544" s="76">
        <f>V2543+T2544</f>
        <v>98.69908343046275</v>
      </c>
    </row>
    <row r="2545" spans="1:22" ht="19" customHeight="1">
      <c r="A2545" s="68" t="s">
        <v>376</v>
      </c>
      <c r="B2545" s="74">
        <v>4</v>
      </c>
      <c r="C2545" s="68" t="s">
        <v>363</v>
      </c>
      <c r="D2545" s="68" t="s">
        <v>364</v>
      </c>
      <c r="E2545" s="75">
        <f>60*F2545*'THAM_SO_MOI'!$C$52/(2*PI()*'THAM_SO_MOI'!$C$26)</f>
        <v>1695.257033782599</v>
      </c>
      <c r="F2545" s="75">
        <f>'HANH_TRINH'!$F$2468+('THAM_SO_MOI'!$F$52-'HANH_TRINH'!$F$2468)*76/'THAM_SO_MOI'!$C$42</f>
        <v>10.77593523064869</v>
      </c>
      <c r="G2545" s="75">
        <f>3.6*F2545</f>
        <v>38.79336683033529</v>
      </c>
      <c r="H2545" s="75">
        <f>'THAM_SO_MOI'!$D$52</f>
        <v>1.1774754878398197</v>
      </c>
      <c r="I2545" s="75">
        <f>IF(F2545&gt;'THAM_SO_MOI'!$C$14,'THAM_SO_MOI'!$C$13*(1+F2545^2/1500),'THAM_SO_MOI'!$C$13)</f>
        <v>0.015</v>
      </c>
      <c r="J2545" s="75">
        <f>'THAM_SO_MOI'!$C$40*('THAM_SO_MOI'!$C$23*(E2545/'THAM_SO_MOI'!$C$22)+'THAM_SO_MOI'!$C$24*(E2545/'THAM_SO_MOI'!$C$22)^2-'THAM_SO_MOI'!$C$25*(E2545/'THAM_SO_MOI'!$C$22)^3)</f>
        <v>74.4318220845116</v>
      </c>
      <c r="K2545" s="75">
        <f>'THAM_SO_MOI'!$C$31*J2545/E2545</f>
        <v>419.3497746304497</v>
      </c>
      <c r="L2545" s="75">
        <f>K2545*'THAM_SO_MOI'!$C$52*'THAM_SO_MOI'!$C$17/'THAM_SO_MOI'!$C$26</f>
        <v>5872.250049740294</v>
      </c>
      <c r="M2545" s="75">
        <f>'THAM_SO_MOI'!$C$15*'THAM_SO_MOI'!$C$16*F2545^2</f>
        <v>339.6532817782718</v>
      </c>
      <c r="N2545" s="75">
        <f>'THAM_SO_MOI'!$C$12*I2545</f>
        <v>1130.112</v>
      </c>
      <c r="O2545" s="75">
        <f>M2545+N2545</f>
        <v>1469.7652817782719</v>
      </c>
      <c r="P2545" s="75">
        <f>(MIN(L2545,'THAM_SO_MOI'!$C$41)-O2545)/('THAM_SO_MOI'!$C$11*H2545)</f>
        <v>0.4868383334360364</v>
      </c>
      <c r="Q2545" s="75">
        <f>IF(P2545&gt;0,1/P2545,NA())</f>
        <v>2.0540699680367007</v>
      </c>
      <c r="R2545" s="75">
        <f>F2545-F2544</f>
        <v>0.007943393307220603</v>
      </c>
      <c r="S2545" s="75">
        <f>0.5*(Q2544+Q2545)*R2545</f>
        <v>0.016316843076702527</v>
      </c>
      <c r="T2545" s="75">
        <f>0.5*(F2544*Q2544+F2545*Q2545)*R2545</f>
        <v>0.175764436398177</v>
      </c>
      <c r="U2545" s="76">
        <f>U2544+S2545</f>
        <v>15.203664731084721</v>
      </c>
      <c r="V2545" s="76">
        <f>V2544+T2545</f>
        <v>98.87484786686093</v>
      </c>
    </row>
    <row r="2546" spans="1:22" ht="19" customHeight="1">
      <c r="A2546" s="68" t="s">
        <v>376</v>
      </c>
      <c r="B2546" s="74">
        <v>4</v>
      </c>
      <c r="C2546" s="68" t="s">
        <v>363</v>
      </c>
      <c r="D2546" s="68" t="s">
        <v>364</v>
      </c>
      <c r="E2546" s="75">
        <f>60*F2546*'THAM_SO_MOI'!$C$52/(2*PI()*'THAM_SO_MOI'!$C$26)</f>
        <v>1696.5066787635621</v>
      </c>
      <c r="F2546" s="75">
        <f>'HANH_TRINH'!$F$2468+('THAM_SO_MOI'!$F$52-'HANH_TRINH'!$F$2468)*77/'THAM_SO_MOI'!$C$42</f>
        <v>10.783878623955909</v>
      </c>
      <c r="G2546" s="75">
        <f>3.6*F2546</f>
        <v>38.82196304624127</v>
      </c>
      <c r="H2546" s="75">
        <f>'THAM_SO_MOI'!$D$52</f>
        <v>1.1774754878398197</v>
      </c>
      <c r="I2546" s="75">
        <f>IF(F2546&gt;'THAM_SO_MOI'!$C$14,'THAM_SO_MOI'!$C$13*(1+F2546^2/1500),'THAM_SO_MOI'!$C$13)</f>
        <v>0.015</v>
      </c>
      <c r="J2546" s="75">
        <f>'THAM_SO_MOI'!$C$40*('THAM_SO_MOI'!$C$23*(E2546/'THAM_SO_MOI'!$C$22)+'THAM_SO_MOI'!$C$24*(E2546/'THAM_SO_MOI'!$C$22)^2-'THAM_SO_MOI'!$C$25*(E2546/'THAM_SO_MOI'!$C$22)^3)</f>
        <v>74.49682684310721</v>
      </c>
      <c r="K2546" s="75">
        <f>'THAM_SO_MOI'!$C$31*J2546/E2546</f>
        <v>419.4068498570623</v>
      </c>
      <c r="L2546" s="75">
        <f>K2546*'THAM_SO_MOI'!$C$52*'THAM_SO_MOI'!$C$17/'THAM_SO_MOI'!$C$26</f>
        <v>5873.049287089617</v>
      </c>
      <c r="M2546" s="75">
        <f>'THAM_SO_MOI'!$C$15*'THAM_SO_MOI'!$C$16*F2546^2</f>
        <v>340.1542116654236</v>
      </c>
      <c r="N2546" s="75">
        <f>'THAM_SO_MOI'!$C$12*I2546</f>
        <v>1130.112</v>
      </c>
      <c r="O2546" s="75">
        <f>M2546+N2546</f>
        <v>1470.2662116654237</v>
      </c>
      <c r="P2546" s="75">
        <f>(MIN(L2546,'THAM_SO_MOI'!$C$41)-O2546)/('THAM_SO_MOI'!$C$11*H2546)</f>
        <v>0.4868713210590241</v>
      </c>
      <c r="Q2546" s="75">
        <f>IF(P2546&gt;0,1/P2546,NA())</f>
        <v>2.053930795974669</v>
      </c>
      <c r="R2546" s="75">
        <f>F2546-F2545</f>
        <v>0.007943393307218827</v>
      </c>
      <c r="S2546" s="75">
        <f>0.5*(Q2545+Q2546)*R2546</f>
        <v>0.016315732887448874</v>
      </c>
      <c r="T2546" s="75">
        <f>0.5*(F2545*Q2545+F2546*Q2546)*R2546</f>
        <v>0.17588207978207185</v>
      </c>
      <c r="U2546" s="76">
        <f>U2545+S2546</f>
        <v>15.21998046397217</v>
      </c>
      <c r="V2546" s="76">
        <f>V2545+T2546</f>
        <v>99.050729946643</v>
      </c>
    </row>
    <row r="2547" spans="1:22" ht="19" customHeight="1">
      <c r="A2547" s="68" t="s">
        <v>376</v>
      </c>
      <c r="B2547" s="74">
        <v>4</v>
      </c>
      <c r="C2547" s="68" t="s">
        <v>363</v>
      </c>
      <c r="D2547" s="68" t="s">
        <v>364</v>
      </c>
      <c r="E2547" s="75">
        <f>60*F2547*'THAM_SO_MOI'!$C$52/(2*PI()*'THAM_SO_MOI'!$C$26)</f>
        <v>1697.7563237445252</v>
      </c>
      <c r="F2547" s="75">
        <f>'HANH_TRINH'!$F$2468+('THAM_SO_MOI'!$F$52-'HANH_TRINH'!$F$2468)*78/'THAM_SO_MOI'!$C$42</f>
        <v>10.791822017263128</v>
      </c>
      <c r="G2547" s="75">
        <f>3.6*F2547</f>
        <v>38.85055926214726</v>
      </c>
      <c r="H2547" s="75">
        <f>'THAM_SO_MOI'!$D$52</f>
        <v>1.1774754878398197</v>
      </c>
      <c r="I2547" s="75">
        <f>IF(F2547&gt;'THAM_SO_MOI'!$C$14,'THAM_SO_MOI'!$C$13*(1+F2547^2/1500),'THAM_SO_MOI'!$C$13)</f>
        <v>0.015</v>
      </c>
      <c r="J2547" s="75">
        <f>'THAM_SO_MOI'!$C$40*('THAM_SO_MOI'!$C$23*(E2547/'THAM_SO_MOI'!$C$22)+'THAM_SO_MOI'!$C$24*(E2547/'THAM_SO_MOI'!$C$22)^2-'THAM_SO_MOI'!$C$25*(E2547/'THAM_SO_MOI'!$C$22)^3)</f>
        <v>74.56181960705315</v>
      </c>
      <c r="K2547" s="75">
        <f>'THAM_SO_MOI'!$C$31*J2547/E2547</f>
        <v>419.4637735839476</v>
      </c>
      <c r="L2547" s="75">
        <f>K2547*'THAM_SO_MOI'!$C$52*'THAM_SO_MOI'!$C$17/'THAM_SO_MOI'!$C$26</f>
        <v>5873.846402953882</v>
      </c>
      <c r="M2547" s="75">
        <f>'THAM_SO_MOI'!$C$15*'THAM_SO_MOI'!$C$16*F2547^2</f>
        <v>340.65551067293427</v>
      </c>
      <c r="N2547" s="75">
        <f>'THAM_SO_MOI'!$C$12*I2547</f>
        <v>1130.112</v>
      </c>
      <c r="O2547" s="75">
        <f>M2547+N2547</f>
        <v>1470.7675106729343</v>
      </c>
      <c r="P2547" s="75">
        <f>(MIN(L2547,'THAM_SO_MOI'!$C$41)-O2547)/('THAM_SO_MOI'!$C$11*H2547)</f>
        <v>0.4869040332643206</v>
      </c>
      <c r="Q2547" s="75">
        <f>IF(P2547&gt;0,1/P2547,NA())</f>
        <v>2.053792804499404</v>
      </c>
      <c r="R2547" s="75">
        <f>F2547-F2546</f>
        <v>0.007943393307218827</v>
      </c>
      <c r="S2547" s="75">
        <f>0.5*(Q2546+Q2547)*R2547</f>
        <v>0.016314632077955287</v>
      </c>
      <c r="T2547" s="75">
        <f>0.5*(F2546*Q2546+F2547*Q2547)*R2547</f>
        <v>0.1759998067160671</v>
      </c>
      <c r="U2547" s="76">
        <f>U2546+S2547</f>
        <v>15.236295096050126</v>
      </c>
      <c r="V2547" s="76">
        <f>V2546+T2547</f>
        <v>99.22672975335907</v>
      </c>
    </row>
    <row r="2548" spans="1:22" ht="19" customHeight="1">
      <c r="A2548" s="68" t="s">
        <v>376</v>
      </c>
      <c r="B2548" s="74">
        <v>4</v>
      </c>
      <c r="C2548" s="68" t="s">
        <v>363</v>
      </c>
      <c r="D2548" s="68" t="s">
        <v>364</v>
      </c>
      <c r="E2548" s="75">
        <f>60*F2548*'THAM_SO_MOI'!$C$52/(2*PI()*'THAM_SO_MOI'!$C$26)</f>
        <v>1699.0059687254884</v>
      </c>
      <c r="F2548" s="75">
        <f>'HANH_TRINH'!$F$2468+('THAM_SO_MOI'!$F$52-'HANH_TRINH'!$F$2468)*79/'THAM_SO_MOI'!$C$42</f>
        <v>10.799765410570348</v>
      </c>
      <c r="G2548" s="75">
        <f>3.6*F2548</f>
        <v>38.879155478053256</v>
      </c>
      <c r="H2548" s="75">
        <f>'THAM_SO_MOI'!$D$52</f>
        <v>1.1774754878398197</v>
      </c>
      <c r="I2548" s="75">
        <f>IF(F2548&gt;'THAM_SO_MOI'!$C$14,'THAM_SO_MOI'!$C$13*(1+F2548^2/1500),'THAM_SO_MOI'!$C$13)</f>
        <v>0.015</v>
      </c>
      <c r="J2548" s="75">
        <f>'THAM_SO_MOI'!$C$40*('THAM_SO_MOI'!$C$23*(E2548/'THAM_SO_MOI'!$C$22)+'THAM_SO_MOI'!$C$24*(E2548/'THAM_SO_MOI'!$C$22)^2-'THAM_SO_MOI'!$C$25*(E2548/'THAM_SO_MOI'!$C$22)^3)</f>
        <v>74.62680031688365</v>
      </c>
      <c r="K2548" s="75">
        <f>'THAM_SO_MOI'!$C$31*J2548/E2548</f>
        <v>419.5205458111053</v>
      </c>
      <c r="L2548" s="75">
        <f>K2548*'THAM_SO_MOI'!$C$52*'THAM_SO_MOI'!$C$17/'THAM_SO_MOI'!$C$26</f>
        <v>5874.641397333084</v>
      </c>
      <c r="M2548" s="75">
        <f>'THAM_SO_MOI'!$C$15*'THAM_SO_MOI'!$C$16*F2548^2</f>
        <v>341.1571788008038</v>
      </c>
      <c r="N2548" s="75">
        <f>'THAM_SO_MOI'!$C$12*I2548</f>
        <v>1130.112</v>
      </c>
      <c r="O2548" s="75">
        <f>M2548+N2548</f>
        <v>1471.269178800804</v>
      </c>
      <c r="P2548" s="75">
        <f>(MIN(L2548,'THAM_SO_MOI'!$C$41)-O2548)/('THAM_SO_MOI'!$C$11*H2548)</f>
        <v>0.4869364700519254</v>
      </c>
      <c r="Q2548" s="75">
        <f>IF(P2548&gt;0,1/P2548,NA())</f>
        <v>2.0536559931388236</v>
      </c>
      <c r="R2548" s="75">
        <f>F2548-F2547</f>
        <v>0.007943393307220603</v>
      </c>
      <c r="S2548" s="75">
        <f>0.5*(Q2547+Q2548)*R2548</f>
        <v>0.016313540644455404</v>
      </c>
      <c r="T2548" s="75">
        <f>0.5*(F2547*Q2547+F2548*Q2548)*R2548</f>
        <v>0.17611761738302326</v>
      </c>
      <c r="U2548" s="76">
        <f>U2547+S2548</f>
        <v>15.252608636694582</v>
      </c>
      <c r="V2548" s="76">
        <f>V2547+T2548</f>
        <v>99.4028473707421</v>
      </c>
    </row>
    <row r="2549" spans="1:22" ht="19" customHeight="1">
      <c r="A2549" s="68" t="s">
        <v>376</v>
      </c>
      <c r="B2549" s="74">
        <v>4</v>
      </c>
      <c r="C2549" s="68" t="s">
        <v>363</v>
      </c>
      <c r="D2549" s="68" t="s">
        <v>364</v>
      </c>
      <c r="E2549" s="75">
        <f>60*F2549*'THAM_SO_MOI'!$C$52/(2*PI()*'THAM_SO_MOI'!$C$26)</f>
        <v>1700.2556137064516</v>
      </c>
      <c r="F2549" s="75">
        <f>'HANH_TRINH'!$F$2468+('THAM_SO_MOI'!$F$52-'HANH_TRINH'!$F$2468)*80/'THAM_SO_MOI'!$C$42</f>
        <v>10.807708803877567</v>
      </c>
      <c r="G2549" s="75">
        <f>3.6*F2549</f>
        <v>38.90775169395924</v>
      </c>
      <c r="H2549" s="75">
        <f>'THAM_SO_MOI'!$D$52</f>
        <v>1.1774754878398197</v>
      </c>
      <c r="I2549" s="75">
        <f>IF(F2549&gt;'THAM_SO_MOI'!$C$14,'THAM_SO_MOI'!$C$13*(1+F2549^2/1500),'THAM_SO_MOI'!$C$13)</f>
        <v>0.015</v>
      </c>
      <c r="J2549" s="75">
        <f>'THAM_SO_MOI'!$C$40*('THAM_SO_MOI'!$C$23*(E2549/'THAM_SO_MOI'!$C$22)+'THAM_SO_MOI'!$C$24*(E2549/'THAM_SO_MOI'!$C$22)^2-'THAM_SO_MOI'!$C$25*(E2549/'THAM_SO_MOI'!$C$22)^3)</f>
        <v>74.6917689131331</v>
      </c>
      <c r="K2549" s="75">
        <f>'THAM_SO_MOI'!$C$31*J2549/E2549</f>
        <v>419.5771665385357</v>
      </c>
      <c r="L2549" s="75">
        <f>K2549*'THAM_SO_MOI'!$C$52*'THAM_SO_MOI'!$C$17/'THAM_SO_MOI'!$C$26</f>
        <v>5875.434270227226</v>
      </c>
      <c r="M2549" s="75">
        <f>'THAM_SO_MOI'!$C$15*'THAM_SO_MOI'!$C$16*F2549^2</f>
        <v>341.6592160490321</v>
      </c>
      <c r="N2549" s="75">
        <f>'THAM_SO_MOI'!$C$12*I2549</f>
        <v>1130.112</v>
      </c>
      <c r="O2549" s="75">
        <f>M2549+N2549</f>
        <v>1471.7712160490323</v>
      </c>
      <c r="P2549" s="75">
        <f>(MIN(L2549,'THAM_SO_MOI'!$C$41)-O2549)/('THAM_SO_MOI'!$C$11*H2549)</f>
        <v>0.4869686314218389</v>
      </c>
      <c r="Q2549" s="75">
        <f>IF(P2549&gt;0,1/P2549,NA())</f>
        <v>2.053520361424975</v>
      </c>
      <c r="R2549" s="75">
        <f>F2549-F2548</f>
        <v>0.007943393307218827</v>
      </c>
      <c r="S2549" s="75">
        <f>0.5*(Q2548+Q2549)*R2549</f>
        <v>0.01631245858320475</v>
      </c>
      <c r="T2549" s="75">
        <f>0.5*(F2548*Q2548+F2549*Q2549)*R2549</f>
        <v>0.17623551196591766</v>
      </c>
      <c r="U2549" s="76">
        <f>U2548+S2549</f>
        <v>15.268921095277786</v>
      </c>
      <c r="V2549" s="76">
        <f>V2548+T2549</f>
        <v>99.57908288270801</v>
      </c>
    </row>
    <row r="2550" spans="1:22" ht="19" customHeight="1">
      <c r="A2550" s="68" t="s">
        <v>376</v>
      </c>
      <c r="B2550" s="74">
        <v>4</v>
      </c>
      <c r="C2550" s="68" t="s">
        <v>363</v>
      </c>
      <c r="D2550" s="68" t="s">
        <v>364</v>
      </c>
      <c r="E2550" s="75">
        <f>60*F2550*'THAM_SO_MOI'!$C$52/(2*PI()*'THAM_SO_MOI'!$C$26)</f>
        <v>1701.5052586874147</v>
      </c>
      <c r="F2550" s="75">
        <f>'HANH_TRINH'!$F$2468+('THAM_SO_MOI'!$F$52-'HANH_TRINH'!$F$2468)*81/'THAM_SO_MOI'!$C$42</f>
        <v>10.815652197184786</v>
      </c>
      <c r="G2550" s="75">
        <f>3.6*F2550</f>
        <v>38.93634790986523</v>
      </c>
      <c r="H2550" s="75">
        <f>'THAM_SO_MOI'!$D$52</f>
        <v>1.1774754878398197</v>
      </c>
      <c r="I2550" s="75">
        <f>IF(F2550&gt;'THAM_SO_MOI'!$C$14,'THAM_SO_MOI'!$C$13*(1+F2550^2/1500),'THAM_SO_MOI'!$C$13)</f>
        <v>0.015</v>
      </c>
      <c r="J2550" s="75">
        <f>'THAM_SO_MOI'!$C$40*('THAM_SO_MOI'!$C$23*(E2550/'THAM_SO_MOI'!$C$22)+'THAM_SO_MOI'!$C$24*(E2550/'THAM_SO_MOI'!$C$22)^2-'THAM_SO_MOI'!$C$25*(E2550/'THAM_SO_MOI'!$C$22)^3)</f>
        <v>74.75672533633573</v>
      </c>
      <c r="K2550" s="75">
        <f>'THAM_SO_MOI'!$C$31*J2550/E2550</f>
        <v>419.63363576623846</v>
      </c>
      <c r="L2550" s="75">
        <f>K2550*'THAM_SO_MOI'!$C$52*'THAM_SO_MOI'!$C$17/'THAM_SO_MOI'!$C$26</f>
        <v>5876.225021636307</v>
      </c>
      <c r="M2550" s="75">
        <f>'THAM_SO_MOI'!$C$15*'THAM_SO_MOI'!$C$16*F2550^2</f>
        <v>342.1616224176192</v>
      </c>
      <c r="N2550" s="75">
        <f>'THAM_SO_MOI'!$C$12*I2550</f>
        <v>1130.112</v>
      </c>
      <c r="O2550" s="75">
        <f>M2550+N2550</f>
        <v>1472.2736224176192</v>
      </c>
      <c r="P2550" s="75">
        <f>(MIN(L2550,'THAM_SO_MOI'!$C$41)-O2550)/('THAM_SO_MOI'!$C$11*H2550)</f>
        <v>0.48700051737406064</v>
      </c>
      <c r="Q2550" s="75">
        <f>IF(P2550&gt;0,1/P2550,NA())</f>
        <v>2.0533859088940334</v>
      </c>
      <c r="R2550" s="75">
        <f>F2550-F2549</f>
        <v>0.007943393307218827</v>
      </c>
      <c r="S2550" s="75">
        <f>0.5*(Q2549+Q2550)*R2550</f>
        <v>0.01631138589051352</v>
      </c>
      <c r="T2550" s="75">
        <f>0.5*(F2549*Q2549+F2550*Q2550)*R2550</f>
        <v>0.17635349064819988</v>
      </c>
      <c r="U2550" s="76">
        <f>U2549+S2550</f>
        <v>15.2852324811683</v>
      </c>
      <c r="V2550" s="76">
        <f>V2549+T2550</f>
        <v>99.7554363733562</v>
      </c>
    </row>
    <row r="2551" spans="1:22" ht="19" customHeight="1">
      <c r="A2551" s="68" t="s">
        <v>376</v>
      </c>
      <c r="B2551" s="74">
        <v>4</v>
      </c>
      <c r="C2551" s="68" t="s">
        <v>363</v>
      </c>
      <c r="D2551" s="68" t="s">
        <v>364</v>
      </c>
      <c r="E2551" s="75">
        <f>60*F2551*'THAM_SO_MOI'!$C$52/(2*PI()*'THAM_SO_MOI'!$C$26)</f>
        <v>1702.7549036683783</v>
      </c>
      <c r="F2551" s="75">
        <f>'HANH_TRINH'!$F$2468+('THAM_SO_MOI'!$F$52-'HANH_TRINH'!$F$2468)*82/'THAM_SO_MOI'!$C$42</f>
        <v>10.823595590492006</v>
      </c>
      <c r="G2551" s="75">
        <f>3.6*F2551</f>
        <v>38.964944125771225</v>
      </c>
      <c r="H2551" s="75">
        <f>'THAM_SO_MOI'!$D$52</f>
        <v>1.1774754878398197</v>
      </c>
      <c r="I2551" s="75">
        <f>IF(F2551&gt;'THAM_SO_MOI'!$C$14,'THAM_SO_MOI'!$C$13*(1+F2551^2/1500),'THAM_SO_MOI'!$C$13)</f>
        <v>0.015</v>
      </c>
      <c r="J2551" s="75">
        <f>'THAM_SO_MOI'!$C$40*('THAM_SO_MOI'!$C$23*(E2551/'THAM_SO_MOI'!$C$22)+'THAM_SO_MOI'!$C$24*(E2551/'THAM_SO_MOI'!$C$22)^2-'THAM_SO_MOI'!$C$25*(E2551/'THAM_SO_MOI'!$C$22)^3)</f>
        <v>74.82166952702595</v>
      </c>
      <c r="K2551" s="75">
        <f>'THAM_SO_MOI'!$C$31*J2551/E2551</f>
        <v>419.68995349421374</v>
      </c>
      <c r="L2551" s="75">
        <f>K2551*'THAM_SO_MOI'!$C$52*'THAM_SO_MOI'!$C$17/'THAM_SO_MOI'!$C$26</f>
        <v>5877.013651560324</v>
      </c>
      <c r="M2551" s="75">
        <f>'THAM_SO_MOI'!$C$15*'THAM_SO_MOI'!$C$16*F2551^2</f>
        <v>342.66439790656517</v>
      </c>
      <c r="N2551" s="75">
        <f>'THAM_SO_MOI'!$C$12*I2551</f>
        <v>1130.112</v>
      </c>
      <c r="O2551" s="75">
        <f>M2551+N2551</f>
        <v>1472.7763979065653</v>
      </c>
      <c r="P2551" s="75">
        <f>(MIN(L2551,'THAM_SO_MOI'!$C$41)-O2551)/('THAM_SO_MOI'!$C$11*H2551)</f>
        <v>0.48703212790859074</v>
      </c>
      <c r="Q2551" s="75">
        <f>IF(P2551&gt;0,1/P2551,NA())</f>
        <v>2.053252635086296</v>
      </c>
      <c r="R2551" s="75">
        <f>F2551-F2550</f>
        <v>0.007943393307220603</v>
      </c>
      <c r="S2551" s="75">
        <f>0.5*(Q2550+Q2551)*R2551</f>
        <v>0.016310322562713756</v>
      </c>
      <c r="T2551" s="75">
        <f>0.5*(F2550*Q2550+F2551*Q2551)*R2551</f>
        <v>0.17647155361343833</v>
      </c>
      <c r="U2551" s="76">
        <f>U2550+S2551</f>
        <v>15.301542803731014</v>
      </c>
      <c r="V2551" s="76">
        <f>V2550+T2551</f>
        <v>99.93190792696964</v>
      </c>
    </row>
    <row r="2552" spans="1:22" ht="19" customHeight="1">
      <c r="A2552" s="68" t="s">
        <v>376</v>
      </c>
      <c r="B2552" s="74">
        <v>4</v>
      </c>
      <c r="C2552" s="68" t="s">
        <v>363</v>
      </c>
      <c r="D2552" s="68" t="s">
        <v>364</v>
      </c>
      <c r="E2552" s="75">
        <f>60*F2552*'THAM_SO_MOI'!$C$52/(2*PI()*'THAM_SO_MOI'!$C$26)</f>
        <v>1704.0045486493414</v>
      </c>
      <c r="F2552" s="75">
        <f>'HANH_TRINH'!$F$2468+('THAM_SO_MOI'!$F$52-'HANH_TRINH'!$F$2468)*83/'THAM_SO_MOI'!$C$42</f>
        <v>10.831538983799225</v>
      </c>
      <c r="G2552" s="75">
        <f>3.6*F2552</f>
        <v>38.99354034167721</v>
      </c>
      <c r="H2552" s="75">
        <f>'THAM_SO_MOI'!$D$52</f>
        <v>1.1774754878398197</v>
      </c>
      <c r="I2552" s="75">
        <f>IF(F2552&gt;'THAM_SO_MOI'!$C$14,'THAM_SO_MOI'!$C$13*(1+F2552^2/1500),'THAM_SO_MOI'!$C$13)</f>
        <v>0.015</v>
      </c>
      <c r="J2552" s="75">
        <f>'THAM_SO_MOI'!$C$40*('THAM_SO_MOI'!$C$23*(E2552/'THAM_SO_MOI'!$C$22)+'THAM_SO_MOI'!$C$24*(E2552/'THAM_SO_MOI'!$C$22)^2-'THAM_SO_MOI'!$C$25*(E2552/'THAM_SO_MOI'!$C$22)^3)</f>
        <v>74.886601425738</v>
      </c>
      <c r="K2552" s="75">
        <f>'THAM_SO_MOI'!$C$31*J2552/E2552</f>
        <v>419.74611972246163</v>
      </c>
      <c r="L2552" s="75">
        <f>K2552*'THAM_SO_MOI'!$C$52*'THAM_SO_MOI'!$C$17/'THAM_SO_MOI'!$C$26</f>
        <v>5877.800159999284</v>
      </c>
      <c r="M2552" s="75">
        <f>'THAM_SO_MOI'!$C$15*'THAM_SO_MOI'!$C$16*F2552^2</f>
        <v>343.1675425158699</v>
      </c>
      <c r="N2552" s="75">
        <f>'THAM_SO_MOI'!$C$12*I2552</f>
        <v>1130.112</v>
      </c>
      <c r="O2552" s="75">
        <f>M2552+N2552</f>
        <v>1473.27954251587</v>
      </c>
      <c r="P2552" s="75">
        <f>(MIN(L2552,'THAM_SO_MOI'!$C$41)-O2552)/('THAM_SO_MOI'!$C$11*H2552)</f>
        <v>0.48706346302542947</v>
      </c>
      <c r="Q2552" s="75">
        <f>IF(P2552&gt;0,1/P2552,NA())</f>
        <v>2.0531205395461787</v>
      </c>
      <c r="R2552" s="75">
        <f>F2552-F2551</f>
        <v>0.007943393307218827</v>
      </c>
      <c r="S2552" s="75">
        <f>0.5*(Q2551+Q2552)*R2552</f>
        <v>0.016309268596159266</v>
      </c>
      <c r="T2552" s="75">
        <f>0.5*(F2551*Q2551+F2552*Q2552)*R2552</f>
        <v>0.17658970104532085</v>
      </c>
      <c r="U2552" s="76">
        <f>U2551+S2552</f>
        <v>15.317852072327174</v>
      </c>
      <c r="V2552" s="76">
        <f>V2551+T2552</f>
        <v>100.10849762801496</v>
      </c>
    </row>
    <row r="2553" spans="1:22" ht="19" customHeight="1">
      <c r="A2553" s="68" t="s">
        <v>376</v>
      </c>
      <c r="B2553" s="74">
        <v>4</v>
      </c>
      <c r="C2553" s="68" t="s">
        <v>363</v>
      </c>
      <c r="D2553" s="68" t="s">
        <v>364</v>
      </c>
      <c r="E2553" s="75">
        <f>60*F2553*'THAM_SO_MOI'!$C$52/(2*PI()*'THAM_SO_MOI'!$C$26)</f>
        <v>1705.254193630305</v>
      </c>
      <c r="F2553" s="75">
        <f>'HANH_TRINH'!$F$2468+('THAM_SO_MOI'!$F$52-'HANH_TRINH'!$F$2468)*84/'THAM_SO_MOI'!$C$42</f>
        <v>10.839482377106444</v>
      </c>
      <c r="G2553" s="75">
        <f>3.6*F2553</f>
        <v>39.0221365575832</v>
      </c>
      <c r="H2553" s="75">
        <f>'THAM_SO_MOI'!$D$52</f>
        <v>1.1774754878398197</v>
      </c>
      <c r="I2553" s="75">
        <f>IF(F2553&gt;'THAM_SO_MOI'!$C$14,'THAM_SO_MOI'!$C$13*(1+F2553^2/1500),'THAM_SO_MOI'!$C$13)</f>
        <v>0.015</v>
      </c>
      <c r="J2553" s="75">
        <f>'THAM_SO_MOI'!$C$40*('THAM_SO_MOI'!$C$23*(E2553/'THAM_SO_MOI'!$C$22)+'THAM_SO_MOI'!$C$24*(E2553/'THAM_SO_MOI'!$C$22)^2-'THAM_SO_MOI'!$C$25*(E2553/'THAM_SO_MOI'!$C$22)^3)</f>
        <v>74.9515209730062</v>
      </c>
      <c r="K2553" s="75">
        <f>'THAM_SO_MOI'!$C$31*J2553/E2553</f>
        <v>419.8021344509819</v>
      </c>
      <c r="L2553" s="75">
        <f>K2553*'THAM_SO_MOI'!$C$52*'THAM_SO_MOI'!$C$17/'THAM_SO_MOI'!$C$26</f>
        <v>5878.5845469531805</v>
      </c>
      <c r="M2553" s="75">
        <f>'THAM_SO_MOI'!$C$15*'THAM_SO_MOI'!$C$16*F2553^2</f>
        <v>343.67105624553346</v>
      </c>
      <c r="N2553" s="75">
        <f>'THAM_SO_MOI'!$C$12*I2553</f>
        <v>1130.112</v>
      </c>
      <c r="O2553" s="75">
        <f>M2553+N2553</f>
        <v>1473.7830562455335</v>
      </c>
      <c r="P2553" s="75">
        <f>(MIN(L2553,'THAM_SO_MOI'!$C$41)-O2553)/('THAM_SO_MOI'!$C$11*H2553)</f>
        <v>0.48709452272457654</v>
      </c>
      <c r="Q2553" s="75">
        <f>IF(P2553&gt;0,1/P2553,NA())</f>
        <v>2.0529896218222135</v>
      </c>
      <c r="R2553" s="75">
        <f>F2553-F2552</f>
        <v>0.007943393307218827</v>
      </c>
      <c r="S2553" s="75">
        <f>0.5*(Q2552+Q2553)*R2553</f>
        <v>0.01630822398725845</v>
      </c>
      <c r="T2553" s="75">
        <f>0.5*(F2552*Q2552+F2553*Q2553)*R2553</f>
        <v>0.1767079331280109</v>
      </c>
      <c r="U2553" s="76">
        <f>U2552+S2553</f>
        <v>15.334160296314431</v>
      </c>
      <c r="V2553" s="76">
        <f>V2552+T2553</f>
        <v>100.28520556114297</v>
      </c>
    </row>
    <row r="2554" spans="1:22" ht="19" customHeight="1">
      <c r="A2554" s="68" t="s">
        <v>376</v>
      </c>
      <c r="B2554" s="74">
        <v>4</v>
      </c>
      <c r="C2554" s="68" t="s">
        <v>363</v>
      </c>
      <c r="D2554" s="68" t="s">
        <v>364</v>
      </c>
      <c r="E2554" s="75">
        <f>60*F2554*'THAM_SO_MOI'!$C$52/(2*PI()*'THAM_SO_MOI'!$C$26)</f>
        <v>1706.503838611268</v>
      </c>
      <c r="F2554" s="75">
        <f>'HANH_TRINH'!$F$2468+('THAM_SO_MOI'!$F$52-'HANH_TRINH'!$F$2468)*85/'THAM_SO_MOI'!$C$42</f>
        <v>10.847425770413665</v>
      </c>
      <c r="G2554" s="75">
        <f>3.6*F2554</f>
        <v>39.050732773489194</v>
      </c>
      <c r="H2554" s="75">
        <f>'THAM_SO_MOI'!$D$52</f>
        <v>1.1774754878398197</v>
      </c>
      <c r="I2554" s="75">
        <f>IF(F2554&gt;'THAM_SO_MOI'!$C$14,'THAM_SO_MOI'!$C$13*(1+F2554^2/1500),'THAM_SO_MOI'!$C$13)</f>
        <v>0.015</v>
      </c>
      <c r="J2554" s="75">
        <f>'THAM_SO_MOI'!$C$40*('THAM_SO_MOI'!$C$23*(E2554/'THAM_SO_MOI'!$C$22)+'THAM_SO_MOI'!$C$24*(E2554/'THAM_SO_MOI'!$C$22)^2-'THAM_SO_MOI'!$C$25*(E2554/'THAM_SO_MOI'!$C$22)^3)</f>
        <v>75.01642810936491</v>
      </c>
      <c r="K2554" s="75">
        <f>'THAM_SO_MOI'!$C$31*J2554/E2554</f>
        <v>419.857997679775</v>
      </c>
      <c r="L2554" s="75">
        <f>K2554*'THAM_SO_MOI'!$C$52*'THAM_SO_MOI'!$C$17/'THAM_SO_MOI'!$C$26</f>
        <v>5879.366812422019</v>
      </c>
      <c r="M2554" s="75">
        <f>'THAM_SO_MOI'!$C$15*'THAM_SO_MOI'!$C$16*F2554^2</f>
        <v>344.1749390955559</v>
      </c>
      <c r="N2554" s="75">
        <f>'THAM_SO_MOI'!$C$12*I2554</f>
        <v>1130.112</v>
      </c>
      <c r="O2554" s="75">
        <f>M2554+N2554</f>
        <v>1474.286939095556</v>
      </c>
      <c r="P2554" s="75">
        <f>(MIN(L2554,'THAM_SO_MOI'!$C$41)-O2554)/('THAM_SO_MOI'!$C$11*H2554)</f>
        <v>0.48712530700603246</v>
      </c>
      <c r="Q2554" s="75">
        <f>IF(P2554&gt;0,1/P2554,NA())</f>
        <v>2.0528598814670413</v>
      </c>
      <c r="R2554" s="75">
        <f>F2554-F2553</f>
        <v>0.007943393307220603</v>
      </c>
      <c r="S2554" s="75">
        <f>0.5*(Q2553+Q2554)*R2554</f>
        <v>0.01630718873244145</v>
      </c>
      <c r="T2554" s="75">
        <f>0.5*(F2553*Q2553+F2554*Q2554)*R2554</f>
        <v>0.1768262500457934</v>
      </c>
      <c r="U2554" s="76">
        <f>U2553+S2554</f>
        <v>15.350467485046872</v>
      </c>
      <c r="V2554" s="76">
        <f>V2553+T2554</f>
        <v>100.46203181118877</v>
      </c>
    </row>
    <row r="2555" spans="1:22" ht="19" customHeight="1">
      <c r="A2555" s="68" t="s">
        <v>376</v>
      </c>
      <c r="B2555" s="74">
        <v>4</v>
      </c>
      <c r="C2555" s="68" t="s">
        <v>363</v>
      </c>
      <c r="D2555" s="68" t="s">
        <v>364</v>
      </c>
      <c r="E2555" s="75">
        <f>60*F2555*'THAM_SO_MOI'!$C$52/(2*PI()*'THAM_SO_MOI'!$C$26)</f>
        <v>1707.7534835922313</v>
      </c>
      <c r="F2555" s="75">
        <f>'HANH_TRINH'!$F$2468+('THAM_SO_MOI'!$F$52-'HANH_TRINH'!$F$2468)*86/'THAM_SO_MOI'!$C$42</f>
        <v>10.855369163720884</v>
      </c>
      <c r="G2555" s="75">
        <f>3.6*F2555</f>
        <v>39.07932898939518</v>
      </c>
      <c r="H2555" s="75">
        <f>'THAM_SO_MOI'!$D$52</f>
        <v>1.1774754878398197</v>
      </c>
      <c r="I2555" s="75">
        <f>IF(F2555&gt;'THAM_SO_MOI'!$C$14,'THAM_SO_MOI'!$C$13*(1+F2555^2/1500),'THAM_SO_MOI'!$C$13)</f>
        <v>0.015</v>
      </c>
      <c r="J2555" s="75">
        <f>'THAM_SO_MOI'!$C$40*('THAM_SO_MOI'!$C$23*(E2555/'THAM_SO_MOI'!$C$22)+'THAM_SO_MOI'!$C$24*(E2555/'THAM_SO_MOI'!$C$22)^2-'THAM_SO_MOI'!$C$25*(E2555/'THAM_SO_MOI'!$C$22)^3)</f>
        <v>75.0813227753484</v>
      </c>
      <c r="K2555" s="75">
        <f>'THAM_SO_MOI'!$C$31*J2555/E2555</f>
        <v>419.9137094088404</v>
      </c>
      <c r="L2555" s="75">
        <f>K2555*'THAM_SO_MOI'!$C$52*'THAM_SO_MOI'!$C$17/'THAM_SO_MOI'!$C$26</f>
        <v>5880.146956405794</v>
      </c>
      <c r="M2555" s="75">
        <f>'THAM_SO_MOI'!$C$15*'THAM_SO_MOI'!$C$16*F2555^2</f>
        <v>344.67919106593706</v>
      </c>
      <c r="N2555" s="75">
        <f>'THAM_SO_MOI'!$C$12*I2555</f>
        <v>1130.112</v>
      </c>
      <c r="O2555" s="75">
        <f>M2555+N2555</f>
        <v>1474.7911910659373</v>
      </c>
      <c r="P2555" s="75">
        <f>(MIN(L2555,'THAM_SO_MOI'!$C$41)-O2555)/('THAM_SO_MOI'!$C$11*H2555)</f>
        <v>0.4871558158697965</v>
      </c>
      <c r="Q2555" s="75">
        <f>IF(P2555&gt;0,1/P2555,NA())</f>
        <v>2.0527313180374156</v>
      </c>
      <c r="R2555" s="75">
        <f>F2555-F2554</f>
        <v>0.007943393307218827</v>
      </c>
      <c r="S2555" s="75">
        <f>0.5*(Q2554+Q2555)*R2555</f>
        <v>0.01630616282816011</v>
      </c>
      <c r="T2555" s="75">
        <f>0.5*(F2554*Q2554+F2555*Q2555)*R2555</f>
        <v>0.1769446519830755</v>
      </c>
      <c r="U2555" s="76">
        <f>U2554+S2555</f>
        <v>15.366773647875032</v>
      </c>
      <c r="V2555" s="76">
        <f>V2554+T2555</f>
        <v>100.63897646317184</v>
      </c>
    </row>
    <row r="2556" spans="1:22" ht="19" customHeight="1">
      <c r="A2556" s="68" t="s">
        <v>376</v>
      </c>
      <c r="B2556" s="74">
        <v>4</v>
      </c>
      <c r="C2556" s="68" t="s">
        <v>363</v>
      </c>
      <c r="D2556" s="68" t="s">
        <v>364</v>
      </c>
      <c r="E2556" s="75">
        <f>60*F2556*'THAM_SO_MOI'!$C$52/(2*PI()*'THAM_SO_MOI'!$C$26)</f>
        <v>1709.0031285731945</v>
      </c>
      <c r="F2556" s="75">
        <f>'HANH_TRINH'!$F$2468+('THAM_SO_MOI'!$F$52-'HANH_TRINH'!$F$2468)*87/'THAM_SO_MOI'!$C$42</f>
        <v>10.863312557028102</v>
      </c>
      <c r="G2556" s="75">
        <f>3.6*F2556</f>
        <v>39.10792520530117</v>
      </c>
      <c r="H2556" s="75">
        <f>'THAM_SO_MOI'!$D$52</f>
        <v>1.1774754878398197</v>
      </c>
      <c r="I2556" s="75">
        <f>IF(F2556&gt;'THAM_SO_MOI'!$C$14,'THAM_SO_MOI'!$C$13*(1+F2556^2/1500),'THAM_SO_MOI'!$C$13)</f>
        <v>0.015</v>
      </c>
      <c r="J2556" s="75">
        <f>'THAM_SO_MOI'!$C$40*('THAM_SO_MOI'!$C$23*(E2556/'THAM_SO_MOI'!$C$22)+'THAM_SO_MOI'!$C$24*(E2556/'THAM_SO_MOI'!$C$22)^2-'THAM_SO_MOI'!$C$25*(E2556/'THAM_SO_MOI'!$C$22)^3)</f>
        <v>75.14620491149097</v>
      </c>
      <c r="K2556" s="75">
        <f>'THAM_SO_MOI'!$C$31*J2556/E2556</f>
        <v>419.9692696381783</v>
      </c>
      <c r="L2556" s="75">
        <f>K2556*'THAM_SO_MOI'!$C$52*'THAM_SO_MOI'!$C$17/'THAM_SO_MOI'!$C$26</f>
        <v>5880.924978904507</v>
      </c>
      <c r="M2556" s="75">
        <f>'THAM_SO_MOI'!$C$15*'THAM_SO_MOI'!$C$16*F2556^2</f>
        <v>345.18381215667705</v>
      </c>
      <c r="N2556" s="75">
        <f>'THAM_SO_MOI'!$C$12*I2556</f>
        <v>1130.112</v>
      </c>
      <c r="O2556" s="75">
        <f>M2556+N2556</f>
        <v>1475.2958121566771</v>
      </c>
      <c r="P2556" s="75">
        <f>(MIN(L2556,'THAM_SO_MOI'!$C$41)-O2556)/('THAM_SO_MOI'!$C$11*H2556)</f>
        <v>0.4871860493158688</v>
      </c>
      <c r="Q2556" s="75">
        <f>IF(P2556&gt;0,1/P2556,NA())</f>
        <v>2.0526039310941897</v>
      </c>
      <c r="R2556" s="75">
        <f>F2556-F2555</f>
        <v>0.007943393307218827</v>
      </c>
      <c r="S2556" s="75">
        <f>0.5*(Q2555+Q2556)*R2556</f>
        <v>0.016305146270920765</v>
      </c>
      <c r="T2556" s="75">
        <f>0.5*(F2555*Q2555+F2556*Q2556)*R2556</f>
        <v>0.1770631391247433</v>
      </c>
      <c r="U2556" s="76">
        <f>U2555+S2556</f>
        <v>15.383078794145954</v>
      </c>
      <c r="V2556" s="76">
        <f>V2555+T2556</f>
        <v>100.81603960229658</v>
      </c>
    </row>
    <row r="2557" spans="1:22" ht="19" customHeight="1">
      <c r="A2557" s="68" t="s">
        <v>376</v>
      </c>
      <c r="B2557" s="74">
        <v>4</v>
      </c>
      <c r="C2557" s="68" t="s">
        <v>363</v>
      </c>
      <c r="D2557" s="68" t="s">
        <v>364</v>
      </c>
      <c r="E2557" s="75">
        <f>60*F2557*'THAM_SO_MOI'!$C$52/(2*PI()*'THAM_SO_MOI'!$C$26)</f>
        <v>1710.252773554158</v>
      </c>
      <c r="F2557" s="75">
        <f>'HANH_TRINH'!$F$2468+('THAM_SO_MOI'!$F$52-'HANH_TRINH'!$F$2468)*88/'THAM_SO_MOI'!$C$42</f>
        <v>10.871255950335323</v>
      </c>
      <c r="G2557" s="75">
        <f>3.6*F2557</f>
        <v>39.13652142120716</v>
      </c>
      <c r="H2557" s="75">
        <f>'THAM_SO_MOI'!$D$52</f>
        <v>1.1774754878398197</v>
      </c>
      <c r="I2557" s="75">
        <f>IF(F2557&gt;'THAM_SO_MOI'!$C$14,'THAM_SO_MOI'!$C$13*(1+F2557^2/1500),'THAM_SO_MOI'!$C$13)</f>
        <v>0.015</v>
      </c>
      <c r="J2557" s="75">
        <f>'THAM_SO_MOI'!$C$40*('THAM_SO_MOI'!$C$23*(E2557/'THAM_SO_MOI'!$C$22)+'THAM_SO_MOI'!$C$24*(E2557/'THAM_SO_MOI'!$C$22)^2-'THAM_SO_MOI'!$C$25*(E2557/'THAM_SO_MOI'!$C$22)^3)</f>
        <v>75.21107445832699</v>
      </c>
      <c r="K2557" s="75">
        <f>'THAM_SO_MOI'!$C$31*J2557/E2557</f>
        <v>420.0246783677888</v>
      </c>
      <c r="L2557" s="75">
        <f>K2557*'THAM_SO_MOI'!$C$52*'THAM_SO_MOI'!$C$17/'THAM_SO_MOI'!$C$26</f>
        <v>5881.700879918161</v>
      </c>
      <c r="M2557" s="75">
        <f>'THAM_SO_MOI'!$C$15*'THAM_SO_MOI'!$C$16*F2557^2</f>
        <v>345.68880236777596</v>
      </c>
      <c r="N2557" s="75">
        <f>'THAM_SO_MOI'!$C$12*I2557</f>
        <v>1130.112</v>
      </c>
      <c r="O2557" s="75">
        <f>M2557+N2557</f>
        <v>1475.800802367776</v>
      </c>
      <c r="P2557" s="75">
        <f>(MIN(L2557,'THAM_SO_MOI'!$C$41)-O2557)/('THAM_SO_MOI'!$C$11*H2557)</f>
        <v>0.4872160073442499</v>
      </c>
      <c r="Q2557" s="75">
        <f>IF(P2557&gt;0,1/P2557,NA())</f>
        <v>2.0524777202023143</v>
      </c>
      <c r="R2557" s="75">
        <f>F2557-F2556</f>
        <v>0.007943393307220603</v>
      </c>
      <c r="S2557" s="75">
        <f>0.5*(Q2556+Q2557)*R2557</f>
        <v>0.016304139057251376</v>
      </c>
      <c r="T2557" s="75">
        <f>0.5*(F2556*Q2556+F2557*Q2557)*R2557</f>
        <v>0.17718171165580704</v>
      </c>
      <c r="U2557" s="76">
        <f>U2556+S2557</f>
        <v>15.399382933203205</v>
      </c>
      <c r="V2557" s="76">
        <f>V2556+T2557</f>
        <v>100.99322131395239</v>
      </c>
    </row>
    <row r="2558" spans="1:22" ht="19" customHeight="1">
      <c r="A2558" s="68" t="s">
        <v>376</v>
      </c>
      <c r="B2558" s="74">
        <v>4</v>
      </c>
      <c r="C2558" s="68" t="s">
        <v>363</v>
      </c>
      <c r="D2558" s="68" t="s">
        <v>364</v>
      </c>
      <c r="E2558" s="75">
        <f>60*F2558*'THAM_SO_MOI'!$C$52/(2*PI()*'THAM_SO_MOI'!$C$26)</f>
        <v>1711.5024185351213</v>
      </c>
      <c r="F2558" s="75">
        <f>'HANH_TRINH'!$F$2468+('THAM_SO_MOI'!$F$52-'HANH_TRINH'!$F$2468)*89/'THAM_SO_MOI'!$C$42</f>
        <v>10.879199343642542</v>
      </c>
      <c r="G2558" s="75">
        <f>3.6*F2558</f>
        <v>39.16511763711315</v>
      </c>
      <c r="H2558" s="75">
        <f>'THAM_SO_MOI'!$D$52</f>
        <v>1.1774754878398197</v>
      </c>
      <c r="I2558" s="75">
        <f>IF(F2558&gt;'THAM_SO_MOI'!$C$14,'THAM_SO_MOI'!$C$13*(1+F2558^2/1500),'THAM_SO_MOI'!$C$13)</f>
        <v>0.015</v>
      </c>
      <c r="J2558" s="75">
        <f>'THAM_SO_MOI'!$C$40*('THAM_SO_MOI'!$C$23*(E2558/'THAM_SO_MOI'!$C$22)+'THAM_SO_MOI'!$C$24*(E2558/'THAM_SO_MOI'!$C$22)^2-'THAM_SO_MOI'!$C$25*(E2558/'THAM_SO_MOI'!$C$22)^3)</f>
        <v>75.27593135639073</v>
      </c>
      <c r="K2558" s="75">
        <f>'THAM_SO_MOI'!$C$31*J2558/E2558</f>
        <v>420.0799355976718</v>
      </c>
      <c r="L2558" s="75">
        <f>K2558*'THAM_SO_MOI'!$C$52*'THAM_SO_MOI'!$C$17/'THAM_SO_MOI'!$C$26</f>
        <v>5882.474659446755</v>
      </c>
      <c r="M2558" s="75">
        <f>'THAM_SO_MOI'!$C$15*'THAM_SO_MOI'!$C$16*F2558^2</f>
        <v>346.1941616992336</v>
      </c>
      <c r="N2558" s="75">
        <f>'THAM_SO_MOI'!$C$12*I2558</f>
        <v>1130.112</v>
      </c>
      <c r="O2558" s="75">
        <f>M2558+N2558</f>
        <v>1476.3061616992336</v>
      </c>
      <c r="P2558" s="75">
        <f>(MIN(L2558,'THAM_SO_MOI'!$C$41)-O2558)/('THAM_SO_MOI'!$C$11*H2558)</f>
        <v>0.4872456899549395</v>
      </c>
      <c r="Q2558" s="75">
        <f>IF(P2558&gt;0,1/P2558,NA())</f>
        <v>2.0523526849308404</v>
      </c>
      <c r="R2558" s="75">
        <f>F2558-F2557</f>
        <v>0.007943393307218827</v>
      </c>
      <c r="S2558" s="75">
        <f>0.5*(Q2557+Q2558)*R2558</f>
        <v>0.016303141183701526</v>
      </c>
      <c r="T2558" s="75">
        <f>0.5*(F2557*Q2557+F2558*Q2558)*R2558</f>
        <v>0.1773003697614015</v>
      </c>
      <c r="U2558" s="76">
        <f>U2557+S2558</f>
        <v>15.415686074386906</v>
      </c>
      <c r="V2558" s="76">
        <f>V2557+T2558</f>
        <v>101.17052168371379</v>
      </c>
    </row>
    <row r="2559" spans="1:22" ht="19" customHeight="1">
      <c r="A2559" s="68" t="s">
        <v>376</v>
      </c>
      <c r="B2559" s="74">
        <v>4</v>
      </c>
      <c r="C2559" s="68" t="s">
        <v>363</v>
      </c>
      <c r="D2559" s="68" t="s">
        <v>364</v>
      </c>
      <c r="E2559" s="75">
        <f>60*F2559*'THAM_SO_MOI'!$C$52/(2*PI()*'THAM_SO_MOI'!$C$26)</f>
        <v>1712.7520635160843</v>
      </c>
      <c r="F2559" s="75">
        <f>'HANH_TRINH'!$F$2468+('THAM_SO_MOI'!$F$52-'HANH_TRINH'!$F$2468)*90/'THAM_SO_MOI'!$C$42</f>
        <v>10.88714273694976</v>
      </c>
      <c r="G2559" s="75">
        <f>3.6*F2559</f>
        <v>39.19371385301914</v>
      </c>
      <c r="H2559" s="75">
        <f>'THAM_SO_MOI'!$D$52</f>
        <v>1.1774754878398197</v>
      </c>
      <c r="I2559" s="75">
        <f>IF(F2559&gt;'THAM_SO_MOI'!$C$14,'THAM_SO_MOI'!$C$13*(1+F2559^2/1500),'THAM_SO_MOI'!$C$13)</f>
        <v>0.015</v>
      </c>
      <c r="J2559" s="75">
        <f>'THAM_SO_MOI'!$C$40*('THAM_SO_MOI'!$C$23*(E2559/'THAM_SO_MOI'!$C$22)+'THAM_SO_MOI'!$C$24*(E2559/'THAM_SO_MOI'!$C$22)^2-'THAM_SO_MOI'!$C$25*(E2559/'THAM_SO_MOI'!$C$22)^3)</f>
        <v>75.34077554621652</v>
      </c>
      <c r="K2559" s="75">
        <f>'THAM_SO_MOI'!$C$31*J2559/E2559</f>
        <v>420.13504132782737</v>
      </c>
      <c r="L2559" s="75">
        <f>K2559*'THAM_SO_MOI'!$C$52*'THAM_SO_MOI'!$C$17/'THAM_SO_MOI'!$C$26</f>
        <v>5883.246317490288</v>
      </c>
      <c r="M2559" s="75">
        <f>'THAM_SO_MOI'!$C$15*'THAM_SO_MOI'!$C$16*F2559^2</f>
        <v>346.69989015104994</v>
      </c>
      <c r="N2559" s="75">
        <f>'THAM_SO_MOI'!$C$12*I2559</f>
        <v>1130.112</v>
      </c>
      <c r="O2559" s="75">
        <f>M2559+N2559</f>
        <v>1476.81189015105</v>
      </c>
      <c r="P2559" s="75">
        <f>(MIN(L2559,'THAM_SO_MOI'!$C$41)-O2559)/('THAM_SO_MOI'!$C$11*H2559)</f>
        <v>0.4872750971479376</v>
      </c>
      <c r="Q2559" s="75">
        <f>IF(P2559&gt;0,1/P2559,NA())</f>
        <v>2.052228824852911</v>
      </c>
      <c r="R2559" s="75">
        <f>F2559-F2558</f>
        <v>0.007943393307218827</v>
      </c>
      <c r="S2559" s="75">
        <f>0.5*(Q2558+Q2559)*R2559</f>
        <v>0.016302152646875196</v>
      </c>
      <c r="T2559" s="75">
        <f>0.5*(F2558*Q2558+F2559*Q2559)*R2559</f>
        <v>0.1774191136271442</v>
      </c>
      <c r="U2559" s="76">
        <f>U2558+S2559</f>
        <v>15.431988227033782</v>
      </c>
      <c r="V2559" s="76">
        <f>V2558+T2559</f>
        <v>101.34794079734093</v>
      </c>
    </row>
    <row r="2560" spans="1:22" ht="19" customHeight="1">
      <c r="A2560" s="68" t="s">
        <v>376</v>
      </c>
      <c r="B2560" s="74">
        <v>4</v>
      </c>
      <c r="C2560" s="68" t="s">
        <v>363</v>
      </c>
      <c r="D2560" s="68" t="s">
        <v>364</v>
      </c>
      <c r="E2560" s="75">
        <f>60*F2560*'THAM_SO_MOI'!$C$52/(2*PI()*'THAM_SO_MOI'!$C$26)</f>
        <v>1714.001708497048</v>
      </c>
      <c r="F2560" s="75">
        <f>'HANH_TRINH'!$F$2468+('THAM_SO_MOI'!$F$52-'HANH_TRINH'!$F$2468)*91/'THAM_SO_MOI'!$C$42</f>
        <v>10.895086130256981</v>
      </c>
      <c r="G2560" s="75">
        <f>3.6*F2560</f>
        <v>39.22231006892513</v>
      </c>
      <c r="H2560" s="75">
        <f>'THAM_SO_MOI'!$D$52</f>
        <v>1.1774754878398197</v>
      </c>
      <c r="I2560" s="75">
        <f>IF(F2560&gt;'THAM_SO_MOI'!$C$14,'THAM_SO_MOI'!$C$13*(1+F2560^2/1500),'THAM_SO_MOI'!$C$13)</f>
        <v>0.015</v>
      </c>
      <c r="J2560" s="75">
        <f>'THAM_SO_MOI'!$C$40*('THAM_SO_MOI'!$C$23*(E2560/'THAM_SO_MOI'!$C$22)+'THAM_SO_MOI'!$C$24*(E2560/'THAM_SO_MOI'!$C$22)^2-'THAM_SO_MOI'!$C$25*(E2560/'THAM_SO_MOI'!$C$22)^3)</f>
        <v>75.40560696833869</v>
      </c>
      <c r="K2560" s="75">
        <f>'THAM_SO_MOI'!$C$31*J2560/E2560</f>
        <v>420.1899955582554</v>
      </c>
      <c r="L2560" s="75">
        <f>K2560*'THAM_SO_MOI'!$C$52*'THAM_SO_MOI'!$C$17/'THAM_SO_MOI'!$C$26</f>
        <v>5884.015854048757</v>
      </c>
      <c r="M2560" s="75">
        <f>'THAM_SO_MOI'!$C$15*'THAM_SO_MOI'!$C$16*F2560^2</f>
        <v>347.2059877232253</v>
      </c>
      <c r="N2560" s="75">
        <f>'THAM_SO_MOI'!$C$12*I2560</f>
        <v>1130.112</v>
      </c>
      <c r="O2560" s="75">
        <f>M2560+N2560</f>
        <v>1477.3179877232253</v>
      </c>
      <c r="P2560" s="75">
        <f>(MIN(L2560,'THAM_SO_MOI'!$C$41)-O2560)/('THAM_SO_MOI'!$C$11*H2560)</f>
        <v>0.4873042289232438</v>
      </c>
      <c r="Q2560" s="75">
        <f>IF(P2560&gt;0,1/P2560,NA())</f>
        <v>2.052106139545758</v>
      </c>
      <c r="R2560" s="75">
        <f>F2560-F2559</f>
        <v>0.007943393307220603</v>
      </c>
      <c r="S2560" s="75">
        <f>0.5*(Q2559+Q2560)*R2560</f>
        <v>0.01630117344339795</v>
      </c>
      <c r="T2560" s="75">
        <f>0.5*(F2559*Q2559+F2560*Q2560)*R2560</f>
        <v>0.1775379434387794</v>
      </c>
      <c r="U2560" s="76">
        <f>U2559+S2560</f>
        <v>15.448289400477181</v>
      </c>
      <c r="V2560" s="76">
        <f>V2559+T2560</f>
        <v>101.5254787407797</v>
      </c>
    </row>
    <row r="2561" spans="1:22" ht="19" customHeight="1">
      <c r="A2561" s="68" t="s">
        <v>376</v>
      </c>
      <c r="B2561" s="74">
        <v>4</v>
      </c>
      <c r="C2561" s="68" t="s">
        <v>363</v>
      </c>
      <c r="D2561" s="68" t="s">
        <v>364</v>
      </c>
      <c r="E2561" s="75">
        <f>60*F2561*'THAM_SO_MOI'!$C$52/(2*PI()*'THAM_SO_MOI'!$C$26)</f>
        <v>1715.2513534780107</v>
      </c>
      <c r="F2561" s="75">
        <f>'HANH_TRINH'!$F$2468+('THAM_SO_MOI'!$F$52-'HANH_TRINH'!$F$2468)*92/'THAM_SO_MOI'!$C$42</f>
        <v>10.9030295235642</v>
      </c>
      <c r="G2561" s="75">
        <f>3.6*F2561</f>
        <v>39.250906284831125</v>
      </c>
      <c r="H2561" s="75">
        <f>'THAM_SO_MOI'!$D$52</f>
        <v>1.1774754878398197</v>
      </c>
      <c r="I2561" s="75">
        <f>IF(F2561&gt;'THAM_SO_MOI'!$C$14,'THAM_SO_MOI'!$C$13*(1+F2561^2/1500),'THAM_SO_MOI'!$C$13)</f>
        <v>0.015</v>
      </c>
      <c r="J2561" s="75">
        <f>'THAM_SO_MOI'!$C$40*('THAM_SO_MOI'!$C$23*(E2561/'THAM_SO_MOI'!$C$22)+'THAM_SO_MOI'!$C$24*(E2561/'THAM_SO_MOI'!$C$22)^2-'THAM_SO_MOI'!$C$25*(E2561/'THAM_SO_MOI'!$C$22)^3)</f>
        <v>75.47042556329147</v>
      </c>
      <c r="K2561" s="75">
        <f>'THAM_SO_MOI'!$C$31*J2561/E2561</f>
        <v>420.2447982889559</v>
      </c>
      <c r="L2561" s="75">
        <f>K2561*'THAM_SO_MOI'!$C$52*'THAM_SO_MOI'!$C$17/'THAM_SO_MOI'!$C$26</f>
        <v>5884.7832691221665</v>
      </c>
      <c r="M2561" s="75">
        <f>'THAM_SO_MOI'!$C$15*'THAM_SO_MOI'!$C$16*F2561^2</f>
        <v>347.71245441575934</v>
      </c>
      <c r="N2561" s="75">
        <f>'THAM_SO_MOI'!$C$12*I2561</f>
        <v>1130.112</v>
      </c>
      <c r="O2561" s="75">
        <f>M2561+N2561</f>
        <v>1477.8244544157594</v>
      </c>
      <c r="P2561" s="75">
        <f>(MIN(L2561,'THAM_SO_MOI'!$C$41)-O2561)/('THAM_SO_MOI'!$C$11*H2561)</f>
        <v>0.4873330852808586</v>
      </c>
      <c r="Q2561" s="75">
        <f>IF(P2561&gt;0,1/P2561,NA())</f>
        <v>2.0519846285906946</v>
      </c>
      <c r="R2561" s="75">
        <f>F2561-F2560</f>
        <v>0.007943393307218827</v>
      </c>
      <c r="S2561" s="75">
        <f>0.5*(Q2560+Q2561)*R2561</f>
        <v>0.016300203569916835</v>
      </c>
      <c r="T2561" s="75">
        <f>0.5*(F2560*Q2560+F2561*Q2561)*R2561</f>
        <v>0.17765685938217873</v>
      </c>
      <c r="U2561" s="76">
        <f>U2560+S2561</f>
        <v>15.464589604047099</v>
      </c>
      <c r="V2561" s="76">
        <f>V2560+T2561</f>
        <v>101.70313560016189</v>
      </c>
    </row>
    <row r="2562" spans="1:22" ht="19" customHeight="1">
      <c r="A2562" s="68" t="s">
        <v>376</v>
      </c>
      <c r="B2562" s="74">
        <v>4</v>
      </c>
      <c r="C2562" s="68" t="s">
        <v>363</v>
      </c>
      <c r="D2562" s="68" t="s">
        <v>364</v>
      </c>
      <c r="E2562" s="75">
        <f>60*F2562*'THAM_SO_MOI'!$C$52/(2*PI()*'THAM_SO_MOI'!$C$26)</f>
        <v>1716.5009984589738</v>
      </c>
      <c r="F2562" s="75">
        <f>'HANH_TRINH'!$F$2468+('THAM_SO_MOI'!$F$52-'HANH_TRINH'!$F$2468)*93/'THAM_SO_MOI'!$C$42</f>
        <v>10.910972916871419</v>
      </c>
      <c r="G2562" s="75">
        <f>3.6*F2562</f>
        <v>39.27950250073711</v>
      </c>
      <c r="H2562" s="75">
        <f>'THAM_SO_MOI'!$D$52</f>
        <v>1.1774754878398197</v>
      </c>
      <c r="I2562" s="75">
        <f>IF(F2562&gt;'THAM_SO_MOI'!$C$14,'THAM_SO_MOI'!$C$13*(1+F2562^2/1500),'THAM_SO_MOI'!$C$13)</f>
        <v>0.015</v>
      </c>
      <c r="J2562" s="75">
        <f>'THAM_SO_MOI'!$C$40*('THAM_SO_MOI'!$C$23*(E2562/'THAM_SO_MOI'!$C$22)+'THAM_SO_MOI'!$C$24*(E2562/'THAM_SO_MOI'!$C$22)^2-'THAM_SO_MOI'!$C$25*(E2562/'THAM_SO_MOI'!$C$22)^3)</f>
        <v>75.53523127160926</v>
      </c>
      <c r="K2562" s="75">
        <f>'THAM_SO_MOI'!$C$31*J2562/E2562</f>
        <v>420.299449519929</v>
      </c>
      <c r="L2562" s="75">
        <f>K2562*'THAM_SO_MOI'!$C$52*'THAM_SO_MOI'!$C$17/'THAM_SO_MOI'!$C$26</f>
        <v>5885.5485627105145</v>
      </c>
      <c r="M2562" s="75">
        <f>'THAM_SO_MOI'!$C$15*'THAM_SO_MOI'!$C$16*F2562^2</f>
        <v>348.2192902286522</v>
      </c>
      <c r="N2562" s="75">
        <f>'THAM_SO_MOI'!$C$12*I2562</f>
        <v>1130.112</v>
      </c>
      <c r="O2562" s="75">
        <f>M2562+N2562</f>
        <v>1478.3312902286523</v>
      </c>
      <c r="P2562" s="75">
        <f>(MIN(L2562,'THAM_SO_MOI'!$C$41)-O2562)/('THAM_SO_MOI'!$C$11*H2562)</f>
        <v>0.48736166622078186</v>
      </c>
      <c r="Q2562" s="75">
        <f>IF(P2562&gt;0,1/P2562,NA())</f>
        <v>2.05186429157312</v>
      </c>
      <c r="R2562" s="75">
        <f>F2562-F2561</f>
        <v>0.007943393307218827</v>
      </c>
      <c r="S2562" s="75">
        <f>0.5*(Q2561+Q2562)*R2562</f>
        <v>0.016299243023133226</v>
      </c>
      <c r="T2562" s="75">
        <f>0.5*(F2561*Q2561+F2562*Q2562)*R2562</f>
        <v>0.17777586164369957</v>
      </c>
      <c r="U2562" s="76">
        <f>U2561+S2562</f>
        <v>15.480888847070231</v>
      </c>
      <c r="V2562" s="76">
        <f>V2561+T2562</f>
        <v>101.88091146180558</v>
      </c>
    </row>
    <row r="2563" spans="1:22" ht="19" customHeight="1">
      <c r="A2563" s="68" t="s">
        <v>376</v>
      </c>
      <c r="B2563" s="74">
        <v>4</v>
      </c>
      <c r="C2563" s="68" t="s">
        <v>363</v>
      </c>
      <c r="D2563" s="68" t="s">
        <v>364</v>
      </c>
      <c r="E2563" s="75">
        <f>60*F2563*'THAM_SO_MOI'!$C$52/(2*PI()*'THAM_SO_MOI'!$C$26)</f>
        <v>1717.7506434399374</v>
      </c>
      <c r="F2563" s="75">
        <f>'HANH_TRINH'!$F$2468+('THAM_SO_MOI'!$F$52-'HANH_TRINH'!$F$2468)*94/'THAM_SO_MOI'!$C$42</f>
        <v>10.91891631017864</v>
      </c>
      <c r="G2563" s="75">
        <f>3.6*F2563</f>
        <v>39.3080987166431</v>
      </c>
      <c r="H2563" s="75">
        <f>'THAM_SO_MOI'!$D$52</f>
        <v>1.1774754878398197</v>
      </c>
      <c r="I2563" s="75">
        <f>IF(F2563&gt;'THAM_SO_MOI'!$C$14,'THAM_SO_MOI'!$C$13*(1+F2563^2/1500),'THAM_SO_MOI'!$C$13)</f>
        <v>0.015</v>
      </c>
      <c r="J2563" s="75">
        <f>'THAM_SO_MOI'!$C$40*('THAM_SO_MOI'!$C$23*(E2563/'THAM_SO_MOI'!$C$22)+'THAM_SO_MOI'!$C$24*(E2563/'THAM_SO_MOI'!$C$22)^2-'THAM_SO_MOI'!$C$25*(E2563/'THAM_SO_MOI'!$C$22)^3)</f>
        <v>75.60002403382641</v>
      </c>
      <c r="K2563" s="75">
        <f>'THAM_SO_MOI'!$C$31*J2563/E2563</f>
        <v>420.3539492511747</v>
      </c>
      <c r="L2563" s="75">
        <f>K2563*'THAM_SO_MOI'!$C$52*'THAM_SO_MOI'!$C$17/'THAM_SO_MOI'!$C$26</f>
        <v>5886.311734813804</v>
      </c>
      <c r="M2563" s="75">
        <f>'THAM_SO_MOI'!$C$15*'THAM_SO_MOI'!$C$16*F2563^2</f>
        <v>348.726495161904</v>
      </c>
      <c r="N2563" s="75">
        <f>'THAM_SO_MOI'!$C$12*I2563</f>
        <v>1130.112</v>
      </c>
      <c r="O2563" s="75">
        <f>M2563+N2563</f>
        <v>1478.8384951619041</v>
      </c>
      <c r="P2563" s="75">
        <f>(MIN(L2563,'THAM_SO_MOI'!$C$41)-O2563)/('THAM_SO_MOI'!$C$11*H2563)</f>
        <v>0.4873899717430139</v>
      </c>
      <c r="Q2563" s="75">
        <f>IF(P2563&gt;0,1/P2563,NA())</f>
        <v>2.051745128082508</v>
      </c>
      <c r="R2563" s="75">
        <f>F2563-F2562</f>
        <v>0.007943393307220603</v>
      </c>
      <c r="S2563" s="75">
        <f>0.5*(Q2562+Q2563)*R2563</f>
        <v>0.01629829179976997</v>
      </c>
      <c r="T2563" s="75">
        <f>0.5*(F2562*Q2562+F2563*Q2563)*R2563</f>
        <v>0.1778949504098289</v>
      </c>
      <c r="U2563" s="76">
        <f>U2562+S2563</f>
        <v>15.49718713887</v>
      </c>
      <c r="V2563" s="76">
        <f>V2562+T2563</f>
        <v>102.0588064122154</v>
      </c>
    </row>
    <row r="2564" spans="1:22" ht="19" customHeight="1">
      <c r="A2564" s="68" t="s">
        <v>376</v>
      </c>
      <c r="B2564" s="74">
        <v>4</v>
      </c>
      <c r="C2564" s="68" t="s">
        <v>363</v>
      </c>
      <c r="D2564" s="68" t="s">
        <v>364</v>
      </c>
      <c r="E2564" s="75">
        <f>60*F2564*'THAM_SO_MOI'!$C$52/(2*PI()*'THAM_SO_MOI'!$C$26)</f>
        <v>1719.0002884209005</v>
      </c>
      <c r="F2564" s="75">
        <f>'HANH_TRINH'!$F$2468+('THAM_SO_MOI'!$F$52-'HANH_TRINH'!$F$2468)*95/'THAM_SO_MOI'!$C$42</f>
        <v>10.926859703485858</v>
      </c>
      <c r="G2564" s="75">
        <f>3.6*F2564</f>
        <v>39.33669493254909</v>
      </c>
      <c r="H2564" s="75">
        <f>'THAM_SO_MOI'!$D$52</f>
        <v>1.1774754878398197</v>
      </c>
      <c r="I2564" s="75">
        <f>IF(F2564&gt;'THAM_SO_MOI'!$C$14,'THAM_SO_MOI'!$C$13*(1+F2564^2/1500),'THAM_SO_MOI'!$C$13)</f>
        <v>0.015</v>
      </c>
      <c r="J2564" s="75">
        <f>'THAM_SO_MOI'!$C$40*('THAM_SO_MOI'!$C$23*(E2564/'THAM_SO_MOI'!$C$22)+'THAM_SO_MOI'!$C$24*(E2564/'THAM_SO_MOI'!$C$22)^2-'THAM_SO_MOI'!$C$25*(E2564/'THAM_SO_MOI'!$C$22)^3)</f>
        <v>75.66480379047714</v>
      </c>
      <c r="K2564" s="75">
        <f>'THAM_SO_MOI'!$C$31*J2564/E2564</f>
        <v>420.40829748269294</v>
      </c>
      <c r="L2564" s="75">
        <f>K2564*'THAM_SO_MOI'!$C$52*'THAM_SO_MOI'!$C$17/'THAM_SO_MOI'!$C$26</f>
        <v>5887.072785432031</v>
      </c>
      <c r="M2564" s="75">
        <f>'THAM_SO_MOI'!$C$15*'THAM_SO_MOI'!$C$16*F2564^2</f>
        <v>349.23406921551447</v>
      </c>
      <c r="N2564" s="75">
        <f>'THAM_SO_MOI'!$C$12*I2564</f>
        <v>1130.112</v>
      </c>
      <c r="O2564" s="75">
        <f>M2564+N2564</f>
        <v>1479.3460692155145</v>
      </c>
      <c r="P2564" s="75">
        <f>(MIN(L2564,'THAM_SO_MOI'!$C$41)-O2564)/('THAM_SO_MOI'!$C$11*H2564)</f>
        <v>0.4874180018475541</v>
      </c>
      <c r="Q2564" s="75">
        <f>IF(P2564&gt;0,1/P2564,NA())</f>
        <v>2.0516271377124107</v>
      </c>
      <c r="R2564" s="75">
        <f>F2564-F2563</f>
        <v>0.007943393307218827</v>
      </c>
      <c r="S2564" s="75">
        <f>0.5*(Q2563+Q2564)*R2564</f>
        <v>0.016297349896571355</v>
      </c>
      <c r="T2564" s="75">
        <f>0.5*(F2563*Q2563+F2564*Q2564)*R2564</f>
        <v>0.1780141258671838</v>
      </c>
      <c r="U2564" s="76">
        <f>U2563+S2564</f>
        <v>15.513484488766572</v>
      </c>
      <c r="V2564" s="76">
        <f>V2563+T2564</f>
        <v>102.23682053808258</v>
      </c>
    </row>
    <row r="2565" spans="1:22" ht="19" customHeight="1">
      <c r="A2565" s="68" t="s">
        <v>376</v>
      </c>
      <c r="B2565" s="74">
        <v>4</v>
      </c>
      <c r="C2565" s="68" t="s">
        <v>363</v>
      </c>
      <c r="D2565" s="68" t="s">
        <v>364</v>
      </c>
      <c r="E2565" s="75">
        <f>60*F2565*'THAM_SO_MOI'!$C$52/(2*PI()*'THAM_SO_MOI'!$C$26)</f>
        <v>1720.2499334018637</v>
      </c>
      <c r="F2565" s="75">
        <f>'HANH_TRINH'!$F$2468+('THAM_SO_MOI'!$F$52-'HANH_TRINH'!$F$2468)*96/'THAM_SO_MOI'!$C$42</f>
        <v>10.934803096793077</v>
      </c>
      <c r="G2565" s="75">
        <f>3.6*F2565</f>
        <v>39.36529114845508</v>
      </c>
      <c r="H2565" s="75">
        <f>'THAM_SO_MOI'!$D$52</f>
        <v>1.1774754878398197</v>
      </c>
      <c r="I2565" s="75">
        <f>IF(F2565&gt;'THAM_SO_MOI'!$C$14,'THAM_SO_MOI'!$C$13*(1+F2565^2/1500),'THAM_SO_MOI'!$C$13)</f>
        <v>0.015</v>
      </c>
      <c r="J2565" s="75">
        <f>'THAM_SO_MOI'!$C$40*('THAM_SO_MOI'!$C$23*(E2565/'THAM_SO_MOI'!$C$22)+'THAM_SO_MOI'!$C$24*(E2565/'THAM_SO_MOI'!$C$22)^2-'THAM_SO_MOI'!$C$25*(E2565/'THAM_SO_MOI'!$C$22)^3)</f>
        <v>75.72957048209577</v>
      </c>
      <c r="K2565" s="75">
        <f>'THAM_SO_MOI'!$C$31*J2565/E2565</f>
        <v>420.46249421448346</v>
      </c>
      <c r="L2565" s="75">
        <f>K2565*'THAM_SO_MOI'!$C$52*'THAM_SO_MOI'!$C$17/'THAM_SO_MOI'!$C$26</f>
        <v>5887.831714565195</v>
      </c>
      <c r="M2565" s="75">
        <f>'THAM_SO_MOI'!$C$15*'THAM_SO_MOI'!$C$16*F2565^2</f>
        <v>349.74201238948376</v>
      </c>
      <c r="N2565" s="75">
        <f>'THAM_SO_MOI'!$C$12*I2565</f>
        <v>1130.112</v>
      </c>
      <c r="O2565" s="75">
        <f>M2565+N2565</f>
        <v>1479.8540123894838</v>
      </c>
      <c r="P2565" s="75">
        <f>(MIN(L2565,'THAM_SO_MOI'!$C$41)-O2565)/('THAM_SO_MOI'!$C$11*H2565)</f>
        <v>0.48744575653440275</v>
      </c>
      <c r="Q2565" s="75">
        <f>IF(P2565&gt;0,1/P2565,NA())</f>
        <v>2.0515103200604483</v>
      </c>
      <c r="R2565" s="75">
        <f>F2565-F2564</f>
        <v>0.007943393307218827</v>
      </c>
      <c r="S2565" s="75">
        <f>0.5*(Q2564+Q2565)*R2565</f>
        <v>0.0162964173103359</v>
      </c>
      <c r="T2565" s="75">
        <f>0.5*(F2564*Q2564+F2565*Q2565)*R2565</f>
        <v>0.17813338820287067</v>
      </c>
      <c r="U2565" s="76">
        <f>U2564+S2565</f>
        <v>15.529780906076908</v>
      </c>
      <c r="V2565" s="76">
        <f>V2564+T2565</f>
        <v>102.41495392628545</v>
      </c>
    </row>
    <row r="2566" spans="1:22" ht="19" customHeight="1">
      <c r="A2566" s="68" t="s">
        <v>376</v>
      </c>
      <c r="B2566" s="74">
        <v>4</v>
      </c>
      <c r="C2566" s="68" t="s">
        <v>363</v>
      </c>
      <c r="D2566" s="68" t="s">
        <v>364</v>
      </c>
      <c r="E2566" s="75">
        <f>60*F2566*'THAM_SO_MOI'!$C$52/(2*PI()*'THAM_SO_MOI'!$C$26)</f>
        <v>1721.4995783828272</v>
      </c>
      <c r="F2566" s="75">
        <f>'HANH_TRINH'!$F$2468+('THAM_SO_MOI'!$F$52-'HANH_TRINH'!$F$2468)*97/'THAM_SO_MOI'!$C$42</f>
        <v>10.942746490100298</v>
      </c>
      <c r="G2566" s="75">
        <f>3.6*F2566</f>
        <v>39.39388736436107</v>
      </c>
      <c r="H2566" s="75">
        <f>'THAM_SO_MOI'!$D$52</f>
        <v>1.1774754878398197</v>
      </c>
      <c r="I2566" s="75">
        <f>IF(F2566&gt;'THAM_SO_MOI'!$C$14,'THAM_SO_MOI'!$C$13*(1+F2566^2/1500),'THAM_SO_MOI'!$C$13)</f>
        <v>0.015</v>
      </c>
      <c r="J2566" s="75">
        <f>'THAM_SO_MOI'!$C$40*('THAM_SO_MOI'!$C$23*(E2566/'THAM_SO_MOI'!$C$22)+'THAM_SO_MOI'!$C$24*(E2566/'THAM_SO_MOI'!$C$22)^2-'THAM_SO_MOI'!$C$25*(E2566/'THAM_SO_MOI'!$C$22)^3)</f>
        <v>75.79432404921667</v>
      </c>
      <c r="K2566" s="75">
        <f>'THAM_SO_MOI'!$C$31*J2566/E2566</f>
        <v>420.51653944654674</v>
      </c>
      <c r="L2566" s="75">
        <f>K2566*'THAM_SO_MOI'!$C$52*'THAM_SO_MOI'!$C$17/'THAM_SO_MOI'!$C$26</f>
        <v>5888.5885222133</v>
      </c>
      <c r="M2566" s="75">
        <f>'THAM_SO_MOI'!$C$15*'THAM_SO_MOI'!$C$16*F2566^2</f>
        <v>350.25032468381204</v>
      </c>
      <c r="N2566" s="75">
        <f>'THAM_SO_MOI'!$C$12*I2566</f>
        <v>1130.112</v>
      </c>
      <c r="O2566" s="75">
        <f>M2566+N2566</f>
        <v>1480.3623246838122</v>
      </c>
      <c r="P2566" s="75">
        <f>(MIN(L2566,'THAM_SO_MOI'!$C$41)-O2566)/('THAM_SO_MOI'!$C$11*H2566)</f>
        <v>0.48747323580355983</v>
      </c>
      <c r="Q2566" s="75">
        <f>IF(P2566&gt;0,1/P2566,NA())</f>
        <v>2.0513946747283094</v>
      </c>
      <c r="R2566" s="75">
        <f>F2566-F2565</f>
        <v>0.007943393307220603</v>
      </c>
      <c r="S2566" s="75">
        <f>0.5*(Q2565+Q2566)*R2566</f>
        <v>0.0162954940378835</v>
      </c>
      <c r="T2566" s="75">
        <f>0.5*(F2565*Q2565+F2566*Q2566)*R2566</f>
        <v>0.17825273760412808</v>
      </c>
      <c r="U2566" s="76">
        <f>U2565+S2566</f>
        <v>15.546076400114792</v>
      </c>
      <c r="V2566" s="76">
        <f>V2565+T2566</f>
        <v>102.59320666388957</v>
      </c>
    </row>
    <row r="2567" spans="1:22" ht="19" customHeight="1">
      <c r="A2567" s="68" t="s">
        <v>376</v>
      </c>
      <c r="B2567" s="74">
        <v>4</v>
      </c>
      <c r="C2567" s="68" t="s">
        <v>363</v>
      </c>
      <c r="D2567" s="68" t="s">
        <v>364</v>
      </c>
      <c r="E2567" s="75">
        <f>60*F2567*'THAM_SO_MOI'!$C$52/(2*PI()*'THAM_SO_MOI'!$C$26)</f>
        <v>1722.7492233637904</v>
      </c>
      <c r="F2567" s="75">
        <f>'HANH_TRINH'!$F$2468+('THAM_SO_MOI'!$F$52-'HANH_TRINH'!$F$2468)*98/'THAM_SO_MOI'!$C$42</f>
        <v>10.950689883407517</v>
      </c>
      <c r="G2567" s="75">
        <f>3.6*F2567</f>
        <v>39.42248358026706</v>
      </c>
      <c r="H2567" s="75">
        <f>'THAM_SO_MOI'!$D$52</f>
        <v>1.1774754878398197</v>
      </c>
      <c r="I2567" s="75">
        <f>IF(F2567&gt;'THAM_SO_MOI'!$C$14,'THAM_SO_MOI'!$C$13*(1+F2567^2/1500),'THAM_SO_MOI'!$C$13)</f>
        <v>0.015</v>
      </c>
      <c r="J2567" s="75">
        <f>'THAM_SO_MOI'!$C$40*('THAM_SO_MOI'!$C$23*(E2567/'THAM_SO_MOI'!$C$22)+'THAM_SO_MOI'!$C$24*(E2567/'THAM_SO_MOI'!$C$22)^2-'THAM_SO_MOI'!$C$25*(E2567/'THAM_SO_MOI'!$C$22)^3)</f>
        <v>75.85906443237411</v>
      </c>
      <c r="K2567" s="75">
        <f>'THAM_SO_MOI'!$C$31*J2567/E2567</f>
        <v>420.57043317888247</v>
      </c>
      <c r="L2567" s="75">
        <f>K2567*'THAM_SO_MOI'!$C$52*'THAM_SO_MOI'!$C$17/'THAM_SO_MOI'!$C$26</f>
        <v>5889.3432083763455</v>
      </c>
      <c r="M2567" s="75">
        <f>'THAM_SO_MOI'!$C$15*'THAM_SO_MOI'!$C$16*F2567^2</f>
        <v>350.7590060984989</v>
      </c>
      <c r="N2567" s="75">
        <f>'THAM_SO_MOI'!$C$12*I2567</f>
        <v>1130.112</v>
      </c>
      <c r="O2567" s="75">
        <f>M2567+N2567</f>
        <v>1480.871006098499</v>
      </c>
      <c r="P2567" s="75">
        <f>(MIN(L2567,'THAM_SO_MOI'!$C$41)-O2567)/('THAM_SO_MOI'!$C$11*H2567)</f>
        <v>0.48750043965502576</v>
      </c>
      <c r="Q2567" s="75">
        <f>IF(P2567&gt;0,1/P2567,NA())</f>
        <v>2.051280201321744</v>
      </c>
      <c r="R2567" s="75">
        <f>F2567-F2566</f>
        <v>0.007943393307218827</v>
      </c>
      <c r="S2567" s="75">
        <f>0.5*(Q2566+Q2567)*R2567</f>
        <v>0.01629458007605541</v>
      </c>
      <c r="T2567" s="75">
        <f>0.5*(F2566*Q2566+F2567*Q2567)*R2567</f>
        <v>0.17837217425832727</v>
      </c>
      <c r="U2567" s="76">
        <f>U2566+S2567</f>
        <v>15.562370980190847</v>
      </c>
      <c r="V2567" s="76">
        <f>V2566+T2567</f>
        <v>102.7715788381479</v>
      </c>
    </row>
    <row r="2568" spans="1:22" ht="19" customHeight="1">
      <c r="A2568" s="68" t="s">
        <v>376</v>
      </c>
      <c r="B2568" s="74">
        <v>4</v>
      </c>
      <c r="C2568" s="68" t="s">
        <v>363</v>
      </c>
      <c r="D2568" s="68" t="s">
        <v>364</v>
      </c>
      <c r="E2568" s="75">
        <f>60*F2568*'THAM_SO_MOI'!$C$52/(2*PI()*'THAM_SO_MOI'!$C$26)</f>
        <v>1723.9988683447536</v>
      </c>
      <c r="F2568" s="75">
        <f>'HANH_TRINH'!$F$2468+('THAM_SO_MOI'!$F$52-'HANH_TRINH'!$F$2468)*99/'THAM_SO_MOI'!$C$42</f>
        <v>10.958633276714735</v>
      </c>
      <c r="G2568" s="75">
        <f>3.6*F2568</f>
        <v>39.45107979617305</v>
      </c>
      <c r="H2568" s="75">
        <f>'THAM_SO_MOI'!$D$52</f>
        <v>1.1774754878398197</v>
      </c>
      <c r="I2568" s="75">
        <f>IF(F2568&gt;'THAM_SO_MOI'!$C$14,'THAM_SO_MOI'!$C$13*(1+F2568^2/1500),'THAM_SO_MOI'!$C$13)</f>
        <v>0.015</v>
      </c>
      <c r="J2568" s="75">
        <f>'THAM_SO_MOI'!$C$40*('THAM_SO_MOI'!$C$23*(E2568/'THAM_SO_MOI'!$C$22)+'THAM_SO_MOI'!$C$24*(E2568/'THAM_SO_MOI'!$C$22)^2-'THAM_SO_MOI'!$C$25*(E2568/'THAM_SO_MOI'!$C$22)^3)</f>
        <v>75.92379157210243</v>
      </c>
      <c r="K2568" s="75">
        <f>'THAM_SO_MOI'!$C$31*J2568/E2568</f>
        <v>420.62417541149074</v>
      </c>
      <c r="L2568" s="75">
        <f>K2568*'THAM_SO_MOI'!$C$52*'THAM_SO_MOI'!$C$17/'THAM_SO_MOI'!$C$26</f>
        <v>5890.095773054328</v>
      </c>
      <c r="M2568" s="75">
        <f>'THAM_SO_MOI'!$C$15*'THAM_SO_MOI'!$C$16*F2568^2</f>
        <v>351.2680566335447</v>
      </c>
      <c r="N2568" s="75">
        <f>'THAM_SO_MOI'!$C$12*I2568</f>
        <v>1130.112</v>
      </c>
      <c r="O2568" s="75">
        <f>M2568+N2568</f>
        <v>1481.3800566335449</v>
      </c>
      <c r="P2568" s="75">
        <f>(MIN(L2568,'THAM_SO_MOI'!$C$41)-O2568)/('THAM_SO_MOI'!$C$11*H2568)</f>
        <v>0.48752736808879976</v>
      </c>
      <c r="Q2568" s="75">
        <f>IF(P2568&gt;0,1/P2568,NA())</f>
        <v>2.05116689945057</v>
      </c>
      <c r="R2568" s="75">
        <f>F2568-F2567</f>
        <v>0.007943393307218827</v>
      </c>
      <c r="S2568" s="75">
        <f>0.5*(Q2567+Q2568)*R2568</f>
        <v>0.016293675421747037</v>
      </c>
      <c r="T2568" s="75">
        <f>0.5*(F2567*Q2567+F2568*Q2568)*R2568</f>
        <v>0.1784916983533324</v>
      </c>
      <c r="U2568" s="76">
        <f>U2567+S2568</f>
        <v>15.578664655612593</v>
      </c>
      <c r="V2568" s="76">
        <f>V2567+T2568</f>
        <v>102.95007053650123</v>
      </c>
    </row>
    <row r="2569" spans="1:22" ht="19" customHeight="1">
      <c r="A2569" s="68" t="s">
        <v>376</v>
      </c>
      <c r="B2569" s="74">
        <v>4</v>
      </c>
      <c r="C2569" s="68" t="s">
        <v>363</v>
      </c>
      <c r="D2569" s="68" t="s">
        <v>364</v>
      </c>
      <c r="E2569" s="75">
        <f>60*F2569*'THAM_SO_MOI'!$C$52/(2*PI()*'THAM_SO_MOI'!$C$26)</f>
        <v>1725.2485133257167</v>
      </c>
      <c r="F2569" s="75">
        <f>'HANH_TRINH'!$F$2468+('THAM_SO_MOI'!$F$52-'HANH_TRINH'!$F$2468)*100/'THAM_SO_MOI'!$C$42</f>
        <v>10.966576670021954</v>
      </c>
      <c r="G2569" s="75">
        <f>3.6*F2569</f>
        <v>39.47967601207904</v>
      </c>
      <c r="H2569" s="75">
        <f>'THAM_SO_MOI'!$D$52</f>
        <v>1.1774754878398197</v>
      </c>
      <c r="I2569" s="75">
        <f>IF(F2569&gt;'THAM_SO_MOI'!$C$14,'THAM_SO_MOI'!$C$13*(1+F2569^2/1500),'THAM_SO_MOI'!$C$13)</f>
        <v>0.015</v>
      </c>
      <c r="J2569" s="75">
        <f>'THAM_SO_MOI'!$C$40*('THAM_SO_MOI'!$C$23*(E2569/'THAM_SO_MOI'!$C$22)+'THAM_SO_MOI'!$C$24*(E2569/'THAM_SO_MOI'!$C$22)^2-'THAM_SO_MOI'!$C$25*(E2569/'THAM_SO_MOI'!$C$22)^3)</f>
        <v>75.98850540893591</v>
      </c>
      <c r="K2569" s="75">
        <f>'THAM_SO_MOI'!$C$31*J2569/E2569</f>
        <v>420.67776614437145</v>
      </c>
      <c r="L2569" s="75">
        <f>K2569*'THAM_SO_MOI'!$C$52*'THAM_SO_MOI'!$C$17/'THAM_SO_MOI'!$C$26</f>
        <v>5890.846216247249</v>
      </c>
      <c r="M2569" s="75">
        <f>'THAM_SO_MOI'!$C$15*'THAM_SO_MOI'!$C$16*F2569^2</f>
        <v>351.77747628894923</v>
      </c>
      <c r="N2569" s="75">
        <f>'THAM_SO_MOI'!$C$12*I2569</f>
        <v>1130.112</v>
      </c>
      <c r="O2569" s="75">
        <f>M2569+N2569</f>
        <v>1481.8894762889493</v>
      </c>
      <c r="P2569" s="75">
        <f>(MIN(L2569,'THAM_SO_MOI'!$C$41)-O2569)/('THAM_SO_MOI'!$C$11*H2569)</f>
        <v>0.4875540211048822</v>
      </c>
      <c r="Q2569" s="75">
        <f>IF(P2569&gt;0,1/P2569,NA())</f>
        <v>2.051054768728655</v>
      </c>
      <c r="R2569" s="75">
        <f>F2569-F2568</f>
        <v>0.007943393307218827</v>
      </c>
      <c r="S2569" s="75">
        <f>0.5*(Q2568+Q2569)*R2569</f>
        <v>0.016292780071871453</v>
      </c>
      <c r="T2569" s="75">
        <f>0.5*(F2568*Q2568+F2569*Q2569)*R2569</f>
        <v>0.17861131007710268</v>
      </c>
      <c r="U2569" s="76">
        <f>U2568+S2569</f>
        <v>15.594957435684465</v>
      </c>
      <c r="V2569" s="76">
        <f>V2568+T2569</f>
        <v>103.12868184657833</v>
      </c>
    </row>
    <row r="2570" spans="1:22" ht="19" customHeight="1">
      <c r="A2570" s="68" t="s">
        <v>376</v>
      </c>
      <c r="B2570" s="74">
        <v>4</v>
      </c>
      <c r="C2570" s="68" t="s">
        <v>363</v>
      </c>
      <c r="D2570" s="68" t="s">
        <v>364</v>
      </c>
      <c r="E2570" s="75">
        <f>60*F2570*'THAM_SO_MOI'!$C$52/(2*PI()*'THAM_SO_MOI'!$C$26)</f>
        <v>1726.4981583066804</v>
      </c>
      <c r="F2570" s="75">
        <f>'HANH_TRINH'!$F$2468+('THAM_SO_MOI'!$F$52-'HANH_TRINH'!$F$2468)*101/'THAM_SO_MOI'!$C$42</f>
        <v>10.974520063329175</v>
      </c>
      <c r="G2570" s="75">
        <f>3.6*F2570</f>
        <v>39.50827222798503</v>
      </c>
      <c r="H2570" s="75">
        <f>'THAM_SO_MOI'!$D$52</f>
        <v>1.1774754878398197</v>
      </c>
      <c r="I2570" s="75">
        <f>IF(F2570&gt;'THAM_SO_MOI'!$C$14,'THAM_SO_MOI'!$C$13*(1+F2570^2/1500),'THAM_SO_MOI'!$C$13)</f>
        <v>0.015</v>
      </c>
      <c r="J2570" s="75">
        <f>'THAM_SO_MOI'!$C$40*('THAM_SO_MOI'!$C$23*(E2570/'THAM_SO_MOI'!$C$22)+'THAM_SO_MOI'!$C$24*(E2570/'THAM_SO_MOI'!$C$22)^2-'THAM_SO_MOI'!$C$25*(E2570/'THAM_SO_MOI'!$C$22)^3)</f>
        <v>76.05320588340892</v>
      </c>
      <c r="K2570" s="75">
        <f>'THAM_SO_MOI'!$C$31*J2570/E2570</f>
        <v>420.7312053775249</v>
      </c>
      <c r="L2570" s="75">
        <f>K2570*'THAM_SO_MOI'!$C$52*'THAM_SO_MOI'!$C$17/'THAM_SO_MOI'!$C$26</f>
        <v>5891.594537955112</v>
      </c>
      <c r="M2570" s="75">
        <f>'THAM_SO_MOI'!$C$15*'THAM_SO_MOI'!$C$16*F2570^2</f>
        <v>352.2872650647127</v>
      </c>
      <c r="N2570" s="75">
        <f>'THAM_SO_MOI'!$C$12*I2570</f>
        <v>1130.112</v>
      </c>
      <c r="O2570" s="75">
        <f>M2570+N2570</f>
        <v>1482.3992650647128</v>
      </c>
      <c r="P2570" s="75">
        <f>(MIN(L2570,'THAM_SO_MOI'!$C$41)-O2570)/('THAM_SO_MOI'!$C$11*H2570)</f>
        <v>0.4875803987032736</v>
      </c>
      <c r="Q2570" s="75">
        <f>IF(P2570&gt;0,1/P2570,NA())</f>
        <v>2.050943808773923</v>
      </c>
      <c r="R2570" s="75">
        <f>F2570-F2569</f>
        <v>0.007943393307220603</v>
      </c>
      <c r="S2570" s="75">
        <f>0.5*(Q2569+Q2570)*R2570</f>
        <v>0.016291894023381208</v>
      </c>
      <c r="T2570" s="75">
        <f>0.5*(F2569*Q2569+F2570*Q2570)*R2570</f>
        <v>0.17873100961793223</v>
      </c>
      <c r="U2570" s="76">
        <f>U2569+S2570</f>
        <v>15.611249329707846</v>
      </c>
      <c r="V2570" s="76">
        <f>V2569+T2570</f>
        <v>103.30741285619627</v>
      </c>
    </row>
    <row r="2571" spans="1:22" ht="19" customHeight="1">
      <c r="A2571" s="68" t="s">
        <v>376</v>
      </c>
      <c r="B2571" s="74">
        <v>4</v>
      </c>
      <c r="C2571" s="68" t="s">
        <v>363</v>
      </c>
      <c r="D2571" s="68" t="s">
        <v>364</v>
      </c>
      <c r="E2571" s="75">
        <f>60*F2571*'THAM_SO_MOI'!$C$52/(2*PI()*'THAM_SO_MOI'!$C$26)</f>
        <v>1727.7478032876434</v>
      </c>
      <c r="F2571" s="75">
        <f>'HANH_TRINH'!$F$2468+('THAM_SO_MOI'!$F$52-'HANH_TRINH'!$F$2468)*102/'THAM_SO_MOI'!$C$42</f>
        <v>10.982463456636394</v>
      </c>
      <c r="G2571" s="75">
        <f>3.6*F2571</f>
        <v>39.53686844389102</v>
      </c>
      <c r="H2571" s="75">
        <f>'THAM_SO_MOI'!$D$52</f>
        <v>1.1774754878398197</v>
      </c>
      <c r="I2571" s="75">
        <f>IF(F2571&gt;'THAM_SO_MOI'!$C$14,'THAM_SO_MOI'!$C$13*(1+F2571^2/1500),'THAM_SO_MOI'!$C$13)</f>
        <v>0.015</v>
      </c>
      <c r="J2571" s="75">
        <f>'THAM_SO_MOI'!$C$40*('THAM_SO_MOI'!$C$23*(E2571/'THAM_SO_MOI'!$C$22)+'THAM_SO_MOI'!$C$24*(E2571/'THAM_SO_MOI'!$C$22)^2-'THAM_SO_MOI'!$C$25*(E2571/'THAM_SO_MOI'!$C$22)^3)</f>
        <v>76.11789293605571</v>
      </c>
      <c r="K2571" s="75">
        <f>'THAM_SO_MOI'!$C$31*J2571/E2571</f>
        <v>420.78449311095073</v>
      </c>
      <c r="L2571" s="75">
        <f>K2571*'THAM_SO_MOI'!$C$52*'THAM_SO_MOI'!$C$17/'THAM_SO_MOI'!$C$26</f>
        <v>5892.340738177912</v>
      </c>
      <c r="M2571" s="75">
        <f>'THAM_SO_MOI'!$C$15*'THAM_SO_MOI'!$C$16*F2571^2</f>
        <v>352.7974229608349</v>
      </c>
      <c r="N2571" s="75">
        <f>'THAM_SO_MOI'!$C$12*I2571</f>
        <v>1130.112</v>
      </c>
      <c r="O2571" s="75">
        <f>M2571+N2571</f>
        <v>1482.909422960835</v>
      </c>
      <c r="P2571" s="75">
        <f>(MIN(L2571,'THAM_SO_MOI'!$C$41)-O2571)/('THAM_SO_MOI'!$C$11*H2571)</f>
        <v>0.48760650088397295</v>
      </c>
      <c r="Q2571" s="75">
        <f>IF(P2571&gt;0,1/P2571,NA())</f>
        <v>2.050834019208354</v>
      </c>
      <c r="R2571" s="75">
        <f>F2571-F2570</f>
        <v>0.007943393307218827</v>
      </c>
      <c r="S2571" s="75">
        <f>0.5*(Q2570+Q2571)*R2571</f>
        <v>0.016291017273246496</v>
      </c>
      <c r="T2571" s="75">
        <f>0.5*(F2570*Q2570+F2571*Q2571)*R2571</f>
        <v>0.17885079716421218</v>
      </c>
      <c r="U2571" s="76">
        <f>U2570+S2571</f>
        <v>15.627540346981093</v>
      </c>
      <c r="V2571" s="76">
        <f>V2570+T2571</f>
        <v>103.48626365336048</v>
      </c>
    </row>
    <row r="2572" spans="1:22" ht="19" customHeight="1">
      <c r="A2572" s="68" t="s">
        <v>376</v>
      </c>
      <c r="B2572" s="74">
        <v>4</v>
      </c>
      <c r="C2572" s="68" t="s">
        <v>363</v>
      </c>
      <c r="D2572" s="68" t="s">
        <v>364</v>
      </c>
      <c r="E2572" s="75">
        <f>60*F2572*'THAM_SO_MOI'!$C$52/(2*PI()*'THAM_SO_MOI'!$C$26)</f>
        <v>1728.9974482686066</v>
      </c>
      <c r="F2572" s="75">
        <f>'HANH_TRINH'!$F$2468+('THAM_SO_MOI'!$F$52-'HANH_TRINH'!$F$2468)*103/'THAM_SO_MOI'!$C$42</f>
        <v>10.990406849943612</v>
      </c>
      <c r="G2572" s="75">
        <f>3.6*F2572</f>
        <v>39.56546465979701</v>
      </c>
      <c r="H2572" s="75">
        <f>'THAM_SO_MOI'!$D$52</f>
        <v>1.1774754878398197</v>
      </c>
      <c r="I2572" s="75">
        <f>IF(F2572&gt;'THAM_SO_MOI'!$C$14,'THAM_SO_MOI'!$C$13*(1+F2572^2/1500),'THAM_SO_MOI'!$C$13)</f>
        <v>0.015</v>
      </c>
      <c r="J2572" s="75">
        <f>'THAM_SO_MOI'!$C$40*('THAM_SO_MOI'!$C$23*(E2572/'THAM_SO_MOI'!$C$22)+'THAM_SO_MOI'!$C$24*(E2572/'THAM_SO_MOI'!$C$22)^2-'THAM_SO_MOI'!$C$25*(E2572/'THAM_SO_MOI'!$C$22)^3)</f>
        <v>76.18256650741061</v>
      </c>
      <c r="K2572" s="75">
        <f>'THAM_SO_MOI'!$C$31*J2572/E2572</f>
        <v>420.83762934464903</v>
      </c>
      <c r="L2572" s="75">
        <f>K2572*'THAM_SO_MOI'!$C$52*'THAM_SO_MOI'!$C$17/'THAM_SO_MOI'!$C$26</f>
        <v>5893.084816915651</v>
      </c>
      <c r="M2572" s="75">
        <f>'THAM_SO_MOI'!$C$15*'THAM_SO_MOI'!$C$16*F2572^2</f>
        <v>353.3079499773159</v>
      </c>
      <c r="N2572" s="75">
        <f>'THAM_SO_MOI'!$C$12*I2572</f>
        <v>1130.112</v>
      </c>
      <c r="O2572" s="75">
        <f>M2572+N2572</f>
        <v>1483.419949977316</v>
      </c>
      <c r="P2572" s="75">
        <f>(MIN(L2572,'THAM_SO_MOI'!$C$41)-O2572)/('THAM_SO_MOI'!$C$11*H2572)</f>
        <v>0.487632327646981</v>
      </c>
      <c r="Q2572" s="75">
        <f>IF(P2572&gt;0,1/P2572,NA())</f>
        <v>2.0507253996579675</v>
      </c>
      <c r="R2572" s="75">
        <f>F2572-F2571</f>
        <v>0.007943393307218827</v>
      </c>
      <c r="S2572" s="75">
        <f>0.5*(Q2571+Q2572)*R2572</f>
        <v>0.01629014981849154</v>
      </c>
      <c r="T2572" s="75">
        <f>0.5*(F2571*Q2571+F2572*Q2572)*R2572</f>
        <v>0.17897067290483076</v>
      </c>
      <c r="U2572" s="76">
        <f>U2571+S2572</f>
        <v>15.643830496799584</v>
      </c>
      <c r="V2572" s="76">
        <f>V2571+T2572</f>
        <v>103.6652343262653</v>
      </c>
    </row>
    <row r="2573" spans="1:22" ht="19" customHeight="1">
      <c r="A2573" s="68" t="s">
        <v>376</v>
      </c>
      <c r="B2573" s="74">
        <v>4</v>
      </c>
      <c r="C2573" s="68" t="s">
        <v>363</v>
      </c>
      <c r="D2573" s="68" t="s">
        <v>364</v>
      </c>
      <c r="E2573" s="75">
        <f>60*F2573*'THAM_SO_MOI'!$C$52/(2*PI()*'THAM_SO_MOI'!$C$26)</f>
        <v>1730.24709324957</v>
      </c>
      <c r="F2573" s="75">
        <f>'HANH_TRINH'!$F$2468+('THAM_SO_MOI'!$F$52-'HANH_TRINH'!$F$2468)*104/'THAM_SO_MOI'!$C$42</f>
        <v>10.998350243250833</v>
      </c>
      <c r="G2573" s="75">
        <f>3.6*F2573</f>
        <v>39.594060875703</v>
      </c>
      <c r="H2573" s="75">
        <f>'THAM_SO_MOI'!$D$52</f>
        <v>1.1774754878398197</v>
      </c>
      <c r="I2573" s="75">
        <f>IF(F2573&gt;'THAM_SO_MOI'!$C$14,'THAM_SO_MOI'!$C$13*(1+F2573^2/1500),'THAM_SO_MOI'!$C$13)</f>
        <v>0.015</v>
      </c>
      <c r="J2573" s="75">
        <f>'THAM_SO_MOI'!$C$40*('THAM_SO_MOI'!$C$23*(E2573/'THAM_SO_MOI'!$C$22)+'THAM_SO_MOI'!$C$24*(E2573/'THAM_SO_MOI'!$C$22)^2-'THAM_SO_MOI'!$C$25*(E2573/'THAM_SO_MOI'!$C$22)^3)</f>
        <v>76.247226538008</v>
      </c>
      <c r="K2573" s="75">
        <f>'THAM_SO_MOI'!$C$31*J2573/E2573</f>
        <v>420.89061407862</v>
      </c>
      <c r="L2573" s="75">
        <f>K2573*'THAM_SO_MOI'!$C$52*'THAM_SO_MOI'!$C$17/'THAM_SO_MOI'!$C$26</f>
        <v>5893.82677416833</v>
      </c>
      <c r="M2573" s="75">
        <f>'THAM_SO_MOI'!$C$15*'THAM_SO_MOI'!$C$16*F2573^2</f>
        <v>353.8188461141558</v>
      </c>
      <c r="N2573" s="75">
        <f>'THAM_SO_MOI'!$C$12*I2573</f>
        <v>1130.112</v>
      </c>
      <c r="O2573" s="75">
        <f>M2573+N2573</f>
        <v>1483.9308461141559</v>
      </c>
      <c r="P2573" s="75">
        <f>(MIN(L2573,'THAM_SO_MOI'!$C$41)-O2573)/('THAM_SO_MOI'!$C$11*H2573)</f>
        <v>0.4876578789922975</v>
      </c>
      <c r="Q2573" s="75">
        <f>IF(P2573&gt;0,1/P2573,NA())</f>
        <v>2.0506179497528323</v>
      </c>
      <c r="R2573" s="75">
        <f>F2573-F2572</f>
        <v>0.007943393307220603</v>
      </c>
      <c r="S2573" s="75">
        <f>0.5*(Q2572+Q2573)*R2573</f>
        <v>0.01628929165616174</v>
      </c>
      <c r="T2573" s="75">
        <f>0.5*(F2572*Q2572+F2573*Q2573)*R2573</f>
        <v>0.17909063702881475</v>
      </c>
      <c r="U2573" s="76">
        <f>U2572+S2573</f>
        <v>15.660119788455745</v>
      </c>
      <c r="V2573" s="76">
        <f>V2572+T2573</f>
        <v>103.84432496329413</v>
      </c>
    </row>
    <row r="2574" spans="1:22" ht="19" customHeight="1">
      <c r="A2574" s="68" t="s">
        <v>376</v>
      </c>
      <c r="B2574" s="74">
        <v>4</v>
      </c>
      <c r="C2574" s="68" t="s">
        <v>363</v>
      </c>
      <c r="D2574" s="68" t="s">
        <v>364</v>
      </c>
      <c r="E2574" s="75">
        <f>60*F2574*'THAM_SO_MOI'!$C$52/(2*PI()*'THAM_SO_MOI'!$C$26)</f>
        <v>1731.4967382305333</v>
      </c>
      <c r="F2574" s="75">
        <f>'HANH_TRINH'!$F$2468+('THAM_SO_MOI'!$F$52-'HANH_TRINH'!$F$2468)*105/'THAM_SO_MOI'!$C$42</f>
        <v>11.006293636558052</v>
      </c>
      <c r="G2574" s="75">
        <f>3.6*F2574</f>
        <v>39.622657091608986</v>
      </c>
      <c r="H2574" s="75">
        <f>'THAM_SO_MOI'!$D$52</f>
        <v>1.1774754878398197</v>
      </c>
      <c r="I2574" s="75">
        <f>IF(F2574&gt;'THAM_SO_MOI'!$C$14,'THAM_SO_MOI'!$C$13*(1+F2574^2/1500),'THAM_SO_MOI'!$C$13)</f>
        <v>0.015</v>
      </c>
      <c r="J2574" s="75">
        <f>'THAM_SO_MOI'!$C$40*('THAM_SO_MOI'!$C$23*(E2574/'THAM_SO_MOI'!$C$22)+'THAM_SO_MOI'!$C$24*(E2574/'THAM_SO_MOI'!$C$22)^2-'THAM_SO_MOI'!$C$25*(E2574/'THAM_SO_MOI'!$C$22)^3)</f>
        <v>76.31187296838209</v>
      </c>
      <c r="K2574" s="75">
        <f>'THAM_SO_MOI'!$C$31*J2574/E2574</f>
        <v>420.9434473128633</v>
      </c>
      <c r="L2574" s="75">
        <f>K2574*'THAM_SO_MOI'!$C$52*'THAM_SO_MOI'!$C$17/'THAM_SO_MOI'!$C$26</f>
        <v>5894.566609935945</v>
      </c>
      <c r="M2574" s="75">
        <f>'THAM_SO_MOI'!$C$15*'THAM_SO_MOI'!$C$16*F2574^2</f>
        <v>354.33011137135446</v>
      </c>
      <c r="N2574" s="75">
        <f>'THAM_SO_MOI'!$C$12*I2574</f>
        <v>1130.112</v>
      </c>
      <c r="O2574" s="75">
        <f>M2574+N2574</f>
        <v>1484.4421113713545</v>
      </c>
      <c r="P2574" s="75">
        <f>(MIN(L2574,'THAM_SO_MOI'!$C$41)-O2574)/('THAM_SO_MOI'!$C$11*H2574)</f>
        <v>0.48768315491992226</v>
      </c>
      <c r="Q2574" s="75">
        <f>IF(P2574&gt;0,1/P2574,NA())</f>
        <v>2.0505116691270593</v>
      </c>
      <c r="R2574" s="75">
        <f>F2574-F2573</f>
        <v>0.007943393307218827</v>
      </c>
      <c r="S2574" s="75">
        <f>0.5*(Q2573+Q2574)*R2574</f>
        <v>0.016288442783323715</v>
      </c>
      <c r="T2574" s="75">
        <f>0.5*(F2573*Q2573+F2574*Q2574)*R2574</f>
        <v>0.17921068972533033</v>
      </c>
      <c r="U2574" s="76">
        <f>U2573+S2574</f>
        <v>15.67640823123907</v>
      </c>
      <c r="V2574" s="76">
        <f>V2573+T2574</f>
        <v>104.02353565301945</v>
      </c>
    </row>
    <row r="2575" spans="1:22" ht="19" customHeight="1">
      <c r="A2575" s="68" t="s">
        <v>376</v>
      </c>
      <c r="B2575" s="74">
        <v>4</v>
      </c>
      <c r="C2575" s="68" t="s">
        <v>363</v>
      </c>
      <c r="D2575" s="68" t="s">
        <v>364</v>
      </c>
      <c r="E2575" s="75">
        <f>60*F2575*'THAM_SO_MOI'!$C$52/(2*PI()*'THAM_SO_MOI'!$C$26)</f>
        <v>1732.746383211496</v>
      </c>
      <c r="F2575" s="75">
        <f>'HANH_TRINH'!$F$2468+('THAM_SO_MOI'!$F$52-'HANH_TRINH'!$F$2468)*106/'THAM_SO_MOI'!$C$42</f>
        <v>11.01423702986527</v>
      </c>
      <c r="G2575" s="75">
        <f>3.6*F2575</f>
        <v>39.65125330751498</v>
      </c>
      <c r="H2575" s="75">
        <f>'THAM_SO_MOI'!$D$52</f>
        <v>1.1774754878398197</v>
      </c>
      <c r="I2575" s="75">
        <f>IF(F2575&gt;'THAM_SO_MOI'!$C$14,'THAM_SO_MOI'!$C$13*(1+F2575^2/1500),'THAM_SO_MOI'!$C$13)</f>
        <v>0.015</v>
      </c>
      <c r="J2575" s="75">
        <f>'THAM_SO_MOI'!$C$40*('THAM_SO_MOI'!$C$23*(E2575/'THAM_SO_MOI'!$C$22)+'THAM_SO_MOI'!$C$24*(E2575/'THAM_SO_MOI'!$C$22)^2-'THAM_SO_MOI'!$C$25*(E2575/'THAM_SO_MOI'!$C$22)^3)</f>
        <v>76.37650573906721</v>
      </c>
      <c r="K2575" s="75">
        <f>'THAM_SO_MOI'!$C$31*J2575/E2575</f>
        <v>420.99612904737916</v>
      </c>
      <c r="L2575" s="75">
        <f>K2575*'THAM_SO_MOI'!$C$52*'THAM_SO_MOI'!$C$17/'THAM_SO_MOI'!$C$26</f>
        <v>5895.3043242185</v>
      </c>
      <c r="M2575" s="75">
        <f>'THAM_SO_MOI'!$C$15*'THAM_SO_MOI'!$C$16*F2575^2</f>
        <v>354.84174574891193</v>
      </c>
      <c r="N2575" s="75">
        <f>'THAM_SO_MOI'!$C$12*I2575</f>
        <v>1130.112</v>
      </c>
      <c r="O2575" s="75">
        <f>M2575+N2575</f>
        <v>1484.953745748912</v>
      </c>
      <c r="P2575" s="75">
        <f>(MIN(L2575,'THAM_SO_MOI'!$C$41)-O2575)/('THAM_SO_MOI'!$C$11*H2575)</f>
        <v>0.48770815542985546</v>
      </c>
      <c r="Q2575" s="75">
        <f>IF(P2575&gt;0,1/P2575,NA())</f>
        <v>2.050406557418794</v>
      </c>
      <c r="R2575" s="75">
        <f>F2575-F2574</f>
        <v>0.007943393307218827</v>
      </c>
      <c r="S2575" s="75">
        <f>0.5*(Q2574+Q2575)*R2575</f>
        <v>0.016287603197098016</v>
      </c>
      <c r="T2575" s="75">
        <f>0.5*(F2574*Q2574+F2575*Q2575)*R2575</f>
        <v>0.1793308311840443</v>
      </c>
      <c r="U2575" s="76">
        <f>U2574+S2575</f>
        <v>15.692695834436167</v>
      </c>
      <c r="V2575" s="76">
        <f>V2574+T2575</f>
        <v>104.2028664842035</v>
      </c>
    </row>
    <row r="2576" spans="1:22" ht="19" customHeight="1">
      <c r="A2576" s="68" t="s">
        <v>376</v>
      </c>
      <c r="B2576" s="74">
        <v>4</v>
      </c>
      <c r="C2576" s="68" t="s">
        <v>363</v>
      </c>
      <c r="D2576" s="68" t="s">
        <v>364</v>
      </c>
      <c r="E2576" s="75">
        <f>60*F2576*'THAM_SO_MOI'!$C$52/(2*PI()*'THAM_SO_MOI'!$C$26)</f>
        <v>1733.9960281924596</v>
      </c>
      <c r="F2576" s="75">
        <f>'HANH_TRINH'!$F$2468+('THAM_SO_MOI'!$F$52-'HANH_TRINH'!$F$2468)*107/'THAM_SO_MOI'!$C$42</f>
        <v>11.022180423172491</v>
      </c>
      <c r="G2576" s="75">
        <f>3.6*F2576</f>
        <v>39.67984952342097</v>
      </c>
      <c r="H2576" s="75">
        <f>'THAM_SO_MOI'!$D$52</f>
        <v>1.1774754878398197</v>
      </c>
      <c r="I2576" s="75">
        <f>IF(F2576&gt;'THAM_SO_MOI'!$C$14,'THAM_SO_MOI'!$C$13*(1+F2576^2/1500),'THAM_SO_MOI'!$C$13)</f>
        <v>0.015</v>
      </c>
      <c r="J2576" s="75">
        <f>'THAM_SO_MOI'!$C$40*('THAM_SO_MOI'!$C$23*(E2576/'THAM_SO_MOI'!$C$22)+'THAM_SO_MOI'!$C$24*(E2576/'THAM_SO_MOI'!$C$22)^2-'THAM_SO_MOI'!$C$25*(E2576/'THAM_SO_MOI'!$C$22)^3)</f>
        <v>76.44112479059778</v>
      </c>
      <c r="K2576" s="75">
        <f>'THAM_SO_MOI'!$C$31*J2576/E2576</f>
        <v>421.04865928216776</v>
      </c>
      <c r="L2576" s="75">
        <f>K2576*'THAM_SO_MOI'!$C$52*'THAM_SO_MOI'!$C$17/'THAM_SO_MOI'!$C$26</f>
        <v>5896.039917015997</v>
      </c>
      <c r="M2576" s="75">
        <f>'THAM_SO_MOI'!$C$15*'THAM_SO_MOI'!$C$16*F2576^2</f>
        <v>355.3537492468282</v>
      </c>
      <c r="N2576" s="75">
        <f>'THAM_SO_MOI'!$C$12*I2576</f>
        <v>1130.112</v>
      </c>
      <c r="O2576" s="75">
        <f>M2576+N2576</f>
        <v>1485.4657492468282</v>
      </c>
      <c r="P2576" s="75">
        <f>(MIN(L2576,'THAM_SO_MOI'!$C$41)-O2576)/('THAM_SO_MOI'!$C$11*H2576)</f>
        <v>0.48773288052209746</v>
      </c>
      <c r="Q2576" s="75">
        <f>IF(P2576&gt;0,1/P2576,NA())</f>
        <v>2.050302614270217</v>
      </c>
      <c r="R2576" s="75">
        <f>F2576-F2575</f>
        <v>0.007943393307220603</v>
      </c>
      <c r="S2576" s="75">
        <f>0.5*(Q2575+Q2576)*R2576</f>
        <v>0.01628677289462632</v>
      </c>
      <c r="T2576" s="75">
        <f>0.5*(F2575*Q2575+F2576*Q2576)*R2576</f>
        <v>0.17945106159476473</v>
      </c>
      <c r="U2576" s="76">
        <f>U2575+S2576</f>
        <v>15.708982607330793</v>
      </c>
      <c r="V2576" s="76">
        <f>V2575+T2576</f>
        <v>104.38231754579826</v>
      </c>
    </row>
    <row r="2577" spans="1:22" ht="19" customHeight="1">
      <c r="A2577" s="68" t="s">
        <v>376</v>
      </c>
      <c r="B2577" s="74">
        <v>4</v>
      </c>
      <c r="C2577" s="68" t="s">
        <v>363</v>
      </c>
      <c r="D2577" s="68" t="s">
        <v>364</v>
      </c>
      <c r="E2577" s="75">
        <f>60*F2577*'THAM_SO_MOI'!$C$52/(2*PI()*'THAM_SO_MOI'!$C$26)</f>
        <v>1735.2456731734228</v>
      </c>
      <c r="F2577" s="75">
        <f>'HANH_TRINH'!$F$2468+('THAM_SO_MOI'!$F$52-'HANH_TRINH'!$F$2468)*108/'THAM_SO_MOI'!$C$42</f>
        <v>11.03012381647971</v>
      </c>
      <c r="G2577" s="75">
        <f>3.6*F2577</f>
        <v>39.708445739326955</v>
      </c>
      <c r="H2577" s="75">
        <f>'THAM_SO_MOI'!$D$52</f>
        <v>1.1774754878398197</v>
      </c>
      <c r="I2577" s="75">
        <f>IF(F2577&gt;'THAM_SO_MOI'!$C$14,'THAM_SO_MOI'!$C$13*(1+F2577^2/1500),'THAM_SO_MOI'!$C$13)</f>
        <v>0.015</v>
      </c>
      <c r="J2577" s="75">
        <f>'THAM_SO_MOI'!$C$40*('THAM_SO_MOI'!$C$23*(E2577/'THAM_SO_MOI'!$C$22)+'THAM_SO_MOI'!$C$24*(E2577/'THAM_SO_MOI'!$C$22)^2-'THAM_SO_MOI'!$C$25*(E2577/'THAM_SO_MOI'!$C$22)^3)</f>
        <v>76.50573006350801</v>
      </c>
      <c r="K2577" s="75">
        <f>'THAM_SO_MOI'!$C$31*J2577/E2577</f>
        <v>421.1010380172288</v>
      </c>
      <c r="L2577" s="75">
        <f>K2577*'THAM_SO_MOI'!$C$52*'THAM_SO_MOI'!$C$17/'THAM_SO_MOI'!$C$26</f>
        <v>5896.773388328433</v>
      </c>
      <c r="M2577" s="75">
        <f>'THAM_SO_MOI'!$C$15*'THAM_SO_MOI'!$C$16*F2577^2</f>
        <v>355.8661218651033</v>
      </c>
      <c r="N2577" s="75">
        <f>'THAM_SO_MOI'!$C$12*I2577</f>
        <v>1130.112</v>
      </c>
      <c r="O2577" s="75">
        <f>M2577+N2577</f>
        <v>1485.9781218651033</v>
      </c>
      <c r="P2577" s="75">
        <f>(MIN(L2577,'THAM_SO_MOI'!$C$41)-O2577)/('THAM_SO_MOI'!$C$11*H2577)</f>
        <v>0.48775733019664796</v>
      </c>
      <c r="Q2577" s="75">
        <f>IF(P2577&gt;0,1/P2577,NA())</f>
        <v>2.050199839327545</v>
      </c>
      <c r="R2577" s="75">
        <f>F2577-F2576</f>
        <v>0.007943393307218827</v>
      </c>
      <c r="S2577" s="75">
        <f>0.5*(Q2576+Q2577)*R2577</f>
        <v>0.016285951873071424</v>
      </c>
      <c r="T2577" s="75">
        <f>0.5*(F2576*Q2576+F2577*Q2577)*R2577</f>
        <v>0.1795713811474419</v>
      </c>
      <c r="U2577" s="76">
        <f>U2576+S2577</f>
        <v>15.725268559203863</v>
      </c>
      <c r="V2577" s="76">
        <f>V2576+T2577</f>
        <v>104.5618889269457</v>
      </c>
    </row>
    <row r="2578" spans="1:22" ht="19" customHeight="1">
      <c r="A2578" s="68" t="s">
        <v>376</v>
      </c>
      <c r="B2578" s="74">
        <v>4</v>
      </c>
      <c r="C2578" s="68" t="s">
        <v>363</v>
      </c>
      <c r="D2578" s="68" t="s">
        <v>364</v>
      </c>
      <c r="E2578" s="75">
        <f>60*F2578*'THAM_SO_MOI'!$C$52/(2*PI()*'THAM_SO_MOI'!$C$26)</f>
        <v>1736.4953181543863</v>
      </c>
      <c r="F2578" s="75">
        <f>'HANH_TRINH'!$F$2468+('THAM_SO_MOI'!$F$52-'HANH_TRINH'!$F$2468)*109/'THAM_SO_MOI'!$C$42</f>
        <v>11.038067209786929</v>
      </c>
      <c r="G2578" s="75">
        <f>3.6*F2578</f>
        <v>39.73704195523295</v>
      </c>
      <c r="H2578" s="75">
        <f>'THAM_SO_MOI'!$D$52</f>
        <v>1.1774754878398197</v>
      </c>
      <c r="I2578" s="75">
        <f>IF(F2578&gt;'THAM_SO_MOI'!$C$14,'THAM_SO_MOI'!$C$13*(1+F2578^2/1500),'THAM_SO_MOI'!$C$13)</f>
        <v>0.015</v>
      </c>
      <c r="J2578" s="75">
        <f>'THAM_SO_MOI'!$C$40*('THAM_SO_MOI'!$C$23*(E2578/'THAM_SO_MOI'!$C$22)+'THAM_SO_MOI'!$C$24*(E2578/'THAM_SO_MOI'!$C$22)^2-'THAM_SO_MOI'!$C$25*(E2578/'THAM_SO_MOI'!$C$22)^3)</f>
        <v>76.57032149833223</v>
      </c>
      <c r="K2578" s="75">
        <f>'THAM_SO_MOI'!$C$31*J2578/E2578</f>
        <v>421.15326525256216</v>
      </c>
      <c r="L2578" s="75">
        <f>K2578*'THAM_SO_MOI'!$C$52*'THAM_SO_MOI'!$C$17/'THAM_SO_MOI'!$C$26</f>
        <v>5897.504738155803</v>
      </c>
      <c r="M2578" s="75">
        <f>'THAM_SO_MOI'!$C$15*'THAM_SO_MOI'!$C$16*F2578^2</f>
        <v>356.3788636037372</v>
      </c>
      <c r="N2578" s="75">
        <f>'THAM_SO_MOI'!$C$12*I2578</f>
        <v>1130.112</v>
      </c>
      <c r="O2578" s="75">
        <f>M2578+N2578</f>
        <v>1486.4908636037374</v>
      </c>
      <c r="P2578" s="75">
        <f>(MIN(L2578,'THAM_SO_MOI'!$C$41)-O2578)/('THAM_SO_MOI'!$C$11*H2578)</f>
        <v>0.48778150445350643</v>
      </c>
      <c r="Q2578" s="75">
        <f>IF(P2578&gt;0,1/P2578,NA())</f>
        <v>2.0500982322410226</v>
      </c>
      <c r="R2578" s="75">
        <f>F2578-F2577</f>
        <v>0.007943393307218827</v>
      </c>
      <c r="S2578" s="75">
        <f>0.5*(Q2577+Q2578)*R2578</f>
        <v>0.01628514012965001</v>
      </c>
      <c r="T2578" s="75">
        <f>0.5*(F2577*Q2577+F2578*Q2578)*R2578</f>
        <v>0.17969179003253033</v>
      </c>
      <c r="U2578" s="76">
        <f>U2577+S2578</f>
        <v>15.741553699333513</v>
      </c>
      <c r="V2578" s="76">
        <f>V2577+T2578</f>
        <v>104.74158071697823</v>
      </c>
    </row>
    <row r="2579" spans="1:22" ht="19" customHeight="1">
      <c r="A2579" s="68" t="s">
        <v>376</v>
      </c>
      <c r="B2579" s="74">
        <v>4</v>
      </c>
      <c r="C2579" s="68" t="s">
        <v>363</v>
      </c>
      <c r="D2579" s="68" t="s">
        <v>364</v>
      </c>
      <c r="E2579" s="75">
        <f>60*F2579*'THAM_SO_MOI'!$C$52/(2*PI()*'THAM_SO_MOI'!$C$26)</f>
        <v>1737.7449631353495</v>
      </c>
      <c r="F2579" s="75">
        <f>'HANH_TRINH'!$F$2468+('THAM_SO_MOI'!$F$52-'HANH_TRINH'!$F$2468)*110/'THAM_SO_MOI'!$C$42</f>
        <v>11.04601060309415</v>
      </c>
      <c r="G2579" s="75">
        <f>3.6*F2579</f>
        <v>39.76563817113894</v>
      </c>
      <c r="H2579" s="75">
        <f>'THAM_SO_MOI'!$D$52</f>
        <v>1.1774754878398197</v>
      </c>
      <c r="I2579" s="75">
        <f>IF(F2579&gt;'THAM_SO_MOI'!$C$14,'THAM_SO_MOI'!$C$13*(1+F2579^2/1500),'THAM_SO_MOI'!$C$13)</f>
        <v>0.015</v>
      </c>
      <c r="J2579" s="75">
        <f>'THAM_SO_MOI'!$C$40*('THAM_SO_MOI'!$C$23*(E2579/'THAM_SO_MOI'!$C$22)+'THAM_SO_MOI'!$C$24*(E2579/'THAM_SO_MOI'!$C$22)^2-'THAM_SO_MOI'!$C$25*(E2579/'THAM_SO_MOI'!$C$22)^3)</f>
        <v>76.63489903560479</v>
      </c>
      <c r="K2579" s="75">
        <f>'THAM_SO_MOI'!$C$31*J2579/E2579</f>
        <v>421.2053409881683</v>
      </c>
      <c r="L2579" s="75">
        <f>K2579*'THAM_SO_MOI'!$C$52*'THAM_SO_MOI'!$C$17/'THAM_SO_MOI'!$C$26</f>
        <v>5898.233966498117</v>
      </c>
      <c r="M2579" s="75">
        <f>'THAM_SO_MOI'!$C$15*'THAM_SO_MOI'!$C$16*F2579^2</f>
        <v>356.89197446273</v>
      </c>
      <c r="N2579" s="75">
        <f>'THAM_SO_MOI'!$C$12*I2579</f>
        <v>1130.112</v>
      </c>
      <c r="O2579" s="75">
        <f>M2579+N2579</f>
        <v>1487.0039744627302</v>
      </c>
      <c r="P2579" s="75">
        <f>(MIN(L2579,'THAM_SO_MOI'!$C$41)-O2579)/('THAM_SO_MOI'!$C$11*H2579)</f>
        <v>0.4878054032926738</v>
      </c>
      <c r="Q2579" s="75">
        <f>IF(P2579&gt;0,1/P2579,NA())</f>
        <v>2.049997792664915</v>
      </c>
      <c r="R2579" s="75">
        <f>F2579-F2578</f>
        <v>0.007943393307220603</v>
      </c>
      <c r="S2579" s="75">
        <f>0.5*(Q2578+Q2579)*R2579</f>
        <v>0.016284337661599813</v>
      </c>
      <c r="T2579" s="75">
        <f>0.5*(F2578*Q2578+F2579*Q2579)*R2579</f>
        <v>0.1798122884406286</v>
      </c>
      <c r="U2579" s="76">
        <f>U2578+S2579</f>
        <v>15.757838036995114</v>
      </c>
      <c r="V2579" s="76">
        <f>V2578+T2579</f>
        <v>104.92139300541886</v>
      </c>
    </row>
    <row r="2580" spans="1:22" ht="19" customHeight="1">
      <c r="A2580" s="68" t="s">
        <v>376</v>
      </c>
      <c r="B2580" s="74">
        <v>4</v>
      </c>
      <c r="C2580" s="68" t="s">
        <v>363</v>
      </c>
      <c r="D2580" s="68" t="s">
        <v>364</v>
      </c>
      <c r="E2580" s="75">
        <f>60*F2580*'THAM_SO_MOI'!$C$52/(2*PI()*'THAM_SO_MOI'!$C$26)</f>
        <v>1738.994608116313</v>
      </c>
      <c r="F2580" s="75">
        <f>'HANH_TRINH'!$F$2468+('THAM_SO_MOI'!$F$52-'HANH_TRINH'!$F$2468)*111/'THAM_SO_MOI'!$C$42</f>
        <v>11.053953996401368</v>
      </c>
      <c r="G2580" s="75">
        <f>3.6*F2580</f>
        <v>39.79423438704493</v>
      </c>
      <c r="H2580" s="75">
        <f>'THAM_SO_MOI'!$D$52</f>
        <v>1.1774754878398197</v>
      </c>
      <c r="I2580" s="75">
        <f>IF(F2580&gt;'THAM_SO_MOI'!$C$14,'THAM_SO_MOI'!$C$13*(1+F2580^2/1500),'THAM_SO_MOI'!$C$13)</f>
        <v>0.015</v>
      </c>
      <c r="J2580" s="75">
        <f>'THAM_SO_MOI'!$C$40*('THAM_SO_MOI'!$C$23*(E2580/'THAM_SO_MOI'!$C$22)+'THAM_SO_MOI'!$C$24*(E2580/'THAM_SO_MOI'!$C$22)^2-'THAM_SO_MOI'!$C$25*(E2580/'THAM_SO_MOI'!$C$22)^3)</f>
        <v>76.69946261585996</v>
      </c>
      <c r="K2580" s="75">
        <f>'THAM_SO_MOI'!$C$31*J2580/E2580</f>
        <v>421.25726522404676</v>
      </c>
      <c r="L2580" s="75">
        <f>K2580*'THAM_SO_MOI'!$C$52*'THAM_SO_MOI'!$C$17/'THAM_SO_MOI'!$C$26</f>
        <v>5898.961073355366</v>
      </c>
      <c r="M2580" s="75">
        <f>'THAM_SO_MOI'!$C$15*'THAM_SO_MOI'!$C$16*F2580^2</f>
        <v>357.4054544420815</v>
      </c>
      <c r="N2580" s="75">
        <f>'THAM_SO_MOI'!$C$12*I2580</f>
        <v>1130.112</v>
      </c>
      <c r="O2580" s="75">
        <f>M2580+N2580</f>
        <v>1487.5174544420815</v>
      </c>
      <c r="P2580" s="75">
        <f>(MIN(L2580,'THAM_SO_MOI'!$C$41)-O2580)/('THAM_SO_MOI'!$C$11*H2580)</f>
        <v>0.48782902671414924</v>
      </c>
      <c r="Q2580" s="75">
        <f>IF(P2580&gt;0,1/P2580,NA())</f>
        <v>2.0498985202575186</v>
      </c>
      <c r="R2580" s="75">
        <f>F2580-F2579</f>
        <v>0.007943393307218827</v>
      </c>
      <c r="S2580" s="75">
        <f>0.5*(Q2579+Q2580)*R2580</f>
        <v>0.016283544466179602</v>
      </c>
      <c r="T2580" s="75">
        <f>0.5*(F2579*Q2579+F2580*Q2580)*R2580</f>
        <v>0.17993287656248008</v>
      </c>
      <c r="U2580" s="76">
        <f>U2579+S2580</f>
        <v>15.774121581461294</v>
      </c>
      <c r="V2580" s="76">
        <f>V2579+T2580</f>
        <v>105.10132588198134</v>
      </c>
    </row>
    <row r="2581" spans="1:22" ht="19" customHeight="1">
      <c r="A2581" s="68" t="s">
        <v>376</v>
      </c>
      <c r="B2581" s="74">
        <v>4</v>
      </c>
      <c r="C2581" s="68" t="s">
        <v>363</v>
      </c>
      <c r="D2581" s="68" t="s">
        <v>364</v>
      </c>
      <c r="E2581" s="75">
        <f>60*F2581*'THAM_SO_MOI'!$C$52/(2*PI()*'THAM_SO_MOI'!$C$26)</f>
        <v>1740.2442530972762</v>
      </c>
      <c r="F2581" s="75">
        <f>'HANH_TRINH'!$F$2468+('THAM_SO_MOI'!$F$52-'HANH_TRINH'!$F$2468)*112/'THAM_SO_MOI'!$C$42</f>
        <v>11.061897389708587</v>
      </c>
      <c r="G2581" s="75">
        <f>3.6*F2581</f>
        <v>39.822830602950916</v>
      </c>
      <c r="H2581" s="75">
        <f>'THAM_SO_MOI'!$D$52</f>
        <v>1.1774754878398197</v>
      </c>
      <c r="I2581" s="75">
        <f>IF(F2581&gt;'THAM_SO_MOI'!$C$14,'THAM_SO_MOI'!$C$13*(1+F2581^2/1500),'THAM_SO_MOI'!$C$13)</f>
        <v>0.015</v>
      </c>
      <c r="J2581" s="75">
        <f>'THAM_SO_MOI'!$C$40*('THAM_SO_MOI'!$C$23*(E2581/'THAM_SO_MOI'!$C$22)+'THAM_SO_MOI'!$C$24*(E2581/'THAM_SO_MOI'!$C$22)^2-'THAM_SO_MOI'!$C$25*(E2581/'THAM_SO_MOI'!$C$22)^3)</f>
        <v>76.76401217963209</v>
      </c>
      <c r="K2581" s="75">
        <f>'THAM_SO_MOI'!$C$31*J2581/E2581</f>
        <v>421.30903796019794</v>
      </c>
      <c r="L2581" s="75">
        <f>K2581*'THAM_SO_MOI'!$C$52*'THAM_SO_MOI'!$C$17/'THAM_SO_MOI'!$C$26</f>
        <v>5899.68605872756</v>
      </c>
      <c r="M2581" s="75">
        <f>'THAM_SO_MOI'!$C$15*'THAM_SO_MOI'!$C$16*F2581^2</f>
        <v>357.91930354179186</v>
      </c>
      <c r="N2581" s="75">
        <f>'THAM_SO_MOI'!$C$12*I2581</f>
        <v>1130.112</v>
      </c>
      <c r="O2581" s="75">
        <f>M2581+N2581</f>
        <v>1488.0313035417919</v>
      </c>
      <c r="P2581" s="75">
        <f>(MIN(L2581,'THAM_SO_MOI'!$C$41)-O2581)/('THAM_SO_MOI'!$C$11*H2581)</f>
        <v>0.4878523747179337</v>
      </c>
      <c r="Q2581" s="75">
        <f>IF(P2581&gt;0,1/P2581,NA())</f>
        <v>2.0498004146811413</v>
      </c>
      <c r="R2581" s="75">
        <f>F2581-F2580</f>
        <v>0.007943393307218827</v>
      </c>
      <c r="S2581" s="75">
        <f>0.5*(Q2580+Q2581)*R2581</f>
        <v>0.016282760540701952</v>
      </c>
      <c r="T2581" s="75">
        <f>0.5*(F2580*Q2580+F2581*Q2581)*R2581</f>
        <v>0.1800535545893358</v>
      </c>
      <c r="U2581" s="76">
        <f>U2580+S2581</f>
        <v>15.790404342001997</v>
      </c>
      <c r="V2581" s="76">
        <f>V2580+T2581</f>
        <v>105.28137943657067</v>
      </c>
    </row>
    <row r="2582" spans="1:22" ht="19" customHeight="1">
      <c r="A2582" s="68" t="s">
        <v>376</v>
      </c>
      <c r="B2582" s="74">
        <v>4</v>
      </c>
      <c r="C2582" s="68" t="s">
        <v>363</v>
      </c>
      <c r="D2582" s="68" t="s">
        <v>364</v>
      </c>
      <c r="E2582" s="75">
        <f>60*F2582*'THAM_SO_MOI'!$C$52/(2*PI()*'THAM_SO_MOI'!$C$26)</f>
        <v>1741.4938980782395</v>
      </c>
      <c r="F2582" s="75">
        <f>'HANH_TRINH'!$F$2468+('THAM_SO_MOI'!$F$52-'HANH_TRINH'!$F$2468)*113/'THAM_SO_MOI'!$C$42</f>
        <v>11.069840783015808</v>
      </c>
      <c r="G2582" s="75">
        <f>3.6*F2582</f>
        <v>39.85142681885691</v>
      </c>
      <c r="H2582" s="75">
        <f>'THAM_SO_MOI'!$D$52</f>
        <v>1.1774754878398197</v>
      </c>
      <c r="I2582" s="75">
        <f>IF(F2582&gt;'THAM_SO_MOI'!$C$14,'THAM_SO_MOI'!$C$13*(1+F2582^2/1500),'THAM_SO_MOI'!$C$13)</f>
        <v>0.015</v>
      </c>
      <c r="J2582" s="75">
        <f>'THAM_SO_MOI'!$C$40*('THAM_SO_MOI'!$C$23*(E2582/'THAM_SO_MOI'!$C$22)+'THAM_SO_MOI'!$C$24*(E2582/'THAM_SO_MOI'!$C$22)^2-'THAM_SO_MOI'!$C$25*(E2582/'THAM_SO_MOI'!$C$22)^3)</f>
        <v>76.82854766745545</v>
      </c>
      <c r="K2582" s="75">
        <f>'THAM_SO_MOI'!$C$31*J2582/E2582</f>
        <v>421.3606591966215</v>
      </c>
      <c r="L2582" s="75">
        <f>K2582*'THAM_SO_MOI'!$C$52*'THAM_SO_MOI'!$C$17/'THAM_SO_MOI'!$C$26</f>
        <v>5900.408922614688</v>
      </c>
      <c r="M2582" s="75">
        <f>'THAM_SO_MOI'!$C$15*'THAM_SO_MOI'!$C$16*F2582^2</f>
        <v>358.4335217618611</v>
      </c>
      <c r="N2582" s="75">
        <f>'THAM_SO_MOI'!$C$12*I2582</f>
        <v>1130.112</v>
      </c>
      <c r="O2582" s="75">
        <f>M2582+N2582</f>
        <v>1488.5455217618612</v>
      </c>
      <c r="P2582" s="75">
        <f>(MIN(L2582,'THAM_SO_MOI'!$C$41)-O2582)/('THAM_SO_MOI'!$C$11*H2582)</f>
        <v>0.48787544730402627</v>
      </c>
      <c r="Q2582" s="75">
        <f>IF(P2582&gt;0,1/P2582,NA())</f>
        <v>2.049703475602117</v>
      </c>
      <c r="R2582" s="75">
        <f>F2582-F2581</f>
        <v>0.007943393307220603</v>
      </c>
      <c r="S2582" s="75">
        <f>0.5*(Q2581+Q2582)*R2582</f>
        <v>0.01628198588250043</v>
      </c>
      <c r="T2582" s="75">
        <f>0.5*(F2581*Q2581+F2582*Q2582)*R2582</f>
        <v>0.18017432271259393</v>
      </c>
      <c r="U2582" s="76">
        <f>U2581+S2582</f>
        <v>15.806686327884497</v>
      </c>
      <c r="V2582" s="76">
        <f>V2581+T2582</f>
        <v>105.46155375928326</v>
      </c>
    </row>
    <row r="2583" spans="1:22" ht="19" customHeight="1">
      <c r="A2583" s="68" t="s">
        <v>376</v>
      </c>
      <c r="B2583" s="74">
        <v>4</v>
      </c>
      <c r="C2583" s="68" t="s">
        <v>363</v>
      </c>
      <c r="D2583" s="68" t="s">
        <v>364</v>
      </c>
      <c r="E2583" s="75">
        <f>60*F2583*'THAM_SO_MOI'!$C$52/(2*PI()*'THAM_SO_MOI'!$C$26)</f>
        <v>1742.7435430592025</v>
      </c>
      <c r="F2583" s="75">
        <f>'HANH_TRINH'!$F$2468+('THAM_SO_MOI'!$F$52-'HANH_TRINH'!$F$2468)*114/'THAM_SO_MOI'!$C$42</f>
        <v>11.077784176323027</v>
      </c>
      <c r="G2583" s="75">
        <f>3.6*F2583</f>
        <v>39.8800230347629</v>
      </c>
      <c r="H2583" s="75">
        <f>'THAM_SO_MOI'!$D$52</f>
        <v>1.1774754878398197</v>
      </c>
      <c r="I2583" s="75">
        <f>IF(F2583&gt;'THAM_SO_MOI'!$C$14,'THAM_SO_MOI'!$C$13*(1+F2583^2/1500),'THAM_SO_MOI'!$C$13)</f>
        <v>0.015</v>
      </c>
      <c r="J2583" s="75">
        <f>'THAM_SO_MOI'!$C$40*('THAM_SO_MOI'!$C$23*(E2583/'THAM_SO_MOI'!$C$22)+'THAM_SO_MOI'!$C$24*(E2583/'THAM_SO_MOI'!$C$22)^2-'THAM_SO_MOI'!$C$25*(E2583/'THAM_SO_MOI'!$C$22)^3)</f>
        <v>76.89306901986438</v>
      </c>
      <c r="K2583" s="75">
        <f>'THAM_SO_MOI'!$C$31*J2583/E2583</f>
        <v>421.41212893331766</v>
      </c>
      <c r="L2583" s="75">
        <f>K2583*'THAM_SO_MOI'!$C$52*'THAM_SO_MOI'!$C$17/'THAM_SO_MOI'!$C$26</f>
        <v>5901.129665016756</v>
      </c>
      <c r="M2583" s="75">
        <f>'THAM_SO_MOI'!$C$15*'THAM_SO_MOI'!$C$16*F2583^2</f>
        <v>358.94810910228904</v>
      </c>
      <c r="N2583" s="75">
        <f>'THAM_SO_MOI'!$C$12*I2583</f>
        <v>1130.112</v>
      </c>
      <c r="O2583" s="75">
        <f>M2583+N2583</f>
        <v>1489.060109102289</v>
      </c>
      <c r="P2583" s="75">
        <f>(MIN(L2583,'THAM_SO_MOI'!$C$41)-O2583)/('THAM_SO_MOI'!$C$11*H2583)</f>
        <v>0.4878982444724273</v>
      </c>
      <c r="Q2583" s="75">
        <f>IF(P2583&gt;0,1/P2583,NA())</f>
        <v>2.0496077026907877</v>
      </c>
      <c r="R2583" s="75">
        <f>F2583-F2582</f>
        <v>0.007943393307218827</v>
      </c>
      <c r="S2583" s="75">
        <f>0.5*(Q2582+Q2583)*R2583</f>
        <v>0.01628122048892959</v>
      </c>
      <c r="T2583" s="75">
        <f>0.5*(F2582*Q2582+F2583*Q2583)*R2583</f>
        <v>0.18029518112380014</v>
      </c>
      <c r="U2583" s="76">
        <f>U2582+S2583</f>
        <v>15.822967548373427</v>
      </c>
      <c r="V2583" s="76">
        <f>V2582+T2583</f>
        <v>105.64184894040706</v>
      </c>
    </row>
    <row r="2584" spans="1:22" ht="19" customHeight="1">
      <c r="A2584" s="68" t="s">
        <v>376</v>
      </c>
      <c r="B2584" s="74">
        <v>4</v>
      </c>
      <c r="C2584" s="68" t="s">
        <v>363</v>
      </c>
      <c r="D2584" s="68" t="s">
        <v>364</v>
      </c>
      <c r="E2584" s="75">
        <f>60*F2584*'THAM_SO_MOI'!$C$52/(2*PI()*'THAM_SO_MOI'!$C$26)</f>
        <v>1743.9931880401657</v>
      </c>
      <c r="F2584" s="75">
        <f>'HANH_TRINH'!$F$2468+('THAM_SO_MOI'!$F$52-'HANH_TRINH'!$F$2468)*115/'THAM_SO_MOI'!$C$42</f>
        <v>11.085727569630246</v>
      </c>
      <c r="G2584" s="75">
        <f>3.6*F2584</f>
        <v>39.908619250668885</v>
      </c>
      <c r="H2584" s="75">
        <f>'THAM_SO_MOI'!$D$52</f>
        <v>1.1774754878398197</v>
      </c>
      <c r="I2584" s="75">
        <f>IF(F2584&gt;'THAM_SO_MOI'!$C$14,'THAM_SO_MOI'!$C$13*(1+F2584^2/1500),'THAM_SO_MOI'!$C$13)</f>
        <v>0.015</v>
      </c>
      <c r="J2584" s="75">
        <f>'THAM_SO_MOI'!$C$40*('THAM_SO_MOI'!$C$23*(E2584/'THAM_SO_MOI'!$C$22)+'THAM_SO_MOI'!$C$24*(E2584/'THAM_SO_MOI'!$C$22)^2-'THAM_SO_MOI'!$C$25*(E2584/'THAM_SO_MOI'!$C$22)^3)</f>
        <v>76.95757617739322</v>
      </c>
      <c r="K2584" s="75">
        <f>'THAM_SO_MOI'!$C$31*J2584/E2584</f>
        <v>421.4634471702864</v>
      </c>
      <c r="L2584" s="75">
        <f>K2584*'THAM_SO_MOI'!$C$52*'THAM_SO_MOI'!$C$17/'THAM_SO_MOI'!$C$26</f>
        <v>5901.848285933765</v>
      </c>
      <c r="M2584" s="75">
        <f>'THAM_SO_MOI'!$C$15*'THAM_SO_MOI'!$C$16*F2584^2</f>
        <v>359.4630655630759</v>
      </c>
      <c r="N2584" s="75">
        <f>'THAM_SO_MOI'!$C$12*I2584</f>
        <v>1130.112</v>
      </c>
      <c r="O2584" s="75">
        <f>M2584+N2584</f>
        <v>1489.575065563076</v>
      </c>
      <c r="P2584" s="75">
        <f>(MIN(L2584,'THAM_SO_MOI'!$C$41)-O2584)/('THAM_SO_MOI'!$C$11*H2584)</f>
        <v>0.4879207662231369</v>
      </c>
      <c r="Q2584" s="75">
        <f>IF(P2584&gt;0,1/P2584,NA())</f>
        <v>2.049513095621509</v>
      </c>
      <c r="R2584" s="75">
        <f>F2584-F2583</f>
        <v>0.007943393307218827</v>
      </c>
      <c r="S2584" s="75">
        <f>0.5*(Q2583+Q2584)*R2584</f>
        <v>0.0162804643573977</v>
      </c>
      <c r="T2584" s="75">
        <f>0.5*(F2583*Q2583+F2584*Q2584)*R2584</f>
        <v>0.1804161300150114</v>
      </c>
      <c r="U2584" s="76">
        <f>U2583+S2584</f>
        <v>15.839248012730824</v>
      </c>
      <c r="V2584" s="76">
        <f>V2583+T2584</f>
        <v>105.82226507042208</v>
      </c>
    </row>
    <row r="2585" spans="1:22" ht="19" customHeight="1">
      <c r="A2585" s="68" t="s">
        <v>376</v>
      </c>
      <c r="B2585" s="74">
        <v>4</v>
      </c>
      <c r="C2585" s="68" t="s">
        <v>363</v>
      </c>
      <c r="D2585" s="68" t="s">
        <v>364</v>
      </c>
      <c r="E2585" s="75">
        <f>60*F2585*'THAM_SO_MOI'!$C$52/(2*PI()*'THAM_SO_MOI'!$C$26)</f>
        <v>1745.2428330211292</v>
      </c>
      <c r="F2585" s="75">
        <f>'HANH_TRINH'!$F$2468+('THAM_SO_MOI'!$F$52-'HANH_TRINH'!$F$2468)*116/'THAM_SO_MOI'!$C$42</f>
        <v>11.093670962937466</v>
      </c>
      <c r="G2585" s="75">
        <f>3.6*F2585</f>
        <v>39.93721546657488</v>
      </c>
      <c r="H2585" s="75">
        <f>'THAM_SO_MOI'!$D$52</f>
        <v>1.1774754878398197</v>
      </c>
      <c r="I2585" s="75">
        <f>IF(F2585&gt;'THAM_SO_MOI'!$C$14,'THAM_SO_MOI'!$C$13*(1+F2585^2/1500),'THAM_SO_MOI'!$C$13)</f>
        <v>0.015</v>
      </c>
      <c r="J2585" s="75">
        <f>'THAM_SO_MOI'!$C$40*('THAM_SO_MOI'!$C$23*(E2585/'THAM_SO_MOI'!$C$22)+'THAM_SO_MOI'!$C$24*(E2585/'THAM_SO_MOI'!$C$22)^2-'THAM_SO_MOI'!$C$25*(E2585/'THAM_SO_MOI'!$C$22)^3)</f>
        <v>77.02206908057623</v>
      </c>
      <c r="K2585" s="75">
        <f>'THAM_SO_MOI'!$C$31*J2585/E2585</f>
        <v>421.51461390752746</v>
      </c>
      <c r="L2585" s="75">
        <f>K2585*'THAM_SO_MOI'!$C$52*'THAM_SO_MOI'!$C$17/'THAM_SO_MOI'!$C$26</f>
        <v>5902.564785365709</v>
      </c>
      <c r="M2585" s="75">
        <f>'THAM_SO_MOI'!$C$15*'THAM_SO_MOI'!$C$16*F2585^2</f>
        <v>359.9783911442216</v>
      </c>
      <c r="N2585" s="75">
        <f>'THAM_SO_MOI'!$C$12*I2585</f>
        <v>1130.112</v>
      </c>
      <c r="O2585" s="75">
        <f>M2585+N2585</f>
        <v>1490.0903911442217</v>
      </c>
      <c r="P2585" s="75">
        <f>(MIN(L2585,'THAM_SO_MOI'!$C$41)-O2585)/('THAM_SO_MOI'!$C$11*H2585)</f>
        <v>0.4879430125561547</v>
      </c>
      <c r="Q2585" s="75">
        <f>IF(P2585&gt;0,1/P2585,NA())</f>
        <v>2.0494196540726475</v>
      </c>
      <c r="R2585" s="75">
        <f>F2585-F2584</f>
        <v>0.007943393307220603</v>
      </c>
      <c r="S2585" s="75">
        <f>0.5*(Q2584+Q2585)*R2585</f>
        <v>0.016279717485333956</v>
      </c>
      <c r="T2585" s="75">
        <f>0.5*(F2584*Q2584+F2585*Q2585)*R2585</f>
        <v>0.18053716957843444</v>
      </c>
      <c r="U2585" s="76">
        <f>U2584+S2585</f>
        <v>15.855527730216158</v>
      </c>
      <c r="V2585" s="76">
        <f>V2584+T2585</f>
        <v>106.0028022400005</v>
      </c>
    </row>
    <row r="2586" spans="1:22" ht="19" customHeight="1">
      <c r="A2586" s="68" t="s">
        <v>376</v>
      </c>
      <c r="B2586" s="74">
        <v>4</v>
      </c>
      <c r="C2586" s="68" t="s">
        <v>363</v>
      </c>
      <c r="D2586" s="68" t="s">
        <v>364</v>
      </c>
      <c r="E2586" s="75">
        <f>60*F2586*'THAM_SO_MOI'!$C$52/(2*PI()*'THAM_SO_MOI'!$C$26)</f>
        <v>1746.4924780020924</v>
      </c>
      <c r="F2586" s="75">
        <f>'HANH_TRINH'!$F$2468+('THAM_SO_MOI'!$F$52-'HANH_TRINH'!$F$2468)*117/'THAM_SO_MOI'!$C$42</f>
        <v>11.101614356244685</v>
      </c>
      <c r="G2586" s="75">
        <f>3.6*F2586</f>
        <v>39.96581168248087</v>
      </c>
      <c r="H2586" s="75">
        <f>'THAM_SO_MOI'!$D$52</f>
        <v>1.1774754878398197</v>
      </c>
      <c r="I2586" s="75">
        <f>IF(F2586&gt;'THAM_SO_MOI'!$C$14,'THAM_SO_MOI'!$C$13*(1+F2586^2/1500),'THAM_SO_MOI'!$C$13)</f>
        <v>0.015</v>
      </c>
      <c r="J2586" s="75">
        <f>'THAM_SO_MOI'!$C$40*('THAM_SO_MOI'!$C$23*(E2586/'THAM_SO_MOI'!$C$22)+'THAM_SO_MOI'!$C$24*(E2586/'THAM_SO_MOI'!$C$22)^2-'THAM_SO_MOI'!$C$25*(E2586/'THAM_SO_MOI'!$C$22)^3)</f>
        <v>77.08654766994778</v>
      </c>
      <c r="K2586" s="75">
        <f>'THAM_SO_MOI'!$C$31*J2586/E2586</f>
        <v>421.56562914504127</v>
      </c>
      <c r="L2586" s="75">
        <f>K2586*'THAM_SO_MOI'!$C$52*'THAM_SO_MOI'!$C$17/'THAM_SO_MOI'!$C$26</f>
        <v>5903.279163312597</v>
      </c>
      <c r="M2586" s="75">
        <f>'THAM_SO_MOI'!$C$15*'THAM_SO_MOI'!$C$16*F2586^2</f>
        <v>360.4940858457259</v>
      </c>
      <c r="N2586" s="75">
        <f>'THAM_SO_MOI'!$C$12*I2586</f>
        <v>1130.112</v>
      </c>
      <c r="O2586" s="75">
        <f>M2586+N2586</f>
        <v>1490.606085845726</v>
      </c>
      <c r="P2586" s="75">
        <f>(MIN(L2586,'THAM_SO_MOI'!$C$41)-O2586)/('THAM_SO_MOI'!$C$11*H2586)</f>
        <v>0.4879649834714815</v>
      </c>
      <c r="Q2586" s="75">
        <f>IF(P2586&gt;0,1/P2586,NA())</f>
        <v>2.0493273777265695</v>
      </c>
      <c r="R2586" s="75">
        <f>F2586-F2585</f>
        <v>0.007943393307218827</v>
      </c>
      <c r="S2586" s="75">
        <f>0.5*(Q2585+Q2586)*R2586</f>
        <v>0.016278979870188465</v>
      </c>
      <c r="T2586" s="75">
        <f>0.5*(F2585*Q2585+F2586*Q2586)*R2586</f>
        <v>0.1806583000064263</v>
      </c>
      <c r="U2586" s="76">
        <f>U2585+S2586</f>
        <v>15.871806710086346</v>
      </c>
      <c r="V2586" s="76">
        <f>V2585+T2586</f>
        <v>106.18346054000693</v>
      </c>
    </row>
    <row r="2587" spans="1:22" ht="19" customHeight="1">
      <c r="A2587" s="68" t="s">
        <v>376</v>
      </c>
      <c r="B2587" s="74">
        <v>4</v>
      </c>
      <c r="C2587" s="68" t="s">
        <v>363</v>
      </c>
      <c r="D2587" s="68" t="s">
        <v>364</v>
      </c>
      <c r="E2587" s="75">
        <f>60*F2587*'THAM_SO_MOI'!$C$52/(2*PI()*'THAM_SO_MOI'!$C$26)</f>
        <v>1747.7421229830557</v>
      </c>
      <c r="F2587" s="75">
        <f>'HANH_TRINH'!$F$2468+('THAM_SO_MOI'!$F$52-'HANH_TRINH'!$F$2468)*118/'THAM_SO_MOI'!$C$42</f>
        <v>11.109557749551904</v>
      </c>
      <c r="G2587" s="75">
        <f>3.6*F2587</f>
        <v>39.994407898386854</v>
      </c>
      <c r="H2587" s="75">
        <f>'THAM_SO_MOI'!$D$52</f>
        <v>1.1774754878398197</v>
      </c>
      <c r="I2587" s="75">
        <f>IF(F2587&gt;'THAM_SO_MOI'!$C$14,'THAM_SO_MOI'!$C$13*(1+F2587^2/1500),'THAM_SO_MOI'!$C$13)</f>
        <v>0.015</v>
      </c>
      <c r="J2587" s="75">
        <f>'THAM_SO_MOI'!$C$40*('THAM_SO_MOI'!$C$23*(E2587/'THAM_SO_MOI'!$C$22)+'THAM_SO_MOI'!$C$24*(E2587/'THAM_SO_MOI'!$C$22)^2-'THAM_SO_MOI'!$C$25*(E2587/'THAM_SO_MOI'!$C$22)^3)</f>
        <v>77.15101188604211</v>
      </c>
      <c r="K2587" s="75">
        <f>'THAM_SO_MOI'!$C$31*J2587/E2587</f>
        <v>421.6164928828274</v>
      </c>
      <c r="L2587" s="75">
        <f>K2587*'THAM_SO_MOI'!$C$52*'THAM_SO_MOI'!$C$17/'THAM_SO_MOI'!$C$26</f>
        <v>5903.99141977442</v>
      </c>
      <c r="M2587" s="75">
        <f>'THAM_SO_MOI'!$C$15*'THAM_SO_MOI'!$C$16*F2587^2</f>
        <v>361.01014966758913</v>
      </c>
      <c r="N2587" s="75">
        <f>'THAM_SO_MOI'!$C$12*I2587</f>
        <v>1130.112</v>
      </c>
      <c r="O2587" s="75">
        <f>M2587+N2587</f>
        <v>1491.1221496675892</v>
      </c>
      <c r="P2587" s="75">
        <f>(MIN(L2587,'THAM_SO_MOI'!$C$41)-O2587)/('THAM_SO_MOI'!$C$11*H2587)</f>
        <v>0.4879866789691163</v>
      </c>
      <c r="Q2587" s="75">
        <f>IF(P2587&gt;0,1/P2587,NA())</f>
        <v>2.0492362662696535</v>
      </c>
      <c r="R2587" s="75">
        <f>F2587-F2586</f>
        <v>0.007943393307218827</v>
      </c>
      <c r="S2587" s="75">
        <f>0.5*(Q2586+Q2587)*R2587</f>
        <v>0.016278251509465002</v>
      </c>
      <c r="T2587" s="75">
        <f>0.5*(F2586*Q2586+F2587*Q2587)*R2587</f>
        <v>0.18077952149185889</v>
      </c>
      <c r="U2587" s="76">
        <f>U2586+S2587</f>
        <v>15.888084961595812</v>
      </c>
      <c r="V2587" s="76">
        <f>V2586+T2587</f>
        <v>106.36424006149879</v>
      </c>
    </row>
    <row r="2588" spans="1:22" ht="19" customHeight="1">
      <c r="A2588" s="68" t="s">
        <v>376</v>
      </c>
      <c r="B2588" s="74">
        <v>4</v>
      </c>
      <c r="C2588" s="68" t="s">
        <v>363</v>
      </c>
      <c r="D2588" s="68" t="s">
        <v>364</v>
      </c>
      <c r="E2588" s="75">
        <f>60*F2588*'THAM_SO_MOI'!$C$52/(2*PI()*'THAM_SO_MOI'!$C$26)</f>
        <v>1748.9917679640191</v>
      </c>
      <c r="F2588" s="75">
        <f>'HANH_TRINH'!$F$2468+('THAM_SO_MOI'!$F$52-'HANH_TRINH'!$F$2468)*119/'THAM_SO_MOI'!$C$42</f>
        <v>11.117501142859124</v>
      </c>
      <c r="G2588" s="75">
        <f>3.6*F2588</f>
        <v>40.023004114292846</v>
      </c>
      <c r="H2588" s="75">
        <f>'THAM_SO_MOI'!$D$52</f>
        <v>1.1774754878398197</v>
      </c>
      <c r="I2588" s="75">
        <f>IF(F2588&gt;'THAM_SO_MOI'!$C$14,'THAM_SO_MOI'!$C$13*(1+F2588^2/1500),'THAM_SO_MOI'!$C$13)</f>
        <v>0.015</v>
      </c>
      <c r="J2588" s="75">
        <f>'THAM_SO_MOI'!$C$40*('THAM_SO_MOI'!$C$23*(E2588/'THAM_SO_MOI'!$C$22)+'THAM_SO_MOI'!$C$24*(E2588/'THAM_SO_MOI'!$C$22)^2-'THAM_SO_MOI'!$C$25*(E2588/'THAM_SO_MOI'!$C$22)^3)</f>
        <v>77.2154616693936</v>
      </c>
      <c r="K2588" s="75">
        <f>'THAM_SO_MOI'!$C$31*J2588/E2588</f>
        <v>421.66720512088614</v>
      </c>
      <c r="L2588" s="75">
        <f>K2588*'THAM_SO_MOI'!$C$52*'THAM_SO_MOI'!$C$17/'THAM_SO_MOI'!$C$26</f>
        <v>5904.701554751183</v>
      </c>
      <c r="M2588" s="75">
        <f>'THAM_SO_MOI'!$C$15*'THAM_SO_MOI'!$C$16*F2588^2</f>
        <v>361.5265826098113</v>
      </c>
      <c r="N2588" s="75">
        <f>'THAM_SO_MOI'!$C$12*I2588</f>
        <v>1130.112</v>
      </c>
      <c r="O2588" s="75">
        <f>M2588+N2588</f>
        <v>1491.6385826098115</v>
      </c>
      <c r="P2588" s="75">
        <f>(MIN(L2588,'THAM_SO_MOI'!$C$41)-O2588)/('THAM_SO_MOI'!$C$11*H2588)</f>
        <v>0.48800809904905956</v>
      </c>
      <c r="Q2588" s="75">
        <f>IF(P2588&gt;0,1/P2588,NA())</f>
        <v>2.0491463193922725</v>
      </c>
      <c r="R2588" s="75">
        <f>F2588-F2587</f>
        <v>0.007943393307220603</v>
      </c>
      <c r="S2588" s="75">
        <f>0.5*(Q2587+Q2588)*R2588</f>
        <v>0.016277532400688206</v>
      </c>
      <c r="T2588" s="75">
        <f>0.5*(F2587*Q2587+F2588*Q2588)*R2588</f>
        <v>0.180900834227757</v>
      </c>
      <c r="U2588" s="76">
        <f>U2587+S2588</f>
        <v>15.9043624939965</v>
      </c>
      <c r="V2588" s="76">
        <f>V2587+T2588</f>
        <v>106.54514089572655</v>
      </c>
    </row>
    <row r="2589" spans="1:22" ht="19" customHeight="1">
      <c r="A2589" s="68" t="s">
        <v>376</v>
      </c>
      <c r="B2589" s="74">
        <v>4</v>
      </c>
      <c r="C2589" s="68" t="s">
        <v>363</v>
      </c>
      <c r="D2589" s="68" t="s">
        <v>364</v>
      </c>
      <c r="E2589" s="75">
        <f>60*F2589*'THAM_SO_MOI'!$C$52/(2*PI()*'THAM_SO_MOI'!$C$26)</f>
        <v>1750.241412944982</v>
      </c>
      <c r="F2589" s="75">
        <f>'HANH_TRINH'!$F$2468+('THAM_SO_MOI'!$F$52-'HANH_TRINH'!$F$2468)*120/'THAM_SO_MOI'!$C$42</f>
        <v>11.125444536166343</v>
      </c>
      <c r="G2589" s="75">
        <f>3.6*F2589</f>
        <v>40.05160033019884</v>
      </c>
      <c r="H2589" s="75">
        <f>'THAM_SO_MOI'!$D$52</f>
        <v>1.1774754878398197</v>
      </c>
      <c r="I2589" s="75">
        <f>IF(F2589&gt;'THAM_SO_MOI'!$C$14,'THAM_SO_MOI'!$C$13*(1+F2589^2/1500),'THAM_SO_MOI'!$C$13)</f>
        <v>0.015</v>
      </c>
      <c r="J2589" s="75">
        <f>'THAM_SO_MOI'!$C$40*('THAM_SO_MOI'!$C$23*(E2589/'THAM_SO_MOI'!$C$22)+'THAM_SO_MOI'!$C$24*(E2589/'THAM_SO_MOI'!$C$22)^2-'THAM_SO_MOI'!$C$25*(E2589/'THAM_SO_MOI'!$C$22)^3)</f>
        <v>77.27989696053656</v>
      </c>
      <c r="K2589" s="75">
        <f>'THAM_SO_MOI'!$C$31*J2589/E2589</f>
        <v>421.71776585921765</v>
      </c>
      <c r="L2589" s="75">
        <f>K2589*'THAM_SO_MOI'!$C$52*'THAM_SO_MOI'!$C$17/'THAM_SO_MOI'!$C$26</f>
        <v>5905.409568242889</v>
      </c>
      <c r="M2589" s="75">
        <f>'THAM_SO_MOI'!$C$15*'THAM_SO_MOI'!$C$16*F2589^2</f>
        <v>362.0433846723921</v>
      </c>
      <c r="N2589" s="75">
        <f>'THAM_SO_MOI'!$C$12*I2589</f>
        <v>1130.112</v>
      </c>
      <c r="O2589" s="75">
        <f>M2589+N2589</f>
        <v>1492.1553846723923</v>
      </c>
      <c r="P2589" s="75">
        <f>(MIN(L2589,'THAM_SO_MOI'!$C$41)-O2589)/('THAM_SO_MOI'!$C$11*H2589)</f>
        <v>0.48802924371131184</v>
      </c>
      <c r="Q2589" s="75">
        <f>IF(P2589&gt;0,1/P2589,NA())</f>
        <v>2.049057536788797</v>
      </c>
      <c r="R2589" s="75">
        <f>F2589-F2588</f>
        <v>0.007943393307218827</v>
      </c>
      <c r="S2589" s="75">
        <f>0.5*(Q2588+Q2589)*R2589</f>
        <v>0.016276822541403547</v>
      </c>
      <c r="T2589" s="75">
        <f>0.5*(F2588*Q2588+F2589*Q2589)*R2589</f>
        <v>0.18102223840729817</v>
      </c>
      <c r="U2589" s="76">
        <f>U2588+S2589</f>
        <v>15.920639316537903</v>
      </c>
      <c r="V2589" s="76">
        <f>V2588+T2589</f>
        <v>106.72616313413384</v>
      </c>
    </row>
    <row r="2590" spans="1:22" ht="19" customHeight="1">
      <c r="A2590" s="68" t="s">
        <v>376</v>
      </c>
      <c r="B2590" s="74">
        <v>4</v>
      </c>
      <c r="C2590" s="68" t="s">
        <v>363</v>
      </c>
      <c r="D2590" s="68" t="s">
        <v>364</v>
      </c>
      <c r="E2590" s="75">
        <f>60*F2590*'THAM_SO_MOI'!$C$52/(2*PI()*'THAM_SO_MOI'!$C$26)</f>
        <v>1751.4910579259451</v>
      </c>
      <c r="F2590" s="75">
        <f>'HANH_TRINH'!$F$2468+('THAM_SO_MOI'!$F$52-'HANH_TRINH'!$F$2468)*121/'THAM_SO_MOI'!$C$42</f>
        <v>11.133387929473562</v>
      </c>
      <c r="G2590" s="75">
        <f>3.6*F2590</f>
        <v>40.08019654610482</v>
      </c>
      <c r="H2590" s="75">
        <f>'THAM_SO_MOI'!$D$52</f>
        <v>1.1774754878398197</v>
      </c>
      <c r="I2590" s="75">
        <f>IF(F2590&gt;'THAM_SO_MOI'!$C$14,'THAM_SO_MOI'!$C$13*(1+F2590^2/1500),'THAM_SO_MOI'!$C$13)</f>
        <v>0.015</v>
      </c>
      <c r="J2590" s="75">
        <f>'THAM_SO_MOI'!$C$40*('THAM_SO_MOI'!$C$23*(E2590/'THAM_SO_MOI'!$C$22)+'THAM_SO_MOI'!$C$24*(E2590/'THAM_SO_MOI'!$C$22)^2-'THAM_SO_MOI'!$C$25*(E2590/'THAM_SO_MOI'!$C$22)^3)</f>
        <v>77.34431770000523</v>
      </c>
      <c r="K2590" s="75">
        <f>'THAM_SO_MOI'!$C$31*J2590/E2590</f>
        <v>421.7681750978213</v>
      </c>
      <c r="L2590" s="75">
        <f>K2590*'THAM_SO_MOI'!$C$52*'THAM_SO_MOI'!$C$17/'THAM_SO_MOI'!$C$26</f>
        <v>5906.115460249529</v>
      </c>
      <c r="M2590" s="75">
        <f>'THAM_SO_MOI'!$C$15*'THAM_SO_MOI'!$C$16*F2590^2</f>
        <v>362.56055585533176</v>
      </c>
      <c r="N2590" s="75">
        <f>'THAM_SO_MOI'!$C$12*I2590</f>
        <v>1130.112</v>
      </c>
      <c r="O2590" s="75">
        <f>M2590+N2590</f>
        <v>1492.672555855332</v>
      </c>
      <c r="P2590" s="75">
        <f>(MIN(L2590,'THAM_SO_MOI'!$C$41)-O2590)/('THAM_SO_MOI'!$C$11*H2590)</f>
        <v>0.488050112955872</v>
      </c>
      <c r="Q2590" s="75">
        <f>IF(P2590&gt;0,1/P2590,NA())</f>
        <v>2.0489699181575993</v>
      </c>
      <c r="R2590" s="75">
        <f>F2590-F2589</f>
        <v>0.007943393307218827</v>
      </c>
      <c r="S2590" s="75">
        <f>0.5*(Q2589+Q2590)*R2590</f>
        <v>0.016276121929210102</v>
      </c>
      <c r="T2590" s="75">
        <f>0.5*(F2589*Q2589+F2590*Q2590)*R2590</f>
        <v>0.18114373422417862</v>
      </c>
      <c r="U2590" s="76">
        <f>U2589+S2590</f>
        <v>15.936915438467112</v>
      </c>
      <c r="V2590" s="76">
        <f>V2589+T2590</f>
        <v>106.90730686835802</v>
      </c>
    </row>
    <row r="2591" spans="1:22" ht="19" customHeight="1">
      <c r="A2591" s="68" t="s">
        <v>376</v>
      </c>
      <c r="B2591" s="74">
        <v>4</v>
      </c>
      <c r="C2591" s="68" t="s">
        <v>363</v>
      </c>
      <c r="D2591" s="68" t="s">
        <v>364</v>
      </c>
      <c r="E2591" s="75">
        <f>60*F2591*'THAM_SO_MOI'!$C$52/(2*PI()*'THAM_SO_MOI'!$C$26)</f>
        <v>1752.7407029069086</v>
      </c>
      <c r="F2591" s="75">
        <f>'HANH_TRINH'!$F$2468+('THAM_SO_MOI'!$F$52-'HANH_TRINH'!$F$2468)*122/'THAM_SO_MOI'!$C$42</f>
        <v>11.141331322780783</v>
      </c>
      <c r="G2591" s="75">
        <f>3.6*F2591</f>
        <v>40.10879276201082</v>
      </c>
      <c r="H2591" s="75">
        <f>'THAM_SO_MOI'!$D$52</f>
        <v>1.1774754878398197</v>
      </c>
      <c r="I2591" s="75">
        <f>IF(F2591&gt;'THAM_SO_MOI'!$C$14,'THAM_SO_MOI'!$C$13*(1+F2591^2/1500),'THAM_SO_MOI'!$C$13)</f>
        <v>0.015</v>
      </c>
      <c r="J2591" s="75">
        <f>'THAM_SO_MOI'!$C$40*('THAM_SO_MOI'!$C$23*(E2591/'THAM_SO_MOI'!$C$22)+'THAM_SO_MOI'!$C$24*(E2591/'THAM_SO_MOI'!$C$22)^2-'THAM_SO_MOI'!$C$25*(E2591/'THAM_SO_MOI'!$C$22)^3)</f>
        <v>77.40872382833405</v>
      </c>
      <c r="K2591" s="75">
        <f>'THAM_SO_MOI'!$C$31*J2591/E2591</f>
        <v>421.81843283669775</v>
      </c>
      <c r="L2591" s="75">
        <f>K2591*'THAM_SO_MOI'!$C$52*'THAM_SO_MOI'!$C$17/'THAM_SO_MOI'!$C$26</f>
        <v>5906.819230771111</v>
      </c>
      <c r="M2591" s="75">
        <f>'THAM_SO_MOI'!$C$15*'THAM_SO_MOI'!$C$16*F2591^2</f>
        <v>363.0780961586304</v>
      </c>
      <c r="N2591" s="75">
        <f>'THAM_SO_MOI'!$C$12*I2591</f>
        <v>1130.112</v>
      </c>
      <c r="O2591" s="75">
        <f>M2591+N2591</f>
        <v>1493.1900961586305</v>
      </c>
      <c r="P2591" s="75">
        <f>(MIN(L2591,'THAM_SO_MOI'!$C$41)-O2591)/('THAM_SO_MOI'!$C$11*H2591)</f>
        <v>0.48807070678274084</v>
      </c>
      <c r="Q2591" s="75">
        <f>IF(P2591&gt;0,1/P2591,NA())</f>
        <v>2.048883463201037</v>
      </c>
      <c r="R2591" s="75">
        <f>F2591-F2590</f>
        <v>0.007943393307220603</v>
      </c>
      <c r="S2591" s="75">
        <f>0.5*(Q2590+Q2591)*R2591</f>
        <v>0.016275430561727755</v>
      </c>
      <c r="T2591" s="75">
        <f>0.5*(F2590*Q2590+F2591*Q2591)*R2591</f>
        <v>0.18126532187225014</v>
      </c>
      <c r="U2591" s="76">
        <f>U2590+S2591</f>
        <v>15.95319086902884</v>
      </c>
      <c r="V2591" s="76">
        <f>V2590+T2591</f>
        <v>107.08857219023027</v>
      </c>
    </row>
    <row r="2592" spans="1:22" ht="19" customHeight="1">
      <c r="A2592" s="68" t="s">
        <v>376</v>
      </c>
      <c r="B2592" s="74">
        <v>4</v>
      </c>
      <c r="C2592" s="68" t="s">
        <v>363</v>
      </c>
      <c r="D2592" s="68" t="s">
        <v>364</v>
      </c>
      <c r="E2592" s="75">
        <f>60*F2592*'THAM_SO_MOI'!$C$52/(2*PI()*'THAM_SO_MOI'!$C$26)</f>
        <v>1753.9903478878718</v>
      </c>
      <c r="F2592" s="75">
        <f>'HANH_TRINH'!$F$2468+('THAM_SO_MOI'!$F$52-'HANH_TRINH'!$F$2468)*123/'THAM_SO_MOI'!$C$42</f>
        <v>11.149274716088001</v>
      </c>
      <c r="G2592" s="75">
        <f>3.6*F2592</f>
        <v>40.13738897791681</v>
      </c>
      <c r="H2592" s="75">
        <f>'THAM_SO_MOI'!$D$52</f>
        <v>1.1774754878398197</v>
      </c>
      <c r="I2592" s="75">
        <f>IF(F2592&gt;'THAM_SO_MOI'!$C$14,'THAM_SO_MOI'!$C$13*(1+F2592^2/1500),'THAM_SO_MOI'!$C$13)</f>
        <v>0.015</v>
      </c>
      <c r="J2592" s="75">
        <f>'THAM_SO_MOI'!$C$40*('THAM_SO_MOI'!$C$23*(E2592/'THAM_SO_MOI'!$C$22)+'THAM_SO_MOI'!$C$24*(E2592/'THAM_SO_MOI'!$C$22)^2-'THAM_SO_MOI'!$C$25*(E2592/'THAM_SO_MOI'!$C$22)^3)</f>
        <v>77.47311528605721</v>
      </c>
      <c r="K2592" s="75">
        <f>'THAM_SO_MOI'!$C$31*J2592/E2592</f>
        <v>421.8685390758465</v>
      </c>
      <c r="L2592" s="75">
        <f>K2592*'THAM_SO_MOI'!$C$52*'THAM_SO_MOI'!$C$17/'THAM_SO_MOI'!$C$26</f>
        <v>5907.520879807628</v>
      </c>
      <c r="M2592" s="75">
        <f>'THAM_SO_MOI'!$C$15*'THAM_SO_MOI'!$C$16*F2592^2</f>
        <v>363.5960055822876</v>
      </c>
      <c r="N2592" s="75">
        <f>'THAM_SO_MOI'!$C$12*I2592</f>
        <v>1130.112</v>
      </c>
      <c r="O2592" s="75">
        <f>M2592+N2592</f>
        <v>1493.7080055822876</v>
      </c>
      <c r="P2592" s="75">
        <f>(MIN(L2592,'THAM_SO_MOI'!$C$41)-O2592)/('THAM_SO_MOI'!$C$11*H2592)</f>
        <v>0.4880910251919179</v>
      </c>
      <c r="Q2592" s="75">
        <f>IF(P2592&gt;0,1/P2592,NA())</f>
        <v>2.0487981716254646</v>
      </c>
      <c r="R2592" s="75">
        <f>F2592-F2591</f>
        <v>0.007943393307218827</v>
      </c>
      <c r="S2592" s="75">
        <f>0.5*(Q2591+Q2592)*R2592</f>
        <v>0.01627474843659717</v>
      </c>
      <c r="T2592" s="75">
        <f>0.5*(F2591*Q2591+F2592*Q2592)*R2592</f>
        <v>0.18138700154552032</v>
      </c>
      <c r="U2592" s="76">
        <f>U2591+S2592</f>
        <v>15.969465617465437</v>
      </c>
      <c r="V2592" s="76">
        <f>V2591+T2592</f>
        <v>107.26995919177578</v>
      </c>
    </row>
    <row r="2593" spans="1:22" ht="19" customHeight="1">
      <c r="A2593" s="68" t="s">
        <v>376</v>
      </c>
      <c r="B2593" s="74">
        <v>4</v>
      </c>
      <c r="C2593" s="68" t="s">
        <v>363</v>
      </c>
      <c r="D2593" s="68" t="s">
        <v>364</v>
      </c>
      <c r="E2593" s="75">
        <f>60*F2593*'THAM_SO_MOI'!$C$52/(2*PI()*'THAM_SO_MOI'!$C$26)</f>
        <v>1755.2399928688353</v>
      </c>
      <c r="F2593" s="75">
        <f>'HANH_TRINH'!$F$2468+('THAM_SO_MOI'!$F$52-'HANH_TRINH'!$F$2468)*124/'THAM_SO_MOI'!$C$42</f>
        <v>11.15721810939522</v>
      </c>
      <c r="G2593" s="75">
        <f>3.6*F2593</f>
        <v>40.16598519382279</v>
      </c>
      <c r="H2593" s="75">
        <f>'THAM_SO_MOI'!$D$52</f>
        <v>1.1774754878398197</v>
      </c>
      <c r="I2593" s="75">
        <f>IF(F2593&gt;'THAM_SO_MOI'!$C$14,'THAM_SO_MOI'!$C$13*(1+F2593^2/1500),'THAM_SO_MOI'!$C$13)</f>
        <v>0.015</v>
      </c>
      <c r="J2593" s="75">
        <f>'THAM_SO_MOI'!$C$40*('THAM_SO_MOI'!$C$23*(E2593/'THAM_SO_MOI'!$C$22)+'THAM_SO_MOI'!$C$24*(E2593/'THAM_SO_MOI'!$C$22)^2-'THAM_SO_MOI'!$C$25*(E2593/'THAM_SO_MOI'!$C$22)^3)</f>
        <v>77.53749201370908</v>
      </c>
      <c r="K2593" s="75">
        <f>'THAM_SO_MOI'!$C$31*J2593/E2593</f>
        <v>421.9184938152679</v>
      </c>
      <c r="L2593" s="75">
        <f>K2593*'THAM_SO_MOI'!$C$52*'THAM_SO_MOI'!$C$17/'THAM_SO_MOI'!$C$26</f>
        <v>5908.2204073590865</v>
      </c>
      <c r="M2593" s="75">
        <f>'THAM_SO_MOI'!$C$15*'THAM_SO_MOI'!$C$16*F2593^2</f>
        <v>364.11428412630374</v>
      </c>
      <c r="N2593" s="75">
        <f>'THAM_SO_MOI'!$C$12*I2593</f>
        <v>1130.112</v>
      </c>
      <c r="O2593" s="75">
        <f>M2593+N2593</f>
        <v>1494.2262841263039</v>
      </c>
      <c r="P2593" s="75">
        <f>(MIN(L2593,'THAM_SO_MOI'!$C$41)-O2593)/('THAM_SO_MOI'!$C$11*H2593)</f>
        <v>0.4881110681834036</v>
      </c>
      <c r="Q2593" s="75">
        <f>IF(P2593&gt;0,1/P2593,NA())</f>
        <v>2.048714043141219</v>
      </c>
      <c r="R2593" s="75">
        <f>F2593-F2592</f>
        <v>0.007943393307218827</v>
      </c>
      <c r="S2593" s="75">
        <f>0.5*(Q2592+Q2593)*R2593</f>
        <v>0.016274075551512533</v>
      </c>
      <c r="T2593" s="75">
        <f>0.5*(F2592*Q2592+F2593*Q2593)*R2593</f>
        <v>0.18150877343851893</v>
      </c>
      <c r="U2593" s="76">
        <f>U2592+S2593</f>
        <v>15.98573969301695</v>
      </c>
      <c r="V2593" s="76">
        <f>V2592+T2593</f>
        <v>107.4514679652143</v>
      </c>
    </row>
    <row r="2594" spans="1:22" ht="19" customHeight="1">
      <c r="A2594" s="68" t="s">
        <v>376</v>
      </c>
      <c r="B2594" s="74">
        <v>4</v>
      </c>
      <c r="C2594" s="68" t="s">
        <v>363</v>
      </c>
      <c r="D2594" s="68" t="s">
        <v>364</v>
      </c>
      <c r="E2594" s="75">
        <f>60*F2594*'THAM_SO_MOI'!$C$52/(2*PI()*'THAM_SO_MOI'!$C$26)</f>
        <v>1756.4896378497988</v>
      </c>
      <c r="F2594" s="75">
        <f>'HANH_TRINH'!$F$2468+('THAM_SO_MOI'!$F$52-'HANH_TRINH'!$F$2468)*125/'THAM_SO_MOI'!$C$42</f>
        <v>11.165161502702441</v>
      </c>
      <c r="G2594" s="75">
        <f>3.6*F2594</f>
        <v>40.19458140972879</v>
      </c>
      <c r="H2594" s="75">
        <f>'THAM_SO_MOI'!$D$52</f>
        <v>1.1774754878398197</v>
      </c>
      <c r="I2594" s="75">
        <f>IF(F2594&gt;'THAM_SO_MOI'!$C$14,'THAM_SO_MOI'!$C$13*(1+F2594^2/1500),'THAM_SO_MOI'!$C$13)</f>
        <v>0.015</v>
      </c>
      <c r="J2594" s="75">
        <f>'THAM_SO_MOI'!$C$40*('THAM_SO_MOI'!$C$23*(E2594/'THAM_SO_MOI'!$C$22)+'THAM_SO_MOI'!$C$24*(E2594/'THAM_SO_MOI'!$C$22)^2-'THAM_SO_MOI'!$C$25*(E2594/'THAM_SO_MOI'!$C$22)^3)</f>
        <v>77.60185395182398</v>
      </c>
      <c r="K2594" s="75">
        <f>'THAM_SO_MOI'!$C$31*J2594/E2594</f>
        <v>421.9682970549618</v>
      </c>
      <c r="L2594" s="75">
        <f>K2594*'THAM_SO_MOI'!$C$52*'THAM_SO_MOI'!$C$17/'THAM_SO_MOI'!$C$26</f>
        <v>5908.917813425484</v>
      </c>
      <c r="M2594" s="75">
        <f>'THAM_SO_MOI'!$C$15*'THAM_SO_MOI'!$C$16*F2594^2</f>
        <v>364.6329317906788</v>
      </c>
      <c r="N2594" s="75">
        <f>'THAM_SO_MOI'!$C$12*I2594</f>
        <v>1130.112</v>
      </c>
      <c r="O2594" s="75">
        <f>M2594+N2594</f>
        <v>1494.744931790679</v>
      </c>
      <c r="P2594" s="75">
        <f>(MIN(L2594,'THAM_SO_MOI'!$C$41)-O2594)/('THAM_SO_MOI'!$C$11*H2594)</f>
        <v>0.4881308357571978</v>
      </c>
      <c r="Q2594" s="75">
        <f>IF(P2594&gt;0,1/P2594,NA())</f>
        <v>2.0486310774626255</v>
      </c>
      <c r="R2594" s="75">
        <f>F2594-F2593</f>
        <v>0.007943393307220603</v>
      </c>
      <c r="S2594" s="75">
        <f>0.5*(Q2593+Q2594)*R2594</f>
        <v>0.016273411904188784</v>
      </c>
      <c r="T2594" s="75">
        <f>0.5*(F2593*Q2593+F2594*Q2594)*R2594</f>
        <v>0.1816306377459339</v>
      </c>
      <c r="U2594" s="76">
        <f>U2593+S2594</f>
        <v>16.002013104921136</v>
      </c>
      <c r="V2594" s="76">
        <f>V2593+T2594</f>
        <v>107.63309860296025</v>
      </c>
    </row>
    <row r="2595" spans="1:22" ht="19" customHeight="1">
      <c r="A2595" s="68" t="s">
        <v>376</v>
      </c>
      <c r="B2595" s="74">
        <v>4</v>
      </c>
      <c r="C2595" s="68" t="s">
        <v>363</v>
      </c>
      <c r="D2595" s="68" t="s">
        <v>364</v>
      </c>
      <c r="E2595" s="75">
        <f>60*F2595*'THAM_SO_MOI'!$C$52/(2*PI()*'THAM_SO_MOI'!$C$26)</f>
        <v>1757.739282830762</v>
      </c>
      <c r="F2595" s="75">
        <f>'HANH_TRINH'!$F$2468+('THAM_SO_MOI'!$F$52-'HANH_TRINH'!$F$2468)*126/'THAM_SO_MOI'!$C$42</f>
        <v>11.17310489600966</v>
      </c>
      <c r="G2595" s="75">
        <f>3.6*F2595</f>
        <v>40.223177625634776</v>
      </c>
      <c r="H2595" s="75">
        <f>'THAM_SO_MOI'!$D$52</f>
        <v>1.1774754878398197</v>
      </c>
      <c r="I2595" s="75">
        <f>IF(F2595&gt;'THAM_SO_MOI'!$C$14,'THAM_SO_MOI'!$C$13*(1+F2595^2/1500),'THAM_SO_MOI'!$C$13)</f>
        <v>0.015</v>
      </c>
      <c r="J2595" s="75">
        <f>'THAM_SO_MOI'!$C$40*('THAM_SO_MOI'!$C$23*(E2595/'THAM_SO_MOI'!$C$22)+'THAM_SO_MOI'!$C$24*(E2595/'THAM_SO_MOI'!$C$22)^2-'THAM_SO_MOI'!$C$25*(E2595/'THAM_SO_MOI'!$C$22)^3)</f>
        <v>77.6662010409362</v>
      </c>
      <c r="K2595" s="75">
        <f>'THAM_SO_MOI'!$C$31*J2595/E2595</f>
        <v>422.0179487949282</v>
      </c>
      <c r="L2595" s="75">
        <f>K2595*'THAM_SO_MOI'!$C$52*'THAM_SO_MOI'!$C$17/'THAM_SO_MOI'!$C$26</f>
        <v>5909.613098006822</v>
      </c>
      <c r="M2595" s="75">
        <f>'THAM_SO_MOI'!$C$15*'THAM_SO_MOI'!$C$16*F2595^2</f>
        <v>365.15194857541246</v>
      </c>
      <c r="N2595" s="75">
        <f>'THAM_SO_MOI'!$C$12*I2595</f>
        <v>1130.112</v>
      </c>
      <c r="O2595" s="75">
        <f>M2595+N2595</f>
        <v>1495.2639485754125</v>
      </c>
      <c r="P2595" s="75">
        <f>(MIN(L2595,'THAM_SO_MOI'!$C$41)-O2595)/('THAM_SO_MOI'!$C$11*H2595)</f>
        <v>0.48815032791330054</v>
      </c>
      <c r="Q2595" s="75">
        <f>IF(P2595&gt;0,1/P2595,NA())</f>
        <v>2.048549274307992</v>
      </c>
      <c r="R2595" s="75">
        <f>F2595-F2594</f>
        <v>0.007943393307218827</v>
      </c>
      <c r="S2595" s="75">
        <f>0.5*(Q2594+Q2595)*R2595</f>
        <v>0.0162727574923616</v>
      </c>
      <c r="T2595" s="75">
        <f>0.5*(F2594*Q2594+F2595*Q2595)*R2595</f>
        <v>0.1817525946626123</v>
      </c>
      <c r="U2595" s="76">
        <f>U2594+S2595</f>
        <v>16.0182858624135</v>
      </c>
      <c r="V2595" s="76">
        <f>V2594+T2595</f>
        <v>107.81485119762286</v>
      </c>
    </row>
    <row r="2596" spans="1:22" ht="19" customHeight="1">
      <c r="A2596" s="68" t="s">
        <v>376</v>
      </c>
      <c r="B2596" s="74">
        <v>4</v>
      </c>
      <c r="C2596" s="68" t="s">
        <v>363</v>
      </c>
      <c r="D2596" s="68" t="s">
        <v>364</v>
      </c>
      <c r="E2596" s="75">
        <f>60*F2596*'THAM_SO_MOI'!$C$52/(2*PI()*'THAM_SO_MOI'!$C$26)</f>
        <v>1758.9889278117248</v>
      </c>
      <c r="F2596" s="75">
        <f>'HANH_TRINH'!$F$2468+('THAM_SO_MOI'!$F$52-'HANH_TRINH'!$F$2468)*127/'THAM_SO_MOI'!$C$42</f>
        <v>11.181048289316879</v>
      </c>
      <c r="G2596" s="75">
        <f>3.6*F2596</f>
        <v>40.25177384154076</v>
      </c>
      <c r="H2596" s="75">
        <f>'THAM_SO_MOI'!$D$52</f>
        <v>1.1774754878398197</v>
      </c>
      <c r="I2596" s="75">
        <f>IF(F2596&gt;'THAM_SO_MOI'!$C$14,'THAM_SO_MOI'!$C$13*(1+F2596^2/1500),'THAM_SO_MOI'!$C$13)</f>
        <v>0.015</v>
      </c>
      <c r="J2596" s="75">
        <f>'THAM_SO_MOI'!$C$40*('THAM_SO_MOI'!$C$23*(E2596/'THAM_SO_MOI'!$C$22)+'THAM_SO_MOI'!$C$24*(E2596/'THAM_SO_MOI'!$C$22)^2-'THAM_SO_MOI'!$C$25*(E2596/'THAM_SO_MOI'!$C$22)^3)</f>
        <v>77.73053322158006</v>
      </c>
      <c r="K2596" s="75">
        <f>'THAM_SO_MOI'!$C$31*J2596/E2596</f>
        <v>422.06744903516716</v>
      </c>
      <c r="L2596" s="75">
        <f>K2596*'THAM_SO_MOI'!$C$52*'THAM_SO_MOI'!$C$17/'THAM_SO_MOI'!$C$26</f>
        <v>5910.306261103097</v>
      </c>
      <c r="M2596" s="75">
        <f>'THAM_SO_MOI'!$C$15*'THAM_SO_MOI'!$C$16*F2596^2</f>
        <v>365.67133448050504</v>
      </c>
      <c r="N2596" s="75">
        <f>'THAM_SO_MOI'!$C$12*I2596</f>
        <v>1130.112</v>
      </c>
      <c r="O2596" s="75">
        <f>M2596+N2596</f>
        <v>1495.7833344805051</v>
      </c>
      <c r="P2596" s="75">
        <f>(MIN(L2596,'THAM_SO_MOI'!$C$41)-O2596)/('THAM_SO_MOI'!$C$11*H2596)</f>
        <v>0.4881695446517116</v>
      </c>
      <c r="Q2596" s="75">
        <f>IF(P2596&gt;0,1/P2596,NA())</f>
        <v>2.0484686333996067</v>
      </c>
      <c r="R2596" s="75">
        <f>F2596-F2595</f>
        <v>0.007943393307218827</v>
      </c>
      <c r="S2596" s="75">
        <f>0.5*(Q2595+Q2596)*R2596</f>
        <v>0.01627211231382011</v>
      </c>
      <c r="T2596" s="75">
        <f>0.5*(F2595*Q2595+F2596*Q2596)*R2596</f>
        <v>0.18187464438392661</v>
      </c>
      <c r="U2596" s="76">
        <f>U2595+S2596</f>
        <v>16.03455797472732</v>
      </c>
      <c r="V2596" s="76">
        <f>V2595+T2596</f>
        <v>107.99672584200678</v>
      </c>
    </row>
    <row r="2597" spans="1:22" ht="19" customHeight="1">
      <c r="A2597" s="68" t="s">
        <v>376</v>
      </c>
      <c r="B2597" s="74">
        <v>4</v>
      </c>
      <c r="C2597" s="68" t="s">
        <v>363</v>
      </c>
      <c r="D2597" s="68" t="s">
        <v>364</v>
      </c>
      <c r="E2597" s="75">
        <f>60*F2597*'THAM_SO_MOI'!$C$52/(2*PI()*'THAM_SO_MOI'!$C$26)</f>
        <v>1760.2385727926883</v>
      </c>
      <c r="F2597" s="75">
        <f>'HANH_TRINH'!$F$2468+('THAM_SO_MOI'!$F$52-'HANH_TRINH'!$F$2468)*128/'THAM_SO_MOI'!$C$42</f>
        <v>11.1889916826241</v>
      </c>
      <c r="G2597" s="75">
        <f>3.6*F2597</f>
        <v>40.28037005744676</v>
      </c>
      <c r="H2597" s="75">
        <f>'THAM_SO_MOI'!$D$52</f>
        <v>1.1774754878398197</v>
      </c>
      <c r="I2597" s="75">
        <f>IF(F2597&gt;'THAM_SO_MOI'!$C$14,'THAM_SO_MOI'!$C$13*(1+F2597^2/1500),'THAM_SO_MOI'!$C$13)</f>
        <v>0.015</v>
      </c>
      <c r="J2597" s="75">
        <f>'THAM_SO_MOI'!$C$40*('THAM_SO_MOI'!$C$23*(E2597/'THAM_SO_MOI'!$C$22)+'THAM_SO_MOI'!$C$24*(E2597/'THAM_SO_MOI'!$C$22)^2-'THAM_SO_MOI'!$C$25*(E2597/'THAM_SO_MOI'!$C$22)^3)</f>
        <v>77.7948504342899</v>
      </c>
      <c r="K2597" s="75">
        <f>'THAM_SO_MOI'!$C$31*J2597/E2597</f>
        <v>422.1167977756787</v>
      </c>
      <c r="L2597" s="75">
        <f>K2597*'THAM_SO_MOI'!$C$52*'THAM_SO_MOI'!$C$17/'THAM_SO_MOI'!$C$26</f>
        <v>5910.997302714313</v>
      </c>
      <c r="M2597" s="75">
        <f>'THAM_SO_MOI'!$C$15*'THAM_SO_MOI'!$C$16*F2597^2</f>
        <v>366.19108950595654</v>
      </c>
      <c r="N2597" s="75">
        <f>'THAM_SO_MOI'!$C$12*I2597</f>
        <v>1130.112</v>
      </c>
      <c r="O2597" s="75">
        <f>M2597+N2597</f>
        <v>1496.3030895059567</v>
      </c>
      <c r="P2597" s="75">
        <f>(MIN(L2597,'THAM_SO_MOI'!$C$41)-O2597)/('THAM_SO_MOI'!$C$11*H2597)</f>
        <v>0.4881884859724313</v>
      </c>
      <c r="Q2597" s="75">
        <f>IF(P2597&gt;0,1/P2597,NA())</f>
        <v>2.048389154463736</v>
      </c>
      <c r="R2597" s="75">
        <f>F2597-F2596</f>
        <v>0.007943393307220603</v>
      </c>
      <c r="S2597" s="75">
        <f>0.5*(Q2596+Q2597)*R2597</f>
        <v>0.01627147636637414</v>
      </c>
      <c r="T2597" s="75">
        <f>0.5*(F2596*Q2596+F2597*Q2597)*R2597</f>
        <v>0.18199678710541073</v>
      </c>
      <c r="U2597" s="76">
        <f>U2596+S2597</f>
        <v>16.050829451093694</v>
      </c>
      <c r="V2597" s="76">
        <f>V2596+T2597</f>
        <v>108.17872262911219</v>
      </c>
    </row>
    <row r="2598" spans="1:22" ht="19" customHeight="1">
      <c r="A2598" s="68" t="s">
        <v>376</v>
      </c>
      <c r="B2598" s="74">
        <v>4</v>
      </c>
      <c r="C2598" s="68" t="s">
        <v>363</v>
      </c>
      <c r="D2598" s="68" t="s">
        <v>364</v>
      </c>
      <c r="E2598" s="75">
        <f>60*F2598*'THAM_SO_MOI'!$C$52/(2*PI()*'THAM_SO_MOI'!$C$26)</f>
        <v>1761.4882177736515</v>
      </c>
      <c r="F2598" s="75">
        <f>'HANH_TRINH'!$F$2468+('THAM_SO_MOI'!$F$52-'HANH_TRINH'!$F$2468)*129/'THAM_SO_MOI'!$C$42</f>
        <v>11.196935075931318</v>
      </c>
      <c r="G2598" s="75">
        <f>3.6*F2598</f>
        <v>40.308966273352745</v>
      </c>
      <c r="H2598" s="75">
        <f>'THAM_SO_MOI'!$D$52</f>
        <v>1.1774754878398197</v>
      </c>
      <c r="I2598" s="75">
        <f>IF(F2598&gt;'THAM_SO_MOI'!$C$14,'THAM_SO_MOI'!$C$13*(1+F2598^2/1500),'THAM_SO_MOI'!$C$13)</f>
        <v>0.015</v>
      </c>
      <c r="J2598" s="75">
        <f>'THAM_SO_MOI'!$C$40*('THAM_SO_MOI'!$C$23*(E2598/'THAM_SO_MOI'!$C$22)+'THAM_SO_MOI'!$C$24*(E2598/'THAM_SO_MOI'!$C$22)^2-'THAM_SO_MOI'!$C$25*(E2598/'THAM_SO_MOI'!$C$22)^3)</f>
        <v>77.85915261959998</v>
      </c>
      <c r="K2598" s="75">
        <f>'THAM_SO_MOI'!$C$31*J2598/E2598</f>
        <v>422.16599501646266</v>
      </c>
      <c r="L2598" s="75">
        <f>K2598*'THAM_SO_MOI'!$C$52*'THAM_SO_MOI'!$C$17/'THAM_SO_MOI'!$C$26</f>
        <v>5911.686222840466</v>
      </c>
      <c r="M2598" s="75">
        <f>'THAM_SO_MOI'!$C$15*'THAM_SO_MOI'!$C$16*F2598^2</f>
        <v>366.7112136517666</v>
      </c>
      <c r="N2598" s="75">
        <f>'THAM_SO_MOI'!$C$12*I2598</f>
        <v>1130.112</v>
      </c>
      <c r="O2598" s="75">
        <f>M2598+N2598</f>
        <v>1496.8232136517668</v>
      </c>
      <c r="P2598" s="75">
        <f>(MIN(L2598,'THAM_SO_MOI'!$C$41)-O2598)/('THAM_SO_MOI'!$C$11*H2598)</f>
        <v>0.48820715187545927</v>
      </c>
      <c r="Q2598" s="75">
        <f>IF(P2598&gt;0,1/P2598,NA())</f>
        <v>2.0483108372306233</v>
      </c>
      <c r="R2598" s="75">
        <f>F2598-F2597</f>
        <v>0.007943393307218827</v>
      </c>
      <c r="S2598" s="75">
        <f>0.5*(Q2597+Q2598)*R2598</f>
        <v>0.0162708496478542</v>
      </c>
      <c r="T2598" s="75">
        <f>0.5*(F2597*Q2597+F2598*Q2598)*R2598</f>
        <v>0.18211902302276028</v>
      </c>
      <c r="U2598" s="76">
        <f>U2597+S2598</f>
        <v>16.067100300741547</v>
      </c>
      <c r="V2598" s="76">
        <f>V2597+T2598</f>
        <v>108.36084165213495</v>
      </c>
    </row>
    <row r="2599" spans="1:22" ht="19" customHeight="1">
      <c r="A2599" s="68" t="s">
        <v>376</v>
      </c>
      <c r="B2599" s="74">
        <v>4</v>
      </c>
      <c r="C2599" s="68" t="s">
        <v>363</v>
      </c>
      <c r="D2599" s="68" t="s">
        <v>364</v>
      </c>
      <c r="E2599" s="75">
        <f>60*F2599*'THAM_SO_MOI'!$C$52/(2*PI()*'THAM_SO_MOI'!$C$26)</f>
        <v>1762.7378627546148</v>
      </c>
      <c r="F2599" s="75">
        <f>'HANH_TRINH'!$F$2468+('THAM_SO_MOI'!$F$52-'HANH_TRINH'!$F$2468)*130/'THAM_SO_MOI'!$C$42</f>
        <v>11.204878469238537</v>
      </c>
      <c r="G2599" s="75">
        <f>3.6*F2599</f>
        <v>40.33756248925874</v>
      </c>
      <c r="H2599" s="75">
        <f>'THAM_SO_MOI'!$D$52</f>
        <v>1.1774754878398197</v>
      </c>
      <c r="I2599" s="75">
        <f>IF(F2599&gt;'THAM_SO_MOI'!$C$14,'THAM_SO_MOI'!$C$13*(1+F2599^2/1500),'THAM_SO_MOI'!$C$13)</f>
        <v>0.015</v>
      </c>
      <c r="J2599" s="75">
        <f>'THAM_SO_MOI'!$C$40*('THAM_SO_MOI'!$C$23*(E2599/'THAM_SO_MOI'!$C$22)+'THAM_SO_MOI'!$C$24*(E2599/'THAM_SO_MOI'!$C$22)^2-'THAM_SO_MOI'!$C$25*(E2599/'THAM_SO_MOI'!$C$22)^3)</f>
        <v>77.92343971804468</v>
      </c>
      <c r="K2599" s="75">
        <f>'THAM_SO_MOI'!$C$31*J2599/E2599</f>
        <v>422.21504075751926</v>
      </c>
      <c r="L2599" s="75">
        <f>K2599*'THAM_SO_MOI'!$C$52*'THAM_SO_MOI'!$C$17/'THAM_SO_MOI'!$C$26</f>
        <v>5912.37302148156</v>
      </c>
      <c r="M2599" s="75">
        <f>'THAM_SO_MOI'!$C$15*'THAM_SO_MOI'!$C$16*F2599^2</f>
        <v>367.23170691793564</v>
      </c>
      <c r="N2599" s="75">
        <f>'THAM_SO_MOI'!$C$12*I2599</f>
        <v>1130.112</v>
      </c>
      <c r="O2599" s="75">
        <f>M2599+N2599</f>
        <v>1497.3437069179358</v>
      </c>
      <c r="P2599" s="75">
        <f>(MIN(L2599,'THAM_SO_MOI'!$C$41)-O2599)/('THAM_SO_MOI'!$C$11*H2599)</f>
        <v>0.48822554236079585</v>
      </c>
      <c r="Q2599" s="75">
        <f>IF(P2599&gt;0,1/P2599,NA())</f>
        <v>2.048233681434483</v>
      </c>
      <c r="R2599" s="75">
        <f>F2599-F2598</f>
        <v>0.007943393307218827</v>
      </c>
      <c r="S2599" s="75">
        <f>0.5*(Q2598+Q2599)*R2599</f>
        <v>0.016270232156144187</v>
      </c>
      <c r="T2599" s="75">
        <f>0.5*(F2598*Q2598+F2599*Q2599)*R2599</f>
        <v>0.18224135233220007</v>
      </c>
      <c r="U2599" s="76">
        <f>U2598+S2599</f>
        <v>16.083370532897693</v>
      </c>
      <c r="V2599" s="76">
        <f>V2598+T2599</f>
        <v>108.54308300446715</v>
      </c>
    </row>
    <row r="2600" spans="1:22" ht="19" customHeight="1">
      <c r="A2600" s="68" t="s">
        <v>376</v>
      </c>
      <c r="B2600" s="74">
        <v>4</v>
      </c>
      <c r="C2600" s="68" t="s">
        <v>363</v>
      </c>
      <c r="D2600" s="68" t="s">
        <v>364</v>
      </c>
      <c r="E2600" s="75">
        <f>60*F2600*'THAM_SO_MOI'!$C$52/(2*PI()*'THAM_SO_MOI'!$C$26)</f>
        <v>1763.9875077355778</v>
      </c>
      <c r="F2600" s="75">
        <f>'HANH_TRINH'!$F$2468+('THAM_SO_MOI'!$F$52-'HANH_TRINH'!$F$2468)*131/'THAM_SO_MOI'!$C$42</f>
        <v>11.212821862545756</v>
      </c>
      <c r="G2600" s="75">
        <f>3.6*F2600</f>
        <v>40.36615870516472</v>
      </c>
      <c r="H2600" s="75">
        <f>'THAM_SO_MOI'!$D$52</f>
        <v>1.1774754878398197</v>
      </c>
      <c r="I2600" s="75">
        <f>IF(F2600&gt;'THAM_SO_MOI'!$C$14,'THAM_SO_MOI'!$C$13*(1+F2600^2/1500),'THAM_SO_MOI'!$C$13)</f>
        <v>0.015</v>
      </c>
      <c r="J2600" s="75">
        <f>'THAM_SO_MOI'!$C$40*('THAM_SO_MOI'!$C$23*(E2600/'THAM_SO_MOI'!$C$22)+'THAM_SO_MOI'!$C$24*(E2600/'THAM_SO_MOI'!$C$22)^2-'THAM_SO_MOI'!$C$25*(E2600/'THAM_SO_MOI'!$C$22)^3)</f>
        <v>77.98771167015826</v>
      </c>
      <c r="K2600" s="75">
        <f>'THAM_SO_MOI'!$C$31*J2600/E2600</f>
        <v>422.2639349988484</v>
      </c>
      <c r="L2600" s="75">
        <f>K2600*'THAM_SO_MOI'!$C$52*'THAM_SO_MOI'!$C$17/'THAM_SO_MOI'!$C$26</f>
        <v>5913.057698637593</v>
      </c>
      <c r="M2600" s="75">
        <f>'THAM_SO_MOI'!$C$15*'THAM_SO_MOI'!$C$16*F2600^2</f>
        <v>367.75256930446346</v>
      </c>
      <c r="N2600" s="75">
        <f>'THAM_SO_MOI'!$C$12*I2600</f>
        <v>1130.112</v>
      </c>
      <c r="O2600" s="75">
        <f>M2600+N2600</f>
        <v>1497.8645693044637</v>
      </c>
      <c r="P2600" s="75">
        <f>(MIN(L2600,'THAM_SO_MOI'!$C$41)-O2600)/('THAM_SO_MOI'!$C$11*H2600)</f>
        <v>0.4882436574284409</v>
      </c>
      <c r="Q2600" s="75">
        <f>IF(P2600&gt;0,1/P2600,NA())</f>
        <v>2.048157686813503</v>
      </c>
      <c r="R2600" s="75">
        <f>F2600-F2599</f>
        <v>0.007943393307218827</v>
      </c>
      <c r="S2600" s="75">
        <f>0.5*(Q2599+Q2600)*R2600</f>
        <v>0.01626962388914501</v>
      </c>
      <c r="T2600" s="75">
        <f>0.5*(F2599*Q2599+F2600*Q2600)*R2600</f>
        <v>0.1823637752300783</v>
      </c>
      <c r="U2600" s="76">
        <f>U2599+S2600</f>
        <v>16.099640156786837</v>
      </c>
      <c r="V2600" s="76">
        <f>V2599+T2600</f>
        <v>108.72544677969722</v>
      </c>
    </row>
    <row r="2601" spans="1:22" ht="19" customHeight="1">
      <c r="A2601" s="68" t="s">
        <v>376</v>
      </c>
      <c r="B2601" s="74">
        <v>4</v>
      </c>
      <c r="C2601" s="68" t="s">
        <v>363</v>
      </c>
      <c r="D2601" s="68" t="s">
        <v>364</v>
      </c>
      <c r="E2601" s="75">
        <f>60*F2601*'THAM_SO_MOI'!$C$52/(2*PI()*'THAM_SO_MOI'!$C$26)</f>
        <v>1765.2371527165415</v>
      </c>
      <c r="F2601" s="75">
        <f>'HANH_TRINH'!$F$2468+('THAM_SO_MOI'!$F$52-'HANH_TRINH'!$F$2468)*132/'THAM_SO_MOI'!$C$42</f>
        <v>11.220765255852976</v>
      </c>
      <c r="G2601" s="75">
        <f>3.6*F2601</f>
        <v>40.394754921070714</v>
      </c>
      <c r="H2601" s="75">
        <f>'THAM_SO_MOI'!$D$52</f>
        <v>1.1774754878398197</v>
      </c>
      <c r="I2601" s="75">
        <f>IF(F2601&gt;'THAM_SO_MOI'!$C$14,'THAM_SO_MOI'!$C$13*(1+F2601^2/1500),'THAM_SO_MOI'!$C$13)</f>
        <v>0.015</v>
      </c>
      <c r="J2601" s="75">
        <f>'THAM_SO_MOI'!$C$40*('THAM_SO_MOI'!$C$23*(E2601/'THAM_SO_MOI'!$C$22)+'THAM_SO_MOI'!$C$24*(E2601/'THAM_SO_MOI'!$C$22)^2-'THAM_SO_MOI'!$C$25*(E2601/'THAM_SO_MOI'!$C$22)^3)</f>
        <v>78.05196841647506</v>
      </c>
      <c r="K2601" s="75">
        <f>'THAM_SO_MOI'!$C$31*J2601/E2601</f>
        <v>422.3126777404499</v>
      </c>
      <c r="L2601" s="75">
        <f>K2601*'THAM_SO_MOI'!$C$52*'THAM_SO_MOI'!$C$17/'THAM_SO_MOI'!$C$26</f>
        <v>5913.740254308562</v>
      </c>
      <c r="M2601" s="75">
        <f>'THAM_SO_MOI'!$C$15*'THAM_SO_MOI'!$C$16*F2601^2</f>
        <v>368.2738008113501</v>
      </c>
      <c r="N2601" s="75">
        <f>'THAM_SO_MOI'!$C$12*I2601</f>
        <v>1130.112</v>
      </c>
      <c r="O2601" s="75">
        <f>M2601+N2601</f>
        <v>1498.3858008113502</v>
      </c>
      <c r="P2601" s="75">
        <f>(MIN(L2601,'THAM_SO_MOI'!$C$41)-O2601)/('THAM_SO_MOI'!$C$11*H2601)</f>
        <v>0.4882614970783941</v>
      </c>
      <c r="Q2601" s="75">
        <f>IF(P2601&gt;0,1/P2601,NA())</f>
        <v>2.0480828531098414</v>
      </c>
      <c r="R2601" s="75">
        <f>F2601-F2600</f>
        <v>0.007943393307220603</v>
      </c>
      <c r="S2601" s="75">
        <f>0.5*(Q2600+Q2601)*R2601</f>
        <v>0.016269024844796403</v>
      </c>
      <c r="T2601" s="75">
        <f>0.5*(F2600*Q2600+F2601*Q2601)*R2601</f>
        <v>0.18248629191311191</v>
      </c>
      <c r="U2601" s="76">
        <f>U2600+S2601</f>
        <v>16.115909181631633</v>
      </c>
      <c r="V2601" s="76">
        <f>V2600+T2601</f>
        <v>108.90793307161033</v>
      </c>
    </row>
    <row r="2602" spans="1:22" ht="19" customHeight="1">
      <c r="A2602" s="68" t="s">
        <v>376</v>
      </c>
      <c r="B2602" s="74">
        <v>4</v>
      </c>
      <c r="C2602" s="68" t="s">
        <v>363</v>
      </c>
      <c r="D2602" s="68" t="s">
        <v>364</v>
      </c>
      <c r="E2602" s="75">
        <f>60*F2602*'THAM_SO_MOI'!$C$52/(2*PI()*'THAM_SO_MOI'!$C$26)</f>
        <v>1766.4867976975045</v>
      </c>
      <c r="F2602" s="75">
        <f>'HANH_TRINH'!$F$2468+('THAM_SO_MOI'!$F$52-'HANH_TRINH'!$F$2468)*133/'THAM_SO_MOI'!$C$42</f>
        <v>11.228708649160195</v>
      </c>
      <c r="G2602" s="75">
        <f>3.6*F2602</f>
        <v>40.423351136976706</v>
      </c>
      <c r="H2602" s="75">
        <f>'THAM_SO_MOI'!$D$52</f>
        <v>1.1774754878398197</v>
      </c>
      <c r="I2602" s="75">
        <f>IF(F2602&gt;'THAM_SO_MOI'!$C$14,'THAM_SO_MOI'!$C$13*(1+F2602^2/1500),'THAM_SO_MOI'!$C$13)</f>
        <v>0.015</v>
      </c>
      <c r="J2602" s="75">
        <f>'THAM_SO_MOI'!$C$40*('THAM_SO_MOI'!$C$23*(E2602/'THAM_SO_MOI'!$C$22)+'THAM_SO_MOI'!$C$24*(E2602/'THAM_SO_MOI'!$C$22)^2-'THAM_SO_MOI'!$C$25*(E2602/'THAM_SO_MOI'!$C$22)^3)</f>
        <v>78.11620989752937</v>
      </c>
      <c r="K2602" s="75">
        <f>'THAM_SO_MOI'!$C$31*J2602/E2602</f>
        <v>422.3612689823241</v>
      </c>
      <c r="L2602" s="75">
        <f>K2602*'THAM_SO_MOI'!$C$52*'THAM_SO_MOI'!$C$17/'THAM_SO_MOI'!$C$26</f>
        <v>5914.420688494473</v>
      </c>
      <c r="M2602" s="75">
        <f>'THAM_SO_MOI'!$C$15*'THAM_SO_MOI'!$C$16*F2602^2</f>
        <v>368.79540143859555</v>
      </c>
      <c r="N2602" s="75">
        <f>'THAM_SO_MOI'!$C$12*I2602</f>
        <v>1130.112</v>
      </c>
      <c r="O2602" s="75">
        <f>M2602+N2602</f>
        <v>1498.9074014385956</v>
      </c>
      <c r="P2602" s="75">
        <f>(MIN(L2602,'THAM_SO_MOI'!$C$41)-O2602)/('THAM_SO_MOI'!$C$11*H2602)</f>
        <v>0.4882790613106561</v>
      </c>
      <c r="Q2602" s="75">
        <f>IF(P2602&gt;0,1/P2602,NA())</f>
        <v>2.0480091800696187</v>
      </c>
      <c r="R2602" s="75">
        <f>F2602-F2601</f>
        <v>0.007943393307218827</v>
      </c>
      <c r="S2602" s="75">
        <f>0.5*(Q2601+Q2602)*R2602</f>
        <v>0.016268435021055037</v>
      </c>
      <c r="T2602" s="75">
        <f>0.5*(F2601*Q2601+F2602*Q2602)*R2602</f>
        <v>0.18260890257814263</v>
      </c>
      <c r="U2602" s="76">
        <f>U2601+S2602</f>
        <v>16.132177616652687</v>
      </c>
      <c r="V2602" s="76">
        <f>V2601+T2602</f>
        <v>109.09054197418847</v>
      </c>
    </row>
    <row r="2603" spans="1:22" ht="19" customHeight="1">
      <c r="A2603" s="68" t="s">
        <v>376</v>
      </c>
      <c r="B2603" s="74">
        <v>4</v>
      </c>
      <c r="C2603" s="68" t="s">
        <v>363</v>
      </c>
      <c r="D2603" s="68" t="s">
        <v>364</v>
      </c>
      <c r="E2603" s="75">
        <f>60*F2603*'THAM_SO_MOI'!$C$52/(2*PI()*'THAM_SO_MOI'!$C$26)</f>
        <v>1767.7364426784677</v>
      </c>
      <c r="F2603" s="75">
        <f>'HANH_TRINH'!$F$2468+('THAM_SO_MOI'!$F$52-'HANH_TRINH'!$F$2468)*134/'THAM_SO_MOI'!$C$42</f>
        <v>11.236652042467416</v>
      </c>
      <c r="G2603" s="75">
        <f>3.6*F2603</f>
        <v>40.4519473528827</v>
      </c>
      <c r="H2603" s="75">
        <f>'THAM_SO_MOI'!$D$52</f>
        <v>1.1774754878398197</v>
      </c>
      <c r="I2603" s="75">
        <f>IF(F2603&gt;'THAM_SO_MOI'!$C$14,'THAM_SO_MOI'!$C$13*(1+F2603^2/1500),'THAM_SO_MOI'!$C$13)</f>
        <v>0.015</v>
      </c>
      <c r="J2603" s="75">
        <f>'THAM_SO_MOI'!$C$40*('THAM_SO_MOI'!$C$23*(E2603/'THAM_SO_MOI'!$C$22)+'THAM_SO_MOI'!$C$24*(E2603/'THAM_SO_MOI'!$C$22)^2-'THAM_SO_MOI'!$C$25*(E2603/'THAM_SO_MOI'!$C$22)^3)</f>
        <v>78.18043605385553</v>
      </c>
      <c r="K2603" s="75">
        <f>'THAM_SO_MOI'!$C$31*J2603/E2603</f>
        <v>422.4097087244707</v>
      </c>
      <c r="L2603" s="75">
        <f>K2603*'THAM_SO_MOI'!$C$52*'THAM_SO_MOI'!$C$17/'THAM_SO_MOI'!$C$26</f>
        <v>5915.099001195322</v>
      </c>
      <c r="M2603" s="75">
        <f>'THAM_SO_MOI'!$C$15*'THAM_SO_MOI'!$C$16*F2603^2</f>
        <v>369.3173711862</v>
      </c>
      <c r="N2603" s="75">
        <f>'THAM_SO_MOI'!$C$12*I2603</f>
        <v>1130.112</v>
      </c>
      <c r="O2603" s="75">
        <f>M2603+N2603</f>
        <v>1499.4293711862001</v>
      </c>
      <c r="P2603" s="75">
        <f>(MIN(L2603,'THAM_SO_MOI'!$C$41)-O2603)/('THAM_SO_MOI'!$C$11*H2603)</f>
        <v>0.4882963501252265</v>
      </c>
      <c r="Q2603" s="75">
        <f>IF(P2603&gt;0,1/P2603,NA())</f>
        <v>2.047936667442925</v>
      </c>
      <c r="R2603" s="75">
        <f>F2603-F2602</f>
        <v>0.007943393307220603</v>
      </c>
      <c r="S2603" s="75">
        <f>0.5*(Q2602+Q2603)*R2603</f>
        <v>0.01626785441593458</v>
      </c>
      <c r="T2603" s="75">
        <f>0.5*(F2602*Q2602+F2603*Q2603)*R2603</f>
        <v>0.18273160742258737</v>
      </c>
      <c r="U2603" s="76">
        <f>U2602+S2603</f>
        <v>16.148445471068623</v>
      </c>
      <c r="V2603" s="76">
        <f>V2602+T2603</f>
        <v>109.27327358161105</v>
      </c>
    </row>
    <row r="2604" spans="1:22" ht="19" customHeight="1">
      <c r="A2604" s="68" t="s">
        <v>376</v>
      </c>
      <c r="B2604" s="74">
        <v>4</v>
      </c>
      <c r="C2604" s="68" t="s">
        <v>363</v>
      </c>
      <c r="D2604" s="68" t="s">
        <v>364</v>
      </c>
      <c r="E2604" s="75">
        <f>60*F2604*'THAM_SO_MOI'!$C$52/(2*PI()*'THAM_SO_MOI'!$C$26)</f>
        <v>1768.986087659431</v>
      </c>
      <c r="F2604" s="75">
        <f>'HANH_TRINH'!$F$2468+('THAM_SO_MOI'!$F$52-'HANH_TRINH'!$F$2468)*135/'THAM_SO_MOI'!$C$42</f>
        <v>11.244595435774634</v>
      </c>
      <c r="G2604" s="75">
        <f>3.6*F2604</f>
        <v>40.48054356878868</v>
      </c>
      <c r="H2604" s="75">
        <f>'THAM_SO_MOI'!$D$52</f>
        <v>1.1774754878398197</v>
      </c>
      <c r="I2604" s="75">
        <f>IF(F2604&gt;'THAM_SO_MOI'!$C$14,'THAM_SO_MOI'!$C$13*(1+F2604^2/1500),'THAM_SO_MOI'!$C$13)</f>
        <v>0.015</v>
      </c>
      <c r="J2604" s="75">
        <f>'THAM_SO_MOI'!$C$40*('THAM_SO_MOI'!$C$23*(E2604/'THAM_SO_MOI'!$C$22)+'THAM_SO_MOI'!$C$24*(E2604/'THAM_SO_MOI'!$C$22)^2-'THAM_SO_MOI'!$C$25*(E2604/'THAM_SO_MOI'!$C$22)^3)</f>
        <v>78.24464682598781</v>
      </c>
      <c r="K2604" s="75">
        <f>'THAM_SO_MOI'!$C$31*J2604/E2604</f>
        <v>422.4579969668897</v>
      </c>
      <c r="L2604" s="75">
        <f>K2604*'THAM_SO_MOI'!$C$52*'THAM_SO_MOI'!$C$17/'THAM_SO_MOI'!$C$26</f>
        <v>5915.775192411108</v>
      </c>
      <c r="M2604" s="75">
        <f>'THAM_SO_MOI'!$C$15*'THAM_SO_MOI'!$C$16*F2604^2</f>
        <v>369.83971005416294</v>
      </c>
      <c r="N2604" s="75">
        <f>'THAM_SO_MOI'!$C$12*I2604</f>
        <v>1130.112</v>
      </c>
      <c r="O2604" s="75">
        <f>M2604+N2604</f>
        <v>1499.951710054163</v>
      </c>
      <c r="P2604" s="75">
        <f>(MIN(L2604,'THAM_SO_MOI'!$C$41)-O2604)/('THAM_SO_MOI'!$C$11*H2604)</f>
        <v>0.4883133635221051</v>
      </c>
      <c r="Q2604" s="75">
        <f>IF(P2604&gt;0,1/P2604,NA())</f>
        <v>2.0478653149838113</v>
      </c>
      <c r="R2604" s="75">
        <f>F2604-F2603</f>
        <v>0.007943393307218827</v>
      </c>
      <c r="S2604" s="75">
        <f>0.5*(Q2603+Q2604)*R2604</f>
        <v>0.01626728302745107</v>
      </c>
      <c r="T2604" s="75">
        <f>0.5*(F2603*Q2603+F2604*Q2604)*R2604</f>
        <v>0.18285440664382663</v>
      </c>
      <c r="U2604" s="76">
        <f>U2603+S2604</f>
        <v>16.164712754096072</v>
      </c>
      <c r="V2604" s="76">
        <f>V2603+T2604</f>
        <v>109.45612798825488</v>
      </c>
    </row>
    <row r="2605" spans="1:22" ht="19" customHeight="1">
      <c r="A2605" s="68" t="s">
        <v>376</v>
      </c>
      <c r="B2605" s="74">
        <v>4</v>
      </c>
      <c r="C2605" s="68" t="s">
        <v>363</v>
      </c>
      <c r="D2605" s="68" t="s">
        <v>364</v>
      </c>
      <c r="E2605" s="75">
        <f>60*F2605*'THAM_SO_MOI'!$C$52/(2*PI()*'THAM_SO_MOI'!$C$26)</f>
        <v>1770.2357326403944</v>
      </c>
      <c r="F2605" s="75">
        <f>'HANH_TRINH'!$F$2468+('THAM_SO_MOI'!$F$52-'HANH_TRINH'!$F$2468)*136/'THAM_SO_MOI'!$C$42</f>
        <v>11.252538829081853</v>
      </c>
      <c r="G2605" s="75">
        <f>3.6*F2605</f>
        <v>40.509139784694675</v>
      </c>
      <c r="H2605" s="75">
        <f>'THAM_SO_MOI'!$D$52</f>
        <v>1.1774754878398197</v>
      </c>
      <c r="I2605" s="75">
        <f>IF(F2605&gt;'THAM_SO_MOI'!$C$14,'THAM_SO_MOI'!$C$13*(1+F2605^2/1500),'THAM_SO_MOI'!$C$13)</f>
        <v>0.015</v>
      </c>
      <c r="J2605" s="75">
        <f>'THAM_SO_MOI'!$C$40*('THAM_SO_MOI'!$C$23*(E2605/'THAM_SO_MOI'!$C$22)+'THAM_SO_MOI'!$C$24*(E2605/'THAM_SO_MOI'!$C$22)^2-'THAM_SO_MOI'!$C$25*(E2605/'THAM_SO_MOI'!$C$22)^3)</f>
        <v>78.30884215446062</v>
      </c>
      <c r="K2605" s="75">
        <f>'THAM_SO_MOI'!$C$31*J2605/E2605</f>
        <v>422.50613370958155</v>
      </c>
      <c r="L2605" s="75">
        <f>K2605*'THAM_SO_MOI'!$C$52*'THAM_SO_MOI'!$C$17/'THAM_SO_MOI'!$C$26</f>
        <v>5916.449262141837</v>
      </c>
      <c r="M2605" s="75">
        <f>'THAM_SO_MOI'!$C$15*'THAM_SO_MOI'!$C$16*F2605^2</f>
        <v>370.3624180424848</v>
      </c>
      <c r="N2605" s="75">
        <f>'THAM_SO_MOI'!$C$12*I2605</f>
        <v>1130.112</v>
      </c>
      <c r="O2605" s="75">
        <f>M2605+N2605</f>
        <v>1500.474418042485</v>
      </c>
      <c r="P2605" s="75">
        <f>(MIN(L2605,'THAM_SO_MOI'!$C$41)-O2605)/('THAM_SO_MOI'!$C$11*H2605)</f>
        <v>0.4883301015012926</v>
      </c>
      <c r="Q2605" s="75">
        <f>IF(P2605&gt;0,1/P2605,NA())</f>
        <v>2.0477951224502857</v>
      </c>
      <c r="R2605" s="75">
        <f>F2605-F2604</f>
        <v>0.007943393307218827</v>
      </c>
      <c r="S2605" s="75">
        <f>0.5*(Q2604+Q2605)*R2605</f>
        <v>0.016266720853677467</v>
      </c>
      <c r="T2605" s="75">
        <f>0.5*(F2604*Q2604+F2605*Q2605)*R2605</f>
        <v>0.18297730043981816</v>
      </c>
      <c r="U2605" s="76">
        <f>U2604+S2605</f>
        <v>16.18097947494975</v>
      </c>
      <c r="V2605" s="76">
        <f>V2604+T2605</f>
        <v>109.6391052886947</v>
      </c>
    </row>
    <row r="2606" spans="1:22" ht="19" customHeight="1">
      <c r="A2606" s="68" t="s">
        <v>376</v>
      </c>
      <c r="B2606" s="74">
        <v>4</v>
      </c>
      <c r="C2606" s="68" t="s">
        <v>363</v>
      </c>
      <c r="D2606" s="68" t="s">
        <v>364</v>
      </c>
      <c r="E2606" s="75">
        <f>60*F2606*'THAM_SO_MOI'!$C$52/(2*PI()*'THAM_SO_MOI'!$C$26)</f>
        <v>1771.4853776213577</v>
      </c>
      <c r="F2606" s="75">
        <f>'HANH_TRINH'!$F$2468+('THAM_SO_MOI'!$F$52-'HANH_TRINH'!$F$2468)*137/'THAM_SO_MOI'!$C$42</f>
        <v>11.260482222389072</v>
      </c>
      <c r="G2606" s="75">
        <f>3.6*F2606</f>
        <v>40.53773600060066</v>
      </c>
      <c r="H2606" s="75">
        <f>'THAM_SO_MOI'!$D$52</f>
        <v>1.1774754878398197</v>
      </c>
      <c r="I2606" s="75">
        <f>IF(F2606&gt;'THAM_SO_MOI'!$C$14,'THAM_SO_MOI'!$C$13*(1+F2606^2/1500),'THAM_SO_MOI'!$C$13)</f>
        <v>0.015</v>
      </c>
      <c r="J2606" s="75">
        <f>'THAM_SO_MOI'!$C$40*('THAM_SO_MOI'!$C$23*(E2606/'THAM_SO_MOI'!$C$22)+'THAM_SO_MOI'!$C$24*(E2606/'THAM_SO_MOI'!$C$22)^2-'THAM_SO_MOI'!$C$25*(E2606/'THAM_SO_MOI'!$C$22)^3)</f>
        <v>78.37302197980817</v>
      </c>
      <c r="K2606" s="75">
        <f>'THAM_SO_MOI'!$C$31*J2606/E2606</f>
        <v>422.55411895254576</v>
      </c>
      <c r="L2606" s="75">
        <f>K2606*'THAM_SO_MOI'!$C$52*'THAM_SO_MOI'!$C$17/'THAM_SO_MOI'!$C$26</f>
        <v>5917.121210387503</v>
      </c>
      <c r="M2606" s="75">
        <f>'THAM_SO_MOI'!$C$15*'THAM_SO_MOI'!$C$16*F2606^2</f>
        <v>370.8854951511655</v>
      </c>
      <c r="N2606" s="75">
        <f>'THAM_SO_MOI'!$C$12*I2606</f>
        <v>1130.112</v>
      </c>
      <c r="O2606" s="75">
        <f>M2606+N2606</f>
        <v>1500.9974951511656</v>
      </c>
      <c r="P2606" s="75">
        <f>(MIN(L2606,'THAM_SO_MOI'!$C$41)-O2606)/('THAM_SO_MOI'!$C$11*H2606)</f>
        <v>0.48834656406278837</v>
      </c>
      <c r="Q2606" s="75">
        <f>IF(P2606&gt;0,1/P2606,NA())</f>
        <v>2.0477260896043217</v>
      </c>
      <c r="R2606" s="75">
        <f>F2606-F2605</f>
        <v>0.007943393307218827</v>
      </c>
      <c r="S2606" s="75">
        <f>0.5*(Q2605+Q2606)*R2606</f>
        <v>0.016266167892703652</v>
      </c>
      <c r="T2606" s="75">
        <f>0.5*(F2605*Q2605+F2606*Q2606)*R2606</f>
        <v>0.18310028900864894</v>
      </c>
      <c r="U2606" s="76">
        <f>U2605+S2606</f>
        <v>16.197245642842454</v>
      </c>
      <c r="V2606" s="76">
        <f>V2605+T2606</f>
        <v>109.82220557770334</v>
      </c>
    </row>
    <row r="2607" spans="1:22" ht="19" customHeight="1">
      <c r="A2607" s="68" t="s">
        <v>376</v>
      </c>
      <c r="B2607" s="74">
        <v>4</v>
      </c>
      <c r="C2607" s="68" t="s">
        <v>363</v>
      </c>
      <c r="D2607" s="68" t="s">
        <v>364</v>
      </c>
      <c r="E2607" s="75">
        <f>60*F2607*'THAM_SO_MOI'!$C$52/(2*PI()*'THAM_SO_MOI'!$C$26)</f>
        <v>1772.7350226023211</v>
      </c>
      <c r="F2607" s="75">
        <f>'HANH_TRINH'!$F$2468+('THAM_SO_MOI'!$F$52-'HANH_TRINH'!$F$2468)*138/'THAM_SO_MOI'!$C$42</f>
        <v>11.268425615696293</v>
      </c>
      <c r="G2607" s="75">
        <f>3.6*F2607</f>
        <v>40.56633221650665</v>
      </c>
      <c r="H2607" s="75">
        <f>'THAM_SO_MOI'!$D$52</f>
        <v>1.1774754878398197</v>
      </c>
      <c r="I2607" s="75">
        <f>IF(F2607&gt;'THAM_SO_MOI'!$C$14,'THAM_SO_MOI'!$C$13*(1+F2607^2/1500),'THAM_SO_MOI'!$C$13)</f>
        <v>0.015</v>
      </c>
      <c r="J2607" s="75">
        <f>'THAM_SO_MOI'!$C$40*('THAM_SO_MOI'!$C$23*(E2607/'THAM_SO_MOI'!$C$22)+'THAM_SO_MOI'!$C$24*(E2607/'THAM_SO_MOI'!$C$22)^2-'THAM_SO_MOI'!$C$25*(E2607/'THAM_SO_MOI'!$C$22)^3)</f>
        <v>78.43718624256482</v>
      </c>
      <c r="K2607" s="75">
        <f>'THAM_SO_MOI'!$C$31*J2607/E2607</f>
        <v>422.6019526957824</v>
      </c>
      <c r="L2607" s="75">
        <f>K2607*'THAM_SO_MOI'!$C$52*'THAM_SO_MOI'!$C$17/'THAM_SO_MOI'!$C$26</f>
        <v>5917.791037148107</v>
      </c>
      <c r="M2607" s="75">
        <f>'THAM_SO_MOI'!$C$15*'THAM_SO_MOI'!$C$16*F2607^2</f>
        <v>371.4089413802051</v>
      </c>
      <c r="N2607" s="75">
        <f>'THAM_SO_MOI'!$C$12*I2607</f>
        <v>1130.112</v>
      </c>
      <c r="O2607" s="75">
        <f>M2607+N2607</f>
        <v>1501.5209413802052</v>
      </c>
      <c r="P2607" s="75">
        <f>(MIN(L2607,'THAM_SO_MOI'!$C$41)-O2607)/('THAM_SO_MOI'!$C$11*H2607)</f>
        <v>0.48836275120659245</v>
      </c>
      <c r="Q2607" s="75">
        <f>IF(P2607&gt;0,1/P2607,NA())</f>
        <v>2.0476582162118446</v>
      </c>
      <c r="R2607" s="75">
        <f>F2607-F2606</f>
        <v>0.007943393307220603</v>
      </c>
      <c r="S2607" s="75">
        <f>0.5*(Q2606+Q2607)*R2607</f>
        <v>0.016265624142658214</v>
      </c>
      <c r="T2607" s="75">
        <f>0.5*(F2606*Q2606+F2607*Q2607)*R2607</f>
        <v>0.18322337254878132</v>
      </c>
      <c r="U2607" s="76">
        <f>U2606+S2607</f>
        <v>16.213511266985112</v>
      </c>
      <c r="V2607" s="76">
        <f>V2606+T2607</f>
        <v>110.00542895025212</v>
      </c>
    </row>
    <row r="2608" spans="1:22" ht="19" customHeight="1">
      <c r="A2608" s="68" t="s">
        <v>376</v>
      </c>
      <c r="B2608" s="74">
        <v>4</v>
      </c>
      <c r="C2608" s="68" t="s">
        <v>363</v>
      </c>
      <c r="D2608" s="68" t="s">
        <v>364</v>
      </c>
      <c r="E2608" s="75">
        <f>60*F2608*'THAM_SO_MOI'!$C$52/(2*PI()*'THAM_SO_MOI'!$C$26)</f>
        <v>1773.9846675832844</v>
      </c>
      <c r="F2608" s="75">
        <f>'HANH_TRINH'!$F$2468+('THAM_SO_MOI'!$F$52-'HANH_TRINH'!$F$2468)*139/'THAM_SO_MOI'!$C$42</f>
        <v>11.276369009003512</v>
      </c>
      <c r="G2608" s="75">
        <f>3.6*F2608</f>
        <v>40.594928432412644</v>
      </c>
      <c r="H2608" s="75">
        <f>'THAM_SO_MOI'!$D$52</f>
        <v>1.1774754878398197</v>
      </c>
      <c r="I2608" s="75">
        <f>IF(F2608&gt;'THAM_SO_MOI'!$C$14,'THAM_SO_MOI'!$C$13*(1+F2608^2/1500),'THAM_SO_MOI'!$C$13)</f>
        <v>0.015</v>
      </c>
      <c r="J2608" s="75">
        <f>'THAM_SO_MOI'!$C$40*('THAM_SO_MOI'!$C$23*(E2608/'THAM_SO_MOI'!$C$22)+'THAM_SO_MOI'!$C$24*(E2608/'THAM_SO_MOI'!$C$22)^2-'THAM_SO_MOI'!$C$25*(E2608/'THAM_SO_MOI'!$C$22)^3)</f>
        <v>78.50133488326487</v>
      </c>
      <c r="K2608" s="75">
        <f>'THAM_SO_MOI'!$C$31*J2608/E2608</f>
        <v>422.6496349392918</v>
      </c>
      <c r="L2608" s="75">
        <f>K2608*'THAM_SO_MOI'!$C$52*'THAM_SO_MOI'!$C$17/'THAM_SO_MOI'!$C$26</f>
        <v>5918.458742423653</v>
      </c>
      <c r="M2608" s="75">
        <f>'THAM_SO_MOI'!$C$15*'THAM_SO_MOI'!$C$16*F2608^2</f>
        <v>371.9327567296034</v>
      </c>
      <c r="N2608" s="75">
        <f>'THAM_SO_MOI'!$C$12*I2608</f>
        <v>1130.112</v>
      </c>
      <c r="O2608" s="75">
        <f>M2608+N2608</f>
        <v>1502.0447567296035</v>
      </c>
      <c r="P2608" s="75">
        <f>(MIN(L2608,'THAM_SO_MOI'!$C$41)-O2608)/('THAM_SO_MOI'!$C$11*H2608)</f>
        <v>0.4883786629327054</v>
      </c>
      <c r="Q2608" s="75">
        <f>IF(P2608&gt;0,1/P2608,NA())</f>
        <v>2.0475915020427333</v>
      </c>
      <c r="R2608" s="75">
        <f>F2608-F2607</f>
        <v>0.007943393307218827</v>
      </c>
      <c r="S2608" s="75">
        <f>0.5*(Q2607+Q2608)*R2608</f>
        <v>0.016265089601686603</v>
      </c>
      <c r="T2608" s="75">
        <f>0.5*(F2607*Q2607+F2608*Q2608)*R2608</f>
        <v>0.18334655125880808</v>
      </c>
      <c r="U2608" s="76">
        <f>U2607+S2608</f>
        <v>16.229776356586797</v>
      </c>
      <c r="V2608" s="76">
        <f>V2607+T2608</f>
        <v>110.18877550151093</v>
      </c>
    </row>
    <row r="2609" spans="1:22" ht="19" customHeight="1">
      <c r="A2609" s="68" t="s">
        <v>376</v>
      </c>
      <c r="B2609" s="74">
        <v>4</v>
      </c>
      <c r="C2609" s="68" t="s">
        <v>363</v>
      </c>
      <c r="D2609" s="68" t="s">
        <v>364</v>
      </c>
      <c r="E2609" s="75">
        <f>60*F2609*'THAM_SO_MOI'!$C$52/(2*PI()*'THAM_SO_MOI'!$C$26)</f>
        <v>1775.2343125642478</v>
      </c>
      <c r="F2609" s="75">
        <f>'HANH_TRINH'!$F$2468+('THAM_SO_MOI'!$F$52-'HANH_TRINH'!$F$2468)*140/'THAM_SO_MOI'!$C$42</f>
        <v>11.284312402310732</v>
      </c>
      <c r="G2609" s="75">
        <f>3.6*F2609</f>
        <v>40.623524648318636</v>
      </c>
      <c r="H2609" s="75">
        <f>'THAM_SO_MOI'!$D$52</f>
        <v>1.1774754878398197</v>
      </c>
      <c r="I2609" s="75">
        <f>IF(F2609&gt;'THAM_SO_MOI'!$C$14,'THAM_SO_MOI'!$C$13*(1+F2609^2/1500),'THAM_SO_MOI'!$C$13)</f>
        <v>0.015</v>
      </c>
      <c r="J2609" s="75">
        <f>'THAM_SO_MOI'!$C$40*('THAM_SO_MOI'!$C$23*(E2609/'THAM_SO_MOI'!$C$22)+'THAM_SO_MOI'!$C$24*(E2609/'THAM_SO_MOI'!$C$22)^2-'THAM_SO_MOI'!$C$25*(E2609/'THAM_SO_MOI'!$C$22)^3)</f>
        <v>78.56546784244266</v>
      </c>
      <c r="K2609" s="75">
        <f>'THAM_SO_MOI'!$C$31*J2609/E2609</f>
        <v>422.6971656830736</v>
      </c>
      <c r="L2609" s="75">
        <f>K2609*'THAM_SO_MOI'!$C$52*'THAM_SO_MOI'!$C$17/'THAM_SO_MOI'!$C$26</f>
        <v>5919.124326214136</v>
      </c>
      <c r="M2609" s="75">
        <f>'THAM_SO_MOI'!$C$15*'THAM_SO_MOI'!$C$16*F2609^2</f>
        <v>372.4569411993607</v>
      </c>
      <c r="N2609" s="75">
        <f>'THAM_SO_MOI'!$C$12*I2609</f>
        <v>1130.112</v>
      </c>
      <c r="O2609" s="75">
        <f>M2609+N2609</f>
        <v>1502.5689411993608</v>
      </c>
      <c r="P2609" s="75">
        <f>(MIN(L2609,'THAM_SO_MOI'!$C$41)-O2609)/('THAM_SO_MOI'!$C$11*H2609)</f>
        <v>0.48839429924112643</v>
      </c>
      <c r="Q2609" s="75">
        <f>IF(P2609&gt;0,1/P2609,NA())</f>
        <v>2.0475259468708242</v>
      </c>
      <c r="R2609" s="75">
        <f>F2609-F2608</f>
        <v>0.007943393307220603</v>
      </c>
      <c r="S2609" s="75">
        <f>0.5*(Q2608+Q2609)*R2609</f>
        <v>0.01626456426799113</v>
      </c>
      <c r="T2609" s="75">
        <f>0.5*(F2608*Q2608+F2609*Q2609)*R2609</f>
        <v>0.18346982533790487</v>
      </c>
      <c r="U2609" s="76">
        <f>U2608+S2609</f>
        <v>16.24604092085479</v>
      </c>
      <c r="V2609" s="76">
        <f>V2608+T2609</f>
        <v>110.37224532684884</v>
      </c>
    </row>
    <row r="2610" spans="1:22" ht="19" customHeight="1">
      <c r="A2610" s="68" t="s">
        <v>376</v>
      </c>
      <c r="B2610" s="74">
        <v>4</v>
      </c>
      <c r="C2610" s="68" t="s">
        <v>363</v>
      </c>
      <c r="D2610" s="68" t="s">
        <v>364</v>
      </c>
      <c r="E2610" s="75">
        <f>60*F2610*'THAM_SO_MOI'!$C$52/(2*PI()*'THAM_SO_MOI'!$C$26)</f>
        <v>1776.4839575452106</v>
      </c>
      <c r="F2610" s="75">
        <f>'HANH_TRINH'!$F$2468+('THAM_SO_MOI'!$F$52-'HANH_TRINH'!$F$2468)*141/'THAM_SO_MOI'!$C$42</f>
        <v>11.292255795617951</v>
      </c>
      <c r="G2610" s="75">
        <f>3.6*F2610</f>
        <v>40.65212086422463</v>
      </c>
      <c r="H2610" s="75">
        <f>'THAM_SO_MOI'!$D$52</f>
        <v>1.1774754878398197</v>
      </c>
      <c r="I2610" s="75">
        <f>IF(F2610&gt;'THAM_SO_MOI'!$C$14,'THAM_SO_MOI'!$C$13*(1+F2610^2/1500),'THAM_SO_MOI'!$C$13)</f>
        <v>0.015</v>
      </c>
      <c r="J2610" s="75">
        <f>'THAM_SO_MOI'!$C$40*('THAM_SO_MOI'!$C$23*(E2610/'THAM_SO_MOI'!$C$22)+'THAM_SO_MOI'!$C$24*(E2610/'THAM_SO_MOI'!$C$22)^2-'THAM_SO_MOI'!$C$25*(E2610/'THAM_SO_MOI'!$C$22)^3)</f>
        <v>78.62958506063244</v>
      </c>
      <c r="K2610" s="75">
        <f>'THAM_SO_MOI'!$C$31*J2610/E2610</f>
        <v>422.74454492712783</v>
      </c>
      <c r="L2610" s="75">
        <f>K2610*'THAM_SO_MOI'!$C$52*'THAM_SO_MOI'!$C$17/'THAM_SO_MOI'!$C$26</f>
        <v>5919.787788519558</v>
      </c>
      <c r="M2610" s="75">
        <f>'THAM_SO_MOI'!$C$15*'THAM_SO_MOI'!$C$16*F2610^2</f>
        <v>372.9814947894766</v>
      </c>
      <c r="N2610" s="75">
        <f>'THAM_SO_MOI'!$C$12*I2610</f>
        <v>1130.112</v>
      </c>
      <c r="O2610" s="75">
        <f>M2610+N2610</f>
        <v>1503.0934947894766</v>
      </c>
      <c r="P2610" s="75">
        <f>(MIN(L2610,'THAM_SO_MOI'!$C$41)-O2610)/('THAM_SO_MOI'!$C$11*H2610)</f>
        <v>0.488409660131856</v>
      </c>
      <c r="Q2610" s="75">
        <f>IF(P2610&gt;0,1/P2610,NA())</f>
        <v>2.047461550473899</v>
      </c>
      <c r="R2610" s="75">
        <f>F2610-F2609</f>
        <v>0.007943393307218827</v>
      </c>
      <c r="S2610" s="75">
        <f>0.5*(Q2609+Q2610)*R2610</f>
        <v>0.016264048139776423</v>
      </c>
      <c r="T2610" s="75">
        <f>0.5*(F2609*Q2609+F2610*Q2610)*R2610</f>
        <v>0.18359319498521592</v>
      </c>
      <c r="U2610" s="76">
        <f>U2609+S2610</f>
        <v>16.262304968994567</v>
      </c>
      <c r="V2610" s="76">
        <f>V2609+T2610</f>
        <v>110.55583852183406</v>
      </c>
    </row>
    <row r="2611" spans="1:22" ht="19" customHeight="1">
      <c r="A2611" s="68" t="s">
        <v>376</v>
      </c>
      <c r="B2611" s="74">
        <v>4</v>
      </c>
      <c r="C2611" s="68" t="s">
        <v>363</v>
      </c>
      <c r="D2611" s="68" t="s">
        <v>364</v>
      </c>
      <c r="E2611" s="75">
        <f>60*F2611*'THAM_SO_MOI'!$C$52/(2*PI()*'THAM_SO_MOI'!$C$26)</f>
        <v>1777.7336025261739</v>
      </c>
      <c r="F2611" s="75">
        <f>'HANH_TRINH'!$F$2468+('THAM_SO_MOI'!$F$52-'HANH_TRINH'!$F$2468)*142/'THAM_SO_MOI'!$C$42</f>
        <v>11.30019918892517</v>
      </c>
      <c r="G2611" s="75">
        <f>3.6*F2611</f>
        <v>40.68071708013061</v>
      </c>
      <c r="H2611" s="75">
        <f>'THAM_SO_MOI'!$D$52</f>
        <v>1.1774754878398197</v>
      </c>
      <c r="I2611" s="75">
        <f>IF(F2611&gt;'THAM_SO_MOI'!$C$14,'THAM_SO_MOI'!$C$13*(1+F2611^2/1500),'THAM_SO_MOI'!$C$13)</f>
        <v>0.015</v>
      </c>
      <c r="J2611" s="75">
        <f>'THAM_SO_MOI'!$C$40*('THAM_SO_MOI'!$C$23*(E2611/'THAM_SO_MOI'!$C$22)+'THAM_SO_MOI'!$C$24*(E2611/'THAM_SO_MOI'!$C$22)^2-'THAM_SO_MOI'!$C$25*(E2611/'THAM_SO_MOI'!$C$22)^3)</f>
        <v>78.69368647836858</v>
      </c>
      <c r="K2611" s="75">
        <f>'THAM_SO_MOI'!$C$31*J2611/E2611</f>
        <v>422.7917726714546</v>
      </c>
      <c r="L2611" s="75">
        <f>K2611*'THAM_SO_MOI'!$C$52*'THAM_SO_MOI'!$C$17/'THAM_SO_MOI'!$C$26</f>
        <v>5920.449129339918</v>
      </c>
      <c r="M2611" s="75">
        <f>'THAM_SO_MOI'!$C$15*'THAM_SO_MOI'!$C$16*F2611^2</f>
        <v>373.50641749995134</v>
      </c>
      <c r="N2611" s="75">
        <f>'THAM_SO_MOI'!$C$12*I2611</f>
        <v>1130.112</v>
      </c>
      <c r="O2611" s="75">
        <f>M2611+N2611</f>
        <v>1503.6184174999514</v>
      </c>
      <c r="P2611" s="75">
        <f>(MIN(L2611,'THAM_SO_MOI'!$C$41)-O2611)/('THAM_SO_MOI'!$C$11*H2611)</f>
        <v>0.4884247456048939</v>
      </c>
      <c r="Q2611" s="75">
        <f>IF(P2611&gt;0,1/P2611,NA())</f>
        <v>2.047398312633692</v>
      </c>
      <c r="R2611" s="75">
        <f>F2611-F2610</f>
        <v>0.007943393307218827</v>
      </c>
      <c r="S2611" s="75">
        <f>0.5*(Q2610+Q2611)*R2611</f>
        <v>0.01626354121530392</v>
      </c>
      <c r="T2611" s="75">
        <f>0.5*(F2610*Q2610+F2611*Q2611)*R2611</f>
        <v>0.1837166604004704</v>
      </c>
      <c r="U2611" s="76">
        <f>U2610+S2611</f>
        <v>16.27856851020987</v>
      </c>
      <c r="V2611" s="76">
        <f>V2610+T2611</f>
        <v>110.73955518223453</v>
      </c>
    </row>
    <row r="2612" spans="1:22" ht="19" customHeight="1">
      <c r="A2612" s="68" t="s">
        <v>376</v>
      </c>
      <c r="B2612" s="74">
        <v>4</v>
      </c>
      <c r="C2612" s="68" t="s">
        <v>363</v>
      </c>
      <c r="D2612" s="68" t="s">
        <v>364</v>
      </c>
      <c r="E2612" s="75">
        <f>60*F2612*'THAM_SO_MOI'!$C$52/(2*PI()*'THAM_SO_MOI'!$C$26)</f>
        <v>1778.9832475071369</v>
      </c>
      <c r="F2612" s="75">
        <f>'HANH_TRINH'!$F$2468+('THAM_SO_MOI'!$F$52-'HANH_TRINH'!$F$2468)*143/'THAM_SO_MOI'!$C$42</f>
        <v>11.308142582232389</v>
      </c>
      <c r="G2612" s="75">
        <f>3.6*F2612</f>
        <v>40.7093132960366</v>
      </c>
      <c r="H2612" s="75">
        <f>'THAM_SO_MOI'!$D$52</f>
        <v>1.1774754878398197</v>
      </c>
      <c r="I2612" s="75">
        <f>IF(F2612&gt;'THAM_SO_MOI'!$C$14,'THAM_SO_MOI'!$C$13*(1+F2612^2/1500),'THAM_SO_MOI'!$C$13)</f>
        <v>0.015</v>
      </c>
      <c r="J2612" s="75">
        <f>'THAM_SO_MOI'!$C$40*('THAM_SO_MOI'!$C$23*(E2612/'THAM_SO_MOI'!$C$22)+'THAM_SO_MOI'!$C$24*(E2612/'THAM_SO_MOI'!$C$22)^2-'THAM_SO_MOI'!$C$25*(E2612/'THAM_SO_MOI'!$C$22)^3)</f>
        <v>78.75777203618537</v>
      </c>
      <c r="K2612" s="75">
        <f>'THAM_SO_MOI'!$C$31*J2612/E2612</f>
        <v>422.83884891605396</v>
      </c>
      <c r="L2612" s="75">
        <f>K2612*'THAM_SO_MOI'!$C$52*'THAM_SO_MOI'!$C$17/'THAM_SO_MOI'!$C$26</f>
        <v>5921.108348675218</v>
      </c>
      <c r="M2612" s="75">
        <f>'THAM_SO_MOI'!$C$15*'THAM_SO_MOI'!$C$16*F2612^2</f>
        <v>374.0317093307849</v>
      </c>
      <c r="N2612" s="75">
        <f>'THAM_SO_MOI'!$C$12*I2612</f>
        <v>1130.112</v>
      </c>
      <c r="O2612" s="75">
        <f>M2612+N2612</f>
        <v>1504.143709330785</v>
      </c>
      <c r="P2612" s="75">
        <f>(MIN(L2612,'THAM_SO_MOI'!$C$41)-O2612)/('THAM_SO_MOI'!$C$11*H2612)</f>
        <v>0.48843955566024044</v>
      </c>
      <c r="Q2612" s="75">
        <f>IF(P2612&gt;0,1/P2612,NA())</f>
        <v>2.047336233135881</v>
      </c>
      <c r="R2612" s="75">
        <f>F2612-F2611</f>
        <v>0.007943393307218827</v>
      </c>
      <c r="S2612" s="75">
        <f>0.5*(Q2611+Q2612)*R2612</f>
        <v>0.016263043492851872</v>
      </c>
      <c r="T2612" s="75">
        <f>0.5*(F2611*Q2611+F2612*Q2612)*R2612</f>
        <v>0.18384022178353232</v>
      </c>
      <c r="U2612" s="76">
        <f>U2611+S2612</f>
        <v>16.29483155370272</v>
      </c>
      <c r="V2612" s="76">
        <f>V2611+T2612</f>
        <v>110.92339540401805</v>
      </c>
    </row>
    <row r="2613" spans="1:22" ht="19" customHeight="1">
      <c r="A2613" s="68" t="s">
        <v>376</v>
      </c>
      <c r="B2613" s="74">
        <v>4</v>
      </c>
      <c r="C2613" s="68" t="s">
        <v>363</v>
      </c>
      <c r="D2613" s="68" t="s">
        <v>364</v>
      </c>
      <c r="E2613" s="75">
        <f>60*F2613*'THAM_SO_MOI'!$C$52/(2*PI()*'THAM_SO_MOI'!$C$26)</f>
        <v>1780.2328924881006</v>
      </c>
      <c r="F2613" s="75">
        <f>'HANH_TRINH'!$F$2468+('THAM_SO_MOI'!$F$52-'HANH_TRINH'!$F$2468)*144/'THAM_SO_MOI'!$C$42</f>
        <v>11.31608597553961</v>
      </c>
      <c r="G2613" s="75">
        <f>3.6*F2613</f>
        <v>40.7379095119426</v>
      </c>
      <c r="H2613" s="75">
        <f>'THAM_SO_MOI'!$D$52</f>
        <v>1.1774754878398197</v>
      </c>
      <c r="I2613" s="75">
        <f>IF(F2613&gt;'THAM_SO_MOI'!$C$14,'THAM_SO_MOI'!$C$13*(1+F2613^2/1500),'THAM_SO_MOI'!$C$13)</f>
        <v>0.015</v>
      </c>
      <c r="J2613" s="75">
        <f>'THAM_SO_MOI'!$C$40*('THAM_SO_MOI'!$C$23*(E2613/'THAM_SO_MOI'!$C$22)+'THAM_SO_MOI'!$C$24*(E2613/'THAM_SO_MOI'!$C$22)^2-'THAM_SO_MOI'!$C$25*(E2613/'THAM_SO_MOI'!$C$22)^3)</f>
        <v>78.82184167461719</v>
      </c>
      <c r="K2613" s="75">
        <f>'THAM_SO_MOI'!$C$31*J2613/E2613</f>
        <v>422.88577366092596</v>
      </c>
      <c r="L2613" s="75">
        <f>K2613*'THAM_SO_MOI'!$C$52*'THAM_SO_MOI'!$C$17/'THAM_SO_MOI'!$C$26</f>
        <v>5921.765446525458</v>
      </c>
      <c r="M2613" s="75">
        <f>'THAM_SO_MOI'!$C$15*'THAM_SO_MOI'!$C$16*F2613^2</f>
        <v>374.5573702819774</v>
      </c>
      <c r="N2613" s="75">
        <f>'THAM_SO_MOI'!$C$12*I2613</f>
        <v>1130.112</v>
      </c>
      <c r="O2613" s="75">
        <f>M2613+N2613</f>
        <v>1504.6693702819775</v>
      </c>
      <c r="P2613" s="75">
        <f>(MIN(L2613,'THAM_SO_MOI'!$C$41)-O2613)/('THAM_SO_MOI'!$C$11*H2613)</f>
        <v>0.48845409029789555</v>
      </c>
      <c r="Q2613" s="75">
        <f>IF(P2613&gt;0,1/P2613,NA())</f>
        <v>2.0472753117700906</v>
      </c>
      <c r="R2613" s="75">
        <f>F2613-F2612</f>
        <v>0.007943393307220603</v>
      </c>
      <c r="S2613" s="75">
        <f>0.5*(Q2612+Q2613)*R2613</f>
        <v>0.016262554970737152</v>
      </c>
      <c r="T2613" s="75">
        <f>0.5*(F2612*Q2612+F2613*Q2613)*R2613</f>
        <v>0.1839638793346478</v>
      </c>
      <c r="U2613" s="76">
        <f>U2612+S2613</f>
        <v>16.31109410867346</v>
      </c>
      <c r="V2613" s="76">
        <f>V2612+T2613</f>
        <v>111.1073592833527</v>
      </c>
    </row>
    <row r="2614" spans="1:22" ht="19" customHeight="1">
      <c r="A2614" s="68" t="s">
        <v>376</v>
      </c>
      <c r="B2614" s="74">
        <v>4</v>
      </c>
      <c r="C2614" s="68" t="s">
        <v>363</v>
      </c>
      <c r="D2614" s="68" t="s">
        <v>364</v>
      </c>
      <c r="E2614" s="75">
        <f>60*F2614*'THAM_SO_MOI'!$C$52/(2*PI()*'THAM_SO_MOI'!$C$26)</f>
        <v>1781.4825374690636</v>
      </c>
      <c r="F2614" s="75">
        <f>'HANH_TRINH'!$F$2468+('THAM_SO_MOI'!$F$52-'HANH_TRINH'!$F$2468)*145/'THAM_SO_MOI'!$C$42</f>
        <v>11.324029368846828</v>
      </c>
      <c r="G2614" s="75">
        <f>3.6*F2614</f>
        <v>40.76650572784858</v>
      </c>
      <c r="H2614" s="75">
        <f>'THAM_SO_MOI'!$D$52</f>
        <v>1.1774754878398197</v>
      </c>
      <c r="I2614" s="75">
        <f>IF(F2614&gt;'THAM_SO_MOI'!$C$14,'THAM_SO_MOI'!$C$13*(1+F2614^2/1500),'THAM_SO_MOI'!$C$13)</f>
        <v>0.015</v>
      </c>
      <c r="J2614" s="75">
        <f>'THAM_SO_MOI'!$C$40*('THAM_SO_MOI'!$C$23*(E2614/'THAM_SO_MOI'!$C$22)+'THAM_SO_MOI'!$C$24*(E2614/'THAM_SO_MOI'!$C$22)^2-'THAM_SO_MOI'!$C$25*(E2614/'THAM_SO_MOI'!$C$22)^3)</f>
        <v>78.88589533419827</v>
      </c>
      <c r="K2614" s="75">
        <f>'THAM_SO_MOI'!$C$31*J2614/E2614</f>
        <v>422.9325469060705</v>
      </c>
      <c r="L2614" s="75">
        <f>K2614*'THAM_SO_MOI'!$C$52*'THAM_SO_MOI'!$C$17/'THAM_SO_MOI'!$C$26</f>
        <v>5922.420422890639</v>
      </c>
      <c r="M2614" s="75">
        <f>'THAM_SO_MOI'!$C$15*'THAM_SO_MOI'!$C$16*F2614^2</f>
        <v>375.0834003535286</v>
      </c>
      <c r="N2614" s="75">
        <f>'THAM_SO_MOI'!$C$12*I2614</f>
        <v>1130.112</v>
      </c>
      <c r="O2614" s="75">
        <f>M2614+N2614</f>
        <v>1505.1954003535286</v>
      </c>
      <c r="P2614" s="75">
        <f>(MIN(L2614,'THAM_SO_MOI'!$C$41)-O2614)/('THAM_SO_MOI'!$C$11*H2614)</f>
        <v>0.4884683495178594</v>
      </c>
      <c r="Q2614" s="75">
        <f>IF(P2614&gt;0,1/P2614,NA())</f>
        <v>2.047215548329888</v>
      </c>
      <c r="R2614" s="75">
        <f>F2614-F2613</f>
        <v>0.007943393307218827</v>
      </c>
      <c r="S2614" s="75">
        <f>0.5*(Q2613+Q2614)*R2614</f>
        <v>0.016262075647293418</v>
      </c>
      <c r="T2614" s="75">
        <f>0.5*(F2613*Q2613+F2614*Q2614)*R2614</f>
        <v>0.18408763325419944</v>
      </c>
      <c r="U2614" s="76">
        <f>U2613+S2614</f>
        <v>16.327356184320752</v>
      </c>
      <c r="V2614" s="76">
        <f>V2613+T2614</f>
        <v>111.29144691660689</v>
      </c>
    </row>
    <row r="2615" spans="1:22" ht="19" customHeight="1">
      <c r="A2615" s="68" t="s">
        <v>376</v>
      </c>
      <c r="B2615" s="74">
        <v>4</v>
      </c>
      <c r="C2615" s="68" t="s">
        <v>363</v>
      </c>
      <c r="D2615" s="68" t="s">
        <v>364</v>
      </c>
      <c r="E2615" s="75">
        <f>60*F2615*'THAM_SO_MOI'!$C$52/(2*PI()*'THAM_SO_MOI'!$C$26)</f>
        <v>1782.7321824500273</v>
      </c>
      <c r="F2615" s="75">
        <f>'HANH_TRINH'!$F$2468+('THAM_SO_MOI'!$F$52-'HANH_TRINH'!$F$2468)*146/'THAM_SO_MOI'!$C$42</f>
        <v>11.331972762154049</v>
      </c>
      <c r="G2615" s="75">
        <f>3.6*F2615</f>
        <v>40.795101943754574</v>
      </c>
      <c r="H2615" s="75">
        <f>'THAM_SO_MOI'!$D$52</f>
        <v>1.1774754878398197</v>
      </c>
      <c r="I2615" s="75">
        <f>IF(F2615&gt;'THAM_SO_MOI'!$C$14,'THAM_SO_MOI'!$C$13*(1+F2615^2/1500),'THAM_SO_MOI'!$C$13)</f>
        <v>0.015</v>
      </c>
      <c r="J2615" s="75">
        <f>'THAM_SO_MOI'!$C$40*('THAM_SO_MOI'!$C$23*(E2615/'THAM_SO_MOI'!$C$22)+'THAM_SO_MOI'!$C$24*(E2615/'THAM_SO_MOI'!$C$22)^2-'THAM_SO_MOI'!$C$25*(E2615/'THAM_SO_MOI'!$C$22)^3)</f>
        <v>78.94993295546293</v>
      </c>
      <c r="K2615" s="75">
        <f>'THAM_SO_MOI'!$C$31*J2615/E2615</f>
        <v>422.97916865148727</v>
      </c>
      <c r="L2615" s="75">
        <f>K2615*'THAM_SO_MOI'!$C$52*'THAM_SO_MOI'!$C$17/'THAM_SO_MOI'!$C$26</f>
        <v>5923.073277770753</v>
      </c>
      <c r="M2615" s="75">
        <f>'THAM_SO_MOI'!$C$15*'THAM_SO_MOI'!$C$16*F2615^2</f>
        <v>375.60979954543876</v>
      </c>
      <c r="N2615" s="75">
        <f>'THAM_SO_MOI'!$C$12*I2615</f>
        <v>1130.112</v>
      </c>
      <c r="O2615" s="75">
        <f>M2615+N2615</f>
        <v>1505.721799545439</v>
      </c>
      <c r="P2615" s="75">
        <f>(MIN(L2615,'THAM_SO_MOI'!$C$41)-O2615)/('THAM_SO_MOI'!$C$11*H2615)</f>
        <v>0.48848233332013086</v>
      </c>
      <c r="Q2615" s="75">
        <f>IF(P2615&gt;0,1/P2615,NA())</f>
        <v>2.047156942612788</v>
      </c>
      <c r="R2615" s="75">
        <f>F2615-F2614</f>
        <v>0.007943393307220603</v>
      </c>
      <c r="S2615" s="75">
        <f>0.5*(Q2614+Q2615)*R2615</f>
        <v>0.016261605520911104</v>
      </c>
      <c r="T2615" s="75">
        <f>0.5*(F2614*Q2614+F2615*Q2615)*R2615</f>
        <v>0.18421148374316024</v>
      </c>
      <c r="U2615" s="76">
        <f>U2614+S2615</f>
        <v>16.343617789841662</v>
      </c>
      <c r="V2615" s="76">
        <f>V2614+T2615</f>
        <v>111.47565840035004</v>
      </c>
    </row>
    <row r="2616" spans="1:22" ht="19" customHeight="1">
      <c r="A2616" s="68" t="s">
        <v>376</v>
      </c>
      <c r="B2616" s="74">
        <v>4</v>
      </c>
      <c r="C2616" s="68" t="s">
        <v>363</v>
      </c>
      <c r="D2616" s="68" t="s">
        <v>364</v>
      </c>
      <c r="E2616" s="75">
        <f>60*F2616*'THAM_SO_MOI'!$C$52/(2*PI()*'THAM_SO_MOI'!$C$26)</f>
        <v>1783.9818274309903</v>
      </c>
      <c r="F2616" s="75">
        <f>'HANH_TRINH'!$F$2468+('THAM_SO_MOI'!$F$52-'HANH_TRINH'!$F$2468)*147/'THAM_SO_MOI'!$C$42</f>
        <v>11.339916155461268</v>
      </c>
      <c r="G2616" s="75">
        <f>3.6*F2616</f>
        <v>40.823698159660566</v>
      </c>
      <c r="H2616" s="75">
        <f>'THAM_SO_MOI'!$D$52</f>
        <v>1.1774754878398197</v>
      </c>
      <c r="I2616" s="75">
        <f>IF(F2616&gt;'THAM_SO_MOI'!$C$14,'THAM_SO_MOI'!$C$13*(1+F2616^2/1500),'THAM_SO_MOI'!$C$13)</f>
        <v>0.015</v>
      </c>
      <c r="J2616" s="75">
        <f>'THAM_SO_MOI'!$C$40*('THAM_SO_MOI'!$C$23*(E2616/'THAM_SO_MOI'!$C$22)+'THAM_SO_MOI'!$C$24*(E2616/'THAM_SO_MOI'!$C$22)^2-'THAM_SO_MOI'!$C$25*(E2616/'THAM_SO_MOI'!$C$22)^3)</f>
        <v>79.01395447894552</v>
      </c>
      <c r="K2616" s="75">
        <f>'THAM_SO_MOI'!$C$31*J2616/E2616</f>
        <v>423.02563889717686</v>
      </c>
      <c r="L2616" s="75">
        <f>K2616*'THAM_SO_MOI'!$C$52*'THAM_SO_MOI'!$C$17/'THAM_SO_MOI'!$C$26</f>
        <v>5923.724011165812</v>
      </c>
      <c r="M2616" s="75">
        <f>'THAM_SO_MOI'!$C$15*'THAM_SO_MOI'!$C$16*F2616^2</f>
        <v>376.1365678577075</v>
      </c>
      <c r="N2616" s="75">
        <f>'THAM_SO_MOI'!$C$12*I2616</f>
        <v>1130.112</v>
      </c>
      <c r="O2616" s="75">
        <f>M2616+N2616</f>
        <v>1506.2485678577077</v>
      </c>
      <c r="P2616" s="75">
        <f>(MIN(L2616,'THAM_SO_MOI'!$C$41)-O2616)/('THAM_SO_MOI'!$C$11*H2616)</f>
        <v>0.48849604170471156</v>
      </c>
      <c r="Q2616" s="75">
        <f>IF(P2616&gt;0,1/P2616,NA())</f>
        <v>2.047099494420233</v>
      </c>
      <c r="R2616" s="75">
        <f>F2616-F2615</f>
        <v>0.007943393307218827</v>
      </c>
      <c r="S2616" s="75">
        <f>0.5*(Q2615+Q2616)*R2616</f>
        <v>0.01626114458998285</v>
      </c>
      <c r="T2616" s="75">
        <f>0.5*(F2615*Q2615+F2616*Q2616)*R2616</f>
        <v>0.18433543100247693</v>
      </c>
      <c r="U2616" s="76">
        <f>U2615+S2616</f>
        <v>16.359878934431645</v>
      </c>
      <c r="V2616" s="76">
        <f>V2615+T2616</f>
        <v>111.65999383135252</v>
      </c>
    </row>
    <row r="2617" spans="1:22" ht="19" customHeight="1">
      <c r="A2617" s="68" t="s">
        <v>376</v>
      </c>
      <c r="B2617" s="74">
        <v>4</v>
      </c>
      <c r="C2617" s="68" t="s">
        <v>363</v>
      </c>
      <c r="D2617" s="68" t="s">
        <v>364</v>
      </c>
      <c r="E2617" s="75">
        <f>60*F2617*'THAM_SO_MOI'!$C$52/(2*PI()*'THAM_SO_MOI'!$C$26)</f>
        <v>1785.231472411953</v>
      </c>
      <c r="F2617" s="75">
        <f>'HANH_TRINH'!$F$2468+('THAM_SO_MOI'!$F$52-'HANH_TRINH'!$F$2468)*148/'THAM_SO_MOI'!$C$42</f>
        <v>11.347859548768486</v>
      </c>
      <c r="G2617" s="75">
        <f>3.6*F2617</f>
        <v>40.85229437556655</v>
      </c>
      <c r="H2617" s="75">
        <f>'THAM_SO_MOI'!$D$52</f>
        <v>1.1774754878398197</v>
      </c>
      <c r="I2617" s="75">
        <f>IF(F2617&gt;'THAM_SO_MOI'!$C$14,'THAM_SO_MOI'!$C$13*(1+F2617^2/1500),'THAM_SO_MOI'!$C$13)</f>
        <v>0.015</v>
      </c>
      <c r="J2617" s="75">
        <f>'THAM_SO_MOI'!$C$40*('THAM_SO_MOI'!$C$23*(E2617/'THAM_SO_MOI'!$C$22)+'THAM_SO_MOI'!$C$24*(E2617/'THAM_SO_MOI'!$C$22)^2-'THAM_SO_MOI'!$C$25*(E2617/'THAM_SO_MOI'!$C$22)^3)</f>
        <v>79.07795984518029</v>
      </c>
      <c r="K2617" s="75">
        <f>'THAM_SO_MOI'!$C$31*J2617/E2617</f>
        <v>423.0719576431387</v>
      </c>
      <c r="L2617" s="75">
        <f>K2617*'THAM_SO_MOI'!$C$52*'THAM_SO_MOI'!$C$17/'THAM_SO_MOI'!$C$26</f>
        <v>5924.372623075805</v>
      </c>
      <c r="M2617" s="75">
        <f>'THAM_SO_MOI'!$C$15*'THAM_SO_MOI'!$C$16*F2617^2</f>
        <v>376.66370529033514</v>
      </c>
      <c r="N2617" s="75">
        <f>'THAM_SO_MOI'!$C$12*I2617</f>
        <v>1130.112</v>
      </c>
      <c r="O2617" s="75">
        <f>M2617+N2617</f>
        <v>1506.7757052903353</v>
      </c>
      <c r="P2617" s="75">
        <f>(MIN(L2617,'THAM_SO_MOI'!$C$41)-O2617)/('THAM_SO_MOI'!$C$11*H2617)</f>
        <v>0.4885094746716001</v>
      </c>
      <c r="Q2617" s="75">
        <f>IF(P2617&gt;0,1/P2617,NA())</f>
        <v>2.047043203557615</v>
      </c>
      <c r="R2617" s="75">
        <f>F2617-F2616</f>
        <v>0.007943393307218827</v>
      </c>
      <c r="S2617" s="75">
        <f>0.5*(Q2616+Q2617)*R2617</f>
        <v>0.016260692852958034</v>
      </c>
      <c r="T2617" s="75">
        <f>0.5*(F2616*Q2616+F2617*Q2617)*R2617</f>
        <v>0.1844594752336887</v>
      </c>
      <c r="U2617" s="76">
        <f>U2616+S2617</f>
        <v>16.3761396272846</v>
      </c>
      <c r="V2617" s="76">
        <f>V2616+T2617</f>
        <v>111.84445330658622</v>
      </c>
    </row>
    <row r="2618" spans="1:22" ht="19" customHeight="1">
      <c r="A2618" s="68" t="s">
        <v>376</v>
      </c>
      <c r="B2618" s="74">
        <v>4</v>
      </c>
      <c r="C2618" s="68" t="s">
        <v>363</v>
      </c>
      <c r="D2618" s="68" t="s">
        <v>364</v>
      </c>
      <c r="E2618" s="75">
        <f>60*F2618*'THAM_SO_MOI'!$C$52/(2*PI()*'THAM_SO_MOI'!$C$26)</f>
        <v>1786.4811173929168</v>
      </c>
      <c r="F2618" s="75">
        <f>'HANH_TRINH'!$F$2468+('THAM_SO_MOI'!$F$52-'HANH_TRINH'!$F$2468)*149/'THAM_SO_MOI'!$C$42</f>
        <v>11.355802942075705</v>
      </c>
      <c r="G2618" s="75">
        <f>3.6*F2618</f>
        <v>40.88089059147254</v>
      </c>
      <c r="H2618" s="75">
        <f>'THAM_SO_MOI'!$D$52</f>
        <v>1.1774754878398197</v>
      </c>
      <c r="I2618" s="75">
        <f>IF(F2618&gt;'THAM_SO_MOI'!$C$14,'THAM_SO_MOI'!$C$13*(1+F2618^2/1500),'THAM_SO_MOI'!$C$13)</f>
        <v>0.015</v>
      </c>
      <c r="J2618" s="75">
        <f>'THAM_SO_MOI'!$C$40*('THAM_SO_MOI'!$C$23*(E2618/'THAM_SO_MOI'!$C$22)+'THAM_SO_MOI'!$C$24*(E2618/'THAM_SO_MOI'!$C$22)^2-'THAM_SO_MOI'!$C$25*(E2618/'THAM_SO_MOI'!$C$22)^3)</f>
        <v>79.14194899470166</v>
      </c>
      <c r="K2618" s="75">
        <f>'THAM_SO_MOI'!$C$31*J2618/E2618</f>
        <v>423.1181248893733</v>
      </c>
      <c r="L2618" s="75">
        <f>K2618*'THAM_SO_MOI'!$C$52*'THAM_SO_MOI'!$C$17/'THAM_SO_MOI'!$C$26</f>
        <v>5925.01911350074</v>
      </c>
      <c r="M2618" s="75">
        <f>'THAM_SO_MOI'!$C$15*'THAM_SO_MOI'!$C$16*F2618^2</f>
        <v>377.19121184332164</v>
      </c>
      <c r="N2618" s="75">
        <f>'THAM_SO_MOI'!$C$12*I2618</f>
        <v>1130.112</v>
      </c>
      <c r="O2618" s="75">
        <f>M2618+N2618</f>
        <v>1507.3032118433216</v>
      </c>
      <c r="P2618" s="75">
        <f>(MIN(L2618,'THAM_SO_MOI'!$C$41)-O2618)/('THAM_SO_MOI'!$C$11*H2618)</f>
        <v>0.48852263222079745</v>
      </c>
      <c r="Q2618" s="75">
        <f>IF(P2618&gt;0,1/P2618,NA())</f>
        <v>2.0469880698342555</v>
      </c>
      <c r="R2618" s="75">
        <f>F2618-F2617</f>
        <v>0.007943393307218827</v>
      </c>
      <c r="S2618" s="75">
        <f>0.5*(Q2617+Q2618)*R2618</f>
        <v>0.016260250308302776</v>
      </c>
      <c r="T2618" s="75">
        <f>0.5*(F2617*Q2617+F2618*Q2618)*R2618</f>
        <v>0.18458361663847578</v>
      </c>
      <c r="U2618" s="76">
        <f>U2617+S2618</f>
        <v>16.392399877592904</v>
      </c>
      <c r="V2618" s="76">
        <f>V2617+T2618</f>
        <v>112.0290369232247</v>
      </c>
    </row>
    <row r="2619" spans="1:22" ht="19" customHeight="1">
      <c r="A2619" s="68" t="s">
        <v>376</v>
      </c>
      <c r="B2619" s="74">
        <v>4</v>
      </c>
      <c r="C2619" s="68" t="s">
        <v>363</v>
      </c>
      <c r="D2619" s="68" t="s">
        <v>364</v>
      </c>
      <c r="E2619" s="75">
        <f>60*F2619*'THAM_SO_MOI'!$C$52/(2*PI()*'THAM_SO_MOI'!$C$26)</f>
        <v>1787.7307623738798</v>
      </c>
      <c r="F2619" s="75">
        <f>'HANH_TRINH'!$F$2468+('THAM_SO_MOI'!$F$52-'HANH_TRINH'!$F$2468)*150/'THAM_SO_MOI'!$C$42</f>
        <v>11.363746335382926</v>
      </c>
      <c r="G2619" s="75">
        <f>3.6*F2619</f>
        <v>40.909486807378535</v>
      </c>
      <c r="H2619" s="75">
        <f>'THAM_SO_MOI'!$D$52</f>
        <v>1.1774754878398197</v>
      </c>
      <c r="I2619" s="75">
        <f>IF(F2619&gt;'THAM_SO_MOI'!$C$14,'THAM_SO_MOI'!$C$13*(1+F2619^2/1500),'THAM_SO_MOI'!$C$13)</f>
        <v>0.015</v>
      </c>
      <c r="J2619" s="75">
        <f>'THAM_SO_MOI'!$C$40*('THAM_SO_MOI'!$C$23*(E2619/'THAM_SO_MOI'!$C$22)+'THAM_SO_MOI'!$C$24*(E2619/'THAM_SO_MOI'!$C$22)^2-'THAM_SO_MOI'!$C$25*(E2619/'THAM_SO_MOI'!$C$22)^3)</f>
        <v>79.20592186804387</v>
      </c>
      <c r="K2619" s="75">
        <f>'THAM_SO_MOI'!$C$31*J2619/E2619</f>
        <v>423.1641406358804</v>
      </c>
      <c r="L2619" s="75">
        <f>K2619*'THAM_SO_MOI'!$C$52*'THAM_SO_MOI'!$C$17/'THAM_SO_MOI'!$C$26</f>
        <v>5925.663482440616</v>
      </c>
      <c r="M2619" s="75">
        <f>'THAM_SO_MOI'!$C$15*'THAM_SO_MOI'!$C$16*F2619^2</f>
        <v>377.71908751666695</v>
      </c>
      <c r="N2619" s="75">
        <f>'THAM_SO_MOI'!$C$12*I2619</f>
        <v>1130.112</v>
      </c>
      <c r="O2619" s="75">
        <f>M2619+N2619</f>
        <v>1507.8310875166671</v>
      </c>
      <c r="P2619" s="75">
        <f>(MIN(L2619,'THAM_SO_MOI'!$C$41)-O2619)/('THAM_SO_MOI'!$C$11*H2619)</f>
        <v>0.4885355143523035</v>
      </c>
      <c r="Q2619" s="75">
        <f>IF(P2619&gt;0,1/P2619,NA())</f>
        <v>2.0469340930634123</v>
      </c>
      <c r="R2619" s="75">
        <f>F2619-F2618</f>
        <v>0.007943393307220603</v>
      </c>
      <c r="S2619" s="75">
        <f>0.5*(Q2618+Q2619)*R2619</f>
        <v>0.016259816954521715</v>
      </c>
      <c r="T2619" s="75">
        <f>0.5*(F2618*Q2618+F2619*Q2619)*R2619</f>
        <v>0.18470785541890694</v>
      </c>
      <c r="U2619" s="76">
        <f>U2618+S2619</f>
        <v>16.408659694547428</v>
      </c>
      <c r="V2619" s="76">
        <f>V2618+T2619</f>
        <v>112.2137447786436</v>
      </c>
    </row>
    <row r="2620" spans="1:22" ht="19" customHeight="1">
      <c r="A2620" s="68" t="s">
        <v>376</v>
      </c>
      <c r="B2620" s="74">
        <v>4</v>
      </c>
      <c r="C2620" s="68" t="s">
        <v>363</v>
      </c>
      <c r="D2620" s="68" t="s">
        <v>364</v>
      </c>
      <c r="E2620" s="75">
        <f>60*F2620*'THAM_SO_MOI'!$C$52/(2*PI()*'THAM_SO_MOI'!$C$26)</f>
        <v>1788.9804073548435</v>
      </c>
      <c r="F2620" s="75">
        <f>'HANH_TRINH'!$F$2468+('THAM_SO_MOI'!$F$52-'HANH_TRINH'!$F$2468)*151/'THAM_SO_MOI'!$C$42</f>
        <v>11.371689728690145</v>
      </c>
      <c r="G2620" s="75">
        <f>3.6*F2620</f>
        <v>40.93808302328452</v>
      </c>
      <c r="H2620" s="75">
        <f>'THAM_SO_MOI'!$D$52</f>
        <v>1.1774754878398197</v>
      </c>
      <c r="I2620" s="75">
        <f>IF(F2620&gt;'THAM_SO_MOI'!$C$14,'THAM_SO_MOI'!$C$13*(1+F2620^2/1500),'THAM_SO_MOI'!$C$13)</f>
        <v>0.015</v>
      </c>
      <c r="J2620" s="75">
        <f>'THAM_SO_MOI'!$C$40*('THAM_SO_MOI'!$C$23*(E2620/'THAM_SO_MOI'!$C$22)+'THAM_SO_MOI'!$C$24*(E2620/'THAM_SO_MOI'!$C$22)^2-'THAM_SO_MOI'!$C$25*(E2620/'THAM_SO_MOI'!$C$22)^3)</f>
        <v>79.26987840574127</v>
      </c>
      <c r="K2620" s="75">
        <f>'THAM_SO_MOI'!$C$31*J2620/E2620</f>
        <v>423.21000488266</v>
      </c>
      <c r="L2620" s="75">
        <f>K2620*'THAM_SO_MOI'!$C$52*'THAM_SO_MOI'!$C$17/'THAM_SO_MOI'!$C$26</f>
        <v>5926.305729895427</v>
      </c>
      <c r="M2620" s="75">
        <f>'THAM_SO_MOI'!$C$15*'THAM_SO_MOI'!$C$16*F2620^2</f>
        <v>378.24733231037106</v>
      </c>
      <c r="N2620" s="75">
        <f>'THAM_SO_MOI'!$C$12*I2620</f>
        <v>1130.112</v>
      </c>
      <c r="O2620" s="75">
        <f>M2620+N2620</f>
        <v>1508.3593323103712</v>
      </c>
      <c r="P2620" s="75">
        <f>(MIN(L2620,'THAM_SO_MOI'!$C$41)-O2620)/('THAM_SO_MOI'!$C$11*H2620)</f>
        <v>0.48854812106611767</v>
      </c>
      <c r="Q2620" s="75">
        <f>IF(P2620&gt;0,1/P2620,NA())</f>
        <v>2.0468812730622803</v>
      </c>
      <c r="R2620" s="75">
        <f>F2620-F2619</f>
        <v>0.007943393307218827</v>
      </c>
      <c r="S2620" s="75">
        <f>0.5*(Q2619+Q2620)*R2620</f>
        <v>0.016259392790136207</v>
      </c>
      <c r="T2620" s="75">
        <f>0.5*(F2619*Q2619+F2620*Q2620)*R2620</f>
        <v>0.18483219177719373</v>
      </c>
      <c r="U2620" s="76">
        <f>U2619+S2620</f>
        <v>16.424919087337564</v>
      </c>
      <c r="V2620" s="76">
        <f>V2619+T2620</f>
        <v>112.39857697042079</v>
      </c>
    </row>
    <row r="2621" spans="1:22" ht="19" customHeight="1">
      <c r="A2621" s="68" t="s">
        <v>376</v>
      </c>
      <c r="B2621" s="74">
        <v>4</v>
      </c>
      <c r="C2621" s="68" t="s">
        <v>363</v>
      </c>
      <c r="D2621" s="68" t="s">
        <v>364</v>
      </c>
      <c r="E2621" s="75">
        <f>60*F2621*'THAM_SO_MOI'!$C$52/(2*PI()*'THAM_SO_MOI'!$C$26)</f>
        <v>1790.230052335807</v>
      </c>
      <c r="F2621" s="75">
        <f>'HANH_TRINH'!$F$2468+('THAM_SO_MOI'!$F$52-'HANH_TRINH'!$F$2468)*152/'THAM_SO_MOI'!$C$42</f>
        <v>11.379633121997365</v>
      </c>
      <c r="G2621" s="75">
        <f>3.6*F2621</f>
        <v>40.96667923919052</v>
      </c>
      <c r="H2621" s="75">
        <f>'THAM_SO_MOI'!$D$52</f>
        <v>1.1774754878398197</v>
      </c>
      <c r="I2621" s="75">
        <f>IF(F2621&gt;'THAM_SO_MOI'!$C$14,'THAM_SO_MOI'!$C$13*(1+F2621^2/1500),'THAM_SO_MOI'!$C$13)</f>
        <v>0.015</v>
      </c>
      <c r="J2621" s="75">
        <f>'THAM_SO_MOI'!$C$40*('THAM_SO_MOI'!$C$23*(E2621/'THAM_SO_MOI'!$C$22)+'THAM_SO_MOI'!$C$24*(E2621/'THAM_SO_MOI'!$C$22)^2-'THAM_SO_MOI'!$C$25*(E2621/'THAM_SO_MOI'!$C$22)^3)</f>
        <v>79.33381854832813</v>
      </c>
      <c r="K2621" s="75">
        <f>'THAM_SO_MOI'!$C$31*J2621/E2621</f>
        <v>423.2557176297121</v>
      </c>
      <c r="L2621" s="75">
        <f>K2621*'THAM_SO_MOI'!$C$52*'THAM_SO_MOI'!$C$17/'THAM_SO_MOI'!$C$26</f>
        <v>5926.9458558651795</v>
      </c>
      <c r="M2621" s="75">
        <f>'THAM_SO_MOI'!$C$15*'THAM_SO_MOI'!$C$16*F2621^2</f>
        <v>378.7759462244341</v>
      </c>
      <c r="N2621" s="75">
        <f>'THAM_SO_MOI'!$C$12*I2621</f>
        <v>1130.112</v>
      </c>
      <c r="O2621" s="75">
        <f>M2621+N2621</f>
        <v>1508.8879462244342</v>
      </c>
      <c r="P2621" s="75">
        <f>(MIN(L2621,'THAM_SO_MOI'!$C$41)-O2621)/('THAM_SO_MOI'!$C$11*H2621)</f>
        <v>0.4885604523622405</v>
      </c>
      <c r="Q2621" s="75">
        <f>IF(P2621&gt;0,1/P2621,NA())</f>
        <v>2.046829609651981</v>
      </c>
      <c r="R2621" s="75">
        <f>F2621-F2620</f>
        <v>0.007943393307220603</v>
      </c>
      <c r="S2621" s="75">
        <f>0.5*(Q2620+Q2621)*R2621</f>
        <v>0.016258977813724304</v>
      </c>
      <c r="T2621" s="75">
        <f>0.5*(F2620*Q2620+F2621*Q2621)*R2621</f>
        <v>0.18495662591614553</v>
      </c>
      <c r="U2621" s="76">
        <f>U2620+S2621</f>
        <v>16.441178065151288</v>
      </c>
      <c r="V2621" s="76">
        <f>V2620+T2621</f>
        <v>112.58353359633693</v>
      </c>
    </row>
    <row r="2622" spans="1:22" ht="19" customHeight="1">
      <c r="A2622" s="68" t="s">
        <v>376</v>
      </c>
      <c r="B2622" s="74">
        <v>4</v>
      </c>
      <c r="C2622" s="68" t="s">
        <v>363</v>
      </c>
      <c r="D2622" s="68" t="s">
        <v>364</v>
      </c>
      <c r="E2622" s="75">
        <f>60*F2622*'THAM_SO_MOI'!$C$52/(2*PI()*'THAM_SO_MOI'!$C$26)</f>
        <v>1791.4796973167702</v>
      </c>
      <c r="F2622" s="75">
        <f>'HANH_TRINH'!$F$2468+('THAM_SO_MOI'!$F$52-'HANH_TRINH'!$F$2468)*153/'THAM_SO_MOI'!$C$42</f>
        <v>11.387576515304584</v>
      </c>
      <c r="G2622" s="75">
        <f>3.6*F2622</f>
        <v>40.995275455096504</v>
      </c>
      <c r="H2622" s="75">
        <f>'THAM_SO_MOI'!$D$52</f>
        <v>1.1774754878398197</v>
      </c>
      <c r="I2622" s="75">
        <f>IF(F2622&gt;'THAM_SO_MOI'!$C$14,'THAM_SO_MOI'!$C$13*(1+F2622^2/1500),'THAM_SO_MOI'!$C$13)</f>
        <v>0.015</v>
      </c>
      <c r="J2622" s="75">
        <f>'THAM_SO_MOI'!$C$40*('THAM_SO_MOI'!$C$23*(E2622/'THAM_SO_MOI'!$C$22)+'THAM_SO_MOI'!$C$24*(E2622/'THAM_SO_MOI'!$C$22)^2-'THAM_SO_MOI'!$C$25*(E2622/'THAM_SO_MOI'!$C$22)^3)</f>
        <v>79.39774223633876</v>
      </c>
      <c r="K2622" s="75">
        <f>'THAM_SO_MOI'!$C$31*J2622/E2622</f>
        <v>423.30127887703657</v>
      </c>
      <c r="L2622" s="75">
        <f>K2622*'THAM_SO_MOI'!$C$52*'THAM_SO_MOI'!$C$17/'THAM_SO_MOI'!$C$26</f>
        <v>5927.583860349868</v>
      </c>
      <c r="M2622" s="75">
        <f>'THAM_SO_MOI'!$C$15*'THAM_SO_MOI'!$C$16*F2622^2</f>
        <v>379.3049292588558</v>
      </c>
      <c r="N2622" s="75">
        <f>'THAM_SO_MOI'!$C$12*I2622</f>
        <v>1130.112</v>
      </c>
      <c r="O2622" s="75">
        <f>M2622+N2622</f>
        <v>1509.4169292588558</v>
      </c>
      <c r="P2622" s="75">
        <f>(MIN(L2622,'THAM_SO_MOI'!$C$41)-O2622)/('THAM_SO_MOI'!$C$11*H2622)</f>
        <v>0.4885725082406714</v>
      </c>
      <c r="Q2622" s="75">
        <f>IF(P2622&gt;0,1/P2622,NA())</f>
        <v>2.046779102657571</v>
      </c>
      <c r="R2622" s="75">
        <f>F2622-F2621</f>
        <v>0.007943393307218827</v>
      </c>
      <c r="S2622" s="75">
        <f>0.5*(Q2621+Q2622)*R2622</f>
        <v>0.016258572023866186</v>
      </c>
      <c r="T2622" s="75">
        <f>0.5*(F2621*Q2621+F2622*Q2622)*R2622</f>
        <v>0.18508115803855082</v>
      </c>
      <c r="U2622" s="76">
        <f>U2621+S2622</f>
        <v>16.457436637175153</v>
      </c>
      <c r="V2622" s="76">
        <f>V2621+T2622</f>
        <v>112.76861475437549</v>
      </c>
    </row>
    <row r="2623" spans="1:22" ht="19" customHeight="1">
      <c r="A2623" s="68" t="s">
        <v>376</v>
      </c>
      <c r="B2623" s="74">
        <v>4</v>
      </c>
      <c r="C2623" s="68" t="s">
        <v>363</v>
      </c>
      <c r="D2623" s="68" t="s">
        <v>364</v>
      </c>
      <c r="E2623" s="75">
        <f>60*F2623*'THAM_SO_MOI'!$C$52/(2*PI()*'THAM_SO_MOI'!$C$26)</f>
        <v>1792.7293422977332</v>
      </c>
      <c r="F2623" s="75">
        <f>'HANH_TRINH'!$F$2468+('THAM_SO_MOI'!$F$52-'HANH_TRINH'!$F$2468)*154/'THAM_SO_MOI'!$C$42</f>
        <v>11.395519908611803</v>
      </c>
      <c r="G2623" s="75">
        <f>3.6*F2623</f>
        <v>41.02387167100249</v>
      </c>
      <c r="H2623" s="75">
        <f>'THAM_SO_MOI'!$D$52</f>
        <v>1.1774754878398197</v>
      </c>
      <c r="I2623" s="75">
        <f>IF(F2623&gt;'THAM_SO_MOI'!$C$14,'THAM_SO_MOI'!$C$13*(1+F2623^2/1500),'THAM_SO_MOI'!$C$13)</f>
        <v>0.015</v>
      </c>
      <c r="J2623" s="75">
        <f>'THAM_SO_MOI'!$C$40*('THAM_SO_MOI'!$C$23*(E2623/'THAM_SO_MOI'!$C$22)+'THAM_SO_MOI'!$C$24*(E2623/'THAM_SO_MOI'!$C$22)^2-'THAM_SO_MOI'!$C$25*(E2623/'THAM_SO_MOI'!$C$22)^3)</f>
        <v>79.4616494103075</v>
      </c>
      <c r="K2623" s="75">
        <f>'THAM_SO_MOI'!$C$31*J2623/E2623</f>
        <v>423.3466886246337</v>
      </c>
      <c r="L2623" s="75">
        <f>K2623*'THAM_SO_MOI'!$C$52*'THAM_SO_MOI'!$C$17/'THAM_SO_MOI'!$C$26</f>
        <v>5928.219743349498</v>
      </c>
      <c r="M2623" s="75">
        <f>'THAM_SO_MOI'!$C$15*'THAM_SO_MOI'!$C$16*F2623^2</f>
        <v>379.8342814136363</v>
      </c>
      <c r="N2623" s="75">
        <f>'THAM_SO_MOI'!$C$12*I2623</f>
        <v>1130.112</v>
      </c>
      <c r="O2623" s="75">
        <f>M2623+N2623</f>
        <v>1509.9462814136364</v>
      </c>
      <c r="P2623" s="75">
        <f>(MIN(L2623,'THAM_SO_MOI'!$C$41)-O2623)/('THAM_SO_MOI'!$C$11*H2623)</f>
        <v>0.488584288701411</v>
      </c>
      <c r="Q2623" s="75">
        <f>IF(P2623&gt;0,1/P2623,NA())</f>
        <v>2.0467297519080296</v>
      </c>
      <c r="R2623" s="75">
        <f>F2623-F2622</f>
        <v>0.007943393307218827</v>
      </c>
      <c r="S2623" s="75">
        <f>0.5*(Q2622+Q2623)*R2623</f>
        <v>0.0162581754191987</v>
      </c>
      <c r="T2623" s="75">
        <f>0.5*(F2622*Q2622+F2623*Q2623)*R2623</f>
        <v>0.18520578834779838</v>
      </c>
      <c r="U2623" s="76">
        <f>U2622+S2623</f>
        <v>16.473694812594353</v>
      </c>
      <c r="V2623" s="76">
        <f>V2622+T2623</f>
        <v>112.95382054272329</v>
      </c>
    </row>
    <row r="2624" spans="1:22" ht="19" customHeight="1">
      <c r="A2624" s="68" t="s">
        <v>376</v>
      </c>
      <c r="B2624" s="74">
        <v>4</v>
      </c>
      <c r="C2624" s="68" t="s">
        <v>363</v>
      </c>
      <c r="D2624" s="68" t="s">
        <v>364</v>
      </c>
      <c r="E2624" s="75">
        <f>60*F2624*'THAM_SO_MOI'!$C$52/(2*PI()*'THAM_SO_MOI'!$C$26)</f>
        <v>1793.978987278696</v>
      </c>
      <c r="F2624" s="75">
        <f>'HANH_TRINH'!$F$2468+('THAM_SO_MOI'!$F$52-'HANH_TRINH'!$F$2468)*155/'THAM_SO_MOI'!$C$42</f>
        <v>11.403463301919022</v>
      </c>
      <c r="G2624" s="75">
        <f>3.6*F2624</f>
        <v>41.05246788690848</v>
      </c>
      <c r="H2624" s="75">
        <f>'THAM_SO_MOI'!$D$52</f>
        <v>1.1774754878398197</v>
      </c>
      <c r="I2624" s="75">
        <f>IF(F2624&gt;'THAM_SO_MOI'!$C$14,'THAM_SO_MOI'!$C$13*(1+F2624^2/1500),'THAM_SO_MOI'!$C$13)</f>
        <v>0.015</v>
      </c>
      <c r="J2624" s="75">
        <f>'THAM_SO_MOI'!$C$40*('THAM_SO_MOI'!$C$23*(E2624/'THAM_SO_MOI'!$C$22)+'THAM_SO_MOI'!$C$24*(E2624/'THAM_SO_MOI'!$C$22)^2-'THAM_SO_MOI'!$C$25*(E2624/'THAM_SO_MOI'!$C$22)^3)</f>
        <v>79.52554001076865</v>
      </c>
      <c r="K2624" s="75">
        <f>'THAM_SO_MOI'!$C$31*J2624/E2624</f>
        <v>423.3919468725034</v>
      </c>
      <c r="L2624" s="75">
        <f>K2624*'THAM_SO_MOI'!$C$52*'THAM_SO_MOI'!$C$17/'THAM_SO_MOI'!$C$26</f>
        <v>5928.853504864066</v>
      </c>
      <c r="M2624" s="75">
        <f>'THAM_SO_MOI'!$C$15*'THAM_SO_MOI'!$C$16*F2624^2</f>
        <v>380.3640026887756</v>
      </c>
      <c r="N2624" s="75">
        <f>'THAM_SO_MOI'!$C$12*I2624</f>
        <v>1130.112</v>
      </c>
      <c r="O2624" s="75">
        <f>M2624+N2624</f>
        <v>1510.4760026887757</v>
      </c>
      <c r="P2624" s="75">
        <f>(MIN(L2624,'THAM_SO_MOI'!$C$41)-O2624)/('THAM_SO_MOI'!$C$11*H2624)</f>
        <v>0.4885957937444592</v>
      </c>
      <c r="Q2624" s="75">
        <f>IF(P2624&gt;0,1/P2624,NA())</f>
        <v>2.0466815572362678</v>
      </c>
      <c r="R2624" s="75">
        <f>F2624-F2623</f>
        <v>0.007943393307218827</v>
      </c>
      <c r="S2624" s="75">
        <f>0.5*(Q2623+Q2624)*R2624</f>
        <v>0.016257787998375333</v>
      </c>
      <c r="T2624" s="75">
        <f>0.5*(F2623*Q2623+F2624*Q2624)*R2624</f>
        <v>0.1853305170474236</v>
      </c>
      <c r="U2624" s="76">
        <f>U2623+S2624</f>
        <v>16.489952600592726</v>
      </c>
      <c r="V2624" s="76">
        <f>V2623+T2624</f>
        <v>113.13915105977071</v>
      </c>
    </row>
    <row r="2625" spans="1:22" ht="19" customHeight="1">
      <c r="A2625" s="68" t="s">
        <v>376</v>
      </c>
      <c r="B2625" s="74">
        <v>4</v>
      </c>
      <c r="C2625" s="68" t="s">
        <v>363</v>
      </c>
      <c r="D2625" s="68" t="s">
        <v>364</v>
      </c>
      <c r="E2625" s="75">
        <f>60*F2625*'THAM_SO_MOI'!$C$52/(2*PI()*'THAM_SO_MOI'!$C$26)</f>
        <v>1795.2286322596597</v>
      </c>
      <c r="F2625" s="75">
        <f>'HANH_TRINH'!$F$2468+('THAM_SO_MOI'!$F$52-'HANH_TRINH'!$F$2468)*156/'THAM_SO_MOI'!$C$42</f>
        <v>11.411406695226242</v>
      </c>
      <c r="G2625" s="75">
        <f>3.6*F2625</f>
        <v>41.08106410281447</v>
      </c>
      <c r="H2625" s="75">
        <f>'THAM_SO_MOI'!$D$52</f>
        <v>1.1774754878398197</v>
      </c>
      <c r="I2625" s="75">
        <f>IF(F2625&gt;'THAM_SO_MOI'!$C$14,'THAM_SO_MOI'!$C$13*(1+F2625^2/1500),'THAM_SO_MOI'!$C$13)</f>
        <v>0.015</v>
      </c>
      <c r="J2625" s="75">
        <f>'THAM_SO_MOI'!$C$40*('THAM_SO_MOI'!$C$23*(E2625/'THAM_SO_MOI'!$C$22)+'THAM_SO_MOI'!$C$24*(E2625/'THAM_SO_MOI'!$C$22)^2-'THAM_SO_MOI'!$C$25*(E2625/'THAM_SO_MOI'!$C$22)^3)</f>
        <v>79.5894139782566</v>
      </c>
      <c r="K2625" s="75">
        <f>'THAM_SO_MOI'!$C$31*J2625/E2625</f>
        <v>423.43705362064566</v>
      </c>
      <c r="L2625" s="75">
        <f>K2625*'THAM_SO_MOI'!$C$52*'THAM_SO_MOI'!$C$17/'THAM_SO_MOI'!$C$26</f>
        <v>5929.485144893576</v>
      </c>
      <c r="M2625" s="75">
        <f>'THAM_SO_MOI'!$C$15*'THAM_SO_MOI'!$C$16*F2625^2</f>
        <v>380.89409308427395</v>
      </c>
      <c r="N2625" s="75">
        <f>'THAM_SO_MOI'!$C$12*I2625</f>
        <v>1130.112</v>
      </c>
      <c r="O2625" s="75">
        <f>M2625+N2625</f>
        <v>1511.006093084274</v>
      </c>
      <c r="P2625" s="75">
        <f>(MIN(L2625,'THAM_SO_MOI'!$C$41)-O2625)/('THAM_SO_MOI'!$C$11*H2625)</f>
        <v>0.488607023369816</v>
      </c>
      <c r="Q2625" s="75">
        <f>IF(P2625&gt;0,1/P2625,NA())</f>
        <v>2.046634518479121</v>
      </c>
      <c r="R2625" s="75">
        <f>F2625-F2624</f>
        <v>0.007943393307220603</v>
      </c>
      <c r="S2625" s="75">
        <f>0.5*(Q2624+Q2625)*R2625</f>
        <v>0.016257409760088062</v>
      </c>
      <c r="T2625" s="75">
        <f>0.5*(F2624*Q2624+F2625*Q2625)*R2625</f>
        <v>0.18545534434135788</v>
      </c>
      <c r="U2625" s="76">
        <f>U2624+S2625</f>
        <v>16.506210010352813</v>
      </c>
      <c r="V2625" s="76">
        <f>V2624+T2625</f>
        <v>113.32460640411207</v>
      </c>
    </row>
    <row r="2626" spans="1:22" ht="19" customHeight="1">
      <c r="A2626" s="68" t="s">
        <v>376</v>
      </c>
      <c r="B2626" s="74">
        <v>4</v>
      </c>
      <c r="C2626" s="68" t="s">
        <v>363</v>
      </c>
      <c r="D2626" s="68" t="s">
        <v>364</v>
      </c>
      <c r="E2626" s="75">
        <f>60*F2626*'THAM_SO_MOI'!$C$52/(2*PI()*'THAM_SO_MOI'!$C$26)</f>
        <v>1796.4782772406227</v>
      </c>
      <c r="F2626" s="75">
        <f>'HANH_TRINH'!$F$2468+('THAM_SO_MOI'!$F$52-'HANH_TRINH'!$F$2468)*157/'THAM_SO_MOI'!$C$42</f>
        <v>11.419350088533461</v>
      </c>
      <c r="G2626" s="75">
        <f>3.6*F2626</f>
        <v>41.10966031872046</v>
      </c>
      <c r="H2626" s="75">
        <f>'THAM_SO_MOI'!$D$52</f>
        <v>1.1774754878398197</v>
      </c>
      <c r="I2626" s="75">
        <f>IF(F2626&gt;'THAM_SO_MOI'!$C$14,'THAM_SO_MOI'!$C$13*(1+F2626^2/1500),'THAM_SO_MOI'!$C$13)</f>
        <v>0.015</v>
      </c>
      <c r="J2626" s="75">
        <f>'THAM_SO_MOI'!$C$40*('THAM_SO_MOI'!$C$23*(E2626/'THAM_SO_MOI'!$C$22)+'THAM_SO_MOI'!$C$24*(E2626/'THAM_SO_MOI'!$C$22)^2-'THAM_SO_MOI'!$C$25*(E2626/'THAM_SO_MOI'!$C$22)^3)</f>
        <v>79.65327125330555</v>
      </c>
      <c r="K2626" s="75">
        <f>'THAM_SO_MOI'!$C$31*J2626/E2626</f>
        <v>423.48200886906034</v>
      </c>
      <c r="L2626" s="75">
        <f>K2626*'THAM_SO_MOI'!$C$52*'THAM_SO_MOI'!$C$17/'THAM_SO_MOI'!$C$26</f>
        <v>5930.114663438022</v>
      </c>
      <c r="M2626" s="75">
        <f>'THAM_SO_MOI'!$C$15*'THAM_SO_MOI'!$C$16*F2626^2</f>
        <v>381.4245526001308</v>
      </c>
      <c r="N2626" s="75">
        <f>'THAM_SO_MOI'!$C$12*I2626</f>
        <v>1130.112</v>
      </c>
      <c r="O2626" s="75">
        <f>M2626+N2626</f>
        <v>1511.536552600131</v>
      </c>
      <c r="P2626" s="75">
        <f>(MIN(L2626,'THAM_SO_MOI'!$C$41)-O2626)/('THAM_SO_MOI'!$C$11*H2626)</f>
        <v>0.488617977577481</v>
      </c>
      <c r="Q2626" s="75">
        <f>IF(P2626&gt;0,1/P2626,NA())</f>
        <v>2.0465886354773515</v>
      </c>
      <c r="R2626" s="75">
        <f>F2626-F2625</f>
        <v>0.007943393307218827</v>
      </c>
      <c r="S2626" s="75">
        <f>0.5*(Q2625+Q2626)*R2626</f>
        <v>0.01625704070304549</v>
      </c>
      <c r="T2626" s="75">
        <f>0.5*(F2625*Q2625+F2626*Q2626)*R2626</f>
        <v>0.18558027043368108</v>
      </c>
      <c r="U2626" s="76">
        <f>U2625+S2626</f>
        <v>16.52246705105586</v>
      </c>
      <c r="V2626" s="76">
        <f>V2625+T2626</f>
        <v>113.51018667454575</v>
      </c>
    </row>
    <row r="2627" spans="1:22" ht="19" customHeight="1">
      <c r="A2627" s="68" t="s">
        <v>376</v>
      </c>
      <c r="B2627" s="74">
        <v>4</v>
      </c>
      <c r="C2627" s="68" t="s">
        <v>363</v>
      </c>
      <c r="D2627" s="68" t="s">
        <v>364</v>
      </c>
      <c r="E2627" s="75">
        <f>60*F2627*'THAM_SO_MOI'!$C$52/(2*PI()*'THAM_SO_MOI'!$C$26)</f>
        <v>1797.727922221586</v>
      </c>
      <c r="F2627" s="75">
        <f>'HANH_TRINH'!$F$2468+('THAM_SO_MOI'!$F$52-'HANH_TRINH'!$F$2468)*158/'THAM_SO_MOI'!$C$42</f>
        <v>11.42729348184068</v>
      </c>
      <c r="G2627" s="75">
        <f>3.6*F2627</f>
        <v>41.13825653462645</v>
      </c>
      <c r="H2627" s="75">
        <f>'THAM_SO_MOI'!$D$52</f>
        <v>1.1774754878398197</v>
      </c>
      <c r="I2627" s="75">
        <f>IF(F2627&gt;'THAM_SO_MOI'!$C$14,'THAM_SO_MOI'!$C$13*(1+F2627^2/1500),'THAM_SO_MOI'!$C$13)</f>
        <v>0.015</v>
      </c>
      <c r="J2627" s="75">
        <f>'THAM_SO_MOI'!$C$40*('THAM_SO_MOI'!$C$23*(E2627/'THAM_SO_MOI'!$C$22)+'THAM_SO_MOI'!$C$24*(E2627/'THAM_SO_MOI'!$C$22)^2-'THAM_SO_MOI'!$C$25*(E2627/'THAM_SO_MOI'!$C$22)^3)</f>
        <v>79.71711177644987</v>
      </c>
      <c r="K2627" s="75">
        <f>'THAM_SO_MOI'!$C$31*J2627/E2627</f>
        <v>423.52681261774757</v>
      </c>
      <c r="L2627" s="75">
        <f>K2627*'THAM_SO_MOI'!$C$52*'THAM_SO_MOI'!$C$17/'THAM_SO_MOI'!$C$26</f>
        <v>5930.742060497407</v>
      </c>
      <c r="M2627" s="75">
        <f>'THAM_SO_MOI'!$C$15*'THAM_SO_MOI'!$C$16*F2627^2</f>
        <v>381.9553812363466</v>
      </c>
      <c r="N2627" s="75">
        <f>'THAM_SO_MOI'!$C$12*I2627</f>
        <v>1130.112</v>
      </c>
      <c r="O2627" s="75">
        <f>M2627+N2627</f>
        <v>1512.0673812363466</v>
      </c>
      <c r="P2627" s="75">
        <f>(MIN(L2627,'THAM_SO_MOI'!$C$41)-O2627)/('THAM_SO_MOI'!$C$11*H2627)</f>
        <v>0.48862865636745434</v>
      </c>
      <c r="Q2627" s="75">
        <f>IF(P2627&gt;0,1/P2627,NA())</f>
        <v>2.046543908075642</v>
      </c>
      <c r="R2627" s="75">
        <f>F2627-F2626</f>
        <v>0.007943393307218827</v>
      </c>
      <c r="S2627" s="75">
        <f>0.5*(Q2626+Q2627)*R2627</f>
        <v>0.01625668082600921</v>
      </c>
      <c r="T2627" s="75">
        <f>0.5*(F2626*Q2626+F2627*Q2627)*R2627</f>
        <v>0.18570529552903717</v>
      </c>
      <c r="U2627" s="76">
        <f>U2626+S2627</f>
        <v>16.53872373188187</v>
      </c>
      <c r="V2627" s="76">
        <f>V2626+T2627</f>
        <v>113.69589197007478</v>
      </c>
    </row>
    <row r="2628" spans="1:22" ht="19" customHeight="1">
      <c r="A2628" s="68" t="s">
        <v>376</v>
      </c>
      <c r="B2628" s="74">
        <v>4</v>
      </c>
      <c r="C2628" s="68" t="s">
        <v>363</v>
      </c>
      <c r="D2628" s="68" t="s">
        <v>364</v>
      </c>
      <c r="E2628" s="75">
        <f>60*F2628*'THAM_SO_MOI'!$C$52/(2*PI()*'THAM_SO_MOI'!$C$26)</f>
        <v>1798.9775672025494</v>
      </c>
      <c r="F2628" s="75">
        <f>'HANH_TRINH'!$F$2468+('THAM_SO_MOI'!$F$52-'HANH_TRINH'!$F$2468)*159/'THAM_SO_MOI'!$C$42</f>
        <v>11.4352368751479</v>
      </c>
      <c r="G2628" s="75">
        <f>3.6*F2628</f>
        <v>41.16685275053244</v>
      </c>
      <c r="H2628" s="75">
        <f>'THAM_SO_MOI'!$D$52</f>
        <v>1.1774754878398197</v>
      </c>
      <c r="I2628" s="75">
        <f>IF(F2628&gt;'THAM_SO_MOI'!$C$14,'THAM_SO_MOI'!$C$13*(1+F2628^2/1500),'THAM_SO_MOI'!$C$13)</f>
        <v>0.015</v>
      </c>
      <c r="J2628" s="75">
        <f>'THAM_SO_MOI'!$C$40*('THAM_SO_MOI'!$C$23*(E2628/'THAM_SO_MOI'!$C$22)+'THAM_SO_MOI'!$C$24*(E2628/'THAM_SO_MOI'!$C$22)^2-'THAM_SO_MOI'!$C$25*(E2628/'THAM_SO_MOI'!$C$22)^3)</f>
        <v>79.78093548822386</v>
      </c>
      <c r="K2628" s="75">
        <f>'THAM_SO_MOI'!$C$31*J2628/E2628</f>
        <v>423.5714648667073</v>
      </c>
      <c r="L2628" s="75">
        <f>K2628*'THAM_SO_MOI'!$C$52*'THAM_SO_MOI'!$C$17/'THAM_SO_MOI'!$C$26</f>
        <v>5931.367336071731</v>
      </c>
      <c r="M2628" s="75">
        <f>'THAM_SO_MOI'!$C$15*'THAM_SO_MOI'!$C$16*F2628^2</f>
        <v>382.48657899292135</v>
      </c>
      <c r="N2628" s="75">
        <f>'THAM_SO_MOI'!$C$12*I2628</f>
        <v>1130.112</v>
      </c>
      <c r="O2628" s="75">
        <f>M2628+N2628</f>
        <v>1512.5985789929214</v>
      </c>
      <c r="P2628" s="75">
        <f>(MIN(L2628,'THAM_SO_MOI'!$C$41)-O2628)/('THAM_SO_MOI'!$C$11*H2628)</f>
        <v>0.4886390597397362</v>
      </c>
      <c r="Q2628" s="75">
        <f>IF(P2628&gt;0,1/P2628,NA())</f>
        <v>2.0465003361225973</v>
      </c>
      <c r="R2628" s="75">
        <f>F2628-F2627</f>
        <v>0.007943393307220603</v>
      </c>
      <c r="S2628" s="75">
        <f>0.5*(Q2627+Q2628)*R2628</f>
        <v>0.016256330127761055</v>
      </c>
      <c r="T2628" s="75">
        <f>0.5*(F2627*Q2627+F2628*Q2628)*R2628</f>
        <v>0.18583041983226228</v>
      </c>
      <c r="U2628" s="76">
        <f>U2627+S2628</f>
        <v>16.55498006200963</v>
      </c>
      <c r="V2628" s="76">
        <f>V2627+T2628</f>
        <v>113.88172238990704</v>
      </c>
    </row>
    <row r="2629" spans="1:22" ht="19" customHeight="1">
      <c r="A2629" s="68" t="s">
        <v>376</v>
      </c>
      <c r="B2629" s="74">
        <v>4</v>
      </c>
      <c r="C2629" s="68" t="s">
        <v>363</v>
      </c>
      <c r="D2629" s="68" t="s">
        <v>364</v>
      </c>
      <c r="E2629" s="75">
        <f>60*F2629*'THAM_SO_MOI'!$C$52/(2*PI()*'THAM_SO_MOI'!$C$26)</f>
        <v>1800.2272121835126</v>
      </c>
      <c r="F2629" s="75">
        <f>'HANH_TRINH'!$F$2468+('THAM_SO_MOI'!$F$52-'HANH_TRINH'!$F$2468)*160/'THAM_SO_MOI'!$C$42</f>
        <v>11.44318026845512</v>
      </c>
      <c r="G2629" s="75">
        <f>3.6*F2629</f>
        <v>41.195448966438434</v>
      </c>
      <c r="H2629" s="75">
        <f>'THAM_SO_MOI'!$D$52</f>
        <v>1.1774754878398197</v>
      </c>
      <c r="I2629" s="75">
        <f>IF(F2629&gt;'THAM_SO_MOI'!$C$14,'THAM_SO_MOI'!$C$13*(1+F2629^2/1500),'THAM_SO_MOI'!$C$13)</f>
        <v>0.015</v>
      </c>
      <c r="J2629" s="75">
        <f>'THAM_SO_MOI'!$C$40*('THAM_SO_MOI'!$C$23*(E2629/'THAM_SO_MOI'!$C$22)+'THAM_SO_MOI'!$C$24*(E2629/'THAM_SO_MOI'!$C$22)^2-'THAM_SO_MOI'!$C$25*(E2629/'THAM_SO_MOI'!$C$22)^3)</f>
        <v>79.84474232916186</v>
      </c>
      <c r="K2629" s="75">
        <f>'THAM_SO_MOI'!$C$31*J2629/E2629</f>
        <v>423.6159656159397</v>
      </c>
      <c r="L2629" s="75">
        <f>K2629*'THAM_SO_MOI'!$C$52*'THAM_SO_MOI'!$C$17/'THAM_SO_MOI'!$C$26</f>
        <v>5931.990490160996</v>
      </c>
      <c r="M2629" s="75">
        <f>'THAM_SO_MOI'!$C$15*'THAM_SO_MOI'!$C$16*F2629^2</f>
        <v>383.0181458698547</v>
      </c>
      <c r="N2629" s="75">
        <f>'THAM_SO_MOI'!$C$12*I2629</f>
        <v>1130.112</v>
      </c>
      <c r="O2629" s="75">
        <f>M2629+N2629</f>
        <v>1513.130145869855</v>
      </c>
      <c r="P2629" s="75">
        <f>(MIN(L2629,'THAM_SO_MOI'!$C$41)-O2629)/('THAM_SO_MOI'!$C$11*H2629)</f>
        <v>0.48864918769432686</v>
      </c>
      <c r="Q2629" s="75">
        <f>IF(P2629&gt;0,1/P2629,NA())</f>
        <v>2.0464579194707415</v>
      </c>
      <c r="R2629" s="75">
        <f>F2629-F2628</f>
        <v>0.007943393307218827</v>
      </c>
      <c r="S2629" s="75">
        <f>0.5*(Q2628+Q2629)*R2629</f>
        <v>0.016255988607103086</v>
      </c>
      <c r="T2629" s="75">
        <f>0.5*(F2628*Q2628+F2629*Q2629)*R2629</f>
        <v>0.18595564354838517</v>
      </c>
      <c r="U2629" s="76">
        <f>U2628+S2629</f>
        <v>16.571236050616733</v>
      </c>
      <c r="V2629" s="76">
        <f>V2628+T2629</f>
        <v>114.06767803345542</v>
      </c>
    </row>
    <row r="2630" spans="1:22" ht="19" customHeight="1">
      <c r="A2630" s="68" t="s">
        <v>376</v>
      </c>
      <c r="B2630" s="74">
        <v>4</v>
      </c>
      <c r="C2630" s="68" t="s">
        <v>363</v>
      </c>
      <c r="D2630" s="68" t="s">
        <v>364</v>
      </c>
      <c r="E2630" s="75">
        <f>60*F2630*'THAM_SO_MOI'!$C$52/(2*PI()*'THAM_SO_MOI'!$C$26)</f>
        <v>1801.4768571644759</v>
      </c>
      <c r="F2630" s="75">
        <f>'HANH_TRINH'!$F$2468+('THAM_SO_MOI'!$F$52-'HANH_TRINH'!$F$2468)*161/'THAM_SO_MOI'!$C$42</f>
        <v>11.451123661762338</v>
      </c>
      <c r="G2630" s="75">
        <f>3.6*F2630</f>
        <v>41.22404518234442</v>
      </c>
      <c r="H2630" s="75">
        <f>'THAM_SO_MOI'!$D$52</f>
        <v>1.1774754878398197</v>
      </c>
      <c r="I2630" s="75">
        <f>IF(F2630&gt;'THAM_SO_MOI'!$C$14,'THAM_SO_MOI'!$C$13*(1+F2630^2/1500),'THAM_SO_MOI'!$C$13)</f>
        <v>0.015</v>
      </c>
      <c r="J2630" s="75">
        <f>'THAM_SO_MOI'!$C$40*('THAM_SO_MOI'!$C$23*(E2630/'THAM_SO_MOI'!$C$22)+'THAM_SO_MOI'!$C$24*(E2630/'THAM_SO_MOI'!$C$22)^2-'THAM_SO_MOI'!$C$25*(E2630/'THAM_SO_MOI'!$C$22)^3)</f>
        <v>79.90853223979816</v>
      </c>
      <c r="K2630" s="75">
        <f>'THAM_SO_MOI'!$C$31*J2630/E2630</f>
        <v>423.6603148654446</v>
      </c>
      <c r="L2630" s="75">
        <f>K2630*'THAM_SO_MOI'!$C$52*'THAM_SO_MOI'!$C$17/'THAM_SO_MOI'!$C$26</f>
        <v>5932.611522765201</v>
      </c>
      <c r="M2630" s="75">
        <f>'THAM_SO_MOI'!$C$15*'THAM_SO_MOI'!$C$16*F2630^2</f>
        <v>383.55008186714696</v>
      </c>
      <c r="N2630" s="75">
        <f>'THAM_SO_MOI'!$C$12*I2630</f>
        <v>1130.112</v>
      </c>
      <c r="O2630" s="75">
        <f>M2630+N2630</f>
        <v>1513.662081867147</v>
      </c>
      <c r="P2630" s="75">
        <f>(MIN(L2630,'THAM_SO_MOI'!$C$41)-O2630)/('THAM_SO_MOI'!$C$11*H2630)</f>
        <v>0.48865904023122586</v>
      </c>
      <c r="Q2630" s="75">
        <f>IF(P2630&gt;0,1/P2630,NA())</f>
        <v>2.046416657976522</v>
      </c>
      <c r="R2630" s="75">
        <f>F2630-F2629</f>
        <v>0.007943393307218827</v>
      </c>
      <c r="S2630" s="75">
        <f>0.5*(Q2629+Q2630)*R2630</f>
        <v>0.016255656262890338</v>
      </c>
      <c r="T2630" s="75">
        <f>0.5*(F2629*Q2629+F2630*Q2630)*R2630</f>
        <v>0.18608096688300288</v>
      </c>
      <c r="U2630" s="76">
        <f>U2629+S2630</f>
        <v>16.58749170687962</v>
      </c>
      <c r="V2630" s="76">
        <f>V2629+T2630</f>
        <v>114.25375900033842</v>
      </c>
    </row>
    <row r="2631" spans="1:22" ht="19" customHeight="1">
      <c r="A2631" s="68" t="s">
        <v>376</v>
      </c>
      <c r="B2631" s="74">
        <v>4</v>
      </c>
      <c r="C2631" s="68" t="s">
        <v>363</v>
      </c>
      <c r="D2631" s="68" t="s">
        <v>364</v>
      </c>
      <c r="E2631" s="75">
        <f>60*F2631*'THAM_SO_MOI'!$C$52/(2*PI()*'THAM_SO_MOI'!$C$26)</f>
        <v>1802.7265021454389</v>
      </c>
      <c r="F2631" s="75">
        <f>'HANH_TRINH'!$F$2468+('THAM_SO_MOI'!$F$52-'HANH_TRINH'!$F$2468)*162/'THAM_SO_MOI'!$C$42</f>
        <v>11.459067055069559</v>
      </c>
      <c r="G2631" s="75">
        <f>3.6*F2631</f>
        <v>41.25264139825041</v>
      </c>
      <c r="H2631" s="75">
        <f>'THAM_SO_MOI'!$D$52</f>
        <v>1.1774754878398197</v>
      </c>
      <c r="I2631" s="75">
        <f>IF(F2631&gt;'THAM_SO_MOI'!$C$14,'THAM_SO_MOI'!$C$13*(1+F2631^2/1500),'THAM_SO_MOI'!$C$13)</f>
        <v>0.015</v>
      </c>
      <c r="J2631" s="75">
        <f>'THAM_SO_MOI'!$C$40*('THAM_SO_MOI'!$C$23*(E2631/'THAM_SO_MOI'!$C$22)+'THAM_SO_MOI'!$C$24*(E2631/'THAM_SO_MOI'!$C$22)^2-'THAM_SO_MOI'!$C$25*(E2631/'THAM_SO_MOI'!$C$22)^3)</f>
        <v>79.97230516066705</v>
      </c>
      <c r="K2631" s="75">
        <f>'THAM_SO_MOI'!$C$31*J2631/E2631</f>
        <v>423.7045126152219</v>
      </c>
      <c r="L2631" s="75">
        <f>K2631*'THAM_SO_MOI'!$C$52*'THAM_SO_MOI'!$C$17/'THAM_SO_MOI'!$C$26</f>
        <v>5933.230433884342</v>
      </c>
      <c r="M2631" s="75">
        <f>'THAM_SO_MOI'!$C$15*'THAM_SO_MOI'!$C$16*F2631^2</f>
        <v>384.0823869847981</v>
      </c>
      <c r="N2631" s="75">
        <f>'THAM_SO_MOI'!$C$12*I2631</f>
        <v>1130.112</v>
      </c>
      <c r="O2631" s="75">
        <f>M2631+N2631</f>
        <v>1514.1943869847983</v>
      </c>
      <c r="P2631" s="75">
        <f>(MIN(L2631,'THAM_SO_MOI'!$C$41)-O2631)/('THAM_SO_MOI'!$C$11*H2631)</f>
        <v>0.4886686173504332</v>
      </c>
      <c r="Q2631" s="75">
        <f>IF(P2631&gt;0,1/P2631,NA())</f>
        <v>2.046376551500302</v>
      </c>
      <c r="R2631" s="75">
        <f>F2631-F2630</f>
        <v>0.007943393307220603</v>
      </c>
      <c r="S2631" s="75">
        <f>0.5*(Q2630+Q2631)*R2631</f>
        <v>0.016255333093998067</v>
      </c>
      <c r="T2631" s="75">
        <f>0.5*(F2630*Q2630+F2631*Q2631)*R2631</f>
        <v>0.18620639004190784</v>
      </c>
      <c r="U2631" s="76">
        <f>U2630+S2631</f>
        <v>16.60374703997362</v>
      </c>
      <c r="V2631" s="76">
        <f>V2630+T2631</f>
        <v>114.43996539038032</v>
      </c>
    </row>
    <row r="2632" spans="1:22" ht="19" customHeight="1">
      <c r="A2632" s="68" t="s">
        <v>376</v>
      </c>
      <c r="B2632" s="74">
        <v>4</v>
      </c>
      <c r="C2632" s="68" t="s">
        <v>363</v>
      </c>
      <c r="D2632" s="68" t="s">
        <v>364</v>
      </c>
      <c r="E2632" s="75">
        <f>60*F2632*'THAM_SO_MOI'!$C$52/(2*PI()*'THAM_SO_MOI'!$C$26)</f>
        <v>1803.9761471264026</v>
      </c>
      <c r="F2632" s="75">
        <f>'HANH_TRINH'!$F$2468+('THAM_SO_MOI'!$F$52-'HANH_TRINH'!$F$2468)*163/'THAM_SO_MOI'!$C$42</f>
        <v>11.467010448376778</v>
      </c>
      <c r="G2632" s="75">
        <f>3.6*F2632</f>
        <v>41.2812376141564</v>
      </c>
      <c r="H2632" s="75">
        <f>'THAM_SO_MOI'!$D$52</f>
        <v>1.1774754878398197</v>
      </c>
      <c r="I2632" s="75">
        <f>IF(F2632&gt;'THAM_SO_MOI'!$C$14,'THAM_SO_MOI'!$C$13*(1+F2632^2/1500),'THAM_SO_MOI'!$C$13)</f>
        <v>0.015</v>
      </c>
      <c r="J2632" s="75">
        <f>'THAM_SO_MOI'!$C$40*('THAM_SO_MOI'!$C$23*(E2632/'THAM_SO_MOI'!$C$22)+'THAM_SO_MOI'!$C$24*(E2632/'THAM_SO_MOI'!$C$22)^2-'THAM_SO_MOI'!$C$25*(E2632/'THAM_SO_MOI'!$C$22)^3)</f>
        <v>80.03606103230288</v>
      </c>
      <c r="K2632" s="75">
        <f>'THAM_SO_MOI'!$C$31*J2632/E2632</f>
        <v>423.74855886527166</v>
      </c>
      <c r="L2632" s="75">
        <f>K2632*'THAM_SO_MOI'!$C$52*'THAM_SO_MOI'!$C$17/'THAM_SO_MOI'!$C$26</f>
        <v>5933.847223518422</v>
      </c>
      <c r="M2632" s="75">
        <f>'THAM_SO_MOI'!$C$15*'THAM_SO_MOI'!$C$16*F2632^2</f>
        <v>384.6150612228079</v>
      </c>
      <c r="N2632" s="75">
        <f>'THAM_SO_MOI'!$C$12*I2632</f>
        <v>1130.112</v>
      </c>
      <c r="O2632" s="75">
        <f>M2632+N2632</f>
        <v>1514.727061222808</v>
      </c>
      <c r="P2632" s="75">
        <f>(MIN(L2632,'THAM_SO_MOI'!$C$41)-O2632)/('THAM_SO_MOI'!$C$11*H2632)</f>
        <v>0.4886779190519489</v>
      </c>
      <c r="Q2632" s="75">
        <f>IF(P2632&gt;0,1/P2632,NA())</f>
        <v>2.046337599906361</v>
      </c>
      <c r="R2632" s="75">
        <f>F2632-F2631</f>
        <v>0.007943393307218827</v>
      </c>
      <c r="S2632" s="75">
        <f>0.5*(Q2631+Q2632)*R2632</f>
        <v>0.01625501909932173</v>
      </c>
      <c r="T2632" s="75">
        <f>0.5*(F2631*Q2631+F2632*Q2632)*R2632</f>
        <v>0.18633191323108822</v>
      </c>
      <c r="U2632" s="76">
        <f>U2631+S2632</f>
        <v>16.62000205907294</v>
      </c>
      <c r="V2632" s="76">
        <f>V2631+T2632</f>
        <v>114.62629730361141</v>
      </c>
    </row>
    <row r="2633" spans="1:22" ht="19" customHeight="1">
      <c r="A2633" s="68" t="s">
        <v>376</v>
      </c>
      <c r="B2633" s="74">
        <v>4</v>
      </c>
      <c r="C2633" s="68" t="s">
        <v>363</v>
      </c>
      <c r="D2633" s="68" t="s">
        <v>364</v>
      </c>
      <c r="E2633" s="75">
        <f>60*F2633*'THAM_SO_MOI'!$C$52/(2*PI()*'THAM_SO_MOI'!$C$26)</f>
        <v>1805.2257921073656</v>
      </c>
      <c r="F2633" s="75">
        <f>'HANH_TRINH'!$F$2468+('THAM_SO_MOI'!$F$52-'HANH_TRINH'!$F$2468)*164/'THAM_SO_MOI'!$C$42</f>
        <v>11.474953841683996</v>
      </c>
      <c r="G2633" s="75">
        <f>3.6*F2633</f>
        <v>41.30983383006239</v>
      </c>
      <c r="H2633" s="75">
        <f>'THAM_SO_MOI'!$D$52</f>
        <v>1.1774754878398197</v>
      </c>
      <c r="I2633" s="75">
        <f>IF(F2633&gt;'THAM_SO_MOI'!$C$14,'THAM_SO_MOI'!$C$13*(1+F2633^2/1500),'THAM_SO_MOI'!$C$13)</f>
        <v>0.015</v>
      </c>
      <c r="J2633" s="75">
        <f>'THAM_SO_MOI'!$C$40*('THAM_SO_MOI'!$C$23*(E2633/'THAM_SO_MOI'!$C$22)+'THAM_SO_MOI'!$C$24*(E2633/'THAM_SO_MOI'!$C$22)^2-'THAM_SO_MOI'!$C$25*(E2633/'THAM_SO_MOI'!$C$22)^3)</f>
        <v>80.09979979523995</v>
      </c>
      <c r="K2633" s="75">
        <f>'THAM_SO_MOI'!$C$31*J2633/E2633</f>
        <v>423.7924536155941</v>
      </c>
      <c r="L2633" s="75">
        <f>K2633*'THAM_SO_MOI'!$C$52*'THAM_SO_MOI'!$C$17/'THAM_SO_MOI'!$C$26</f>
        <v>5934.461891667442</v>
      </c>
      <c r="M2633" s="75">
        <f>'THAM_SO_MOI'!$C$15*'THAM_SO_MOI'!$C$16*F2633^2</f>
        <v>385.1481045811766</v>
      </c>
      <c r="N2633" s="75">
        <f>'THAM_SO_MOI'!$C$12*I2633</f>
        <v>1130.112</v>
      </c>
      <c r="O2633" s="75">
        <f>M2633+N2633</f>
        <v>1515.2601045811766</v>
      </c>
      <c r="P2633" s="75">
        <f>(MIN(L2633,'THAM_SO_MOI'!$C$41)-O2633)/('THAM_SO_MOI'!$C$11*H2633)</f>
        <v>0.4886869453357731</v>
      </c>
      <c r="Q2633" s="75">
        <f>IF(P2633&gt;0,1/P2633,NA())</f>
        <v>2.0462998030628943</v>
      </c>
      <c r="R2633" s="75">
        <f>F2633-F2632</f>
        <v>0.007943393307218827</v>
      </c>
      <c r="S2633" s="75">
        <f>0.5*(Q2632+Q2633)*R2633</f>
        <v>0.01625471427780971</v>
      </c>
      <c r="T2633" s="75">
        <f>0.5*(F2632*Q2632+F2633*Q2633)*R2633</f>
        <v>0.18645753665710413</v>
      </c>
      <c r="U2633" s="76">
        <f>U2632+S2633</f>
        <v>16.636256773350752</v>
      </c>
      <c r="V2633" s="76">
        <f>V2632+T2633</f>
        <v>114.81275484026851</v>
      </c>
    </row>
    <row r="2634" spans="1:22" ht="19" customHeight="1">
      <c r="A2634" s="68" t="s">
        <v>376</v>
      </c>
      <c r="B2634" s="74">
        <v>4</v>
      </c>
      <c r="C2634" s="68" t="s">
        <v>363</v>
      </c>
      <c r="D2634" s="68" t="s">
        <v>364</v>
      </c>
      <c r="E2634" s="75">
        <f>60*F2634*'THAM_SO_MOI'!$C$52/(2*PI()*'THAM_SO_MOI'!$C$26)</f>
        <v>1806.4754370883293</v>
      </c>
      <c r="F2634" s="75">
        <f>'HANH_TRINH'!$F$2468+('THAM_SO_MOI'!$F$52-'HANH_TRINH'!$F$2468)*165/'THAM_SO_MOI'!$C$42</f>
        <v>11.482897234991217</v>
      </c>
      <c r="G2634" s="75">
        <f>3.6*F2634</f>
        <v>41.33843004596838</v>
      </c>
      <c r="H2634" s="75">
        <f>'THAM_SO_MOI'!$D$52</f>
        <v>1.1774754878398197</v>
      </c>
      <c r="I2634" s="75">
        <f>IF(F2634&gt;'THAM_SO_MOI'!$C$14,'THAM_SO_MOI'!$C$13*(1+F2634^2/1500),'THAM_SO_MOI'!$C$13)</f>
        <v>0.015</v>
      </c>
      <c r="J2634" s="75">
        <f>'THAM_SO_MOI'!$C$40*('THAM_SO_MOI'!$C$23*(E2634/'THAM_SO_MOI'!$C$22)+'THAM_SO_MOI'!$C$24*(E2634/'THAM_SO_MOI'!$C$22)^2-'THAM_SO_MOI'!$C$25*(E2634/'THAM_SO_MOI'!$C$22)^3)</f>
        <v>80.16352139001258</v>
      </c>
      <c r="K2634" s="75">
        <f>'THAM_SO_MOI'!$C$31*J2634/E2634</f>
        <v>423.8361968661889</v>
      </c>
      <c r="L2634" s="75">
        <f>K2634*'THAM_SO_MOI'!$C$52*'THAM_SO_MOI'!$C$17/'THAM_SO_MOI'!$C$26</f>
        <v>5935.074438331399</v>
      </c>
      <c r="M2634" s="75">
        <f>'THAM_SO_MOI'!$C$15*'THAM_SO_MOI'!$C$16*F2634^2</f>
        <v>385.6815170599042</v>
      </c>
      <c r="N2634" s="75">
        <f>'THAM_SO_MOI'!$C$12*I2634</f>
        <v>1130.112</v>
      </c>
      <c r="O2634" s="75">
        <f>M2634+N2634</f>
        <v>1515.7935170599044</v>
      </c>
      <c r="P2634" s="75">
        <f>(MIN(L2634,'THAM_SO_MOI'!$C$41)-O2634)/('THAM_SO_MOI'!$C$11*H2634)</f>
        <v>0.4886956962019057</v>
      </c>
      <c r="Q2634" s="75">
        <f>IF(P2634&gt;0,1/P2634,NA())</f>
        <v>2.0462631608420137</v>
      </c>
      <c r="R2634" s="75">
        <f>F2634-F2633</f>
        <v>0.007943393307220603</v>
      </c>
      <c r="S2634" s="75">
        <f>0.5*(Q2633+Q2634)*R2634</f>
        <v>0.01625441862843058</v>
      </c>
      <c r="T2634" s="75">
        <f>0.5*(F2633*Q2633+F2634*Q2634)*R2634</f>
        <v>0.18658326052671423</v>
      </c>
      <c r="U2634" s="76">
        <f>U2633+S2634</f>
        <v>16.652511191979183</v>
      </c>
      <c r="V2634" s="76">
        <f>V2633+T2634</f>
        <v>114.99933810079523</v>
      </c>
    </row>
    <row r="2635" spans="1:22" ht="19" customHeight="1">
      <c r="A2635" s="68" t="s">
        <v>376</v>
      </c>
      <c r="B2635" s="74">
        <v>4</v>
      </c>
      <c r="C2635" s="68" t="s">
        <v>363</v>
      </c>
      <c r="D2635" s="68" t="s">
        <v>364</v>
      </c>
      <c r="E2635" s="75">
        <f>60*F2635*'THAM_SO_MOI'!$C$52/(2*PI()*'THAM_SO_MOI'!$C$26)</f>
        <v>1807.7250820692923</v>
      </c>
      <c r="F2635" s="75">
        <f>'HANH_TRINH'!$F$2468+('THAM_SO_MOI'!$F$52-'HANH_TRINH'!$F$2468)*166/'THAM_SO_MOI'!$C$42</f>
        <v>11.490840628298436</v>
      </c>
      <c r="G2635" s="75">
        <f>3.6*F2635</f>
        <v>41.36702626187437</v>
      </c>
      <c r="H2635" s="75">
        <f>'THAM_SO_MOI'!$D$52</f>
        <v>1.1774754878398197</v>
      </c>
      <c r="I2635" s="75">
        <f>IF(F2635&gt;'THAM_SO_MOI'!$C$14,'THAM_SO_MOI'!$C$13*(1+F2635^2/1500),'THAM_SO_MOI'!$C$13)</f>
        <v>0.015</v>
      </c>
      <c r="J2635" s="75">
        <f>'THAM_SO_MOI'!$C$40*('THAM_SO_MOI'!$C$23*(E2635/'THAM_SO_MOI'!$C$22)+'THAM_SO_MOI'!$C$24*(E2635/'THAM_SO_MOI'!$C$22)^2-'THAM_SO_MOI'!$C$25*(E2635/'THAM_SO_MOI'!$C$22)^3)</f>
        <v>80.22722575715508</v>
      </c>
      <c r="K2635" s="75">
        <f>'THAM_SO_MOI'!$C$31*J2635/E2635</f>
        <v>423.8797886170564</v>
      </c>
      <c r="L2635" s="75">
        <f>K2635*'THAM_SO_MOI'!$C$52*'THAM_SO_MOI'!$C$17/'THAM_SO_MOI'!$C$26</f>
        <v>5935.684863510298</v>
      </c>
      <c r="M2635" s="75">
        <f>'THAM_SO_MOI'!$C$15*'THAM_SO_MOI'!$C$16*F2635^2</f>
        <v>386.21529865899043</v>
      </c>
      <c r="N2635" s="75">
        <f>'THAM_SO_MOI'!$C$12*I2635</f>
        <v>1130.112</v>
      </c>
      <c r="O2635" s="75">
        <f>M2635+N2635</f>
        <v>1516.3272986589905</v>
      </c>
      <c r="P2635" s="75">
        <f>(MIN(L2635,'THAM_SO_MOI'!$C$41)-O2635)/('THAM_SO_MOI'!$C$11*H2635)</f>
        <v>0.488704171650347</v>
      </c>
      <c r="Q2635" s="75">
        <f>IF(P2635&gt;0,1/P2635,NA())</f>
        <v>2.046227673119741</v>
      </c>
      <c r="R2635" s="75">
        <f>F2635-F2634</f>
        <v>0.007943393307218827</v>
      </c>
      <c r="S2635" s="75">
        <f>0.5*(Q2634+Q2635)*R2635</f>
        <v>0.016254132150173097</v>
      </c>
      <c r="T2635" s="75">
        <f>0.5*(F2634*Q2634+F2635*Q2635)*R2635</f>
        <v>0.18670908504687606</v>
      </c>
      <c r="U2635" s="76">
        <f>U2634+S2635</f>
        <v>16.668765324129357</v>
      </c>
      <c r="V2635" s="76">
        <f>V2634+T2635</f>
        <v>115.1860471858421</v>
      </c>
    </row>
    <row r="2636" spans="1:22" ht="19" customHeight="1">
      <c r="A2636" s="68" t="s">
        <v>376</v>
      </c>
      <c r="B2636" s="74">
        <v>4</v>
      </c>
      <c r="C2636" s="68" t="s">
        <v>363</v>
      </c>
      <c r="D2636" s="68" t="s">
        <v>364</v>
      </c>
      <c r="E2636" s="75">
        <f>60*F2636*'THAM_SO_MOI'!$C$52/(2*PI()*'THAM_SO_MOI'!$C$26)</f>
        <v>1808.9747270502555</v>
      </c>
      <c r="F2636" s="75">
        <f>'HANH_TRINH'!$F$2468+('THAM_SO_MOI'!$F$52-'HANH_TRINH'!$F$2468)*167/'THAM_SO_MOI'!$C$42</f>
        <v>11.498784021605655</v>
      </c>
      <c r="G2636" s="75">
        <f>3.6*F2636</f>
        <v>41.39562247778036</v>
      </c>
      <c r="H2636" s="75">
        <f>'THAM_SO_MOI'!$D$52</f>
        <v>1.1774754878398197</v>
      </c>
      <c r="I2636" s="75">
        <f>IF(F2636&gt;'THAM_SO_MOI'!$C$14,'THAM_SO_MOI'!$C$13*(1+F2636^2/1500),'THAM_SO_MOI'!$C$13)</f>
        <v>0.015</v>
      </c>
      <c r="J2636" s="75">
        <f>'THAM_SO_MOI'!$C$40*('THAM_SO_MOI'!$C$23*(E2636/'THAM_SO_MOI'!$C$22)+'THAM_SO_MOI'!$C$24*(E2636/'THAM_SO_MOI'!$C$22)^2-'THAM_SO_MOI'!$C$25*(E2636/'THAM_SO_MOI'!$C$22)^3)</f>
        <v>80.29091283720176</v>
      </c>
      <c r="K2636" s="75">
        <f>'THAM_SO_MOI'!$C$31*J2636/E2636</f>
        <v>423.9232288681964</v>
      </c>
      <c r="L2636" s="75">
        <f>K2636*'THAM_SO_MOI'!$C$52*'THAM_SO_MOI'!$C$17/'THAM_SO_MOI'!$C$26</f>
        <v>5936.293167204136</v>
      </c>
      <c r="M2636" s="75">
        <f>'THAM_SO_MOI'!$C$15*'THAM_SO_MOI'!$C$16*F2636^2</f>
        <v>386.74944937843554</v>
      </c>
      <c r="N2636" s="75">
        <f>'THAM_SO_MOI'!$C$12*I2636</f>
        <v>1130.112</v>
      </c>
      <c r="O2636" s="75">
        <f>M2636+N2636</f>
        <v>1516.8614493784357</v>
      </c>
      <c r="P2636" s="75">
        <f>(MIN(L2636,'THAM_SO_MOI'!$C$41)-O2636)/('THAM_SO_MOI'!$C$11*H2636)</f>
        <v>0.4887123716810969</v>
      </c>
      <c r="Q2636" s="75">
        <f>IF(P2636&gt;0,1/P2636,NA())</f>
        <v>2.0461933397760133</v>
      </c>
      <c r="R2636" s="75">
        <f>F2636-F2635</f>
        <v>0.007943393307218827</v>
      </c>
      <c r="S2636" s="75">
        <f>0.5*(Q2635+Q2636)*R2636</f>
        <v>0.01625385484207891</v>
      </c>
      <c r="T2636" s="75">
        <f>0.5*(F2635*Q2635+F2636*Q2636)*R2636</f>
        <v>0.18683501042512313</v>
      </c>
      <c r="U2636" s="76">
        <f>U2635+S2636</f>
        <v>16.685019178971437</v>
      </c>
      <c r="V2636" s="76">
        <f>V2635+T2636</f>
        <v>115.37288219626723</v>
      </c>
    </row>
    <row r="2637" spans="1:22" ht="19" customHeight="1">
      <c r="A2637" s="68" t="s">
        <v>376</v>
      </c>
      <c r="B2637" s="74">
        <v>4</v>
      </c>
      <c r="C2637" s="68" t="s">
        <v>363</v>
      </c>
      <c r="D2637" s="68" t="s">
        <v>364</v>
      </c>
      <c r="E2637" s="75">
        <f>60*F2637*'THAM_SO_MOI'!$C$52/(2*PI()*'THAM_SO_MOI'!$C$26)</f>
        <v>1810.2243720312188</v>
      </c>
      <c r="F2637" s="75">
        <f>'HANH_TRINH'!$F$2468+('THAM_SO_MOI'!$F$52-'HANH_TRINH'!$F$2468)*168/'THAM_SO_MOI'!$C$42</f>
        <v>11.506727414912874</v>
      </c>
      <c r="G2637" s="75">
        <f>3.6*F2637</f>
        <v>41.42421869368635</v>
      </c>
      <c r="H2637" s="75">
        <f>'THAM_SO_MOI'!$D$52</f>
        <v>1.1774754878398197</v>
      </c>
      <c r="I2637" s="75">
        <f>IF(F2637&gt;'THAM_SO_MOI'!$C$14,'THAM_SO_MOI'!$C$13*(1+F2637^2/1500),'THAM_SO_MOI'!$C$13)</f>
        <v>0.015</v>
      </c>
      <c r="J2637" s="75">
        <f>'THAM_SO_MOI'!$C$40*('THAM_SO_MOI'!$C$23*(E2637/'THAM_SO_MOI'!$C$22)+'THAM_SO_MOI'!$C$24*(E2637/'THAM_SO_MOI'!$C$22)^2-'THAM_SO_MOI'!$C$25*(E2637/'THAM_SO_MOI'!$C$22)^3)</f>
        <v>80.35458257068694</v>
      </c>
      <c r="K2637" s="75">
        <f>'THAM_SO_MOI'!$C$31*J2637/E2637</f>
        <v>423.96651761960896</v>
      </c>
      <c r="L2637" s="75">
        <f>K2637*'THAM_SO_MOI'!$C$52*'THAM_SO_MOI'!$C$17/'THAM_SO_MOI'!$C$26</f>
        <v>5936.899349412912</v>
      </c>
      <c r="M2637" s="75">
        <f>'THAM_SO_MOI'!$C$15*'THAM_SO_MOI'!$C$16*F2637^2</f>
        <v>387.28396921823946</v>
      </c>
      <c r="N2637" s="75">
        <f>'THAM_SO_MOI'!$C$12*I2637</f>
        <v>1130.112</v>
      </c>
      <c r="O2637" s="75">
        <f>M2637+N2637</f>
        <v>1517.3959692182395</v>
      </c>
      <c r="P2637" s="75">
        <f>(MIN(L2637,'THAM_SO_MOI'!$C$41)-O2637)/('THAM_SO_MOI'!$C$11*H2637)</f>
        <v>0.4887202962941549</v>
      </c>
      <c r="Q2637" s="75">
        <f>IF(P2637&gt;0,1/P2637,NA())</f>
        <v>2.0461601606946807</v>
      </c>
      <c r="R2637" s="75">
        <f>F2637-F2636</f>
        <v>0.007943393307218827</v>
      </c>
      <c r="S2637" s="75">
        <f>0.5*(Q2636+Q2637)*R2637</f>
        <v>0.016253586703206223</v>
      </c>
      <c r="T2637" s="75">
        <f>0.5*(F2636*Q2636+F2637*Q2637)*R2637</f>
        <v>0.1869610368691489</v>
      </c>
      <c r="U2637" s="76">
        <f>U2636+S2637</f>
        <v>16.701272765674645</v>
      </c>
      <c r="V2637" s="76">
        <f>V2636+T2637</f>
        <v>115.55984323313638</v>
      </c>
    </row>
    <row r="2638" spans="1:22" ht="19" customHeight="1">
      <c r="A2638" s="68" t="s">
        <v>376</v>
      </c>
      <c r="B2638" s="74">
        <v>4</v>
      </c>
      <c r="C2638" s="68" t="s">
        <v>363</v>
      </c>
      <c r="D2638" s="68" t="s">
        <v>364</v>
      </c>
      <c r="E2638" s="75">
        <f>60*F2638*'THAM_SO_MOI'!$C$52/(2*PI()*'THAM_SO_MOI'!$C$26)</f>
        <v>1811.4740170121818</v>
      </c>
      <c r="F2638" s="75">
        <f>'HANH_TRINH'!$F$2468+('THAM_SO_MOI'!$F$52-'HANH_TRINH'!$F$2468)*169/'THAM_SO_MOI'!$C$42</f>
        <v>11.514670808220094</v>
      </c>
      <c r="G2638" s="75">
        <f>3.6*F2638</f>
        <v>41.45281490959234</v>
      </c>
      <c r="H2638" s="75">
        <f>'THAM_SO_MOI'!$D$52</f>
        <v>1.1774754878398197</v>
      </c>
      <c r="I2638" s="75">
        <f>IF(F2638&gt;'THAM_SO_MOI'!$C$14,'THAM_SO_MOI'!$C$13*(1+F2638^2/1500),'THAM_SO_MOI'!$C$13)</f>
        <v>0.015</v>
      </c>
      <c r="J2638" s="75">
        <f>'THAM_SO_MOI'!$C$40*('THAM_SO_MOI'!$C$23*(E2638/'THAM_SO_MOI'!$C$22)+'THAM_SO_MOI'!$C$24*(E2638/'THAM_SO_MOI'!$C$22)^2-'THAM_SO_MOI'!$C$25*(E2638/'THAM_SO_MOI'!$C$22)^3)</f>
        <v>80.41823489814495</v>
      </c>
      <c r="K2638" s="75">
        <f>'THAM_SO_MOI'!$C$31*J2638/E2638</f>
        <v>424.0096548712941</v>
      </c>
      <c r="L2638" s="75">
        <f>K2638*'THAM_SO_MOI'!$C$52*'THAM_SO_MOI'!$C$17/'THAM_SO_MOI'!$C$26</f>
        <v>5937.50341013663</v>
      </c>
      <c r="M2638" s="75">
        <f>'THAM_SO_MOI'!$C$15*'THAM_SO_MOI'!$C$16*F2638^2</f>
        <v>387.8188581784023</v>
      </c>
      <c r="N2638" s="75">
        <f>'THAM_SO_MOI'!$C$12*I2638</f>
        <v>1130.112</v>
      </c>
      <c r="O2638" s="75">
        <f>M2638+N2638</f>
        <v>1517.9308581784023</v>
      </c>
      <c r="P2638" s="75">
        <f>(MIN(L2638,'THAM_SO_MOI'!$C$41)-O2638)/('THAM_SO_MOI'!$C$11*H2638)</f>
        <v>0.48872794548952186</v>
      </c>
      <c r="Q2638" s="75">
        <f>IF(P2638&gt;0,1/P2638,NA())</f>
        <v>2.046128135763498</v>
      </c>
      <c r="R2638" s="75">
        <f>F2638-F2637</f>
        <v>0.007943393307220603</v>
      </c>
      <c r="S2638" s="75">
        <f>0.5*(Q2637+Q2638)*R2638</f>
        <v>0.016253327732651552</v>
      </c>
      <c r="T2638" s="75">
        <f>0.5*(F2637*Q2637+F2638*Q2638)*R2638</f>
        <v>0.18708716458705785</v>
      </c>
      <c r="U2638" s="76">
        <f>U2637+S2638</f>
        <v>16.717526093407297</v>
      </c>
      <c r="V2638" s="76">
        <f>V2637+T2638</f>
        <v>115.74693039772343</v>
      </c>
    </row>
    <row r="2639" spans="1:22" ht="19" customHeight="1">
      <c r="A2639" s="68" t="s">
        <v>376</v>
      </c>
      <c r="B2639" s="74">
        <v>4</v>
      </c>
      <c r="C2639" s="68" t="s">
        <v>363</v>
      </c>
      <c r="D2639" s="68" t="s">
        <v>364</v>
      </c>
      <c r="E2639" s="75">
        <f>60*F2639*'THAM_SO_MOI'!$C$52/(2*PI()*'THAM_SO_MOI'!$C$26)</f>
        <v>1812.723661993145</v>
      </c>
      <c r="F2639" s="75">
        <f>'HANH_TRINH'!$F$2468+('THAM_SO_MOI'!$F$52-'HANH_TRINH'!$F$2468)*170/'THAM_SO_MOI'!$C$42</f>
        <v>11.522614201527313</v>
      </c>
      <c r="G2639" s="75">
        <f>3.6*F2639</f>
        <v>41.481411125498326</v>
      </c>
      <c r="H2639" s="75">
        <f>'THAM_SO_MOI'!$D$52</f>
        <v>1.1774754878398197</v>
      </c>
      <c r="I2639" s="75">
        <f>IF(F2639&gt;'THAM_SO_MOI'!$C$14,'THAM_SO_MOI'!$C$13*(1+F2639^2/1500),'THAM_SO_MOI'!$C$13)</f>
        <v>0.015</v>
      </c>
      <c r="J2639" s="75">
        <f>'THAM_SO_MOI'!$C$40*('THAM_SO_MOI'!$C$23*(E2639/'THAM_SO_MOI'!$C$22)+'THAM_SO_MOI'!$C$24*(E2639/'THAM_SO_MOI'!$C$22)^2-'THAM_SO_MOI'!$C$25*(E2639/'THAM_SO_MOI'!$C$22)^3)</f>
        <v>80.48186976011006</v>
      </c>
      <c r="K2639" s="75">
        <f>'THAM_SO_MOI'!$C$31*J2639/E2639</f>
        <v>424.05264062325165</v>
      </c>
      <c r="L2639" s="75">
        <f>K2639*'THAM_SO_MOI'!$C$52*'THAM_SO_MOI'!$C$17/'THAM_SO_MOI'!$C$26</f>
        <v>5938.105349375283</v>
      </c>
      <c r="M2639" s="75">
        <f>'THAM_SO_MOI'!$C$15*'THAM_SO_MOI'!$C$16*F2639^2</f>
        <v>388.35411625892385</v>
      </c>
      <c r="N2639" s="75">
        <f>'THAM_SO_MOI'!$C$12*I2639</f>
        <v>1130.112</v>
      </c>
      <c r="O2639" s="75">
        <f>M2639+N2639</f>
        <v>1518.4661162589239</v>
      </c>
      <c r="P2639" s="75">
        <f>(MIN(L2639,'THAM_SO_MOI'!$C$41)-O2639)/('THAM_SO_MOI'!$C$11*H2639)</f>
        <v>0.48873531926719693</v>
      </c>
      <c r="Q2639" s="75">
        <f>IF(P2639&gt;0,1/P2639,NA())</f>
        <v>2.0460972648741373</v>
      </c>
      <c r="R2639" s="75">
        <f>F2639-F2638</f>
        <v>0.007943393307218827</v>
      </c>
      <c r="S2639" s="75">
        <f>0.5*(Q2638+Q2639)*R2639</f>
        <v>0.01625307792952794</v>
      </c>
      <c r="T2639" s="75">
        <f>0.5*(F2638*Q2638+F2639*Q2639)*R2639</f>
        <v>0.1872133937871162</v>
      </c>
      <c r="U2639" s="76">
        <f>U2638+S2639</f>
        <v>16.733779171336824</v>
      </c>
      <c r="V2639" s="76">
        <f>V2638+T2639</f>
        <v>115.93414379151055</v>
      </c>
    </row>
    <row r="2640" spans="1:22" ht="19" customHeight="1">
      <c r="A2640" s="68" t="s">
        <v>376</v>
      </c>
      <c r="B2640" s="74">
        <v>4</v>
      </c>
      <c r="C2640" s="68" t="s">
        <v>363</v>
      </c>
      <c r="D2640" s="68" t="s">
        <v>364</v>
      </c>
      <c r="E2640" s="75">
        <f>60*F2640*'THAM_SO_MOI'!$C$52/(2*PI()*'THAM_SO_MOI'!$C$26)</f>
        <v>1813.9733069741085</v>
      </c>
      <c r="F2640" s="75">
        <f>'HANH_TRINH'!$F$2468+('THAM_SO_MOI'!$F$52-'HANH_TRINH'!$F$2468)*171/'THAM_SO_MOI'!$C$42</f>
        <v>11.530557594834534</v>
      </c>
      <c r="G2640" s="75">
        <f>3.6*F2640</f>
        <v>41.510007341404325</v>
      </c>
      <c r="H2640" s="75">
        <f>'THAM_SO_MOI'!$D$52</f>
        <v>1.1774754878398197</v>
      </c>
      <c r="I2640" s="75">
        <f>IF(F2640&gt;'THAM_SO_MOI'!$C$14,'THAM_SO_MOI'!$C$13*(1+F2640^2/1500),'THAM_SO_MOI'!$C$13)</f>
        <v>0.015</v>
      </c>
      <c r="J2640" s="75">
        <f>'THAM_SO_MOI'!$C$40*('THAM_SO_MOI'!$C$23*(E2640/'THAM_SO_MOI'!$C$22)+'THAM_SO_MOI'!$C$24*(E2640/'THAM_SO_MOI'!$C$22)^2-'THAM_SO_MOI'!$C$25*(E2640/'THAM_SO_MOI'!$C$22)^3)</f>
        <v>80.54548709711659</v>
      </c>
      <c r="K2640" s="75">
        <f>'THAM_SO_MOI'!$C$31*J2640/E2640</f>
        <v>424.0954748754816</v>
      </c>
      <c r="L2640" s="75">
        <f>K2640*'THAM_SO_MOI'!$C$52*'THAM_SO_MOI'!$C$17/'THAM_SO_MOI'!$C$26</f>
        <v>5938.705167128875</v>
      </c>
      <c r="M2640" s="75">
        <f>'THAM_SO_MOI'!$C$15*'THAM_SO_MOI'!$C$16*F2640^2</f>
        <v>388.8897434598044</v>
      </c>
      <c r="N2640" s="75">
        <f>'THAM_SO_MOI'!$C$12*I2640</f>
        <v>1130.112</v>
      </c>
      <c r="O2640" s="75">
        <f>M2640+N2640</f>
        <v>1519.0017434598044</v>
      </c>
      <c r="P2640" s="75">
        <f>(MIN(L2640,'THAM_SO_MOI'!$C$41)-O2640)/('THAM_SO_MOI'!$C$11*H2640)</f>
        <v>0.4887424176271801</v>
      </c>
      <c r="Q2640" s="75">
        <f>IF(P2640&gt;0,1/P2640,NA())</f>
        <v>2.046067547922175</v>
      </c>
      <c r="R2640" s="75">
        <f>F2640-F2639</f>
        <v>0.007943393307220603</v>
      </c>
      <c r="S2640" s="75">
        <f>0.5*(Q2639+Q2640)*R2640</f>
        <v>0.01625283729300494</v>
      </c>
      <c r="T2640" s="75">
        <f>0.5*(F2639*Q2639+F2640*Q2640)*R2640</f>
        <v>0.18733972467821344</v>
      </c>
      <c r="U2640" s="76">
        <f>U2639+S2640</f>
        <v>16.75003200862983</v>
      </c>
      <c r="V2640" s="76">
        <f>V2639+T2640</f>
        <v>116.12148351618876</v>
      </c>
    </row>
    <row r="2641" spans="1:22" ht="19" customHeight="1">
      <c r="A2641" s="68" t="s">
        <v>376</v>
      </c>
      <c r="B2641" s="74">
        <v>4</v>
      </c>
      <c r="C2641" s="68" t="s">
        <v>363</v>
      </c>
      <c r="D2641" s="68" t="s">
        <v>364</v>
      </c>
      <c r="E2641" s="75">
        <f>60*F2641*'THAM_SO_MOI'!$C$52/(2*PI()*'THAM_SO_MOI'!$C$26)</f>
        <v>1815.2229519550717</v>
      </c>
      <c r="F2641" s="75">
        <f>'HANH_TRINH'!$F$2468+('THAM_SO_MOI'!$F$52-'HANH_TRINH'!$F$2468)*172/'THAM_SO_MOI'!$C$42</f>
        <v>11.538500988141752</v>
      </c>
      <c r="G2641" s="75">
        <f>3.6*F2641</f>
        <v>41.53860355731031</v>
      </c>
      <c r="H2641" s="75">
        <f>'THAM_SO_MOI'!$D$52</f>
        <v>1.1774754878398197</v>
      </c>
      <c r="I2641" s="75">
        <f>IF(F2641&gt;'THAM_SO_MOI'!$C$14,'THAM_SO_MOI'!$C$13*(1+F2641^2/1500),'THAM_SO_MOI'!$C$13)</f>
        <v>0.015</v>
      </c>
      <c r="J2641" s="75">
        <f>'THAM_SO_MOI'!$C$40*('THAM_SO_MOI'!$C$23*(E2641/'THAM_SO_MOI'!$C$22)+'THAM_SO_MOI'!$C$24*(E2641/'THAM_SO_MOI'!$C$22)^2-'THAM_SO_MOI'!$C$25*(E2641/'THAM_SO_MOI'!$C$22)^3)</f>
        <v>80.6090868496989</v>
      </c>
      <c r="K2641" s="75">
        <f>'THAM_SO_MOI'!$C$31*J2641/E2641</f>
        <v>424.13815762798424</v>
      </c>
      <c r="L2641" s="75">
        <f>K2641*'THAM_SO_MOI'!$C$52*'THAM_SO_MOI'!$C$17/'THAM_SO_MOI'!$C$26</f>
        <v>5939.302863397407</v>
      </c>
      <c r="M2641" s="75">
        <f>'THAM_SO_MOI'!$C$15*'THAM_SO_MOI'!$C$16*F2641^2</f>
        <v>389.4257397810435</v>
      </c>
      <c r="N2641" s="75">
        <f>'THAM_SO_MOI'!$C$12*I2641</f>
        <v>1130.112</v>
      </c>
      <c r="O2641" s="75">
        <f>M2641+N2641</f>
        <v>1519.5377397810435</v>
      </c>
      <c r="P2641" s="75">
        <f>(MIN(L2641,'THAM_SO_MOI'!$C$41)-O2641)/('THAM_SO_MOI'!$C$11*H2641)</f>
        <v>0.4887492405694723</v>
      </c>
      <c r="Q2641" s="75">
        <f>IF(P2641&gt;0,1/P2641,NA())</f>
        <v>2.0460389848070917</v>
      </c>
      <c r="R2641" s="75">
        <f>F2641-F2640</f>
        <v>0.007943393307218827</v>
      </c>
      <c r="S2641" s="75">
        <f>0.5*(Q2640+Q2641)*R2641</f>
        <v>0.016252605822254046</v>
      </c>
      <c r="T2641" s="75">
        <f>0.5*(F2640*Q2640+F2641*Q2641)*R2641</f>
        <v>0.18746615746923478</v>
      </c>
      <c r="U2641" s="76">
        <f>U2640+S2641</f>
        <v>16.766284614452083</v>
      </c>
      <c r="V2641" s="76">
        <f>V2640+T2641</f>
        <v>116.30894967365799</v>
      </c>
    </row>
    <row r="2642" spans="1:22" ht="19" customHeight="1">
      <c r="A2642" s="68" t="s">
        <v>376</v>
      </c>
      <c r="B2642" s="74">
        <v>4</v>
      </c>
      <c r="C2642" s="68" t="s">
        <v>363</v>
      </c>
      <c r="D2642" s="68" t="s">
        <v>364</v>
      </c>
      <c r="E2642" s="75">
        <f>60*F2642*'THAM_SO_MOI'!$C$52/(2*PI()*'THAM_SO_MOI'!$C$26)</f>
        <v>1816.472596936035</v>
      </c>
      <c r="F2642" s="75">
        <f>'HANH_TRINH'!$F$2468+('THAM_SO_MOI'!$F$52-'HANH_TRINH'!$F$2468)*173/'THAM_SO_MOI'!$C$42</f>
        <v>11.546444381448971</v>
      </c>
      <c r="G2642" s="75">
        <f>3.6*F2642</f>
        <v>41.567199773216295</v>
      </c>
      <c r="H2642" s="75">
        <f>'THAM_SO_MOI'!$D$52</f>
        <v>1.1774754878398197</v>
      </c>
      <c r="I2642" s="75">
        <f>IF(F2642&gt;'THAM_SO_MOI'!$C$14,'THAM_SO_MOI'!$C$13*(1+F2642^2/1500),'THAM_SO_MOI'!$C$13)</f>
        <v>0.015</v>
      </c>
      <c r="J2642" s="75">
        <f>'THAM_SO_MOI'!$C$40*('THAM_SO_MOI'!$C$23*(E2642/'THAM_SO_MOI'!$C$22)+'THAM_SO_MOI'!$C$24*(E2642/'THAM_SO_MOI'!$C$22)^2-'THAM_SO_MOI'!$C$25*(E2642/'THAM_SO_MOI'!$C$22)^3)</f>
        <v>80.67266895839126</v>
      </c>
      <c r="K2642" s="75">
        <f>'THAM_SO_MOI'!$C$31*J2642/E2642</f>
        <v>424.18068888075936</v>
      </c>
      <c r="L2642" s="75">
        <f>K2642*'THAM_SO_MOI'!$C$52*'THAM_SO_MOI'!$C$17/'THAM_SO_MOI'!$C$26</f>
        <v>5939.898438180878</v>
      </c>
      <c r="M2642" s="75">
        <f>'THAM_SO_MOI'!$C$15*'THAM_SO_MOI'!$C$16*F2642^2</f>
        <v>389.96210522264147</v>
      </c>
      <c r="N2642" s="75">
        <f>'THAM_SO_MOI'!$C$12*I2642</f>
        <v>1130.112</v>
      </c>
      <c r="O2642" s="75">
        <f>M2642+N2642</f>
        <v>1520.0741052226415</v>
      </c>
      <c r="P2642" s="75">
        <f>(MIN(L2642,'THAM_SO_MOI'!$C$41)-O2642)/('THAM_SO_MOI'!$C$11*H2642)</f>
        <v>0.48875578809407266</v>
      </c>
      <c r="Q2642" s="75">
        <f>IF(P2642&gt;0,1/P2642,NA())</f>
        <v>2.0460115754322814</v>
      </c>
      <c r="R2642" s="75">
        <f>F2642-F2641</f>
        <v>0.007943393307218827</v>
      </c>
      <c r="S2642" s="75">
        <f>0.5*(Q2641+Q2642)*R2642</f>
        <v>0.016252383516503245</v>
      </c>
      <c r="T2642" s="75">
        <f>0.5*(F2641*Q2641+F2642*Q2642)*R2642</f>
        <v>0.18759269236969134</v>
      </c>
      <c r="U2642" s="76">
        <f>U2641+S2642</f>
        <v>16.782536997968585</v>
      </c>
      <c r="V2642" s="76">
        <f>V2641+T2642</f>
        <v>116.49654236602768</v>
      </c>
    </row>
    <row r="2643" spans="1:22" ht="19" customHeight="1">
      <c r="A2643" s="68" t="s">
        <v>376</v>
      </c>
      <c r="B2643" s="74">
        <v>4</v>
      </c>
      <c r="C2643" s="68" t="s">
        <v>363</v>
      </c>
      <c r="D2643" s="68" t="s">
        <v>364</v>
      </c>
      <c r="E2643" s="75">
        <f>60*F2643*'THAM_SO_MOI'!$C$52/(2*PI()*'THAM_SO_MOI'!$C$26)</f>
        <v>1817.722241916998</v>
      </c>
      <c r="F2643" s="75">
        <f>'HANH_TRINH'!$F$2468+('THAM_SO_MOI'!$F$52-'HANH_TRINH'!$F$2468)*174/'THAM_SO_MOI'!$C$42</f>
        <v>11.55438777475619</v>
      </c>
      <c r="G2643" s="75">
        <f>3.6*F2643</f>
        <v>41.59579598912229</v>
      </c>
      <c r="H2643" s="75">
        <f>'THAM_SO_MOI'!$D$52</f>
        <v>1.1774754878398197</v>
      </c>
      <c r="I2643" s="75">
        <f>IF(F2643&gt;'THAM_SO_MOI'!$C$14,'THAM_SO_MOI'!$C$13*(1+F2643^2/1500),'THAM_SO_MOI'!$C$13)</f>
        <v>0.015</v>
      </c>
      <c r="J2643" s="75">
        <f>'THAM_SO_MOI'!$C$40*('THAM_SO_MOI'!$C$23*(E2643/'THAM_SO_MOI'!$C$22)+'THAM_SO_MOI'!$C$24*(E2643/'THAM_SO_MOI'!$C$22)^2-'THAM_SO_MOI'!$C$25*(E2643/'THAM_SO_MOI'!$C$22)^3)</f>
        <v>80.73623336372798</v>
      </c>
      <c r="K2643" s="75">
        <f>'THAM_SO_MOI'!$C$31*J2643/E2643</f>
        <v>424.223068633807</v>
      </c>
      <c r="L2643" s="75">
        <f>K2643*'THAM_SO_MOI'!$C$52*'THAM_SO_MOI'!$C$17/'THAM_SO_MOI'!$C$26</f>
        <v>5940.491891479288</v>
      </c>
      <c r="M2643" s="75">
        <f>'THAM_SO_MOI'!$C$15*'THAM_SO_MOI'!$C$16*F2643^2</f>
        <v>390.4988397845983</v>
      </c>
      <c r="N2643" s="75">
        <f>'THAM_SO_MOI'!$C$12*I2643</f>
        <v>1130.112</v>
      </c>
      <c r="O2643" s="75">
        <f>M2643+N2643</f>
        <v>1520.6108397845983</v>
      </c>
      <c r="P2643" s="75">
        <f>(MIN(L2643,'THAM_SO_MOI'!$C$41)-O2643)/('THAM_SO_MOI'!$C$11*H2643)</f>
        <v>0.48876206020098156</v>
      </c>
      <c r="Q2643" s="75">
        <f>IF(P2643&gt;0,1/P2643,NA())</f>
        <v>2.0459853197050415</v>
      </c>
      <c r="R2643" s="75">
        <f>F2643-F2642</f>
        <v>0.007943393307218827</v>
      </c>
      <c r="S2643" s="75">
        <f>0.5*(Q2642+Q2643)*R2643</f>
        <v>0.016252170374997012</v>
      </c>
      <c r="T2643" s="75">
        <f>0.5*(F2642*Q2642+F2643*Q2643)*R2643</f>
        <v>0.18771932958926027</v>
      </c>
      <c r="U2643" s="76">
        <f>U2642+S2643</f>
        <v>16.798789168343582</v>
      </c>
      <c r="V2643" s="76">
        <f>V2642+T2643</f>
        <v>116.68426169561694</v>
      </c>
    </row>
    <row r="2644" spans="1:22" ht="19" customHeight="1">
      <c r="A2644" s="68" t="s">
        <v>376</v>
      </c>
      <c r="B2644" s="74">
        <v>4</v>
      </c>
      <c r="C2644" s="68" t="s">
        <v>363</v>
      </c>
      <c r="D2644" s="68" t="s">
        <v>364</v>
      </c>
      <c r="E2644" s="75">
        <f>60*F2644*'THAM_SO_MOI'!$C$52/(2*PI()*'THAM_SO_MOI'!$C$26)</f>
        <v>1818.9718868979612</v>
      </c>
      <c r="F2644" s="75">
        <f>'HANH_TRINH'!$F$2468+('THAM_SO_MOI'!$F$52-'HANH_TRINH'!$F$2468)*175/'THAM_SO_MOI'!$C$42</f>
        <v>11.56233116806341</v>
      </c>
      <c r="G2644" s="75">
        <f>3.6*F2644</f>
        <v>41.62439220502828</v>
      </c>
      <c r="H2644" s="75">
        <f>'THAM_SO_MOI'!$D$52</f>
        <v>1.1774754878398197</v>
      </c>
      <c r="I2644" s="75">
        <f>IF(F2644&gt;'THAM_SO_MOI'!$C$14,'THAM_SO_MOI'!$C$13*(1+F2644^2/1500),'THAM_SO_MOI'!$C$13)</f>
        <v>0.015</v>
      </c>
      <c r="J2644" s="75">
        <f>'THAM_SO_MOI'!$C$40*('THAM_SO_MOI'!$C$23*(E2644/'THAM_SO_MOI'!$C$22)+'THAM_SO_MOI'!$C$24*(E2644/'THAM_SO_MOI'!$C$22)^2-'THAM_SO_MOI'!$C$25*(E2644/'THAM_SO_MOI'!$C$22)^3)</f>
        <v>80.7997800062434</v>
      </c>
      <c r="K2644" s="75">
        <f>'THAM_SO_MOI'!$C$31*J2644/E2644</f>
        <v>424.2652968871271</v>
      </c>
      <c r="L2644" s="75">
        <f>K2644*'THAM_SO_MOI'!$C$52*'THAM_SO_MOI'!$C$17/'THAM_SO_MOI'!$C$26</f>
        <v>5941.083223292636</v>
      </c>
      <c r="M2644" s="75">
        <f>'THAM_SO_MOI'!$C$15*'THAM_SO_MOI'!$C$16*F2644^2</f>
        <v>391.035943466914</v>
      </c>
      <c r="N2644" s="75">
        <f>'THAM_SO_MOI'!$C$12*I2644</f>
        <v>1130.112</v>
      </c>
      <c r="O2644" s="75">
        <f>M2644+N2644</f>
        <v>1521.147943466914</v>
      </c>
      <c r="P2644" s="75">
        <f>(MIN(L2644,'THAM_SO_MOI'!$C$41)-O2644)/('THAM_SO_MOI'!$C$11*H2644)</f>
        <v>0.48876805689019875</v>
      </c>
      <c r="Q2644" s="75">
        <f>IF(P2644&gt;0,1/P2644,NA())</f>
        <v>2.045960217536575</v>
      </c>
      <c r="R2644" s="75">
        <f>F2644-F2643</f>
        <v>0.007943393307220603</v>
      </c>
      <c r="S2644" s="75">
        <f>0.5*(Q2643+Q2644)*R2644</f>
        <v>0.016251966397018137</v>
      </c>
      <c r="T2644" s="75">
        <f>0.5*(F2643*Q2643+F2644*Q2644)*R2644</f>
        <v>0.18784606933803738</v>
      </c>
      <c r="U2644" s="76">
        <f>U2643+S2644</f>
        <v>16.8150411347406</v>
      </c>
      <c r="V2644" s="76">
        <f>V2643+T2644</f>
        <v>116.87210776495498</v>
      </c>
    </row>
    <row r="2645" spans="1:22" ht="19" customHeight="1">
      <c r="A2645" s="68" t="s">
        <v>376</v>
      </c>
      <c r="B2645" s="74">
        <v>4</v>
      </c>
      <c r="C2645" s="68" t="s">
        <v>363</v>
      </c>
      <c r="D2645" s="68" t="s">
        <v>364</v>
      </c>
      <c r="E2645" s="75">
        <f>60*F2645*'THAM_SO_MOI'!$C$52/(2*PI()*'THAM_SO_MOI'!$C$26)</f>
        <v>1820.2215318789247</v>
      </c>
      <c r="F2645" s="75">
        <f>'HANH_TRINH'!$F$2468+('THAM_SO_MOI'!$F$52-'HANH_TRINH'!$F$2468)*176/'THAM_SO_MOI'!$C$42</f>
        <v>11.57027456137063</v>
      </c>
      <c r="G2645" s="75">
        <f>3.6*F2645</f>
        <v>41.652988420934264</v>
      </c>
      <c r="H2645" s="75">
        <f>'THAM_SO_MOI'!$D$52</f>
        <v>1.1774754878398197</v>
      </c>
      <c r="I2645" s="75">
        <f>IF(F2645&gt;'THAM_SO_MOI'!$C$14,'THAM_SO_MOI'!$C$13*(1+F2645^2/1500),'THAM_SO_MOI'!$C$13)</f>
        <v>0.015</v>
      </c>
      <c r="J2645" s="75">
        <f>'THAM_SO_MOI'!$C$40*('THAM_SO_MOI'!$C$23*(E2645/'THAM_SO_MOI'!$C$22)+'THAM_SO_MOI'!$C$24*(E2645/'THAM_SO_MOI'!$C$22)^2-'THAM_SO_MOI'!$C$25*(E2645/'THAM_SO_MOI'!$C$22)^3)</f>
        <v>80.86330882647184</v>
      </c>
      <c r="K2645" s="75">
        <f>'THAM_SO_MOI'!$C$31*J2645/E2645</f>
        <v>424.30737364071985</v>
      </c>
      <c r="L2645" s="75">
        <f>K2645*'THAM_SO_MOI'!$C$52*'THAM_SO_MOI'!$C$17/'THAM_SO_MOI'!$C$26</f>
        <v>5941.672433620925</v>
      </c>
      <c r="M2645" s="75">
        <f>'THAM_SO_MOI'!$C$15*'THAM_SO_MOI'!$C$16*F2645^2</f>
        <v>391.57341626958845</v>
      </c>
      <c r="N2645" s="75">
        <f>'THAM_SO_MOI'!$C$12*I2645</f>
        <v>1130.112</v>
      </c>
      <c r="O2645" s="75">
        <f>M2645+N2645</f>
        <v>1521.6854162695886</v>
      </c>
      <c r="P2645" s="75">
        <f>(MIN(L2645,'THAM_SO_MOI'!$C$41)-O2645)/('THAM_SO_MOI'!$C$11*H2645)</f>
        <v>0.48877377816172485</v>
      </c>
      <c r="Q2645" s="75">
        <f>IF(P2645&gt;0,1/P2645,NA())</f>
        <v>2.045936268841986</v>
      </c>
      <c r="R2645" s="75">
        <f>F2645-F2644</f>
        <v>0.007943393307218827</v>
      </c>
      <c r="S2645" s="75">
        <f>0.5*(Q2644+Q2645)*R2645</f>
        <v>0.016251771581865845</v>
      </c>
      <c r="T2645" s="75">
        <f>0.5*(F2644*Q2644+F2645*Q2645)*R2645</f>
        <v>0.18797291182628595</v>
      </c>
      <c r="U2645" s="76">
        <f>U2644+S2645</f>
        <v>16.831292906322467</v>
      </c>
      <c r="V2645" s="76">
        <f>V2644+T2645</f>
        <v>117.06008067678127</v>
      </c>
    </row>
    <row r="2646" spans="1:22" ht="19" customHeight="1">
      <c r="A2646" s="68" t="s">
        <v>376</v>
      </c>
      <c r="B2646" s="74">
        <v>4</v>
      </c>
      <c r="C2646" s="68" t="s">
        <v>363</v>
      </c>
      <c r="D2646" s="68" t="s">
        <v>364</v>
      </c>
      <c r="E2646" s="75">
        <f>60*F2646*'THAM_SO_MOI'!$C$52/(2*PI()*'THAM_SO_MOI'!$C$26)</f>
        <v>1821.471176859888</v>
      </c>
      <c r="F2646" s="75">
        <f>'HANH_TRINH'!$F$2468+('THAM_SO_MOI'!$F$52-'HANH_TRINH'!$F$2468)*177/'THAM_SO_MOI'!$C$42</f>
        <v>11.57821795467785</v>
      </c>
      <c r="G2646" s="75">
        <f>3.6*F2646</f>
        <v>41.68158463684026</v>
      </c>
      <c r="H2646" s="75">
        <f>'THAM_SO_MOI'!$D$52</f>
        <v>1.1774754878398197</v>
      </c>
      <c r="I2646" s="75">
        <f>IF(F2646&gt;'THAM_SO_MOI'!$C$14,'THAM_SO_MOI'!$C$13*(1+F2646^2/1500),'THAM_SO_MOI'!$C$13)</f>
        <v>0.015</v>
      </c>
      <c r="J2646" s="75">
        <f>'THAM_SO_MOI'!$C$40*('THAM_SO_MOI'!$C$23*(E2646/'THAM_SO_MOI'!$C$22)+'THAM_SO_MOI'!$C$24*(E2646/'THAM_SO_MOI'!$C$22)^2-'THAM_SO_MOI'!$C$25*(E2646/'THAM_SO_MOI'!$C$22)^3)</f>
        <v>80.92681976494761</v>
      </c>
      <c r="K2646" s="75">
        <f>'THAM_SO_MOI'!$C$31*J2646/E2646</f>
        <v>424.3492988945851</v>
      </c>
      <c r="L2646" s="75">
        <f>K2646*'THAM_SO_MOI'!$C$52*'THAM_SO_MOI'!$C$17/'THAM_SO_MOI'!$C$26</f>
        <v>5942.259522464154</v>
      </c>
      <c r="M2646" s="75">
        <f>'THAM_SO_MOI'!$C$15*'THAM_SO_MOI'!$C$16*F2646^2</f>
        <v>392.11125819262185</v>
      </c>
      <c r="N2646" s="75">
        <f>'THAM_SO_MOI'!$C$12*I2646</f>
        <v>1130.112</v>
      </c>
      <c r="O2646" s="75">
        <f>M2646+N2646</f>
        <v>1522.2232581926219</v>
      </c>
      <c r="P2646" s="75">
        <f>(MIN(L2646,'THAM_SO_MOI'!$C$41)-O2646)/('THAM_SO_MOI'!$C$11*H2646)</f>
        <v>0.4887792240155592</v>
      </c>
      <c r="Q2646" s="75">
        <f>IF(P2646&gt;0,1/P2646,NA())</f>
        <v>2.0459134735402897</v>
      </c>
      <c r="R2646" s="75">
        <f>F2646-F2645</f>
        <v>0.007943393307220603</v>
      </c>
      <c r="S2646" s="75">
        <f>0.5*(Q2645+Q2646)*R2646</f>
        <v>0.016251585928895862</v>
      </c>
      <c r="T2646" s="75">
        <f>0.5*(F2645*Q2645+F2646*Q2646)*R2646</f>
        <v>0.18809985726490067</v>
      </c>
      <c r="U2646" s="76">
        <f>U2645+S2646</f>
        <v>16.847544492251362</v>
      </c>
      <c r="V2646" s="76">
        <f>V2645+T2646</f>
        <v>117.24818053404617</v>
      </c>
    </row>
    <row r="2647" spans="1:22" ht="19" customHeight="1">
      <c r="A2647" s="68" t="s">
        <v>376</v>
      </c>
      <c r="B2647" s="74">
        <v>4</v>
      </c>
      <c r="C2647" s="68" t="s">
        <v>363</v>
      </c>
      <c r="D2647" s="68" t="s">
        <v>364</v>
      </c>
      <c r="E2647" s="75">
        <f>60*F2647*'THAM_SO_MOI'!$C$52/(2*PI()*'THAM_SO_MOI'!$C$26)</f>
        <v>1822.7208218408514</v>
      </c>
      <c r="F2647" s="75">
        <f>'HANH_TRINH'!$F$2468+('THAM_SO_MOI'!$F$52-'HANH_TRINH'!$F$2468)*178/'THAM_SO_MOI'!$C$42</f>
        <v>11.586161347985069</v>
      </c>
      <c r="G2647" s="75">
        <f>3.6*F2647</f>
        <v>41.71018085274625</v>
      </c>
      <c r="H2647" s="75">
        <f>'THAM_SO_MOI'!$D$52</f>
        <v>1.1774754878398197</v>
      </c>
      <c r="I2647" s="75">
        <f>IF(F2647&gt;'THAM_SO_MOI'!$C$14,'THAM_SO_MOI'!$C$13*(1+F2647^2/1500),'THAM_SO_MOI'!$C$13)</f>
        <v>0.015</v>
      </c>
      <c r="J2647" s="75">
        <f>'THAM_SO_MOI'!$C$40*('THAM_SO_MOI'!$C$23*(E2647/'THAM_SO_MOI'!$C$22)+'THAM_SO_MOI'!$C$24*(E2647/'THAM_SO_MOI'!$C$22)^2-'THAM_SO_MOI'!$C$25*(E2647/'THAM_SO_MOI'!$C$22)^3)</f>
        <v>80.990312762205</v>
      </c>
      <c r="K2647" s="75">
        <f>'THAM_SO_MOI'!$C$31*J2647/E2647</f>
        <v>424.39107264872285</v>
      </c>
      <c r="L2647" s="75">
        <f>K2647*'THAM_SO_MOI'!$C$52*'THAM_SO_MOI'!$C$17/'THAM_SO_MOI'!$C$26</f>
        <v>5942.84448982232</v>
      </c>
      <c r="M2647" s="75">
        <f>'THAM_SO_MOI'!$C$15*'THAM_SO_MOI'!$C$16*F2647^2</f>
        <v>392.64946923601383</v>
      </c>
      <c r="N2647" s="75">
        <f>'THAM_SO_MOI'!$C$12*I2647</f>
        <v>1130.112</v>
      </c>
      <c r="O2647" s="75">
        <f>M2647+N2647</f>
        <v>1522.761469236014</v>
      </c>
      <c r="P2647" s="75">
        <f>(MIN(L2647,'THAM_SO_MOI'!$C$41)-O2647)/('THAM_SO_MOI'!$C$11*H2647)</f>
        <v>0.48878439445170196</v>
      </c>
      <c r="Q2647" s="75">
        <f>IF(P2647&gt;0,1/P2647,NA())</f>
        <v>2.0458918315543984</v>
      </c>
      <c r="R2647" s="75">
        <f>F2647-F2646</f>
        <v>0.007943393307218827</v>
      </c>
      <c r="S2647" s="75">
        <f>0.5*(Q2646+Q2647)*R2647</f>
        <v>0.01625140943746582</v>
      </c>
      <c r="T2647" s="75">
        <f>0.5*(F2646*Q2646+F2647*Q2647)*R2647</f>
        <v>0.18822690586477822</v>
      </c>
      <c r="U2647" s="76">
        <f>U2646+S2647</f>
        <v>16.863795901688828</v>
      </c>
      <c r="V2647" s="76">
        <f>V2646+T2647</f>
        <v>117.43640743991095</v>
      </c>
    </row>
    <row r="2648" spans="1:22" ht="19" customHeight="1">
      <c r="A2648" s="68" t="s">
        <v>376</v>
      </c>
      <c r="B2648" s="74">
        <v>4</v>
      </c>
      <c r="C2648" s="68" t="s">
        <v>363</v>
      </c>
      <c r="D2648" s="68" t="s">
        <v>364</v>
      </c>
      <c r="E2648" s="75">
        <f>60*F2648*'THAM_SO_MOI'!$C$52/(2*PI()*'THAM_SO_MOI'!$C$26)</f>
        <v>1823.9704668218146</v>
      </c>
      <c r="F2648" s="75">
        <f>'HANH_TRINH'!$F$2468+('THAM_SO_MOI'!$F$52-'HANH_TRINH'!$F$2468)*179/'THAM_SO_MOI'!$C$42</f>
        <v>11.594104741292288</v>
      </c>
      <c r="G2648" s="75">
        <f>3.6*F2648</f>
        <v>41.73877706865224</v>
      </c>
      <c r="H2648" s="75">
        <f>'THAM_SO_MOI'!$D$52</f>
        <v>1.1774754878398197</v>
      </c>
      <c r="I2648" s="75">
        <f>IF(F2648&gt;'THAM_SO_MOI'!$C$14,'THAM_SO_MOI'!$C$13*(1+F2648^2/1500),'THAM_SO_MOI'!$C$13)</f>
        <v>0.015</v>
      </c>
      <c r="J2648" s="75">
        <f>'THAM_SO_MOI'!$C$40*('THAM_SO_MOI'!$C$23*(E2648/'THAM_SO_MOI'!$C$22)+'THAM_SO_MOI'!$C$24*(E2648/'THAM_SO_MOI'!$C$22)^2-'THAM_SO_MOI'!$C$25*(E2648/'THAM_SO_MOI'!$C$22)^3)</f>
        <v>81.0537877587783</v>
      </c>
      <c r="K2648" s="75">
        <f>'THAM_SO_MOI'!$C$31*J2648/E2648</f>
        <v>424.4326949031331</v>
      </c>
      <c r="L2648" s="75">
        <f>K2648*'THAM_SO_MOI'!$C$52*'THAM_SO_MOI'!$C$17/'THAM_SO_MOI'!$C$26</f>
        <v>5943.427335695425</v>
      </c>
      <c r="M2648" s="75">
        <f>'THAM_SO_MOI'!$C$15*'THAM_SO_MOI'!$C$16*F2648^2</f>
        <v>393.18804939976474</v>
      </c>
      <c r="N2648" s="75">
        <f>'THAM_SO_MOI'!$C$12*I2648</f>
        <v>1130.112</v>
      </c>
      <c r="O2648" s="75">
        <f>M2648+N2648</f>
        <v>1523.3000493997647</v>
      </c>
      <c r="P2648" s="75">
        <f>(MIN(L2648,'THAM_SO_MOI'!$C$41)-O2648)/('THAM_SO_MOI'!$C$11*H2648)</f>
        <v>0.4887892894701532</v>
      </c>
      <c r="Q2648" s="75">
        <f>IF(P2648&gt;0,1/P2648,NA())</f>
        <v>2.045871342811129</v>
      </c>
      <c r="R2648" s="75">
        <f>F2648-F2647</f>
        <v>0.007943393307218827</v>
      </c>
      <c r="S2648" s="75">
        <f>0.5*(Q2647+Q2648)*R2648</f>
        <v>0.016251242106989795</v>
      </c>
      <c r="T2648" s="75">
        <f>0.5*(F2647*Q2647+F2648*Q2648)*R2648</f>
        <v>0.18835405783744882</v>
      </c>
      <c r="U2648" s="76">
        <f>U2647+S2648</f>
        <v>16.880047143795817</v>
      </c>
      <c r="V2648" s="76">
        <f>V2647+T2648</f>
        <v>117.6247614977484</v>
      </c>
    </row>
    <row r="2649" spans="1:22" ht="19" customHeight="1">
      <c r="A2649" s="68" t="s">
        <v>376</v>
      </c>
      <c r="B2649" s="74">
        <v>4</v>
      </c>
      <c r="C2649" s="68" t="s">
        <v>363</v>
      </c>
      <c r="D2649" s="68" t="s">
        <v>364</v>
      </c>
      <c r="E2649" s="75">
        <f>60*F2649*'THAM_SO_MOI'!$C$52/(2*PI()*'THAM_SO_MOI'!$C$26)</f>
        <v>1825.2201118027779</v>
      </c>
      <c r="F2649" s="75">
        <f>'HANH_TRINH'!$F$2468+('THAM_SO_MOI'!$F$52-'HANH_TRINH'!$F$2468)*180/'THAM_SO_MOI'!$C$42</f>
        <v>11.602048134599507</v>
      </c>
      <c r="G2649" s="75">
        <f>3.6*F2649</f>
        <v>41.767373284558225</v>
      </c>
      <c r="H2649" s="75">
        <f>'THAM_SO_MOI'!$D$52</f>
        <v>1.1774754878398197</v>
      </c>
      <c r="I2649" s="75">
        <f>IF(F2649&gt;'THAM_SO_MOI'!$C$14,'THAM_SO_MOI'!$C$13*(1+F2649^2/1500),'THAM_SO_MOI'!$C$13)</f>
        <v>0.015</v>
      </c>
      <c r="J2649" s="75">
        <f>'THAM_SO_MOI'!$C$40*('THAM_SO_MOI'!$C$23*(E2649/'THAM_SO_MOI'!$C$22)+'THAM_SO_MOI'!$C$24*(E2649/'THAM_SO_MOI'!$C$22)^2-'THAM_SO_MOI'!$C$25*(E2649/'THAM_SO_MOI'!$C$22)^3)</f>
        <v>81.11724469520186</v>
      </c>
      <c r="K2649" s="75">
        <f>'THAM_SO_MOI'!$C$31*J2649/E2649</f>
        <v>424.4741656578157</v>
      </c>
      <c r="L2649" s="75">
        <f>K2649*'THAM_SO_MOI'!$C$52*'THAM_SO_MOI'!$C$17/'THAM_SO_MOI'!$C$26</f>
        <v>5944.008060083467</v>
      </c>
      <c r="M2649" s="75">
        <f>'THAM_SO_MOI'!$C$15*'THAM_SO_MOI'!$C$16*F2649^2</f>
        <v>393.7269986838744</v>
      </c>
      <c r="N2649" s="75">
        <f>'THAM_SO_MOI'!$C$12*I2649</f>
        <v>1130.112</v>
      </c>
      <c r="O2649" s="75">
        <f>M2649+N2649</f>
        <v>1523.8389986838745</v>
      </c>
      <c r="P2649" s="75">
        <f>(MIN(L2649,'THAM_SO_MOI'!$C$41)-O2649)/('THAM_SO_MOI'!$C$11*H2649)</f>
        <v>0.48879390907091264</v>
      </c>
      <c r="Q2649" s="75">
        <f>IF(P2649&gt;0,1/P2649,NA())</f>
        <v>2.0458520072412014</v>
      </c>
      <c r="R2649" s="75">
        <f>F2649-F2648</f>
        <v>0.007943393307218827</v>
      </c>
      <c r="S2649" s="75">
        <f>0.5*(Q2648+Q2649)*R2649</f>
        <v>0.01625108393689834</v>
      </c>
      <c r="T2649" s="75">
        <f>0.5*(F2648*Q2648+F2649*Q2649)*R2649</f>
        <v>0.18848131339461516</v>
      </c>
      <c r="U2649" s="76">
        <f>U2648+S2649</f>
        <v>16.896298227732714</v>
      </c>
      <c r="V2649" s="76">
        <f>V2648+T2649</f>
        <v>117.81324281114301</v>
      </c>
    </row>
    <row r="2650" spans="1:22" ht="19" customHeight="1">
      <c r="A2650" s="68" t="s">
        <v>376</v>
      </c>
      <c r="B2650" s="74">
        <v>4</v>
      </c>
      <c r="C2650" s="68" t="s">
        <v>363</v>
      </c>
      <c r="D2650" s="68" t="s">
        <v>364</v>
      </c>
      <c r="E2650" s="75">
        <f>60*F2650*'THAM_SO_MOI'!$C$52/(2*PI()*'THAM_SO_MOI'!$C$26)</f>
        <v>1826.4697567837413</v>
      </c>
      <c r="F2650" s="75">
        <f>'HANH_TRINH'!$F$2468+('THAM_SO_MOI'!$F$52-'HANH_TRINH'!$F$2468)*181/'THAM_SO_MOI'!$C$42</f>
        <v>11.609991527906727</v>
      </c>
      <c r="G2650" s="75">
        <f>3.6*F2650</f>
        <v>41.79596950046422</v>
      </c>
      <c r="H2650" s="75">
        <f>'THAM_SO_MOI'!$D$52</f>
        <v>1.1774754878398197</v>
      </c>
      <c r="I2650" s="75">
        <f>IF(F2650&gt;'THAM_SO_MOI'!$C$14,'THAM_SO_MOI'!$C$13*(1+F2650^2/1500),'THAM_SO_MOI'!$C$13)</f>
        <v>0.015</v>
      </c>
      <c r="J2650" s="75">
        <f>'THAM_SO_MOI'!$C$40*('THAM_SO_MOI'!$C$23*(E2650/'THAM_SO_MOI'!$C$22)+'THAM_SO_MOI'!$C$24*(E2650/'THAM_SO_MOI'!$C$22)^2-'THAM_SO_MOI'!$C$25*(E2650/'THAM_SO_MOI'!$C$22)^3)</f>
        <v>81.18068351201005</v>
      </c>
      <c r="K2650" s="75">
        <f>'THAM_SO_MOI'!$C$31*J2650/E2650</f>
        <v>424.51548491277117</v>
      </c>
      <c r="L2650" s="75">
        <f>K2650*'THAM_SO_MOI'!$C$52*'THAM_SO_MOI'!$C$17/'THAM_SO_MOI'!$C$26</f>
        <v>5944.586662986452</v>
      </c>
      <c r="M2650" s="75">
        <f>'THAM_SO_MOI'!$C$15*'THAM_SO_MOI'!$C$16*F2650^2</f>
        <v>394.266317088343</v>
      </c>
      <c r="N2650" s="75">
        <f>'THAM_SO_MOI'!$C$12*I2650</f>
        <v>1130.112</v>
      </c>
      <c r="O2650" s="75">
        <f>M2650+N2650</f>
        <v>1524.378317088343</v>
      </c>
      <c r="P2650" s="75">
        <f>(MIN(L2650,'THAM_SO_MOI'!$C$41)-O2650)/('THAM_SO_MOI'!$C$11*H2650)</f>
        <v>0.48879825325398096</v>
      </c>
      <c r="Q2650" s="75">
        <f>IF(P2650&gt;0,1/P2650,NA())</f>
        <v>2.045833824779233</v>
      </c>
      <c r="R2650" s="75">
        <f>F2650-F2649</f>
        <v>0.007943393307220603</v>
      </c>
      <c r="S2650" s="75">
        <f>0.5*(Q2649+Q2650)*R2650</f>
        <v>0.016250934926660243</v>
      </c>
      <c r="T2650" s="75">
        <f>0.5*(F2649*Q2649+F2650*Q2650)*R2650</f>
        <v>0.1886086727484057</v>
      </c>
      <c r="U2650" s="76">
        <f>U2649+S2650</f>
        <v>16.912549162659374</v>
      </c>
      <c r="V2650" s="76">
        <f>V2649+T2650</f>
        <v>118.00185148389141</v>
      </c>
    </row>
    <row r="2651" spans="1:22" ht="19" customHeight="1">
      <c r="A2651" s="68" t="s">
        <v>376</v>
      </c>
      <c r="B2651" s="74">
        <v>4</v>
      </c>
      <c r="C2651" s="68" t="s">
        <v>363</v>
      </c>
      <c r="D2651" s="68" t="s">
        <v>364</v>
      </c>
      <c r="E2651" s="75">
        <f>60*F2651*'THAM_SO_MOI'!$C$52/(2*PI()*'THAM_SO_MOI'!$C$26)</f>
        <v>1827.7194017647041</v>
      </c>
      <c r="F2651" s="75">
        <f>'HANH_TRINH'!$F$2468+('THAM_SO_MOI'!$F$52-'HANH_TRINH'!$F$2468)*182/'THAM_SO_MOI'!$C$42</f>
        <v>11.617934921213946</v>
      </c>
      <c r="G2651" s="75">
        <f>3.6*F2651</f>
        <v>41.82456571637021</v>
      </c>
      <c r="H2651" s="75">
        <f>'THAM_SO_MOI'!$D$52</f>
        <v>1.1774754878398197</v>
      </c>
      <c r="I2651" s="75">
        <f>IF(F2651&gt;'THAM_SO_MOI'!$C$14,'THAM_SO_MOI'!$C$13*(1+F2651^2/1500),'THAM_SO_MOI'!$C$13)</f>
        <v>0.015</v>
      </c>
      <c r="J2651" s="75">
        <f>'THAM_SO_MOI'!$C$40*('THAM_SO_MOI'!$C$23*(E2651/'THAM_SO_MOI'!$C$22)+'THAM_SO_MOI'!$C$24*(E2651/'THAM_SO_MOI'!$C$22)^2-'THAM_SO_MOI'!$C$25*(E2651/'THAM_SO_MOI'!$C$22)^3)</f>
        <v>81.24410414973708</v>
      </c>
      <c r="K2651" s="75">
        <f>'THAM_SO_MOI'!$C$31*J2651/E2651</f>
        <v>424.5566526679991</v>
      </c>
      <c r="L2651" s="75">
        <f>K2651*'THAM_SO_MOI'!$C$52*'THAM_SO_MOI'!$C$17/'THAM_SO_MOI'!$C$26</f>
        <v>5945.163144404376</v>
      </c>
      <c r="M2651" s="75">
        <f>'THAM_SO_MOI'!$C$15*'THAM_SO_MOI'!$C$16*F2651^2</f>
        <v>394.80600461317033</v>
      </c>
      <c r="N2651" s="75">
        <f>'THAM_SO_MOI'!$C$12*I2651</f>
        <v>1130.112</v>
      </c>
      <c r="O2651" s="75">
        <f>M2651+N2651</f>
        <v>1524.9180046131705</v>
      </c>
      <c r="P2651" s="75">
        <f>(MIN(L2651,'THAM_SO_MOI'!$C$41)-O2651)/('THAM_SO_MOI'!$C$11*H2651)</f>
        <v>0.48880232201935775</v>
      </c>
      <c r="Q2651" s="75">
        <f>IF(P2651&gt;0,1/P2651,NA())</f>
        <v>2.0458167953637454</v>
      </c>
      <c r="R2651" s="75">
        <f>F2651-F2650</f>
        <v>0.007943393307218827</v>
      </c>
      <c r="S2651" s="75">
        <f>0.5*(Q2650+Q2651)*R2651</f>
        <v>0.016250795075760747</v>
      </c>
      <c r="T2651" s="75">
        <f>0.5*(F2650*Q2650+F2651*Q2651)*R2651</f>
        <v>0.18873613611112317</v>
      </c>
      <c r="U2651" s="76">
        <f>U2650+S2651</f>
        <v>16.928799957735134</v>
      </c>
      <c r="V2651" s="76">
        <f>V2650+T2651</f>
        <v>118.19058762000253</v>
      </c>
    </row>
    <row r="2652" spans="1:22" ht="19" customHeight="1">
      <c r="A2652" s="68" t="s">
        <v>376</v>
      </c>
      <c r="B2652" s="74">
        <v>4</v>
      </c>
      <c r="C2652" s="68" t="s">
        <v>363</v>
      </c>
      <c r="D2652" s="68" t="s">
        <v>364</v>
      </c>
      <c r="E2652" s="75">
        <f>60*F2652*'THAM_SO_MOI'!$C$52/(2*PI()*'THAM_SO_MOI'!$C$26)</f>
        <v>1828.9690467456676</v>
      </c>
      <c r="F2652" s="75">
        <f>'HANH_TRINH'!$F$2468+('THAM_SO_MOI'!$F$52-'HANH_TRINH'!$F$2468)*183/'THAM_SO_MOI'!$C$42</f>
        <v>11.625878314521167</v>
      </c>
      <c r="G2652" s="75">
        <f>3.6*F2652</f>
        <v>41.8531619322762</v>
      </c>
      <c r="H2652" s="75">
        <f>'THAM_SO_MOI'!$D$52</f>
        <v>1.1774754878398197</v>
      </c>
      <c r="I2652" s="75">
        <f>IF(F2652&gt;'THAM_SO_MOI'!$C$14,'THAM_SO_MOI'!$C$13*(1+F2652^2/1500),'THAM_SO_MOI'!$C$13)</f>
        <v>0.015</v>
      </c>
      <c r="J2652" s="75">
        <f>'THAM_SO_MOI'!$C$40*('THAM_SO_MOI'!$C$23*(E2652/'THAM_SO_MOI'!$C$22)+'THAM_SO_MOI'!$C$24*(E2652/'THAM_SO_MOI'!$C$22)^2-'THAM_SO_MOI'!$C$25*(E2652/'THAM_SO_MOI'!$C$22)^3)</f>
        <v>81.30750654891732</v>
      </c>
      <c r="K2652" s="75">
        <f>'THAM_SO_MOI'!$C$31*J2652/E2652</f>
        <v>424.59766892349944</v>
      </c>
      <c r="L2652" s="75">
        <f>K2652*'THAM_SO_MOI'!$C$52*'THAM_SO_MOI'!$C$17/'THAM_SO_MOI'!$C$26</f>
        <v>5945.737504337236</v>
      </c>
      <c r="M2652" s="75">
        <f>'THAM_SO_MOI'!$C$15*'THAM_SO_MOI'!$C$16*F2652^2</f>
        <v>395.3460612583566</v>
      </c>
      <c r="N2652" s="75">
        <f>'THAM_SO_MOI'!$C$12*I2652</f>
        <v>1130.112</v>
      </c>
      <c r="O2652" s="75">
        <f>M2652+N2652</f>
        <v>1525.4580612583568</v>
      </c>
      <c r="P2652" s="75">
        <f>(MIN(L2652,'THAM_SO_MOI'!$C$41)-O2652)/('THAM_SO_MOI'!$C$11*H2652)</f>
        <v>0.48880611536704266</v>
      </c>
      <c r="Q2652" s="75">
        <f>IF(P2652&gt;0,1/P2652,NA())</f>
        <v>2.0458009189371613</v>
      </c>
      <c r="R2652" s="75">
        <f>F2652-F2651</f>
        <v>0.007943393307220603</v>
      </c>
      <c r="S2652" s="75">
        <f>0.5*(Q2651+Q2652)*R2652</f>
        <v>0.016250664383741543</v>
      </c>
      <c r="T2652" s="75">
        <f>0.5*(F2651*Q2651+F2652*Q2652)*R2652</f>
        <v>0.18886370369570973</v>
      </c>
      <c r="U2652" s="76">
        <f>U2651+S2652</f>
        <v>16.945050622118874</v>
      </c>
      <c r="V2652" s="76">
        <f>V2651+T2652</f>
        <v>118.37945132369825</v>
      </c>
    </row>
    <row r="2653" spans="1:22" ht="19" customHeight="1">
      <c r="A2653" s="68" t="s">
        <v>376</v>
      </c>
      <c r="B2653" s="74">
        <v>4</v>
      </c>
      <c r="C2653" s="68" t="s">
        <v>363</v>
      </c>
      <c r="D2653" s="68" t="s">
        <v>364</v>
      </c>
      <c r="E2653" s="75">
        <f>60*F2653*'THAM_SO_MOI'!$C$52/(2*PI()*'THAM_SO_MOI'!$C$26)</f>
        <v>1830.2186917266308</v>
      </c>
      <c r="F2653" s="75">
        <f>'HANH_TRINH'!$F$2468+('THAM_SO_MOI'!$F$52-'HANH_TRINH'!$F$2468)*184/'THAM_SO_MOI'!$C$42</f>
        <v>11.633821707828385</v>
      </c>
      <c r="G2653" s="75">
        <f>3.6*F2653</f>
        <v>41.881758148182186</v>
      </c>
      <c r="H2653" s="75">
        <f>'THAM_SO_MOI'!$D$52</f>
        <v>1.1774754878398197</v>
      </c>
      <c r="I2653" s="75">
        <f>IF(F2653&gt;'THAM_SO_MOI'!$C$14,'THAM_SO_MOI'!$C$13*(1+F2653^2/1500),'THAM_SO_MOI'!$C$13)</f>
        <v>0.015</v>
      </c>
      <c r="J2653" s="75">
        <f>'THAM_SO_MOI'!$C$40*('THAM_SO_MOI'!$C$23*(E2653/'THAM_SO_MOI'!$C$22)+'THAM_SO_MOI'!$C$24*(E2653/'THAM_SO_MOI'!$C$22)^2-'THAM_SO_MOI'!$C$25*(E2653/'THAM_SO_MOI'!$C$22)^3)</f>
        <v>81.37089065008507</v>
      </c>
      <c r="K2653" s="75">
        <f>'THAM_SO_MOI'!$C$31*J2653/E2653</f>
        <v>424.63853367927237</v>
      </c>
      <c r="L2653" s="75">
        <f>K2653*'THAM_SO_MOI'!$C$52*'THAM_SO_MOI'!$C$17/'THAM_SO_MOI'!$C$26</f>
        <v>5946.309742785037</v>
      </c>
      <c r="M2653" s="75">
        <f>'THAM_SO_MOI'!$C$15*'THAM_SO_MOI'!$C$16*F2653^2</f>
        <v>395.8864870239015</v>
      </c>
      <c r="N2653" s="75">
        <f>'THAM_SO_MOI'!$C$12*I2653</f>
        <v>1130.112</v>
      </c>
      <c r="O2653" s="75">
        <f>M2653+N2653</f>
        <v>1525.9984870239016</v>
      </c>
      <c r="P2653" s="75">
        <f>(MIN(L2653,'THAM_SO_MOI'!$C$41)-O2653)/('THAM_SO_MOI'!$C$11*H2653)</f>
        <v>0.48880963329703636</v>
      </c>
      <c r="Q2653" s="75">
        <f>IF(P2653&gt;0,1/P2653,NA())</f>
        <v>2.0457861954457988</v>
      </c>
      <c r="R2653" s="75">
        <f>F2653-F2652</f>
        <v>0.007943393307218827</v>
      </c>
      <c r="S2653" s="75">
        <f>0.5*(Q2652+Q2653)*R2653</f>
        <v>0.0162505428501462</v>
      </c>
      <c r="T2653" s="75">
        <f>0.5*(F2652*Q2652+F2653*Q2653)*R2653</f>
        <v>0.18899137571511507</v>
      </c>
      <c r="U2653" s="76">
        <f>U2652+S2653</f>
        <v>16.96130116496902</v>
      </c>
      <c r="V2653" s="76">
        <f>V2652+T2653</f>
        <v>118.56844269941337</v>
      </c>
    </row>
    <row r="2654" spans="1:22" ht="19" customHeight="1">
      <c r="A2654" s="68" t="s">
        <v>376</v>
      </c>
      <c r="B2654" s="74">
        <v>4</v>
      </c>
      <c r="C2654" s="68" t="s">
        <v>363</v>
      </c>
      <c r="D2654" s="68" t="s">
        <v>364</v>
      </c>
      <c r="E2654" s="75">
        <f>60*F2654*'THAM_SO_MOI'!$C$52/(2*PI()*'THAM_SO_MOI'!$C$26)</f>
        <v>1831.468336707594</v>
      </c>
      <c r="F2654" s="75">
        <f>'HANH_TRINH'!$F$2468+('THAM_SO_MOI'!$F$52-'HANH_TRINH'!$F$2468)*185/'THAM_SO_MOI'!$C$42</f>
        <v>11.641765101135604</v>
      </c>
      <c r="G2654" s="75">
        <f>3.6*F2654</f>
        <v>41.91035436408818</v>
      </c>
      <c r="H2654" s="75">
        <f>'THAM_SO_MOI'!$D$52</f>
        <v>1.1774754878398197</v>
      </c>
      <c r="I2654" s="75">
        <f>IF(F2654&gt;'THAM_SO_MOI'!$C$14,'THAM_SO_MOI'!$C$13*(1+F2654^2/1500),'THAM_SO_MOI'!$C$13)</f>
        <v>0.015</v>
      </c>
      <c r="J2654" s="75">
        <f>'THAM_SO_MOI'!$C$40*('THAM_SO_MOI'!$C$23*(E2654/'THAM_SO_MOI'!$C$22)+'THAM_SO_MOI'!$C$24*(E2654/'THAM_SO_MOI'!$C$22)^2-'THAM_SO_MOI'!$C$25*(E2654/'THAM_SO_MOI'!$C$22)^3)</f>
        <v>81.43425639377463</v>
      </c>
      <c r="K2654" s="75">
        <f>'THAM_SO_MOI'!$C$31*J2654/E2654</f>
        <v>424.67924693531774</v>
      </c>
      <c r="L2654" s="75">
        <f>K2654*'THAM_SO_MOI'!$C$52*'THAM_SO_MOI'!$C$17/'THAM_SO_MOI'!$C$26</f>
        <v>5946.879859747776</v>
      </c>
      <c r="M2654" s="75">
        <f>'THAM_SO_MOI'!$C$15*'THAM_SO_MOI'!$C$16*F2654^2</f>
        <v>396.42728190980523</v>
      </c>
      <c r="N2654" s="75">
        <f>'THAM_SO_MOI'!$C$12*I2654</f>
        <v>1130.112</v>
      </c>
      <c r="O2654" s="75">
        <f>M2654+N2654</f>
        <v>1526.5392819098054</v>
      </c>
      <c r="P2654" s="75">
        <f>(MIN(L2654,'THAM_SO_MOI'!$C$41)-O2654)/('THAM_SO_MOI'!$C$11*H2654)</f>
        <v>0.48881287580933835</v>
      </c>
      <c r="Q2654" s="75">
        <f>IF(P2654&gt;0,1/P2654,NA())</f>
        <v>2.0457726248398793</v>
      </c>
      <c r="R2654" s="75">
        <f>F2654-F2653</f>
        <v>0.007943393307218827</v>
      </c>
      <c r="S2654" s="75">
        <f>0.5*(Q2653+Q2654)*R2654</f>
        <v>0.01625043047457471</v>
      </c>
      <c r="T2654" s="75">
        <f>0.5*(F2653*Q2653+F2654*Q2654)*R2654</f>
        <v>0.18911915238293092</v>
      </c>
      <c r="U2654" s="76">
        <f>U2653+S2654</f>
        <v>16.977551595443593</v>
      </c>
      <c r="V2654" s="76">
        <f>V2653+T2654</f>
        <v>118.7575618517963</v>
      </c>
    </row>
    <row r="2655" spans="1:22" ht="19" customHeight="1">
      <c r="A2655" s="68" t="s">
        <v>376</v>
      </c>
      <c r="B2655" s="74">
        <v>4</v>
      </c>
      <c r="C2655" s="68" t="s">
        <v>363</v>
      </c>
      <c r="D2655" s="68" t="s">
        <v>364</v>
      </c>
      <c r="E2655" s="75">
        <f>60*F2655*'THAM_SO_MOI'!$C$52/(2*PI()*'THAM_SO_MOI'!$C$26)</f>
        <v>1832.717981688557</v>
      </c>
      <c r="F2655" s="75">
        <f>'HANH_TRINH'!$F$2468+('THAM_SO_MOI'!$F$52-'HANH_TRINH'!$F$2468)*186/'THAM_SO_MOI'!$C$42</f>
        <v>11.649708494442823</v>
      </c>
      <c r="G2655" s="75">
        <f>3.6*F2655</f>
        <v>41.93895057999416</v>
      </c>
      <c r="H2655" s="75">
        <f>'THAM_SO_MOI'!$D$52</f>
        <v>1.1774754878398197</v>
      </c>
      <c r="I2655" s="75">
        <f>IF(F2655&gt;'THAM_SO_MOI'!$C$14,'THAM_SO_MOI'!$C$13*(1+F2655^2/1500),'THAM_SO_MOI'!$C$13)</f>
        <v>0.015</v>
      </c>
      <c r="J2655" s="75">
        <f>'THAM_SO_MOI'!$C$40*('THAM_SO_MOI'!$C$23*(E2655/'THAM_SO_MOI'!$C$22)+'THAM_SO_MOI'!$C$24*(E2655/'THAM_SO_MOI'!$C$22)^2-'THAM_SO_MOI'!$C$25*(E2655/'THAM_SO_MOI'!$C$22)^3)</f>
        <v>81.49760372052033</v>
      </c>
      <c r="K2655" s="75">
        <f>'THAM_SO_MOI'!$C$31*J2655/E2655</f>
        <v>424.7198086916357</v>
      </c>
      <c r="L2655" s="75">
        <f>K2655*'THAM_SO_MOI'!$C$52*'THAM_SO_MOI'!$C$17/'THAM_SO_MOI'!$C$26</f>
        <v>5947.447855225455</v>
      </c>
      <c r="M2655" s="75">
        <f>'THAM_SO_MOI'!$C$15*'THAM_SO_MOI'!$C$16*F2655^2</f>
        <v>396.9684459160678</v>
      </c>
      <c r="N2655" s="75">
        <f>'THAM_SO_MOI'!$C$12*I2655</f>
        <v>1130.112</v>
      </c>
      <c r="O2655" s="75">
        <f>M2655+N2655</f>
        <v>1527.080445916068</v>
      </c>
      <c r="P2655" s="75">
        <f>(MIN(L2655,'THAM_SO_MOI'!$C$41)-O2655)/('THAM_SO_MOI'!$C$11*H2655)</f>
        <v>0.4888158429039488</v>
      </c>
      <c r="Q2655" s="75">
        <f>IF(P2655&gt;0,1/P2655,NA())</f>
        <v>2.045760207073521</v>
      </c>
      <c r="R2655" s="75">
        <f>F2655-F2654</f>
        <v>0.007943393307218827</v>
      </c>
      <c r="S2655" s="75">
        <f>0.5*(Q2654+Q2655)*R2655</f>
        <v>0.0162503272566435</v>
      </c>
      <c r="T2655" s="75">
        <f>0.5*(F2654*Q2654+F2655*Q2655)*R2655</f>
        <v>0.18924703391292774</v>
      </c>
      <c r="U2655" s="76">
        <f>U2654+S2655</f>
        <v>16.993801922700236</v>
      </c>
      <c r="V2655" s="76">
        <f>V2654+T2655</f>
        <v>118.94680888570923</v>
      </c>
    </row>
    <row r="2656" spans="1:22" ht="19" customHeight="1">
      <c r="A2656" s="68" t="s">
        <v>376</v>
      </c>
      <c r="B2656" s="74">
        <v>4</v>
      </c>
      <c r="C2656" s="68" t="s">
        <v>363</v>
      </c>
      <c r="D2656" s="68" t="s">
        <v>364</v>
      </c>
      <c r="E2656" s="75">
        <f>60*F2656*'THAM_SO_MOI'!$C$52/(2*PI()*'THAM_SO_MOI'!$C$26)</f>
        <v>1833.9676266695208</v>
      </c>
      <c r="F2656" s="75">
        <f>'HANH_TRINH'!$F$2468+('THAM_SO_MOI'!$F$52-'HANH_TRINH'!$F$2468)*187/'THAM_SO_MOI'!$C$42</f>
        <v>11.657651887750044</v>
      </c>
      <c r="G2656" s="75">
        <f>3.6*F2656</f>
        <v>41.967546795900155</v>
      </c>
      <c r="H2656" s="75">
        <f>'THAM_SO_MOI'!$D$52</f>
        <v>1.1774754878398197</v>
      </c>
      <c r="I2656" s="75">
        <f>IF(F2656&gt;'THAM_SO_MOI'!$C$14,'THAM_SO_MOI'!$C$13*(1+F2656^2/1500),'THAM_SO_MOI'!$C$13)</f>
        <v>0.015</v>
      </c>
      <c r="J2656" s="75">
        <f>'THAM_SO_MOI'!$C$40*('THAM_SO_MOI'!$C$23*(E2656/'THAM_SO_MOI'!$C$22)+'THAM_SO_MOI'!$C$24*(E2656/'THAM_SO_MOI'!$C$22)^2-'THAM_SO_MOI'!$C$25*(E2656/'THAM_SO_MOI'!$C$22)^3)</f>
        <v>81.56093257085654</v>
      </c>
      <c r="K2656" s="75">
        <f>'THAM_SO_MOI'!$C$31*J2656/E2656</f>
        <v>424.7602189482263</v>
      </c>
      <c r="L2656" s="75">
        <f>K2656*'THAM_SO_MOI'!$C$52*'THAM_SO_MOI'!$C$17/'THAM_SO_MOI'!$C$26</f>
        <v>5948.013729218074</v>
      </c>
      <c r="M2656" s="75">
        <f>'THAM_SO_MOI'!$C$15*'THAM_SO_MOI'!$C$16*F2656^2</f>
        <v>397.5099790426893</v>
      </c>
      <c r="N2656" s="75">
        <f>'THAM_SO_MOI'!$C$12*I2656</f>
        <v>1130.112</v>
      </c>
      <c r="O2656" s="75">
        <f>M2656+N2656</f>
        <v>1527.6219790426894</v>
      </c>
      <c r="P2656" s="75">
        <f>(MIN(L2656,'THAM_SO_MOI'!$C$41)-O2656)/('THAM_SO_MOI'!$C$11*H2656)</f>
        <v>0.488818534580868</v>
      </c>
      <c r="Q2656" s="75">
        <f>IF(P2656&gt;0,1/P2656,NA())</f>
        <v>2.04574894210474</v>
      </c>
      <c r="R2656" s="75">
        <f>F2656-F2655</f>
        <v>0.007943393307220603</v>
      </c>
      <c r="S2656" s="75">
        <f>0.5*(Q2655+Q2656)*R2656</f>
        <v>0.01625023319600723</v>
      </c>
      <c r="T2656" s="75">
        <f>0.5*(F2655*Q2655+F2656*Q2656)*R2656</f>
        <v>0.18937502051930932</v>
      </c>
      <c r="U2656" s="76">
        <f>U2655+S2656</f>
        <v>17.010052155896243</v>
      </c>
      <c r="V2656" s="76">
        <f>V2655+T2656</f>
        <v>119.13618390622854</v>
      </c>
    </row>
    <row r="2657" spans="1:22" ht="19" customHeight="1">
      <c r="A2657" s="68" t="s">
        <v>376</v>
      </c>
      <c r="B2657" s="74">
        <v>4</v>
      </c>
      <c r="C2657" s="68" t="s">
        <v>363</v>
      </c>
      <c r="D2657" s="68" t="s">
        <v>364</v>
      </c>
      <c r="E2657" s="75">
        <f>60*F2657*'THAM_SO_MOI'!$C$52/(2*PI()*'THAM_SO_MOI'!$C$26)</f>
        <v>1835.2172716504838</v>
      </c>
      <c r="F2657" s="75">
        <f>'HANH_TRINH'!$F$2468+('THAM_SO_MOI'!$F$52-'HANH_TRINH'!$F$2468)*188/'THAM_SO_MOI'!$C$42</f>
        <v>11.665595281057263</v>
      </c>
      <c r="G2657" s="75">
        <f>3.6*F2657</f>
        <v>41.99614301180615</v>
      </c>
      <c r="H2657" s="75">
        <f>'THAM_SO_MOI'!$D$52</f>
        <v>1.1774754878398197</v>
      </c>
      <c r="I2657" s="75">
        <f>IF(F2657&gt;'THAM_SO_MOI'!$C$14,'THAM_SO_MOI'!$C$13*(1+F2657^2/1500),'THAM_SO_MOI'!$C$13)</f>
        <v>0.015</v>
      </c>
      <c r="J2657" s="75">
        <f>'THAM_SO_MOI'!$C$40*('THAM_SO_MOI'!$C$23*(E2657/'THAM_SO_MOI'!$C$22)+'THAM_SO_MOI'!$C$24*(E2657/'THAM_SO_MOI'!$C$22)^2-'THAM_SO_MOI'!$C$25*(E2657/'THAM_SO_MOI'!$C$22)^3)</f>
        <v>81.62424288531746</v>
      </c>
      <c r="K2657" s="75">
        <f>'THAM_SO_MOI'!$C$31*J2657/E2657</f>
        <v>424.80047770508924</v>
      </c>
      <c r="L2657" s="75">
        <f>K2657*'THAM_SO_MOI'!$C$52*'THAM_SO_MOI'!$C$17/'THAM_SO_MOI'!$C$26</f>
        <v>5948.577481725631</v>
      </c>
      <c r="M2657" s="75">
        <f>'THAM_SO_MOI'!$C$15*'THAM_SO_MOI'!$C$16*F2657^2</f>
        <v>398.0518812896695</v>
      </c>
      <c r="N2657" s="75">
        <f>'THAM_SO_MOI'!$C$12*I2657</f>
        <v>1130.112</v>
      </c>
      <c r="O2657" s="75">
        <f>M2657+N2657</f>
        <v>1528.1638812896695</v>
      </c>
      <c r="P2657" s="75">
        <f>(MIN(L2657,'THAM_SO_MOI'!$C$41)-O2657)/('THAM_SO_MOI'!$C$11*H2657)</f>
        <v>0.4888209508400953</v>
      </c>
      <c r="Q2657" s="75">
        <f>IF(P2657&gt;0,1/P2657,NA())</f>
        <v>2.045738829895454</v>
      </c>
      <c r="R2657" s="75">
        <f>F2657-F2656</f>
        <v>0.007943393307218827</v>
      </c>
      <c r="S2657" s="75">
        <f>0.5*(Q2656+Q2657)*R2657</f>
        <v>0.016250148292337008</v>
      </c>
      <c r="T2657" s="75">
        <f>0.5*(F2656*Q2656+F2657*Q2657)*R2657</f>
        <v>0.1895031124164602</v>
      </c>
      <c r="U2657" s="76">
        <f>U2656+S2657</f>
        <v>17.02630230418858</v>
      </c>
      <c r="V2657" s="76">
        <f>V2656+T2657</f>
        <v>119.325687018645</v>
      </c>
    </row>
    <row r="2658" spans="1:22" ht="19" customHeight="1">
      <c r="A2658" s="68" t="s">
        <v>376</v>
      </c>
      <c r="B2658" s="74">
        <v>4</v>
      </c>
      <c r="C2658" s="68" t="s">
        <v>363</v>
      </c>
      <c r="D2658" s="68" t="s">
        <v>364</v>
      </c>
      <c r="E2658" s="75">
        <f>60*F2658*'THAM_SO_MOI'!$C$52/(2*PI()*'THAM_SO_MOI'!$C$26)</f>
        <v>1836.466916631447</v>
      </c>
      <c r="F2658" s="75">
        <f>'HANH_TRINH'!$F$2468+('THAM_SO_MOI'!$F$52-'HANH_TRINH'!$F$2468)*189/'THAM_SO_MOI'!$C$42</f>
        <v>11.673538674364481</v>
      </c>
      <c r="G2658" s="75">
        <f>3.6*F2658</f>
        <v>42.02473922771213</v>
      </c>
      <c r="H2658" s="75">
        <f>'THAM_SO_MOI'!$D$52</f>
        <v>1.1774754878398197</v>
      </c>
      <c r="I2658" s="75">
        <f>IF(F2658&gt;'THAM_SO_MOI'!$C$14,'THAM_SO_MOI'!$C$13*(1+F2658^2/1500),'THAM_SO_MOI'!$C$13)</f>
        <v>0.015</v>
      </c>
      <c r="J2658" s="75">
        <f>'THAM_SO_MOI'!$C$40*('THAM_SO_MOI'!$C$23*(E2658/'THAM_SO_MOI'!$C$22)+'THAM_SO_MOI'!$C$24*(E2658/'THAM_SO_MOI'!$C$22)^2-'THAM_SO_MOI'!$C$25*(E2658/'THAM_SO_MOI'!$C$22)^3)</f>
        <v>81.68753460443745</v>
      </c>
      <c r="K2658" s="75">
        <f>'THAM_SO_MOI'!$C$31*J2658/E2658</f>
        <v>424.8405849622247</v>
      </c>
      <c r="L2658" s="75">
        <f>K2658*'THAM_SO_MOI'!$C$52*'THAM_SO_MOI'!$C$17/'THAM_SO_MOI'!$C$26</f>
        <v>5949.139112748125</v>
      </c>
      <c r="M2658" s="75">
        <f>'THAM_SO_MOI'!$C$15*'THAM_SO_MOI'!$C$16*F2658^2</f>
        <v>398.5941526570085</v>
      </c>
      <c r="N2658" s="75">
        <f>'THAM_SO_MOI'!$C$12*I2658</f>
        <v>1130.112</v>
      </c>
      <c r="O2658" s="75">
        <f>M2658+N2658</f>
        <v>1528.7061526570087</v>
      </c>
      <c r="P2658" s="75">
        <f>(MIN(L2658,'THAM_SO_MOI'!$C$41)-O2658)/('THAM_SO_MOI'!$C$11*H2658)</f>
        <v>0.4888230916816311</v>
      </c>
      <c r="Q2658" s="75">
        <f>IF(P2658&gt;0,1/P2658,NA())</f>
        <v>2.0457298704114755</v>
      </c>
      <c r="R2658" s="75">
        <f>F2658-F2657</f>
        <v>0.007943393307218827</v>
      </c>
      <c r="S2658" s="75">
        <f>0.5*(Q2657+Q2658)*R2658</f>
        <v>0.016250072545356688</v>
      </c>
      <c r="T2658" s="75">
        <f>0.5*(F2657*Q2657+F2658*Q2658)*R2658</f>
        <v>0.1896313098193702</v>
      </c>
      <c r="U2658" s="76">
        <f>U2657+S2658</f>
        <v>17.042552376733937</v>
      </c>
      <c r="V2658" s="76">
        <f>V2657+T2658</f>
        <v>119.51531832846437</v>
      </c>
    </row>
    <row r="2659" spans="1:22" ht="19" customHeight="1">
      <c r="A2659" s="68" t="s">
        <v>376</v>
      </c>
      <c r="B2659" s="74">
        <v>4</v>
      </c>
      <c r="C2659" s="68" t="s">
        <v>363</v>
      </c>
      <c r="D2659" s="68" t="s">
        <v>364</v>
      </c>
      <c r="E2659" s="75">
        <f>60*F2659*'THAM_SO_MOI'!$C$52/(2*PI()*'THAM_SO_MOI'!$C$26)</f>
        <v>1837.7165616124105</v>
      </c>
      <c r="F2659" s="75">
        <f>'HANH_TRINH'!$F$2468+('THAM_SO_MOI'!$F$52-'HANH_TRINH'!$F$2468)*190/'THAM_SO_MOI'!$C$42</f>
        <v>11.681482067671702</v>
      </c>
      <c r="G2659" s="75">
        <f>3.6*F2659</f>
        <v>42.05333544361813</v>
      </c>
      <c r="H2659" s="75">
        <f>'THAM_SO_MOI'!$D$52</f>
        <v>1.1774754878398197</v>
      </c>
      <c r="I2659" s="75">
        <f>IF(F2659&gt;'THAM_SO_MOI'!$C$14,'THAM_SO_MOI'!$C$13*(1+F2659^2/1500),'THAM_SO_MOI'!$C$13)</f>
        <v>0.015</v>
      </c>
      <c r="J2659" s="75">
        <f>'THAM_SO_MOI'!$C$40*('THAM_SO_MOI'!$C$23*(E2659/'THAM_SO_MOI'!$C$22)+'THAM_SO_MOI'!$C$24*(E2659/'THAM_SO_MOI'!$C$22)^2-'THAM_SO_MOI'!$C$25*(E2659/'THAM_SO_MOI'!$C$22)^3)</f>
        <v>81.75080766875085</v>
      </c>
      <c r="K2659" s="75">
        <f>'THAM_SO_MOI'!$C$31*J2659/E2659</f>
        <v>424.8805407196328</v>
      </c>
      <c r="L2659" s="75">
        <f>K2659*'THAM_SO_MOI'!$C$52*'THAM_SO_MOI'!$C$17/'THAM_SO_MOI'!$C$26</f>
        <v>5949.69862228556</v>
      </c>
      <c r="M2659" s="75">
        <f>'THAM_SO_MOI'!$C$15*'THAM_SO_MOI'!$C$16*F2659^2</f>
        <v>399.13679314470653</v>
      </c>
      <c r="N2659" s="75">
        <f>'THAM_SO_MOI'!$C$12*I2659</f>
        <v>1130.112</v>
      </c>
      <c r="O2659" s="75">
        <f>M2659+N2659</f>
        <v>1529.2487931447067</v>
      </c>
      <c r="P2659" s="75">
        <f>(MIN(L2659,'THAM_SO_MOI'!$C$41)-O2659)/('THAM_SO_MOI'!$C$11*H2659)</f>
        <v>0.48882495710547547</v>
      </c>
      <c r="Q2659" s="75">
        <f>IF(P2659&gt;0,1/P2659,NA())</f>
        <v>2.0457220636225135</v>
      </c>
      <c r="R2659" s="75">
        <f>F2659-F2658</f>
        <v>0.007943393307220603</v>
      </c>
      <c r="S2659" s="75">
        <f>0.5*(Q2658+Q2659)*R2659</f>
        <v>0.01625000595481019</v>
      </c>
      <c r="T2659" s="75">
        <f>0.5*(F2658*Q2658+F2659*Q2659)*R2659</f>
        <v>0.18975961294325455</v>
      </c>
      <c r="U2659" s="76">
        <f>U2658+S2659</f>
        <v>17.058802382688746</v>
      </c>
      <c r="V2659" s="76">
        <f>V2658+T2659</f>
        <v>119.70507794140762</v>
      </c>
    </row>
    <row r="2660" spans="1:22" ht="19" customHeight="1">
      <c r="A2660" s="68" t="s">
        <v>376</v>
      </c>
      <c r="B2660" s="74">
        <v>4</v>
      </c>
      <c r="C2660" s="68" t="s">
        <v>363</v>
      </c>
      <c r="D2660" s="68" t="s">
        <v>364</v>
      </c>
      <c r="E2660" s="75">
        <f>60*F2660*'THAM_SO_MOI'!$C$52/(2*PI()*'THAM_SO_MOI'!$C$26)</f>
        <v>1838.9662065933737</v>
      </c>
      <c r="F2660" s="75">
        <f>'HANH_TRINH'!$F$2468+('THAM_SO_MOI'!$F$52-'HANH_TRINH'!$F$2468)*191/'THAM_SO_MOI'!$C$42</f>
        <v>11.68942546097892</v>
      </c>
      <c r="G2660" s="75">
        <f>3.6*F2660</f>
        <v>42.081931659524116</v>
      </c>
      <c r="H2660" s="75">
        <f>'THAM_SO_MOI'!$D$52</f>
        <v>1.1774754878398197</v>
      </c>
      <c r="I2660" s="75">
        <f>IF(F2660&gt;'THAM_SO_MOI'!$C$14,'THAM_SO_MOI'!$C$13*(1+F2660^2/1500),'THAM_SO_MOI'!$C$13)</f>
        <v>0.015</v>
      </c>
      <c r="J2660" s="75">
        <f>'THAM_SO_MOI'!$C$40*('THAM_SO_MOI'!$C$23*(E2660/'THAM_SO_MOI'!$C$22)+'THAM_SO_MOI'!$C$24*(E2660/'THAM_SO_MOI'!$C$22)^2-'THAM_SO_MOI'!$C$25*(E2660/'THAM_SO_MOI'!$C$22)^3)</f>
        <v>81.81406201879196</v>
      </c>
      <c r="K2660" s="75">
        <f>'THAM_SO_MOI'!$C$31*J2660/E2660</f>
        <v>424.92034497731333</v>
      </c>
      <c r="L2660" s="75">
        <f>K2660*'THAM_SO_MOI'!$C$52*'THAM_SO_MOI'!$C$17/'THAM_SO_MOI'!$C$26</f>
        <v>5950.256010337934</v>
      </c>
      <c r="M2660" s="75">
        <f>'THAM_SO_MOI'!$C$15*'THAM_SO_MOI'!$C$16*F2660^2</f>
        <v>399.6798027527631</v>
      </c>
      <c r="N2660" s="75">
        <f>'THAM_SO_MOI'!$C$12*I2660</f>
        <v>1130.112</v>
      </c>
      <c r="O2660" s="75">
        <f>M2660+N2660</f>
        <v>1529.7918027527633</v>
      </c>
      <c r="P2660" s="75">
        <f>(MIN(L2660,'THAM_SO_MOI'!$C$41)-O2660)/('THAM_SO_MOI'!$C$11*H2660)</f>
        <v>0.4888265471116283</v>
      </c>
      <c r="Q2660" s="75">
        <f>IF(P2660&gt;0,1/P2660,NA())</f>
        <v>2.045715409502177</v>
      </c>
      <c r="R2660" s="75">
        <f>F2660-F2659</f>
        <v>0.007943393307218827</v>
      </c>
      <c r="S2660" s="75">
        <f>0.5*(Q2659+Q2660)*R2660</f>
        <v>0.016249948520461487</v>
      </c>
      <c r="T2660" s="75">
        <f>0.5*(F2659*Q2659+F2660*Q2660)*R2660</f>
        <v>0.18988802200355462</v>
      </c>
      <c r="U2660" s="76">
        <f>U2659+S2660</f>
        <v>17.075052331209207</v>
      </c>
      <c r="V2660" s="76">
        <f>V2659+T2660</f>
        <v>119.89496596341118</v>
      </c>
    </row>
    <row r="2661" spans="1:22" ht="19" customHeight="1">
      <c r="A2661" s="68" t="s">
        <v>376</v>
      </c>
      <c r="B2661" s="74">
        <v>4</v>
      </c>
      <c r="C2661" s="68" t="s">
        <v>363</v>
      </c>
      <c r="D2661" s="68" t="s">
        <v>364</v>
      </c>
      <c r="E2661" s="75">
        <f>60*F2661*'THAM_SO_MOI'!$C$52/(2*PI()*'THAM_SO_MOI'!$C$26)</f>
        <v>1840.215851574337</v>
      </c>
      <c r="F2661" s="75">
        <f>'HANH_TRINH'!$F$2468+('THAM_SO_MOI'!$F$52-'HANH_TRINH'!$F$2468)*192/'THAM_SO_MOI'!$C$42</f>
        <v>11.69736885428614</v>
      </c>
      <c r="G2661" s="75">
        <f>3.6*F2661</f>
        <v>42.1105278754301</v>
      </c>
      <c r="H2661" s="75">
        <f>'THAM_SO_MOI'!$D$52</f>
        <v>1.1774754878398197</v>
      </c>
      <c r="I2661" s="75">
        <f>IF(F2661&gt;'THAM_SO_MOI'!$C$14,'THAM_SO_MOI'!$C$13*(1+F2661^2/1500),'THAM_SO_MOI'!$C$13)</f>
        <v>0.015</v>
      </c>
      <c r="J2661" s="75">
        <f>'THAM_SO_MOI'!$C$40*('THAM_SO_MOI'!$C$23*(E2661/'THAM_SO_MOI'!$C$22)+'THAM_SO_MOI'!$C$24*(E2661/'THAM_SO_MOI'!$C$22)^2-'THAM_SO_MOI'!$C$25*(E2661/'THAM_SO_MOI'!$C$22)^3)</f>
        <v>81.87729759509509</v>
      </c>
      <c r="K2661" s="75">
        <f>'THAM_SO_MOI'!$C$31*J2661/E2661</f>
        <v>424.9599977352665</v>
      </c>
      <c r="L2661" s="75">
        <f>K2661*'THAM_SO_MOI'!$C$52*'THAM_SO_MOI'!$C$17/'THAM_SO_MOI'!$C$26</f>
        <v>5950.811276905247</v>
      </c>
      <c r="M2661" s="75">
        <f>'THAM_SO_MOI'!$C$15*'THAM_SO_MOI'!$C$16*F2661^2</f>
        <v>400.2231814811786</v>
      </c>
      <c r="N2661" s="75">
        <f>'THAM_SO_MOI'!$C$12*I2661</f>
        <v>1130.112</v>
      </c>
      <c r="O2661" s="75">
        <f>M2661+N2661</f>
        <v>1530.3351814811786</v>
      </c>
      <c r="P2661" s="75">
        <f>(MIN(L2661,'THAM_SO_MOI'!$C$41)-O2661)/('THAM_SO_MOI'!$C$11*H2661)</f>
        <v>0.4888278617000896</v>
      </c>
      <c r="Q2661" s="75">
        <f>IF(P2661&gt;0,1/P2661,NA())</f>
        <v>2.045709908027971</v>
      </c>
      <c r="R2661" s="75">
        <f>F2661-F2660</f>
        <v>0.007943393307218827</v>
      </c>
      <c r="S2661" s="75">
        <f>0.5*(Q2660+Q2661)*R2661</f>
        <v>0.01624990024212732</v>
      </c>
      <c r="T2661" s="75">
        <f>0.5*(F2660*Q2660+F2661*Q2661)*R2661</f>
        <v>0.19001653721632145</v>
      </c>
      <c r="U2661" s="76">
        <f>U2660+S2661</f>
        <v>17.091302231451333</v>
      </c>
      <c r="V2661" s="76">
        <f>V2660+T2661</f>
        <v>120.0849825006275</v>
      </c>
    </row>
    <row r="2662" spans="1:22" ht="19" customHeight="1">
      <c r="A2662" s="68" t="s">
        <v>376</v>
      </c>
      <c r="B2662" s="74">
        <v>4</v>
      </c>
      <c r="C2662" s="68" t="s">
        <v>363</v>
      </c>
      <c r="D2662" s="68" t="s">
        <v>364</v>
      </c>
      <c r="E2662" s="75">
        <f>60*F2662*'THAM_SO_MOI'!$C$52/(2*PI()*'THAM_SO_MOI'!$C$26)</f>
        <v>1841.4654965553004</v>
      </c>
      <c r="F2662" s="75">
        <f>'HANH_TRINH'!$F$2468+('THAM_SO_MOI'!$F$52-'HANH_TRINH'!$F$2468)*193/'THAM_SO_MOI'!$C$42</f>
        <v>11.70531224759336</v>
      </c>
      <c r="G2662" s="75">
        <f>3.6*F2662</f>
        <v>42.1391240913361</v>
      </c>
      <c r="H2662" s="75">
        <f>'THAM_SO_MOI'!$D$52</f>
        <v>1.1774754878398197</v>
      </c>
      <c r="I2662" s="75">
        <f>IF(F2662&gt;'THAM_SO_MOI'!$C$14,'THAM_SO_MOI'!$C$13*(1+F2662^2/1500),'THAM_SO_MOI'!$C$13)</f>
        <v>0.015</v>
      </c>
      <c r="J2662" s="75">
        <f>'THAM_SO_MOI'!$C$40*('THAM_SO_MOI'!$C$23*(E2662/'THAM_SO_MOI'!$C$22)+'THAM_SO_MOI'!$C$24*(E2662/'THAM_SO_MOI'!$C$22)^2-'THAM_SO_MOI'!$C$25*(E2662/'THAM_SO_MOI'!$C$22)^3)</f>
        <v>81.94051433819456</v>
      </c>
      <c r="K2662" s="75">
        <f>'THAM_SO_MOI'!$C$31*J2662/E2662</f>
        <v>424.9994989934921</v>
      </c>
      <c r="L2662" s="75">
        <f>K2662*'THAM_SO_MOI'!$C$52*'THAM_SO_MOI'!$C$17/'THAM_SO_MOI'!$C$26</f>
        <v>5951.364421987499</v>
      </c>
      <c r="M2662" s="75">
        <f>'THAM_SO_MOI'!$C$15*'THAM_SO_MOI'!$C$16*F2662^2</f>
        <v>400.76692932995303</v>
      </c>
      <c r="N2662" s="75">
        <f>'THAM_SO_MOI'!$C$12*I2662</f>
        <v>1130.112</v>
      </c>
      <c r="O2662" s="75">
        <f>M2662+N2662</f>
        <v>1530.878929329953</v>
      </c>
      <c r="P2662" s="75">
        <f>(MIN(L2662,'THAM_SO_MOI'!$C$41)-O2662)/('THAM_SO_MOI'!$C$11*H2662)</f>
        <v>0.48882890087085934</v>
      </c>
      <c r="Q2662" s="75">
        <f>IF(P2662&gt;0,1/P2662,NA())</f>
        <v>2.0457055591812967</v>
      </c>
      <c r="R2662" s="75">
        <f>F2662-F2661</f>
        <v>0.007943393307220603</v>
      </c>
      <c r="S2662" s="75">
        <f>0.5*(Q2661+Q2662)*R2662</f>
        <v>0.01624986111964448</v>
      </c>
      <c r="T2662" s="75">
        <f>0.5*(F2661*Q2661+F2662*Q2662)*R2662</f>
        <v>0.19014515879783478</v>
      </c>
      <c r="U2662" s="76">
        <f>U2661+S2662</f>
        <v>17.107552092570977</v>
      </c>
      <c r="V2662" s="76">
        <f>V2661+T2662</f>
        <v>120.27512765942534</v>
      </c>
    </row>
    <row r="2663" spans="1:22" ht="19" customHeight="1">
      <c r="A2663" s="68" t="s">
        <v>376</v>
      </c>
      <c r="B2663" s="74">
        <v>4</v>
      </c>
      <c r="C2663" s="68" t="s">
        <v>363</v>
      </c>
      <c r="D2663" s="68" t="s">
        <v>364</v>
      </c>
      <c r="E2663" s="75">
        <f>60*F2663*'THAM_SO_MOI'!$C$52/(2*PI()*'THAM_SO_MOI'!$C$26)</f>
        <v>1842.7151415362637</v>
      </c>
      <c r="F2663" s="75">
        <f>'HANH_TRINH'!$F$2468+('THAM_SO_MOI'!$F$52-'HANH_TRINH'!$F$2468)*194/'THAM_SO_MOI'!$C$42</f>
        <v>11.713255640900579</v>
      </c>
      <c r="G2663" s="75">
        <f>3.6*F2663</f>
        <v>42.167720307242085</v>
      </c>
      <c r="H2663" s="75">
        <f>'THAM_SO_MOI'!$D$52</f>
        <v>1.1774754878398197</v>
      </c>
      <c r="I2663" s="75">
        <f>IF(F2663&gt;'THAM_SO_MOI'!$C$14,'THAM_SO_MOI'!$C$13*(1+F2663^2/1500),'THAM_SO_MOI'!$C$13)</f>
        <v>0.015</v>
      </c>
      <c r="J2663" s="75">
        <f>'THAM_SO_MOI'!$C$40*('THAM_SO_MOI'!$C$23*(E2663/'THAM_SO_MOI'!$C$22)+'THAM_SO_MOI'!$C$24*(E2663/'THAM_SO_MOI'!$C$22)^2-'THAM_SO_MOI'!$C$25*(E2663/'THAM_SO_MOI'!$C$22)^3)</f>
        <v>82.00371218862466</v>
      </c>
      <c r="K2663" s="75">
        <f>'THAM_SO_MOI'!$C$31*J2663/E2663</f>
        <v>425.03884875199026</v>
      </c>
      <c r="L2663" s="75">
        <f>K2663*'THAM_SO_MOI'!$C$52*'THAM_SO_MOI'!$C$17/'THAM_SO_MOI'!$C$26</f>
        <v>5951.91544558469</v>
      </c>
      <c r="M2663" s="75">
        <f>'THAM_SO_MOI'!$C$15*'THAM_SO_MOI'!$C$16*F2663^2</f>
        <v>401.311046299086</v>
      </c>
      <c r="N2663" s="75">
        <f>'THAM_SO_MOI'!$C$12*I2663</f>
        <v>1130.112</v>
      </c>
      <c r="O2663" s="75">
        <f>M2663+N2663</f>
        <v>1531.423046299086</v>
      </c>
      <c r="P2663" s="75">
        <f>(MIN(L2663,'THAM_SO_MOI'!$C$41)-O2663)/('THAM_SO_MOI'!$C$11*H2663)</f>
        <v>0.4888296646239376</v>
      </c>
      <c r="Q2663" s="75">
        <f>IF(P2663&gt;0,1/P2663,NA())</f>
        <v>2.0457023629474524</v>
      </c>
      <c r="R2663" s="75">
        <f>F2663-F2662</f>
        <v>0.007943393307218827</v>
      </c>
      <c r="S2663" s="75">
        <f>0.5*(Q2662+Q2663)*R2663</f>
        <v>0.016249831152869796</v>
      </c>
      <c r="T2663" s="75">
        <f>0.5*(F2662*Q2662+F2663*Q2663)*R2663</f>
        <v>0.19027388696460393</v>
      </c>
      <c r="U2663" s="76">
        <f>U2662+S2663</f>
        <v>17.123801923723846</v>
      </c>
      <c r="V2663" s="76">
        <f>V2662+T2663</f>
        <v>120.46540154638994</v>
      </c>
    </row>
    <row r="2664" spans="1:22" ht="19" customHeight="1">
      <c r="A2664" s="68" t="s">
        <v>376</v>
      </c>
      <c r="B2664" s="74">
        <v>4</v>
      </c>
      <c r="C2664" s="68" t="s">
        <v>363</v>
      </c>
      <c r="D2664" s="68" t="s">
        <v>364</v>
      </c>
      <c r="E2664" s="75">
        <f>60*F2664*'THAM_SO_MOI'!$C$52/(2*PI()*'THAM_SO_MOI'!$C$26)</f>
        <v>1843.9647865172267</v>
      </c>
      <c r="F2664" s="75">
        <f>'HANH_TRINH'!$F$2468+('THAM_SO_MOI'!$F$52-'HANH_TRINH'!$F$2468)*195/'THAM_SO_MOI'!$C$42</f>
        <v>11.7211990342078</v>
      </c>
      <c r="G2664" s="75">
        <f>3.6*F2664</f>
        <v>42.19631652314808</v>
      </c>
      <c r="H2664" s="75">
        <f>'THAM_SO_MOI'!$D$52</f>
        <v>1.1774754878398197</v>
      </c>
      <c r="I2664" s="75">
        <f>IF(F2664&gt;'THAM_SO_MOI'!$C$14,'THAM_SO_MOI'!$C$13*(1+F2664^2/1500),'THAM_SO_MOI'!$C$13)</f>
        <v>0.015</v>
      </c>
      <c r="J2664" s="75">
        <f>'THAM_SO_MOI'!$C$40*('THAM_SO_MOI'!$C$23*(E2664/'THAM_SO_MOI'!$C$22)+'THAM_SO_MOI'!$C$24*(E2664/'THAM_SO_MOI'!$C$22)^2-'THAM_SO_MOI'!$C$25*(E2664/'THAM_SO_MOI'!$C$22)^3)</f>
        <v>82.06689108691971</v>
      </c>
      <c r="K2664" s="75">
        <f>'THAM_SO_MOI'!$C$31*J2664/E2664</f>
        <v>425.07804701076094</v>
      </c>
      <c r="L2664" s="75">
        <f>K2664*'THAM_SO_MOI'!$C$52*'THAM_SO_MOI'!$C$17/'THAM_SO_MOI'!$C$26</f>
        <v>5952.4643476968195</v>
      </c>
      <c r="M2664" s="75">
        <f>'THAM_SO_MOI'!$C$15*'THAM_SO_MOI'!$C$16*F2664^2</f>
        <v>401.85553238857807</v>
      </c>
      <c r="N2664" s="75">
        <f>'THAM_SO_MOI'!$C$12*I2664</f>
        <v>1130.112</v>
      </c>
      <c r="O2664" s="75">
        <f>M2664+N2664</f>
        <v>1531.967532388578</v>
      </c>
      <c r="P2664" s="75">
        <f>(MIN(L2664,'THAM_SO_MOI'!$C$41)-O2664)/('THAM_SO_MOI'!$C$11*H2664)</f>
        <v>0.4888301529593242</v>
      </c>
      <c r="Q2664" s="75">
        <f>IF(P2664&gt;0,1/P2664,NA())</f>
        <v>2.0457003193156345</v>
      </c>
      <c r="R2664" s="75">
        <f>F2664-F2663</f>
        <v>0.007943393307220603</v>
      </c>
      <c r="S2664" s="75">
        <f>0.5*(Q2663+Q2664)*R2664</f>
        <v>0.016249810341716516</v>
      </c>
      <c r="T2664" s="75">
        <f>0.5*(F2663*Q2663+F2664*Q2664)*R2664</f>
        <v>0.1904027219337945</v>
      </c>
      <c r="U2664" s="76">
        <f>U2663+S2664</f>
        <v>17.140051734065562</v>
      </c>
      <c r="V2664" s="76">
        <f>V2663+T2664</f>
        <v>120.65580426832373</v>
      </c>
    </row>
    <row r="2665" spans="1:22" ht="19" customHeight="1">
      <c r="A2665" s="68" t="s">
        <v>376</v>
      </c>
      <c r="B2665" s="74">
        <v>4</v>
      </c>
      <c r="C2665" s="68" t="s">
        <v>363</v>
      </c>
      <c r="D2665" s="68" t="s">
        <v>364</v>
      </c>
      <c r="E2665" s="75">
        <f>60*F2665*'THAM_SO_MOI'!$C$52/(2*PI()*'THAM_SO_MOI'!$C$26)</f>
        <v>1845.21443149819</v>
      </c>
      <c r="F2665" s="75">
        <f>'HANH_TRINH'!$F$2468+('THAM_SO_MOI'!$F$52-'HANH_TRINH'!$F$2468)*196/'THAM_SO_MOI'!$C$42</f>
        <v>11.729142427515018</v>
      </c>
      <c r="G2665" s="75">
        <f>3.6*F2665</f>
        <v>42.22491273905407</v>
      </c>
      <c r="H2665" s="75">
        <f>'THAM_SO_MOI'!$D$52</f>
        <v>1.1774754878398197</v>
      </c>
      <c r="I2665" s="75">
        <f>IF(F2665&gt;'THAM_SO_MOI'!$C$14,'THAM_SO_MOI'!$C$13*(1+F2665^2/1500),'THAM_SO_MOI'!$C$13)</f>
        <v>0.015</v>
      </c>
      <c r="J2665" s="75">
        <f>'THAM_SO_MOI'!$C$40*('THAM_SO_MOI'!$C$23*(E2665/'THAM_SO_MOI'!$C$22)+'THAM_SO_MOI'!$C$24*(E2665/'THAM_SO_MOI'!$C$22)^2-'THAM_SO_MOI'!$C$25*(E2665/'THAM_SO_MOI'!$C$22)^3)</f>
        <v>82.13005097361405</v>
      </c>
      <c r="K2665" s="75">
        <f>'THAM_SO_MOI'!$C$31*J2665/E2665</f>
        <v>425.1170937698041</v>
      </c>
      <c r="L2665" s="75">
        <f>K2665*'THAM_SO_MOI'!$C$52*'THAM_SO_MOI'!$C$17/'THAM_SO_MOI'!$C$26</f>
        <v>5953.011128323888</v>
      </c>
      <c r="M2665" s="75">
        <f>'THAM_SO_MOI'!$C$15*'THAM_SO_MOI'!$C$16*F2665^2</f>
        <v>402.4003875984288</v>
      </c>
      <c r="N2665" s="75">
        <f>'THAM_SO_MOI'!$C$12*I2665</f>
        <v>1130.112</v>
      </c>
      <c r="O2665" s="75">
        <f>M2665+N2665</f>
        <v>1532.5123875984289</v>
      </c>
      <c r="P2665" s="75">
        <f>(MIN(L2665,'THAM_SO_MOI'!$C$41)-O2665)/('THAM_SO_MOI'!$C$11*H2665)</f>
        <v>0.48883036587701933</v>
      </c>
      <c r="Q2665" s="75">
        <f>IF(P2665&gt;0,1/P2665,NA())</f>
        <v>2.0456994282789327</v>
      </c>
      <c r="R2665" s="75">
        <f>F2665-F2664</f>
        <v>0.007943393307218827</v>
      </c>
      <c r="S2665" s="75">
        <f>0.5*(Q2664+Q2665)*R2665</f>
        <v>0.01624979868609974</v>
      </c>
      <c r="T2665" s="75">
        <f>0.5*(F2664*Q2664+F2665*Q2665)*R2665</f>
        <v>0.19053166392259133</v>
      </c>
      <c r="U2665" s="76">
        <f>U2664+S2665</f>
        <v>17.156301532751662</v>
      </c>
      <c r="V2665" s="76">
        <f>V2664+T2665</f>
        <v>120.84633593224632</v>
      </c>
    </row>
    <row r="2666" spans="1:22" ht="19" customHeight="1">
      <c r="A2666" s="68" t="s">
        <v>376</v>
      </c>
      <c r="B2666" s="74">
        <v>4</v>
      </c>
      <c r="C2666" s="68" t="s">
        <v>363</v>
      </c>
      <c r="D2666" s="68" t="s">
        <v>364</v>
      </c>
      <c r="E2666" s="75">
        <f>60*F2666*'THAM_SO_MOI'!$C$52/(2*PI()*'THAM_SO_MOI'!$C$26)</f>
        <v>1846.4640764791532</v>
      </c>
      <c r="F2666" s="75">
        <f>'HANH_TRINH'!$F$2468+('THAM_SO_MOI'!$F$52-'HANH_TRINH'!$F$2468)*197/'THAM_SO_MOI'!$C$42</f>
        <v>11.737085820822237</v>
      </c>
      <c r="G2666" s="75">
        <f>3.6*F2666</f>
        <v>42.253508954960054</v>
      </c>
      <c r="H2666" s="75">
        <f>'THAM_SO_MOI'!$D$52</f>
        <v>1.1774754878398197</v>
      </c>
      <c r="I2666" s="75">
        <f>IF(F2666&gt;'THAM_SO_MOI'!$C$14,'THAM_SO_MOI'!$C$13*(1+F2666^2/1500),'THAM_SO_MOI'!$C$13)</f>
        <v>0.015</v>
      </c>
      <c r="J2666" s="75">
        <f>'THAM_SO_MOI'!$C$40*('THAM_SO_MOI'!$C$23*(E2666/'THAM_SO_MOI'!$C$22)+'THAM_SO_MOI'!$C$24*(E2666/'THAM_SO_MOI'!$C$22)^2-'THAM_SO_MOI'!$C$25*(E2666/'THAM_SO_MOI'!$C$22)^3)</f>
        <v>82.19319178924198</v>
      </c>
      <c r="K2666" s="75">
        <f>'THAM_SO_MOI'!$C$31*J2666/E2666</f>
        <v>425.1559890291199</v>
      </c>
      <c r="L2666" s="75">
        <f>K2666*'THAM_SO_MOI'!$C$52*'THAM_SO_MOI'!$C$17/'THAM_SO_MOI'!$C$26</f>
        <v>5953.555787465897</v>
      </c>
      <c r="M2666" s="75">
        <f>'THAM_SO_MOI'!$C$15*'THAM_SO_MOI'!$C$16*F2666^2</f>
        <v>402.94561192863824</v>
      </c>
      <c r="N2666" s="75">
        <f>'THAM_SO_MOI'!$C$12*I2666</f>
        <v>1130.112</v>
      </c>
      <c r="O2666" s="75">
        <f>M2666+N2666</f>
        <v>1533.0576119286384</v>
      </c>
      <c r="P2666" s="75">
        <f>(MIN(L2666,'THAM_SO_MOI'!$C$41)-O2666)/('THAM_SO_MOI'!$C$11*H2666)</f>
        <v>0.4888303033770231</v>
      </c>
      <c r="Q2666" s="75">
        <f>IF(P2666&gt;0,1/P2666,NA())</f>
        <v>2.045699689834335</v>
      </c>
      <c r="R2666" s="75">
        <f>F2666-F2665</f>
        <v>0.007943393307218827</v>
      </c>
      <c r="S2666" s="75">
        <f>0.5*(Q2665+Q2666)*R2666</f>
        <v>0.01624979618599097</v>
      </c>
      <c r="T2666" s="75">
        <f>0.5*(F2665*Q2665+F2666*Q2666)*R2666</f>
        <v>0.19066071314883803</v>
      </c>
      <c r="U2666" s="76">
        <f>U2665+S2666</f>
        <v>17.172551328937654</v>
      </c>
      <c r="V2666" s="76">
        <f>V2665+T2666</f>
        <v>121.03699664539516</v>
      </c>
    </row>
    <row r="2667" spans="1:22" ht="19" customHeight="1">
      <c r="A2667" s="68" t="s">
        <v>376</v>
      </c>
      <c r="B2667" s="74">
        <v>4</v>
      </c>
      <c r="C2667" s="68" t="s">
        <v>363</v>
      </c>
      <c r="D2667" s="68" t="s">
        <v>364</v>
      </c>
      <c r="E2667" s="75">
        <f>60*F2667*'THAM_SO_MOI'!$C$52/(2*PI()*'THAM_SO_MOI'!$C$26)</f>
        <v>1847.7137214601164</v>
      </c>
      <c r="F2667" s="75">
        <f>'HANH_TRINH'!$F$2468+('THAM_SO_MOI'!$F$52-'HANH_TRINH'!$F$2468)*198/'THAM_SO_MOI'!$C$42</f>
        <v>11.745029214129456</v>
      </c>
      <c r="G2667" s="75">
        <f>3.6*F2667</f>
        <v>42.282105170866046</v>
      </c>
      <c r="H2667" s="75">
        <f>'THAM_SO_MOI'!$D$52</f>
        <v>1.1774754878398197</v>
      </c>
      <c r="I2667" s="75">
        <f>IF(F2667&gt;'THAM_SO_MOI'!$C$14,'THAM_SO_MOI'!$C$13*(1+F2667^2/1500),'THAM_SO_MOI'!$C$13)</f>
        <v>0.015</v>
      </c>
      <c r="J2667" s="75">
        <f>'THAM_SO_MOI'!$C$40*('THAM_SO_MOI'!$C$23*(E2667/'THAM_SO_MOI'!$C$22)+'THAM_SO_MOI'!$C$24*(E2667/'THAM_SO_MOI'!$C$22)^2-'THAM_SO_MOI'!$C$25*(E2667/'THAM_SO_MOI'!$C$22)^3)</f>
        <v>82.25631347433779</v>
      </c>
      <c r="K2667" s="75">
        <f>'THAM_SO_MOI'!$C$31*J2667/E2667</f>
        <v>425.1947327887081</v>
      </c>
      <c r="L2667" s="75">
        <f>K2667*'THAM_SO_MOI'!$C$52*'THAM_SO_MOI'!$C$17/'THAM_SO_MOI'!$C$26</f>
        <v>5954.098325122844</v>
      </c>
      <c r="M2667" s="75">
        <f>'THAM_SO_MOI'!$C$15*'THAM_SO_MOI'!$C$16*F2667^2</f>
        <v>403.49120537920663</v>
      </c>
      <c r="N2667" s="75">
        <f>'THAM_SO_MOI'!$C$12*I2667</f>
        <v>1130.112</v>
      </c>
      <c r="O2667" s="75">
        <f>M2667+N2667</f>
        <v>1533.6032053792067</v>
      </c>
      <c r="P2667" s="75">
        <f>(MIN(L2667,'THAM_SO_MOI'!$C$41)-O2667)/('THAM_SO_MOI'!$C$11*H2667)</f>
        <v>0.48882996545933505</v>
      </c>
      <c r="Q2667" s="75">
        <f>IF(P2667&gt;0,1/P2667,NA())</f>
        <v>2.045701103982727</v>
      </c>
      <c r="R2667" s="75">
        <f>F2667-F2666</f>
        <v>0.007943393307218827</v>
      </c>
      <c r="S2667" s="75">
        <f>0.5*(Q2666+Q2667)*R2667</f>
        <v>0.016249802841378124</v>
      </c>
      <c r="T2667" s="75">
        <f>0.5*(F2666*Q2666+F2667*Q2667)*R2667</f>
        <v>0.19078986983057028</v>
      </c>
      <c r="U2667" s="76">
        <f>U2666+S2667</f>
        <v>17.188801131779034</v>
      </c>
      <c r="V2667" s="76">
        <f>V2666+T2667</f>
        <v>121.22778651522573</v>
      </c>
    </row>
    <row r="2668" spans="1:22" ht="19" customHeight="1">
      <c r="A2668" s="68" t="s">
        <v>376</v>
      </c>
      <c r="B2668" s="74">
        <v>4</v>
      </c>
      <c r="C2668" s="68" t="s">
        <v>363</v>
      </c>
      <c r="D2668" s="68" t="s">
        <v>364</v>
      </c>
      <c r="E2668" s="75">
        <f>60*F2668*'THAM_SO_MOI'!$C$52/(2*PI()*'THAM_SO_MOI'!$C$26)</f>
        <v>1848.9633664410799</v>
      </c>
      <c r="F2668" s="75">
        <f>'HANH_TRINH'!$F$2468+('THAM_SO_MOI'!$F$52-'HANH_TRINH'!$F$2468)*199/'THAM_SO_MOI'!$C$42</f>
        <v>11.752972607436677</v>
      </c>
      <c r="G2668" s="75">
        <f>3.6*F2668</f>
        <v>42.31070138677204</v>
      </c>
      <c r="H2668" s="75">
        <f>'THAM_SO_MOI'!$D$52</f>
        <v>1.1774754878398197</v>
      </c>
      <c r="I2668" s="75">
        <f>IF(F2668&gt;'THAM_SO_MOI'!$C$14,'THAM_SO_MOI'!$C$13*(1+F2668^2/1500),'THAM_SO_MOI'!$C$13)</f>
        <v>0.015</v>
      </c>
      <c r="J2668" s="75">
        <f>'THAM_SO_MOI'!$C$40*('THAM_SO_MOI'!$C$23*(E2668/'THAM_SO_MOI'!$C$22)+'THAM_SO_MOI'!$C$24*(E2668/'THAM_SO_MOI'!$C$22)^2-'THAM_SO_MOI'!$C$25*(E2668/'THAM_SO_MOI'!$C$22)^3)</f>
        <v>82.31941596943585</v>
      </c>
      <c r="K2668" s="75">
        <f>'THAM_SO_MOI'!$C$31*J2668/E2668</f>
        <v>425.23332504856893</v>
      </c>
      <c r="L2668" s="75">
        <f>K2668*'THAM_SO_MOI'!$C$52*'THAM_SO_MOI'!$C$17/'THAM_SO_MOI'!$C$26</f>
        <v>5954.63874129473</v>
      </c>
      <c r="M2668" s="75">
        <f>'THAM_SO_MOI'!$C$15*'THAM_SO_MOI'!$C$16*F2668^2</f>
        <v>404.03716795013395</v>
      </c>
      <c r="N2668" s="75">
        <f>'THAM_SO_MOI'!$C$12*I2668</f>
        <v>1130.112</v>
      </c>
      <c r="O2668" s="75">
        <f>M2668+N2668</f>
        <v>1534.1491679501341</v>
      </c>
      <c r="P2668" s="75">
        <f>(MIN(L2668,'THAM_SO_MOI'!$C$41)-O2668)/('THAM_SO_MOI'!$C$11*H2668)</f>
        <v>0.48882935212395556</v>
      </c>
      <c r="Q2668" s="75">
        <f>IF(P2668&gt;0,1/P2668,NA())</f>
        <v>2.045703670728888</v>
      </c>
      <c r="R2668" s="75">
        <f>F2668-F2667</f>
        <v>0.007943393307220603</v>
      </c>
      <c r="S2668" s="75">
        <f>0.5*(Q2667+Q2668)*R2668</f>
        <v>0.01624981865228733</v>
      </c>
      <c r="T2668" s="75">
        <f>0.5*(F2667*Q2667+F2668*Q2668)*R2668</f>
        <v>0.19091913418627235</v>
      </c>
      <c r="U2668" s="76">
        <f>U2667+S2668</f>
        <v>17.20505095043132</v>
      </c>
      <c r="V2668" s="76">
        <f>V2667+T2668</f>
        <v>121.418705649412</v>
      </c>
    </row>
    <row r="2669" spans="1:22" ht="19" customHeight="1">
      <c r="A2669" s="68" t="s">
        <v>376</v>
      </c>
      <c r="B2669" s="74">
        <v>4</v>
      </c>
      <c r="C2669" s="68" t="s">
        <v>363</v>
      </c>
      <c r="D2669" s="68" t="s">
        <v>364</v>
      </c>
      <c r="E2669" s="75">
        <f>60*F2669*'THAM_SO_MOI'!$C$52/(2*PI()*'THAM_SO_MOI'!$C$26)</f>
        <v>1850.2130114220429</v>
      </c>
      <c r="F2669" s="75">
        <f>'HANH_TRINH'!$F$2468+('THAM_SO_MOI'!$F$52-'HANH_TRINH'!$F$2468)*200/'THAM_SO_MOI'!$C$42</f>
        <v>11.760916000743896</v>
      </c>
      <c r="G2669" s="75">
        <f>3.6*F2669</f>
        <v>42.33929760267802</v>
      </c>
      <c r="H2669" s="75">
        <f>'THAM_SO_MOI'!$D$52</f>
        <v>1.1774754878398197</v>
      </c>
      <c r="I2669" s="75">
        <f>IF(F2669&gt;'THAM_SO_MOI'!$C$14,'THAM_SO_MOI'!$C$13*(1+F2669^2/1500),'THAM_SO_MOI'!$C$13)</f>
        <v>0.015</v>
      </c>
      <c r="J2669" s="75">
        <f>'THAM_SO_MOI'!$C$40*('THAM_SO_MOI'!$C$23*(E2669/'THAM_SO_MOI'!$C$22)+'THAM_SO_MOI'!$C$24*(E2669/'THAM_SO_MOI'!$C$22)^2-'THAM_SO_MOI'!$C$25*(E2669/'THAM_SO_MOI'!$C$22)^3)</f>
        <v>82.38249921507037</v>
      </c>
      <c r="K2669" s="75">
        <f>'THAM_SO_MOI'!$C$31*J2669/E2669</f>
        <v>425.27176580870207</v>
      </c>
      <c r="L2669" s="75">
        <f>K2669*'THAM_SO_MOI'!$C$52*'THAM_SO_MOI'!$C$17/'THAM_SO_MOI'!$C$26</f>
        <v>5955.177035981553</v>
      </c>
      <c r="M2669" s="75">
        <f>'THAM_SO_MOI'!$C$15*'THAM_SO_MOI'!$C$16*F2669^2</f>
        <v>404.58349964141985</v>
      </c>
      <c r="N2669" s="75">
        <f>'THAM_SO_MOI'!$C$12*I2669</f>
        <v>1130.112</v>
      </c>
      <c r="O2669" s="75">
        <f>M2669+N2669</f>
        <v>1534.69549964142</v>
      </c>
      <c r="P2669" s="75">
        <f>(MIN(L2669,'THAM_SO_MOI'!$C$41)-O2669)/('THAM_SO_MOI'!$C$11*H2669)</f>
        <v>0.4888284633708844</v>
      </c>
      <c r="Q2669" s="75">
        <f>IF(P2669&gt;0,1/P2669,NA())</f>
        <v>2.0457073900814957</v>
      </c>
      <c r="R2669" s="75">
        <f>F2669-F2668</f>
        <v>0.007943393307218827</v>
      </c>
      <c r="S2669" s="75">
        <f>0.5*(Q2668+Q2669)*R2669</f>
        <v>0.01624984361876114</v>
      </c>
      <c r="T2669" s="75">
        <f>0.5*(F2668*Q2668+F2669*Q2669)*R2669</f>
        <v>0.19104850643462215</v>
      </c>
      <c r="U2669" s="76">
        <f>U2668+S2669</f>
        <v>17.221300794050084</v>
      </c>
      <c r="V2669" s="76">
        <f>V2668+T2669</f>
        <v>121.60975415584663</v>
      </c>
    </row>
    <row r="2670" spans="1:22" ht="19" customHeight="1">
      <c r="A2670" s="68" t="s">
        <v>376</v>
      </c>
      <c r="B2670" s="74">
        <v>4</v>
      </c>
      <c r="C2670" s="68" t="s">
        <v>363</v>
      </c>
      <c r="D2670" s="68" t="s">
        <v>364</v>
      </c>
      <c r="E2670" s="75">
        <f>60*F2670*'THAM_SO_MOI'!$C$52/(2*PI()*'THAM_SO_MOI'!$C$26)</f>
        <v>1851.4626564030061</v>
      </c>
      <c r="F2670" s="75">
        <f>'HANH_TRINH'!$F$2468+('THAM_SO_MOI'!$F$52-'HANH_TRINH'!$F$2468)*201/'THAM_SO_MOI'!$C$42</f>
        <v>11.768859394051114</v>
      </c>
      <c r="G2670" s="75">
        <f>3.6*F2670</f>
        <v>42.367893818584015</v>
      </c>
      <c r="H2670" s="75">
        <f>'THAM_SO_MOI'!$D$52</f>
        <v>1.1774754878398197</v>
      </c>
      <c r="I2670" s="75">
        <f>IF(F2670&gt;'THAM_SO_MOI'!$C$14,'THAM_SO_MOI'!$C$13*(1+F2670^2/1500),'THAM_SO_MOI'!$C$13)</f>
        <v>0.015</v>
      </c>
      <c r="J2670" s="75">
        <f>'THAM_SO_MOI'!$C$40*('THAM_SO_MOI'!$C$23*(E2670/'THAM_SO_MOI'!$C$22)+'THAM_SO_MOI'!$C$24*(E2670/'THAM_SO_MOI'!$C$22)^2-'THAM_SO_MOI'!$C$25*(E2670/'THAM_SO_MOI'!$C$22)^3)</f>
        <v>82.4455631517758</v>
      </c>
      <c r="K2670" s="75">
        <f>'THAM_SO_MOI'!$C$31*J2670/E2670</f>
        <v>425.31005506910805</v>
      </c>
      <c r="L2670" s="75">
        <f>K2670*'THAM_SO_MOI'!$C$52*'THAM_SO_MOI'!$C$17/'THAM_SO_MOI'!$C$26</f>
        <v>5955.713209183319</v>
      </c>
      <c r="M2670" s="75">
        <f>'THAM_SO_MOI'!$C$15*'THAM_SO_MOI'!$C$16*F2670^2</f>
        <v>405.1302004530646</v>
      </c>
      <c r="N2670" s="75">
        <f>'THAM_SO_MOI'!$C$12*I2670</f>
        <v>1130.112</v>
      </c>
      <c r="O2670" s="75">
        <f>M2670+N2670</f>
        <v>1535.2422004530647</v>
      </c>
      <c r="P2670" s="75">
        <f>(MIN(L2670,'THAM_SO_MOI'!$C$41)-O2670)/('THAM_SO_MOI'!$C$11*H2670)</f>
        <v>0.48882729920012213</v>
      </c>
      <c r="Q2670" s="75">
        <f>IF(P2670&gt;0,1/P2670,NA())</f>
        <v>2.045712262053122</v>
      </c>
      <c r="R2670" s="75">
        <f>F2670-F2669</f>
        <v>0.007943393307218827</v>
      </c>
      <c r="S2670" s="75">
        <f>0.5*(Q2669+Q2670)*R2670</f>
        <v>0.016249877740894852</v>
      </c>
      <c r="T2670" s="75">
        <f>0.5*(F2669*Q2669+F2670*Q2670)*R2670</f>
        <v>0.19117798679491968</v>
      </c>
      <c r="U2670" s="76">
        <f>U2669+S2670</f>
        <v>17.237550671790977</v>
      </c>
      <c r="V2670" s="76">
        <f>V2669+T2670</f>
        <v>121.80093214264156</v>
      </c>
    </row>
    <row r="2671" spans="1:22" ht="19" customHeight="1">
      <c r="A2671" s="68" t="s">
        <v>376</v>
      </c>
      <c r="B2671" s="74">
        <v>4</v>
      </c>
      <c r="C2671" s="68" t="s">
        <v>363</v>
      </c>
      <c r="D2671" s="68" t="s">
        <v>364</v>
      </c>
      <c r="E2671" s="75">
        <f>60*F2671*'THAM_SO_MOI'!$C$52/(2*PI()*'THAM_SO_MOI'!$C$26)</f>
        <v>1852.7123013839694</v>
      </c>
      <c r="F2671" s="75">
        <f>'HANH_TRINH'!$F$2468+('THAM_SO_MOI'!$F$52-'HANH_TRINH'!$F$2468)*202/'THAM_SO_MOI'!$C$42</f>
        <v>11.776802787358335</v>
      </c>
      <c r="G2671" s="75">
        <f>3.6*F2671</f>
        <v>42.39649003449001</v>
      </c>
      <c r="H2671" s="75">
        <f>'THAM_SO_MOI'!$D$52</f>
        <v>1.1774754878398197</v>
      </c>
      <c r="I2671" s="75">
        <f>IF(F2671&gt;'THAM_SO_MOI'!$C$14,'THAM_SO_MOI'!$C$13*(1+F2671^2/1500),'THAM_SO_MOI'!$C$13)</f>
        <v>0.015</v>
      </c>
      <c r="J2671" s="75">
        <f>'THAM_SO_MOI'!$C$40*('THAM_SO_MOI'!$C$23*(E2671/'THAM_SO_MOI'!$C$22)+'THAM_SO_MOI'!$C$24*(E2671/'THAM_SO_MOI'!$C$22)^2-'THAM_SO_MOI'!$C$25*(E2671/'THAM_SO_MOI'!$C$22)^3)</f>
        <v>82.50860772008636</v>
      </c>
      <c r="K2671" s="75">
        <f>'THAM_SO_MOI'!$C$31*J2671/E2671</f>
        <v>425.3481928297864</v>
      </c>
      <c r="L2671" s="75">
        <f>K2671*'THAM_SO_MOI'!$C$52*'THAM_SO_MOI'!$C$17/'THAM_SO_MOI'!$C$26</f>
        <v>5956.247260900022</v>
      </c>
      <c r="M2671" s="75">
        <f>'THAM_SO_MOI'!$C$15*'THAM_SO_MOI'!$C$16*F2671^2</f>
        <v>405.67727038506837</v>
      </c>
      <c r="N2671" s="75">
        <f>'THAM_SO_MOI'!$C$12*I2671</f>
        <v>1130.112</v>
      </c>
      <c r="O2671" s="75">
        <f>M2671+N2671</f>
        <v>1535.7892703850684</v>
      </c>
      <c r="P2671" s="75">
        <f>(MIN(L2671,'THAM_SO_MOI'!$C$41)-O2671)/('THAM_SO_MOI'!$C$11*H2671)</f>
        <v>0.488825859611668</v>
      </c>
      <c r="Q2671" s="75">
        <f>IF(P2671&gt;0,1/P2671,NA())</f>
        <v>2.045718286660239</v>
      </c>
      <c r="R2671" s="75">
        <f>F2671-F2670</f>
        <v>0.007943393307220603</v>
      </c>
      <c r="S2671" s="75">
        <f>0.5*(Q2670+Q2671)*R2671</f>
        <v>0.016249921018803817</v>
      </c>
      <c r="T2671" s="75">
        <f>0.5*(F2670*Q2670+F2671*Q2671)*R2671</f>
        <v>0.19130757548670416</v>
      </c>
      <c r="U2671" s="76">
        <f>U2670+S2671</f>
        <v>17.25380059280978</v>
      </c>
      <c r="V2671" s="76">
        <f>V2670+T2671</f>
        <v>121.99223971812826</v>
      </c>
    </row>
    <row r="2672" spans="1:22" ht="19" customHeight="1">
      <c r="A2672" s="68" t="s">
        <v>376</v>
      </c>
      <c r="B2672" s="74">
        <v>4</v>
      </c>
      <c r="C2672" s="68" t="s">
        <v>363</v>
      </c>
      <c r="D2672" s="68" t="s">
        <v>364</v>
      </c>
      <c r="E2672" s="75">
        <f>60*F2672*'THAM_SO_MOI'!$C$52/(2*PI()*'THAM_SO_MOI'!$C$26)</f>
        <v>1853.9619463649328</v>
      </c>
      <c r="F2672" s="75">
        <f>'HANH_TRINH'!$F$2468+('THAM_SO_MOI'!$F$52-'HANH_TRINH'!$F$2468)*203/'THAM_SO_MOI'!$C$42</f>
        <v>11.784746180665554</v>
      </c>
      <c r="G2672" s="75">
        <f>3.6*F2672</f>
        <v>42.42508625039599</v>
      </c>
      <c r="H2672" s="75">
        <f>'THAM_SO_MOI'!$D$52</f>
        <v>1.1774754878398197</v>
      </c>
      <c r="I2672" s="75">
        <f>IF(F2672&gt;'THAM_SO_MOI'!$C$14,'THAM_SO_MOI'!$C$13*(1+F2672^2/1500),'THAM_SO_MOI'!$C$13)</f>
        <v>0.015</v>
      </c>
      <c r="J2672" s="75">
        <f>'THAM_SO_MOI'!$C$40*('THAM_SO_MOI'!$C$23*(E2672/'THAM_SO_MOI'!$C$22)+'THAM_SO_MOI'!$C$24*(E2672/'THAM_SO_MOI'!$C$22)^2-'THAM_SO_MOI'!$C$25*(E2672/'THAM_SO_MOI'!$C$22)^3)</f>
        <v>82.57163286053638</v>
      </c>
      <c r="K2672" s="75">
        <f>'THAM_SO_MOI'!$C$31*J2672/E2672</f>
        <v>425.38617909073724</v>
      </c>
      <c r="L2672" s="75">
        <f>K2672*'THAM_SO_MOI'!$C$52*'THAM_SO_MOI'!$C$17/'THAM_SO_MOI'!$C$26</f>
        <v>5956.779191131663</v>
      </c>
      <c r="M2672" s="75">
        <f>'THAM_SO_MOI'!$C$15*'THAM_SO_MOI'!$C$16*F2672^2</f>
        <v>406.2247094374307</v>
      </c>
      <c r="N2672" s="75">
        <f>'THAM_SO_MOI'!$C$12*I2672</f>
        <v>1130.112</v>
      </c>
      <c r="O2672" s="75">
        <f>M2672+N2672</f>
        <v>1536.3367094374307</v>
      </c>
      <c r="P2672" s="75">
        <f>(MIN(L2672,'THAM_SO_MOI'!$C$41)-O2672)/('THAM_SO_MOI'!$C$11*H2672)</f>
        <v>0.4888241446055222</v>
      </c>
      <c r="Q2672" s="75">
        <f>IF(P2672&gt;0,1/P2672,NA())</f>
        <v>2.0457254639232136</v>
      </c>
      <c r="R2672" s="75">
        <f>F2672-F2671</f>
        <v>0.007943393307218827</v>
      </c>
      <c r="S2672" s="75">
        <f>0.5*(Q2671+Q2672)*R2672</f>
        <v>0.016249973452623447</v>
      </c>
      <c r="T2672" s="75">
        <f>0.5*(F2671*Q2671+F2672*Q2672)*R2672</f>
        <v>0.19143727272975458</v>
      </c>
      <c r="U2672" s="76">
        <f>U2671+S2672</f>
        <v>17.270050566262405</v>
      </c>
      <c r="V2672" s="76">
        <f>V2671+T2672</f>
        <v>122.18367699085802</v>
      </c>
    </row>
    <row r="2673" spans="1:22" ht="19" customHeight="1">
      <c r="A2673" s="68" t="s">
        <v>376</v>
      </c>
      <c r="B2673" s="74">
        <v>4</v>
      </c>
      <c r="C2673" s="68" t="s">
        <v>363</v>
      </c>
      <c r="D2673" s="68" t="s">
        <v>364</v>
      </c>
      <c r="E2673" s="75">
        <f>60*F2673*'THAM_SO_MOI'!$C$52/(2*PI()*'THAM_SO_MOI'!$C$26)</f>
        <v>1855.211591345896</v>
      </c>
      <c r="F2673" s="75">
        <f>'HANH_TRINH'!$F$2468+('THAM_SO_MOI'!$F$52-'HANH_TRINH'!$F$2468)*204/'THAM_SO_MOI'!$C$42</f>
        <v>11.792689573972773</v>
      </c>
      <c r="G2673" s="75">
        <f>3.6*F2673</f>
        <v>42.453682466301984</v>
      </c>
      <c r="H2673" s="75">
        <f>'THAM_SO_MOI'!$D$52</f>
        <v>1.1774754878398197</v>
      </c>
      <c r="I2673" s="75">
        <f>IF(F2673&gt;'THAM_SO_MOI'!$C$14,'THAM_SO_MOI'!$C$13*(1+F2673^2/1500),'THAM_SO_MOI'!$C$13)</f>
        <v>0.015</v>
      </c>
      <c r="J2673" s="75">
        <f>'THAM_SO_MOI'!$C$40*('THAM_SO_MOI'!$C$23*(E2673/'THAM_SO_MOI'!$C$22)+'THAM_SO_MOI'!$C$24*(E2673/'THAM_SO_MOI'!$C$22)^2-'THAM_SO_MOI'!$C$25*(E2673/'THAM_SO_MOI'!$C$22)^3)</f>
        <v>82.63463851366018</v>
      </c>
      <c r="K2673" s="75">
        <f>'THAM_SO_MOI'!$C$31*J2673/E2673</f>
        <v>425.4240138519606</v>
      </c>
      <c r="L2673" s="75">
        <f>K2673*'THAM_SO_MOI'!$C$52*'THAM_SO_MOI'!$C$17/'THAM_SO_MOI'!$C$26</f>
        <v>5957.308999878244</v>
      </c>
      <c r="M2673" s="75">
        <f>'THAM_SO_MOI'!$C$15*'THAM_SO_MOI'!$C$16*F2673^2</f>
        <v>406.77251761015197</v>
      </c>
      <c r="N2673" s="75">
        <f>'THAM_SO_MOI'!$C$12*I2673</f>
        <v>1130.112</v>
      </c>
      <c r="O2673" s="75">
        <f>M2673+N2673</f>
        <v>1536.884517610152</v>
      </c>
      <c r="P2673" s="75">
        <f>(MIN(L2673,'THAM_SO_MOI'!$C$41)-O2673)/('THAM_SO_MOI'!$C$11*H2673)</f>
        <v>0.48882215418168506</v>
      </c>
      <c r="Q2673" s="75">
        <f>IF(P2673&gt;0,1/P2673,NA())</f>
        <v>2.045733793866308</v>
      </c>
      <c r="R2673" s="75">
        <f>F2673-F2672</f>
        <v>0.007943393307218827</v>
      </c>
      <c r="S2673" s="75">
        <f>0.5*(Q2672+Q2673)*R2673</f>
        <v>0.016250035042541897</v>
      </c>
      <c r="T2673" s="75">
        <f>0.5*(F2672*Q2672+F2673*Q2673)*R2673</f>
        <v>0.19156707874447618</v>
      </c>
      <c r="U2673" s="76">
        <f>U2672+S2673</f>
        <v>17.286300601304948</v>
      </c>
      <c r="V2673" s="76">
        <f>V2672+T2673</f>
        <v>122.37524406960249</v>
      </c>
    </row>
    <row r="2674" spans="1:22" ht="19" customHeight="1">
      <c r="A2674" s="68" t="s">
        <v>376</v>
      </c>
      <c r="B2674" s="74">
        <v>4</v>
      </c>
      <c r="C2674" s="68" t="s">
        <v>363</v>
      </c>
      <c r="D2674" s="68" t="s">
        <v>364</v>
      </c>
      <c r="E2674" s="75">
        <f>60*F2674*'THAM_SO_MOI'!$C$52/(2*PI()*'THAM_SO_MOI'!$C$26)</f>
        <v>1856.4612363268595</v>
      </c>
      <c r="F2674" s="75">
        <f>'HANH_TRINH'!$F$2468+('THAM_SO_MOI'!$F$52-'HANH_TRINH'!$F$2468)*205/'THAM_SO_MOI'!$C$42</f>
        <v>11.800632967279993</v>
      </c>
      <c r="G2674" s="75">
        <f>3.6*F2674</f>
        <v>42.482278682207976</v>
      </c>
      <c r="H2674" s="75">
        <f>'THAM_SO_MOI'!$D$52</f>
        <v>1.1774754878398197</v>
      </c>
      <c r="I2674" s="75">
        <f>IF(F2674&gt;'THAM_SO_MOI'!$C$14,'THAM_SO_MOI'!$C$13*(1+F2674^2/1500),'THAM_SO_MOI'!$C$13)</f>
        <v>0.015</v>
      </c>
      <c r="J2674" s="75">
        <f>'THAM_SO_MOI'!$C$40*('THAM_SO_MOI'!$C$23*(E2674/'THAM_SO_MOI'!$C$22)+'THAM_SO_MOI'!$C$24*(E2674/'THAM_SO_MOI'!$C$22)^2-'THAM_SO_MOI'!$C$25*(E2674/'THAM_SO_MOI'!$C$22)^3)</f>
        <v>82.69762461999208</v>
      </c>
      <c r="K2674" s="75">
        <f>'THAM_SO_MOI'!$C$31*J2674/E2674</f>
        <v>425.4616971134565</v>
      </c>
      <c r="L2674" s="75">
        <f>K2674*'THAM_SO_MOI'!$C$52*'THAM_SO_MOI'!$C$17/'THAM_SO_MOI'!$C$26</f>
        <v>5957.836687139764</v>
      </c>
      <c r="M2674" s="75">
        <f>'THAM_SO_MOI'!$C$15*'THAM_SO_MOI'!$C$16*F2674^2</f>
        <v>407.32069490323215</v>
      </c>
      <c r="N2674" s="75">
        <f>'THAM_SO_MOI'!$C$12*I2674</f>
        <v>1130.112</v>
      </c>
      <c r="O2674" s="75">
        <f>M2674+N2674</f>
        <v>1537.4326949032322</v>
      </c>
      <c r="P2674" s="75">
        <f>(MIN(L2674,'THAM_SO_MOI'!$C$41)-O2674)/('THAM_SO_MOI'!$C$11*H2674)</f>
        <v>0.4888198883401564</v>
      </c>
      <c r="Q2674" s="75">
        <f>IF(P2674&gt;0,1/P2674,NA())</f>
        <v>2.045743276517684</v>
      </c>
      <c r="R2674" s="75">
        <f>F2674-F2673</f>
        <v>0.007943393307220603</v>
      </c>
      <c r="S2674" s="75">
        <f>0.5*(Q2673+Q2674)*R2674</f>
        <v>0.016250105788767382</v>
      </c>
      <c r="T2674" s="75">
        <f>0.5*(F2673*Q2673+F2674*Q2674)*R2674</f>
        <v>0.19169699375151666</v>
      </c>
      <c r="U2674" s="76">
        <f>U2673+S2674</f>
        <v>17.302550707093715</v>
      </c>
      <c r="V2674" s="76">
        <f>V2673+T2674</f>
        <v>122.56694106335401</v>
      </c>
    </row>
    <row r="2675" spans="1:22" ht="19" customHeight="1">
      <c r="A2675" s="68" t="s">
        <v>376</v>
      </c>
      <c r="B2675" s="74">
        <v>4</v>
      </c>
      <c r="C2675" s="68" t="s">
        <v>363</v>
      </c>
      <c r="D2675" s="68" t="s">
        <v>364</v>
      </c>
      <c r="E2675" s="75">
        <f>60*F2675*'THAM_SO_MOI'!$C$52/(2*PI()*'THAM_SO_MOI'!$C$26)</f>
        <v>1857.7108813078228</v>
      </c>
      <c r="F2675" s="75">
        <f>'HANH_TRINH'!$F$2468+('THAM_SO_MOI'!$F$52-'HANH_TRINH'!$F$2468)*206/'THAM_SO_MOI'!$C$42</f>
        <v>11.808576360587212</v>
      </c>
      <c r="G2675" s="75">
        <f>3.6*F2675</f>
        <v>42.51087489811396</v>
      </c>
      <c r="H2675" s="75">
        <f>'THAM_SO_MOI'!$D$52</f>
        <v>1.1774754878398197</v>
      </c>
      <c r="I2675" s="75">
        <f>IF(F2675&gt;'THAM_SO_MOI'!$C$14,'THAM_SO_MOI'!$C$13*(1+F2675^2/1500),'THAM_SO_MOI'!$C$13)</f>
        <v>0.015</v>
      </c>
      <c r="J2675" s="75">
        <f>'THAM_SO_MOI'!$C$40*('THAM_SO_MOI'!$C$23*(E2675/'THAM_SO_MOI'!$C$22)+'THAM_SO_MOI'!$C$24*(E2675/'THAM_SO_MOI'!$C$22)^2-'THAM_SO_MOI'!$C$25*(E2675/'THAM_SO_MOI'!$C$22)^3)</f>
        <v>82.76059112006641</v>
      </c>
      <c r="K2675" s="75">
        <f>'THAM_SO_MOI'!$C$31*J2675/E2675</f>
        <v>425.49922887522507</v>
      </c>
      <c r="L2675" s="75">
        <f>K2675*'THAM_SO_MOI'!$C$52*'THAM_SO_MOI'!$C$17/'THAM_SO_MOI'!$C$26</f>
        <v>5958.362252916225</v>
      </c>
      <c r="M2675" s="75">
        <f>'THAM_SO_MOI'!$C$15*'THAM_SO_MOI'!$C$16*F2675^2</f>
        <v>407.8692413166709</v>
      </c>
      <c r="N2675" s="75">
        <f>'THAM_SO_MOI'!$C$12*I2675</f>
        <v>1130.112</v>
      </c>
      <c r="O2675" s="75">
        <f>M2675+N2675</f>
        <v>1537.981241316671</v>
      </c>
      <c r="P2675" s="75">
        <f>(MIN(L2675,'THAM_SO_MOI'!$C$41)-O2675)/('THAM_SO_MOI'!$C$11*H2675)</f>
        <v>0.4888173470809363</v>
      </c>
      <c r="Q2675" s="75">
        <f>IF(P2675&gt;0,1/P2675,NA())</f>
        <v>2.045753911909399</v>
      </c>
      <c r="R2675" s="75">
        <f>F2675-F2674</f>
        <v>0.007943393307218827</v>
      </c>
      <c r="S2675" s="75">
        <f>0.5*(Q2674+Q2675)*R2675</f>
        <v>0.01625018569152817</v>
      </c>
      <c r="T2675" s="75">
        <f>0.5*(F2674*Q2674+F2675*Q2675)*R2675</f>
        <v>0.19182701797176718</v>
      </c>
      <c r="U2675" s="76">
        <f>U2674+S2675</f>
        <v>17.318800892785244</v>
      </c>
      <c r="V2675" s="76">
        <f>V2674+T2675</f>
        <v>122.75876808132577</v>
      </c>
    </row>
    <row r="2676" spans="1:22" ht="19" customHeight="1">
      <c r="A2676" s="68" t="s">
        <v>376</v>
      </c>
      <c r="B2676" s="74">
        <v>4</v>
      </c>
      <c r="C2676" s="68" t="s">
        <v>363</v>
      </c>
      <c r="D2676" s="68" t="s">
        <v>364</v>
      </c>
      <c r="E2676" s="75">
        <f>60*F2676*'THAM_SO_MOI'!$C$52/(2*PI()*'THAM_SO_MOI'!$C$26)</f>
        <v>1858.9605262887858</v>
      </c>
      <c r="F2676" s="75">
        <f>'HANH_TRINH'!$F$2468+('THAM_SO_MOI'!$F$52-'HANH_TRINH'!$F$2468)*207/'THAM_SO_MOI'!$C$42</f>
        <v>11.81651975389443</v>
      </c>
      <c r="G2676" s="75">
        <f>3.6*F2676</f>
        <v>42.53947111401995</v>
      </c>
      <c r="H2676" s="75">
        <f>'THAM_SO_MOI'!$D$52</f>
        <v>1.1774754878398197</v>
      </c>
      <c r="I2676" s="75">
        <f>IF(F2676&gt;'THAM_SO_MOI'!$C$14,'THAM_SO_MOI'!$C$13*(1+F2676^2/1500),'THAM_SO_MOI'!$C$13)</f>
        <v>0.015</v>
      </c>
      <c r="J2676" s="75">
        <f>'THAM_SO_MOI'!$C$40*('THAM_SO_MOI'!$C$23*(E2676/'THAM_SO_MOI'!$C$22)+'THAM_SO_MOI'!$C$24*(E2676/'THAM_SO_MOI'!$C$22)^2-'THAM_SO_MOI'!$C$25*(E2676/'THAM_SO_MOI'!$C$22)^3)</f>
        <v>82.82353795441742</v>
      </c>
      <c r="K2676" s="75">
        <f>'THAM_SO_MOI'!$C$31*J2676/E2676</f>
        <v>425.53660913726594</v>
      </c>
      <c r="L2676" s="75">
        <f>K2676*'THAM_SO_MOI'!$C$52*'THAM_SO_MOI'!$C$17/'THAM_SO_MOI'!$C$26</f>
        <v>5958.885697207621</v>
      </c>
      <c r="M2676" s="75">
        <f>'THAM_SO_MOI'!$C$15*'THAM_SO_MOI'!$C$16*F2676^2</f>
        <v>408.4181568504686</v>
      </c>
      <c r="N2676" s="75">
        <f>'THAM_SO_MOI'!$C$12*I2676</f>
        <v>1130.112</v>
      </c>
      <c r="O2676" s="75">
        <f>M2676+N2676</f>
        <v>1538.5301568504688</v>
      </c>
      <c r="P2676" s="75">
        <f>(MIN(L2676,'THAM_SO_MOI'!$C$41)-O2676)/('THAM_SO_MOI'!$C$11*H2676)</f>
        <v>0.4888145304040244</v>
      </c>
      <c r="Q2676" s="75">
        <f>IF(P2676&gt;0,1/P2676,NA())</f>
        <v>2.0457657000774114</v>
      </c>
      <c r="R2676" s="75">
        <f>F2676-F2675</f>
        <v>0.007943393307218827</v>
      </c>
      <c r="S2676" s="75">
        <f>0.5*(Q2675+Q2676)*R2676</f>
        <v>0.0162502747511053</v>
      </c>
      <c r="T2676" s="75">
        <f>0.5*(F2675*Q2675+F2676*Q2676)*R2676</f>
        <v>0.19195715162674948</v>
      </c>
      <c r="U2676" s="76">
        <f>U2675+S2676</f>
        <v>17.33505116753635</v>
      </c>
      <c r="V2676" s="76">
        <f>V2675+T2676</f>
        <v>122.95072523295252</v>
      </c>
    </row>
    <row r="2677" spans="1:22" ht="19" customHeight="1">
      <c r="A2677" s="68" t="s">
        <v>376</v>
      </c>
      <c r="B2677" s="74">
        <v>4</v>
      </c>
      <c r="C2677" s="68" t="s">
        <v>363</v>
      </c>
      <c r="D2677" s="68" t="s">
        <v>364</v>
      </c>
      <c r="E2677" s="75">
        <f>60*F2677*'THAM_SO_MOI'!$C$52/(2*PI()*'THAM_SO_MOI'!$C$26)</f>
        <v>1860.2101712697495</v>
      </c>
      <c r="F2677" s="75">
        <f>'HANH_TRINH'!$F$2468+('THAM_SO_MOI'!$F$52-'HANH_TRINH'!$F$2468)*208/'THAM_SO_MOI'!$C$42</f>
        <v>11.824463147201651</v>
      </c>
      <c r="G2677" s="75">
        <f>3.6*F2677</f>
        <v>42.568067329925945</v>
      </c>
      <c r="H2677" s="75">
        <f>'THAM_SO_MOI'!$D$52</f>
        <v>1.1774754878398197</v>
      </c>
      <c r="I2677" s="75">
        <f>IF(F2677&gt;'THAM_SO_MOI'!$C$14,'THAM_SO_MOI'!$C$13*(1+F2677^2/1500),'THAM_SO_MOI'!$C$13)</f>
        <v>0.015</v>
      </c>
      <c r="J2677" s="75">
        <f>'THAM_SO_MOI'!$C$40*('THAM_SO_MOI'!$C$23*(E2677/'THAM_SO_MOI'!$C$22)+'THAM_SO_MOI'!$C$24*(E2677/'THAM_SO_MOI'!$C$22)^2-'THAM_SO_MOI'!$C$25*(E2677/'THAM_SO_MOI'!$C$22)^3)</f>
        <v>82.88646506357948</v>
      </c>
      <c r="K2677" s="75">
        <f>'THAM_SO_MOI'!$C$31*J2677/E2677</f>
        <v>425.57383789957936</v>
      </c>
      <c r="L2677" s="75">
        <f>K2677*'THAM_SO_MOI'!$C$52*'THAM_SO_MOI'!$C$17/'THAM_SO_MOI'!$C$26</f>
        <v>5959.407020013958</v>
      </c>
      <c r="M2677" s="75">
        <f>'THAM_SO_MOI'!$C$15*'THAM_SO_MOI'!$C$16*F2677^2</f>
        <v>408.9674415046253</v>
      </c>
      <c r="N2677" s="75">
        <f>'THAM_SO_MOI'!$C$12*I2677</f>
        <v>1130.112</v>
      </c>
      <c r="O2677" s="75">
        <f>M2677+N2677</f>
        <v>1539.0794415046253</v>
      </c>
      <c r="P2677" s="75">
        <f>(MIN(L2677,'THAM_SO_MOI'!$C$41)-O2677)/('THAM_SO_MOI'!$C$11*H2677)</f>
        <v>0.4888114383094209</v>
      </c>
      <c r="Q2677" s="75">
        <f>IF(P2677&gt;0,1/P2677,NA())</f>
        <v>2.045778641061573</v>
      </c>
      <c r="R2677" s="75">
        <f>F2677-F2676</f>
        <v>0.007943393307220603</v>
      </c>
      <c r="S2677" s="75">
        <f>0.5*(Q2676+Q2677)*R2677</f>
        <v>0.01625037296779987</v>
      </c>
      <c r="T2677" s="75">
        <f>0.5*(F2676*Q2676+F2677*Q2677)*R2677</f>
        <v>0.1920873949382313</v>
      </c>
      <c r="U2677" s="76">
        <f>U2676+S2677</f>
        <v>17.35130154050415</v>
      </c>
      <c r="V2677" s="76">
        <f>V2676+T2677</f>
        <v>123.14281262789075</v>
      </c>
    </row>
    <row r="2678" spans="1:22" ht="19" customHeight="1">
      <c r="A2678" s="68" t="s">
        <v>376</v>
      </c>
      <c r="B2678" s="74">
        <v>4</v>
      </c>
      <c r="C2678" s="68" t="s">
        <v>363</v>
      </c>
      <c r="D2678" s="68" t="s">
        <v>364</v>
      </c>
      <c r="E2678" s="75">
        <f>60*F2678*'THAM_SO_MOI'!$C$52/(2*PI()*'THAM_SO_MOI'!$C$26)</f>
        <v>1861.4598162507123</v>
      </c>
      <c r="F2678" s="75">
        <f>'HANH_TRINH'!$F$2468+('THAM_SO_MOI'!$F$52-'HANH_TRINH'!$F$2468)*209/'THAM_SO_MOI'!$C$42</f>
        <v>11.83240654050887</v>
      </c>
      <c r="G2678" s="75">
        <f>3.6*F2678</f>
        <v>42.59666354583194</v>
      </c>
      <c r="H2678" s="75">
        <f>'THAM_SO_MOI'!$D$52</f>
        <v>1.1774754878398197</v>
      </c>
      <c r="I2678" s="75">
        <f>IF(F2678&gt;'THAM_SO_MOI'!$C$14,'THAM_SO_MOI'!$C$13*(1+F2678^2/1500),'THAM_SO_MOI'!$C$13)</f>
        <v>0.015</v>
      </c>
      <c r="J2678" s="75">
        <f>'THAM_SO_MOI'!$C$40*('THAM_SO_MOI'!$C$23*(E2678/'THAM_SO_MOI'!$C$22)+'THAM_SO_MOI'!$C$24*(E2678/'THAM_SO_MOI'!$C$22)^2-'THAM_SO_MOI'!$C$25*(E2678/'THAM_SO_MOI'!$C$22)^3)</f>
        <v>82.94937238808691</v>
      </c>
      <c r="K2678" s="75">
        <f>'THAM_SO_MOI'!$C$31*J2678/E2678</f>
        <v>425.6109151621656</v>
      </c>
      <c r="L2678" s="75">
        <f>K2678*'THAM_SO_MOI'!$C$52*'THAM_SO_MOI'!$C$17/'THAM_SO_MOI'!$C$26</f>
        <v>5959.926221335237</v>
      </c>
      <c r="M2678" s="75">
        <f>'THAM_SO_MOI'!$C$15*'THAM_SO_MOI'!$C$16*F2678^2</f>
        <v>409.5170952791405</v>
      </c>
      <c r="N2678" s="75">
        <f>'THAM_SO_MOI'!$C$12*I2678</f>
        <v>1130.112</v>
      </c>
      <c r="O2678" s="75">
        <f>M2678+N2678</f>
        <v>1539.6290952791405</v>
      </c>
      <c r="P2678" s="75">
        <f>(MIN(L2678,'THAM_SO_MOI'!$C$41)-O2678)/('THAM_SO_MOI'!$C$11*H2678)</f>
        <v>0.48880807079712646</v>
      </c>
      <c r="Q2678" s="75">
        <f>IF(P2678&gt;0,1/P2678,NA())</f>
        <v>2.0457927349056337</v>
      </c>
      <c r="R2678" s="75">
        <f>F2678-F2677</f>
        <v>0.007943393307218827</v>
      </c>
      <c r="S2678" s="75">
        <f>0.5*(Q2677+Q2678)*R2678</f>
        <v>0.016250480341933018</v>
      </c>
      <c r="T2678" s="75">
        <f>0.5*(F2677*Q2677+F2678*Q2678)*R2678</f>
        <v>0.19221774812822703</v>
      </c>
      <c r="U2678" s="76">
        <f>U2677+S2678</f>
        <v>17.367552020846084</v>
      </c>
      <c r="V2678" s="76">
        <f>V2677+T2678</f>
        <v>123.33503037601898</v>
      </c>
    </row>
    <row r="2679" spans="1:22" ht="19" customHeight="1">
      <c r="A2679" s="68" t="s">
        <v>376</v>
      </c>
      <c r="B2679" s="74">
        <v>4</v>
      </c>
      <c r="C2679" s="68" t="s">
        <v>363</v>
      </c>
      <c r="D2679" s="68" t="s">
        <v>364</v>
      </c>
      <c r="E2679" s="75">
        <f>60*F2679*'THAM_SO_MOI'!$C$52/(2*PI()*'THAM_SO_MOI'!$C$26)</f>
        <v>1862.7094612316755</v>
      </c>
      <c r="F2679" s="75">
        <f>'HANH_TRINH'!$F$2468+('THAM_SO_MOI'!$F$52-'HANH_TRINH'!$F$2468)*210/'THAM_SO_MOI'!$C$42</f>
        <v>11.84034993381609</v>
      </c>
      <c r="G2679" s="75">
        <f>3.6*F2679</f>
        <v>42.62525976173792</v>
      </c>
      <c r="H2679" s="75">
        <f>'THAM_SO_MOI'!$D$52</f>
        <v>1.1774754878398197</v>
      </c>
      <c r="I2679" s="75">
        <f>IF(F2679&gt;'THAM_SO_MOI'!$C$14,'THAM_SO_MOI'!$C$13*(1+F2679^2/1500),'THAM_SO_MOI'!$C$13)</f>
        <v>0.015</v>
      </c>
      <c r="J2679" s="75">
        <f>'THAM_SO_MOI'!$C$40*('THAM_SO_MOI'!$C$23*(E2679/'THAM_SO_MOI'!$C$22)+'THAM_SO_MOI'!$C$24*(E2679/'THAM_SO_MOI'!$C$22)^2-'THAM_SO_MOI'!$C$25*(E2679/'THAM_SO_MOI'!$C$22)^3)</f>
        <v>83.01225986847399</v>
      </c>
      <c r="K2679" s="75">
        <f>'THAM_SO_MOI'!$C$31*J2679/E2679</f>
        <v>425.64784092502424</v>
      </c>
      <c r="L2679" s="75">
        <f>K2679*'THAM_SO_MOI'!$C$52*'THAM_SO_MOI'!$C$17/'THAM_SO_MOI'!$C$26</f>
        <v>5960.443301171454</v>
      </c>
      <c r="M2679" s="75">
        <f>'THAM_SO_MOI'!$C$15*'THAM_SO_MOI'!$C$16*F2679^2</f>
        <v>410.06711817401464</v>
      </c>
      <c r="N2679" s="75">
        <f>'THAM_SO_MOI'!$C$12*I2679</f>
        <v>1130.112</v>
      </c>
      <c r="O2679" s="75">
        <f>M2679+N2679</f>
        <v>1540.1791181740148</v>
      </c>
      <c r="P2679" s="75">
        <f>(MIN(L2679,'THAM_SO_MOI'!$C$41)-O2679)/('THAM_SO_MOI'!$C$11*H2679)</f>
        <v>0.48880442786714023</v>
      </c>
      <c r="Q2679" s="75">
        <f>IF(P2679&gt;0,1/P2679,NA())</f>
        <v>2.045807981657248</v>
      </c>
      <c r="R2679" s="75">
        <f>F2679-F2678</f>
        <v>0.007943393307218827</v>
      </c>
      <c r="S2679" s="75">
        <f>0.5*(Q2678+Q2679)*R2679</f>
        <v>0.016250596873878673</v>
      </c>
      <c r="T2679" s="75">
        <f>0.5*(F2678*Q2678+F2679*Q2679)*R2679</f>
        <v>0.19234821141938616</v>
      </c>
      <c r="U2679" s="76">
        <f>U2678+S2679</f>
        <v>17.38380261771996</v>
      </c>
      <c r="V2679" s="76">
        <f>V2678+T2679</f>
        <v>123.52737858743836</v>
      </c>
    </row>
    <row r="2680" spans="1:22" ht="19" customHeight="1">
      <c r="A2680" s="68" t="s">
        <v>376</v>
      </c>
      <c r="B2680" s="74">
        <v>4</v>
      </c>
      <c r="C2680" s="68" t="s">
        <v>363</v>
      </c>
      <c r="D2680" s="68" t="s">
        <v>364</v>
      </c>
      <c r="E2680" s="75">
        <f>60*F2680*'THAM_SO_MOI'!$C$52/(2*PI()*'THAM_SO_MOI'!$C$26)</f>
        <v>1863.9591062126385</v>
      </c>
      <c r="F2680" s="75">
        <f>'HANH_TRINH'!$F$2468+('THAM_SO_MOI'!$F$52-'HANH_TRINH'!$F$2468)*211/'THAM_SO_MOI'!$C$42</f>
        <v>11.848293327123308</v>
      </c>
      <c r="G2680" s="75">
        <f>3.6*F2680</f>
        <v>42.65385597764391</v>
      </c>
      <c r="H2680" s="75">
        <f>'THAM_SO_MOI'!$D$52</f>
        <v>1.1774754878398197</v>
      </c>
      <c r="I2680" s="75">
        <f>IF(F2680&gt;'THAM_SO_MOI'!$C$14,'THAM_SO_MOI'!$C$13*(1+F2680^2/1500),'THAM_SO_MOI'!$C$13)</f>
        <v>0.015</v>
      </c>
      <c r="J2680" s="75">
        <f>'THAM_SO_MOI'!$C$40*('THAM_SO_MOI'!$C$23*(E2680/'THAM_SO_MOI'!$C$22)+'THAM_SO_MOI'!$C$24*(E2680/'THAM_SO_MOI'!$C$22)^2-'THAM_SO_MOI'!$C$25*(E2680/'THAM_SO_MOI'!$C$22)^3)</f>
        <v>83.07512744527502</v>
      </c>
      <c r="K2680" s="75">
        <f>'THAM_SO_MOI'!$C$31*J2680/E2680</f>
        <v>425.68461518815525</v>
      </c>
      <c r="L2680" s="75">
        <f>K2680*'THAM_SO_MOI'!$C$52*'THAM_SO_MOI'!$C$17/'THAM_SO_MOI'!$C$26</f>
        <v>5960.9582595226075</v>
      </c>
      <c r="M2680" s="75">
        <f>'THAM_SO_MOI'!$C$15*'THAM_SO_MOI'!$C$16*F2680^2</f>
        <v>410.6175101892476</v>
      </c>
      <c r="N2680" s="75">
        <f>'THAM_SO_MOI'!$C$12*I2680</f>
        <v>1130.112</v>
      </c>
      <c r="O2680" s="75">
        <f>M2680+N2680</f>
        <v>1540.7295101892478</v>
      </c>
      <c r="P2680" s="75">
        <f>(MIN(L2680,'THAM_SO_MOI'!$C$41)-O2680)/('THAM_SO_MOI'!$C$11*H2680)</f>
        <v>0.48880050951946225</v>
      </c>
      <c r="Q2680" s="75">
        <f>IF(P2680&gt;0,1/P2680,NA())</f>
        <v>2.0458243813679653</v>
      </c>
      <c r="R2680" s="75">
        <f>F2680-F2679</f>
        <v>0.007943393307218827</v>
      </c>
      <c r="S2680" s="75">
        <f>0.5*(Q2679+Q2680)*R2680</f>
        <v>0.016250722564027216</v>
      </c>
      <c r="T2680" s="75">
        <f>0.5*(F2679*Q2679+F2680*Q2680)*R2680</f>
        <v>0.19247878503456475</v>
      </c>
      <c r="U2680" s="76">
        <f>U2679+S2680</f>
        <v>17.40005334028399</v>
      </c>
      <c r="V2680" s="76">
        <f>V2679+T2680</f>
        <v>123.71985737247293</v>
      </c>
    </row>
    <row r="2681" spans="1:22" ht="19" customHeight="1">
      <c r="A2681" s="68" t="s">
        <v>376</v>
      </c>
      <c r="B2681" s="74">
        <v>4</v>
      </c>
      <c r="C2681" s="68" t="s">
        <v>363</v>
      </c>
      <c r="D2681" s="68" t="s">
        <v>364</v>
      </c>
      <c r="E2681" s="75">
        <f>60*F2681*'THAM_SO_MOI'!$C$52/(2*PI()*'THAM_SO_MOI'!$C$26)</f>
        <v>1865.2087511936022</v>
      </c>
      <c r="F2681" s="75">
        <f>'HANH_TRINH'!$F$2468+('THAM_SO_MOI'!$F$52-'HANH_TRINH'!$F$2468)*212/'THAM_SO_MOI'!$C$42</f>
        <v>11.856236720430529</v>
      </c>
      <c r="G2681" s="75">
        <f>3.6*F2681</f>
        <v>42.682452193549906</v>
      </c>
      <c r="H2681" s="75">
        <f>'THAM_SO_MOI'!$D$52</f>
        <v>1.1774754878398197</v>
      </c>
      <c r="I2681" s="75">
        <f>IF(F2681&gt;'THAM_SO_MOI'!$C$14,'THAM_SO_MOI'!$C$13*(1+F2681^2/1500),'THAM_SO_MOI'!$C$13)</f>
        <v>0.015</v>
      </c>
      <c r="J2681" s="75">
        <f>'THAM_SO_MOI'!$C$40*('THAM_SO_MOI'!$C$23*(E2681/'THAM_SO_MOI'!$C$22)+'THAM_SO_MOI'!$C$24*(E2681/'THAM_SO_MOI'!$C$22)^2-'THAM_SO_MOI'!$C$25*(E2681/'THAM_SO_MOI'!$C$22)^3)</f>
        <v>83.13797505902436</v>
      </c>
      <c r="K2681" s="75">
        <f>'THAM_SO_MOI'!$C$31*J2681/E2681</f>
        <v>425.72123795155875</v>
      </c>
      <c r="L2681" s="75">
        <f>K2681*'THAM_SO_MOI'!$C$52*'THAM_SO_MOI'!$C$17/'THAM_SO_MOI'!$C$26</f>
        <v>5961.471096388698</v>
      </c>
      <c r="M2681" s="75">
        <f>'THAM_SO_MOI'!$C$15*'THAM_SO_MOI'!$C$16*F2681^2</f>
        <v>411.1682713248394</v>
      </c>
      <c r="N2681" s="75">
        <f>'THAM_SO_MOI'!$C$12*I2681</f>
        <v>1130.112</v>
      </c>
      <c r="O2681" s="75">
        <f>M2681+N2681</f>
        <v>1541.2802713248395</v>
      </c>
      <c r="P2681" s="75">
        <f>(MIN(L2681,'THAM_SO_MOI'!$C$41)-O2681)/('THAM_SO_MOI'!$C$11*H2681)</f>
        <v>0.48879631575409255</v>
      </c>
      <c r="Q2681" s="75">
        <f>IF(P2681&gt;0,1/P2681,NA())</f>
        <v>2.0458419340932346</v>
      </c>
      <c r="R2681" s="75">
        <f>F2681-F2680</f>
        <v>0.007943393307220603</v>
      </c>
      <c r="S2681" s="75">
        <f>0.5*(Q2680+Q2681)*R2681</f>
        <v>0.01625085741280724</v>
      </c>
      <c r="T2681" s="75">
        <f>0.5*(F2680*Q2680+F2681*Q2681)*R2681</f>
        <v>0.19260946919708438</v>
      </c>
      <c r="U2681" s="76">
        <f>U2680+S2681</f>
        <v>17.416304197696796</v>
      </c>
      <c r="V2681" s="76">
        <f>V2680+T2681</f>
        <v>123.91246684167001</v>
      </c>
    </row>
    <row r="2682" spans="1:22" ht="19" customHeight="1">
      <c r="A2682" s="68" t="s">
        <v>376</v>
      </c>
      <c r="B2682" s="74">
        <v>4</v>
      </c>
      <c r="C2682" s="68" t="s">
        <v>363</v>
      </c>
      <c r="D2682" s="68" t="s">
        <v>364</v>
      </c>
      <c r="E2682" s="75">
        <f>60*F2682*'THAM_SO_MOI'!$C$52/(2*PI()*'THAM_SO_MOI'!$C$26)</f>
        <v>1866.4583961745652</v>
      </c>
      <c r="F2682" s="75">
        <f>'HANH_TRINH'!$F$2468+('THAM_SO_MOI'!$F$52-'HANH_TRINH'!$F$2468)*213/'THAM_SO_MOI'!$C$42</f>
        <v>11.864180113737747</v>
      </c>
      <c r="G2682" s="75">
        <f>3.6*F2682</f>
        <v>42.71104840945589</v>
      </c>
      <c r="H2682" s="75">
        <f>'THAM_SO_MOI'!$D$52</f>
        <v>1.1774754878398197</v>
      </c>
      <c r="I2682" s="75">
        <f>IF(F2682&gt;'THAM_SO_MOI'!$C$14,'THAM_SO_MOI'!$C$13*(1+F2682^2/1500),'THAM_SO_MOI'!$C$13)</f>
        <v>0.015</v>
      </c>
      <c r="J2682" s="75">
        <f>'THAM_SO_MOI'!$C$40*('THAM_SO_MOI'!$C$23*(E2682/'THAM_SO_MOI'!$C$22)+'THAM_SO_MOI'!$C$24*(E2682/'THAM_SO_MOI'!$C$22)^2-'THAM_SO_MOI'!$C$25*(E2682/'THAM_SO_MOI'!$C$22)^3)</f>
        <v>83.20080265025629</v>
      </c>
      <c r="K2682" s="75">
        <f>'THAM_SO_MOI'!$C$31*J2682/E2682</f>
        <v>425.7577092152349</v>
      </c>
      <c r="L2682" s="75">
        <f>K2682*'THAM_SO_MOI'!$C$52*'THAM_SO_MOI'!$C$17/'THAM_SO_MOI'!$C$26</f>
        <v>5961.981811769731</v>
      </c>
      <c r="M2682" s="75">
        <f>'THAM_SO_MOI'!$C$15*'THAM_SO_MOI'!$C$16*F2682^2</f>
        <v>411.71940158078996</v>
      </c>
      <c r="N2682" s="75">
        <f>'THAM_SO_MOI'!$C$12*I2682</f>
        <v>1130.112</v>
      </c>
      <c r="O2682" s="75">
        <f>M2682+N2682</f>
        <v>1541.83140158079</v>
      </c>
      <c r="P2682" s="75">
        <f>(MIN(L2682,'THAM_SO_MOI'!$C$41)-O2682)/('THAM_SO_MOI'!$C$11*H2682)</f>
        <v>0.48879184657103164</v>
      </c>
      <c r="Q2682" s="75">
        <f>IF(P2682&gt;0,1/P2682,NA())</f>
        <v>2.045860639892403</v>
      </c>
      <c r="R2682" s="75">
        <f>F2682-F2681</f>
        <v>0.007943393307218827</v>
      </c>
      <c r="S2682" s="75">
        <f>0.5*(Q2681+Q2682)*R2682</f>
        <v>0.01625100142066378</v>
      </c>
      <c r="T2682" s="75">
        <f>0.5*(F2681*Q2681+F2682*Q2682)*R2682</f>
        <v>0.19274026413047513</v>
      </c>
      <c r="U2682" s="76">
        <f>U2681+S2682</f>
        <v>17.43255519911746</v>
      </c>
      <c r="V2682" s="76">
        <f>V2681+T2682</f>
        <v>124.10520710580049</v>
      </c>
    </row>
    <row r="2683" spans="1:22" ht="19" customHeight="1">
      <c r="A2683" s="68" t="s">
        <v>376</v>
      </c>
      <c r="B2683" s="74">
        <v>4</v>
      </c>
      <c r="C2683" s="68" t="s">
        <v>363</v>
      </c>
      <c r="D2683" s="68" t="s">
        <v>364</v>
      </c>
      <c r="E2683" s="75">
        <f>60*F2683*'THAM_SO_MOI'!$C$52/(2*PI()*'THAM_SO_MOI'!$C$26)</f>
        <v>1867.7080411555287</v>
      </c>
      <c r="F2683" s="75">
        <f>'HANH_TRINH'!$F$2468+('THAM_SO_MOI'!$F$52-'HANH_TRINH'!$F$2468)*214/'THAM_SO_MOI'!$C$42</f>
        <v>11.872123507044968</v>
      </c>
      <c r="G2683" s="75">
        <f>3.6*F2683</f>
        <v>42.73964462536188</v>
      </c>
      <c r="H2683" s="75">
        <f>'THAM_SO_MOI'!$D$52</f>
        <v>1.1774754878398197</v>
      </c>
      <c r="I2683" s="75">
        <f>IF(F2683&gt;'THAM_SO_MOI'!$C$14,'THAM_SO_MOI'!$C$13*(1+F2683^2/1500),'THAM_SO_MOI'!$C$13)</f>
        <v>0.015</v>
      </c>
      <c r="J2683" s="75">
        <f>'THAM_SO_MOI'!$C$40*('THAM_SO_MOI'!$C$23*(E2683/'THAM_SO_MOI'!$C$22)+'THAM_SO_MOI'!$C$24*(E2683/'THAM_SO_MOI'!$C$22)^2-'THAM_SO_MOI'!$C$25*(E2683/'THAM_SO_MOI'!$C$22)^3)</f>
        <v>83.26361015950516</v>
      </c>
      <c r="K2683" s="75">
        <f>'THAM_SO_MOI'!$C$31*J2683/E2683</f>
        <v>425.7940289791836</v>
      </c>
      <c r="L2683" s="75">
        <f>K2683*'THAM_SO_MOI'!$C$52*'THAM_SO_MOI'!$C$17/'THAM_SO_MOI'!$C$26</f>
        <v>5962.490405665703</v>
      </c>
      <c r="M2683" s="75">
        <f>'THAM_SO_MOI'!$C$15*'THAM_SO_MOI'!$C$16*F2683^2</f>
        <v>412.27090095709946</v>
      </c>
      <c r="N2683" s="75">
        <f>'THAM_SO_MOI'!$C$12*I2683</f>
        <v>1130.112</v>
      </c>
      <c r="O2683" s="75">
        <f>M2683+N2683</f>
        <v>1542.3829009570995</v>
      </c>
      <c r="P2683" s="75">
        <f>(MIN(L2683,'THAM_SO_MOI'!$C$41)-O2683)/('THAM_SO_MOI'!$C$11*H2683)</f>
        <v>0.48878710197027925</v>
      </c>
      <c r="Q2683" s="75">
        <f>IF(P2683&gt;0,1/P2683,NA())</f>
        <v>2.0458804988287214</v>
      </c>
      <c r="R2683" s="75">
        <f>F2683-F2682</f>
        <v>0.007943393307220603</v>
      </c>
      <c r="S2683" s="75">
        <f>0.5*(Q2682+Q2683)*R2683</f>
        <v>0.016251154588098293</v>
      </c>
      <c r="T2683" s="75">
        <f>0.5*(F2682*Q2682+F2683*Q2683)*R2683</f>
        <v>0.19287117005895088</v>
      </c>
      <c r="U2683" s="76">
        <f>U2682+S2683</f>
        <v>17.448806353705557</v>
      </c>
      <c r="V2683" s="76">
        <f>V2682+T2683</f>
        <v>124.29807827585944</v>
      </c>
    </row>
    <row r="2684" spans="1:22" ht="19" customHeight="1">
      <c r="A2684" s="68" t="s">
        <v>376</v>
      </c>
      <c r="B2684" s="74">
        <v>4</v>
      </c>
      <c r="C2684" s="68" t="s">
        <v>363</v>
      </c>
      <c r="D2684" s="68" t="s">
        <v>364</v>
      </c>
      <c r="E2684" s="75">
        <f>60*F2684*'THAM_SO_MOI'!$C$52/(2*PI()*'THAM_SO_MOI'!$C$26)</f>
        <v>1868.957686136492</v>
      </c>
      <c r="F2684" s="75">
        <f>'HANH_TRINH'!$F$2468+('THAM_SO_MOI'!$F$52-'HANH_TRINH'!$F$2468)*215/'THAM_SO_MOI'!$C$42</f>
        <v>11.880066900352187</v>
      </c>
      <c r="G2684" s="75">
        <f>3.6*F2684</f>
        <v>42.768240841267875</v>
      </c>
      <c r="H2684" s="75">
        <f>'THAM_SO_MOI'!$D$52</f>
        <v>1.1774754878398197</v>
      </c>
      <c r="I2684" s="75">
        <f>IF(F2684&gt;'THAM_SO_MOI'!$C$14,'THAM_SO_MOI'!$C$13*(1+F2684^2/1500),'THAM_SO_MOI'!$C$13)</f>
        <v>0.015</v>
      </c>
      <c r="J2684" s="75">
        <f>'THAM_SO_MOI'!$C$40*('THAM_SO_MOI'!$C$23*(E2684/'THAM_SO_MOI'!$C$22)+'THAM_SO_MOI'!$C$24*(E2684/'THAM_SO_MOI'!$C$22)^2-'THAM_SO_MOI'!$C$25*(E2684/'THAM_SO_MOI'!$C$22)^3)</f>
        <v>83.32639752730522</v>
      </c>
      <c r="K2684" s="75">
        <f>'THAM_SO_MOI'!$C$31*J2684/E2684</f>
        <v>425.83019724340465</v>
      </c>
      <c r="L2684" s="75">
        <f>K2684*'THAM_SO_MOI'!$C$52*'THAM_SO_MOI'!$C$17/'THAM_SO_MOI'!$C$26</f>
        <v>5962.996878076612</v>
      </c>
      <c r="M2684" s="75">
        <f>'THAM_SO_MOI'!$C$15*'THAM_SO_MOI'!$C$16*F2684^2</f>
        <v>412.8227694537676</v>
      </c>
      <c r="N2684" s="75">
        <f>'THAM_SO_MOI'!$C$12*I2684</f>
        <v>1130.112</v>
      </c>
      <c r="O2684" s="75">
        <f>M2684+N2684</f>
        <v>1542.9347694537678</v>
      </c>
      <c r="P2684" s="75">
        <f>(MIN(L2684,'THAM_SO_MOI'!$C$41)-O2684)/('THAM_SO_MOI'!$C$11*H2684)</f>
        <v>0.488782081951835</v>
      </c>
      <c r="Q2684" s="75">
        <f>IF(P2684&gt;0,1/P2684,NA())</f>
        <v>2.045901510969342</v>
      </c>
      <c r="R2684" s="75">
        <f>F2684-F2683</f>
        <v>0.007943393307218827</v>
      </c>
      <c r="S2684" s="75">
        <f>0.5*(Q2683+Q2684)*R2684</f>
        <v>0.016251316915614166</v>
      </c>
      <c r="T2684" s="75">
        <f>0.5*(F2683*Q2683+F2684*Q2684)*R2684</f>
        <v>0.19300218720676435</v>
      </c>
      <c r="U2684" s="76">
        <f>U2683+S2684</f>
        <v>17.46505767062117</v>
      </c>
      <c r="V2684" s="76">
        <f>V2683+T2684</f>
        <v>124.4910804630662</v>
      </c>
    </row>
    <row r="2685" spans="1:22" ht="19" customHeight="1">
      <c r="A2685" s="68" t="s">
        <v>376</v>
      </c>
      <c r="B2685" s="74">
        <v>4</v>
      </c>
      <c r="C2685" s="68" t="s">
        <v>363</v>
      </c>
      <c r="D2685" s="68" t="s">
        <v>364</v>
      </c>
      <c r="E2685" s="75">
        <f>60*F2685*'THAM_SO_MOI'!$C$52/(2*PI()*'THAM_SO_MOI'!$C$26)</f>
        <v>1870.2073311174552</v>
      </c>
      <c r="F2685" s="75">
        <f>'HANH_TRINH'!$F$2468+('THAM_SO_MOI'!$F$52-'HANH_TRINH'!$F$2468)*216/'THAM_SO_MOI'!$C$42</f>
        <v>11.888010293659406</v>
      </c>
      <c r="G2685" s="75">
        <f>3.6*F2685</f>
        <v>42.79683705717386</v>
      </c>
      <c r="H2685" s="75">
        <f>'THAM_SO_MOI'!$D$52</f>
        <v>1.1774754878398197</v>
      </c>
      <c r="I2685" s="75">
        <f>IF(F2685&gt;'THAM_SO_MOI'!$C$14,'THAM_SO_MOI'!$C$13*(1+F2685^2/1500),'THAM_SO_MOI'!$C$13)</f>
        <v>0.015</v>
      </c>
      <c r="J2685" s="75">
        <f>'THAM_SO_MOI'!$C$40*('THAM_SO_MOI'!$C$23*(E2685/'THAM_SO_MOI'!$C$22)+'THAM_SO_MOI'!$C$24*(E2685/'THAM_SO_MOI'!$C$22)^2-'THAM_SO_MOI'!$C$25*(E2685/'THAM_SO_MOI'!$C$22)^3)</f>
        <v>83.38916469419087</v>
      </c>
      <c r="K2685" s="75">
        <f>'THAM_SO_MOI'!$C$31*J2685/E2685</f>
        <v>425.86621400789846</v>
      </c>
      <c r="L2685" s="75">
        <f>K2685*'THAM_SO_MOI'!$C$52*'THAM_SO_MOI'!$C$17/'THAM_SO_MOI'!$C$26</f>
        <v>5963.501229002462</v>
      </c>
      <c r="M2685" s="75">
        <f>'THAM_SO_MOI'!$C$15*'THAM_SO_MOI'!$C$16*F2685^2</f>
        <v>413.3750070707946</v>
      </c>
      <c r="N2685" s="75">
        <f>'THAM_SO_MOI'!$C$12*I2685</f>
        <v>1130.112</v>
      </c>
      <c r="O2685" s="75">
        <f>M2685+N2685</f>
        <v>1543.4870070707948</v>
      </c>
      <c r="P2685" s="75">
        <f>(MIN(L2685,'THAM_SO_MOI'!$C$41)-O2685)/('THAM_SO_MOI'!$C$11*H2685)</f>
        <v>0.48877678651569945</v>
      </c>
      <c r="Q2685" s="75">
        <f>IF(P2685&gt;0,1/P2685,NA())</f>
        <v>2.045923676385315</v>
      </c>
      <c r="R2685" s="75">
        <f>F2685-F2684</f>
        <v>0.007943393307218827</v>
      </c>
      <c r="S2685" s="75">
        <f>0.5*(Q2684+Q2685)*R2685</f>
        <v>0.016251488403771202</v>
      </c>
      <c r="T2685" s="75">
        <f>0.5*(F2684*Q2684+F2685*Q2685)*R2685</f>
        <v>0.19313331579885468</v>
      </c>
      <c r="U2685" s="76">
        <f>U2684+S2685</f>
        <v>17.481309159024942</v>
      </c>
      <c r="V2685" s="76">
        <f>V2684+T2685</f>
        <v>124.68421377886506</v>
      </c>
    </row>
    <row r="2686" spans="1:22" ht="19" customHeight="1">
      <c r="A2686" s="68" t="s">
        <v>376</v>
      </c>
      <c r="B2686" s="74">
        <v>4</v>
      </c>
      <c r="C2686" s="68" t="s">
        <v>363</v>
      </c>
      <c r="D2686" s="68" t="s">
        <v>364</v>
      </c>
      <c r="E2686" s="75">
        <f>60*F2686*'THAM_SO_MOI'!$C$52/(2*PI()*'THAM_SO_MOI'!$C$26)</f>
        <v>1871.4569760984184</v>
      </c>
      <c r="F2686" s="75">
        <f>'HANH_TRINH'!$F$2468+('THAM_SO_MOI'!$F$52-'HANH_TRINH'!$F$2468)*217/'THAM_SO_MOI'!$C$42</f>
        <v>11.895953686966624</v>
      </c>
      <c r="G2686" s="75">
        <f>3.6*F2686</f>
        <v>42.82543327307985</v>
      </c>
      <c r="H2686" s="75">
        <f>'THAM_SO_MOI'!$D$52</f>
        <v>1.1774754878398197</v>
      </c>
      <c r="I2686" s="75">
        <f>IF(F2686&gt;'THAM_SO_MOI'!$C$14,'THAM_SO_MOI'!$C$13*(1+F2686^2/1500),'THAM_SO_MOI'!$C$13)</f>
        <v>0.015</v>
      </c>
      <c r="J2686" s="75">
        <f>'THAM_SO_MOI'!$C$40*('THAM_SO_MOI'!$C$23*(E2686/'THAM_SO_MOI'!$C$22)+'THAM_SO_MOI'!$C$24*(E2686/'THAM_SO_MOI'!$C$22)^2-'THAM_SO_MOI'!$C$25*(E2686/'THAM_SO_MOI'!$C$22)^3)</f>
        <v>83.45191160069635</v>
      </c>
      <c r="K2686" s="75">
        <f>'THAM_SO_MOI'!$C$31*J2686/E2686</f>
        <v>425.9020792726647</v>
      </c>
      <c r="L2686" s="75">
        <f>K2686*'THAM_SO_MOI'!$C$52*'THAM_SO_MOI'!$C$17/'THAM_SO_MOI'!$C$26</f>
        <v>5964.003458443252</v>
      </c>
      <c r="M2686" s="75">
        <f>'THAM_SO_MOI'!$C$15*'THAM_SO_MOI'!$C$16*F2686^2</f>
        <v>413.9276138081804</v>
      </c>
      <c r="N2686" s="75">
        <f>'THAM_SO_MOI'!$C$12*I2686</f>
        <v>1130.112</v>
      </c>
      <c r="O2686" s="75">
        <f>M2686+N2686</f>
        <v>1544.0396138081805</v>
      </c>
      <c r="P2686" s="75">
        <f>(MIN(L2686,'THAM_SO_MOI'!$C$41)-O2686)/('THAM_SO_MOI'!$C$11*H2686)</f>
        <v>0.4887712156618725</v>
      </c>
      <c r="Q2686" s="75">
        <f>IF(P2686&gt;0,1/P2686,NA())</f>
        <v>2.0459469951515947</v>
      </c>
      <c r="R2686" s="75">
        <f>F2686-F2685</f>
        <v>0.007943393307218827</v>
      </c>
      <c r="S2686" s="75">
        <f>0.5*(Q2685+Q2686)*R2686</f>
        <v>0.016251669053145647</v>
      </c>
      <c r="T2686" s="75">
        <f>0.5*(F2685*Q2685+F2686*Q2686)*R2686</f>
        <v>0.19326455606037435</v>
      </c>
      <c r="U2686" s="76">
        <f>U2685+S2686</f>
        <v>17.497560828078086</v>
      </c>
      <c r="V2686" s="76">
        <f>V2685+T2686</f>
        <v>124.87747833492543</v>
      </c>
    </row>
    <row r="2687" spans="1:22" ht="19" customHeight="1">
      <c r="A2687" s="68" t="s">
        <v>376</v>
      </c>
      <c r="B2687" s="74">
        <v>4</v>
      </c>
      <c r="C2687" s="68" t="s">
        <v>363</v>
      </c>
      <c r="D2687" s="68" t="s">
        <v>364</v>
      </c>
      <c r="E2687" s="75">
        <f>60*F2687*'THAM_SO_MOI'!$C$52/(2*PI()*'THAM_SO_MOI'!$C$26)</f>
        <v>1872.7066210793819</v>
      </c>
      <c r="F2687" s="75">
        <f>'HANH_TRINH'!$F$2468+('THAM_SO_MOI'!$F$52-'HANH_TRINH'!$F$2468)*218/'THAM_SO_MOI'!$C$42</f>
        <v>11.903897080273845</v>
      </c>
      <c r="G2687" s="75">
        <f>3.6*F2687</f>
        <v>42.854029488985844</v>
      </c>
      <c r="H2687" s="75">
        <f>'THAM_SO_MOI'!$D$52</f>
        <v>1.1774754878398197</v>
      </c>
      <c r="I2687" s="75">
        <f>IF(F2687&gt;'THAM_SO_MOI'!$C$14,'THAM_SO_MOI'!$C$13*(1+F2687^2/1500),'THAM_SO_MOI'!$C$13)</f>
        <v>0.015</v>
      </c>
      <c r="J2687" s="75">
        <f>'THAM_SO_MOI'!$C$40*('THAM_SO_MOI'!$C$23*(E2687/'THAM_SO_MOI'!$C$22)+'THAM_SO_MOI'!$C$24*(E2687/'THAM_SO_MOI'!$C$22)^2-'THAM_SO_MOI'!$C$25*(E2687/'THAM_SO_MOI'!$C$22)^3)</f>
        <v>83.514638187356</v>
      </c>
      <c r="K2687" s="75">
        <f>'THAM_SO_MOI'!$C$31*J2687/E2687</f>
        <v>425.9377930377035</v>
      </c>
      <c r="L2687" s="75">
        <f>K2687*'THAM_SO_MOI'!$C$52*'THAM_SO_MOI'!$C$17/'THAM_SO_MOI'!$C$26</f>
        <v>5964.503566398979</v>
      </c>
      <c r="M2687" s="75">
        <f>'THAM_SO_MOI'!$C$15*'THAM_SO_MOI'!$C$16*F2687^2</f>
        <v>414.4805896659251</v>
      </c>
      <c r="N2687" s="75">
        <f>'THAM_SO_MOI'!$C$12*I2687</f>
        <v>1130.112</v>
      </c>
      <c r="O2687" s="75">
        <f>M2687+N2687</f>
        <v>1544.592589665925</v>
      </c>
      <c r="P2687" s="75">
        <f>(MIN(L2687,'THAM_SO_MOI'!$C$41)-O2687)/('THAM_SO_MOI'!$C$11*H2687)</f>
        <v>0.4887653693903537</v>
      </c>
      <c r="Q2687" s="75">
        <f>IF(P2687&gt;0,1/P2687,NA())</f>
        <v>2.04597146734704</v>
      </c>
      <c r="R2687" s="75">
        <f>F2687-F2686</f>
        <v>0.007943393307220603</v>
      </c>
      <c r="S2687" s="75">
        <f>0.5*(Q2686+Q2687)*R2687</f>
        <v>0.01625185886435204</v>
      </c>
      <c r="T2687" s="75">
        <f>0.5*(F2686*Q2686+F2687*Q2687)*R2687</f>
        <v>0.19339590821694994</v>
      </c>
      <c r="U2687" s="76">
        <f>U2686+S2687</f>
        <v>17.513812686942437</v>
      </c>
      <c r="V2687" s="76">
        <f>V2686+T2687</f>
        <v>125.07087424314238</v>
      </c>
    </row>
    <row r="2688" spans="1:22" ht="19" customHeight="1">
      <c r="A2688" s="68" t="s">
        <v>376</v>
      </c>
      <c r="B2688" s="74">
        <v>4</v>
      </c>
      <c r="C2688" s="68" t="s">
        <v>363</v>
      </c>
      <c r="D2688" s="68" t="s">
        <v>364</v>
      </c>
      <c r="E2688" s="75">
        <f>60*F2688*'THAM_SO_MOI'!$C$52/(2*PI()*'THAM_SO_MOI'!$C$26)</f>
        <v>1873.9562660603451</v>
      </c>
      <c r="F2688" s="75">
        <f>'HANH_TRINH'!$F$2468+('THAM_SO_MOI'!$F$52-'HANH_TRINH'!$F$2468)*219/'THAM_SO_MOI'!$C$42</f>
        <v>11.911840473581064</v>
      </c>
      <c r="G2688" s="75">
        <f>3.6*F2688</f>
        <v>42.88262570489183</v>
      </c>
      <c r="H2688" s="75">
        <f>'THAM_SO_MOI'!$D$52</f>
        <v>1.1774754878398197</v>
      </c>
      <c r="I2688" s="75">
        <f>IF(F2688&gt;'THAM_SO_MOI'!$C$14,'THAM_SO_MOI'!$C$13*(1+F2688^2/1500),'THAM_SO_MOI'!$C$13)</f>
        <v>0.015</v>
      </c>
      <c r="J2688" s="75">
        <f>'THAM_SO_MOI'!$C$40*('THAM_SO_MOI'!$C$23*(E2688/'THAM_SO_MOI'!$C$22)+'THAM_SO_MOI'!$C$24*(E2688/'THAM_SO_MOI'!$C$22)^2-'THAM_SO_MOI'!$C$25*(E2688/'THAM_SO_MOI'!$C$22)^3)</f>
        <v>83.57734439470414</v>
      </c>
      <c r="K2688" s="75">
        <f>'THAM_SO_MOI'!$C$31*J2688/E2688</f>
        <v>425.9733553030148</v>
      </c>
      <c r="L2688" s="75">
        <f>K2688*'THAM_SO_MOI'!$C$52*'THAM_SO_MOI'!$C$17/'THAM_SO_MOI'!$C$26</f>
        <v>5965.001552869647</v>
      </c>
      <c r="M2688" s="75">
        <f>'THAM_SO_MOI'!$C$15*'THAM_SO_MOI'!$C$16*F2688^2</f>
        <v>415.03393464402853</v>
      </c>
      <c r="N2688" s="75">
        <f>'THAM_SO_MOI'!$C$12*I2688</f>
        <v>1130.112</v>
      </c>
      <c r="O2688" s="75">
        <f>M2688+N2688</f>
        <v>1545.1459346440286</v>
      </c>
      <c r="P2688" s="75">
        <f>(MIN(L2688,'THAM_SO_MOI'!$C$41)-O2688)/('THAM_SO_MOI'!$C$11*H2688)</f>
        <v>0.48875924770114365</v>
      </c>
      <c r="Q2688" s="75">
        <f>IF(P2688&gt;0,1/P2688,NA())</f>
        <v>2.0459970930544094</v>
      </c>
      <c r="R2688" s="75">
        <f>F2688-F2687</f>
        <v>0.007943393307218827</v>
      </c>
      <c r="S2688" s="75">
        <f>0.5*(Q2687+Q2688)*R2688</f>
        <v>0.016252057838021364</v>
      </c>
      <c r="T2688" s="75">
        <f>0.5*(F2687*Q2687+F2688*Q2688)*R2688</f>
        <v>0.19352737249442323</v>
      </c>
      <c r="U2688" s="76">
        <f>U2687+S2688</f>
        <v>17.530064744780457</v>
      </c>
      <c r="V2688" s="76">
        <f>V2687+T2688</f>
        <v>125.26440161563681</v>
      </c>
    </row>
    <row r="2689" spans="1:22" ht="19" customHeight="1">
      <c r="A2689" s="68" t="s">
        <v>376</v>
      </c>
      <c r="B2689" s="74">
        <v>4</v>
      </c>
      <c r="C2689" s="68" t="s">
        <v>363</v>
      </c>
      <c r="D2689" s="68" t="s">
        <v>364</v>
      </c>
      <c r="E2689" s="75">
        <f>60*F2689*'THAM_SO_MOI'!$C$52/(2*PI()*'THAM_SO_MOI'!$C$26)</f>
        <v>1875.2059110413086</v>
      </c>
      <c r="F2689" s="75">
        <f>'HANH_TRINH'!$F$2468+('THAM_SO_MOI'!$F$52-'HANH_TRINH'!$F$2468)*220/'THAM_SO_MOI'!$C$42</f>
        <v>11.919783866888285</v>
      </c>
      <c r="G2689" s="75">
        <f>3.6*F2689</f>
        <v>42.91122192079783</v>
      </c>
      <c r="H2689" s="75">
        <f>'THAM_SO_MOI'!$D$52</f>
        <v>1.1774754878398197</v>
      </c>
      <c r="I2689" s="75">
        <f>IF(F2689&gt;'THAM_SO_MOI'!$C$14,'THAM_SO_MOI'!$C$13*(1+F2689^2/1500),'THAM_SO_MOI'!$C$13)</f>
        <v>0.015</v>
      </c>
      <c r="J2689" s="75">
        <f>'THAM_SO_MOI'!$C$40*('THAM_SO_MOI'!$C$23*(E2689/'THAM_SO_MOI'!$C$22)+'THAM_SO_MOI'!$C$24*(E2689/'THAM_SO_MOI'!$C$22)^2-'THAM_SO_MOI'!$C$25*(E2689/'THAM_SO_MOI'!$C$22)^3)</f>
        <v>83.64003016327506</v>
      </c>
      <c r="K2689" s="75">
        <f>'THAM_SO_MOI'!$C$31*J2689/E2689</f>
        <v>426.00876606859845</v>
      </c>
      <c r="L2689" s="75">
        <f>K2689*'THAM_SO_MOI'!$C$52*'THAM_SO_MOI'!$C$17/'THAM_SO_MOI'!$C$26</f>
        <v>5965.497417855251</v>
      </c>
      <c r="M2689" s="75">
        <f>'THAM_SO_MOI'!$C$15*'THAM_SO_MOI'!$C$16*F2689^2</f>
        <v>415.58764874249096</v>
      </c>
      <c r="N2689" s="75">
        <f>'THAM_SO_MOI'!$C$12*I2689</f>
        <v>1130.112</v>
      </c>
      <c r="O2689" s="75">
        <f>M2689+N2689</f>
        <v>1545.699648742491</v>
      </c>
      <c r="P2689" s="75">
        <f>(MIN(L2689,'THAM_SO_MOI'!$C$41)-O2689)/('THAM_SO_MOI'!$C$11*H2689)</f>
        <v>0.48875285059424173</v>
      </c>
      <c r="Q2689" s="75">
        <f>IF(P2689&gt;0,1/P2689,NA())</f>
        <v>2.0460238723603705</v>
      </c>
      <c r="R2689" s="75">
        <f>F2689-F2688</f>
        <v>0.007943393307220603</v>
      </c>
      <c r="S2689" s="75">
        <f>0.5*(Q2688+Q2689)*R2689</f>
        <v>0.016252265974841078</v>
      </c>
      <c r="T2689" s="75">
        <f>0.5*(F2688*Q2688+F2689*Q2689)*R2689</f>
        <v>0.193658949119329</v>
      </c>
      <c r="U2689" s="76">
        <f>U2688+S2689</f>
        <v>17.5463170107553</v>
      </c>
      <c r="V2689" s="76">
        <f>V2688+T2689</f>
        <v>125.45806056475614</v>
      </c>
    </row>
    <row r="2690" spans="1:22" ht="19" customHeight="1">
      <c r="A2690" s="68" t="s">
        <v>376</v>
      </c>
      <c r="B2690" s="74">
        <v>4</v>
      </c>
      <c r="C2690" s="68" t="s">
        <v>363</v>
      </c>
      <c r="D2690" s="68" t="s">
        <v>364</v>
      </c>
      <c r="E2690" s="75">
        <f>60*F2690*'THAM_SO_MOI'!$C$52/(2*PI()*'THAM_SO_MOI'!$C$26)</f>
        <v>1876.4555560222716</v>
      </c>
      <c r="F2690" s="75">
        <f>'HANH_TRINH'!$F$2468+('THAM_SO_MOI'!$F$52-'HANH_TRINH'!$F$2468)*221/'THAM_SO_MOI'!$C$42</f>
        <v>11.927727260195503</v>
      </c>
      <c r="G2690" s="75">
        <f>3.6*F2690</f>
        <v>42.93981813670381</v>
      </c>
      <c r="H2690" s="75">
        <f>'THAM_SO_MOI'!$D$52</f>
        <v>1.1774754878398197</v>
      </c>
      <c r="I2690" s="75">
        <f>IF(F2690&gt;'THAM_SO_MOI'!$C$14,'THAM_SO_MOI'!$C$13*(1+F2690^2/1500),'THAM_SO_MOI'!$C$13)</f>
        <v>0.015</v>
      </c>
      <c r="J2690" s="75">
        <f>'THAM_SO_MOI'!$C$40*('THAM_SO_MOI'!$C$23*(E2690/'THAM_SO_MOI'!$C$22)+'THAM_SO_MOI'!$C$24*(E2690/'THAM_SO_MOI'!$C$22)^2-'THAM_SO_MOI'!$C$25*(E2690/'THAM_SO_MOI'!$C$22)^3)</f>
        <v>83.7026954336031</v>
      </c>
      <c r="K2690" s="75">
        <f>'THAM_SO_MOI'!$C$31*J2690/E2690</f>
        <v>426.0440253344549</v>
      </c>
      <c r="L2690" s="75">
        <f>K2690*'THAM_SO_MOI'!$C$52*'THAM_SO_MOI'!$C$17/'THAM_SO_MOI'!$C$26</f>
        <v>5965.991161355796</v>
      </c>
      <c r="M2690" s="75">
        <f>'THAM_SO_MOI'!$C$15*'THAM_SO_MOI'!$C$16*F2690^2</f>
        <v>416.14173196131196</v>
      </c>
      <c r="N2690" s="75">
        <f>'THAM_SO_MOI'!$C$12*I2690</f>
        <v>1130.112</v>
      </c>
      <c r="O2690" s="75">
        <f>M2690+N2690</f>
        <v>1546.253731961312</v>
      </c>
      <c r="P2690" s="75">
        <f>(MIN(L2690,'THAM_SO_MOI'!$C$41)-O2690)/('THAM_SO_MOI'!$C$11*H2690)</f>
        <v>0.48874617806964854</v>
      </c>
      <c r="Q2690" s="75">
        <f>IF(P2690&gt;0,1/P2690,NA())</f>
        <v>2.0460518053554897</v>
      </c>
      <c r="R2690" s="75">
        <f>F2690-F2689</f>
        <v>0.007943393307218827</v>
      </c>
      <c r="S2690" s="75">
        <f>0.5*(Q2689+Q2690)*R2690</f>
        <v>0.01625248327550055</v>
      </c>
      <c r="T2690" s="75">
        <f>0.5*(F2689*Q2689+F2690*Q2690)*R2690</f>
        <v>0.19379063831824683</v>
      </c>
      <c r="U2690" s="76">
        <f>U2689+S2690</f>
        <v>17.5625694940308</v>
      </c>
      <c r="V2690" s="76">
        <f>V2689+T2690</f>
        <v>125.65185120307439</v>
      </c>
    </row>
    <row r="2691" spans="1:22" ht="19" customHeight="1">
      <c r="A2691" s="68" t="s">
        <v>376</v>
      </c>
      <c r="B2691" s="74">
        <v>4</v>
      </c>
      <c r="C2691" s="68" t="s">
        <v>363</v>
      </c>
      <c r="D2691" s="68" t="s">
        <v>364</v>
      </c>
      <c r="E2691" s="75">
        <f>60*F2691*'THAM_SO_MOI'!$C$52/(2*PI()*'THAM_SO_MOI'!$C$26)</f>
        <v>1877.7052010032348</v>
      </c>
      <c r="F2691" s="75">
        <f>'HANH_TRINH'!$F$2468+('THAM_SO_MOI'!$F$52-'HANH_TRINH'!$F$2468)*222/'THAM_SO_MOI'!$C$42</f>
        <v>11.935670653502722</v>
      </c>
      <c r="G2691" s="75">
        <f>3.6*F2691</f>
        <v>42.9684143526098</v>
      </c>
      <c r="H2691" s="75">
        <f>'THAM_SO_MOI'!$D$52</f>
        <v>1.1774754878398197</v>
      </c>
      <c r="I2691" s="75">
        <f>IF(F2691&gt;'THAM_SO_MOI'!$C$14,'THAM_SO_MOI'!$C$13*(1+F2691^2/1500),'THAM_SO_MOI'!$C$13)</f>
        <v>0.015</v>
      </c>
      <c r="J2691" s="75">
        <f>'THAM_SO_MOI'!$C$40*('THAM_SO_MOI'!$C$23*(E2691/'THAM_SO_MOI'!$C$22)+'THAM_SO_MOI'!$C$24*(E2691/'THAM_SO_MOI'!$C$22)^2-'THAM_SO_MOI'!$C$25*(E2691/'THAM_SO_MOI'!$C$22)^3)</f>
        <v>83.76534014622257</v>
      </c>
      <c r="K2691" s="75">
        <f>'THAM_SO_MOI'!$C$31*J2691/E2691</f>
        <v>426.0791331005838</v>
      </c>
      <c r="L2691" s="75">
        <f>K2691*'THAM_SO_MOI'!$C$52*'THAM_SO_MOI'!$C$17/'THAM_SO_MOI'!$C$26</f>
        <v>5966.482783371281</v>
      </c>
      <c r="M2691" s="75">
        <f>'THAM_SO_MOI'!$C$15*'THAM_SO_MOI'!$C$16*F2691^2</f>
        <v>416.69618430049184</v>
      </c>
      <c r="N2691" s="75">
        <f>'THAM_SO_MOI'!$C$12*I2691</f>
        <v>1130.112</v>
      </c>
      <c r="O2691" s="75">
        <f>M2691+N2691</f>
        <v>1546.808184300492</v>
      </c>
      <c r="P2691" s="75">
        <f>(MIN(L2691,'THAM_SO_MOI'!$C$41)-O2691)/('THAM_SO_MOI'!$C$11*H2691)</f>
        <v>0.48873923012736387</v>
      </c>
      <c r="Q2691" s="75">
        <f>IF(P2691&gt;0,1/P2691,NA())</f>
        <v>2.0460808921342437</v>
      </c>
      <c r="R2691" s="75">
        <f>F2691-F2690</f>
        <v>0.007943393307218827</v>
      </c>
      <c r="S2691" s="75">
        <f>0.5*(Q2690+Q2691)*R2691</f>
        <v>0.016252709740745636</v>
      </c>
      <c r="T2691" s="75">
        <f>0.5*(F2690*Q2690+F2691*Q2691)*R2691</f>
        <v>0.19392244031845185</v>
      </c>
      <c r="U2691" s="76">
        <f>U2690+S2691</f>
        <v>17.578822203771544</v>
      </c>
      <c r="V2691" s="76">
        <f>V2690+T2691</f>
        <v>125.84577364339283</v>
      </c>
    </row>
    <row r="2692" spans="1:22" ht="19" customHeight="1">
      <c r="A2692" s="68" t="s">
        <v>376</v>
      </c>
      <c r="B2692" s="74">
        <v>4</v>
      </c>
      <c r="C2692" s="68" t="s">
        <v>363</v>
      </c>
      <c r="D2692" s="68" t="s">
        <v>364</v>
      </c>
      <c r="E2692" s="75">
        <f>60*F2692*'THAM_SO_MOI'!$C$52/(2*PI()*'THAM_SO_MOI'!$C$26)</f>
        <v>1878.9548459841976</v>
      </c>
      <c r="F2692" s="75">
        <f>'HANH_TRINH'!$F$2468+('THAM_SO_MOI'!$F$52-'HANH_TRINH'!$F$2468)*223/'THAM_SO_MOI'!$C$42</f>
        <v>11.943614046809941</v>
      </c>
      <c r="G2692" s="75">
        <f>3.6*F2692</f>
        <v>42.99701056851579</v>
      </c>
      <c r="H2692" s="75">
        <f>'THAM_SO_MOI'!$D$52</f>
        <v>1.1774754878398197</v>
      </c>
      <c r="I2692" s="75">
        <f>IF(F2692&gt;'THAM_SO_MOI'!$C$14,'THAM_SO_MOI'!$C$13*(1+F2692^2/1500),'THAM_SO_MOI'!$C$13)</f>
        <v>0.015</v>
      </c>
      <c r="J2692" s="75">
        <f>'THAM_SO_MOI'!$C$40*('THAM_SO_MOI'!$C$23*(E2692/'THAM_SO_MOI'!$C$22)+'THAM_SO_MOI'!$C$24*(E2692/'THAM_SO_MOI'!$C$22)^2-'THAM_SO_MOI'!$C$25*(E2692/'THAM_SO_MOI'!$C$22)^3)</f>
        <v>83.82796424166773</v>
      </c>
      <c r="K2692" s="75">
        <f>'THAM_SO_MOI'!$C$31*J2692/E2692</f>
        <v>426.1140893669851</v>
      </c>
      <c r="L2692" s="75">
        <f>K2692*'THAM_SO_MOI'!$C$52*'THAM_SO_MOI'!$C$17/'THAM_SO_MOI'!$C$26</f>
        <v>5966.972283901703</v>
      </c>
      <c r="M2692" s="75">
        <f>'THAM_SO_MOI'!$C$15*'THAM_SO_MOI'!$C$16*F2692^2</f>
        <v>417.2510057600306</v>
      </c>
      <c r="N2692" s="75">
        <f>'THAM_SO_MOI'!$C$12*I2692</f>
        <v>1130.112</v>
      </c>
      <c r="O2692" s="75">
        <f>M2692+N2692</f>
        <v>1547.3630057600308</v>
      </c>
      <c r="P2692" s="75">
        <f>(MIN(L2692,'THAM_SO_MOI'!$C$41)-O2692)/('THAM_SO_MOI'!$C$11*H2692)</f>
        <v>0.48873200676738754</v>
      </c>
      <c r="Q2692" s="75">
        <f>IF(P2692&gt;0,1/P2692,NA())</f>
        <v>2.0461111327950143</v>
      </c>
      <c r="R2692" s="75">
        <f>F2692-F2691</f>
        <v>0.007943393307218827</v>
      </c>
      <c r="S2692" s="75">
        <f>0.5*(Q2691+Q2692)*R2692</f>
        <v>0.016252945371338662</v>
      </c>
      <c r="T2692" s="75">
        <f>0.5*(F2691*Q2691+F2692*Q2692)*R2692</f>
        <v>0.19405435534743992</v>
      </c>
      <c r="U2692" s="76">
        <f>U2691+S2692</f>
        <v>17.595075149142883</v>
      </c>
      <c r="V2692" s="76">
        <f>V2691+T2692</f>
        <v>126.03982799874028</v>
      </c>
    </row>
    <row r="2693" spans="1:22" ht="19" customHeight="1">
      <c r="A2693" s="68" t="s">
        <v>376</v>
      </c>
      <c r="B2693" s="74">
        <v>4</v>
      </c>
      <c r="C2693" s="68" t="s">
        <v>363</v>
      </c>
      <c r="D2693" s="68" t="s">
        <v>364</v>
      </c>
      <c r="E2693" s="75">
        <f>60*F2693*'THAM_SO_MOI'!$C$52/(2*PI()*'THAM_SO_MOI'!$C$26)</f>
        <v>1880.2044909651613</v>
      </c>
      <c r="F2693" s="75">
        <f>'HANH_TRINH'!$F$2468+('THAM_SO_MOI'!$F$52-'HANH_TRINH'!$F$2468)*224/'THAM_SO_MOI'!$C$42</f>
        <v>11.951557440117162</v>
      </c>
      <c r="G2693" s="75">
        <f>3.6*F2693</f>
        <v>43.02560678442178</v>
      </c>
      <c r="H2693" s="75">
        <f>'THAM_SO_MOI'!$D$52</f>
        <v>1.1774754878398197</v>
      </c>
      <c r="I2693" s="75">
        <f>IF(F2693&gt;'THAM_SO_MOI'!$C$14,'THAM_SO_MOI'!$C$13*(1+F2693^2/1500),'THAM_SO_MOI'!$C$13)</f>
        <v>0.015</v>
      </c>
      <c r="J2693" s="75">
        <f>'THAM_SO_MOI'!$C$40*('THAM_SO_MOI'!$C$23*(E2693/'THAM_SO_MOI'!$C$22)+'THAM_SO_MOI'!$C$24*(E2693/'THAM_SO_MOI'!$C$22)^2-'THAM_SO_MOI'!$C$25*(E2693/'THAM_SO_MOI'!$C$22)^3)</f>
        <v>83.890567660473</v>
      </c>
      <c r="K2693" s="75">
        <f>'THAM_SO_MOI'!$C$31*J2693/E2693</f>
        <v>426.14889413365904</v>
      </c>
      <c r="L2693" s="75">
        <f>K2693*'THAM_SO_MOI'!$C$52*'THAM_SO_MOI'!$C$17/'THAM_SO_MOI'!$C$26</f>
        <v>5967.459662947064</v>
      </c>
      <c r="M2693" s="75">
        <f>'THAM_SO_MOI'!$C$15*'THAM_SO_MOI'!$C$16*F2693^2</f>
        <v>417.80619633992814</v>
      </c>
      <c r="N2693" s="75">
        <f>'THAM_SO_MOI'!$C$12*I2693</f>
        <v>1130.112</v>
      </c>
      <c r="O2693" s="75">
        <f>M2693+N2693</f>
        <v>1547.9181963399283</v>
      </c>
      <c r="P2693" s="75">
        <f>(MIN(L2693,'THAM_SO_MOI'!$C$41)-O2693)/('THAM_SO_MOI'!$C$11*H2693)</f>
        <v>0.4887245079897196</v>
      </c>
      <c r="Q2693" s="75">
        <f>IF(P2693&gt;0,1/P2693,NA())</f>
        <v>2.0461425274400913</v>
      </c>
      <c r="R2693" s="75">
        <f>F2693-F2692</f>
        <v>0.007943393307220603</v>
      </c>
      <c r="S2693" s="75">
        <f>0.5*(Q2692+Q2693)*R2693</f>
        <v>0.016253190168080276</v>
      </c>
      <c r="T2693" s="75">
        <f>0.5*(F2692*Q2692+F2693*Q2693)*R2693</f>
        <v>0.19418638363318877</v>
      </c>
      <c r="U2693" s="76">
        <f>U2692+S2693</f>
        <v>17.611328339310962</v>
      </c>
      <c r="V2693" s="76">
        <f>V2692+T2693</f>
        <v>126.23401438237347</v>
      </c>
    </row>
    <row r="2694" spans="1:22" ht="19" customHeight="1">
      <c r="A2694" s="68" t="s">
        <v>376</v>
      </c>
      <c r="B2694" s="74">
        <v>4</v>
      </c>
      <c r="C2694" s="68" t="s">
        <v>363</v>
      </c>
      <c r="D2694" s="68" t="s">
        <v>364</v>
      </c>
      <c r="E2694" s="75">
        <f>60*F2694*'THAM_SO_MOI'!$C$52/(2*PI()*'THAM_SO_MOI'!$C$26)</f>
        <v>1881.4541359461243</v>
      </c>
      <c r="F2694" s="75">
        <f>'HANH_TRINH'!$F$2468+('THAM_SO_MOI'!$F$52-'HANH_TRINH'!$F$2468)*225/'THAM_SO_MOI'!$C$42</f>
        <v>11.95950083342438</v>
      </c>
      <c r="G2694" s="75">
        <f>3.6*F2694</f>
        <v>43.05420300032777</v>
      </c>
      <c r="H2694" s="75">
        <f>'THAM_SO_MOI'!$D$52</f>
        <v>1.1774754878398197</v>
      </c>
      <c r="I2694" s="75">
        <f>IF(F2694&gt;'THAM_SO_MOI'!$C$14,'THAM_SO_MOI'!$C$13*(1+F2694^2/1500),'THAM_SO_MOI'!$C$13)</f>
        <v>0.015</v>
      </c>
      <c r="J2694" s="75">
        <f>'THAM_SO_MOI'!$C$40*('THAM_SO_MOI'!$C$23*(E2694/'THAM_SO_MOI'!$C$22)+'THAM_SO_MOI'!$C$24*(E2694/'THAM_SO_MOI'!$C$22)^2-'THAM_SO_MOI'!$C$25*(E2694/'THAM_SO_MOI'!$C$22)^3)</f>
        <v>83.95315034317258</v>
      </c>
      <c r="K2694" s="75">
        <f>'THAM_SO_MOI'!$C$31*J2694/E2694</f>
        <v>426.18354740060533</v>
      </c>
      <c r="L2694" s="75">
        <f>K2694*'THAM_SO_MOI'!$C$52*'THAM_SO_MOI'!$C$17/'THAM_SO_MOI'!$C$26</f>
        <v>5967.944920507362</v>
      </c>
      <c r="M2694" s="75">
        <f>'THAM_SO_MOI'!$C$15*'THAM_SO_MOI'!$C$16*F2694^2</f>
        <v>418.3617560401845</v>
      </c>
      <c r="N2694" s="75">
        <f>'THAM_SO_MOI'!$C$12*I2694</f>
        <v>1130.112</v>
      </c>
      <c r="O2694" s="75">
        <f>M2694+N2694</f>
        <v>1548.4737560401845</v>
      </c>
      <c r="P2694" s="75">
        <f>(MIN(L2694,'THAM_SO_MOI'!$C$41)-O2694)/('THAM_SO_MOI'!$C$11*H2694)</f>
        <v>0.48871673379435987</v>
      </c>
      <c r="Q2694" s="75">
        <f>IF(P2694&gt;0,1/P2694,NA())</f>
        <v>2.0461750761756723</v>
      </c>
      <c r="R2694" s="75">
        <f>F2694-F2693</f>
        <v>0.007943393307218827</v>
      </c>
      <c r="S2694" s="75">
        <f>0.5*(Q2693+Q2694)*R2694</f>
        <v>0.01625344413178762</v>
      </c>
      <c r="T2694" s="75">
        <f>0.5*(F2693*Q2693+F2694*Q2694)*R2694</f>
        <v>0.19431852540389877</v>
      </c>
      <c r="U2694" s="76">
        <f>U2693+S2694</f>
        <v>17.62758178344275</v>
      </c>
      <c r="V2694" s="76">
        <f>V2693+T2694</f>
        <v>126.42833290777737</v>
      </c>
    </row>
    <row r="2695" spans="1:22" ht="19" customHeight="1">
      <c r="A2695" s="68" t="s">
        <v>376</v>
      </c>
      <c r="B2695" s="74">
        <v>4</v>
      </c>
      <c r="C2695" s="68" t="s">
        <v>363</v>
      </c>
      <c r="D2695" s="68" t="s">
        <v>364</v>
      </c>
      <c r="E2695" s="75">
        <f>60*F2695*'THAM_SO_MOI'!$C$52/(2*PI()*'THAM_SO_MOI'!$C$26)</f>
        <v>1882.703780927088</v>
      </c>
      <c r="F2695" s="75">
        <f>'HANH_TRINH'!$F$2468+('THAM_SO_MOI'!$F$52-'HANH_TRINH'!$F$2468)*226/'THAM_SO_MOI'!$C$42</f>
        <v>11.967444226731601</v>
      </c>
      <c r="G2695" s="75">
        <f>3.6*F2695</f>
        <v>43.08279921623377</v>
      </c>
      <c r="H2695" s="75">
        <f>'THAM_SO_MOI'!$D$52</f>
        <v>1.1774754878398197</v>
      </c>
      <c r="I2695" s="75">
        <f>IF(F2695&gt;'THAM_SO_MOI'!$C$14,'THAM_SO_MOI'!$C$13*(1+F2695^2/1500),'THAM_SO_MOI'!$C$13)</f>
        <v>0.015</v>
      </c>
      <c r="J2695" s="75">
        <f>'THAM_SO_MOI'!$C$40*('THAM_SO_MOI'!$C$23*(E2695/'THAM_SO_MOI'!$C$22)+'THAM_SO_MOI'!$C$24*(E2695/'THAM_SO_MOI'!$C$22)^2-'THAM_SO_MOI'!$C$25*(E2695/'THAM_SO_MOI'!$C$22)^3)</f>
        <v>84.01571223030092</v>
      </c>
      <c r="K2695" s="75">
        <f>'THAM_SO_MOI'!$C$31*J2695/E2695</f>
        <v>426.21804916782446</v>
      </c>
      <c r="L2695" s="75">
        <f>K2695*'THAM_SO_MOI'!$C$52*'THAM_SO_MOI'!$C$17/'THAM_SO_MOI'!$C$26</f>
        <v>5968.428056582605</v>
      </c>
      <c r="M2695" s="75">
        <f>'THAM_SO_MOI'!$C$15*'THAM_SO_MOI'!$C$16*F2695^2</f>
        <v>418.9176848607998</v>
      </c>
      <c r="N2695" s="75">
        <f>'THAM_SO_MOI'!$C$12*I2695</f>
        <v>1130.112</v>
      </c>
      <c r="O2695" s="75">
        <f>M2695+N2695</f>
        <v>1549.0296848608</v>
      </c>
      <c r="P2695" s="75">
        <f>(MIN(L2695,'THAM_SO_MOI'!$C$41)-O2695)/('THAM_SO_MOI'!$C$11*H2695)</f>
        <v>0.4887086841813092</v>
      </c>
      <c r="Q2695" s="75">
        <f>IF(P2695&gt;0,1/P2695,NA())</f>
        <v>2.0462087791118595</v>
      </c>
      <c r="R2695" s="75">
        <f>F2695-F2694</f>
        <v>0.007943393307220603</v>
      </c>
      <c r="S2695" s="75">
        <f>0.5*(Q2694+Q2695)*R2695</f>
        <v>0.016253707263334312</v>
      </c>
      <c r="T2695" s="75">
        <f>0.5*(F2694*Q2694+F2695*Q2695)*R2695</f>
        <v>0.1944507808884719</v>
      </c>
      <c r="U2695" s="76">
        <f>U2694+S2695</f>
        <v>17.643835490706085</v>
      </c>
      <c r="V2695" s="76">
        <f>V2694+T2695</f>
        <v>126.62278368866585</v>
      </c>
    </row>
    <row r="2696" spans="1:22" ht="19" customHeight="1">
      <c r="A2696" s="68" t="s">
        <v>376</v>
      </c>
      <c r="B2696" s="74">
        <v>4</v>
      </c>
      <c r="C2696" s="68" t="s">
        <v>363</v>
      </c>
      <c r="D2696" s="68" t="s">
        <v>364</v>
      </c>
      <c r="E2696" s="75">
        <f>60*F2696*'THAM_SO_MOI'!$C$52/(2*PI()*'THAM_SO_MOI'!$C$26)</f>
        <v>1883.953425908051</v>
      </c>
      <c r="F2696" s="75">
        <f>'HANH_TRINH'!$F$2468+('THAM_SO_MOI'!$F$52-'HANH_TRINH'!$F$2468)*227/'THAM_SO_MOI'!$C$42</f>
        <v>11.97538762003882</v>
      </c>
      <c r="G2696" s="75">
        <f>3.6*F2696</f>
        <v>43.11139543213975</v>
      </c>
      <c r="H2696" s="75">
        <f>'THAM_SO_MOI'!$D$52</f>
        <v>1.1774754878398197</v>
      </c>
      <c r="I2696" s="75">
        <f>IF(F2696&gt;'THAM_SO_MOI'!$C$14,'THAM_SO_MOI'!$C$13*(1+F2696^2/1500),'THAM_SO_MOI'!$C$13)</f>
        <v>0.015</v>
      </c>
      <c r="J2696" s="75">
        <f>'THAM_SO_MOI'!$C$40*('THAM_SO_MOI'!$C$23*(E2696/'THAM_SO_MOI'!$C$22)+'THAM_SO_MOI'!$C$24*(E2696/'THAM_SO_MOI'!$C$22)^2-'THAM_SO_MOI'!$C$25*(E2696/'THAM_SO_MOI'!$C$22)^3)</f>
        <v>84.07825326239217</v>
      </c>
      <c r="K2696" s="75">
        <f>'THAM_SO_MOI'!$C$31*J2696/E2696</f>
        <v>426.25239943531585</v>
      </c>
      <c r="L2696" s="75">
        <f>K2696*'THAM_SO_MOI'!$C$52*'THAM_SO_MOI'!$C$17/'THAM_SO_MOI'!$C$26</f>
        <v>5968.909071172783</v>
      </c>
      <c r="M2696" s="75">
        <f>'THAM_SO_MOI'!$C$15*'THAM_SO_MOI'!$C$16*F2696^2</f>
        <v>419.47398280177373</v>
      </c>
      <c r="N2696" s="75">
        <f>'THAM_SO_MOI'!$C$12*I2696</f>
        <v>1130.112</v>
      </c>
      <c r="O2696" s="75">
        <f>M2696+N2696</f>
        <v>1549.5859828017738</v>
      </c>
      <c r="P2696" s="75">
        <f>(MIN(L2696,'THAM_SO_MOI'!$C$41)-O2696)/('THAM_SO_MOI'!$C$11*H2696)</f>
        <v>0.48870035915056664</v>
      </c>
      <c r="Q2696" s="75">
        <f>IF(P2696&gt;0,1/P2696,NA())</f>
        <v>2.0462436363626733</v>
      </c>
      <c r="R2696" s="75">
        <f>F2696-F2695</f>
        <v>0.007943393307218827</v>
      </c>
      <c r="S2696" s="75">
        <f>0.5*(Q2695+Q2696)*R2696</f>
        <v>0.016253979563595963</v>
      </c>
      <c r="T2696" s="75">
        <f>0.5*(F2695*Q2695+F2696*Q2696)*R2696</f>
        <v>0.19458315031586182</v>
      </c>
      <c r="U2696" s="76">
        <f>U2695+S2696</f>
        <v>17.660089470269682</v>
      </c>
      <c r="V2696" s="76">
        <f>V2695+T2696</f>
        <v>126.81736683898171</v>
      </c>
    </row>
    <row r="2697" spans="1:22" ht="19" customHeight="1">
      <c r="A2697" s="68" t="s">
        <v>376</v>
      </c>
      <c r="B2697" s="74">
        <v>4</v>
      </c>
      <c r="C2697" s="68" t="s">
        <v>363</v>
      </c>
      <c r="D2697" s="68" t="s">
        <v>364</v>
      </c>
      <c r="E2697" s="75">
        <f>60*F2697*'THAM_SO_MOI'!$C$52/(2*PI()*'THAM_SO_MOI'!$C$26)</f>
        <v>1885.2030708890143</v>
      </c>
      <c r="F2697" s="75">
        <f>'HANH_TRINH'!$F$2468+('THAM_SO_MOI'!$F$52-'HANH_TRINH'!$F$2468)*228/'THAM_SO_MOI'!$C$42</f>
        <v>11.983331013346039</v>
      </c>
      <c r="G2697" s="75">
        <f>3.6*F2697</f>
        <v>43.13999164804574</v>
      </c>
      <c r="H2697" s="75">
        <f>'THAM_SO_MOI'!$D$52</f>
        <v>1.1774754878398197</v>
      </c>
      <c r="I2697" s="75">
        <f>IF(F2697&gt;'THAM_SO_MOI'!$C$14,'THAM_SO_MOI'!$C$13*(1+F2697^2/1500),'THAM_SO_MOI'!$C$13)</f>
        <v>0.015</v>
      </c>
      <c r="J2697" s="75">
        <f>'THAM_SO_MOI'!$C$40*('THAM_SO_MOI'!$C$23*(E2697/'THAM_SO_MOI'!$C$22)+'THAM_SO_MOI'!$C$24*(E2697/'THAM_SO_MOI'!$C$22)^2-'THAM_SO_MOI'!$C$25*(E2697/'THAM_SO_MOI'!$C$22)^3)</f>
        <v>84.14077337998076</v>
      </c>
      <c r="K2697" s="75">
        <f>'THAM_SO_MOI'!$C$31*J2697/E2697</f>
        <v>426.2865982030799</v>
      </c>
      <c r="L2697" s="75">
        <f>K2697*'THAM_SO_MOI'!$C$52*'THAM_SO_MOI'!$C$17/'THAM_SO_MOI'!$C$26</f>
        <v>5969.387964277902</v>
      </c>
      <c r="M2697" s="75">
        <f>'THAM_SO_MOI'!$C$15*'THAM_SO_MOI'!$C$16*F2697^2</f>
        <v>420.0306498631064</v>
      </c>
      <c r="N2697" s="75">
        <f>'THAM_SO_MOI'!$C$12*I2697</f>
        <v>1130.112</v>
      </c>
      <c r="O2697" s="75">
        <f>M2697+N2697</f>
        <v>1550.1426498631065</v>
      </c>
      <c r="P2697" s="75">
        <f>(MIN(L2697,'THAM_SO_MOI'!$C$41)-O2697)/('THAM_SO_MOI'!$C$11*H2697)</f>
        <v>0.4886917587021328</v>
      </c>
      <c r="Q2697" s="75">
        <f>IF(P2697&gt;0,1/P2697,NA())</f>
        <v>2.046279648046039</v>
      </c>
      <c r="R2697" s="75">
        <f>F2697-F2696</f>
        <v>0.007943393307218827</v>
      </c>
      <c r="S2697" s="75">
        <f>0.5*(Q2696+Q2697)*R2697</f>
        <v>0.016254261033504684</v>
      </c>
      <c r="T2697" s="75">
        <f>0.5*(F2696*Q2696+F2697*Q2697)*R2697</f>
        <v>0.19471563391572685</v>
      </c>
      <c r="U2697" s="76">
        <f>U2696+S2697</f>
        <v>17.676343731303188</v>
      </c>
      <c r="V2697" s="76">
        <f>V2696+T2697</f>
        <v>127.01208247289743</v>
      </c>
    </row>
    <row r="2698" spans="1:22" ht="19" customHeight="1">
      <c r="A2698" s="68" t="s">
        <v>376</v>
      </c>
      <c r="B2698" s="74">
        <v>4</v>
      </c>
      <c r="C2698" s="68" t="s">
        <v>363</v>
      </c>
      <c r="D2698" s="68" t="s">
        <v>364</v>
      </c>
      <c r="E2698" s="75">
        <f>60*F2698*'THAM_SO_MOI'!$C$52/(2*PI()*'THAM_SO_MOI'!$C$26)</f>
        <v>1886.4527158699775</v>
      </c>
      <c r="F2698" s="75">
        <f>'HANH_TRINH'!$F$2468+('THAM_SO_MOI'!$F$52-'HANH_TRINH'!$F$2468)*229/'THAM_SO_MOI'!$C$42</f>
        <v>11.991274406653258</v>
      </c>
      <c r="G2698" s="75">
        <f>3.6*F2698</f>
        <v>43.16858786395173</v>
      </c>
      <c r="H2698" s="75">
        <f>'THAM_SO_MOI'!$D$52</f>
        <v>1.1774754878398197</v>
      </c>
      <c r="I2698" s="75">
        <f>IF(F2698&gt;'THAM_SO_MOI'!$C$14,'THAM_SO_MOI'!$C$13*(1+F2698^2/1500),'THAM_SO_MOI'!$C$13)</f>
        <v>0.015</v>
      </c>
      <c r="J2698" s="75">
        <f>'THAM_SO_MOI'!$C$40*('THAM_SO_MOI'!$C$23*(E2698/'THAM_SO_MOI'!$C$22)+'THAM_SO_MOI'!$C$24*(E2698/'THAM_SO_MOI'!$C$22)^2-'THAM_SO_MOI'!$C$25*(E2698/'THAM_SO_MOI'!$C$22)^3)</f>
        <v>84.20327252360097</v>
      </c>
      <c r="K2698" s="75">
        <f>'THAM_SO_MOI'!$C$31*J2698/E2698</f>
        <v>426.32064547111656</v>
      </c>
      <c r="L2698" s="75">
        <f>K2698*'THAM_SO_MOI'!$C$52*'THAM_SO_MOI'!$C$17/'THAM_SO_MOI'!$C$26</f>
        <v>5969.864735897961</v>
      </c>
      <c r="M2698" s="75">
        <f>'THAM_SO_MOI'!$C$15*'THAM_SO_MOI'!$C$16*F2698^2</f>
        <v>420.58768604479803</v>
      </c>
      <c r="N2698" s="75">
        <f>'THAM_SO_MOI'!$C$12*I2698</f>
        <v>1130.112</v>
      </c>
      <c r="O2698" s="75">
        <f>M2698+N2698</f>
        <v>1550.699686044798</v>
      </c>
      <c r="P2698" s="75">
        <f>(MIN(L2698,'THAM_SO_MOI'!$C$41)-O2698)/('THAM_SO_MOI'!$C$11*H2698)</f>
        <v>0.4886828828360074</v>
      </c>
      <c r="Q2698" s="75">
        <f>IF(P2698&gt;0,1/P2698,NA())</f>
        <v>2.0463168142837955</v>
      </c>
      <c r="R2698" s="75">
        <f>F2698-F2697</f>
        <v>0.007943393307218827</v>
      </c>
      <c r="S2698" s="75">
        <f>0.5*(Q2697+Q2698)*R2698</f>
        <v>0.016254551674009125</v>
      </c>
      <c r="T2698" s="75">
        <f>0.5*(F2697*Q2697+F2698*Q2698)*R2698</f>
        <v>0.19484823191795306</v>
      </c>
      <c r="U2698" s="76">
        <f>U2697+S2698</f>
        <v>17.692598282977197</v>
      </c>
      <c r="V2698" s="76">
        <f>V2697+T2698</f>
        <v>127.20693070481539</v>
      </c>
    </row>
    <row r="2699" spans="1:22" ht="19" customHeight="1">
      <c r="A2699" s="68" t="s">
        <v>376</v>
      </c>
      <c r="B2699" s="74">
        <v>4</v>
      </c>
      <c r="C2699" s="68" t="s">
        <v>363</v>
      </c>
      <c r="D2699" s="68" t="s">
        <v>364</v>
      </c>
      <c r="E2699" s="75">
        <f>60*F2699*'THAM_SO_MOI'!$C$52/(2*PI()*'THAM_SO_MOI'!$C$26)</f>
        <v>1887.702360850941</v>
      </c>
      <c r="F2699" s="75">
        <f>'HANH_TRINH'!$F$2468+('THAM_SO_MOI'!$F$52-'HANH_TRINH'!$F$2468)*230/'THAM_SO_MOI'!$C$42</f>
        <v>11.999217799960478</v>
      </c>
      <c r="G2699" s="75">
        <f>3.6*F2699</f>
        <v>43.19718407985772</v>
      </c>
      <c r="H2699" s="75">
        <f>'THAM_SO_MOI'!$D$52</f>
        <v>1.1774754878398197</v>
      </c>
      <c r="I2699" s="75">
        <f>IF(F2699&gt;'THAM_SO_MOI'!$C$14,'THAM_SO_MOI'!$C$13*(1+F2699^2/1500),'THAM_SO_MOI'!$C$13)</f>
        <v>0.015</v>
      </c>
      <c r="J2699" s="75">
        <f>'THAM_SO_MOI'!$C$40*('THAM_SO_MOI'!$C$23*(E2699/'THAM_SO_MOI'!$C$22)+'THAM_SO_MOI'!$C$24*(E2699/'THAM_SO_MOI'!$C$22)^2-'THAM_SO_MOI'!$C$25*(E2699/'THAM_SO_MOI'!$C$22)^3)</f>
        <v>84.26575063378708</v>
      </c>
      <c r="K2699" s="75">
        <f>'THAM_SO_MOI'!$C$31*J2699/E2699</f>
        <v>426.35454123942543</v>
      </c>
      <c r="L2699" s="75">
        <f>K2699*'THAM_SO_MOI'!$C$52*'THAM_SO_MOI'!$C$17/'THAM_SO_MOI'!$C$26</f>
        <v>5970.339386032954</v>
      </c>
      <c r="M2699" s="75">
        <f>'THAM_SO_MOI'!$C$15*'THAM_SO_MOI'!$C$16*F2699^2</f>
        <v>421.1450913468486</v>
      </c>
      <c r="N2699" s="75">
        <f>'THAM_SO_MOI'!$C$12*I2699</f>
        <v>1130.112</v>
      </c>
      <c r="O2699" s="75">
        <f>M2699+N2699</f>
        <v>1551.2570913468487</v>
      </c>
      <c r="P2699" s="75">
        <f>(MIN(L2699,'THAM_SO_MOI'!$C$41)-O2699)/('THAM_SO_MOI'!$C$11*H2699)</f>
        <v>0.48867373155219</v>
      </c>
      <c r="Q2699" s="75">
        <f>IF(P2699&gt;0,1/P2699,NA())</f>
        <v>2.046355135201698</v>
      </c>
      <c r="R2699" s="75">
        <f>F2699-F2698</f>
        <v>0.007943393307220603</v>
      </c>
      <c r="S2699" s="75">
        <f>0.5*(Q2698+Q2699)*R2699</f>
        <v>0.016254851486096285</v>
      </c>
      <c r="T2699" s="75">
        <f>0.5*(F2698*Q2698+F2699*Q2699)*R2699</f>
        <v>0.19498094455291679</v>
      </c>
      <c r="U2699" s="76">
        <f>U2698+S2699</f>
        <v>17.708853134463293</v>
      </c>
      <c r="V2699" s="76">
        <f>V2698+T2699</f>
        <v>127.4019116493683</v>
      </c>
    </row>
    <row r="2700" spans="1:22" ht="19" customHeight="1">
      <c r="A2700" s="68" t="s">
        <v>376</v>
      </c>
      <c r="B2700" s="74">
        <v>4</v>
      </c>
      <c r="C2700" s="68" t="s">
        <v>363</v>
      </c>
      <c r="D2700" s="68" t="s">
        <v>364</v>
      </c>
      <c r="E2700" s="75">
        <f>60*F2700*'THAM_SO_MOI'!$C$52/(2*PI()*'THAM_SO_MOI'!$C$26)</f>
        <v>1888.9520058319042</v>
      </c>
      <c r="F2700" s="75">
        <f>'HANH_TRINH'!$F$2468+('THAM_SO_MOI'!$F$52-'HANH_TRINH'!$F$2468)*231/'THAM_SO_MOI'!$C$42</f>
        <v>12.007161193267697</v>
      </c>
      <c r="G2700" s="75">
        <f>3.6*F2700</f>
        <v>43.22578029576371</v>
      </c>
      <c r="H2700" s="75">
        <f>'THAM_SO_MOI'!$D$52</f>
        <v>1.1774754878398197</v>
      </c>
      <c r="I2700" s="75">
        <f>IF(F2700&gt;'THAM_SO_MOI'!$C$14,'THAM_SO_MOI'!$C$13*(1+F2700^2/1500),'THAM_SO_MOI'!$C$13)</f>
        <v>0.015</v>
      </c>
      <c r="J2700" s="75">
        <f>'THAM_SO_MOI'!$C$40*('THAM_SO_MOI'!$C$23*(E2700/'THAM_SO_MOI'!$C$22)+'THAM_SO_MOI'!$C$24*(E2700/'THAM_SO_MOI'!$C$22)^2-'THAM_SO_MOI'!$C$25*(E2700/'THAM_SO_MOI'!$C$22)^3)</f>
        <v>84.32820765107346</v>
      </c>
      <c r="K2700" s="75">
        <f>'THAM_SO_MOI'!$C$31*J2700/E2700</f>
        <v>426.388285508007</v>
      </c>
      <c r="L2700" s="75">
        <f>K2700*'THAM_SO_MOI'!$C$52*'THAM_SO_MOI'!$C$17/'THAM_SO_MOI'!$C$26</f>
        <v>5970.811914682888</v>
      </c>
      <c r="M2700" s="75">
        <f>'THAM_SO_MOI'!$C$15*'THAM_SO_MOI'!$C$16*F2700^2</f>
        <v>421.7028657692577</v>
      </c>
      <c r="N2700" s="75">
        <f>'THAM_SO_MOI'!$C$12*I2700</f>
        <v>1130.112</v>
      </c>
      <c r="O2700" s="75">
        <f>M2700+N2700</f>
        <v>1551.8148657692577</v>
      </c>
      <c r="P2700" s="75">
        <f>(MIN(L2700,'THAM_SO_MOI'!$C$41)-O2700)/('THAM_SO_MOI'!$C$11*H2700)</f>
        <v>0.4886643048506812</v>
      </c>
      <c r="Q2700" s="75">
        <f>IF(P2700&gt;0,1/P2700,NA())</f>
        <v>2.0463946109294096</v>
      </c>
      <c r="R2700" s="75">
        <f>F2700-F2699</f>
        <v>0.007943393307218827</v>
      </c>
      <c r="S2700" s="75">
        <f>0.5*(Q2699+Q2700)*R2700</f>
        <v>0.016255160470769695</v>
      </c>
      <c r="T2700" s="75">
        <f>0.5*(F2699*Q2699+F2700*Q2700)*R2700</f>
        <v>0.19511377205122424</v>
      </c>
      <c r="U2700" s="76">
        <f>U2699+S2700</f>
        <v>17.725108294934063</v>
      </c>
      <c r="V2700" s="76">
        <f>V2699+T2700</f>
        <v>127.59702542141953</v>
      </c>
    </row>
    <row r="2701" spans="1:22" ht="19" customHeight="1">
      <c r="A2701" s="68" t="s">
        <v>376</v>
      </c>
      <c r="B2701" s="74">
        <v>4</v>
      </c>
      <c r="C2701" s="68" t="s">
        <v>363</v>
      </c>
      <c r="D2701" s="68" t="s">
        <v>364</v>
      </c>
      <c r="E2701" s="75">
        <f>60*F2701*'THAM_SO_MOI'!$C$52/(2*PI()*'THAM_SO_MOI'!$C$26)</f>
        <v>1890.2016508128672</v>
      </c>
      <c r="F2701" s="75">
        <f>'HANH_TRINH'!$F$2468+('THAM_SO_MOI'!$F$52-'HANH_TRINH'!$F$2468)*232/'THAM_SO_MOI'!$C$42</f>
        <v>12.015104586574916</v>
      </c>
      <c r="G2701" s="75">
        <f>3.6*F2701</f>
        <v>43.2543765116697</v>
      </c>
      <c r="H2701" s="75">
        <f>'THAM_SO_MOI'!$D$52</f>
        <v>1.1774754878398197</v>
      </c>
      <c r="I2701" s="75">
        <f>IF(F2701&gt;'THAM_SO_MOI'!$C$14,'THAM_SO_MOI'!$C$13*(1+F2701^2/1500),'THAM_SO_MOI'!$C$13)</f>
        <v>0.015</v>
      </c>
      <c r="J2701" s="75">
        <f>'THAM_SO_MOI'!$C$40*('THAM_SO_MOI'!$C$23*(E2701/'THAM_SO_MOI'!$C$22)+'THAM_SO_MOI'!$C$24*(E2701/'THAM_SO_MOI'!$C$22)^2-'THAM_SO_MOI'!$C$25*(E2701/'THAM_SO_MOI'!$C$22)^3)</f>
        <v>84.39064351599437</v>
      </c>
      <c r="K2701" s="75">
        <f>'THAM_SO_MOI'!$C$31*J2701/E2701</f>
        <v>426.42187827686115</v>
      </c>
      <c r="L2701" s="75">
        <f>K2701*'THAM_SO_MOI'!$C$52*'THAM_SO_MOI'!$C$17/'THAM_SO_MOI'!$C$26</f>
        <v>5971.2823218477615</v>
      </c>
      <c r="M2701" s="75">
        <f>'THAM_SO_MOI'!$C$15*'THAM_SO_MOI'!$C$16*F2701^2</f>
        <v>422.26100931202575</v>
      </c>
      <c r="N2701" s="75">
        <f>'THAM_SO_MOI'!$C$12*I2701</f>
        <v>1130.112</v>
      </c>
      <c r="O2701" s="75">
        <f>M2701+N2701</f>
        <v>1552.3730093120257</v>
      </c>
      <c r="P2701" s="75">
        <f>(MIN(L2701,'THAM_SO_MOI'!$C$41)-O2701)/('THAM_SO_MOI'!$C$11*H2701)</f>
        <v>0.4886546027314811</v>
      </c>
      <c r="Q2701" s="75">
        <f>IF(P2701&gt;0,1/P2701,NA())</f>
        <v>2.0464352416005105</v>
      </c>
      <c r="R2701" s="75">
        <f>F2701-F2700</f>
        <v>0.007943393307218827</v>
      </c>
      <c r="S2701" s="75">
        <f>0.5*(Q2700+Q2701)*R2701</f>
        <v>0.016255478629085794</v>
      </c>
      <c r="T2701" s="75">
        <f>0.5*(F2700*Q2700+F2701*Q2701)*R2701</f>
        <v>0.1952467146441487</v>
      </c>
      <c r="U2701" s="76">
        <f>U2700+S2701</f>
        <v>17.741363773563148</v>
      </c>
      <c r="V2701" s="76">
        <f>V2700+T2701</f>
        <v>127.79227213606367</v>
      </c>
    </row>
    <row r="2702" spans="1:22" ht="19" customHeight="1">
      <c r="A2702" s="68" t="s">
        <v>376</v>
      </c>
      <c r="B2702" s="74">
        <v>4</v>
      </c>
      <c r="C2702" s="68" t="s">
        <v>363</v>
      </c>
      <c r="D2702" s="68" t="s">
        <v>364</v>
      </c>
      <c r="E2702" s="75">
        <f>60*F2702*'THAM_SO_MOI'!$C$52/(2*PI()*'THAM_SO_MOI'!$C$26)</f>
        <v>1891.451295793831</v>
      </c>
      <c r="F2702" s="75">
        <f>'HANH_TRINH'!$F$2468+('THAM_SO_MOI'!$F$52-'HANH_TRINH'!$F$2468)*233/'THAM_SO_MOI'!$C$42</f>
        <v>12.023047979882136</v>
      </c>
      <c r="G2702" s="75">
        <f>3.6*F2702</f>
        <v>43.28297272757569</v>
      </c>
      <c r="H2702" s="75">
        <f>'THAM_SO_MOI'!$D$52</f>
        <v>1.1774754878398197</v>
      </c>
      <c r="I2702" s="75">
        <f>IF(F2702&gt;'THAM_SO_MOI'!$C$14,'THAM_SO_MOI'!$C$13*(1+F2702^2/1500),'THAM_SO_MOI'!$C$13)</f>
        <v>0.015</v>
      </c>
      <c r="J2702" s="75">
        <f>'THAM_SO_MOI'!$C$40*('THAM_SO_MOI'!$C$23*(E2702/'THAM_SO_MOI'!$C$22)+'THAM_SO_MOI'!$C$24*(E2702/'THAM_SO_MOI'!$C$22)^2-'THAM_SO_MOI'!$C$25*(E2702/'THAM_SO_MOI'!$C$22)^3)</f>
        <v>84.4530581690842</v>
      </c>
      <c r="K2702" s="75">
        <f>'THAM_SO_MOI'!$C$31*J2702/E2702</f>
        <v>426.45531954598783</v>
      </c>
      <c r="L2702" s="75">
        <f>K2702*'THAM_SO_MOI'!$C$52*'THAM_SO_MOI'!$C$17/'THAM_SO_MOI'!$C$26</f>
        <v>5971.750607527576</v>
      </c>
      <c r="M2702" s="75">
        <f>'THAM_SO_MOI'!$C$15*'THAM_SO_MOI'!$C$16*F2702^2</f>
        <v>422.8195219751527</v>
      </c>
      <c r="N2702" s="75">
        <f>'THAM_SO_MOI'!$C$12*I2702</f>
        <v>1130.112</v>
      </c>
      <c r="O2702" s="75">
        <f>M2702+N2702</f>
        <v>1552.931521975153</v>
      </c>
      <c r="P2702" s="75">
        <f>(MIN(L2702,'THAM_SO_MOI'!$C$41)-O2702)/('THAM_SO_MOI'!$C$11*H2702)</f>
        <v>0.48864462519458957</v>
      </c>
      <c r="Q2702" s="75">
        <f>IF(P2702&gt;0,1/P2702,NA())</f>
        <v>2.0464770273524997</v>
      </c>
      <c r="R2702" s="75">
        <f>F2702-F2701</f>
        <v>0.007943393307220603</v>
      </c>
      <c r="S2702" s="75">
        <f>0.5*(Q2701+Q2702)*R2702</f>
        <v>0.016255805962121218</v>
      </c>
      <c r="T2702" s="75">
        <f>0.5*(F2701*Q2701+F2702*Q2702)*R2702</f>
        <v>0.19537977256324007</v>
      </c>
      <c r="U2702" s="76">
        <f>U2701+S2702</f>
        <v>17.75761957952527</v>
      </c>
      <c r="V2702" s="76">
        <f>V2701+T2702</f>
        <v>127.98765190862692</v>
      </c>
    </row>
    <row r="2703" spans="1:22" ht="19" customHeight="1">
      <c r="A2703" s="68" t="s">
        <v>376</v>
      </c>
      <c r="B2703" s="74">
        <v>4</v>
      </c>
      <c r="C2703" s="68" t="s">
        <v>363</v>
      </c>
      <c r="D2703" s="68" t="s">
        <v>364</v>
      </c>
      <c r="E2703" s="75">
        <f>60*F2703*'THAM_SO_MOI'!$C$52/(2*PI()*'THAM_SO_MOI'!$C$26)</f>
        <v>1892.700940774794</v>
      </c>
      <c r="F2703" s="75">
        <f>'HANH_TRINH'!$F$2468+('THAM_SO_MOI'!$F$52-'HANH_TRINH'!$F$2468)*234/'THAM_SO_MOI'!$C$42</f>
        <v>12.030991373189355</v>
      </c>
      <c r="G2703" s="75">
        <f>3.6*F2703</f>
        <v>43.31156894348168</v>
      </c>
      <c r="H2703" s="75">
        <f>'THAM_SO_MOI'!$D$52</f>
        <v>1.1774754878398197</v>
      </c>
      <c r="I2703" s="75">
        <f>IF(F2703&gt;'THAM_SO_MOI'!$C$14,'THAM_SO_MOI'!$C$13*(1+F2703^2/1500),'THAM_SO_MOI'!$C$13)</f>
        <v>0.015</v>
      </c>
      <c r="J2703" s="75">
        <f>'THAM_SO_MOI'!$C$40*('THAM_SO_MOI'!$C$23*(E2703/'THAM_SO_MOI'!$C$22)+'THAM_SO_MOI'!$C$24*(E2703/'THAM_SO_MOI'!$C$22)^2-'THAM_SO_MOI'!$C$25*(E2703/'THAM_SO_MOI'!$C$22)^3)</f>
        <v>84.51545155087717</v>
      </c>
      <c r="K2703" s="75">
        <f>'THAM_SO_MOI'!$C$31*J2703/E2703</f>
        <v>426.48860931538695</v>
      </c>
      <c r="L2703" s="75">
        <f>K2703*'THAM_SO_MOI'!$C$52*'THAM_SO_MOI'!$C$17/'THAM_SO_MOI'!$C$26</f>
        <v>5972.216771722327</v>
      </c>
      <c r="M2703" s="75">
        <f>'THAM_SO_MOI'!$C$15*'THAM_SO_MOI'!$C$16*F2703^2</f>
        <v>423.37840375863834</v>
      </c>
      <c r="N2703" s="75">
        <f>'THAM_SO_MOI'!$C$12*I2703</f>
        <v>1130.112</v>
      </c>
      <c r="O2703" s="75">
        <f>M2703+N2703</f>
        <v>1553.4904037586384</v>
      </c>
      <c r="P2703" s="75">
        <f>(MIN(L2703,'THAM_SO_MOI'!$C$41)-O2703)/('THAM_SO_MOI'!$C$11*H2703)</f>
        <v>0.4886343722400062</v>
      </c>
      <c r="Q2703" s="75">
        <f>IF(P2703&gt;0,1/P2703,NA())</f>
        <v>2.0465199683267934</v>
      </c>
      <c r="R2703" s="75">
        <f>F2703-F2702</f>
        <v>0.007943393307218827</v>
      </c>
      <c r="S2703" s="75">
        <f>0.5*(Q2702+Q2703)*R2703</f>
        <v>0.01625614247097283</v>
      </c>
      <c r="T2703" s="75">
        <f>0.5*(F2702*Q2702+F2703*Q2703)*R2703</f>
        <v>0.19551294604032565</v>
      </c>
      <c r="U2703" s="76">
        <f>U2702+S2703</f>
        <v>17.77387572199624</v>
      </c>
      <c r="V2703" s="76">
        <f>V2702+T2703</f>
        <v>128.18316485466724</v>
      </c>
    </row>
    <row r="2704" spans="1:22" ht="19" customHeight="1">
      <c r="A2704" s="68" t="s">
        <v>376</v>
      </c>
      <c r="B2704" s="74">
        <v>4</v>
      </c>
      <c r="C2704" s="68" t="s">
        <v>363</v>
      </c>
      <c r="D2704" s="68" t="s">
        <v>364</v>
      </c>
      <c r="E2704" s="75">
        <f>60*F2704*'THAM_SO_MOI'!$C$52/(2*PI()*'THAM_SO_MOI'!$C$26)</f>
        <v>1893.9505857557572</v>
      </c>
      <c r="F2704" s="75">
        <f>'HANH_TRINH'!$F$2468+('THAM_SO_MOI'!$F$52-'HANH_TRINH'!$F$2468)*235/'THAM_SO_MOI'!$C$42</f>
        <v>12.038934766496574</v>
      </c>
      <c r="G2704" s="75">
        <f>3.6*F2704</f>
        <v>43.34016515938767</v>
      </c>
      <c r="H2704" s="75">
        <f>'THAM_SO_MOI'!$D$52</f>
        <v>1.1774754878398197</v>
      </c>
      <c r="I2704" s="75">
        <f>IF(F2704&gt;'THAM_SO_MOI'!$C$14,'THAM_SO_MOI'!$C$13*(1+F2704^2/1500),'THAM_SO_MOI'!$C$13)</f>
        <v>0.015</v>
      </c>
      <c r="J2704" s="75">
        <f>'THAM_SO_MOI'!$C$40*('THAM_SO_MOI'!$C$23*(E2704/'THAM_SO_MOI'!$C$22)+'THAM_SO_MOI'!$C$24*(E2704/'THAM_SO_MOI'!$C$22)^2-'THAM_SO_MOI'!$C$25*(E2704/'THAM_SO_MOI'!$C$22)^3)</f>
        <v>84.57782360190767</v>
      </c>
      <c r="K2704" s="75">
        <f>'THAM_SO_MOI'!$C$31*J2704/E2704</f>
        <v>426.5217475850587</v>
      </c>
      <c r="L2704" s="75">
        <f>K2704*'THAM_SO_MOI'!$C$52*'THAM_SO_MOI'!$C$17/'THAM_SO_MOI'!$C$26</f>
        <v>5972.68081443202</v>
      </c>
      <c r="M2704" s="75">
        <f>'THAM_SO_MOI'!$C$15*'THAM_SO_MOI'!$C$16*F2704^2</f>
        <v>423.93765466248277</v>
      </c>
      <c r="N2704" s="75">
        <f>'THAM_SO_MOI'!$C$12*I2704</f>
        <v>1130.112</v>
      </c>
      <c r="O2704" s="75">
        <f>M2704+N2704</f>
        <v>1554.049654662483</v>
      </c>
      <c r="P2704" s="75">
        <f>(MIN(L2704,'THAM_SO_MOI'!$C$41)-O2704)/('THAM_SO_MOI'!$C$11*H2704)</f>
        <v>0.48862384386773167</v>
      </c>
      <c r="Q2704" s="75">
        <f>IF(P2704&gt;0,1/P2704,NA())</f>
        <v>2.046564064668722</v>
      </c>
      <c r="R2704" s="75">
        <f>F2704-F2703</f>
        <v>0.007943393307218827</v>
      </c>
      <c r="S2704" s="75">
        <f>0.5*(Q2703+Q2704)*R2704</f>
        <v>0.01625648815679041</v>
      </c>
      <c r="T2704" s="75">
        <f>0.5*(F2703*Q2703+F2704*Q2704)*R2704</f>
        <v>0.19564623530790431</v>
      </c>
      <c r="U2704" s="76">
        <f>U2703+S2704</f>
        <v>17.790132210153033</v>
      </c>
      <c r="V2704" s="76">
        <f>V2703+T2704</f>
        <v>128.37881108997513</v>
      </c>
    </row>
    <row r="2705" spans="1:22" ht="19" customHeight="1">
      <c r="A2705" s="68" t="s">
        <v>376</v>
      </c>
      <c r="B2705" s="74">
        <v>4</v>
      </c>
      <c r="C2705" s="68" t="s">
        <v>363</v>
      </c>
      <c r="D2705" s="68" t="s">
        <v>364</v>
      </c>
      <c r="E2705" s="75">
        <f>60*F2705*'THAM_SO_MOI'!$C$52/(2*PI()*'THAM_SO_MOI'!$C$26)</f>
        <v>1895.2002307367206</v>
      </c>
      <c r="F2705" s="75">
        <f>'HANH_TRINH'!$F$2468+('THAM_SO_MOI'!$F$52-'HANH_TRINH'!$F$2468)*236/'THAM_SO_MOI'!$C$42</f>
        <v>12.046878159803795</v>
      </c>
      <c r="G2705" s="75">
        <f>3.6*F2705</f>
        <v>43.36876137529366</v>
      </c>
      <c r="H2705" s="75">
        <f>'THAM_SO_MOI'!$D$52</f>
        <v>1.1774754878398197</v>
      </c>
      <c r="I2705" s="75">
        <f>IF(F2705&gt;'THAM_SO_MOI'!$C$14,'THAM_SO_MOI'!$C$13*(1+F2705^2/1500),'THAM_SO_MOI'!$C$13)</f>
        <v>0.015</v>
      </c>
      <c r="J2705" s="75">
        <f>'THAM_SO_MOI'!$C$40*('THAM_SO_MOI'!$C$23*(E2705/'THAM_SO_MOI'!$C$22)+'THAM_SO_MOI'!$C$24*(E2705/'THAM_SO_MOI'!$C$22)^2-'THAM_SO_MOI'!$C$25*(E2705/'THAM_SO_MOI'!$C$22)^3)</f>
        <v>84.64017426270996</v>
      </c>
      <c r="K2705" s="75">
        <f>'THAM_SO_MOI'!$C$31*J2705/E2705</f>
        <v>426.55473435500284</v>
      </c>
      <c r="L2705" s="75">
        <f>K2705*'THAM_SO_MOI'!$C$52*'THAM_SO_MOI'!$C$17/'THAM_SO_MOI'!$C$26</f>
        <v>5973.142735656649</v>
      </c>
      <c r="M2705" s="75">
        <f>'THAM_SO_MOI'!$C$15*'THAM_SO_MOI'!$C$16*F2705^2</f>
        <v>424.49727468668624</v>
      </c>
      <c r="N2705" s="75">
        <f>'THAM_SO_MOI'!$C$12*I2705</f>
        <v>1130.112</v>
      </c>
      <c r="O2705" s="75">
        <f>M2705+N2705</f>
        <v>1554.6092746866864</v>
      </c>
      <c r="P2705" s="75">
        <f>(MIN(L2705,'THAM_SO_MOI'!$C$41)-O2705)/('THAM_SO_MOI'!$C$11*H2705)</f>
        <v>0.48861304007776524</v>
      </c>
      <c r="Q2705" s="75">
        <f>IF(P2705&gt;0,1/P2705,NA())</f>
        <v>2.046609316527543</v>
      </c>
      <c r="R2705" s="75">
        <f>F2705-F2704</f>
        <v>0.007943393307220603</v>
      </c>
      <c r="S2705" s="75">
        <f>0.5*(Q2704+Q2705)*R2705</f>
        <v>0.01625684302074397</v>
      </c>
      <c r="T2705" s="75">
        <f>0.5*(F2704*Q2704+F2705*Q2705)*R2705</f>
        <v>0.19577964059875524</v>
      </c>
      <c r="U2705" s="76">
        <f>U2704+S2705</f>
        <v>17.806389053173778</v>
      </c>
      <c r="V2705" s="76">
        <f>V2704+T2705</f>
        <v>128.57459073057387</v>
      </c>
    </row>
    <row r="2706" spans="1:22" ht="19" customHeight="1">
      <c r="A2706" s="68" t="s">
        <v>376</v>
      </c>
      <c r="B2706" s="74">
        <v>4</v>
      </c>
      <c r="C2706" s="68" t="s">
        <v>363</v>
      </c>
      <c r="D2706" s="68" t="s">
        <v>364</v>
      </c>
      <c r="E2706" s="75">
        <f>60*F2706*'THAM_SO_MOI'!$C$52/(2*PI()*'THAM_SO_MOI'!$C$26)</f>
        <v>1896.4498757176834</v>
      </c>
      <c r="F2706" s="75">
        <f>'HANH_TRINH'!$F$2468+('THAM_SO_MOI'!$F$52-'HANH_TRINH'!$F$2468)*237/'THAM_SO_MOI'!$C$42</f>
        <v>12.054821553111013</v>
      </c>
      <c r="G2706" s="75">
        <f>3.6*F2706</f>
        <v>43.39735759119965</v>
      </c>
      <c r="H2706" s="75">
        <f>'THAM_SO_MOI'!$D$52</f>
        <v>1.1774754878398197</v>
      </c>
      <c r="I2706" s="75">
        <f>IF(F2706&gt;'THAM_SO_MOI'!$C$14,'THAM_SO_MOI'!$C$13*(1+F2706^2/1500),'THAM_SO_MOI'!$C$13)</f>
        <v>0.015</v>
      </c>
      <c r="J2706" s="75">
        <f>'THAM_SO_MOI'!$C$40*('THAM_SO_MOI'!$C$23*(E2706/'THAM_SO_MOI'!$C$22)+'THAM_SO_MOI'!$C$24*(E2706/'THAM_SO_MOI'!$C$22)^2-'THAM_SO_MOI'!$C$25*(E2706/'THAM_SO_MOI'!$C$22)^3)</f>
        <v>84.70250347381835</v>
      </c>
      <c r="K2706" s="75">
        <f>'THAM_SO_MOI'!$C$31*J2706/E2706</f>
        <v>426.58756962521954</v>
      </c>
      <c r="L2706" s="75">
        <f>K2706*'THAM_SO_MOI'!$C$52*'THAM_SO_MOI'!$C$17/'THAM_SO_MOI'!$C$26</f>
        <v>5973.602535396217</v>
      </c>
      <c r="M2706" s="75">
        <f>'THAM_SO_MOI'!$C$15*'THAM_SO_MOI'!$C$16*F2706^2</f>
        <v>425.05726383124824</v>
      </c>
      <c r="N2706" s="75">
        <f>'THAM_SO_MOI'!$C$12*I2706</f>
        <v>1130.112</v>
      </c>
      <c r="O2706" s="75">
        <f>M2706+N2706</f>
        <v>1555.1692638312484</v>
      </c>
      <c r="P2706" s="75">
        <f>(MIN(L2706,'THAM_SO_MOI'!$C$41)-O2706)/('THAM_SO_MOI'!$C$11*H2706)</f>
        <v>0.48860196087010727</v>
      </c>
      <c r="Q2706" s="75">
        <f>IF(P2706&gt;0,1/P2706,NA())</f>
        <v>2.046655724056428</v>
      </c>
      <c r="R2706" s="75">
        <f>F2706-F2705</f>
        <v>0.007943393307218827</v>
      </c>
      <c r="S2706" s="75">
        <f>0.5*(Q2705+Q2706)*R2706</f>
        <v>0.016257207064023754</v>
      </c>
      <c r="T2706" s="75">
        <f>0.5*(F2705*Q2705+F2706*Q2706)*R2706</f>
        <v>0.1959131621459387</v>
      </c>
      <c r="U2706" s="76">
        <f>U2705+S2706</f>
        <v>17.8226462602378</v>
      </c>
      <c r="V2706" s="76">
        <f>V2705+T2706</f>
        <v>128.7705038927198</v>
      </c>
    </row>
    <row r="2707" spans="1:22" ht="19" customHeight="1">
      <c r="A2707" s="68" t="s">
        <v>376</v>
      </c>
      <c r="B2707" s="74">
        <v>4</v>
      </c>
      <c r="C2707" s="68" t="s">
        <v>363</v>
      </c>
      <c r="D2707" s="68" t="s">
        <v>364</v>
      </c>
      <c r="E2707" s="75">
        <f>60*F2707*'THAM_SO_MOI'!$C$52/(2*PI()*'THAM_SO_MOI'!$C$26)</f>
        <v>1897.6995206986467</v>
      </c>
      <c r="F2707" s="75">
        <f>'HANH_TRINH'!$F$2468+('THAM_SO_MOI'!$F$52-'HANH_TRINH'!$F$2468)*238/'THAM_SO_MOI'!$C$42</f>
        <v>12.062764946418232</v>
      </c>
      <c r="G2707" s="75">
        <f>3.6*F2707</f>
        <v>43.425953807105635</v>
      </c>
      <c r="H2707" s="75">
        <f>'THAM_SO_MOI'!$D$52</f>
        <v>1.1774754878398197</v>
      </c>
      <c r="I2707" s="75">
        <f>IF(F2707&gt;'THAM_SO_MOI'!$C$14,'THAM_SO_MOI'!$C$13*(1+F2707^2/1500),'THAM_SO_MOI'!$C$13)</f>
        <v>0.015</v>
      </c>
      <c r="J2707" s="75">
        <f>'THAM_SO_MOI'!$C$40*('THAM_SO_MOI'!$C$23*(E2707/'THAM_SO_MOI'!$C$22)+'THAM_SO_MOI'!$C$24*(E2707/'THAM_SO_MOI'!$C$22)^2-'THAM_SO_MOI'!$C$25*(E2707/'THAM_SO_MOI'!$C$22)^3)</f>
        <v>84.76481117576722</v>
      </c>
      <c r="K2707" s="75">
        <f>'THAM_SO_MOI'!$C$31*J2707/E2707</f>
        <v>426.6202533957088</v>
      </c>
      <c r="L2707" s="75">
        <f>K2707*'THAM_SO_MOI'!$C$52*'THAM_SO_MOI'!$C$17/'THAM_SO_MOI'!$C$26</f>
        <v>5974.060213650726</v>
      </c>
      <c r="M2707" s="75">
        <f>'THAM_SO_MOI'!$C$15*'THAM_SO_MOI'!$C$16*F2707^2</f>
        <v>425.61762209616916</v>
      </c>
      <c r="N2707" s="75">
        <f>'THAM_SO_MOI'!$C$12*I2707</f>
        <v>1130.112</v>
      </c>
      <c r="O2707" s="75">
        <f>M2707+N2707</f>
        <v>1555.7296220961694</v>
      </c>
      <c r="P2707" s="75">
        <f>(MIN(L2707,'THAM_SO_MOI'!$C$41)-O2707)/('THAM_SO_MOI'!$C$11*H2707)</f>
        <v>0.488590606244758</v>
      </c>
      <c r="Q2707" s="75">
        <f>IF(P2707&gt;0,1/P2707,NA())</f>
        <v>2.046703287412474</v>
      </c>
      <c r="R2707" s="75">
        <f>F2707-F2706</f>
        <v>0.007943393307218827</v>
      </c>
      <c r="S2707" s="75">
        <f>0.5*(Q2706+Q2707)*R2707</f>
        <v>0.016257580287872973</v>
      </c>
      <c r="T2707" s="75">
        <f>0.5*(F2706*Q2706+F2707*Q2707)*R2707</f>
        <v>0.19604680018319123</v>
      </c>
      <c r="U2707" s="76">
        <f>U2706+S2707</f>
        <v>17.838903840525674</v>
      </c>
      <c r="V2707" s="76">
        <f>V2706+T2707</f>
        <v>128.96655069290298</v>
      </c>
    </row>
    <row r="2708" spans="1:22" ht="19" customHeight="1">
      <c r="A2708" s="68" t="s">
        <v>376</v>
      </c>
      <c r="B2708" s="74">
        <v>4</v>
      </c>
      <c r="C2708" s="68" t="s">
        <v>363</v>
      </c>
      <c r="D2708" s="68" t="s">
        <v>364</v>
      </c>
      <c r="E2708" s="75">
        <f>60*F2708*'THAM_SO_MOI'!$C$52/(2*PI()*'THAM_SO_MOI'!$C$26)</f>
        <v>1898.9491656796101</v>
      </c>
      <c r="F2708" s="75">
        <f>'HANH_TRINH'!$F$2468+('THAM_SO_MOI'!$F$52-'HANH_TRINH'!$F$2468)*239/'THAM_SO_MOI'!$C$42</f>
        <v>12.070708339725453</v>
      </c>
      <c r="G2708" s="75">
        <f>3.6*F2708</f>
        <v>43.454550023011635</v>
      </c>
      <c r="H2708" s="75">
        <f>'THAM_SO_MOI'!$D$52</f>
        <v>1.1774754878398197</v>
      </c>
      <c r="I2708" s="75">
        <f>IF(F2708&gt;'THAM_SO_MOI'!$C$14,'THAM_SO_MOI'!$C$13*(1+F2708^2/1500),'THAM_SO_MOI'!$C$13)</f>
        <v>0.015</v>
      </c>
      <c r="J2708" s="75">
        <f>'THAM_SO_MOI'!$C$40*('THAM_SO_MOI'!$C$23*(E2708/'THAM_SO_MOI'!$C$22)+'THAM_SO_MOI'!$C$24*(E2708/'THAM_SO_MOI'!$C$22)^2-'THAM_SO_MOI'!$C$25*(E2708/'THAM_SO_MOI'!$C$22)^3)</f>
        <v>84.82709730909086</v>
      </c>
      <c r="K2708" s="75">
        <f>'THAM_SO_MOI'!$C$31*J2708/E2708</f>
        <v>426.65278566647066</v>
      </c>
      <c r="L2708" s="75">
        <f>K2708*'THAM_SO_MOI'!$C$52*'THAM_SO_MOI'!$C$17/'THAM_SO_MOI'!$C$26</f>
        <v>5974.515770420175</v>
      </c>
      <c r="M2708" s="75">
        <f>'THAM_SO_MOI'!$C$15*'THAM_SO_MOI'!$C$16*F2708^2</f>
        <v>426.17834948144906</v>
      </c>
      <c r="N2708" s="75">
        <f>'THAM_SO_MOI'!$C$12*I2708</f>
        <v>1130.112</v>
      </c>
      <c r="O2708" s="75">
        <f>M2708+N2708</f>
        <v>1556.290349481449</v>
      </c>
      <c r="P2708" s="75">
        <f>(MIN(L2708,'THAM_SO_MOI'!$C$41)-O2708)/('THAM_SO_MOI'!$C$11*H2708)</f>
        <v>0.4885789762017172</v>
      </c>
      <c r="Q2708" s="75">
        <f>IF(P2708&gt;0,1/P2708,NA())</f>
        <v>2.046752006756703</v>
      </c>
      <c r="R2708" s="75">
        <f>F2708-F2707</f>
        <v>0.007943393307220603</v>
      </c>
      <c r="S2708" s="75">
        <f>0.5*(Q2707+Q2708)*R2708</f>
        <v>0.016257962693555093</v>
      </c>
      <c r="T2708" s="75">
        <f>0.5*(F2707*Q2707+F2708*Q2708)*R2708</f>
        <v>0.1961805549445334</v>
      </c>
      <c r="U2708" s="76">
        <f>U2707+S2708</f>
        <v>17.85516180321923</v>
      </c>
      <c r="V2708" s="76">
        <f>V2707+T2708</f>
        <v>129.16273124784752</v>
      </c>
    </row>
    <row r="2709" spans="1:22" ht="19" customHeight="1">
      <c r="A2709" s="68" t="s">
        <v>376</v>
      </c>
      <c r="B2709" s="74">
        <v>4</v>
      </c>
      <c r="C2709" s="68" t="s">
        <v>363</v>
      </c>
      <c r="D2709" s="68" t="s">
        <v>364</v>
      </c>
      <c r="E2709" s="75">
        <f>60*F2709*'THAM_SO_MOI'!$C$52/(2*PI()*'THAM_SO_MOI'!$C$26)</f>
        <v>1900.1988106605734</v>
      </c>
      <c r="F2709" s="75">
        <f>'HANH_TRINH'!$F$2468+('THAM_SO_MOI'!$F$52-'HANH_TRINH'!$F$2468)*240/'THAM_SO_MOI'!$C$42</f>
        <v>12.078651733032672</v>
      </c>
      <c r="G2709" s="75">
        <f>3.6*F2709</f>
        <v>43.48314623891762</v>
      </c>
      <c r="H2709" s="75">
        <f>'THAM_SO_MOI'!$D$52</f>
        <v>1.1774754878398197</v>
      </c>
      <c r="I2709" s="75">
        <f>IF(F2709&gt;'THAM_SO_MOI'!$C$14,'THAM_SO_MOI'!$C$13*(1+F2709^2/1500),'THAM_SO_MOI'!$C$13)</f>
        <v>0.015</v>
      </c>
      <c r="J2709" s="75">
        <f>'THAM_SO_MOI'!$C$40*('THAM_SO_MOI'!$C$23*(E2709/'THAM_SO_MOI'!$C$22)+'THAM_SO_MOI'!$C$24*(E2709/'THAM_SO_MOI'!$C$22)^2-'THAM_SO_MOI'!$C$25*(E2709/'THAM_SO_MOI'!$C$22)^3)</f>
        <v>84.88936181432354</v>
      </c>
      <c r="K2709" s="75">
        <f>'THAM_SO_MOI'!$C$31*J2709/E2709</f>
        <v>426.685166437505</v>
      </c>
      <c r="L2709" s="75">
        <f>K2709*'THAM_SO_MOI'!$C$52*'THAM_SO_MOI'!$C$17/'THAM_SO_MOI'!$C$26</f>
        <v>5974.969205704561</v>
      </c>
      <c r="M2709" s="75">
        <f>'THAM_SO_MOI'!$C$15*'THAM_SO_MOI'!$C$16*F2709^2</f>
        <v>426.7394459870875</v>
      </c>
      <c r="N2709" s="75">
        <f>'THAM_SO_MOI'!$C$12*I2709</f>
        <v>1130.112</v>
      </c>
      <c r="O2709" s="75">
        <f>M2709+N2709</f>
        <v>1556.8514459870876</v>
      </c>
      <c r="P2709" s="75">
        <f>(MIN(L2709,'THAM_SO_MOI'!$C$41)-O2709)/('THAM_SO_MOI'!$C$11*H2709)</f>
        <v>0.4885670707409848</v>
      </c>
      <c r="Q2709" s="75">
        <f>IF(P2709&gt;0,1/P2709,NA())</f>
        <v>2.0468018822540595</v>
      </c>
      <c r="R2709" s="75">
        <f>F2709-F2708</f>
        <v>0.007943393307218827</v>
      </c>
      <c r="S2709" s="75">
        <f>0.5*(Q2708+Q2709)*R2709</f>
        <v>0.016258354282353844</v>
      </c>
      <c r="T2709" s="75">
        <f>0.5*(F2708*Q2708+F2709*Q2709)*R2709</f>
        <v>0.1963144266642708</v>
      </c>
      <c r="U2709" s="76">
        <f>U2708+S2709</f>
        <v>17.871420157501582</v>
      </c>
      <c r="V2709" s="76">
        <f>V2708+T2709</f>
        <v>129.35904567451178</v>
      </c>
    </row>
    <row r="2710" spans="1:22" ht="19" customHeight="1">
      <c r="A2710" s="68" t="s">
        <v>376</v>
      </c>
      <c r="B2710" s="74">
        <v>4</v>
      </c>
      <c r="C2710" s="68" t="s">
        <v>363</v>
      </c>
      <c r="D2710" s="68" t="s">
        <v>364</v>
      </c>
      <c r="E2710" s="75">
        <f>60*F2710*'THAM_SO_MOI'!$C$52/(2*PI()*'THAM_SO_MOI'!$C$26)</f>
        <v>1901.4484556415366</v>
      </c>
      <c r="F2710" s="75">
        <f>'HANH_TRINH'!$F$2468+('THAM_SO_MOI'!$F$52-'HANH_TRINH'!$F$2468)*241/'THAM_SO_MOI'!$C$42</f>
        <v>12.08659512633989</v>
      </c>
      <c r="G2710" s="75">
        <f>3.6*F2710</f>
        <v>43.511742454823604</v>
      </c>
      <c r="H2710" s="75">
        <f>'THAM_SO_MOI'!$D$52</f>
        <v>1.1774754878398197</v>
      </c>
      <c r="I2710" s="75">
        <f>IF(F2710&gt;'THAM_SO_MOI'!$C$14,'THAM_SO_MOI'!$C$13*(1+F2710^2/1500),'THAM_SO_MOI'!$C$13)</f>
        <v>0.015</v>
      </c>
      <c r="J2710" s="75">
        <f>'THAM_SO_MOI'!$C$40*('THAM_SO_MOI'!$C$23*(E2710/'THAM_SO_MOI'!$C$22)+'THAM_SO_MOI'!$C$24*(E2710/'THAM_SO_MOI'!$C$22)^2-'THAM_SO_MOI'!$C$25*(E2710/'THAM_SO_MOI'!$C$22)^3)</f>
        <v>84.9516046319996</v>
      </c>
      <c r="K2710" s="75">
        <f>'THAM_SO_MOI'!$C$31*J2710/E2710</f>
        <v>426.7173957088119</v>
      </c>
      <c r="L2710" s="75">
        <f>K2710*'THAM_SO_MOI'!$C$52*'THAM_SO_MOI'!$C$17/'THAM_SO_MOI'!$C$26</f>
        <v>5975.420519503887</v>
      </c>
      <c r="M2710" s="75">
        <f>'THAM_SO_MOI'!$C$15*'THAM_SO_MOI'!$C$16*F2710^2</f>
        <v>427.30091161308485</v>
      </c>
      <c r="N2710" s="75">
        <f>'THAM_SO_MOI'!$C$12*I2710</f>
        <v>1130.112</v>
      </c>
      <c r="O2710" s="75">
        <f>M2710+N2710</f>
        <v>1557.4129116130848</v>
      </c>
      <c r="P2710" s="75">
        <f>(MIN(L2710,'THAM_SO_MOI'!$C$41)-O2710)/('THAM_SO_MOI'!$C$11*H2710)</f>
        <v>0.4885548898625608</v>
      </c>
      <c r="Q2710" s="75">
        <f>IF(P2710&gt;0,1/P2710,NA())</f>
        <v>2.0468529140734173</v>
      </c>
      <c r="R2710" s="75">
        <f>F2710-F2709</f>
        <v>0.007943393307218827</v>
      </c>
      <c r="S2710" s="75">
        <f>0.5*(Q2709+Q2710)*R2710</f>
        <v>0.016258755055605964</v>
      </c>
      <c r="T2710" s="75">
        <f>0.5*(F2709*Q2709+F2710*Q2710)*R2710</f>
        <v>0.1964484155773899</v>
      </c>
      <c r="U2710" s="76">
        <f>U2709+S2710</f>
        <v>17.88767891255719</v>
      </c>
      <c r="V2710" s="76">
        <f>V2709+T2710</f>
        <v>129.55549409008916</v>
      </c>
    </row>
    <row r="2711" spans="1:22" ht="19" customHeight="1">
      <c r="A2711" s="68" t="s">
        <v>376</v>
      </c>
      <c r="B2711" s="74">
        <v>4</v>
      </c>
      <c r="C2711" s="68" t="s">
        <v>363</v>
      </c>
      <c r="D2711" s="68" t="s">
        <v>364</v>
      </c>
      <c r="E2711" s="75">
        <f>60*F2711*'THAM_SO_MOI'!$C$52/(2*PI()*'THAM_SO_MOI'!$C$26)</f>
        <v>1902.6981006225</v>
      </c>
      <c r="F2711" s="75">
        <f>'HANH_TRINH'!$F$2468+('THAM_SO_MOI'!$F$52-'HANH_TRINH'!$F$2468)*242/'THAM_SO_MOI'!$C$42</f>
        <v>12.094538519647111</v>
      </c>
      <c r="G2711" s="75">
        <f>3.6*F2711</f>
        <v>43.540338670729604</v>
      </c>
      <c r="H2711" s="75">
        <f>'THAM_SO_MOI'!$D$52</f>
        <v>1.1774754878398197</v>
      </c>
      <c r="I2711" s="75">
        <f>IF(F2711&gt;'THAM_SO_MOI'!$C$14,'THAM_SO_MOI'!$C$13*(1+F2711^2/1500),'THAM_SO_MOI'!$C$13)</f>
        <v>0.015</v>
      </c>
      <c r="J2711" s="75">
        <f>'THAM_SO_MOI'!$C$40*('THAM_SO_MOI'!$C$23*(E2711/'THAM_SO_MOI'!$C$22)+'THAM_SO_MOI'!$C$24*(E2711/'THAM_SO_MOI'!$C$22)^2-'THAM_SO_MOI'!$C$25*(E2711/'THAM_SO_MOI'!$C$22)^3)</f>
        <v>85.01382570265334</v>
      </c>
      <c r="K2711" s="75">
        <f>'THAM_SO_MOI'!$C$31*J2711/E2711</f>
        <v>426.7494734803912</v>
      </c>
      <c r="L2711" s="75">
        <f>K2711*'THAM_SO_MOI'!$C$52*'THAM_SO_MOI'!$C$17/'THAM_SO_MOI'!$C$26</f>
        <v>5975.869711818151</v>
      </c>
      <c r="M2711" s="75">
        <f>'THAM_SO_MOI'!$C$15*'THAM_SO_MOI'!$C$16*F2711^2</f>
        <v>427.8627463594412</v>
      </c>
      <c r="N2711" s="75">
        <f>'THAM_SO_MOI'!$C$12*I2711</f>
        <v>1130.112</v>
      </c>
      <c r="O2711" s="75">
        <f>M2711+N2711</f>
        <v>1557.9747463594413</v>
      </c>
      <c r="P2711" s="75">
        <f>(MIN(L2711,'THAM_SO_MOI'!$C$41)-O2711)/('THAM_SO_MOI'!$C$11*H2711)</f>
        <v>0.4885424335664453</v>
      </c>
      <c r="Q2711" s="75">
        <f>IF(P2711&gt;0,1/P2711,NA())</f>
        <v>2.0469051023875755</v>
      </c>
      <c r="R2711" s="75">
        <f>F2711-F2710</f>
        <v>0.007943393307220603</v>
      </c>
      <c r="S2711" s="75">
        <f>0.5*(Q2710+Q2711)*R2711</f>
        <v>0.01625916501466847</v>
      </c>
      <c r="T2711" s="75">
        <f>0.5*(F2710*Q2710+F2711*Q2711)*R2711</f>
        <v>0.19658252191916525</v>
      </c>
      <c r="U2711" s="76">
        <f>U2710+S2711</f>
        <v>17.90393807757186</v>
      </c>
      <c r="V2711" s="76">
        <f>V2710+T2711</f>
        <v>129.75207661200832</v>
      </c>
    </row>
    <row r="2712" spans="1:22" ht="19" customHeight="1">
      <c r="A2712" s="68" t="s">
        <v>376</v>
      </c>
      <c r="B2712" s="74">
        <v>4</v>
      </c>
      <c r="C2712" s="68" t="s">
        <v>363</v>
      </c>
      <c r="D2712" s="68" t="s">
        <v>364</v>
      </c>
      <c r="E2712" s="75">
        <f>60*F2712*'THAM_SO_MOI'!$C$52/(2*PI()*'THAM_SO_MOI'!$C$26)</f>
        <v>1903.9477456034633</v>
      </c>
      <c r="F2712" s="75">
        <f>'HANH_TRINH'!$F$2468+('THAM_SO_MOI'!$F$52-'HANH_TRINH'!$F$2468)*243/'THAM_SO_MOI'!$C$42</f>
        <v>12.10248191295433</v>
      </c>
      <c r="G2712" s="75">
        <f>3.6*F2712</f>
        <v>43.56893488663559</v>
      </c>
      <c r="H2712" s="75">
        <f>'THAM_SO_MOI'!$D$52</f>
        <v>1.1774754878398197</v>
      </c>
      <c r="I2712" s="75">
        <f>IF(F2712&gt;'THAM_SO_MOI'!$C$14,'THAM_SO_MOI'!$C$13*(1+F2712^2/1500),'THAM_SO_MOI'!$C$13)</f>
        <v>0.015</v>
      </c>
      <c r="J2712" s="75">
        <f>'THAM_SO_MOI'!$C$40*('THAM_SO_MOI'!$C$23*(E2712/'THAM_SO_MOI'!$C$22)+'THAM_SO_MOI'!$C$24*(E2712/'THAM_SO_MOI'!$C$22)^2-'THAM_SO_MOI'!$C$25*(E2712/'THAM_SO_MOI'!$C$22)^3)</f>
        <v>85.07602496681909</v>
      </c>
      <c r="K2712" s="75">
        <f>'THAM_SO_MOI'!$C$31*J2712/E2712</f>
        <v>426.78139975224303</v>
      </c>
      <c r="L2712" s="75">
        <f>K2712*'THAM_SO_MOI'!$C$52*'THAM_SO_MOI'!$C$17/'THAM_SO_MOI'!$C$26</f>
        <v>5976.316782647353</v>
      </c>
      <c r="M2712" s="75">
        <f>'THAM_SO_MOI'!$C$15*'THAM_SO_MOI'!$C$16*F2712^2</f>
        <v>428.4249502261561</v>
      </c>
      <c r="N2712" s="75">
        <f>'THAM_SO_MOI'!$C$12*I2712</f>
        <v>1130.112</v>
      </c>
      <c r="O2712" s="75">
        <f>M2712+N2712</f>
        <v>1558.5369502261563</v>
      </c>
      <c r="P2712" s="75">
        <f>(MIN(L2712,'THAM_SO_MOI'!$C$41)-O2712)/('THAM_SO_MOI'!$C$11*H2712)</f>
        <v>0.48852970185263805</v>
      </c>
      <c r="Q2712" s="75">
        <f>IF(P2712&gt;0,1/P2712,NA())</f>
        <v>2.0469584473732647</v>
      </c>
      <c r="R2712" s="75">
        <f>F2712-F2711</f>
        <v>0.007943393307218827</v>
      </c>
      <c r="S2712" s="75">
        <f>0.5*(Q2711+Q2712)*R2712</f>
        <v>0.01625958416091868</v>
      </c>
      <c r="T2712" s="75">
        <f>0.5*(F2711*Q2711+F2712*Q2712)*R2712</f>
        <v>0.19671674592515984</v>
      </c>
      <c r="U2712" s="76">
        <f>U2711+S2712</f>
        <v>17.92019766173278</v>
      </c>
      <c r="V2712" s="76">
        <f>V2711+T2712</f>
        <v>129.94879335793348</v>
      </c>
    </row>
    <row r="2713" spans="1:22" ht="19" customHeight="1">
      <c r="A2713" s="68" t="s">
        <v>376</v>
      </c>
      <c r="B2713" s="74">
        <v>4</v>
      </c>
      <c r="C2713" s="68" t="s">
        <v>363</v>
      </c>
      <c r="D2713" s="68" t="s">
        <v>364</v>
      </c>
      <c r="E2713" s="75">
        <f>60*F2713*'THAM_SO_MOI'!$C$52/(2*PI()*'THAM_SO_MOI'!$C$26)</f>
        <v>1905.1973905844263</v>
      </c>
      <c r="F2713" s="75">
        <f>'HANH_TRINH'!$F$2468+('THAM_SO_MOI'!$F$52-'HANH_TRINH'!$F$2468)*244/'THAM_SO_MOI'!$C$42</f>
        <v>12.110425306261549</v>
      </c>
      <c r="G2713" s="75">
        <f>3.6*F2713</f>
        <v>43.59753110254157</v>
      </c>
      <c r="H2713" s="75">
        <f>'THAM_SO_MOI'!$D$52</f>
        <v>1.1774754878398197</v>
      </c>
      <c r="I2713" s="75">
        <f>IF(F2713&gt;'THAM_SO_MOI'!$C$14,'THAM_SO_MOI'!$C$13*(1+F2713^2/1500),'THAM_SO_MOI'!$C$13)</f>
        <v>0.015</v>
      </c>
      <c r="J2713" s="75">
        <f>'THAM_SO_MOI'!$C$40*('THAM_SO_MOI'!$C$23*(E2713/'THAM_SO_MOI'!$C$22)+'THAM_SO_MOI'!$C$24*(E2713/'THAM_SO_MOI'!$C$22)^2-'THAM_SO_MOI'!$C$25*(E2713/'THAM_SO_MOI'!$C$22)^3)</f>
        <v>85.13820236503118</v>
      </c>
      <c r="K2713" s="75">
        <f>'THAM_SO_MOI'!$C$31*J2713/E2713</f>
        <v>426.8131745243676</v>
      </c>
      <c r="L2713" s="75">
        <f>K2713*'THAM_SO_MOI'!$C$52*'THAM_SO_MOI'!$C$17/'THAM_SO_MOI'!$C$26</f>
        <v>5976.761731991496</v>
      </c>
      <c r="M2713" s="75">
        <f>'THAM_SO_MOI'!$C$15*'THAM_SO_MOI'!$C$16*F2713^2</f>
        <v>428.9875232132299</v>
      </c>
      <c r="N2713" s="75">
        <f>'THAM_SO_MOI'!$C$12*I2713</f>
        <v>1130.112</v>
      </c>
      <c r="O2713" s="75">
        <f>M2713+N2713</f>
        <v>1559.09952321323</v>
      </c>
      <c r="P2713" s="75">
        <f>(MIN(L2713,'THAM_SO_MOI'!$C$41)-O2713)/('THAM_SO_MOI'!$C$11*H2713)</f>
        <v>0.4885166947211396</v>
      </c>
      <c r="Q2713" s="75">
        <f>IF(P2713&gt;0,1/P2713,NA())</f>
        <v>2.047012949211144</v>
      </c>
      <c r="R2713" s="75">
        <f>F2713-F2712</f>
        <v>0.007943393307218827</v>
      </c>
      <c r="S2713" s="75">
        <f>0.5*(Q2712+Q2713)*R2713</f>
        <v>0.016260012495786954</v>
      </c>
      <c r="T2713" s="75">
        <f>0.5*(F2712*Q2712+F2713*Q2713)*R2713</f>
        <v>0.19685108783162256</v>
      </c>
      <c r="U2713" s="76">
        <f>U2712+S2713</f>
        <v>17.936457674228567</v>
      </c>
      <c r="V2713" s="76">
        <f>V2712+T2713</f>
        <v>130.1456444457651</v>
      </c>
    </row>
    <row r="2714" spans="1:22" ht="19" customHeight="1">
      <c r="A2714" s="68" t="s">
        <v>376</v>
      </c>
      <c r="B2714" s="74">
        <v>4</v>
      </c>
      <c r="C2714" s="68" t="s">
        <v>363</v>
      </c>
      <c r="D2714" s="68" t="s">
        <v>364</v>
      </c>
      <c r="E2714" s="75">
        <f>60*F2714*'THAM_SO_MOI'!$C$52/(2*PI()*'THAM_SO_MOI'!$C$26)</f>
        <v>1906.44703556539</v>
      </c>
      <c r="F2714" s="75">
        <f>'HANH_TRINH'!$F$2468+('THAM_SO_MOI'!$F$52-'HANH_TRINH'!$F$2468)*245/'THAM_SO_MOI'!$C$42</f>
        <v>12.11836869956877</v>
      </c>
      <c r="G2714" s="75">
        <f>3.6*F2714</f>
        <v>43.62612731844757</v>
      </c>
      <c r="H2714" s="75">
        <f>'THAM_SO_MOI'!$D$52</f>
        <v>1.1774754878398197</v>
      </c>
      <c r="I2714" s="75">
        <f>IF(F2714&gt;'THAM_SO_MOI'!$C$14,'THAM_SO_MOI'!$C$13*(1+F2714^2/1500),'THAM_SO_MOI'!$C$13)</f>
        <v>0.015</v>
      </c>
      <c r="J2714" s="75">
        <f>'THAM_SO_MOI'!$C$40*('THAM_SO_MOI'!$C$23*(E2714/'THAM_SO_MOI'!$C$22)+'THAM_SO_MOI'!$C$24*(E2714/'THAM_SO_MOI'!$C$22)^2-'THAM_SO_MOI'!$C$25*(E2714/'THAM_SO_MOI'!$C$22)^3)</f>
        <v>85.20035783782387</v>
      </c>
      <c r="K2714" s="75">
        <f>'THAM_SO_MOI'!$C$31*J2714/E2714</f>
        <v>426.8447977967644</v>
      </c>
      <c r="L2714" s="75">
        <f>K2714*'THAM_SO_MOI'!$C$52*'THAM_SO_MOI'!$C$17/'THAM_SO_MOI'!$C$26</f>
        <v>5977.204559850577</v>
      </c>
      <c r="M2714" s="75">
        <f>'THAM_SO_MOI'!$C$15*'THAM_SO_MOI'!$C$16*F2714^2</f>
        <v>429.5504653206627</v>
      </c>
      <c r="N2714" s="75">
        <f>'THAM_SO_MOI'!$C$12*I2714</f>
        <v>1130.112</v>
      </c>
      <c r="O2714" s="75">
        <f>M2714+N2714</f>
        <v>1559.6624653206627</v>
      </c>
      <c r="P2714" s="75">
        <f>(MIN(L2714,'THAM_SO_MOI'!$C$41)-O2714)/('THAM_SO_MOI'!$C$11*H2714)</f>
        <v>0.4885034121719494</v>
      </c>
      <c r="Q2714" s="75">
        <f>IF(P2714&gt;0,1/P2714,NA())</f>
        <v>2.0470686080858074</v>
      </c>
      <c r="R2714" s="75">
        <f>F2714-F2713</f>
        <v>0.007943393307220603</v>
      </c>
      <c r="S2714" s="75">
        <f>0.5*(Q2713+Q2714)*R2714</f>
        <v>0.016260450020723953</v>
      </c>
      <c r="T2714" s="75">
        <f>0.5*(F2713*Q2713+F2714*Q2714)*R2714</f>
        <v>0.19698554787509392</v>
      </c>
      <c r="U2714" s="76">
        <f>U2713+S2714</f>
        <v>17.95271812424929</v>
      </c>
      <c r="V2714" s="76">
        <f>V2713+T2714</f>
        <v>130.3426299936402</v>
      </c>
    </row>
    <row r="2715" spans="1:22" ht="19" customHeight="1">
      <c r="A2715" s="68" t="s">
        <v>376</v>
      </c>
      <c r="B2715" s="74">
        <v>4</v>
      </c>
      <c r="C2715" s="68" t="s">
        <v>363</v>
      </c>
      <c r="D2715" s="68" t="s">
        <v>364</v>
      </c>
      <c r="E2715" s="75">
        <f>60*F2715*'THAM_SO_MOI'!$C$52/(2*PI()*'THAM_SO_MOI'!$C$26)</f>
        <v>1907.696680546353</v>
      </c>
      <c r="F2715" s="75">
        <f>'HANH_TRINH'!$F$2468+('THAM_SO_MOI'!$F$52-'HANH_TRINH'!$F$2468)*246/'THAM_SO_MOI'!$C$42</f>
        <v>12.126312092875988</v>
      </c>
      <c r="G2715" s="75">
        <f>3.6*F2715</f>
        <v>43.65472353435356</v>
      </c>
      <c r="H2715" s="75">
        <f>'THAM_SO_MOI'!$D$52</f>
        <v>1.1774754878398197</v>
      </c>
      <c r="I2715" s="75">
        <f>IF(F2715&gt;'THAM_SO_MOI'!$C$14,'THAM_SO_MOI'!$C$13*(1+F2715^2/1500),'THAM_SO_MOI'!$C$13)</f>
        <v>0.015</v>
      </c>
      <c r="J2715" s="75">
        <f>'THAM_SO_MOI'!$C$40*('THAM_SO_MOI'!$C$23*(E2715/'THAM_SO_MOI'!$C$22)+'THAM_SO_MOI'!$C$24*(E2715/'THAM_SO_MOI'!$C$22)^2-'THAM_SO_MOI'!$C$25*(E2715/'THAM_SO_MOI'!$C$22)^3)</f>
        <v>85.2624913257315</v>
      </c>
      <c r="K2715" s="75">
        <f>'THAM_SO_MOI'!$C$31*J2715/E2715</f>
        <v>426.8762695694338</v>
      </c>
      <c r="L2715" s="75">
        <f>K2715*'THAM_SO_MOI'!$C$52*'THAM_SO_MOI'!$C$17/'THAM_SO_MOI'!$C$26</f>
        <v>5977.645266224596</v>
      </c>
      <c r="M2715" s="75">
        <f>'THAM_SO_MOI'!$C$15*'THAM_SO_MOI'!$C$16*F2715^2</f>
        <v>430.113776548454</v>
      </c>
      <c r="N2715" s="75">
        <f>'THAM_SO_MOI'!$C$12*I2715</f>
        <v>1130.112</v>
      </c>
      <c r="O2715" s="75">
        <f>M2715+N2715</f>
        <v>1560.2257765484542</v>
      </c>
      <c r="P2715" s="75">
        <f>(MIN(L2715,'THAM_SO_MOI'!$C$41)-O2715)/('THAM_SO_MOI'!$C$11*H2715)</f>
        <v>0.4884898542050676</v>
      </c>
      <c r="Q2715" s="75">
        <f>IF(P2715&gt;0,1/P2715,NA())</f>
        <v>2.0471254241857824</v>
      </c>
      <c r="R2715" s="75">
        <f>F2715-F2714</f>
        <v>0.007943393307218827</v>
      </c>
      <c r="S2715" s="75">
        <f>0.5*(Q2714+Q2715)*R2715</f>
        <v>0.016260896737200704</v>
      </c>
      <c r="T2715" s="75">
        <f>0.5*(F2714*Q2714+F2715*Q2715)*R2715</f>
        <v>0.1971201262924072</v>
      </c>
      <c r="U2715" s="76">
        <f>U2714+S2715</f>
        <v>17.96897902098649</v>
      </c>
      <c r="V2715" s="76">
        <f>V2714+T2715</f>
        <v>130.53975011993262</v>
      </c>
    </row>
    <row r="2716" spans="1:22" ht="19" customHeight="1">
      <c r="A2716" s="68" t="s">
        <v>376</v>
      </c>
      <c r="B2716" s="74">
        <v>4</v>
      </c>
      <c r="C2716" s="68" t="s">
        <v>363</v>
      </c>
      <c r="D2716" s="68" t="s">
        <v>364</v>
      </c>
      <c r="E2716" s="75">
        <f>60*F2716*'THAM_SO_MOI'!$C$52/(2*PI()*'THAM_SO_MOI'!$C$26)</f>
        <v>1908.9463255273163</v>
      </c>
      <c r="F2716" s="75">
        <f>'HANH_TRINH'!$F$2468+('THAM_SO_MOI'!$F$52-'HANH_TRINH'!$F$2468)*247/'THAM_SO_MOI'!$C$42</f>
        <v>12.134255486183207</v>
      </c>
      <c r="G2716" s="75">
        <f>3.6*F2716</f>
        <v>43.68331975025955</v>
      </c>
      <c r="H2716" s="75">
        <f>'THAM_SO_MOI'!$D$52</f>
        <v>1.1774754878398197</v>
      </c>
      <c r="I2716" s="75">
        <f>IF(F2716&gt;'THAM_SO_MOI'!$C$14,'THAM_SO_MOI'!$C$13*(1+F2716^2/1500),'THAM_SO_MOI'!$C$13)</f>
        <v>0.015</v>
      </c>
      <c r="J2716" s="75">
        <f>'THAM_SO_MOI'!$C$40*('THAM_SO_MOI'!$C$23*(E2716/'THAM_SO_MOI'!$C$22)+'THAM_SO_MOI'!$C$24*(E2716/'THAM_SO_MOI'!$C$22)^2-'THAM_SO_MOI'!$C$25*(E2716/'THAM_SO_MOI'!$C$22)^3)</f>
        <v>85.32460276928842</v>
      </c>
      <c r="K2716" s="75">
        <f>'THAM_SO_MOI'!$C$31*J2716/E2716</f>
        <v>426.90758984237584</v>
      </c>
      <c r="L2716" s="75">
        <f>K2716*'THAM_SO_MOI'!$C$52*'THAM_SO_MOI'!$C$17/'THAM_SO_MOI'!$C$26</f>
        <v>5978.083851113556</v>
      </c>
      <c r="M2716" s="75">
        <f>'THAM_SO_MOI'!$C$15*'THAM_SO_MOI'!$C$16*F2716^2</f>
        <v>430.67745689660427</v>
      </c>
      <c r="N2716" s="75">
        <f>'THAM_SO_MOI'!$C$12*I2716</f>
        <v>1130.112</v>
      </c>
      <c r="O2716" s="75">
        <f>M2716+N2716</f>
        <v>1560.7894568966044</v>
      </c>
      <c r="P2716" s="75">
        <f>(MIN(L2716,'THAM_SO_MOI'!$C$41)-O2716)/('THAM_SO_MOI'!$C$11*H2716)</f>
        <v>0.4884760208204945</v>
      </c>
      <c r="Q2716" s="75">
        <f>IF(P2716&gt;0,1/P2716,NA())</f>
        <v>2.0471833977035296</v>
      </c>
      <c r="R2716" s="75">
        <f>F2716-F2715</f>
        <v>0.007943393307218827</v>
      </c>
      <c r="S2716" s="75">
        <f>0.5*(Q2715+Q2716)*R2716</f>
        <v>0.016261352646741282</v>
      </c>
      <c r="T2716" s="75">
        <f>0.5*(F2715*Q2715+F2716*Q2716)*R2716</f>
        <v>0.19725482332108593</v>
      </c>
      <c r="U2716" s="76">
        <f>U2715+S2716</f>
        <v>17.985240373633232</v>
      </c>
      <c r="V2716" s="76">
        <f>V2715+T2716</f>
        <v>130.7370049432537</v>
      </c>
    </row>
    <row r="2717" spans="1:22" ht="19" customHeight="1">
      <c r="A2717" s="68" t="s">
        <v>376</v>
      </c>
      <c r="B2717" s="74">
        <v>4</v>
      </c>
      <c r="C2717" s="68" t="s">
        <v>363</v>
      </c>
      <c r="D2717" s="68" t="s">
        <v>364</v>
      </c>
      <c r="E2717" s="75">
        <f>60*F2717*'THAM_SO_MOI'!$C$52/(2*PI()*'THAM_SO_MOI'!$C$26)</f>
        <v>1910.1959705082797</v>
      </c>
      <c r="F2717" s="75">
        <f>'HANH_TRINH'!$F$2468+('THAM_SO_MOI'!$F$52-'HANH_TRINH'!$F$2468)*248/'THAM_SO_MOI'!$C$42</f>
        <v>12.142198879490428</v>
      </c>
      <c r="G2717" s="75">
        <f>3.6*F2717</f>
        <v>43.71191596616554</v>
      </c>
      <c r="H2717" s="75">
        <f>'THAM_SO_MOI'!$D$52</f>
        <v>1.1774754878398197</v>
      </c>
      <c r="I2717" s="75">
        <f>IF(F2717&gt;'THAM_SO_MOI'!$C$14,'THAM_SO_MOI'!$C$13*(1+F2717^2/1500),'THAM_SO_MOI'!$C$13)</f>
        <v>0.015</v>
      </c>
      <c r="J2717" s="75">
        <f>'THAM_SO_MOI'!$C$40*('THAM_SO_MOI'!$C$23*(E2717/'THAM_SO_MOI'!$C$22)+'THAM_SO_MOI'!$C$24*(E2717/'THAM_SO_MOI'!$C$22)^2-'THAM_SO_MOI'!$C$25*(E2717/'THAM_SO_MOI'!$C$22)^3)</f>
        <v>85.38669210902891</v>
      </c>
      <c r="K2717" s="75">
        <f>'THAM_SO_MOI'!$C$31*J2717/E2717</f>
        <v>426.93875861559036</v>
      </c>
      <c r="L2717" s="75">
        <f>K2717*'THAM_SO_MOI'!$C$52*'THAM_SO_MOI'!$C$17/'THAM_SO_MOI'!$C$26</f>
        <v>5978.520314517455</v>
      </c>
      <c r="M2717" s="75">
        <f>'THAM_SO_MOI'!$C$15*'THAM_SO_MOI'!$C$16*F2717^2</f>
        <v>431.2415063651135</v>
      </c>
      <c r="N2717" s="75">
        <f>'THAM_SO_MOI'!$C$12*I2717</f>
        <v>1130.112</v>
      </c>
      <c r="O2717" s="75">
        <f>M2717+N2717</f>
        <v>1561.3535063651136</v>
      </c>
      <c r="P2717" s="75">
        <f>(MIN(L2717,'THAM_SO_MOI'!$C$41)-O2717)/('THAM_SO_MOI'!$C$11*H2717)</f>
        <v>0.48846191201822975</v>
      </c>
      <c r="Q2717" s="75">
        <f>IF(P2717&gt;0,1/P2717,NA())</f>
        <v>2.0472425288354503</v>
      </c>
      <c r="R2717" s="75">
        <f>F2717-F2716</f>
        <v>0.007943393307220603</v>
      </c>
      <c r="S2717" s="75">
        <f>0.5*(Q2716+Q2717)*R2717</f>
        <v>0.016261817750890126</v>
      </c>
      <c r="T2717" s="75">
        <f>0.5*(F2716*Q2716+F2717*Q2717)*R2717</f>
        <v>0.1973896391989494</v>
      </c>
      <c r="U2717" s="76">
        <f>U2716+S2717</f>
        <v>18.001502191384123</v>
      </c>
      <c r="V2717" s="76">
        <f>V2716+T2717</f>
        <v>130.93439458245265</v>
      </c>
    </row>
    <row r="2718" spans="1:22" ht="19" customHeight="1">
      <c r="A2718" s="68" t="s">
        <v>376</v>
      </c>
      <c r="B2718" s="74">
        <v>4</v>
      </c>
      <c r="C2718" s="68" t="s">
        <v>363</v>
      </c>
      <c r="D2718" s="68" t="s">
        <v>364</v>
      </c>
      <c r="E2718" s="75">
        <f>60*F2718*'THAM_SO_MOI'!$C$52/(2*PI()*'THAM_SO_MOI'!$C$26)</f>
        <v>1911.445615489243</v>
      </c>
      <c r="F2718" s="75">
        <f>'HANH_TRINH'!$F$2468+('THAM_SO_MOI'!$F$52-'HANH_TRINH'!$F$2468)*249/'THAM_SO_MOI'!$C$42</f>
        <v>12.150142272797646</v>
      </c>
      <c r="G2718" s="75">
        <f>3.6*F2718</f>
        <v>43.74051218207153</v>
      </c>
      <c r="H2718" s="75">
        <f>'THAM_SO_MOI'!$D$52</f>
        <v>1.1774754878398197</v>
      </c>
      <c r="I2718" s="75">
        <f>IF(F2718&gt;'THAM_SO_MOI'!$C$14,'THAM_SO_MOI'!$C$13*(1+F2718^2/1500),'THAM_SO_MOI'!$C$13)</f>
        <v>0.015</v>
      </c>
      <c r="J2718" s="75">
        <f>'THAM_SO_MOI'!$C$40*('THAM_SO_MOI'!$C$23*(E2718/'THAM_SO_MOI'!$C$22)+'THAM_SO_MOI'!$C$24*(E2718/'THAM_SO_MOI'!$C$22)^2-'THAM_SO_MOI'!$C$25*(E2718/'THAM_SO_MOI'!$C$22)^3)</f>
        <v>85.4487592854873</v>
      </c>
      <c r="K2718" s="75">
        <f>'THAM_SO_MOI'!$C$31*J2718/E2718</f>
        <v>426.9697758890775</v>
      </c>
      <c r="L2718" s="75">
        <f>K2718*'THAM_SO_MOI'!$C$52*'THAM_SO_MOI'!$C$17/'THAM_SO_MOI'!$C$26</f>
        <v>5978.954656436294</v>
      </c>
      <c r="M2718" s="75">
        <f>'THAM_SO_MOI'!$C$15*'THAM_SO_MOI'!$C$16*F2718^2</f>
        <v>431.8059249539813</v>
      </c>
      <c r="N2718" s="75">
        <f>'THAM_SO_MOI'!$C$12*I2718</f>
        <v>1130.112</v>
      </c>
      <c r="O2718" s="75">
        <f>M2718+N2718</f>
        <v>1561.9179249539814</v>
      </c>
      <c r="P2718" s="75">
        <f>(MIN(L2718,'THAM_SO_MOI'!$C$41)-O2718)/('THAM_SO_MOI'!$C$11*H2718)</f>
        <v>0.48844752779827366</v>
      </c>
      <c r="Q2718" s="75">
        <f>IF(P2718&gt;0,1/P2718,NA())</f>
        <v>2.0473028177818824</v>
      </c>
      <c r="R2718" s="75">
        <f>F2718-F2717</f>
        <v>0.007943393307218827</v>
      </c>
      <c r="S2718" s="75">
        <f>0.5*(Q2717+Q2718)*R2718</f>
        <v>0.016262292051212053</v>
      </c>
      <c r="T2718" s="75">
        <f>0.5*(F2717*Q2717+F2718*Q2718)*R2718</f>
        <v>0.19752457416411337</v>
      </c>
      <c r="U2718" s="76">
        <f>U2717+S2718</f>
        <v>18.017764483435336</v>
      </c>
      <c r="V2718" s="76">
        <f>V2717+T2718</f>
        <v>131.13191915661676</v>
      </c>
    </row>
    <row r="2719" spans="1:22" ht="19" customHeight="1">
      <c r="A2719" s="68" t="s">
        <v>376</v>
      </c>
      <c r="B2719" s="74">
        <v>4</v>
      </c>
      <c r="C2719" s="68" t="s">
        <v>363</v>
      </c>
      <c r="D2719" s="68" t="s">
        <v>364</v>
      </c>
      <c r="E2719" s="75">
        <f>60*F2719*'THAM_SO_MOI'!$C$52/(2*PI()*'THAM_SO_MOI'!$C$26)</f>
        <v>1912.6952604702062</v>
      </c>
      <c r="F2719" s="75">
        <f>'HANH_TRINH'!$F$2468+('THAM_SO_MOI'!$F$52-'HANH_TRINH'!$F$2468)*250/'THAM_SO_MOI'!$C$42</f>
        <v>12.158085666104865</v>
      </c>
      <c r="G2719" s="75">
        <f>3.6*F2719</f>
        <v>43.76910839797752</v>
      </c>
      <c r="H2719" s="75">
        <f>'THAM_SO_MOI'!$D$52</f>
        <v>1.1774754878398197</v>
      </c>
      <c r="I2719" s="75">
        <f>IF(F2719&gt;'THAM_SO_MOI'!$C$14,'THAM_SO_MOI'!$C$13*(1+F2719^2/1500),'THAM_SO_MOI'!$C$13)</f>
        <v>0.015</v>
      </c>
      <c r="J2719" s="75">
        <f>'THAM_SO_MOI'!$C$40*('THAM_SO_MOI'!$C$23*(E2719/'THAM_SO_MOI'!$C$22)+'THAM_SO_MOI'!$C$24*(E2719/'THAM_SO_MOI'!$C$22)^2-'THAM_SO_MOI'!$C$25*(E2719/'THAM_SO_MOI'!$C$22)^3)</f>
        <v>85.51080423919785</v>
      </c>
      <c r="K2719" s="75">
        <f>'THAM_SO_MOI'!$C$31*J2719/E2719</f>
        <v>427.0006416628369</v>
      </c>
      <c r="L2719" s="75">
        <f>K2719*'THAM_SO_MOI'!$C$52*'THAM_SO_MOI'!$C$17/'THAM_SO_MOI'!$C$26</f>
        <v>5979.386876870068</v>
      </c>
      <c r="M2719" s="75">
        <f>'THAM_SO_MOI'!$C$15*'THAM_SO_MOI'!$C$16*F2719^2</f>
        <v>432.37071266320794</v>
      </c>
      <c r="N2719" s="75">
        <f>'THAM_SO_MOI'!$C$12*I2719</f>
        <v>1130.112</v>
      </c>
      <c r="O2719" s="75">
        <f>M2719+N2719</f>
        <v>1562.482712663208</v>
      </c>
      <c r="P2719" s="75">
        <f>(MIN(L2719,'THAM_SO_MOI'!$C$41)-O2719)/('THAM_SO_MOI'!$C$11*H2719)</f>
        <v>0.48843286816062553</v>
      </c>
      <c r="Q2719" s="75">
        <f>IF(P2719&gt;0,1/P2719,NA())</f>
        <v>2.0473642647471073</v>
      </c>
      <c r="R2719" s="75">
        <f>F2719-F2718</f>
        <v>0.007943393307218827</v>
      </c>
      <c r="S2719" s="75">
        <f>0.5*(Q2718+Q2719)*R2719</f>
        <v>0.016262775549325006</v>
      </c>
      <c r="T2719" s="75">
        <f>0.5*(F2718*Q2718+F2719*Q2719)*R2719</f>
        <v>0.1976596284553888</v>
      </c>
      <c r="U2719" s="76">
        <f>U2718+S2719</f>
        <v>18.03402725898466</v>
      </c>
      <c r="V2719" s="76">
        <f>V2718+T2719</f>
        <v>131.32957878507216</v>
      </c>
    </row>
    <row r="2720" spans="1:22" ht="19" customHeight="1">
      <c r="A2720" s="68" t="s">
        <v>376</v>
      </c>
      <c r="B2720" s="74">
        <v>4</v>
      </c>
      <c r="C2720" s="68" t="s">
        <v>363</v>
      </c>
      <c r="D2720" s="68" t="s">
        <v>364</v>
      </c>
      <c r="E2720" s="75">
        <f>60*F2720*'THAM_SO_MOI'!$C$52/(2*PI()*'THAM_SO_MOI'!$C$26)</f>
        <v>1913.9449054511692</v>
      </c>
      <c r="F2720" s="75">
        <f>'HANH_TRINH'!$F$2468+('THAM_SO_MOI'!$F$52-'HANH_TRINH'!$F$2468)*251/'THAM_SO_MOI'!$C$42</f>
        <v>12.166029059412086</v>
      </c>
      <c r="G2720" s="75">
        <f>3.6*F2720</f>
        <v>43.79770461388351</v>
      </c>
      <c r="H2720" s="75">
        <f>'THAM_SO_MOI'!$D$52</f>
        <v>1.1774754878398197</v>
      </c>
      <c r="I2720" s="75">
        <f>IF(F2720&gt;'THAM_SO_MOI'!$C$14,'THAM_SO_MOI'!$C$13*(1+F2720^2/1500),'THAM_SO_MOI'!$C$13)</f>
        <v>0.015</v>
      </c>
      <c r="J2720" s="75">
        <f>'THAM_SO_MOI'!$C$40*('THAM_SO_MOI'!$C$23*(E2720/'THAM_SO_MOI'!$C$22)+'THAM_SO_MOI'!$C$24*(E2720/'THAM_SO_MOI'!$C$22)^2-'THAM_SO_MOI'!$C$25*(E2720/'THAM_SO_MOI'!$C$22)^3)</f>
        <v>85.57282691069493</v>
      </c>
      <c r="K2720" s="75">
        <f>'THAM_SO_MOI'!$C$31*J2720/E2720</f>
        <v>427.03135593686903</v>
      </c>
      <c r="L2720" s="75">
        <f>K2720*'THAM_SO_MOI'!$C$52*'THAM_SO_MOI'!$C$17/'THAM_SO_MOI'!$C$26</f>
        <v>5979.816975818784</v>
      </c>
      <c r="M2720" s="75">
        <f>'THAM_SO_MOI'!$C$15*'THAM_SO_MOI'!$C$16*F2720^2</f>
        <v>432.9358694927936</v>
      </c>
      <c r="N2720" s="75">
        <f>'THAM_SO_MOI'!$C$12*I2720</f>
        <v>1130.112</v>
      </c>
      <c r="O2720" s="75">
        <f>M2720+N2720</f>
        <v>1563.0478694927938</v>
      </c>
      <c r="P2720" s="75">
        <f>(MIN(L2720,'THAM_SO_MOI'!$C$41)-O2720)/('THAM_SO_MOI'!$C$11*H2720)</f>
        <v>0.4884179331052863</v>
      </c>
      <c r="Q2720" s="75">
        <f>IF(P2720&gt;0,1/P2720,NA())</f>
        <v>2.0474268699393434</v>
      </c>
      <c r="R2720" s="75">
        <f>F2720-F2719</f>
        <v>0.007943393307220603</v>
      </c>
      <c r="S2720" s="75">
        <f>0.5*(Q2719+Q2720)*R2720</f>
        <v>0.01626326824686731</v>
      </c>
      <c r="T2720" s="75">
        <f>0.5*(F2719*Q2719+F2720*Q2720)*R2720</f>
        <v>0.19779480231188637</v>
      </c>
      <c r="U2720" s="76">
        <f>U2719+S2720</f>
        <v>18.050290527231528</v>
      </c>
      <c r="V2720" s="76">
        <f>V2719+T2720</f>
        <v>131.52737358738403</v>
      </c>
    </row>
    <row r="2721" spans="1:22" ht="19" customHeight="1">
      <c r="A2721" s="68" t="s">
        <v>376</v>
      </c>
      <c r="B2721" s="74">
        <v>4</v>
      </c>
      <c r="C2721" s="68" t="s">
        <v>363</v>
      </c>
      <c r="D2721" s="68" t="s">
        <v>364</v>
      </c>
      <c r="E2721" s="75">
        <f>60*F2721*'THAM_SO_MOI'!$C$52/(2*PI()*'THAM_SO_MOI'!$C$26)</f>
        <v>1915.1945504321325</v>
      </c>
      <c r="F2721" s="75">
        <f>'HANH_TRINH'!$F$2468+('THAM_SO_MOI'!$F$52-'HANH_TRINH'!$F$2468)*252/'THAM_SO_MOI'!$C$42</f>
        <v>12.173972452719305</v>
      </c>
      <c r="G2721" s="75">
        <f>3.6*F2721</f>
        <v>43.826300829789496</v>
      </c>
      <c r="H2721" s="75">
        <f>'THAM_SO_MOI'!$D$52</f>
        <v>1.1774754878398197</v>
      </c>
      <c r="I2721" s="75">
        <f>IF(F2721&gt;'THAM_SO_MOI'!$C$14,'THAM_SO_MOI'!$C$13*(1+F2721^2/1500),'THAM_SO_MOI'!$C$13)</f>
        <v>0.015</v>
      </c>
      <c r="J2721" s="75">
        <f>'THAM_SO_MOI'!$C$40*('THAM_SO_MOI'!$C$23*(E2721/'THAM_SO_MOI'!$C$22)+'THAM_SO_MOI'!$C$24*(E2721/'THAM_SO_MOI'!$C$22)^2-'THAM_SO_MOI'!$C$25*(E2721/'THAM_SO_MOI'!$C$22)^3)</f>
        <v>85.63482724051283</v>
      </c>
      <c r="K2721" s="75">
        <f>'THAM_SO_MOI'!$C$31*J2721/E2721</f>
        <v>427.06191871117363</v>
      </c>
      <c r="L2721" s="75">
        <f>K2721*'THAM_SO_MOI'!$C$52*'THAM_SO_MOI'!$C$17/'THAM_SO_MOI'!$C$26</f>
        <v>5980.244953282439</v>
      </c>
      <c r="M2721" s="75">
        <f>'THAM_SO_MOI'!$C$15*'THAM_SO_MOI'!$C$16*F2721^2</f>
        <v>433.5013954427378</v>
      </c>
      <c r="N2721" s="75">
        <f>'THAM_SO_MOI'!$C$12*I2721</f>
        <v>1130.112</v>
      </c>
      <c r="O2721" s="75">
        <f>M2721+N2721</f>
        <v>1563.6133954427378</v>
      </c>
      <c r="P2721" s="75">
        <f>(MIN(L2721,'THAM_SO_MOI'!$C$41)-O2721)/('THAM_SO_MOI'!$C$11*H2721)</f>
        <v>0.4884027226322555</v>
      </c>
      <c r="Q2721" s="75">
        <f>IF(P2721&gt;0,1/P2721,NA())</f>
        <v>2.047490633570758</v>
      </c>
      <c r="R2721" s="75">
        <f>F2721-F2720</f>
        <v>0.007943393307218827</v>
      </c>
      <c r="S2721" s="75">
        <f>0.5*(Q2720+Q2721)*R2721</f>
        <v>0.016263770145497684</v>
      </c>
      <c r="T2721" s="75">
        <f>0.5*(F2720*Q2720+F2721*Q2721)*R2721</f>
        <v>0.1979300959730169</v>
      </c>
      <c r="U2721" s="76">
        <f>U2720+S2721</f>
        <v>18.066554297377024</v>
      </c>
      <c r="V2721" s="76">
        <f>V2720+T2721</f>
        <v>131.72530368335705</v>
      </c>
    </row>
    <row r="2722" spans="1:22" ht="19" customHeight="1">
      <c r="A2722" s="68" t="s">
        <v>376</v>
      </c>
      <c r="B2722" s="74">
        <v>4</v>
      </c>
      <c r="C2722" s="68" t="s">
        <v>363</v>
      </c>
      <c r="D2722" s="68" t="s">
        <v>364</v>
      </c>
      <c r="E2722" s="75">
        <f>60*F2722*'THAM_SO_MOI'!$C$52/(2*PI()*'THAM_SO_MOI'!$C$26)</f>
        <v>1916.4441954130957</v>
      </c>
      <c r="F2722" s="75">
        <f>'HANH_TRINH'!$F$2468+('THAM_SO_MOI'!$F$52-'HANH_TRINH'!$F$2468)*253/'THAM_SO_MOI'!$C$42</f>
        <v>12.181915846026524</v>
      </c>
      <c r="G2722" s="75">
        <f>3.6*F2722</f>
        <v>43.85489704569549</v>
      </c>
      <c r="H2722" s="75">
        <f>'THAM_SO_MOI'!$D$52</f>
        <v>1.1774754878398197</v>
      </c>
      <c r="I2722" s="75">
        <f>IF(F2722&gt;'THAM_SO_MOI'!$C$14,'THAM_SO_MOI'!$C$13*(1+F2722^2/1500),'THAM_SO_MOI'!$C$13)</f>
        <v>0.015</v>
      </c>
      <c r="J2722" s="75">
        <f>'THAM_SO_MOI'!$C$40*('THAM_SO_MOI'!$C$23*(E2722/'THAM_SO_MOI'!$C$22)+'THAM_SO_MOI'!$C$24*(E2722/'THAM_SO_MOI'!$C$22)^2-'THAM_SO_MOI'!$C$25*(E2722/'THAM_SO_MOI'!$C$22)^3)</f>
        <v>85.69680516918588</v>
      </c>
      <c r="K2722" s="75">
        <f>'THAM_SO_MOI'!$C$31*J2722/E2722</f>
        <v>427.0923299857508</v>
      </c>
      <c r="L2722" s="75">
        <f>K2722*'THAM_SO_MOI'!$C$52*'THAM_SO_MOI'!$C$17/'THAM_SO_MOI'!$C$26</f>
        <v>5980.670809261032</v>
      </c>
      <c r="M2722" s="75">
        <f>'THAM_SO_MOI'!$C$15*'THAM_SO_MOI'!$C$16*F2722^2</f>
        <v>434.067290513041</v>
      </c>
      <c r="N2722" s="75">
        <f>'THAM_SO_MOI'!$C$12*I2722</f>
        <v>1130.112</v>
      </c>
      <c r="O2722" s="75">
        <f>M2722+N2722</f>
        <v>1564.179290513041</v>
      </c>
      <c r="P2722" s="75">
        <f>(MIN(L2722,'THAM_SO_MOI'!$C$41)-O2722)/('THAM_SO_MOI'!$C$11*H2722)</f>
        <v>0.48838723674153295</v>
      </c>
      <c r="Q2722" s="75">
        <f>IF(P2722&gt;0,1/P2722,NA())</f>
        <v>2.047555555857463</v>
      </c>
      <c r="R2722" s="75">
        <f>F2722-F2721</f>
        <v>0.007943393307218827</v>
      </c>
      <c r="S2722" s="75">
        <f>0.5*(Q2721+Q2722)*R2722</f>
        <v>0.016264281246928042</v>
      </c>
      <c r="T2722" s="75">
        <f>0.5*(F2721*Q2721+F2722*Q2722)*R2722</f>
        <v>0.19806550967889144</v>
      </c>
      <c r="U2722" s="76">
        <f>U2721+S2722</f>
        <v>18.082818578623954</v>
      </c>
      <c r="V2722" s="76">
        <f>V2721+T2722</f>
        <v>131.92336919303594</v>
      </c>
    </row>
    <row r="2723" spans="1:22" ht="19" customHeight="1">
      <c r="A2723" s="68" t="s">
        <v>376</v>
      </c>
      <c r="B2723" s="74">
        <v>4</v>
      </c>
      <c r="C2723" s="68" t="s">
        <v>363</v>
      </c>
      <c r="D2723" s="68" t="s">
        <v>364</v>
      </c>
      <c r="E2723" s="75">
        <f>60*F2723*'THAM_SO_MOI'!$C$52/(2*PI()*'THAM_SO_MOI'!$C$26)</f>
        <v>1917.6938403940587</v>
      </c>
      <c r="F2723" s="75">
        <f>'HANH_TRINH'!$F$2468+('THAM_SO_MOI'!$F$52-'HANH_TRINH'!$F$2468)*254/'THAM_SO_MOI'!$C$42</f>
        <v>12.189859239333742</v>
      </c>
      <c r="G2723" s="75">
        <f>3.6*F2723</f>
        <v>43.88349326160147</v>
      </c>
      <c r="H2723" s="75">
        <f>'THAM_SO_MOI'!$D$52</f>
        <v>1.1774754878398197</v>
      </c>
      <c r="I2723" s="75">
        <f>IF(F2723&gt;'THAM_SO_MOI'!$C$14,'THAM_SO_MOI'!$C$13*(1+F2723^2/1500),'THAM_SO_MOI'!$C$13)</f>
        <v>0.015</v>
      </c>
      <c r="J2723" s="75">
        <f>'THAM_SO_MOI'!$C$40*('THAM_SO_MOI'!$C$23*(E2723/'THAM_SO_MOI'!$C$22)+'THAM_SO_MOI'!$C$24*(E2723/'THAM_SO_MOI'!$C$22)^2-'THAM_SO_MOI'!$C$25*(E2723/'THAM_SO_MOI'!$C$22)^3)</f>
        <v>85.75876063724837</v>
      </c>
      <c r="K2723" s="75">
        <f>'THAM_SO_MOI'!$C$31*J2723/E2723</f>
        <v>427.1225897606004</v>
      </c>
      <c r="L2723" s="75">
        <f>K2723*'THAM_SO_MOI'!$C$52*'THAM_SO_MOI'!$C$17/'THAM_SO_MOI'!$C$26</f>
        <v>5981.094543754564</v>
      </c>
      <c r="M2723" s="75">
        <f>'THAM_SO_MOI'!$C$15*'THAM_SO_MOI'!$C$16*F2723^2</f>
        <v>434.6335547037029</v>
      </c>
      <c r="N2723" s="75">
        <f>'THAM_SO_MOI'!$C$12*I2723</f>
        <v>1130.112</v>
      </c>
      <c r="O2723" s="75">
        <f>M2723+N2723</f>
        <v>1564.745554703703</v>
      </c>
      <c r="P2723" s="75">
        <f>(MIN(L2723,'THAM_SO_MOI'!$C$41)-O2723)/('THAM_SO_MOI'!$C$11*H2723)</f>
        <v>0.48837147543311904</v>
      </c>
      <c r="Q2723" s="75">
        <f>IF(P2723&gt;0,1/P2723,NA())</f>
        <v>2.047621637019517</v>
      </c>
      <c r="R2723" s="75">
        <f>F2723-F2722</f>
        <v>0.007943393307218827</v>
      </c>
      <c r="S2723" s="75">
        <f>0.5*(Q2722+Q2723)*R2723</f>
        <v>0.016264801552887093</v>
      </c>
      <c r="T2723" s="75">
        <f>0.5*(F2722*Q2722+F2723*Q2723)*R2723</f>
        <v>0.1982010436698803</v>
      </c>
      <c r="U2723" s="76">
        <f>U2722+S2723</f>
        <v>18.09908338017684</v>
      </c>
      <c r="V2723" s="76">
        <f>V2722+T2723</f>
        <v>132.12157023670582</v>
      </c>
    </row>
    <row r="2724" spans="1:22" ht="19" customHeight="1">
      <c r="A2724" s="68" t="s">
        <v>376</v>
      </c>
      <c r="B2724" s="74">
        <v>4</v>
      </c>
      <c r="C2724" s="68" t="s">
        <v>363</v>
      </c>
      <c r="D2724" s="68" t="s">
        <v>364</v>
      </c>
      <c r="E2724" s="75">
        <f>60*F2724*'THAM_SO_MOI'!$C$52/(2*PI()*'THAM_SO_MOI'!$C$26)</f>
        <v>1918.9434853750224</v>
      </c>
      <c r="F2724" s="75">
        <f>'HANH_TRINH'!$F$2468+('THAM_SO_MOI'!$F$52-'HANH_TRINH'!$F$2468)*255/'THAM_SO_MOI'!$C$42</f>
        <v>12.197802632640963</v>
      </c>
      <c r="G2724" s="75">
        <f>3.6*F2724</f>
        <v>43.912089477507465</v>
      </c>
      <c r="H2724" s="75">
        <f>'THAM_SO_MOI'!$D$52</f>
        <v>1.1774754878398197</v>
      </c>
      <c r="I2724" s="75">
        <f>IF(F2724&gt;'THAM_SO_MOI'!$C$14,'THAM_SO_MOI'!$C$13*(1+F2724^2/1500),'THAM_SO_MOI'!$C$13)</f>
        <v>0.015</v>
      </c>
      <c r="J2724" s="75">
        <f>'THAM_SO_MOI'!$C$40*('THAM_SO_MOI'!$C$23*(E2724/'THAM_SO_MOI'!$C$22)+'THAM_SO_MOI'!$C$24*(E2724/'THAM_SO_MOI'!$C$22)^2-'THAM_SO_MOI'!$C$25*(E2724/'THAM_SO_MOI'!$C$22)^3)</f>
        <v>85.82069358523466</v>
      </c>
      <c r="K2724" s="75">
        <f>'THAM_SO_MOI'!$C$31*J2724/E2724</f>
        <v>427.15269803572266</v>
      </c>
      <c r="L2724" s="75">
        <f>K2724*'THAM_SO_MOI'!$C$52*'THAM_SO_MOI'!$C$17/'THAM_SO_MOI'!$C$26</f>
        <v>5981.516156763038</v>
      </c>
      <c r="M2724" s="75">
        <f>'THAM_SO_MOI'!$C$15*'THAM_SO_MOI'!$C$16*F2724^2</f>
        <v>435.2001880147237</v>
      </c>
      <c r="N2724" s="75">
        <f>'THAM_SO_MOI'!$C$12*I2724</f>
        <v>1130.112</v>
      </c>
      <c r="O2724" s="75">
        <f>M2724+N2724</f>
        <v>1565.3121880147237</v>
      </c>
      <c r="P2724" s="75">
        <f>(MIN(L2724,'THAM_SO_MOI'!$C$41)-O2724)/('THAM_SO_MOI'!$C$11*H2724)</f>
        <v>0.48835543870701376</v>
      </c>
      <c r="Q2724" s="75">
        <f>IF(P2724&gt;0,1/P2724,NA())</f>
        <v>2.047688877280928</v>
      </c>
      <c r="R2724" s="75">
        <f>F2724-F2723</f>
        <v>0.007943393307220603</v>
      </c>
      <c r="S2724" s="75">
        <f>0.5*(Q2723+Q2724)*R2724</f>
        <v>0.016265331065142163</v>
      </c>
      <c r="T2724" s="75">
        <f>0.5*(F2723*Q2723+F2724*Q2724)*R2724</f>
        <v>0.19833669818687963</v>
      </c>
      <c r="U2724" s="76">
        <f>U2723+S2724</f>
        <v>18.11534871124198</v>
      </c>
      <c r="V2724" s="76">
        <f>V2723+T2724</f>
        <v>132.3199069348927</v>
      </c>
    </row>
    <row r="2725" spans="1:22" ht="19" customHeight="1">
      <c r="A2725" s="68" t="s">
        <v>376</v>
      </c>
      <c r="B2725" s="74">
        <v>4</v>
      </c>
      <c r="C2725" s="68" t="s">
        <v>363</v>
      </c>
      <c r="D2725" s="68" t="s">
        <v>364</v>
      </c>
      <c r="E2725" s="75">
        <f>60*F2725*'THAM_SO_MOI'!$C$52/(2*PI()*'THAM_SO_MOI'!$C$26)</f>
        <v>1920.1931303559859</v>
      </c>
      <c r="F2725" s="75">
        <f>'HANH_TRINH'!$F$2468+('THAM_SO_MOI'!$F$52-'HANH_TRINH'!$F$2468)*256/'THAM_SO_MOI'!$C$42</f>
        <v>12.205746025948182</v>
      </c>
      <c r="G2725" s="75">
        <f>3.6*F2725</f>
        <v>43.94068569341346</v>
      </c>
      <c r="H2725" s="75">
        <f>'THAM_SO_MOI'!$D$52</f>
        <v>1.1774754878398197</v>
      </c>
      <c r="I2725" s="75">
        <f>IF(F2725&gt;'THAM_SO_MOI'!$C$14,'THAM_SO_MOI'!$C$13*(1+F2725^2/1500),'THAM_SO_MOI'!$C$13)</f>
        <v>0.015</v>
      </c>
      <c r="J2725" s="75">
        <f>'THAM_SO_MOI'!$C$40*('THAM_SO_MOI'!$C$23*(E2725/'THAM_SO_MOI'!$C$22)+'THAM_SO_MOI'!$C$24*(E2725/'THAM_SO_MOI'!$C$22)^2-'THAM_SO_MOI'!$C$25*(E2725/'THAM_SO_MOI'!$C$22)^3)</f>
        <v>85.88260395367904</v>
      </c>
      <c r="K2725" s="75">
        <f>'THAM_SO_MOI'!$C$31*J2725/E2725</f>
        <v>427.1826548111174</v>
      </c>
      <c r="L2725" s="75">
        <f>K2725*'THAM_SO_MOI'!$C$52*'THAM_SO_MOI'!$C$17/'THAM_SO_MOI'!$C$26</f>
        <v>5981.93564828645</v>
      </c>
      <c r="M2725" s="75">
        <f>'THAM_SO_MOI'!$C$15*'THAM_SO_MOI'!$C$16*F2725^2</f>
        <v>435.76719044610326</v>
      </c>
      <c r="N2725" s="75">
        <f>'THAM_SO_MOI'!$C$12*I2725</f>
        <v>1130.112</v>
      </c>
      <c r="O2725" s="75">
        <f>M2725+N2725</f>
        <v>1565.8791904461034</v>
      </c>
      <c r="P2725" s="75">
        <f>(MIN(L2725,'THAM_SO_MOI'!$C$41)-O2725)/('THAM_SO_MOI'!$C$11*H2725)</f>
        <v>0.4883391265632168</v>
      </c>
      <c r="Q2725" s="75">
        <f>IF(P2725&gt;0,1/P2725,NA())</f>
        <v>2.0477572768696577</v>
      </c>
      <c r="R2725" s="75">
        <f>F2725-F2724</f>
        <v>0.007943393307218827</v>
      </c>
      <c r="S2725" s="75">
        <f>0.5*(Q2724+Q2725)*R2725</f>
        <v>0.01626586978547742</v>
      </c>
      <c r="T2725" s="75">
        <f>0.5*(F2724*Q2724+F2725*Q2725)*R2725</f>
        <v>0.19847247347104735</v>
      </c>
      <c r="U2725" s="76">
        <f>U2724+S2725</f>
        <v>18.13161458102746</v>
      </c>
      <c r="V2725" s="76">
        <f>V2724+T2725</f>
        <v>132.51837940836376</v>
      </c>
    </row>
    <row r="2726" spans="1:22" ht="19" customHeight="1">
      <c r="A2726" s="68" t="s">
        <v>376</v>
      </c>
      <c r="B2726" s="74">
        <v>4</v>
      </c>
      <c r="C2726" s="68" t="s">
        <v>363</v>
      </c>
      <c r="D2726" s="68" t="s">
        <v>364</v>
      </c>
      <c r="E2726" s="75">
        <f>60*F2726*'THAM_SO_MOI'!$C$52/(2*PI()*'THAM_SO_MOI'!$C$26)</f>
        <v>1921.4427753369491</v>
      </c>
      <c r="F2726" s="75">
        <f>'HANH_TRINH'!$F$2468+('THAM_SO_MOI'!$F$52-'HANH_TRINH'!$F$2468)*257/'THAM_SO_MOI'!$C$42</f>
        <v>12.213689419255402</v>
      </c>
      <c r="G2726" s="75">
        <f>3.6*F2726</f>
        <v>43.96928190931945</v>
      </c>
      <c r="H2726" s="75">
        <f>'THAM_SO_MOI'!$D$52</f>
        <v>1.1774754878398197</v>
      </c>
      <c r="I2726" s="75">
        <f>IF(F2726&gt;'THAM_SO_MOI'!$C$14,'THAM_SO_MOI'!$C$13*(1+F2726^2/1500),'THAM_SO_MOI'!$C$13)</f>
        <v>0.015</v>
      </c>
      <c r="J2726" s="75">
        <f>'THAM_SO_MOI'!$C$40*('THAM_SO_MOI'!$C$23*(E2726/'THAM_SO_MOI'!$C$22)+'THAM_SO_MOI'!$C$24*(E2726/'THAM_SO_MOI'!$C$22)^2-'THAM_SO_MOI'!$C$25*(E2726/'THAM_SO_MOI'!$C$22)^3)</f>
        <v>85.94449168311576</v>
      </c>
      <c r="K2726" s="75">
        <f>'THAM_SO_MOI'!$C$31*J2726/E2726</f>
        <v>427.2124600867845</v>
      </c>
      <c r="L2726" s="75">
        <f>K2726*'THAM_SO_MOI'!$C$52*'THAM_SO_MOI'!$C$17/'THAM_SO_MOI'!$C$26</f>
        <v>5982.353018324796</v>
      </c>
      <c r="M2726" s="75">
        <f>'THAM_SO_MOI'!$C$15*'THAM_SO_MOI'!$C$16*F2726^2</f>
        <v>436.33456199784183</v>
      </c>
      <c r="N2726" s="75">
        <f>'THAM_SO_MOI'!$C$12*I2726</f>
        <v>1130.112</v>
      </c>
      <c r="O2726" s="75">
        <f>M2726+N2726</f>
        <v>1566.4465619978419</v>
      </c>
      <c r="P2726" s="75">
        <f>(MIN(L2726,'THAM_SO_MOI'!$C$41)-O2726)/('THAM_SO_MOI'!$C$11*H2726)</f>
        <v>0.48832253900172784</v>
      </c>
      <c r="Q2726" s="75">
        <f>IF(P2726&gt;0,1/P2726,NA())</f>
        <v>2.0478268360176215</v>
      </c>
      <c r="R2726" s="75">
        <f>F2726-F2725</f>
        <v>0.007943393307220603</v>
      </c>
      <c r="S2726" s="75">
        <f>0.5*(Q2725+Q2726)*R2726</f>
        <v>0.016266417715733922</v>
      </c>
      <c r="T2726" s="75">
        <f>0.5*(F2725*Q2725+F2726*Q2726)*R2726</f>
        <v>0.19860836976429228</v>
      </c>
      <c r="U2726" s="76">
        <f>U2725+S2726</f>
        <v>18.147880998743194</v>
      </c>
      <c r="V2726" s="76">
        <f>V2725+T2726</f>
        <v>132.71698777812804</v>
      </c>
    </row>
    <row r="2727" spans="1:22" ht="19" customHeight="1">
      <c r="A2727" s="68" t="s">
        <v>376</v>
      </c>
      <c r="B2727" s="74">
        <v>4</v>
      </c>
      <c r="C2727" s="68" t="s">
        <v>363</v>
      </c>
      <c r="D2727" s="68" t="s">
        <v>364</v>
      </c>
      <c r="E2727" s="75">
        <f>60*F2727*'THAM_SO_MOI'!$C$52/(2*PI()*'THAM_SO_MOI'!$C$26)</f>
        <v>1922.6924203179121</v>
      </c>
      <c r="F2727" s="75">
        <f>'HANH_TRINH'!$F$2468+('THAM_SO_MOI'!$F$52-'HANH_TRINH'!$F$2468)*258/'THAM_SO_MOI'!$C$42</f>
        <v>12.221632812562621</v>
      </c>
      <c r="G2727" s="75">
        <f>3.6*F2727</f>
        <v>43.99787812522544</v>
      </c>
      <c r="H2727" s="75">
        <f>'THAM_SO_MOI'!$D$52</f>
        <v>1.1774754878398197</v>
      </c>
      <c r="I2727" s="75">
        <f>IF(F2727&gt;'THAM_SO_MOI'!$C$14,'THAM_SO_MOI'!$C$13*(1+F2727^2/1500),'THAM_SO_MOI'!$C$13)</f>
        <v>0.015</v>
      </c>
      <c r="J2727" s="75">
        <f>'THAM_SO_MOI'!$C$40*('THAM_SO_MOI'!$C$23*(E2727/'THAM_SO_MOI'!$C$22)+'THAM_SO_MOI'!$C$24*(E2727/'THAM_SO_MOI'!$C$22)^2-'THAM_SO_MOI'!$C$25*(E2727/'THAM_SO_MOI'!$C$22)^3)</f>
        <v>86.00635671407923</v>
      </c>
      <c r="K2727" s="75">
        <f>'THAM_SO_MOI'!$C$31*J2727/E2727</f>
        <v>427.24211386272447</v>
      </c>
      <c r="L2727" s="75">
        <f>K2727*'THAM_SO_MOI'!$C$52*'THAM_SO_MOI'!$C$17/'THAM_SO_MOI'!$C$26</f>
        <v>5982.768266878087</v>
      </c>
      <c r="M2727" s="75">
        <f>'THAM_SO_MOI'!$C$15*'THAM_SO_MOI'!$C$16*F2727^2</f>
        <v>436.90230266993893</v>
      </c>
      <c r="N2727" s="75">
        <f>'THAM_SO_MOI'!$C$12*I2727</f>
        <v>1130.112</v>
      </c>
      <c r="O2727" s="75">
        <f>M2727+N2727</f>
        <v>1567.014302669939</v>
      </c>
      <c r="P2727" s="75">
        <f>(MIN(L2727,'THAM_SO_MOI'!$C$41)-O2727)/('THAM_SO_MOI'!$C$11*H2727)</f>
        <v>0.48830567602254804</v>
      </c>
      <c r="Q2727" s="75">
        <f>IF(P2727&gt;0,1/P2727,NA())</f>
        <v>2.047897554960684</v>
      </c>
      <c r="R2727" s="75">
        <f>F2727-F2726</f>
        <v>0.007943393307218827</v>
      </c>
      <c r="S2727" s="75">
        <f>0.5*(Q2726+Q2727)*R2727</f>
        <v>0.01626697485775499</v>
      </c>
      <c r="T2727" s="75">
        <f>0.5*(F2726*Q2726+F2727*Q2727)*R2727</f>
        <v>0.19874438730860972</v>
      </c>
      <c r="U2727" s="76">
        <f>U2726+S2727</f>
        <v>18.164147973600947</v>
      </c>
      <c r="V2727" s="76">
        <f>V2726+T2727</f>
        <v>132.91573216543665</v>
      </c>
    </row>
    <row r="2728" spans="1:22" ht="19" customHeight="1">
      <c r="A2728" s="68" t="s">
        <v>376</v>
      </c>
      <c r="B2728" s="74">
        <v>4</v>
      </c>
      <c r="C2728" s="68" t="s">
        <v>363</v>
      </c>
      <c r="D2728" s="68" t="s">
        <v>364</v>
      </c>
      <c r="E2728" s="75">
        <f>60*F2728*'THAM_SO_MOI'!$C$52/(2*PI()*'THAM_SO_MOI'!$C$26)</f>
        <v>1923.9420652988754</v>
      </c>
      <c r="F2728" s="75">
        <f>'HANH_TRINH'!$F$2468+('THAM_SO_MOI'!$F$52-'HANH_TRINH'!$F$2468)*259/'THAM_SO_MOI'!$C$42</f>
        <v>12.22957620586984</v>
      </c>
      <c r="G2728" s="75">
        <f>3.6*F2728</f>
        <v>44.026474341131426</v>
      </c>
      <c r="H2728" s="75">
        <f>'THAM_SO_MOI'!$D$52</f>
        <v>1.1774754878398197</v>
      </c>
      <c r="I2728" s="75">
        <f>IF(F2728&gt;'THAM_SO_MOI'!$C$14,'THAM_SO_MOI'!$C$13*(1+F2728^2/1500),'THAM_SO_MOI'!$C$13)</f>
        <v>0.015</v>
      </c>
      <c r="J2728" s="75">
        <f>'THAM_SO_MOI'!$C$40*('THAM_SO_MOI'!$C$23*(E2728/'THAM_SO_MOI'!$C$22)+'THAM_SO_MOI'!$C$24*(E2728/'THAM_SO_MOI'!$C$22)^2-'THAM_SO_MOI'!$C$25*(E2728/'THAM_SO_MOI'!$C$22)^3)</f>
        <v>86.06819898710368</v>
      </c>
      <c r="K2728" s="75">
        <f>'THAM_SO_MOI'!$C$31*J2728/E2728</f>
        <v>427.2716161389367</v>
      </c>
      <c r="L2728" s="75">
        <f>K2728*'THAM_SO_MOI'!$C$52*'THAM_SO_MOI'!$C$17/'THAM_SO_MOI'!$C$26</f>
        <v>5983.1813939463145</v>
      </c>
      <c r="M2728" s="75">
        <f>'THAM_SO_MOI'!$C$15*'THAM_SO_MOI'!$C$16*F2728^2</f>
        <v>437.47041246239496</v>
      </c>
      <c r="N2728" s="75">
        <f>'THAM_SO_MOI'!$C$12*I2728</f>
        <v>1130.112</v>
      </c>
      <c r="O2728" s="75">
        <f>M2728+N2728</f>
        <v>1567.582412462395</v>
      </c>
      <c r="P2728" s="75">
        <f>(MIN(L2728,'THAM_SO_MOI'!$C$41)-O2728)/('THAM_SO_MOI'!$C$11*H2728)</f>
        <v>0.4882885376256763</v>
      </c>
      <c r="Q2728" s="75">
        <f>IF(P2728&gt;0,1/P2728,NA())</f>
        <v>2.0479694339386754</v>
      </c>
      <c r="R2728" s="75">
        <f>F2728-F2727</f>
        <v>0.007943393307218827</v>
      </c>
      <c r="S2728" s="75">
        <f>0.5*(Q2727+Q2728)*R2728</f>
        <v>0.016267541213440852</v>
      </c>
      <c r="T2728" s="75">
        <f>0.5*(F2727*Q2727+F2728*Q2728)*R2728</f>
        <v>0.19888052634674924</v>
      </c>
      <c r="U2728" s="76">
        <f>U2727+S2728</f>
        <v>18.18041551481439</v>
      </c>
      <c r="V2728" s="76">
        <f>V2727+T2728</f>
        <v>133.1146126917834</v>
      </c>
    </row>
    <row r="2729" spans="1:22" ht="19" customHeight="1">
      <c r="A2729" s="68" t="s">
        <v>376</v>
      </c>
      <c r="B2729" s="74">
        <v>4</v>
      </c>
      <c r="C2729" s="68" t="s">
        <v>363</v>
      </c>
      <c r="D2729" s="68" t="s">
        <v>364</v>
      </c>
      <c r="E2729" s="75">
        <f>60*F2729*'THAM_SO_MOI'!$C$52/(2*PI()*'THAM_SO_MOI'!$C$26)</f>
        <v>1925.1917102798386</v>
      </c>
      <c r="F2729" s="75">
        <f>'HANH_TRINH'!$F$2468+('THAM_SO_MOI'!$F$52-'HANH_TRINH'!$F$2468)*260/'THAM_SO_MOI'!$C$42</f>
        <v>12.237519599177059</v>
      </c>
      <c r="G2729" s="75">
        <f>3.6*F2729</f>
        <v>44.05507055703741</v>
      </c>
      <c r="H2729" s="75">
        <f>'THAM_SO_MOI'!$D$52</f>
        <v>1.1774754878398197</v>
      </c>
      <c r="I2729" s="75">
        <f>IF(F2729&gt;'THAM_SO_MOI'!$C$14,'THAM_SO_MOI'!$C$13*(1+F2729^2/1500),'THAM_SO_MOI'!$C$13)</f>
        <v>0.015</v>
      </c>
      <c r="J2729" s="75">
        <f>'THAM_SO_MOI'!$C$40*('THAM_SO_MOI'!$C$23*(E2729/'THAM_SO_MOI'!$C$22)+'THAM_SO_MOI'!$C$24*(E2729/'THAM_SO_MOI'!$C$22)^2-'THAM_SO_MOI'!$C$25*(E2729/'THAM_SO_MOI'!$C$22)^3)</f>
        <v>86.1300184427235</v>
      </c>
      <c r="K2729" s="75">
        <f>'THAM_SO_MOI'!$C$31*J2729/E2729</f>
        <v>427.3009669154215</v>
      </c>
      <c r="L2729" s="75">
        <f>K2729*'THAM_SO_MOI'!$C$52*'THAM_SO_MOI'!$C$17/'THAM_SO_MOI'!$C$26</f>
        <v>5983.592399529482</v>
      </c>
      <c r="M2729" s="75">
        <f>'THAM_SO_MOI'!$C$15*'THAM_SO_MOI'!$C$16*F2729^2</f>
        <v>438.0388913752098</v>
      </c>
      <c r="N2729" s="75">
        <f>'THAM_SO_MOI'!$C$12*I2729</f>
        <v>1130.112</v>
      </c>
      <c r="O2729" s="75">
        <f>M2729+N2729</f>
        <v>1568.15089137521</v>
      </c>
      <c r="P2729" s="75">
        <f>(MIN(L2729,'THAM_SO_MOI'!$C$41)-O2729)/('THAM_SO_MOI'!$C$11*H2729)</f>
        <v>0.4882711238111132</v>
      </c>
      <c r="Q2729" s="75">
        <f>IF(P2729&gt;0,1/P2729,NA())</f>
        <v>2.0480424731953804</v>
      </c>
      <c r="R2729" s="75">
        <f>F2729-F2728</f>
        <v>0.007943393307218827</v>
      </c>
      <c r="S2729" s="75">
        <f>0.5*(Q2728+Q2729)*R2729</f>
        <v>0.01626811678470864</v>
      </c>
      <c r="T2729" s="75">
        <f>0.5*(F2728*Q2728+F2729*Q2729)*R2729</f>
        <v>0.1990167871217275</v>
      </c>
      <c r="U2729" s="76">
        <f>U2728+S2729</f>
        <v>18.196683631599097</v>
      </c>
      <c r="V2729" s="76">
        <f>V2728+T2729</f>
        <v>133.31362947890514</v>
      </c>
    </row>
    <row r="2730" spans="1:22" ht="19" customHeight="1">
      <c r="A2730" s="68" t="s">
        <v>376</v>
      </c>
      <c r="B2730" s="74">
        <v>4</v>
      </c>
      <c r="C2730" s="68" t="s">
        <v>363</v>
      </c>
      <c r="D2730" s="68" t="s">
        <v>364</v>
      </c>
      <c r="E2730" s="75">
        <f>60*F2730*'THAM_SO_MOI'!$C$52/(2*PI()*'THAM_SO_MOI'!$C$26)</f>
        <v>1926.441355260802</v>
      </c>
      <c r="F2730" s="75">
        <f>'HANH_TRINH'!$F$2468+('THAM_SO_MOI'!$F$52-'HANH_TRINH'!$F$2468)*261/'THAM_SO_MOI'!$C$42</f>
        <v>12.24546299248428</v>
      </c>
      <c r="G2730" s="75">
        <f>3.6*F2730</f>
        <v>44.08366677294341</v>
      </c>
      <c r="H2730" s="75">
        <f>'THAM_SO_MOI'!$D$52</f>
        <v>1.1774754878398197</v>
      </c>
      <c r="I2730" s="75">
        <f>IF(F2730&gt;'THAM_SO_MOI'!$C$14,'THAM_SO_MOI'!$C$13*(1+F2730^2/1500),'THAM_SO_MOI'!$C$13)</f>
        <v>0.015</v>
      </c>
      <c r="J2730" s="75">
        <f>'THAM_SO_MOI'!$C$40*('THAM_SO_MOI'!$C$23*(E2730/'THAM_SO_MOI'!$C$22)+'THAM_SO_MOI'!$C$24*(E2730/'THAM_SO_MOI'!$C$22)^2-'THAM_SO_MOI'!$C$25*(E2730/'THAM_SO_MOI'!$C$22)^3)</f>
        <v>86.19181502147295</v>
      </c>
      <c r="K2730" s="75">
        <f>'THAM_SO_MOI'!$C$31*J2730/E2730</f>
        <v>427.33016619217875</v>
      </c>
      <c r="L2730" s="75">
        <f>K2730*'THAM_SO_MOI'!$C$52*'THAM_SO_MOI'!$C$17/'THAM_SO_MOI'!$C$26</f>
        <v>5984.001283627586</v>
      </c>
      <c r="M2730" s="75">
        <f>'THAM_SO_MOI'!$C$15*'THAM_SO_MOI'!$C$16*F2730^2</f>
        <v>438.60773940838345</v>
      </c>
      <c r="N2730" s="75">
        <f>'THAM_SO_MOI'!$C$12*I2730</f>
        <v>1130.112</v>
      </c>
      <c r="O2730" s="75">
        <f>M2730+N2730</f>
        <v>1568.7197394083835</v>
      </c>
      <c r="P2730" s="75">
        <f>(MIN(L2730,'THAM_SO_MOI'!$C$41)-O2730)/('THAM_SO_MOI'!$C$11*H2730)</f>
        <v>0.4882534345788584</v>
      </c>
      <c r="Q2730" s="75">
        <f>IF(P2730&gt;0,1/P2730,NA())</f>
        <v>2.048116672978547</v>
      </c>
      <c r="R2730" s="75">
        <f>F2730-F2729</f>
        <v>0.007943393307220603</v>
      </c>
      <c r="S2730" s="75">
        <f>0.5*(Q2729+Q2730)*R2730</f>
        <v>0.01626870157351422</v>
      </c>
      <c r="T2730" s="75">
        <f>0.5*(F2729*Q2729+F2730*Q2730)*R2730</f>
        <v>0.19915316987709614</v>
      </c>
      <c r="U2730" s="76">
        <f>U2729+S2730</f>
        <v>18.212952333172613</v>
      </c>
      <c r="V2730" s="76">
        <f>V2729+T2730</f>
        <v>133.51278264878223</v>
      </c>
    </row>
    <row r="2731" spans="1:22" ht="19" customHeight="1">
      <c r="A2731" s="68" t="s">
        <v>376</v>
      </c>
      <c r="B2731" s="74">
        <v>4</v>
      </c>
      <c r="C2731" s="68" t="s">
        <v>363</v>
      </c>
      <c r="D2731" s="68" t="s">
        <v>364</v>
      </c>
      <c r="E2731" s="75">
        <f>60*F2731*'THAM_SO_MOI'!$C$52/(2*PI()*'THAM_SO_MOI'!$C$26)</f>
        <v>1927.6910002417653</v>
      </c>
      <c r="F2731" s="75">
        <f>'HANH_TRINH'!$F$2468+('THAM_SO_MOI'!$F$52-'HANH_TRINH'!$F$2468)*262/'THAM_SO_MOI'!$C$42</f>
        <v>12.253406385791498</v>
      </c>
      <c r="G2731" s="75">
        <f>3.6*F2731</f>
        <v>44.112262988849395</v>
      </c>
      <c r="H2731" s="75">
        <f>'THAM_SO_MOI'!$D$52</f>
        <v>1.1774754878398197</v>
      </c>
      <c r="I2731" s="75">
        <f>IF(F2731&gt;'THAM_SO_MOI'!$C$14,'THAM_SO_MOI'!$C$13*(1+F2731^2/1500),'THAM_SO_MOI'!$C$13)</f>
        <v>0.015</v>
      </c>
      <c r="J2731" s="75">
        <f>'THAM_SO_MOI'!$C$40*('THAM_SO_MOI'!$C$23*(E2731/'THAM_SO_MOI'!$C$22)+'THAM_SO_MOI'!$C$24*(E2731/'THAM_SO_MOI'!$C$22)^2-'THAM_SO_MOI'!$C$25*(E2731/'THAM_SO_MOI'!$C$22)^3)</f>
        <v>86.25358866388638</v>
      </c>
      <c r="K2731" s="75">
        <f>'THAM_SO_MOI'!$C$31*J2731/E2731</f>
        <v>427.3592139692086</v>
      </c>
      <c r="L2731" s="75">
        <f>K2731*'THAM_SO_MOI'!$C$52*'THAM_SO_MOI'!$C$17/'THAM_SO_MOI'!$C$26</f>
        <v>5984.408046240631</v>
      </c>
      <c r="M2731" s="75">
        <f>'THAM_SO_MOI'!$C$15*'THAM_SO_MOI'!$C$16*F2731^2</f>
        <v>439.1769565619159</v>
      </c>
      <c r="N2731" s="75">
        <f>'THAM_SO_MOI'!$C$12*I2731</f>
        <v>1130.112</v>
      </c>
      <c r="O2731" s="75">
        <f>M2731+N2731</f>
        <v>1569.288956561916</v>
      </c>
      <c r="P2731" s="75">
        <f>(MIN(L2731,'THAM_SO_MOI'!$C$41)-O2731)/('THAM_SO_MOI'!$C$11*H2731)</f>
        <v>0.4882354699289121</v>
      </c>
      <c r="Q2731" s="75">
        <f>IF(P2731&gt;0,1/P2731,NA())</f>
        <v>2.0481920335398853</v>
      </c>
      <c r="R2731" s="75">
        <f>F2731-F2730</f>
        <v>0.007943393307218827</v>
      </c>
      <c r="S2731" s="75">
        <f>0.5*(Q2730+Q2731)*R2731</f>
        <v>0.01626929558183036</v>
      </c>
      <c r="T2731" s="75">
        <f>0.5*(F2730*Q2730+F2731*Q2731)*R2731</f>
        <v>0.19928967485667634</v>
      </c>
      <c r="U2731" s="76">
        <f>U2730+S2731</f>
        <v>18.22922162875444</v>
      </c>
      <c r="V2731" s="76">
        <f>V2730+T2731</f>
        <v>133.71207232363892</v>
      </c>
    </row>
    <row r="2732" spans="1:22" ht="19" customHeight="1">
      <c r="A2732" s="68" t="s">
        <v>376</v>
      </c>
      <c r="B2732" s="74">
        <v>4</v>
      </c>
      <c r="C2732" s="68" t="s">
        <v>363</v>
      </c>
      <c r="D2732" s="68" t="s">
        <v>364</v>
      </c>
      <c r="E2732" s="75">
        <f>60*F2732*'THAM_SO_MOI'!$C$52/(2*PI()*'THAM_SO_MOI'!$C$26)</f>
        <v>1928.9406452227288</v>
      </c>
      <c r="F2732" s="75">
        <f>'HANH_TRINH'!$F$2468+('THAM_SO_MOI'!$F$52-'HANH_TRINH'!$F$2468)*263/'THAM_SO_MOI'!$C$42</f>
        <v>12.261349779098719</v>
      </c>
      <c r="G2732" s="75">
        <f>3.6*F2732</f>
        <v>44.14085920475539</v>
      </c>
      <c r="H2732" s="75">
        <f>'THAM_SO_MOI'!$D$52</f>
        <v>1.1774754878398197</v>
      </c>
      <c r="I2732" s="75">
        <f>IF(F2732&gt;'THAM_SO_MOI'!$C$14,'THAM_SO_MOI'!$C$13*(1+F2732^2/1500),'THAM_SO_MOI'!$C$13)</f>
        <v>0.015</v>
      </c>
      <c r="J2732" s="75">
        <f>'THAM_SO_MOI'!$C$40*('THAM_SO_MOI'!$C$23*(E2732/'THAM_SO_MOI'!$C$22)+'THAM_SO_MOI'!$C$24*(E2732/'THAM_SO_MOI'!$C$22)^2-'THAM_SO_MOI'!$C$25*(E2732/'THAM_SO_MOI'!$C$22)^3)</f>
        <v>86.31533931049806</v>
      </c>
      <c r="K2732" s="75">
        <f>'THAM_SO_MOI'!$C$31*J2732/E2732</f>
        <v>427.38811024651096</v>
      </c>
      <c r="L2732" s="75">
        <f>K2732*'THAM_SO_MOI'!$C$52*'THAM_SO_MOI'!$C$17/'THAM_SO_MOI'!$C$26</f>
        <v>5984.812687368613</v>
      </c>
      <c r="M2732" s="75">
        <f>'THAM_SO_MOI'!$C$15*'THAM_SO_MOI'!$C$16*F2732^2</f>
        <v>439.74654283580736</v>
      </c>
      <c r="N2732" s="75">
        <f>'THAM_SO_MOI'!$C$12*I2732</f>
        <v>1130.112</v>
      </c>
      <c r="O2732" s="75">
        <f>M2732+N2732</f>
        <v>1569.8585428358074</v>
      </c>
      <c r="P2732" s="75">
        <f>(MIN(L2732,'THAM_SO_MOI'!$C$41)-O2732)/('THAM_SO_MOI'!$C$11*H2732)</f>
        <v>0.48821722986127414</v>
      </c>
      <c r="Q2732" s="75">
        <f>IF(P2732&gt;0,1/P2732,NA())</f>
        <v>2.048268555135073</v>
      </c>
      <c r="R2732" s="75">
        <f>F2732-F2731</f>
        <v>0.007943393307220603</v>
      </c>
      <c r="S2732" s="75">
        <f>0.5*(Q2731+Q2732)*R2732</f>
        <v>0.016269898811686816</v>
      </c>
      <c r="T2732" s="75">
        <f>0.5*(F2731*Q2731+F2732*Q2732)*R2732</f>
        <v>0.19942630230505004</v>
      </c>
      <c r="U2732" s="76">
        <f>U2731+S2732</f>
        <v>18.245491527566127</v>
      </c>
      <c r="V2732" s="76">
        <f>V2731+T2732</f>
        <v>133.91149862594398</v>
      </c>
    </row>
    <row r="2733" spans="1:22" ht="19" customHeight="1">
      <c r="A2733" s="68" t="s">
        <v>376</v>
      </c>
      <c r="B2733" s="74">
        <v>4</v>
      </c>
      <c r="C2733" s="68" t="s">
        <v>363</v>
      </c>
      <c r="D2733" s="68" t="s">
        <v>364</v>
      </c>
      <c r="E2733" s="75">
        <f>60*F2733*'THAM_SO_MOI'!$C$52/(2*PI()*'THAM_SO_MOI'!$C$26)</f>
        <v>1930.190290203692</v>
      </c>
      <c r="F2733" s="75">
        <f>'HANH_TRINH'!$F$2468+('THAM_SO_MOI'!$F$52-'HANH_TRINH'!$F$2468)*264/'THAM_SO_MOI'!$C$42</f>
        <v>12.269293172405938</v>
      </c>
      <c r="G2733" s="75">
        <f>3.6*F2733</f>
        <v>44.16945542066138</v>
      </c>
      <c r="H2733" s="75">
        <f>'THAM_SO_MOI'!$D$52</f>
        <v>1.1774754878398197</v>
      </c>
      <c r="I2733" s="75">
        <f>IF(F2733&gt;'THAM_SO_MOI'!$C$14,'THAM_SO_MOI'!$C$13*(1+F2733^2/1500),'THAM_SO_MOI'!$C$13)</f>
        <v>0.015</v>
      </c>
      <c r="J2733" s="75">
        <f>'THAM_SO_MOI'!$C$40*('THAM_SO_MOI'!$C$23*(E2733/'THAM_SO_MOI'!$C$22)+'THAM_SO_MOI'!$C$24*(E2733/'THAM_SO_MOI'!$C$22)^2-'THAM_SO_MOI'!$C$25*(E2733/'THAM_SO_MOI'!$C$22)^3)</f>
        <v>86.37706690184234</v>
      </c>
      <c r="K2733" s="75">
        <f>'THAM_SO_MOI'!$C$31*J2733/E2733</f>
        <v>427.4168550240859</v>
      </c>
      <c r="L2733" s="75">
        <f>K2733*'THAM_SO_MOI'!$C$52*'THAM_SO_MOI'!$C$17/'THAM_SO_MOI'!$C$26</f>
        <v>5985.215207011538</v>
      </c>
      <c r="M2733" s="75">
        <f>'THAM_SO_MOI'!$C$15*'THAM_SO_MOI'!$C$16*F2733^2</f>
        <v>440.31649823005745</v>
      </c>
      <c r="N2733" s="75">
        <f>'THAM_SO_MOI'!$C$12*I2733</f>
        <v>1130.112</v>
      </c>
      <c r="O2733" s="75">
        <f>M2733+N2733</f>
        <v>1570.4284982300576</v>
      </c>
      <c r="P2733" s="75">
        <f>(MIN(L2733,'THAM_SO_MOI'!$C$41)-O2733)/('THAM_SO_MOI'!$C$11*H2733)</f>
        <v>0.488198714375945</v>
      </c>
      <c r="Q2733" s="75">
        <f>IF(P2733&gt;0,1/P2733,NA())</f>
        <v>2.048346238023754</v>
      </c>
      <c r="R2733" s="75">
        <f>F2733-F2732</f>
        <v>0.007943393307218827</v>
      </c>
      <c r="S2733" s="75">
        <f>0.5*(Q2732+Q2733)*R2733</f>
        <v>0.016270511265115733</v>
      </c>
      <c r="T2733" s="75">
        <f>0.5*(F2732*Q2732+F2733*Q2733)*R2733</f>
        <v>0.19956305246689315</v>
      </c>
      <c r="U2733" s="76">
        <f>U2732+S2733</f>
        <v>18.261762038831243</v>
      </c>
      <c r="V2733" s="76">
        <f>V2732+T2733</f>
        <v>134.11106167841086</v>
      </c>
    </row>
    <row r="2734" spans="1:22" ht="19" customHeight="1">
      <c r="A2734" s="68" t="s">
        <v>376</v>
      </c>
      <c r="B2734" s="74">
        <v>4</v>
      </c>
      <c r="C2734" s="68" t="s">
        <v>363</v>
      </c>
      <c r="D2734" s="68" t="s">
        <v>364</v>
      </c>
      <c r="E2734" s="75">
        <f>60*F2734*'THAM_SO_MOI'!$C$52/(2*PI()*'THAM_SO_MOI'!$C$26)</f>
        <v>1931.4399351846548</v>
      </c>
      <c r="F2734" s="75">
        <f>'HANH_TRINH'!$F$2468+('THAM_SO_MOI'!$F$52-'HANH_TRINH'!$F$2468)*265/'THAM_SO_MOI'!$C$42</f>
        <v>12.277236565713157</v>
      </c>
      <c r="G2734" s="75">
        <f>3.6*F2734</f>
        <v>44.198051636567364</v>
      </c>
      <c r="H2734" s="75">
        <f>'THAM_SO_MOI'!$D$52</f>
        <v>1.1774754878398197</v>
      </c>
      <c r="I2734" s="75">
        <f>IF(F2734&gt;'THAM_SO_MOI'!$C$14,'THAM_SO_MOI'!$C$13*(1+F2734^2/1500),'THAM_SO_MOI'!$C$13)</f>
        <v>0.015</v>
      </c>
      <c r="J2734" s="75">
        <f>'THAM_SO_MOI'!$C$40*('THAM_SO_MOI'!$C$23*(E2734/'THAM_SO_MOI'!$C$22)+'THAM_SO_MOI'!$C$24*(E2734/'THAM_SO_MOI'!$C$22)^2-'THAM_SO_MOI'!$C$25*(E2734/'THAM_SO_MOI'!$C$22)^3)</f>
        <v>86.43877137845351</v>
      </c>
      <c r="K2734" s="75">
        <f>'THAM_SO_MOI'!$C$31*J2734/E2734</f>
        <v>427.44544830193337</v>
      </c>
      <c r="L2734" s="75">
        <f>K2734*'THAM_SO_MOI'!$C$52*'THAM_SO_MOI'!$C$17/'THAM_SO_MOI'!$C$26</f>
        <v>5985.615605169399</v>
      </c>
      <c r="M2734" s="75">
        <f>'THAM_SO_MOI'!$C$15*'THAM_SO_MOI'!$C$16*F2734^2</f>
        <v>440.88682274466623</v>
      </c>
      <c r="N2734" s="75">
        <f>'THAM_SO_MOI'!$C$12*I2734</f>
        <v>1130.112</v>
      </c>
      <c r="O2734" s="75">
        <f>M2734+N2734</f>
        <v>1570.9988227446663</v>
      </c>
      <c r="P2734" s="75">
        <f>(MIN(L2734,'THAM_SO_MOI'!$C$41)-O2734)/('THAM_SO_MOI'!$C$11*H2734)</f>
        <v>0.48817992347292405</v>
      </c>
      <c r="Q2734" s="75">
        <f>IF(P2734&gt;0,1/P2734,NA())</f>
        <v>2.0484250824695436</v>
      </c>
      <c r="R2734" s="75">
        <f>F2734-F2733</f>
        <v>0.007943393307218827</v>
      </c>
      <c r="S2734" s="75">
        <f>0.5*(Q2733+Q2734)*R2734</f>
        <v>0.01627113294420625</v>
      </c>
      <c r="T2734" s="75">
        <f>0.5*(F2733*Q2733+F2734*Q2734)*R2734</f>
        <v>0.19969992558764577</v>
      </c>
      <c r="U2734" s="76">
        <f>U2733+S2734</f>
        <v>18.278033171775448</v>
      </c>
      <c r="V2734" s="76">
        <f>V2733+T2734</f>
        <v>134.31076160399851</v>
      </c>
    </row>
    <row r="2735" spans="1:22" ht="19" customHeight="1">
      <c r="A2735" s="68" t="s">
        <v>376</v>
      </c>
      <c r="B2735" s="74">
        <v>4</v>
      </c>
      <c r="C2735" s="68" t="s">
        <v>363</v>
      </c>
      <c r="D2735" s="68" t="s">
        <v>364</v>
      </c>
      <c r="E2735" s="75">
        <f>60*F2735*'THAM_SO_MOI'!$C$52/(2*PI()*'THAM_SO_MOI'!$C$26)</f>
        <v>1932.6895801656178</v>
      </c>
      <c r="F2735" s="75">
        <f>'HANH_TRINH'!$F$2468+('THAM_SO_MOI'!$F$52-'HANH_TRINH'!$F$2468)*266/'THAM_SO_MOI'!$C$42</f>
        <v>12.285179959020375</v>
      </c>
      <c r="G2735" s="75">
        <f>3.6*F2735</f>
        <v>44.226647852473356</v>
      </c>
      <c r="H2735" s="75">
        <f>'THAM_SO_MOI'!$D$52</f>
        <v>1.1774754878398197</v>
      </c>
      <c r="I2735" s="75">
        <f>IF(F2735&gt;'THAM_SO_MOI'!$C$14,'THAM_SO_MOI'!$C$13*(1+F2735^2/1500),'THAM_SO_MOI'!$C$13)</f>
        <v>0.015</v>
      </c>
      <c r="J2735" s="75">
        <f>'THAM_SO_MOI'!$C$40*('THAM_SO_MOI'!$C$23*(E2735/'THAM_SO_MOI'!$C$22)+'THAM_SO_MOI'!$C$24*(E2735/'THAM_SO_MOI'!$C$22)^2-'THAM_SO_MOI'!$C$25*(E2735/'THAM_SO_MOI'!$C$22)^3)</f>
        <v>86.50045268086592</v>
      </c>
      <c r="K2735" s="75">
        <f>'THAM_SO_MOI'!$C$31*J2735/E2735</f>
        <v>427.4738900800534</v>
      </c>
      <c r="L2735" s="75">
        <f>K2735*'THAM_SO_MOI'!$C$52*'THAM_SO_MOI'!$C$17/'THAM_SO_MOI'!$C$26</f>
        <v>5986.013881842203</v>
      </c>
      <c r="M2735" s="75">
        <f>'THAM_SO_MOI'!$C$15*'THAM_SO_MOI'!$C$16*F2735^2</f>
        <v>441.45751637963394</v>
      </c>
      <c r="N2735" s="75">
        <f>'THAM_SO_MOI'!$C$12*I2735</f>
        <v>1130.112</v>
      </c>
      <c r="O2735" s="75">
        <f>M2735+N2735</f>
        <v>1571.569516379634</v>
      </c>
      <c r="P2735" s="75">
        <f>(MIN(L2735,'THAM_SO_MOI'!$C$41)-O2735)/('THAM_SO_MOI'!$C$11*H2735)</f>
        <v>0.4881608571522121</v>
      </c>
      <c r="Q2735" s="75">
        <f>IF(P2735&gt;0,1/P2735,NA())</f>
        <v>2.0485050887400273</v>
      </c>
      <c r="R2735" s="75">
        <f>F2735-F2734</f>
        <v>0.007943393307218827</v>
      </c>
      <c r="S2735" s="75">
        <f>0.5*(Q2734+Q2735)*R2735</f>
        <v>0.016271763851064495</v>
      </c>
      <c r="T2735" s="75">
        <f>0.5*(F2734*Q2734+F2735*Q2735)*R2735</f>
        <v>0.19983692191302296</v>
      </c>
      <c r="U2735" s="76">
        <f>U2734+S2735</f>
        <v>18.294304935626513</v>
      </c>
      <c r="V2735" s="76">
        <f>V2734+T2735</f>
        <v>134.51059852591155</v>
      </c>
    </row>
    <row r="2736" spans="1:22" ht="19" customHeight="1">
      <c r="A2736" s="68" t="s">
        <v>376</v>
      </c>
      <c r="B2736" s="74">
        <v>4</v>
      </c>
      <c r="C2736" s="68" t="s">
        <v>363</v>
      </c>
      <c r="D2736" s="68" t="s">
        <v>364</v>
      </c>
      <c r="E2736" s="75">
        <f>60*F2736*'THAM_SO_MOI'!$C$52/(2*PI()*'THAM_SO_MOI'!$C$26)</f>
        <v>1933.9392251465815</v>
      </c>
      <c r="F2736" s="75">
        <f>'HANH_TRINH'!$F$2468+('THAM_SO_MOI'!$F$52-'HANH_TRINH'!$F$2468)*267/'THAM_SO_MOI'!$C$42</f>
        <v>12.293123352327596</v>
      </c>
      <c r="G2736" s="75">
        <f>3.6*F2736</f>
        <v>44.25524406837935</v>
      </c>
      <c r="H2736" s="75">
        <f>'THAM_SO_MOI'!$D$52</f>
        <v>1.1774754878398197</v>
      </c>
      <c r="I2736" s="75">
        <f>IF(F2736&gt;'THAM_SO_MOI'!$C$14,'THAM_SO_MOI'!$C$13*(1+F2736^2/1500),'THAM_SO_MOI'!$C$13)</f>
        <v>0.015</v>
      </c>
      <c r="J2736" s="75">
        <f>'THAM_SO_MOI'!$C$40*('THAM_SO_MOI'!$C$23*(E2736/'THAM_SO_MOI'!$C$22)+'THAM_SO_MOI'!$C$24*(E2736/'THAM_SO_MOI'!$C$22)^2-'THAM_SO_MOI'!$C$25*(E2736/'THAM_SO_MOI'!$C$22)^3)</f>
        <v>86.56211074961386</v>
      </c>
      <c r="K2736" s="75">
        <f>'THAM_SO_MOI'!$C$31*J2736/E2736</f>
        <v>427.50218035844597</v>
      </c>
      <c r="L2736" s="75">
        <f>K2736*'THAM_SO_MOI'!$C$52*'THAM_SO_MOI'!$C$17/'THAM_SO_MOI'!$C$26</f>
        <v>5986.410037029943</v>
      </c>
      <c r="M2736" s="75">
        <f>'THAM_SO_MOI'!$C$15*'THAM_SO_MOI'!$C$16*F2736^2</f>
        <v>442.02857913496064</v>
      </c>
      <c r="N2736" s="75">
        <f>'THAM_SO_MOI'!$C$12*I2736</f>
        <v>1130.112</v>
      </c>
      <c r="O2736" s="75">
        <f>M2736+N2736</f>
        <v>1572.1405791349607</v>
      </c>
      <c r="P2736" s="75">
        <f>(MIN(L2736,'THAM_SO_MOI'!$C$41)-O2736)/('THAM_SO_MOI'!$C$11*H2736)</f>
        <v>0.48814151541380807</v>
      </c>
      <c r="Q2736" s="75">
        <f>IF(P2736&gt;0,1/P2736,NA())</f>
        <v>2.0485862571067703</v>
      </c>
      <c r="R2736" s="75">
        <f>F2736-F2735</f>
        <v>0.007943393307220603</v>
      </c>
      <c r="S2736" s="75">
        <f>0.5*(Q2735+Q2736)*R2736</f>
        <v>0.01627240398783545</v>
      </c>
      <c r="T2736" s="75">
        <f>0.5*(F2735*Q2735+F2736*Q2736)*R2736</f>
        <v>0.1999740416892842</v>
      </c>
      <c r="U2736" s="76">
        <f>U2735+S2736</f>
        <v>18.310577339614348</v>
      </c>
      <c r="V2736" s="76">
        <f>V2735+T2736</f>
        <v>134.71057256760082</v>
      </c>
    </row>
    <row r="2737" spans="1:22" ht="19" customHeight="1">
      <c r="A2737" s="68" t="s">
        <v>376</v>
      </c>
      <c r="B2737" s="74">
        <v>4</v>
      </c>
      <c r="C2737" s="68" t="s">
        <v>363</v>
      </c>
      <c r="D2737" s="68" t="s">
        <v>364</v>
      </c>
      <c r="E2737" s="75">
        <f>60*F2737*'THAM_SO_MOI'!$C$52/(2*PI()*'THAM_SO_MOI'!$C$26)</f>
        <v>1935.1888701275445</v>
      </c>
      <c r="F2737" s="75">
        <f>'HANH_TRINH'!$F$2468+('THAM_SO_MOI'!$F$52-'HANH_TRINH'!$F$2468)*268/'THAM_SO_MOI'!$C$42</f>
        <v>12.301066745634815</v>
      </c>
      <c r="G2737" s="75">
        <f>3.6*F2737</f>
        <v>44.28384028428533</v>
      </c>
      <c r="H2737" s="75">
        <f>'THAM_SO_MOI'!$D$52</f>
        <v>1.1774754878398197</v>
      </c>
      <c r="I2737" s="75">
        <f>IF(F2737&gt;'THAM_SO_MOI'!$C$14,'THAM_SO_MOI'!$C$13*(1+F2737^2/1500),'THAM_SO_MOI'!$C$13)</f>
        <v>0.015</v>
      </c>
      <c r="J2737" s="75">
        <f>'THAM_SO_MOI'!$C$40*('THAM_SO_MOI'!$C$23*(E2737/'THAM_SO_MOI'!$C$22)+'THAM_SO_MOI'!$C$24*(E2737/'THAM_SO_MOI'!$C$22)^2-'THAM_SO_MOI'!$C$25*(E2737/'THAM_SO_MOI'!$C$22)^3)</f>
        <v>86.62374552523161</v>
      </c>
      <c r="K2737" s="75">
        <f>'THAM_SO_MOI'!$C$31*J2737/E2737</f>
        <v>427.5303191371109</v>
      </c>
      <c r="L2737" s="75">
        <f>K2737*'THAM_SO_MOI'!$C$52*'THAM_SO_MOI'!$C$17/'THAM_SO_MOI'!$C$26</f>
        <v>5986.804070732621</v>
      </c>
      <c r="M2737" s="75">
        <f>'THAM_SO_MOI'!$C$15*'THAM_SO_MOI'!$C$16*F2737^2</f>
        <v>442.6000110106459</v>
      </c>
      <c r="N2737" s="75">
        <f>'THAM_SO_MOI'!$C$12*I2737</f>
        <v>1130.112</v>
      </c>
      <c r="O2737" s="75">
        <f>M2737+N2737</f>
        <v>1572.712011010646</v>
      </c>
      <c r="P2737" s="75">
        <f>(MIN(L2737,'THAM_SO_MOI'!$C$41)-O2737)/('THAM_SO_MOI'!$C$11*H2737)</f>
        <v>0.48812189825771246</v>
      </c>
      <c r="Q2737" s="75">
        <f>IF(P2737&gt;0,1/P2737,NA())</f>
        <v>2.0486685878453104</v>
      </c>
      <c r="R2737" s="75">
        <f>F2737-F2736</f>
        <v>0.007943393307218827</v>
      </c>
      <c r="S2737" s="75">
        <f>0.5*(Q2736+Q2737)*R2737</f>
        <v>0.016273053356681135</v>
      </c>
      <c r="T2737" s="75">
        <f>0.5*(F2736*Q2736+F2737*Q2737)*R2737</f>
        <v>0.20011128516296647</v>
      </c>
      <c r="U2737" s="76">
        <f>U2736+S2737</f>
        <v>18.32685039297103</v>
      </c>
      <c r="V2737" s="76">
        <f>V2736+T2737</f>
        <v>134.91068385276378</v>
      </c>
    </row>
    <row r="2738" spans="1:22" ht="19" customHeight="1">
      <c r="A2738" s="68" t="s">
        <v>376</v>
      </c>
      <c r="B2738" s="74">
        <v>4</v>
      </c>
      <c r="C2738" s="68" t="s">
        <v>363</v>
      </c>
      <c r="D2738" s="68" t="s">
        <v>364</v>
      </c>
      <c r="E2738" s="75">
        <f>60*F2738*'THAM_SO_MOI'!$C$52/(2*PI()*'THAM_SO_MOI'!$C$26)</f>
        <v>1936.4385151085082</v>
      </c>
      <c r="F2738" s="75">
        <f>'HANH_TRINH'!$F$2468+('THAM_SO_MOI'!$F$52-'HANH_TRINH'!$F$2468)*269/'THAM_SO_MOI'!$C$42</f>
        <v>12.309010138942035</v>
      </c>
      <c r="G2738" s="75">
        <f>3.6*F2738</f>
        <v>44.31243650019133</v>
      </c>
      <c r="H2738" s="75">
        <f>'THAM_SO_MOI'!$D$52</f>
        <v>1.1774754878398197</v>
      </c>
      <c r="I2738" s="75">
        <f>IF(F2738&gt;'THAM_SO_MOI'!$C$14,'THAM_SO_MOI'!$C$13*(1+F2738^2/1500),'THAM_SO_MOI'!$C$13)</f>
        <v>0.015</v>
      </c>
      <c r="J2738" s="75">
        <f>'THAM_SO_MOI'!$C$40*('THAM_SO_MOI'!$C$23*(E2738/'THAM_SO_MOI'!$C$22)+'THAM_SO_MOI'!$C$24*(E2738/'THAM_SO_MOI'!$C$22)^2-'THAM_SO_MOI'!$C$25*(E2738/'THAM_SO_MOI'!$C$22)^3)</f>
        <v>86.68535694825356</v>
      </c>
      <c r="K2738" s="75">
        <f>'THAM_SO_MOI'!$C$31*J2738/E2738</f>
        <v>427.5583064160484</v>
      </c>
      <c r="L2738" s="75">
        <f>K2738*'THAM_SO_MOI'!$C$52*'THAM_SO_MOI'!$C$17/'THAM_SO_MOI'!$C$26</f>
        <v>5987.195982950238</v>
      </c>
      <c r="M2738" s="75">
        <f>'THAM_SO_MOI'!$C$15*'THAM_SO_MOI'!$C$16*F2738^2</f>
        <v>443.1718120066902</v>
      </c>
      <c r="N2738" s="75">
        <f>'THAM_SO_MOI'!$C$12*I2738</f>
        <v>1130.112</v>
      </c>
      <c r="O2738" s="75">
        <f>M2738+N2738</f>
        <v>1573.2838120066904</v>
      </c>
      <c r="P2738" s="75">
        <f>(MIN(L2738,'THAM_SO_MOI'!$C$41)-O2738)/('THAM_SO_MOI'!$C$11*H2738)</f>
        <v>0.4881020056839255</v>
      </c>
      <c r="Q2738" s="75">
        <f>IF(P2738&gt;0,1/P2738,NA())</f>
        <v>2.048752081235164</v>
      </c>
      <c r="R2738" s="75">
        <f>F2738-F2737</f>
        <v>0.007943393307220603</v>
      </c>
      <c r="S2738" s="75">
        <f>0.5*(Q2737+Q2738)*R2738</f>
        <v>0.0162737119598206</v>
      </c>
      <c r="T2738" s="75">
        <f>0.5*(F2737*Q2737+F2738*Q2738)*R2738</f>
        <v>0.2002486525813774</v>
      </c>
      <c r="U2738" s="76">
        <f>U2737+S2738</f>
        <v>18.343124104930848</v>
      </c>
      <c r="V2738" s="76">
        <f>V2737+T2738</f>
        <v>135.11093250534515</v>
      </c>
    </row>
    <row r="2739" spans="1:22" ht="19" customHeight="1">
      <c r="A2739" s="68" t="s">
        <v>376</v>
      </c>
      <c r="B2739" s="74">
        <v>4</v>
      </c>
      <c r="C2739" s="68" t="s">
        <v>363</v>
      </c>
      <c r="D2739" s="68" t="s">
        <v>364</v>
      </c>
      <c r="E2739" s="75">
        <f>60*F2739*'THAM_SO_MOI'!$C$52/(2*PI()*'THAM_SO_MOI'!$C$26)</f>
        <v>1937.6881600894712</v>
      </c>
      <c r="F2739" s="75">
        <f>'HANH_TRINH'!$F$2468+('THAM_SO_MOI'!$F$52-'HANH_TRINH'!$F$2468)*270/'THAM_SO_MOI'!$C$42</f>
        <v>12.316953532249254</v>
      </c>
      <c r="G2739" s="75">
        <f>3.6*F2739</f>
        <v>44.34103271609732</v>
      </c>
      <c r="H2739" s="75">
        <f>'THAM_SO_MOI'!$D$52</f>
        <v>1.1774754878398197</v>
      </c>
      <c r="I2739" s="75">
        <f>IF(F2739&gt;'THAM_SO_MOI'!$C$14,'THAM_SO_MOI'!$C$13*(1+F2739^2/1500),'THAM_SO_MOI'!$C$13)</f>
        <v>0.015</v>
      </c>
      <c r="J2739" s="75">
        <f>'THAM_SO_MOI'!$C$40*('THAM_SO_MOI'!$C$23*(E2739/'THAM_SO_MOI'!$C$22)+'THAM_SO_MOI'!$C$24*(E2739/'THAM_SO_MOI'!$C$22)^2-'THAM_SO_MOI'!$C$25*(E2739/'THAM_SO_MOI'!$C$22)^3)</f>
        <v>86.74694495921395</v>
      </c>
      <c r="K2739" s="75">
        <f>'THAM_SO_MOI'!$C$31*J2739/E2739</f>
        <v>427.5861421952585</v>
      </c>
      <c r="L2739" s="75">
        <f>K2739*'THAM_SO_MOI'!$C$52*'THAM_SO_MOI'!$C$17/'THAM_SO_MOI'!$C$26</f>
        <v>5987.585773682797</v>
      </c>
      <c r="M2739" s="75">
        <f>'THAM_SO_MOI'!$C$15*'THAM_SO_MOI'!$C$16*F2739^2</f>
        <v>443.7439821230932</v>
      </c>
      <c r="N2739" s="75">
        <f>'THAM_SO_MOI'!$C$12*I2739</f>
        <v>1130.112</v>
      </c>
      <c r="O2739" s="75">
        <f>M2739+N2739</f>
        <v>1573.8559821230933</v>
      </c>
      <c r="P2739" s="75">
        <f>(MIN(L2739,'THAM_SO_MOI'!$C$41)-O2739)/('THAM_SO_MOI'!$C$11*H2739)</f>
        <v>0.48808183769244706</v>
      </c>
      <c r="Q2739" s="75">
        <f>IF(P2739&gt;0,1/P2739,NA())</f>
        <v>2.0488367375598306</v>
      </c>
      <c r="R2739" s="75">
        <f>F2739-F2738</f>
        <v>0.007943393307218827</v>
      </c>
      <c r="S2739" s="75">
        <f>0.5*(Q2738+Q2739)*R2739</f>
        <v>0.01627437979947543</v>
      </c>
      <c r="T2739" s="75">
        <f>0.5*(F2738*Q2738+F2739*Q2739)*R2739</f>
        <v>0.2003861441919262</v>
      </c>
      <c r="U2739" s="76">
        <f>U2738+S2739</f>
        <v>18.359398484730324</v>
      </c>
      <c r="V2739" s="76">
        <f>V2738+T2739</f>
        <v>135.31131864953707</v>
      </c>
    </row>
    <row r="2740" spans="1:22" ht="19" customHeight="1">
      <c r="A2740" s="68" t="s">
        <v>376</v>
      </c>
      <c r="B2740" s="74">
        <v>4</v>
      </c>
      <c r="C2740" s="68" t="s">
        <v>363</v>
      </c>
      <c r="D2740" s="68" t="s">
        <v>364</v>
      </c>
      <c r="E2740" s="75">
        <f>60*F2740*'THAM_SO_MOI'!$C$52/(2*PI()*'THAM_SO_MOI'!$C$26)</f>
        <v>1938.937805070435</v>
      </c>
      <c r="F2740" s="75">
        <f>'HANH_TRINH'!$F$2468+('THAM_SO_MOI'!$F$52-'HANH_TRINH'!$F$2468)*271/'THAM_SO_MOI'!$C$42</f>
        <v>12.324896925556473</v>
      </c>
      <c r="G2740" s="75">
        <f>3.6*F2740</f>
        <v>44.3696289320033</v>
      </c>
      <c r="H2740" s="75">
        <f>'THAM_SO_MOI'!$D$52</f>
        <v>1.1774754878398197</v>
      </c>
      <c r="I2740" s="75">
        <f>IF(F2740&gt;'THAM_SO_MOI'!$C$14,'THAM_SO_MOI'!$C$13*(1+F2740^2/1500),'THAM_SO_MOI'!$C$13)</f>
        <v>0.015</v>
      </c>
      <c r="J2740" s="75">
        <f>'THAM_SO_MOI'!$C$40*('THAM_SO_MOI'!$C$23*(E2740/'THAM_SO_MOI'!$C$22)+'THAM_SO_MOI'!$C$24*(E2740/'THAM_SO_MOI'!$C$22)^2-'THAM_SO_MOI'!$C$25*(E2740/'THAM_SO_MOI'!$C$22)^3)</f>
        <v>86.80850949864713</v>
      </c>
      <c r="K2740" s="75">
        <f>'THAM_SO_MOI'!$C$31*J2740/E2740</f>
        <v>427.6138264747411</v>
      </c>
      <c r="L2740" s="75">
        <f>K2740*'THAM_SO_MOI'!$C$52*'THAM_SO_MOI'!$C$17/'THAM_SO_MOI'!$C$26</f>
        <v>5987.973442930292</v>
      </c>
      <c r="M2740" s="75">
        <f>'THAM_SO_MOI'!$C$15*'THAM_SO_MOI'!$C$16*F2740^2</f>
        <v>444.31652135985485</v>
      </c>
      <c r="N2740" s="75">
        <f>'THAM_SO_MOI'!$C$12*I2740</f>
        <v>1130.112</v>
      </c>
      <c r="O2740" s="75">
        <f>M2740+N2740</f>
        <v>1574.428521359855</v>
      </c>
      <c r="P2740" s="75">
        <f>(MIN(L2740,'THAM_SO_MOI'!$C$41)-O2740)/('THAM_SO_MOI'!$C$11*H2740)</f>
        <v>0.48806139428327683</v>
      </c>
      <c r="Q2740" s="75">
        <f>IF(P2740&gt;0,1/P2740,NA())</f>
        <v>2.0489225571067964</v>
      </c>
      <c r="R2740" s="75">
        <f>F2740-F2739</f>
        <v>0.007943393307218827</v>
      </c>
      <c r="S2740" s="75">
        <f>0.5*(Q2739+Q2740)*R2740</f>
        <v>0.016275056877924313</v>
      </c>
      <c r="T2740" s="75">
        <f>0.5*(F2739*Q2739+F2740*Q2740)*R2740</f>
        <v>0.2005237602427964</v>
      </c>
      <c r="U2740" s="76">
        <f>U2739+S2740</f>
        <v>18.375673541608247</v>
      </c>
      <c r="V2740" s="76">
        <f>V2739+T2740</f>
        <v>135.51184240977986</v>
      </c>
    </row>
    <row r="2741" spans="1:22" ht="19" customHeight="1">
      <c r="A2741" s="68" t="s">
        <v>376</v>
      </c>
      <c r="B2741" s="74">
        <v>4</v>
      </c>
      <c r="C2741" s="68" t="s">
        <v>363</v>
      </c>
      <c r="D2741" s="68" t="s">
        <v>364</v>
      </c>
      <c r="E2741" s="75">
        <f>60*F2741*'THAM_SO_MOI'!$C$52/(2*PI()*'THAM_SO_MOI'!$C$26)</f>
        <v>1940.1874500513977</v>
      </c>
      <c r="F2741" s="75">
        <f>'HANH_TRINH'!$F$2468+('THAM_SO_MOI'!$F$52-'HANH_TRINH'!$F$2468)*272/'THAM_SO_MOI'!$C$42</f>
        <v>12.332840318863692</v>
      </c>
      <c r="G2741" s="75">
        <f>3.6*F2741</f>
        <v>44.398225147909294</v>
      </c>
      <c r="H2741" s="75">
        <f>'THAM_SO_MOI'!$D$52</f>
        <v>1.1774754878398197</v>
      </c>
      <c r="I2741" s="75">
        <f>IF(F2741&gt;'THAM_SO_MOI'!$C$14,'THAM_SO_MOI'!$C$13*(1+F2741^2/1500),'THAM_SO_MOI'!$C$13)</f>
        <v>0.015</v>
      </c>
      <c r="J2741" s="75">
        <f>'THAM_SO_MOI'!$C$40*('THAM_SO_MOI'!$C$23*(E2741/'THAM_SO_MOI'!$C$22)+'THAM_SO_MOI'!$C$24*(E2741/'THAM_SO_MOI'!$C$22)^2-'THAM_SO_MOI'!$C$25*(E2741/'THAM_SO_MOI'!$C$22)^3)</f>
        <v>86.8700505070874</v>
      </c>
      <c r="K2741" s="75">
        <f>'THAM_SO_MOI'!$C$31*J2741/E2741</f>
        <v>427.64135925449625</v>
      </c>
      <c r="L2741" s="75">
        <f>K2741*'THAM_SO_MOI'!$C$52*'THAM_SO_MOI'!$C$17/'THAM_SO_MOI'!$C$26</f>
        <v>5988.358990692727</v>
      </c>
      <c r="M2741" s="75">
        <f>'THAM_SO_MOI'!$C$15*'THAM_SO_MOI'!$C$16*F2741^2</f>
        <v>444.8894297169755</v>
      </c>
      <c r="N2741" s="75">
        <f>'THAM_SO_MOI'!$C$12*I2741</f>
        <v>1130.112</v>
      </c>
      <c r="O2741" s="75">
        <f>M2741+N2741</f>
        <v>1575.0014297169755</v>
      </c>
      <c r="P2741" s="75">
        <f>(MIN(L2741,'THAM_SO_MOI'!$C$41)-O2741)/('THAM_SO_MOI'!$C$11*H2741)</f>
        <v>0.4880406754564153</v>
      </c>
      <c r="Q2741" s="75">
        <f>IF(P2741&gt;0,1/P2741,NA())</f>
        <v>2.0490095401675297</v>
      </c>
      <c r="R2741" s="75">
        <f>F2741-F2740</f>
        <v>0.007943393307218827</v>
      </c>
      <c r="S2741" s="75">
        <f>0.5*(Q2740+Q2741)*R2741</f>
        <v>0.016275743197463045</v>
      </c>
      <c r="T2741" s="75">
        <f>0.5*(F2740*Q2740+F2741*Q2741)*R2741</f>
        <v>0.2006615009824547</v>
      </c>
      <c r="U2741" s="76">
        <f>U2740+S2741</f>
        <v>18.391949284805712</v>
      </c>
      <c r="V2741" s="76">
        <f>V2740+T2741</f>
        <v>135.7125039107623</v>
      </c>
    </row>
    <row r="2742" spans="1:22" ht="19" customHeight="1">
      <c r="A2742" s="68" t="s">
        <v>376</v>
      </c>
      <c r="B2742" s="74">
        <v>4</v>
      </c>
      <c r="C2742" s="68" t="s">
        <v>363</v>
      </c>
      <c r="D2742" s="68" t="s">
        <v>364</v>
      </c>
      <c r="E2742" s="75">
        <f>60*F2742*'THAM_SO_MOI'!$C$52/(2*PI()*'THAM_SO_MOI'!$C$26)</f>
        <v>1941.4370950323612</v>
      </c>
      <c r="F2742" s="75">
        <f>'HANH_TRINH'!$F$2468+('THAM_SO_MOI'!$F$52-'HANH_TRINH'!$F$2468)*273/'THAM_SO_MOI'!$C$42</f>
        <v>12.340783712170913</v>
      </c>
      <c r="G2742" s="75">
        <f>3.6*F2742</f>
        <v>44.426821363815286</v>
      </c>
      <c r="H2742" s="75">
        <f>'THAM_SO_MOI'!$D$52</f>
        <v>1.1774754878398197</v>
      </c>
      <c r="I2742" s="75">
        <f>IF(F2742&gt;'THAM_SO_MOI'!$C$14,'THAM_SO_MOI'!$C$13*(1+F2742^2/1500),'THAM_SO_MOI'!$C$13)</f>
        <v>0.015</v>
      </c>
      <c r="J2742" s="75">
        <f>'THAM_SO_MOI'!$C$40*('THAM_SO_MOI'!$C$23*(E2742/'THAM_SO_MOI'!$C$22)+'THAM_SO_MOI'!$C$24*(E2742/'THAM_SO_MOI'!$C$22)^2-'THAM_SO_MOI'!$C$25*(E2742/'THAM_SO_MOI'!$C$22)^3)</f>
        <v>86.93156792506907</v>
      </c>
      <c r="K2742" s="75">
        <f>'THAM_SO_MOI'!$C$31*J2742/E2742</f>
        <v>427.66874053452386</v>
      </c>
      <c r="L2742" s="75">
        <f>K2742*'THAM_SO_MOI'!$C$52*'THAM_SO_MOI'!$C$17/'THAM_SO_MOI'!$C$26</f>
        <v>5988.742416970102</v>
      </c>
      <c r="M2742" s="75">
        <f>'THAM_SO_MOI'!$C$15*'THAM_SO_MOI'!$C$16*F2742^2</f>
        <v>445.46270719445505</v>
      </c>
      <c r="N2742" s="75">
        <f>'THAM_SO_MOI'!$C$12*I2742</f>
        <v>1130.112</v>
      </c>
      <c r="O2742" s="75">
        <f>M2742+N2742</f>
        <v>1575.5747071944552</v>
      </c>
      <c r="P2742" s="75">
        <f>(MIN(L2742,'THAM_SO_MOI'!$C$41)-O2742)/('THAM_SO_MOI'!$C$11*H2742)</f>
        <v>0.4880196812118622</v>
      </c>
      <c r="Q2742" s="75">
        <f>IF(P2742&gt;0,1/P2742,NA())</f>
        <v>2.04909768703749</v>
      </c>
      <c r="R2742" s="75">
        <f>F2742-F2741</f>
        <v>0.007943393307220603</v>
      </c>
      <c r="S2742" s="75">
        <f>0.5*(Q2741+Q2742)*R2742</f>
        <v>0.01627643876042637</v>
      </c>
      <c r="T2742" s="75">
        <f>0.5*(F2741*Q2741+F2742*Q2742)*R2742</f>
        <v>0.2007993666599213</v>
      </c>
      <c r="U2742" s="76">
        <f>U2741+S2742</f>
        <v>18.408225723566137</v>
      </c>
      <c r="V2742" s="76">
        <f>V2741+T2742</f>
        <v>135.91330327742222</v>
      </c>
    </row>
    <row r="2743" spans="1:22" ht="19" customHeight="1">
      <c r="A2743" s="68" t="s">
        <v>376</v>
      </c>
      <c r="B2743" s="74">
        <v>4</v>
      </c>
      <c r="C2743" s="68" t="s">
        <v>363</v>
      </c>
      <c r="D2743" s="68" t="s">
        <v>364</v>
      </c>
      <c r="E2743" s="75">
        <f>60*F2743*'THAM_SO_MOI'!$C$52/(2*PI()*'THAM_SO_MOI'!$C$26)</f>
        <v>1942.6867400133244</v>
      </c>
      <c r="F2743" s="75">
        <f>'HANH_TRINH'!$F$2468+('THAM_SO_MOI'!$F$52-'HANH_TRINH'!$F$2468)*274/'THAM_SO_MOI'!$C$42</f>
        <v>12.348727105478131</v>
      </c>
      <c r="G2743" s="75">
        <f>3.6*F2743</f>
        <v>44.45541757972127</v>
      </c>
      <c r="H2743" s="75">
        <f>'THAM_SO_MOI'!$D$52</f>
        <v>1.1774754878398197</v>
      </c>
      <c r="I2743" s="75">
        <f>IF(F2743&gt;'THAM_SO_MOI'!$C$14,'THAM_SO_MOI'!$C$13*(1+F2743^2/1500),'THAM_SO_MOI'!$C$13)</f>
        <v>0.015</v>
      </c>
      <c r="J2743" s="75">
        <f>'THAM_SO_MOI'!$C$40*('THAM_SO_MOI'!$C$23*(E2743/'THAM_SO_MOI'!$C$22)+'THAM_SO_MOI'!$C$24*(E2743/'THAM_SO_MOI'!$C$22)^2-'THAM_SO_MOI'!$C$25*(E2743/'THAM_SO_MOI'!$C$22)^3)</f>
        <v>86.99306169312648</v>
      </c>
      <c r="K2743" s="75">
        <f>'THAM_SO_MOI'!$C$31*J2743/E2743</f>
        <v>427.695970314824</v>
      </c>
      <c r="L2743" s="75">
        <f>K2743*'THAM_SO_MOI'!$C$52*'THAM_SO_MOI'!$C$17/'THAM_SO_MOI'!$C$26</f>
        <v>5989.123721762414</v>
      </c>
      <c r="M2743" s="75">
        <f>'THAM_SO_MOI'!$C$15*'THAM_SO_MOI'!$C$16*F2743^2</f>
        <v>446.03635379229314</v>
      </c>
      <c r="N2743" s="75">
        <f>'THAM_SO_MOI'!$C$12*I2743</f>
        <v>1130.112</v>
      </c>
      <c r="O2743" s="75">
        <f>M2743+N2743</f>
        <v>1576.1483537922932</v>
      </c>
      <c r="P2743" s="75">
        <f>(MIN(L2743,'THAM_SO_MOI'!$C$41)-O2743)/('THAM_SO_MOI'!$C$11*H2743)</f>
        <v>0.4879984115496174</v>
      </c>
      <c r="Q2743" s="75">
        <f>IF(P2743&gt;0,1/P2743,NA())</f>
        <v>2.0491869980161295</v>
      </c>
      <c r="R2743" s="75">
        <f>F2743-F2742</f>
        <v>0.007943393307218827</v>
      </c>
      <c r="S2743" s="75">
        <f>0.5*(Q2742+Q2743)*R2743</f>
        <v>0.01627714356916617</v>
      </c>
      <c r="T2743" s="75">
        <f>0.5*(F2742*Q2742+F2743*Q2743)*R2743</f>
        <v>0.20093735752450217</v>
      </c>
      <c r="U2743" s="76">
        <f>U2742+S2743</f>
        <v>18.424502867135303</v>
      </c>
      <c r="V2743" s="76">
        <f>V2742+T2743</f>
        <v>136.11424063494673</v>
      </c>
    </row>
    <row r="2744" spans="1:22" ht="19" customHeight="1">
      <c r="A2744" s="68" t="s">
        <v>376</v>
      </c>
      <c r="B2744" s="74">
        <v>4</v>
      </c>
      <c r="C2744" s="68" t="s">
        <v>363</v>
      </c>
      <c r="D2744" s="68" t="s">
        <v>364</v>
      </c>
      <c r="E2744" s="75">
        <f>60*F2744*'THAM_SO_MOI'!$C$52/(2*PI()*'THAM_SO_MOI'!$C$26)</f>
        <v>1943.9363849942874</v>
      </c>
      <c r="F2744" s="75">
        <f>'HANH_TRINH'!$F$2468+('THAM_SO_MOI'!$F$52-'HANH_TRINH'!$F$2468)*275/'THAM_SO_MOI'!$C$42</f>
        <v>12.35667049878535</v>
      </c>
      <c r="G2744" s="75">
        <f>3.6*F2744</f>
        <v>44.48401379562726</v>
      </c>
      <c r="H2744" s="75">
        <f>'THAM_SO_MOI'!$D$52</f>
        <v>1.1774754878398197</v>
      </c>
      <c r="I2744" s="75">
        <f>IF(F2744&gt;'THAM_SO_MOI'!$C$14,'THAM_SO_MOI'!$C$13*(1+F2744^2/1500),'THAM_SO_MOI'!$C$13)</f>
        <v>0.015</v>
      </c>
      <c r="J2744" s="75">
        <f>'THAM_SO_MOI'!$C$40*('THAM_SO_MOI'!$C$23*(E2744/'THAM_SO_MOI'!$C$22)+'THAM_SO_MOI'!$C$24*(E2744/'THAM_SO_MOI'!$C$22)^2-'THAM_SO_MOI'!$C$25*(E2744/'THAM_SO_MOI'!$C$22)^3)</f>
        <v>87.05453175179393</v>
      </c>
      <c r="K2744" s="75">
        <f>'THAM_SO_MOI'!$C$31*J2744/E2744</f>
        <v>427.7230485953968</v>
      </c>
      <c r="L2744" s="75">
        <f>K2744*'THAM_SO_MOI'!$C$52*'THAM_SO_MOI'!$C$17/'THAM_SO_MOI'!$C$26</f>
        <v>5989.5029050696685</v>
      </c>
      <c r="M2744" s="75">
        <f>'THAM_SO_MOI'!$C$15*'THAM_SO_MOI'!$C$16*F2744^2</f>
        <v>446.6103695104902</v>
      </c>
      <c r="N2744" s="75">
        <f>'THAM_SO_MOI'!$C$12*I2744</f>
        <v>1130.112</v>
      </c>
      <c r="O2744" s="75">
        <f>M2744+N2744</f>
        <v>1576.7223695104904</v>
      </c>
      <c r="P2744" s="75">
        <f>(MIN(L2744,'THAM_SO_MOI'!$C$41)-O2744)/('THAM_SO_MOI'!$C$11*H2744)</f>
        <v>0.4879768664696814</v>
      </c>
      <c r="Q2744" s="75">
        <f>IF(P2744&gt;0,1/P2744,NA())</f>
        <v>2.0492774734068897</v>
      </c>
      <c r="R2744" s="75">
        <f>F2744-F2743</f>
        <v>0.007943393307218827</v>
      </c>
      <c r="S2744" s="75">
        <f>0.5*(Q2743+Q2744)*R2744</f>
        <v>0.01627785762608788</v>
      </c>
      <c r="T2744" s="75">
        <f>0.5*(F2743*Q2743+F2744*Q2744)*R2744</f>
        <v>0.20107547382623941</v>
      </c>
      <c r="U2744" s="76">
        <f>U2743+S2744</f>
        <v>18.44078072476139</v>
      </c>
      <c r="V2744" s="76">
        <f>V2743+T2744</f>
        <v>136.31531610877298</v>
      </c>
    </row>
    <row r="2745" spans="1:22" ht="19" customHeight="1">
      <c r="A2745" s="68" t="s">
        <v>376</v>
      </c>
      <c r="B2745" s="74">
        <v>4</v>
      </c>
      <c r="C2745" s="68" t="s">
        <v>363</v>
      </c>
      <c r="D2745" s="68" t="s">
        <v>364</v>
      </c>
      <c r="E2745" s="75">
        <f>60*F2745*'THAM_SO_MOI'!$C$52/(2*PI()*'THAM_SO_MOI'!$C$26)</f>
        <v>1945.1860299752511</v>
      </c>
      <c r="F2745" s="75">
        <f>'HANH_TRINH'!$F$2468+('THAM_SO_MOI'!$F$52-'HANH_TRINH'!$F$2468)*276/'THAM_SO_MOI'!$C$42</f>
        <v>12.36461389209257</v>
      </c>
      <c r="G2745" s="75">
        <f>3.6*F2745</f>
        <v>44.512610011533255</v>
      </c>
      <c r="H2745" s="75">
        <f>'THAM_SO_MOI'!$D$52</f>
        <v>1.1774754878398197</v>
      </c>
      <c r="I2745" s="75">
        <f>IF(F2745&gt;'THAM_SO_MOI'!$C$14,'THAM_SO_MOI'!$C$13*(1+F2745^2/1500),'THAM_SO_MOI'!$C$13)</f>
        <v>0.015</v>
      </c>
      <c r="J2745" s="75">
        <f>'THAM_SO_MOI'!$C$40*('THAM_SO_MOI'!$C$23*(E2745/'THAM_SO_MOI'!$C$22)+'THAM_SO_MOI'!$C$24*(E2745/'THAM_SO_MOI'!$C$22)^2-'THAM_SO_MOI'!$C$25*(E2745/'THAM_SO_MOI'!$C$22)^3)</f>
        <v>87.11597804160569</v>
      </c>
      <c r="K2745" s="75">
        <f>'THAM_SO_MOI'!$C$31*J2745/E2745</f>
        <v>427.7499753762418</v>
      </c>
      <c r="L2745" s="75">
        <f>K2745*'THAM_SO_MOI'!$C$52*'THAM_SO_MOI'!$C$17/'THAM_SO_MOI'!$C$26</f>
        <v>5989.879966891858</v>
      </c>
      <c r="M2745" s="75">
        <f>'THAM_SO_MOI'!$C$15*'THAM_SO_MOI'!$C$16*F2745^2</f>
        <v>447.1847543490462</v>
      </c>
      <c r="N2745" s="75">
        <f>'THAM_SO_MOI'!$C$12*I2745</f>
        <v>1130.112</v>
      </c>
      <c r="O2745" s="75">
        <f>M2745+N2745</f>
        <v>1577.2967543490463</v>
      </c>
      <c r="P2745" s="75">
        <f>(MIN(L2745,'THAM_SO_MOI'!$C$41)-O2745)/('THAM_SO_MOI'!$C$11*H2745)</f>
        <v>0.4879550459720536</v>
      </c>
      <c r="Q2745" s="75">
        <f>IF(P2745&gt;0,1/P2745,NA())</f>
        <v>2.0493691135172165</v>
      </c>
      <c r="R2745" s="75">
        <f>F2745-F2744</f>
        <v>0.007943393307220603</v>
      </c>
      <c r="S2745" s="75">
        <f>0.5*(Q2744+Q2745)*R2745</f>
        <v>0.016278580933617757</v>
      </c>
      <c r="T2745" s="75">
        <f>0.5*(F2744*Q2744+F2745*Q2745)*R2745</f>
        <v>0.20121371581550918</v>
      </c>
      <c r="U2745" s="76">
        <f>U2744+S2745</f>
        <v>18.457059305695008</v>
      </c>
      <c r="V2745" s="76">
        <f>V2744+T2745</f>
        <v>136.51652982458847</v>
      </c>
    </row>
    <row r="2746" spans="1:22" ht="19" customHeight="1">
      <c r="A2746" s="68" t="s">
        <v>376</v>
      </c>
      <c r="B2746" s="74">
        <v>4</v>
      </c>
      <c r="C2746" s="68" t="s">
        <v>363</v>
      </c>
      <c r="D2746" s="68" t="s">
        <v>364</v>
      </c>
      <c r="E2746" s="75">
        <f>60*F2746*'THAM_SO_MOI'!$C$52/(2*PI()*'THAM_SO_MOI'!$C$26)</f>
        <v>1946.4356749562141</v>
      </c>
      <c r="F2746" s="75">
        <f>'HANH_TRINH'!$F$2468+('THAM_SO_MOI'!$F$52-'HANH_TRINH'!$F$2468)*277/'THAM_SO_MOI'!$C$42</f>
        <v>12.37255728539979</v>
      </c>
      <c r="G2746" s="75">
        <f>3.6*F2746</f>
        <v>44.54120622743925</v>
      </c>
      <c r="H2746" s="75">
        <f>'THAM_SO_MOI'!$D$52</f>
        <v>1.1774754878398197</v>
      </c>
      <c r="I2746" s="75">
        <f>IF(F2746&gt;'THAM_SO_MOI'!$C$14,'THAM_SO_MOI'!$C$13*(1+F2746^2/1500),'THAM_SO_MOI'!$C$13)</f>
        <v>0.015</v>
      </c>
      <c r="J2746" s="75">
        <f>'THAM_SO_MOI'!$C$40*('THAM_SO_MOI'!$C$23*(E2746/'THAM_SO_MOI'!$C$22)+'THAM_SO_MOI'!$C$24*(E2746/'THAM_SO_MOI'!$C$22)^2-'THAM_SO_MOI'!$C$25*(E2746/'THAM_SO_MOI'!$C$22)^3)</f>
        <v>87.17740050309617</v>
      </c>
      <c r="K2746" s="75">
        <f>'THAM_SO_MOI'!$C$31*J2746/E2746</f>
        <v>427.7767506573597</v>
      </c>
      <c r="L2746" s="75">
        <f>K2746*'THAM_SO_MOI'!$C$52*'THAM_SO_MOI'!$C$17/'THAM_SO_MOI'!$C$26</f>
        <v>5990.254907228989</v>
      </c>
      <c r="M2746" s="75">
        <f>'THAM_SO_MOI'!$C$15*'THAM_SO_MOI'!$C$16*F2746^2</f>
        <v>447.7595083079608</v>
      </c>
      <c r="N2746" s="75">
        <f>'THAM_SO_MOI'!$C$12*I2746</f>
        <v>1130.112</v>
      </c>
      <c r="O2746" s="75">
        <f>M2746+N2746</f>
        <v>1577.871508307961</v>
      </c>
      <c r="P2746" s="75">
        <f>(MIN(L2746,'THAM_SO_MOI'!$C$41)-O2746)/('THAM_SO_MOI'!$C$11*H2746)</f>
        <v>0.48793295005673437</v>
      </c>
      <c r="Q2746" s="75">
        <f>IF(P2746&gt;0,1/P2746,NA())</f>
        <v>2.0494619186585474</v>
      </c>
      <c r="R2746" s="75">
        <f>F2746-F2745</f>
        <v>0.007943393307218827</v>
      </c>
      <c r="S2746" s="75">
        <f>0.5*(Q2745+Q2746)*R2746</f>
        <v>0.0162793134942029</v>
      </c>
      <c r="T2746" s="75">
        <f>0.5*(F2745*Q2745+F2746*Q2746)*R2746</f>
        <v>0.20135208374302227</v>
      </c>
      <c r="U2746" s="76">
        <f>U2745+S2746</f>
        <v>18.47333861918921</v>
      </c>
      <c r="V2746" s="76">
        <f>V2745+T2746</f>
        <v>136.7178819083315</v>
      </c>
    </row>
    <row r="2747" spans="1:22" ht="19" customHeight="1">
      <c r="A2747" s="68" t="s">
        <v>376</v>
      </c>
      <c r="B2747" s="74">
        <v>4</v>
      </c>
      <c r="C2747" s="68" t="s">
        <v>363</v>
      </c>
      <c r="D2747" s="68" t="s">
        <v>364</v>
      </c>
      <c r="E2747" s="75">
        <f>60*F2747*'THAM_SO_MOI'!$C$52/(2*PI()*'THAM_SO_MOI'!$C$26)</f>
        <v>1947.6853199371774</v>
      </c>
      <c r="F2747" s="75">
        <f>'HANH_TRINH'!$F$2468+('THAM_SO_MOI'!$F$52-'HANH_TRINH'!$F$2468)*278/'THAM_SO_MOI'!$C$42</f>
        <v>12.380500678707008</v>
      </c>
      <c r="G2747" s="75">
        <f>3.6*F2747</f>
        <v>44.56980244334523</v>
      </c>
      <c r="H2747" s="75">
        <f>'THAM_SO_MOI'!$D$52</f>
        <v>1.1774754878398197</v>
      </c>
      <c r="I2747" s="75">
        <f>IF(F2747&gt;'THAM_SO_MOI'!$C$14,'THAM_SO_MOI'!$C$13*(1+F2747^2/1500),'THAM_SO_MOI'!$C$13)</f>
        <v>0.015</v>
      </c>
      <c r="J2747" s="75">
        <f>'THAM_SO_MOI'!$C$40*('THAM_SO_MOI'!$C$23*(E2747/'THAM_SO_MOI'!$C$22)+'THAM_SO_MOI'!$C$24*(E2747/'THAM_SO_MOI'!$C$22)^2-'THAM_SO_MOI'!$C$25*(E2747/'THAM_SO_MOI'!$C$22)^3)</f>
        <v>87.23879907679958</v>
      </c>
      <c r="K2747" s="75">
        <f>'THAM_SO_MOI'!$C$31*J2747/E2747</f>
        <v>427.8033744387499</v>
      </c>
      <c r="L2747" s="75">
        <f>K2747*'THAM_SO_MOI'!$C$52*'THAM_SO_MOI'!$C$17/'THAM_SO_MOI'!$C$26</f>
        <v>5990.627726081058</v>
      </c>
      <c r="M2747" s="75">
        <f>'THAM_SO_MOI'!$C$15*'THAM_SO_MOI'!$C$16*F2747^2</f>
        <v>448.33463138723425</v>
      </c>
      <c r="N2747" s="75">
        <f>'THAM_SO_MOI'!$C$12*I2747</f>
        <v>1130.112</v>
      </c>
      <c r="O2747" s="75">
        <f>M2747+N2747</f>
        <v>1578.4466313872344</v>
      </c>
      <c r="P2747" s="75">
        <f>(MIN(L2747,'THAM_SO_MOI'!$C$41)-O2747)/('THAM_SO_MOI'!$C$11*H2747)</f>
        <v>0.48791057872372345</v>
      </c>
      <c r="Q2747" s="75">
        <f>IF(P2747&gt;0,1/P2747,NA())</f>
        <v>2.049555889146327</v>
      </c>
      <c r="R2747" s="75">
        <f>F2747-F2746</f>
        <v>0.007943393307218827</v>
      </c>
      <c r="S2747" s="75">
        <f>0.5*(Q2746+Q2747)*R2747</f>
        <v>0.016280055310344013</v>
      </c>
      <c r="T2747" s="75">
        <f>0.5*(F2746*Q2746+F2747*Q2747)*R2747</f>
        <v>0.20149057786023067</v>
      </c>
      <c r="U2747" s="76">
        <f>U2746+S2747</f>
        <v>18.489618674499553</v>
      </c>
      <c r="V2747" s="76">
        <f>V2746+T2747</f>
        <v>136.91937248619172</v>
      </c>
    </row>
    <row r="2748" spans="1:22" ht="19" customHeight="1">
      <c r="A2748" s="68" t="s">
        <v>376</v>
      </c>
      <c r="B2748" s="74">
        <v>4</v>
      </c>
      <c r="C2748" s="68" t="s">
        <v>363</v>
      </c>
      <c r="D2748" s="68" t="s">
        <v>364</v>
      </c>
      <c r="E2748" s="75">
        <f>60*F2748*'THAM_SO_MOI'!$C$52/(2*PI()*'THAM_SO_MOI'!$C$26)</f>
        <v>1948.9349649181406</v>
      </c>
      <c r="F2748" s="75">
        <f>'HANH_TRINH'!$F$2468+('THAM_SO_MOI'!$F$52-'HANH_TRINH'!$F$2468)*279/'THAM_SO_MOI'!$C$42</f>
        <v>12.388444072014229</v>
      </c>
      <c r="G2748" s="75">
        <f>3.6*F2748</f>
        <v>44.598398659251224</v>
      </c>
      <c r="H2748" s="75">
        <f>'THAM_SO_MOI'!$D$52</f>
        <v>1.1774754878398197</v>
      </c>
      <c r="I2748" s="75">
        <f>IF(F2748&gt;'THAM_SO_MOI'!$C$14,'THAM_SO_MOI'!$C$13*(1+F2748^2/1500),'THAM_SO_MOI'!$C$13)</f>
        <v>0.015</v>
      </c>
      <c r="J2748" s="75">
        <f>'THAM_SO_MOI'!$C$40*('THAM_SO_MOI'!$C$23*(E2748/'THAM_SO_MOI'!$C$22)+'THAM_SO_MOI'!$C$24*(E2748/'THAM_SO_MOI'!$C$22)^2-'THAM_SO_MOI'!$C$25*(E2748/'THAM_SO_MOI'!$C$22)^3)</f>
        <v>87.30017370325031</v>
      </c>
      <c r="K2748" s="75">
        <f>'THAM_SO_MOI'!$C$31*J2748/E2748</f>
        <v>427.8298467204127</v>
      </c>
      <c r="L2748" s="75">
        <f>K2748*'THAM_SO_MOI'!$C$52*'THAM_SO_MOI'!$C$17/'THAM_SO_MOI'!$C$26</f>
        <v>5990.998423448066</v>
      </c>
      <c r="M2748" s="75">
        <f>'THAM_SO_MOI'!$C$15*'THAM_SO_MOI'!$C$16*F2748^2</f>
        <v>448.9101235868667</v>
      </c>
      <c r="N2748" s="75">
        <f>'THAM_SO_MOI'!$C$12*I2748</f>
        <v>1130.112</v>
      </c>
      <c r="O2748" s="75">
        <f>M2748+N2748</f>
        <v>1579.0221235868667</v>
      </c>
      <c r="P2748" s="75">
        <f>(MIN(L2748,'THAM_SO_MOI'!$C$41)-O2748)/('THAM_SO_MOI'!$C$11*H2748)</f>
        <v>0.48788793197302105</v>
      </c>
      <c r="Q2748" s="75">
        <f>IF(P2748&gt;0,1/P2748,NA())</f>
        <v>2.0496510253000015</v>
      </c>
      <c r="R2748" s="75">
        <f>F2748-F2747</f>
        <v>0.007943393307220603</v>
      </c>
      <c r="S2748" s="75">
        <f>0.5*(Q2747+Q2748)*R2748</f>
        <v>0.016280806384562696</v>
      </c>
      <c r="T2748" s="75">
        <f>0.5*(F2747*Q2747+F2748*Q2748)*R2748</f>
        <v>0.20162919841892477</v>
      </c>
      <c r="U2748" s="76">
        <f>U2747+S2748</f>
        <v>18.505899480884114</v>
      </c>
      <c r="V2748" s="76">
        <f>V2747+T2748</f>
        <v>137.12100168461063</v>
      </c>
    </row>
    <row r="2749" spans="1:22" ht="19" customHeight="1">
      <c r="A2749" s="68" t="s">
        <v>376</v>
      </c>
      <c r="B2749" s="74">
        <v>4</v>
      </c>
      <c r="C2749" s="68" t="s">
        <v>363</v>
      </c>
      <c r="D2749" s="68" t="s">
        <v>364</v>
      </c>
      <c r="E2749" s="75">
        <f>60*F2749*'THAM_SO_MOI'!$C$52/(2*PI()*'THAM_SO_MOI'!$C$26)</f>
        <v>1950.1846098991036</v>
      </c>
      <c r="F2749" s="75">
        <f>'HANH_TRINH'!$F$2468+('THAM_SO_MOI'!$F$52-'HANH_TRINH'!$F$2468)*280/'THAM_SO_MOI'!$C$42</f>
        <v>12.396387465321448</v>
      </c>
      <c r="G2749" s="75">
        <f>3.6*F2749</f>
        <v>44.626994875157216</v>
      </c>
      <c r="H2749" s="75">
        <f>'THAM_SO_MOI'!$D$52</f>
        <v>1.1774754878398197</v>
      </c>
      <c r="I2749" s="75">
        <f>IF(F2749&gt;'THAM_SO_MOI'!$C$14,'THAM_SO_MOI'!$C$13*(1+F2749^2/1500),'THAM_SO_MOI'!$C$13)</f>
        <v>0.015</v>
      </c>
      <c r="J2749" s="75">
        <f>'THAM_SO_MOI'!$C$40*('THAM_SO_MOI'!$C$23*(E2749/'THAM_SO_MOI'!$C$22)+'THAM_SO_MOI'!$C$24*(E2749/'THAM_SO_MOI'!$C$22)^2-'THAM_SO_MOI'!$C$25*(E2749/'THAM_SO_MOI'!$C$22)^3)</f>
        <v>87.36152432298262</v>
      </c>
      <c r="K2749" s="75">
        <f>'THAM_SO_MOI'!$C$31*J2749/E2749</f>
        <v>427.85616750234806</v>
      </c>
      <c r="L2749" s="75">
        <f>K2749*'THAM_SO_MOI'!$C$52*'THAM_SO_MOI'!$C$17/'THAM_SO_MOI'!$C$26</f>
        <v>5991.366999330015</v>
      </c>
      <c r="M2749" s="75">
        <f>'THAM_SO_MOI'!$C$15*'THAM_SO_MOI'!$C$16*F2749^2</f>
        <v>449.4859849068577</v>
      </c>
      <c r="N2749" s="75">
        <f>'THAM_SO_MOI'!$C$12*I2749</f>
        <v>1130.112</v>
      </c>
      <c r="O2749" s="75">
        <f>M2749+N2749</f>
        <v>1579.5979849068578</v>
      </c>
      <c r="P2749" s="75">
        <f>(MIN(L2749,'THAM_SO_MOI'!$C$41)-O2749)/('THAM_SO_MOI'!$C$11*H2749)</f>
        <v>0.48786500980462727</v>
      </c>
      <c r="Q2749" s="75">
        <f>IF(P2749&gt;0,1/P2749,NA())</f>
        <v>2.049747327443025</v>
      </c>
      <c r="R2749" s="75">
        <f>F2749-F2748</f>
        <v>0.007943393307218827</v>
      </c>
      <c r="S2749" s="75">
        <f>0.5*(Q2748+Q2749)*R2749</f>
        <v>0.01628156671940142</v>
      </c>
      <c r="T2749" s="75">
        <f>0.5*(F2748*Q2748+F2749*Q2749)*R2749</f>
        <v>0.2017679456712337</v>
      </c>
      <c r="U2749" s="76">
        <f>U2748+S2749</f>
        <v>18.522181047603517</v>
      </c>
      <c r="V2749" s="76">
        <f>V2748+T2749</f>
        <v>137.32276963028187</v>
      </c>
    </row>
    <row r="2750" spans="1:22" ht="19" customHeight="1">
      <c r="A2750" s="68" t="s">
        <v>376</v>
      </c>
      <c r="B2750" s="74">
        <v>4</v>
      </c>
      <c r="C2750" s="68" t="s">
        <v>363</v>
      </c>
      <c r="D2750" s="68" t="s">
        <v>364</v>
      </c>
      <c r="E2750" s="75">
        <f>60*F2750*'THAM_SO_MOI'!$C$52/(2*PI()*'THAM_SO_MOI'!$C$26)</f>
        <v>1951.4342548800669</v>
      </c>
      <c r="F2750" s="75">
        <f>'HANH_TRINH'!$F$2468+('THAM_SO_MOI'!$F$52-'HANH_TRINH'!$F$2468)*281/'THAM_SO_MOI'!$C$42</f>
        <v>12.404330858628667</v>
      </c>
      <c r="G2750" s="75">
        <f>3.6*F2750</f>
        <v>44.6555910910632</v>
      </c>
      <c r="H2750" s="75">
        <f>'THAM_SO_MOI'!$D$52</f>
        <v>1.1774754878398197</v>
      </c>
      <c r="I2750" s="75">
        <f>IF(F2750&gt;'THAM_SO_MOI'!$C$14,'THAM_SO_MOI'!$C$13*(1+F2750^2/1500),'THAM_SO_MOI'!$C$13)</f>
        <v>0.015</v>
      </c>
      <c r="J2750" s="75">
        <f>'THAM_SO_MOI'!$C$40*('THAM_SO_MOI'!$C$23*(E2750/'THAM_SO_MOI'!$C$22)+'THAM_SO_MOI'!$C$24*(E2750/'THAM_SO_MOI'!$C$22)^2-'THAM_SO_MOI'!$C$25*(E2750/'THAM_SO_MOI'!$C$22)^3)</f>
        <v>87.42285087653086</v>
      </c>
      <c r="K2750" s="75">
        <f>'THAM_SO_MOI'!$C$31*J2750/E2750</f>
        <v>427.8823367845559</v>
      </c>
      <c r="L2750" s="75">
        <f>K2750*'THAM_SO_MOI'!$C$52*'THAM_SO_MOI'!$C$17/'THAM_SO_MOI'!$C$26</f>
        <v>5991.733453726901</v>
      </c>
      <c r="M2750" s="75">
        <f>'THAM_SO_MOI'!$C$15*'THAM_SO_MOI'!$C$16*F2750^2</f>
        <v>450.06221534720765</v>
      </c>
      <c r="N2750" s="75">
        <f>'THAM_SO_MOI'!$C$12*I2750</f>
        <v>1130.112</v>
      </c>
      <c r="O2750" s="75">
        <f>M2750+N2750</f>
        <v>1580.1742153472078</v>
      </c>
      <c r="P2750" s="75">
        <f>(MIN(L2750,'THAM_SO_MOI'!$C$41)-O2750)/('THAM_SO_MOI'!$C$11*H2750)</f>
        <v>0.48784181221854184</v>
      </c>
      <c r="Q2750" s="75">
        <f>IF(P2750&gt;0,1/P2750,NA())</f>
        <v>2.0498447959028634</v>
      </c>
      <c r="R2750" s="75">
        <f>F2750-F2749</f>
        <v>0.007943393307218827</v>
      </c>
      <c r="S2750" s="75">
        <f>0.5*(Q2749+Q2750)*R2750</f>
        <v>0.016282336317456375</v>
      </c>
      <c r="T2750" s="75">
        <f>0.5*(F2749*Q2749+F2750*Q2750)*R2750</f>
        <v>0.20190681987003334</v>
      </c>
      <c r="U2750" s="76">
        <f>U2749+S2750</f>
        <v>18.538463383920973</v>
      </c>
      <c r="V2750" s="76">
        <f>V2749+T2750</f>
        <v>137.5246764501519</v>
      </c>
    </row>
    <row r="2751" spans="1:22" ht="19" customHeight="1">
      <c r="A2751" s="68" t="s">
        <v>376</v>
      </c>
      <c r="B2751" s="74">
        <v>4</v>
      </c>
      <c r="C2751" s="68" t="s">
        <v>363</v>
      </c>
      <c r="D2751" s="68" t="s">
        <v>364</v>
      </c>
      <c r="E2751" s="75">
        <f>60*F2751*'THAM_SO_MOI'!$C$52/(2*PI()*'THAM_SO_MOI'!$C$26)</f>
        <v>1952.6838998610303</v>
      </c>
      <c r="F2751" s="75">
        <f>'HANH_TRINH'!$F$2468+('THAM_SO_MOI'!$F$52-'HANH_TRINH'!$F$2468)*282/'THAM_SO_MOI'!$C$42</f>
        <v>12.412274251935887</v>
      </c>
      <c r="G2751" s="75">
        <f>3.6*F2751</f>
        <v>44.68418730696919</v>
      </c>
      <c r="H2751" s="75">
        <f>'THAM_SO_MOI'!$D$52</f>
        <v>1.1774754878398197</v>
      </c>
      <c r="I2751" s="75">
        <f>IF(F2751&gt;'THAM_SO_MOI'!$C$14,'THAM_SO_MOI'!$C$13*(1+F2751^2/1500),'THAM_SO_MOI'!$C$13)</f>
        <v>0.015</v>
      </c>
      <c r="J2751" s="75">
        <f>'THAM_SO_MOI'!$C$40*('THAM_SO_MOI'!$C$23*(E2751/'THAM_SO_MOI'!$C$22)+'THAM_SO_MOI'!$C$24*(E2751/'THAM_SO_MOI'!$C$22)^2-'THAM_SO_MOI'!$C$25*(E2751/'THAM_SO_MOI'!$C$22)^3)</f>
        <v>87.48415330442934</v>
      </c>
      <c r="K2751" s="75">
        <f>'THAM_SO_MOI'!$C$31*J2751/E2751</f>
        <v>427.90835456703627</v>
      </c>
      <c r="L2751" s="75">
        <f>K2751*'THAM_SO_MOI'!$C$52*'THAM_SO_MOI'!$C$17/'THAM_SO_MOI'!$C$26</f>
        <v>5992.097786638726</v>
      </c>
      <c r="M2751" s="75">
        <f>'THAM_SO_MOI'!$C$15*'THAM_SO_MOI'!$C$16*F2751^2</f>
        <v>450.6388149079165</v>
      </c>
      <c r="N2751" s="75">
        <f>'THAM_SO_MOI'!$C$12*I2751</f>
        <v>1130.112</v>
      </c>
      <c r="O2751" s="75">
        <f>M2751+N2751</f>
        <v>1580.7508149079167</v>
      </c>
      <c r="P2751" s="75">
        <f>(MIN(L2751,'THAM_SO_MOI'!$C$41)-O2751)/('THAM_SO_MOI'!$C$11*H2751)</f>
        <v>0.48781833921476475</v>
      </c>
      <c r="Q2751" s="75">
        <f>IF(P2751&gt;0,1/P2751,NA())</f>
        <v>2.0499434310109943</v>
      </c>
      <c r="R2751" s="75">
        <f>F2751-F2750</f>
        <v>0.007943393307220603</v>
      </c>
      <c r="S2751" s="75">
        <f>0.5*(Q2750+Q2751)*R2751</f>
        <v>0.01628311518134468</v>
      </c>
      <c r="T2751" s="75">
        <f>0.5*(F2750*Q2750+F2751*Q2751)*R2751</f>
        <v>0.20204582126854195</v>
      </c>
      <c r="U2751" s="76">
        <f>U2750+S2751</f>
        <v>18.55474649910232</v>
      </c>
      <c r="V2751" s="76">
        <f>V2750+T2751</f>
        <v>137.72672227142044</v>
      </c>
    </row>
    <row r="2752" spans="1:22" ht="19" customHeight="1">
      <c r="A2752" s="68" t="s">
        <v>376</v>
      </c>
      <c r="B2752" s="74">
        <v>4</v>
      </c>
      <c r="C2752" s="68" t="s">
        <v>363</v>
      </c>
      <c r="D2752" s="68" t="s">
        <v>364</v>
      </c>
      <c r="E2752" s="75">
        <f>60*F2752*'THAM_SO_MOI'!$C$52/(2*PI()*'THAM_SO_MOI'!$C$26)</f>
        <v>1953.933544841994</v>
      </c>
      <c r="F2752" s="75">
        <f>'HANH_TRINH'!$F$2468+('THAM_SO_MOI'!$F$52-'HANH_TRINH'!$F$2468)*283/'THAM_SO_MOI'!$C$42</f>
        <v>12.420217645243106</v>
      </c>
      <c r="G2752" s="75">
        <f>3.6*F2752</f>
        <v>44.712783522875185</v>
      </c>
      <c r="H2752" s="75">
        <f>'THAM_SO_MOI'!$D$52</f>
        <v>1.1774754878398197</v>
      </c>
      <c r="I2752" s="75">
        <f>IF(F2752&gt;'THAM_SO_MOI'!$C$14,'THAM_SO_MOI'!$C$13*(1+F2752^2/1500),'THAM_SO_MOI'!$C$13)</f>
        <v>0.015</v>
      </c>
      <c r="J2752" s="75">
        <f>'THAM_SO_MOI'!$C$40*('THAM_SO_MOI'!$C$23*(E2752/'THAM_SO_MOI'!$C$22)+'THAM_SO_MOI'!$C$24*(E2752/'THAM_SO_MOI'!$C$22)^2-'THAM_SO_MOI'!$C$25*(E2752/'THAM_SO_MOI'!$C$22)^3)</f>
        <v>87.54543154721237</v>
      </c>
      <c r="K2752" s="75">
        <f>'THAM_SO_MOI'!$C$31*J2752/E2752</f>
        <v>427.93422084978914</v>
      </c>
      <c r="L2752" s="75">
        <f>K2752*'THAM_SO_MOI'!$C$52*'THAM_SO_MOI'!$C$17/'THAM_SO_MOI'!$C$26</f>
        <v>5992.45999806549</v>
      </c>
      <c r="M2752" s="75">
        <f>'THAM_SO_MOI'!$C$15*'THAM_SO_MOI'!$C$16*F2752^2</f>
        <v>451.21578358898404</v>
      </c>
      <c r="N2752" s="75">
        <f>'THAM_SO_MOI'!$C$12*I2752</f>
        <v>1130.112</v>
      </c>
      <c r="O2752" s="75">
        <f>M2752+N2752</f>
        <v>1581.3277835889842</v>
      </c>
      <c r="P2752" s="75">
        <f>(MIN(L2752,'THAM_SO_MOI'!$C$41)-O2752)/('THAM_SO_MOI'!$C$11*H2752)</f>
        <v>0.48779459079329635</v>
      </c>
      <c r="Q2752" s="75">
        <f>IF(P2752&gt;0,1/P2752,NA())</f>
        <v>2.0500432331029095</v>
      </c>
      <c r="R2752" s="75">
        <f>F2752-F2751</f>
        <v>0.007943393307218827</v>
      </c>
      <c r="S2752" s="75">
        <f>0.5*(Q2751+Q2752)*R2752</f>
        <v>0.016283903313704412</v>
      </c>
      <c r="T2752" s="75">
        <f>0.5*(F2751*Q2751+F2752*Q2752)*R2752</f>
        <v>0.20218495012032106</v>
      </c>
      <c r="U2752" s="76">
        <f>U2751+S2752</f>
        <v>18.571030402416024</v>
      </c>
      <c r="V2752" s="76">
        <f>V2751+T2752</f>
        <v>137.92890722154075</v>
      </c>
    </row>
    <row r="2753" spans="1:22" ht="19" customHeight="1">
      <c r="A2753" s="68" t="s">
        <v>376</v>
      </c>
      <c r="B2753" s="74">
        <v>4</v>
      </c>
      <c r="C2753" s="68" t="s">
        <v>363</v>
      </c>
      <c r="D2753" s="68" t="s">
        <v>364</v>
      </c>
      <c r="E2753" s="75">
        <f>60*F2753*'THAM_SO_MOI'!$C$52/(2*PI()*'THAM_SO_MOI'!$C$26)</f>
        <v>1955.183189822957</v>
      </c>
      <c r="F2753" s="75">
        <f>'HANH_TRINH'!$F$2468+('THAM_SO_MOI'!$F$52-'HANH_TRINH'!$F$2468)*284/'THAM_SO_MOI'!$C$42</f>
        <v>12.428161038550325</v>
      </c>
      <c r="G2753" s="75">
        <f>3.6*F2753</f>
        <v>44.74137973878117</v>
      </c>
      <c r="H2753" s="75">
        <f>'THAM_SO_MOI'!$D$52</f>
        <v>1.1774754878398197</v>
      </c>
      <c r="I2753" s="75">
        <f>IF(F2753&gt;'THAM_SO_MOI'!$C$14,'THAM_SO_MOI'!$C$13*(1+F2753^2/1500),'THAM_SO_MOI'!$C$13)</f>
        <v>0.015</v>
      </c>
      <c r="J2753" s="75">
        <f>'THAM_SO_MOI'!$C$40*('THAM_SO_MOI'!$C$23*(E2753/'THAM_SO_MOI'!$C$22)+'THAM_SO_MOI'!$C$24*(E2753/'THAM_SO_MOI'!$C$22)^2-'THAM_SO_MOI'!$C$25*(E2753/'THAM_SO_MOI'!$C$22)^3)</f>
        <v>87.60668554541424</v>
      </c>
      <c r="K2753" s="75">
        <f>'THAM_SO_MOI'!$C$31*J2753/E2753</f>
        <v>427.95993563281456</v>
      </c>
      <c r="L2753" s="75">
        <f>K2753*'THAM_SO_MOI'!$C$52*'THAM_SO_MOI'!$C$17/'THAM_SO_MOI'!$C$26</f>
        <v>5992.8200880071945</v>
      </c>
      <c r="M2753" s="75">
        <f>'THAM_SO_MOI'!$C$15*'THAM_SO_MOI'!$C$16*F2753^2</f>
        <v>451.79312139041036</v>
      </c>
      <c r="N2753" s="75">
        <f>'THAM_SO_MOI'!$C$12*I2753</f>
        <v>1130.112</v>
      </c>
      <c r="O2753" s="75">
        <f>M2753+N2753</f>
        <v>1581.9051213904104</v>
      </c>
      <c r="P2753" s="75">
        <f>(MIN(L2753,'THAM_SO_MOI'!$C$41)-O2753)/('THAM_SO_MOI'!$C$11*H2753)</f>
        <v>0.48777056695413634</v>
      </c>
      <c r="Q2753" s="75">
        <f>IF(P2753&gt;0,1/P2753,NA())</f>
        <v>2.050144202518122</v>
      </c>
      <c r="R2753" s="75">
        <f>F2753-F2752</f>
        <v>0.007943393307218827</v>
      </c>
      <c r="S2753" s="75">
        <f>0.5*(Q2752+Q2753)*R2753</f>
        <v>0.01628470071722741</v>
      </c>
      <c r="T2753" s="75">
        <f>0.5*(F2752*Q2752+F2753*Q2753)*R2753</f>
        <v>0.20232420667968393</v>
      </c>
      <c r="U2753" s="76">
        <f>U2752+S2753</f>
        <v>18.587315103133253</v>
      </c>
      <c r="V2753" s="76">
        <f>V2752+T2753</f>
        <v>138.13123142822045</v>
      </c>
    </row>
    <row r="2754" spans="1:22" ht="19" customHeight="1">
      <c r="A2754" s="68" t="s">
        <v>376</v>
      </c>
      <c r="B2754" s="74">
        <v>4</v>
      </c>
      <c r="C2754" s="68" t="s">
        <v>363</v>
      </c>
      <c r="D2754" s="68" t="s">
        <v>364</v>
      </c>
      <c r="E2754" s="75">
        <f>60*F2754*'THAM_SO_MOI'!$C$52/(2*PI()*'THAM_SO_MOI'!$C$26)</f>
        <v>1956.4328348039203</v>
      </c>
      <c r="F2754" s="75">
        <f>'HANH_TRINH'!$F$2468+('THAM_SO_MOI'!$F$52-'HANH_TRINH'!$F$2468)*285/'THAM_SO_MOI'!$C$42</f>
        <v>12.436104431857544</v>
      </c>
      <c r="G2754" s="75">
        <f>3.6*F2754</f>
        <v>44.76997595468716</v>
      </c>
      <c r="H2754" s="75">
        <f>'THAM_SO_MOI'!$D$52</f>
        <v>1.1774754878398197</v>
      </c>
      <c r="I2754" s="75">
        <f>IF(F2754&gt;'THAM_SO_MOI'!$C$14,'THAM_SO_MOI'!$C$13*(1+F2754^2/1500),'THAM_SO_MOI'!$C$13)</f>
        <v>0.015</v>
      </c>
      <c r="J2754" s="75">
        <f>'THAM_SO_MOI'!$C$40*('THAM_SO_MOI'!$C$23*(E2754/'THAM_SO_MOI'!$C$22)+'THAM_SO_MOI'!$C$24*(E2754/'THAM_SO_MOI'!$C$22)^2-'THAM_SO_MOI'!$C$25*(E2754/'THAM_SO_MOI'!$C$22)^3)</f>
        <v>87.66791523956927</v>
      </c>
      <c r="K2754" s="75">
        <f>'THAM_SO_MOI'!$C$31*J2754/E2754</f>
        <v>427.9854989161125</v>
      </c>
      <c r="L2754" s="75">
        <f>K2754*'THAM_SO_MOI'!$C$52*'THAM_SO_MOI'!$C$17/'THAM_SO_MOI'!$C$26</f>
        <v>5993.178056463837</v>
      </c>
      <c r="M2754" s="75">
        <f>'THAM_SO_MOI'!$C$15*'THAM_SO_MOI'!$C$16*F2754^2</f>
        <v>452.37082831219556</v>
      </c>
      <c r="N2754" s="75">
        <f>'THAM_SO_MOI'!$C$12*I2754</f>
        <v>1130.112</v>
      </c>
      <c r="O2754" s="75">
        <f>M2754+N2754</f>
        <v>1582.4828283121956</v>
      </c>
      <c r="P2754" s="75">
        <f>(MIN(L2754,'THAM_SO_MOI'!$C$41)-O2754)/('THAM_SO_MOI'!$C$11*H2754)</f>
        <v>0.4877462676972847</v>
      </c>
      <c r="Q2754" s="75">
        <f>IF(P2754&gt;0,1/P2754,NA())</f>
        <v>2.050246339600165</v>
      </c>
      <c r="R2754" s="75">
        <f>F2754-F2753</f>
        <v>0.007943393307218827</v>
      </c>
      <c r="S2754" s="75">
        <f>0.5*(Q2753+Q2754)*R2754</f>
        <v>0.01628550739462289</v>
      </c>
      <c r="T2754" s="75">
        <f>0.5*(F2753*Q2753+F2754*Q2754)*R2754</f>
        <v>0.20246359120124552</v>
      </c>
      <c r="U2754" s="76">
        <f>U2753+S2754</f>
        <v>18.603600610527877</v>
      </c>
      <c r="V2754" s="76">
        <f>V2753+T2754</f>
        <v>138.3336950194217</v>
      </c>
    </row>
    <row r="2755" spans="1:22" ht="19" customHeight="1">
      <c r="A2755" s="68" t="s">
        <v>376</v>
      </c>
      <c r="B2755" s="74">
        <v>4</v>
      </c>
      <c r="C2755" s="68" t="s">
        <v>363</v>
      </c>
      <c r="D2755" s="68" t="s">
        <v>364</v>
      </c>
      <c r="E2755" s="75">
        <f>60*F2755*'THAM_SO_MOI'!$C$52/(2*PI()*'THAM_SO_MOI'!$C$26)</f>
        <v>1957.6824797848835</v>
      </c>
      <c r="F2755" s="75">
        <f>'HANH_TRINH'!$F$2468+('THAM_SO_MOI'!$F$52-'HANH_TRINH'!$F$2468)*286/'THAM_SO_MOI'!$C$42</f>
        <v>12.444047825164764</v>
      </c>
      <c r="G2755" s="75">
        <f>3.6*F2755</f>
        <v>44.798572170593154</v>
      </c>
      <c r="H2755" s="75">
        <f>'THAM_SO_MOI'!$D$52</f>
        <v>1.1774754878398197</v>
      </c>
      <c r="I2755" s="75">
        <f>IF(F2755&gt;'THAM_SO_MOI'!$C$14,'THAM_SO_MOI'!$C$13*(1+F2755^2/1500),'THAM_SO_MOI'!$C$13)</f>
        <v>0.015</v>
      </c>
      <c r="J2755" s="75">
        <f>'THAM_SO_MOI'!$C$40*('THAM_SO_MOI'!$C$23*(E2755/'THAM_SO_MOI'!$C$22)+'THAM_SO_MOI'!$C$24*(E2755/'THAM_SO_MOI'!$C$22)^2-'THAM_SO_MOI'!$C$25*(E2755/'THAM_SO_MOI'!$C$22)^3)</f>
        <v>87.7291205702118</v>
      </c>
      <c r="K2755" s="75">
        <f>'THAM_SO_MOI'!$C$31*J2755/E2755</f>
        <v>428.010910699683</v>
      </c>
      <c r="L2755" s="75">
        <f>K2755*'THAM_SO_MOI'!$C$52*'THAM_SO_MOI'!$C$17/'THAM_SO_MOI'!$C$26</f>
        <v>5993.533903435418</v>
      </c>
      <c r="M2755" s="75">
        <f>'THAM_SO_MOI'!$C$15*'THAM_SO_MOI'!$C$16*F2755^2</f>
        <v>452.9489043543396</v>
      </c>
      <c r="N2755" s="75">
        <f>'THAM_SO_MOI'!$C$12*I2755</f>
        <v>1130.112</v>
      </c>
      <c r="O2755" s="75">
        <f>M2755+N2755</f>
        <v>1583.0609043543398</v>
      </c>
      <c r="P2755" s="75">
        <f>(MIN(L2755,'THAM_SO_MOI'!$C$41)-O2755)/('THAM_SO_MOI'!$C$11*H2755)</f>
        <v>0.4877216930227416</v>
      </c>
      <c r="Q2755" s="75">
        <f>IF(P2755&gt;0,1/P2755,NA())</f>
        <v>2.050349644696595</v>
      </c>
      <c r="R2755" s="75">
        <f>F2755-F2754</f>
        <v>0.007943393307220603</v>
      </c>
      <c r="S2755" s="75">
        <f>0.5*(Q2754+Q2755)*R2755</f>
        <v>0.016286323348639282</v>
      </c>
      <c r="T2755" s="75">
        <f>0.5*(F2754*Q2754+F2755*Q2755)*R2755</f>
        <v>0.20260310394019462</v>
      </c>
      <c r="U2755" s="76">
        <f>U2754+S2755</f>
        <v>18.619886933876515</v>
      </c>
      <c r="V2755" s="76">
        <f>V2754+T2755</f>
        <v>138.5362981233619</v>
      </c>
    </row>
    <row r="2756" spans="1:22" ht="19" customHeight="1">
      <c r="A2756" s="68" t="s">
        <v>376</v>
      </c>
      <c r="B2756" s="74">
        <v>4</v>
      </c>
      <c r="C2756" s="68" t="s">
        <v>363</v>
      </c>
      <c r="D2756" s="68" t="s">
        <v>364</v>
      </c>
      <c r="E2756" s="75">
        <f>60*F2756*'THAM_SO_MOI'!$C$52/(2*PI()*'THAM_SO_MOI'!$C$26)</f>
        <v>1958.9321247658465</v>
      </c>
      <c r="F2756" s="75">
        <f>'HANH_TRINH'!$F$2468+('THAM_SO_MOI'!$F$52-'HANH_TRINH'!$F$2468)*287/'THAM_SO_MOI'!$C$42</f>
        <v>12.451991218471983</v>
      </c>
      <c r="G2756" s="75">
        <f>3.6*F2756</f>
        <v>44.82716838649914</v>
      </c>
      <c r="H2756" s="75">
        <f>'THAM_SO_MOI'!$D$52</f>
        <v>1.1774754878398197</v>
      </c>
      <c r="I2756" s="75">
        <f>IF(F2756&gt;'THAM_SO_MOI'!$C$14,'THAM_SO_MOI'!$C$13*(1+F2756^2/1500),'THAM_SO_MOI'!$C$13)</f>
        <v>0.015</v>
      </c>
      <c r="J2756" s="75">
        <f>'THAM_SO_MOI'!$C$40*('THAM_SO_MOI'!$C$23*(E2756/'THAM_SO_MOI'!$C$22)+'THAM_SO_MOI'!$C$24*(E2756/'THAM_SO_MOI'!$C$22)^2-'THAM_SO_MOI'!$C$25*(E2756/'THAM_SO_MOI'!$C$22)^3)</f>
        <v>87.79030147787611</v>
      </c>
      <c r="K2756" s="75">
        <f>'THAM_SO_MOI'!$C$31*J2756/E2756</f>
        <v>428.03617098352595</v>
      </c>
      <c r="L2756" s="75">
        <f>K2756*'THAM_SO_MOI'!$C$52*'THAM_SO_MOI'!$C$17/'THAM_SO_MOI'!$C$26</f>
        <v>5993.887628921938</v>
      </c>
      <c r="M2756" s="75">
        <f>'THAM_SO_MOI'!$C$15*'THAM_SO_MOI'!$C$16*F2756^2</f>
        <v>453.52734951684243</v>
      </c>
      <c r="N2756" s="75">
        <f>'THAM_SO_MOI'!$C$12*I2756</f>
        <v>1130.112</v>
      </c>
      <c r="O2756" s="75">
        <f>M2756+N2756</f>
        <v>1583.6393495168425</v>
      </c>
      <c r="P2756" s="75">
        <f>(MIN(L2756,'THAM_SO_MOI'!$C$41)-O2756)/('THAM_SO_MOI'!$C$11*H2756)</f>
        <v>0.4876968429305069</v>
      </c>
      <c r="Q2756" s="75">
        <f>IF(P2756&gt;0,1/P2756,NA())</f>
        <v>2.0504541181589984</v>
      </c>
      <c r="R2756" s="75">
        <f>F2756-F2755</f>
        <v>0.007943393307218827</v>
      </c>
      <c r="S2756" s="75">
        <f>0.5*(Q2755+Q2756)*R2756</f>
        <v>0.01628714858204245</v>
      </c>
      <c r="T2756" s="75">
        <f>0.5*(F2755*Q2755+F2756*Q2756)*R2756</f>
        <v>0.2027427451520244</v>
      </c>
      <c r="U2756" s="76">
        <f>U2755+S2756</f>
        <v>18.636174082458556</v>
      </c>
      <c r="V2756" s="76">
        <f>V2755+T2756</f>
        <v>138.7390408685139</v>
      </c>
    </row>
    <row r="2757" spans="1:22" ht="19" customHeight="1">
      <c r="A2757" s="68" t="s">
        <v>376</v>
      </c>
      <c r="B2757" s="74">
        <v>4</v>
      </c>
      <c r="C2757" s="68" t="s">
        <v>363</v>
      </c>
      <c r="D2757" s="68" t="s">
        <v>364</v>
      </c>
      <c r="E2757" s="75">
        <f>60*F2757*'THAM_SO_MOI'!$C$52/(2*PI()*'THAM_SO_MOI'!$C$26)</f>
        <v>1960.1817697468102</v>
      </c>
      <c r="F2757" s="75">
        <f>'HANH_TRINH'!$F$2468+('THAM_SO_MOI'!$F$52-'HANH_TRINH'!$F$2468)*288/'THAM_SO_MOI'!$C$42</f>
        <v>12.459934611779204</v>
      </c>
      <c r="G2757" s="75">
        <f>3.6*F2757</f>
        <v>44.85576460240514</v>
      </c>
      <c r="H2757" s="75">
        <f>'THAM_SO_MOI'!$D$52</f>
        <v>1.1774754878398197</v>
      </c>
      <c r="I2757" s="75">
        <f>IF(F2757&gt;'THAM_SO_MOI'!$C$14,'THAM_SO_MOI'!$C$13*(1+F2757^2/1500),'THAM_SO_MOI'!$C$13)</f>
        <v>0.015</v>
      </c>
      <c r="J2757" s="75">
        <f>'THAM_SO_MOI'!$C$40*('THAM_SO_MOI'!$C$23*(E2757/'THAM_SO_MOI'!$C$22)+'THAM_SO_MOI'!$C$24*(E2757/'THAM_SO_MOI'!$C$22)^2-'THAM_SO_MOI'!$C$25*(E2757/'THAM_SO_MOI'!$C$22)^3)</f>
        <v>87.85145790309657</v>
      </c>
      <c r="K2757" s="75">
        <f>'THAM_SO_MOI'!$C$31*J2757/E2757</f>
        <v>428.06127976764145</v>
      </c>
      <c r="L2757" s="75">
        <f>K2757*'THAM_SO_MOI'!$C$52*'THAM_SO_MOI'!$C$17/'THAM_SO_MOI'!$C$26</f>
        <v>5994.239232923399</v>
      </c>
      <c r="M2757" s="75">
        <f>'THAM_SO_MOI'!$C$15*'THAM_SO_MOI'!$C$16*F2757^2</f>
        <v>454.1061637997042</v>
      </c>
      <c r="N2757" s="75">
        <f>'THAM_SO_MOI'!$C$12*I2757</f>
        <v>1130.112</v>
      </c>
      <c r="O2757" s="75">
        <f>M2757+N2757</f>
        <v>1584.2181637997041</v>
      </c>
      <c r="P2757" s="75">
        <f>(MIN(L2757,'THAM_SO_MOI'!$C$41)-O2757)/('THAM_SO_MOI'!$C$11*H2757)</f>
        <v>0.4876717174205808</v>
      </c>
      <c r="Q2757" s="75">
        <f>IF(P2757&gt;0,1/P2757,NA())</f>
        <v>2.050559760342989</v>
      </c>
      <c r="R2757" s="75">
        <f>F2757-F2756</f>
        <v>0.007943393307220603</v>
      </c>
      <c r="S2757" s="75">
        <f>0.5*(Q2756+Q2757)*R2757</f>
        <v>0.016287983097655747</v>
      </c>
      <c r="T2757" s="75">
        <f>0.5*(F2756*Q2756+F2757*Q2757)*R2757</f>
        <v>0.2028825150930318</v>
      </c>
      <c r="U2757" s="76">
        <f>U2756+S2757</f>
        <v>18.65246206555621</v>
      </c>
      <c r="V2757" s="76">
        <f>V2756+T2757</f>
        <v>138.94192338360693</v>
      </c>
    </row>
    <row r="2758" spans="1:22" ht="19" customHeight="1">
      <c r="A2758" s="68" t="s">
        <v>376</v>
      </c>
      <c r="B2758" s="74">
        <v>4</v>
      </c>
      <c r="C2758" s="68" t="s">
        <v>363</v>
      </c>
      <c r="D2758" s="68" t="s">
        <v>364</v>
      </c>
      <c r="E2758" s="75">
        <f>60*F2758*'THAM_SO_MOI'!$C$52/(2*PI()*'THAM_SO_MOI'!$C$26)</f>
        <v>1961.4314147277732</v>
      </c>
      <c r="F2758" s="75">
        <f>'HANH_TRINH'!$F$2468+('THAM_SO_MOI'!$F$52-'HANH_TRINH'!$F$2468)*289/'THAM_SO_MOI'!$C$42</f>
        <v>12.467878005086423</v>
      </c>
      <c r="G2758" s="75">
        <f>3.6*F2758</f>
        <v>44.88436081831112</v>
      </c>
      <c r="H2758" s="75">
        <f>'THAM_SO_MOI'!$D$52</f>
        <v>1.1774754878398197</v>
      </c>
      <c r="I2758" s="75">
        <f>IF(F2758&gt;'THAM_SO_MOI'!$C$14,'THAM_SO_MOI'!$C$13*(1+F2758^2/1500),'THAM_SO_MOI'!$C$13)</f>
        <v>0.015</v>
      </c>
      <c r="J2758" s="75">
        <f>'THAM_SO_MOI'!$C$40*('THAM_SO_MOI'!$C$23*(E2758/'THAM_SO_MOI'!$C$22)+'THAM_SO_MOI'!$C$24*(E2758/'THAM_SO_MOI'!$C$22)^2-'THAM_SO_MOI'!$C$25*(E2758/'THAM_SO_MOI'!$C$22)^3)</f>
        <v>87.91258978640744</v>
      </c>
      <c r="K2758" s="75">
        <f>'THAM_SO_MOI'!$C$31*J2758/E2758</f>
        <v>428.08623705202956</v>
      </c>
      <c r="L2758" s="75">
        <f>K2758*'THAM_SO_MOI'!$C$52*'THAM_SO_MOI'!$C$17/'THAM_SO_MOI'!$C$26</f>
        <v>5994.588715439797</v>
      </c>
      <c r="M2758" s="75">
        <f>'THAM_SO_MOI'!$C$15*'THAM_SO_MOI'!$C$16*F2758^2</f>
        <v>454.68534720292456</v>
      </c>
      <c r="N2758" s="75">
        <f>'THAM_SO_MOI'!$C$12*I2758</f>
        <v>1130.112</v>
      </c>
      <c r="O2758" s="75">
        <f>M2758+N2758</f>
        <v>1584.7973472029246</v>
      </c>
      <c r="P2758" s="75">
        <f>(MIN(L2758,'THAM_SO_MOI'!$C$41)-O2758)/('THAM_SO_MOI'!$C$11*H2758)</f>
        <v>0.4876463164929631</v>
      </c>
      <c r="Q2758" s="75">
        <f>IF(P2758&gt;0,1/P2758,NA())</f>
        <v>2.050666571608217</v>
      </c>
      <c r="R2758" s="75">
        <f>F2758-F2757</f>
        <v>0.007943393307218827</v>
      </c>
      <c r="S2758" s="75">
        <f>0.5*(Q2757+Q2758)*R2758</f>
        <v>0.016288826898305412</v>
      </c>
      <c r="T2758" s="75">
        <f>0.5*(F2757*Q2757+F2758*Q2758)*R2758</f>
        <v>0.2030224140196398</v>
      </c>
      <c r="U2758" s="76">
        <f>U2757+S2758</f>
        <v>18.668750892454515</v>
      </c>
      <c r="V2758" s="76">
        <f>V2757+T2758</f>
        <v>139.14494579762658</v>
      </c>
    </row>
    <row r="2759" spans="1:22" ht="19" customHeight="1">
      <c r="A2759" s="68" t="s">
        <v>376</v>
      </c>
      <c r="B2759" s="74">
        <v>4</v>
      </c>
      <c r="C2759" s="68" t="s">
        <v>363</v>
      </c>
      <c r="D2759" s="68" t="s">
        <v>364</v>
      </c>
      <c r="E2759" s="75">
        <f>60*F2759*'THAM_SO_MOI'!$C$52/(2*PI()*'THAM_SO_MOI'!$C$26)</f>
        <v>1962.6810597087365</v>
      </c>
      <c r="F2759" s="75">
        <f>'HANH_TRINH'!$F$2468+('THAM_SO_MOI'!$F$52-'HANH_TRINH'!$F$2468)*290/'THAM_SO_MOI'!$C$42</f>
        <v>12.475821398393641</v>
      </c>
      <c r="G2759" s="75">
        <f>3.6*F2759</f>
        <v>44.91295703421711</v>
      </c>
      <c r="H2759" s="75">
        <f>'THAM_SO_MOI'!$D$52</f>
        <v>1.1774754878398197</v>
      </c>
      <c r="I2759" s="75">
        <f>IF(F2759&gt;'THAM_SO_MOI'!$C$14,'THAM_SO_MOI'!$C$13*(1+F2759^2/1500),'THAM_SO_MOI'!$C$13)</f>
        <v>0.015</v>
      </c>
      <c r="J2759" s="75">
        <f>'THAM_SO_MOI'!$C$40*('THAM_SO_MOI'!$C$23*(E2759/'THAM_SO_MOI'!$C$22)+'THAM_SO_MOI'!$C$24*(E2759/'THAM_SO_MOI'!$C$22)^2-'THAM_SO_MOI'!$C$25*(E2759/'THAM_SO_MOI'!$C$22)^3)</f>
        <v>87.97369706834303</v>
      </c>
      <c r="K2759" s="75">
        <f>'THAM_SO_MOI'!$C$31*J2759/E2759</f>
        <v>428.1110428366901</v>
      </c>
      <c r="L2759" s="75">
        <f>K2759*'THAM_SO_MOI'!$C$52*'THAM_SO_MOI'!$C$17/'THAM_SO_MOI'!$C$26</f>
        <v>5994.9360764711355</v>
      </c>
      <c r="M2759" s="75">
        <f>'THAM_SO_MOI'!$C$15*'THAM_SO_MOI'!$C$16*F2759^2</f>
        <v>455.2648997265038</v>
      </c>
      <c r="N2759" s="75">
        <f>'THAM_SO_MOI'!$C$12*I2759</f>
        <v>1130.112</v>
      </c>
      <c r="O2759" s="75">
        <f>M2759+N2759</f>
        <v>1585.3768997265038</v>
      </c>
      <c r="P2759" s="75">
        <f>(MIN(L2759,'THAM_SO_MOI'!$C$41)-O2759)/('THAM_SO_MOI'!$C$11*H2759)</f>
        <v>0.4876206401476539</v>
      </c>
      <c r="Q2759" s="75">
        <f>IF(P2759&gt;0,1/P2759,NA())</f>
        <v>2.0507745523183663</v>
      </c>
      <c r="R2759" s="75">
        <f>F2759-F2758</f>
        <v>0.007943393307218827</v>
      </c>
      <c r="S2759" s="75">
        <f>0.5*(Q2758+Q2759)*R2759</f>
        <v>0.016289679986875243</v>
      </c>
      <c r="T2759" s="75">
        <f>0.5*(F2758*Q2758+F2759*Q2759)*R2759</f>
        <v>0.20316244218907867</v>
      </c>
      <c r="U2759" s="76">
        <f>U2758+S2759</f>
        <v>18.68504057244139</v>
      </c>
      <c r="V2759" s="76">
        <f>V2758+T2759</f>
        <v>139.34810823981564</v>
      </c>
    </row>
    <row r="2760" spans="1:22" ht="19" customHeight="1">
      <c r="A2760" s="68" t="s">
        <v>376</v>
      </c>
      <c r="B2760" s="74">
        <v>4</v>
      </c>
      <c r="C2760" s="68" t="s">
        <v>363</v>
      </c>
      <c r="D2760" s="68" t="s">
        <v>364</v>
      </c>
      <c r="E2760" s="75">
        <f>60*F2760*'THAM_SO_MOI'!$C$52/(2*PI()*'THAM_SO_MOI'!$C$26)</f>
        <v>1963.9307046897</v>
      </c>
      <c r="F2760" s="75">
        <f>'HANH_TRINH'!$F$2468+('THAM_SO_MOI'!$F$52-'HANH_TRINH'!$F$2468)*291/'THAM_SO_MOI'!$C$42</f>
        <v>12.483764791700862</v>
      </c>
      <c r="G2760" s="75">
        <f>3.6*F2760</f>
        <v>44.94155325012311</v>
      </c>
      <c r="H2760" s="75">
        <f>'THAM_SO_MOI'!$D$52</f>
        <v>1.1774754878398197</v>
      </c>
      <c r="I2760" s="75">
        <f>IF(F2760&gt;'THAM_SO_MOI'!$C$14,'THAM_SO_MOI'!$C$13*(1+F2760^2/1500),'THAM_SO_MOI'!$C$13)</f>
        <v>0.015</v>
      </c>
      <c r="J2760" s="75">
        <f>'THAM_SO_MOI'!$C$40*('THAM_SO_MOI'!$C$23*(E2760/'THAM_SO_MOI'!$C$22)+'THAM_SO_MOI'!$C$24*(E2760/'THAM_SO_MOI'!$C$22)^2-'THAM_SO_MOI'!$C$25*(E2760/'THAM_SO_MOI'!$C$22)^3)</f>
        <v>88.03477968943767</v>
      </c>
      <c r="K2760" s="75">
        <f>'THAM_SO_MOI'!$C$31*J2760/E2760</f>
        <v>428.13569712162314</v>
      </c>
      <c r="L2760" s="75">
        <f>K2760*'THAM_SO_MOI'!$C$52*'THAM_SO_MOI'!$C$17/'THAM_SO_MOI'!$C$26</f>
        <v>5995.281316017411</v>
      </c>
      <c r="M2760" s="75">
        <f>'THAM_SO_MOI'!$C$15*'THAM_SO_MOI'!$C$16*F2760^2</f>
        <v>455.844821370442</v>
      </c>
      <c r="N2760" s="75">
        <f>'THAM_SO_MOI'!$C$12*I2760</f>
        <v>1130.112</v>
      </c>
      <c r="O2760" s="75">
        <f>M2760+N2760</f>
        <v>1585.956821370442</v>
      </c>
      <c r="P2760" s="75">
        <f>(MIN(L2760,'THAM_SO_MOI'!$C$41)-O2760)/('THAM_SO_MOI'!$C$11*H2760)</f>
        <v>0.4875946883846529</v>
      </c>
      <c r="Q2760" s="75">
        <f>IF(P2760&gt;0,1/P2760,NA())</f>
        <v>2.050883702841163</v>
      </c>
      <c r="R2760" s="75">
        <f>F2760-F2759</f>
        <v>0.007943393307220603</v>
      </c>
      <c r="S2760" s="75">
        <f>0.5*(Q2759+Q2760)*R2760</f>
        <v>0.016290542366270172</v>
      </c>
      <c r="T2760" s="75">
        <f>0.5*(F2759*Q2759+F2760*Q2760)*R2760</f>
        <v>0.2033025998589344</v>
      </c>
      <c r="U2760" s="76">
        <f>U2759+S2760</f>
        <v>18.70133111480766</v>
      </c>
      <c r="V2760" s="76">
        <f>V2759+T2760</f>
        <v>139.5514108396746</v>
      </c>
    </row>
    <row r="2761" spans="1:22" ht="19" customHeight="1">
      <c r="A2761" s="68" t="s">
        <v>376</v>
      </c>
      <c r="B2761" s="74">
        <v>4</v>
      </c>
      <c r="C2761" s="68" t="s">
        <v>363</v>
      </c>
      <c r="D2761" s="68" t="s">
        <v>364</v>
      </c>
      <c r="E2761" s="75">
        <f>60*F2761*'THAM_SO_MOI'!$C$52/(2*PI()*'THAM_SO_MOI'!$C$26)</f>
        <v>1965.1803496706627</v>
      </c>
      <c r="F2761" s="75">
        <f>'HANH_TRINH'!$F$2468+('THAM_SO_MOI'!$F$52-'HANH_TRINH'!$F$2468)*292/'THAM_SO_MOI'!$C$42</f>
        <v>12.491708185008081</v>
      </c>
      <c r="G2761" s="75">
        <f>3.6*F2761</f>
        <v>44.97014946602909</v>
      </c>
      <c r="H2761" s="75">
        <f>'THAM_SO_MOI'!$D$52</f>
        <v>1.1774754878398197</v>
      </c>
      <c r="I2761" s="75">
        <f>IF(F2761&gt;'THAM_SO_MOI'!$C$14,'THAM_SO_MOI'!$C$13*(1+F2761^2/1500),'THAM_SO_MOI'!$C$13)</f>
        <v>0.015</v>
      </c>
      <c r="J2761" s="75">
        <f>'THAM_SO_MOI'!$C$40*('THAM_SO_MOI'!$C$23*(E2761/'THAM_SO_MOI'!$C$22)+'THAM_SO_MOI'!$C$24*(E2761/'THAM_SO_MOI'!$C$22)^2-'THAM_SO_MOI'!$C$25*(E2761/'THAM_SO_MOI'!$C$22)^3)</f>
        <v>88.09583759022568</v>
      </c>
      <c r="K2761" s="75">
        <f>'THAM_SO_MOI'!$C$31*J2761/E2761</f>
        <v>428.16019990682884</v>
      </c>
      <c r="L2761" s="75">
        <f>K2761*'THAM_SO_MOI'!$C$52*'THAM_SO_MOI'!$C$17/'THAM_SO_MOI'!$C$26</f>
        <v>5995.624434078629</v>
      </c>
      <c r="M2761" s="75">
        <f>'THAM_SO_MOI'!$C$15*'THAM_SO_MOI'!$C$16*F2761^2</f>
        <v>456.4251121347388</v>
      </c>
      <c r="N2761" s="75">
        <f>'THAM_SO_MOI'!$C$12*I2761</f>
        <v>1130.112</v>
      </c>
      <c r="O2761" s="75">
        <f>M2761+N2761</f>
        <v>1586.537112134739</v>
      </c>
      <c r="P2761" s="75">
        <f>(MIN(L2761,'THAM_SO_MOI'!$C$41)-O2761)/('THAM_SO_MOI'!$C$11*H2761)</f>
        <v>0.4875684612039609</v>
      </c>
      <c r="Q2761" s="75">
        <f>IF(P2761&gt;0,1/P2761,NA())</f>
        <v>2.050994023548372</v>
      </c>
      <c r="R2761" s="75">
        <f>F2761-F2760</f>
        <v>0.007943393307218827</v>
      </c>
      <c r="S2761" s="75">
        <f>0.5*(Q2760+Q2761)*R2761</f>
        <v>0.016291414039416304</v>
      </c>
      <c r="T2761" s="75">
        <f>0.5*(F2760*Q2760+F2761*Q2761)*R2761</f>
        <v>0.20344288728714943</v>
      </c>
      <c r="U2761" s="76">
        <f>U2760+S2761</f>
        <v>18.717622528847077</v>
      </c>
      <c r="V2761" s="76">
        <f>V2760+T2761</f>
        <v>139.75485372696173</v>
      </c>
    </row>
    <row r="2762" spans="1:22" ht="19" customHeight="1">
      <c r="A2762" s="68" t="s">
        <v>376</v>
      </c>
      <c r="B2762" s="74">
        <v>4</v>
      </c>
      <c r="C2762" s="68" t="s">
        <v>363</v>
      </c>
      <c r="D2762" s="68" t="s">
        <v>364</v>
      </c>
      <c r="E2762" s="75">
        <f>60*F2762*'THAM_SO_MOI'!$C$52/(2*PI()*'THAM_SO_MOI'!$C$26)</f>
        <v>1966.429994651626</v>
      </c>
      <c r="F2762" s="75">
        <f>'HANH_TRINH'!$F$2468+('THAM_SO_MOI'!$F$52-'HANH_TRINH'!$F$2468)*293/'THAM_SO_MOI'!$C$42</f>
        <v>12.4996515783153</v>
      </c>
      <c r="G2762" s="75">
        <f>3.6*F2762</f>
        <v>44.99874568193508</v>
      </c>
      <c r="H2762" s="75">
        <f>'THAM_SO_MOI'!$D$52</f>
        <v>1.1774754878398197</v>
      </c>
      <c r="I2762" s="75">
        <f>IF(F2762&gt;'THAM_SO_MOI'!$C$14,'THAM_SO_MOI'!$C$13*(1+F2762^2/1500),'THAM_SO_MOI'!$C$13)</f>
        <v>0.015</v>
      </c>
      <c r="J2762" s="75">
        <f>'THAM_SO_MOI'!$C$40*('THAM_SO_MOI'!$C$23*(E2762/'THAM_SO_MOI'!$C$22)+'THAM_SO_MOI'!$C$24*(E2762/'THAM_SO_MOI'!$C$22)^2-'THAM_SO_MOI'!$C$25*(E2762/'THAM_SO_MOI'!$C$22)^3)</f>
        <v>88.15687071124138</v>
      </c>
      <c r="K2762" s="75">
        <f>'THAM_SO_MOI'!$C$31*J2762/E2762</f>
        <v>428.18455119230697</v>
      </c>
      <c r="L2762" s="75">
        <f>K2762*'THAM_SO_MOI'!$C$52*'THAM_SO_MOI'!$C$17/'THAM_SO_MOI'!$C$26</f>
        <v>5995.965430654783</v>
      </c>
      <c r="M2762" s="75">
        <f>'THAM_SO_MOI'!$C$15*'THAM_SO_MOI'!$C$16*F2762^2</f>
        <v>457.0057720193945</v>
      </c>
      <c r="N2762" s="75">
        <f>'THAM_SO_MOI'!$C$12*I2762</f>
        <v>1130.112</v>
      </c>
      <c r="O2762" s="75">
        <f>M2762+N2762</f>
        <v>1587.1177720193946</v>
      </c>
      <c r="P2762" s="75">
        <f>(MIN(L2762,'THAM_SO_MOI'!$C$41)-O2762)/('THAM_SO_MOI'!$C$11*H2762)</f>
        <v>0.4875419586055769</v>
      </c>
      <c r="Q2762" s="75">
        <f>IF(P2762&gt;0,1/P2762,NA())</f>
        <v>2.0511055148158097</v>
      </c>
      <c r="R2762" s="75">
        <f>F2762-F2761</f>
        <v>0.007943393307218827</v>
      </c>
      <c r="S2762" s="75">
        <f>0.5*(Q2761+Q2762)*R2762</f>
        <v>0.01629229500929374</v>
      </c>
      <c r="T2762" s="75">
        <f>0.5*(F2761*Q2761+F2762*Q2762)*R2762</f>
        <v>0.2035833047324339</v>
      </c>
      <c r="U2762" s="76">
        <f>U2761+S2762</f>
        <v>18.73391482385637</v>
      </c>
      <c r="V2762" s="76">
        <f>V2761+T2762</f>
        <v>139.95843703169416</v>
      </c>
    </row>
    <row r="2763" spans="1:22" ht="19" customHeight="1">
      <c r="A2763" s="68" t="s">
        <v>376</v>
      </c>
      <c r="B2763" s="74">
        <v>4</v>
      </c>
      <c r="C2763" s="68" t="s">
        <v>363</v>
      </c>
      <c r="D2763" s="68" t="s">
        <v>364</v>
      </c>
      <c r="E2763" s="75">
        <f>60*F2763*'THAM_SO_MOI'!$C$52/(2*PI()*'THAM_SO_MOI'!$C$26)</f>
        <v>1967.6796396325894</v>
      </c>
      <c r="F2763" s="75">
        <f>'HANH_TRINH'!$F$2468+('THAM_SO_MOI'!$F$52-'HANH_TRINH'!$F$2468)*294/'THAM_SO_MOI'!$C$42</f>
        <v>12.50759497162252</v>
      </c>
      <c r="G2763" s="75">
        <f>3.6*F2763</f>
        <v>45.027341897841076</v>
      </c>
      <c r="H2763" s="75">
        <f>'THAM_SO_MOI'!$D$52</f>
        <v>1.1774754878398197</v>
      </c>
      <c r="I2763" s="75">
        <f>IF(F2763&gt;'THAM_SO_MOI'!$C$14,'THAM_SO_MOI'!$C$13*(1+F2763^2/1500),'THAM_SO_MOI'!$C$13)</f>
        <v>0.015</v>
      </c>
      <c r="J2763" s="75">
        <f>'THAM_SO_MOI'!$C$40*('THAM_SO_MOI'!$C$23*(E2763/'THAM_SO_MOI'!$C$22)+'THAM_SO_MOI'!$C$24*(E2763/'THAM_SO_MOI'!$C$22)^2-'THAM_SO_MOI'!$C$25*(E2763/'THAM_SO_MOI'!$C$22)^3)</f>
        <v>88.2178789930191</v>
      </c>
      <c r="K2763" s="75">
        <f>'THAM_SO_MOI'!$C$31*J2763/E2763</f>
        <v>428.2087509780577</v>
      </c>
      <c r="L2763" s="75">
        <f>K2763*'THAM_SO_MOI'!$C$52*'THAM_SO_MOI'!$C$17/'THAM_SO_MOI'!$C$26</f>
        <v>5996.304305745878</v>
      </c>
      <c r="M2763" s="75">
        <f>'THAM_SO_MOI'!$C$15*'THAM_SO_MOI'!$C$16*F2763^2</f>
        <v>457.58680102440917</v>
      </c>
      <c r="N2763" s="75">
        <f>'THAM_SO_MOI'!$C$12*I2763</f>
        <v>1130.112</v>
      </c>
      <c r="O2763" s="75">
        <f>M2763+N2763</f>
        <v>1587.6988010244092</v>
      </c>
      <c r="P2763" s="75">
        <f>(MIN(L2763,'THAM_SO_MOI'!$C$41)-O2763)/('THAM_SO_MOI'!$C$11*H2763)</f>
        <v>0.48751518058950166</v>
      </c>
      <c r="Q2763" s="75">
        <f>IF(P2763&gt;0,1/P2763,NA())</f>
        <v>2.051218177023336</v>
      </c>
      <c r="R2763" s="75">
        <f>F2763-F2762</f>
        <v>0.007943393307220603</v>
      </c>
      <c r="S2763" s="75">
        <f>0.5*(Q2762+Q2763)*R2763</f>
        <v>0.016293185278903794</v>
      </c>
      <c r="T2763" s="75">
        <f>0.5*(F2762*Q2762+F2763*Q2763)*R2763</f>
        <v>0.2037238524538581</v>
      </c>
      <c r="U2763" s="76">
        <f>U2762+S2763</f>
        <v>18.750208009135275</v>
      </c>
      <c r="V2763" s="76">
        <f>V2762+T2763</f>
        <v>140.16216088414802</v>
      </c>
    </row>
    <row r="2764" spans="1:22" ht="19" customHeight="1">
      <c r="A2764" s="68" t="s">
        <v>376</v>
      </c>
      <c r="B2764" s="74">
        <v>4</v>
      </c>
      <c r="C2764" s="68" t="s">
        <v>363</v>
      </c>
      <c r="D2764" s="68" t="s">
        <v>364</v>
      </c>
      <c r="E2764" s="75">
        <f>60*F2764*'THAM_SO_MOI'!$C$52/(2*PI()*'THAM_SO_MOI'!$C$26)</f>
        <v>1968.9292846135527</v>
      </c>
      <c r="F2764" s="75">
        <f>'HANH_TRINH'!$F$2468+('THAM_SO_MOI'!$F$52-'HANH_TRINH'!$F$2468)*295/'THAM_SO_MOI'!$C$42</f>
        <v>12.51553836492974</v>
      </c>
      <c r="G2764" s="75">
        <f>3.6*F2764</f>
        <v>45.05593811374706</v>
      </c>
      <c r="H2764" s="75">
        <f>'THAM_SO_MOI'!$D$52</f>
        <v>1.1774754878398197</v>
      </c>
      <c r="I2764" s="75">
        <f>IF(F2764&gt;'THAM_SO_MOI'!$C$14,'THAM_SO_MOI'!$C$13*(1+F2764^2/1500),'THAM_SO_MOI'!$C$13)</f>
        <v>0.015</v>
      </c>
      <c r="J2764" s="75">
        <f>'THAM_SO_MOI'!$C$40*('THAM_SO_MOI'!$C$23*(E2764/'THAM_SO_MOI'!$C$22)+'THAM_SO_MOI'!$C$24*(E2764/'THAM_SO_MOI'!$C$22)^2-'THAM_SO_MOI'!$C$25*(E2764/'THAM_SO_MOI'!$C$22)^3)</f>
        <v>88.27886237609307</v>
      </c>
      <c r="K2764" s="75">
        <f>'THAM_SO_MOI'!$C$31*J2764/E2764</f>
        <v>428.2327992640808</v>
      </c>
      <c r="L2764" s="75">
        <f>K2764*'THAM_SO_MOI'!$C$52*'THAM_SO_MOI'!$C$17/'THAM_SO_MOI'!$C$26</f>
        <v>5996.6410593519095</v>
      </c>
      <c r="M2764" s="75">
        <f>'THAM_SO_MOI'!$C$15*'THAM_SO_MOI'!$C$16*F2764^2</f>
        <v>458.16819914978237</v>
      </c>
      <c r="N2764" s="75">
        <f>'THAM_SO_MOI'!$C$12*I2764</f>
        <v>1130.112</v>
      </c>
      <c r="O2764" s="75">
        <f>M2764+N2764</f>
        <v>1588.2801991497824</v>
      </c>
      <c r="P2764" s="75">
        <f>(MIN(L2764,'THAM_SO_MOI'!$C$41)-O2764)/('THAM_SO_MOI'!$C$11*H2764)</f>
        <v>0.4874881271557346</v>
      </c>
      <c r="Q2764" s="75">
        <f>IF(P2764&gt;0,1/P2764,NA())</f>
        <v>2.0513320105548676</v>
      </c>
      <c r="R2764" s="75">
        <f>F2764-F2763</f>
        <v>0.007943393307218827</v>
      </c>
      <c r="S2764" s="75">
        <f>0.5*(Q2763+Q2764)*R2764</f>
        <v>0.01629408485126902</v>
      </c>
      <c r="T2764" s="75">
        <f>0.5*(F2763*Q2763+F2764*Q2764)*R2764</f>
        <v>0.20386453071085323</v>
      </c>
      <c r="U2764" s="76">
        <f>U2763+S2764</f>
        <v>18.766502093986542</v>
      </c>
      <c r="V2764" s="76">
        <f>V2763+T2764</f>
        <v>140.36602541485888</v>
      </c>
    </row>
    <row r="2765" spans="1:22" ht="19" customHeight="1">
      <c r="A2765" s="68" t="s">
        <v>376</v>
      </c>
      <c r="B2765" s="74">
        <v>4</v>
      </c>
      <c r="C2765" s="68" t="s">
        <v>363</v>
      </c>
      <c r="D2765" s="68" t="s">
        <v>364</v>
      </c>
      <c r="E2765" s="75">
        <f>60*F2765*'THAM_SO_MOI'!$C$52/(2*PI()*'THAM_SO_MOI'!$C$26)</f>
        <v>1970.1789295945161</v>
      </c>
      <c r="F2765" s="75">
        <f>'HANH_TRINH'!$F$2468+('THAM_SO_MOI'!$F$52-'HANH_TRINH'!$F$2468)*296/'THAM_SO_MOI'!$C$42</f>
        <v>12.523481758236958</v>
      </c>
      <c r="G2765" s="75">
        <f>3.6*F2765</f>
        <v>45.08453432965305</v>
      </c>
      <c r="H2765" s="75">
        <f>'THAM_SO_MOI'!$D$52</f>
        <v>1.1774754878398197</v>
      </c>
      <c r="I2765" s="75">
        <f>IF(F2765&gt;'THAM_SO_MOI'!$C$14,'THAM_SO_MOI'!$C$13*(1+F2765^2/1500),'THAM_SO_MOI'!$C$13)</f>
        <v>0.015</v>
      </c>
      <c r="J2765" s="75">
        <f>'THAM_SO_MOI'!$C$40*('THAM_SO_MOI'!$C$23*(E2765/'THAM_SO_MOI'!$C$22)+'THAM_SO_MOI'!$C$24*(E2765/'THAM_SO_MOI'!$C$22)^2-'THAM_SO_MOI'!$C$25*(E2765/'THAM_SO_MOI'!$C$22)^3)</f>
        <v>88.3398208009977</v>
      </c>
      <c r="K2765" s="75">
        <f>'THAM_SO_MOI'!$C$31*J2765/E2765</f>
        <v>428.2566960503766</v>
      </c>
      <c r="L2765" s="75">
        <f>K2765*'THAM_SO_MOI'!$C$52*'THAM_SO_MOI'!$C$17/'THAM_SO_MOI'!$C$26</f>
        <v>5996.975691472881</v>
      </c>
      <c r="M2765" s="75">
        <f>'THAM_SO_MOI'!$C$15*'THAM_SO_MOI'!$C$16*F2765^2</f>
        <v>458.74996639551455</v>
      </c>
      <c r="N2765" s="75">
        <f>'THAM_SO_MOI'!$C$12*I2765</f>
        <v>1130.112</v>
      </c>
      <c r="O2765" s="75">
        <f>M2765+N2765</f>
        <v>1588.8619663955146</v>
      </c>
      <c r="P2765" s="75">
        <f>(MIN(L2765,'THAM_SO_MOI'!$C$41)-O2765)/('THAM_SO_MOI'!$C$11*H2765)</f>
        <v>0.4874607983042762</v>
      </c>
      <c r="Q2765" s="75">
        <f>IF(P2765&gt;0,1/P2765,NA())</f>
        <v>2.051447015798373</v>
      </c>
      <c r="R2765" s="75">
        <f>F2765-F2764</f>
        <v>0.007943393307218827</v>
      </c>
      <c r="S2765" s="75">
        <f>0.5*(Q2764+Q2765)*R2765</f>
        <v>0.01629499372946605</v>
      </c>
      <c r="T2765" s="75">
        <f>0.5*(F2764*Q2764+F2765*Q2765)*R2765</f>
        <v>0.20400533976362356</v>
      </c>
      <c r="U2765" s="76">
        <f>U2764+S2765</f>
        <v>18.78279708771601</v>
      </c>
      <c r="V2765" s="76">
        <f>V2764+T2765</f>
        <v>140.5700307546225</v>
      </c>
    </row>
    <row r="2766" spans="1:22" ht="19" customHeight="1">
      <c r="A2766" s="68" t="s">
        <v>376</v>
      </c>
      <c r="B2766" s="74">
        <v>4</v>
      </c>
      <c r="C2766" s="68" t="s">
        <v>363</v>
      </c>
      <c r="D2766" s="68" t="s">
        <v>364</v>
      </c>
      <c r="E2766" s="75">
        <f>60*F2766*'THAM_SO_MOI'!$C$52/(2*PI()*'THAM_SO_MOI'!$C$26)</f>
        <v>1971.4285745754794</v>
      </c>
      <c r="F2766" s="75">
        <f>'HANH_TRINH'!$F$2468+('THAM_SO_MOI'!$F$52-'HANH_TRINH'!$F$2468)*297/'THAM_SO_MOI'!$C$42</f>
        <v>12.531425151544177</v>
      </c>
      <c r="G2766" s="75">
        <f>3.6*F2766</f>
        <v>45.11313054555904</v>
      </c>
      <c r="H2766" s="75">
        <f>'THAM_SO_MOI'!$D$52</f>
        <v>1.1774754878398197</v>
      </c>
      <c r="I2766" s="75">
        <f>IF(F2766&gt;'THAM_SO_MOI'!$C$14,'THAM_SO_MOI'!$C$13*(1+F2766^2/1500),'THAM_SO_MOI'!$C$13)</f>
        <v>0.015</v>
      </c>
      <c r="J2766" s="75">
        <f>'THAM_SO_MOI'!$C$40*('THAM_SO_MOI'!$C$23*(E2766/'THAM_SO_MOI'!$C$22)+'THAM_SO_MOI'!$C$24*(E2766/'THAM_SO_MOI'!$C$22)^2-'THAM_SO_MOI'!$C$25*(E2766/'THAM_SO_MOI'!$C$22)^3)</f>
        <v>88.40075420826726</v>
      </c>
      <c r="K2766" s="75">
        <f>'THAM_SO_MOI'!$C$31*J2766/E2766</f>
        <v>428.28044133694493</v>
      </c>
      <c r="L2766" s="75">
        <f>K2766*'THAM_SO_MOI'!$C$52*'THAM_SO_MOI'!$C$17/'THAM_SO_MOI'!$C$26</f>
        <v>5997.308202108794</v>
      </c>
      <c r="M2766" s="75">
        <f>'THAM_SO_MOI'!$C$15*'THAM_SO_MOI'!$C$16*F2766^2</f>
        <v>459.3321027616055</v>
      </c>
      <c r="N2766" s="75">
        <f>'THAM_SO_MOI'!$C$12*I2766</f>
        <v>1130.112</v>
      </c>
      <c r="O2766" s="75">
        <f>M2766+N2766</f>
        <v>1589.4441027616056</v>
      </c>
      <c r="P2766" s="75">
        <f>(MIN(L2766,'THAM_SO_MOI'!$C$41)-O2766)/('THAM_SO_MOI'!$C$11*H2766)</f>
        <v>0.4874331940351263</v>
      </c>
      <c r="Q2766" s="75">
        <f>IF(P2766&gt;0,1/P2766,NA())</f>
        <v>2.051563193145882</v>
      </c>
      <c r="R2766" s="75">
        <f>F2766-F2765</f>
        <v>0.007943393307218827</v>
      </c>
      <c r="S2766" s="75">
        <f>0.5*(Q2765+Q2766)*R2766</f>
        <v>0.01629591191658916</v>
      </c>
      <c r="T2766" s="75">
        <f>0.5*(F2765*Q2765+F2766*Q2766)*R2766</f>
        <v>0.20414627987269218</v>
      </c>
      <c r="U2766" s="76">
        <f>U2765+S2766</f>
        <v>18.7990929996326</v>
      </c>
      <c r="V2766" s="76">
        <f>V2765+T2766</f>
        <v>140.7741770344952</v>
      </c>
    </row>
    <row r="2767" spans="1:22" ht="19" customHeight="1">
      <c r="A2767" s="68" t="s">
        <v>376</v>
      </c>
      <c r="B2767" s="74">
        <v>4</v>
      </c>
      <c r="C2767" s="68" t="s">
        <v>363</v>
      </c>
      <c r="D2767" s="68" t="s">
        <v>364</v>
      </c>
      <c r="E2767" s="75">
        <f>60*F2767*'THAM_SO_MOI'!$C$52/(2*PI()*'THAM_SO_MOI'!$C$26)</f>
        <v>1972.6782195564429</v>
      </c>
      <c r="F2767" s="75">
        <f>'HANH_TRINH'!$F$2468+('THAM_SO_MOI'!$F$52-'HANH_TRINH'!$F$2468)*298/'THAM_SO_MOI'!$C$42</f>
        <v>12.539368544851397</v>
      </c>
      <c r="G2767" s="75">
        <f>3.6*F2767</f>
        <v>45.14172676146503</v>
      </c>
      <c r="H2767" s="75">
        <f>'THAM_SO_MOI'!$D$52</f>
        <v>1.1774754878398197</v>
      </c>
      <c r="I2767" s="75">
        <f>IF(F2767&gt;'THAM_SO_MOI'!$C$14,'THAM_SO_MOI'!$C$13*(1+F2767^2/1500),'THAM_SO_MOI'!$C$13)</f>
        <v>0.015</v>
      </c>
      <c r="J2767" s="75">
        <f>'THAM_SO_MOI'!$C$40*('THAM_SO_MOI'!$C$23*(E2767/'THAM_SO_MOI'!$C$22)+'THAM_SO_MOI'!$C$24*(E2767/'THAM_SO_MOI'!$C$22)^2-'THAM_SO_MOI'!$C$25*(E2767/'THAM_SO_MOI'!$C$22)^3)</f>
        <v>88.46166253843602</v>
      </c>
      <c r="K2767" s="75">
        <f>'THAM_SO_MOI'!$C$31*J2767/E2767</f>
        <v>428.30403512378547</v>
      </c>
      <c r="L2767" s="75">
        <f>K2767*'THAM_SO_MOI'!$C$52*'THAM_SO_MOI'!$C$17/'THAM_SO_MOI'!$C$26</f>
        <v>5997.638591259641</v>
      </c>
      <c r="M2767" s="75">
        <f>'THAM_SO_MOI'!$C$15*'THAM_SO_MOI'!$C$16*F2767^2</f>
        <v>459.9146082480553</v>
      </c>
      <c r="N2767" s="75">
        <f>'THAM_SO_MOI'!$C$12*I2767</f>
        <v>1130.112</v>
      </c>
      <c r="O2767" s="75">
        <f>M2767+N2767</f>
        <v>1590.0266082480553</v>
      </c>
      <c r="P2767" s="75">
        <f>(MIN(L2767,'THAM_SO_MOI'!$C$41)-O2767)/('THAM_SO_MOI'!$C$11*H2767)</f>
        <v>0.4874053143482844</v>
      </c>
      <c r="Q2767" s="75">
        <f>IF(P2767&gt;0,1/P2767,NA())</f>
        <v>2.0516805429934886</v>
      </c>
      <c r="R2767" s="75">
        <f>F2767-F2766</f>
        <v>0.007943393307220603</v>
      </c>
      <c r="S2767" s="75">
        <f>0.5*(Q2766+Q2767)*R2767</f>
        <v>0.01629683941577217</v>
      </c>
      <c r="T2767" s="75">
        <f>0.5*(F2766*Q2766+F2767*Q2767)*R2767</f>
        <v>0.20428735129917636</v>
      </c>
      <c r="U2767" s="76">
        <f>U2766+S2767</f>
        <v>18.815389839048372</v>
      </c>
      <c r="V2767" s="76">
        <f>V2766+T2767</f>
        <v>140.97846438579438</v>
      </c>
    </row>
    <row r="2768" spans="1:22" ht="19" customHeight="1">
      <c r="A2768" s="68" t="s">
        <v>376</v>
      </c>
      <c r="B2768" s="74">
        <v>4</v>
      </c>
      <c r="C2768" s="68" t="s">
        <v>363</v>
      </c>
      <c r="D2768" s="68" t="s">
        <v>364</v>
      </c>
      <c r="E2768" s="75">
        <f>60*F2768*'THAM_SO_MOI'!$C$52/(2*PI()*'THAM_SO_MOI'!$C$26)</f>
        <v>1973.9278645374056</v>
      </c>
      <c r="F2768" s="75">
        <f>'HANH_TRINH'!$F$2468+('THAM_SO_MOI'!$F$52-'HANH_TRINH'!$F$2468)*299/'THAM_SO_MOI'!$C$42</f>
        <v>12.547311938158616</v>
      </c>
      <c r="G2768" s="75">
        <f>3.6*F2768</f>
        <v>45.17032297737102</v>
      </c>
      <c r="H2768" s="75">
        <f>'THAM_SO_MOI'!$D$52</f>
        <v>1.1774754878398197</v>
      </c>
      <c r="I2768" s="75">
        <f>IF(F2768&gt;'THAM_SO_MOI'!$C$14,'THAM_SO_MOI'!$C$13*(1+F2768^2/1500),'THAM_SO_MOI'!$C$13)</f>
        <v>0.015</v>
      </c>
      <c r="J2768" s="75">
        <f>'THAM_SO_MOI'!$C$40*('THAM_SO_MOI'!$C$23*(E2768/'THAM_SO_MOI'!$C$22)+'THAM_SO_MOI'!$C$24*(E2768/'THAM_SO_MOI'!$C$22)^2-'THAM_SO_MOI'!$C$25*(E2768/'THAM_SO_MOI'!$C$22)^3)</f>
        <v>88.52254573203837</v>
      </c>
      <c r="K2768" s="75">
        <f>'THAM_SO_MOI'!$C$31*J2768/E2768</f>
        <v>428.3274774108989</v>
      </c>
      <c r="L2768" s="75">
        <f>K2768*'THAM_SO_MOI'!$C$52*'THAM_SO_MOI'!$C$17/'THAM_SO_MOI'!$C$26</f>
        <v>5997.966858925432</v>
      </c>
      <c r="M2768" s="75">
        <f>'THAM_SO_MOI'!$C$15*'THAM_SO_MOI'!$C$16*F2768^2</f>
        <v>460.4974828548639</v>
      </c>
      <c r="N2768" s="75">
        <f>'THAM_SO_MOI'!$C$12*I2768</f>
        <v>1130.112</v>
      </c>
      <c r="O2768" s="75">
        <f>M2768+N2768</f>
        <v>1590.609482854864</v>
      </c>
      <c r="P2768" s="75">
        <f>(MIN(L2768,'THAM_SO_MOI'!$C$41)-O2768)/('THAM_SO_MOI'!$C$11*H2768)</f>
        <v>0.4873771592437516</v>
      </c>
      <c r="Q2768" s="75">
        <f>IF(P2768&gt;0,1/P2768,NA())</f>
        <v>2.0517990657413447</v>
      </c>
      <c r="R2768" s="75">
        <f>F2768-F2767</f>
        <v>0.007943393307218827</v>
      </c>
      <c r="S2768" s="75">
        <f>0.5*(Q2767+Q2768)*R2768</f>
        <v>0.0162977762301666</v>
      </c>
      <c r="T2768" s="75">
        <f>0.5*(F2767*Q2767+F2768*Q2768)*R2768</f>
        <v>0.2044285543045147</v>
      </c>
      <c r="U2768" s="76">
        <f>U2767+S2768</f>
        <v>18.83168761527854</v>
      </c>
      <c r="V2768" s="76">
        <f>V2767+T2768</f>
        <v>141.1828929400989</v>
      </c>
    </row>
    <row r="2769" spans="1:22" ht="19" customHeight="1">
      <c r="A2769" s="68" t="s">
        <v>376</v>
      </c>
      <c r="B2769" s="74">
        <v>4</v>
      </c>
      <c r="C2769" s="68" t="s">
        <v>363</v>
      </c>
      <c r="D2769" s="68" t="s">
        <v>364</v>
      </c>
      <c r="E2769" s="75">
        <f>60*F2769*'THAM_SO_MOI'!$C$52/(2*PI()*'THAM_SO_MOI'!$C$26)</f>
        <v>1975.1775095183693</v>
      </c>
      <c r="F2769" s="75">
        <f>'HANH_TRINH'!$F$2468+('THAM_SO_MOI'!$F$52-'HANH_TRINH'!$F$2468)*300/'THAM_SO_MOI'!$C$42</f>
        <v>12.555255331465837</v>
      </c>
      <c r="G2769" s="75">
        <f>3.6*F2769</f>
        <v>45.198919193277014</v>
      </c>
      <c r="H2769" s="75">
        <f>'THAM_SO_MOI'!$D$52</f>
        <v>1.1774754878398197</v>
      </c>
      <c r="I2769" s="75">
        <f>IF(F2769&gt;'THAM_SO_MOI'!$C$14,'THAM_SO_MOI'!$C$13*(1+F2769^2/1500),'THAM_SO_MOI'!$C$13)</f>
        <v>0.015</v>
      </c>
      <c r="J2769" s="75">
        <f>'THAM_SO_MOI'!$C$40*('THAM_SO_MOI'!$C$23*(E2769/'THAM_SO_MOI'!$C$22)+'THAM_SO_MOI'!$C$24*(E2769/'THAM_SO_MOI'!$C$22)^2-'THAM_SO_MOI'!$C$25*(E2769/'THAM_SO_MOI'!$C$22)^3)</f>
        <v>88.5834037296086</v>
      </c>
      <c r="K2769" s="75">
        <f>'THAM_SO_MOI'!$C$31*J2769/E2769</f>
        <v>428.3507681982847</v>
      </c>
      <c r="L2769" s="75">
        <f>K2769*'THAM_SO_MOI'!$C$52*'THAM_SO_MOI'!$C$17/'THAM_SO_MOI'!$C$26</f>
        <v>5998.293005106159</v>
      </c>
      <c r="M2769" s="75">
        <f>'THAM_SO_MOI'!$C$15*'THAM_SO_MOI'!$C$16*F2769^2</f>
        <v>461.08072658203145</v>
      </c>
      <c r="N2769" s="75">
        <f>'THAM_SO_MOI'!$C$12*I2769</f>
        <v>1130.112</v>
      </c>
      <c r="O2769" s="75">
        <f>M2769+N2769</f>
        <v>1591.1927265820316</v>
      </c>
      <c r="P2769" s="75">
        <f>(MIN(L2769,'THAM_SO_MOI'!$C$41)-O2769)/('THAM_SO_MOI'!$C$11*H2769)</f>
        <v>0.48734872872152696</v>
      </c>
      <c r="Q2769" s="75">
        <f>IF(P2769&gt;0,1/P2769,NA())</f>
        <v>2.0519187617936807</v>
      </c>
      <c r="R2769" s="75">
        <f>F2769-F2768</f>
        <v>0.007943393307220603</v>
      </c>
      <c r="S2769" s="75">
        <f>0.5*(Q2768+Q2769)*R2769</f>
        <v>0.016298722362981796</v>
      </c>
      <c r="T2769" s="75">
        <f>0.5*(F2768*Q2768+F2769*Q2769)*R2769</f>
        <v>0.20456988915097185</v>
      </c>
      <c r="U2769" s="76">
        <f>U2768+S2769</f>
        <v>18.847986337641522</v>
      </c>
      <c r="V2769" s="76">
        <f>V2768+T2769</f>
        <v>141.38746282924987</v>
      </c>
    </row>
    <row r="2770" spans="1:22" ht="19" customHeight="1">
      <c r="A2770" s="68" t="s">
        <v>376</v>
      </c>
      <c r="B2770" s="74">
        <v>4</v>
      </c>
      <c r="C2770" s="68" t="s">
        <v>363</v>
      </c>
      <c r="D2770" s="68" t="s">
        <v>364</v>
      </c>
      <c r="E2770" s="75">
        <f>60*F2770*'THAM_SO_MOI'!$C$52/(2*PI()*'THAM_SO_MOI'!$C$26)</f>
        <v>1976.4271544993323</v>
      </c>
      <c r="F2770" s="75">
        <f>'HANH_TRINH'!$F$2468+('THAM_SO_MOI'!$F$52-'HANH_TRINH'!$F$2468)*301/'THAM_SO_MOI'!$C$42</f>
        <v>12.563198724773056</v>
      </c>
      <c r="G2770" s="75">
        <f>3.6*F2770</f>
        <v>45.227515409183</v>
      </c>
      <c r="H2770" s="75">
        <f>'THAM_SO_MOI'!$D$52</f>
        <v>1.1774754878398197</v>
      </c>
      <c r="I2770" s="75">
        <f>IF(F2770&gt;'THAM_SO_MOI'!$C$14,'THAM_SO_MOI'!$C$13*(1+F2770^2/1500),'THAM_SO_MOI'!$C$13)</f>
        <v>0.015</v>
      </c>
      <c r="J2770" s="75">
        <f>'THAM_SO_MOI'!$C$40*('THAM_SO_MOI'!$C$23*(E2770/'THAM_SO_MOI'!$C$22)+'THAM_SO_MOI'!$C$24*(E2770/'THAM_SO_MOI'!$C$22)^2-'THAM_SO_MOI'!$C$25*(E2770/'THAM_SO_MOI'!$C$22)^3)</f>
        <v>88.64423647168103</v>
      </c>
      <c r="K2770" s="75">
        <f>'THAM_SO_MOI'!$C$31*J2770/E2770</f>
        <v>428.3739074859431</v>
      </c>
      <c r="L2770" s="75">
        <f>K2770*'THAM_SO_MOI'!$C$52*'THAM_SO_MOI'!$C$17/'THAM_SO_MOI'!$C$26</f>
        <v>5998.617029801827</v>
      </c>
      <c r="M2770" s="75">
        <f>'THAM_SO_MOI'!$C$15*'THAM_SO_MOI'!$C$16*F2770^2</f>
        <v>461.66433942955763</v>
      </c>
      <c r="N2770" s="75">
        <f>'THAM_SO_MOI'!$C$12*I2770</f>
        <v>1130.112</v>
      </c>
      <c r="O2770" s="75">
        <f>M2770+N2770</f>
        <v>1591.7763394295578</v>
      </c>
      <c r="P2770" s="75">
        <f>(MIN(L2770,'THAM_SO_MOI'!$C$41)-O2770)/('THAM_SO_MOI'!$C$11*H2770)</f>
        <v>0.4873200227816108</v>
      </c>
      <c r="Q2770" s="75">
        <f>IF(P2770&gt;0,1/P2770,NA())</f>
        <v>2.0520396315587948</v>
      </c>
      <c r="R2770" s="75">
        <f>F2770-F2769</f>
        <v>0.007943393307218827</v>
      </c>
      <c r="S2770" s="75">
        <f>0.5*(Q2769+Q2770)*R2770</f>
        <v>0.016299677817430292</v>
      </c>
      <c r="T2770" s="75">
        <f>0.5*(F2769*Q2769+F2770*Q2770)*R2770</f>
        <v>0.20471135610095442</v>
      </c>
      <c r="U2770" s="76">
        <f>U2769+S2770</f>
        <v>18.86428601545895</v>
      </c>
      <c r="V2770" s="76">
        <f>V2769+T2770</f>
        <v>141.5921741853508</v>
      </c>
    </row>
    <row r="2771" spans="1:22" ht="19" customHeight="1">
      <c r="A2771" s="68" t="s">
        <v>376</v>
      </c>
      <c r="B2771" s="74">
        <v>4</v>
      </c>
      <c r="C2771" s="68" t="s">
        <v>363</v>
      </c>
      <c r="D2771" s="68" t="s">
        <v>364</v>
      </c>
      <c r="E2771" s="75">
        <f>60*F2771*'THAM_SO_MOI'!$C$52/(2*PI()*'THAM_SO_MOI'!$C$26)</f>
        <v>1977.6767994802956</v>
      </c>
      <c r="F2771" s="75">
        <f>'HANH_TRINH'!$F$2468+('THAM_SO_MOI'!$F$52-'HANH_TRINH'!$F$2468)*302/'THAM_SO_MOI'!$C$42</f>
        <v>12.571142118080274</v>
      </c>
      <c r="G2771" s="75">
        <f>3.6*F2771</f>
        <v>45.25611162508899</v>
      </c>
      <c r="H2771" s="75">
        <f>'THAM_SO_MOI'!$D$52</f>
        <v>1.1774754878398197</v>
      </c>
      <c r="I2771" s="75">
        <f>IF(F2771&gt;'THAM_SO_MOI'!$C$14,'THAM_SO_MOI'!$C$13*(1+F2771^2/1500),'THAM_SO_MOI'!$C$13)</f>
        <v>0.015</v>
      </c>
      <c r="J2771" s="75">
        <f>'THAM_SO_MOI'!$C$40*('THAM_SO_MOI'!$C$23*(E2771/'THAM_SO_MOI'!$C$22)+'THAM_SO_MOI'!$C$24*(E2771/'THAM_SO_MOI'!$C$22)^2-'THAM_SO_MOI'!$C$25*(E2771/'THAM_SO_MOI'!$C$22)^3)</f>
        <v>88.70504389878991</v>
      </c>
      <c r="K2771" s="75">
        <f>'THAM_SO_MOI'!$C$31*J2771/E2771</f>
        <v>428.3968952738739</v>
      </c>
      <c r="L2771" s="75">
        <f>K2771*'THAM_SO_MOI'!$C$52*'THAM_SO_MOI'!$C$17/'THAM_SO_MOI'!$C$26</f>
        <v>5998.938933012432</v>
      </c>
      <c r="M2771" s="75">
        <f>'THAM_SO_MOI'!$C$15*'THAM_SO_MOI'!$C$16*F2771^2</f>
        <v>462.24832139744257</v>
      </c>
      <c r="N2771" s="75">
        <f>'THAM_SO_MOI'!$C$12*I2771</f>
        <v>1130.112</v>
      </c>
      <c r="O2771" s="75">
        <f>M2771+N2771</f>
        <v>1592.3603213974427</v>
      </c>
      <c r="P2771" s="75">
        <f>(MIN(L2771,'THAM_SO_MOI'!$C$41)-O2771)/('THAM_SO_MOI'!$C$11*H2771)</f>
        <v>0.48729104142400304</v>
      </c>
      <c r="Q2771" s="75">
        <f>IF(P2771&gt;0,1/P2771,NA())</f>
        <v>2.0521616754490615</v>
      </c>
      <c r="R2771" s="75">
        <f>F2771-F2770</f>
        <v>0.007943393307218827</v>
      </c>
      <c r="S2771" s="75">
        <f>0.5*(Q2770+Q2771)*R2771</f>
        <v>0.01630064259678248</v>
      </c>
      <c r="T2771" s="75">
        <f>0.5*(F2770*Q2770+F2771*Q2771)*R2771</f>
        <v>0.20485295541769838</v>
      </c>
      <c r="U2771" s="76">
        <f>U2770+S2771</f>
        <v>18.880586658055734</v>
      </c>
      <c r="V2771" s="76">
        <f>V2770+T2771</f>
        <v>141.7970271407685</v>
      </c>
    </row>
    <row r="2772" spans="1:22" ht="19" customHeight="1">
      <c r="A2772" s="68" t="s">
        <v>376</v>
      </c>
      <c r="B2772" s="74">
        <v>4</v>
      </c>
      <c r="C2772" s="68" t="s">
        <v>363</v>
      </c>
      <c r="D2772" s="68" t="s">
        <v>364</v>
      </c>
      <c r="E2772" s="75">
        <f>60*F2772*'THAM_SO_MOI'!$C$52/(2*PI()*'THAM_SO_MOI'!$C$26)</f>
        <v>1978.9264444612588</v>
      </c>
      <c r="F2772" s="75">
        <f>'HANH_TRINH'!$F$2468+('THAM_SO_MOI'!$F$52-'HANH_TRINH'!$F$2468)*303/'THAM_SO_MOI'!$C$42</f>
        <v>12.579085511387493</v>
      </c>
      <c r="G2772" s="75">
        <f>3.6*F2772</f>
        <v>45.284707840994976</v>
      </c>
      <c r="H2772" s="75">
        <f>'THAM_SO_MOI'!$D$52</f>
        <v>1.1774754878398197</v>
      </c>
      <c r="I2772" s="75">
        <f>IF(F2772&gt;'THAM_SO_MOI'!$C$14,'THAM_SO_MOI'!$C$13*(1+F2772^2/1500),'THAM_SO_MOI'!$C$13)</f>
        <v>0.015</v>
      </c>
      <c r="J2772" s="75">
        <f>'THAM_SO_MOI'!$C$40*('THAM_SO_MOI'!$C$23*(E2772/'THAM_SO_MOI'!$C$22)+'THAM_SO_MOI'!$C$24*(E2772/'THAM_SO_MOI'!$C$22)^2-'THAM_SO_MOI'!$C$25*(E2772/'THAM_SO_MOI'!$C$22)^3)</f>
        <v>88.76582595146965</v>
      </c>
      <c r="K2772" s="75">
        <f>'THAM_SO_MOI'!$C$31*J2772/E2772</f>
        <v>428.4197315620774</v>
      </c>
      <c r="L2772" s="75">
        <f>K2772*'THAM_SO_MOI'!$C$52*'THAM_SO_MOI'!$C$17/'THAM_SO_MOI'!$C$26</f>
        <v>5999.258714737979</v>
      </c>
      <c r="M2772" s="75">
        <f>'THAM_SO_MOI'!$C$15*'THAM_SO_MOI'!$C$16*F2772^2</f>
        <v>462.8326724856864</v>
      </c>
      <c r="N2772" s="75">
        <f>'THAM_SO_MOI'!$C$12*I2772</f>
        <v>1130.112</v>
      </c>
      <c r="O2772" s="75">
        <f>M2772+N2772</f>
        <v>1592.9446724856864</v>
      </c>
      <c r="P2772" s="75">
        <f>(MIN(L2772,'THAM_SO_MOI'!$C$41)-O2772)/('THAM_SO_MOI'!$C$11*H2772)</f>
        <v>0.48726178464870407</v>
      </c>
      <c r="Q2772" s="75">
        <f>IF(P2772&gt;0,1/P2772,NA())</f>
        <v>2.0522848938809335</v>
      </c>
      <c r="R2772" s="75">
        <f>F2772-F2771</f>
        <v>0.007943393307218827</v>
      </c>
      <c r="S2772" s="75">
        <f>0.5*(Q2771+Q2772)*R2772</f>
        <v>0.016301616704326578</v>
      </c>
      <c r="T2772" s="75">
        <f>0.5*(F2771*Q2771+F2772*Q2772)*R2772</f>
        <v>0.20499468736476745</v>
      </c>
      <c r="U2772" s="76">
        <f>U2771+S2772</f>
        <v>18.89688827476006</v>
      </c>
      <c r="V2772" s="76">
        <f>V2771+T2772</f>
        <v>142.00202182813328</v>
      </c>
    </row>
    <row r="2773" spans="1:22" ht="19" customHeight="1">
      <c r="A2773" s="68" t="s">
        <v>376</v>
      </c>
      <c r="B2773" s="74">
        <v>4</v>
      </c>
      <c r="C2773" s="68" t="s">
        <v>363</v>
      </c>
      <c r="D2773" s="68" t="s">
        <v>364</v>
      </c>
      <c r="E2773" s="75">
        <f>60*F2773*'THAM_SO_MOI'!$C$52/(2*PI()*'THAM_SO_MOI'!$C$26)</f>
        <v>1980.1760894422223</v>
      </c>
      <c r="F2773" s="75">
        <f>'HANH_TRINH'!$F$2468+('THAM_SO_MOI'!$F$52-'HANH_TRINH'!$F$2468)*304/'THAM_SO_MOI'!$C$42</f>
        <v>12.587028904694714</v>
      </c>
      <c r="G2773" s="75">
        <f>3.6*F2773</f>
        <v>45.31330405690097</v>
      </c>
      <c r="H2773" s="75">
        <f>'THAM_SO_MOI'!$D$52</f>
        <v>1.1774754878398197</v>
      </c>
      <c r="I2773" s="75">
        <f>IF(F2773&gt;'THAM_SO_MOI'!$C$14,'THAM_SO_MOI'!$C$13*(1+F2773^2/1500),'THAM_SO_MOI'!$C$13)</f>
        <v>0.015</v>
      </c>
      <c r="J2773" s="75">
        <f>'THAM_SO_MOI'!$C$40*('THAM_SO_MOI'!$C$23*(E2773/'THAM_SO_MOI'!$C$22)+'THAM_SO_MOI'!$C$24*(E2773/'THAM_SO_MOI'!$C$22)^2-'THAM_SO_MOI'!$C$25*(E2773/'THAM_SO_MOI'!$C$22)^3)</f>
        <v>88.8265825702545</v>
      </c>
      <c r="K2773" s="75">
        <f>'THAM_SO_MOI'!$C$31*J2773/E2773</f>
        <v>428.4424163505533</v>
      </c>
      <c r="L2773" s="75">
        <f>K2773*'THAM_SO_MOI'!$C$52*'THAM_SO_MOI'!$C$17/'THAM_SO_MOI'!$C$26</f>
        <v>5999.576374978463</v>
      </c>
      <c r="M2773" s="75">
        <f>'THAM_SO_MOI'!$C$15*'THAM_SO_MOI'!$C$16*F2773^2</f>
        <v>463.4173926942892</v>
      </c>
      <c r="N2773" s="75">
        <f>'THAM_SO_MOI'!$C$12*I2773</f>
        <v>1130.112</v>
      </c>
      <c r="O2773" s="75">
        <f>M2773+N2773</f>
        <v>1593.5293926942893</v>
      </c>
      <c r="P2773" s="75">
        <f>(MIN(L2773,'THAM_SO_MOI'!$C$41)-O2773)/('THAM_SO_MOI'!$C$11*H2773)</f>
        <v>0.4872322524557132</v>
      </c>
      <c r="Q2773" s="75">
        <f>IF(P2773&gt;0,1/P2773,NA())</f>
        <v>2.052409287274952</v>
      </c>
      <c r="R2773" s="75">
        <f>F2773-F2772</f>
        <v>0.007943393307220603</v>
      </c>
      <c r="S2773" s="75">
        <f>0.5*(Q2772+Q2773)*R2773</f>
        <v>0.016302600143390505</v>
      </c>
      <c r="T2773" s="75">
        <f>0.5*(F2772*Q2772+F2773*Q2773)*R2773</f>
        <v>0.20513655220632981</v>
      </c>
      <c r="U2773" s="76">
        <f>U2772+S2773</f>
        <v>18.91319087490345</v>
      </c>
      <c r="V2773" s="76">
        <f>V2772+T2773</f>
        <v>142.20715838033962</v>
      </c>
    </row>
    <row r="2774" spans="1:22" ht="19" customHeight="1">
      <c r="A2774" s="68" t="s">
        <v>376</v>
      </c>
      <c r="B2774" s="74">
        <v>4</v>
      </c>
      <c r="C2774" s="68" t="s">
        <v>363</v>
      </c>
      <c r="D2774" s="68" t="s">
        <v>364</v>
      </c>
      <c r="E2774" s="75">
        <f>60*F2774*'THAM_SO_MOI'!$C$52/(2*PI()*'THAM_SO_MOI'!$C$26)</f>
        <v>1981.4257344231855</v>
      </c>
      <c r="F2774" s="75">
        <f>'HANH_TRINH'!$F$2468+('THAM_SO_MOI'!$F$52-'HANH_TRINH'!$F$2468)*305/'THAM_SO_MOI'!$C$42</f>
        <v>12.594972298001933</v>
      </c>
      <c r="G2774" s="75">
        <f>3.6*F2774</f>
        <v>45.34190027280696</v>
      </c>
      <c r="H2774" s="75">
        <f>'THAM_SO_MOI'!$D$52</f>
        <v>1.1774754878398197</v>
      </c>
      <c r="I2774" s="75">
        <f>IF(F2774&gt;'THAM_SO_MOI'!$C$14,'THAM_SO_MOI'!$C$13*(1+F2774^2/1500),'THAM_SO_MOI'!$C$13)</f>
        <v>0.015</v>
      </c>
      <c r="J2774" s="75">
        <f>'THAM_SO_MOI'!$C$40*('THAM_SO_MOI'!$C$23*(E2774/'THAM_SO_MOI'!$C$22)+'THAM_SO_MOI'!$C$24*(E2774/'THAM_SO_MOI'!$C$22)^2-'THAM_SO_MOI'!$C$25*(E2774/'THAM_SO_MOI'!$C$22)^3)</f>
        <v>88.8873136956788</v>
      </c>
      <c r="K2774" s="75">
        <f>'THAM_SO_MOI'!$C$31*J2774/E2774</f>
        <v>428.4649496393018</v>
      </c>
      <c r="L2774" s="75">
        <f>K2774*'THAM_SO_MOI'!$C$52*'THAM_SO_MOI'!$C$17/'THAM_SO_MOI'!$C$26</f>
        <v>5999.891913733886</v>
      </c>
      <c r="M2774" s="75">
        <f>'THAM_SO_MOI'!$C$15*'THAM_SO_MOI'!$C$16*F2774^2</f>
        <v>464.0024820232506</v>
      </c>
      <c r="N2774" s="75">
        <f>'THAM_SO_MOI'!$C$12*I2774</f>
        <v>1130.112</v>
      </c>
      <c r="O2774" s="75">
        <f>M2774+N2774</f>
        <v>1594.1144820232507</v>
      </c>
      <c r="P2774" s="75">
        <f>(MIN(L2774,'THAM_SO_MOI'!$C$41)-O2774)/('THAM_SO_MOI'!$C$11*H2774)</f>
        <v>0.48720244484503106</v>
      </c>
      <c r="Q2774" s="75">
        <f>IF(P2774&gt;0,1/P2774,NA())</f>
        <v>2.0525348560557393</v>
      </c>
      <c r="R2774" s="75">
        <f>F2774-F2773</f>
        <v>0.007943393307218827</v>
      </c>
      <c r="S2774" s="75">
        <f>0.5*(Q2773+Q2774)*R2774</f>
        <v>0.016303592917320066</v>
      </c>
      <c r="T2774" s="75">
        <f>0.5*(F2773*Q2773+F2774*Q2774)*R2774</f>
        <v>0.20527855020688418</v>
      </c>
      <c r="U2774" s="76">
        <f>U2773+S2774</f>
        <v>18.92949446782077</v>
      </c>
      <c r="V2774" s="76">
        <f>V2773+T2774</f>
        <v>142.4124369305465</v>
      </c>
    </row>
    <row r="2775" spans="1:22" ht="19" customHeight="1">
      <c r="A2775" s="68" t="s">
        <v>376</v>
      </c>
      <c r="B2775" s="74">
        <v>4</v>
      </c>
      <c r="C2775" s="68" t="s">
        <v>363</v>
      </c>
      <c r="D2775" s="68" t="s">
        <v>364</v>
      </c>
      <c r="E2775" s="75">
        <f>60*F2775*'THAM_SO_MOI'!$C$52/(2*PI()*'THAM_SO_MOI'!$C$26)</f>
        <v>1982.6753794041485</v>
      </c>
      <c r="F2775" s="75">
        <f>'HANH_TRINH'!$F$2468+('THAM_SO_MOI'!$F$52-'HANH_TRINH'!$F$2468)*306/'THAM_SO_MOI'!$C$42</f>
        <v>12.602915691309153</v>
      </c>
      <c r="G2775" s="75">
        <f>3.6*F2775</f>
        <v>45.37049648871295</v>
      </c>
      <c r="H2775" s="75">
        <f>'THAM_SO_MOI'!$D$52</f>
        <v>1.1774754878398197</v>
      </c>
      <c r="I2775" s="75">
        <f>IF(F2775&gt;'THAM_SO_MOI'!$C$14,'THAM_SO_MOI'!$C$13*(1+F2775^2/1500),'THAM_SO_MOI'!$C$13)</f>
        <v>0.015</v>
      </c>
      <c r="J2775" s="75">
        <f>'THAM_SO_MOI'!$C$40*('THAM_SO_MOI'!$C$23*(E2775/'THAM_SO_MOI'!$C$22)+'THAM_SO_MOI'!$C$24*(E2775/'THAM_SO_MOI'!$C$22)^2-'THAM_SO_MOI'!$C$25*(E2775/'THAM_SO_MOI'!$C$22)^3)</f>
        <v>88.94801926827682</v>
      </c>
      <c r="K2775" s="75">
        <f>'THAM_SO_MOI'!$C$31*J2775/E2775</f>
        <v>428.4873314283227</v>
      </c>
      <c r="L2775" s="75">
        <f>K2775*'THAM_SO_MOI'!$C$52*'THAM_SO_MOI'!$C$17/'THAM_SO_MOI'!$C$26</f>
        <v>6000.2053310042475</v>
      </c>
      <c r="M2775" s="75">
        <f>'THAM_SO_MOI'!$C$15*'THAM_SO_MOI'!$C$16*F2775^2</f>
        <v>464.587940472571</v>
      </c>
      <c r="N2775" s="75">
        <f>'THAM_SO_MOI'!$C$12*I2775</f>
        <v>1130.112</v>
      </c>
      <c r="O2775" s="75">
        <f>M2775+N2775</f>
        <v>1594.6999404725711</v>
      </c>
      <c r="P2775" s="75">
        <f>(MIN(L2775,'THAM_SO_MOI'!$C$41)-O2775)/('THAM_SO_MOI'!$C$11*H2775)</f>
        <v>0.487172361816657</v>
      </c>
      <c r="Q2775" s="75">
        <f>IF(P2775&gt;0,1/P2775,NA())</f>
        <v>2.0526616006520113</v>
      </c>
      <c r="R2775" s="75">
        <f>F2775-F2774</f>
        <v>0.007943393307220603</v>
      </c>
      <c r="S2775" s="75">
        <f>0.5*(Q2774+Q2775)*R2775</f>
        <v>0.016304595029519038</v>
      </c>
      <c r="T2775" s="75">
        <f>0.5*(F2774*Q2774+F2775*Q2775)*R2775</f>
        <v>0.20542068163176622</v>
      </c>
      <c r="U2775" s="76">
        <f>U2774+S2775</f>
        <v>18.94579906285029</v>
      </c>
      <c r="V2775" s="76">
        <f>V2774+T2775</f>
        <v>142.61785761217828</v>
      </c>
    </row>
    <row r="2776" spans="1:22" ht="19" customHeight="1">
      <c r="A2776" s="68" t="s">
        <v>376</v>
      </c>
      <c r="B2776" s="74">
        <v>4</v>
      </c>
      <c r="C2776" s="68" t="s">
        <v>363</v>
      </c>
      <c r="D2776" s="68" t="s">
        <v>364</v>
      </c>
      <c r="E2776" s="75">
        <f>60*F2776*'THAM_SO_MOI'!$C$52/(2*PI()*'THAM_SO_MOI'!$C$26)</f>
        <v>1983.9250243851118</v>
      </c>
      <c r="F2776" s="75">
        <f>'HANH_TRINH'!$F$2468+('THAM_SO_MOI'!$F$52-'HANH_TRINH'!$F$2468)*307/'THAM_SO_MOI'!$C$42</f>
        <v>12.610859084616372</v>
      </c>
      <c r="G2776" s="75">
        <f>3.6*F2776</f>
        <v>45.399092704618944</v>
      </c>
      <c r="H2776" s="75">
        <f>'THAM_SO_MOI'!$D$52</f>
        <v>1.1774754878398197</v>
      </c>
      <c r="I2776" s="75">
        <f>IF(F2776&gt;'THAM_SO_MOI'!$C$14,'THAM_SO_MOI'!$C$13*(1+F2776^2/1500),'THAM_SO_MOI'!$C$13)</f>
        <v>0.015</v>
      </c>
      <c r="J2776" s="75">
        <f>'THAM_SO_MOI'!$C$40*('THAM_SO_MOI'!$C$23*(E2776/'THAM_SO_MOI'!$C$22)+'THAM_SO_MOI'!$C$24*(E2776/'THAM_SO_MOI'!$C$22)^2-'THAM_SO_MOI'!$C$25*(E2776/'THAM_SO_MOI'!$C$22)^3)</f>
        <v>89.00869922858291</v>
      </c>
      <c r="K2776" s="75">
        <f>'THAM_SO_MOI'!$C$31*J2776/E2776</f>
        <v>428.5095617176161</v>
      </c>
      <c r="L2776" s="75">
        <f>K2776*'THAM_SO_MOI'!$C$52*'THAM_SO_MOI'!$C$17/'THAM_SO_MOI'!$C$26</f>
        <v>6000.516626789547</v>
      </c>
      <c r="M2776" s="75">
        <f>'THAM_SO_MOI'!$C$15*'THAM_SO_MOI'!$C$16*F2776^2</f>
        <v>465.1737680422501</v>
      </c>
      <c r="N2776" s="75">
        <f>'THAM_SO_MOI'!$C$12*I2776</f>
        <v>1130.112</v>
      </c>
      <c r="O2776" s="75">
        <f>M2776+N2776</f>
        <v>1595.2857680422503</v>
      </c>
      <c r="P2776" s="75">
        <f>(MIN(L2776,'THAM_SO_MOI'!$C$41)-O2776)/('THAM_SO_MOI'!$C$11*H2776)</f>
        <v>0.48714200337059155</v>
      </c>
      <c r="Q2776" s="75">
        <f>IF(P2776&gt;0,1/P2776,NA())</f>
        <v>2.052789521496576</v>
      </c>
      <c r="R2776" s="75">
        <f>F2776-F2775</f>
        <v>0.007943393307218827</v>
      </c>
      <c r="S2776" s="75">
        <f>0.5*(Q2775+Q2776)*R2776</f>
        <v>0.016305606483394554</v>
      </c>
      <c r="T2776" s="75">
        <f>0.5*(F2775*Q2775+F2776*Q2776)*R2776</f>
        <v>0.20556294674646192</v>
      </c>
      <c r="U2776" s="76">
        <f>U2775+S2776</f>
        <v>18.962104669333687</v>
      </c>
      <c r="V2776" s="76">
        <f>V2775+T2776</f>
        <v>142.82342055892474</v>
      </c>
    </row>
    <row r="2777" spans="1:22" ht="19" customHeight="1">
      <c r="A2777" s="68" t="s">
        <v>376</v>
      </c>
      <c r="B2777" s="74">
        <v>4</v>
      </c>
      <c r="C2777" s="68" t="s">
        <v>363</v>
      </c>
      <c r="D2777" s="68" t="s">
        <v>364</v>
      </c>
      <c r="E2777" s="75">
        <f>60*F2777*'THAM_SO_MOI'!$C$52/(2*PI()*'THAM_SO_MOI'!$C$26)</f>
        <v>1985.174669366075</v>
      </c>
      <c r="F2777" s="75">
        <f>'HANH_TRINH'!$F$2468+('THAM_SO_MOI'!$F$52-'HANH_TRINH'!$F$2468)*308/'THAM_SO_MOI'!$C$42</f>
        <v>12.618802477923591</v>
      </c>
      <c r="G2777" s="75">
        <f>3.6*F2777</f>
        <v>45.42768892052493</v>
      </c>
      <c r="H2777" s="75">
        <f>'THAM_SO_MOI'!$D$52</f>
        <v>1.1774754878398197</v>
      </c>
      <c r="I2777" s="75">
        <f>IF(F2777&gt;'THAM_SO_MOI'!$C$14,'THAM_SO_MOI'!$C$13*(1+F2777^2/1500),'THAM_SO_MOI'!$C$13)</f>
        <v>0.015</v>
      </c>
      <c r="J2777" s="75">
        <f>'THAM_SO_MOI'!$C$40*('THAM_SO_MOI'!$C$23*(E2777/'THAM_SO_MOI'!$C$22)+'THAM_SO_MOI'!$C$24*(E2777/'THAM_SO_MOI'!$C$22)^2-'THAM_SO_MOI'!$C$25*(E2777/'THAM_SO_MOI'!$C$22)^3)</f>
        <v>89.0693535171314</v>
      </c>
      <c r="K2777" s="75">
        <f>'THAM_SO_MOI'!$C$31*J2777/E2777</f>
        <v>428.5316405071821</v>
      </c>
      <c r="L2777" s="75">
        <f>K2777*'THAM_SO_MOI'!$C$52*'THAM_SO_MOI'!$C$17/'THAM_SO_MOI'!$C$26</f>
        <v>6000.825801089786</v>
      </c>
      <c r="M2777" s="75">
        <f>'THAM_SO_MOI'!$C$15*'THAM_SO_MOI'!$C$16*F2777^2</f>
        <v>465.7599647322879</v>
      </c>
      <c r="N2777" s="75">
        <f>'THAM_SO_MOI'!$C$12*I2777</f>
        <v>1130.112</v>
      </c>
      <c r="O2777" s="75">
        <f>M2777+N2777</f>
        <v>1595.871964732288</v>
      </c>
      <c r="P2777" s="75">
        <f>(MIN(L2777,'THAM_SO_MOI'!$C$41)-O2777)/('THAM_SO_MOI'!$C$11*H2777)</f>
        <v>0.48711136950683454</v>
      </c>
      <c r="Q2777" s="75">
        <f>IF(P2777&gt;0,1/P2777,NA())</f>
        <v>2.05291861902634</v>
      </c>
      <c r="R2777" s="75">
        <f>F2777-F2776</f>
        <v>0.007943393307218827</v>
      </c>
      <c r="S2777" s="75">
        <f>0.5*(Q2776+Q2777)*R2777</f>
        <v>0.016306627282411792</v>
      </c>
      <c r="T2777" s="75">
        <f>0.5*(F2776*Q2776+F2777*Q2777)*R2777</f>
        <v>0.20570534581729788</v>
      </c>
      <c r="U2777" s="76">
        <f>U2776+S2777</f>
        <v>18.9784112966161</v>
      </c>
      <c r="V2777" s="76">
        <f>V2776+T2777</f>
        <v>143.02912590474205</v>
      </c>
    </row>
    <row r="2778" spans="1:22" ht="19" customHeight="1">
      <c r="A2778" s="68" t="s">
        <v>376</v>
      </c>
      <c r="B2778" s="74">
        <v>4</v>
      </c>
      <c r="C2778" s="68" t="s">
        <v>363</v>
      </c>
      <c r="D2778" s="68" t="s">
        <v>364</v>
      </c>
      <c r="E2778" s="75">
        <f>60*F2778*'THAM_SO_MOI'!$C$52/(2*PI()*'THAM_SO_MOI'!$C$26)</f>
        <v>1986.4243143470385</v>
      </c>
      <c r="F2778" s="75">
        <f>'HANH_TRINH'!$F$2468+('THAM_SO_MOI'!$F$52-'HANH_TRINH'!$F$2468)*309/'THAM_SO_MOI'!$C$42</f>
        <v>12.62674587123081</v>
      </c>
      <c r="G2778" s="75">
        <f>3.6*F2778</f>
        <v>45.456285136430914</v>
      </c>
      <c r="H2778" s="75">
        <f>'THAM_SO_MOI'!$D$52</f>
        <v>1.1774754878398197</v>
      </c>
      <c r="I2778" s="75">
        <f>IF(F2778&gt;'THAM_SO_MOI'!$C$14,'THAM_SO_MOI'!$C$13*(1+F2778^2/1500),'THAM_SO_MOI'!$C$13)</f>
        <v>0.015</v>
      </c>
      <c r="J2778" s="75">
        <f>'THAM_SO_MOI'!$C$40*('THAM_SO_MOI'!$C$23*(E2778/'THAM_SO_MOI'!$C$22)+'THAM_SO_MOI'!$C$24*(E2778/'THAM_SO_MOI'!$C$22)^2-'THAM_SO_MOI'!$C$25*(E2778/'THAM_SO_MOI'!$C$22)^3)</f>
        <v>89.1299820744566</v>
      </c>
      <c r="K2778" s="75">
        <f>'THAM_SO_MOI'!$C$31*J2778/E2778</f>
        <v>428.5535677970207</v>
      </c>
      <c r="L2778" s="75">
        <f>K2778*'THAM_SO_MOI'!$C$52*'THAM_SO_MOI'!$C$17/'THAM_SO_MOI'!$C$26</f>
        <v>6001.132853904968</v>
      </c>
      <c r="M2778" s="75">
        <f>'THAM_SO_MOI'!$C$15*'THAM_SO_MOI'!$C$16*F2778^2</f>
        <v>466.3465305426846</v>
      </c>
      <c r="N2778" s="75">
        <f>'THAM_SO_MOI'!$C$12*I2778</f>
        <v>1130.112</v>
      </c>
      <c r="O2778" s="75">
        <f>M2778+N2778</f>
        <v>1596.4585305426847</v>
      </c>
      <c r="P2778" s="75">
        <f>(MIN(L2778,'THAM_SO_MOI'!$C$41)-O2778)/('THAM_SO_MOI'!$C$11*H2778)</f>
        <v>0.4870804602253864</v>
      </c>
      <c r="Q2778" s="75">
        <f>IF(P2778&gt;0,1/P2778,NA())</f>
        <v>2.05304889368231</v>
      </c>
      <c r="R2778" s="75">
        <f>F2778-F2777</f>
        <v>0.007943393307218827</v>
      </c>
      <c r="S2778" s="75">
        <f>0.5*(Q2777+Q2778)*R2778</f>
        <v>0.016307657430053912</v>
      </c>
      <c r="T2778" s="75">
        <f>0.5*(F2777*Q2777+F2778*Q2778)*R2778</f>
        <v>0.2058478791109377</v>
      </c>
      <c r="U2778" s="76">
        <f>U2777+S2778</f>
        <v>18.994718954046153</v>
      </c>
      <c r="V2778" s="76">
        <f>V2777+T2778</f>
        <v>143.23497378385298</v>
      </c>
    </row>
    <row r="2779" spans="1:22" ht="19" customHeight="1">
      <c r="A2779" s="68" t="s">
        <v>376</v>
      </c>
      <c r="B2779" s="74">
        <v>4</v>
      </c>
      <c r="C2779" s="68" t="s">
        <v>363</v>
      </c>
      <c r="D2779" s="68" t="s">
        <v>364</v>
      </c>
      <c r="E2779" s="75">
        <f>60*F2779*'THAM_SO_MOI'!$C$52/(2*PI()*'THAM_SO_MOI'!$C$26)</f>
        <v>1987.673959328002</v>
      </c>
      <c r="F2779" s="75">
        <f>'HANH_TRINH'!$F$2468+('THAM_SO_MOI'!$F$52-'HANH_TRINH'!$F$2468)*310/'THAM_SO_MOI'!$C$42</f>
        <v>12.63468926453803</v>
      </c>
      <c r="G2779" s="75">
        <f>3.6*F2779</f>
        <v>45.48488135233691</v>
      </c>
      <c r="H2779" s="75">
        <f>'THAM_SO_MOI'!$D$52</f>
        <v>1.1774754878398197</v>
      </c>
      <c r="I2779" s="75">
        <f>IF(F2779&gt;'THAM_SO_MOI'!$C$14,'THAM_SO_MOI'!$C$13*(1+F2779^2/1500),'THAM_SO_MOI'!$C$13)</f>
        <v>0.015</v>
      </c>
      <c r="J2779" s="75">
        <f>'THAM_SO_MOI'!$C$40*('THAM_SO_MOI'!$C$23*(E2779/'THAM_SO_MOI'!$C$22)+'THAM_SO_MOI'!$C$24*(E2779/'THAM_SO_MOI'!$C$22)^2-'THAM_SO_MOI'!$C$25*(E2779/'THAM_SO_MOI'!$C$22)^3)</f>
        <v>89.1905848410928</v>
      </c>
      <c r="K2779" s="75">
        <f>'THAM_SO_MOI'!$C$31*J2779/E2779</f>
        <v>428.5753435871318</v>
      </c>
      <c r="L2779" s="75">
        <f>K2779*'THAM_SO_MOI'!$C$52*'THAM_SO_MOI'!$C$17/'THAM_SO_MOI'!$C$26</f>
        <v>6001.437785235086</v>
      </c>
      <c r="M2779" s="75">
        <f>'THAM_SO_MOI'!$C$15*'THAM_SO_MOI'!$C$16*F2779^2</f>
        <v>466.9334654734403</v>
      </c>
      <c r="N2779" s="75">
        <f>'THAM_SO_MOI'!$C$12*I2779</f>
        <v>1130.112</v>
      </c>
      <c r="O2779" s="75">
        <f>M2779+N2779</f>
        <v>1597.0454654734403</v>
      </c>
      <c r="P2779" s="75">
        <f>(MIN(L2779,'THAM_SO_MOI'!$C$41)-O2779)/('THAM_SO_MOI'!$C$11*H2779)</f>
        <v>0.4870492755262464</v>
      </c>
      <c r="Q2779" s="75">
        <f>IF(P2779&gt;0,1/P2779,NA())</f>
        <v>2.053180345909603</v>
      </c>
      <c r="R2779" s="75">
        <f>F2779-F2778</f>
        <v>0.007943393307220603</v>
      </c>
      <c r="S2779" s="75">
        <f>0.5*(Q2778+Q2779)*R2779</f>
        <v>0.016308696929843974</v>
      </c>
      <c r="T2779" s="75">
        <f>0.5*(F2778*Q2778+F2779*Q2779)*R2779</f>
        <v>0.20599054689465962</v>
      </c>
      <c r="U2779" s="76">
        <f>U2778+S2779</f>
        <v>19.011027650975997</v>
      </c>
      <c r="V2779" s="76">
        <f>V2778+T2779</f>
        <v>143.44096433074765</v>
      </c>
    </row>
    <row r="2780" spans="1:22" ht="19" customHeight="1">
      <c r="A2780" s="68" t="s">
        <v>376</v>
      </c>
      <c r="B2780" s="74">
        <v>4</v>
      </c>
      <c r="C2780" s="68" t="s">
        <v>363</v>
      </c>
      <c r="D2780" s="68" t="s">
        <v>364</v>
      </c>
      <c r="E2780" s="75">
        <f>60*F2780*'THAM_SO_MOI'!$C$52/(2*PI()*'THAM_SO_MOI'!$C$26)</f>
        <v>1988.9236043089652</v>
      </c>
      <c r="F2780" s="75">
        <f>'HANH_TRINH'!$F$2468+('THAM_SO_MOI'!$F$52-'HANH_TRINH'!$F$2468)*311/'THAM_SO_MOI'!$C$42</f>
        <v>12.64263265784525</v>
      </c>
      <c r="G2780" s="75">
        <f>3.6*F2780</f>
        <v>45.5134775682429</v>
      </c>
      <c r="H2780" s="75">
        <f>'THAM_SO_MOI'!$D$52</f>
        <v>1.1774754878398197</v>
      </c>
      <c r="I2780" s="75">
        <f>IF(F2780&gt;'THAM_SO_MOI'!$C$14,'THAM_SO_MOI'!$C$13*(1+F2780^2/1500),'THAM_SO_MOI'!$C$13)</f>
        <v>0.015</v>
      </c>
      <c r="J2780" s="75">
        <f>'THAM_SO_MOI'!$C$40*('THAM_SO_MOI'!$C$23*(E2780/'THAM_SO_MOI'!$C$22)+'THAM_SO_MOI'!$C$24*(E2780/'THAM_SO_MOI'!$C$22)^2-'THAM_SO_MOI'!$C$25*(E2780/'THAM_SO_MOI'!$C$22)^3)</f>
        <v>89.2511617575743</v>
      </c>
      <c r="K2780" s="75">
        <f>'THAM_SO_MOI'!$C$31*J2780/E2780</f>
        <v>428.59696787751534</v>
      </c>
      <c r="L2780" s="75">
        <f>K2780*'THAM_SO_MOI'!$C$52*'THAM_SO_MOI'!$C$17/'THAM_SO_MOI'!$C$26</f>
        <v>6001.740595080141</v>
      </c>
      <c r="M2780" s="75">
        <f>'THAM_SO_MOI'!$C$15*'THAM_SO_MOI'!$C$16*F2780^2</f>
        <v>467.52076952455457</v>
      </c>
      <c r="N2780" s="75">
        <f>'THAM_SO_MOI'!$C$12*I2780</f>
        <v>1130.112</v>
      </c>
      <c r="O2780" s="75">
        <f>M2780+N2780</f>
        <v>1597.6327695245545</v>
      </c>
      <c r="P2780" s="75">
        <f>(MIN(L2780,'THAM_SO_MOI'!$C$41)-O2780)/('THAM_SO_MOI'!$C$11*H2780)</f>
        <v>0.48701781540941463</v>
      </c>
      <c r="Q2780" s="75">
        <f>IF(P2780&gt;0,1/P2780,NA())</f>
        <v>2.0533129761574402</v>
      </c>
      <c r="R2780" s="75">
        <f>F2780-F2779</f>
        <v>0.007943393307218827</v>
      </c>
      <c r="S2780" s="75">
        <f>0.5*(Q2779+Q2780)*R2780</f>
        <v>0.01630974578532308</v>
      </c>
      <c r="T2780" s="75">
        <f>0.5*(F2779*Q2779+F2780*Q2780)*R2780</f>
        <v>0.20613334943608186</v>
      </c>
      <c r="U2780" s="76">
        <f>U2779+S2780</f>
        <v>19.02733739676132</v>
      </c>
      <c r="V2780" s="76">
        <f>V2779+T2780</f>
        <v>143.64709768018372</v>
      </c>
    </row>
    <row r="2781" spans="1:22" ht="19" customHeight="1">
      <c r="A2781" s="68" t="s">
        <v>376</v>
      </c>
      <c r="B2781" s="74">
        <v>4</v>
      </c>
      <c r="C2781" s="68" t="s">
        <v>363</v>
      </c>
      <c r="D2781" s="68" t="s">
        <v>364</v>
      </c>
      <c r="E2781" s="75">
        <f>60*F2781*'THAM_SO_MOI'!$C$52/(2*PI()*'THAM_SO_MOI'!$C$26)</f>
        <v>1990.1732492899284</v>
      </c>
      <c r="F2781" s="75">
        <f>'HANH_TRINH'!$F$2468+('THAM_SO_MOI'!$F$52-'HANH_TRINH'!$F$2468)*312/'THAM_SO_MOI'!$C$42</f>
        <v>12.65057605115247</v>
      </c>
      <c r="G2781" s="75">
        <f>3.6*F2781</f>
        <v>45.54207378414889</v>
      </c>
      <c r="H2781" s="75">
        <f>'THAM_SO_MOI'!$D$52</f>
        <v>1.1774754878398197</v>
      </c>
      <c r="I2781" s="75">
        <f>IF(F2781&gt;'THAM_SO_MOI'!$C$14,'THAM_SO_MOI'!$C$13*(1+F2781^2/1500),'THAM_SO_MOI'!$C$13)</f>
        <v>0.015</v>
      </c>
      <c r="J2781" s="75">
        <f>'THAM_SO_MOI'!$C$40*('THAM_SO_MOI'!$C$23*(E2781/'THAM_SO_MOI'!$C$22)+'THAM_SO_MOI'!$C$24*(E2781/'THAM_SO_MOI'!$C$22)^2-'THAM_SO_MOI'!$C$25*(E2781/'THAM_SO_MOI'!$C$22)^3)</f>
        <v>89.31171276443547</v>
      </c>
      <c r="K2781" s="75">
        <f>'THAM_SO_MOI'!$C$31*J2781/E2781</f>
        <v>428.6184406681716</v>
      </c>
      <c r="L2781" s="75">
        <f>K2781*'THAM_SO_MOI'!$C$52*'THAM_SO_MOI'!$C$17/'THAM_SO_MOI'!$C$26</f>
        <v>6002.041283440141</v>
      </c>
      <c r="M2781" s="75">
        <f>'THAM_SO_MOI'!$C$15*'THAM_SO_MOI'!$C$16*F2781^2</f>
        <v>468.1084426960279</v>
      </c>
      <c r="N2781" s="75">
        <f>'THAM_SO_MOI'!$C$12*I2781</f>
        <v>1130.112</v>
      </c>
      <c r="O2781" s="75">
        <f>M2781+N2781</f>
        <v>1598.220442696028</v>
      </c>
      <c r="P2781" s="75">
        <f>(MIN(L2781,'THAM_SO_MOI'!$C$41)-O2781)/('THAM_SO_MOI'!$C$11*H2781)</f>
        <v>0.48698607987489195</v>
      </c>
      <c r="Q2781" s="75">
        <f>IF(P2781&gt;0,1/P2781,NA())</f>
        <v>2.0534467848791547</v>
      </c>
      <c r="R2781" s="75">
        <f>F2781-F2780</f>
        <v>0.007943393307220603</v>
      </c>
      <c r="S2781" s="75">
        <f>0.5*(Q2780+Q2781)*R2781</f>
        <v>0.016310804000090485</v>
      </c>
      <c r="T2781" s="75">
        <f>0.5*(F2780*Q2780+F2781*Q2781)*R2781</f>
        <v>0.20627628700367062</v>
      </c>
      <c r="U2781" s="76">
        <f>U2780+S2781</f>
        <v>19.043648200761414</v>
      </c>
      <c r="V2781" s="76">
        <f>V2780+T2781</f>
        <v>143.8533739671874</v>
      </c>
    </row>
    <row r="2782" spans="1:22" ht="19" customHeight="1">
      <c r="A2782" s="68" t="s">
        <v>376</v>
      </c>
      <c r="B2782" s="74">
        <v>4</v>
      </c>
      <c r="C2782" s="68" t="s">
        <v>363</v>
      </c>
      <c r="D2782" s="68" t="s">
        <v>364</v>
      </c>
      <c r="E2782" s="75">
        <f>60*F2782*'THAM_SO_MOI'!$C$52/(2*PI()*'THAM_SO_MOI'!$C$26)</f>
        <v>1991.4228942708914</v>
      </c>
      <c r="F2782" s="75">
        <f>'HANH_TRINH'!$F$2468+('THAM_SO_MOI'!$F$52-'HANH_TRINH'!$F$2468)*313/'THAM_SO_MOI'!$C$42</f>
        <v>12.658519444459689</v>
      </c>
      <c r="G2782" s="75">
        <f>3.6*F2782</f>
        <v>45.57067000005488</v>
      </c>
      <c r="H2782" s="75">
        <f>'THAM_SO_MOI'!$D$52</f>
        <v>1.1774754878398197</v>
      </c>
      <c r="I2782" s="75">
        <f>IF(F2782&gt;'THAM_SO_MOI'!$C$14,'THAM_SO_MOI'!$C$13*(1+F2782^2/1500),'THAM_SO_MOI'!$C$13)</f>
        <v>0.015</v>
      </c>
      <c r="J2782" s="75">
        <f>'THAM_SO_MOI'!$C$40*('THAM_SO_MOI'!$C$23*(E2782/'THAM_SO_MOI'!$C$22)+'THAM_SO_MOI'!$C$24*(E2782/'THAM_SO_MOI'!$C$22)^2-'THAM_SO_MOI'!$C$25*(E2782/'THAM_SO_MOI'!$C$22)^3)</f>
        <v>89.37223780221053</v>
      </c>
      <c r="K2782" s="75">
        <f>'THAM_SO_MOI'!$C$31*J2782/E2782</f>
        <v>428.63976195910016</v>
      </c>
      <c r="L2782" s="75">
        <f>K2782*'THAM_SO_MOI'!$C$52*'THAM_SO_MOI'!$C$17/'THAM_SO_MOI'!$C$26</f>
        <v>6002.339850315075</v>
      </c>
      <c r="M2782" s="75">
        <f>'THAM_SO_MOI'!$C$15*'THAM_SO_MOI'!$C$16*F2782^2</f>
        <v>468.69648498785983</v>
      </c>
      <c r="N2782" s="75">
        <f>'THAM_SO_MOI'!$C$12*I2782</f>
        <v>1130.112</v>
      </c>
      <c r="O2782" s="75">
        <f>M2782+N2782</f>
        <v>1598.8084849878599</v>
      </c>
      <c r="P2782" s="75">
        <f>(MIN(L2782,'THAM_SO_MOI'!$C$41)-O2782)/('THAM_SO_MOI'!$C$11*H2782)</f>
        <v>0.4869540689226772</v>
      </c>
      <c r="Q2782" s="75">
        <f>IF(P2782&gt;0,1/P2782,NA())</f>
        <v>2.053581772532203</v>
      </c>
      <c r="R2782" s="75">
        <f>F2782-F2781</f>
        <v>0.007943393307218827</v>
      </c>
      <c r="S2782" s="75">
        <f>0.5*(Q2781+Q2782)*R2782</f>
        <v>0.016311871577748986</v>
      </c>
      <c r="T2782" s="75">
        <f>0.5*(F2781*Q2781+F2782*Q2782)*R2782</f>
        <v>0.2064193598660512</v>
      </c>
      <c r="U2782" s="76">
        <f>U2781+S2782</f>
        <v>19.059960072339162</v>
      </c>
      <c r="V2782" s="76">
        <f>V2781+T2782</f>
        <v>144.05979332705346</v>
      </c>
    </row>
    <row r="2783" spans="1:22" ht="19" customHeight="1">
      <c r="A2783" s="68" t="s">
        <v>376</v>
      </c>
      <c r="B2783" s="74">
        <v>4</v>
      </c>
      <c r="C2783" s="68" t="s">
        <v>363</v>
      </c>
      <c r="D2783" s="68" t="s">
        <v>364</v>
      </c>
      <c r="E2783" s="75">
        <f>60*F2783*'THAM_SO_MOI'!$C$52/(2*PI()*'THAM_SO_MOI'!$C$26)</f>
        <v>1992.6725392518547</v>
      </c>
      <c r="F2783" s="75">
        <f>'HANH_TRINH'!$F$2468+('THAM_SO_MOI'!$F$52-'HANH_TRINH'!$F$2468)*314/'THAM_SO_MOI'!$C$42</f>
        <v>12.666462837766908</v>
      </c>
      <c r="G2783" s="75">
        <f>3.6*F2783</f>
        <v>45.59926621596087</v>
      </c>
      <c r="H2783" s="75">
        <f>'THAM_SO_MOI'!$D$52</f>
        <v>1.1774754878398197</v>
      </c>
      <c r="I2783" s="75">
        <f>IF(F2783&gt;'THAM_SO_MOI'!$C$14,'THAM_SO_MOI'!$C$13*(1+F2783^2/1500),'THAM_SO_MOI'!$C$13)</f>
        <v>0.015</v>
      </c>
      <c r="J2783" s="75">
        <f>'THAM_SO_MOI'!$C$40*('THAM_SO_MOI'!$C$23*(E2783/'THAM_SO_MOI'!$C$22)+'THAM_SO_MOI'!$C$24*(E2783/'THAM_SO_MOI'!$C$22)^2-'THAM_SO_MOI'!$C$25*(E2783/'THAM_SO_MOI'!$C$22)^3)</f>
        <v>89.43273681143393</v>
      </c>
      <c r="K2783" s="75">
        <f>'THAM_SO_MOI'!$C$31*J2783/E2783</f>
        <v>428.6609317503015</v>
      </c>
      <c r="L2783" s="75">
        <f>K2783*'THAM_SO_MOI'!$C$52*'THAM_SO_MOI'!$C$17/'THAM_SO_MOI'!$C$26</f>
        <v>6002.636295704952</v>
      </c>
      <c r="M2783" s="75">
        <f>'THAM_SO_MOI'!$C$15*'THAM_SO_MOI'!$C$16*F2783^2</f>
        <v>469.28489640005057</v>
      </c>
      <c r="N2783" s="75">
        <f>'THAM_SO_MOI'!$C$12*I2783</f>
        <v>1130.112</v>
      </c>
      <c r="O2783" s="75">
        <f>M2783+N2783</f>
        <v>1599.3968964000505</v>
      </c>
      <c r="P2783" s="75">
        <f>(MIN(L2783,'THAM_SO_MOI'!$C$41)-O2783)/('THAM_SO_MOI'!$C$11*H2783)</f>
        <v>0.4869217825527714</v>
      </c>
      <c r="Q2783" s="75">
        <f>IF(P2783&gt;0,1/P2783,NA())</f>
        <v>2.0537179395781546</v>
      </c>
      <c r="R2783" s="75">
        <f>F2783-F2782</f>
        <v>0.007943393307218827</v>
      </c>
      <c r="S2783" s="75">
        <f>0.5*(Q2782+Q2783)*R2783</f>
        <v>0.016312948521959615</v>
      </c>
      <c r="T2783" s="75">
        <f>0.5*(F2782*Q2782+F2783*Q2783)*R2783</f>
        <v>0.20656256829270084</v>
      </c>
      <c r="U2783" s="76">
        <f>U2782+S2783</f>
        <v>19.076273020861123</v>
      </c>
      <c r="V2783" s="76">
        <f>V2782+T2783</f>
        <v>144.26635589534615</v>
      </c>
    </row>
    <row r="2784" spans="1:22" ht="19" customHeight="1">
      <c r="A2784" s="68" t="s">
        <v>376</v>
      </c>
      <c r="B2784" s="74">
        <v>4</v>
      </c>
      <c r="C2784" s="68" t="s">
        <v>363</v>
      </c>
      <c r="D2784" s="68" t="s">
        <v>364</v>
      </c>
      <c r="E2784" s="75">
        <f>60*F2784*'THAM_SO_MOI'!$C$52/(2*PI()*'THAM_SO_MOI'!$C$26)</f>
        <v>1993.922184232818</v>
      </c>
      <c r="F2784" s="75">
        <f>'HANH_TRINH'!$F$2468+('THAM_SO_MOI'!$F$52-'HANH_TRINH'!$F$2468)*315/'THAM_SO_MOI'!$C$42</f>
        <v>12.674406231074126</v>
      </c>
      <c r="G2784" s="75">
        <f>3.6*F2784</f>
        <v>45.62786243186686</v>
      </c>
      <c r="H2784" s="75">
        <f>'THAM_SO_MOI'!$D$52</f>
        <v>1.1774754878398197</v>
      </c>
      <c r="I2784" s="75">
        <f>IF(F2784&gt;'THAM_SO_MOI'!$C$14,'THAM_SO_MOI'!$C$13*(1+F2784^2/1500),'THAM_SO_MOI'!$C$13)</f>
        <v>0.015</v>
      </c>
      <c r="J2784" s="75">
        <f>'THAM_SO_MOI'!$C$40*('THAM_SO_MOI'!$C$23*(E2784/'THAM_SO_MOI'!$C$22)+'THAM_SO_MOI'!$C$24*(E2784/'THAM_SO_MOI'!$C$22)^2-'THAM_SO_MOI'!$C$25*(E2784/'THAM_SO_MOI'!$C$22)^3)</f>
        <v>89.49320973263985</v>
      </c>
      <c r="K2784" s="75">
        <f>'THAM_SO_MOI'!$C$31*J2784/E2784</f>
        <v>428.68195004177517</v>
      </c>
      <c r="L2784" s="75">
        <f>K2784*'THAM_SO_MOI'!$C$52*'THAM_SO_MOI'!$C$17/'THAM_SO_MOI'!$C$26</f>
        <v>6002.930619609765</v>
      </c>
      <c r="M2784" s="75">
        <f>'THAM_SO_MOI'!$C$15*'THAM_SO_MOI'!$C$16*F2784^2</f>
        <v>469.8736769326002</v>
      </c>
      <c r="N2784" s="75">
        <f>'THAM_SO_MOI'!$C$12*I2784</f>
        <v>1130.112</v>
      </c>
      <c r="O2784" s="75">
        <f>M2784+N2784</f>
        <v>1599.9856769326002</v>
      </c>
      <c r="P2784" s="75">
        <f>(MIN(L2784,'THAM_SO_MOI'!$C$41)-O2784)/('THAM_SO_MOI'!$C$11*H2784)</f>
        <v>0.48688922076517366</v>
      </c>
      <c r="Q2784" s="75">
        <f>IF(P2784&gt;0,1/P2784,NA())</f>
        <v>2.0538552864827118</v>
      </c>
      <c r="R2784" s="75">
        <f>F2784-F2783</f>
        <v>0.007943393307218827</v>
      </c>
      <c r="S2784" s="75">
        <f>0.5*(Q2783+Q2784)*R2784</f>
        <v>0.016314034836401564</v>
      </c>
      <c r="T2784" s="75">
        <f>0.5*(F2783*Q2783+F2784*Q2784)*R2784</f>
        <v>0.20670591255344326</v>
      </c>
      <c r="U2784" s="76">
        <f>U2783+S2784</f>
        <v>19.092587055697525</v>
      </c>
      <c r="V2784" s="76">
        <f>V2783+T2784</f>
        <v>144.4730618078996</v>
      </c>
    </row>
    <row r="2785" spans="1:22" ht="19" customHeight="1">
      <c r="A2785" s="68" t="s">
        <v>376</v>
      </c>
      <c r="B2785" s="74">
        <v>4</v>
      </c>
      <c r="C2785" s="68" t="s">
        <v>363</v>
      </c>
      <c r="D2785" s="68" t="s">
        <v>364</v>
      </c>
      <c r="E2785" s="75">
        <f>60*F2785*'THAM_SO_MOI'!$C$52/(2*PI()*'THAM_SO_MOI'!$C$26)</f>
        <v>1995.1718292137814</v>
      </c>
      <c r="F2785" s="75">
        <f>'HANH_TRINH'!$F$2468+('THAM_SO_MOI'!$F$52-'HANH_TRINH'!$F$2468)*316/'THAM_SO_MOI'!$C$42</f>
        <v>12.682349624381347</v>
      </c>
      <c r="G2785" s="75">
        <f>3.6*F2785</f>
        <v>45.65645864777285</v>
      </c>
      <c r="H2785" s="75">
        <f>'THAM_SO_MOI'!$D$52</f>
        <v>1.1774754878398197</v>
      </c>
      <c r="I2785" s="75">
        <f>IF(F2785&gt;'THAM_SO_MOI'!$C$14,'THAM_SO_MOI'!$C$13*(1+F2785^2/1500),'THAM_SO_MOI'!$C$13)</f>
        <v>0.015</v>
      </c>
      <c r="J2785" s="75">
        <f>'THAM_SO_MOI'!$C$40*('THAM_SO_MOI'!$C$23*(E2785/'THAM_SO_MOI'!$C$22)+'THAM_SO_MOI'!$C$24*(E2785/'THAM_SO_MOI'!$C$22)^2-'THAM_SO_MOI'!$C$25*(E2785/'THAM_SO_MOI'!$C$22)^3)</f>
        <v>89.55365650636266</v>
      </c>
      <c r="K2785" s="75">
        <f>'THAM_SO_MOI'!$C$31*J2785/E2785</f>
        <v>428.7028168335213</v>
      </c>
      <c r="L2785" s="75">
        <f>K2785*'THAM_SO_MOI'!$C$52*'THAM_SO_MOI'!$C$17/'THAM_SO_MOI'!$C$26</f>
        <v>6003.2228220295165</v>
      </c>
      <c r="M2785" s="75">
        <f>'THAM_SO_MOI'!$C$15*'THAM_SO_MOI'!$C$16*F2785^2</f>
        <v>470.4628265855087</v>
      </c>
      <c r="N2785" s="75">
        <f>'THAM_SO_MOI'!$C$12*I2785</f>
        <v>1130.112</v>
      </c>
      <c r="O2785" s="75">
        <f>M2785+N2785</f>
        <v>1600.5748265855088</v>
      </c>
      <c r="P2785" s="75">
        <f>(MIN(L2785,'THAM_SO_MOI'!$C$41)-O2785)/('THAM_SO_MOI'!$C$11*H2785)</f>
        <v>0.4868563835598843</v>
      </c>
      <c r="Q2785" s="75">
        <f>IF(P2785&gt;0,1/P2785,NA())</f>
        <v>2.053993813715699</v>
      </c>
      <c r="R2785" s="75">
        <f>F2785-F2784</f>
        <v>0.007943393307220603</v>
      </c>
      <c r="S2785" s="75">
        <f>0.5*(Q2784+Q2785)*R2785</f>
        <v>0.01631513052479412</v>
      </c>
      <c r="T2785" s="75">
        <f>0.5*(F2784*Q2784+F2785*Q2785)*R2785</f>
        <v>0.2068493929187272</v>
      </c>
      <c r="U2785" s="76">
        <f>U2784+S2785</f>
        <v>19.10890218622232</v>
      </c>
      <c r="V2785" s="76">
        <f>V2784+T2785</f>
        <v>144.67991120081834</v>
      </c>
    </row>
    <row r="2786" spans="1:22" ht="19" customHeight="1">
      <c r="A2786" s="68" t="s">
        <v>376</v>
      </c>
      <c r="B2786" s="74">
        <v>4</v>
      </c>
      <c r="C2786" s="68" t="s">
        <v>363</v>
      </c>
      <c r="D2786" s="68" t="s">
        <v>364</v>
      </c>
      <c r="E2786" s="75">
        <f>60*F2786*'THAM_SO_MOI'!$C$52/(2*PI()*'THAM_SO_MOI'!$C$26)</f>
        <v>1996.4214741947446</v>
      </c>
      <c r="F2786" s="75">
        <f>'HANH_TRINH'!$F$2468+('THAM_SO_MOI'!$F$52-'HANH_TRINH'!$F$2468)*317/'THAM_SO_MOI'!$C$42</f>
        <v>12.690293017688566</v>
      </c>
      <c r="G2786" s="75">
        <f>3.6*F2786</f>
        <v>45.685054863678836</v>
      </c>
      <c r="H2786" s="75">
        <f>'THAM_SO_MOI'!$D$52</f>
        <v>1.1774754878398197</v>
      </c>
      <c r="I2786" s="75">
        <f>IF(F2786&gt;'THAM_SO_MOI'!$C$14,'THAM_SO_MOI'!$C$13*(1+F2786^2/1500),'THAM_SO_MOI'!$C$13)</f>
        <v>0.015</v>
      </c>
      <c r="J2786" s="75">
        <f>'THAM_SO_MOI'!$C$40*('THAM_SO_MOI'!$C$23*(E2786/'THAM_SO_MOI'!$C$22)+'THAM_SO_MOI'!$C$24*(E2786/'THAM_SO_MOI'!$C$22)^2-'THAM_SO_MOI'!$C$25*(E2786/'THAM_SO_MOI'!$C$22)^3)</f>
        <v>89.61407707313667</v>
      </c>
      <c r="K2786" s="75">
        <f>'THAM_SO_MOI'!$C$31*J2786/E2786</f>
        <v>428.72353212554003</v>
      </c>
      <c r="L2786" s="75">
        <f>K2786*'THAM_SO_MOI'!$C$52*'THAM_SO_MOI'!$C$17/'THAM_SO_MOI'!$C$26</f>
        <v>6003.512902964208</v>
      </c>
      <c r="M2786" s="75">
        <f>'THAM_SO_MOI'!$C$15*'THAM_SO_MOI'!$C$16*F2786^2</f>
        <v>471.0523453587759</v>
      </c>
      <c r="N2786" s="75">
        <f>'THAM_SO_MOI'!$C$12*I2786</f>
        <v>1130.112</v>
      </c>
      <c r="O2786" s="75">
        <f>M2786+N2786</f>
        <v>1601.164345358776</v>
      </c>
      <c r="P2786" s="75">
        <f>(MIN(L2786,'THAM_SO_MOI'!$C$41)-O2786)/('THAM_SO_MOI'!$C$11*H2786)</f>
        <v>0.48682327093690364</v>
      </c>
      <c r="Q2786" s="75">
        <f>IF(P2786&gt;0,1/P2786,NA())</f>
        <v>2.054133521751076</v>
      </c>
      <c r="R2786" s="75">
        <f>F2786-F2785</f>
        <v>0.007943393307218827</v>
      </c>
      <c r="S2786" s="75">
        <f>0.5*(Q2785+Q2786)*R2786</f>
        <v>0.016316235590874747</v>
      </c>
      <c r="T2786" s="75">
        <f>0.5*(F2785*Q2785+F2786*Q2786)*R2786</f>
        <v>0.20699300965935052</v>
      </c>
      <c r="U2786" s="76">
        <f>U2785+S2786</f>
        <v>19.125218421813194</v>
      </c>
      <c r="V2786" s="76">
        <f>V2785+T2786</f>
        <v>144.8869042104777</v>
      </c>
    </row>
    <row r="2787" spans="1:22" ht="19" customHeight="1">
      <c r="A2787" s="68" t="s">
        <v>376</v>
      </c>
      <c r="B2787" s="74">
        <v>4</v>
      </c>
      <c r="C2787" s="68" t="s">
        <v>363</v>
      </c>
      <c r="D2787" s="68" t="s">
        <v>364</v>
      </c>
      <c r="E2787" s="75">
        <f>60*F2787*'THAM_SO_MOI'!$C$52/(2*PI()*'THAM_SO_MOI'!$C$26)</f>
        <v>1997.6711191757076</v>
      </c>
      <c r="F2787" s="75">
        <f>'HANH_TRINH'!$F$2468+('THAM_SO_MOI'!$F$52-'HANH_TRINH'!$F$2468)*318/'THAM_SO_MOI'!$C$42</f>
        <v>12.698236410995785</v>
      </c>
      <c r="G2787" s="75">
        <f>3.6*F2787</f>
        <v>45.71365107958483</v>
      </c>
      <c r="H2787" s="75">
        <f>'THAM_SO_MOI'!$D$52</f>
        <v>1.1774754878398197</v>
      </c>
      <c r="I2787" s="75">
        <f>IF(F2787&gt;'THAM_SO_MOI'!$C$14,'THAM_SO_MOI'!$C$13*(1+F2787^2/1500),'THAM_SO_MOI'!$C$13)</f>
        <v>0.015</v>
      </c>
      <c r="J2787" s="75">
        <f>'THAM_SO_MOI'!$C$40*('THAM_SO_MOI'!$C$23*(E2787/'THAM_SO_MOI'!$C$22)+'THAM_SO_MOI'!$C$24*(E2787/'THAM_SO_MOI'!$C$22)^2-'THAM_SO_MOI'!$C$25*(E2787/'THAM_SO_MOI'!$C$22)^3)</f>
        <v>89.67447137349617</v>
      </c>
      <c r="K2787" s="75">
        <f>'THAM_SO_MOI'!$C$31*J2787/E2787</f>
        <v>428.7440959178312</v>
      </c>
      <c r="L2787" s="75">
        <f>K2787*'THAM_SO_MOI'!$C$52*'THAM_SO_MOI'!$C$17/'THAM_SO_MOI'!$C$26</f>
        <v>6003.8008624138365</v>
      </c>
      <c r="M2787" s="75">
        <f>'THAM_SO_MOI'!$C$15*'THAM_SO_MOI'!$C$16*F2787^2</f>
        <v>471.6422332524019</v>
      </c>
      <c r="N2787" s="75">
        <f>'THAM_SO_MOI'!$C$12*I2787</f>
        <v>1130.112</v>
      </c>
      <c r="O2787" s="75">
        <f>M2787+N2787</f>
        <v>1601.754233252402</v>
      </c>
      <c r="P2787" s="75">
        <f>(MIN(L2787,'THAM_SO_MOI'!$C$41)-O2787)/('THAM_SO_MOI'!$C$11*H2787)</f>
        <v>0.4867898828962312</v>
      </c>
      <c r="Q2787" s="75">
        <f>IF(P2787&gt;0,1/P2787,NA())</f>
        <v>2.05427441106694</v>
      </c>
      <c r="R2787" s="75">
        <f>F2787-F2786</f>
        <v>0.007943393307218827</v>
      </c>
      <c r="S2787" s="75">
        <f>0.5*(Q2786+Q2787)*R2787</f>
        <v>0.016317350038435683</v>
      </c>
      <c r="T2787" s="75">
        <f>0.5*(F2786*Q2786+F2787*Q2787)*R2787</f>
        <v>0.2071367630469248</v>
      </c>
      <c r="U2787" s="76">
        <f>U2786+S2787</f>
        <v>19.14153577185163</v>
      </c>
      <c r="V2787" s="76">
        <f>V2786+T2787</f>
        <v>145.0940409735246</v>
      </c>
    </row>
    <row r="2788" spans="1:22" ht="19" customHeight="1">
      <c r="A2788" s="68" t="s">
        <v>376</v>
      </c>
      <c r="B2788" s="74">
        <v>4</v>
      </c>
      <c r="C2788" s="68" t="s">
        <v>363</v>
      </c>
      <c r="D2788" s="68" t="s">
        <v>364</v>
      </c>
      <c r="E2788" s="75">
        <f>60*F2788*'THAM_SO_MOI'!$C$52/(2*PI()*'THAM_SO_MOI'!$C$26)</f>
        <v>1998.9207641566709</v>
      </c>
      <c r="F2788" s="75">
        <f>'HANH_TRINH'!$F$2468+('THAM_SO_MOI'!$F$52-'HANH_TRINH'!$F$2468)*319/'THAM_SO_MOI'!$C$42</f>
        <v>12.706179804303005</v>
      </c>
      <c r="G2788" s="75">
        <f>3.6*F2788</f>
        <v>45.74224729549082</v>
      </c>
      <c r="H2788" s="75">
        <f>'THAM_SO_MOI'!$D$52</f>
        <v>1.1774754878398197</v>
      </c>
      <c r="I2788" s="75">
        <f>IF(F2788&gt;'THAM_SO_MOI'!$C$14,'THAM_SO_MOI'!$C$13*(1+F2788^2/1500),'THAM_SO_MOI'!$C$13)</f>
        <v>0.015</v>
      </c>
      <c r="J2788" s="75">
        <f>'THAM_SO_MOI'!$C$40*('THAM_SO_MOI'!$C$23*(E2788/'THAM_SO_MOI'!$C$22)+'THAM_SO_MOI'!$C$24*(E2788/'THAM_SO_MOI'!$C$22)^2-'THAM_SO_MOI'!$C$25*(E2788/'THAM_SO_MOI'!$C$22)^3)</f>
        <v>89.73483934797557</v>
      </c>
      <c r="K2788" s="75">
        <f>'THAM_SO_MOI'!$C$31*J2788/E2788</f>
        <v>428.76450821039515</v>
      </c>
      <c r="L2788" s="75">
        <f>K2788*'THAM_SO_MOI'!$C$52*'THAM_SO_MOI'!$C$17/'THAM_SO_MOI'!$C$26</f>
        <v>6004.086700378408</v>
      </c>
      <c r="M2788" s="75">
        <f>'THAM_SO_MOI'!$C$15*'THAM_SO_MOI'!$C$16*F2788^2</f>
        <v>472.23249026638695</v>
      </c>
      <c r="N2788" s="75">
        <f>'THAM_SO_MOI'!$C$12*I2788</f>
        <v>1130.112</v>
      </c>
      <c r="O2788" s="75">
        <f>M2788+N2788</f>
        <v>1602.344490266387</v>
      </c>
      <c r="P2788" s="75">
        <f>(MIN(L2788,'THAM_SO_MOI'!$C$41)-O2788)/('THAM_SO_MOI'!$C$11*H2788)</f>
        <v>0.48675621943786757</v>
      </c>
      <c r="Q2788" s="75">
        <f>IF(P2788&gt;0,1/P2788,NA())</f>
        <v>2.054416482145527</v>
      </c>
      <c r="R2788" s="75">
        <f>F2788-F2787</f>
        <v>0.007943393307220603</v>
      </c>
      <c r="S2788" s="75">
        <f>0.5*(Q2787+Q2788)*R2788</f>
        <v>0.016318473871291074</v>
      </c>
      <c r="T2788" s="75">
        <f>0.5*(F2787*Q2787+F2788*Q2788)*R2788</f>
        <v>0.20728065335346066</v>
      </c>
      <c r="U2788" s="76">
        <f>U2787+S2788</f>
        <v>19.15785424572292</v>
      </c>
      <c r="V2788" s="76">
        <f>V2787+T2788</f>
        <v>145.30132162687806</v>
      </c>
    </row>
    <row r="2789" spans="1:22" ht="19" customHeight="1">
      <c r="A2789" s="68" t="s">
        <v>376</v>
      </c>
      <c r="B2789" s="74">
        <v>4</v>
      </c>
      <c r="C2789" s="68" t="s">
        <v>363</v>
      </c>
      <c r="D2789" s="68" t="s">
        <v>364</v>
      </c>
      <c r="E2789" s="75">
        <f>60*F2789*'THAM_SO_MOI'!$C$52/(2*PI()*'THAM_SO_MOI'!$C$26)</f>
        <v>2000.1704091376341</v>
      </c>
      <c r="F2789" s="75">
        <f>'HANH_TRINH'!$F$2468+('THAM_SO_MOI'!$F$52-'HANH_TRINH'!$F$2468)*320/'THAM_SO_MOI'!$C$42</f>
        <v>12.714123197610224</v>
      </c>
      <c r="G2789" s="75">
        <f>3.6*F2789</f>
        <v>45.770843511396805</v>
      </c>
      <c r="H2789" s="75">
        <f>'THAM_SO_MOI'!$D$52</f>
        <v>1.1774754878398197</v>
      </c>
      <c r="I2789" s="75">
        <f>IF(F2789&gt;'THAM_SO_MOI'!$C$14,'THAM_SO_MOI'!$C$13*(1+F2789^2/1500),'THAM_SO_MOI'!$C$13)</f>
        <v>0.015</v>
      </c>
      <c r="J2789" s="75">
        <f>'THAM_SO_MOI'!$C$40*('THAM_SO_MOI'!$C$23*(E2789/'THAM_SO_MOI'!$C$22)+'THAM_SO_MOI'!$C$24*(E2789/'THAM_SO_MOI'!$C$22)^2-'THAM_SO_MOI'!$C$25*(E2789/'THAM_SO_MOI'!$C$22)^3)</f>
        <v>89.79518093710905</v>
      </c>
      <c r="K2789" s="75">
        <f>'THAM_SO_MOI'!$C$31*J2789/E2789</f>
        <v>428.78476900323136</v>
      </c>
      <c r="L2789" s="75">
        <f>K2789*'THAM_SO_MOI'!$C$52*'THAM_SO_MOI'!$C$17/'THAM_SO_MOI'!$C$26</f>
        <v>6004.370416857914</v>
      </c>
      <c r="M2789" s="75">
        <f>'THAM_SO_MOI'!$C$15*'THAM_SO_MOI'!$C$16*F2789^2</f>
        <v>472.8231164007305</v>
      </c>
      <c r="N2789" s="75">
        <f>'THAM_SO_MOI'!$C$12*I2789</f>
        <v>1130.112</v>
      </c>
      <c r="O2789" s="75">
        <f>M2789+N2789</f>
        <v>1602.9351164007305</v>
      </c>
      <c r="P2789" s="75">
        <f>(MIN(L2789,'THAM_SO_MOI'!$C$41)-O2789)/('THAM_SO_MOI'!$C$11*H2789)</f>
        <v>0.48672228056181205</v>
      </c>
      <c r="Q2789" s="75">
        <f>IF(P2789&gt;0,1/P2789,NA())</f>
        <v>2.054559735473222</v>
      </c>
      <c r="R2789" s="75">
        <f>F2789-F2788</f>
        <v>0.007943393307218827</v>
      </c>
      <c r="S2789" s="75">
        <f>0.5*(Q2788+Q2789)*R2789</f>
        <v>0.01631960709327705</v>
      </c>
      <c r="T2789" s="75">
        <f>0.5*(F2788*Q2788+F2789*Q2789)*R2789</f>
        <v>0.20742468085136911</v>
      </c>
      <c r="U2789" s="76">
        <f>U2788+S2789</f>
        <v>19.174173852816196</v>
      </c>
      <c r="V2789" s="76">
        <f>V2788+T2789</f>
        <v>145.50874630772944</v>
      </c>
    </row>
    <row r="2790" spans="1:22" ht="19" customHeight="1">
      <c r="A2790" s="68" t="s">
        <v>376</v>
      </c>
      <c r="B2790" s="74">
        <v>4</v>
      </c>
      <c r="C2790" s="68" t="s">
        <v>363</v>
      </c>
      <c r="D2790" s="68" t="s">
        <v>364</v>
      </c>
      <c r="E2790" s="75">
        <f>60*F2790*'THAM_SO_MOI'!$C$52/(2*PI()*'THAM_SO_MOI'!$C$26)</f>
        <v>2001.4200541185976</v>
      </c>
      <c r="F2790" s="75">
        <f>'HANH_TRINH'!$F$2468+('THAM_SO_MOI'!$F$52-'HANH_TRINH'!$F$2468)*321/'THAM_SO_MOI'!$C$42</f>
        <v>12.722066590917443</v>
      </c>
      <c r="G2790" s="75">
        <f>3.6*F2790</f>
        <v>45.7994397273028</v>
      </c>
      <c r="H2790" s="75">
        <f>'THAM_SO_MOI'!$D$52</f>
        <v>1.1774754878398197</v>
      </c>
      <c r="I2790" s="75">
        <f>IF(F2790&gt;'THAM_SO_MOI'!$C$14,'THAM_SO_MOI'!$C$13*(1+F2790^2/1500),'THAM_SO_MOI'!$C$13)</f>
        <v>0.015</v>
      </c>
      <c r="J2790" s="75">
        <f>'THAM_SO_MOI'!$C$40*('THAM_SO_MOI'!$C$23*(E2790/'THAM_SO_MOI'!$C$22)+'THAM_SO_MOI'!$C$24*(E2790/'THAM_SO_MOI'!$C$22)^2-'THAM_SO_MOI'!$C$25*(E2790/'THAM_SO_MOI'!$C$22)^3)</f>
        <v>89.85549608143104</v>
      </c>
      <c r="K2790" s="75">
        <f>'THAM_SO_MOI'!$C$31*J2790/E2790</f>
        <v>428.8048782963403</v>
      </c>
      <c r="L2790" s="75">
        <f>K2790*'THAM_SO_MOI'!$C$52*'THAM_SO_MOI'!$C$17/'THAM_SO_MOI'!$C$26</f>
        <v>6004.652011852363</v>
      </c>
      <c r="M2790" s="75">
        <f>'THAM_SO_MOI'!$C$15*'THAM_SO_MOI'!$C$16*F2790^2</f>
        <v>473.414111655433</v>
      </c>
      <c r="N2790" s="75">
        <f>'THAM_SO_MOI'!$C$12*I2790</f>
        <v>1130.112</v>
      </c>
      <c r="O2790" s="75">
        <f>M2790+N2790</f>
        <v>1603.526111655433</v>
      </c>
      <c r="P2790" s="75">
        <f>(MIN(L2790,'THAM_SO_MOI'!$C$41)-O2790)/('THAM_SO_MOI'!$C$11*H2790)</f>
        <v>0.48668806626806527</v>
      </c>
      <c r="Q2790" s="75">
        <f>IF(P2790&gt;0,1/P2790,NA())</f>
        <v>2.0547041715405556</v>
      </c>
      <c r="R2790" s="75">
        <f>F2790-F2789</f>
        <v>0.007943393307218827</v>
      </c>
      <c r="S2790" s="75">
        <f>0.5*(Q2789+Q2790)*R2790</f>
        <v>0.016320749708284565</v>
      </c>
      <c r="T2790" s="75">
        <f>0.5*(F2789*Q2789+F2790*Q2790)*R2790</f>
        <v>0.20756884581388046</v>
      </c>
      <c r="U2790" s="76">
        <f>U2789+S2790</f>
        <v>19.19049460252448</v>
      </c>
      <c r="V2790" s="76">
        <f>V2789+T2790</f>
        <v>145.71631515354332</v>
      </c>
    </row>
    <row r="2791" spans="1:22" ht="19" customHeight="1">
      <c r="A2791" s="68" t="s">
        <v>376</v>
      </c>
      <c r="B2791" s="74">
        <v>4</v>
      </c>
      <c r="C2791" s="68" t="s">
        <v>363</v>
      </c>
      <c r="D2791" s="68" t="s">
        <v>364</v>
      </c>
      <c r="E2791" s="75">
        <f>60*F2791*'THAM_SO_MOI'!$C$52/(2*PI()*'THAM_SO_MOI'!$C$26)</f>
        <v>2002.6696990995608</v>
      </c>
      <c r="F2791" s="75">
        <f>'HANH_TRINH'!$F$2468+('THAM_SO_MOI'!$F$52-'HANH_TRINH'!$F$2468)*322/'THAM_SO_MOI'!$C$42</f>
        <v>12.730009984224663</v>
      </c>
      <c r="G2791" s="75">
        <f>3.6*F2791</f>
        <v>45.82803594320879</v>
      </c>
      <c r="H2791" s="75">
        <f>'THAM_SO_MOI'!$D$52</f>
        <v>1.1774754878398197</v>
      </c>
      <c r="I2791" s="75">
        <f>IF(F2791&gt;'THAM_SO_MOI'!$C$14,'THAM_SO_MOI'!$C$13*(1+F2791^2/1500),'THAM_SO_MOI'!$C$13)</f>
        <v>0.015</v>
      </c>
      <c r="J2791" s="75">
        <f>'THAM_SO_MOI'!$C$40*('THAM_SO_MOI'!$C$23*(E2791/'THAM_SO_MOI'!$C$22)+'THAM_SO_MOI'!$C$24*(E2791/'THAM_SO_MOI'!$C$22)^2-'THAM_SO_MOI'!$C$25*(E2791/'THAM_SO_MOI'!$C$22)^3)</f>
        <v>89.91578472147577</v>
      </c>
      <c r="K2791" s="75">
        <f>'THAM_SO_MOI'!$C$31*J2791/E2791</f>
        <v>428.82483608972166</v>
      </c>
      <c r="L2791" s="75">
        <f>K2791*'THAM_SO_MOI'!$C$52*'THAM_SO_MOI'!$C$17/'THAM_SO_MOI'!$C$26</f>
        <v>6004.931485361752</v>
      </c>
      <c r="M2791" s="75">
        <f>'THAM_SO_MOI'!$C$15*'THAM_SO_MOI'!$C$16*F2791^2</f>
        <v>474.00547603049444</v>
      </c>
      <c r="N2791" s="75">
        <f>'THAM_SO_MOI'!$C$12*I2791</f>
        <v>1130.112</v>
      </c>
      <c r="O2791" s="75">
        <f>M2791+N2791</f>
        <v>1604.1174760304946</v>
      </c>
      <c r="P2791" s="75">
        <f>(MIN(L2791,'THAM_SO_MOI'!$C$41)-O2791)/('THAM_SO_MOI'!$C$11*H2791)</f>
        <v>0.486653576556627</v>
      </c>
      <c r="Q2791" s="75">
        <f>IF(P2791&gt;0,1/P2791,NA())</f>
        <v>2.0548497908422134</v>
      </c>
      <c r="R2791" s="75">
        <f>F2791-F2790</f>
        <v>0.007943393307220603</v>
      </c>
      <c r="S2791" s="75">
        <f>0.5*(Q2790+Q2791)*R2791</f>
        <v>0.0163219017202266</v>
      </c>
      <c r="T2791" s="75">
        <f>0.5*(F2790*Q2790+F2791*Q2791)*R2791</f>
        <v>0.2077131485146289</v>
      </c>
      <c r="U2791" s="76">
        <f>U2790+S2791</f>
        <v>19.206816504244706</v>
      </c>
      <c r="V2791" s="76">
        <f>V2790+T2791</f>
        <v>145.92402830205796</v>
      </c>
    </row>
    <row r="2792" spans="1:22" ht="19" customHeight="1">
      <c r="A2792" s="68" t="s">
        <v>376</v>
      </c>
      <c r="B2792" s="74">
        <v>4</v>
      </c>
      <c r="C2792" s="68" t="s">
        <v>363</v>
      </c>
      <c r="D2792" s="68" t="s">
        <v>364</v>
      </c>
      <c r="E2792" s="75">
        <f>60*F2792*'THAM_SO_MOI'!$C$52/(2*PI()*'THAM_SO_MOI'!$C$26)</f>
        <v>2003.9193440805243</v>
      </c>
      <c r="F2792" s="75">
        <f>'HANH_TRINH'!$F$2468+('THAM_SO_MOI'!$F$52-'HANH_TRINH'!$F$2468)*323/'THAM_SO_MOI'!$C$42</f>
        <v>12.737953377531882</v>
      </c>
      <c r="G2792" s="75">
        <f>3.6*F2792</f>
        <v>45.856632159114774</v>
      </c>
      <c r="H2792" s="75">
        <f>'THAM_SO_MOI'!$D$52</f>
        <v>1.1774754878398197</v>
      </c>
      <c r="I2792" s="75">
        <f>IF(F2792&gt;'THAM_SO_MOI'!$C$14,'THAM_SO_MOI'!$C$13*(1+F2792^2/1500),'THAM_SO_MOI'!$C$13)</f>
        <v>0.015</v>
      </c>
      <c r="J2792" s="75">
        <f>'THAM_SO_MOI'!$C$40*('THAM_SO_MOI'!$C$23*(E2792/'THAM_SO_MOI'!$C$22)+'THAM_SO_MOI'!$C$24*(E2792/'THAM_SO_MOI'!$C$22)^2-'THAM_SO_MOI'!$C$25*(E2792/'THAM_SO_MOI'!$C$22)^3)</f>
        <v>89.97604679777761</v>
      </c>
      <c r="K2792" s="75">
        <f>'THAM_SO_MOI'!$C$31*J2792/E2792</f>
        <v>428.8446423833757</v>
      </c>
      <c r="L2792" s="75">
        <f>K2792*'THAM_SO_MOI'!$C$52*'THAM_SO_MOI'!$C$17/'THAM_SO_MOI'!$C$26</f>
        <v>6005.208837386078</v>
      </c>
      <c r="M2792" s="75">
        <f>'THAM_SO_MOI'!$C$15*'THAM_SO_MOI'!$C$16*F2792^2</f>
        <v>474.5972095259145</v>
      </c>
      <c r="N2792" s="75">
        <f>'THAM_SO_MOI'!$C$12*I2792</f>
        <v>1130.112</v>
      </c>
      <c r="O2792" s="75">
        <f>M2792+N2792</f>
        <v>1604.7092095259145</v>
      </c>
      <c r="P2792" s="75">
        <f>(MIN(L2792,'THAM_SO_MOI'!$C$41)-O2792)/('THAM_SO_MOI'!$C$11*H2792)</f>
        <v>0.48661881142749713</v>
      </c>
      <c r="Q2792" s="75">
        <f>IF(P2792&gt;0,1/P2792,NA())</f>
        <v>2.0549965938770396</v>
      </c>
      <c r="R2792" s="75">
        <f>F2792-F2791</f>
        <v>0.007943393307218827</v>
      </c>
      <c r="S2792" s="75">
        <f>0.5*(Q2791+Q2792)*R2792</f>
        <v>0.016323063133038204</v>
      </c>
      <c r="T2792" s="75">
        <f>0.5*(F2791*Q2791+F2792*Q2792)*R2792</f>
        <v>0.20785758922765402</v>
      </c>
      <c r="U2792" s="76">
        <f>U2791+S2792</f>
        <v>19.223139567377743</v>
      </c>
      <c r="V2792" s="76">
        <f>V2791+T2792</f>
        <v>146.1318858912856</v>
      </c>
    </row>
    <row r="2793" spans="1:22" ht="19" customHeight="1">
      <c r="A2793" s="68" t="s">
        <v>376</v>
      </c>
      <c r="B2793" s="74">
        <v>4</v>
      </c>
      <c r="C2793" s="68" t="s">
        <v>363</v>
      </c>
      <c r="D2793" s="68" t="s">
        <v>364</v>
      </c>
      <c r="E2793" s="75">
        <f>60*F2793*'THAM_SO_MOI'!$C$52/(2*PI()*'THAM_SO_MOI'!$C$26)</f>
        <v>2005.1689890614875</v>
      </c>
      <c r="F2793" s="75">
        <f>'HANH_TRINH'!$F$2468+('THAM_SO_MOI'!$F$52-'HANH_TRINH'!$F$2468)*324/'THAM_SO_MOI'!$C$42</f>
        <v>12.745896770839101</v>
      </c>
      <c r="G2793" s="75">
        <f>3.6*F2793</f>
        <v>45.885228375020766</v>
      </c>
      <c r="H2793" s="75">
        <f>'THAM_SO_MOI'!$D$52</f>
        <v>1.1774754878398197</v>
      </c>
      <c r="I2793" s="75">
        <f>IF(F2793&gt;'THAM_SO_MOI'!$C$14,'THAM_SO_MOI'!$C$13*(1+F2793^2/1500),'THAM_SO_MOI'!$C$13)</f>
        <v>0.015</v>
      </c>
      <c r="J2793" s="75">
        <f>'THAM_SO_MOI'!$C$40*('THAM_SO_MOI'!$C$23*(E2793/'THAM_SO_MOI'!$C$22)+'THAM_SO_MOI'!$C$24*(E2793/'THAM_SO_MOI'!$C$22)^2-'THAM_SO_MOI'!$C$25*(E2793/'THAM_SO_MOI'!$C$22)^3)</f>
        <v>90.0362822508708</v>
      </c>
      <c r="K2793" s="75">
        <f>'THAM_SO_MOI'!$C$31*J2793/E2793</f>
        <v>428.864297177302</v>
      </c>
      <c r="L2793" s="75">
        <f>K2793*'THAM_SO_MOI'!$C$52*'THAM_SO_MOI'!$C$17/'THAM_SO_MOI'!$C$26</f>
        <v>6005.48406792534</v>
      </c>
      <c r="M2793" s="75">
        <f>'THAM_SO_MOI'!$C$15*'THAM_SO_MOI'!$C$16*F2793^2</f>
        <v>475.1893121416934</v>
      </c>
      <c r="N2793" s="75">
        <f>'THAM_SO_MOI'!$C$12*I2793</f>
        <v>1130.112</v>
      </c>
      <c r="O2793" s="75">
        <f>M2793+N2793</f>
        <v>1605.3013121416934</v>
      </c>
      <c r="P2793" s="75">
        <f>(MIN(L2793,'THAM_SO_MOI'!$C$41)-O2793)/('THAM_SO_MOI'!$C$11*H2793)</f>
        <v>0.48658377088067545</v>
      </c>
      <c r="Q2793" s="75">
        <f>IF(P2793&gt;0,1/P2793,NA())</f>
        <v>2.0551445811480407</v>
      </c>
      <c r="R2793" s="75">
        <f>F2793-F2792</f>
        <v>0.007943393307218827</v>
      </c>
      <c r="S2793" s="75">
        <f>0.5*(Q2792+Q2793)*R2793</f>
        <v>0.016324233950709373</v>
      </c>
      <c r="T2793" s="75">
        <f>0.5*(F2792*Q2792+F2793*Q2793)*R2793</f>
        <v>0.20800216822782047</v>
      </c>
      <c r="U2793" s="76">
        <f>U2792+S2793</f>
        <v>19.23946380132845</v>
      </c>
      <c r="V2793" s="76">
        <f>V2792+T2793</f>
        <v>146.3398880595134</v>
      </c>
    </row>
    <row r="2794" spans="1:22" ht="19" customHeight="1">
      <c r="A2794" s="68" t="s">
        <v>376</v>
      </c>
      <c r="B2794" s="74">
        <v>4</v>
      </c>
      <c r="C2794" s="68" t="s">
        <v>363</v>
      </c>
      <c r="D2794" s="68" t="s">
        <v>364</v>
      </c>
      <c r="E2794" s="75">
        <f>60*F2794*'THAM_SO_MOI'!$C$52/(2*PI()*'THAM_SO_MOI'!$C$26)</f>
        <v>2006.418634042451</v>
      </c>
      <c r="F2794" s="75">
        <f>'HANH_TRINH'!$F$2468+('THAM_SO_MOI'!$F$52-'HANH_TRINH'!$F$2468)*325/'THAM_SO_MOI'!$C$42</f>
        <v>12.753840164146322</v>
      </c>
      <c r="G2794" s="75">
        <f>3.6*F2794</f>
        <v>45.91382459092676</v>
      </c>
      <c r="H2794" s="75">
        <f>'THAM_SO_MOI'!$D$52</f>
        <v>1.1774754878398197</v>
      </c>
      <c r="I2794" s="75">
        <f>IF(F2794&gt;'THAM_SO_MOI'!$C$14,'THAM_SO_MOI'!$C$13*(1+F2794^2/1500),'THAM_SO_MOI'!$C$13)</f>
        <v>0.015</v>
      </c>
      <c r="J2794" s="75">
        <f>'THAM_SO_MOI'!$C$40*('THAM_SO_MOI'!$C$23*(E2794/'THAM_SO_MOI'!$C$22)+'THAM_SO_MOI'!$C$24*(E2794/'THAM_SO_MOI'!$C$22)^2-'THAM_SO_MOI'!$C$25*(E2794/'THAM_SO_MOI'!$C$22)^3)</f>
        <v>90.09649102128971</v>
      </c>
      <c r="K2794" s="75">
        <f>'THAM_SO_MOI'!$C$31*J2794/E2794</f>
        <v>428.8838004715009</v>
      </c>
      <c r="L2794" s="75">
        <f>K2794*'THAM_SO_MOI'!$C$52*'THAM_SO_MOI'!$C$17/'THAM_SO_MOI'!$C$26</f>
        <v>6005.757176979544</v>
      </c>
      <c r="M2794" s="75">
        <f>'THAM_SO_MOI'!$C$15*'THAM_SO_MOI'!$C$16*F2794^2</f>
        <v>475.7817838778313</v>
      </c>
      <c r="N2794" s="75">
        <f>'THAM_SO_MOI'!$C$12*I2794</f>
        <v>1130.112</v>
      </c>
      <c r="O2794" s="75">
        <f>M2794+N2794</f>
        <v>1605.8937838778313</v>
      </c>
      <c r="P2794" s="75">
        <f>(MIN(L2794,'THAM_SO_MOI'!$C$41)-O2794)/('THAM_SO_MOI'!$C$11*H2794)</f>
        <v>0.48654845491616244</v>
      </c>
      <c r="Q2794" s="75">
        <f>IF(P2794&gt;0,1/P2794,NA())</f>
        <v>2.055293753162387</v>
      </c>
      <c r="R2794" s="75">
        <f>F2794-F2793</f>
        <v>0.007943393307220603</v>
      </c>
      <c r="S2794" s="75">
        <f>0.5*(Q2793+Q2794)*R2794</f>
        <v>0.016325414177252227</v>
      </c>
      <c r="T2794" s="75">
        <f>0.5*(F2793*Q2793+F2794*Q2794)*R2794</f>
        <v>0.20814688579040183</v>
      </c>
      <c r="U2794" s="76">
        <f>U2793+S2794</f>
        <v>19.255789215505704</v>
      </c>
      <c r="V2794" s="76">
        <f>V2793+T2794</f>
        <v>146.5480349453038</v>
      </c>
    </row>
    <row r="2795" spans="1:22" ht="19" customHeight="1">
      <c r="A2795" s="68" t="s">
        <v>376</v>
      </c>
      <c r="B2795" s="74">
        <v>4</v>
      </c>
      <c r="C2795" s="68" t="s">
        <v>363</v>
      </c>
      <c r="D2795" s="68" t="s">
        <v>364</v>
      </c>
      <c r="E2795" s="75">
        <f>60*F2795*'THAM_SO_MOI'!$C$52/(2*PI()*'THAM_SO_MOI'!$C$26)</f>
        <v>2007.6682790234138</v>
      </c>
      <c r="F2795" s="75">
        <f>'HANH_TRINH'!$F$2468+('THAM_SO_MOI'!$F$52-'HANH_TRINH'!$F$2468)*326/'THAM_SO_MOI'!$C$42</f>
        <v>12.76178355745354</v>
      </c>
      <c r="G2795" s="75">
        <f>3.6*F2795</f>
        <v>45.94242080683275</v>
      </c>
      <c r="H2795" s="75">
        <f>'THAM_SO_MOI'!$D$52</f>
        <v>1.1774754878398197</v>
      </c>
      <c r="I2795" s="75">
        <f>IF(F2795&gt;'THAM_SO_MOI'!$C$14,'THAM_SO_MOI'!$C$13*(1+F2795^2/1500),'THAM_SO_MOI'!$C$13)</f>
        <v>0.015</v>
      </c>
      <c r="J2795" s="75">
        <f>'THAM_SO_MOI'!$C$40*('THAM_SO_MOI'!$C$23*(E2795/'THAM_SO_MOI'!$C$22)+'THAM_SO_MOI'!$C$24*(E2795/'THAM_SO_MOI'!$C$22)^2-'THAM_SO_MOI'!$C$25*(E2795/'THAM_SO_MOI'!$C$22)^3)</f>
        <v>90.15667304956867</v>
      </c>
      <c r="K2795" s="75">
        <f>'THAM_SO_MOI'!$C$31*J2795/E2795</f>
        <v>428.90315226597255</v>
      </c>
      <c r="L2795" s="75">
        <f>K2795*'THAM_SO_MOI'!$C$52*'THAM_SO_MOI'!$C$17/'THAM_SO_MOI'!$C$26</f>
        <v>6006.028164548688</v>
      </c>
      <c r="M2795" s="75">
        <f>'THAM_SO_MOI'!$C$15*'THAM_SO_MOI'!$C$16*F2795^2</f>
        <v>476.37462473432777</v>
      </c>
      <c r="N2795" s="75">
        <f>'THAM_SO_MOI'!$C$12*I2795</f>
        <v>1130.112</v>
      </c>
      <c r="O2795" s="75">
        <f>M2795+N2795</f>
        <v>1606.486624734328</v>
      </c>
      <c r="P2795" s="75">
        <f>(MIN(L2795,'THAM_SO_MOI'!$C$41)-O2795)/('THAM_SO_MOI'!$C$11*H2795)</f>
        <v>0.48651286353395806</v>
      </c>
      <c r="Q2795" s="75">
        <f>IF(P2795&gt;0,1/P2795,NA())</f>
        <v>2.0554441104314214</v>
      </c>
      <c r="R2795" s="75">
        <f>F2795-F2794</f>
        <v>0.007943393307218827</v>
      </c>
      <c r="S2795" s="75">
        <f>0.5*(Q2794+Q2795)*R2795</f>
        <v>0.01632660381670104</v>
      </c>
      <c r="T2795" s="75">
        <f>0.5*(F2794*Q2794+F2795*Q2795)*R2795</f>
        <v>0.20829174219108176</v>
      </c>
      <c r="U2795" s="76">
        <f>U2794+S2795</f>
        <v>19.272115819322405</v>
      </c>
      <c r="V2795" s="76">
        <f>V2794+T2795</f>
        <v>146.7563266874949</v>
      </c>
    </row>
    <row r="2796" spans="1:22" ht="19" customHeight="1">
      <c r="A2796" s="68" t="s">
        <v>376</v>
      </c>
      <c r="B2796" s="74">
        <v>4</v>
      </c>
      <c r="C2796" s="68" t="s">
        <v>363</v>
      </c>
      <c r="D2796" s="68" t="s">
        <v>364</v>
      </c>
      <c r="E2796" s="75">
        <f>60*F2796*'THAM_SO_MOI'!$C$52/(2*PI()*'THAM_SO_MOI'!$C$26)</f>
        <v>2008.917924004377</v>
      </c>
      <c r="F2796" s="75">
        <f>'HANH_TRINH'!$F$2468+('THAM_SO_MOI'!$F$52-'HANH_TRINH'!$F$2468)*327/'THAM_SO_MOI'!$C$42</f>
        <v>12.76972695076076</v>
      </c>
      <c r="G2796" s="75">
        <f>3.6*F2796</f>
        <v>45.971017022738735</v>
      </c>
      <c r="H2796" s="75">
        <f>'THAM_SO_MOI'!$D$52</f>
        <v>1.1774754878398197</v>
      </c>
      <c r="I2796" s="75">
        <f>IF(F2796&gt;'THAM_SO_MOI'!$C$14,'THAM_SO_MOI'!$C$13*(1+F2796^2/1500),'THAM_SO_MOI'!$C$13)</f>
        <v>0.015</v>
      </c>
      <c r="J2796" s="75">
        <f>'THAM_SO_MOI'!$C$40*('THAM_SO_MOI'!$C$23*(E2796/'THAM_SO_MOI'!$C$22)+'THAM_SO_MOI'!$C$24*(E2796/'THAM_SO_MOI'!$C$22)^2-'THAM_SO_MOI'!$C$25*(E2796/'THAM_SO_MOI'!$C$22)^3)</f>
        <v>90.21682827624193</v>
      </c>
      <c r="K2796" s="75">
        <f>'THAM_SO_MOI'!$C$31*J2796/E2796</f>
        <v>428.9223525607165</v>
      </c>
      <c r="L2796" s="75">
        <f>K2796*'THAM_SO_MOI'!$C$52*'THAM_SO_MOI'!$C$17/'THAM_SO_MOI'!$C$26</f>
        <v>6006.297030632771</v>
      </c>
      <c r="M2796" s="75">
        <f>'THAM_SO_MOI'!$C$15*'THAM_SO_MOI'!$C$16*F2796^2</f>
        <v>476.9678347111831</v>
      </c>
      <c r="N2796" s="75">
        <f>'THAM_SO_MOI'!$C$12*I2796</f>
        <v>1130.112</v>
      </c>
      <c r="O2796" s="75">
        <f>M2796+N2796</f>
        <v>1607.0798347111831</v>
      </c>
      <c r="P2796" s="75">
        <f>(MIN(L2796,'THAM_SO_MOI'!$C$41)-O2796)/('THAM_SO_MOI'!$C$11*H2796)</f>
        <v>0.48647699673406203</v>
      </c>
      <c r="Q2796" s="75">
        <f>IF(P2796&gt;0,1/P2796,NA())</f>
        <v>2.055595653470663</v>
      </c>
      <c r="R2796" s="75">
        <f>F2796-F2795</f>
        <v>0.007943393307218827</v>
      </c>
      <c r="S2796" s="75">
        <f>0.5*(Q2795+Q2796)*R2796</f>
        <v>0.016327802873145142</v>
      </c>
      <c r="T2796" s="75">
        <f>0.5*(F2795*Q2795+F2796*Q2796)*R2796</f>
        <v>0.20843673770637505</v>
      </c>
      <c r="U2796" s="76">
        <f>U2795+S2796</f>
        <v>19.28844362219555</v>
      </c>
      <c r="V2796" s="76">
        <f>V2795+T2796</f>
        <v>146.96476342520126</v>
      </c>
    </row>
    <row r="2797" spans="1:22" ht="19" customHeight="1">
      <c r="A2797" s="68" t="s">
        <v>376</v>
      </c>
      <c r="B2797" s="74">
        <v>4</v>
      </c>
      <c r="C2797" s="68" t="s">
        <v>363</v>
      </c>
      <c r="D2797" s="68" t="s">
        <v>364</v>
      </c>
      <c r="E2797" s="75">
        <f>60*F2797*'THAM_SO_MOI'!$C$52/(2*PI()*'THAM_SO_MOI'!$C$26)</f>
        <v>2010.16756898534</v>
      </c>
      <c r="F2797" s="75">
        <f>'HANH_TRINH'!$F$2468+('THAM_SO_MOI'!$F$52-'HANH_TRINH'!$F$2468)*328/'THAM_SO_MOI'!$C$42</f>
        <v>12.777670344067978</v>
      </c>
      <c r="G2797" s="75">
        <f>3.6*F2797</f>
        <v>45.99961323864472</v>
      </c>
      <c r="H2797" s="75">
        <f>'THAM_SO_MOI'!$D$52</f>
        <v>1.1774754878398197</v>
      </c>
      <c r="I2797" s="75">
        <f>IF(F2797&gt;'THAM_SO_MOI'!$C$14,'THAM_SO_MOI'!$C$13*(1+F2797^2/1500),'THAM_SO_MOI'!$C$13)</f>
        <v>0.015</v>
      </c>
      <c r="J2797" s="75">
        <f>'THAM_SO_MOI'!$C$40*('THAM_SO_MOI'!$C$23*(E2797/'THAM_SO_MOI'!$C$22)+'THAM_SO_MOI'!$C$24*(E2797/'THAM_SO_MOI'!$C$22)^2-'THAM_SO_MOI'!$C$25*(E2797/'THAM_SO_MOI'!$C$22)^3)</f>
        <v>90.27695664184384</v>
      </c>
      <c r="K2797" s="75">
        <f>'THAM_SO_MOI'!$C$31*J2797/E2797</f>
        <v>428.941401355733</v>
      </c>
      <c r="L2797" s="75">
        <f>K2797*'THAM_SO_MOI'!$C$52*'THAM_SO_MOI'!$C$17/'THAM_SO_MOI'!$C$26</f>
        <v>6006.563775231791</v>
      </c>
      <c r="M2797" s="75">
        <f>'THAM_SO_MOI'!$C$15*'THAM_SO_MOI'!$C$16*F2797^2</f>
        <v>477.56141380839733</v>
      </c>
      <c r="N2797" s="75">
        <f>'THAM_SO_MOI'!$C$12*I2797</f>
        <v>1130.112</v>
      </c>
      <c r="O2797" s="75">
        <f>M2797+N2797</f>
        <v>1607.6734138083975</v>
      </c>
      <c r="P2797" s="75">
        <f>(MIN(L2797,'THAM_SO_MOI'!$C$41)-O2797)/('THAM_SO_MOI'!$C$11*H2797)</f>
        <v>0.48644085451647434</v>
      </c>
      <c r="Q2797" s="75">
        <f>IF(P2797&gt;0,1/P2797,NA())</f>
        <v>2.0557483827998104</v>
      </c>
      <c r="R2797" s="75">
        <f>F2797-F2796</f>
        <v>0.007943393307218827</v>
      </c>
      <c r="S2797" s="75">
        <f>0.5*(Q2796+Q2797)*R2797</f>
        <v>0.01632901135069246</v>
      </c>
      <c r="T2797" s="75">
        <f>0.5*(F2796*Q2796+F2797*Q2797)*R2797</f>
        <v>0.20858187261316374</v>
      </c>
      <c r="U2797" s="76">
        <f>U2796+S2797</f>
        <v>19.304772633546243</v>
      </c>
      <c r="V2797" s="76">
        <f>V2796+T2797</f>
        <v>147.17334529781442</v>
      </c>
    </row>
    <row r="2798" spans="1:22" ht="19" customHeight="1">
      <c r="A2798" s="68" t="s">
        <v>376</v>
      </c>
      <c r="B2798" s="74">
        <v>4</v>
      </c>
      <c r="C2798" s="68" t="s">
        <v>363</v>
      </c>
      <c r="D2798" s="68" t="s">
        <v>364</v>
      </c>
      <c r="E2798" s="75">
        <f>60*F2798*'THAM_SO_MOI'!$C$52/(2*PI()*'THAM_SO_MOI'!$C$26)</f>
        <v>2011.4172139663037</v>
      </c>
      <c r="F2798" s="75">
        <f>'HANH_TRINH'!$F$2468+('THAM_SO_MOI'!$F$52-'HANH_TRINH'!$F$2468)*329/'THAM_SO_MOI'!$C$42</f>
        <v>12.785613737375199</v>
      </c>
      <c r="G2798" s="75">
        <f>3.6*F2798</f>
        <v>46.02820945455072</v>
      </c>
      <c r="H2798" s="75">
        <f>'THAM_SO_MOI'!$D$52</f>
        <v>1.1774754878398197</v>
      </c>
      <c r="I2798" s="75">
        <f>IF(F2798&gt;'THAM_SO_MOI'!$C$14,'THAM_SO_MOI'!$C$13*(1+F2798^2/1500),'THAM_SO_MOI'!$C$13)</f>
        <v>0.015</v>
      </c>
      <c r="J2798" s="75">
        <f>'THAM_SO_MOI'!$C$40*('THAM_SO_MOI'!$C$23*(E2798/'THAM_SO_MOI'!$C$22)+'THAM_SO_MOI'!$C$24*(E2798/'THAM_SO_MOI'!$C$22)^2-'THAM_SO_MOI'!$C$25*(E2798/'THAM_SO_MOI'!$C$22)^3)</f>
        <v>90.33705808690875</v>
      </c>
      <c r="K2798" s="75">
        <f>'THAM_SO_MOI'!$C$31*J2798/E2798</f>
        <v>428.9602986510221</v>
      </c>
      <c r="L2798" s="75">
        <f>K2798*'THAM_SO_MOI'!$C$52*'THAM_SO_MOI'!$C$17/'THAM_SO_MOI'!$C$26</f>
        <v>6006.828398345751</v>
      </c>
      <c r="M2798" s="75">
        <f>'THAM_SO_MOI'!$C$15*'THAM_SO_MOI'!$C$16*F2798^2</f>
        <v>478.1553620259704</v>
      </c>
      <c r="N2798" s="75">
        <f>'THAM_SO_MOI'!$C$12*I2798</f>
        <v>1130.112</v>
      </c>
      <c r="O2798" s="75">
        <f>M2798+N2798</f>
        <v>1608.2673620259704</v>
      </c>
      <c r="P2798" s="75">
        <f>(MIN(L2798,'THAM_SO_MOI'!$C$41)-O2798)/('THAM_SO_MOI'!$C$11*H2798)</f>
        <v>0.4864044368811953</v>
      </c>
      <c r="Q2798" s="75">
        <f>IF(P2798&gt;0,1/P2798,NA())</f>
        <v>2.0559022989427436</v>
      </c>
      <c r="R2798" s="75">
        <f>F2798-F2797</f>
        <v>0.007943393307220603</v>
      </c>
      <c r="S2798" s="75">
        <f>0.5*(Q2797+Q2798)*R2798</f>
        <v>0.016330229253491417</v>
      </c>
      <c r="T2798" s="75">
        <f>0.5*(F2797*Q2797+F2798*Q2798)*R2798</f>
        <v>0.20872714718897825</v>
      </c>
      <c r="U2798" s="76">
        <f>U2797+S2798</f>
        <v>19.321102862799734</v>
      </c>
      <c r="V2798" s="76">
        <f>V2797+T2798</f>
        <v>147.3820724450034</v>
      </c>
    </row>
    <row r="2799" spans="1:22" ht="19" customHeight="1">
      <c r="A2799" s="68" t="s">
        <v>376</v>
      </c>
      <c r="B2799" s="74">
        <v>4</v>
      </c>
      <c r="C2799" s="68" t="s">
        <v>363</v>
      </c>
      <c r="D2799" s="68" t="s">
        <v>364</v>
      </c>
      <c r="E2799" s="75">
        <f>60*F2799*'THAM_SO_MOI'!$C$52/(2*PI()*'THAM_SO_MOI'!$C$26)</f>
        <v>2012.6668589472667</v>
      </c>
      <c r="F2799" s="75">
        <f>'HANH_TRINH'!$F$2468+('THAM_SO_MOI'!$F$52-'HANH_TRINH'!$F$2468)*330/'THAM_SO_MOI'!$C$42</f>
        <v>12.793557130682418</v>
      </c>
      <c r="G2799" s="75">
        <f>3.6*F2799</f>
        <v>46.056805670456704</v>
      </c>
      <c r="H2799" s="75">
        <f>'THAM_SO_MOI'!$D$52</f>
        <v>1.1774754878398197</v>
      </c>
      <c r="I2799" s="75">
        <f>IF(F2799&gt;'THAM_SO_MOI'!$C$14,'THAM_SO_MOI'!$C$13*(1+F2799^2/1500),'THAM_SO_MOI'!$C$13)</f>
        <v>0.015</v>
      </c>
      <c r="J2799" s="75">
        <f>'THAM_SO_MOI'!$C$40*('THAM_SO_MOI'!$C$23*(E2799/'THAM_SO_MOI'!$C$22)+'THAM_SO_MOI'!$C$24*(E2799/'THAM_SO_MOI'!$C$22)^2-'THAM_SO_MOI'!$C$25*(E2799/'THAM_SO_MOI'!$C$22)^3)</f>
        <v>90.3971325519709</v>
      </c>
      <c r="K2799" s="75">
        <f>'THAM_SO_MOI'!$C$31*J2799/E2799</f>
        <v>428.9790444465836</v>
      </c>
      <c r="L2799" s="75">
        <f>K2799*'THAM_SO_MOI'!$C$52*'THAM_SO_MOI'!$C$17/'THAM_SO_MOI'!$C$26</f>
        <v>6007.09089997465</v>
      </c>
      <c r="M2799" s="75">
        <f>'THAM_SO_MOI'!$C$15*'THAM_SO_MOI'!$C$16*F2799^2</f>
        <v>478.7496793639022</v>
      </c>
      <c r="N2799" s="75">
        <f>'THAM_SO_MOI'!$C$12*I2799</f>
        <v>1130.112</v>
      </c>
      <c r="O2799" s="75">
        <f>M2799+N2799</f>
        <v>1608.8616793639023</v>
      </c>
      <c r="P2799" s="75">
        <f>(MIN(L2799,'THAM_SO_MOI'!$C$41)-O2799)/('THAM_SO_MOI'!$C$11*H2799)</f>
        <v>0.48636774382822456</v>
      </c>
      <c r="Q2799" s="75">
        <f>IF(P2799&gt;0,1/P2799,NA())</f>
        <v>2.056057402427535</v>
      </c>
      <c r="R2799" s="75">
        <f>F2799-F2798</f>
        <v>0.007943393307218827</v>
      </c>
      <c r="S2799" s="75">
        <f>0.5*(Q2798+Q2799)*R2799</f>
        <v>0.016331456585709097</v>
      </c>
      <c r="T2799" s="75">
        <f>0.5*(F2798*Q2798+F2799*Q2799)*R2799</f>
        <v>0.20887256171171936</v>
      </c>
      <c r="U2799" s="76">
        <f>U2798+S2799</f>
        <v>19.337434319385444</v>
      </c>
      <c r="V2799" s="76">
        <f>V2798+T2799</f>
        <v>147.59094500671512</v>
      </c>
    </row>
    <row r="2800" spans="1:22" ht="19" customHeight="1">
      <c r="A2800" s="68" t="s">
        <v>376</v>
      </c>
      <c r="B2800" s="74">
        <v>4</v>
      </c>
      <c r="C2800" s="68" t="s">
        <v>363</v>
      </c>
      <c r="D2800" s="68" t="s">
        <v>364</v>
      </c>
      <c r="E2800" s="75">
        <f>60*F2800*'THAM_SO_MOI'!$C$52/(2*PI()*'THAM_SO_MOI'!$C$26)</f>
        <v>2013.9165039282304</v>
      </c>
      <c r="F2800" s="75">
        <f>'HANH_TRINH'!$F$2468+('THAM_SO_MOI'!$F$52-'HANH_TRINH'!$F$2468)*331/'THAM_SO_MOI'!$C$42</f>
        <v>12.801500523989638</v>
      </c>
      <c r="G2800" s="75">
        <f>3.6*F2800</f>
        <v>46.085401886362696</v>
      </c>
      <c r="H2800" s="75">
        <f>'THAM_SO_MOI'!$D$52</f>
        <v>1.1774754878398197</v>
      </c>
      <c r="I2800" s="75">
        <f>IF(F2800&gt;'THAM_SO_MOI'!$C$14,'THAM_SO_MOI'!$C$13*(1+F2800^2/1500),'THAM_SO_MOI'!$C$13)</f>
        <v>0.015</v>
      </c>
      <c r="J2800" s="75">
        <f>'THAM_SO_MOI'!$C$40*('THAM_SO_MOI'!$C$23*(E2800/'THAM_SO_MOI'!$C$22)+'THAM_SO_MOI'!$C$24*(E2800/'THAM_SO_MOI'!$C$22)^2-'THAM_SO_MOI'!$C$25*(E2800/'THAM_SO_MOI'!$C$22)^3)</f>
        <v>90.45717997756468</v>
      </c>
      <c r="K2800" s="75">
        <f>'THAM_SO_MOI'!$C$31*J2800/E2800</f>
        <v>428.99763874241773</v>
      </c>
      <c r="L2800" s="75">
        <f>K2800*'THAM_SO_MOI'!$C$52*'THAM_SO_MOI'!$C$17/'THAM_SO_MOI'!$C$26</f>
        <v>6007.351280118488</v>
      </c>
      <c r="M2800" s="75">
        <f>'THAM_SO_MOI'!$C$15*'THAM_SO_MOI'!$C$16*F2800^2</f>
        <v>479.34436582219297</v>
      </c>
      <c r="N2800" s="75">
        <f>'THAM_SO_MOI'!$C$12*I2800</f>
        <v>1130.112</v>
      </c>
      <c r="O2800" s="75">
        <f>M2800+N2800</f>
        <v>1609.456365822193</v>
      </c>
      <c r="P2800" s="75">
        <f>(MIN(L2800,'THAM_SO_MOI'!$C$41)-O2800)/('THAM_SO_MOI'!$C$11*H2800)</f>
        <v>0.4863307753575623</v>
      </c>
      <c r="Q2800" s="75">
        <f>IF(P2800&gt;0,1/P2800,NA())</f>
        <v>2.056213693786447</v>
      </c>
      <c r="R2800" s="75">
        <f>F2800-F2799</f>
        <v>0.007943393307220603</v>
      </c>
      <c r="S2800" s="75">
        <f>0.5*(Q2799+Q2800)*R2800</f>
        <v>0.01633269335157144</v>
      </c>
      <c r="T2800" s="75">
        <f>0.5*(F2799*Q2799+F2800*Q2800)*R2800</f>
        <v>0.20901811646017335</v>
      </c>
      <c r="U2800" s="76">
        <f>U2799+S2800</f>
        <v>19.353767012737016</v>
      </c>
      <c r="V2800" s="76">
        <f>V2799+T2800</f>
        <v>147.7999631231753</v>
      </c>
    </row>
    <row r="2801" spans="1:22" ht="19" customHeight="1">
      <c r="A2801" s="68" t="s">
        <v>376</v>
      </c>
      <c r="B2801" s="74">
        <v>4</v>
      </c>
      <c r="C2801" s="68" t="s">
        <v>363</v>
      </c>
      <c r="D2801" s="68" t="s">
        <v>364</v>
      </c>
      <c r="E2801" s="75">
        <f>60*F2801*'THAM_SO_MOI'!$C$52/(2*PI()*'THAM_SO_MOI'!$C$26)</f>
        <v>2015.1661489091935</v>
      </c>
      <c r="F2801" s="75">
        <f>'HANH_TRINH'!$F$2468+('THAM_SO_MOI'!$F$52-'HANH_TRINH'!$F$2468)*332/'THAM_SO_MOI'!$C$42</f>
        <v>12.809443917296857</v>
      </c>
      <c r="G2801" s="75">
        <f>3.6*F2801</f>
        <v>46.11399810226869</v>
      </c>
      <c r="H2801" s="75">
        <f>'THAM_SO_MOI'!$D$52</f>
        <v>1.1774754878398197</v>
      </c>
      <c r="I2801" s="75">
        <f>IF(F2801&gt;'THAM_SO_MOI'!$C$14,'THAM_SO_MOI'!$C$13*(1+F2801^2/1500),'THAM_SO_MOI'!$C$13)</f>
        <v>0.015</v>
      </c>
      <c r="J2801" s="75">
        <f>'THAM_SO_MOI'!$C$40*('THAM_SO_MOI'!$C$23*(E2801/'THAM_SO_MOI'!$C$22)+'THAM_SO_MOI'!$C$24*(E2801/'THAM_SO_MOI'!$C$22)^2-'THAM_SO_MOI'!$C$25*(E2801/'THAM_SO_MOI'!$C$22)^3)</f>
        <v>90.51720030422433</v>
      </c>
      <c r="K2801" s="75">
        <f>'THAM_SO_MOI'!$C$31*J2801/E2801</f>
        <v>429.01608153852436</v>
      </c>
      <c r="L2801" s="75">
        <f>K2801*'THAM_SO_MOI'!$C$52*'THAM_SO_MOI'!$C$17/'THAM_SO_MOI'!$C$26</f>
        <v>6007.609538777265</v>
      </c>
      <c r="M2801" s="75">
        <f>'THAM_SO_MOI'!$C$15*'THAM_SO_MOI'!$C$16*F2801^2</f>
        <v>479.9394214008423</v>
      </c>
      <c r="N2801" s="75">
        <f>'THAM_SO_MOI'!$C$12*I2801</f>
        <v>1130.112</v>
      </c>
      <c r="O2801" s="75">
        <f>M2801+N2801</f>
        <v>1610.0514214008424</v>
      </c>
      <c r="P2801" s="75">
        <f>(MIN(L2801,'THAM_SO_MOI'!$C$41)-O2801)/('THAM_SO_MOI'!$C$11*H2801)</f>
        <v>0.4862935314692085</v>
      </c>
      <c r="Q2801" s="75">
        <f>IF(P2801&gt;0,1/P2801,NA())</f>
        <v>2.0563711735559425</v>
      </c>
      <c r="R2801" s="75">
        <f>F2801-F2800</f>
        <v>0.007943393307218827</v>
      </c>
      <c r="S2801" s="75">
        <f>0.5*(Q2800+Q2801)*R2801</f>
        <v>0.016333939555308482</v>
      </c>
      <c r="T2801" s="75">
        <f>0.5*(F2800*Q2800+F2801*Q2801)*R2801</f>
        <v>0.2091638117133135</v>
      </c>
      <c r="U2801" s="76">
        <f>U2800+S2801</f>
        <v>19.370100952292326</v>
      </c>
      <c r="V2801" s="76">
        <f>V2800+T2801</f>
        <v>148.00912693488863</v>
      </c>
    </row>
    <row r="2802" spans="1:22" ht="19" customHeight="1">
      <c r="A2802" s="68" t="s">
        <v>376</v>
      </c>
      <c r="B2802" s="74">
        <v>4</v>
      </c>
      <c r="C2802" s="68" t="s">
        <v>363</v>
      </c>
      <c r="D2802" s="68" t="s">
        <v>364</v>
      </c>
      <c r="E2802" s="75">
        <f>60*F2802*'THAM_SO_MOI'!$C$52/(2*PI()*'THAM_SO_MOI'!$C$26)</f>
        <v>2016.4157938901562</v>
      </c>
      <c r="F2802" s="75">
        <f>'HANH_TRINH'!$F$2468+('THAM_SO_MOI'!$F$52-'HANH_TRINH'!$F$2468)*333/'THAM_SO_MOI'!$C$42</f>
        <v>12.817387310604076</v>
      </c>
      <c r="G2802" s="75">
        <f>3.6*F2802</f>
        <v>46.14259431817467</v>
      </c>
      <c r="H2802" s="75">
        <f>'THAM_SO_MOI'!$D$52</f>
        <v>1.1774754878398197</v>
      </c>
      <c r="I2802" s="75">
        <f>IF(F2802&gt;'THAM_SO_MOI'!$C$14,'THAM_SO_MOI'!$C$13*(1+F2802^2/1500),'THAM_SO_MOI'!$C$13)</f>
        <v>0.015</v>
      </c>
      <c r="J2802" s="75">
        <f>'THAM_SO_MOI'!$C$40*('THAM_SO_MOI'!$C$23*(E2802/'THAM_SO_MOI'!$C$22)+'THAM_SO_MOI'!$C$24*(E2802/'THAM_SO_MOI'!$C$22)^2-'THAM_SO_MOI'!$C$25*(E2802/'THAM_SO_MOI'!$C$22)^3)</f>
        <v>90.57719347248415</v>
      </c>
      <c r="K2802" s="75">
        <f>'THAM_SO_MOI'!$C$31*J2802/E2802</f>
        <v>429.03437283490337</v>
      </c>
      <c r="L2802" s="75">
        <f>K2802*'THAM_SO_MOI'!$C$52*'THAM_SO_MOI'!$C$17/'THAM_SO_MOI'!$C$26</f>
        <v>6007.865675950979</v>
      </c>
      <c r="M2802" s="75">
        <f>'THAM_SO_MOI'!$C$15*'THAM_SO_MOI'!$C$16*F2802^2</f>
        <v>480.5348460998506</v>
      </c>
      <c r="N2802" s="75">
        <f>'THAM_SO_MOI'!$C$12*I2802</f>
        <v>1130.112</v>
      </c>
      <c r="O2802" s="75">
        <f>M2802+N2802</f>
        <v>1610.6468460998508</v>
      </c>
      <c r="P2802" s="75">
        <f>(MIN(L2802,'THAM_SO_MOI'!$C$41)-O2802)/('THAM_SO_MOI'!$C$11*H2802)</f>
        <v>0.48625601216316305</v>
      </c>
      <c r="Q2802" s="75">
        <f>IF(P2802&gt;0,1/P2802,NA())</f>
        <v>2.056529842276686</v>
      </c>
      <c r="R2802" s="75">
        <f>F2802-F2801</f>
        <v>0.007943393307218827</v>
      </c>
      <c r="S2802" s="75">
        <f>0.5*(Q2801+Q2802)*R2802</f>
        <v>0.016335195201209206</v>
      </c>
      <c r="T2802" s="75">
        <f>0.5*(F2801*Q2801+F2802*Q2802)*R2802</f>
        <v>0.20930964775100258</v>
      </c>
      <c r="U2802" s="76">
        <f>U2801+S2802</f>
        <v>19.386436147493534</v>
      </c>
      <c r="V2802" s="76">
        <f>V2801+T2802</f>
        <v>148.21843658263964</v>
      </c>
    </row>
    <row r="2803" spans="1:22" ht="19" customHeight="1">
      <c r="A2803" s="68" t="s">
        <v>376</v>
      </c>
      <c r="B2803" s="74">
        <v>4</v>
      </c>
      <c r="C2803" s="68" t="s">
        <v>363</v>
      </c>
      <c r="D2803" s="68" t="s">
        <v>364</v>
      </c>
      <c r="E2803" s="75">
        <f>60*F2803*'THAM_SO_MOI'!$C$52/(2*PI()*'THAM_SO_MOI'!$C$26)</f>
        <v>2017.66543887112</v>
      </c>
      <c r="F2803" s="75">
        <f>'HANH_TRINH'!$F$2468+('THAM_SO_MOI'!$F$52-'HANH_TRINH'!$F$2468)*334/'THAM_SO_MOI'!$C$42</f>
        <v>12.825330703911296</v>
      </c>
      <c r="G2803" s="75">
        <f>3.6*F2803</f>
        <v>46.171190534080665</v>
      </c>
      <c r="H2803" s="75">
        <f>'THAM_SO_MOI'!$D$52</f>
        <v>1.1774754878398197</v>
      </c>
      <c r="I2803" s="75">
        <f>IF(F2803&gt;'THAM_SO_MOI'!$C$14,'THAM_SO_MOI'!$C$13*(1+F2803^2/1500),'THAM_SO_MOI'!$C$13)</f>
        <v>0.015</v>
      </c>
      <c r="J2803" s="75">
        <f>'THAM_SO_MOI'!$C$40*('THAM_SO_MOI'!$C$23*(E2803/'THAM_SO_MOI'!$C$22)+'THAM_SO_MOI'!$C$24*(E2803/'THAM_SO_MOI'!$C$22)^2-'THAM_SO_MOI'!$C$25*(E2803/'THAM_SO_MOI'!$C$22)^3)</f>
        <v>90.63715942287863</v>
      </c>
      <c r="K2803" s="75">
        <f>'THAM_SO_MOI'!$C$31*J2803/E2803</f>
        <v>429.05251263155526</v>
      </c>
      <c r="L2803" s="75">
        <f>K2803*'THAM_SO_MOI'!$C$52*'THAM_SO_MOI'!$C$17/'THAM_SO_MOI'!$C$26</f>
        <v>6008.119691639637</v>
      </c>
      <c r="M2803" s="75">
        <f>'THAM_SO_MOI'!$C$15*'THAM_SO_MOI'!$C$16*F2803^2</f>
        <v>481.1306399192178</v>
      </c>
      <c r="N2803" s="75">
        <f>'THAM_SO_MOI'!$C$12*I2803</f>
        <v>1130.112</v>
      </c>
      <c r="O2803" s="75">
        <f>M2803+N2803</f>
        <v>1611.242639919218</v>
      </c>
      <c r="P2803" s="75">
        <f>(MIN(L2803,'THAM_SO_MOI'!$C$41)-O2803)/('THAM_SO_MOI'!$C$11*H2803)</f>
        <v>0.48621821743942645</v>
      </c>
      <c r="Q2803" s="75">
        <f>IF(P2803&gt;0,1/P2803,NA())</f>
        <v>2.0566897004935463</v>
      </c>
      <c r="R2803" s="75">
        <f>F2803-F2802</f>
        <v>0.007943393307220603</v>
      </c>
      <c r="S2803" s="75">
        <f>0.5*(Q2802+Q2803)*R2803</f>
        <v>0.016336460293585025</v>
      </c>
      <c r="T2803" s="75">
        <f>0.5*(F2802*Q2802+F2803*Q2803)*R2803</f>
        <v>0.20945562485352728</v>
      </c>
      <c r="U2803" s="76">
        <f>U2802+S2803</f>
        <v>19.402772607787117</v>
      </c>
      <c r="V2803" s="76">
        <f>V2802+T2803</f>
        <v>148.42789220749316</v>
      </c>
    </row>
    <row r="2804" spans="1:22" ht="19" customHeight="1">
      <c r="A2804" s="68" t="s">
        <v>376</v>
      </c>
      <c r="B2804" s="74">
        <v>4</v>
      </c>
      <c r="C2804" s="68" t="s">
        <v>363</v>
      </c>
      <c r="D2804" s="68" t="s">
        <v>364</v>
      </c>
      <c r="E2804" s="75">
        <f>60*F2804*'THAM_SO_MOI'!$C$52/(2*PI()*'THAM_SO_MOI'!$C$26)</f>
        <v>2018.9150838520834</v>
      </c>
      <c r="F2804" s="75">
        <f>'HANH_TRINH'!$F$2468+('THAM_SO_MOI'!$F$52-'HANH_TRINH'!$F$2468)*335/'THAM_SO_MOI'!$C$42</f>
        <v>12.833274097218515</v>
      </c>
      <c r="G2804" s="75">
        <f>3.6*F2804</f>
        <v>46.19978674998666</v>
      </c>
      <c r="H2804" s="75">
        <f>'THAM_SO_MOI'!$D$52</f>
        <v>1.1774754878398197</v>
      </c>
      <c r="I2804" s="75">
        <f>IF(F2804&gt;'THAM_SO_MOI'!$C$14,'THAM_SO_MOI'!$C$13*(1+F2804^2/1500),'THAM_SO_MOI'!$C$13)</f>
        <v>0.015</v>
      </c>
      <c r="J2804" s="75">
        <f>'THAM_SO_MOI'!$C$40*('THAM_SO_MOI'!$C$23*(E2804/'THAM_SO_MOI'!$C$22)+'THAM_SO_MOI'!$C$24*(E2804/'THAM_SO_MOI'!$C$22)^2-'THAM_SO_MOI'!$C$25*(E2804/'THAM_SO_MOI'!$C$22)^3)</f>
        <v>90.69709809594187</v>
      </c>
      <c r="K2804" s="75">
        <f>'THAM_SO_MOI'!$C$31*J2804/E2804</f>
        <v>429.07050092847936</v>
      </c>
      <c r="L2804" s="75">
        <f>K2804*'THAM_SO_MOI'!$C$52*'THAM_SO_MOI'!$C$17/'THAM_SO_MOI'!$C$26</f>
        <v>6008.37158584323</v>
      </c>
      <c r="M2804" s="75">
        <f>'THAM_SO_MOI'!$C$15*'THAM_SO_MOI'!$C$16*F2804^2</f>
        <v>481.72680285894364</v>
      </c>
      <c r="N2804" s="75">
        <f>'THAM_SO_MOI'!$C$12*I2804</f>
        <v>1130.112</v>
      </c>
      <c r="O2804" s="75">
        <f>M2804+N2804</f>
        <v>1611.8388028589438</v>
      </c>
      <c r="P2804" s="75">
        <f>(MIN(L2804,'THAM_SO_MOI'!$C$41)-O2804)/('THAM_SO_MOI'!$C$11*H2804)</f>
        <v>0.4861801472979981</v>
      </c>
      <c r="Q2804" s="75">
        <f>IF(P2804&gt;0,1/P2804,NA())</f>
        <v>2.05685074875561</v>
      </c>
      <c r="R2804" s="75">
        <f>F2804-F2803</f>
        <v>0.007943393307218827</v>
      </c>
      <c r="S2804" s="75">
        <f>0.5*(Q2803+Q2804)*R2804</f>
        <v>0.016337734836769834</v>
      </c>
      <c r="T2804" s="75">
        <f>0.5*(F2803*Q2803+F2804*Q2804)*R2804</f>
        <v>0.20960174330159972</v>
      </c>
      <c r="U2804" s="76">
        <f>U2803+S2804</f>
        <v>19.41911034262389</v>
      </c>
      <c r="V2804" s="76">
        <f>V2803+T2804</f>
        <v>148.63749395079475</v>
      </c>
    </row>
    <row r="2805" spans="1:22" ht="19" customHeight="1">
      <c r="A2805" s="68" t="s">
        <v>376</v>
      </c>
      <c r="B2805" s="74">
        <v>4</v>
      </c>
      <c r="C2805" s="68" t="s">
        <v>363</v>
      </c>
      <c r="D2805" s="68" t="s">
        <v>364</v>
      </c>
      <c r="E2805" s="75">
        <f>60*F2805*'THAM_SO_MOI'!$C$52/(2*PI()*'THAM_SO_MOI'!$C$26)</f>
        <v>2020.1647288330466</v>
      </c>
      <c r="F2805" s="75">
        <f>'HANH_TRINH'!$F$2468+('THAM_SO_MOI'!$F$52-'HANH_TRINH'!$F$2468)*336/'THAM_SO_MOI'!$C$42</f>
        <v>12.841217490525734</v>
      </c>
      <c r="G2805" s="75">
        <f>3.6*F2805</f>
        <v>46.22838296589264</v>
      </c>
      <c r="H2805" s="75">
        <f>'THAM_SO_MOI'!$D$52</f>
        <v>1.1774754878398197</v>
      </c>
      <c r="I2805" s="75">
        <f>IF(F2805&gt;'THAM_SO_MOI'!$C$14,'THAM_SO_MOI'!$C$13*(1+F2805^2/1500),'THAM_SO_MOI'!$C$13)</f>
        <v>0.015</v>
      </c>
      <c r="J2805" s="75">
        <f>'THAM_SO_MOI'!$C$40*('THAM_SO_MOI'!$C$23*(E2805/'THAM_SO_MOI'!$C$22)+'THAM_SO_MOI'!$C$24*(E2805/'THAM_SO_MOI'!$C$22)^2-'THAM_SO_MOI'!$C$25*(E2805/'THAM_SO_MOI'!$C$22)^3)</f>
        <v>90.75700943220828</v>
      </c>
      <c r="K2805" s="75">
        <f>'THAM_SO_MOI'!$C$31*J2805/E2805</f>
        <v>429.0883377256761</v>
      </c>
      <c r="L2805" s="75">
        <f>K2805*'THAM_SO_MOI'!$C$52*'THAM_SO_MOI'!$C$17/'THAM_SO_MOI'!$C$26</f>
        <v>6008.621358561763</v>
      </c>
      <c r="M2805" s="75">
        <f>'THAM_SO_MOI'!$C$15*'THAM_SO_MOI'!$C$16*F2805^2</f>
        <v>482.3233349190283</v>
      </c>
      <c r="N2805" s="75">
        <f>'THAM_SO_MOI'!$C$12*I2805</f>
        <v>1130.112</v>
      </c>
      <c r="O2805" s="75">
        <f>M2805+N2805</f>
        <v>1612.4353349190283</v>
      </c>
      <c r="P2805" s="75">
        <f>(MIN(L2805,'THAM_SO_MOI'!$C$41)-O2805)/('THAM_SO_MOI'!$C$11*H2805)</f>
        <v>0.48614180173887817</v>
      </c>
      <c r="Q2805" s="75">
        <f>IF(P2805&gt;0,1/P2805,NA())</f>
        <v>2.057012987616175</v>
      </c>
      <c r="R2805" s="75">
        <f>F2805-F2804</f>
        <v>0.007943393307218827</v>
      </c>
      <c r="S2805" s="75">
        <f>0.5*(Q2804+Q2805)*R2805</f>
        <v>0.016339018835152937</v>
      </c>
      <c r="T2805" s="75">
        <f>0.5*(F2804*Q2804+F2805*Q2805)*R2805</f>
        <v>0.20974800337678096</v>
      </c>
      <c r="U2805" s="76">
        <f>U2804+S2805</f>
        <v>19.435449361459042</v>
      </c>
      <c r="V2805" s="76">
        <f>V2804+T2805</f>
        <v>148.84724195417152</v>
      </c>
    </row>
    <row r="2806" spans="1:22" ht="19" customHeight="1">
      <c r="A2806" s="68" t="s">
        <v>376</v>
      </c>
      <c r="B2806" s="74">
        <v>4</v>
      </c>
      <c r="C2806" s="68" t="s">
        <v>363</v>
      </c>
      <c r="D2806" s="68" t="s">
        <v>364</v>
      </c>
      <c r="E2806" s="75">
        <f>60*F2806*'THAM_SO_MOI'!$C$52/(2*PI()*'THAM_SO_MOI'!$C$26)</f>
        <v>2021.41437381401</v>
      </c>
      <c r="F2806" s="75">
        <f>'HANH_TRINH'!$F$2468+('THAM_SO_MOI'!$F$52-'HANH_TRINH'!$F$2468)*337/'THAM_SO_MOI'!$C$42</f>
        <v>12.849160883832955</v>
      </c>
      <c r="G2806" s="75">
        <f>3.6*F2806</f>
        <v>46.25697918179864</v>
      </c>
      <c r="H2806" s="75">
        <f>'THAM_SO_MOI'!$D$52</f>
        <v>1.1774754878398197</v>
      </c>
      <c r="I2806" s="75">
        <f>IF(F2806&gt;'THAM_SO_MOI'!$C$14,'THAM_SO_MOI'!$C$13*(1+F2806^2/1500),'THAM_SO_MOI'!$C$13)</f>
        <v>0.015</v>
      </c>
      <c r="J2806" s="75">
        <f>'THAM_SO_MOI'!$C$40*('THAM_SO_MOI'!$C$23*(E2806/'THAM_SO_MOI'!$C$22)+'THAM_SO_MOI'!$C$24*(E2806/'THAM_SO_MOI'!$C$22)^2-'THAM_SO_MOI'!$C$25*(E2806/'THAM_SO_MOI'!$C$22)^3)</f>
        <v>90.81689337221214</v>
      </c>
      <c r="K2806" s="75">
        <f>'THAM_SO_MOI'!$C$31*J2806/E2806</f>
        <v>429.1060230231452</v>
      </c>
      <c r="L2806" s="75">
        <f>K2806*'THAM_SO_MOI'!$C$52*'THAM_SO_MOI'!$C$17/'THAM_SO_MOI'!$C$26</f>
        <v>6008.869009795234</v>
      </c>
      <c r="M2806" s="75">
        <f>'THAM_SO_MOI'!$C$15*'THAM_SO_MOI'!$C$16*F2806^2</f>
        <v>482.920236099472</v>
      </c>
      <c r="N2806" s="75">
        <f>'THAM_SO_MOI'!$C$12*I2806</f>
        <v>1130.112</v>
      </c>
      <c r="O2806" s="75">
        <f>M2806+N2806</f>
        <v>1613.0322360994721</v>
      </c>
      <c r="P2806" s="75">
        <f>(MIN(L2806,'THAM_SO_MOI'!$C$41)-O2806)/('THAM_SO_MOI'!$C$11*H2806)</f>
        <v>0.48610318076206654</v>
      </c>
      <c r="Q2806" s="75">
        <f>IF(P2806&gt;0,1/P2806,NA())</f>
        <v>2.057176417632764</v>
      </c>
      <c r="R2806" s="75">
        <f>F2806-F2805</f>
        <v>0.007943393307220603</v>
      </c>
      <c r="S2806" s="75">
        <f>0.5*(Q2805+Q2806)*R2806</f>
        <v>0.016340312293146166</v>
      </c>
      <c r="T2806" s="75">
        <f>0.5*(F2805*Q2805+F2806*Q2806)*R2806</f>
        <v>0.20989440536106113</v>
      </c>
      <c r="U2806" s="76">
        <f>U2805+S2806</f>
        <v>19.451789673752188</v>
      </c>
      <c r="V2806" s="76">
        <f>V2805+T2806</f>
        <v>149.0571363595326</v>
      </c>
    </row>
    <row r="2807" spans="1:22" ht="19" customHeight="1">
      <c r="A2807" s="68" t="s">
        <v>376</v>
      </c>
      <c r="B2807" s="74">
        <v>4</v>
      </c>
      <c r="C2807" s="68" t="s">
        <v>363</v>
      </c>
      <c r="D2807" s="68" t="s">
        <v>364</v>
      </c>
      <c r="E2807" s="75">
        <f>60*F2807*'THAM_SO_MOI'!$C$52/(2*PI()*'THAM_SO_MOI'!$C$26)</f>
        <v>2022.6640187949733</v>
      </c>
      <c r="F2807" s="75">
        <f>'HANH_TRINH'!$F$2468+('THAM_SO_MOI'!$F$52-'HANH_TRINH'!$F$2468)*338/'THAM_SO_MOI'!$C$42</f>
        <v>12.857104277140174</v>
      </c>
      <c r="G2807" s="75">
        <f>3.6*F2807</f>
        <v>46.285575397704626</v>
      </c>
      <c r="H2807" s="75">
        <f>'THAM_SO_MOI'!$D$52</f>
        <v>1.1774754878398197</v>
      </c>
      <c r="I2807" s="75">
        <f>IF(F2807&gt;'THAM_SO_MOI'!$C$14,'THAM_SO_MOI'!$C$13*(1+F2807^2/1500),'THAM_SO_MOI'!$C$13)</f>
        <v>0.015</v>
      </c>
      <c r="J2807" s="75">
        <f>'THAM_SO_MOI'!$C$40*('THAM_SO_MOI'!$C$23*(E2807/'THAM_SO_MOI'!$C$22)+'THAM_SO_MOI'!$C$24*(E2807/'THAM_SO_MOI'!$C$22)^2-'THAM_SO_MOI'!$C$25*(E2807/'THAM_SO_MOI'!$C$22)^3)</f>
        <v>90.8767498564878</v>
      </c>
      <c r="K2807" s="75">
        <f>'THAM_SO_MOI'!$C$31*J2807/E2807</f>
        <v>429.1235568208871</v>
      </c>
      <c r="L2807" s="75">
        <f>K2807*'THAM_SO_MOI'!$C$52*'THAM_SO_MOI'!$C$17/'THAM_SO_MOI'!$C$26</f>
        <v>6009.114539543646</v>
      </c>
      <c r="M2807" s="75">
        <f>'THAM_SO_MOI'!$C$15*'THAM_SO_MOI'!$C$16*F2807^2</f>
        <v>483.5175064002743</v>
      </c>
      <c r="N2807" s="75">
        <f>'THAM_SO_MOI'!$C$12*I2807</f>
        <v>1130.112</v>
      </c>
      <c r="O2807" s="75">
        <f>M2807+N2807</f>
        <v>1613.6295064002743</v>
      </c>
      <c r="P2807" s="75">
        <f>(MIN(L2807,'THAM_SO_MOI'!$C$41)-O2807)/('THAM_SO_MOI'!$C$11*H2807)</f>
        <v>0.4860642843675637</v>
      </c>
      <c r="Q2807" s="75">
        <f>IF(P2807&gt;0,1/P2807,NA())</f>
        <v>2.057341039367122</v>
      </c>
      <c r="R2807" s="75">
        <f>F2807-F2806</f>
        <v>0.007943393307218827</v>
      </c>
      <c r="S2807" s="75">
        <f>0.5*(Q2806+Q2807)*R2807</f>
        <v>0.01634161521518396</v>
      </c>
      <c r="T2807" s="75">
        <f>0.5*(F2806*Q2806+F2807*Q2807)*R2807</f>
        <v>0.21004094953686078</v>
      </c>
      <c r="U2807" s="76">
        <f>U2806+S2807</f>
        <v>19.46813128896737</v>
      </c>
      <c r="V2807" s="76">
        <f>V2806+T2807</f>
        <v>149.26717730906944</v>
      </c>
    </row>
    <row r="2808" spans="1:22" ht="19" customHeight="1">
      <c r="A2808" s="68" t="s">
        <v>376</v>
      </c>
      <c r="B2808" s="74">
        <v>4</v>
      </c>
      <c r="C2808" s="68" t="s">
        <v>363</v>
      </c>
      <c r="D2808" s="68" t="s">
        <v>364</v>
      </c>
      <c r="E2808" s="75">
        <f>60*F2808*'THAM_SO_MOI'!$C$52/(2*PI()*'THAM_SO_MOI'!$C$26)</f>
        <v>2023.9136637759364</v>
      </c>
      <c r="F2808" s="75">
        <f>'HANH_TRINH'!$F$2468+('THAM_SO_MOI'!$F$52-'HANH_TRINH'!$F$2468)*339/'THAM_SO_MOI'!$C$42</f>
        <v>12.865047670447392</v>
      </c>
      <c r="G2808" s="75">
        <f>3.6*F2808</f>
        <v>46.31417161361061</v>
      </c>
      <c r="H2808" s="75">
        <f>'THAM_SO_MOI'!$D$52</f>
        <v>1.1774754878398197</v>
      </c>
      <c r="I2808" s="75">
        <f>IF(F2808&gt;'THAM_SO_MOI'!$C$14,'THAM_SO_MOI'!$C$13*(1+F2808^2/1500),'THAM_SO_MOI'!$C$13)</f>
        <v>0.015</v>
      </c>
      <c r="J2808" s="75">
        <f>'THAM_SO_MOI'!$C$40*('THAM_SO_MOI'!$C$23*(E2808/'THAM_SO_MOI'!$C$22)+'THAM_SO_MOI'!$C$24*(E2808/'THAM_SO_MOI'!$C$22)^2-'THAM_SO_MOI'!$C$25*(E2808/'THAM_SO_MOI'!$C$22)^3)</f>
        <v>90.93657882556958</v>
      </c>
      <c r="K2808" s="75">
        <f>'THAM_SO_MOI'!$C$31*J2808/E2808</f>
        <v>429.14093911890154</v>
      </c>
      <c r="L2808" s="75">
        <f>K2808*'THAM_SO_MOI'!$C$52*'THAM_SO_MOI'!$C$17/'THAM_SO_MOI'!$C$26</f>
        <v>6009.357947806999</v>
      </c>
      <c r="M2808" s="75">
        <f>'THAM_SO_MOI'!$C$15*'THAM_SO_MOI'!$C$16*F2808^2</f>
        <v>484.11514582143536</v>
      </c>
      <c r="N2808" s="75">
        <f>'THAM_SO_MOI'!$C$12*I2808</f>
        <v>1130.112</v>
      </c>
      <c r="O2808" s="75">
        <f>M2808+N2808</f>
        <v>1614.2271458214354</v>
      </c>
      <c r="P2808" s="75">
        <f>(MIN(L2808,'THAM_SO_MOI'!$C$41)-O2808)/('THAM_SO_MOI'!$C$11*H2808)</f>
        <v>0.48602511255536945</v>
      </c>
      <c r="Q2808" s="75">
        <f>IF(P2808&gt;0,1/P2808,NA())</f>
        <v>2.057506853385229</v>
      </c>
      <c r="R2808" s="75">
        <f>F2808-F2807</f>
        <v>0.007943393307218827</v>
      </c>
      <c r="S2808" s="75">
        <f>0.5*(Q2807+Q2808)*R2808</f>
        <v>0.01634292760575626</v>
      </c>
      <c r="T2808" s="75">
        <f>0.5*(F2807*Q2807+F2808*Q2808)*R2808</f>
        <v>0.21018763618745537</v>
      </c>
      <c r="U2808" s="76">
        <f>U2807+S2808</f>
        <v>19.484474216573126</v>
      </c>
      <c r="V2808" s="76">
        <f>V2807+T2808</f>
        <v>149.47736494525688</v>
      </c>
    </row>
    <row r="2809" spans="1:22" ht="19" customHeight="1">
      <c r="A2809" s="68" t="s">
        <v>376</v>
      </c>
      <c r="B2809" s="74">
        <v>4</v>
      </c>
      <c r="C2809" s="68" t="s">
        <v>363</v>
      </c>
      <c r="D2809" s="68" t="s">
        <v>364</v>
      </c>
      <c r="E2809" s="75">
        <f>60*F2809*'THAM_SO_MOI'!$C$52/(2*PI()*'THAM_SO_MOI'!$C$26)</f>
        <v>2025.1633087568991</v>
      </c>
      <c r="F2809" s="75">
        <f>'HANH_TRINH'!$F$2468+('THAM_SO_MOI'!$F$52-'HANH_TRINH'!$F$2468)*340/'THAM_SO_MOI'!$C$42</f>
        <v>12.872991063754611</v>
      </c>
      <c r="G2809" s="75">
        <f>3.6*F2809</f>
        <v>46.3427678295166</v>
      </c>
      <c r="H2809" s="75">
        <f>'THAM_SO_MOI'!$D$52</f>
        <v>1.1774754878398197</v>
      </c>
      <c r="I2809" s="75">
        <f>IF(F2809&gt;'THAM_SO_MOI'!$C$14,'THAM_SO_MOI'!$C$13*(1+F2809^2/1500),'THAM_SO_MOI'!$C$13)</f>
        <v>0.015</v>
      </c>
      <c r="J2809" s="75">
        <f>'THAM_SO_MOI'!$C$40*('THAM_SO_MOI'!$C$23*(E2809/'THAM_SO_MOI'!$C$22)+'THAM_SO_MOI'!$C$24*(E2809/'THAM_SO_MOI'!$C$22)^2-'THAM_SO_MOI'!$C$25*(E2809/'THAM_SO_MOI'!$C$22)^3)</f>
        <v>90.99638021999172</v>
      </c>
      <c r="K2809" s="75">
        <f>'THAM_SO_MOI'!$C$31*J2809/E2809</f>
        <v>429.1581699171883</v>
      </c>
      <c r="L2809" s="75">
        <f>K2809*'THAM_SO_MOI'!$C$52*'THAM_SO_MOI'!$C$17/'THAM_SO_MOI'!$C$26</f>
        <v>6009.599234585286</v>
      </c>
      <c r="M2809" s="75">
        <f>'THAM_SO_MOI'!$C$15*'THAM_SO_MOI'!$C$16*F2809^2</f>
        <v>484.7131543629553</v>
      </c>
      <c r="N2809" s="75">
        <f>'THAM_SO_MOI'!$C$12*I2809</f>
        <v>1130.112</v>
      </c>
      <c r="O2809" s="75">
        <f>M2809+N2809</f>
        <v>1614.8251543629553</v>
      </c>
      <c r="P2809" s="75">
        <f>(MIN(L2809,'THAM_SO_MOI'!$C$41)-O2809)/('THAM_SO_MOI'!$C$11*H2809)</f>
        <v>0.4859856653254831</v>
      </c>
      <c r="Q2809" s="75">
        <f>IF(P2809&gt;0,1/P2809,NA())</f>
        <v>2.0576738602573017</v>
      </c>
      <c r="R2809" s="75">
        <f>F2809-F2808</f>
        <v>0.007943393307218827</v>
      </c>
      <c r="S2809" s="75">
        <f>0.5*(Q2808+Q2809)*R2809</f>
        <v>0.016344249469372036</v>
      </c>
      <c r="T2809" s="75">
        <f>0.5*(F2808*Q2808+F2809*Q2809)*R2809</f>
        <v>0.21033446559650795</v>
      </c>
      <c r="U2809" s="76">
        <f>U2808+S2809</f>
        <v>19.5008184660425</v>
      </c>
      <c r="V2809" s="76">
        <f>V2808+T2809</f>
        <v>149.68769941085338</v>
      </c>
    </row>
    <row r="2810" spans="1:22" ht="19" customHeight="1">
      <c r="A2810" s="68" t="s">
        <v>376</v>
      </c>
      <c r="B2810" s="74">
        <v>4</v>
      </c>
      <c r="C2810" s="68" t="s">
        <v>363</v>
      </c>
      <c r="D2810" s="68" t="s">
        <v>364</v>
      </c>
      <c r="E2810" s="75">
        <f>60*F2810*'THAM_SO_MOI'!$C$52/(2*PI()*'THAM_SO_MOI'!$C$26)</f>
        <v>2026.4129537378628</v>
      </c>
      <c r="F2810" s="75">
        <f>'HANH_TRINH'!$F$2468+('THAM_SO_MOI'!$F$52-'HANH_TRINH'!$F$2468)*341/'THAM_SO_MOI'!$C$42</f>
        <v>12.880934457061832</v>
      </c>
      <c r="G2810" s="75">
        <f>3.6*F2810</f>
        <v>46.371364045422595</v>
      </c>
      <c r="H2810" s="75">
        <f>'THAM_SO_MOI'!$D$52</f>
        <v>1.1774754878398197</v>
      </c>
      <c r="I2810" s="75">
        <f>IF(F2810&gt;'THAM_SO_MOI'!$C$14,'THAM_SO_MOI'!$C$13*(1+F2810^2/1500),'THAM_SO_MOI'!$C$13)</f>
        <v>0.015</v>
      </c>
      <c r="J2810" s="75">
        <f>'THAM_SO_MOI'!$C$40*('THAM_SO_MOI'!$C$23*(E2810/'THAM_SO_MOI'!$C$22)+'THAM_SO_MOI'!$C$24*(E2810/'THAM_SO_MOI'!$C$22)^2-'THAM_SO_MOI'!$C$25*(E2810/'THAM_SO_MOI'!$C$22)^3)</f>
        <v>91.05615398028863</v>
      </c>
      <c r="K2810" s="75">
        <f>'THAM_SO_MOI'!$C$31*J2810/E2810</f>
        <v>429.1752492157476</v>
      </c>
      <c r="L2810" s="75">
        <f>K2810*'THAM_SO_MOI'!$C$52*'THAM_SO_MOI'!$C$17/'THAM_SO_MOI'!$C$26</f>
        <v>6009.838399878515</v>
      </c>
      <c r="M2810" s="75">
        <f>'THAM_SO_MOI'!$C$15*'THAM_SO_MOI'!$C$16*F2810^2</f>
        <v>485.31153202483426</v>
      </c>
      <c r="N2810" s="75">
        <f>'THAM_SO_MOI'!$C$12*I2810</f>
        <v>1130.112</v>
      </c>
      <c r="O2810" s="75">
        <f>M2810+N2810</f>
        <v>1615.4235320248345</v>
      </c>
      <c r="P2810" s="75">
        <f>(MIN(L2810,'THAM_SO_MOI'!$C$41)-O2810)/('THAM_SO_MOI'!$C$11*H2810)</f>
        <v>0.48594594267790564</v>
      </c>
      <c r="Q2810" s="75">
        <f>IF(P2810&gt;0,1/P2810,NA())</f>
        <v>2.057842060557792</v>
      </c>
      <c r="R2810" s="75">
        <f>F2810-F2809</f>
        <v>0.007943393307220603</v>
      </c>
      <c r="S2810" s="75">
        <f>0.5*(Q2809+Q2810)*R2810</f>
        <v>0.016345580810581226</v>
      </c>
      <c r="T2810" s="75">
        <f>0.5*(F2809*Q2809+F2810*Q2810)*R2810</f>
        <v>0.2104814380483522</v>
      </c>
      <c r="U2810" s="76">
        <f>U2809+S2810</f>
        <v>19.51716404685308</v>
      </c>
      <c r="V2810" s="76">
        <f>V2809+T2810</f>
        <v>149.89818084890175</v>
      </c>
    </row>
    <row r="2811" spans="1:22" ht="19" customHeight="1">
      <c r="A2811" s="68" t="s">
        <v>376</v>
      </c>
      <c r="B2811" s="74">
        <v>4</v>
      </c>
      <c r="C2811" s="68" t="s">
        <v>363</v>
      </c>
      <c r="D2811" s="68" t="s">
        <v>364</v>
      </c>
      <c r="E2811" s="75">
        <f>60*F2811*'THAM_SO_MOI'!$C$52/(2*PI()*'THAM_SO_MOI'!$C$26)</f>
        <v>2027.6625987188258</v>
      </c>
      <c r="F2811" s="75">
        <f>'HANH_TRINH'!$F$2468+('THAM_SO_MOI'!$F$52-'HANH_TRINH'!$F$2468)*342/'THAM_SO_MOI'!$C$42</f>
        <v>12.88887785036905</v>
      </c>
      <c r="G2811" s="75">
        <f>3.6*F2811</f>
        <v>46.39996026132858</v>
      </c>
      <c r="H2811" s="75">
        <f>'THAM_SO_MOI'!$D$52</f>
        <v>1.1774754878398197</v>
      </c>
      <c r="I2811" s="75">
        <f>IF(F2811&gt;'THAM_SO_MOI'!$C$14,'THAM_SO_MOI'!$C$13*(1+F2811^2/1500),'THAM_SO_MOI'!$C$13)</f>
        <v>0.015</v>
      </c>
      <c r="J2811" s="75">
        <f>'THAM_SO_MOI'!$C$40*('THAM_SO_MOI'!$C$23*(E2811/'THAM_SO_MOI'!$C$22)+'THAM_SO_MOI'!$C$24*(E2811/'THAM_SO_MOI'!$C$22)^2-'THAM_SO_MOI'!$C$25*(E2811/'THAM_SO_MOI'!$C$22)^3)</f>
        <v>91.11590004699457</v>
      </c>
      <c r="K2811" s="75">
        <f>'THAM_SO_MOI'!$C$31*J2811/E2811</f>
        <v>429.19217701457956</v>
      </c>
      <c r="L2811" s="75">
        <f>K2811*'THAM_SO_MOI'!$C$52*'THAM_SO_MOI'!$C$17/'THAM_SO_MOI'!$C$26</f>
        <v>6010.075443686683</v>
      </c>
      <c r="M2811" s="75">
        <f>'THAM_SO_MOI'!$C$15*'THAM_SO_MOI'!$C$16*F2811^2</f>
        <v>485.91027880707173</v>
      </c>
      <c r="N2811" s="75">
        <f>'THAM_SO_MOI'!$C$12*I2811</f>
        <v>1130.112</v>
      </c>
      <c r="O2811" s="75">
        <f>M2811+N2811</f>
        <v>1616.0222788070719</v>
      </c>
      <c r="P2811" s="75">
        <f>(MIN(L2811,'THAM_SO_MOI'!$C$41)-O2811)/('THAM_SO_MOI'!$C$11*H2811)</f>
        <v>0.4859059446126367</v>
      </c>
      <c r="Q2811" s="75">
        <f>IF(P2811&gt;0,1/P2811,NA())</f>
        <v>2.0580114548654023</v>
      </c>
      <c r="R2811" s="75">
        <f>F2811-F2810</f>
        <v>0.007943393307218827</v>
      </c>
      <c r="S2811" s="75">
        <f>0.5*(Q2810+Q2811)*R2811</f>
        <v>0.016346921633952842</v>
      </c>
      <c r="T2811" s="75">
        <f>0.5*(F2810*Q2810+F2811*Q2811)*R2811</f>
        <v>0.21062855382771226</v>
      </c>
      <c r="U2811" s="76">
        <f>U2810+S2811</f>
        <v>19.533510968487032</v>
      </c>
      <c r="V2811" s="76">
        <f>V2810+T2811</f>
        <v>150.10880940272946</v>
      </c>
    </row>
    <row r="2812" spans="1:22" ht="19" customHeight="1">
      <c r="A2812" s="68" t="s">
        <v>376</v>
      </c>
      <c r="B2812" s="74">
        <v>4</v>
      </c>
      <c r="C2812" s="68" t="s">
        <v>363</v>
      </c>
      <c r="D2812" s="68" t="s">
        <v>364</v>
      </c>
      <c r="E2812" s="75">
        <f>60*F2812*'THAM_SO_MOI'!$C$52/(2*PI()*'THAM_SO_MOI'!$C$26)</f>
        <v>2028.9122436997895</v>
      </c>
      <c r="F2812" s="75">
        <f>'HANH_TRINH'!$F$2468+('THAM_SO_MOI'!$F$52-'HANH_TRINH'!$F$2468)*343/'THAM_SO_MOI'!$C$42</f>
        <v>12.896821243676271</v>
      </c>
      <c r="G2812" s="75">
        <f>3.6*F2812</f>
        <v>46.42855647723458</v>
      </c>
      <c r="H2812" s="75">
        <f>'THAM_SO_MOI'!$D$52</f>
        <v>1.1774754878398197</v>
      </c>
      <c r="I2812" s="75">
        <f>IF(F2812&gt;'THAM_SO_MOI'!$C$14,'THAM_SO_MOI'!$C$13*(1+F2812^2/1500),'THAM_SO_MOI'!$C$13)</f>
        <v>0.015</v>
      </c>
      <c r="J2812" s="75">
        <f>'THAM_SO_MOI'!$C$40*('THAM_SO_MOI'!$C$23*(E2812/'THAM_SO_MOI'!$C$22)+'THAM_SO_MOI'!$C$24*(E2812/'THAM_SO_MOI'!$C$22)^2-'THAM_SO_MOI'!$C$25*(E2812/'THAM_SO_MOI'!$C$22)^3)</f>
        <v>91.17561836064387</v>
      </c>
      <c r="K2812" s="75">
        <f>'THAM_SO_MOI'!$C$31*J2812/E2812</f>
        <v>429.20895331368393</v>
      </c>
      <c r="L2812" s="75">
        <f>K2812*'THAM_SO_MOI'!$C$52*'THAM_SO_MOI'!$C$17/'THAM_SO_MOI'!$C$26</f>
        <v>6010.310366009788</v>
      </c>
      <c r="M2812" s="75">
        <f>'THAM_SO_MOI'!$C$15*'THAM_SO_MOI'!$C$16*F2812^2</f>
        <v>486.5093947096683</v>
      </c>
      <c r="N2812" s="75">
        <f>'THAM_SO_MOI'!$C$12*I2812</f>
        <v>1130.112</v>
      </c>
      <c r="O2812" s="75">
        <f>M2812+N2812</f>
        <v>1616.6213947096685</v>
      </c>
      <c r="P2812" s="75">
        <f>(MIN(L2812,'THAM_SO_MOI'!$C$41)-O2812)/('THAM_SO_MOI'!$C$11*H2812)</f>
        <v>0.48586567112967577</v>
      </c>
      <c r="Q2812" s="75">
        <f>IF(P2812&gt;0,1/P2812,NA())</f>
        <v>2.058182043763087</v>
      </c>
      <c r="R2812" s="75">
        <f>F2812-F2811</f>
        <v>0.007943393307220603</v>
      </c>
      <c r="S2812" s="75">
        <f>0.5*(Q2811+Q2812)*R2812</f>
        <v>0.01634827194411525</v>
      </c>
      <c r="T2812" s="75">
        <f>0.5*(F2811*Q2811+F2812*Q2812)*R2812</f>
        <v>0.21077581322022268</v>
      </c>
      <c r="U2812" s="76">
        <f>U2811+S2812</f>
        <v>19.549859240431147</v>
      </c>
      <c r="V2812" s="76">
        <f>V2811+T2812</f>
        <v>150.31958521594967</v>
      </c>
    </row>
    <row r="2813" spans="1:22" ht="19" customHeight="1">
      <c r="A2813" s="68" t="s">
        <v>376</v>
      </c>
      <c r="B2813" s="74">
        <v>4</v>
      </c>
      <c r="C2813" s="68" t="s">
        <v>363</v>
      </c>
      <c r="D2813" s="68" t="s">
        <v>364</v>
      </c>
      <c r="E2813" s="75">
        <f>60*F2813*'THAM_SO_MOI'!$C$52/(2*PI()*'THAM_SO_MOI'!$C$26)</f>
        <v>2030.1618886807526</v>
      </c>
      <c r="F2813" s="75">
        <f>'HANH_TRINH'!$F$2468+('THAM_SO_MOI'!$F$52-'HANH_TRINH'!$F$2468)*344/'THAM_SO_MOI'!$C$42</f>
        <v>12.90476463698349</v>
      </c>
      <c r="G2813" s="75">
        <f>3.6*F2813</f>
        <v>46.457152693140564</v>
      </c>
      <c r="H2813" s="75">
        <f>'THAM_SO_MOI'!$D$52</f>
        <v>1.1774754878398197</v>
      </c>
      <c r="I2813" s="75">
        <f>IF(F2813&gt;'THAM_SO_MOI'!$C$14,'THAM_SO_MOI'!$C$13*(1+F2813^2/1500),'THAM_SO_MOI'!$C$13)</f>
        <v>0.015</v>
      </c>
      <c r="J2813" s="75">
        <f>'THAM_SO_MOI'!$C$40*('THAM_SO_MOI'!$C$23*(E2813/'THAM_SO_MOI'!$C$22)+'THAM_SO_MOI'!$C$24*(E2813/'THAM_SO_MOI'!$C$22)^2-'THAM_SO_MOI'!$C$25*(E2813/'THAM_SO_MOI'!$C$22)^3)</f>
        <v>91.23530886177082</v>
      </c>
      <c r="K2813" s="75">
        <f>'THAM_SO_MOI'!$C$31*J2813/E2813</f>
        <v>429.2255781130609</v>
      </c>
      <c r="L2813" s="75">
        <f>K2813*'THAM_SO_MOI'!$C$52*'THAM_SO_MOI'!$C$17/'THAM_SO_MOI'!$C$26</f>
        <v>6010.543166847834</v>
      </c>
      <c r="M2813" s="75">
        <f>'THAM_SO_MOI'!$C$15*'THAM_SO_MOI'!$C$16*F2813^2</f>
        <v>487.1088797326235</v>
      </c>
      <c r="N2813" s="75">
        <f>'THAM_SO_MOI'!$C$12*I2813</f>
        <v>1130.112</v>
      </c>
      <c r="O2813" s="75">
        <f>M2813+N2813</f>
        <v>1617.2208797326236</v>
      </c>
      <c r="P2813" s="75">
        <f>(MIN(L2813,'THAM_SO_MOI'!$C$41)-O2813)/('THAM_SO_MOI'!$C$11*H2813)</f>
        <v>0.4858251222290237</v>
      </c>
      <c r="Q2813" s="75">
        <f>IF(P2813&gt;0,1/P2813,NA())</f>
        <v>2.0583538278380513</v>
      </c>
      <c r="R2813" s="75">
        <f>F2813-F2812</f>
        <v>0.007943393307218827</v>
      </c>
      <c r="S2813" s="75">
        <f>0.5*(Q2812+Q2813)*R2813</f>
        <v>0.01634963174570135</v>
      </c>
      <c r="T2813" s="75">
        <f>0.5*(F2812*Q2812+F2813*Q2813)*R2813</f>
        <v>0.2109232165117236</v>
      </c>
      <c r="U2813" s="76">
        <f>U2812+S2813</f>
        <v>19.566208872176848</v>
      </c>
      <c r="V2813" s="76">
        <f>V2812+T2813</f>
        <v>150.5305084324614</v>
      </c>
    </row>
    <row r="2814" spans="1:22" ht="19" customHeight="1">
      <c r="A2814" s="68" t="s">
        <v>376</v>
      </c>
      <c r="B2814" s="74">
        <v>4</v>
      </c>
      <c r="C2814" s="68" t="s">
        <v>363</v>
      </c>
      <c r="D2814" s="68" t="s">
        <v>364</v>
      </c>
      <c r="E2814" s="75">
        <f>60*F2814*'THAM_SO_MOI'!$C$52/(2*PI()*'THAM_SO_MOI'!$C$26)</f>
        <v>2031.4115336617158</v>
      </c>
      <c r="F2814" s="75">
        <f>'HANH_TRINH'!$F$2468+('THAM_SO_MOI'!$F$52-'HANH_TRINH'!$F$2468)*345/'THAM_SO_MOI'!$C$42</f>
        <v>12.912708030290709</v>
      </c>
      <c r="G2814" s="75">
        <f>3.6*F2814</f>
        <v>46.485748909046556</v>
      </c>
      <c r="H2814" s="75">
        <f>'THAM_SO_MOI'!$D$52</f>
        <v>1.1774754878398197</v>
      </c>
      <c r="I2814" s="75">
        <f>IF(F2814&gt;'THAM_SO_MOI'!$C$14,'THAM_SO_MOI'!$C$13*(1+F2814^2/1500),'THAM_SO_MOI'!$C$13)</f>
        <v>0.015</v>
      </c>
      <c r="J2814" s="75">
        <f>'THAM_SO_MOI'!$C$40*('THAM_SO_MOI'!$C$23*(E2814/'THAM_SO_MOI'!$C$22)+'THAM_SO_MOI'!$C$24*(E2814/'THAM_SO_MOI'!$C$22)^2-'THAM_SO_MOI'!$C$25*(E2814/'THAM_SO_MOI'!$C$22)^3)</f>
        <v>91.29497149090975</v>
      </c>
      <c r="K2814" s="75">
        <f>'THAM_SO_MOI'!$C$31*J2814/E2814</f>
        <v>429.24205141271034</v>
      </c>
      <c r="L2814" s="75">
        <f>K2814*'THAM_SO_MOI'!$C$52*'THAM_SO_MOI'!$C$17/'THAM_SO_MOI'!$C$26</f>
        <v>6010.773846200817</v>
      </c>
      <c r="M2814" s="75">
        <f>'THAM_SO_MOI'!$C$15*'THAM_SO_MOI'!$C$16*F2814^2</f>
        <v>487.7087338759374</v>
      </c>
      <c r="N2814" s="75">
        <f>'THAM_SO_MOI'!$C$12*I2814</f>
        <v>1130.112</v>
      </c>
      <c r="O2814" s="75">
        <f>M2814+N2814</f>
        <v>1617.8207338759375</v>
      </c>
      <c r="P2814" s="75">
        <f>(MIN(L2814,'THAM_SO_MOI'!$C$41)-O2814)/('THAM_SO_MOI'!$C$11*H2814)</f>
        <v>0.4857842979106799</v>
      </c>
      <c r="Q2814" s="75">
        <f>IF(P2814&gt;0,1/P2814,NA())</f>
        <v>2.0585268076817664</v>
      </c>
      <c r="R2814" s="75">
        <f>F2814-F2813</f>
        <v>0.007943393307218827</v>
      </c>
      <c r="S2814" s="75">
        <f>0.5*(Q2813+Q2814)*R2814</f>
        <v>0.01635100104340346</v>
      </c>
      <c r="T2814" s="75">
        <f>0.5*(F2813*Q2813+F2814*Q2814)*R2814</f>
        <v>0.2110707639889691</v>
      </c>
      <c r="U2814" s="76">
        <f>U2813+S2814</f>
        <v>19.58255987322025</v>
      </c>
      <c r="V2814" s="76">
        <f>V2813+T2814</f>
        <v>150.74157919645037</v>
      </c>
    </row>
    <row r="2815" spans="1:22" ht="19" customHeight="1">
      <c r="A2815" s="68" t="s">
        <v>376</v>
      </c>
      <c r="B2815" s="74">
        <v>4</v>
      </c>
      <c r="C2815" s="68" t="s">
        <v>363</v>
      </c>
      <c r="D2815" s="68" t="s">
        <v>364</v>
      </c>
      <c r="E2815" s="75">
        <f>60*F2815*'THAM_SO_MOI'!$C$52/(2*PI()*'THAM_SO_MOI'!$C$26)</f>
        <v>2032.661178642679</v>
      </c>
      <c r="F2815" s="75">
        <f>'HANH_TRINH'!$F$2468+('THAM_SO_MOI'!$F$52-'HANH_TRINH'!$F$2468)*346/'THAM_SO_MOI'!$C$42</f>
        <v>12.920651423597928</v>
      </c>
      <c r="G2815" s="75">
        <f>3.6*F2815</f>
        <v>46.51434512495254</v>
      </c>
      <c r="H2815" s="75">
        <f>'THAM_SO_MOI'!$D$52</f>
        <v>1.1774754878398197</v>
      </c>
      <c r="I2815" s="75">
        <f>IF(F2815&gt;'THAM_SO_MOI'!$C$14,'THAM_SO_MOI'!$C$13*(1+F2815^2/1500),'THAM_SO_MOI'!$C$13)</f>
        <v>0.015</v>
      </c>
      <c r="J2815" s="75">
        <f>'THAM_SO_MOI'!$C$40*('THAM_SO_MOI'!$C$23*(E2815/'THAM_SO_MOI'!$C$22)+'THAM_SO_MOI'!$C$24*(E2815/'THAM_SO_MOI'!$C$22)^2-'THAM_SO_MOI'!$C$25*(E2815/'THAM_SO_MOI'!$C$22)^3)</f>
        <v>91.35460618859499</v>
      </c>
      <c r="K2815" s="75">
        <f>'THAM_SO_MOI'!$C$31*J2815/E2815</f>
        <v>429.2583732126324</v>
      </c>
      <c r="L2815" s="75">
        <f>K2815*'THAM_SO_MOI'!$C$52*'THAM_SO_MOI'!$C$17/'THAM_SO_MOI'!$C$26</f>
        <v>6011.002404068743</v>
      </c>
      <c r="M2815" s="75">
        <f>'THAM_SO_MOI'!$C$15*'THAM_SO_MOI'!$C$16*F2815^2</f>
        <v>488.30895713961024</v>
      </c>
      <c r="N2815" s="75">
        <f>'THAM_SO_MOI'!$C$12*I2815</f>
        <v>1130.112</v>
      </c>
      <c r="O2815" s="75">
        <f>M2815+N2815</f>
        <v>1618.4209571396104</v>
      </c>
      <c r="P2815" s="75">
        <f>(MIN(L2815,'THAM_SO_MOI'!$C$41)-O2815)/('THAM_SO_MOI'!$C$11*H2815)</f>
        <v>0.4857431981746449</v>
      </c>
      <c r="Q2815" s="75">
        <f>IF(P2815&gt;0,1/P2815,NA())</f>
        <v>2.0587009838899655</v>
      </c>
      <c r="R2815" s="75">
        <f>F2815-F2814</f>
        <v>0.007943393307218827</v>
      </c>
      <c r="S2815" s="75">
        <f>0.5*(Q2814+Q2815)*R2815</f>
        <v>0.016352379841933124</v>
      </c>
      <c r="T2815" s="75">
        <f>0.5*(F2814*Q2814+F2815*Q2815)*R2815</f>
        <v>0.2112184559391112</v>
      </c>
      <c r="U2815" s="76">
        <f>U2814+S2815</f>
        <v>19.598912253062185</v>
      </c>
      <c r="V2815" s="76">
        <f>V2814+T2815</f>
        <v>150.95279765238948</v>
      </c>
    </row>
    <row r="2816" spans="1:22" ht="19" customHeight="1">
      <c r="A2816" s="68" t="s">
        <v>376</v>
      </c>
      <c r="B2816" s="74">
        <v>4</v>
      </c>
      <c r="C2816" s="68" t="s">
        <v>363</v>
      </c>
      <c r="D2816" s="68" t="s">
        <v>364</v>
      </c>
      <c r="E2816" s="75">
        <f>60*F2816*'THAM_SO_MOI'!$C$52/(2*PI()*'THAM_SO_MOI'!$C$26)</f>
        <v>2033.910823623642</v>
      </c>
      <c r="F2816" s="75">
        <f>'HANH_TRINH'!$F$2468+('THAM_SO_MOI'!$F$52-'HANH_TRINH'!$F$2468)*347/'THAM_SO_MOI'!$C$42</f>
        <v>12.928594816905148</v>
      </c>
      <c r="G2816" s="75">
        <f>3.6*F2816</f>
        <v>46.54294134085853</v>
      </c>
      <c r="H2816" s="75">
        <f>'THAM_SO_MOI'!$D$52</f>
        <v>1.1774754878398197</v>
      </c>
      <c r="I2816" s="75">
        <f>IF(F2816&gt;'THAM_SO_MOI'!$C$14,'THAM_SO_MOI'!$C$13*(1+F2816^2/1500),'THAM_SO_MOI'!$C$13)</f>
        <v>0.015</v>
      </c>
      <c r="J2816" s="75">
        <f>'THAM_SO_MOI'!$C$40*('THAM_SO_MOI'!$C$23*(E2816/'THAM_SO_MOI'!$C$22)+'THAM_SO_MOI'!$C$24*(E2816/'THAM_SO_MOI'!$C$22)^2-'THAM_SO_MOI'!$C$25*(E2816/'THAM_SO_MOI'!$C$22)^3)</f>
        <v>91.41421289536078</v>
      </c>
      <c r="K2816" s="75">
        <f>'THAM_SO_MOI'!$C$31*J2816/E2816</f>
        <v>429.2745435128268</v>
      </c>
      <c r="L2816" s="75">
        <f>K2816*'THAM_SO_MOI'!$C$52*'THAM_SO_MOI'!$C$17/'THAM_SO_MOI'!$C$26</f>
        <v>6011.228840451605</v>
      </c>
      <c r="M2816" s="75">
        <f>'THAM_SO_MOI'!$C$15*'THAM_SO_MOI'!$C$16*F2816^2</f>
        <v>488.90954952364206</v>
      </c>
      <c r="N2816" s="75">
        <f>'THAM_SO_MOI'!$C$12*I2816</f>
        <v>1130.112</v>
      </c>
      <c r="O2816" s="75">
        <f>M2816+N2816</f>
        <v>1619.021549523642</v>
      </c>
      <c r="P2816" s="75">
        <f>(MIN(L2816,'THAM_SO_MOI'!$C$41)-O2816)/('THAM_SO_MOI'!$C$11*H2816)</f>
        <v>0.48570182302091797</v>
      </c>
      <c r="Q2816" s="75">
        <f>IF(P2816&gt;0,1/P2816,NA())</f>
        <v>2.058876357062659</v>
      </c>
      <c r="R2816" s="75">
        <f>F2816-F2815</f>
        <v>0.007943393307220603</v>
      </c>
      <c r="S2816" s="75">
        <f>0.5*(Q2815+Q2816)*R2816</f>
        <v>0.016353768146043144</v>
      </c>
      <c r="T2816" s="75">
        <f>0.5*(F2815*Q2815+F2816*Q2816)*R2816</f>
        <v>0.2113662926499844</v>
      </c>
      <c r="U2816" s="76">
        <f>U2815+S2816</f>
        <v>19.615266021208228</v>
      </c>
      <c r="V2816" s="76">
        <f>V2815+T2816</f>
        <v>151.16416394503946</v>
      </c>
    </row>
    <row r="2817" spans="1:22" ht="19" customHeight="1">
      <c r="A2817" s="68" t="s">
        <v>376</v>
      </c>
      <c r="B2817" s="74">
        <v>4</v>
      </c>
      <c r="C2817" s="68" t="s">
        <v>363</v>
      </c>
      <c r="D2817" s="68" t="s">
        <v>364</v>
      </c>
      <c r="E2817" s="75">
        <f>60*F2817*'THAM_SO_MOI'!$C$52/(2*PI()*'THAM_SO_MOI'!$C$26)</f>
        <v>2035.1604686046057</v>
      </c>
      <c r="F2817" s="75">
        <f>'HANH_TRINH'!$F$2468+('THAM_SO_MOI'!$F$52-'HANH_TRINH'!$F$2468)*348/'THAM_SO_MOI'!$C$42</f>
        <v>12.936538210212367</v>
      </c>
      <c r="G2817" s="75">
        <f>3.6*F2817</f>
        <v>46.571537556764525</v>
      </c>
      <c r="H2817" s="75">
        <f>'THAM_SO_MOI'!$D$52</f>
        <v>1.1774754878398197</v>
      </c>
      <c r="I2817" s="75">
        <f>IF(F2817&gt;'THAM_SO_MOI'!$C$14,'THAM_SO_MOI'!$C$13*(1+F2817^2/1500),'THAM_SO_MOI'!$C$13)</f>
        <v>0.015</v>
      </c>
      <c r="J2817" s="75">
        <f>'THAM_SO_MOI'!$C$40*('THAM_SO_MOI'!$C$23*(E2817/'THAM_SO_MOI'!$C$22)+'THAM_SO_MOI'!$C$24*(E2817/'THAM_SO_MOI'!$C$22)^2-'THAM_SO_MOI'!$C$25*(E2817/'THAM_SO_MOI'!$C$22)^3)</f>
        <v>91.47379155174156</v>
      </c>
      <c r="K2817" s="75">
        <f>'THAM_SO_MOI'!$C$31*J2817/E2817</f>
        <v>429.29056231329395</v>
      </c>
      <c r="L2817" s="75">
        <f>K2817*'THAM_SO_MOI'!$C$52*'THAM_SO_MOI'!$C$17/'THAM_SO_MOI'!$C$26</f>
        <v>6011.453155349406</v>
      </c>
      <c r="M2817" s="75">
        <f>'THAM_SO_MOI'!$C$15*'THAM_SO_MOI'!$C$16*F2817^2</f>
        <v>489.51051102803245</v>
      </c>
      <c r="N2817" s="75">
        <f>'THAM_SO_MOI'!$C$12*I2817</f>
        <v>1130.112</v>
      </c>
      <c r="O2817" s="75">
        <f>M2817+N2817</f>
        <v>1619.6225110280325</v>
      </c>
      <c r="P2817" s="75">
        <f>(MIN(L2817,'THAM_SO_MOI'!$C$41)-O2817)/('THAM_SO_MOI'!$C$11*H2817)</f>
        <v>0.4856601724494996</v>
      </c>
      <c r="Q2817" s="75">
        <f>IF(P2817&gt;0,1/P2817,NA())</f>
        <v>2.059052927804128</v>
      </c>
      <c r="R2817" s="75">
        <f>F2817-F2816</f>
        <v>0.007943393307218827</v>
      </c>
      <c r="S2817" s="75">
        <f>0.5*(Q2816+Q2817)*R2817</f>
        <v>0.016355165960505624</v>
      </c>
      <c r="T2817" s="75">
        <f>0.5*(F2816*Q2816+F2817*Q2817)*R2817</f>
        <v>0.21151427440982407</v>
      </c>
      <c r="U2817" s="76">
        <f>U2816+S2817</f>
        <v>19.631621187168733</v>
      </c>
      <c r="V2817" s="76">
        <f>V2816+T2817</f>
        <v>151.3756782194493</v>
      </c>
    </row>
    <row r="2818" spans="1:22" ht="19" customHeight="1">
      <c r="A2818" s="68" t="s">
        <v>376</v>
      </c>
      <c r="B2818" s="74">
        <v>4</v>
      </c>
      <c r="C2818" s="68" t="s">
        <v>363</v>
      </c>
      <c r="D2818" s="68" t="s">
        <v>364</v>
      </c>
      <c r="E2818" s="75">
        <f>60*F2818*'THAM_SO_MOI'!$C$52/(2*PI()*'THAM_SO_MOI'!$C$26)</f>
        <v>2036.4101135855688</v>
      </c>
      <c r="F2818" s="75">
        <f>'HANH_TRINH'!$F$2468+('THAM_SO_MOI'!$F$52-'HANH_TRINH'!$F$2468)*349/'THAM_SO_MOI'!$C$42</f>
        <v>12.944481603519588</v>
      </c>
      <c r="G2818" s="75">
        <f>3.6*F2818</f>
        <v>46.60013377267052</v>
      </c>
      <c r="H2818" s="75">
        <f>'THAM_SO_MOI'!$D$52</f>
        <v>1.1774754878398197</v>
      </c>
      <c r="I2818" s="75">
        <f>IF(F2818&gt;'THAM_SO_MOI'!$C$14,'THAM_SO_MOI'!$C$13*(1+F2818^2/1500),'THAM_SO_MOI'!$C$13)</f>
        <v>0.015</v>
      </c>
      <c r="J2818" s="75">
        <f>'THAM_SO_MOI'!$C$40*('THAM_SO_MOI'!$C$23*(E2818/'THAM_SO_MOI'!$C$22)+'THAM_SO_MOI'!$C$24*(E2818/'THAM_SO_MOI'!$C$22)^2-'THAM_SO_MOI'!$C$25*(E2818/'THAM_SO_MOI'!$C$22)^3)</f>
        <v>91.53334209827148</v>
      </c>
      <c r="K2818" s="75">
        <f>'THAM_SO_MOI'!$C$31*J2818/E2818</f>
        <v>429.3064296140332</v>
      </c>
      <c r="L2818" s="75">
        <f>K2818*'THAM_SO_MOI'!$C$52*'THAM_SO_MOI'!$C$17/'THAM_SO_MOI'!$C$26</f>
        <v>6011.675348762144</v>
      </c>
      <c r="M2818" s="75">
        <f>'THAM_SO_MOI'!$C$15*'THAM_SO_MOI'!$C$16*F2818^2</f>
        <v>490.1118416527819</v>
      </c>
      <c r="N2818" s="75">
        <f>'THAM_SO_MOI'!$C$12*I2818</f>
        <v>1130.112</v>
      </c>
      <c r="O2818" s="75">
        <f>M2818+N2818</f>
        <v>1620.223841652782</v>
      </c>
      <c r="P2818" s="75">
        <f>(MIN(L2818,'THAM_SO_MOI'!$C$41)-O2818)/('THAM_SO_MOI'!$C$11*H2818)</f>
        <v>0.4856182464603895</v>
      </c>
      <c r="Q2818" s="75">
        <f>IF(P2818&gt;0,1/P2818,NA())</f>
        <v>2.0592306967229397</v>
      </c>
      <c r="R2818" s="75">
        <f>F2818-F2817</f>
        <v>0.007943393307220603</v>
      </c>
      <c r="S2818" s="75">
        <f>0.5*(Q2817+Q2818)*R2818</f>
        <v>0.01635657329015226</v>
      </c>
      <c r="T2818" s="75">
        <f>0.5*(F2817*Q2817+F2818*Q2818)*R2818</f>
        <v>0.21166240150778823</v>
      </c>
      <c r="U2818" s="76">
        <f>U2817+S2818</f>
        <v>19.647977760458886</v>
      </c>
      <c r="V2818" s="76">
        <f>V2817+T2818</f>
        <v>151.5873406209571</v>
      </c>
    </row>
    <row r="2819" spans="1:22" ht="19" customHeight="1">
      <c r="A2819" s="68" t="s">
        <v>376</v>
      </c>
      <c r="B2819" s="74">
        <v>4</v>
      </c>
      <c r="C2819" s="68" t="s">
        <v>363</v>
      </c>
      <c r="D2819" s="68" t="s">
        <v>364</v>
      </c>
      <c r="E2819" s="75">
        <f>60*F2819*'THAM_SO_MOI'!$C$52/(2*PI()*'THAM_SO_MOI'!$C$26)</f>
        <v>2037.6597585665324</v>
      </c>
      <c r="F2819" s="75">
        <f>'HANH_TRINH'!$F$2468+('THAM_SO_MOI'!$F$52-'HANH_TRINH'!$F$2468)*350/'THAM_SO_MOI'!$C$42</f>
        <v>12.952424996826807</v>
      </c>
      <c r="G2819" s="75">
        <f>3.6*F2819</f>
        <v>46.6287299885765</v>
      </c>
      <c r="H2819" s="75">
        <f>'THAM_SO_MOI'!$D$52</f>
        <v>1.1774754878398197</v>
      </c>
      <c r="I2819" s="75">
        <f>IF(F2819&gt;'THAM_SO_MOI'!$C$14,'THAM_SO_MOI'!$C$13*(1+F2819^2/1500),'THAM_SO_MOI'!$C$13)</f>
        <v>0.015</v>
      </c>
      <c r="J2819" s="75">
        <f>'THAM_SO_MOI'!$C$40*('THAM_SO_MOI'!$C$23*(E2819/'THAM_SO_MOI'!$C$22)+'THAM_SO_MOI'!$C$24*(E2819/'THAM_SO_MOI'!$C$22)^2-'THAM_SO_MOI'!$C$25*(E2819/'THAM_SO_MOI'!$C$22)^3)</f>
        <v>91.59286447548503</v>
      </c>
      <c r="K2819" s="75">
        <f>'THAM_SO_MOI'!$C$31*J2819/E2819</f>
        <v>429.3221454150454</v>
      </c>
      <c r="L2819" s="75">
        <f>K2819*'THAM_SO_MOI'!$C$52*'THAM_SO_MOI'!$C$17/'THAM_SO_MOI'!$C$26</f>
        <v>6011.895420689824</v>
      </c>
      <c r="M2819" s="75">
        <f>'THAM_SO_MOI'!$C$15*'THAM_SO_MOI'!$C$16*F2819^2</f>
        <v>490.71354139788997</v>
      </c>
      <c r="N2819" s="75">
        <f>'THAM_SO_MOI'!$C$12*I2819</f>
        <v>1130.112</v>
      </c>
      <c r="O2819" s="75">
        <f>M2819+N2819</f>
        <v>1620.82554139789</v>
      </c>
      <c r="P2819" s="75">
        <f>(MIN(L2819,'THAM_SO_MOI'!$C$41)-O2819)/('THAM_SO_MOI'!$C$11*H2819)</f>
        <v>0.4855760450535881</v>
      </c>
      <c r="Q2819" s="75">
        <f>IF(P2819&gt;0,1/P2819,NA())</f>
        <v>2.0594096644319433</v>
      </c>
      <c r="R2819" s="75">
        <f>F2819-F2818</f>
        <v>0.007943393307218827</v>
      </c>
      <c r="S2819" s="75">
        <f>0.5*(Q2818+Q2819)*R2819</f>
        <v>0.016357990139819513</v>
      </c>
      <c r="T2819" s="75">
        <f>0.5*(F2818*Q2818+F2819*Q2819)*R2819</f>
        <v>0.21181067423325023</v>
      </c>
      <c r="U2819" s="76">
        <f>U2818+S2819</f>
        <v>19.664335750598706</v>
      </c>
      <c r="V2819" s="76">
        <f>V2818+T2819</f>
        <v>151.79915129519034</v>
      </c>
    </row>
    <row r="2820" spans="1:22" ht="19" customHeight="1">
      <c r="A2820" s="68" t="s">
        <v>376</v>
      </c>
      <c r="B2820" s="74">
        <v>4</v>
      </c>
      <c r="C2820" s="68" t="s">
        <v>363</v>
      </c>
      <c r="D2820" s="68" t="s">
        <v>364</v>
      </c>
      <c r="E2820" s="75">
        <f>60*F2820*'THAM_SO_MOI'!$C$52/(2*PI()*'THAM_SO_MOI'!$C$26)</f>
        <v>2038.9094035474955</v>
      </c>
      <c r="F2820" s="75">
        <f>'HANH_TRINH'!$F$2468+('THAM_SO_MOI'!$F$52-'HANH_TRINH'!$F$2468)*351/'THAM_SO_MOI'!$C$42</f>
        <v>12.960368390134025</v>
      </c>
      <c r="G2820" s="75">
        <f>3.6*F2820</f>
        <v>46.657326204482494</v>
      </c>
      <c r="H2820" s="75">
        <f>'THAM_SO_MOI'!$D$52</f>
        <v>1.1774754878398197</v>
      </c>
      <c r="I2820" s="75">
        <f>IF(F2820&gt;'THAM_SO_MOI'!$C$14,'THAM_SO_MOI'!$C$13*(1+F2820^2/1500),'THAM_SO_MOI'!$C$13)</f>
        <v>0.015</v>
      </c>
      <c r="J2820" s="75">
        <f>'THAM_SO_MOI'!$C$40*('THAM_SO_MOI'!$C$23*(E2820/'THAM_SO_MOI'!$C$22)+'THAM_SO_MOI'!$C$24*(E2820/'THAM_SO_MOI'!$C$22)^2-'THAM_SO_MOI'!$C$25*(E2820/'THAM_SO_MOI'!$C$22)^3)</f>
        <v>91.65235862391641</v>
      </c>
      <c r="K2820" s="75">
        <f>'THAM_SO_MOI'!$C$31*J2820/E2820</f>
        <v>429.33770971633004</v>
      </c>
      <c r="L2820" s="75">
        <f>K2820*'THAM_SO_MOI'!$C$52*'THAM_SO_MOI'!$C$17/'THAM_SO_MOI'!$C$26</f>
        <v>6012.113371132442</v>
      </c>
      <c r="M2820" s="75">
        <f>'THAM_SO_MOI'!$C$15*'THAM_SO_MOI'!$C$16*F2820^2</f>
        <v>491.3156102633568</v>
      </c>
      <c r="N2820" s="75">
        <f>'THAM_SO_MOI'!$C$12*I2820</f>
        <v>1130.112</v>
      </c>
      <c r="O2820" s="75">
        <f>M2820+N2820</f>
        <v>1621.4276102633569</v>
      </c>
      <c r="P2820" s="75">
        <f>(MIN(L2820,'THAM_SO_MOI'!$C$41)-O2820)/('THAM_SO_MOI'!$C$11*H2820)</f>
        <v>0.48553356822909516</v>
      </c>
      <c r="Q2820" s="75">
        <f>IF(P2820&gt;0,1/P2820,NA())</f>
        <v>2.0595898315482852</v>
      </c>
      <c r="R2820" s="75">
        <f>F2820-F2819</f>
        <v>0.007943393307218827</v>
      </c>
      <c r="S2820" s="75">
        <f>0.5*(Q2819+Q2820)*R2820</f>
        <v>0.016359416514403532</v>
      </c>
      <c r="T2820" s="75">
        <f>0.5*(F2819*Q2819+F2820*Q2820)*R2820</f>
        <v>0.21195909287651038</v>
      </c>
      <c r="U2820" s="76">
        <f>U2819+S2820</f>
        <v>19.68069516711311</v>
      </c>
      <c r="V2820" s="76">
        <f>V2819+T2820</f>
        <v>152.01111038806684</v>
      </c>
    </row>
    <row r="2821" spans="1:22" ht="19" customHeight="1">
      <c r="A2821" s="68" t="s">
        <v>376</v>
      </c>
      <c r="B2821" s="74">
        <v>4</v>
      </c>
      <c r="C2821" s="68" t="s">
        <v>363</v>
      </c>
      <c r="D2821" s="68" t="s">
        <v>364</v>
      </c>
      <c r="E2821" s="75">
        <f>60*F2821*'THAM_SO_MOI'!$C$52/(2*PI()*'THAM_SO_MOI'!$C$26)</f>
        <v>2040.1590485284587</v>
      </c>
      <c r="F2821" s="75">
        <f>'HANH_TRINH'!$F$2468+('THAM_SO_MOI'!$F$52-'HANH_TRINH'!$F$2468)*352/'THAM_SO_MOI'!$C$42</f>
        <v>12.968311783441244</v>
      </c>
      <c r="G2821" s="75">
        <f>3.6*F2821</f>
        <v>46.68592242038848</v>
      </c>
      <c r="H2821" s="75">
        <f>'THAM_SO_MOI'!$D$52</f>
        <v>1.1774754878398197</v>
      </c>
      <c r="I2821" s="75">
        <f>IF(F2821&gt;'THAM_SO_MOI'!$C$14,'THAM_SO_MOI'!$C$13*(1+F2821^2/1500),'THAM_SO_MOI'!$C$13)</f>
        <v>0.015</v>
      </c>
      <c r="J2821" s="75">
        <f>'THAM_SO_MOI'!$C$40*('THAM_SO_MOI'!$C$23*(E2821/'THAM_SO_MOI'!$C$22)+'THAM_SO_MOI'!$C$24*(E2821/'THAM_SO_MOI'!$C$22)^2-'THAM_SO_MOI'!$C$25*(E2821/'THAM_SO_MOI'!$C$22)^3)</f>
        <v>91.71182448409998</v>
      </c>
      <c r="K2821" s="75">
        <f>'THAM_SO_MOI'!$C$31*J2821/E2821</f>
        <v>429.3531225178872</v>
      </c>
      <c r="L2821" s="75">
        <f>K2821*'THAM_SO_MOI'!$C$52*'THAM_SO_MOI'!$C$17/'THAM_SO_MOI'!$C$26</f>
        <v>6012.329200090001</v>
      </c>
      <c r="M2821" s="75">
        <f>'THAM_SO_MOI'!$C$15*'THAM_SO_MOI'!$C$16*F2821^2</f>
        <v>491.9180482491825</v>
      </c>
      <c r="N2821" s="75">
        <f>'THAM_SO_MOI'!$C$12*I2821</f>
        <v>1130.112</v>
      </c>
      <c r="O2821" s="75">
        <f>M2821+N2821</f>
        <v>1622.0300482491825</v>
      </c>
      <c r="P2821" s="75">
        <f>(MIN(L2821,'THAM_SO_MOI'!$C$41)-O2821)/('THAM_SO_MOI'!$C$11*H2821)</f>
        <v>0.4854908159869108</v>
      </c>
      <c r="Q2821" s="75">
        <f>IF(P2821&gt;0,1/P2821,NA())</f>
        <v>2.059771198693408</v>
      </c>
      <c r="R2821" s="75">
        <f>F2821-F2820</f>
        <v>0.007943393307218827</v>
      </c>
      <c r="S2821" s="75">
        <f>0.5*(Q2820+Q2821)*R2821</f>
        <v>0.01636085241881996</v>
      </c>
      <c r="T2821" s="75">
        <f>0.5*(F2820*Q2820+F2821*Q2821)*R2821</f>
        <v>0.21210765772827725</v>
      </c>
      <c r="U2821" s="76">
        <f>U2820+S2821</f>
        <v>19.69705601953193</v>
      </c>
      <c r="V2821" s="76">
        <f>V2820+T2821</f>
        <v>152.2232180457951</v>
      </c>
    </row>
    <row r="2822" spans="1:22" ht="19" customHeight="1">
      <c r="A2822" s="68" t="s">
        <v>376</v>
      </c>
      <c r="B2822" s="74">
        <v>4</v>
      </c>
      <c r="C2822" s="68" t="s">
        <v>363</v>
      </c>
      <c r="D2822" s="68" t="s">
        <v>364</v>
      </c>
      <c r="E2822" s="75">
        <f>60*F2822*'THAM_SO_MOI'!$C$52/(2*PI()*'THAM_SO_MOI'!$C$26)</f>
        <v>2041.4086935094222</v>
      </c>
      <c r="F2822" s="75">
        <f>'HANH_TRINH'!$F$2468+('THAM_SO_MOI'!$F$52-'HANH_TRINH'!$F$2468)*353/'THAM_SO_MOI'!$C$42</f>
        <v>12.976255176748465</v>
      </c>
      <c r="G2822" s="75">
        <f>3.6*F2822</f>
        <v>46.71451863629447</v>
      </c>
      <c r="H2822" s="75">
        <f>'THAM_SO_MOI'!$D$52</f>
        <v>1.1774754878398197</v>
      </c>
      <c r="I2822" s="75">
        <f>IF(F2822&gt;'THAM_SO_MOI'!$C$14,'THAM_SO_MOI'!$C$13*(1+F2822^2/1500),'THAM_SO_MOI'!$C$13)</f>
        <v>0.015</v>
      </c>
      <c r="J2822" s="75">
        <f>'THAM_SO_MOI'!$C$40*('THAM_SO_MOI'!$C$23*(E2822/'THAM_SO_MOI'!$C$22)+'THAM_SO_MOI'!$C$24*(E2822/'THAM_SO_MOI'!$C$22)^2-'THAM_SO_MOI'!$C$25*(E2822/'THAM_SO_MOI'!$C$22)^3)</f>
        <v>91.77126199657002</v>
      </c>
      <c r="K2822" s="75">
        <f>'THAM_SO_MOI'!$C$31*J2822/E2822</f>
        <v>429.3683838197168</v>
      </c>
      <c r="L2822" s="75">
        <f>K2822*'THAM_SO_MOI'!$C$52*'THAM_SO_MOI'!$C$17/'THAM_SO_MOI'!$C$26</f>
        <v>6012.542907562497</v>
      </c>
      <c r="M2822" s="75">
        <f>'THAM_SO_MOI'!$C$15*'THAM_SO_MOI'!$C$16*F2822^2</f>
        <v>492.52085535536725</v>
      </c>
      <c r="N2822" s="75">
        <f>'THAM_SO_MOI'!$C$12*I2822</f>
        <v>1130.112</v>
      </c>
      <c r="O2822" s="75">
        <f>M2822+N2822</f>
        <v>1622.6328553553674</v>
      </c>
      <c r="P2822" s="75">
        <f>(MIN(L2822,'THAM_SO_MOI'!$C$41)-O2822)/('THAM_SO_MOI'!$C$11*H2822)</f>
        <v>0.48544778832703467</v>
      </c>
      <c r="Q2822" s="75">
        <f>IF(P2822&gt;0,1/P2822,NA())</f>
        <v>2.0599537664930585</v>
      </c>
      <c r="R2822" s="75">
        <f>F2822-F2821</f>
        <v>0.007943393307220603</v>
      </c>
      <c r="S2822" s="75">
        <f>0.5*(Q2821+Q2822)*R2822</f>
        <v>0.016362297858025905</v>
      </c>
      <c r="T2822" s="75">
        <f>0.5*(F2821*Q2821+F2822*Q2822)*R2822</f>
        <v>0.21225636907995368</v>
      </c>
      <c r="U2822" s="76">
        <f>U2821+S2822</f>
        <v>19.71341831738996</v>
      </c>
      <c r="V2822" s="76">
        <f>V2821+T2822</f>
        <v>152.43547441487507</v>
      </c>
    </row>
    <row r="2823" spans="1:22" ht="19" customHeight="1">
      <c r="A2823" s="68" t="s">
        <v>376</v>
      </c>
      <c r="B2823" s="74">
        <v>4</v>
      </c>
      <c r="C2823" s="68" t="s">
        <v>363</v>
      </c>
      <c r="D2823" s="68" t="s">
        <v>364</v>
      </c>
      <c r="E2823" s="75">
        <f>60*F2823*'THAM_SO_MOI'!$C$52/(2*PI()*'THAM_SO_MOI'!$C$26)</f>
        <v>2042.658338490385</v>
      </c>
      <c r="F2823" s="75">
        <f>'HANH_TRINH'!$F$2468+('THAM_SO_MOI'!$F$52-'HANH_TRINH'!$F$2468)*354/'THAM_SO_MOI'!$C$42</f>
        <v>12.984198570055684</v>
      </c>
      <c r="G2823" s="75">
        <f>3.6*F2823</f>
        <v>46.74311485220046</v>
      </c>
      <c r="H2823" s="75">
        <f>'THAM_SO_MOI'!$D$52</f>
        <v>1.1774754878398197</v>
      </c>
      <c r="I2823" s="75">
        <f>IF(F2823&gt;'THAM_SO_MOI'!$C$14,'THAM_SO_MOI'!$C$13*(1+F2823^2/1500),'THAM_SO_MOI'!$C$13)</f>
        <v>0.015</v>
      </c>
      <c r="J2823" s="75">
        <f>'THAM_SO_MOI'!$C$40*('THAM_SO_MOI'!$C$23*(E2823/'THAM_SO_MOI'!$C$22)+'THAM_SO_MOI'!$C$24*(E2823/'THAM_SO_MOI'!$C$22)^2-'THAM_SO_MOI'!$C$25*(E2823/'THAM_SO_MOI'!$C$22)^3)</f>
        <v>91.83067110186084</v>
      </c>
      <c r="K2823" s="75">
        <f>'THAM_SO_MOI'!$C$31*J2823/E2823</f>
        <v>429.38349362181907</v>
      </c>
      <c r="L2823" s="75">
        <f>K2823*'THAM_SO_MOI'!$C$52*'THAM_SO_MOI'!$C$17/'THAM_SO_MOI'!$C$26</f>
        <v>6012.754493549934</v>
      </c>
      <c r="M2823" s="75">
        <f>'THAM_SO_MOI'!$C$15*'THAM_SO_MOI'!$C$16*F2823^2</f>
        <v>493.1240315819105</v>
      </c>
      <c r="N2823" s="75">
        <f>'THAM_SO_MOI'!$C$12*I2823</f>
        <v>1130.112</v>
      </c>
      <c r="O2823" s="75">
        <f>M2823+N2823</f>
        <v>1623.2360315819105</v>
      </c>
      <c r="P2823" s="75">
        <f>(MIN(L2823,'THAM_SO_MOI'!$C$41)-O2823)/('THAM_SO_MOI'!$C$11*H2823)</f>
        <v>0.4854044852494673</v>
      </c>
      <c r="Q2823" s="75">
        <f>IF(P2823&gt;0,1/P2823,NA())</f>
        <v>2.060137535577289</v>
      </c>
      <c r="R2823" s="75">
        <f>F2823-F2822</f>
        <v>0.007943393307218827</v>
      </c>
      <c r="S2823" s="75">
        <f>0.5*(Q2822+Q2823)*R2823</f>
        <v>0.01636375283699805</v>
      </c>
      <c r="T2823" s="75">
        <f>0.5*(F2822*Q2822+F2823*Q2823)*R2823</f>
        <v>0.21240522722335384</v>
      </c>
      <c r="U2823" s="76">
        <f>U2822+S2823</f>
        <v>19.729782070226957</v>
      </c>
      <c r="V2823" s="76">
        <f>V2822+T2823</f>
        <v>152.64787964209842</v>
      </c>
    </row>
    <row r="2824" spans="1:22" ht="19" customHeight="1">
      <c r="A2824" s="68" t="s">
        <v>376</v>
      </c>
      <c r="B2824" s="74">
        <v>4</v>
      </c>
      <c r="C2824" s="68" t="s">
        <v>363</v>
      </c>
      <c r="D2824" s="68" t="s">
        <v>364</v>
      </c>
      <c r="E2824" s="75">
        <f>60*F2824*'THAM_SO_MOI'!$C$52/(2*PI()*'THAM_SO_MOI'!$C$26)</f>
        <v>2043.9079834713482</v>
      </c>
      <c r="F2824" s="75">
        <f>'HANH_TRINH'!$F$2468+('THAM_SO_MOI'!$F$52-'HANH_TRINH'!$F$2468)*355/'THAM_SO_MOI'!$C$42</f>
        <v>12.992141963362903</v>
      </c>
      <c r="G2824" s="75">
        <f>3.6*F2824</f>
        <v>46.77171106810645</v>
      </c>
      <c r="H2824" s="75">
        <f>'THAM_SO_MOI'!$D$52</f>
        <v>1.1774754878398197</v>
      </c>
      <c r="I2824" s="75">
        <f>IF(F2824&gt;'THAM_SO_MOI'!$C$14,'THAM_SO_MOI'!$C$13*(1+F2824^2/1500),'THAM_SO_MOI'!$C$13)</f>
        <v>0.015</v>
      </c>
      <c r="J2824" s="75">
        <f>'THAM_SO_MOI'!$C$40*('THAM_SO_MOI'!$C$23*(E2824/'THAM_SO_MOI'!$C$22)+'THAM_SO_MOI'!$C$24*(E2824/'THAM_SO_MOI'!$C$22)^2-'THAM_SO_MOI'!$C$25*(E2824/'THAM_SO_MOI'!$C$22)^3)</f>
        <v>91.8900517405068</v>
      </c>
      <c r="K2824" s="75">
        <f>'THAM_SO_MOI'!$C$31*J2824/E2824</f>
        <v>429.3984519241938</v>
      </c>
      <c r="L2824" s="75">
        <f>K2824*'THAM_SO_MOI'!$C$52*'THAM_SO_MOI'!$C$17/'THAM_SO_MOI'!$C$26</f>
        <v>6012.963958052309</v>
      </c>
      <c r="M2824" s="75">
        <f>'THAM_SO_MOI'!$C$15*'THAM_SO_MOI'!$C$16*F2824^2</f>
        <v>493.72757692881265</v>
      </c>
      <c r="N2824" s="75">
        <f>'THAM_SO_MOI'!$C$12*I2824</f>
        <v>1130.112</v>
      </c>
      <c r="O2824" s="75">
        <f>M2824+N2824</f>
        <v>1623.8395769288127</v>
      </c>
      <c r="P2824" s="75">
        <f>(MIN(L2824,'THAM_SO_MOI'!$C$41)-O2824)/('THAM_SO_MOI'!$C$11*H2824)</f>
        <v>0.4853609067542083</v>
      </c>
      <c r="Q2824" s="75">
        <f>IF(P2824&gt;0,1/P2824,NA())</f>
        <v>2.06032250658047</v>
      </c>
      <c r="R2824" s="75">
        <f>F2824-F2823</f>
        <v>0.007943393307218827</v>
      </c>
      <c r="S2824" s="75">
        <f>0.5*(Q2823+Q2824)*R2824</f>
        <v>0.016365217360769273</v>
      </c>
      <c r="T2824" s="75">
        <f>0.5*(F2823*Q2823+F2824*Q2824)*R2824</f>
        <v>0.21255423245118002</v>
      </c>
      <c r="U2824" s="76">
        <f>U2823+S2824</f>
        <v>19.746147287587725</v>
      </c>
      <c r="V2824" s="76">
        <f>V2823+T2824</f>
        <v>152.86043387454959</v>
      </c>
    </row>
    <row r="2825" spans="1:22" ht="19" customHeight="1">
      <c r="A2825" s="68" t="s">
        <v>376</v>
      </c>
      <c r="B2825" s="74">
        <v>4</v>
      </c>
      <c r="C2825" s="68" t="s">
        <v>363</v>
      </c>
      <c r="D2825" s="68" t="s">
        <v>364</v>
      </c>
      <c r="E2825" s="75">
        <f>60*F2825*'THAM_SO_MOI'!$C$52/(2*PI()*'THAM_SO_MOI'!$C$26)</f>
        <v>2045.1576284523117</v>
      </c>
      <c r="F2825" s="75">
        <f>'HANH_TRINH'!$F$2468+('THAM_SO_MOI'!$F$52-'HANH_TRINH'!$F$2468)*356/'THAM_SO_MOI'!$C$42</f>
        <v>13.000085356670123</v>
      </c>
      <c r="G2825" s="75">
        <f>3.6*F2825</f>
        <v>46.80030728401245</v>
      </c>
      <c r="H2825" s="75">
        <f>'THAM_SO_MOI'!$D$52</f>
        <v>1.1774754878398197</v>
      </c>
      <c r="I2825" s="75">
        <f>IF(F2825&gt;'THAM_SO_MOI'!$C$14,'THAM_SO_MOI'!$C$13*(1+F2825^2/1500),'THAM_SO_MOI'!$C$13)</f>
        <v>0.015</v>
      </c>
      <c r="J2825" s="75">
        <f>'THAM_SO_MOI'!$C$40*('THAM_SO_MOI'!$C$23*(E2825/'THAM_SO_MOI'!$C$22)+'THAM_SO_MOI'!$C$24*(E2825/'THAM_SO_MOI'!$C$22)^2-'THAM_SO_MOI'!$C$25*(E2825/'THAM_SO_MOI'!$C$22)^3)</f>
        <v>91.9494038530422</v>
      </c>
      <c r="K2825" s="75">
        <f>'THAM_SO_MOI'!$C$31*J2825/E2825</f>
        <v>429.41325872684104</v>
      </c>
      <c r="L2825" s="75">
        <f>K2825*'THAM_SO_MOI'!$C$52*'THAM_SO_MOI'!$C$17/'THAM_SO_MOI'!$C$26</f>
        <v>6013.171301069622</v>
      </c>
      <c r="M2825" s="75">
        <f>'THAM_SO_MOI'!$C$15*'THAM_SO_MOI'!$C$16*F2825^2</f>
        <v>494.3314913960738</v>
      </c>
      <c r="N2825" s="75">
        <f>'THAM_SO_MOI'!$C$12*I2825</f>
        <v>1130.112</v>
      </c>
      <c r="O2825" s="75">
        <f>M2825+N2825</f>
        <v>1624.4434913960738</v>
      </c>
      <c r="P2825" s="75">
        <f>(MIN(L2825,'THAM_SO_MOI'!$C$41)-O2825)/('THAM_SO_MOI'!$C$11*H2825)</f>
        <v>0.48531705284125753</v>
      </c>
      <c r="Q2825" s="75">
        <f>IF(P2825&gt;0,1/P2825,NA())</f>
        <v>2.0605086801412895</v>
      </c>
      <c r="R2825" s="75">
        <f>F2825-F2824</f>
        <v>0.007943393307220603</v>
      </c>
      <c r="S2825" s="75">
        <f>0.5*(Q2824+Q2825)*R2825</f>
        <v>0.01636669143439578</v>
      </c>
      <c r="T2825" s="75">
        <f>0.5*(F2824*Q2824+F2825*Q2825)*R2825</f>
        <v>0.21270338505659767</v>
      </c>
      <c r="U2825" s="76">
        <f>U2824+S2825</f>
        <v>19.76251397902212</v>
      </c>
      <c r="V2825" s="76">
        <f>V2824+T2825</f>
        <v>153.07313725960617</v>
      </c>
    </row>
    <row r="2826" spans="1:22" ht="19" customHeight="1">
      <c r="A2826" s="68" t="s">
        <v>376</v>
      </c>
      <c r="B2826" s="74">
        <v>4</v>
      </c>
      <c r="C2826" s="68" t="s">
        <v>363</v>
      </c>
      <c r="D2826" s="68" t="s">
        <v>364</v>
      </c>
      <c r="E2826" s="75">
        <f>60*F2826*'THAM_SO_MOI'!$C$52/(2*PI()*'THAM_SO_MOI'!$C$26)</f>
        <v>2046.407273433275</v>
      </c>
      <c r="F2826" s="75">
        <f>'HANH_TRINH'!$F$2468+('THAM_SO_MOI'!$F$52-'HANH_TRINH'!$F$2468)*357/'THAM_SO_MOI'!$C$42</f>
        <v>13.008028749977342</v>
      </c>
      <c r="G2826" s="75">
        <f>3.6*F2826</f>
        <v>46.82890349991843</v>
      </c>
      <c r="H2826" s="75">
        <f>'THAM_SO_MOI'!$D$52</f>
        <v>1.1774754878398197</v>
      </c>
      <c r="I2826" s="75">
        <f>IF(F2826&gt;'THAM_SO_MOI'!$C$14,'THAM_SO_MOI'!$C$13*(1+F2826^2/1500),'THAM_SO_MOI'!$C$13)</f>
        <v>0.015</v>
      </c>
      <c r="J2826" s="75">
        <f>'THAM_SO_MOI'!$C$40*('THAM_SO_MOI'!$C$23*(E2826/'THAM_SO_MOI'!$C$22)+'THAM_SO_MOI'!$C$24*(E2826/'THAM_SO_MOI'!$C$22)^2-'THAM_SO_MOI'!$C$25*(E2826/'THAM_SO_MOI'!$C$22)^3)</f>
        <v>92.00872738000133</v>
      </c>
      <c r="K2826" s="75">
        <f>'THAM_SO_MOI'!$C$31*J2826/E2826</f>
        <v>429.42791402976087</v>
      </c>
      <c r="L2826" s="75">
        <f>K2826*'THAM_SO_MOI'!$C$52*'THAM_SO_MOI'!$C$17/'THAM_SO_MOI'!$C$26</f>
        <v>6013.376522601876</v>
      </c>
      <c r="M2826" s="75">
        <f>'THAM_SO_MOI'!$C$15*'THAM_SO_MOI'!$C$16*F2826^2</f>
        <v>494.9357749836935</v>
      </c>
      <c r="N2826" s="75">
        <f>'THAM_SO_MOI'!$C$12*I2826</f>
        <v>1130.112</v>
      </c>
      <c r="O2826" s="75">
        <f>M2826+N2826</f>
        <v>1625.0477749836937</v>
      </c>
      <c r="P2826" s="75">
        <f>(MIN(L2826,'THAM_SO_MOI'!$C$41)-O2826)/('THAM_SO_MOI'!$C$11*H2826)</f>
        <v>0.4852729235106155</v>
      </c>
      <c r="Q2826" s="75">
        <f>IF(P2826&gt;0,1/P2826,NA())</f>
        <v>2.06069605690276</v>
      </c>
      <c r="R2826" s="75">
        <f>F2826-F2825</f>
        <v>0.007943393307218827</v>
      </c>
      <c r="S2826" s="75">
        <f>0.5*(Q2825+Q2826)*R2826</f>
        <v>0.016368175062957114</v>
      </c>
      <c r="T2826" s="75">
        <f>0.5*(F2825*Q2825+F2826*Q2826)*R2826</f>
        <v>0.21285268533323626</v>
      </c>
      <c r="U2826" s="76">
        <f>U2825+S2826</f>
        <v>19.77888215408508</v>
      </c>
      <c r="V2826" s="76">
        <f>V2825+T2826</f>
        <v>153.28598994493942</v>
      </c>
    </row>
    <row r="2827" spans="1:22" ht="19" customHeight="1">
      <c r="A2827" s="68" t="s">
        <v>376</v>
      </c>
      <c r="B2827" s="74">
        <v>4</v>
      </c>
      <c r="C2827" s="68" t="s">
        <v>363</v>
      </c>
      <c r="D2827" s="68" t="s">
        <v>364</v>
      </c>
      <c r="E2827" s="75">
        <f>60*F2827*'THAM_SO_MOI'!$C$52/(2*PI()*'THAM_SO_MOI'!$C$26)</f>
        <v>2047.6569184142381</v>
      </c>
      <c r="F2827" s="75">
        <f>'HANH_TRINH'!$F$2468+('THAM_SO_MOI'!$F$52-'HANH_TRINH'!$F$2468)*358/'THAM_SO_MOI'!$C$42</f>
        <v>13.01597214328456</v>
      </c>
      <c r="G2827" s="75">
        <f>3.6*F2827</f>
        <v>46.85749971582442</v>
      </c>
      <c r="H2827" s="75">
        <f>'THAM_SO_MOI'!$D$52</f>
        <v>1.1774754878398197</v>
      </c>
      <c r="I2827" s="75">
        <f>IF(F2827&gt;'THAM_SO_MOI'!$C$14,'THAM_SO_MOI'!$C$13*(1+F2827^2/1500),'THAM_SO_MOI'!$C$13)</f>
        <v>0.015</v>
      </c>
      <c r="J2827" s="75">
        <f>'THAM_SO_MOI'!$C$40*('THAM_SO_MOI'!$C$23*(E2827/'THAM_SO_MOI'!$C$22)+'THAM_SO_MOI'!$C$24*(E2827/'THAM_SO_MOI'!$C$22)^2-'THAM_SO_MOI'!$C$25*(E2827/'THAM_SO_MOI'!$C$22)^3)</f>
        <v>92.06802226191851</v>
      </c>
      <c r="K2827" s="75">
        <f>'THAM_SO_MOI'!$C$31*J2827/E2827</f>
        <v>429.4424178329532</v>
      </c>
      <c r="L2827" s="75">
        <f>K2827*'THAM_SO_MOI'!$C$52*'THAM_SO_MOI'!$C$17/'THAM_SO_MOI'!$C$26</f>
        <v>6013.579622649069</v>
      </c>
      <c r="M2827" s="75">
        <f>'THAM_SO_MOI'!$C$15*'THAM_SO_MOI'!$C$16*F2827^2</f>
        <v>495.5404276916721</v>
      </c>
      <c r="N2827" s="75">
        <f>'THAM_SO_MOI'!$C$12*I2827</f>
        <v>1130.112</v>
      </c>
      <c r="O2827" s="75">
        <f>M2827+N2827</f>
        <v>1625.652427691672</v>
      </c>
      <c r="P2827" s="75">
        <f>(MIN(L2827,'THAM_SO_MOI'!$C$41)-O2827)/('THAM_SO_MOI'!$C$11*H2827)</f>
        <v>0.48522851876228196</v>
      </c>
      <c r="Q2827" s="75">
        <f>IF(P2827&gt;0,1/P2827,NA())</f>
        <v>2.0608846375122263</v>
      </c>
      <c r="R2827" s="75">
        <f>F2827-F2826</f>
        <v>0.007943393307218827</v>
      </c>
      <c r="S2827" s="75">
        <f>0.5*(Q2826+Q2827)*R2827</f>
        <v>0.01636966825158916</v>
      </c>
      <c r="T2827" s="75">
        <f>0.5*(F2826*Q2826+F2827*Q2827)*R2827</f>
        <v>0.21300213357561984</v>
      </c>
      <c r="U2827" s="76">
        <f>U2826+S2827</f>
        <v>19.795251822336667</v>
      </c>
      <c r="V2827" s="76">
        <f>V2826+T2827</f>
        <v>153.49899207851504</v>
      </c>
    </row>
    <row r="2828" spans="1:22" ht="19" customHeight="1">
      <c r="A2828" s="68" t="s">
        <v>376</v>
      </c>
      <c r="B2828" s="74">
        <v>4</v>
      </c>
      <c r="C2828" s="68" t="s">
        <v>363</v>
      </c>
      <c r="D2828" s="68" t="s">
        <v>364</v>
      </c>
      <c r="E2828" s="75">
        <f>60*F2828*'THAM_SO_MOI'!$C$52/(2*PI()*'THAM_SO_MOI'!$C$26)</f>
        <v>2048.9065633952014</v>
      </c>
      <c r="F2828" s="75">
        <f>'HANH_TRINH'!$F$2468+('THAM_SO_MOI'!$F$52-'HANH_TRINH'!$F$2468)*359/'THAM_SO_MOI'!$C$42</f>
        <v>13.02391553659178</v>
      </c>
      <c r="G2828" s="75">
        <f>3.6*F2828</f>
        <v>46.88609593173041</v>
      </c>
      <c r="H2828" s="75">
        <f>'THAM_SO_MOI'!$D$52</f>
        <v>1.1774754878398197</v>
      </c>
      <c r="I2828" s="75">
        <f>IF(F2828&gt;'THAM_SO_MOI'!$C$14,'THAM_SO_MOI'!$C$13*(1+F2828^2/1500),'THAM_SO_MOI'!$C$13)</f>
        <v>0.015</v>
      </c>
      <c r="J2828" s="75">
        <f>'THAM_SO_MOI'!$C$40*('THAM_SO_MOI'!$C$23*(E2828/'THAM_SO_MOI'!$C$22)+'THAM_SO_MOI'!$C$24*(E2828/'THAM_SO_MOI'!$C$22)^2-'THAM_SO_MOI'!$C$25*(E2828/'THAM_SO_MOI'!$C$22)^3)</f>
        <v>92.12728843932801</v>
      </c>
      <c r="K2828" s="75">
        <f>'THAM_SO_MOI'!$C$31*J2828/E2828</f>
        <v>429.4567701364178</v>
      </c>
      <c r="L2828" s="75">
        <f>K2828*'THAM_SO_MOI'!$C$52*'THAM_SO_MOI'!$C$17/'THAM_SO_MOI'!$C$26</f>
        <v>6013.780601211197</v>
      </c>
      <c r="M2828" s="75">
        <f>'THAM_SO_MOI'!$C$15*'THAM_SO_MOI'!$C$16*F2828^2</f>
        <v>496.14544952000955</v>
      </c>
      <c r="N2828" s="75">
        <f>'THAM_SO_MOI'!$C$12*I2828</f>
        <v>1130.112</v>
      </c>
      <c r="O2828" s="75">
        <f>M2828+N2828</f>
        <v>1626.2574495200097</v>
      </c>
      <c r="P2828" s="75">
        <f>(MIN(L2828,'THAM_SO_MOI'!$C$41)-O2828)/('THAM_SO_MOI'!$C$11*H2828)</f>
        <v>0.4851838385962564</v>
      </c>
      <c r="Q2828" s="75">
        <f>IF(P2828&gt;0,1/P2828,NA())</f>
        <v>2.0610744226213717</v>
      </c>
      <c r="R2828" s="75">
        <f>F2828-F2827</f>
        <v>0.007943393307218827</v>
      </c>
      <c r="S2828" s="75">
        <f>0.5*(Q2827+Q2828)*R2828</f>
        <v>0.016371171005447615</v>
      </c>
      <c r="T2828" s="75">
        <f>0.5*(F2827*Q2827+F2828*Q2828)*R2828</f>
        <v>0.21315173007869337</v>
      </c>
      <c r="U2828" s="76">
        <f>U2827+S2828</f>
        <v>19.811622993342116</v>
      </c>
      <c r="V2828" s="76">
        <f>V2827+T2828</f>
        <v>153.71214380859374</v>
      </c>
    </row>
    <row r="2829" spans="1:22" ht="19" customHeight="1">
      <c r="A2829" s="68" t="s">
        <v>376</v>
      </c>
      <c r="B2829" s="74">
        <v>4</v>
      </c>
      <c r="C2829" s="68" t="s">
        <v>363</v>
      </c>
      <c r="D2829" s="68" t="s">
        <v>364</v>
      </c>
      <c r="E2829" s="75">
        <f>60*F2829*'THAM_SO_MOI'!$C$52/(2*PI()*'THAM_SO_MOI'!$C$26)</f>
        <v>2050.1562083761646</v>
      </c>
      <c r="F2829" s="75">
        <f>'HANH_TRINH'!$F$2468+('THAM_SO_MOI'!$F$52-'HANH_TRINH'!$F$2468)*360/'THAM_SO_MOI'!$C$42</f>
        <v>13.031858929899</v>
      </c>
      <c r="G2829" s="75">
        <f>3.6*F2829</f>
        <v>46.9146921476364</v>
      </c>
      <c r="H2829" s="75">
        <f>'THAM_SO_MOI'!$D$52</f>
        <v>1.1774754878398197</v>
      </c>
      <c r="I2829" s="75">
        <f>IF(F2829&gt;'THAM_SO_MOI'!$C$14,'THAM_SO_MOI'!$C$13*(1+F2829^2/1500),'THAM_SO_MOI'!$C$13)</f>
        <v>0.015</v>
      </c>
      <c r="J2829" s="75">
        <f>'THAM_SO_MOI'!$C$40*('THAM_SO_MOI'!$C$23*(E2829/'THAM_SO_MOI'!$C$22)+'THAM_SO_MOI'!$C$24*(E2829/'THAM_SO_MOI'!$C$22)^2-'THAM_SO_MOI'!$C$25*(E2829/'THAM_SO_MOI'!$C$22)^3)</f>
        <v>92.18652585276423</v>
      </c>
      <c r="K2829" s="75">
        <f>'THAM_SO_MOI'!$C$31*J2829/E2829</f>
        <v>429.47097094015515</v>
      </c>
      <c r="L2829" s="75">
        <f>K2829*'THAM_SO_MOI'!$C$52*'THAM_SO_MOI'!$C$17/'THAM_SO_MOI'!$C$26</f>
        <v>6013.979458288267</v>
      </c>
      <c r="M2829" s="75">
        <f>'THAM_SO_MOI'!$C$15*'THAM_SO_MOI'!$C$16*F2829^2</f>
        <v>496.7508404687058</v>
      </c>
      <c r="N2829" s="75">
        <f>'THAM_SO_MOI'!$C$12*I2829</f>
        <v>1130.112</v>
      </c>
      <c r="O2829" s="75">
        <f>M2829+N2829</f>
        <v>1626.8628404687058</v>
      </c>
      <c r="P2829" s="75">
        <f>(MIN(L2829,'THAM_SO_MOI'!$C$41)-O2829)/('THAM_SO_MOI'!$C$11*H2829)</f>
        <v>0.48513888301253966</v>
      </c>
      <c r="Q2829" s="75">
        <f>IF(P2829&gt;0,1/P2829,NA())</f>
        <v>2.0612654128862156</v>
      </c>
      <c r="R2829" s="75">
        <f>F2829-F2828</f>
        <v>0.007943393307220603</v>
      </c>
      <c r="S2829" s="75">
        <f>0.5*(Q2828+Q2829)*R2829</f>
        <v>0.016372683329729923</v>
      </c>
      <c r="T2829" s="75">
        <f>0.5*(F2828*Q2828+F2829*Q2829)*R2829</f>
        <v>0.21330147513811004</v>
      </c>
      <c r="U2829" s="76">
        <f>U2828+S2829</f>
        <v>19.827995676671847</v>
      </c>
      <c r="V2829" s="76">
        <f>V2828+T2829</f>
        <v>153.92544528373185</v>
      </c>
    </row>
    <row r="2830" spans="1:22" ht="19" customHeight="1">
      <c r="A2830" s="68" t="s">
        <v>376</v>
      </c>
      <c r="B2830" s="74">
        <v>4</v>
      </c>
      <c r="C2830" s="68" t="s">
        <v>363</v>
      </c>
      <c r="D2830" s="68" t="s">
        <v>364</v>
      </c>
      <c r="E2830" s="75">
        <f>60*F2830*'THAM_SO_MOI'!$C$52/(2*PI()*'THAM_SO_MOI'!$C$26)</f>
        <v>2051.405853357128</v>
      </c>
      <c r="F2830" s="75">
        <f>'HANH_TRINH'!$F$2468+('THAM_SO_MOI'!$F$52-'HANH_TRINH'!$F$2468)*361/'THAM_SO_MOI'!$C$42</f>
        <v>13.039802323206219</v>
      </c>
      <c r="G2830" s="75">
        <f>3.6*F2830</f>
        <v>46.943288363542386</v>
      </c>
      <c r="H2830" s="75">
        <f>'THAM_SO_MOI'!$D$52</f>
        <v>1.1774754878398197</v>
      </c>
      <c r="I2830" s="75">
        <f>IF(F2830&gt;'THAM_SO_MOI'!$C$14,'THAM_SO_MOI'!$C$13*(1+F2830^2/1500),'THAM_SO_MOI'!$C$13)</f>
        <v>0.015</v>
      </c>
      <c r="J2830" s="75">
        <f>'THAM_SO_MOI'!$C$40*('THAM_SO_MOI'!$C$23*(E2830/'THAM_SO_MOI'!$C$22)+'THAM_SO_MOI'!$C$24*(E2830/'THAM_SO_MOI'!$C$22)^2-'THAM_SO_MOI'!$C$25*(E2830/'THAM_SO_MOI'!$C$22)^3)</f>
        <v>92.24573444276147</v>
      </c>
      <c r="K2830" s="75">
        <f>'THAM_SO_MOI'!$C$31*J2830/E2830</f>
        <v>429.4850202441651</v>
      </c>
      <c r="L2830" s="75">
        <f>K2830*'THAM_SO_MOI'!$C$52*'THAM_SO_MOI'!$C$17/'THAM_SO_MOI'!$C$26</f>
        <v>6014.176193880277</v>
      </c>
      <c r="M2830" s="75">
        <f>'THAM_SO_MOI'!$C$15*'THAM_SO_MOI'!$C$16*F2830^2</f>
        <v>497.35660053776087</v>
      </c>
      <c r="N2830" s="75">
        <f>'THAM_SO_MOI'!$C$12*I2830</f>
        <v>1130.112</v>
      </c>
      <c r="O2830" s="75">
        <f>M2830+N2830</f>
        <v>1627.468600537761</v>
      </c>
      <c r="P2830" s="75">
        <f>(MIN(L2830,'THAM_SO_MOI'!$C$41)-O2830)/('THAM_SO_MOI'!$C$11*H2830)</f>
        <v>0.4850936520111316</v>
      </c>
      <c r="Q2830" s="75">
        <f>IF(P2830&gt;0,1/P2830,NA())</f>
        <v>2.0614576089671295</v>
      </c>
      <c r="R2830" s="75">
        <f>F2830-F2829</f>
        <v>0.007943393307218827</v>
      </c>
      <c r="S2830" s="75">
        <f>0.5*(Q2829+Q2830)*R2830</f>
        <v>0.016374205229653417</v>
      </c>
      <c r="T2830" s="75">
        <f>0.5*(F2829*Q2829+F2830*Q2830)*R2830</f>
        <v>0.21345136904994688</v>
      </c>
      <c r="U2830" s="76">
        <f>U2829+S2830</f>
        <v>19.8443698819015</v>
      </c>
      <c r="V2830" s="76">
        <f>V2829+T2830</f>
        <v>154.1388966527818</v>
      </c>
    </row>
    <row r="2831" spans="1:22" ht="19" customHeight="1">
      <c r="A2831" s="68" t="s">
        <v>376</v>
      </c>
      <c r="B2831" s="74">
        <v>4</v>
      </c>
      <c r="C2831" s="68" t="s">
        <v>363</v>
      </c>
      <c r="D2831" s="68" t="s">
        <v>364</v>
      </c>
      <c r="E2831" s="75">
        <f>60*F2831*'THAM_SO_MOI'!$C$52/(2*PI()*'THAM_SO_MOI'!$C$26)</f>
        <v>2052.6554983380915</v>
      </c>
      <c r="F2831" s="75">
        <f>'HANH_TRINH'!$F$2468+('THAM_SO_MOI'!$F$52-'HANH_TRINH'!$F$2468)*362/'THAM_SO_MOI'!$C$42</f>
        <v>13.04774571651344</v>
      </c>
      <c r="G2831" s="75">
        <f>3.6*F2831</f>
        <v>46.971884579448385</v>
      </c>
      <c r="H2831" s="75">
        <f>'THAM_SO_MOI'!$D$52</f>
        <v>1.1774754878398197</v>
      </c>
      <c r="I2831" s="75">
        <f>IF(F2831&gt;'THAM_SO_MOI'!$C$14,'THAM_SO_MOI'!$C$13*(1+F2831^2/1500),'THAM_SO_MOI'!$C$13)</f>
        <v>0.015</v>
      </c>
      <c r="J2831" s="75">
        <f>'THAM_SO_MOI'!$C$40*('THAM_SO_MOI'!$C$23*(E2831/'THAM_SO_MOI'!$C$22)+'THAM_SO_MOI'!$C$24*(E2831/'THAM_SO_MOI'!$C$22)^2-'THAM_SO_MOI'!$C$25*(E2831/'THAM_SO_MOI'!$C$22)^3)</f>
        <v>92.30491414985399</v>
      </c>
      <c r="K2831" s="75">
        <f>'THAM_SO_MOI'!$C$31*J2831/E2831</f>
        <v>429.49891804844736</v>
      </c>
      <c r="L2831" s="75">
        <f>K2831*'THAM_SO_MOI'!$C$52*'THAM_SO_MOI'!$C$17/'THAM_SO_MOI'!$C$26</f>
        <v>6014.370807987224</v>
      </c>
      <c r="M2831" s="75">
        <f>'THAM_SO_MOI'!$C$15*'THAM_SO_MOI'!$C$16*F2831^2</f>
        <v>497.9627297271749</v>
      </c>
      <c r="N2831" s="75">
        <f>'THAM_SO_MOI'!$C$12*I2831</f>
        <v>1130.112</v>
      </c>
      <c r="O2831" s="75">
        <f>M2831+N2831</f>
        <v>1628.074729727175</v>
      </c>
      <c r="P2831" s="75">
        <f>(MIN(L2831,'THAM_SO_MOI'!$C$41)-O2831)/('THAM_SO_MOI'!$C$11*H2831)</f>
        <v>0.48504814559203163</v>
      </c>
      <c r="Q2831" s="75">
        <f>IF(P2831&gt;0,1/P2831,NA())</f>
        <v>2.06165101152884</v>
      </c>
      <c r="R2831" s="75">
        <f>F2831-F2830</f>
        <v>0.007943393307220603</v>
      </c>
      <c r="S2831" s="75">
        <f>0.5*(Q2830+Q2831)*R2831</f>
        <v>0.01637573671049563</v>
      </c>
      <c r="T2831" s="75">
        <f>0.5*(F2830*Q2830+F2831*Q2831)*R2831</f>
        <v>0.21360141211123215</v>
      </c>
      <c r="U2831" s="76">
        <f>U2830+S2831</f>
        <v>19.860745618611997</v>
      </c>
      <c r="V2831" s="76">
        <f>V2830+T2831</f>
        <v>154.35249806489304</v>
      </c>
    </row>
    <row r="2832" spans="1:22" ht="19" customHeight="1">
      <c r="A2832" s="68" t="s">
        <v>376</v>
      </c>
      <c r="B2832" s="74">
        <v>4</v>
      </c>
      <c r="C2832" s="68" t="s">
        <v>363</v>
      </c>
      <c r="D2832" s="68" t="s">
        <v>364</v>
      </c>
      <c r="E2832" s="75">
        <f>60*F2832*'THAM_SO_MOI'!$C$52/(2*PI()*'THAM_SO_MOI'!$C$26)</f>
        <v>2053.905143319055</v>
      </c>
      <c r="F2832" s="75">
        <f>'HANH_TRINH'!$F$2468+('THAM_SO_MOI'!$F$52-'HANH_TRINH'!$F$2468)*363/'THAM_SO_MOI'!$C$42</f>
        <v>13.055689109820658</v>
      </c>
      <c r="G2832" s="75">
        <f>3.6*F2832</f>
        <v>47.00048079535437</v>
      </c>
      <c r="H2832" s="75">
        <f>'THAM_SO_MOI'!$D$52</f>
        <v>1.1774754878398197</v>
      </c>
      <c r="I2832" s="75">
        <f>IF(F2832&gt;'THAM_SO_MOI'!$C$14,'THAM_SO_MOI'!$C$13*(1+F2832^2/1500),'THAM_SO_MOI'!$C$13)</f>
        <v>0.015</v>
      </c>
      <c r="J2832" s="75">
        <f>'THAM_SO_MOI'!$C$40*('THAM_SO_MOI'!$C$23*(E2832/'THAM_SO_MOI'!$C$22)+'THAM_SO_MOI'!$C$24*(E2832/'THAM_SO_MOI'!$C$22)^2-'THAM_SO_MOI'!$C$25*(E2832/'THAM_SO_MOI'!$C$22)^3)</f>
        <v>92.36406491457613</v>
      </c>
      <c r="K2832" s="75">
        <f>'THAM_SO_MOI'!$C$31*J2832/E2832</f>
        <v>429.5126643530023</v>
      </c>
      <c r="L2832" s="75">
        <f>K2832*'THAM_SO_MOI'!$C$52*'THAM_SO_MOI'!$C$17/'THAM_SO_MOI'!$C$26</f>
        <v>6014.56330060911</v>
      </c>
      <c r="M2832" s="75">
        <f>'THAM_SO_MOI'!$C$15*'THAM_SO_MOI'!$C$16*F2832^2</f>
        <v>498.5692280369475</v>
      </c>
      <c r="N2832" s="75">
        <f>'THAM_SO_MOI'!$C$12*I2832</f>
        <v>1130.112</v>
      </c>
      <c r="O2832" s="75">
        <f>M2832+N2832</f>
        <v>1628.6812280369477</v>
      </c>
      <c r="P2832" s="75">
        <f>(MIN(L2832,'THAM_SO_MOI'!$C$41)-O2832)/('THAM_SO_MOI'!$C$11*H2832)</f>
        <v>0.48500236375524014</v>
      </c>
      <c r="Q2832" s="75">
        <f>IF(P2832&gt;0,1/P2832,NA())</f>
        <v>2.0618456212404297</v>
      </c>
      <c r="R2832" s="75">
        <f>F2832-F2831</f>
        <v>0.007943393307218827</v>
      </c>
      <c r="S2832" s="75">
        <f>0.5*(Q2831+Q2832)*R2832</f>
        <v>0.01637727777753939</v>
      </c>
      <c r="T2832" s="75">
        <f>0.5*(F2831*Q2831+F2832*Q2832)*R2832</f>
        <v>0.2137516046192311</v>
      </c>
      <c r="U2832" s="76">
        <f>U2831+S2832</f>
        <v>19.877122896389537</v>
      </c>
      <c r="V2832" s="76">
        <f>V2831+T2832</f>
        <v>154.56624966951227</v>
      </c>
    </row>
    <row r="2833" spans="1:22" ht="19" customHeight="1">
      <c r="A2833" s="68" t="s">
        <v>376</v>
      </c>
      <c r="B2833" s="74">
        <v>4</v>
      </c>
      <c r="C2833" s="68" t="s">
        <v>363</v>
      </c>
      <c r="D2833" s="68" t="s">
        <v>364</v>
      </c>
      <c r="E2833" s="75">
        <f>60*F2833*'THAM_SO_MOI'!$C$52/(2*PI()*'THAM_SO_MOI'!$C$26)</f>
        <v>2055.154788300018</v>
      </c>
      <c r="F2833" s="75">
        <f>'HANH_TRINH'!$F$2468+('THAM_SO_MOI'!$F$52-'HANH_TRINH'!$F$2468)*364/'THAM_SO_MOI'!$C$42</f>
        <v>13.063632503127877</v>
      </c>
      <c r="G2833" s="75">
        <f>3.6*F2833</f>
        <v>47.02907701126036</v>
      </c>
      <c r="H2833" s="75">
        <f>'THAM_SO_MOI'!$D$52</f>
        <v>1.1774754878398197</v>
      </c>
      <c r="I2833" s="75">
        <f>IF(F2833&gt;'THAM_SO_MOI'!$C$14,'THAM_SO_MOI'!$C$13*(1+F2833^2/1500),'THAM_SO_MOI'!$C$13)</f>
        <v>0.015</v>
      </c>
      <c r="J2833" s="75">
        <f>'THAM_SO_MOI'!$C$40*('THAM_SO_MOI'!$C$23*(E2833/'THAM_SO_MOI'!$C$22)+'THAM_SO_MOI'!$C$24*(E2833/'THAM_SO_MOI'!$C$22)^2-'THAM_SO_MOI'!$C$25*(E2833/'THAM_SO_MOI'!$C$22)^3)</f>
        <v>92.42318667746223</v>
      </c>
      <c r="K2833" s="75">
        <f>'THAM_SO_MOI'!$C$31*J2833/E2833</f>
        <v>429.5262591578298</v>
      </c>
      <c r="L2833" s="75">
        <f>K2833*'THAM_SO_MOI'!$C$52*'THAM_SO_MOI'!$C$17/'THAM_SO_MOI'!$C$26</f>
        <v>6014.753671745938</v>
      </c>
      <c r="M2833" s="75">
        <f>'THAM_SO_MOI'!$C$15*'THAM_SO_MOI'!$C$16*F2833^2</f>
        <v>499.176095467079</v>
      </c>
      <c r="N2833" s="75">
        <f>'THAM_SO_MOI'!$C$12*I2833</f>
        <v>1130.112</v>
      </c>
      <c r="O2833" s="75">
        <f>M2833+N2833</f>
        <v>1629.288095467079</v>
      </c>
      <c r="P2833" s="75">
        <f>(MIN(L2833,'THAM_SO_MOI'!$C$41)-O2833)/('THAM_SO_MOI'!$C$11*H2833)</f>
        <v>0.48495630650075744</v>
      </c>
      <c r="Q2833" s="75">
        <f>IF(P2833&gt;0,1/P2833,NA())</f>
        <v>2.062041438775347</v>
      </c>
      <c r="R2833" s="75">
        <f>F2833-F2832</f>
        <v>0.007943393307218827</v>
      </c>
      <c r="S2833" s="75">
        <f>0.5*(Q2832+Q2833)*R2833</f>
        <v>0.016378828436127823</v>
      </c>
      <c r="T2833" s="75">
        <f>0.5*(F2832*Q2832+F2833*Q2833)*R2833</f>
        <v>0.21390194687216385</v>
      </c>
      <c r="U2833" s="76">
        <f>U2832+S2833</f>
        <v>19.893501724825665</v>
      </c>
      <c r="V2833" s="76">
        <f>V2832+T2833</f>
        <v>154.78015161638444</v>
      </c>
    </row>
    <row r="2834" spans="1:22" ht="19" customHeight="1">
      <c r="A2834" s="68" t="s">
        <v>376</v>
      </c>
      <c r="B2834" s="74">
        <v>4</v>
      </c>
      <c r="C2834" s="68" t="s">
        <v>363</v>
      </c>
      <c r="D2834" s="68" t="s">
        <v>364</v>
      </c>
      <c r="E2834" s="75">
        <f>60*F2834*'THAM_SO_MOI'!$C$52/(2*PI()*'THAM_SO_MOI'!$C$26)</f>
        <v>2056.4044332809813</v>
      </c>
      <c r="F2834" s="75">
        <f>'HANH_TRINH'!$F$2468+('THAM_SO_MOI'!$F$52-'HANH_TRINH'!$F$2468)*365/'THAM_SO_MOI'!$C$42</f>
        <v>13.071575896435098</v>
      </c>
      <c r="G2834" s="75">
        <f>3.6*F2834</f>
        <v>47.057673227166354</v>
      </c>
      <c r="H2834" s="75">
        <f>'THAM_SO_MOI'!$D$52</f>
        <v>1.1774754878398197</v>
      </c>
      <c r="I2834" s="75">
        <f>IF(F2834&gt;'THAM_SO_MOI'!$C$14,'THAM_SO_MOI'!$C$13*(1+F2834^2/1500),'THAM_SO_MOI'!$C$13)</f>
        <v>0.015</v>
      </c>
      <c r="J2834" s="75">
        <f>'THAM_SO_MOI'!$C$40*('THAM_SO_MOI'!$C$23*(E2834/'THAM_SO_MOI'!$C$22)+'THAM_SO_MOI'!$C$24*(E2834/'THAM_SO_MOI'!$C$22)^2-'THAM_SO_MOI'!$C$25*(E2834/'THAM_SO_MOI'!$C$22)^3)</f>
        <v>92.48227937904655</v>
      </c>
      <c r="K2834" s="75">
        <f>'THAM_SO_MOI'!$C$31*J2834/E2834</f>
        <v>429.5397024629297</v>
      </c>
      <c r="L2834" s="75">
        <f>K2834*'THAM_SO_MOI'!$C$52*'THAM_SO_MOI'!$C$17/'THAM_SO_MOI'!$C$26</f>
        <v>6014.941921397701</v>
      </c>
      <c r="M2834" s="75">
        <f>'THAM_SO_MOI'!$C$15*'THAM_SO_MOI'!$C$16*F2834^2</f>
        <v>499.7833320175694</v>
      </c>
      <c r="N2834" s="75">
        <f>'THAM_SO_MOI'!$C$12*I2834</f>
        <v>1130.112</v>
      </c>
      <c r="O2834" s="75">
        <f>M2834+N2834</f>
        <v>1629.8953320175694</v>
      </c>
      <c r="P2834" s="75">
        <f>(MIN(L2834,'THAM_SO_MOI'!$C$41)-O2834)/('THAM_SO_MOI'!$C$11*H2834)</f>
        <v>0.4849099738285827</v>
      </c>
      <c r="Q2834" s="75">
        <f>IF(P2834&gt;0,1/P2834,NA())</f>
        <v>2.0622384648114154</v>
      </c>
      <c r="R2834" s="75">
        <f>F2834-F2833</f>
        <v>0.007943393307220603</v>
      </c>
      <c r="S2834" s="75">
        <f>0.5*(Q2833+Q2834)*R2834</f>
        <v>0.01638038869162776</v>
      </c>
      <c r="T2834" s="75">
        <f>0.5*(F2833*Q2833+F2834*Q2834)*R2834</f>
        <v>0.21405243916873057</v>
      </c>
      <c r="U2834" s="76">
        <f>U2833+S2834</f>
        <v>19.90988211351729</v>
      </c>
      <c r="V2834" s="76">
        <f>V2833+T2834</f>
        <v>154.99420405555318</v>
      </c>
    </row>
    <row r="2835" spans="1:22" ht="19" customHeight="1">
      <c r="A2835" s="68" t="s">
        <v>376</v>
      </c>
      <c r="B2835" s="74">
        <v>4</v>
      </c>
      <c r="C2835" s="68" t="s">
        <v>363</v>
      </c>
      <c r="D2835" s="68" t="s">
        <v>364</v>
      </c>
      <c r="E2835" s="75">
        <f>60*F2835*'THAM_SO_MOI'!$C$52/(2*PI()*'THAM_SO_MOI'!$C$26)</f>
        <v>2057.6540782619445</v>
      </c>
      <c r="F2835" s="75">
        <f>'HANH_TRINH'!$F$2468+('THAM_SO_MOI'!$F$52-'HANH_TRINH'!$F$2468)*366/'THAM_SO_MOI'!$C$42</f>
        <v>13.079519289742317</v>
      </c>
      <c r="G2835" s="75">
        <f>3.6*F2835</f>
        <v>47.08626944307234</v>
      </c>
      <c r="H2835" s="75">
        <f>'THAM_SO_MOI'!$D$52</f>
        <v>1.1774754878398197</v>
      </c>
      <c r="I2835" s="75">
        <f>IF(F2835&gt;'THAM_SO_MOI'!$C$14,'THAM_SO_MOI'!$C$13*(1+F2835^2/1500),'THAM_SO_MOI'!$C$13)</f>
        <v>0.015</v>
      </c>
      <c r="J2835" s="75">
        <f>'THAM_SO_MOI'!$C$40*('THAM_SO_MOI'!$C$23*(E2835/'THAM_SO_MOI'!$C$22)+'THAM_SO_MOI'!$C$24*(E2835/'THAM_SO_MOI'!$C$22)^2-'THAM_SO_MOI'!$C$25*(E2835/'THAM_SO_MOI'!$C$22)^3)</f>
        <v>92.54134295986343</v>
      </c>
      <c r="K2835" s="75">
        <f>'THAM_SO_MOI'!$C$31*J2835/E2835</f>
        <v>429.5529942683022</v>
      </c>
      <c r="L2835" s="75">
        <f>K2835*'THAM_SO_MOI'!$C$52*'THAM_SO_MOI'!$C$17/'THAM_SO_MOI'!$C$26</f>
        <v>6015.128049564406</v>
      </c>
      <c r="M2835" s="75">
        <f>'THAM_SO_MOI'!$C$15*'THAM_SO_MOI'!$C$16*F2835^2</f>
        <v>500.3909376884185</v>
      </c>
      <c r="N2835" s="75">
        <f>'THAM_SO_MOI'!$C$12*I2835</f>
        <v>1130.112</v>
      </c>
      <c r="O2835" s="75">
        <f>M2835+N2835</f>
        <v>1630.5029376884186</v>
      </c>
      <c r="P2835" s="75">
        <f>(MIN(L2835,'THAM_SO_MOI'!$C$41)-O2835)/('THAM_SO_MOI'!$C$11*H2835)</f>
        <v>0.48486336573871686</v>
      </c>
      <c r="Q2835" s="75">
        <f>IF(P2835&gt;0,1/P2835,NA())</f>
        <v>2.062436700030829</v>
      </c>
      <c r="R2835" s="75">
        <f>F2835-F2834</f>
        <v>0.007943393307218827</v>
      </c>
      <c r="S2835" s="75">
        <f>0.5*(Q2834+Q2835)*R2835</f>
        <v>0.0163819585494298</v>
      </c>
      <c r="T2835" s="75">
        <f>0.5*(F2834*Q2834+F2835*Q2835)*R2835</f>
        <v>0.2142030818081123</v>
      </c>
      <c r="U2835" s="76">
        <f>U2834+S2835</f>
        <v>19.926264072066722</v>
      </c>
      <c r="V2835" s="76">
        <f>V2834+T2835</f>
        <v>155.2084071373613</v>
      </c>
    </row>
    <row r="2836" spans="1:22" ht="19" customHeight="1">
      <c r="A2836" s="68" t="s">
        <v>376</v>
      </c>
      <c r="B2836" s="74">
        <v>4</v>
      </c>
      <c r="C2836" s="68" t="s">
        <v>363</v>
      </c>
      <c r="D2836" s="68" t="s">
        <v>364</v>
      </c>
      <c r="E2836" s="75">
        <f>60*F2836*'THAM_SO_MOI'!$C$52/(2*PI()*'THAM_SO_MOI'!$C$26)</f>
        <v>2058.9037232429077</v>
      </c>
      <c r="F2836" s="75">
        <f>'HANH_TRINH'!$F$2468+('THAM_SO_MOI'!$F$52-'HANH_TRINH'!$F$2468)*367/'THAM_SO_MOI'!$C$42</f>
        <v>13.087462683049536</v>
      </c>
      <c r="G2836" s="75">
        <f>3.6*F2836</f>
        <v>47.11486565897833</v>
      </c>
      <c r="H2836" s="75">
        <f>'THAM_SO_MOI'!$D$52</f>
        <v>1.1774754878398197</v>
      </c>
      <c r="I2836" s="75">
        <f>IF(F2836&gt;'THAM_SO_MOI'!$C$14,'THAM_SO_MOI'!$C$13*(1+F2836^2/1500),'THAM_SO_MOI'!$C$13)</f>
        <v>0.015</v>
      </c>
      <c r="J2836" s="75">
        <f>'THAM_SO_MOI'!$C$40*('THAM_SO_MOI'!$C$23*(E2836/'THAM_SO_MOI'!$C$22)+'THAM_SO_MOI'!$C$24*(E2836/'THAM_SO_MOI'!$C$22)^2-'THAM_SO_MOI'!$C$25*(E2836/'THAM_SO_MOI'!$C$22)^3)</f>
        <v>92.6003773604472</v>
      </c>
      <c r="K2836" s="75">
        <f>'THAM_SO_MOI'!$C$31*J2836/E2836</f>
        <v>429.56613457394724</v>
      </c>
      <c r="L2836" s="75">
        <f>K2836*'THAM_SO_MOI'!$C$52*'THAM_SO_MOI'!$C$17/'THAM_SO_MOI'!$C$26</f>
        <v>6015.312056246049</v>
      </c>
      <c r="M2836" s="75">
        <f>'THAM_SO_MOI'!$C$15*'THAM_SO_MOI'!$C$16*F2836^2</f>
        <v>500.9989124796264</v>
      </c>
      <c r="N2836" s="75">
        <f>'THAM_SO_MOI'!$C$12*I2836</f>
        <v>1130.112</v>
      </c>
      <c r="O2836" s="75">
        <f>M2836+N2836</f>
        <v>1631.1109124796264</v>
      </c>
      <c r="P2836" s="75">
        <f>(MIN(L2836,'THAM_SO_MOI'!$C$41)-O2836)/('THAM_SO_MOI'!$C$11*H2836)</f>
        <v>0.48481648223115936</v>
      </c>
      <c r="Q2836" s="75">
        <f>IF(P2836&gt;0,1/P2836,NA())</f>
        <v>2.06263614512017</v>
      </c>
      <c r="R2836" s="75">
        <f>F2836-F2835</f>
        <v>0.007943393307218827</v>
      </c>
      <c r="S2836" s="75">
        <f>0.5*(Q2835+Q2836)*R2836</f>
        <v>0.016383538014981287</v>
      </c>
      <c r="T2836" s="75">
        <f>0.5*(F2835*Q2835+F2836*Q2836)*R2836</f>
        <v>0.2143538750904041</v>
      </c>
      <c r="U2836" s="76">
        <f>U2835+S2836</f>
        <v>19.942647610081703</v>
      </c>
      <c r="V2836" s="76">
        <f>V2835+T2836</f>
        <v>155.4227610124517</v>
      </c>
    </row>
    <row r="2837" spans="1:22" ht="19" customHeight="1">
      <c r="A2837" s="68" t="s">
        <v>376</v>
      </c>
      <c r="B2837" s="74">
        <v>4</v>
      </c>
      <c r="C2837" s="68" t="s">
        <v>363</v>
      </c>
      <c r="D2837" s="68" t="s">
        <v>364</v>
      </c>
      <c r="E2837" s="75">
        <f>60*F2837*'THAM_SO_MOI'!$C$52/(2*PI()*'THAM_SO_MOI'!$C$26)</f>
        <v>2060.153368223871</v>
      </c>
      <c r="F2837" s="75">
        <f>'HANH_TRINH'!$F$2468+('THAM_SO_MOI'!$F$52-'HANH_TRINH'!$F$2468)*368/'THAM_SO_MOI'!$C$42</f>
        <v>13.095406076356756</v>
      </c>
      <c r="G2837" s="75">
        <f>3.6*F2837</f>
        <v>47.14346187488432</v>
      </c>
      <c r="H2837" s="75">
        <f>'THAM_SO_MOI'!$D$52</f>
        <v>1.1774754878398197</v>
      </c>
      <c r="I2837" s="75">
        <f>IF(F2837&gt;'THAM_SO_MOI'!$C$14,'THAM_SO_MOI'!$C$13*(1+F2837^2/1500),'THAM_SO_MOI'!$C$13)</f>
        <v>0.015</v>
      </c>
      <c r="J2837" s="75">
        <f>'THAM_SO_MOI'!$C$40*('THAM_SO_MOI'!$C$23*(E2837/'THAM_SO_MOI'!$C$22)+'THAM_SO_MOI'!$C$24*(E2837/'THAM_SO_MOI'!$C$22)^2-'THAM_SO_MOI'!$C$25*(E2837/'THAM_SO_MOI'!$C$22)^3)</f>
        <v>92.65938252133213</v>
      </c>
      <c r="K2837" s="75">
        <f>'THAM_SO_MOI'!$C$31*J2837/E2837</f>
        <v>429.57912337986477</v>
      </c>
      <c r="L2837" s="75">
        <f>K2837*'THAM_SO_MOI'!$C$52*'THAM_SO_MOI'!$C$17/'THAM_SO_MOI'!$C$26</f>
        <v>6015.493941442632</v>
      </c>
      <c r="M2837" s="75">
        <f>'THAM_SO_MOI'!$C$15*'THAM_SO_MOI'!$C$16*F2837^2</f>
        <v>501.6072563911933</v>
      </c>
      <c r="N2837" s="75">
        <f>'THAM_SO_MOI'!$C$12*I2837</f>
        <v>1130.112</v>
      </c>
      <c r="O2837" s="75">
        <f>M2837+N2837</f>
        <v>1631.7192563911933</v>
      </c>
      <c r="P2837" s="75">
        <f>(MIN(L2837,'THAM_SO_MOI'!$C$41)-O2837)/('THAM_SO_MOI'!$C$11*H2837)</f>
        <v>0.4847693233059104</v>
      </c>
      <c r="Q2837" s="75">
        <f>IF(P2837&gt;0,1/P2837,NA())</f>
        <v>2.0628368007704085</v>
      </c>
      <c r="R2837" s="75">
        <f>F2837-F2836</f>
        <v>0.007943393307220603</v>
      </c>
      <c r="S2837" s="75">
        <f>0.5*(Q2836+Q2837)*R2837</f>
        <v>0.016385127093753442</v>
      </c>
      <c r="T2837" s="75">
        <f>0.5*(F2836*Q2836+F2837*Q2837)*R2837</f>
        <v>0.21450481931618665</v>
      </c>
      <c r="U2837" s="76">
        <f>U2836+S2837</f>
        <v>19.959032737175455</v>
      </c>
      <c r="V2837" s="76">
        <f>V2836+T2837</f>
        <v>155.63726583176788</v>
      </c>
    </row>
    <row r="2838" spans="1:22" ht="19" customHeight="1">
      <c r="A2838" s="68" t="s">
        <v>376</v>
      </c>
      <c r="B2838" s="74">
        <v>4</v>
      </c>
      <c r="C2838" s="68" t="s">
        <v>363</v>
      </c>
      <c r="D2838" s="68" t="s">
        <v>364</v>
      </c>
      <c r="E2838" s="75">
        <f>60*F2838*'THAM_SO_MOI'!$C$52/(2*PI()*'THAM_SO_MOI'!$C$26)</f>
        <v>2061.403013204834</v>
      </c>
      <c r="F2838" s="75">
        <f>'HANH_TRINH'!$F$2468+('THAM_SO_MOI'!$F$52-'HANH_TRINH'!$F$2468)*369/'THAM_SO_MOI'!$C$42</f>
        <v>13.103349469663975</v>
      </c>
      <c r="G2838" s="75">
        <f>3.6*F2838</f>
        <v>47.17205809079031</v>
      </c>
      <c r="H2838" s="75">
        <f>'THAM_SO_MOI'!$D$52</f>
        <v>1.1774754878398197</v>
      </c>
      <c r="I2838" s="75">
        <f>IF(F2838&gt;'THAM_SO_MOI'!$C$14,'THAM_SO_MOI'!$C$13*(1+F2838^2/1500),'THAM_SO_MOI'!$C$13)</f>
        <v>0.015</v>
      </c>
      <c r="J2838" s="75">
        <f>'THAM_SO_MOI'!$C$40*('THAM_SO_MOI'!$C$23*(E2838/'THAM_SO_MOI'!$C$22)+'THAM_SO_MOI'!$C$24*(E2838/'THAM_SO_MOI'!$C$22)^2-'THAM_SO_MOI'!$C$25*(E2838/'THAM_SO_MOI'!$C$22)^3)</f>
        <v>92.71835838305257</v>
      </c>
      <c r="K2838" s="75">
        <f>'THAM_SO_MOI'!$C$31*J2838/E2838</f>
        <v>429.5919606860548</v>
      </c>
      <c r="L2838" s="75">
        <f>K2838*'THAM_SO_MOI'!$C$52*'THAM_SO_MOI'!$C$17/'THAM_SO_MOI'!$C$26</f>
        <v>6015.673705154151</v>
      </c>
      <c r="M2838" s="75">
        <f>'THAM_SO_MOI'!$C$15*'THAM_SO_MOI'!$C$16*F2838^2</f>
        <v>502.2159694231188</v>
      </c>
      <c r="N2838" s="75">
        <f>'THAM_SO_MOI'!$C$12*I2838</f>
        <v>1130.112</v>
      </c>
      <c r="O2838" s="75">
        <f>M2838+N2838</f>
        <v>1632.327969423119</v>
      </c>
      <c r="P2838" s="75">
        <f>(MIN(L2838,'THAM_SO_MOI'!$C$41)-O2838)/('THAM_SO_MOI'!$C$11*H2838)</f>
        <v>0.48472188896296964</v>
      </c>
      <c r="Q2838" s="75">
        <f>IF(P2838&gt;0,1/P2838,NA())</f>
        <v>2.06303866767691</v>
      </c>
      <c r="R2838" s="75">
        <f>F2838-F2837</f>
        <v>0.007943393307218827</v>
      </c>
      <c r="S2838" s="75">
        <f>0.5*(Q2837+Q2838)*R2838</f>
        <v>0.016386725791241386</v>
      </c>
      <c r="T2838" s="75">
        <f>0.5*(F2837*Q2837+F2838*Q2838)*R2838</f>
        <v>0.21465591478652724</v>
      </c>
      <c r="U2838" s="76">
        <f>U2837+S2838</f>
        <v>19.9754194629667</v>
      </c>
      <c r="V2838" s="76">
        <f>V2837+T2838</f>
        <v>155.8519217465544</v>
      </c>
    </row>
    <row r="2839" spans="1:22" ht="19" customHeight="1">
      <c r="A2839" s="68" t="s">
        <v>376</v>
      </c>
      <c r="B2839" s="74">
        <v>4</v>
      </c>
      <c r="C2839" s="68" t="s">
        <v>363</v>
      </c>
      <c r="D2839" s="68" t="s">
        <v>364</v>
      </c>
      <c r="E2839" s="75">
        <f>60*F2839*'THAM_SO_MOI'!$C$52/(2*PI()*'THAM_SO_MOI'!$C$26)</f>
        <v>2062.652658185797</v>
      </c>
      <c r="F2839" s="75">
        <f>'HANH_TRINH'!$F$2468+('THAM_SO_MOI'!$F$52-'HANH_TRINH'!$F$2468)*370/'THAM_SO_MOI'!$C$42</f>
        <v>13.111292862971194</v>
      </c>
      <c r="G2839" s="75">
        <f>3.6*F2839</f>
        <v>47.2006543066963</v>
      </c>
      <c r="H2839" s="75">
        <f>'THAM_SO_MOI'!$D$52</f>
        <v>1.1774754878398197</v>
      </c>
      <c r="I2839" s="75">
        <f>IF(F2839&gt;'THAM_SO_MOI'!$C$14,'THAM_SO_MOI'!$C$13*(1+F2839^2/1500),'THAM_SO_MOI'!$C$13)</f>
        <v>0.015</v>
      </c>
      <c r="J2839" s="75">
        <f>'THAM_SO_MOI'!$C$40*('THAM_SO_MOI'!$C$23*(E2839/'THAM_SO_MOI'!$C$22)+'THAM_SO_MOI'!$C$24*(E2839/'THAM_SO_MOI'!$C$22)^2-'THAM_SO_MOI'!$C$25*(E2839/'THAM_SO_MOI'!$C$22)^3)</f>
        <v>92.77730488614282</v>
      </c>
      <c r="K2839" s="75">
        <f>'THAM_SO_MOI'!$C$31*J2839/E2839</f>
        <v>429.6046464925173</v>
      </c>
      <c r="L2839" s="75">
        <f>K2839*'THAM_SO_MOI'!$C$52*'THAM_SO_MOI'!$C$17/'THAM_SO_MOI'!$C$26</f>
        <v>6015.8513473806115</v>
      </c>
      <c r="M2839" s="75">
        <f>'THAM_SO_MOI'!$C$15*'THAM_SO_MOI'!$C$16*F2839^2</f>
        <v>502.82505157540317</v>
      </c>
      <c r="N2839" s="75">
        <f>'THAM_SO_MOI'!$C$12*I2839</f>
        <v>1130.112</v>
      </c>
      <c r="O2839" s="75">
        <f>M2839+N2839</f>
        <v>1632.9370515754033</v>
      </c>
      <c r="P2839" s="75">
        <f>(MIN(L2839,'THAM_SO_MOI'!$C$41)-O2839)/('THAM_SO_MOI'!$C$11*H2839)</f>
        <v>0.48467417920233746</v>
      </c>
      <c r="Q2839" s="75">
        <f>IF(P2839&gt;0,1/P2839,NA())</f>
        <v>2.0632417465394393</v>
      </c>
      <c r="R2839" s="75">
        <f>F2839-F2838</f>
        <v>0.007943393307218827</v>
      </c>
      <c r="S2839" s="75">
        <f>0.5*(Q2838+Q2839)*R2839</f>
        <v>0.01638833411299714</v>
      </c>
      <c r="T2839" s="75">
        <f>0.5*(F2838*Q2838+F2839*Q2839)*R2839</f>
        <v>0.21480716180341392</v>
      </c>
      <c r="U2839" s="76">
        <f>U2838+S2839</f>
        <v>19.991807797079694</v>
      </c>
      <c r="V2839" s="76">
        <f>V2838+T2839</f>
        <v>156.06672890835782</v>
      </c>
    </row>
    <row r="2840" spans="1:22" ht="19" customHeight="1">
      <c r="A2840" s="68" t="s">
        <v>376</v>
      </c>
      <c r="B2840" s="74">
        <v>4</v>
      </c>
      <c r="C2840" s="68" t="s">
        <v>363</v>
      </c>
      <c r="D2840" s="68" t="s">
        <v>364</v>
      </c>
      <c r="E2840" s="75">
        <f>60*F2840*'THAM_SO_MOI'!$C$52/(2*PI()*'THAM_SO_MOI'!$C$26)</f>
        <v>2063.9023031667607</v>
      </c>
      <c r="F2840" s="75">
        <f>'HANH_TRINH'!$F$2468+('THAM_SO_MOI'!$F$52-'HANH_TRINH'!$F$2468)*371/'THAM_SO_MOI'!$C$42</f>
        <v>13.119236256278414</v>
      </c>
      <c r="G2840" s="75">
        <f>3.6*F2840</f>
        <v>47.22925052260229</v>
      </c>
      <c r="H2840" s="75">
        <f>'THAM_SO_MOI'!$D$52</f>
        <v>1.1774754878398197</v>
      </c>
      <c r="I2840" s="75">
        <f>IF(F2840&gt;'THAM_SO_MOI'!$C$14,'THAM_SO_MOI'!$C$13*(1+F2840^2/1500),'THAM_SO_MOI'!$C$13)</f>
        <v>0.015</v>
      </c>
      <c r="J2840" s="75">
        <f>'THAM_SO_MOI'!$C$40*('THAM_SO_MOI'!$C$23*(E2840/'THAM_SO_MOI'!$C$22)+'THAM_SO_MOI'!$C$24*(E2840/'THAM_SO_MOI'!$C$22)^2-'THAM_SO_MOI'!$C$25*(E2840/'THAM_SO_MOI'!$C$22)^3)</f>
        <v>92.83622197113725</v>
      </c>
      <c r="K2840" s="75">
        <f>'THAM_SO_MOI'!$C$31*J2840/E2840</f>
        <v>429.61718079925254</v>
      </c>
      <c r="L2840" s="75">
        <f>K2840*'THAM_SO_MOI'!$C$52*'THAM_SO_MOI'!$C$17/'THAM_SO_MOI'!$C$26</f>
        <v>6016.026868122012</v>
      </c>
      <c r="M2840" s="75">
        <f>'THAM_SO_MOI'!$C$15*'THAM_SO_MOI'!$C$16*F2840^2</f>
        <v>503.4345028480465</v>
      </c>
      <c r="N2840" s="75">
        <f>'THAM_SO_MOI'!$C$12*I2840</f>
        <v>1130.112</v>
      </c>
      <c r="O2840" s="75">
        <f>M2840+N2840</f>
        <v>1633.5465028480467</v>
      </c>
      <c r="P2840" s="75">
        <f>(MIN(L2840,'THAM_SO_MOI'!$C$41)-O2840)/('THAM_SO_MOI'!$C$11*H2840)</f>
        <v>0.48462619402401397</v>
      </c>
      <c r="Q2840" s="75">
        <f>IF(P2840&gt;0,1/P2840,NA())</f>
        <v>2.0634460380621698</v>
      </c>
      <c r="R2840" s="75">
        <f>F2840-F2839</f>
        <v>0.007943393307220603</v>
      </c>
      <c r="S2840" s="75">
        <f>0.5*(Q2839+Q2840)*R2840</f>
        <v>0.01638995206459672</v>
      </c>
      <c r="T2840" s="75">
        <f>0.5*(F2839*Q2839+F2840*Q2840)*R2840</f>
        <v>0.2149585606693257</v>
      </c>
      <c r="U2840" s="76">
        <f>U2839+S2840</f>
        <v>20.00819774914429</v>
      </c>
      <c r="V2840" s="76">
        <f>V2839+T2840</f>
        <v>156.28168746902713</v>
      </c>
    </row>
    <row r="2841" spans="1:22" ht="19" customHeight="1">
      <c r="A2841" s="68" t="s">
        <v>376</v>
      </c>
      <c r="B2841" s="74">
        <v>4</v>
      </c>
      <c r="C2841" s="68" t="s">
        <v>363</v>
      </c>
      <c r="D2841" s="68" t="s">
        <v>364</v>
      </c>
      <c r="E2841" s="75">
        <f>60*F2841*'THAM_SO_MOI'!$C$52/(2*PI()*'THAM_SO_MOI'!$C$26)</f>
        <v>2065.151948147724</v>
      </c>
      <c r="F2841" s="75">
        <f>'HANH_TRINH'!$F$2468+('THAM_SO_MOI'!$F$52-'HANH_TRINH'!$F$2468)*372/'THAM_SO_MOI'!$C$42</f>
        <v>13.127179649585633</v>
      </c>
      <c r="G2841" s="75">
        <f>3.6*F2841</f>
        <v>47.25784673850828</v>
      </c>
      <c r="H2841" s="75">
        <f>'THAM_SO_MOI'!$D$52</f>
        <v>1.1774754878398197</v>
      </c>
      <c r="I2841" s="75">
        <f>IF(F2841&gt;'THAM_SO_MOI'!$C$14,'THAM_SO_MOI'!$C$13*(1+F2841^2/1500),'THAM_SO_MOI'!$C$13)</f>
        <v>0.015</v>
      </c>
      <c r="J2841" s="75">
        <f>'THAM_SO_MOI'!$C$40*('THAM_SO_MOI'!$C$23*(E2841/'THAM_SO_MOI'!$C$22)+'THAM_SO_MOI'!$C$24*(E2841/'THAM_SO_MOI'!$C$22)^2-'THAM_SO_MOI'!$C$25*(E2841/'THAM_SO_MOI'!$C$22)^3)</f>
        <v>92.89510957857009</v>
      </c>
      <c r="K2841" s="75">
        <f>'THAM_SO_MOI'!$C$31*J2841/E2841</f>
        <v>429.62956360626015</v>
      </c>
      <c r="L2841" s="75">
        <f>K2841*'THAM_SO_MOI'!$C$52*'THAM_SO_MOI'!$C$17/'THAM_SO_MOI'!$C$26</f>
        <v>6016.20026737835</v>
      </c>
      <c r="M2841" s="75">
        <f>'THAM_SO_MOI'!$C$15*'THAM_SO_MOI'!$C$16*F2841^2</f>
        <v>504.0443232410484</v>
      </c>
      <c r="N2841" s="75">
        <f>'THAM_SO_MOI'!$C$12*I2841</f>
        <v>1130.112</v>
      </c>
      <c r="O2841" s="75">
        <f>M2841+N2841</f>
        <v>1634.1563232410485</v>
      </c>
      <c r="P2841" s="75">
        <f>(MIN(L2841,'THAM_SO_MOI'!$C$41)-O2841)/('THAM_SO_MOI'!$C$11*H2841)</f>
        <v>0.4845779334279988</v>
      </c>
      <c r="Q2841" s="75">
        <f>IF(P2841&gt;0,1/P2841,NA())</f>
        <v>2.0636515429536897</v>
      </c>
      <c r="R2841" s="75">
        <f>F2841-F2840</f>
        <v>0.007943393307218827</v>
      </c>
      <c r="S2841" s="75">
        <f>0.5*(Q2840+Q2841)*R2841</f>
        <v>0.016391579651640193</v>
      </c>
      <c r="T2841" s="75">
        <f>0.5*(F2840*Q2840+F2841*Q2841)*R2841</f>
        <v>0.2151101116872344</v>
      </c>
      <c r="U2841" s="76">
        <f>U2840+S2841</f>
        <v>20.02458932879593</v>
      </c>
      <c r="V2841" s="76">
        <f>V2840+T2841</f>
        <v>156.49679758071437</v>
      </c>
    </row>
    <row r="2842" spans="1:22" ht="19" customHeight="1">
      <c r="A2842" s="68" t="s">
        <v>376</v>
      </c>
      <c r="B2842" s="74">
        <v>4</v>
      </c>
      <c r="C2842" s="68" t="s">
        <v>363</v>
      </c>
      <c r="D2842" s="68" t="s">
        <v>364</v>
      </c>
      <c r="E2842" s="75">
        <f>60*F2842*'THAM_SO_MOI'!$C$52/(2*PI()*'THAM_SO_MOI'!$C$26)</f>
        <v>2066.401593128687</v>
      </c>
      <c r="F2842" s="75">
        <f>'HANH_TRINH'!$F$2468+('THAM_SO_MOI'!$F$52-'HANH_TRINH'!$F$2468)*373/'THAM_SO_MOI'!$C$42</f>
        <v>13.135123042892852</v>
      </c>
      <c r="G2842" s="75">
        <f>3.6*F2842</f>
        <v>47.28644295441427</v>
      </c>
      <c r="H2842" s="75">
        <f>'THAM_SO_MOI'!$D$52</f>
        <v>1.1774754878398197</v>
      </c>
      <c r="I2842" s="75">
        <f>IF(F2842&gt;'THAM_SO_MOI'!$C$14,'THAM_SO_MOI'!$C$13*(1+F2842^2/1500),'THAM_SO_MOI'!$C$13)</f>
        <v>0.015</v>
      </c>
      <c r="J2842" s="75">
        <f>'THAM_SO_MOI'!$C$40*('THAM_SO_MOI'!$C$23*(E2842/'THAM_SO_MOI'!$C$22)+'THAM_SO_MOI'!$C$24*(E2842/'THAM_SO_MOI'!$C$22)^2-'THAM_SO_MOI'!$C$25*(E2842/'THAM_SO_MOI'!$C$22)^3)</f>
        <v>92.95396764897566</v>
      </c>
      <c r="K2842" s="75">
        <f>'THAM_SO_MOI'!$C$31*J2842/E2842</f>
        <v>429.6417949135403</v>
      </c>
      <c r="L2842" s="75">
        <f>K2842*'THAM_SO_MOI'!$C$52*'THAM_SO_MOI'!$C$17/'THAM_SO_MOI'!$C$26</f>
        <v>6016.371545149627</v>
      </c>
      <c r="M2842" s="75">
        <f>'THAM_SO_MOI'!$C$15*'THAM_SO_MOI'!$C$16*F2842^2</f>
        <v>504.65451275440927</v>
      </c>
      <c r="N2842" s="75">
        <f>'THAM_SO_MOI'!$C$12*I2842</f>
        <v>1130.112</v>
      </c>
      <c r="O2842" s="75">
        <f>M2842+N2842</f>
        <v>1634.7665127544094</v>
      </c>
      <c r="P2842" s="75">
        <f>(MIN(L2842,'THAM_SO_MOI'!$C$41)-O2842)/('THAM_SO_MOI'!$C$11*H2842)</f>
        <v>0.484529397414292</v>
      </c>
      <c r="Q2842" s="75">
        <f>IF(P2842&gt;0,1/P2842,NA())</f>
        <v>2.0638582619270056</v>
      </c>
      <c r="R2842" s="75">
        <f>F2842-F2841</f>
        <v>0.007943393307218827</v>
      </c>
      <c r="S2842" s="75">
        <f>0.5*(Q2841+Q2842)*R2842</f>
        <v>0.0163932168797847</v>
      </c>
      <c r="T2842" s="75">
        <f>0.5*(F2841*Q2841+F2842*Q2842)*R2842</f>
        <v>0.2152618151610392</v>
      </c>
      <c r="U2842" s="76">
        <f>U2841+S2842</f>
        <v>20.040982545675714</v>
      </c>
      <c r="V2842" s="76">
        <f>V2841+T2842</f>
        <v>156.7120593958754</v>
      </c>
    </row>
    <row r="2843" spans="1:22" ht="19" customHeight="1">
      <c r="A2843" s="68" t="s">
        <v>376</v>
      </c>
      <c r="B2843" s="74">
        <v>4</v>
      </c>
      <c r="C2843" s="68" t="s">
        <v>363</v>
      </c>
      <c r="D2843" s="68" t="s">
        <v>364</v>
      </c>
      <c r="E2843" s="75">
        <f>60*F2843*'THAM_SO_MOI'!$C$52/(2*PI()*'THAM_SO_MOI'!$C$26)</f>
        <v>2067.6512381096504</v>
      </c>
      <c r="F2843" s="75">
        <f>'HANH_TRINH'!$F$2468+('THAM_SO_MOI'!$F$52-'HANH_TRINH'!$F$2468)*374/'THAM_SO_MOI'!$C$42</f>
        <v>13.143066436200073</v>
      </c>
      <c r="G2843" s="75">
        <f>3.6*F2843</f>
        <v>47.31503917032026</v>
      </c>
      <c r="H2843" s="75">
        <f>'THAM_SO_MOI'!$D$52</f>
        <v>1.1774754878398197</v>
      </c>
      <c r="I2843" s="75">
        <f>IF(F2843&gt;'THAM_SO_MOI'!$C$14,'THAM_SO_MOI'!$C$13*(1+F2843^2/1500),'THAM_SO_MOI'!$C$13)</f>
        <v>0.015</v>
      </c>
      <c r="J2843" s="75">
        <f>'THAM_SO_MOI'!$C$40*('THAM_SO_MOI'!$C$23*(E2843/'THAM_SO_MOI'!$C$22)+'THAM_SO_MOI'!$C$24*(E2843/'THAM_SO_MOI'!$C$22)^2-'THAM_SO_MOI'!$C$25*(E2843/'THAM_SO_MOI'!$C$22)^3)</f>
        <v>93.0127961228883</v>
      </c>
      <c r="K2843" s="75">
        <f>'THAM_SO_MOI'!$C$31*J2843/E2843</f>
        <v>429.6538747210929</v>
      </c>
      <c r="L2843" s="75">
        <f>K2843*'THAM_SO_MOI'!$C$52*'THAM_SO_MOI'!$C$17/'THAM_SO_MOI'!$C$26</f>
        <v>6016.540701435842</v>
      </c>
      <c r="M2843" s="75">
        <f>'THAM_SO_MOI'!$C$15*'THAM_SO_MOI'!$C$16*F2843^2</f>
        <v>505.26507138812906</v>
      </c>
      <c r="N2843" s="75">
        <f>'THAM_SO_MOI'!$C$12*I2843</f>
        <v>1130.112</v>
      </c>
      <c r="O2843" s="75">
        <f>M2843+N2843</f>
        <v>1635.377071388129</v>
      </c>
      <c r="P2843" s="75">
        <f>(MIN(L2843,'THAM_SO_MOI'!$C$41)-O2843)/('THAM_SO_MOI'!$C$11*H2843)</f>
        <v>0.4844805859828935</v>
      </c>
      <c r="Q2843" s="75">
        <f>IF(P2843&gt;0,1/P2843,NA())</f>
        <v>2.0640661956995507</v>
      </c>
      <c r="R2843" s="75">
        <f>F2843-F2842</f>
        <v>0.007943393307220603</v>
      </c>
      <c r="S2843" s="75">
        <f>0.5*(Q2842+Q2843)*R2843</f>
        <v>0.016394863754711515</v>
      </c>
      <c r="T2843" s="75">
        <f>0.5*(F2842*Q2842+F2843*Q2843)*R2843</f>
        <v>0.21541367139513615</v>
      </c>
      <c r="U2843" s="76">
        <f>U2842+S2843</f>
        <v>20.057377409430426</v>
      </c>
      <c r="V2843" s="76">
        <f>V2842+T2843</f>
        <v>156.92747306727054</v>
      </c>
    </row>
    <row r="2844" spans="1:22" ht="19" customHeight="1">
      <c r="A2844" s="68" t="s">
        <v>376</v>
      </c>
      <c r="B2844" s="74">
        <v>4</v>
      </c>
      <c r="C2844" s="68" t="s">
        <v>363</v>
      </c>
      <c r="D2844" s="68" t="s">
        <v>364</v>
      </c>
      <c r="E2844" s="75">
        <f>60*F2844*'THAM_SO_MOI'!$C$52/(2*PI()*'THAM_SO_MOI'!$C$26)</f>
        <v>2068.9008830906137</v>
      </c>
      <c r="F2844" s="75">
        <f>'HANH_TRINH'!$F$2468+('THAM_SO_MOI'!$F$52-'HANH_TRINH'!$F$2468)*375/'THAM_SO_MOI'!$C$42</f>
        <v>13.151009829507291</v>
      </c>
      <c r="G2844" s="75">
        <f>3.6*F2844</f>
        <v>47.343635386226254</v>
      </c>
      <c r="H2844" s="75">
        <f>'THAM_SO_MOI'!$D$52</f>
        <v>1.1774754878398197</v>
      </c>
      <c r="I2844" s="75">
        <f>IF(F2844&gt;'THAM_SO_MOI'!$C$14,'THAM_SO_MOI'!$C$13*(1+F2844^2/1500),'THAM_SO_MOI'!$C$13)</f>
        <v>0.015</v>
      </c>
      <c r="J2844" s="75">
        <f>'THAM_SO_MOI'!$C$40*('THAM_SO_MOI'!$C$23*(E2844/'THAM_SO_MOI'!$C$22)+'THAM_SO_MOI'!$C$24*(E2844/'THAM_SO_MOI'!$C$22)^2-'THAM_SO_MOI'!$C$25*(E2844/'THAM_SO_MOI'!$C$22)^3)</f>
        <v>93.07159494084239</v>
      </c>
      <c r="K2844" s="75">
        <f>'THAM_SO_MOI'!$C$31*J2844/E2844</f>
        <v>429.6658030289183</v>
      </c>
      <c r="L2844" s="75">
        <f>K2844*'THAM_SO_MOI'!$C$52*'THAM_SO_MOI'!$C$17/'THAM_SO_MOI'!$C$26</f>
        <v>6016.707736237</v>
      </c>
      <c r="M2844" s="75">
        <f>'THAM_SO_MOI'!$C$15*'THAM_SO_MOI'!$C$16*F2844^2</f>
        <v>505.8759991422075</v>
      </c>
      <c r="N2844" s="75">
        <f>'THAM_SO_MOI'!$C$12*I2844</f>
        <v>1130.112</v>
      </c>
      <c r="O2844" s="75">
        <f>M2844+N2844</f>
        <v>1635.9879991422076</v>
      </c>
      <c r="P2844" s="75">
        <f>(MIN(L2844,'THAM_SO_MOI'!$C$41)-O2844)/('THAM_SO_MOI'!$C$11*H2844)</f>
        <v>0.48443149913380407</v>
      </c>
      <c r="Q2844" s="75">
        <f>IF(P2844&gt;0,1/P2844,NA())</f>
        <v>2.0642753449931868</v>
      </c>
      <c r="R2844" s="75">
        <f>F2844-F2843</f>
        <v>0.007943393307218827</v>
      </c>
      <c r="S2844" s="75">
        <f>0.5*(Q2843+Q2844)*R2844</f>
        <v>0.016396520282126074</v>
      </c>
      <c r="T2844" s="75">
        <f>0.5*(F2843*Q2843+F2844*Q2844)*R2844</f>
        <v>0.21556568069441956</v>
      </c>
      <c r="U2844" s="76">
        <f>U2843+S2844</f>
        <v>20.07377392971255</v>
      </c>
      <c r="V2844" s="76">
        <f>V2843+T2844</f>
        <v>157.14303874796497</v>
      </c>
    </row>
    <row r="2845" spans="1:22" ht="19" customHeight="1">
      <c r="A2845" s="68" t="s">
        <v>376</v>
      </c>
      <c r="B2845" s="74">
        <v>4</v>
      </c>
      <c r="C2845" s="68" t="s">
        <v>363</v>
      </c>
      <c r="D2845" s="68" t="s">
        <v>364</v>
      </c>
      <c r="E2845" s="75">
        <f>60*F2845*'THAM_SO_MOI'!$C$52/(2*PI()*'THAM_SO_MOI'!$C$26)</f>
        <v>2070.150528071577</v>
      </c>
      <c r="F2845" s="75">
        <f>'HANH_TRINH'!$F$2468+('THAM_SO_MOI'!$F$52-'HANH_TRINH'!$F$2468)*376/'THAM_SO_MOI'!$C$42</f>
        <v>13.15895322281451</v>
      </c>
      <c r="G2845" s="75">
        <f>3.6*F2845</f>
        <v>47.37223160213224</v>
      </c>
      <c r="H2845" s="75">
        <f>'THAM_SO_MOI'!$D$52</f>
        <v>1.1774754878398197</v>
      </c>
      <c r="I2845" s="75">
        <f>IF(F2845&gt;'THAM_SO_MOI'!$C$14,'THAM_SO_MOI'!$C$13*(1+F2845^2/1500),'THAM_SO_MOI'!$C$13)</f>
        <v>0.015</v>
      </c>
      <c r="J2845" s="75">
        <f>'THAM_SO_MOI'!$C$40*('THAM_SO_MOI'!$C$23*(E2845/'THAM_SO_MOI'!$C$22)+'THAM_SO_MOI'!$C$24*(E2845/'THAM_SO_MOI'!$C$22)^2-'THAM_SO_MOI'!$C$25*(E2845/'THAM_SO_MOI'!$C$22)^3)</f>
        <v>93.13036404337213</v>
      </c>
      <c r="K2845" s="75">
        <f>'THAM_SO_MOI'!$C$31*J2845/E2845</f>
        <v>429.677579837016</v>
      </c>
      <c r="L2845" s="75">
        <f>K2845*'THAM_SO_MOI'!$C$52*'THAM_SO_MOI'!$C$17/'THAM_SO_MOI'!$C$26</f>
        <v>6016.872649553094</v>
      </c>
      <c r="M2845" s="75">
        <f>'THAM_SO_MOI'!$C$15*'THAM_SO_MOI'!$C$16*F2845^2</f>
        <v>506.4872960166447</v>
      </c>
      <c r="N2845" s="75">
        <f>'THAM_SO_MOI'!$C$12*I2845</f>
        <v>1130.112</v>
      </c>
      <c r="O2845" s="75">
        <f>M2845+N2845</f>
        <v>1636.5992960166448</v>
      </c>
      <c r="P2845" s="75">
        <f>(MIN(L2845,'THAM_SO_MOI'!$C$41)-O2845)/('THAM_SO_MOI'!$C$11*H2845)</f>
        <v>0.48438213686702264</v>
      </c>
      <c r="Q2845" s="75">
        <f>IF(P2845&gt;0,1/P2845,NA())</f>
        <v>2.064485710534222</v>
      </c>
      <c r="R2845" s="75">
        <f>F2845-F2844</f>
        <v>0.007943393307218827</v>
      </c>
      <c r="S2845" s="75">
        <f>0.5*(Q2844+Q2845)*R2845</f>
        <v>0.016398186467791082</v>
      </c>
      <c r="T2845" s="75">
        <f>0.5*(F2844*Q2844+F2845*Q2845)*R2845</f>
        <v>0.21571784336471808</v>
      </c>
      <c r="U2845" s="76">
        <f>U2844+S2845</f>
        <v>20.09017211618034</v>
      </c>
      <c r="V2845" s="76">
        <f>V2844+T2845</f>
        <v>157.3587565913297</v>
      </c>
    </row>
    <row r="2846" spans="1:22" ht="19" customHeight="1">
      <c r="A2846" s="68" t="s">
        <v>376</v>
      </c>
      <c r="B2846" s="74">
        <v>4</v>
      </c>
      <c r="C2846" s="68" t="s">
        <v>363</v>
      </c>
      <c r="D2846" s="68" t="s">
        <v>364</v>
      </c>
      <c r="E2846" s="75">
        <f>60*F2846*'THAM_SO_MOI'!$C$52/(2*PI()*'THAM_SO_MOI'!$C$26)</f>
        <v>2071.40017305254</v>
      </c>
      <c r="F2846" s="75">
        <f>'HANH_TRINH'!$F$2468+('THAM_SO_MOI'!$F$52-'HANH_TRINH'!$F$2468)*377/'THAM_SO_MOI'!$C$42</f>
        <v>13.16689661612173</v>
      </c>
      <c r="G2846" s="75">
        <f>3.6*F2846</f>
        <v>47.40082781803822</v>
      </c>
      <c r="H2846" s="75">
        <f>'THAM_SO_MOI'!$D$52</f>
        <v>1.1774754878398197</v>
      </c>
      <c r="I2846" s="75">
        <f>IF(F2846&gt;'THAM_SO_MOI'!$C$14,'THAM_SO_MOI'!$C$13*(1+F2846^2/1500),'THAM_SO_MOI'!$C$13)</f>
        <v>0.015</v>
      </c>
      <c r="J2846" s="75">
        <f>'THAM_SO_MOI'!$C$40*('THAM_SO_MOI'!$C$23*(E2846/'THAM_SO_MOI'!$C$22)+'THAM_SO_MOI'!$C$24*(E2846/'THAM_SO_MOI'!$C$22)^2-'THAM_SO_MOI'!$C$25*(E2846/'THAM_SO_MOI'!$C$22)^3)</f>
        <v>93.18910337101184</v>
      </c>
      <c r="K2846" s="75">
        <f>'THAM_SO_MOI'!$C$31*J2846/E2846</f>
        <v>429.6892051453862</v>
      </c>
      <c r="L2846" s="75">
        <f>K2846*'THAM_SO_MOI'!$C$52*'THAM_SO_MOI'!$C$17/'THAM_SO_MOI'!$C$26</f>
        <v>6017.035441384126</v>
      </c>
      <c r="M2846" s="75">
        <f>'THAM_SO_MOI'!$C$15*'THAM_SO_MOI'!$C$16*F2846^2</f>
        <v>507.09896201144073</v>
      </c>
      <c r="N2846" s="75">
        <f>'THAM_SO_MOI'!$C$12*I2846</f>
        <v>1130.112</v>
      </c>
      <c r="O2846" s="75">
        <f>M2846+N2846</f>
        <v>1637.2109620114409</v>
      </c>
      <c r="P2846" s="75">
        <f>(MIN(L2846,'THAM_SO_MOI'!$C$41)-O2846)/('THAM_SO_MOI'!$C$11*H2846)</f>
        <v>0.4843324991825497</v>
      </c>
      <c r="Q2846" s="75">
        <f>IF(P2846&gt;0,1/P2846,NA())</f>
        <v>2.064697293053403</v>
      </c>
      <c r="R2846" s="75">
        <f>F2846-F2845</f>
        <v>0.007943393307218827</v>
      </c>
      <c r="S2846" s="75">
        <f>0.5*(Q2845+Q2846)*R2846</f>
        <v>0.016399862317489838</v>
      </c>
      <c r="T2846" s="75">
        <f>0.5*(F2845*Q2845+F2846*Q2846)*R2846</f>
        <v>0.21587015971231502</v>
      </c>
      <c r="U2846" s="76">
        <f>U2845+S2846</f>
        <v>20.10657197849783</v>
      </c>
      <c r="V2846" s="76">
        <f>V2845+T2846</f>
        <v>157.57462675104202</v>
      </c>
    </row>
    <row r="2847" spans="1:22" ht="19" customHeight="1">
      <c r="A2847" s="68" t="s">
        <v>376</v>
      </c>
      <c r="B2847" s="74">
        <v>4</v>
      </c>
      <c r="C2847" s="68" t="s">
        <v>363</v>
      </c>
      <c r="D2847" s="68" t="s">
        <v>364</v>
      </c>
      <c r="E2847" s="75">
        <f>60*F2847*'THAM_SO_MOI'!$C$52/(2*PI()*'THAM_SO_MOI'!$C$26)</f>
        <v>2072.649818033504</v>
      </c>
      <c r="F2847" s="75">
        <f>'HANH_TRINH'!$F$2468+('THAM_SO_MOI'!$F$52-'HANH_TRINH'!$F$2468)*378/'THAM_SO_MOI'!$C$42</f>
        <v>13.17484000942895</v>
      </c>
      <c r="G2847" s="75">
        <f>3.6*F2847</f>
        <v>47.42942403394422</v>
      </c>
      <c r="H2847" s="75">
        <f>'THAM_SO_MOI'!$D$52</f>
        <v>1.1774754878398197</v>
      </c>
      <c r="I2847" s="75">
        <f>IF(F2847&gt;'THAM_SO_MOI'!$C$14,'THAM_SO_MOI'!$C$13*(1+F2847^2/1500),'THAM_SO_MOI'!$C$13)</f>
        <v>0.015</v>
      </c>
      <c r="J2847" s="75">
        <f>'THAM_SO_MOI'!$C$40*('THAM_SO_MOI'!$C$23*(E2847/'THAM_SO_MOI'!$C$22)+'THAM_SO_MOI'!$C$24*(E2847/'THAM_SO_MOI'!$C$22)^2-'THAM_SO_MOI'!$C$25*(E2847/'THAM_SO_MOI'!$C$22)^3)</f>
        <v>93.24781286429592</v>
      </c>
      <c r="K2847" s="75">
        <f>'THAM_SO_MOI'!$C$31*J2847/E2847</f>
        <v>429.7006789540289</v>
      </c>
      <c r="L2847" s="75">
        <f>K2847*'THAM_SO_MOI'!$C$52*'THAM_SO_MOI'!$C$17/'THAM_SO_MOI'!$C$26</f>
        <v>6017.196111730098</v>
      </c>
      <c r="M2847" s="75">
        <f>'THAM_SO_MOI'!$C$15*'THAM_SO_MOI'!$C$16*F2847^2</f>
        <v>507.71099712659577</v>
      </c>
      <c r="N2847" s="75">
        <f>'THAM_SO_MOI'!$C$12*I2847</f>
        <v>1130.112</v>
      </c>
      <c r="O2847" s="75">
        <f>M2847+N2847</f>
        <v>1637.822997126596</v>
      </c>
      <c r="P2847" s="75">
        <f>(MIN(L2847,'THAM_SO_MOI'!$C$41)-O2847)/('THAM_SO_MOI'!$C$11*H2847)</f>
        <v>0.48428258608038527</v>
      </c>
      <c r="Q2847" s="75">
        <f>IF(P2847&gt;0,1/P2847,NA())</f>
        <v>2.0649100932859303</v>
      </c>
      <c r="R2847" s="75">
        <f>F2847-F2846</f>
        <v>0.007943393307220603</v>
      </c>
      <c r="S2847" s="75">
        <f>0.5*(Q2846+Q2847)*R2847</f>
        <v>0.016401547837048315</v>
      </c>
      <c r="T2847" s="75">
        <f>0.5*(F2846*Q2846+F2847*Q2847)*R2847</f>
        <v>0.21602263004423905</v>
      </c>
      <c r="U2847" s="76">
        <f>U2846+S2847</f>
        <v>20.122973526334878</v>
      </c>
      <c r="V2847" s="76">
        <f>V2846+T2847</f>
        <v>157.79064938108627</v>
      </c>
    </row>
    <row r="2848" spans="1:22" ht="19" customHeight="1">
      <c r="A2848" s="68" t="s">
        <v>376</v>
      </c>
      <c r="B2848" s="74">
        <v>4</v>
      </c>
      <c r="C2848" s="68" t="s">
        <v>363</v>
      </c>
      <c r="D2848" s="68" t="s">
        <v>364</v>
      </c>
      <c r="E2848" s="75">
        <f>60*F2848*'THAM_SO_MOI'!$C$52/(2*PI()*'THAM_SO_MOI'!$C$26)</f>
        <v>2073.8994630144666</v>
      </c>
      <c r="F2848" s="75">
        <f>'HANH_TRINH'!$F$2468+('THAM_SO_MOI'!$F$52-'HANH_TRINH'!$F$2468)*379/'THAM_SO_MOI'!$C$42</f>
        <v>13.182783402736169</v>
      </c>
      <c r="G2848" s="75">
        <f>3.6*F2848</f>
        <v>47.45802024985021</v>
      </c>
      <c r="H2848" s="75">
        <f>'THAM_SO_MOI'!$D$52</f>
        <v>1.1774754878398197</v>
      </c>
      <c r="I2848" s="75">
        <f>IF(F2848&gt;'THAM_SO_MOI'!$C$14,'THAM_SO_MOI'!$C$13*(1+F2848^2/1500),'THAM_SO_MOI'!$C$13)</f>
        <v>0.015</v>
      </c>
      <c r="J2848" s="75">
        <f>'THAM_SO_MOI'!$C$40*('THAM_SO_MOI'!$C$23*(E2848/'THAM_SO_MOI'!$C$22)+'THAM_SO_MOI'!$C$24*(E2848/'THAM_SO_MOI'!$C$22)^2-'THAM_SO_MOI'!$C$25*(E2848/'THAM_SO_MOI'!$C$22)^3)</f>
        <v>93.30649246375859</v>
      </c>
      <c r="K2848" s="75">
        <f>'THAM_SO_MOI'!$C$31*J2848/E2848</f>
        <v>429.71200126294417</v>
      </c>
      <c r="L2848" s="75">
        <f>K2848*'THAM_SO_MOI'!$C$52*'THAM_SO_MOI'!$C$17/'THAM_SO_MOI'!$C$26</f>
        <v>6017.354660591008</v>
      </c>
      <c r="M2848" s="75">
        <f>'THAM_SO_MOI'!$C$15*'THAM_SO_MOI'!$C$16*F2848^2</f>
        <v>508.3234013621094</v>
      </c>
      <c r="N2848" s="75">
        <f>'THAM_SO_MOI'!$C$12*I2848</f>
        <v>1130.112</v>
      </c>
      <c r="O2848" s="75">
        <f>M2848+N2848</f>
        <v>1638.4354013621096</v>
      </c>
      <c r="P2848" s="75">
        <f>(MIN(L2848,'THAM_SO_MOI'!$C$41)-O2848)/('THAM_SO_MOI'!$C$11*H2848)</f>
        <v>0.4842323975605291</v>
      </c>
      <c r="Q2848" s="75">
        <f>IF(P2848&gt;0,1/P2848,NA())</f>
        <v>2.0651241119714627</v>
      </c>
      <c r="R2848" s="75">
        <f>F2848-F2847</f>
        <v>0.007943393307218827</v>
      </c>
      <c r="S2848" s="75">
        <f>0.5*(Q2847+Q2848)*R2848</f>
        <v>0.016403243032313202</v>
      </c>
      <c r="T2848" s="75">
        <f>0.5*(F2847*Q2847+F2848*Q2848)*R2848</f>
        <v>0.21617525466797724</v>
      </c>
      <c r="U2848" s="76">
        <f>U2847+S2848</f>
        <v>20.139376769367193</v>
      </c>
      <c r="V2848" s="76">
        <f>V2847+T2848</f>
        <v>158.00682463575424</v>
      </c>
    </row>
    <row r="2849" spans="1:22" ht="19" customHeight="1">
      <c r="A2849" s="68" t="s">
        <v>376</v>
      </c>
      <c r="B2849" s="74">
        <v>4</v>
      </c>
      <c r="C2849" s="68" t="s">
        <v>363</v>
      </c>
      <c r="D2849" s="68" t="s">
        <v>364</v>
      </c>
      <c r="E2849" s="75">
        <f>60*F2849*'THAM_SO_MOI'!$C$52/(2*PI()*'THAM_SO_MOI'!$C$26)</f>
        <v>2075.1491079954303</v>
      </c>
      <c r="F2849" s="75">
        <f>'HANH_TRINH'!$F$2468+('THAM_SO_MOI'!$F$52-'HANH_TRINH'!$F$2468)*380/'THAM_SO_MOI'!$C$42</f>
        <v>13.19072679604339</v>
      </c>
      <c r="G2849" s="75">
        <f>3.6*F2849</f>
        <v>47.4866164657562</v>
      </c>
      <c r="H2849" s="75">
        <f>'THAM_SO_MOI'!$D$52</f>
        <v>1.1774754878398197</v>
      </c>
      <c r="I2849" s="75">
        <f>IF(F2849&gt;'THAM_SO_MOI'!$C$14,'THAM_SO_MOI'!$C$13*(1+F2849^2/1500),'THAM_SO_MOI'!$C$13)</f>
        <v>0.015</v>
      </c>
      <c r="J2849" s="75">
        <f>'THAM_SO_MOI'!$C$40*('THAM_SO_MOI'!$C$23*(E2849/'THAM_SO_MOI'!$C$22)+'THAM_SO_MOI'!$C$24*(E2849/'THAM_SO_MOI'!$C$22)^2-'THAM_SO_MOI'!$C$25*(E2849/'THAM_SO_MOI'!$C$22)^3)</f>
        <v>93.3651421099343</v>
      </c>
      <c r="K2849" s="75">
        <f>'THAM_SO_MOI'!$C$31*J2849/E2849</f>
        <v>429.7231720721322</v>
      </c>
      <c r="L2849" s="75">
        <f>K2849*'THAM_SO_MOI'!$C$52*'THAM_SO_MOI'!$C$17/'THAM_SO_MOI'!$C$26</f>
        <v>6017.51108796686</v>
      </c>
      <c r="M2849" s="75">
        <f>'THAM_SO_MOI'!$C$15*'THAM_SO_MOI'!$C$16*F2849^2</f>
        <v>508.93617471798206</v>
      </c>
      <c r="N2849" s="75">
        <f>'THAM_SO_MOI'!$C$12*I2849</f>
        <v>1130.112</v>
      </c>
      <c r="O2849" s="75">
        <f>M2849+N2849</f>
        <v>1639.0481747179822</v>
      </c>
      <c r="P2849" s="75">
        <f>(MIN(L2849,'THAM_SO_MOI'!$C$41)-O2849)/('THAM_SO_MOI'!$C$11*H2849)</f>
        <v>0.48418193362298184</v>
      </c>
      <c r="Q2849" s="75">
        <f>IF(P2849&gt;0,1/P2849,NA())</f>
        <v>2.06533934985412</v>
      </c>
      <c r="R2849" s="75">
        <f>F2849-F2848</f>
        <v>0.007943393307220603</v>
      </c>
      <c r="S2849" s="75">
        <f>0.5*(Q2848+Q2849)*R2849</f>
        <v>0.01640494790919229</v>
      </c>
      <c r="T2849" s="75">
        <f>0.5*(F2848*Q2848+F2849*Q2849)*R2849</f>
        <v>0.21632803389200805</v>
      </c>
      <c r="U2849" s="76">
        <f>U2848+S2849</f>
        <v>20.155781717276383</v>
      </c>
      <c r="V2849" s="76">
        <f>V2848+T2849</f>
        <v>158.22315266964625</v>
      </c>
    </row>
    <row r="2850" spans="1:22" ht="19" customHeight="1">
      <c r="A2850" s="68" t="s">
        <v>376</v>
      </c>
      <c r="B2850" s="74">
        <v>4</v>
      </c>
      <c r="C2850" s="68" t="s">
        <v>363</v>
      </c>
      <c r="D2850" s="68" t="s">
        <v>364</v>
      </c>
      <c r="E2850" s="75">
        <f>60*F2850*'THAM_SO_MOI'!$C$52/(2*PI()*'THAM_SO_MOI'!$C$26)</f>
        <v>2076.3987529763936</v>
      </c>
      <c r="F2850" s="75">
        <f>'HANH_TRINH'!$F$2468+('THAM_SO_MOI'!$F$52-'HANH_TRINH'!$F$2468)*381/'THAM_SO_MOI'!$C$42</f>
        <v>13.198670189350608</v>
      </c>
      <c r="G2850" s="75">
        <f>3.6*F2850</f>
        <v>47.51521268166219</v>
      </c>
      <c r="H2850" s="75">
        <f>'THAM_SO_MOI'!$D$52</f>
        <v>1.1774754878398197</v>
      </c>
      <c r="I2850" s="75">
        <f>IF(F2850&gt;'THAM_SO_MOI'!$C$14,'THAM_SO_MOI'!$C$13*(1+F2850^2/1500),'THAM_SO_MOI'!$C$13)</f>
        <v>0.015</v>
      </c>
      <c r="J2850" s="75">
        <f>'THAM_SO_MOI'!$C$40*('THAM_SO_MOI'!$C$23*(E2850/'THAM_SO_MOI'!$C$22)+'THAM_SO_MOI'!$C$24*(E2850/'THAM_SO_MOI'!$C$22)^2-'THAM_SO_MOI'!$C$25*(E2850/'THAM_SO_MOI'!$C$22)^3)</f>
        <v>93.42376174335719</v>
      </c>
      <c r="K2850" s="75">
        <f>'THAM_SO_MOI'!$C$31*J2850/E2850</f>
        <v>429.7341913815924</v>
      </c>
      <c r="L2850" s="75">
        <f>K2850*'THAM_SO_MOI'!$C$52*'THAM_SO_MOI'!$C$17/'THAM_SO_MOI'!$C$26</f>
        <v>6017.665393857648</v>
      </c>
      <c r="M2850" s="75">
        <f>'THAM_SO_MOI'!$C$15*'THAM_SO_MOI'!$C$16*F2850^2</f>
        <v>509.5493171942134</v>
      </c>
      <c r="N2850" s="75">
        <f>'THAM_SO_MOI'!$C$12*I2850</f>
        <v>1130.112</v>
      </c>
      <c r="O2850" s="75">
        <f>M2850+N2850</f>
        <v>1639.6613171942136</v>
      </c>
      <c r="P2850" s="75">
        <f>(MIN(L2850,'THAM_SO_MOI'!$C$41)-O2850)/('THAM_SO_MOI'!$C$11*H2850)</f>
        <v>0.48413119426774265</v>
      </c>
      <c r="Q2850" s="75">
        <f>IF(P2850&gt;0,1/P2850,NA())</f>
        <v>2.065555807682499</v>
      </c>
      <c r="R2850" s="75">
        <f>F2850-F2849</f>
        <v>0.007943393307218827</v>
      </c>
      <c r="S2850" s="75">
        <f>0.5*(Q2849+Q2850)*R2850</f>
        <v>0.01640666247359952</v>
      </c>
      <c r="T2850" s="75">
        <f>0.5*(F2849*Q2849+F2850*Q2850)*R2850</f>
        <v>0.2164809680250788</v>
      </c>
      <c r="U2850" s="76">
        <f>U2849+S2850</f>
        <v>20.172188379749983</v>
      </c>
      <c r="V2850" s="76">
        <f>V2849+T2850</f>
        <v>158.43963363767134</v>
      </c>
    </row>
    <row r="2851" spans="1:22" ht="19" customHeight="1">
      <c r="A2851" s="68" t="s">
        <v>376</v>
      </c>
      <c r="B2851" s="74">
        <v>4</v>
      </c>
      <c r="C2851" s="68" t="s">
        <v>363</v>
      </c>
      <c r="D2851" s="68" t="s">
        <v>364</v>
      </c>
      <c r="E2851" s="75">
        <f>60*F2851*'THAM_SO_MOI'!$C$52/(2*PI()*'THAM_SO_MOI'!$C$26)</f>
        <v>2077.6483979573563</v>
      </c>
      <c r="F2851" s="75">
        <f>'HANH_TRINH'!$F$2468+('THAM_SO_MOI'!$F$52-'HANH_TRINH'!$F$2468)*382/'THAM_SO_MOI'!$C$42</f>
        <v>13.206613582657827</v>
      </c>
      <c r="G2851" s="75">
        <f>3.6*F2851</f>
        <v>47.54380889756818</v>
      </c>
      <c r="H2851" s="75">
        <f>'THAM_SO_MOI'!$D$52</f>
        <v>1.1774754878398197</v>
      </c>
      <c r="I2851" s="75">
        <f>IF(F2851&gt;'THAM_SO_MOI'!$C$14,'THAM_SO_MOI'!$C$13*(1+F2851^2/1500),'THAM_SO_MOI'!$C$13)</f>
        <v>0.015</v>
      </c>
      <c r="J2851" s="75">
        <f>'THAM_SO_MOI'!$C$40*('THAM_SO_MOI'!$C$23*(E2851/'THAM_SO_MOI'!$C$22)+'THAM_SO_MOI'!$C$24*(E2851/'THAM_SO_MOI'!$C$22)^2-'THAM_SO_MOI'!$C$25*(E2851/'THAM_SO_MOI'!$C$22)^3)</f>
        <v>93.48235130456167</v>
      </c>
      <c r="K2851" s="75">
        <f>'THAM_SO_MOI'!$C$31*J2851/E2851</f>
        <v>429.74505919132537</v>
      </c>
      <c r="L2851" s="75">
        <f>K2851*'THAM_SO_MOI'!$C$52*'THAM_SO_MOI'!$C$17/'THAM_SO_MOI'!$C$26</f>
        <v>6017.817578263379</v>
      </c>
      <c r="M2851" s="75">
        <f>'THAM_SO_MOI'!$C$15*'THAM_SO_MOI'!$C$16*F2851^2</f>
        <v>510.1628287908035</v>
      </c>
      <c r="N2851" s="75">
        <f>'THAM_SO_MOI'!$C$12*I2851</f>
        <v>1130.112</v>
      </c>
      <c r="O2851" s="75">
        <f>M2851+N2851</f>
        <v>1640.2748287908034</v>
      </c>
      <c r="P2851" s="75">
        <f>(MIN(L2851,'THAM_SO_MOI'!$C$41)-O2851)/('THAM_SO_MOI'!$C$11*H2851)</f>
        <v>0.48408017949481236</v>
      </c>
      <c r="Q2851" s="75">
        <f>IF(P2851&gt;0,1/P2851,NA())</f>
        <v>2.0657734862096673</v>
      </c>
      <c r="R2851" s="75">
        <f>F2851-F2850</f>
        <v>0.007943393307218827</v>
      </c>
      <c r="S2851" s="75">
        <f>0.5*(Q2850+Q2851)*R2851</f>
        <v>0.016408386731510058</v>
      </c>
      <c r="T2851" s="75">
        <f>0.5*(F2850*Q2850+F2851*Q2851)*R2851</f>
        <v>0.2166340573769331</v>
      </c>
      <c r="U2851" s="76">
        <f>U2850+S2851</f>
        <v>20.188596766481492</v>
      </c>
      <c r="V2851" s="76">
        <f>V2850+T2851</f>
        <v>158.65626769504826</v>
      </c>
    </row>
    <row r="2852" spans="1:22" ht="19" customHeight="1">
      <c r="A2852" s="68" t="s">
        <v>376</v>
      </c>
      <c r="B2852" s="74">
        <v>4</v>
      </c>
      <c r="C2852" s="68" t="s">
        <v>363</v>
      </c>
      <c r="D2852" s="68" t="s">
        <v>364</v>
      </c>
      <c r="E2852" s="75">
        <f>60*F2852*'THAM_SO_MOI'!$C$52/(2*PI()*'THAM_SO_MOI'!$C$26)</f>
        <v>2078.8980429383196</v>
      </c>
      <c r="F2852" s="75">
        <f>'HANH_TRINH'!$F$2468+('THAM_SO_MOI'!$F$52-'HANH_TRINH'!$F$2468)*383/'THAM_SO_MOI'!$C$42</f>
        <v>13.214556975965046</v>
      </c>
      <c r="G2852" s="75">
        <f>3.6*F2852</f>
        <v>47.57240511347417</v>
      </c>
      <c r="H2852" s="75">
        <f>'THAM_SO_MOI'!$D$52</f>
        <v>1.1774754878398197</v>
      </c>
      <c r="I2852" s="75">
        <f>IF(F2852&gt;'THAM_SO_MOI'!$C$14,'THAM_SO_MOI'!$C$13*(1+F2852^2/1500),'THAM_SO_MOI'!$C$13)</f>
        <v>0.015</v>
      </c>
      <c r="J2852" s="75">
        <f>'THAM_SO_MOI'!$C$40*('THAM_SO_MOI'!$C$23*(E2852/'THAM_SO_MOI'!$C$22)+'THAM_SO_MOI'!$C$24*(E2852/'THAM_SO_MOI'!$C$22)^2-'THAM_SO_MOI'!$C$25*(E2852/'THAM_SO_MOI'!$C$22)^3)</f>
        <v>93.54091073408208</v>
      </c>
      <c r="K2852" s="75">
        <f>'THAM_SO_MOI'!$C$31*J2852/E2852</f>
        <v>429.75577550133085</v>
      </c>
      <c r="L2852" s="75">
        <f>K2852*'THAM_SO_MOI'!$C$52*'THAM_SO_MOI'!$C$17/'THAM_SO_MOI'!$C$26</f>
        <v>6017.967641184047</v>
      </c>
      <c r="M2852" s="75">
        <f>'THAM_SO_MOI'!$C$15*'THAM_SO_MOI'!$C$16*F2852^2</f>
        <v>510.7767095077524</v>
      </c>
      <c r="N2852" s="75">
        <f>'THAM_SO_MOI'!$C$12*I2852</f>
        <v>1130.112</v>
      </c>
      <c r="O2852" s="75">
        <f>M2852+N2852</f>
        <v>1640.8887095077525</v>
      </c>
      <c r="P2852" s="75">
        <f>(MIN(L2852,'THAM_SO_MOI'!$C$41)-O2852)/('THAM_SO_MOI'!$C$11*H2852)</f>
        <v>0.48402888930419036</v>
      </c>
      <c r="Q2852" s="75">
        <f>IF(P2852&gt;0,1/P2852,NA())</f>
        <v>2.0659923861931824</v>
      </c>
      <c r="R2852" s="75">
        <f>F2852-F2851</f>
        <v>0.007943393307218827</v>
      </c>
      <c r="S2852" s="75">
        <f>0.5*(Q2851+Q2852)*R2852</f>
        <v>0.016410120688919977</v>
      </c>
      <c r="T2852" s="75">
        <f>0.5*(F2851*Q2851+F2852*Q2852)*R2852</f>
        <v>0.21678730225778053</v>
      </c>
      <c r="U2852" s="76">
        <f>U2851+S2852</f>
        <v>20.205006887170413</v>
      </c>
      <c r="V2852" s="76">
        <f>V2851+T2852</f>
        <v>158.87305499730604</v>
      </c>
    </row>
    <row r="2853" spans="1:22" ht="19" customHeight="1">
      <c r="A2853" s="68" t="s">
        <v>376</v>
      </c>
      <c r="B2853" s="74">
        <v>4</v>
      </c>
      <c r="C2853" s="68" t="s">
        <v>363</v>
      </c>
      <c r="D2853" s="68" t="s">
        <v>364</v>
      </c>
      <c r="E2853" s="75">
        <f>60*F2853*'THAM_SO_MOI'!$C$52/(2*PI()*'THAM_SO_MOI'!$C$26)</f>
        <v>2080.147687919283</v>
      </c>
      <c r="F2853" s="75">
        <f>'HANH_TRINH'!$F$2468+('THAM_SO_MOI'!$F$52-'HANH_TRINH'!$F$2468)*384/'THAM_SO_MOI'!$C$42</f>
        <v>13.222500369272266</v>
      </c>
      <c r="G2853" s="75">
        <f>3.6*F2853</f>
        <v>47.60100132938016</v>
      </c>
      <c r="H2853" s="75">
        <f>'THAM_SO_MOI'!$D$52</f>
        <v>1.1774754878398197</v>
      </c>
      <c r="I2853" s="75">
        <f>IF(F2853&gt;'THAM_SO_MOI'!$C$14,'THAM_SO_MOI'!$C$13*(1+F2853^2/1500),'THAM_SO_MOI'!$C$13)</f>
        <v>0.015</v>
      </c>
      <c r="J2853" s="75">
        <f>'THAM_SO_MOI'!$C$40*('THAM_SO_MOI'!$C$23*(E2853/'THAM_SO_MOI'!$C$22)+'THAM_SO_MOI'!$C$24*(E2853/'THAM_SO_MOI'!$C$22)^2-'THAM_SO_MOI'!$C$25*(E2853/'THAM_SO_MOI'!$C$22)^3)</f>
        <v>93.59943997245264</v>
      </c>
      <c r="K2853" s="75">
        <f>'THAM_SO_MOI'!$C$31*J2853/E2853</f>
        <v>429.7663403116087</v>
      </c>
      <c r="L2853" s="75">
        <f>K2853*'THAM_SO_MOI'!$C$52*'THAM_SO_MOI'!$C$17/'THAM_SO_MOI'!$C$26</f>
        <v>6018.115582619652</v>
      </c>
      <c r="M2853" s="75">
        <f>'THAM_SO_MOI'!$C$15*'THAM_SO_MOI'!$C$16*F2853^2</f>
        <v>511.39095934506037</v>
      </c>
      <c r="N2853" s="75">
        <f>'THAM_SO_MOI'!$C$12*I2853</f>
        <v>1130.112</v>
      </c>
      <c r="O2853" s="75">
        <f>M2853+N2853</f>
        <v>1641.5029593450604</v>
      </c>
      <c r="P2853" s="75">
        <f>(MIN(L2853,'THAM_SO_MOI'!$C$41)-O2853)/('THAM_SO_MOI'!$C$11*H2853)</f>
        <v>0.4839773236958764</v>
      </c>
      <c r="Q2853" s="75">
        <f>IF(P2853&gt;0,1/P2853,NA())</f>
        <v>2.0662125083950915</v>
      </c>
      <c r="R2853" s="75">
        <f>F2853-F2852</f>
        <v>0.007943393307220603</v>
      </c>
      <c r="S2853" s="75">
        <f>0.5*(Q2852+Q2853)*R2853</f>
        <v>0.016411864351868356</v>
      </c>
      <c r="T2853" s="75">
        <f>0.5*(F2852*Q2852+F2853*Q2853)*R2853</f>
        <v>0.21694070297858986</v>
      </c>
      <c r="U2853" s="76">
        <f>U2852+S2853</f>
        <v>20.221418751522283</v>
      </c>
      <c r="V2853" s="76">
        <f>V2852+T2853</f>
        <v>159.08999570028462</v>
      </c>
    </row>
    <row r="2854" spans="1:22" ht="19" customHeight="1">
      <c r="A2854" s="68" t="s">
        <v>376</v>
      </c>
      <c r="B2854" s="74">
        <v>4</v>
      </c>
      <c r="C2854" s="68" t="s">
        <v>363</v>
      </c>
      <c r="D2854" s="68" t="s">
        <v>364</v>
      </c>
      <c r="E2854" s="75">
        <f>60*F2854*'THAM_SO_MOI'!$C$52/(2*PI()*'THAM_SO_MOI'!$C$26)</f>
        <v>2081.397332900246</v>
      </c>
      <c r="F2854" s="75">
        <f>'HANH_TRINH'!$F$2468+('THAM_SO_MOI'!$F$52-'HANH_TRINH'!$F$2468)*385/'THAM_SO_MOI'!$C$42</f>
        <v>13.230443762579485</v>
      </c>
      <c r="G2854" s="75">
        <f>3.6*F2854</f>
        <v>47.629597545286146</v>
      </c>
      <c r="H2854" s="75">
        <f>'THAM_SO_MOI'!$D$52</f>
        <v>1.1774754878398197</v>
      </c>
      <c r="I2854" s="75">
        <f>IF(F2854&gt;'THAM_SO_MOI'!$C$14,'THAM_SO_MOI'!$C$13*(1+F2854^2/1500),'THAM_SO_MOI'!$C$13)</f>
        <v>0.015</v>
      </c>
      <c r="J2854" s="75">
        <f>'THAM_SO_MOI'!$C$40*('THAM_SO_MOI'!$C$23*(E2854/'THAM_SO_MOI'!$C$22)+'THAM_SO_MOI'!$C$24*(E2854/'THAM_SO_MOI'!$C$22)^2-'THAM_SO_MOI'!$C$25*(E2854/'THAM_SO_MOI'!$C$22)^3)</f>
        <v>93.65793896020774</v>
      </c>
      <c r="K2854" s="75">
        <f>'THAM_SO_MOI'!$C$31*J2854/E2854</f>
        <v>429.77675362215916</v>
      </c>
      <c r="L2854" s="75">
        <f>K2854*'THAM_SO_MOI'!$C$52*'THAM_SO_MOI'!$C$17/'THAM_SO_MOI'!$C$26</f>
        <v>6018.261402570198</v>
      </c>
      <c r="M2854" s="75">
        <f>'THAM_SO_MOI'!$C$15*'THAM_SO_MOI'!$C$16*F2854^2</f>
        <v>512.0055783027268</v>
      </c>
      <c r="N2854" s="75">
        <f>'THAM_SO_MOI'!$C$12*I2854</f>
        <v>1130.112</v>
      </c>
      <c r="O2854" s="75">
        <f>M2854+N2854</f>
        <v>1642.117578302727</v>
      </c>
      <c r="P2854" s="75">
        <f>(MIN(L2854,'THAM_SO_MOI'!$C$41)-O2854)/('THAM_SO_MOI'!$C$11*H2854)</f>
        <v>0.4839254826698714</v>
      </c>
      <c r="Q2854" s="75">
        <f>IF(P2854&gt;0,1/P2854,NA())</f>
        <v>2.0664338535819344</v>
      </c>
      <c r="R2854" s="75">
        <f>F2854-F2853</f>
        <v>0.007943393307218827</v>
      </c>
      <c r="S2854" s="75">
        <f>0.5*(Q2853+Q2854)*R2854</f>
        <v>0.01641361772641527</v>
      </c>
      <c r="T2854" s="75">
        <f>0.5*(F2853*Q2853+F2854*Q2854)*R2854</f>
        <v>0.2170942598507992</v>
      </c>
      <c r="U2854" s="76">
        <f>U2853+S2854</f>
        <v>20.237832369248697</v>
      </c>
      <c r="V2854" s="76">
        <f>V2853+T2854</f>
        <v>159.30708996013541</v>
      </c>
    </row>
    <row r="2855" spans="1:22" ht="19" customHeight="1">
      <c r="A2855" s="68" t="s">
        <v>376</v>
      </c>
      <c r="B2855" s="74">
        <v>4</v>
      </c>
      <c r="C2855" s="68" t="s">
        <v>363</v>
      </c>
      <c r="D2855" s="68" t="s">
        <v>364</v>
      </c>
      <c r="E2855" s="75">
        <f>60*F2855*'THAM_SO_MOI'!$C$52/(2*PI()*'THAM_SO_MOI'!$C$26)</f>
        <v>2082.6469778812098</v>
      </c>
      <c r="F2855" s="75">
        <f>'HANH_TRINH'!$F$2468+('THAM_SO_MOI'!$F$52-'HANH_TRINH'!$F$2468)*386/'THAM_SO_MOI'!$C$42</f>
        <v>13.238387155886706</v>
      </c>
      <c r="G2855" s="75">
        <f>3.6*F2855</f>
        <v>47.658193761192145</v>
      </c>
      <c r="H2855" s="75">
        <f>'THAM_SO_MOI'!$D$52</f>
        <v>1.1774754878398197</v>
      </c>
      <c r="I2855" s="75">
        <f>IF(F2855&gt;'THAM_SO_MOI'!$C$14,'THAM_SO_MOI'!$C$13*(1+F2855^2/1500),'THAM_SO_MOI'!$C$13)</f>
        <v>0.015</v>
      </c>
      <c r="J2855" s="75">
        <f>'THAM_SO_MOI'!$C$40*('THAM_SO_MOI'!$C$23*(E2855/'THAM_SO_MOI'!$C$22)+'THAM_SO_MOI'!$C$24*(E2855/'THAM_SO_MOI'!$C$22)^2-'THAM_SO_MOI'!$C$25*(E2855/'THAM_SO_MOI'!$C$22)^3)</f>
        <v>93.71640763788173</v>
      </c>
      <c r="K2855" s="75">
        <f>'THAM_SO_MOI'!$C$31*J2855/E2855</f>
        <v>429.78701543298223</v>
      </c>
      <c r="L2855" s="75">
        <f>K2855*'THAM_SO_MOI'!$C$52*'THAM_SO_MOI'!$C$17/'THAM_SO_MOI'!$C$26</f>
        <v>6018.4051010356825</v>
      </c>
      <c r="M2855" s="75">
        <f>'THAM_SO_MOI'!$C$15*'THAM_SO_MOI'!$C$16*F2855^2</f>
        <v>512.6205663807524</v>
      </c>
      <c r="N2855" s="75">
        <f>'THAM_SO_MOI'!$C$12*I2855</f>
        <v>1130.112</v>
      </c>
      <c r="O2855" s="75">
        <f>M2855+N2855</f>
        <v>1642.7325663807524</v>
      </c>
      <c r="P2855" s="75">
        <f>(MIN(L2855,'THAM_SO_MOI'!$C$41)-O2855)/('THAM_SO_MOI'!$C$11*H2855)</f>
        <v>0.48387336622617466</v>
      </c>
      <c r="Q2855" s="75">
        <f>IF(P2855&gt;0,1/P2855,NA())</f>
        <v>2.066656422524762</v>
      </c>
      <c r="R2855" s="75">
        <f>F2855-F2854</f>
        <v>0.007943393307220603</v>
      </c>
      <c r="S2855" s="75">
        <f>0.5*(Q2854+Q2855)*R2855</f>
        <v>0.01641538081868224</v>
      </c>
      <c r="T2855" s="75">
        <f>0.5*(F2854*Q2854+F2855*Q2855)*R2855</f>
        <v>0.21724797318685252</v>
      </c>
      <c r="U2855" s="76">
        <f>U2854+S2855</f>
        <v>20.25424775006738</v>
      </c>
      <c r="V2855" s="76">
        <f>V2854+T2855</f>
        <v>159.52433793332227</v>
      </c>
    </row>
    <row r="2856" spans="1:22" ht="19" customHeight="1">
      <c r="A2856" s="68" t="s">
        <v>376</v>
      </c>
      <c r="B2856" s="74">
        <v>4</v>
      </c>
      <c r="C2856" s="68" t="s">
        <v>363</v>
      </c>
      <c r="D2856" s="68" t="s">
        <v>364</v>
      </c>
      <c r="E2856" s="75">
        <f>60*F2856*'THAM_SO_MOI'!$C$52/(2*PI()*'THAM_SO_MOI'!$C$26)</f>
        <v>2083.896622862173</v>
      </c>
      <c r="F2856" s="75">
        <f>'HANH_TRINH'!$F$2468+('THAM_SO_MOI'!$F$52-'HANH_TRINH'!$F$2468)*387/'THAM_SO_MOI'!$C$42</f>
        <v>13.246330549193924</v>
      </c>
      <c r="G2856" s="75">
        <f>3.6*F2856</f>
        <v>47.68678997709813</v>
      </c>
      <c r="H2856" s="75">
        <f>'THAM_SO_MOI'!$D$52</f>
        <v>1.1774754878398197</v>
      </c>
      <c r="I2856" s="75">
        <f>IF(F2856&gt;'THAM_SO_MOI'!$C$14,'THAM_SO_MOI'!$C$13*(1+F2856^2/1500),'THAM_SO_MOI'!$C$13)</f>
        <v>0.015</v>
      </c>
      <c r="J2856" s="75">
        <f>'THAM_SO_MOI'!$C$40*('THAM_SO_MOI'!$C$23*(E2856/'THAM_SO_MOI'!$C$22)+'THAM_SO_MOI'!$C$24*(E2856/'THAM_SO_MOI'!$C$22)^2-'THAM_SO_MOI'!$C$25*(E2856/'THAM_SO_MOI'!$C$22)^3)</f>
        <v>93.7748459460088</v>
      </c>
      <c r="K2856" s="75">
        <f>'THAM_SO_MOI'!$C$31*J2856/E2856</f>
        <v>429.79712574407773</v>
      </c>
      <c r="L2856" s="75">
        <f>K2856*'THAM_SO_MOI'!$C$52*'THAM_SO_MOI'!$C$17/'THAM_SO_MOI'!$C$26</f>
        <v>6018.546678016107</v>
      </c>
      <c r="M2856" s="75">
        <f>'THAM_SO_MOI'!$C$15*'THAM_SO_MOI'!$C$16*F2856^2</f>
        <v>513.2359235791366</v>
      </c>
      <c r="N2856" s="75">
        <f>'THAM_SO_MOI'!$C$12*I2856</f>
        <v>1130.112</v>
      </c>
      <c r="O2856" s="75">
        <f>M2856+N2856</f>
        <v>1643.3479235791367</v>
      </c>
      <c r="P2856" s="75">
        <f>(MIN(L2856,'THAM_SO_MOI'!$C$41)-O2856)/('THAM_SO_MOI'!$C$11*H2856)</f>
        <v>0.4838209743647865</v>
      </c>
      <c r="Q2856" s="75">
        <f>IF(P2856&gt;0,1/P2856,NA())</f>
        <v>2.0668802159991313</v>
      </c>
      <c r="R2856" s="75">
        <f>F2856-F2855</f>
        <v>0.007943393307218827</v>
      </c>
      <c r="S2856" s="75">
        <f>0.5*(Q2855+Q2856)*R2856</f>
        <v>0.01641715363479725</v>
      </c>
      <c r="T2856" s="75">
        <f>0.5*(F2855*Q2855+F2856*Q2856)*R2856</f>
        <v>0.2174018432994738</v>
      </c>
      <c r="U2856" s="76">
        <f>U2855+S2856</f>
        <v>20.270664903702176</v>
      </c>
      <c r="V2856" s="76">
        <f>V2855+T2856</f>
        <v>159.74173977662176</v>
      </c>
    </row>
    <row r="2857" spans="1:22" ht="19" customHeight="1">
      <c r="A2857" s="68" t="s">
        <v>376</v>
      </c>
      <c r="B2857" s="74">
        <v>4</v>
      </c>
      <c r="C2857" s="68" t="s">
        <v>363</v>
      </c>
      <c r="D2857" s="68" t="s">
        <v>364</v>
      </c>
      <c r="E2857" s="75">
        <f>60*F2857*'THAM_SO_MOI'!$C$52/(2*PI()*'THAM_SO_MOI'!$C$26)</f>
        <v>2085.1462678431362</v>
      </c>
      <c r="F2857" s="75">
        <f>'HANH_TRINH'!$F$2468+('THAM_SO_MOI'!$F$52-'HANH_TRINH'!$F$2468)*388/'THAM_SO_MOI'!$C$42</f>
        <v>13.254273942501143</v>
      </c>
      <c r="G2857" s="75">
        <f>3.6*F2857</f>
        <v>47.715386193004115</v>
      </c>
      <c r="H2857" s="75">
        <f>'THAM_SO_MOI'!$D$52</f>
        <v>1.1774754878398197</v>
      </c>
      <c r="I2857" s="75">
        <f>IF(F2857&gt;'THAM_SO_MOI'!$C$14,'THAM_SO_MOI'!$C$13*(1+F2857^2/1500),'THAM_SO_MOI'!$C$13)</f>
        <v>0.015</v>
      </c>
      <c r="J2857" s="75">
        <f>'THAM_SO_MOI'!$C$40*('THAM_SO_MOI'!$C$23*(E2857/'THAM_SO_MOI'!$C$22)+'THAM_SO_MOI'!$C$24*(E2857/'THAM_SO_MOI'!$C$22)^2-'THAM_SO_MOI'!$C$25*(E2857/'THAM_SO_MOI'!$C$22)^3)</f>
        <v>93.83325382512331</v>
      </c>
      <c r="K2857" s="75">
        <f>'THAM_SO_MOI'!$C$31*J2857/E2857</f>
        <v>429.8070845554457</v>
      </c>
      <c r="L2857" s="75">
        <f>K2857*'THAM_SO_MOI'!$C$52*'THAM_SO_MOI'!$C$17/'THAM_SO_MOI'!$C$26</f>
        <v>6018.686133511469</v>
      </c>
      <c r="M2857" s="75">
        <f>'THAM_SO_MOI'!$C$15*'THAM_SO_MOI'!$C$16*F2857^2</f>
        <v>513.8516498978796</v>
      </c>
      <c r="N2857" s="75">
        <f>'THAM_SO_MOI'!$C$12*I2857</f>
        <v>1130.112</v>
      </c>
      <c r="O2857" s="75">
        <f>M2857+N2857</f>
        <v>1643.9636498978798</v>
      </c>
      <c r="P2857" s="75">
        <f>(MIN(L2857,'THAM_SO_MOI'!$C$41)-O2857)/('THAM_SO_MOI'!$C$11*H2857)</f>
        <v>0.4837683070857067</v>
      </c>
      <c r="Q2857" s="75">
        <f>IF(P2857&gt;0,1/P2857,NA())</f>
        <v>2.0671052347851204</v>
      </c>
      <c r="R2857" s="75">
        <f>F2857-F2856</f>
        <v>0.007943393307218827</v>
      </c>
      <c r="S2857" s="75">
        <f>0.5*(Q2856+Q2857)*R2857</f>
        <v>0.016418936180949816</v>
      </c>
      <c r="T2857" s="75">
        <f>0.5*(F2856*Q2856+F2857*Q2857)*R2857</f>
        <v>0.21755587050239722</v>
      </c>
      <c r="U2857" s="76">
        <f>U2856+S2857</f>
        <v>20.287083839883127</v>
      </c>
      <c r="V2857" s="76">
        <f>V2856+T2857</f>
        <v>159.95929564712415</v>
      </c>
    </row>
    <row r="2858" spans="1:22" ht="19" customHeight="1">
      <c r="A2858" s="68" t="s">
        <v>376</v>
      </c>
      <c r="B2858" s="74">
        <v>4</v>
      </c>
      <c r="C2858" s="68" t="s">
        <v>363</v>
      </c>
      <c r="D2858" s="68" t="s">
        <v>364</v>
      </c>
      <c r="E2858" s="75">
        <f>60*F2858*'THAM_SO_MOI'!$C$52/(2*PI()*'THAM_SO_MOI'!$C$26)</f>
        <v>2086.395912824099</v>
      </c>
      <c r="F2858" s="75">
        <f>'HANH_TRINH'!$F$2468+('THAM_SO_MOI'!$F$52-'HANH_TRINH'!$F$2468)*389/'THAM_SO_MOI'!$C$42</f>
        <v>13.262217335808362</v>
      </c>
      <c r="G2858" s="75">
        <f>3.6*F2858</f>
        <v>47.74398240891011</v>
      </c>
      <c r="H2858" s="75">
        <f>'THAM_SO_MOI'!$D$52</f>
        <v>1.1774754878398197</v>
      </c>
      <c r="I2858" s="75">
        <f>IF(F2858&gt;'THAM_SO_MOI'!$C$14,'THAM_SO_MOI'!$C$13*(1+F2858^2/1500),'THAM_SO_MOI'!$C$13)</f>
        <v>0.015</v>
      </c>
      <c r="J2858" s="75">
        <f>'THAM_SO_MOI'!$C$40*('THAM_SO_MOI'!$C$23*(E2858/'THAM_SO_MOI'!$C$22)+'THAM_SO_MOI'!$C$24*(E2858/'THAM_SO_MOI'!$C$22)^2-'THAM_SO_MOI'!$C$25*(E2858/'THAM_SO_MOI'!$C$22)^3)</f>
        <v>93.8916312157596</v>
      </c>
      <c r="K2858" s="75">
        <f>'THAM_SO_MOI'!$C$31*J2858/E2858</f>
        <v>429.81689186708627</v>
      </c>
      <c r="L2858" s="75">
        <f>K2858*'THAM_SO_MOI'!$C$52*'THAM_SO_MOI'!$C$17/'THAM_SO_MOI'!$C$26</f>
        <v>6018.82346752177</v>
      </c>
      <c r="M2858" s="75">
        <f>'THAM_SO_MOI'!$C$15*'THAM_SO_MOI'!$C$16*F2858^2</f>
        <v>514.4677453369814</v>
      </c>
      <c r="N2858" s="75">
        <f>'THAM_SO_MOI'!$C$12*I2858</f>
        <v>1130.112</v>
      </c>
      <c r="O2858" s="75">
        <f>M2858+N2858</f>
        <v>1644.5797453369814</v>
      </c>
      <c r="P2858" s="75">
        <f>(MIN(L2858,'THAM_SO_MOI'!$C$41)-O2858)/('THAM_SO_MOI'!$C$11*H2858)</f>
        <v>0.4837153643889353</v>
      </c>
      <c r="Q2858" s="75">
        <f>IF(P2858&gt;0,1/P2858,NA())</f>
        <v>2.0673314796673314</v>
      </c>
      <c r="R2858" s="75">
        <f>F2858-F2857</f>
        <v>0.007943393307218827</v>
      </c>
      <c r="S2858" s="75">
        <f>0.5*(Q2857+Q2858)*R2858</f>
        <v>0.0164207284633507</v>
      </c>
      <c r="T2858" s="75">
        <f>0.5*(F2857*Q2857+F2858*Q2858)*R2858</f>
        <v>0.2177100551098352</v>
      </c>
      <c r="U2858" s="76">
        <f>U2857+S2858</f>
        <v>20.30350456834648</v>
      </c>
      <c r="V2858" s="76">
        <f>V2857+T2858</f>
        <v>160.177005702234</v>
      </c>
    </row>
    <row r="2859" spans="1:22" ht="19" customHeight="1">
      <c r="A2859" s="68" t="s">
        <v>376</v>
      </c>
      <c r="B2859" s="74">
        <v>4</v>
      </c>
      <c r="C2859" s="68" t="s">
        <v>363</v>
      </c>
      <c r="D2859" s="68" t="s">
        <v>364</v>
      </c>
      <c r="E2859" s="75">
        <f>60*F2859*'THAM_SO_MOI'!$C$52/(2*PI()*'THAM_SO_MOI'!$C$26)</f>
        <v>2087.6455578050627</v>
      </c>
      <c r="F2859" s="75">
        <f>'HANH_TRINH'!$F$2468+('THAM_SO_MOI'!$F$52-'HANH_TRINH'!$F$2468)*390/'THAM_SO_MOI'!$C$42</f>
        <v>13.270160729115583</v>
      </c>
      <c r="G2859" s="75">
        <f>3.6*F2859</f>
        <v>47.7725786248161</v>
      </c>
      <c r="H2859" s="75">
        <f>'THAM_SO_MOI'!$D$52</f>
        <v>1.1774754878398197</v>
      </c>
      <c r="I2859" s="75">
        <f>IF(F2859&gt;'THAM_SO_MOI'!$C$14,'THAM_SO_MOI'!$C$13*(1+F2859^2/1500),'THAM_SO_MOI'!$C$13)</f>
        <v>0.015</v>
      </c>
      <c r="J2859" s="75">
        <f>'THAM_SO_MOI'!$C$40*('THAM_SO_MOI'!$C$23*(E2859/'THAM_SO_MOI'!$C$22)+'THAM_SO_MOI'!$C$24*(E2859/'THAM_SO_MOI'!$C$22)^2-'THAM_SO_MOI'!$C$25*(E2859/'THAM_SO_MOI'!$C$22)^3)</f>
        <v>93.94997805845203</v>
      </c>
      <c r="K2859" s="75">
        <f>'THAM_SO_MOI'!$C$31*J2859/E2859</f>
        <v>429.8265476789995</v>
      </c>
      <c r="L2859" s="75">
        <f>K2859*'THAM_SO_MOI'!$C$52*'THAM_SO_MOI'!$C$17/'THAM_SO_MOI'!$C$26</f>
        <v>6018.958680047013</v>
      </c>
      <c r="M2859" s="75">
        <f>'THAM_SO_MOI'!$C$15*'THAM_SO_MOI'!$C$16*F2859^2</f>
        <v>515.0842098964422</v>
      </c>
      <c r="N2859" s="75">
        <f>'THAM_SO_MOI'!$C$12*I2859</f>
        <v>1130.112</v>
      </c>
      <c r="O2859" s="75">
        <f>M2859+N2859</f>
        <v>1645.1962098964423</v>
      </c>
      <c r="P2859" s="75">
        <f>(MIN(L2859,'THAM_SO_MOI'!$C$41)-O2859)/('THAM_SO_MOI'!$C$11*H2859)</f>
        <v>0.48366214627447274</v>
      </c>
      <c r="Q2859" s="75">
        <f>IF(P2859&gt;0,1/P2859,NA())</f>
        <v>2.0675589514348958</v>
      </c>
      <c r="R2859" s="75">
        <f>F2859-F2858</f>
        <v>0.007943393307220603</v>
      </c>
      <c r="S2859" s="75">
        <f>0.5*(Q2858+Q2859)*R2859</f>
        <v>0.016422530488253973</v>
      </c>
      <c r="T2859" s="75">
        <f>0.5*(F2858*Q2858+F2859*Q2859)*R2859</f>
        <v>0.21786439743677202</v>
      </c>
      <c r="U2859" s="76">
        <f>U2858+S2859</f>
        <v>20.319927098834732</v>
      </c>
      <c r="V2859" s="76">
        <f>V2858+T2859</f>
        <v>160.39487009967078</v>
      </c>
    </row>
    <row r="2860" spans="1:22" ht="19" customHeight="1">
      <c r="A2860" s="68" t="s">
        <v>376</v>
      </c>
      <c r="B2860" s="74">
        <v>4</v>
      </c>
      <c r="C2860" s="68" t="s">
        <v>363</v>
      </c>
      <c r="D2860" s="68" t="s">
        <v>364</v>
      </c>
      <c r="E2860" s="75">
        <f>60*F2860*'THAM_SO_MOI'!$C$52/(2*PI()*'THAM_SO_MOI'!$C$26)</f>
        <v>2088.895202786026</v>
      </c>
      <c r="F2860" s="75">
        <f>'HANH_TRINH'!$F$2468+('THAM_SO_MOI'!$F$52-'HANH_TRINH'!$F$2468)*391/'THAM_SO_MOI'!$C$42</f>
        <v>13.278104122422802</v>
      </c>
      <c r="G2860" s="75">
        <f>3.6*F2860</f>
        <v>47.801174840722084</v>
      </c>
      <c r="H2860" s="75">
        <f>'THAM_SO_MOI'!$D$52</f>
        <v>1.1774754878398197</v>
      </c>
      <c r="I2860" s="75">
        <f>IF(F2860&gt;'THAM_SO_MOI'!$C$14,'THAM_SO_MOI'!$C$13*(1+F2860^2/1500),'THAM_SO_MOI'!$C$13)</f>
        <v>0.015</v>
      </c>
      <c r="J2860" s="75">
        <f>'THAM_SO_MOI'!$C$40*('THAM_SO_MOI'!$C$23*(E2860/'THAM_SO_MOI'!$C$22)+'THAM_SO_MOI'!$C$24*(E2860/'THAM_SO_MOI'!$C$22)^2-'THAM_SO_MOI'!$C$25*(E2860/'THAM_SO_MOI'!$C$22)^3)</f>
        <v>94.0082942937348</v>
      </c>
      <c r="K2860" s="75">
        <f>'THAM_SO_MOI'!$C$31*J2860/E2860</f>
        <v>429.836051991185</v>
      </c>
      <c r="L2860" s="75">
        <f>K2860*'THAM_SO_MOI'!$C$52*'THAM_SO_MOI'!$C$17/'THAM_SO_MOI'!$C$26</f>
        <v>6019.091771087191</v>
      </c>
      <c r="M2860" s="75">
        <f>'THAM_SO_MOI'!$C$15*'THAM_SO_MOI'!$C$16*F2860^2</f>
        <v>515.7010435762616</v>
      </c>
      <c r="N2860" s="75">
        <f>'THAM_SO_MOI'!$C$12*I2860</f>
        <v>1130.112</v>
      </c>
      <c r="O2860" s="75">
        <f>M2860+N2860</f>
        <v>1645.8130435762616</v>
      </c>
      <c r="P2860" s="75">
        <f>(MIN(L2860,'THAM_SO_MOI'!$C$41)-O2860)/('THAM_SO_MOI'!$C$11*H2860)</f>
        <v>0.4836086527423181</v>
      </c>
      <c r="Q2860" s="75">
        <f>IF(P2860&gt;0,1/P2860,NA())</f>
        <v>2.0677876508814896</v>
      </c>
      <c r="R2860" s="75">
        <f>F2860-F2859</f>
        <v>0.007943393307218827</v>
      </c>
      <c r="S2860" s="75">
        <f>0.5*(Q2859+Q2860)*R2860</f>
        <v>0.016424342261935045</v>
      </c>
      <c r="T2860" s="75">
        <f>0.5*(F2859*Q2859+F2860*Q2860)*R2860</f>
        <v>0.21801889779867398</v>
      </c>
      <c r="U2860" s="76">
        <f>U2859+S2860</f>
        <v>20.336351441096667</v>
      </c>
      <c r="V2860" s="76">
        <f>V2859+T2860</f>
        <v>160.61288899746947</v>
      </c>
    </row>
    <row r="2861" spans="1:22" ht="19" customHeight="1">
      <c r="A2861" s="68" t="s">
        <v>376</v>
      </c>
      <c r="B2861" s="74">
        <v>4</v>
      </c>
      <c r="C2861" s="68" t="s">
        <v>363</v>
      </c>
      <c r="D2861" s="68" t="s">
        <v>364</v>
      </c>
      <c r="E2861" s="75">
        <f>60*F2861*'THAM_SO_MOI'!$C$52/(2*PI()*'THAM_SO_MOI'!$C$26)</f>
        <v>2090.144847766989</v>
      </c>
      <c r="F2861" s="75">
        <f>'HANH_TRINH'!$F$2468+('THAM_SO_MOI'!$F$52-'HANH_TRINH'!$F$2468)*392/'THAM_SO_MOI'!$C$42</f>
        <v>13.28604751573002</v>
      </c>
      <c r="G2861" s="75">
        <f>3.6*F2861</f>
        <v>47.829771056628076</v>
      </c>
      <c r="H2861" s="75">
        <f>'THAM_SO_MOI'!$D$52</f>
        <v>1.1774754878398197</v>
      </c>
      <c r="I2861" s="75">
        <f>IF(F2861&gt;'THAM_SO_MOI'!$C$14,'THAM_SO_MOI'!$C$13*(1+F2861^2/1500),'THAM_SO_MOI'!$C$13)</f>
        <v>0.015</v>
      </c>
      <c r="J2861" s="75">
        <f>'THAM_SO_MOI'!$C$40*('THAM_SO_MOI'!$C$23*(E2861/'THAM_SO_MOI'!$C$22)+'THAM_SO_MOI'!$C$24*(E2861/'THAM_SO_MOI'!$C$22)^2-'THAM_SO_MOI'!$C$25*(E2861/'THAM_SO_MOI'!$C$22)^3)</f>
        <v>94.0665798621423</v>
      </c>
      <c r="K2861" s="75">
        <f>'THAM_SO_MOI'!$C$31*J2861/E2861</f>
        <v>429.8454048036432</v>
      </c>
      <c r="L2861" s="75">
        <f>K2861*'THAM_SO_MOI'!$C$52*'THAM_SO_MOI'!$C$17/'THAM_SO_MOI'!$C$26</f>
        <v>6019.22274064231</v>
      </c>
      <c r="M2861" s="75">
        <f>'THAM_SO_MOI'!$C$15*'THAM_SO_MOI'!$C$16*F2861^2</f>
        <v>516.3182463764399</v>
      </c>
      <c r="N2861" s="75">
        <f>'THAM_SO_MOI'!$C$12*I2861</f>
        <v>1130.112</v>
      </c>
      <c r="O2861" s="75">
        <f>M2861+N2861</f>
        <v>1646.43024637644</v>
      </c>
      <c r="P2861" s="75">
        <f>(MIN(L2861,'THAM_SO_MOI'!$C$41)-O2861)/('THAM_SO_MOI'!$C$11*H2861)</f>
        <v>0.48355488379247225</v>
      </c>
      <c r="Q2861" s="75">
        <f>IF(P2861&gt;0,1/P2861,NA())</f>
        <v>2.0680175788053274</v>
      </c>
      <c r="R2861" s="75">
        <f>F2861-F2860</f>
        <v>0.007943393307218827</v>
      </c>
      <c r="S2861" s="75">
        <f>0.5*(Q2860+Q2861)*R2861</f>
        <v>0.016426163790727442</v>
      </c>
      <c r="T2861" s="75">
        <f>0.5*(F2860*Q2860+F2861*Q2861)*R2861</f>
        <v>0.21817355651197862</v>
      </c>
      <c r="U2861" s="76">
        <f>U2860+S2861</f>
        <v>20.352777604887393</v>
      </c>
      <c r="V2861" s="76">
        <f>V2860+T2861</f>
        <v>160.83106255398144</v>
      </c>
    </row>
    <row r="2862" spans="1:22" ht="19" customHeight="1">
      <c r="A2862" s="68" t="s">
        <v>376</v>
      </c>
      <c r="B2862" s="74">
        <v>4</v>
      </c>
      <c r="C2862" s="68" t="s">
        <v>363</v>
      </c>
      <c r="D2862" s="68" t="s">
        <v>364</v>
      </c>
      <c r="E2862" s="75">
        <f>60*F2862*'THAM_SO_MOI'!$C$52/(2*PI()*'THAM_SO_MOI'!$C$26)</f>
        <v>2091.3944927479524</v>
      </c>
      <c r="F2862" s="75">
        <f>'HANH_TRINH'!$F$2468+('THAM_SO_MOI'!$F$52-'HANH_TRINH'!$F$2468)*393/'THAM_SO_MOI'!$C$42</f>
        <v>13.293990909037241</v>
      </c>
      <c r="G2862" s="75">
        <f>3.6*F2862</f>
        <v>47.85836727253407</v>
      </c>
      <c r="H2862" s="75">
        <f>'THAM_SO_MOI'!$D$52</f>
        <v>1.1774754878398197</v>
      </c>
      <c r="I2862" s="75">
        <f>IF(F2862&gt;'THAM_SO_MOI'!$C$14,'THAM_SO_MOI'!$C$13*(1+F2862^2/1500),'THAM_SO_MOI'!$C$13)</f>
        <v>0.015</v>
      </c>
      <c r="J2862" s="75">
        <f>'THAM_SO_MOI'!$C$40*('THAM_SO_MOI'!$C$23*(E2862/'THAM_SO_MOI'!$C$22)+'THAM_SO_MOI'!$C$24*(E2862/'THAM_SO_MOI'!$C$22)^2-'THAM_SO_MOI'!$C$25*(E2862/'THAM_SO_MOI'!$C$22)^3)</f>
        <v>94.12483470420885</v>
      </c>
      <c r="K2862" s="75">
        <f>'THAM_SO_MOI'!$C$31*J2862/E2862</f>
        <v>429.85460611637393</v>
      </c>
      <c r="L2862" s="75">
        <f>K2862*'THAM_SO_MOI'!$C$52*'THAM_SO_MOI'!$C$17/'THAM_SO_MOI'!$C$26</f>
        <v>6019.3515887123685</v>
      </c>
      <c r="M2862" s="75">
        <f>'THAM_SO_MOI'!$C$15*'THAM_SO_MOI'!$C$16*F2862^2</f>
        <v>516.9358182969771</v>
      </c>
      <c r="N2862" s="75">
        <f>'THAM_SO_MOI'!$C$12*I2862</f>
        <v>1130.112</v>
      </c>
      <c r="O2862" s="75">
        <f>M2862+N2862</f>
        <v>1647.0478182969773</v>
      </c>
      <c r="P2862" s="75">
        <f>(MIN(L2862,'THAM_SO_MOI'!$C$41)-O2862)/('THAM_SO_MOI'!$C$11*H2862)</f>
        <v>0.4835008394249348</v>
      </c>
      <c r="Q2862" s="75">
        <f>IF(P2862&gt;0,1/P2862,NA())</f>
        <v>2.068248736009182</v>
      </c>
      <c r="R2862" s="75">
        <f>F2862-F2861</f>
        <v>0.007943393307220603</v>
      </c>
      <c r="S2862" s="75">
        <f>0.5*(Q2861+Q2862)*R2862</f>
        <v>0.016427995080989802</v>
      </c>
      <c r="T2862" s="75">
        <f>0.5*(F2861*Q2861+F2862*Q2862)*R2862</f>
        <v>0.2183283738936585</v>
      </c>
      <c r="U2862" s="76">
        <f>U2861+S2862</f>
        <v>20.36920559996838</v>
      </c>
      <c r="V2862" s="76">
        <f>V2861+T2862</f>
        <v>161.0493909278751</v>
      </c>
    </row>
    <row r="2863" spans="1:22" ht="19" customHeight="1">
      <c r="A2863" s="68" t="s">
        <v>376</v>
      </c>
      <c r="B2863" s="74">
        <v>4</v>
      </c>
      <c r="C2863" s="68" t="s">
        <v>363</v>
      </c>
      <c r="D2863" s="68" t="s">
        <v>364</v>
      </c>
      <c r="E2863" s="75">
        <f>60*F2863*'THAM_SO_MOI'!$C$52/(2*PI()*'THAM_SO_MOI'!$C$26)</f>
        <v>2092.6441377289157</v>
      </c>
      <c r="F2863" s="75">
        <f>'HANH_TRINH'!$F$2468+('THAM_SO_MOI'!$F$52-'HANH_TRINH'!$F$2468)*394/'THAM_SO_MOI'!$C$42</f>
        <v>13.30193430234446</v>
      </c>
      <c r="G2863" s="75">
        <f>3.6*F2863</f>
        <v>47.88696348844006</v>
      </c>
      <c r="H2863" s="75">
        <f>'THAM_SO_MOI'!$D$52</f>
        <v>1.1774754878398197</v>
      </c>
      <c r="I2863" s="75">
        <f>IF(F2863&gt;'THAM_SO_MOI'!$C$14,'THAM_SO_MOI'!$C$13*(1+F2863^2/1500),'THAM_SO_MOI'!$C$13)</f>
        <v>0.015</v>
      </c>
      <c r="J2863" s="75">
        <f>'THAM_SO_MOI'!$C$40*('THAM_SO_MOI'!$C$23*(E2863/'THAM_SO_MOI'!$C$22)+'THAM_SO_MOI'!$C$24*(E2863/'THAM_SO_MOI'!$C$22)^2-'THAM_SO_MOI'!$C$25*(E2863/'THAM_SO_MOI'!$C$22)^3)</f>
        <v>94.18305876046871</v>
      </c>
      <c r="K2863" s="75">
        <f>'THAM_SO_MOI'!$C$31*J2863/E2863</f>
        <v>429.8636559293771</v>
      </c>
      <c r="L2863" s="75">
        <f>K2863*'THAM_SO_MOI'!$C$52*'THAM_SO_MOI'!$C$17/'THAM_SO_MOI'!$C$26</f>
        <v>6019.478315297366</v>
      </c>
      <c r="M2863" s="75">
        <f>'THAM_SO_MOI'!$C$15*'THAM_SO_MOI'!$C$16*F2863^2</f>
        <v>517.553759337873</v>
      </c>
      <c r="N2863" s="75">
        <f>'THAM_SO_MOI'!$C$12*I2863</f>
        <v>1130.112</v>
      </c>
      <c r="O2863" s="75">
        <f>M2863+N2863</f>
        <v>1647.6657593378732</v>
      </c>
      <c r="P2863" s="75">
        <f>(MIN(L2863,'THAM_SO_MOI'!$C$41)-O2863)/('THAM_SO_MOI'!$C$11*H2863)</f>
        <v>0.4834465196397059</v>
      </c>
      <c r="Q2863" s="75">
        <f>IF(P2863&gt;0,1/P2863,NA())</f>
        <v>2.068481123300384</v>
      </c>
      <c r="R2863" s="75">
        <f>F2863-F2862</f>
        <v>0.007943393307218827</v>
      </c>
      <c r="S2863" s="75">
        <f>0.5*(Q2862+Q2863)*R2863</f>
        <v>0.016429836139105945</v>
      </c>
      <c r="T2863" s="75">
        <f>0.5*(F2862*Q2862+F2863*Q2863)*R2863</f>
        <v>0.21848335026122306</v>
      </c>
      <c r="U2863" s="76">
        <f>U2862+S2863</f>
        <v>20.38563543610749</v>
      </c>
      <c r="V2863" s="76">
        <f>V2862+T2863</f>
        <v>161.2678742781363</v>
      </c>
    </row>
    <row r="2864" spans="1:22" ht="19" customHeight="1">
      <c r="A2864" s="68" t="s">
        <v>376</v>
      </c>
      <c r="B2864" s="74">
        <v>4</v>
      </c>
      <c r="C2864" s="68" t="s">
        <v>363</v>
      </c>
      <c r="D2864" s="68" t="s">
        <v>364</v>
      </c>
      <c r="E2864" s="75">
        <f>60*F2864*'THAM_SO_MOI'!$C$52/(2*PI()*'THAM_SO_MOI'!$C$26)</f>
        <v>2093.893782709879</v>
      </c>
      <c r="F2864" s="75">
        <f>'HANH_TRINH'!$F$2468+('THAM_SO_MOI'!$F$52-'HANH_TRINH'!$F$2468)*395/'THAM_SO_MOI'!$C$42</f>
        <v>13.309877695651679</v>
      </c>
      <c r="G2864" s="75">
        <f>3.6*F2864</f>
        <v>47.915559704346045</v>
      </c>
      <c r="H2864" s="75">
        <f>'THAM_SO_MOI'!$D$52</f>
        <v>1.1774754878398197</v>
      </c>
      <c r="I2864" s="75">
        <f>IF(F2864&gt;'THAM_SO_MOI'!$C$14,'THAM_SO_MOI'!$C$13*(1+F2864^2/1500),'THAM_SO_MOI'!$C$13)</f>
        <v>0.015</v>
      </c>
      <c r="J2864" s="75">
        <f>'THAM_SO_MOI'!$C$40*('THAM_SO_MOI'!$C$23*(E2864/'THAM_SO_MOI'!$C$22)+'THAM_SO_MOI'!$C$24*(E2864/'THAM_SO_MOI'!$C$22)^2-'THAM_SO_MOI'!$C$25*(E2864/'THAM_SO_MOI'!$C$22)^3)</f>
        <v>94.24125197145622</v>
      </c>
      <c r="K2864" s="75">
        <f>'THAM_SO_MOI'!$C$31*J2864/E2864</f>
        <v>429.8725542426528</v>
      </c>
      <c r="L2864" s="75">
        <f>K2864*'THAM_SO_MOI'!$C$52*'THAM_SO_MOI'!$C$17/'THAM_SO_MOI'!$C$26</f>
        <v>6019.602920397302</v>
      </c>
      <c r="M2864" s="75">
        <f>'THAM_SO_MOI'!$C$15*'THAM_SO_MOI'!$C$16*F2864^2</f>
        <v>518.1720694991277</v>
      </c>
      <c r="N2864" s="75">
        <f>'THAM_SO_MOI'!$C$12*I2864</f>
        <v>1130.112</v>
      </c>
      <c r="O2864" s="75">
        <f>M2864+N2864</f>
        <v>1648.2840694991278</v>
      </c>
      <c r="P2864" s="75">
        <f>(MIN(L2864,'THAM_SO_MOI'!$C$41)-O2864)/('THAM_SO_MOI'!$C$11*H2864)</f>
        <v>0.48339192443678536</v>
      </c>
      <c r="Q2864" s="75">
        <f>IF(P2864&gt;0,1/P2864,NA())</f>
        <v>2.0687147414908313</v>
      </c>
      <c r="R2864" s="75">
        <f>F2864-F2863</f>
        <v>0.007943393307218827</v>
      </c>
      <c r="S2864" s="75">
        <f>0.5*(Q2863+Q2864)*R2864</f>
        <v>0.01643168697151797</v>
      </c>
      <c r="T2864" s="75">
        <f>0.5*(F2863*Q2863+F2864*Q2864)*R2864</f>
        <v>0.2186384859331602</v>
      </c>
      <c r="U2864" s="76">
        <f>U2863+S2864</f>
        <v>20.402067123079007</v>
      </c>
      <c r="V2864" s="76">
        <f>V2863+T2864</f>
        <v>161.48651276406946</v>
      </c>
    </row>
    <row r="2865" spans="1:22" ht="19" customHeight="1">
      <c r="A2865" s="68" t="s">
        <v>376</v>
      </c>
      <c r="B2865" s="74">
        <v>4</v>
      </c>
      <c r="C2865" s="68" t="s">
        <v>363</v>
      </c>
      <c r="D2865" s="68" t="s">
        <v>364</v>
      </c>
      <c r="E2865" s="75">
        <f>60*F2865*'THAM_SO_MOI'!$C$52/(2*PI()*'THAM_SO_MOI'!$C$26)</f>
        <v>2095.143427690842</v>
      </c>
      <c r="F2865" s="75">
        <f>'HANH_TRINH'!$F$2468+('THAM_SO_MOI'!$F$52-'HANH_TRINH'!$F$2468)*396/'THAM_SO_MOI'!$C$42</f>
        <v>13.3178210889589</v>
      </c>
      <c r="G2865" s="75">
        <f>3.6*F2865</f>
        <v>47.94415592025204</v>
      </c>
      <c r="H2865" s="75">
        <f>'THAM_SO_MOI'!$D$52</f>
        <v>1.1774754878398197</v>
      </c>
      <c r="I2865" s="75">
        <f>IF(F2865&gt;'THAM_SO_MOI'!$C$14,'THAM_SO_MOI'!$C$13*(1+F2865^2/1500),'THAM_SO_MOI'!$C$13)</f>
        <v>0.015</v>
      </c>
      <c r="J2865" s="75">
        <f>'THAM_SO_MOI'!$C$40*('THAM_SO_MOI'!$C$23*(E2865/'THAM_SO_MOI'!$C$22)+'THAM_SO_MOI'!$C$24*(E2865/'THAM_SO_MOI'!$C$22)^2-'THAM_SO_MOI'!$C$25*(E2865/'THAM_SO_MOI'!$C$22)^3)</f>
        <v>94.2994142777057</v>
      </c>
      <c r="K2865" s="75">
        <f>'THAM_SO_MOI'!$C$31*J2865/E2865</f>
        <v>429.8813010562011</v>
      </c>
      <c r="L2865" s="75">
        <f>K2865*'THAM_SO_MOI'!$C$52*'THAM_SO_MOI'!$C$17/'THAM_SO_MOI'!$C$26</f>
        <v>6019.725404012177</v>
      </c>
      <c r="M2865" s="75">
        <f>'THAM_SO_MOI'!$C$15*'THAM_SO_MOI'!$C$16*F2865^2</f>
        <v>518.7907487807414</v>
      </c>
      <c r="N2865" s="75">
        <f>'THAM_SO_MOI'!$C$12*I2865</f>
        <v>1130.112</v>
      </c>
      <c r="O2865" s="75">
        <f>M2865+N2865</f>
        <v>1648.9027487807416</v>
      </c>
      <c r="P2865" s="75">
        <f>(MIN(L2865,'THAM_SO_MOI'!$C$41)-O2865)/('THAM_SO_MOI'!$C$11*H2865)</f>
        <v>0.4833370538161733</v>
      </c>
      <c r="Q2865" s="75">
        <f>IF(P2865&gt;0,1/P2865,NA())</f>
        <v>2.0689495913969966</v>
      </c>
      <c r="R2865" s="75">
        <f>F2865-F2864</f>
        <v>0.007943393307220603</v>
      </c>
      <c r="S2865" s="75">
        <f>0.5*(Q2864+Q2865)*R2865</f>
        <v>0.01643354758469329</v>
      </c>
      <c r="T2865" s="75">
        <f>0.5*(F2864*Q2864+F2865*Q2865)*R2865</f>
        <v>0.21879378122849907</v>
      </c>
      <c r="U2865" s="76">
        <f>U2864+S2865</f>
        <v>20.4185006706637</v>
      </c>
      <c r="V2865" s="76">
        <f>V2864+T2865</f>
        <v>161.70530654529796</v>
      </c>
    </row>
    <row r="2866" spans="1:22" ht="19" customHeight="1">
      <c r="A2866" s="68" t="s">
        <v>376</v>
      </c>
      <c r="B2866" s="74">
        <v>4</v>
      </c>
      <c r="C2866" s="68" t="s">
        <v>363</v>
      </c>
      <c r="D2866" s="68" t="s">
        <v>364</v>
      </c>
      <c r="E2866" s="75">
        <f>60*F2866*'THAM_SO_MOI'!$C$52/(2*PI()*'THAM_SO_MOI'!$C$26)</f>
        <v>2096.3930726718054</v>
      </c>
      <c r="F2866" s="75">
        <f>'HANH_TRINH'!$F$2468+('THAM_SO_MOI'!$F$52-'HANH_TRINH'!$F$2468)*397/'THAM_SO_MOI'!$C$42</f>
        <v>13.325764482266118</v>
      </c>
      <c r="G2866" s="75">
        <f>3.6*F2866</f>
        <v>47.97275213615803</v>
      </c>
      <c r="H2866" s="75">
        <f>'THAM_SO_MOI'!$D$52</f>
        <v>1.1774754878398197</v>
      </c>
      <c r="I2866" s="75">
        <f>IF(F2866&gt;'THAM_SO_MOI'!$C$14,'THAM_SO_MOI'!$C$13*(1+F2866^2/1500),'THAM_SO_MOI'!$C$13)</f>
        <v>0.015</v>
      </c>
      <c r="J2866" s="75">
        <f>'THAM_SO_MOI'!$C$40*('THAM_SO_MOI'!$C$23*(E2866/'THAM_SO_MOI'!$C$22)+'THAM_SO_MOI'!$C$24*(E2866/'THAM_SO_MOI'!$C$22)^2-'THAM_SO_MOI'!$C$25*(E2866/'THAM_SO_MOI'!$C$22)^3)</f>
        <v>94.35754561975142</v>
      </c>
      <c r="K2866" s="75">
        <f>'THAM_SO_MOI'!$C$31*J2866/E2866</f>
        <v>429.8898963700217</v>
      </c>
      <c r="L2866" s="75">
        <f>K2866*'THAM_SO_MOI'!$C$52*'THAM_SO_MOI'!$C$17/'THAM_SO_MOI'!$C$26</f>
        <v>6019.845766141989</v>
      </c>
      <c r="M2866" s="75">
        <f>'THAM_SO_MOI'!$C$15*'THAM_SO_MOI'!$C$16*F2866^2</f>
        <v>519.4097971827136</v>
      </c>
      <c r="N2866" s="75">
        <f>'THAM_SO_MOI'!$C$12*I2866</f>
        <v>1130.112</v>
      </c>
      <c r="O2866" s="75">
        <f>M2866+N2866</f>
        <v>1649.5217971827137</v>
      </c>
      <c r="P2866" s="75">
        <f>(MIN(L2866,'THAM_SO_MOI'!$C$41)-O2866)/('THAM_SO_MOI'!$C$11*H2866)</f>
        <v>0.48328190777786945</v>
      </c>
      <c r="Q2866" s="75">
        <f>IF(P2866&gt;0,1/P2866,NA())</f>
        <v>2.0691856738399346</v>
      </c>
      <c r="R2866" s="75">
        <f>F2866-F2865</f>
        <v>0.007943393307218827</v>
      </c>
      <c r="S2866" s="75">
        <f>0.5*(Q2865+Q2866)*R2866</f>
        <v>0.01643541798512462</v>
      </c>
      <c r="T2866" s="75">
        <f>0.5*(F2865*Q2865+F2866*Q2866)*R2866</f>
        <v>0.21894923646681208</v>
      </c>
      <c r="U2866" s="76">
        <f>U2865+S2866</f>
        <v>20.434936088648826</v>
      </c>
      <c r="V2866" s="76">
        <f>V2865+T2866</f>
        <v>161.92425578176477</v>
      </c>
    </row>
    <row r="2867" spans="1:22" ht="19" customHeight="1">
      <c r="A2867" s="68" t="s">
        <v>376</v>
      </c>
      <c r="B2867" s="74">
        <v>4</v>
      </c>
      <c r="C2867" s="68" t="s">
        <v>363</v>
      </c>
      <c r="D2867" s="68" t="s">
        <v>364</v>
      </c>
      <c r="E2867" s="75">
        <f>60*F2867*'THAM_SO_MOI'!$C$52/(2*PI()*'THAM_SO_MOI'!$C$26)</f>
        <v>2097.6427176527686</v>
      </c>
      <c r="F2867" s="75">
        <f>'HANH_TRINH'!$F$2468+('THAM_SO_MOI'!$F$52-'HANH_TRINH'!$F$2468)*398/'THAM_SO_MOI'!$C$42</f>
        <v>13.333707875573339</v>
      </c>
      <c r="G2867" s="75">
        <f>3.6*F2867</f>
        <v>48.00134835206402</v>
      </c>
      <c r="H2867" s="75">
        <f>'THAM_SO_MOI'!$D$52</f>
        <v>1.1774754878398197</v>
      </c>
      <c r="I2867" s="75">
        <f>IF(F2867&gt;'THAM_SO_MOI'!$C$14,'THAM_SO_MOI'!$C$13*(1+F2867^2/1500),'THAM_SO_MOI'!$C$13)</f>
        <v>0.015</v>
      </c>
      <c r="J2867" s="75">
        <f>'THAM_SO_MOI'!$C$40*('THAM_SO_MOI'!$C$23*(E2867/'THAM_SO_MOI'!$C$22)+'THAM_SO_MOI'!$C$24*(E2867/'THAM_SO_MOI'!$C$22)^2-'THAM_SO_MOI'!$C$25*(E2867/'THAM_SO_MOI'!$C$22)^3)</f>
        <v>94.41564593812778</v>
      </c>
      <c r="K2867" s="75">
        <f>'THAM_SO_MOI'!$C$31*J2867/E2867</f>
        <v>429.89834018411506</v>
      </c>
      <c r="L2867" s="75">
        <f>K2867*'THAM_SO_MOI'!$C$52*'THAM_SO_MOI'!$C$17/'THAM_SO_MOI'!$C$26</f>
        <v>6019.964006786743</v>
      </c>
      <c r="M2867" s="75">
        <f>'THAM_SO_MOI'!$C$15*'THAM_SO_MOI'!$C$16*F2867^2</f>
        <v>520.029214705045</v>
      </c>
      <c r="N2867" s="75">
        <f>'THAM_SO_MOI'!$C$12*I2867</f>
        <v>1130.112</v>
      </c>
      <c r="O2867" s="75">
        <f>M2867+N2867</f>
        <v>1650.141214705045</v>
      </c>
      <c r="P2867" s="75">
        <f>(MIN(L2867,'THAM_SO_MOI'!$C$41)-O2867)/('THAM_SO_MOI'!$C$11*H2867)</f>
        <v>0.4832264863218745</v>
      </c>
      <c r="Q2867" s="75">
        <f>IF(P2867&gt;0,1/P2867,NA())</f>
        <v>2.069422989645285</v>
      </c>
      <c r="R2867" s="75">
        <f>F2867-F2866</f>
        <v>0.007943393307220603</v>
      </c>
      <c r="S2867" s="75">
        <f>0.5*(Q2866+Q2867)*R2867</f>
        <v>0.01643729817936685</v>
      </c>
      <c r="T2867" s="75">
        <f>0.5*(F2866*Q2866+F2867*Q2867)*R2867</f>
        <v>0.21910485196870602</v>
      </c>
      <c r="U2867" s="76">
        <f>U2866+S2867</f>
        <v>20.45137338682819</v>
      </c>
      <c r="V2867" s="76">
        <f>V2866+T2867</f>
        <v>162.14336063373347</v>
      </c>
    </row>
    <row r="2868" spans="1:22" ht="19" customHeight="1">
      <c r="A2868" s="68" t="s">
        <v>376</v>
      </c>
      <c r="B2868" s="74">
        <v>4</v>
      </c>
      <c r="C2868" s="68" t="s">
        <v>363</v>
      </c>
      <c r="D2868" s="68" t="s">
        <v>364</v>
      </c>
      <c r="E2868" s="75">
        <f>60*F2868*'THAM_SO_MOI'!$C$52/(2*PI()*'THAM_SO_MOI'!$C$26)</f>
        <v>2098.892362633732</v>
      </c>
      <c r="F2868" s="75">
        <f>'HANH_TRINH'!$F$2468+('THAM_SO_MOI'!$F$52-'HANH_TRINH'!$F$2468)*399/'THAM_SO_MOI'!$C$42</f>
        <v>13.341651268880558</v>
      </c>
      <c r="G2868" s="75">
        <f>3.6*F2868</f>
        <v>48.029944567970006</v>
      </c>
      <c r="H2868" s="75">
        <f>'THAM_SO_MOI'!$D$52</f>
        <v>1.1774754878398197</v>
      </c>
      <c r="I2868" s="75">
        <f>IF(F2868&gt;'THAM_SO_MOI'!$C$14,'THAM_SO_MOI'!$C$13*(1+F2868^2/1500),'THAM_SO_MOI'!$C$13)</f>
        <v>0.015</v>
      </c>
      <c r="J2868" s="75">
        <f>'THAM_SO_MOI'!$C$40*('THAM_SO_MOI'!$C$23*(E2868/'THAM_SO_MOI'!$C$22)+'THAM_SO_MOI'!$C$24*(E2868/'THAM_SO_MOI'!$C$22)^2-'THAM_SO_MOI'!$C$25*(E2868/'THAM_SO_MOI'!$C$22)^3)</f>
        <v>94.47371517336904</v>
      </c>
      <c r="K2868" s="75">
        <f>'THAM_SO_MOI'!$C$31*J2868/E2868</f>
        <v>429.9066324984809</v>
      </c>
      <c r="L2868" s="75">
        <f>K2868*'THAM_SO_MOI'!$C$52*'THAM_SO_MOI'!$C$17/'THAM_SO_MOI'!$C$26</f>
        <v>6020.080125946436</v>
      </c>
      <c r="M2868" s="75">
        <f>'THAM_SO_MOI'!$C$15*'THAM_SO_MOI'!$C$16*F2868^2</f>
        <v>520.649001347735</v>
      </c>
      <c r="N2868" s="75">
        <f>'THAM_SO_MOI'!$C$12*I2868</f>
        <v>1130.112</v>
      </c>
      <c r="O2868" s="75">
        <f>M2868+N2868</f>
        <v>1650.7610013477351</v>
      </c>
      <c r="P2868" s="75">
        <f>(MIN(L2868,'THAM_SO_MOI'!$C$41)-O2868)/('THAM_SO_MOI'!$C$11*H2868)</f>
        <v>0.4831707894481879</v>
      </c>
      <c r="Q2868" s="75">
        <f>IF(P2868&gt;0,1/P2868,NA())</f>
        <v>2.069661539643289</v>
      </c>
      <c r="R2868" s="75">
        <f>F2868-F2867</f>
        <v>0.007943393307218827</v>
      </c>
      <c r="S2868" s="75">
        <f>0.5*(Q2867+Q2868)*R2868</f>
        <v>0.016439188173981923</v>
      </c>
      <c r="T2868" s="75">
        <f>0.5*(F2867*Q2867+F2868*Q2868)*R2868</f>
        <v>0.21926062805509047</v>
      </c>
      <c r="U2868" s="76">
        <f>U2867+S2868</f>
        <v>20.467812575002174</v>
      </c>
      <c r="V2868" s="76">
        <f>V2867+T2868</f>
        <v>162.36262126178855</v>
      </c>
    </row>
    <row r="2869" spans="1:22" ht="19" customHeight="1">
      <c r="A2869" s="68" t="s">
        <v>376</v>
      </c>
      <c r="B2869" s="74">
        <v>4</v>
      </c>
      <c r="C2869" s="68" t="s">
        <v>363</v>
      </c>
      <c r="D2869" s="68" t="s">
        <v>364</v>
      </c>
      <c r="E2869" s="75">
        <f>60*F2869*'THAM_SO_MOI'!$C$52/(2*PI()*'THAM_SO_MOI'!$C$26)</f>
        <v>2100.142007614695</v>
      </c>
      <c r="F2869" s="75">
        <f>'HANH_TRINH'!$F$2468+('THAM_SO_MOI'!$F$52-'HANH_TRINH'!$F$2468)*400/'THAM_SO_MOI'!$C$42</f>
        <v>13.349594662187776</v>
      </c>
      <c r="G2869" s="75">
        <f>3.6*F2869</f>
        <v>48.058540783876</v>
      </c>
      <c r="H2869" s="75">
        <f>'THAM_SO_MOI'!$D$52</f>
        <v>1.1774754878398197</v>
      </c>
      <c r="I2869" s="75">
        <f>IF(F2869&gt;'THAM_SO_MOI'!$C$14,'THAM_SO_MOI'!$C$13*(1+F2869^2/1500),'THAM_SO_MOI'!$C$13)</f>
        <v>0.015</v>
      </c>
      <c r="J2869" s="75">
        <f>'THAM_SO_MOI'!$C$40*('THAM_SO_MOI'!$C$23*(E2869/'THAM_SO_MOI'!$C$22)+'THAM_SO_MOI'!$C$24*(E2869/'THAM_SO_MOI'!$C$22)^2-'THAM_SO_MOI'!$C$25*(E2869/'THAM_SO_MOI'!$C$22)^3)</f>
        <v>94.53175326600952</v>
      </c>
      <c r="K2869" s="75">
        <f>'THAM_SO_MOI'!$C$31*J2869/E2869</f>
        <v>429.91477331311927</v>
      </c>
      <c r="L2869" s="75">
        <f>K2869*'THAM_SO_MOI'!$C$52*'THAM_SO_MOI'!$C$17/'THAM_SO_MOI'!$C$26</f>
        <v>6020.194123621067</v>
      </c>
      <c r="M2869" s="75">
        <f>'THAM_SO_MOI'!$C$15*'THAM_SO_MOI'!$C$16*F2869^2</f>
        <v>521.2691571107837</v>
      </c>
      <c r="N2869" s="75">
        <f>'THAM_SO_MOI'!$C$12*I2869</f>
        <v>1130.112</v>
      </c>
      <c r="O2869" s="75">
        <f>M2869+N2869</f>
        <v>1651.3811571107838</v>
      </c>
      <c r="P2869" s="75">
        <f>(MIN(L2869,'THAM_SO_MOI'!$C$41)-O2869)/('THAM_SO_MOI'!$C$11*H2869)</f>
        <v>0.48311481715680976</v>
      </c>
      <c r="Q2869" s="75">
        <f>IF(P2869&gt;0,1/P2869,NA())</f>
        <v>2.0699013246687885</v>
      </c>
      <c r="R2869" s="75">
        <f>F2869-F2868</f>
        <v>0.007943393307218827</v>
      </c>
      <c r="S2869" s="75">
        <f>0.5*(Q2868+Q2869)*R2869</f>
        <v>0.016441087975594078</v>
      </c>
      <c r="T2869" s="75">
        <f>0.5*(F2868*Q2868+F2869*Q2869)*R2869</f>
        <v>0.2194165650479147</v>
      </c>
      <c r="U2869" s="76">
        <f>U2868+S2869</f>
        <v>20.484253662977768</v>
      </c>
      <c r="V2869" s="76">
        <f>V2868+T2869</f>
        <v>162.58203782683645</v>
      </c>
    </row>
    <row r="2870" spans="1:22" ht="19" customHeight="1">
      <c r="A2870" s="68" t="s">
        <v>376</v>
      </c>
      <c r="B2870" s="74">
        <v>4</v>
      </c>
      <c r="C2870" s="68" t="s">
        <v>363</v>
      </c>
      <c r="D2870" s="68" t="s">
        <v>364</v>
      </c>
      <c r="E2870" s="75">
        <f>60*F2870*'THAM_SO_MOI'!$C$52/(2*PI()*'THAM_SO_MOI'!$C$26)</f>
        <v>2101.3916525956583</v>
      </c>
      <c r="F2870" s="75">
        <f>'HANH_TRINH'!$F$2468+('THAM_SO_MOI'!$F$52-'HANH_TRINH'!$F$2468)*401/'THAM_SO_MOI'!$C$42</f>
        <v>13.357538055494995</v>
      </c>
      <c r="G2870" s="75">
        <f>3.6*F2870</f>
        <v>48.08713699978198</v>
      </c>
      <c r="H2870" s="75">
        <f>'THAM_SO_MOI'!$D$52</f>
        <v>1.1774754878398197</v>
      </c>
      <c r="I2870" s="75">
        <f>IF(F2870&gt;'THAM_SO_MOI'!$C$14,'THAM_SO_MOI'!$C$13*(1+F2870^2/1500),'THAM_SO_MOI'!$C$13)</f>
        <v>0.015</v>
      </c>
      <c r="J2870" s="75">
        <f>'THAM_SO_MOI'!$C$40*('THAM_SO_MOI'!$C$23*(E2870/'THAM_SO_MOI'!$C$22)+'THAM_SO_MOI'!$C$24*(E2870/'THAM_SO_MOI'!$C$22)^2-'THAM_SO_MOI'!$C$25*(E2870/'THAM_SO_MOI'!$C$22)^3)</f>
        <v>94.5897601565835</v>
      </c>
      <c r="K2870" s="75">
        <f>'THAM_SO_MOI'!$C$31*J2870/E2870</f>
        <v>429.92276262803</v>
      </c>
      <c r="L2870" s="75">
        <f>K2870*'THAM_SO_MOI'!$C$52*'THAM_SO_MOI'!$C$17/'THAM_SO_MOI'!$C$26</f>
        <v>6020.3059998106355</v>
      </c>
      <c r="M2870" s="75">
        <f>'THAM_SO_MOI'!$C$15*'THAM_SO_MOI'!$C$16*F2870^2</f>
        <v>521.8896819941913</v>
      </c>
      <c r="N2870" s="75">
        <f>'THAM_SO_MOI'!$C$12*I2870</f>
        <v>1130.112</v>
      </c>
      <c r="O2870" s="75">
        <f>M2870+N2870</f>
        <v>1652.0016819941914</v>
      </c>
      <c r="P2870" s="75">
        <f>(MIN(L2870,'THAM_SO_MOI'!$C$41)-O2870)/('THAM_SO_MOI'!$C$11*H2870)</f>
        <v>0.48305856944773984</v>
      </c>
      <c r="Q2870" s="75">
        <f>IF(P2870&gt;0,1/P2870,NA())</f>
        <v>2.070142345561237</v>
      </c>
      <c r="R2870" s="75">
        <f>F2870-F2869</f>
        <v>0.007943393307218827</v>
      </c>
      <c r="S2870" s="75">
        <f>0.5*(Q2869+Q2870)*R2870</f>
        <v>0.016442997590849426</v>
      </c>
      <c r="T2870" s="75">
        <f>0.5*(F2869*Q2869+F2870*Q2870)*R2870</f>
        <v>0.21957266326963062</v>
      </c>
      <c r="U2870" s="76">
        <f>U2869+S2870</f>
        <v>20.500696660568618</v>
      </c>
      <c r="V2870" s="76">
        <f>V2869+T2870</f>
        <v>162.80161049010607</v>
      </c>
    </row>
    <row r="2871" spans="1:22" ht="19" customHeight="1">
      <c r="A2871" s="68" t="s">
        <v>376</v>
      </c>
      <c r="B2871" s="74">
        <v>4</v>
      </c>
      <c r="C2871" s="68" t="s">
        <v>363</v>
      </c>
      <c r="D2871" s="68" t="s">
        <v>364</v>
      </c>
      <c r="E2871" s="75">
        <f>60*F2871*'THAM_SO_MOI'!$C$52/(2*PI()*'THAM_SO_MOI'!$C$26)</f>
        <v>2102.641297576622</v>
      </c>
      <c r="F2871" s="75">
        <f>'HANH_TRINH'!$F$2468+('THAM_SO_MOI'!$F$52-'HANH_TRINH'!$F$2468)*402/'THAM_SO_MOI'!$C$42</f>
        <v>13.365481448802216</v>
      </c>
      <c r="G2871" s="75">
        <f>3.6*F2871</f>
        <v>48.115733215687975</v>
      </c>
      <c r="H2871" s="75">
        <f>'THAM_SO_MOI'!$D$52</f>
        <v>1.1774754878398197</v>
      </c>
      <c r="I2871" s="75">
        <f>IF(F2871&gt;'THAM_SO_MOI'!$C$14,'THAM_SO_MOI'!$C$13*(1+F2871^2/1500),'THAM_SO_MOI'!$C$13)</f>
        <v>0.015</v>
      </c>
      <c r="J2871" s="75">
        <f>'THAM_SO_MOI'!$C$40*('THAM_SO_MOI'!$C$23*(E2871/'THAM_SO_MOI'!$C$22)+'THAM_SO_MOI'!$C$24*(E2871/'THAM_SO_MOI'!$C$22)^2-'THAM_SO_MOI'!$C$25*(E2871/'THAM_SO_MOI'!$C$22)^3)</f>
        <v>94.64773578562537</v>
      </c>
      <c r="K2871" s="75">
        <f>'THAM_SO_MOI'!$C$31*J2871/E2871</f>
        <v>429.93060044321345</v>
      </c>
      <c r="L2871" s="75">
        <f>K2871*'THAM_SO_MOI'!$C$52*'THAM_SO_MOI'!$C$17/'THAM_SO_MOI'!$C$26</f>
        <v>6020.415754515145</v>
      </c>
      <c r="M2871" s="75">
        <f>'THAM_SO_MOI'!$C$15*'THAM_SO_MOI'!$C$16*F2871^2</f>
        <v>522.5105759979579</v>
      </c>
      <c r="N2871" s="75">
        <f>'THAM_SO_MOI'!$C$12*I2871</f>
        <v>1130.112</v>
      </c>
      <c r="O2871" s="75">
        <f>M2871+N2871</f>
        <v>1652.622575997958</v>
      </c>
      <c r="P2871" s="75">
        <f>(MIN(L2871,'THAM_SO_MOI'!$C$41)-O2871)/('THAM_SO_MOI'!$C$11*H2871)</f>
        <v>0.48300204632097854</v>
      </c>
      <c r="Q2871" s="75">
        <f>IF(P2871&gt;0,1/P2871,NA())</f>
        <v>2.070384603164706</v>
      </c>
      <c r="R2871" s="75">
        <f>F2871-F2870</f>
        <v>0.007943393307220603</v>
      </c>
      <c r="S2871" s="75">
        <f>0.5*(Q2870+Q2871)*R2871</f>
        <v>0.0164449170264381</v>
      </c>
      <c r="T2871" s="75">
        <f>0.5*(F2870*Q2870+F2871*Q2871)*R2871</f>
        <v>0.21972892304348945</v>
      </c>
      <c r="U2871" s="76">
        <f>U2870+S2871</f>
        <v>20.517141577595055</v>
      </c>
      <c r="V2871" s="76">
        <f>V2870+T2871</f>
        <v>163.02133941314955</v>
      </c>
    </row>
    <row r="2872" spans="1:22" ht="19" customHeight="1">
      <c r="A2872" s="68" t="s">
        <v>376</v>
      </c>
      <c r="B2872" s="74">
        <v>4</v>
      </c>
      <c r="C2872" s="68" t="s">
        <v>363</v>
      </c>
      <c r="D2872" s="68" t="s">
        <v>364</v>
      </c>
      <c r="E2872" s="75">
        <f>60*F2872*'THAM_SO_MOI'!$C$52/(2*PI()*'THAM_SO_MOI'!$C$26)</f>
        <v>2103.890942557585</v>
      </c>
      <c r="F2872" s="75">
        <f>'HANH_TRINH'!$F$2468+('THAM_SO_MOI'!$F$52-'HANH_TRINH'!$F$2468)*403/'THAM_SO_MOI'!$C$42</f>
        <v>13.373424842109435</v>
      </c>
      <c r="G2872" s="75">
        <f>3.6*F2872</f>
        <v>48.14432943159397</v>
      </c>
      <c r="H2872" s="75">
        <f>'THAM_SO_MOI'!$D$52</f>
        <v>1.1774754878398197</v>
      </c>
      <c r="I2872" s="75">
        <f>IF(F2872&gt;'THAM_SO_MOI'!$C$14,'THAM_SO_MOI'!$C$13*(1+F2872^2/1500),'THAM_SO_MOI'!$C$13)</f>
        <v>0.015</v>
      </c>
      <c r="J2872" s="75">
        <f>'THAM_SO_MOI'!$C$40*('THAM_SO_MOI'!$C$23*(E2872/'THAM_SO_MOI'!$C$22)+'THAM_SO_MOI'!$C$24*(E2872/'THAM_SO_MOI'!$C$22)^2-'THAM_SO_MOI'!$C$25*(E2872/'THAM_SO_MOI'!$C$22)^3)</f>
        <v>94.70568009366934</v>
      </c>
      <c r="K2872" s="75">
        <f>'THAM_SO_MOI'!$C$31*J2872/E2872</f>
        <v>429.9382867586693</v>
      </c>
      <c r="L2872" s="75">
        <f>K2872*'THAM_SO_MOI'!$C$52*'THAM_SO_MOI'!$C$17/'THAM_SO_MOI'!$C$26</f>
        <v>6020.523387734592</v>
      </c>
      <c r="M2872" s="75">
        <f>'THAM_SO_MOI'!$C$15*'THAM_SO_MOI'!$C$16*F2872^2</f>
        <v>523.1318391220831</v>
      </c>
      <c r="N2872" s="75">
        <f>'THAM_SO_MOI'!$C$12*I2872</f>
        <v>1130.112</v>
      </c>
      <c r="O2872" s="75">
        <f>M2872+N2872</f>
        <v>1653.243839122083</v>
      </c>
      <c r="P2872" s="75">
        <f>(MIN(L2872,'THAM_SO_MOI'!$C$41)-O2872)/('THAM_SO_MOI'!$C$11*H2872)</f>
        <v>0.48294524777652564</v>
      </c>
      <c r="Q2872" s="75">
        <f>IF(P2872&gt;0,1/P2872,NA())</f>
        <v>2.070628098327892</v>
      </c>
      <c r="R2872" s="75">
        <f>F2872-F2871</f>
        <v>0.007943393307218827</v>
      </c>
      <c r="S2872" s="75">
        <f>0.5*(Q2871+Q2872)*R2872</f>
        <v>0.01644684628907223</v>
      </c>
      <c r="T2872" s="75">
        <f>0.5*(F2871*Q2871+F2872*Q2872)*R2872</f>
        <v>0.219885344693249</v>
      </c>
      <c r="U2872" s="76">
        <f>U2871+S2872</f>
        <v>20.533588423884126</v>
      </c>
      <c r="V2872" s="76">
        <f>V2871+T2872</f>
        <v>163.2412247578428</v>
      </c>
    </row>
    <row r="2873" spans="1:22" ht="19" customHeight="1">
      <c r="A2873" s="68" t="s">
        <v>376</v>
      </c>
      <c r="B2873" s="74">
        <v>4</v>
      </c>
      <c r="C2873" s="68" t="s">
        <v>363</v>
      </c>
      <c r="D2873" s="68" t="s">
        <v>364</v>
      </c>
      <c r="E2873" s="75">
        <f>60*F2873*'THAM_SO_MOI'!$C$52/(2*PI()*'THAM_SO_MOI'!$C$26)</f>
        <v>2105.140587538548</v>
      </c>
      <c r="F2873" s="75">
        <f>'HANH_TRINH'!$F$2468+('THAM_SO_MOI'!$F$52-'HANH_TRINH'!$F$2468)*404/'THAM_SO_MOI'!$C$42</f>
        <v>13.381368235416653</v>
      </c>
      <c r="G2873" s="75">
        <f>3.6*F2873</f>
        <v>48.17292564749995</v>
      </c>
      <c r="H2873" s="75">
        <f>'THAM_SO_MOI'!$D$52</f>
        <v>1.1774754878398197</v>
      </c>
      <c r="I2873" s="75">
        <f>IF(F2873&gt;'THAM_SO_MOI'!$C$14,'THAM_SO_MOI'!$C$13*(1+F2873^2/1500),'THAM_SO_MOI'!$C$13)</f>
        <v>0.015</v>
      </c>
      <c r="J2873" s="75">
        <f>'THAM_SO_MOI'!$C$40*('THAM_SO_MOI'!$C$23*(E2873/'THAM_SO_MOI'!$C$22)+'THAM_SO_MOI'!$C$24*(E2873/'THAM_SO_MOI'!$C$22)^2-'THAM_SO_MOI'!$C$25*(E2873/'THAM_SO_MOI'!$C$22)^3)</f>
        <v>94.76359302124986</v>
      </c>
      <c r="K2873" s="75">
        <f>'THAM_SO_MOI'!$C$31*J2873/E2873</f>
        <v>429.9458215743979</v>
      </c>
      <c r="L2873" s="75">
        <f>K2873*'THAM_SO_MOI'!$C$52*'THAM_SO_MOI'!$C$17/'THAM_SO_MOI'!$C$26</f>
        <v>6020.62889946898</v>
      </c>
      <c r="M2873" s="75">
        <f>'THAM_SO_MOI'!$C$15*'THAM_SO_MOI'!$C$16*F2873^2</f>
        <v>523.753471366567</v>
      </c>
      <c r="N2873" s="75">
        <f>'THAM_SO_MOI'!$C$12*I2873</f>
        <v>1130.112</v>
      </c>
      <c r="O2873" s="75">
        <f>M2873+N2873</f>
        <v>1653.8654713665671</v>
      </c>
      <c r="P2873" s="75">
        <f>(MIN(L2873,'THAM_SO_MOI'!$C$41)-O2873)/('THAM_SO_MOI'!$C$11*H2873)</f>
        <v>0.4828881738143814</v>
      </c>
      <c r="Q2873" s="75">
        <f>IF(P2873&gt;0,1/P2873,NA())</f>
        <v>2.070872831904126</v>
      </c>
      <c r="R2873" s="75">
        <f>F2873-F2872</f>
        <v>0.007943393307218827</v>
      </c>
      <c r="S2873" s="75">
        <f>0.5*(Q2872+Q2873)*R2873</f>
        <v>0.01644878538552278</v>
      </c>
      <c r="T2873" s="75">
        <f>0.5*(F2872*Q2872+F2873*Q2873)*R2873</f>
        <v>0.2200419285436676</v>
      </c>
      <c r="U2873" s="76">
        <f>U2872+S2873</f>
        <v>20.55003720926965</v>
      </c>
      <c r="V2873" s="76">
        <f>V2872+T2873</f>
        <v>163.46126668638647</v>
      </c>
    </row>
    <row r="2874" spans="1:22" ht="19" customHeight="1">
      <c r="A2874" s="68" t="s">
        <v>376</v>
      </c>
      <c r="B2874" s="74">
        <v>4</v>
      </c>
      <c r="C2874" s="68" t="s">
        <v>363</v>
      </c>
      <c r="D2874" s="68" t="s">
        <v>364</v>
      </c>
      <c r="E2874" s="75">
        <f>60*F2874*'THAM_SO_MOI'!$C$52/(2*PI()*'THAM_SO_MOI'!$C$26)</f>
        <v>2106.3902325195118</v>
      </c>
      <c r="F2874" s="75">
        <f>'HANH_TRINH'!$F$2468+('THAM_SO_MOI'!$F$52-'HANH_TRINH'!$F$2468)*405/'THAM_SO_MOI'!$C$42</f>
        <v>13.389311628723874</v>
      </c>
      <c r="G2874" s="75">
        <f>3.6*F2874</f>
        <v>48.20152186340595</v>
      </c>
      <c r="H2874" s="75">
        <f>'THAM_SO_MOI'!$D$52</f>
        <v>1.1774754878398197</v>
      </c>
      <c r="I2874" s="75">
        <f>IF(F2874&gt;'THAM_SO_MOI'!$C$14,'THAM_SO_MOI'!$C$13*(1+F2874^2/1500),'THAM_SO_MOI'!$C$13)</f>
        <v>0.015</v>
      </c>
      <c r="J2874" s="75">
        <f>'THAM_SO_MOI'!$C$40*('THAM_SO_MOI'!$C$23*(E2874/'THAM_SO_MOI'!$C$22)+'THAM_SO_MOI'!$C$24*(E2874/'THAM_SO_MOI'!$C$22)^2-'THAM_SO_MOI'!$C$25*(E2874/'THAM_SO_MOI'!$C$22)^3)</f>
        <v>94.82147450890112</v>
      </c>
      <c r="K2874" s="75">
        <f>'THAM_SO_MOI'!$C$31*J2874/E2874</f>
        <v>429.9532048903987</v>
      </c>
      <c r="L2874" s="75">
        <f>K2874*'THAM_SO_MOI'!$C$52*'THAM_SO_MOI'!$C$17/'THAM_SO_MOI'!$C$26</f>
        <v>6020.732289718306</v>
      </c>
      <c r="M2874" s="75">
        <f>'THAM_SO_MOI'!$C$15*'THAM_SO_MOI'!$C$16*F2874^2</f>
        <v>524.3754727314101</v>
      </c>
      <c r="N2874" s="75">
        <f>'THAM_SO_MOI'!$C$12*I2874</f>
        <v>1130.112</v>
      </c>
      <c r="O2874" s="75">
        <f>M2874+N2874</f>
        <v>1654.4874727314102</v>
      </c>
      <c r="P2874" s="75">
        <f>(MIN(L2874,'THAM_SO_MOI'!$C$41)-O2874)/('THAM_SO_MOI'!$C$11*H2874)</f>
        <v>0.4828308244345455</v>
      </c>
      <c r="Q2874" s="75">
        <f>IF(P2874&gt;0,1/P2874,NA())</f>
        <v>2.0711188047513813</v>
      </c>
      <c r="R2874" s="75">
        <f>F2874-F2873</f>
        <v>0.007943393307220603</v>
      </c>
      <c r="S2874" s="75">
        <f>0.5*(Q2873+Q2874)*R2874</f>
        <v>0.016450734322586535</v>
      </c>
      <c r="T2874" s="75">
        <f>0.5*(F2873*Q2873+F2874*Q2874)*R2874</f>
        <v>0.22019867492006417</v>
      </c>
      <c r="U2874" s="76">
        <f>U2873+S2874</f>
        <v>20.566487943592236</v>
      </c>
      <c r="V2874" s="76">
        <f>V2873+T2874</f>
        <v>163.68146536130652</v>
      </c>
    </row>
    <row r="2875" spans="1:22" ht="19" customHeight="1">
      <c r="A2875" s="68" t="s">
        <v>376</v>
      </c>
      <c r="B2875" s="74">
        <v>4</v>
      </c>
      <c r="C2875" s="68" t="s">
        <v>363</v>
      </c>
      <c r="D2875" s="68" t="s">
        <v>364</v>
      </c>
      <c r="E2875" s="75">
        <f>60*F2875*'THAM_SO_MOI'!$C$52/(2*PI()*'THAM_SO_MOI'!$C$26)</f>
        <v>2107.639877500475</v>
      </c>
      <c r="F2875" s="75">
        <f>'HANH_TRINH'!$F$2468+('THAM_SO_MOI'!$F$52-'HANH_TRINH'!$F$2468)*406/'THAM_SO_MOI'!$C$42</f>
        <v>13.397255022031093</v>
      </c>
      <c r="G2875" s="75">
        <f>3.6*F2875</f>
        <v>48.230118079311936</v>
      </c>
      <c r="H2875" s="75">
        <f>'THAM_SO_MOI'!$D$52</f>
        <v>1.1774754878398197</v>
      </c>
      <c r="I2875" s="75">
        <f>IF(F2875&gt;'THAM_SO_MOI'!$C$14,'THAM_SO_MOI'!$C$13*(1+F2875^2/1500),'THAM_SO_MOI'!$C$13)</f>
        <v>0.015</v>
      </c>
      <c r="J2875" s="75">
        <f>'THAM_SO_MOI'!$C$40*('THAM_SO_MOI'!$C$23*(E2875/'THAM_SO_MOI'!$C$22)+'THAM_SO_MOI'!$C$24*(E2875/'THAM_SO_MOI'!$C$22)^2-'THAM_SO_MOI'!$C$25*(E2875/'THAM_SO_MOI'!$C$22)^3)</f>
        <v>94.8793244971575</v>
      </c>
      <c r="K2875" s="75">
        <f>'THAM_SO_MOI'!$C$31*J2875/E2875</f>
        <v>429.9604367066723</v>
      </c>
      <c r="L2875" s="75">
        <f>K2875*'THAM_SO_MOI'!$C$52*'THAM_SO_MOI'!$C$17/'THAM_SO_MOI'!$C$26</f>
        <v>6020.833558482572</v>
      </c>
      <c r="M2875" s="75">
        <f>'THAM_SO_MOI'!$C$15*'THAM_SO_MOI'!$C$16*F2875^2</f>
        <v>524.9978432166117</v>
      </c>
      <c r="N2875" s="75">
        <f>'THAM_SO_MOI'!$C$12*I2875</f>
        <v>1130.112</v>
      </c>
      <c r="O2875" s="75">
        <f>M2875+N2875</f>
        <v>1655.1098432166118</v>
      </c>
      <c r="P2875" s="75">
        <f>(MIN(L2875,'THAM_SO_MOI'!$C$41)-O2875)/('THAM_SO_MOI'!$C$11*H2875)</f>
        <v>0.48277319963701815</v>
      </c>
      <c r="Q2875" s="75">
        <f>IF(P2875&gt;0,1/P2875,NA())</f>
        <v>2.0713660177322772</v>
      </c>
      <c r="R2875" s="75">
        <f>F2875-F2874</f>
        <v>0.007943393307218827</v>
      </c>
      <c r="S2875" s="75">
        <f>0.5*(Q2874+Q2875)*R2875</f>
        <v>0.016452693107086133</v>
      </c>
      <c r="T2875" s="75">
        <f>0.5*(F2874*Q2874+F2875*Q2875)*R2875</f>
        <v>0.22035558414831985</v>
      </c>
      <c r="U2875" s="76">
        <f>U2874+S2875</f>
        <v>20.582940636699323</v>
      </c>
      <c r="V2875" s="76">
        <f>V2874+T2875</f>
        <v>163.90182094545483</v>
      </c>
    </row>
    <row r="2876" spans="1:22" ht="19" customHeight="1">
      <c r="A2876" s="68" t="s">
        <v>376</v>
      </c>
      <c r="B2876" s="74">
        <v>4</v>
      </c>
      <c r="C2876" s="68" t="s">
        <v>363</v>
      </c>
      <c r="D2876" s="68" t="s">
        <v>364</v>
      </c>
      <c r="E2876" s="75">
        <f>60*F2876*'THAM_SO_MOI'!$C$52/(2*PI()*'THAM_SO_MOI'!$C$26)</f>
        <v>2108.8895224814382</v>
      </c>
      <c r="F2876" s="75">
        <f>'HANH_TRINH'!$F$2468+('THAM_SO_MOI'!$F$52-'HANH_TRINH'!$F$2468)*407/'THAM_SO_MOI'!$C$42</f>
        <v>13.405198415338312</v>
      </c>
      <c r="G2876" s="75">
        <f>3.6*F2876</f>
        <v>48.25871429521792</v>
      </c>
      <c r="H2876" s="75">
        <f>'THAM_SO_MOI'!$D$52</f>
        <v>1.1774754878398197</v>
      </c>
      <c r="I2876" s="75">
        <f>IF(F2876&gt;'THAM_SO_MOI'!$C$14,'THAM_SO_MOI'!$C$13*(1+F2876^2/1500),'THAM_SO_MOI'!$C$13)</f>
        <v>0.015</v>
      </c>
      <c r="J2876" s="75">
        <f>'THAM_SO_MOI'!$C$40*('THAM_SO_MOI'!$C$23*(E2876/'THAM_SO_MOI'!$C$22)+'THAM_SO_MOI'!$C$24*(E2876/'THAM_SO_MOI'!$C$22)^2-'THAM_SO_MOI'!$C$25*(E2876/'THAM_SO_MOI'!$C$22)^3)</f>
        <v>94.93714292655329</v>
      </c>
      <c r="K2876" s="75">
        <f>'THAM_SO_MOI'!$C$31*J2876/E2876</f>
        <v>429.9675170232184</v>
      </c>
      <c r="L2876" s="75">
        <f>K2876*'THAM_SO_MOI'!$C$52*'THAM_SO_MOI'!$C$17/'THAM_SO_MOI'!$C$26</f>
        <v>6020.932705761778</v>
      </c>
      <c r="M2876" s="75">
        <f>'THAM_SO_MOI'!$C$15*'THAM_SO_MOI'!$C$16*F2876^2</f>
        <v>525.6205828221722</v>
      </c>
      <c r="N2876" s="75">
        <f>'THAM_SO_MOI'!$C$12*I2876</f>
        <v>1130.112</v>
      </c>
      <c r="O2876" s="75">
        <f>M2876+N2876</f>
        <v>1655.7325828221724</v>
      </c>
      <c r="P2876" s="75">
        <f>(MIN(L2876,'THAM_SO_MOI'!$C$41)-O2876)/('THAM_SO_MOI'!$C$11*H2876)</f>
        <v>0.48271529942179947</v>
      </c>
      <c r="Q2876" s="75">
        <f>IF(P2876&gt;0,1/P2876,NA())</f>
        <v>2.0716144717140903</v>
      </c>
      <c r="R2876" s="75">
        <f>F2876-F2875</f>
        <v>0.007943393307218827</v>
      </c>
      <c r="S2876" s="75">
        <f>0.5*(Q2875+Q2876)*R2876</f>
        <v>0.016454661745903227</v>
      </c>
      <c r="T2876" s="75">
        <f>0.5*(F2875*Q2875+F2876*Q2876)*R2876</f>
        <v>0.2205126565553235</v>
      </c>
      <c r="U2876" s="76">
        <f>U2875+S2876</f>
        <v>20.599395298445227</v>
      </c>
      <c r="V2876" s="76">
        <f>V2875+T2876</f>
        <v>164.12233360201014</v>
      </c>
    </row>
    <row r="2877" spans="1:22" ht="19" customHeight="1">
      <c r="A2877" s="68" t="s">
        <v>376</v>
      </c>
      <c r="B2877" s="74">
        <v>4</v>
      </c>
      <c r="C2877" s="68" t="s">
        <v>363</v>
      </c>
      <c r="D2877" s="68" t="s">
        <v>364</v>
      </c>
      <c r="E2877" s="75">
        <f>60*F2877*'THAM_SO_MOI'!$C$52/(2*PI()*'THAM_SO_MOI'!$C$26)</f>
        <v>2110.139167462401</v>
      </c>
      <c r="F2877" s="75">
        <f>'HANH_TRINH'!$F$2468+('THAM_SO_MOI'!$F$52-'HANH_TRINH'!$F$2468)*408/'THAM_SO_MOI'!$C$42</f>
        <v>13.41314180864553</v>
      </c>
      <c r="G2877" s="75">
        <f>3.6*F2877</f>
        <v>48.28731051112391</v>
      </c>
      <c r="H2877" s="75">
        <f>'THAM_SO_MOI'!$D$52</f>
        <v>1.1774754878398197</v>
      </c>
      <c r="I2877" s="75">
        <f>IF(F2877&gt;'THAM_SO_MOI'!$C$14,'THAM_SO_MOI'!$C$13*(1+F2877^2/1500),'THAM_SO_MOI'!$C$13)</f>
        <v>0.015</v>
      </c>
      <c r="J2877" s="75">
        <f>'THAM_SO_MOI'!$C$40*('THAM_SO_MOI'!$C$23*(E2877/'THAM_SO_MOI'!$C$22)+'THAM_SO_MOI'!$C$24*(E2877/'THAM_SO_MOI'!$C$22)^2-'THAM_SO_MOI'!$C$25*(E2877/'THAM_SO_MOI'!$C$22)^3)</f>
        <v>94.99492973762278</v>
      </c>
      <c r="K2877" s="75">
        <f>'THAM_SO_MOI'!$C$31*J2877/E2877</f>
        <v>429.974445840037</v>
      </c>
      <c r="L2877" s="75">
        <f>K2877*'THAM_SO_MOI'!$C$52*'THAM_SO_MOI'!$C$17/'THAM_SO_MOI'!$C$26</f>
        <v>6021.029731555922</v>
      </c>
      <c r="M2877" s="75">
        <f>'THAM_SO_MOI'!$C$15*'THAM_SO_MOI'!$C$16*F2877^2</f>
        <v>526.2436915480915</v>
      </c>
      <c r="N2877" s="75">
        <f>'THAM_SO_MOI'!$C$12*I2877</f>
        <v>1130.112</v>
      </c>
      <c r="O2877" s="75">
        <f>M2877+N2877</f>
        <v>1656.3556915480917</v>
      </c>
      <c r="P2877" s="75">
        <f>(MIN(L2877,'THAM_SO_MOI'!$C$41)-O2877)/('THAM_SO_MOI'!$C$11*H2877)</f>
        <v>0.48265712378888903</v>
      </c>
      <c r="Q2877" s="75">
        <f>IF(P2877&gt;0,1/P2877,NA())</f>
        <v>2.071864167568763</v>
      </c>
      <c r="R2877" s="75">
        <f>F2877-F2876</f>
        <v>0.007943393307218827</v>
      </c>
      <c r="S2877" s="75">
        <f>0.5*(Q2876+Q2877)*R2877</f>
        <v>0.016456640245941793</v>
      </c>
      <c r="T2877" s="75">
        <f>0.5*(F2876*Q2876+F2877*Q2877)*R2877</f>
        <v>0.22066989246848195</v>
      </c>
      <c r="U2877" s="76">
        <f>U2876+S2877</f>
        <v>20.61585193869117</v>
      </c>
      <c r="V2877" s="76">
        <f>V2876+T2877</f>
        <v>164.34300349447864</v>
      </c>
    </row>
    <row r="2878" spans="1:22" ht="19" customHeight="1">
      <c r="A2878" s="68" t="s">
        <v>376</v>
      </c>
      <c r="B2878" s="74">
        <v>4</v>
      </c>
      <c r="C2878" s="68" t="s">
        <v>363</v>
      </c>
      <c r="D2878" s="68" t="s">
        <v>364</v>
      </c>
      <c r="E2878" s="75">
        <f>60*F2878*'THAM_SO_MOI'!$C$52/(2*PI()*'THAM_SO_MOI'!$C$26)</f>
        <v>2111.3888124433643</v>
      </c>
      <c r="F2878" s="75">
        <f>'HANH_TRINH'!$F$2468+('THAM_SO_MOI'!$F$52-'HANH_TRINH'!$F$2468)*409/'THAM_SO_MOI'!$C$42</f>
        <v>13.421085201952751</v>
      </c>
      <c r="G2878" s="75">
        <f>3.6*F2878</f>
        <v>48.315906727029905</v>
      </c>
      <c r="H2878" s="75">
        <f>'THAM_SO_MOI'!$D$52</f>
        <v>1.1774754878398197</v>
      </c>
      <c r="I2878" s="75">
        <f>IF(F2878&gt;'THAM_SO_MOI'!$C$14,'THAM_SO_MOI'!$C$13*(1+F2878^2/1500),'THAM_SO_MOI'!$C$13)</f>
        <v>0.015</v>
      </c>
      <c r="J2878" s="75">
        <f>'THAM_SO_MOI'!$C$40*('THAM_SO_MOI'!$C$23*(E2878/'THAM_SO_MOI'!$C$22)+'THAM_SO_MOI'!$C$24*(E2878/'THAM_SO_MOI'!$C$22)^2-'THAM_SO_MOI'!$C$25*(E2878/'THAM_SO_MOI'!$C$22)^3)</f>
        <v>95.05268487090032</v>
      </c>
      <c r="K2878" s="75">
        <f>'THAM_SO_MOI'!$C$31*J2878/E2878</f>
        <v>429.981223157128</v>
      </c>
      <c r="L2878" s="75">
        <f>K2878*'THAM_SO_MOI'!$C$52*'THAM_SO_MOI'!$C$17/'THAM_SO_MOI'!$C$26</f>
        <v>6021.124635865002</v>
      </c>
      <c r="M2878" s="75">
        <f>'THAM_SO_MOI'!$C$15*'THAM_SO_MOI'!$C$16*F2878^2</f>
        <v>526.8671693943697</v>
      </c>
      <c r="N2878" s="75">
        <f>'THAM_SO_MOI'!$C$12*I2878</f>
        <v>1130.112</v>
      </c>
      <c r="O2878" s="75">
        <f>M2878+N2878</f>
        <v>1656.9791693943698</v>
      </c>
      <c r="P2878" s="75">
        <f>(MIN(L2878,'THAM_SO_MOI'!$C$41)-O2878)/('THAM_SO_MOI'!$C$11*H2878)</f>
        <v>0.4825986727382867</v>
      </c>
      <c r="Q2878" s="75">
        <f>IF(P2878&gt;0,1/P2878,NA())</f>
        <v>2.0721151061729093</v>
      </c>
      <c r="R2878" s="75">
        <f>F2878-F2877</f>
        <v>0.007943393307220603</v>
      </c>
      <c r="S2878" s="75">
        <f>0.5*(Q2877+Q2878)*R2878</f>
        <v>0.01645862861415025</v>
      </c>
      <c r="T2878" s="75">
        <f>0.5*(F2877*Q2877+F2878*Q2878)*R2878</f>
        <v>0.22082729221601766</v>
      </c>
      <c r="U2878" s="76">
        <f>U2877+S2878</f>
        <v>20.632310567305318</v>
      </c>
      <c r="V2878" s="76">
        <f>V2877+T2878</f>
        <v>164.56383078669467</v>
      </c>
    </row>
    <row r="2879" spans="1:22" ht="19" customHeight="1">
      <c r="A2879" s="68" t="s">
        <v>376</v>
      </c>
      <c r="B2879" s="74">
        <v>4</v>
      </c>
      <c r="C2879" s="68" t="s">
        <v>363</v>
      </c>
      <c r="D2879" s="68" t="s">
        <v>364</v>
      </c>
      <c r="E2879" s="75">
        <f>60*F2879*'THAM_SO_MOI'!$C$52/(2*PI()*'THAM_SO_MOI'!$C$26)</f>
        <v>2112.6384574243275</v>
      </c>
      <c r="F2879" s="75">
        <f>'HANH_TRINH'!$F$2468+('THAM_SO_MOI'!$F$52-'HANH_TRINH'!$F$2468)*410/'THAM_SO_MOI'!$C$42</f>
        <v>13.42902859525997</v>
      </c>
      <c r="G2879" s="75">
        <f>3.6*F2879</f>
        <v>48.34450294293589</v>
      </c>
      <c r="H2879" s="75">
        <f>'THAM_SO_MOI'!$D$52</f>
        <v>1.1774754878398197</v>
      </c>
      <c r="I2879" s="75">
        <f>IF(F2879&gt;'THAM_SO_MOI'!$C$14,'THAM_SO_MOI'!$C$13*(1+F2879^2/1500),'THAM_SO_MOI'!$C$13)</f>
        <v>0.015</v>
      </c>
      <c r="J2879" s="75">
        <f>'THAM_SO_MOI'!$C$40*('THAM_SO_MOI'!$C$23*(E2879/'THAM_SO_MOI'!$C$22)+'THAM_SO_MOI'!$C$24*(E2879/'THAM_SO_MOI'!$C$22)^2-'THAM_SO_MOI'!$C$25*(E2879/'THAM_SO_MOI'!$C$22)^3)</f>
        <v>95.11040826692022</v>
      </c>
      <c r="K2879" s="75">
        <f>'THAM_SO_MOI'!$C$31*J2879/E2879</f>
        <v>429.98784897449156</v>
      </c>
      <c r="L2879" s="75">
        <f>K2879*'THAM_SO_MOI'!$C$52*'THAM_SO_MOI'!$C$17/'THAM_SO_MOI'!$C$26</f>
        <v>6021.217418689024</v>
      </c>
      <c r="M2879" s="75">
        <f>'THAM_SO_MOI'!$C$15*'THAM_SO_MOI'!$C$16*F2879^2</f>
        <v>527.4910163610067</v>
      </c>
      <c r="N2879" s="75">
        <f>'THAM_SO_MOI'!$C$12*I2879</f>
        <v>1130.112</v>
      </c>
      <c r="O2879" s="75">
        <f>M2879+N2879</f>
        <v>1657.6030163610067</v>
      </c>
      <c r="P2879" s="75">
        <f>(MIN(L2879,'THAM_SO_MOI'!$C$41)-O2879)/('THAM_SO_MOI'!$C$11*H2879)</f>
        <v>0.48253994626999325</v>
      </c>
      <c r="Q2879" s="75">
        <f>IF(P2879&gt;0,1/P2879,NA())</f>
        <v>2.072367288407818</v>
      </c>
      <c r="R2879" s="75">
        <f>F2879-F2878</f>
        <v>0.007943393307218827</v>
      </c>
      <c r="S2879" s="75">
        <f>0.5*(Q2878+Q2879)*R2879</f>
        <v>0.016460626857499404</v>
      </c>
      <c r="T2879" s="75">
        <f>0.5*(F2878*Q2878+F2879*Q2879)*R2879</f>
        <v>0.22098485612667446</v>
      </c>
      <c r="U2879" s="76">
        <f>U2878+S2879</f>
        <v>20.648771194162816</v>
      </c>
      <c r="V2879" s="76">
        <f>V2878+T2879</f>
        <v>164.78481564282134</v>
      </c>
    </row>
    <row r="2880" spans="1:22" ht="19" customHeight="1">
      <c r="A2880" s="68" t="s">
        <v>376</v>
      </c>
      <c r="B2880" s="74">
        <v>4</v>
      </c>
      <c r="C2880" s="68" t="s">
        <v>363</v>
      </c>
      <c r="D2880" s="68" t="s">
        <v>364</v>
      </c>
      <c r="E2880" s="75">
        <f>60*F2880*'THAM_SO_MOI'!$C$52/(2*PI()*'THAM_SO_MOI'!$C$26)</f>
        <v>2113.888102405291</v>
      </c>
      <c r="F2880" s="75">
        <f>'HANH_TRINH'!$F$2468+('THAM_SO_MOI'!$F$52-'HANH_TRINH'!$F$2468)*411/'THAM_SO_MOI'!$C$42</f>
        <v>13.43697198856719</v>
      </c>
      <c r="G2880" s="75">
        <f>3.6*F2880</f>
        <v>48.37309915884189</v>
      </c>
      <c r="H2880" s="75">
        <f>'THAM_SO_MOI'!$D$52</f>
        <v>1.1774754878398197</v>
      </c>
      <c r="I2880" s="75">
        <f>IF(F2880&gt;'THAM_SO_MOI'!$C$14,'THAM_SO_MOI'!$C$13*(1+F2880^2/1500),'THAM_SO_MOI'!$C$13)</f>
        <v>0.015</v>
      </c>
      <c r="J2880" s="75">
        <f>'THAM_SO_MOI'!$C$40*('THAM_SO_MOI'!$C$23*(E2880/'THAM_SO_MOI'!$C$22)+'THAM_SO_MOI'!$C$24*(E2880/'THAM_SO_MOI'!$C$22)^2-'THAM_SO_MOI'!$C$25*(E2880/'THAM_SO_MOI'!$C$22)^3)</f>
        <v>95.1680998662168</v>
      </c>
      <c r="K2880" s="75">
        <f>'THAM_SO_MOI'!$C$31*J2880/E2880</f>
        <v>429.9943232921277</v>
      </c>
      <c r="L2880" s="75">
        <f>K2880*'THAM_SO_MOI'!$C$52*'THAM_SO_MOI'!$C$17/'THAM_SO_MOI'!$C$26</f>
        <v>6021.308080027985</v>
      </c>
      <c r="M2880" s="75">
        <f>'THAM_SO_MOI'!$C$15*'THAM_SO_MOI'!$C$16*F2880^2</f>
        <v>528.1152324480025</v>
      </c>
      <c r="N2880" s="75">
        <f>'THAM_SO_MOI'!$C$12*I2880</f>
        <v>1130.112</v>
      </c>
      <c r="O2880" s="75">
        <f>M2880+N2880</f>
        <v>1658.2272324480027</v>
      </c>
      <c r="P2880" s="75">
        <f>(MIN(L2880,'THAM_SO_MOI'!$C$41)-O2880)/('THAM_SO_MOI'!$C$11*H2880)</f>
        <v>0.4824809443840081</v>
      </c>
      <c r="Q2880" s="75">
        <f>IF(P2880&gt;0,1/P2880,NA())</f>
        <v>2.0726207151594713</v>
      </c>
      <c r="R2880" s="75">
        <f>F2880-F2879</f>
        <v>0.007943393307220603</v>
      </c>
      <c r="S2880" s="75">
        <f>0.5*(Q2879+Q2880)*R2880</f>
        <v>0.01646263498302305</v>
      </c>
      <c r="T2880" s="75">
        <f>0.5*(F2879*Q2879+F2880*Q2880)*R2880</f>
        <v>0.22114258453026375</v>
      </c>
      <c r="U2880" s="76">
        <f>U2879+S2880</f>
        <v>20.665233829145837</v>
      </c>
      <c r="V2880" s="76">
        <f>V2879+T2880</f>
        <v>165.0059582273516</v>
      </c>
    </row>
    <row r="2881" spans="1:22" ht="19" customHeight="1">
      <c r="A2881" s="68" t="s">
        <v>376</v>
      </c>
      <c r="B2881" s="74">
        <v>4</v>
      </c>
      <c r="C2881" s="68" t="s">
        <v>363</v>
      </c>
      <c r="D2881" s="68" t="s">
        <v>364</v>
      </c>
      <c r="E2881" s="75">
        <f>60*F2881*'THAM_SO_MOI'!$C$52/(2*PI()*'THAM_SO_MOI'!$C$26)</f>
        <v>2115.1377473862544</v>
      </c>
      <c r="F2881" s="75">
        <f>'HANH_TRINH'!$F$2468+('THAM_SO_MOI'!$F$52-'HANH_TRINH'!$F$2468)*412/'THAM_SO_MOI'!$C$42</f>
        <v>13.44491538187441</v>
      </c>
      <c r="G2881" s="75">
        <f>3.6*F2881</f>
        <v>48.401695374747874</v>
      </c>
      <c r="H2881" s="75">
        <f>'THAM_SO_MOI'!$D$52</f>
        <v>1.1774754878398197</v>
      </c>
      <c r="I2881" s="75">
        <f>IF(F2881&gt;'THAM_SO_MOI'!$C$14,'THAM_SO_MOI'!$C$13*(1+F2881^2/1500),'THAM_SO_MOI'!$C$13)</f>
        <v>0.015</v>
      </c>
      <c r="J2881" s="75">
        <f>'THAM_SO_MOI'!$C$40*('THAM_SO_MOI'!$C$23*(E2881/'THAM_SO_MOI'!$C$22)+'THAM_SO_MOI'!$C$24*(E2881/'THAM_SO_MOI'!$C$22)^2-'THAM_SO_MOI'!$C$25*(E2881/'THAM_SO_MOI'!$C$22)^3)</f>
        <v>95.22575960932436</v>
      </c>
      <c r="K2881" s="75">
        <f>'THAM_SO_MOI'!$C$31*J2881/E2881</f>
        <v>430.00064611003637</v>
      </c>
      <c r="L2881" s="75">
        <f>K2881*'THAM_SO_MOI'!$C$52*'THAM_SO_MOI'!$C$17/'THAM_SO_MOI'!$C$26</f>
        <v>6021.396619881885</v>
      </c>
      <c r="M2881" s="75">
        <f>'THAM_SO_MOI'!$C$15*'THAM_SO_MOI'!$C$16*F2881^2</f>
        <v>528.7398176553571</v>
      </c>
      <c r="N2881" s="75">
        <f>'THAM_SO_MOI'!$C$12*I2881</f>
        <v>1130.112</v>
      </c>
      <c r="O2881" s="75">
        <f>M2881+N2881</f>
        <v>1658.851817655357</v>
      </c>
      <c r="P2881" s="75">
        <f>(MIN(L2881,'THAM_SO_MOI'!$C$41)-O2881)/('THAM_SO_MOI'!$C$11*H2881)</f>
        <v>0.48242166708033163</v>
      </c>
      <c r="Q2881" s="75">
        <f>IF(P2881&gt;0,1/P2881,NA())</f>
        <v>2.0728753873185437</v>
      </c>
      <c r="R2881" s="75">
        <f>F2881-F2880</f>
        <v>0.007943393307218827</v>
      </c>
      <c r="S2881" s="75">
        <f>0.5*(Q2880+Q2881)*R2881</f>
        <v>0.0164646529977628</v>
      </c>
      <c r="T2881" s="75">
        <f>0.5*(F2880*Q2880+F2881*Q2881)*R2881</f>
        <v>0.22130047775692555</v>
      </c>
      <c r="U2881" s="76">
        <f>U2880+S2881</f>
        <v>20.6816984821436</v>
      </c>
      <c r="V2881" s="76">
        <f>V2880+T2881</f>
        <v>165.22725870510854</v>
      </c>
    </row>
    <row r="2882" spans="1:22" ht="19" customHeight="1">
      <c r="A2882" s="68" t="s">
        <v>376</v>
      </c>
      <c r="B2882" s="74">
        <v>4</v>
      </c>
      <c r="C2882" s="68" t="s">
        <v>363</v>
      </c>
      <c r="D2882" s="68" t="s">
        <v>364</v>
      </c>
      <c r="E2882" s="75">
        <f>60*F2882*'THAM_SO_MOI'!$C$52/(2*PI()*'THAM_SO_MOI'!$C$26)</f>
        <v>2116.387392367217</v>
      </c>
      <c r="F2882" s="75">
        <f>'HANH_TRINH'!$F$2468+('THAM_SO_MOI'!$F$52-'HANH_TRINH'!$F$2468)*413/'THAM_SO_MOI'!$C$42</f>
        <v>13.452858775181628</v>
      </c>
      <c r="G2882" s="75">
        <f>3.6*F2882</f>
        <v>48.430291590653866</v>
      </c>
      <c r="H2882" s="75">
        <f>'THAM_SO_MOI'!$D$52</f>
        <v>1.1774754878398197</v>
      </c>
      <c r="I2882" s="75">
        <f>IF(F2882&gt;'THAM_SO_MOI'!$C$14,'THAM_SO_MOI'!$C$13*(1+F2882^2/1500),'THAM_SO_MOI'!$C$13)</f>
        <v>0.015</v>
      </c>
      <c r="J2882" s="75">
        <f>'THAM_SO_MOI'!$C$40*('THAM_SO_MOI'!$C$23*(E2882/'THAM_SO_MOI'!$C$22)+'THAM_SO_MOI'!$C$24*(E2882/'THAM_SO_MOI'!$C$22)^2-'THAM_SO_MOI'!$C$25*(E2882/'THAM_SO_MOI'!$C$22)^3)</f>
        <v>95.28338743677716</v>
      </c>
      <c r="K2882" s="75">
        <f>'THAM_SO_MOI'!$C$31*J2882/E2882</f>
        <v>430.00681742821746</v>
      </c>
      <c r="L2882" s="75">
        <f>K2882*'THAM_SO_MOI'!$C$52*'THAM_SO_MOI'!$C$17/'THAM_SO_MOI'!$C$26</f>
        <v>6021.4830382507225</v>
      </c>
      <c r="M2882" s="75">
        <f>'THAM_SO_MOI'!$C$15*'THAM_SO_MOI'!$C$16*F2882^2</f>
        <v>529.3647719830705</v>
      </c>
      <c r="N2882" s="75">
        <f>'THAM_SO_MOI'!$C$12*I2882</f>
        <v>1130.112</v>
      </c>
      <c r="O2882" s="75">
        <f>M2882+N2882</f>
        <v>1659.4767719830706</v>
      </c>
      <c r="P2882" s="75">
        <f>(MIN(L2882,'THAM_SO_MOI'!$C$41)-O2882)/('THAM_SO_MOI'!$C$11*H2882)</f>
        <v>0.4823621143589633</v>
      </c>
      <c r="Q2882" s="75">
        <f>IF(P2882&gt;0,1/P2882,NA())</f>
        <v>2.073131305780416</v>
      </c>
      <c r="R2882" s="75">
        <f>F2882-F2881</f>
        <v>0.007943393307218827</v>
      </c>
      <c r="S2882" s="75">
        <f>0.5*(Q2881+Q2882)*R2882</f>
        <v>0.016466680908823368</v>
      </c>
      <c r="T2882" s="75">
        <f>0.5*(F2881*Q2881+F2882*Q2882)*R2882</f>
        <v>0.22145853613787223</v>
      </c>
      <c r="U2882" s="76">
        <f>U2881+S2882</f>
        <v>20.698165163052423</v>
      </c>
      <c r="V2882" s="76">
        <f>V2881+T2882</f>
        <v>165.4487172412464</v>
      </c>
    </row>
    <row r="2883" spans="1:22" ht="19" customHeight="1">
      <c r="A2883" s="68" t="s">
        <v>376</v>
      </c>
      <c r="B2883" s="74">
        <v>4</v>
      </c>
      <c r="C2883" s="68" t="s">
        <v>363</v>
      </c>
      <c r="D2883" s="68" t="s">
        <v>364</v>
      </c>
      <c r="E2883" s="75">
        <f>60*F2883*'THAM_SO_MOI'!$C$52/(2*PI()*'THAM_SO_MOI'!$C$26)</f>
        <v>2117.637037348181</v>
      </c>
      <c r="F2883" s="75">
        <f>'HANH_TRINH'!$F$2468+('THAM_SO_MOI'!$F$52-'HANH_TRINH'!$F$2468)*414/'THAM_SO_MOI'!$C$42</f>
        <v>13.460802168488847</v>
      </c>
      <c r="G2883" s="75">
        <f>3.6*F2883</f>
        <v>48.45888780655985</v>
      </c>
      <c r="H2883" s="75">
        <f>'THAM_SO_MOI'!$D$52</f>
        <v>1.1774754878398197</v>
      </c>
      <c r="I2883" s="75">
        <f>IF(F2883&gt;'THAM_SO_MOI'!$C$14,'THAM_SO_MOI'!$C$13*(1+F2883^2/1500),'THAM_SO_MOI'!$C$13)</f>
        <v>0.015</v>
      </c>
      <c r="J2883" s="75">
        <f>'THAM_SO_MOI'!$C$40*('THAM_SO_MOI'!$C$23*(E2883/'THAM_SO_MOI'!$C$22)+'THAM_SO_MOI'!$C$24*(E2883/'THAM_SO_MOI'!$C$22)^2-'THAM_SO_MOI'!$C$25*(E2883/'THAM_SO_MOI'!$C$22)^3)</f>
        <v>95.34098328910963</v>
      </c>
      <c r="K2883" s="75">
        <f>'THAM_SO_MOI'!$C$31*J2883/E2883</f>
        <v>430.0128372466712</v>
      </c>
      <c r="L2883" s="75">
        <f>K2883*'THAM_SO_MOI'!$C$52*'THAM_SO_MOI'!$C$17/'THAM_SO_MOI'!$C$26</f>
        <v>6021.5673351345</v>
      </c>
      <c r="M2883" s="75">
        <f>'THAM_SO_MOI'!$C$15*'THAM_SO_MOI'!$C$16*F2883^2</f>
        <v>529.9900954311427</v>
      </c>
      <c r="N2883" s="75">
        <f>'THAM_SO_MOI'!$C$12*I2883</f>
        <v>1130.112</v>
      </c>
      <c r="O2883" s="75">
        <f>M2883+N2883</f>
        <v>1660.1020954311427</v>
      </c>
      <c r="P2883" s="75">
        <f>(MIN(L2883,'THAM_SO_MOI'!$C$41)-O2883)/('THAM_SO_MOI'!$C$11*H2883)</f>
        <v>0.4823022862199037</v>
      </c>
      <c r="Q2883" s="75">
        <f>IF(P2883&gt;0,1/P2883,NA())</f>
        <v>2.0733884714451762</v>
      </c>
      <c r="R2883" s="75">
        <f>F2883-F2882</f>
        <v>0.007943393307218827</v>
      </c>
      <c r="S2883" s="75">
        <f>0.5*(Q2882+Q2883)*R2883</f>
        <v>0.016468718723332134</v>
      </c>
      <c r="T2883" s="75">
        <f>0.5*(F2882*Q2882+F2883*Q2883)*R2883</f>
        <v>0.22161676000484687</v>
      </c>
      <c r="U2883" s="76">
        <f>U2882+S2883</f>
        <v>20.714633881775754</v>
      </c>
      <c r="V2883" s="76">
        <f>V2882+T2883</f>
        <v>165.67033400125126</v>
      </c>
    </row>
    <row r="2884" spans="1:22" ht="19" customHeight="1">
      <c r="A2884" s="68" t="s">
        <v>376</v>
      </c>
      <c r="B2884" s="74">
        <v>4</v>
      </c>
      <c r="C2884" s="68" t="s">
        <v>363</v>
      </c>
      <c r="D2884" s="68" t="s">
        <v>364</v>
      </c>
      <c r="E2884" s="75">
        <f>60*F2884*'THAM_SO_MOI'!$C$52/(2*PI()*'THAM_SO_MOI'!$C$26)</f>
        <v>2118.886682329144</v>
      </c>
      <c r="F2884" s="75">
        <f>'HANH_TRINH'!$F$2468+('THAM_SO_MOI'!$F$52-'HANH_TRINH'!$F$2468)*415/'THAM_SO_MOI'!$C$42</f>
        <v>13.468745561796068</v>
      </c>
      <c r="G2884" s="75">
        <f>3.6*F2884</f>
        <v>48.48748402246584</v>
      </c>
      <c r="H2884" s="75">
        <f>'THAM_SO_MOI'!$D$52</f>
        <v>1.1774754878398197</v>
      </c>
      <c r="I2884" s="75">
        <f>IF(F2884&gt;'THAM_SO_MOI'!$C$14,'THAM_SO_MOI'!$C$13*(1+F2884^2/1500),'THAM_SO_MOI'!$C$13)</f>
        <v>0.015</v>
      </c>
      <c r="J2884" s="75">
        <f>'THAM_SO_MOI'!$C$40*('THAM_SO_MOI'!$C$23*(E2884/'THAM_SO_MOI'!$C$22)+'THAM_SO_MOI'!$C$24*(E2884/'THAM_SO_MOI'!$C$22)^2-'THAM_SO_MOI'!$C$25*(E2884/'THAM_SO_MOI'!$C$22)^3)</f>
        <v>95.398547106856</v>
      </c>
      <c r="K2884" s="75">
        <f>'THAM_SO_MOI'!$C$31*J2884/E2884</f>
        <v>430.01870556539745</v>
      </c>
      <c r="L2884" s="75">
        <f>K2884*'THAM_SO_MOI'!$C$52*'THAM_SO_MOI'!$C$17/'THAM_SO_MOI'!$C$26</f>
        <v>6021.649510533217</v>
      </c>
      <c r="M2884" s="75">
        <f>'THAM_SO_MOI'!$C$15*'THAM_SO_MOI'!$C$16*F2884^2</f>
        <v>530.6157879995739</v>
      </c>
      <c r="N2884" s="75">
        <f>'THAM_SO_MOI'!$C$12*I2884</f>
        <v>1130.112</v>
      </c>
      <c r="O2884" s="75">
        <f>M2884+N2884</f>
        <v>1660.727787999574</v>
      </c>
      <c r="P2884" s="75">
        <f>(MIN(L2884,'THAM_SO_MOI'!$C$41)-O2884)/('THAM_SO_MOI'!$C$11*H2884)</f>
        <v>0.48224218266315244</v>
      </c>
      <c r="Q2884" s="75">
        <f>IF(P2884&gt;0,1/P2884,NA())</f>
        <v>2.0736468852176353</v>
      </c>
      <c r="R2884" s="75">
        <f>F2884-F2883</f>
        <v>0.007943393307220603</v>
      </c>
      <c r="S2884" s="75">
        <f>0.5*(Q2883+Q2884)*R2884</f>
        <v>0.016470766448461294</v>
      </c>
      <c r="T2884" s="75">
        <f>0.5*(F2883*Q2883+F2884*Q2884)*R2884</f>
        <v>0.22177514969042245</v>
      </c>
      <c r="U2884" s="76">
        <f>U2883+S2884</f>
        <v>20.731104648224214</v>
      </c>
      <c r="V2884" s="76">
        <f>V2883+T2884</f>
        <v>165.89210915094168</v>
      </c>
    </row>
    <row r="2885" spans="1:22" ht="19" customHeight="1">
      <c r="A2885" s="68" t="s">
        <v>376</v>
      </c>
      <c r="B2885" s="74">
        <v>4</v>
      </c>
      <c r="C2885" s="68" t="s">
        <v>363</v>
      </c>
      <c r="D2885" s="68" t="s">
        <v>364</v>
      </c>
      <c r="E2885" s="75">
        <f>60*F2885*'THAM_SO_MOI'!$C$52/(2*PI()*'THAM_SO_MOI'!$C$26)</f>
        <v>2120.1363273101074</v>
      </c>
      <c r="F2885" s="75">
        <f>'HANH_TRINH'!$F$2468+('THAM_SO_MOI'!$F$52-'HANH_TRINH'!$F$2468)*416/'THAM_SO_MOI'!$C$42</f>
        <v>13.476688955103286</v>
      </c>
      <c r="G2885" s="75">
        <f>3.6*F2885</f>
        <v>48.516080238371835</v>
      </c>
      <c r="H2885" s="75">
        <f>'THAM_SO_MOI'!$D$52</f>
        <v>1.1774754878398197</v>
      </c>
      <c r="I2885" s="75">
        <f>IF(F2885&gt;'THAM_SO_MOI'!$C$14,'THAM_SO_MOI'!$C$13*(1+F2885^2/1500),'THAM_SO_MOI'!$C$13)</f>
        <v>0.015</v>
      </c>
      <c r="J2885" s="75">
        <f>'THAM_SO_MOI'!$C$40*('THAM_SO_MOI'!$C$23*(E2885/'THAM_SO_MOI'!$C$22)+'THAM_SO_MOI'!$C$24*(E2885/'THAM_SO_MOI'!$C$22)^2-'THAM_SO_MOI'!$C$25*(E2885/'THAM_SO_MOI'!$C$22)^3)</f>
        <v>95.45607883055061</v>
      </c>
      <c r="K2885" s="75">
        <f>'THAM_SO_MOI'!$C$31*J2885/E2885</f>
        <v>430.0244223843962</v>
      </c>
      <c r="L2885" s="75">
        <f>K2885*'THAM_SO_MOI'!$C$52*'THAM_SO_MOI'!$C$17/'THAM_SO_MOI'!$C$26</f>
        <v>6021.729564446873</v>
      </c>
      <c r="M2885" s="75">
        <f>'THAM_SO_MOI'!$C$15*'THAM_SO_MOI'!$C$16*F2885^2</f>
        <v>531.2418496883636</v>
      </c>
      <c r="N2885" s="75">
        <f>'THAM_SO_MOI'!$C$12*I2885</f>
        <v>1130.112</v>
      </c>
      <c r="O2885" s="75">
        <f>M2885+N2885</f>
        <v>1661.3538496883637</v>
      </c>
      <c r="P2885" s="75">
        <f>(MIN(L2885,'THAM_SO_MOI'!$C$41)-O2885)/('THAM_SO_MOI'!$C$11*H2885)</f>
        <v>0.48218180368870966</v>
      </c>
      <c r="Q2885" s="75">
        <f>IF(P2885&gt;0,1/P2885,NA())</f>
        <v>2.07390654800733</v>
      </c>
      <c r="R2885" s="75">
        <f>F2885-F2884</f>
        <v>0.007943393307218827</v>
      </c>
      <c r="S2885" s="75">
        <f>0.5*(Q2884+Q2885)*R2885</f>
        <v>0.016472824091405828</v>
      </c>
      <c r="T2885" s="75">
        <f>0.5*(F2884*Q2884+F2885*Q2885)*R2885</f>
        <v>0.221933705527707</v>
      </c>
      <c r="U2885" s="76">
        <f>U2884+S2885</f>
        <v>20.74757747231562</v>
      </c>
      <c r="V2885" s="76">
        <f>V2884+T2885</f>
        <v>166.11404285646938</v>
      </c>
    </row>
    <row r="2886" spans="1:22" ht="19" customHeight="1">
      <c r="A2886" s="68" t="s">
        <v>376</v>
      </c>
      <c r="B2886" s="74">
        <v>4</v>
      </c>
      <c r="C2886" s="68" t="s">
        <v>363</v>
      </c>
      <c r="D2886" s="68" t="s">
        <v>364</v>
      </c>
      <c r="E2886" s="75">
        <f>60*F2886*'THAM_SO_MOI'!$C$52/(2*PI()*'THAM_SO_MOI'!$C$26)</f>
        <v>2121.3859722910706</v>
      </c>
      <c r="F2886" s="75">
        <f>'HANH_TRINH'!$F$2468+('THAM_SO_MOI'!$F$52-'HANH_TRINH'!$F$2468)*417/'THAM_SO_MOI'!$C$42</f>
        <v>13.484632348410507</v>
      </c>
      <c r="G2886" s="75">
        <f>3.6*F2886</f>
        <v>48.54467645427783</v>
      </c>
      <c r="H2886" s="75">
        <f>'THAM_SO_MOI'!$D$52</f>
        <v>1.1774754878398197</v>
      </c>
      <c r="I2886" s="75">
        <f>IF(F2886&gt;'THAM_SO_MOI'!$C$14,'THAM_SO_MOI'!$C$13*(1+F2886^2/1500),'THAM_SO_MOI'!$C$13)</f>
        <v>0.015</v>
      </c>
      <c r="J2886" s="75">
        <f>'THAM_SO_MOI'!$C$40*('THAM_SO_MOI'!$C$23*(E2886/'THAM_SO_MOI'!$C$22)+'THAM_SO_MOI'!$C$24*(E2886/'THAM_SO_MOI'!$C$22)^2-'THAM_SO_MOI'!$C$25*(E2886/'THAM_SO_MOI'!$C$22)^3)</f>
        <v>95.51357840072774</v>
      </c>
      <c r="K2886" s="75">
        <f>'THAM_SO_MOI'!$C$31*J2886/E2886</f>
        <v>430.02998770366736</v>
      </c>
      <c r="L2886" s="75">
        <f>K2886*'THAM_SO_MOI'!$C$52*'THAM_SO_MOI'!$C$17/'THAM_SO_MOI'!$C$26</f>
        <v>6021.8074968754645</v>
      </c>
      <c r="M2886" s="75">
        <f>'THAM_SO_MOI'!$C$15*'THAM_SO_MOI'!$C$16*F2886^2</f>
        <v>531.8682804975124</v>
      </c>
      <c r="N2886" s="75">
        <f>'THAM_SO_MOI'!$C$12*I2886</f>
        <v>1130.112</v>
      </c>
      <c r="O2886" s="75">
        <f>M2886+N2886</f>
        <v>1661.9802804975125</v>
      </c>
      <c r="P2886" s="75">
        <f>(MIN(L2886,'THAM_SO_MOI'!$C$41)-O2886)/('THAM_SO_MOI'!$C$11*H2886)</f>
        <v>0.482121149296575</v>
      </c>
      <c r="Q2886" s="75">
        <f>IF(P2886&gt;0,1/P2886,NA())</f>
        <v>2.074167460728535</v>
      </c>
      <c r="R2886" s="75">
        <f>F2886-F2885</f>
        <v>0.007943393307220603</v>
      </c>
      <c r="S2886" s="75">
        <f>0.5*(Q2885+Q2886)*R2886</f>
        <v>0.016474891659424104</v>
      </c>
      <c r="T2886" s="75">
        <f>0.5*(F2885*Q2885+F2886*Q2886)*R2886</f>
        <v>0.22209242785089134</v>
      </c>
      <c r="U2886" s="76">
        <f>U2885+S2886</f>
        <v>20.764052363975043</v>
      </c>
      <c r="V2886" s="76">
        <f>V2885+T2886</f>
        <v>166.33613528432028</v>
      </c>
    </row>
    <row r="2887" spans="1:22" ht="19" customHeight="1">
      <c r="A2887" s="68" t="s">
        <v>376</v>
      </c>
      <c r="B2887" s="74">
        <v>4</v>
      </c>
      <c r="C2887" s="68" t="s">
        <v>363</v>
      </c>
      <c r="D2887" s="68" t="s">
        <v>364</v>
      </c>
      <c r="E2887" s="75">
        <f>60*F2887*'THAM_SO_MOI'!$C$52/(2*PI()*'THAM_SO_MOI'!$C$26)</f>
        <v>2122.635617272034</v>
      </c>
      <c r="F2887" s="75">
        <f>'HANH_TRINH'!$F$2468+('THAM_SO_MOI'!$F$52-'HANH_TRINH'!$F$2468)*418/'THAM_SO_MOI'!$C$42</f>
        <v>13.492575741717726</v>
      </c>
      <c r="G2887" s="75">
        <f>3.6*F2887</f>
        <v>48.57327267018381</v>
      </c>
      <c r="H2887" s="75">
        <f>'THAM_SO_MOI'!$D$52</f>
        <v>1.1774754878398197</v>
      </c>
      <c r="I2887" s="75">
        <f>IF(F2887&gt;'THAM_SO_MOI'!$C$14,'THAM_SO_MOI'!$C$13*(1+F2887^2/1500),'THAM_SO_MOI'!$C$13)</f>
        <v>0.015</v>
      </c>
      <c r="J2887" s="75">
        <f>'THAM_SO_MOI'!$C$40*('THAM_SO_MOI'!$C$23*(E2887/'THAM_SO_MOI'!$C$22)+'THAM_SO_MOI'!$C$24*(E2887/'THAM_SO_MOI'!$C$22)^2-'THAM_SO_MOI'!$C$25*(E2887/'THAM_SO_MOI'!$C$22)^3)</f>
        <v>95.57104575792177</v>
      </c>
      <c r="K2887" s="75">
        <f>'THAM_SO_MOI'!$C$31*J2887/E2887</f>
        <v>430.03540152321125</v>
      </c>
      <c r="L2887" s="75">
        <f>K2887*'THAM_SO_MOI'!$C$52*'THAM_SO_MOI'!$C$17/'THAM_SO_MOI'!$C$26</f>
        <v>6021.883307819</v>
      </c>
      <c r="M2887" s="75">
        <f>'THAM_SO_MOI'!$C$15*'THAM_SO_MOI'!$C$16*F2887^2</f>
        <v>532.4950804270198</v>
      </c>
      <c r="N2887" s="75">
        <f>'THAM_SO_MOI'!$C$12*I2887</f>
        <v>1130.112</v>
      </c>
      <c r="O2887" s="75">
        <f>M2887+N2887</f>
        <v>1662.6070804270198</v>
      </c>
      <c r="P2887" s="75">
        <f>(MIN(L2887,'THAM_SO_MOI'!$C$41)-O2887)/('THAM_SO_MOI'!$C$11*H2887)</f>
        <v>0.4820602194867494</v>
      </c>
      <c r="Q2887" s="75">
        <f>IF(P2887&gt;0,1/P2887,NA())</f>
        <v>2.0744296243002633</v>
      </c>
      <c r="R2887" s="75">
        <f>F2887-F2886</f>
        <v>0.007943393307218827</v>
      </c>
      <c r="S2887" s="75">
        <f>0.5*(Q2886+Q2887)*R2887</f>
        <v>0.016476969159782646</v>
      </c>
      <c r="T2887" s="75">
        <f>0.5*(F2886*Q2886+F2887*Q2887)*R2887</f>
        <v>0.22225131699450718</v>
      </c>
      <c r="U2887" s="76">
        <f>U2886+S2887</f>
        <v>20.780529333134826</v>
      </c>
      <c r="V2887" s="76">
        <f>V2886+T2887</f>
        <v>166.5583866013148</v>
      </c>
    </row>
    <row r="2888" spans="1:22" ht="19" customHeight="1">
      <c r="A2888" s="68" t="s">
        <v>376</v>
      </c>
      <c r="B2888" s="74">
        <v>4</v>
      </c>
      <c r="C2888" s="68" t="s">
        <v>363</v>
      </c>
      <c r="D2888" s="68" t="s">
        <v>364</v>
      </c>
      <c r="E2888" s="75">
        <f>60*F2888*'THAM_SO_MOI'!$C$52/(2*PI()*'THAM_SO_MOI'!$C$26)</f>
        <v>2123.885262252997</v>
      </c>
      <c r="F2888" s="75">
        <f>'HANH_TRINH'!$F$2468+('THAM_SO_MOI'!$F$52-'HANH_TRINH'!$F$2468)*419/'THAM_SO_MOI'!$C$42</f>
        <v>13.500519135024945</v>
      </c>
      <c r="G2888" s="75">
        <f>3.6*F2888</f>
        <v>48.601868886089804</v>
      </c>
      <c r="H2888" s="75">
        <f>'THAM_SO_MOI'!$D$52</f>
        <v>1.1774754878398197</v>
      </c>
      <c r="I2888" s="75">
        <f>IF(F2888&gt;'THAM_SO_MOI'!$C$14,'THAM_SO_MOI'!$C$13*(1+F2888^2/1500),'THAM_SO_MOI'!$C$13)</f>
        <v>0.015</v>
      </c>
      <c r="J2888" s="75">
        <f>'THAM_SO_MOI'!$C$40*('THAM_SO_MOI'!$C$23*(E2888/'THAM_SO_MOI'!$C$22)+'THAM_SO_MOI'!$C$24*(E2888/'THAM_SO_MOI'!$C$22)^2-'THAM_SO_MOI'!$C$25*(E2888/'THAM_SO_MOI'!$C$22)^3)</f>
        <v>95.62848084266695</v>
      </c>
      <c r="K2888" s="75">
        <f>'THAM_SO_MOI'!$C$31*J2888/E2888</f>
        <v>430.0406638430276</v>
      </c>
      <c r="L2888" s="75">
        <f>K2888*'THAM_SO_MOI'!$C$52*'THAM_SO_MOI'!$C$17/'THAM_SO_MOI'!$C$26</f>
        <v>6021.9569972774725</v>
      </c>
      <c r="M2888" s="75">
        <f>'THAM_SO_MOI'!$C$15*'THAM_SO_MOI'!$C$16*F2888^2</f>
        <v>533.1222494768859</v>
      </c>
      <c r="N2888" s="75">
        <f>'THAM_SO_MOI'!$C$12*I2888</f>
        <v>1130.112</v>
      </c>
      <c r="O2888" s="75">
        <f>M2888+N2888</f>
        <v>1663.234249476886</v>
      </c>
      <c r="P2888" s="75">
        <f>(MIN(L2888,'THAM_SO_MOI'!$C$41)-O2888)/('THAM_SO_MOI'!$C$11*H2888)</f>
        <v>0.481999014259232</v>
      </c>
      <c r="Q2888" s="75">
        <f>IF(P2888&gt;0,1/P2888,NA())</f>
        <v>2.074693039646287</v>
      </c>
      <c r="R2888" s="75">
        <f>F2888-F2887</f>
        <v>0.007943393307218827</v>
      </c>
      <c r="S2888" s="75">
        <f>0.5*(Q2887+Q2888)*R2888</f>
        <v>0.016479056599811488</v>
      </c>
      <c r="T2888" s="75">
        <f>0.5*(F2887*Q2887+F2888*Q2888)*R2888</f>
        <v>0.22241037329417426</v>
      </c>
      <c r="U2888" s="76">
        <f>U2887+S2888</f>
        <v>20.79700838973464</v>
      </c>
      <c r="V2888" s="76">
        <f>V2887+T2888</f>
        <v>166.78079697460896</v>
      </c>
    </row>
    <row r="2889" spans="1:22" ht="19" customHeight="1">
      <c r="A2889" s="68" t="s">
        <v>376</v>
      </c>
      <c r="B2889" s="74">
        <v>4</v>
      </c>
      <c r="C2889" s="68" t="s">
        <v>363</v>
      </c>
      <c r="D2889" s="68" t="s">
        <v>364</v>
      </c>
      <c r="E2889" s="75">
        <f>60*F2889*'THAM_SO_MOI'!$C$52/(2*PI()*'THAM_SO_MOI'!$C$26)</f>
        <v>2125.134907233961</v>
      </c>
      <c r="F2889" s="75">
        <f>'HANH_TRINH'!$F$2468+('THAM_SO_MOI'!$F$52-'HANH_TRINH'!$F$2468)*420/'THAM_SO_MOI'!$C$42</f>
        <v>13.508462528332165</v>
      </c>
      <c r="G2889" s="75">
        <f>3.6*F2889</f>
        <v>48.630465101995796</v>
      </c>
      <c r="H2889" s="75">
        <f>'THAM_SO_MOI'!$D$52</f>
        <v>1.1774754878398197</v>
      </c>
      <c r="I2889" s="75">
        <f>IF(F2889&gt;'THAM_SO_MOI'!$C$14,'THAM_SO_MOI'!$C$13*(1+F2889^2/1500),'THAM_SO_MOI'!$C$13)</f>
        <v>0.015</v>
      </c>
      <c r="J2889" s="75">
        <f>'THAM_SO_MOI'!$C$40*('THAM_SO_MOI'!$C$23*(E2889/'THAM_SO_MOI'!$C$22)+'THAM_SO_MOI'!$C$24*(E2889/'THAM_SO_MOI'!$C$22)^2-'THAM_SO_MOI'!$C$25*(E2889/'THAM_SO_MOI'!$C$22)^3)</f>
        <v>95.68588359549761</v>
      </c>
      <c r="K2889" s="75">
        <f>'THAM_SO_MOI'!$C$31*J2889/E2889</f>
        <v>430.0457746631163</v>
      </c>
      <c r="L2889" s="75">
        <f>K2889*'THAM_SO_MOI'!$C$52*'THAM_SO_MOI'!$C$17/'THAM_SO_MOI'!$C$26</f>
        <v>6022.028565250883</v>
      </c>
      <c r="M2889" s="75">
        <f>'THAM_SO_MOI'!$C$15*'THAM_SO_MOI'!$C$16*F2889^2</f>
        <v>533.7497876471112</v>
      </c>
      <c r="N2889" s="75">
        <f>'THAM_SO_MOI'!$C$12*I2889</f>
        <v>1130.112</v>
      </c>
      <c r="O2889" s="75">
        <f>M2889+N2889</f>
        <v>1663.8617876471112</v>
      </c>
      <c r="P2889" s="75">
        <f>(MIN(L2889,'THAM_SO_MOI'!$C$41)-O2889)/('THAM_SO_MOI'!$C$11*H2889)</f>
        <v>0.48193753361402286</v>
      </c>
      <c r="Q2889" s="75">
        <f>IF(P2889&gt;0,1/P2889,NA())</f>
        <v>2.0749577076951353</v>
      </c>
      <c r="R2889" s="75">
        <f>F2889-F2888</f>
        <v>0.007943393307220603</v>
      </c>
      <c r="S2889" s="75">
        <f>0.5*(Q2888+Q2889)*R2889</f>
        <v>0.016481153986867413</v>
      </c>
      <c r="T2889" s="75">
        <f>0.5*(F2888*Q2888+F2889*Q2889)*R2889</f>
        <v>0.22256959708610632</v>
      </c>
      <c r="U2889" s="76">
        <f>U2888+S2889</f>
        <v>20.813489543721506</v>
      </c>
      <c r="V2889" s="76">
        <f>V2888+T2889</f>
        <v>167.00336657169507</v>
      </c>
    </row>
    <row r="2890" spans="1:22" ht="19" customHeight="1">
      <c r="A2890" s="68" t="s">
        <v>376</v>
      </c>
      <c r="B2890" s="74">
        <v>4</v>
      </c>
      <c r="C2890" s="68" t="s">
        <v>363</v>
      </c>
      <c r="D2890" s="68" t="s">
        <v>364</v>
      </c>
      <c r="E2890" s="75">
        <f>60*F2890*'THAM_SO_MOI'!$C$52/(2*PI()*'THAM_SO_MOI'!$C$26)</f>
        <v>2126.384552214924</v>
      </c>
      <c r="F2890" s="75">
        <f>'HANH_TRINH'!$F$2468+('THAM_SO_MOI'!$F$52-'HANH_TRINH'!$F$2468)*421/'THAM_SO_MOI'!$C$42</f>
        <v>13.516405921639384</v>
      </c>
      <c r="G2890" s="75">
        <f>3.6*F2890</f>
        <v>48.65906131790178</v>
      </c>
      <c r="H2890" s="75">
        <f>'THAM_SO_MOI'!$D$52</f>
        <v>1.1774754878398197</v>
      </c>
      <c r="I2890" s="75">
        <f>IF(F2890&gt;'THAM_SO_MOI'!$C$14,'THAM_SO_MOI'!$C$13*(1+F2890^2/1500),'THAM_SO_MOI'!$C$13)</f>
        <v>0.015</v>
      </c>
      <c r="J2890" s="75">
        <f>'THAM_SO_MOI'!$C$40*('THAM_SO_MOI'!$C$23*(E2890/'THAM_SO_MOI'!$C$22)+'THAM_SO_MOI'!$C$24*(E2890/'THAM_SO_MOI'!$C$22)^2-'THAM_SO_MOI'!$C$25*(E2890/'THAM_SO_MOI'!$C$22)^3)</f>
        <v>95.74325395694808</v>
      </c>
      <c r="K2890" s="75">
        <f>'THAM_SO_MOI'!$C$31*J2890/E2890</f>
        <v>430.05073398347764</v>
      </c>
      <c r="L2890" s="75">
        <f>K2890*'THAM_SO_MOI'!$C$52*'THAM_SO_MOI'!$C$17/'THAM_SO_MOI'!$C$26</f>
        <v>6022.098011739233</v>
      </c>
      <c r="M2890" s="75">
        <f>'THAM_SO_MOI'!$C$15*'THAM_SO_MOI'!$C$16*F2890^2</f>
        <v>534.3776949376951</v>
      </c>
      <c r="N2890" s="75">
        <f>'THAM_SO_MOI'!$C$12*I2890</f>
        <v>1130.112</v>
      </c>
      <c r="O2890" s="75">
        <f>M2890+N2890</f>
        <v>1664.4896949376953</v>
      </c>
      <c r="P2890" s="75">
        <f>(MIN(L2890,'THAM_SO_MOI'!$C$41)-O2890)/('THAM_SO_MOI'!$C$11*H2890)</f>
        <v>0.4818757775511224</v>
      </c>
      <c r="Q2890" s="75">
        <f>IF(P2890&gt;0,1/P2890,NA())</f>
        <v>2.0752236293801043</v>
      </c>
      <c r="R2890" s="75">
        <f>F2890-F2889</f>
        <v>0.007943393307218827</v>
      </c>
      <c r="S2890" s="75">
        <f>0.5*(Q2889+Q2890)*R2890</f>
        <v>0.01648326132833397</v>
      </c>
      <c r="T2890" s="75">
        <f>0.5*(F2889*Q2889+F2890*Q2890)*R2890</f>
        <v>0.2227289887071126</v>
      </c>
      <c r="U2890" s="76">
        <f>U2889+S2890</f>
        <v>20.829972805049838</v>
      </c>
      <c r="V2890" s="76">
        <f>V2889+T2890</f>
        <v>167.22609556040217</v>
      </c>
    </row>
    <row r="2891" spans="1:22" ht="19" customHeight="1">
      <c r="A2891" s="68" t="s">
        <v>376</v>
      </c>
      <c r="B2891" s="74">
        <v>4</v>
      </c>
      <c r="C2891" s="68" t="s">
        <v>363</v>
      </c>
      <c r="D2891" s="68" t="s">
        <v>364</v>
      </c>
      <c r="E2891" s="75">
        <f>60*F2891*'THAM_SO_MOI'!$C$52/(2*PI()*'THAM_SO_MOI'!$C$26)</f>
        <v>2127.634197195887</v>
      </c>
      <c r="F2891" s="75">
        <f>'HANH_TRINH'!$F$2468+('THAM_SO_MOI'!$F$52-'HANH_TRINH'!$F$2468)*422/'THAM_SO_MOI'!$C$42</f>
        <v>13.524349314946603</v>
      </c>
      <c r="G2891" s="75">
        <f>3.6*F2891</f>
        <v>48.68765753380777</v>
      </c>
      <c r="H2891" s="75">
        <f>'THAM_SO_MOI'!$D$52</f>
        <v>1.1774754878398197</v>
      </c>
      <c r="I2891" s="75">
        <f>IF(F2891&gt;'THAM_SO_MOI'!$C$14,'THAM_SO_MOI'!$C$13*(1+F2891^2/1500),'THAM_SO_MOI'!$C$13)</f>
        <v>0.015</v>
      </c>
      <c r="J2891" s="75">
        <f>'THAM_SO_MOI'!$C$40*('THAM_SO_MOI'!$C$23*(E2891/'THAM_SO_MOI'!$C$22)+'THAM_SO_MOI'!$C$24*(E2891/'THAM_SO_MOI'!$C$22)^2-'THAM_SO_MOI'!$C$25*(E2891/'THAM_SO_MOI'!$C$22)^3)</f>
        <v>95.80059186755264</v>
      </c>
      <c r="K2891" s="75">
        <f>'THAM_SO_MOI'!$C$31*J2891/E2891</f>
        <v>430.05554180411156</v>
      </c>
      <c r="L2891" s="75">
        <f>K2891*'THAM_SO_MOI'!$C$52*'THAM_SO_MOI'!$C$17/'THAM_SO_MOI'!$C$26</f>
        <v>6022.165336742523</v>
      </c>
      <c r="M2891" s="75">
        <f>'THAM_SO_MOI'!$C$15*'THAM_SO_MOI'!$C$16*F2891^2</f>
        <v>535.0059713486377</v>
      </c>
      <c r="N2891" s="75">
        <f>'THAM_SO_MOI'!$C$12*I2891</f>
        <v>1130.112</v>
      </c>
      <c r="O2891" s="75">
        <f>M2891+N2891</f>
        <v>1665.1179713486376</v>
      </c>
      <c r="P2891" s="75">
        <f>(MIN(L2891,'THAM_SO_MOI'!$C$41)-O2891)/('THAM_SO_MOI'!$C$11*H2891)</f>
        <v>0.48181374607053046</v>
      </c>
      <c r="Q2891" s="75">
        <f>IF(P2891&gt;0,1/P2891,NA())</f>
        <v>2.0754908056392702</v>
      </c>
      <c r="R2891" s="75">
        <f>F2891-F2890</f>
        <v>0.007943393307218827</v>
      </c>
      <c r="S2891" s="75">
        <f>0.5*(Q2890+Q2891)*R2891</f>
        <v>0.016485378631654734</v>
      </c>
      <c r="T2891" s="75">
        <f>0.5*(F2890*Q2890+F2891*Q2891)*R2891</f>
        <v>0.2228885484950486</v>
      </c>
      <c r="U2891" s="76">
        <f>U2890+S2891</f>
        <v>20.84645818368149</v>
      </c>
      <c r="V2891" s="76">
        <f>V2890+T2891</f>
        <v>167.4489841088972</v>
      </c>
    </row>
    <row r="2892" spans="1:22" ht="19" customHeight="1">
      <c r="A2892" s="68" t="s">
        <v>376</v>
      </c>
      <c r="B2892" s="74">
        <v>4</v>
      </c>
      <c r="C2892" s="68" t="s">
        <v>363</v>
      </c>
      <c r="D2892" s="68" t="s">
        <v>364</v>
      </c>
      <c r="E2892" s="75">
        <f>60*F2892*'THAM_SO_MOI'!$C$52/(2*PI()*'THAM_SO_MOI'!$C$26)</f>
        <v>2128.8838421768496</v>
      </c>
      <c r="F2892" s="75">
        <f>'HANH_TRINH'!$F$2468+('THAM_SO_MOI'!$F$52-'HANH_TRINH'!$F$2468)*423/'THAM_SO_MOI'!$C$42</f>
        <v>13.532292708253822</v>
      </c>
      <c r="G2892" s="75">
        <f>3.6*F2892</f>
        <v>48.71625374971376</v>
      </c>
      <c r="H2892" s="75">
        <f>'THAM_SO_MOI'!$D$52</f>
        <v>1.1774754878398197</v>
      </c>
      <c r="I2892" s="75">
        <f>IF(F2892&gt;'THAM_SO_MOI'!$C$14,'THAM_SO_MOI'!$C$13*(1+F2892^2/1500),'THAM_SO_MOI'!$C$13)</f>
        <v>0.015</v>
      </c>
      <c r="J2892" s="75">
        <f>'THAM_SO_MOI'!$C$40*('THAM_SO_MOI'!$C$23*(E2892/'THAM_SO_MOI'!$C$22)+'THAM_SO_MOI'!$C$24*(E2892/'THAM_SO_MOI'!$C$22)^2-'THAM_SO_MOI'!$C$25*(E2892/'THAM_SO_MOI'!$C$22)^3)</f>
        <v>95.85789726784564</v>
      </c>
      <c r="K2892" s="75">
        <f>'THAM_SO_MOI'!$C$31*J2892/E2892</f>
        <v>430.06019812501796</v>
      </c>
      <c r="L2892" s="75">
        <f>K2892*'THAM_SO_MOI'!$C$52*'THAM_SO_MOI'!$C$17/'THAM_SO_MOI'!$C$26</f>
        <v>6022.230540260752</v>
      </c>
      <c r="M2892" s="75">
        <f>'THAM_SO_MOI'!$C$15*'THAM_SO_MOI'!$C$16*F2892^2</f>
        <v>535.6346168799392</v>
      </c>
      <c r="N2892" s="75">
        <f>'THAM_SO_MOI'!$C$12*I2892</f>
        <v>1130.112</v>
      </c>
      <c r="O2892" s="75">
        <f>M2892+N2892</f>
        <v>1665.7466168799392</v>
      </c>
      <c r="P2892" s="75">
        <f>(MIN(L2892,'THAM_SO_MOI'!$C$41)-O2892)/('THAM_SO_MOI'!$C$11*H2892)</f>
        <v>0.48175143917224694</v>
      </c>
      <c r="Q2892" s="75">
        <f>IF(P2892&gt;0,1/P2892,NA())</f>
        <v>2.075759237415494</v>
      </c>
      <c r="R2892" s="75">
        <f>F2892-F2891</f>
        <v>0.007943393307218827</v>
      </c>
      <c r="S2892" s="75">
        <f>0.5*(Q2891+Q2892)*R2892</f>
        <v>0.01648750590429654</v>
      </c>
      <c r="T2892" s="75">
        <f>0.5*(F2891*Q2891+F2892*Q2892)*R2892</f>
        <v>0.2230482767883208</v>
      </c>
      <c r="U2892" s="76">
        <f>U2891+S2892</f>
        <v>20.86294568958579</v>
      </c>
      <c r="V2892" s="76">
        <f>V2891+T2892</f>
        <v>167.67203238568553</v>
      </c>
    </row>
    <row r="2893" spans="1:22" ht="19" customHeight="1">
      <c r="A2893" s="68" t="s">
        <v>376</v>
      </c>
      <c r="B2893" s="74">
        <v>4</v>
      </c>
      <c r="C2893" s="68" t="s">
        <v>363</v>
      </c>
      <c r="D2893" s="68" t="s">
        <v>364</v>
      </c>
      <c r="E2893" s="75">
        <f>60*F2893*'THAM_SO_MOI'!$C$52/(2*PI()*'THAM_SO_MOI'!$C$26)</f>
        <v>2130.1334871578133</v>
      </c>
      <c r="F2893" s="75">
        <f>'HANH_TRINH'!$F$2468+('THAM_SO_MOI'!$F$52-'HANH_TRINH'!$F$2468)*424/'THAM_SO_MOI'!$C$42</f>
        <v>13.540236101561042</v>
      </c>
      <c r="G2893" s="75">
        <f>3.6*F2893</f>
        <v>48.74484996561976</v>
      </c>
      <c r="H2893" s="75">
        <f>'THAM_SO_MOI'!$D$52</f>
        <v>1.1774754878398197</v>
      </c>
      <c r="I2893" s="75">
        <f>IF(F2893&gt;'THAM_SO_MOI'!$C$14,'THAM_SO_MOI'!$C$13*(1+F2893^2/1500),'THAM_SO_MOI'!$C$13)</f>
        <v>0.015</v>
      </c>
      <c r="J2893" s="75">
        <f>'THAM_SO_MOI'!$C$40*('THAM_SO_MOI'!$C$23*(E2893/'THAM_SO_MOI'!$C$22)+'THAM_SO_MOI'!$C$24*(E2893/'THAM_SO_MOI'!$C$22)^2-'THAM_SO_MOI'!$C$25*(E2893/'THAM_SO_MOI'!$C$22)^3)</f>
        <v>95.91517009836143</v>
      </c>
      <c r="K2893" s="75">
        <f>'THAM_SO_MOI'!$C$31*J2893/E2893</f>
        <v>430.064702946197</v>
      </c>
      <c r="L2893" s="75">
        <f>K2893*'THAM_SO_MOI'!$C$52*'THAM_SO_MOI'!$C$17/'THAM_SO_MOI'!$C$26</f>
        <v>6022.293622293921</v>
      </c>
      <c r="M2893" s="75">
        <f>'THAM_SO_MOI'!$C$15*'THAM_SO_MOI'!$C$16*F2893^2</f>
        <v>536.2636315315997</v>
      </c>
      <c r="N2893" s="75">
        <f>'THAM_SO_MOI'!$C$12*I2893</f>
        <v>1130.112</v>
      </c>
      <c r="O2893" s="75">
        <f>M2893+N2893</f>
        <v>1666.3756315315998</v>
      </c>
      <c r="P2893" s="75">
        <f>(MIN(L2893,'THAM_SO_MOI'!$C$41)-O2893)/('THAM_SO_MOI'!$C$11*H2893)</f>
        <v>0.481688856856272</v>
      </c>
      <c r="Q2893" s="75">
        <f>IF(P2893&gt;0,1/P2893,NA())</f>
        <v>2.0760289256564293</v>
      </c>
      <c r="R2893" s="75">
        <f>F2893-F2892</f>
        <v>0.007943393307220603</v>
      </c>
      <c r="S2893" s="75">
        <f>0.5*(Q2892+Q2893)*R2893</f>
        <v>0.016489643153771622</v>
      </c>
      <c r="T2893" s="75">
        <f>0.5*(F2892*Q2892+F2893*Q2893)*R2893</f>
        <v>0.22320817392618755</v>
      </c>
      <c r="U2893" s="76">
        <f>U2892+S2893</f>
        <v>20.87943533273956</v>
      </c>
      <c r="V2893" s="76">
        <f>V2892+T2893</f>
        <v>167.89524055961172</v>
      </c>
    </row>
    <row r="2894" spans="1:22" ht="19" customHeight="1">
      <c r="A2894" s="68" t="s">
        <v>376</v>
      </c>
      <c r="B2894" s="74">
        <v>4</v>
      </c>
      <c r="C2894" s="68" t="s">
        <v>363</v>
      </c>
      <c r="D2894" s="68" t="s">
        <v>364</v>
      </c>
      <c r="E2894" s="75">
        <f>60*F2894*'THAM_SO_MOI'!$C$52/(2*PI()*'THAM_SO_MOI'!$C$26)</f>
        <v>2131.3831321387765</v>
      </c>
      <c r="F2894" s="75">
        <f>'HANH_TRINH'!$F$2468+('THAM_SO_MOI'!$F$52-'HANH_TRINH'!$F$2468)*425/'THAM_SO_MOI'!$C$42</f>
        <v>13.548179494868261</v>
      </c>
      <c r="G2894" s="75">
        <f>3.6*F2894</f>
        <v>48.77344618152574</v>
      </c>
      <c r="H2894" s="75">
        <f>'THAM_SO_MOI'!$D$52</f>
        <v>1.1774754878398197</v>
      </c>
      <c r="I2894" s="75">
        <f>IF(F2894&gt;'THAM_SO_MOI'!$C$14,'THAM_SO_MOI'!$C$13*(1+F2894^2/1500),'THAM_SO_MOI'!$C$13)</f>
        <v>0.015</v>
      </c>
      <c r="J2894" s="75">
        <f>'THAM_SO_MOI'!$C$40*('THAM_SO_MOI'!$C$23*(E2894/'THAM_SO_MOI'!$C$22)+'THAM_SO_MOI'!$C$24*(E2894/'THAM_SO_MOI'!$C$22)^2-'THAM_SO_MOI'!$C$25*(E2894/'THAM_SO_MOI'!$C$22)^3)</f>
        <v>95.97241029963423</v>
      </c>
      <c r="K2894" s="75">
        <f>'THAM_SO_MOI'!$C$31*J2894/E2894</f>
        <v>430.0690562676484</v>
      </c>
      <c r="L2894" s="75">
        <f>K2894*'THAM_SO_MOI'!$C$52*'THAM_SO_MOI'!$C$17/'THAM_SO_MOI'!$C$26</f>
        <v>6022.354582842027</v>
      </c>
      <c r="M2894" s="75">
        <f>'THAM_SO_MOI'!$C$15*'THAM_SO_MOI'!$C$16*F2894^2</f>
        <v>536.8930153036188</v>
      </c>
      <c r="N2894" s="75">
        <f>'THAM_SO_MOI'!$C$12*I2894</f>
        <v>1130.112</v>
      </c>
      <c r="O2894" s="75">
        <f>M2894+N2894</f>
        <v>1667.0050153036188</v>
      </c>
      <c r="P2894" s="75">
        <f>(MIN(L2894,'THAM_SO_MOI'!$C$41)-O2894)/('THAM_SO_MOI'!$C$11*H2894)</f>
        <v>0.48162599912260534</v>
      </c>
      <c r="Q2894" s="75">
        <f>IF(P2894&gt;0,1/P2894,NA())</f>
        <v>2.0762998713145353</v>
      </c>
      <c r="R2894" s="75">
        <f>F2894-F2893</f>
        <v>0.007943393307218827</v>
      </c>
      <c r="S2894" s="75">
        <f>0.5*(Q2893+Q2894)*R2894</f>
        <v>0.01649179038761558</v>
      </c>
      <c r="T2894" s="75">
        <f>0.5*(F2893*Q2893+F2894*Q2894)*R2894</f>
        <v>0.22336824024846264</v>
      </c>
      <c r="U2894" s="76">
        <f>U2893+S2894</f>
        <v>20.895927123127176</v>
      </c>
      <c r="V2894" s="76">
        <f>V2893+T2894</f>
        <v>168.1186087998602</v>
      </c>
    </row>
    <row r="2895" spans="1:22" ht="19" customHeight="1">
      <c r="A2895" s="68" t="s">
        <v>376</v>
      </c>
      <c r="B2895" s="74">
        <v>4</v>
      </c>
      <c r="C2895" s="68" t="s">
        <v>363</v>
      </c>
      <c r="D2895" s="68" t="s">
        <v>364</v>
      </c>
      <c r="E2895" s="75">
        <f>60*F2895*'THAM_SO_MOI'!$C$52/(2*PI()*'THAM_SO_MOI'!$C$26)</f>
        <v>2132.63277711974</v>
      </c>
      <c r="F2895" s="75">
        <f>'HANH_TRINH'!$F$2468+('THAM_SO_MOI'!$F$52-'HANH_TRINH'!$F$2468)*426/'THAM_SO_MOI'!$C$42</f>
        <v>13.55612288817548</v>
      </c>
      <c r="G2895" s="75">
        <f>3.6*F2895</f>
        <v>48.80204239743173</v>
      </c>
      <c r="H2895" s="75">
        <f>'THAM_SO_MOI'!$D$52</f>
        <v>1.1774754878398197</v>
      </c>
      <c r="I2895" s="75">
        <f>IF(F2895&gt;'THAM_SO_MOI'!$C$14,'THAM_SO_MOI'!$C$13*(1+F2895^2/1500),'THAM_SO_MOI'!$C$13)</f>
        <v>0.015</v>
      </c>
      <c r="J2895" s="75">
        <f>'THAM_SO_MOI'!$C$40*('THAM_SO_MOI'!$C$23*(E2895/'THAM_SO_MOI'!$C$22)+'THAM_SO_MOI'!$C$24*(E2895/'THAM_SO_MOI'!$C$22)^2-'THAM_SO_MOI'!$C$25*(E2895/'THAM_SO_MOI'!$C$22)^3)</f>
        <v>96.02961781219841</v>
      </c>
      <c r="K2895" s="75">
        <f>'THAM_SO_MOI'!$C$31*J2895/E2895</f>
        <v>430.07325808937236</v>
      </c>
      <c r="L2895" s="75">
        <f>K2895*'THAM_SO_MOI'!$C$52*'THAM_SO_MOI'!$C$17/'THAM_SO_MOI'!$C$26</f>
        <v>6022.413421905072</v>
      </c>
      <c r="M2895" s="75">
        <f>'THAM_SO_MOI'!$C$15*'THAM_SO_MOI'!$C$16*F2895^2</f>
        <v>537.5227681959967</v>
      </c>
      <c r="N2895" s="75">
        <f>'THAM_SO_MOI'!$C$12*I2895</f>
        <v>1130.112</v>
      </c>
      <c r="O2895" s="75">
        <f>M2895+N2895</f>
        <v>1667.634768195997</v>
      </c>
      <c r="P2895" s="75">
        <f>(MIN(L2895,'THAM_SO_MOI'!$C$41)-O2895)/('THAM_SO_MOI'!$C$11*H2895)</f>
        <v>0.4815628659712471</v>
      </c>
      <c r="Q2895" s="75">
        <f>IF(P2895&gt;0,1/P2895,NA())</f>
        <v>2.0765720753470793</v>
      </c>
      <c r="R2895" s="75">
        <f>F2895-F2894</f>
        <v>0.007943393307218827</v>
      </c>
      <c r="S2895" s="75">
        <f>0.5*(Q2894+Q2895)*R2895</f>
        <v>0.016493947613424344</v>
      </c>
      <c r="T2895" s="75">
        <f>0.5*(F2894*Q2894+F2895*Q2895)*R2895</f>
        <v>0.22352847609601637</v>
      </c>
      <c r="U2895" s="76">
        <f>U2894+S2895</f>
        <v>20.9124210707406</v>
      </c>
      <c r="V2895" s="76">
        <f>V2894+T2895</f>
        <v>168.34213727595622</v>
      </c>
    </row>
    <row r="2896" spans="1:22" ht="19" customHeight="1">
      <c r="A2896" s="68" t="s">
        <v>376</v>
      </c>
      <c r="B2896" s="74">
        <v>4</v>
      </c>
      <c r="C2896" s="68" t="s">
        <v>363</v>
      </c>
      <c r="D2896" s="68" t="s">
        <v>364</v>
      </c>
      <c r="E2896" s="75">
        <f>60*F2896*'THAM_SO_MOI'!$C$52/(2*PI()*'THAM_SO_MOI'!$C$26)</f>
        <v>2133.882422100703</v>
      </c>
      <c r="F2896" s="75">
        <f>'HANH_TRINH'!$F$2468+('THAM_SO_MOI'!$F$52-'HANH_TRINH'!$F$2468)*427/'THAM_SO_MOI'!$C$42</f>
        <v>13.5640662814827</v>
      </c>
      <c r="G2896" s="75">
        <f>3.6*F2896</f>
        <v>48.830638613337726</v>
      </c>
      <c r="H2896" s="75">
        <f>'THAM_SO_MOI'!$D$52</f>
        <v>1.1774754878398197</v>
      </c>
      <c r="I2896" s="75">
        <f>IF(F2896&gt;'THAM_SO_MOI'!$C$14,'THAM_SO_MOI'!$C$13*(1+F2896^2/1500),'THAM_SO_MOI'!$C$13)</f>
        <v>0.015</v>
      </c>
      <c r="J2896" s="75">
        <f>'THAM_SO_MOI'!$C$40*('THAM_SO_MOI'!$C$23*(E2896/'THAM_SO_MOI'!$C$22)+'THAM_SO_MOI'!$C$24*(E2896/'THAM_SO_MOI'!$C$22)^2-'THAM_SO_MOI'!$C$25*(E2896/'THAM_SO_MOI'!$C$22)^3)</f>
        <v>96.0867925765883</v>
      </c>
      <c r="K2896" s="75">
        <f>'THAM_SO_MOI'!$C$31*J2896/E2896</f>
        <v>430.07730841136896</v>
      </c>
      <c r="L2896" s="75">
        <f>K2896*'THAM_SO_MOI'!$C$52*'THAM_SO_MOI'!$C$17/'THAM_SO_MOI'!$C$26</f>
        <v>6022.470139483058</v>
      </c>
      <c r="M2896" s="75">
        <f>'THAM_SO_MOI'!$C$15*'THAM_SO_MOI'!$C$16*F2896^2</f>
        <v>538.1528902087337</v>
      </c>
      <c r="N2896" s="75">
        <f>'THAM_SO_MOI'!$C$12*I2896</f>
        <v>1130.112</v>
      </c>
      <c r="O2896" s="75">
        <f>M2896+N2896</f>
        <v>1668.2648902087337</v>
      </c>
      <c r="P2896" s="75">
        <f>(MIN(L2896,'THAM_SO_MOI'!$C$41)-O2896)/('THAM_SO_MOI'!$C$11*H2896)</f>
        <v>0.4814994574021975</v>
      </c>
      <c r="Q2896" s="75">
        <f>IF(P2896&gt;0,1/P2896,NA())</f>
        <v>2.076845538716148</v>
      </c>
      <c r="R2896" s="75">
        <f>F2896-F2895</f>
        <v>0.007943393307220603</v>
      </c>
      <c r="S2896" s="75">
        <f>0.5*(Q2895+Q2896)*R2896</f>
        <v>0.016496114838821005</v>
      </c>
      <c r="T2896" s="75">
        <f>0.5*(F2895*Q2895+F2896*Q2896)*R2896</f>
        <v>0.22368888181032906</v>
      </c>
      <c r="U2896" s="76">
        <f>U2895+S2896</f>
        <v>20.92891718557942</v>
      </c>
      <c r="V2896" s="76">
        <f>V2895+T2896</f>
        <v>168.56582615776654</v>
      </c>
    </row>
    <row r="2897" spans="1:22" ht="19" customHeight="1">
      <c r="A2897" s="68" t="s">
        <v>376</v>
      </c>
      <c r="B2897" s="74">
        <v>4</v>
      </c>
      <c r="C2897" s="68" t="s">
        <v>363</v>
      </c>
      <c r="D2897" s="68" t="s">
        <v>364</v>
      </c>
      <c r="E2897" s="75">
        <f>60*F2897*'THAM_SO_MOI'!$C$52/(2*PI()*'THAM_SO_MOI'!$C$26)</f>
        <v>2135.1320670816663</v>
      </c>
      <c r="F2897" s="75">
        <f>'HANH_TRINH'!$F$2468+('THAM_SO_MOI'!$F$52-'HANH_TRINH'!$F$2468)*428/'THAM_SO_MOI'!$C$42</f>
        <v>13.57200967478992</v>
      </c>
      <c r="G2897" s="75">
        <f>3.6*F2897</f>
        <v>48.85923482924371</v>
      </c>
      <c r="H2897" s="75">
        <f>'THAM_SO_MOI'!$D$52</f>
        <v>1.1774754878398197</v>
      </c>
      <c r="I2897" s="75">
        <f>IF(F2897&gt;'THAM_SO_MOI'!$C$14,'THAM_SO_MOI'!$C$13*(1+F2897^2/1500),'THAM_SO_MOI'!$C$13)</f>
        <v>0.015</v>
      </c>
      <c r="J2897" s="75">
        <f>'THAM_SO_MOI'!$C$40*('THAM_SO_MOI'!$C$23*(E2897/'THAM_SO_MOI'!$C$22)+'THAM_SO_MOI'!$C$24*(E2897/'THAM_SO_MOI'!$C$22)^2-'THAM_SO_MOI'!$C$25*(E2897/'THAM_SO_MOI'!$C$22)^3)</f>
        <v>96.14393453333814</v>
      </c>
      <c r="K2897" s="75">
        <f>'THAM_SO_MOI'!$C$31*J2897/E2897</f>
        <v>430.08120723363794</v>
      </c>
      <c r="L2897" s="75">
        <f>K2897*'THAM_SO_MOI'!$C$52*'THAM_SO_MOI'!$C$17/'THAM_SO_MOI'!$C$26</f>
        <v>6022.524735575981</v>
      </c>
      <c r="M2897" s="75">
        <f>'THAM_SO_MOI'!$C$15*'THAM_SO_MOI'!$C$16*F2897^2</f>
        <v>538.7833813418292</v>
      </c>
      <c r="N2897" s="75">
        <f>'THAM_SO_MOI'!$C$12*I2897</f>
        <v>1130.112</v>
      </c>
      <c r="O2897" s="75">
        <f>M2897+N2897</f>
        <v>1668.8953813418293</v>
      </c>
      <c r="P2897" s="75">
        <f>(MIN(L2897,'THAM_SO_MOI'!$C$41)-O2897)/('THAM_SO_MOI'!$C$11*H2897)</f>
        <v>0.48143577341545624</v>
      </c>
      <c r="Q2897" s="75">
        <f>IF(P2897&gt;0,1/P2897,NA())</f>
        <v>2.07712026238866</v>
      </c>
      <c r="R2897" s="75">
        <f>F2897-F2896</f>
        <v>0.007943393307218827</v>
      </c>
      <c r="S2897" s="75">
        <f>0.5*(Q2896+Q2897)*R2897</f>
        <v>0.016498292071455915</v>
      </c>
      <c r="T2897" s="75">
        <f>0.5*(F2896*Q2896+F2897*Q2897)*R2897</f>
        <v>0.22384945773349305</v>
      </c>
      <c r="U2897" s="76">
        <f>U2896+S2897</f>
        <v>20.945415477650876</v>
      </c>
      <c r="V2897" s="76">
        <f>V2896+T2897</f>
        <v>168.78967561550002</v>
      </c>
    </row>
    <row r="2898" spans="1:22" ht="19" customHeight="1">
      <c r="A2898" s="68" t="s">
        <v>376</v>
      </c>
      <c r="B2898" s="74">
        <v>4</v>
      </c>
      <c r="C2898" s="68" t="s">
        <v>363</v>
      </c>
      <c r="D2898" s="68" t="s">
        <v>364</v>
      </c>
      <c r="E2898" s="75">
        <f>60*F2898*'THAM_SO_MOI'!$C$52/(2*PI()*'THAM_SO_MOI'!$C$26)</f>
        <v>2136.38171206263</v>
      </c>
      <c r="F2898" s="75">
        <f>'HANH_TRINH'!$F$2468+('THAM_SO_MOI'!$F$52-'HANH_TRINH'!$F$2468)*429/'THAM_SO_MOI'!$C$42</f>
        <v>13.57995306809714</v>
      </c>
      <c r="G2898" s="75">
        <f>3.6*F2898</f>
        <v>48.8878310451497</v>
      </c>
      <c r="H2898" s="75">
        <f>'THAM_SO_MOI'!$D$52</f>
        <v>1.1774754878398197</v>
      </c>
      <c r="I2898" s="75">
        <f>IF(F2898&gt;'THAM_SO_MOI'!$C$14,'THAM_SO_MOI'!$C$13*(1+F2898^2/1500),'THAM_SO_MOI'!$C$13)</f>
        <v>0.015</v>
      </c>
      <c r="J2898" s="75">
        <f>'THAM_SO_MOI'!$C$40*('THAM_SO_MOI'!$C$23*(E2898/'THAM_SO_MOI'!$C$22)+'THAM_SO_MOI'!$C$24*(E2898/'THAM_SO_MOI'!$C$22)^2-'THAM_SO_MOI'!$C$25*(E2898/'THAM_SO_MOI'!$C$22)^3)</f>
        <v>96.20104362298234</v>
      </c>
      <c r="K2898" s="75">
        <f>'THAM_SO_MOI'!$C$31*J2898/E2898</f>
        <v>430.0849545561796</v>
      </c>
      <c r="L2898" s="75">
        <f>K2898*'THAM_SO_MOI'!$C$52*'THAM_SO_MOI'!$C$17/'THAM_SO_MOI'!$C$26</f>
        <v>6022.577210183845</v>
      </c>
      <c r="M2898" s="75">
        <f>'THAM_SO_MOI'!$C$15*'THAM_SO_MOI'!$C$16*F2898^2</f>
        <v>539.4142415952838</v>
      </c>
      <c r="N2898" s="75">
        <f>'THAM_SO_MOI'!$C$12*I2898</f>
        <v>1130.112</v>
      </c>
      <c r="O2898" s="75">
        <f>M2898+N2898</f>
        <v>1669.5262415952839</v>
      </c>
      <c r="P2898" s="75">
        <f>(MIN(L2898,'THAM_SO_MOI'!$C$41)-O2898)/('THAM_SO_MOI'!$C$11*H2898)</f>
        <v>0.4813718140110235</v>
      </c>
      <c r="Q2898" s="75">
        <f>IF(P2898&gt;0,1/P2898,NA())</f>
        <v>2.077396247336367</v>
      </c>
      <c r="R2898" s="75">
        <f>F2898-F2897</f>
        <v>0.007943393307220603</v>
      </c>
      <c r="S2898" s="75">
        <f>0.5*(Q2897+Q2898)*R2898</f>
        <v>0.01650047931904364</v>
      </c>
      <c r="T2898" s="75">
        <f>0.5*(F2897*Q2897+F2898*Q2898)*R2898</f>
        <v>0.22401020420871554</v>
      </c>
      <c r="U2898" s="76">
        <f>U2897+S2898</f>
        <v>20.961915956969918</v>
      </c>
      <c r="V2898" s="76">
        <f>V2897+T2898</f>
        <v>169.01368581970874</v>
      </c>
    </row>
    <row r="2899" spans="1:22" ht="19" customHeight="1">
      <c r="A2899" s="68" t="s">
        <v>376</v>
      </c>
      <c r="B2899" s="74">
        <v>4</v>
      </c>
      <c r="C2899" s="68" t="s">
        <v>363</v>
      </c>
      <c r="D2899" s="68" t="s">
        <v>364</v>
      </c>
      <c r="E2899" s="75">
        <f>60*F2899*'THAM_SO_MOI'!$C$52/(2*PI()*'THAM_SO_MOI'!$C$26)</f>
        <v>2137.631357043593</v>
      </c>
      <c r="F2899" s="75">
        <f>'HANH_TRINH'!$F$2468+('THAM_SO_MOI'!$F$52-'HANH_TRINH'!$F$2468)*430/'THAM_SO_MOI'!$C$42</f>
        <v>13.587896461404359</v>
      </c>
      <c r="G2899" s="75">
        <f>3.6*F2899</f>
        <v>48.916427261055695</v>
      </c>
      <c r="H2899" s="75">
        <f>'THAM_SO_MOI'!$D$52</f>
        <v>1.1774754878398197</v>
      </c>
      <c r="I2899" s="75">
        <f>IF(F2899&gt;'THAM_SO_MOI'!$C$14,'THAM_SO_MOI'!$C$13*(1+F2899^2/1500),'THAM_SO_MOI'!$C$13)</f>
        <v>0.015</v>
      </c>
      <c r="J2899" s="75">
        <f>'THAM_SO_MOI'!$C$40*('THAM_SO_MOI'!$C$23*(E2899/'THAM_SO_MOI'!$C$22)+'THAM_SO_MOI'!$C$24*(E2899/'THAM_SO_MOI'!$C$22)^2-'THAM_SO_MOI'!$C$25*(E2899/'THAM_SO_MOI'!$C$22)^3)</f>
        <v>96.25811978605513</v>
      </c>
      <c r="K2899" s="75">
        <f>'THAM_SO_MOI'!$C$31*J2899/E2899</f>
        <v>430.0885503789937</v>
      </c>
      <c r="L2899" s="75">
        <f>K2899*'THAM_SO_MOI'!$C$52*'THAM_SO_MOI'!$C$17/'THAM_SO_MOI'!$C$26</f>
        <v>6022.627563306647</v>
      </c>
      <c r="M2899" s="75">
        <f>'THAM_SO_MOI'!$C$15*'THAM_SO_MOI'!$C$16*F2899^2</f>
        <v>540.045470969097</v>
      </c>
      <c r="N2899" s="75">
        <f>'THAM_SO_MOI'!$C$12*I2899</f>
        <v>1130.112</v>
      </c>
      <c r="O2899" s="75">
        <f>M2899+N2899</f>
        <v>1670.1574709690972</v>
      </c>
      <c r="P2899" s="75">
        <f>(MIN(L2899,'THAM_SO_MOI'!$C$41)-O2899)/('THAM_SO_MOI'!$C$11*H2899)</f>
        <v>0.4813075791888993</v>
      </c>
      <c r="Q2899" s="75">
        <f>IF(P2899&gt;0,1/P2899,NA())</f>
        <v>2.077673494535869</v>
      </c>
      <c r="R2899" s="75">
        <f>F2899-F2898</f>
        <v>0.007943393307218827</v>
      </c>
      <c r="S2899" s="75">
        <f>0.5*(Q2898+Q2899)*R2899</f>
        <v>0.016502676589307687</v>
      </c>
      <c r="T2899" s="75">
        <f>0.5*(F2898*Q2898+F2899*Q2899)*R2899</f>
        <v>0.22417112157957025</v>
      </c>
      <c r="U2899" s="76">
        <f>U2898+S2899</f>
        <v>20.978418633559226</v>
      </c>
      <c r="V2899" s="76">
        <f>V2898+T2899</f>
        <v>169.2378569412883</v>
      </c>
    </row>
    <row r="2900" spans="1:22" ht="19" customHeight="1">
      <c r="A2900" s="68" t="s">
        <v>376</v>
      </c>
      <c r="B2900" s="74">
        <v>4</v>
      </c>
      <c r="C2900" s="68" t="s">
        <v>363</v>
      </c>
      <c r="D2900" s="68" t="s">
        <v>364</v>
      </c>
      <c r="E2900" s="75">
        <f>60*F2900*'THAM_SO_MOI'!$C$52/(2*PI()*'THAM_SO_MOI'!$C$26)</f>
        <v>2138.8810020245564</v>
      </c>
      <c r="F2900" s="75">
        <f>'HANH_TRINH'!$F$2468+('THAM_SO_MOI'!$F$52-'HANH_TRINH'!$F$2468)*431/'THAM_SO_MOI'!$C$42</f>
        <v>13.595839854711578</v>
      </c>
      <c r="G2900" s="75">
        <f>3.6*F2900</f>
        <v>48.94502347696168</v>
      </c>
      <c r="H2900" s="75">
        <f>'THAM_SO_MOI'!$D$52</f>
        <v>1.1774754878398197</v>
      </c>
      <c r="I2900" s="75">
        <f>IF(F2900&gt;'THAM_SO_MOI'!$C$14,'THAM_SO_MOI'!$C$13*(1+F2900^2/1500),'THAM_SO_MOI'!$C$13)</f>
        <v>0.015</v>
      </c>
      <c r="J2900" s="75">
        <f>'THAM_SO_MOI'!$C$40*('THAM_SO_MOI'!$C$23*(E2900/'THAM_SO_MOI'!$C$22)+'THAM_SO_MOI'!$C$24*(E2900/'THAM_SO_MOI'!$C$22)^2-'THAM_SO_MOI'!$C$25*(E2900/'THAM_SO_MOI'!$C$22)^3)</f>
        <v>96.31516296309086</v>
      </c>
      <c r="K2900" s="75">
        <f>'THAM_SO_MOI'!$C$31*J2900/E2900</f>
        <v>430.0919947020803</v>
      </c>
      <c r="L2900" s="75">
        <f>K2900*'THAM_SO_MOI'!$C$52*'THAM_SO_MOI'!$C$17/'THAM_SO_MOI'!$C$26</f>
        <v>6022.675794944388</v>
      </c>
      <c r="M2900" s="75">
        <f>'THAM_SO_MOI'!$C$15*'THAM_SO_MOI'!$C$16*F2900^2</f>
        <v>540.6770694632689</v>
      </c>
      <c r="N2900" s="75">
        <f>'THAM_SO_MOI'!$C$12*I2900</f>
        <v>1130.112</v>
      </c>
      <c r="O2900" s="75">
        <f>M2900+N2900</f>
        <v>1670.789069463269</v>
      </c>
      <c r="P2900" s="75">
        <f>(MIN(L2900,'THAM_SO_MOI'!$C$41)-O2900)/('THAM_SO_MOI'!$C$11*H2900)</f>
        <v>0.48124306894908353</v>
      </c>
      <c r="Q2900" s="75">
        <f>IF(P2900&gt;0,1/P2900,NA())</f>
        <v>2.07795200496862</v>
      </c>
      <c r="R2900" s="75">
        <f>F2900-F2899</f>
        <v>0.007943393307218827</v>
      </c>
      <c r="S2900" s="75">
        <f>0.5*(Q2899+Q2900)*R2900</f>
        <v>0.016504883890035925</v>
      </c>
      <c r="T2900" s="75">
        <f>0.5*(F2899*Q2899+F2900*Q2900)*R2900</f>
        <v>0.22433221019075106</v>
      </c>
      <c r="U2900" s="76">
        <f>U2899+S2900</f>
        <v>20.994923517449262</v>
      </c>
      <c r="V2900" s="76">
        <f>V2899+T2900</f>
        <v>169.46218915147904</v>
      </c>
    </row>
    <row r="2901" spans="1:22" ht="19" customHeight="1">
      <c r="A2901" s="68" t="s">
        <v>376</v>
      </c>
      <c r="B2901" s="74">
        <v>4</v>
      </c>
      <c r="C2901" s="68" t="s">
        <v>363</v>
      </c>
      <c r="D2901" s="68" t="s">
        <v>364</v>
      </c>
      <c r="E2901" s="75">
        <f>60*F2901*'THAM_SO_MOI'!$C$52/(2*PI()*'THAM_SO_MOI'!$C$26)</f>
        <v>2140.130647005519</v>
      </c>
      <c r="F2901" s="75">
        <f>'HANH_TRINH'!$F$2468+('THAM_SO_MOI'!$F$52-'HANH_TRINH'!$F$2468)*432/'THAM_SO_MOI'!$C$42</f>
        <v>13.603783248018797</v>
      </c>
      <c r="G2901" s="75">
        <f>3.6*F2901</f>
        <v>48.97361969286767</v>
      </c>
      <c r="H2901" s="75">
        <f>'THAM_SO_MOI'!$D$52</f>
        <v>1.1774754878398197</v>
      </c>
      <c r="I2901" s="75">
        <f>IF(F2901&gt;'THAM_SO_MOI'!$C$14,'THAM_SO_MOI'!$C$13*(1+F2901^2/1500),'THAM_SO_MOI'!$C$13)</f>
        <v>0.015</v>
      </c>
      <c r="J2901" s="75">
        <f>'THAM_SO_MOI'!$C$40*('THAM_SO_MOI'!$C$23*(E2901/'THAM_SO_MOI'!$C$22)+'THAM_SO_MOI'!$C$24*(E2901/'THAM_SO_MOI'!$C$22)^2-'THAM_SO_MOI'!$C$25*(E2901/'THAM_SO_MOI'!$C$22)^3)</f>
        <v>96.37217309462383</v>
      </c>
      <c r="K2901" s="75">
        <f>'THAM_SO_MOI'!$C$31*J2901/E2901</f>
        <v>430.0952875254396</v>
      </c>
      <c r="L2901" s="75">
        <f>K2901*'THAM_SO_MOI'!$C$52*'THAM_SO_MOI'!$C$17/'THAM_SO_MOI'!$C$26</f>
        <v>6022.72190509707</v>
      </c>
      <c r="M2901" s="75">
        <f>'THAM_SO_MOI'!$C$15*'THAM_SO_MOI'!$C$16*F2901^2</f>
        <v>541.3090370777998</v>
      </c>
      <c r="N2901" s="75">
        <f>'THAM_SO_MOI'!$C$12*I2901</f>
        <v>1130.112</v>
      </c>
      <c r="O2901" s="75">
        <f>M2901+N2901</f>
        <v>1671.4210370777998</v>
      </c>
      <c r="P2901" s="75">
        <f>(MIN(L2901,'THAM_SO_MOI'!$C$41)-O2901)/('THAM_SO_MOI'!$C$11*H2901)</f>
        <v>0.4811782832915763</v>
      </c>
      <c r="Q2901" s="75">
        <f>IF(P2901&gt;0,1/P2901,NA())</f>
        <v>2.078231779620937</v>
      </c>
      <c r="R2901" s="75">
        <f>F2901-F2900</f>
        <v>0.007943393307218827</v>
      </c>
      <c r="S2901" s="75">
        <f>0.5*(Q2900+Q2901)*R2901</f>
        <v>0.016507101229040047</v>
      </c>
      <c r="T2901" s="75">
        <f>0.5*(F2900*Q2900+F2901*Q2901)*R2901</f>
        <v>0.22449347038752343</v>
      </c>
      <c r="U2901" s="76">
        <f>U2900+S2901</f>
        <v>21.0114306186783</v>
      </c>
      <c r="V2901" s="76">
        <f>V2900+T2901</f>
        <v>169.68668262186657</v>
      </c>
    </row>
    <row r="2902" spans="1:22" ht="19" customHeight="1">
      <c r="A2902" s="68" t="s">
        <v>376</v>
      </c>
      <c r="B2902" s="74">
        <v>4</v>
      </c>
      <c r="C2902" s="68" t="s">
        <v>363</v>
      </c>
      <c r="D2902" s="68" t="s">
        <v>364</v>
      </c>
      <c r="E2902" s="75">
        <f>60*F2902*'THAM_SO_MOI'!$C$52/(2*PI()*'THAM_SO_MOI'!$C$26)</f>
        <v>2141.380291986483</v>
      </c>
      <c r="F2902" s="75">
        <f>'HANH_TRINH'!$F$2468+('THAM_SO_MOI'!$F$52-'HANH_TRINH'!$F$2468)*433/'THAM_SO_MOI'!$C$42</f>
        <v>13.611726641326017</v>
      </c>
      <c r="G2902" s="75">
        <f>3.6*F2902</f>
        <v>49.002215908773664</v>
      </c>
      <c r="H2902" s="75">
        <f>'THAM_SO_MOI'!$D$52</f>
        <v>1.1774754878398197</v>
      </c>
      <c r="I2902" s="75">
        <f>IF(F2902&gt;'THAM_SO_MOI'!$C$14,'THAM_SO_MOI'!$C$13*(1+F2902^2/1500),'THAM_SO_MOI'!$C$13)</f>
        <v>0.015</v>
      </c>
      <c r="J2902" s="75">
        <f>'THAM_SO_MOI'!$C$40*('THAM_SO_MOI'!$C$23*(E2902/'THAM_SO_MOI'!$C$22)+'THAM_SO_MOI'!$C$24*(E2902/'THAM_SO_MOI'!$C$22)^2-'THAM_SO_MOI'!$C$25*(E2902/'THAM_SO_MOI'!$C$22)^3)</f>
        <v>96.42915012118837</v>
      </c>
      <c r="K2902" s="75">
        <f>'THAM_SO_MOI'!$C$31*J2902/E2902</f>
        <v>430.0984288490712</v>
      </c>
      <c r="L2902" s="75">
        <f>K2902*'THAM_SO_MOI'!$C$52*'THAM_SO_MOI'!$C$17/'THAM_SO_MOI'!$C$26</f>
        <v>6022.7658937646875</v>
      </c>
      <c r="M2902" s="75">
        <f>'THAM_SO_MOI'!$C$15*'THAM_SO_MOI'!$C$16*F2902^2</f>
        <v>541.9413738126896</v>
      </c>
      <c r="N2902" s="75">
        <f>'THAM_SO_MOI'!$C$12*I2902</f>
        <v>1130.112</v>
      </c>
      <c r="O2902" s="75">
        <f>M2902+N2902</f>
        <v>1672.0533738126896</v>
      </c>
      <c r="P2902" s="75">
        <f>(MIN(L2902,'THAM_SO_MOI'!$C$41)-O2902)/('THAM_SO_MOI'!$C$11*H2902)</f>
        <v>0.4811132222163773</v>
      </c>
      <c r="Q2902" s="75">
        <f>IF(P2902&gt;0,1/P2902,NA())</f>
        <v>2.0785128194840112</v>
      </c>
      <c r="R2902" s="75">
        <f>F2902-F2901</f>
        <v>0.007943393307220603</v>
      </c>
      <c r="S2902" s="75">
        <f>0.5*(Q2901+Q2902)*R2902</f>
        <v>0.01650932861417782</v>
      </c>
      <c r="T2902" s="75">
        <f>0.5*(F2901*Q2901+F2902*Q2902)*R2902</f>
        <v>0.22465490251602785</v>
      </c>
      <c r="U2902" s="76">
        <f>U2901+S2902</f>
        <v>21.027939947292477</v>
      </c>
      <c r="V2902" s="76">
        <f>V2901+T2902</f>
        <v>169.9113375243826</v>
      </c>
    </row>
    <row r="2903" spans="1:22" ht="19" customHeight="1">
      <c r="A2903" s="68" t="s">
        <v>376</v>
      </c>
      <c r="B2903" s="74">
        <v>4</v>
      </c>
      <c r="C2903" s="68" t="s">
        <v>363</v>
      </c>
      <c r="D2903" s="68" t="s">
        <v>364</v>
      </c>
      <c r="E2903" s="75">
        <f>60*F2903*'THAM_SO_MOI'!$C$52/(2*PI()*'THAM_SO_MOI'!$C$26)</f>
        <v>2142.629936967446</v>
      </c>
      <c r="F2903" s="75">
        <f>'HANH_TRINH'!$F$2468+('THAM_SO_MOI'!$F$52-'HANH_TRINH'!$F$2468)*434/'THAM_SO_MOI'!$C$42</f>
        <v>13.619670034633236</v>
      </c>
      <c r="G2903" s="75">
        <f>3.6*F2903</f>
        <v>49.03081212467965</v>
      </c>
      <c r="H2903" s="75">
        <f>'THAM_SO_MOI'!$D$52</f>
        <v>1.1774754878398197</v>
      </c>
      <c r="I2903" s="75">
        <f>IF(F2903&gt;'THAM_SO_MOI'!$C$14,'THAM_SO_MOI'!$C$13*(1+F2903^2/1500),'THAM_SO_MOI'!$C$13)</f>
        <v>0.015</v>
      </c>
      <c r="J2903" s="75">
        <f>'THAM_SO_MOI'!$C$40*('THAM_SO_MOI'!$C$23*(E2903/'THAM_SO_MOI'!$C$22)+'THAM_SO_MOI'!$C$24*(E2903/'THAM_SO_MOI'!$C$22)^2-'THAM_SO_MOI'!$C$25*(E2903/'THAM_SO_MOI'!$C$22)^3)</f>
        <v>96.4860939833188</v>
      </c>
      <c r="K2903" s="75">
        <f>'THAM_SO_MOI'!$C$31*J2903/E2903</f>
        <v>430.1014186729754</v>
      </c>
      <c r="L2903" s="75">
        <f>K2903*'THAM_SO_MOI'!$C$52*'THAM_SO_MOI'!$C$17/'THAM_SO_MOI'!$C$26</f>
        <v>6022.807760947245</v>
      </c>
      <c r="M2903" s="75">
        <f>'THAM_SO_MOI'!$C$15*'THAM_SO_MOI'!$C$16*F2903^2</f>
        <v>542.574079667938</v>
      </c>
      <c r="N2903" s="75">
        <f>'THAM_SO_MOI'!$C$12*I2903</f>
        <v>1130.112</v>
      </c>
      <c r="O2903" s="75">
        <f>M2903+N2903</f>
        <v>1672.686079667938</v>
      </c>
      <c r="P2903" s="75">
        <f>(MIN(L2903,'THAM_SO_MOI'!$C$41)-O2903)/('THAM_SO_MOI'!$C$11*H2903)</f>
        <v>0.4810478857234867</v>
      </c>
      <c r="Q2903" s="75">
        <f>IF(P2903&gt;0,1/P2903,NA())</f>
        <v>2.078795125553913</v>
      </c>
      <c r="R2903" s="75">
        <f>F2903-F2902</f>
        <v>0.007943393307218827</v>
      </c>
      <c r="S2903" s="75">
        <f>0.5*(Q2902+Q2903)*R2903</f>
        <v>0.016511566053330953</v>
      </c>
      <c r="T2903" s="75">
        <f>0.5*(F2902*Q2902+F2903*Q2903)*R2903</f>
        <v>0.2248165069229807</v>
      </c>
      <c r="U2903" s="76">
        <f>U2902+S2903</f>
        <v>21.04445151334581</v>
      </c>
      <c r="V2903" s="76">
        <f>V2902+T2903</f>
        <v>170.13615403130558</v>
      </c>
    </row>
    <row r="2904" spans="1:22" ht="19" customHeight="1">
      <c r="A2904" s="68" t="s">
        <v>376</v>
      </c>
      <c r="B2904" s="74">
        <v>4</v>
      </c>
      <c r="C2904" s="68" t="s">
        <v>363</v>
      </c>
      <c r="D2904" s="68" t="s">
        <v>364</v>
      </c>
      <c r="E2904" s="75">
        <f>60*F2904*'THAM_SO_MOI'!$C$52/(2*PI()*'THAM_SO_MOI'!$C$26)</f>
        <v>2143.87958194841</v>
      </c>
      <c r="F2904" s="75">
        <f>'HANH_TRINH'!$F$2468+('THAM_SO_MOI'!$F$52-'HANH_TRINH'!$F$2468)*435/'THAM_SO_MOI'!$C$42</f>
        <v>13.627613427940457</v>
      </c>
      <c r="G2904" s="75">
        <f>3.6*F2904</f>
        <v>49.05940834058565</v>
      </c>
      <c r="H2904" s="75">
        <f>'THAM_SO_MOI'!$D$52</f>
        <v>1.1774754878398197</v>
      </c>
      <c r="I2904" s="75">
        <f>IF(F2904&gt;'THAM_SO_MOI'!$C$14,'THAM_SO_MOI'!$C$13*(1+F2904^2/1500),'THAM_SO_MOI'!$C$13)</f>
        <v>0.015</v>
      </c>
      <c r="J2904" s="75">
        <f>'THAM_SO_MOI'!$C$40*('THAM_SO_MOI'!$C$23*(E2904/'THAM_SO_MOI'!$C$22)+'THAM_SO_MOI'!$C$24*(E2904/'THAM_SO_MOI'!$C$22)^2-'THAM_SO_MOI'!$C$25*(E2904/'THAM_SO_MOI'!$C$22)^3)</f>
        <v>96.54300462154939</v>
      </c>
      <c r="K2904" s="75">
        <f>'THAM_SO_MOI'!$C$31*J2904/E2904</f>
        <v>430.104256997152</v>
      </c>
      <c r="L2904" s="75">
        <f>K2904*'THAM_SO_MOI'!$C$52*'THAM_SO_MOI'!$C$17/'THAM_SO_MOI'!$C$26</f>
        <v>6022.847506644742</v>
      </c>
      <c r="M2904" s="75">
        <f>'THAM_SO_MOI'!$C$15*'THAM_SO_MOI'!$C$16*F2904^2</f>
        <v>543.2071546435454</v>
      </c>
      <c r="N2904" s="75">
        <f>'THAM_SO_MOI'!$C$12*I2904</f>
        <v>1130.112</v>
      </c>
      <c r="O2904" s="75">
        <f>M2904+N2904</f>
        <v>1673.3191546435455</v>
      </c>
      <c r="P2904" s="75">
        <f>(MIN(L2904,'THAM_SO_MOI'!$C$41)-O2904)/('THAM_SO_MOI'!$C$11*H2904)</f>
        <v>0.4809822738129048</v>
      </c>
      <c r="Q2904" s="75">
        <f>IF(P2904&gt;0,1/P2904,NA())</f>
        <v>2.0790786988316032</v>
      </c>
      <c r="R2904" s="75">
        <f>F2904-F2903</f>
        <v>0.007943393307220603</v>
      </c>
      <c r="S2904" s="75">
        <f>0.5*(Q2903+Q2904)*R2904</f>
        <v>0.016513813554445825</v>
      </c>
      <c r="T2904" s="75">
        <f>0.5*(F2903*Q2903+F2904*Q2904)*R2904</f>
        <v>0.22497828395622949</v>
      </c>
      <c r="U2904" s="76">
        <f>U2903+S2904</f>
        <v>21.060965326900256</v>
      </c>
      <c r="V2904" s="76">
        <f>V2903+T2904</f>
        <v>170.3611323152618</v>
      </c>
    </row>
    <row r="2905" spans="1:22" ht="19" customHeight="1">
      <c r="A2905" s="68" t="s">
        <v>376</v>
      </c>
      <c r="B2905" s="74">
        <v>4</v>
      </c>
      <c r="C2905" s="68" t="s">
        <v>363</v>
      </c>
      <c r="D2905" s="68" t="s">
        <v>364</v>
      </c>
      <c r="E2905" s="75">
        <f>60*F2905*'THAM_SO_MOI'!$C$52/(2*PI()*'THAM_SO_MOI'!$C$26)</f>
        <v>2145.1292269293726</v>
      </c>
      <c r="F2905" s="75">
        <f>'HANH_TRINH'!$F$2468+('THAM_SO_MOI'!$F$52-'HANH_TRINH'!$F$2468)*436/'THAM_SO_MOI'!$C$42</f>
        <v>13.635556821247675</v>
      </c>
      <c r="G2905" s="75">
        <f>3.6*F2905</f>
        <v>49.08800455649163</v>
      </c>
      <c r="H2905" s="75">
        <f>'THAM_SO_MOI'!$D$52</f>
        <v>1.1774754878398197</v>
      </c>
      <c r="I2905" s="75">
        <f>IF(F2905&gt;'THAM_SO_MOI'!$C$14,'THAM_SO_MOI'!$C$13*(1+F2905^2/1500),'THAM_SO_MOI'!$C$13)</f>
        <v>0.015</v>
      </c>
      <c r="J2905" s="75">
        <f>'THAM_SO_MOI'!$C$40*('THAM_SO_MOI'!$C$23*(E2905/'THAM_SO_MOI'!$C$22)+'THAM_SO_MOI'!$C$24*(E2905/'THAM_SO_MOI'!$C$22)^2-'THAM_SO_MOI'!$C$25*(E2905/'THAM_SO_MOI'!$C$22)^3)</f>
        <v>96.5998819764145</v>
      </c>
      <c r="K2905" s="75">
        <f>'THAM_SO_MOI'!$C$31*J2905/E2905</f>
        <v>430.1069438216013</v>
      </c>
      <c r="L2905" s="75">
        <f>K2905*'THAM_SO_MOI'!$C$52*'THAM_SO_MOI'!$C$17/'THAM_SO_MOI'!$C$26</f>
        <v>6022.8851308571775</v>
      </c>
      <c r="M2905" s="75">
        <f>'THAM_SO_MOI'!$C$15*'THAM_SO_MOI'!$C$16*F2905^2</f>
        <v>543.8405987395116</v>
      </c>
      <c r="N2905" s="75">
        <f>'THAM_SO_MOI'!$C$12*I2905</f>
        <v>1130.112</v>
      </c>
      <c r="O2905" s="75">
        <f>M2905+N2905</f>
        <v>1673.9525987395118</v>
      </c>
      <c r="P2905" s="75">
        <f>(MIN(L2905,'THAM_SO_MOI'!$C$41)-O2905)/('THAM_SO_MOI'!$C$11*H2905)</f>
        <v>0.48091638648463125</v>
      </c>
      <c r="Q2905" s="75">
        <f>IF(P2905&gt;0,1/P2905,NA())</f>
        <v>2.079363540322944</v>
      </c>
      <c r="R2905" s="75">
        <f>F2905-F2904</f>
        <v>0.007943393307218827</v>
      </c>
      <c r="S2905" s="75">
        <f>0.5*(Q2904+Q2905)*R2905</f>
        <v>0.016516071125478152</v>
      </c>
      <c r="T2905" s="75">
        <f>0.5*(F2904*Q2904+F2905*Q2905)*R2905</f>
        <v>0.22514023396400185</v>
      </c>
      <c r="U2905" s="76">
        <f>U2904+S2905</f>
        <v>21.077481398025736</v>
      </c>
      <c r="V2905" s="76">
        <f>V2904+T2905</f>
        <v>170.5862725492258</v>
      </c>
    </row>
    <row r="2906" spans="1:22" ht="19" customHeight="1">
      <c r="A2906" s="68" t="s">
        <v>376</v>
      </c>
      <c r="B2906" s="74">
        <v>4</v>
      </c>
      <c r="C2906" s="68" t="s">
        <v>363</v>
      </c>
      <c r="D2906" s="68" t="s">
        <v>364</v>
      </c>
      <c r="E2906" s="75">
        <f>60*F2906*'THAM_SO_MOI'!$C$52/(2*PI()*'THAM_SO_MOI'!$C$26)</f>
        <v>2146.3788719103354</v>
      </c>
      <c r="F2906" s="75">
        <f>'HANH_TRINH'!$F$2468+('THAM_SO_MOI'!$F$52-'HANH_TRINH'!$F$2468)*437/'THAM_SO_MOI'!$C$42</f>
        <v>13.643500214554894</v>
      </c>
      <c r="G2906" s="75">
        <f>3.6*F2906</f>
        <v>49.11660077239762</v>
      </c>
      <c r="H2906" s="75">
        <f>'THAM_SO_MOI'!$D$52</f>
        <v>1.1774754878398197</v>
      </c>
      <c r="I2906" s="75">
        <f>IF(F2906&gt;'THAM_SO_MOI'!$C$14,'THAM_SO_MOI'!$C$13*(1+F2906^2/1500),'THAM_SO_MOI'!$C$13)</f>
        <v>0.015</v>
      </c>
      <c r="J2906" s="75">
        <f>'THAM_SO_MOI'!$C$40*('THAM_SO_MOI'!$C$23*(E2906/'THAM_SO_MOI'!$C$22)+'THAM_SO_MOI'!$C$24*(E2906/'THAM_SO_MOI'!$C$22)^2-'THAM_SO_MOI'!$C$25*(E2906/'THAM_SO_MOI'!$C$22)^3)</f>
        <v>96.65672598844839</v>
      </c>
      <c r="K2906" s="75">
        <f>'THAM_SO_MOI'!$C$31*J2906/E2906</f>
        <v>430.109479146323</v>
      </c>
      <c r="L2906" s="75">
        <f>K2906*'THAM_SO_MOI'!$C$52*'THAM_SO_MOI'!$C$17/'THAM_SO_MOI'!$C$26</f>
        <v>6022.920633584552</v>
      </c>
      <c r="M2906" s="75">
        <f>'THAM_SO_MOI'!$C$15*'THAM_SO_MOI'!$C$16*F2906^2</f>
        <v>544.4744119558363</v>
      </c>
      <c r="N2906" s="75">
        <f>'THAM_SO_MOI'!$C$12*I2906</f>
        <v>1130.112</v>
      </c>
      <c r="O2906" s="75">
        <f>M2906+N2906</f>
        <v>1674.5864119558364</v>
      </c>
      <c r="P2906" s="75">
        <f>(MIN(L2906,'THAM_SO_MOI'!$C$41)-O2906)/('THAM_SO_MOI'!$C$11*H2906)</f>
        <v>0.48085022373866615</v>
      </c>
      <c r="Q2906" s="75">
        <f>IF(P2906&gt;0,1/P2906,NA())</f>
        <v>2.0796496510387046</v>
      </c>
      <c r="R2906" s="75">
        <f>F2906-F2905</f>
        <v>0.007943393307218827</v>
      </c>
      <c r="S2906" s="75">
        <f>0.5*(Q2905+Q2906)*R2906</f>
        <v>0.016518338774448464</v>
      </c>
      <c r="T2906" s="75">
        <f>0.5*(F2905*Q2905+F2906*Q2906)*R2906</f>
        <v>0.22530235729566195</v>
      </c>
      <c r="U2906" s="76">
        <f>U2905+S2906</f>
        <v>21.093999736800185</v>
      </c>
      <c r="V2906" s="76">
        <f>V2905+T2906</f>
        <v>170.81157490652149</v>
      </c>
    </row>
    <row r="2907" spans="1:22" ht="19" customHeight="1">
      <c r="A2907" s="68" t="s">
        <v>376</v>
      </c>
      <c r="B2907" s="74">
        <v>4</v>
      </c>
      <c r="C2907" s="68" t="s">
        <v>363</v>
      </c>
      <c r="D2907" s="68" t="s">
        <v>364</v>
      </c>
      <c r="E2907" s="75">
        <f>60*F2907*'THAM_SO_MOI'!$C$52/(2*PI()*'THAM_SO_MOI'!$C$26)</f>
        <v>2147.6285168912987</v>
      </c>
      <c r="F2907" s="75">
        <f>'HANH_TRINH'!$F$2468+('THAM_SO_MOI'!$F$52-'HANH_TRINH'!$F$2468)*438/'THAM_SO_MOI'!$C$42</f>
        <v>13.651443607862113</v>
      </c>
      <c r="G2907" s="75">
        <f>3.6*F2907</f>
        <v>49.14519698830361</v>
      </c>
      <c r="H2907" s="75">
        <f>'THAM_SO_MOI'!$D$52</f>
        <v>1.1774754878398197</v>
      </c>
      <c r="I2907" s="75">
        <f>IF(F2907&gt;'THAM_SO_MOI'!$C$14,'THAM_SO_MOI'!$C$13*(1+F2907^2/1500),'THAM_SO_MOI'!$C$13)</f>
        <v>0.015</v>
      </c>
      <c r="J2907" s="75">
        <f>'THAM_SO_MOI'!$C$40*('THAM_SO_MOI'!$C$23*(E2907/'THAM_SO_MOI'!$C$22)+'THAM_SO_MOI'!$C$24*(E2907/'THAM_SO_MOI'!$C$22)^2-'THAM_SO_MOI'!$C$25*(E2907/'THAM_SO_MOI'!$C$22)^3)</f>
        <v>96.71353659818544</v>
      </c>
      <c r="K2907" s="75">
        <f>'THAM_SO_MOI'!$C$31*J2907/E2907</f>
        <v>430.1118629713173</v>
      </c>
      <c r="L2907" s="75">
        <f>K2907*'THAM_SO_MOI'!$C$52*'THAM_SO_MOI'!$C$17/'THAM_SO_MOI'!$C$26</f>
        <v>6022.954014826866</v>
      </c>
      <c r="M2907" s="75">
        <f>'THAM_SO_MOI'!$C$15*'THAM_SO_MOI'!$C$16*F2907^2</f>
        <v>545.1085942925201</v>
      </c>
      <c r="N2907" s="75">
        <f>'THAM_SO_MOI'!$C$12*I2907</f>
        <v>1130.112</v>
      </c>
      <c r="O2907" s="75">
        <f>M2907+N2907</f>
        <v>1675.2205942925202</v>
      </c>
      <c r="P2907" s="75">
        <f>(MIN(L2907,'THAM_SO_MOI'!$C$41)-O2907)/('THAM_SO_MOI'!$C$11*H2907)</f>
        <v>0.48078378557500956</v>
      </c>
      <c r="Q2907" s="75">
        <f>IF(P2907&gt;0,1/P2907,NA())</f>
        <v>2.0799370319945716</v>
      </c>
      <c r="R2907" s="75">
        <f>F2907-F2906</f>
        <v>0.007943393307218827</v>
      </c>
      <c r="S2907" s="75">
        <f>0.5*(Q2906+Q2907)*R2907</f>
        <v>0.016520616509401544</v>
      </c>
      <c r="T2907" s="75">
        <f>0.5*(F2906*Q2906+F2907*Q2907)*R2907</f>
        <v>0.2254646543011598</v>
      </c>
      <c r="U2907" s="76">
        <f>U2906+S2907</f>
        <v>21.110520353309585</v>
      </c>
      <c r="V2907" s="76">
        <f>V2906+T2907</f>
        <v>171.03703956082265</v>
      </c>
    </row>
    <row r="2908" spans="1:22" ht="19" customHeight="1">
      <c r="A2908" s="68" t="s">
        <v>376</v>
      </c>
      <c r="B2908" s="74">
        <v>4</v>
      </c>
      <c r="C2908" s="68" t="s">
        <v>363</v>
      </c>
      <c r="D2908" s="68" t="s">
        <v>364</v>
      </c>
      <c r="E2908" s="75">
        <f>60*F2908*'THAM_SO_MOI'!$C$52/(2*PI()*'THAM_SO_MOI'!$C$26)</f>
        <v>2148.8781618722624</v>
      </c>
      <c r="F2908" s="75">
        <f>'HANH_TRINH'!$F$2468+('THAM_SO_MOI'!$F$52-'HANH_TRINH'!$F$2468)*439/'THAM_SO_MOI'!$C$42</f>
        <v>13.659387001169334</v>
      </c>
      <c r="G2908" s="75">
        <f>3.6*F2908</f>
        <v>49.1737932042096</v>
      </c>
      <c r="H2908" s="75">
        <f>'THAM_SO_MOI'!$D$52</f>
        <v>1.1774754878398197</v>
      </c>
      <c r="I2908" s="75">
        <f>IF(F2908&gt;'THAM_SO_MOI'!$C$14,'THAM_SO_MOI'!$C$13*(1+F2908^2/1500),'THAM_SO_MOI'!$C$13)</f>
        <v>0.015</v>
      </c>
      <c r="J2908" s="75">
        <f>'THAM_SO_MOI'!$C$40*('THAM_SO_MOI'!$C$23*(E2908/'THAM_SO_MOI'!$C$22)+'THAM_SO_MOI'!$C$24*(E2908/'THAM_SO_MOI'!$C$22)^2-'THAM_SO_MOI'!$C$25*(E2908/'THAM_SO_MOI'!$C$22)^3)</f>
        <v>96.77031374615997</v>
      </c>
      <c r="K2908" s="75">
        <f>'THAM_SO_MOI'!$C$31*J2908/E2908</f>
        <v>430.1140952965842</v>
      </c>
      <c r="L2908" s="75">
        <f>K2908*'THAM_SO_MOI'!$C$52*'THAM_SO_MOI'!$C$17/'THAM_SO_MOI'!$C$26</f>
        <v>6022.985274584121</v>
      </c>
      <c r="M2908" s="75">
        <f>'THAM_SO_MOI'!$C$15*'THAM_SO_MOI'!$C$16*F2908^2</f>
        <v>545.7431457495628</v>
      </c>
      <c r="N2908" s="75">
        <f>'THAM_SO_MOI'!$C$12*I2908</f>
        <v>1130.112</v>
      </c>
      <c r="O2908" s="75">
        <f>M2908+N2908</f>
        <v>1675.8551457495628</v>
      </c>
      <c r="P2908" s="75">
        <f>(MIN(L2908,'THAM_SO_MOI'!$C$41)-O2908)/('THAM_SO_MOI'!$C$11*H2908)</f>
        <v>0.4807170719936616</v>
      </c>
      <c r="Q2908" s="75">
        <f>IF(P2908&gt;0,1/P2908,NA())</f>
        <v>2.0802256842111597</v>
      </c>
      <c r="R2908" s="75">
        <f>F2908-F2907</f>
        <v>0.007943393307220603</v>
      </c>
      <c r="S2908" s="75">
        <f>0.5*(Q2907+Q2908)*R2908</f>
        <v>0.016522904338428644</v>
      </c>
      <c r="T2908" s="75">
        <f>0.5*(F2907*Q2907+F2908*Q2908)*R2908</f>
        <v>0.22562712533133586</v>
      </c>
      <c r="U2908" s="76">
        <f>U2907+S2908</f>
        <v>21.127043257648015</v>
      </c>
      <c r="V2908" s="76">
        <f>V2907+T2908</f>
        <v>171.26266668615398</v>
      </c>
    </row>
    <row r="2909" spans="1:22" ht="19" customHeight="1">
      <c r="A2909" s="68" t="s">
        <v>376</v>
      </c>
      <c r="B2909" s="74">
        <v>4</v>
      </c>
      <c r="C2909" s="68" t="s">
        <v>363</v>
      </c>
      <c r="D2909" s="68" t="s">
        <v>364</v>
      </c>
      <c r="E2909" s="75">
        <f>60*F2909*'THAM_SO_MOI'!$C$52/(2*PI()*'THAM_SO_MOI'!$C$26)</f>
        <v>2150.1278068532256</v>
      </c>
      <c r="F2909" s="75">
        <f>'HANH_TRINH'!$F$2468+('THAM_SO_MOI'!$F$52-'HANH_TRINH'!$F$2468)*440/'THAM_SO_MOI'!$C$42</f>
        <v>13.667330394476553</v>
      </c>
      <c r="G2909" s="75">
        <f>3.6*F2909</f>
        <v>49.20238942011559</v>
      </c>
      <c r="H2909" s="75">
        <f>'THAM_SO_MOI'!$D$52</f>
        <v>1.1774754878398197</v>
      </c>
      <c r="I2909" s="75">
        <f>IF(F2909&gt;'THAM_SO_MOI'!$C$14,'THAM_SO_MOI'!$C$13*(1+F2909^2/1500),'THAM_SO_MOI'!$C$13)</f>
        <v>0.015</v>
      </c>
      <c r="J2909" s="75">
        <f>'THAM_SO_MOI'!$C$40*('THAM_SO_MOI'!$C$23*(E2909/'THAM_SO_MOI'!$C$22)+'THAM_SO_MOI'!$C$24*(E2909/'THAM_SO_MOI'!$C$22)^2-'THAM_SO_MOI'!$C$25*(E2909/'THAM_SO_MOI'!$C$22)^3)</f>
        <v>96.82705737290625</v>
      </c>
      <c r="K2909" s="75">
        <f>'THAM_SO_MOI'!$C$31*J2909/E2909</f>
        <v>430.1161761221237</v>
      </c>
      <c r="L2909" s="75">
        <f>K2909*'THAM_SO_MOI'!$C$52*'THAM_SO_MOI'!$C$17/'THAM_SO_MOI'!$C$26</f>
        <v>6023.014412856315</v>
      </c>
      <c r="M2909" s="75">
        <f>'THAM_SO_MOI'!$C$15*'THAM_SO_MOI'!$C$16*F2909^2</f>
        <v>546.3780663269641</v>
      </c>
      <c r="N2909" s="75">
        <f>'THAM_SO_MOI'!$C$12*I2909</f>
        <v>1130.112</v>
      </c>
      <c r="O2909" s="75">
        <f>M2909+N2909</f>
        <v>1676.490066326964</v>
      </c>
      <c r="P2909" s="75">
        <f>(MIN(L2909,'THAM_SO_MOI'!$C$41)-O2909)/('THAM_SO_MOI'!$C$11*H2909)</f>
        <v>0.4806500829946222</v>
      </c>
      <c r="Q2909" s="75">
        <f>IF(P2909&gt;0,1/P2909,NA())</f>
        <v>2.080515608714019</v>
      </c>
      <c r="R2909" s="75">
        <f>F2909-F2908</f>
        <v>0.007943393307218827</v>
      </c>
      <c r="S2909" s="75">
        <f>0.5*(Q2908+Q2909)*R2909</f>
        <v>0.016525202269645437</v>
      </c>
      <c r="T2909" s="75">
        <f>0.5*(F2908*Q2908+F2909*Q2909)*R2909</f>
        <v>0.22578977073762102</v>
      </c>
      <c r="U2909" s="76">
        <f>U2908+S2909</f>
        <v>21.14356845991766</v>
      </c>
      <c r="V2909" s="76">
        <f>V2908+T2909</f>
        <v>171.4884564568916</v>
      </c>
    </row>
    <row r="2910" spans="1:22" ht="19" customHeight="1">
      <c r="A2910" s="68" t="s">
        <v>376</v>
      </c>
      <c r="B2910" s="74">
        <v>4</v>
      </c>
      <c r="C2910" s="68" t="s">
        <v>363</v>
      </c>
      <c r="D2910" s="68" t="s">
        <v>364</v>
      </c>
      <c r="E2910" s="75">
        <f>60*F2910*'THAM_SO_MOI'!$C$52/(2*PI()*'THAM_SO_MOI'!$C$26)</f>
        <v>2151.377451834189</v>
      </c>
      <c r="F2910" s="75">
        <f>'HANH_TRINH'!$F$2468+('THAM_SO_MOI'!$F$52-'HANH_TRINH'!$F$2468)*441/'THAM_SO_MOI'!$C$42</f>
        <v>13.675273787783771</v>
      </c>
      <c r="G2910" s="75">
        <f>3.6*F2910</f>
        <v>49.23098563602158</v>
      </c>
      <c r="H2910" s="75">
        <f>'THAM_SO_MOI'!$D$52</f>
        <v>1.1774754878398197</v>
      </c>
      <c r="I2910" s="75">
        <f>IF(F2910&gt;'THAM_SO_MOI'!$C$14,'THAM_SO_MOI'!$C$13*(1+F2910^2/1500),'THAM_SO_MOI'!$C$13)</f>
        <v>0.015</v>
      </c>
      <c r="J2910" s="75">
        <f>'THAM_SO_MOI'!$C$40*('THAM_SO_MOI'!$C$23*(E2910/'THAM_SO_MOI'!$C$22)+'THAM_SO_MOI'!$C$24*(E2910/'THAM_SO_MOI'!$C$22)^2-'THAM_SO_MOI'!$C$25*(E2910/'THAM_SO_MOI'!$C$22)^3)</f>
        <v>96.88376741895853</v>
      </c>
      <c r="K2910" s="75">
        <f>'THAM_SO_MOI'!$C$31*J2910/E2910</f>
        <v>430.1181054479353</v>
      </c>
      <c r="L2910" s="75">
        <f>K2910*'THAM_SO_MOI'!$C$52*'THAM_SO_MOI'!$C$17/'THAM_SO_MOI'!$C$26</f>
        <v>6023.041429643443</v>
      </c>
      <c r="M2910" s="75">
        <f>'THAM_SO_MOI'!$C$15*'THAM_SO_MOI'!$C$16*F2910^2</f>
        <v>547.0133560247243</v>
      </c>
      <c r="N2910" s="75">
        <f>'THAM_SO_MOI'!$C$12*I2910</f>
        <v>1130.112</v>
      </c>
      <c r="O2910" s="75">
        <f>M2910+N2910</f>
        <v>1677.1253560247244</v>
      </c>
      <c r="P2910" s="75">
        <f>(MIN(L2910,'THAM_SO_MOI'!$C$41)-O2910)/('THAM_SO_MOI'!$C$11*H2910)</f>
        <v>0.48058281857789065</v>
      </c>
      <c r="Q2910" s="75">
        <f>IF(P2910&gt;0,1/P2910,NA())</f>
        <v>2.080806806533648</v>
      </c>
      <c r="R2910" s="75">
        <f>F2910-F2909</f>
        <v>0.007943393307218827</v>
      </c>
      <c r="S2910" s="75">
        <f>0.5*(Q2909+Q2910)*R2910</f>
        <v>0.016527510311229</v>
      </c>
      <c r="T2910" s="75">
        <f>0.5*(F2909*Q2909+F2910*Q2910)*R2910</f>
        <v>0.22595259087254374</v>
      </c>
      <c r="U2910" s="76">
        <f>U2909+S2910</f>
        <v>21.160095970228888</v>
      </c>
      <c r="V2910" s="76">
        <f>V2909+T2910</f>
        <v>171.71440904776415</v>
      </c>
    </row>
    <row r="2911" spans="1:22" ht="19" customHeight="1">
      <c r="A2911" s="68" t="s">
        <v>376</v>
      </c>
      <c r="B2911" s="74">
        <v>4</v>
      </c>
      <c r="C2911" s="68" t="s">
        <v>363</v>
      </c>
      <c r="D2911" s="68" t="s">
        <v>364</v>
      </c>
      <c r="E2911" s="75">
        <f>60*F2911*'THAM_SO_MOI'!$C$52/(2*PI()*'THAM_SO_MOI'!$C$26)</f>
        <v>2152.627096815152</v>
      </c>
      <c r="F2911" s="75">
        <f>'HANH_TRINH'!$F$2468+('THAM_SO_MOI'!$F$52-'HANH_TRINH'!$F$2468)*442/'THAM_SO_MOI'!$C$42</f>
        <v>13.683217181090992</v>
      </c>
      <c r="G2911" s="75">
        <f>3.6*F2911</f>
        <v>49.25958185192757</v>
      </c>
      <c r="H2911" s="75">
        <f>'THAM_SO_MOI'!$D$52</f>
        <v>1.1774754878398197</v>
      </c>
      <c r="I2911" s="75">
        <f>IF(F2911&gt;'THAM_SO_MOI'!$C$14,'THAM_SO_MOI'!$C$13*(1+F2911^2/1500),'THAM_SO_MOI'!$C$13)</f>
        <v>0.015</v>
      </c>
      <c r="J2911" s="75">
        <f>'THAM_SO_MOI'!$C$40*('THAM_SO_MOI'!$C$23*(E2911/'THAM_SO_MOI'!$C$22)+'THAM_SO_MOI'!$C$24*(E2911/'THAM_SO_MOI'!$C$22)^2-'THAM_SO_MOI'!$C$25*(E2911/'THAM_SO_MOI'!$C$22)^3)</f>
        <v>96.94044382485129</v>
      </c>
      <c r="K2911" s="75">
        <f>'THAM_SO_MOI'!$C$31*J2911/E2911</f>
        <v>430.1198832740199</v>
      </c>
      <c r="L2911" s="75">
        <f>K2911*'THAM_SO_MOI'!$C$52*'THAM_SO_MOI'!$C$17/'THAM_SO_MOI'!$C$26</f>
        <v>6023.066324945516</v>
      </c>
      <c r="M2911" s="75">
        <f>'THAM_SO_MOI'!$C$15*'THAM_SO_MOI'!$C$16*F2911^2</f>
        <v>547.6490148428435</v>
      </c>
      <c r="N2911" s="75">
        <f>'THAM_SO_MOI'!$C$12*I2911</f>
        <v>1130.112</v>
      </c>
      <c r="O2911" s="75">
        <f>M2911+N2911</f>
        <v>1677.7610148428435</v>
      </c>
      <c r="P2911" s="75">
        <f>(MIN(L2911,'THAM_SO_MOI'!$C$41)-O2911)/('THAM_SO_MOI'!$C$11*H2911)</f>
        <v>0.4805152787434681</v>
      </c>
      <c r="Q2911" s="75">
        <f>IF(P2911&gt;0,1/P2911,NA())</f>
        <v>2.081099278705492</v>
      </c>
      <c r="R2911" s="75">
        <f>F2911-F2910</f>
        <v>0.007943393307220603</v>
      </c>
      <c r="S2911" s="75">
        <f>0.5*(Q2910+Q2911)*R2911</f>
        <v>0.016529828471384643</v>
      </c>
      <c r="T2911" s="75">
        <f>0.5*(F2910*Q2910+F2911*Q2911)*R2911</f>
        <v>0.22611558608927837</v>
      </c>
      <c r="U2911" s="76">
        <f>U2910+S2911</f>
        <v>21.17662579870027</v>
      </c>
      <c r="V2911" s="76">
        <f>V2910+T2911</f>
        <v>171.9405246338534</v>
      </c>
    </row>
    <row r="2912" spans="1:22" ht="19" customHeight="1">
      <c r="A2912" s="68" t="s">
        <v>376</v>
      </c>
      <c r="B2912" s="74">
        <v>4</v>
      </c>
      <c r="C2912" s="68" t="s">
        <v>363</v>
      </c>
      <c r="D2912" s="68" t="s">
        <v>364</v>
      </c>
      <c r="E2912" s="75">
        <f>60*F2912*'THAM_SO_MOI'!$C$52/(2*PI()*'THAM_SO_MOI'!$C$26)</f>
        <v>2153.8767417961153</v>
      </c>
      <c r="F2912" s="75">
        <f>'HANH_TRINH'!$F$2468+('THAM_SO_MOI'!$F$52-'HANH_TRINH'!$F$2468)*443/'THAM_SO_MOI'!$C$42</f>
        <v>13.69116057439821</v>
      </c>
      <c r="G2912" s="75">
        <f>3.6*F2912</f>
        <v>49.28817806783356</v>
      </c>
      <c r="H2912" s="75">
        <f>'THAM_SO_MOI'!$D$52</f>
        <v>1.1774754878398197</v>
      </c>
      <c r="I2912" s="75">
        <f>IF(F2912&gt;'THAM_SO_MOI'!$C$14,'THAM_SO_MOI'!$C$13*(1+F2912^2/1500),'THAM_SO_MOI'!$C$13)</f>
        <v>0.015</v>
      </c>
      <c r="J2912" s="75">
        <f>'THAM_SO_MOI'!$C$40*('THAM_SO_MOI'!$C$23*(E2912/'THAM_SO_MOI'!$C$22)+'THAM_SO_MOI'!$C$24*(E2912/'THAM_SO_MOI'!$C$22)^2-'THAM_SO_MOI'!$C$25*(E2912/'THAM_SO_MOI'!$C$22)^3)</f>
        <v>96.99708653111867</v>
      </c>
      <c r="K2912" s="75">
        <f>'THAM_SO_MOI'!$C$31*J2912/E2912</f>
        <v>430.1215096003767</v>
      </c>
      <c r="L2912" s="75">
        <f>K2912*'THAM_SO_MOI'!$C$52*'THAM_SO_MOI'!$C$17/'THAM_SO_MOI'!$C$26</f>
        <v>6023.089098762524</v>
      </c>
      <c r="M2912" s="75">
        <f>'THAM_SO_MOI'!$C$15*'THAM_SO_MOI'!$C$16*F2912^2</f>
        <v>548.2850427813212</v>
      </c>
      <c r="N2912" s="75">
        <f>'THAM_SO_MOI'!$C$12*I2912</f>
        <v>1130.112</v>
      </c>
      <c r="O2912" s="75">
        <f>M2912+N2912</f>
        <v>1678.3970427813213</v>
      </c>
      <c r="P2912" s="75">
        <f>(MIN(L2912,'THAM_SO_MOI'!$C$41)-O2912)/('THAM_SO_MOI'!$C$11*H2912)</f>
        <v>0.4804474634913539</v>
      </c>
      <c r="Q2912" s="75">
        <f>IF(P2912&gt;0,1/P2912,NA())</f>
        <v>2.08139302626997</v>
      </c>
      <c r="R2912" s="75">
        <f>F2912-F2911</f>
        <v>0.007943393307218827</v>
      </c>
      <c r="S2912" s="75">
        <f>0.5*(Q2911+Q2912)*R2912</f>
        <v>0.016532156758345976</v>
      </c>
      <c r="T2912" s="75">
        <f>0.5*(F2911*Q2911+F2912*Q2912)*R2912</f>
        <v>0.22627875674164732</v>
      </c>
      <c r="U2912" s="76">
        <f>U2911+S2912</f>
        <v>21.193157955458616</v>
      </c>
      <c r="V2912" s="76">
        <f>V2911+T2912</f>
        <v>172.16680339059505</v>
      </c>
    </row>
    <row r="2913" spans="1:22" ht="19" customHeight="1">
      <c r="A2913" s="68" t="s">
        <v>376</v>
      </c>
      <c r="B2913" s="74">
        <v>4</v>
      </c>
      <c r="C2913" s="68" t="s">
        <v>363</v>
      </c>
      <c r="D2913" s="68" t="s">
        <v>364</v>
      </c>
      <c r="E2913" s="75">
        <f>60*F2913*'THAM_SO_MOI'!$C$52/(2*PI()*'THAM_SO_MOI'!$C$26)</f>
        <v>2155.1263867770786</v>
      </c>
      <c r="F2913" s="75">
        <f>'HANH_TRINH'!$F$2468+('THAM_SO_MOI'!$F$52-'HANH_TRINH'!$F$2468)*444/'THAM_SO_MOI'!$C$42</f>
        <v>13.69910396770543</v>
      </c>
      <c r="G2913" s="75">
        <f>3.6*F2913</f>
        <v>49.31677428373955</v>
      </c>
      <c r="H2913" s="75">
        <f>'THAM_SO_MOI'!$D$52</f>
        <v>1.1774754878398197</v>
      </c>
      <c r="I2913" s="75">
        <f>IF(F2913&gt;'THAM_SO_MOI'!$C$14,'THAM_SO_MOI'!$C$13*(1+F2913^2/1500),'THAM_SO_MOI'!$C$13)</f>
        <v>0.015</v>
      </c>
      <c r="J2913" s="75">
        <f>'THAM_SO_MOI'!$C$40*('THAM_SO_MOI'!$C$23*(E2913/'THAM_SO_MOI'!$C$22)+'THAM_SO_MOI'!$C$24*(E2913/'THAM_SO_MOI'!$C$22)^2-'THAM_SO_MOI'!$C$25*(E2913/'THAM_SO_MOI'!$C$22)^3)</f>
        <v>97.05369547829508</v>
      </c>
      <c r="K2913" s="75">
        <f>'THAM_SO_MOI'!$C$31*J2913/E2913</f>
        <v>430.12298442700614</v>
      </c>
      <c r="L2913" s="75">
        <f>K2913*'THAM_SO_MOI'!$C$52*'THAM_SO_MOI'!$C$17/'THAM_SO_MOI'!$C$26</f>
        <v>6023.109751094472</v>
      </c>
      <c r="M2913" s="75">
        <f>'THAM_SO_MOI'!$C$15*'THAM_SO_MOI'!$C$16*F2913^2</f>
        <v>548.9214398401577</v>
      </c>
      <c r="N2913" s="75">
        <f>'THAM_SO_MOI'!$C$12*I2913</f>
        <v>1130.112</v>
      </c>
      <c r="O2913" s="75">
        <f>M2913+N2913</f>
        <v>1679.0334398401578</v>
      </c>
      <c r="P2913" s="75">
        <f>(MIN(L2913,'THAM_SO_MOI'!$C$41)-O2913)/('THAM_SO_MOI'!$C$11*H2913)</f>
        <v>0.4803793728215481</v>
      </c>
      <c r="Q2913" s="75">
        <f>IF(P2913&gt;0,1/P2913,NA())</f>
        <v>2.081688050272469</v>
      </c>
      <c r="R2913" s="75">
        <f>F2913-F2912</f>
        <v>0.007943393307218827</v>
      </c>
      <c r="S2913" s="75">
        <f>0.5*(Q2912+Q2913)*R2913</f>
        <v>0.01653449518040828</v>
      </c>
      <c r="T2913" s="75">
        <f>0.5*(F2912*Q2912+F2913*Q2913)*R2913</f>
        <v>0.22644210318457925</v>
      </c>
      <c r="U2913" s="76">
        <f>U2912+S2913</f>
        <v>21.209692450639025</v>
      </c>
      <c r="V2913" s="76">
        <f>V2912+T2913</f>
        <v>172.39324549377963</v>
      </c>
    </row>
    <row r="2914" spans="1:22" ht="19" customHeight="1">
      <c r="A2914" s="68" t="s">
        <v>376</v>
      </c>
      <c r="B2914" s="74">
        <v>4</v>
      </c>
      <c r="C2914" s="68" t="s">
        <v>363</v>
      </c>
      <c r="D2914" s="68" t="s">
        <v>364</v>
      </c>
      <c r="E2914" s="75">
        <f>60*F2914*'THAM_SO_MOI'!$C$52/(2*PI()*'THAM_SO_MOI'!$C$26)</f>
        <v>2156.376031758042</v>
      </c>
      <c r="F2914" s="75">
        <f>'HANH_TRINH'!$F$2468+('THAM_SO_MOI'!$F$52-'HANH_TRINH'!$F$2468)*445/'THAM_SO_MOI'!$C$42</f>
        <v>13.707047361012648</v>
      </c>
      <c r="G2914" s="75">
        <f>3.6*F2914</f>
        <v>49.34537049964553</v>
      </c>
      <c r="H2914" s="75">
        <f>'THAM_SO_MOI'!$D$52</f>
        <v>1.1774754878398197</v>
      </c>
      <c r="I2914" s="75">
        <f>IF(F2914&gt;'THAM_SO_MOI'!$C$14,'THAM_SO_MOI'!$C$13*(1+F2914^2/1500),'THAM_SO_MOI'!$C$13)</f>
        <v>0.015</v>
      </c>
      <c r="J2914" s="75">
        <f>'THAM_SO_MOI'!$C$40*('THAM_SO_MOI'!$C$23*(E2914/'THAM_SO_MOI'!$C$22)+'THAM_SO_MOI'!$C$24*(E2914/'THAM_SO_MOI'!$C$22)^2-'THAM_SO_MOI'!$C$25*(E2914/'THAM_SO_MOI'!$C$22)^3)</f>
        <v>97.11027060691481</v>
      </c>
      <c r="K2914" s="75">
        <f>'THAM_SO_MOI'!$C$31*J2914/E2914</f>
        <v>430.12430775390806</v>
      </c>
      <c r="L2914" s="75">
        <f>K2914*'THAM_SO_MOI'!$C$52*'THAM_SO_MOI'!$C$17/'THAM_SO_MOI'!$C$26</f>
        <v>6023.128281941358</v>
      </c>
      <c r="M2914" s="75">
        <f>'THAM_SO_MOI'!$C$15*'THAM_SO_MOI'!$C$16*F2914^2</f>
        <v>549.5582060193532</v>
      </c>
      <c r="N2914" s="75">
        <f>'THAM_SO_MOI'!$C$12*I2914</f>
        <v>1130.112</v>
      </c>
      <c r="O2914" s="75">
        <f>M2914+N2914</f>
        <v>1679.6702060193534</v>
      </c>
      <c r="P2914" s="75">
        <f>(MIN(L2914,'THAM_SO_MOI'!$C$41)-O2914)/('THAM_SO_MOI'!$C$11*H2914)</f>
        <v>0.4803110067340506</v>
      </c>
      <c r="Q2914" s="75">
        <f>IF(P2914&gt;0,1/P2914,NA())</f>
        <v>2.081984351763362</v>
      </c>
      <c r="R2914" s="75">
        <f>F2914-F2913</f>
        <v>0.007943393307218827</v>
      </c>
      <c r="S2914" s="75">
        <f>0.5*(Q2913+Q2914)*R2914</f>
        <v>0.016536843745891577</v>
      </c>
      <c r="T2914" s="75">
        <f>0.5*(F2913*Q2913+F2914*Q2914)*R2914</f>
        <v>0.22660562577360546</v>
      </c>
      <c r="U2914" s="76">
        <f>U2913+S2914</f>
        <v>21.22622929438492</v>
      </c>
      <c r="V2914" s="76">
        <f>V2913+T2914</f>
        <v>172.61985111955323</v>
      </c>
    </row>
    <row r="2915" spans="1:22" ht="19" customHeight="1">
      <c r="A2915" s="68" t="s">
        <v>376</v>
      </c>
      <c r="B2915" s="74">
        <v>4</v>
      </c>
      <c r="C2915" s="68" t="s">
        <v>363</v>
      </c>
      <c r="D2915" s="68" t="s">
        <v>364</v>
      </c>
      <c r="E2915" s="75">
        <f>60*F2915*'THAM_SO_MOI'!$C$52/(2*PI()*'THAM_SO_MOI'!$C$26)</f>
        <v>2157.625676739005</v>
      </c>
      <c r="F2915" s="75">
        <f>'HANH_TRINH'!$F$2468+('THAM_SO_MOI'!$F$52-'HANH_TRINH'!$F$2468)*446/'THAM_SO_MOI'!$C$42</f>
        <v>13.714990754319869</v>
      </c>
      <c r="G2915" s="75">
        <f>3.6*F2915</f>
        <v>49.37396671555153</v>
      </c>
      <c r="H2915" s="75">
        <f>'THAM_SO_MOI'!$D$52</f>
        <v>1.1774754878398197</v>
      </c>
      <c r="I2915" s="75">
        <f>IF(F2915&gt;'THAM_SO_MOI'!$C$14,'THAM_SO_MOI'!$C$13*(1+F2915^2/1500),'THAM_SO_MOI'!$C$13)</f>
        <v>0.015</v>
      </c>
      <c r="J2915" s="75">
        <f>'THAM_SO_MOI'!$C$40*('THAM_SO_MOI'!$C$23*(E2915/'THAM_SO_MOI'!$C$22)+'THAM_SO_MOI'!$C$24*(E2915/'THAM_SO_MOI'!$C$22)^2-'THAM_SO_MOI'!$C$25*(E2915/'THAM_SO_MOI'!$C$22)^3)</f>
        <v>97.16681185751222</v>
      </c>
      <c r="K2915" s="75">
        <f>'THAM_SO_MOI'!$C$31*J2915/E2915</f>
        <v>430.1254795810827</v>
      </c>
      <c r="L2915" s="75">
        <f>K2915*'THAM_SO_MOI'!$C$52*'THAM_SO_MOI'!$C$17/'THAM_SO_MOI'!$C$26</f>
        <v>6023.144691303187</v>
      </c>
      <c r="M2915" s="75">
        <f>'THAM_SO_MOI'!$C$15*'THAM_SO_MOI'!$C$16*F2915^2</f>
        <v>550.1953413189075</v>
      </c>
      <c r="N2915" s="75">
        <f>'THAM_SO_MOI'!$C$12*I2915</f>
        <v>1130.112</v>
      </c>
      <c r="O2915" s="75">
        <f>M2915+N2915</f>
        <v>1680.3073413189077</v>
      </c>
      <c r="P2915" s="75">
        <f>(MIN(L2915,'THAM_SO_MOI'!$C$41)-O2915)/('THAM_SO_MOI'!$C$11*H2915)</f>
        <v>0.48024236522886193</v>
      </c>
      <c r="Q2915" s="75">
        <f>IF(P2915&gt;0,1/P2915,NA())</f>
        <v>2.08228193179801</v>
      </c>
      <c r="R2915" s="75">
        <f>F2915-F2914</f>
        <v>0.007943393307220603</v>
      </c>
      <c r="S2915" s="75">
        <f>0.5*(Q2914+Q2915)*R2915</f>
        <v>0.016539202463162907</v>
      </c>
      <c r="T2915" s="75">
        <f>0.5*(F2914*Q2914+F2915*Q2915)*R2915</f>
        <v>0.22676932486516618</v>
      </c>
      <c r="U2915" s="76">
        <f>U2914+S2915</f>
        <v>21.242768496848083</v>
      </c>
      <c r="V2915" s="76">
        <f>V2914+T2915</f>
        <v>172.8466204444184</v>
      </c>
    </row>
    <row r="2916" spans="1:22" ht="19" customHeight="1">
      <c r="A2916" s="68" t="s">
        <v>376</v>
      </c>
      <c r="B2916" s="74">
        <v>4</v>
      </c>
      <c r="C2916" s="68" t="s">
        <v>363</v>
      </c>
      <c r="D2916" s="68" t="s">
        <v>364</v>
      </c>
      <c r="E2916" s="75">
        <f>60*F2916*'THAM_SO_MOI'!$C$52/(2*PI()*'THAM_SO_MOI'!$C$26)</f>
        <v>2158.8753217199683</v>
      </c>
      <c r="F2916" s="75">
        <f>'HANH_TRINH'!$F$2468+('THAM_SO_MOI'!$F$52-'HANH_TRINH'!$F$2468)*447/'THAM_SO_MOI'!$C$42</f>
        <v>13.722934147627088</v>
      </c>
      <c r="G2916" s="75">
        <f>3.6*F2916</f>
        <v>49.40256293145752</v>
      </c>
      <c r="H2916" s="75">
        <f>'THAM_SO_MOI'!$D$52</f>
        <v>1.1774754878398197</v>
      </c>
      <c r="I2916" s="75">
        <f>IF(F2916&gt;'THAM_SO_MOI'!$C$14,'THAM_SO_MOI'!$C$13*(1+F2916^2/1500),'THAM_SO_MOI'!$C$13)</f>
        <v>0.015</v>
      </c>
      <c r="J2916" s="75">
        <f>'THAM_SO_MOI'!$C$40*('THAM_SO_MOI'!$C$23*(E2916/'THAM_SO_MOI'!$C$22)+'THAM_SO_MOI'!$C$24*(E2916/'THAM_SO_MOI'!$C$22)^2-'THAM_SO_MOI'!$C$25*(E2916/'THAM_SO_MOI'!$C$22)^3)</f>
        <v>97.22331917062154</v>
      </c>
      <c r="K2916" s="75">
        <f>'THAM_SO_MOI'!$C$31*J2916/E2916</f>
        <v>430.1264999085297</v>
      </c>
      <c r="L2916" s="75">
        <f>K2916*'THAM_SO_MOI'!$C$52*'THAM_SO_MOI'!$C$17/'THAM_SO_MOI'!$C$26</f>
        <v>6023.158979179952</v>
      </c>
      <c r="M2916" s="75">
        <f>'THAM_SO_MOI'!$C$15*'THAM_SO_MOI'!$C$16*F2916^2</f>
        <v>550.8328457388205</v>
      </c>
      <c r="N2916" s="75">
        <f>'THAM_SO_MOI'!$C$12*I2916</f>
        <v>1130.112</v>
      </c>
      <c r="O2916" s="75">
        <f>M2916+N2916</f>
        <v>1680.9448457388207</v>
      </c>
      <c r="P2916" s="75">
        <f>(MIN(L2916,'THAM_SO_MOI'!$C$41)-O2916)/('THAM_SO_MOI'!$C$11*H2916)</f>
        <v>0.4801734483059816</v>
      </c>
      <c r="Q2916" s="75">
        <f>IF(P2916&gt;0,1/P2916,NA())</f>
        <v>2.0825807914367824</v>
      </c>
      <c r="R2916" s="75">
        <f>F2916-F2915</f>
        <v>0.007943393307218827</v>
      </c>
      <c r="S2916" s="75">
        <f>0.5*(Q2915+Q2916)*R2916</f>
        <v>0.016541571340614212</v>
      </c>
      <c r="T2916" s="75">
        <f>0.5*(F2915*Q2915+F2916*Q2916)*R2916</f>
        <v>0.22693320081630922</v>
      </c>
      <c r="U2916" s="76">
        <f>U2915+S2916</f>
        <v>21.259310068188697</v>
      </c>
      <c r="V2916" s="76">
        <f>V2915+T2916</f>
        <v>173.0735536452347</v>
      </c>
    </row>
    <row r="2917" spans="1:22" ht="19" customHeight="1">
      <c r="A2917" s="68" t="s">
        <v>376</v>
      </c>
      <c r="B2917" s="74">
        <v>4</v>
      </c>
      <c r="C2917" s="68" t="s">
        <v>363</v>
      </c>
      <c r="D2917" s="68" t="s">
        <v>364</v>
      </c>
      <c r="E2917" s="75">
        <f>60*F2917*'THAM_SO_MOI'!$C$52/(2*PI()*'THAM_SO_MOI'!$C$26)</f>
        <v>2160.124966700932</v>
      </c>
      <c r="F2917" s="75">
        <f>'HANH_TRINH'!$F$2468+('THAM_SO_MOI'!$F$52-'HANH_TRINH'!$F$2468)*448/'THAM_SO_MOI'!$C$42</f>
        <v>13.730877540934308</v>
      </c>
      <c r="G2917" s="75">
        <f>3.6*F2917</f>
        <v>49.43115914736351</v>
      </c>
      <c r="H2917" s="75">
        <f>'THAM_SO_MOI'!$D$52</f>
        <v>1.1774754878398197</v>
      </c>
      <c r="I2917" s="75">
        <f>IF(F2917&gt;'THAM_SO_MOI'!$C$14,'THAM_SO_MOI'!$C$13*(1+F2917^2/1500),'THAM_SO_MOI'!$C$13)</f>
        <v>0.015</v>
      </c>
      <c r="J2917" s="75">
        <f>'THAM_SO_MOI'!$C$40*('THAM_SO_MOI'!$C$23*(E2917/'THAM_SO_MOI'!$C$22)+'THAM_SO_MOI'!$C$24*(E2917/'THAM_SO_MOI'!$C$22)^2-'THAM_SO_MOI'!$C$25*(E2917/'THAM_SO_MOI'!$C$22)^3)</f>
        <v>97.27979248677717</v>
      </c>
      <c r="K2917" s="75">
        <f>'THAM_SO_MOI'!$C$31*J2917/E2917</f>
        <v>430.12736873624925</v>
      </c>
      <c r="L2917" s="75">
        <f>K2917*'THAM_SO_MOI'!$C$52*'THAM_SO_MOI'!$C$17/'THAM_SO_MOI'!$C$26</f>
        <v>6023.171145571656</v>
      </c>
      <c r="M2917" s="75">
        <f>'THAM_SO_MOI'!$C$15*'THAM_SO_MOI'!$C$16*F2917^2</f>
        <v>551.4707192790926</v>
      </c>
      <c r="N2917" s="75">
        <f>'THAM_SO_MOI'!$C$12*I2917</f>
        <v>1130.112</v>
      </c>
      <c r="O2917" s="75">
        <f>M2917+N2917</f>
        <v>1681.5827192790925</v>
      </c>
      <c r="P2917" s="75">
        <f>(MIN(L2917,'THAM_SO_MOI'!$C$41)-O2917)/('THAM_SO_MOI'!$C$11*H2917)</f>
        <v>0.48010425596540945</v>
      </c>
      <c r="Q2917" s="75">
        <f>IF(P2917&gt;0,1/P2917,NA())</f>
        <v>2.0828809317450583</v>
      </c>
      <c r="R2917" s="75">
        <f>F2917-F2916</f>
        <v>0.007943393307220603</v>
      </c>
      <c r="S2917" s="75">
        <f>0.5*(Q2916+Q2917)*R2917</f>
        <v>0.016543950386703116</v>
      </c>
      <c r="T2917" s="75">
        <f>0.5*(F2916*Q2916+F2917*Q2917)*R2917</f>
        <v>0.2270972539852505</v>
      </c>
      <c r="U2917" s="76">
        <f>U2916+S2917</f>
        <v>21.2758540185754</v>
      </c>
      <c r="V2917" s="76">
        <f>V2916+T2917</f>
        <v>173.30065089921996</v>
      </c>
    </row>
    <row r="2918" spans="1:22" ht="19" customHeight="1">
      <c r="A2918" s="68" t="s">
        <v>376</v>
      </c>
      <c r="B2918" s="74">
        <v>4</v>
      </c>
      <c r="C2918" s="68" t="s">
        <v>363</v>
      </c>
      <c r="D2918" s="68" t="s">
        <v>364</v>
      </c>
      <c r="E2918" s="75">
        <f>60*F2918*'THAM_SO_MOI'!$C$52/(2*PI()*'THAM_SO_MOI'!$C$26)</f>
        <v>2161.374611681895</v>
      </c>
      <c r="F2918" s="75">
        <f>'HANH_TRINH'!$F$2468+('THAM_SO_MOI'!$F$52-'HANH_TRINH'!$F$2468)*449/'THAM_SO_MOI'!$C$42</f>
        <v>13.738820934241527</v>
      </c>
      <c r="G2918" s="75">
        <f>3.6*F2918</f>
        <v>49.4597553632695</v>
      </c>
      <c r="H2918" s="75">
        <f>'THAM_SO_MOI'!$D$52</f>
        <v>1.1774754878398197</v>
      </c>
      <c r="I2918" s="75">
        <f>IF(F2918&gt;'THAM_SO_MOI'!$C$14,'THAM_SO_MOI'!$C$13*(1+F2918^2/1500),'THAM_SO_MOI'!$C$13)</f>
        <v>0.015</v>
      </c>
      <c r="J2918" s="75">
        <f>'THAM_SO_MOI'!$C$40*('THAM_SO_MOI'!$C$23*(E2918/'THAM_SO_MOI'!$C$22)+'THAM_SO_MOI'!$C$24*(E2918/'THAM_SO_MOI'!$C$22)^2-'THAM_SO_MOI'!$C$25*(E2918/'THAM_SO_MOI'!$C$22)^3)</f>
        <v>97.33623174651333</v>
      </c>
      <c r="K2918" s="75">
        <f>'THAM_SO_MOI'!$C$31*J2918/E2918</f>
        <v>430.1280860642413</v>
      </c>
      <c r="L2918" s="75">
        <f>K2918*'THAM_SO_MOI'!$C$52*'THAM_SO_MOI'!$C$17/'THAM_SO_MOI'!$C$26</f>
        <v>6023.1811904783</v>
      </c>
      <c r="M2918" s="75">
        <f>'THAM_SO_MOI'!$C$15*'THAM_SO_MOI'!$C$16*F2918^2</f>
        <v>552.1089619397233</v>
      </c>
      <c r="N2918" s="75">
        <f>'THAM_SO_MOI'!$C$12*I2918</f>
        <v>1130.112</v>
      </c>
      <c r="O2918" s="75">
        <f>M2918+N2918</f>
        <v>1682.2209619397233</v>
      </c>
      <c r="P2918" s="75">
        <f>(MIN(L2918,'THAM_SO_MOI'!$C$41)-O2918)/('THAM_SO_MOI'!$C$11*H2918)</f>
        <v>0.48003478820714607</v>
      </c>
      <c r="Q2918" s="75">
        <f>IF(P2918&gt;0,1/P2918,NA())</f>
        <v>2.083182353793236</v>
      </c>
      <c r="R2918" s="75">
        <f>F2918-F2917</f>
        <v>0.007943393307218827</v>
      </c>
      <c r="S2918" s="75">
        <f>0.5*(Q2917+Q2918)*R2918</f>
        <v>0.016546339609897483</v>
      </c>
      <c r="T2918" s="75">
        <f>0.5*(F2917*Q2917+F2918*Q2918)*R2918</f>
        <v>0.22726148473061542</v>
      </c>
      <c r="U2918" s="76">
        <f>U2917+S2918</f>
        <v>21.292400358185297</v>
      </c>
      <c r="V2918" s="76">
        <f>V2917+T2918</f>
        <v>173.52791238395056</v>
      </c>
    </row>
    <row r="2919" spans="1:22" ht="19" customHeight="1">
      <c r="A2919" s="68" t="s">
        <v>376</v>
      </c>
      <c r="B2919" s="74">
        <v>4</v>
      </c>
      <c r="C2919" s="68" t="s">
        <v>363</v>
      </c>
      <c r="D2919" s="68" t="s">
        <v>364</v>
      </c>
      <c r="E2919" s="75">
        <f>60*F2919*'THAM_SO_MOI'!$C$52/(2*PI()*'THAM_SO_MOI'!$C$26)</f>
        <v>2162.624256662858</v>
      </c>
      <c r="F2919" s="75">
        <f>'HANH_TRINH'!$F$2468+('THAM_SO_MOI'!$F$52-'HANH_TRINH'!$F$2468)*450/'THAM_SO_MOI'!$C$42</f>
        <v>13.746764327548746</v>
      </c>
      <c r="G2919" s="75">
        <f>3.6*F2919</f>
        <v>49.488351579175486</v>
      </c>
      <c r="H2919" s="75">
        <f>'THAM_SO_MOI'!$D$52</f>
        <v>1.1774754878398197</v>
      </c>
      <c r="I2919" s="75">
        <f>IF(F2919&gt;'THAM_SO_MOI'!$C$14,'THAM_SO_MOI'!$C$13*(1+F2919^2/1500),'THAM_SO_MOI'!$C$13)</f>
        <v>0.015</v>
      </c>
      <c r="J2919" s="75">
        <f>'THAM_SO_MOI'!$C$40*('THAM_SO_MOI'!$C$23*(E2919/'THAM_SO_MOI'!$C$22)+'THAM_SO_MOI'!$C$24*(E2919/'THAM_SO_MOI'!$C$22)^2-'THAM_SO_MOI'!$C$25*(E2919/'THAM_SO_MOI'!$C$22)^3)</f>
        <v>97.39263689036439</v>
      </c>
      <c r="K2919" s="75">
        <f>'THAM_SO_MOI'!$C$31*J2919/E2919</f>
        <v>430.1286518925059</v>
      </c>
      <c r="L2919" s="75">
        <f>K2919*'THAM_SO_MOI'!$C$52*'THAM_SO_MOI'!$C$17/'THAM_SO_MOI'!$C$26</f>
        <v>6023.189113899883</v>
      </c>
      <c r="M2919" s="75">
        <f>'THAM_SO_MOI'!$C$15*'THAM_SO_MOI'!$C$16*F2919^2</f>
        <v>552.7475737207127</v>
      </c>
      <c r="N2919" s="75">
        <f>'THAM_SO_MOI'!$C$12*I2919</f>
        <v>1130.112</v>
      </c>
      <c r="O2919" s="75">
        <f>M2919+N2919</f>
        <v>1682.859573720713</v>
      </c>
      <c r="P2919" s="75">
        <f>(MIN(L2919,'THAM_SO_MOI'!$C$41)-O2919)/('THAM_SO_MOI'!$C$11*H2919)</f>
        <v>0.47996504503119114</v>
      </c>
      <c r="Q2919" s="75">
        <f>IF(P2919&gt;0,1/P2919,NA())</f>
        <v>2.083485058656748</v>
      </c>
      <c r="R2919" s="75">
        <f>F2919-F2918</f>
        <v>0.007943393307218827</v>
      </c>
      <c r="S2919" s="75">
        <f>0.5*(Q2918+Q2919)*R2919</f>
        <v>0.016548739018730996</v>
      </c>
      <c r="T2919" s="75">
        <f>0.5*(F2918*Q2918+F2919*Q2919)*R2919</f>
        <v>0.22742589341220293</v>
      </c>
      <c r="U2919" s="76">
        <f>U2918+S2919</f>
        <v>21.308949097204028</v>
      </c>
      <c r="V2919" s="76">
        <f>V2918+T2919</f>
        <v>173.75533827736277</v>
      </c>
    </row>
    <row r="2920" spans="1:22" ht="19" customHeight="1">
      <c r="A2920" s="68" t="s">
        <v>376</v>
      </c>
      <c r="B2920" s="74">
        <v>4</v>
      </c>
      <c r="C2920" s="68" t="s">
        <v>363</v>
      </c>
      <c r="D2920" s="68" t="s">
        <v>364</v>
      </c>
      <c r="E2920" s="75">
        <f>60*F2920*'THAM_SO_MOI'!$C$52/(2*PI()*'THAM_SO_MOI'!$C$26)</f>
        <v>2163.8739016438212</v>
      </c>
      <c r="F2920" s="75">
        <f>'HANH_TRINH'!$F$2468+('THAM_SO_MOI'!$F$52-'HANH_TRINH'!$F$2468)*451/'THAM_SO_MOI'!$C$42</f>
        <v>13.754707720855967</v>
      </c>
      <c r="G2920" s="75">
        <f>3.6*F2920</f>
        <v>49.51694779508148</v>
      </c>
      <c r="H2920" s="75">
        <f>'THAM_SO_MOI'!$D$52</f>
        <v>1.1774754878398197</v>
      </c>
      <c r="I2920" s="75">
        <f>IF(F2920&gt;'THAM_SO_MOI'!$C$14,'THAM_SO_MOI'!$C$13*(1+F2920^2/1500),'THAM_SO_MOI'!$C$13)</f>
        <v>0.015</v>
      </c>
      <c r="J2920" s="75">
        <f>'THAM_SO_MOI'!$C$40*('THAM_SO_MOI'!$C$23*(E2920/'THAM_SO_MOI'!$C$22)+'THAM_SO_MOI'!$C$24*(E2920/'THAM_SO_MOI'!$C$22)^2-'THAM_SO_MOI'!$C$25*(E2920/'THAM_SO_MOI'!$C$22)^3)</f>
        <v>97.44900785886466</v>
      </c>
      <c r="K2920" s="75">
        <f>'THAM_SO_MOI'!$C$31*J2920/E2920</f>
        <v>430.1290662210431</v>
      </c>
      <c r="L2920" s="75">
        <f>K2920*'THAM_SO_MOI'!$C$52*'THAM_SO_MOI'!$C$17/'THAM_SO_MOI'!$C$26</f>
        <v>6023.194915836405</v>
      </c>
      <c r="M2920" s="75">
        <f>'THAM_SO_MOI'!$C$15*'THAM_SO_MOI'!$C$16*F2920^2</f>
        <v>553.3865546220612</v>
      </c>
      <c r="N2920" s="75">
        <f>'THAM_SO_MOI'!$C$12*I2920</f>
        <v>1130.112</v>
      </c>
      <c r="O2920" s="75">
        <f>M2920+N2920</f>
        <v>1683.4985546220614</v>
      </c>
      <c r="P2920" s="75">
        <f>(MIN(L2920,'THAM_SO_MOI'!$C$41)-O2920)/('THAM_SO_MOI'!$C$11*H2920)</f>
        <v>0.4798950264375446</v>
      </c>
      <c r="Q2920" s="75">
        <f>IF(P2920&gt;0,1/P2920,NA())</f>
        <v>2.0837890474160683</v>
      </c>
      <c r="R2920" s="75">
        <f>F2920-F2919</f>
        <v>0.007943393307220603</v>
      </c>
      <c r="S2920" s="75">
        <f>0.5*(Q2919+Q2920)*R2920</f>
        <v>0.016551148621766265</v>
      </c>
      <c r="T2920" s="75">
        <f>0.5*(F2919*Q2919+F2920*Q2920)*R2920</f>
        <v>0.22759048039048102</v>
      </c>
      <c r="U2920" s="76">
        <f>U2919+S2920</f>
        <v>21.325500245825793</v>
      </c>
      <c r="V2920" s="76">
        <f>V2919+T2920</f>
        <v>173.98292875775326</v>
      </c>
    </row>
    <row r="2921" spans="1:22" ht="19" customHeight="1">
      <c r="A2921" s="68" t="s">
        <v>376</v>
      </c>
      <c r="B2921" s="74">
        <v>4</v>
      </c>
      <c r="C2921" s="68" t="s">
        <v>363</v>
      </c>
      <c r="D2921" s="68" t="s">
        <v>364</v>
      </c>
      <c r="E2921" s="75">
        <f>60*F2921*'THAM_SO_MOI'!$C$52/(2*PI()*'THAM_SO_MOI'!$C$26)</f>
        <v>2165.1235466247845</v>
      </c>
      <c r="F2921" s="75">
        <f>'HANH_TRINH'!$F$2468+('THAM_SO_MOI'!$F$52-'HANH_TRINH'!$F$2468)*452/'THAM_SO_MOI'!$C$42</f>
        <v>13.762651114163186</v>
      </c>
      <c r="G2921" s="75">
        <f>3.6*F2921</f>
        <v>49.54554401098747</v>
      </c>
      <c r="H2921" s="75">
        <f>'THAM_SO_MOI'!$D$52</f>
        <v>1.1774754878398197</v>
      </c>
      <c r="I2921" s="75">
        <f>IF(F2921&gt;'THAM_SO_MOI'!$C$14,'THAM_SO_MOI'!$C$13*(1+F2921^2/1500),'THAM_SO_MOI'!$C$13)</f>
        <v>0.015</v>
      </c>
      <c r="J2921" s="75">
        <f>'THAM_SO_MOI'!$C$40*('THAM_SO_MOI'!$C$23*(E2921/'THAM_SO_MOI'!$C$22)+'THAM_SO_MOI'!$C$24*(E2921/'THAM_SO_MOI'!$C$22)^2-'THAM_SO_MOI'!$C$25*(E2921/'THAM_SO_MOI'!$C$22)^3)</f>
        <v>97.50534459254845</v>
      </c>
      <c r="K2921" s="75">
        <f>'THAM_SO_MOI'!$C$31*J2921/E2921</f>
        <v>430.12932904985274</v>
      </c>
      <c r="L2921" s="75">
        <f>K2921*'THAM_SO_MOI'!$C$52*'THAM_SO_MOI'!$C$17/'THAM_SO_MOI'!$C$26</f>
        <v>6023.198596287866</v>
      </c>
      <c r="M2921" s="75">
        <f>'THAM_SO_MOI'!$C$15*'THAM_SO_MOI'!$C$16*F2921^2</f>
        <v>554.0259046437683</v>
      </c>
      <c r="N2921" s="75">
        <f>'THAM_SO_MOI'!$C$12*I2921</f>
        <v>1130.112</v>
      </c>
      <c r="O2921" s="75">
        <f>M2921+N2921</f>
        <v>1684.1379046437683</v>
      </c>
      <c r="P2921" s="75">
        <f>(MIN(L2921,'THAM_SO_MOI'!$C$41)-O2921)/('THAM_SO_MOI'!$C$11*H2921)</f>
        <v>0.4798247324262066</v>
      </c>
      <c r="Q2921" s="75">
        <f>IF(P2921&gt;0,1/P2921,NA())</f>
        <v>2.08409432115672</v>
      </c>
      <c r="R2921" s="75">
        <f>F2921-F2920</f>
        <v>0.007943393307218827</v>
      </c>
      <c r="S2921" s="75">
        <f>0.5*(Q2920+Q2921)*R2921</f>
        <v>0.01655356842759487</v>
      </c>
      <c r="T2921" s="75">
        <f>0.5*(F2920*Q2920+F2921*Q2921)*R2921</f>
        <v>0.2277552460265882</v>
      </c>
      <c r="U2921" s="76">
        <f>U2920+S2921</f>
        <v>21.34205381425339</v>
      </c>
      <c r="V2921" s="76">
        <f>V2920+T2921</f>
        <v>174.21068400377985</v>
      </c>
    </row>
    <row r="2922" spans="1:22" ht="19" customHeight="1">
      <c r="A2922" s="68" t="s">
        <v>376</v>
      </c>
      <c r="B2922" s="74">
        <v>4</v>
      </c>
      <c r="C2922" s="68" t="s">
        <v>363</v>
      </c>
      <c r="D2922" s="68" t="s">
        <v>364</v>
      </c>
      <c r="E2922" s="75">
        <f>60*F2922*'THAM_SO_MOI'!$C$52/(2*PI()*'THAM_SO_MOI'!$C$26)</f>
        <v>2166.3731916057477</v>
      </c>
      <c r="F2922" s="75">
        <f>'HANH_TRINH'!$F$2468+('THAM_SO_MOI'!$F$52-'HANH_TRINH'!$F$2468)*453/'THAM_SO_MOI'!$C$42</f>
        <v>13.770594507470404</v>
      </c>
      <c r="G2922" s="75">
        <f>3.6*F2922</f>
        <v>49.574140226893455</v>
      </c>
      <c r="H2922" s="75">
        <f>'THAM_SO_MOI'!$D$52</f>
        <v>1.1774754878398197</v>
      </c>
      <c r="I2922" s="75">
        <f>IF(F2922&gt;'THAM_SO_MOI'!$C$14,'THAM_SO_MOI'!$C$13*(1+F2922^2/1500),'THAM_SO_MOI'!$C$13)</f>
        <v>0.015</v>
      </c>
      <c r="J2922" s="75">
        <f>'THAM_SO_MOI'!$C$40*('THAM_SO_MOI'!$C$23*(E2922/'THAM_SO_MOI'!$C$22)+'THAM_SO_MOI'!$C$24*(E2922/'THAM_SO_MOI'!$C$22)^2-'THAM_SO_MOI'!$C$25*(E2922/'THAM_SO_MOI'!$C$22)^3)</f>
        <v>97.56164703195007</v>
      </c>
      <c r="K2922" s="75">
        <f>'THAM_SO_MOI'!$C$31*J2922/E2922</f>
        <v>430.12944037893493</v>
      </c>
      <c r="L2922" s="75">
        <f>K2922*'THAM_SO_MOI'!$C$52*'THAM_SO_MOI'!$C$17/'THAM_SO_MOI'!$C$26</f>
        <v>6023.200155254264</v>
      </c>
      <c r="M2922" s="75">
        <f>'THAM_SO_MOI'!$C$15*'THAM_SO_MOI'!$C$16*F2922^2</f>
        <v>554.6656237858342</v>
      </c>
      <c r="N2922" s="75">
        <f>'THAM_SO_MOI'!$C$12*I2922</f>
        <v>1130.112</v>
      </c>
      <c r="O2922" s="75">
        <f>M2922+N2922</f>
        <v>1684.7776237858343</v>
      </c>
      <c r="P2922" s="75">
        <f>(MIN(L2922,'THAM_SO_MOI'!$C$41)-O2922)/('THAM_SO_MOI'!$C$11*H2922)</f>
        <v>0.4797541629971769</v>
      </c>
      <c r="Q2922" s="75">
        <f>IF(P2922&gt;0,1/P2922,NA())</f>
        <v>2.0844008809692904</v>
      </c>
      <c r="R2922" s="75">
        <f>F2922-F2921</f>
        <v>0.007943393307218827</v>
      </c>
      <c r="S2922" s="75">
        <f>0.5*(Q2921+Q2922)*R2922</f>
        <v>0.01655599844487077</v>
      </c>
      <c r="T2922" s="75">
        <f>0.5*(F2921*Q2921+F2922*Q2922)*R2922</f>
        <v>0.2279201906827946</v>
      </c>
      <c r="U2922" s="76">
        <f>U2921+S2922</f>
        <v>21.358609812698262</v>
      </c>
      <c r="V2922" s="76">
        <f>V2921+T2922</f>
        <v>174.43860419446264</v>
      </c>
    </row>
    <row r="2923" spans="1:22" ht="19" customHeight="1">
      <c r="A2923" s="68" t="s">
        <v>376</v>
      </c>
      <c r="B2923" s="74">
        <v>4</v>
      </c>
      <c r="C2923" s="68" t="s">
        <v>363</v>
      </c>
      <c r="D2923" s="68" t="s">
        <v>364</v>
      </c>
      <c r="E2923" s="75">
        <f>60*F2923*'THAM_SO_MOI'!$C$52/(2*PI()*'THAM_SO_MOI'!$C$26)</f>
        <v>2167.6228365867114</v>
      </c>
      <c r="F2923" s="75">
        <f>'HANH_TRINH'!$F$2468+('THAM_SO_MOI'!$F$52-'HANH_TRINH'!$F$2468)*454/'THAM_SO_MOI'!$C$42</f>
        <v>13.778537900777625</v>
      </c>
      <c r="G2923" s="75">
        <f>3.6*F2923</f>
        <v>49.602736442799454</v>
      </c>
      <c r="H2923" s="75">
        <f>'THAM_SO_MOI'!$D$52</f>
        <v>1.1774754878398197</v>
      </c>
      <c r="I2923" s="75">
        <f>IF(F2923&gt;'THAM_SO_MOI'!$C$14,'THAM_SO_MOI'!$C$13*(1+F2923^2/1500),'THAM_SO_MOI'!$C$13)</f>
        <v>0.015</v>
      </c>
      <c r="J2923" s="75">
        <f>'THAM_SO_MOI'!$C$40*('THAM_SO_MOI'!$C$23*(E2923/'THAM_SO_MOI'!$C$22)+'THAM_SO_MOI'!$C$24*(E2923/'THAM_SO_MOI'!$C$22)^2-'THAM_SO_MOI'!$C$25*(E2923/'THAM_SO_MOI'!$C$22)^3)</f>
        <v>97.61791511760384</v>
      </c>
      <c r="K2923" s="75">
        <f>'THAM_SO_MOI'!$C$31*J2923/E2923</f>
        <v>430.1294002082895</v>
      </c>
      <c r="L2923" s="75">
        <f>K2923*'THAM_SO_MOI'!$C$52*'THAM_SO_MOI'!$C$17/'THAM_SO_MOI'!$C$26</f>
        <v>6023.199592735602</v>
      </c>
      <c r="M2923" s="75">
        <f>'THAM_SO_MOI'!$C$15*'THAM_SO_MOI'!$C$16*F2923^2</f>
        <v>555.3057120482591</v>
      </c>
      <c r="N2923" s="75">
        <f>'THAM_SO_MOI'!$C$12*I2923</f>
        <v>1130.112</v>
      </c>
      <c r="O2923" s="75">
        <f>M2923+N2923</f>
        <v>1685.417712048259</v>
      </c>
      <c r="P2923" s="75">
        <f>(MIN(L2923,'THAM_SO_MOI'!$C$41)-O2923)/('THAM_SO_MOI'!$C$11*H2923)</f>
        <v>0.4796833181504556</v>
      </c>
      <c r="Q2923" s="75">
        <f>IF(P2923&gt;0,1/P2923,NA())</f>
        <v>2.084708727949434</v>
      </c>
      <c r="R2923" s="75">
        <f>F2923-F2922</f>
        <v>0.007943393307220603</v>
      </c>
      <c r="S2923" s="75">
        <f>0.5*(Q2922+Q2923)*R2923</f>
        <v>0.01655843868227705</v>
      </c>
      <c r="T2923" s="75">
        <f>0.5*(F2922*Q2922+F2923*Q2923)*R2923</f>
        <v>0.22808531472204677</v>
      </c>
      <c r="U2923" s="76">
        <f>U2922+S2923</f>
        <v>21.37516825138054</v>
      </c>
      <c r="V2923" s="76">
        <f>V2922+T2923</f>
        <v>174.6666895091847</v>
      </c>
    </row>
    <row r="2924" spans="1:22" ht="19" customHeight="1">
      <c r="A2924" s="68" t="s">
        <v>376</v>
      </c>
      <c r="B2924" s="74">
        <v>4</v>
      </c>
      <c r="C2924" s="68" t="s">
        <v>363</v>
      </c>
      <c r="D2924" s="68" t="s">
        <v>364</v>
      </c>
      <c r="E2924" s="75">
        <f>60*F2924*'THAM_SO_MOI'!$C$52/(2*PI()*'THAM_SO_MOI'!$C$26)</f>
        <v>2168.8724815676746</v>
      </c>
      <c r="F2924" s="75">
        <f>'HANH_TRINH'!$F$2468+('THAM_SO_MOI'!$F$52-'HANH_TRINH'!$F$2468)*455/'THAM_SO_MOI'!$C$42</f>
        <v>13.786481294084844</v>
      </c>
      <c r="G2924" s="75">
        <f>3.6*F2924</f>
        <v>49.63133265870544</v>
      </c>
      <c r="H2924" s="75">
        <f>'THAM_SO_MOI'!$D$52</f>
        <v>1.1774754878398197</v>
      </c>
      <c r="I2924" s="75">
        <f>IF(F2924&gt;'THAM_SO_MOI'!$C$14,'THAM_SO_MOI'!$C$13*(1+F2924^2/1500),'THAM_SO_MOI'!$C$13)</f>
        <v>0.015</v>
      </c>
      <c r="J2924" s="75">
        <f>'THAM_SO_MOI'!$C$40*('THAM_SO_MOI'!$C$23*(E2924/'THAM_SO_MOI'!$C$22)+'THAM_SO_MOI'!$C$24*(E2924/'THAM_SO_MOI'!$C$22)^2-'THAM_SO_MOI'!$C$25*(E2924/'THAM_SO_MOI'!$C$22)^3)</f>
        <v>97.67414879004407</v>
      </c>
      <c r="K2924" s="75">
        <f>'THAM_SO_MOI'!$C$31*J2924/E2924</f>
        <v>430.1292085379168</v>
      </c>
      <c r="L2924" s="75">
        <f>K2924*'THAM_SO_MOI'!$C$52*'THAM_SO_MOI'!$C$17/'THAM_SO_MOI'!$C$26</f>
        <v>6023.19690873188</v>
      </c>
      <c r="M2924" s="75">
        <f>'THAM_SO_MOI'!$C$15*'THAM_SO_MOI'!$C$16*F2924^2</f>
        <v>555.9461694310427</v>
      </c>
      <c r="N2924" s="75">
        <f>'THAM_SO_MOI'!$C$12*I2924</f>
        <v>1130.112</v>
      </c>
      <c r="O2924" s="75">
        <f>M2924+N2924</f>
        <v>1686.0581694310426</v>
      </c>
      <c r="P2924" s="75">
        <f>(MIN(L2924,'THAM_SO_MOI'!$C$41)-O2924)/('THAM_SO_MOI'!$C$11*H2924)</f>
        <v>0.4796121978860429</v>
      </c>
      <c r="Q2924" s="75">
        <f>IF(P2924&gt;0,1/P2924,NA())</f>
        <v>2.0850178631978884</v>
      </c>
      <c r="R2924" s="75">
        <f>F2924-F2923</f>
        <v>0.007943393307218827</v>
      </c>
      <c r="S2924" s="75">
        <f>0.5*(Q2923+Q2924)*R2924</f>
        <v>0.016560889148526006</v>
      </c>
      <c r="T2924" s="75">
        <f>0.5*(F2923*Q2923+F2924*Q2924)*R2924</f>
        <v>0.22825061850796957</v>
      </c>
      <c r="U2924" s="76">
        <f>U2923+S2924</f>
        <v>21.391729140529065</v>
      </c>
      <c r="V2924" s="76">
        <f>V2923+T2924</f>
        <v>174.89494012769265</v>
      </c>
    </row>
    <row r="2925" spans="1:22" ht="19" customHeight="1">
      <c r="A2925" s="68" t="s">
        <v>376</v>
      </c>
      <c r="B2925" s="74">
        <v>4</v>
      </c>
      <c r="C2925" s="68" t="s">
        <v>363</v>
      </c>
      <c r="D2925" s="68" t="s">
        <v>364</v>
      </c>
      <c r="E2925" s="75">
        <f>60*F2925*'THAM_SO_MOI'!$C$52/(2*PI()*'THAM_SO_MOI'!$C$26)</f>
        <v>2170.122126548638</v>
      </c>
      <c r="F2925" s="75">
        <f>'HANH_TRINH'!$F$2468+('THAM_SO_MOI'!$F$52-'HANH_TRINH'!$F$2468)*456/'THAM_SO_MOI'!$C$42</f>
        <v>13.794424687392063</v>
      </c>
      <c r="G2925" s="75">
        <f>3.6*F2925</f>
        <v>49.659928874611424</v>
      </c>
      <c r="H2925" s="75">
        <f>'THAM_SO_MOI'!$D$52</f>
        <v>1.1774754878398197</v>
      </c>
      <c r="I2925" s="75">
        <f>IF(F2925&gt;'THAM_SO_MOI'!$C$14,'THAM_SO_MOI'!$C$13*(1+F2925^2/1500),'THAM_SO_MOI'!$C$13)</f>
        <v>0.015</v>
      </c>
      <c r="J2925" s="75">
        <f>'THAM_SO_MOI'!$C$40*('THAM_SO_MOI'!$C$23*(E2925/'THAM_SO_MOI'!$C$22)+'THAM_SO_MOI'!$C$24*(E2925/'THAM_SO_MOI'!$C$22)^2-'THAM_SO_MOI'!$C$25*(E2925/'THAM_SO_MOI'!$C$22)^3)</f>
        <v>97.73034798980508</v>
      </c>
      <c r="K2925" s="75">
        <f>'THAM_SO_MOI'!$C$31*J2925/E2925</f>
        <v>430.12886536781656</v>
      </c>
      <c r="L2925" s="75">
        <f>K2925*'THAM_SO_MOI'!$C$52*'THAM_SO_MOI'!$C$17/'THAM_SO_MOI'!$C$26</f>
        <v>6023.192103243098</v>
      </c>
      <c r="M2925" s="75">
        <f>'THAM_SO_MOI'!$C$15*'THAM_SO_MOI'!$C$16*F2925^2</f>
        <v>556.586995934185</v>
      </c>
      <c r="N2925" s="75">
        <f>'THAM_SO_MOI'!$C$12*I2925</f>
        <v>1130.112</v>
      </c>
      <c r="O2925" s="75">
        <f>M2925+N2925</f>
        <v>1686.698995934185</v>
      </c>
      <c r="P2925" s="75">
        <f>(MIN(L2925,'THAM_SO_MOI'!$C$41)-O2925)/('THAM_SO_MOI'!$C$11*H2925)</f>
        <v>0.47954080220393885</v>
      </c>
      <c r="Q2925" s="75">
        <f>IF(P2925&gt;0,1/P2925,NA())</f>
        <v>2.0853282878204813</v>
      </c>
      <c r="R2925" s="75">
        <f>F2925-F2924</f>
        <v>0.007943393307218827</v>
      </c>
      <c r="S2925" s="75">
        <f>0.5*(Q2924+Q2925)*R2925</f>
        <v>0.016563349852392557</v>
      </c>
      <c r="T2925" s="75">
        <f>0.5*(F2924*Q2924+F2925*Q2925)*R2925</f>
        <v>0.22841610240532842</v>
      </c>
      <c r="U2925" s="76">
        <f>U2924+S2925</f>
        <v>21.40829249038146</v>
      </c>
      <c r="V2925" s="76">
        <f>V2924+T2925</f>
        <v>175.12335623009798</v>
      </c>
    </row>
    <row r="2926" spans="1:22" ht="19" customHeight="1">
      <c r="A2926" s="68" t="s">
        <v>376</v>
      </c>
      <c r="B2926" s="74">
        <v>4</v>
      </c>
      <c r="C2926" s="68" t="s">
        <v>363</v>
      </c>
      <c r="D2926" s="68" t="s">
        <v>364</v>
      </c>
      <c r="E2926" s="75">
        <f>60*F2926*'THAM_SO_MOI'!$C$52/(2*PI()*'THAM_SO_MOI'!$C$26)</f>
        <v>2171.3717715296007</v>
      </c>
      <c r="F2926" s="75">
        <f>'HANH_TRINH'!$F$2468+('THAM_SO_MOI'!$F$52-'HANH_TRINH'!$F$2468)*457/'THAM_SO_MOI'!$C$42</f>
        <v>13.802368080699281</v>
      </c>
      <c r="G2926" s="75">
        <f>3.6*F2926</f>
        <v>49.688525090517416</v>
      </c>
      <c r="H2926" s="75">
        <f>'THAM_SO_MOI'!$D$52</f>
        <v>1.1774754878398197</v>
      </c>
      <c r="I2926" s="75">
        <f>IF(F2926&gt;'THAM_SO_MOI'!$C$14,'THAM_SO_MOI'!$C$13*(1+F2926^2/1500),'THAM_SO_MOI'!$C$13)</f>
        <v>0.015</v>
      </c>
      <c r="J2926" s="75">
        <f>'THAM_SO_MOI'!$C$40*('THAM_SO_MOI'!$C$23*(E2926/'THAM_SO_MOI'!$C$22)+'THAM_SO_MOI'!$C$24*(E2926/'THAM_SO_MOI'!$C$22)^2-'THAM_SO_MOI'!$C$25*(E2926/'THAM_SO_MOI'!$C$22)^3)</f>
        <v>97.78651265742114</v>
      </c>
      <c r="K2926" s="75">
        <f>'THAM_SO_MOI'!$C$31*J2926/E2926</f>
        <v>430.1283706979889</v>
      </c>
      <c r="L2926" s="75">
        <f>K2926*'THAM_SO_MOI'!$C$52*'THAM_SO_MOI'!$C$17/'THAM_SO_MOI'!$C$26</f>
        <v>6023.185176269254</v>
      </c>
      <c r="M2926" s="75">
        <f>'THAM_SO_MOI'!$C$15*'THAM_SO_MOI'!$C$16*F2926^2</f>
        <v>557.2281915576862</v>
      </c>
      <c r="N2926" s="75">
        <f>'THAM_SO_MOI'!$C$12*I2926</f>
        <v>1130.112</v>
      </c>
      <c r="O2926" s="75">
        <f>M2926+N2926</f>
        <v>1687.3401915576862</v>
      </c>
      <c r="P2926" s="75">
        <f>(MIN(L2926,'THAM_SO_MOI'!$C$41)-O2926)/('THAM_SO_MOI'!$C$11*H2926)</f>
        <v>0.4794691311041432</v>
      </c>
      <c r="Q2926" s="75">
        <f>IF(P2926&gt;0,1/P2926,NA())</f>
        <v>2.085640002928144</v>
      </c>
      <c r="R2926" s="75">
        <f>F2926-F2925</f>
        <v>0.007943393307218827</v>
      </c>
      <c r="S2926" s="75">
        <f>0.5*(Q2925+Q2926)*R2926</f>
        <v>0.01656582080267729</v>
      </c>
      <c r="T2926" s="75">
        <f>0.5*(F2925*Q2925+F2926*Q2926)*R2926</f>
        <v>0.22858176677952166</v>
      </c>
      <c r="U2926" s="76">
        <f>U2925+S2926</f>
        <v>21.424858311184135</v>
      </c>
      <c r="V2926" s="76">
        <f>V2925+T2926</f>
        <v>175.3519379968775</v>
      </c>
    </row>
    <row r="2927" spans="1:22" ht="19" customHeight="1">
      <c r="A2927" s="68" t="s">
        <v>376</v>
      </c>
      <c r="B2927" s="74">
        <v>4</v>
      </c>
      <c r="C2927" s="68" t="s">
        <v>363</v>
      </c>
      <c r="D2927" s="68" t="s">
        <v>364</v>
      </c>
      <c r="E2927" s="75">
        <f>60*F2927*'THAM_SO_MOI'!$C$52/(2*PI()*'THAM_SO_MOI'!$C$26)</f>
        <v>2172.6214165105644</v>
      </c>
      <c r="F2927" s="75">
        <f>'HANH_TRINH'!$F$2468+('THAM_SO_MOI'!$F$52-'HANH_TRINH'!$F$2468)*458/'THAM_SO_MOI'!$C$42</f>
        <v>13.810311474006502</v>
      </c>
      <c r="G2927" s="75">
        <f>3.6*F2927</f>
        <v>49.71712130642341</v>
      </c>
      <c r="H2927" s="75">
        <f>'THAM_SO_MOI'!$D$52</f>
        <v>1.1774754878398197</v>
      </c>
      <c r="I2927" s="75">
        <f>IF(F2927&gt;'THAM_SO_MOI'!$C$14,'THAM_SO_MOI'!$C$13*(1+F2927^2/1500),'THAM_SO_MOI'!$C$13)</f>
        <v>0.015</v>
      </c>
      <c r="J2927" s="75">
        <f>'THAM_SO_MOI'!$C$40*('THAM_SO_MOI'!$C$23*(E2927/'THAM_SO_MOI'!$C$22)+'THAM_SO_MOI'!$C$24*(E2927/'THAM_SO_MOI'!$C$22)^2-'THAM_SO_MOI'!$C$25*(E2927/'THAM_SO_MOI'!$C$22)^3)</f>
        <v>97.84264273342664</v>
      </c>
      <c r="K2927" s="75">
        <f>'THAM_SO_MOI'!$C$31*J2927/E2927</f>
        <v>430.12772452843365</v>
      </c>
      <c r="L2927" s="75">
        <f>K2927*'THAM_SO_MOI'!$C$52*'THAM_SO_MOI'!$C$17/'THAM_SO_MOI'!$C$26</f>
        <v>6023.176127810348</v>
      </c>
      <c r="M2927" s="75">
        <f>'THAM_SO_MOI'!$C$15*'THAM_SO_MOI'!$C$16*F2927^2</f>
        <v>557.8697563015463</v>
      </c>
      <c r="N2927" s="75">
        <f>'THAM_SO_MOI'!$C$12*I2927</f>
        <v>1130.112</v>
      </c>
      <c r="O2927" s="75">
        <f>M2927+N2927</f>
        <v>1687.9817563015463</v>
      </c>
      <c r="P2927" s="75">
        <f>(MIN(L2927,'THAM_SO_MOI'!$C$41)-O2927)/('THAM_SO_MOI'!$C$11*H2927)</f>
        <v>0.4793971845866557</v>
      </c>
      <c r="Q2927" s="75">
        <f>IF(P2927&gt;0,1/P2927,NA())</f>
        <v>2.0859530096369188</v>
      </c>
      <c r="R2927" s="75">
        <f>F2927-F2926</f>
        <v>0.007943393307220603</v>
      </c>
      <c r="S2927" s="75">
        <f>0.5*(Q2926+Q2927)*R2927</f>
        <v>0.01656830200822878</v>
      </c>
      <c r="T2927" s="75">
        <f>0.5*(F2926*Q2926+F2927*Q2927)*R2927</f>
        <v>0.22874761199688973</v>
      </c>
      <c r="U2927" s="76">
        <f>U2926+S2927</f>
        <v>21.441426613192363</v>
      </c>
      <c r="V2927" s="76">
        <f>V2926+T2927</f>
        <v>175.58068560887438</v>
      </c>
    </row>
    <row r="2928" spans="1:22" ht="19" customHeight="1">
      <c r="A2928" s="68" t="s">
        <v>376</v>
      </c>
      <c r="B2928" s="74">
        <v>4</v>
      </c>
      <c r="C2928" s="68" t="s">
        <v>363</v>
      </c>
      <c r="D2928" s="68" t="s">
        <v>364</v>
      </c>
      <c r="E2928" s="75">
        <f>60*F2928*'THAM_SO_MOI'!$C$52/(2*PI()*'THAM_SO_MOI'!$C$26)</f>
        <v>2173.8710614915276</v>
      </c>
      <c r="F2928" s="75">
        <f>'HANH_TRINH'!$F$2468+('THAM_SO_MOI'!$F$52-'HANH_TRINH'!$F$2468)*459/'THAM_SO_MOI'!$C$42</f>
        <v>13.81825486731372</v>
      </c>
      <c r="G2928" s="75">
        <f>3.6*F2928</f>
        <v>49.74571752232939</v>
      </c>
      <c r="H2928" s="75">
        <f>'THAM_SO_MOI'!$D$52</f>
        <v>1.1774754878398197</v>
      </c>
      <c r="I2928" s="75">
        <f>IF(F2928&gt;'THAM_SO_MOI'!$C$14,'THAM_SO_MOI'!$C$13*(1+F2928^2/1500),'THAM_SO_MOI'!$C$13)</f>
        <v>0.015</v>
      </c>
      <c r="J2928" s="75">
        <f>'THAM_SO_MOI'!$C$40*('THAM_SO_MOI'!$C$23*(E2928/'THAM_SO_MOI'!$C$22)+'THAM_SO_MOI'!$C$24*(E2928/'THAM_SO_MOI'!$C$22)^2-'THAM_SO_MOI'!$C$25*(E2928/'THAM_SO_MOI'!$C$22)^3)</f>
        <v>97.89873815835585</v>
      </c>
      <c r="K2928" s="75">
        <f>'THAM_SO_MOI'!$C$31*J2928/E2928</f>
        <v>430.126926859151</v>
      </c>
      <c r="L2928" s="75">
        <f>K2928*'THAM_SO_MOI'!$C$52*'THAM_SO_MOI'!$C$17/'THAM_SO_MOI'!$C$26</f>
        <v>6023.164957866382</v>
      </c>
      <c r="M2928" s="75">
        <f>'THAM_SO_MOI'!$C$15*'THAM_SO_MOI'!$C$16*F2928^2</f>
        <v>558.5116901657651</v>
      </c>
      <c r="N2928" s="75">
        <f>'THAM_SO_MOI'!$C$12*I2928</f>
        <v>1130.112</v>
      </c>
      <c r="O2928" s="75">
        <f>M2928+N2928</f>
        <v>1688.6236901657653</v>
      </c>
      <c r="P2928" s="75">
        <f>(MIN(L2928,'THAM_SO_MOI'!$C$41)-O2928)/('THAM_SO_MOI'!$C$11*H2928)</f>
        <v>0.479324962651477</v>
      </c>
      <c r="Q2928" s="75">
        <f>IF(P2928&gt;0,1/P2928,NA())</f>
        <v>2.0862673090679653</v>
      </c>
      <c r="R2928" s="75">
        <f>F2928-F2927</f>
        <v>0.007943393307218827</v>
      </c>
      <c r="S2928" s="75">
        <f>0.5*(Q2927+Q2928)*R2928</f>
        <v>0.016570793477921387</v>
      </c>
      <c r="T2928" s="75">
        <f>0.5*(F2927*Q2927+F2928*Q2928)*R2928</f>
        <v>0.22891363842441065</v>
      </c>
      <c r="U2928" s="76">
        <f>U2927+S2928</f>
        <v>21.457997406670284</v>
      </c>
      <c r="V2928" s="76">
        <f>V2927+T2928</f>
        <v>175.8095992472988</v>
      </c>
    </row>
    <row r="2929" spans="1:22" ht="19" customHeight="1">
      <c r="A2929" s="68" t="s">
        <v>376</v>
      </c>
      <c r="B2929" s="74">
        <v>4</v>
      </c>
      <c r="C2929" s="68" t="s">
        <v>363</v>
      </c>
      <c r="D2929" s="68" t="s">
        <v>364</v>
      </c>
      <c r="E2929" s="75">
        <f>60*F2929*'THAM_SO_MOI'!$C$52/(2*PI()*'THAM_SO_MOI'!$C$26)</f>
        <v>2175.120706472491</v>
      </c>
      <c r="F2929" s="75">
        <f>'HANH_TRINH'!$F$2468+('THAM_SO_MOI'!$F$52-'HANH_TRINH'!$F$2468)*460/'THAM_SO_MOI'!$C$42</f>
        <v>13.826198260620941</v>
      </c>
      <c r="G2929" s="75">
        <f>3.6*F2929</f>
        <v>49.77431373823539</v>
      </c>
      <c r="H2929" s="75">
        <f>'THAM_SO_MOI'!$D$52</f>
        <v>1.1774754878398197</v>
      </c>
      <c r="I2929" s="75">
        <f>IF(F2929&gt;'THAM_SO_MOI'!$C$14,'THAM_SO_MOI'!$C$13*(1+F2929^2/1500),'THAM_SO_MOI'!$C$13)</f>
        <v>0.015</v>
      </c>
      <c r="J2929" s="75">
        <f>'THAM_SO_MOI'!$C$40*('THAM_SO_MOI'!$C$23*(E2929/'THAM_SO_MOI'!$C$22)+'THAM_SO_MOI'!$C$24*(E2929/'THAM_SO_MOI'!$C$22)^2-'THAM_SO_MOI'!$C$25*(E2929/'THAM_SO_MOI'!$C$22)^3)</f>
        <v>97.9547988727431</v>
      </c>
      <c r="K2929" s="75">
        <f>'THAM_SO_MOI'!$C$31*J2929/E2929</f>
        <v>430.125977690141</v>
      </c>
      <c r="L2929" s="75">
        <f>K2929*'THAM_SO_MOI'!$C$52*'THAM_SO_MOI'!$C$17/'THAM_SO_MOI'!$C$26</f>
        <v>6023.151666437358</v>
      </c>
      <c r="M2929" s="75">
        <f>'THAM_SO_MOI'!$C$15*'THAM_SO_MOI'!$C$16*F2929^2</f>
        <v>559.1539931503429</v>
      </c>
      <c r="N2929" s="75">
        <f>'THAM_SO_MOI'!$C$12*I2929</f>
        <v>1130.112</v>
      </c>
      <c r="O2929" s="75">
        <f>M2929+N2929</f>
        <v>1689.265993150343</v>
      </c>
      <c r="P2929" s="75">
        <f>(MIN(L2929,'THAM_SO_MOI'!$C$41)-O2929)/('THAM_SO_MOI'!$C$11*H2929)</f>
        <v>0.4792524652986069</v>
      </c>
      <c r="Q2929" s="75">
        <f>IF(P2929&gt;0,1/P2929,NA())</f>
        <v>2.08658290234758</v>
      </c>
      <c r="R2929" s="75">
        <f>F2929-F2928</f>
        <v>0.007943393307220603</v>
      </c>
      <c r="S2929" s="75">
        <f>0.5*(Q2928+Q2929)*R2929</f>
        <v>0.01657329522069616</v>
      </c>
      <c r="T2929" s="75">
        <f>0.5*(F2928*Q2928+F2929*Q2929)*R2929</f>
        <v>0.22907984643026583</v>
      </c>
      <c r="U2929" s="76">
        <f>U2928+S2929</f>
        <v>21.47457070189098</v>
      </c>
      <c r="V2929" s="76">
        <f>V2928+T2929</f>
        <v>176.03867909372906</v>
      </c>
    </row>
    <row r="2930" spans="1:22" ht="19" customHeight="1">
      <c r="A2930" s="68" t="s">
        <v>376</v>
      </c>
      <c r="B2930" s="74">
        <v>4</v>
      </c>
      <c r="C2930" s="68" t="s">
        <v>363</v>
      </c>
      <c r="D2930" s="68" t="s">
        <v>364</v>
      </c>
      <c r="E2930" s="75">
        <f>60*F2930*'THAM_SO_MOI'!$C$52/(2*PI()*'THAM_SO_MOI'!$C$26)</f>
        <v>2176.370351453454</v>
      </c>
      <c r="F2930" s="75">
        <f>'HANH_TRINH'!$F$2468+('THAM_SO_MOI'!$F$52-'HANH_TRINH'!$F$2468)*461/'THAM_SO_MOI'!$C$42</f>
        <v>13.83414165392816</v>
      </c>
      <c r="G2930" s="75">
        <f>3.6*F2930</f>
        <v>49.80290995414138</v>
      </c>
      <c r="H2930" s="75">
        <f>'THAM_SO_MOI'!$D$52</f>
        <v>1.1774754878398197</v>
      </c>
      <c r="I2930" s="75">
        <f>IF(F2930&gt;'THAM_SO_MOI'!$C$14,'THAM_SO_MOI'!$C$13*(1+F2930^2/1500),'THAM_SO_MOI'!$C$13)</f>
        <v>0.015</v>
      </c>
      <c r="J2930" s="75">
        <f>'THAM_SO_MOI'!$C$40*('THAM_SO_MOI'!$C$23*(E2930/'THAM_SO_MOI'!$C$22)+'THAM_SO_MOI'!$C$24*(E2930/'THAM_SO_MOI'!$C$22)^2-'THAM_SO_MOI'!$C$25*(E2930/'THAM_SO_MOI'!$C$22)^3)</f>
        <v>98.01082481712264</v>
      </c>
      <c r="K2930" s="75">
        <f>'THAM_SO_MOI'!$C$31*J2930/E2930</f>
        <v>430.1248770214032</v>
      </c>
      <c r="L2930" s="75">
        <f>K2930*'THAM_SO_MOI'!$C$52*'THAM_SO_MOI'!$C$17/'THAM_SO_MOI'!$C$26</f>
        <v>6023.1362535232665</v>
      </c>
      <c r="M2930" s="75">
        <f>'THAM_SO_MOI'!$C$15*'THAM_SO_MOI'!$C$16*F2930^2</f>
        <v>559.7966652552793</v>
      </c>
      <c r="N2930" s="75">
        <f>'THAM_SO_MOI'!$C$12*I2930</f>
        <v>1130.112</v>
      </c>
      <c r="O2930" s="75">
        <f>M2930+N2930</f>
        <v>1689.9086652552794</v>
      </c>
      <c r="P2930" s="75">
        <f>(MIN(L2930,'THAM_SO_MOI'!$C$41)-O2930)/('THAM_SO_MOI'!$C$11*H2930)</f>
        <v>0.47917969252804465</v>
      </c>
      <c r="Q2930" s="75">
        <f>IF(P2930&gt;0,1/P2930,NA())</f>
        <v>2.086899790607202</v>
      </c>
      <c r="R2930" s="75">
        <f>F2930-F2929</f>
        <v>0.007943393307218827</v>
      </c>
      <c r="S2930" s="75">
        <f>0.5*(Q2929+Q2930)*R2930</f>
        <v>0.016575807245505312</v>
      </c>
      <c r="T2930" s="75">
        <f>0.5*(F2929*Q2929+F2930*Q2930)*R2930</f>
        <v>0.2292462363830754</v>
      </c>
      <c r="U2930" s="76">
        <f>U2929+S2930</f>
        <v>21.491146509136485</v>
      </c>
      <c r="V2930" s="76">
        <f>V2929+T2930</f>
        <v>176.26792533011212</v>
      </c>
    </row>
    <row r="2931" spans="1:22" ht="19" customHeight="1">
      <c r="A2931" s="68" t="s">
        <v>376</v>
      </c>
      <c r="B2931" s="74">
        <v>4</v>
      </c>
      <c r="C2931" s="68" t="s">
        <v>363</v>
      </c>
      <c r="D2931" s="68" t="s">
        <v>364</v>
      </c>
      <c r="E2931" s="75">
        <f>60*F2931*'THAM_SO_MOI'!$C$52/(2*PI()*'THAM_SO_MOI'!$C$26)</f>
        <v>2177.6199964344173</v>
      </c>
      <c r="F2931" s="75">
        <f>'HANH_TRINH'!$F$2468+('THAM_SO_MOI'!$F$52-'HANH_TRINH'!$F$2468)*462/'THAM_SO_MOI'!$C$42</f>
        <v>13.84208504723538</v>
      </c>
      <c r="G2931" s="75">
        <f>3.6*F2931</f>
        <v>49.83150617004737</v>
      </c>
      <c r="H2931" s="75">
        <f>'THAM_SO_MOI'!$D$52</f>
        <v>1.1774754878398197</v>
      </c>
      <c r="I2931" s="75">
        <f>IF(F2931&gt;'THAM_SO_MOI'!$C$14,'THAM_SO_MOI'!$C$13*(1+F2931^2/1500),'THAM_SO_MOI'!$C$13)</f>
        <v>0.015</v>
      </c>
      <c r="J2931" s="75">
        <f>'THAM_SO_MOI'!$C$40*('THAM_SO_MOI'!$C$23*(E2931/'THAM_SO_MOI'!$C$22)+'THAM_SO_MOI'!$C$24*(E2931/'THAM_SO_MOI'!$C$22)^2-'THAM_SO_MOI'!$C$25*(E2931/'THAM_SO_MOI'!$C$22)^3)</f>
        <v>98.06681593202882</v>
      </c>
      <c r="K2931" s="75">
        <f>'THAM_SO_MOI'!$C$31*J2931/E2931</f>
        <v>430.12362485293795</v>
      </c>
      <c r="L2931" s="75">
        <f>K2931*'THAM_SO_MOI'!$C$52*'THAM_SO_MOI'!$C$17/'THAM_SO_MOI'!$C$26</f>
        <v>6023.118719124116</v>
      </c>
      <c r="M2931" s="75">
        <f>'THAM_SO_MOI'!$C$15*'THAM_SO_MOI'!$C$16*F2931^2</f>
        <v>560.4397064805745</v>
      </c>
      <c r="N2931" s="75">
        <f>'THAM_SO_MOI'!$C$12*I2931</f>
        <v>1130.112</v>
      </c>
      <c r="O2931" s="75">
        <f>M2931+N2931</f>
        <v>1690.5517064805745</v>
      </c>
      <c r="P2931" s="75">
        <f>(MIN(L2931,'THAM_SO_MOI'!$C$41)-O2931)/('THAM_SO_MOI'!$C$11*H2931)</f>
        <v>0.4791066443397911</v>
      </c>
      <c r="Q2931" s="75">
        <f>IF(P2931&gt;0,1/P2931,NA())</f>
        <v>2.087217974983419</v>
      </c>
      <c r="R2931" s="75">
        <f>F2931-F2930</f>
        <v>0.007943393307218827</v>
      </c>
      <c r="S2931" s="75">
        <f>0.5*(Q2930+Q2931)*R2931</f>
        <v>0.01657832956136787</v>
      </c>
      <c r="T2931" s="75">
        <f>0.5*(F2930*Q2930+F2931*Q2931)*R2931</f>
        <v>0.22941280865266864</v>
      </c>
      <c r="U2931" s="76">
        <f>U2930+S2931</f>
        <v>21.507724838697854</v>
      </c>
      <c r="V2931" s="76">
        <f>V2930+T2931</f>
        <v>176.4973381387648</v>
      </c>
    </row>
    <row r="2932" spans="1:22" ht="19" customHeight="1">
      <c r="A2932" s="68" t="s">
        <v>376</v>
      </c>
      <c r="B2932" s="74">
        <v>4</v>
      </c>
      <c r="C2932" s="68" t="s">
        <v>363</v>
      </c>
      <c r="D2932" s="68" t="s">
        <v>364</v>
      </c>
      <c r="E2932" s="75">
        <f>60*F2932*'THAM_SO_MOI'!$C$52/(2*PI()*'THAM_SO_MOI'!$C$26)</f>
        <v>2178.8696414153806</v>
      </c>
      <c r="F2932" s="75">
        <f>'HANH_TRINH'!$F$2468+('THAM_SO_MOI'!$F$52-'HANH_TRINH'!$F$2468)*463/'THAM_SO_MOI'!$C$42</f>
        <v>13.850028440542598</v>
      </c>
      <c r="G2932" s="75">
        <f>3.6*F2932</f>
        <v>49.860102385953354</v>
      </c>
      <c r="H2932" s="75">
        <f>'THAM_SO_MOI'!$D$52</f>
        <v>1.1774754878398197</v>
      </c>
      <c r="I2932" s="75">
        <f>IF(F2932&gt;'THAM_SO_MOI'!$C$14,'THAM_SO_MOI'!$C$13*(1+F2932^2/1500),'THAM_SO_MOI'!$C$13)</f>
        <v>0.015</v>
      </c>
      <c r="J2932" s="75">
        <f>'THAM_SO_MOI'!$C$40*('THAM_SO_MOI'!$C$23*(E2932/'THAM_SO_MOI'!$C$22)+'THAM_SO_MOI'!$C$24*(E2932/'THAM_SO_MOI'!$C$22)^2-'THAM_SO_MOI'!$C$25*(E2932/'THAM_SO_MOI'!$C$22)^3)</f>
        <v>98.122772157996</v>
      </c>
      <c r="K2932" s="75">
        <f>'THAM_SO_MOI'!$C$31*J2932/E2932</f>
        <v>430.1222211847454</v>
      </c>
      <c r="L2932" s="75">
        <f>K2932*'THAM_SO_MOI'!$C$52*'THAM_SO_MOI'!$C$17/'THAM_SO_MOI'!$C$26</f>
        <v>6023.099063239906</v>
      </c>
      <c r="M2932" s="75">
        <f>'THAM_SO_MOI'!$C$15*'THAM_SO_MOI'!$C$16*F2932^2</f>
        <v>561.0831168262287</v>
      </c>
      <c r="N2932" s="75">
        <f>'THAM_SO_MOI'!$C$12*I2932</f>
        <v>1130.112</v>
      </c>
      <c r="O2932" s="75">
        <f>M2932+N2932</f>
        <v>1691.1951168262287</v>
      </c>
      <c r="P2932" s="75">
        <f>(MIN(L2932,'THAM_SO_MOI'!$C$41)-O2932)/('THAM_SO_MOI'!$C$11*H2932)</f>
        <v>0.47903332073384614</v>
      </c>
      <c r="Q2932" s="75">
        <f>IF(P2932&gt;0,1/P2932,NA())</f>
        <v>2.0875374566179836</v>
      </c>
      <c r="R2932" s="75">
        <f>F2932-F2931</f>
        <v>0.007943393307218827</v>
      </c>
      <c r="S2932" s="75">
        <f>0.5*(Q2931+Q2932)*R2932</f>
        <v>0.016580862177329014</v>
      </c>
      <c r="T2932" s="75">
        <f>0.5*(F2931*Q2931+F2932*Q2932)*R2932</f>
        <v>0.2295795636095231</v>
      </c>
      <c r="U2932" s="76">
        <f>U2931+S2932</f>
        <v>21.524305700875182</v>
      </c>
      <c r="V2932" s="76">
        <f>V2931+T2932</f>
        <v>176.72691770237432</v>
      </c>
    </row>
    <row r="2933" spans="1:22" ht="19" customHeight="1">
      <c r="A2933" s="68" t="s">
        <v>376</v>
      </c>
      <c r="B2933" s="74">
        <v>4</v>
      </c>
      <c r="C2933" s="68" t="s">
        <v>363</v>
      </c>
      <c r="D2933" s="68" t="s">
        <v>364</v>
      </c>
      <c r="E2933" s="75">
        <f>60*F2933*'THAM_SO_MOI'!$C$52/(2*PI()*'THAM_SO_MOI'!$C$26)</f>
        <v>2180.119286396344</v>
      </c>
      <c r="F2933" s="75">
        <f>'HANH_TRINH'!$F$2468+('THAM_SO_MOI'!$F$52-'HANH_TRINH'!$F$2468)*464/'THAM_SO_MOI'!$C$42</f>
        <v>13.857971833849819</v>
      </c>
      <c r="G2933" s="75">
        <f>3.6*F2933</f>
        <v>49.888698601859346</v>
      </c>
      <c r="H2933" s="75">
        <f>'THAM_SO_MOI'!$D$52</f>
        <v>1.1774754878398197</v>
      </c>
      <c r="I2933" s="75">
        <f>IF(F2933&gt;'THAM_SO_MOI'!$C$14,'THAM_SO_MOI'!$C$13*(1+F2933^2/1500),'THAM_SO_MOI'!$C$13)</f>
        <v>0.015</v>
      </c>
      <c r="J2933" s="75">
        <f>'THAM_SO_MOI'!$C$40*('THAM_SO_MOI'!$C$23*(E2933/'THAM_SO_MOI'!$C$22)+'THAM_SO_MOI'!$C$24*(E2933/'THAM_SO_MOI'!$C$22)^2-'THAM_SO_MOI'!$C$25*(E2933/'THAM_SO_MOI'!$C$22)^3)</f>
        <v>98.17869343555849</v>
      </c>
      <c r="K2933" s="75">
        <f>'THAM_SO_MOI'!$C$31*J2933/E2933</f>
        <v>430.12066601682545</v>
      </c>
      <c r="L2933" s="75">
        <f>K2933*'THAM_SO_MOI'!$C$52*'THAM_SO_MOI'!$C$17/'THAM_SO_MOI'!$C$26</f>
        <v>6023.077285870636</v>
      </c>
      <c r="M2933" s="75">
        <f>'THAM_SO_MOI'!$C$15*'THAM_SO_MOI'!$C$16*F2933^2</f>
        <v>561.7268962922417</v>
      </c>
      <c r="N2933" s="75">
        <f>'THAM_SO_MOI'!$C$12*I2933</f>
        <v>1130.112</v>
      </c>
      <c r="O2933" s="75">
        <f>M2933+N2933</f>
        <v>1691.8388962922418</v>
      </c>
      <c r="P2933" s="75">
        <f>(MIN(L2933,'THAM_SO_MOI'!$C$41)-O2933)/('THAM_SO_MOI'!$C$11*H2933)</f>
        <v>0.47895972171020973</v>
      </c>
      <c r="Q2933" s="75">
        <f>IF(P2933&gt;0,1/P2933,NA())</f>
        <v>2.087858236657823</v>
      </c>
      <c r="R2933" s="75">
        <f>F2933-F2932</f>
        <v>0.007943393307220603</v>
      </c>
      <c r="S2933" s="75">
        <f>0.5*(Q2932+Q2933)*R2933</f>
        <v>0.016583405102482386</v>
      </c>
      <c r="T2933" s="75">
        <f>0.5*(F2932*Q2932+F2933*Q2933)*R2933</f>
        <v>0.2297465016250757</v>
      </c>
      <c r="U2933" s="76">
        <f>U2932+S2933</f>
        <v>21.540889105977666</v>
      </c>
      <c r="V2933" s="76">
        <f>V2932+T2933</f>
        <v>176.9566642039994</v>
      </c>
    </row>
    <row r="2934" spans="1:22" ht="19" customHeight="1">
      <c r="A2934" s="68" t="s">
        <v>376</v>
      </c>
      <c r="B2934" s="74">
        <v>4</v>
      </c>
      <c r="C2934" s="68" t="s">
        <v>363</v>
      </c>
      <c r="D2934" s="68" t="s">
        <v>364</v>
      </c>
      <c r="E2934" s="75">
        <f>60*F2934*'THAM_SO_MOI'!$C$52/(2*PI()*'THAM_SO_MOI'!$C$26)</f>
        <v>2181.368931377307</v>
      </c>
      <c r="F2934" s="75">
        <f>'HANH_TRINH'!$F$2468+('THAM_SO_MOI'!$F$52-'HANH_TRINH'!$F$2468)*465/'THAM_SO_MOI'!$C$42</f>
        <v>13.865915227157037</v>
      </c>
      <c r="G2934" s="75">
        <f>3.6*F2934</f>
        <v>49.91729481776534</v>
      </c>
      <c r="H2934" s="75">
        <f>'THAM_SO_MOI'!$D$52</f>
        <v>1.1774754878398197</v>
      </c>
      <c r="I2934" s="75">
        <f>IF(F2934&gt;'THAM_SO_MOI'!$C$14,'THAM_SO_MOI'!$C$13*(1+F2934^2/1500),'THAM_SO_MOI'!$C$13)</f>
        <v>0.015</v>
      </c>
      <c r="J2934" s="75">
        <f>'THAM_SO_MOI'!$C$40*('THAM_SO_MOI'!$C$23*(E2934/'THAM_SO_MOI'!$C$22)+'THAM_SO_MOI'!$C$24*(E2934/'THAM_SO_MOI'!$C$22)^2-'THAM_SO_MOI'!$C$25*(E2934/'THAM_SO_MOI'!$C$22)^3)</f>
        <v>98.23457970525055</v>
      </c>
      <c r="K2934" s="75">
        <f>'THAM_SO_MOI'!$C$31*J2934/E2934</f>
        <v>430.118959349178</v>
      </c>
      <c r="L2934" s="75">
        <f>K2934*'THAM_SO_MOI'!$C$52*'THAM_SO_MOI'!$C$17/'THAM_SO_MOI'!$C$26</f>
        <v>6023.053387016304</v>
      </c>
      <c r="M2934" s="75">
        <f>'THAM_SO_MOI'!$C$15*'THAM_SO_MOI'!$C$16*F2934^2</f>
        <v>562.3710448786132</v>
      </c>
      <c r="N2934" s="75">
        <f>'THAM_SO_MOI'!$C$12*I2934</f>
        <v>1130.112</v>
      </c>
      <c r="O2934" s="75">
        <f>M2934+N2934</f>
        <v>1692.4830448786133</v>
      </c>
      <c r="P2934" s="75">
        <f>(MIN(L2934,'THAM_SO_MOI'!$C$41)-O2934)/('THAM_SO_MOI'!$C$11*H2934)</f>
        <v>0.4788858472688817</v>
      </c>
      <c r="Q2934" s="75">
        <f>IF(P2934&gt;0,1/P2934,NA())</f>
        <v>2.088180316255048</v>
      </c>
      <c r="R2934" s="75">
        <f>F2934-F2933</f>
        <v>0.007943393307218827</v>
      </c>
      <c r="S2934" s="75">
        <f>0.5*(Q2933+Q2934)*R2934</f>
        <v>0.01658595834594795</v>
      </c>
      <c r="T2934" s="75">
        <f>0.5*(F2933*Q2933+F2934*Q2934)*R2934</f>
        <v>0.2299136230714166</v>
      </c>
      <c r="U2934" s="76">
        <f>U2933+S2934</f>
        <v>21.557475064323615</v>
      </c>
      <c r="V2934" s="76">
        <f>V2933+T2934</f>
        <v>177.1865778270708</v>
      </c>
    </row>
    <row r="2935" spans="1:22" ht="19" customHeight="1">
      <c r="A2935" s="68" t="s">
        <v>376</v>
      </c>
      <c r="B2935" s="74">
        <v>4</v>
      </c>
      <c r="C2935" s="68" t="s">
        <v>363</v>
      </c>
      <c r="D2935" s="68" t="s">
        <v>364</v>
      </c>
      <c r="E2935" s="75">
        <f>60*F2935*'THAM_SO_MOI'!$C$52/(2*PI()*'THAM_SO_MOI'!$C$26)</f>
        <v>2182.6185763582703</v>
      </c>
      <c r="F2935" s="75">
        <f>'HANH_TRINH'!$F$2468+('THAM_SO_MOI'!$F$52-'HANH_TRINH'!$F$2468)*466/'THAM_SO_MOI'!$C$42</f>
        <v>13.873858620464258</v>
      </c>
      <c r="G2935" s="75">
        <f>3.6*F2935</f>
        <v>49.94589103367133</v>
      </c>
      <c r="H2935" s="75">
        <f>'THAM_SO_MOI'!$D$52</f>
        <v>1.1774754878398197</v>
      </c>
      <c r="I2935" s="75">
        <f>IF(F2935&gt;'THAM_SO_MOI'!$C$14,'THAM_SO_MOI'!$C$13*(1+F2935^2/1500),'THAM_SO_MOI'!$C$13)</f>
        <v>0.015</v>
      </c>
      <c r="J2935" s="75">
        <f>'THAM_SO_MOI'!$C$40*('THAM_SO_MOI'!$C$23*(E2935/'THAM_SO_MOI'!$C$22)+'THAM_SO_MOI'!$C$24*(E2935/'THAM_SO_MOI'!$C$22)^2-'THAM_SO_MOI'!$C$25*(E2935/'THAM_SO_MOI'!$C$22)^3)</f>
        <v>98.2904309076065</v>
      </c>
      <c r="K2935" s="75">
        <f>'THAM_SO_MOI'!$C$31*J2935/E2935</f>
        <v>430.117101181803</v>
      </c>
      <c r="L2935" s="75">
        <f>K2935*'THAM_SO_MOI'!$C$52*'THAM_SO_MOI'!$C$17/'THAM_SO_MOI'!$C$26</f>
        <v>6023.027366676912</v>
      </c>
      <c r="M2935" s="75">
        <f>'THAM_SO_MOI'!$C$15*'THAM_SO_MOI'!$C$16*F2935^2</f>
        <v>563.015562585344</v>
      </c>
      <c r="N2935" s="75">
        <f>'THAM_SO_MOI'!$C$12*I2935</f>
        <v>1130.112</v>
      </c>
      <c r="O2935" s="75">
        <f>M2935+N2935</f>
        <v>1693.127562585344</v>
      </c>
      <c r="P2935" s="75">
        <f>(MIN(L2935,'THAM_SO_MOI'!$C$41)-O2935)/('THAM_SO_MOI'!$C$11*H2935)</f>
        <v>0.4788116974098622</v>
      </c>
      <c r="Q2935" s="75">
        <f>IF(P2935&gt;0,1/P2935,NA())</f>
        <v>2.0885036965669643</v>
      </c>
      <c r="R2935" s="75">
        <f>F2935-F2934</f>
        <v>0.007943393307220603</v>
      </c>
      <c r="S2935" s="75">
        <f>0.5*(Q2934+Q2935)*R2935</f>
        <v>0.01658852191691283</v>
      </c>
      <c r="T2935" s="75">
        <f>0.5*(F2934*Q2934+F2935*Q2935)*R2935</f>
        <v>0.23008092832185773</v>
      </c>
      <c r="U2935" s="76">
        <f>U2934+S2935</f>
        <v>21.574063586240527</v>
      </c>
      <c r="V2935" s="76">
        <f>V2934+T2935</f>
        <v>177.41665875539266</v>
      </c>
    </row>
    <row r="2936" spans="1:22" ht="19" customHeight="1">
      <c r="A2936" s="68" t="s">
        <v>376</v>
      </c>
      <c r="B2936" s="74">
        <v>4</v>
      </c>
      <c r="C2936" s="68" t="s">
        <v>363</v>
      </c>
      <c r="D2936" s="68" t="s">
        <v>364</v>
      </c>
      <c r="E2936" s="75">
        <f>60*F2936*'THAM_SO_MOI'!$C$52/(2*PI()*'THAM_SO_MOI'!$C$26)</f>
        <v>2183.8682213392335</v>
      </c>
      <c r="F2936" s="75">
        <f>'HANH_TRINH'!$F$2468+('THAM_SO_MOI'!$F$52-'HANH_TRINH'!$F$2468)*467/'THAM_SO_MOI'!$C$42</f>
        <v>13.881802013771477</v>
      </c>
      <c r="G2936" s="75">
        <f>3.6*F2936</f>
        <v>49.974487249577315</v>
      </c>
      <c r="H2936" s="75">
        <f>'THAM_SO_MOI'!$D$52</f>
        <v>1.1774754878398197</v>
      </c>
      <c r="I2936" s="75">
        <f>IF(F2936&gt;'THAM_SO_MOI'!$C$14,'THAM_SO_MOI'!$C$13*(1+F2936^2/1500),'THAM_SO_MOI'!$C$13)</f>
        <v>0.015</v>
      </c>
      <c r="J2936" s="75">
        <f>'THAM_SO_MOI'!$C$40*('THAM_SO_MOI'!$C$23*(E2936/'THAM_SO_MOI'!$C$22)+'THAM_SO_MOI'!$C$24*(E2936/'THAM_SO_MOI'!$C$22)^2-'THAM_SO_MOI'!$C$25*(E2936/'THAM_SO_MOI'!$C$22)^3)</f>
        <v>98.34624698316068</v>
      </c>
      <c r="K2936" s="75">
        <f>'THAM_SO_MOI'!$C$31*J2936/E2936</f>
        <v>430.11509151470045</v>
      </c>
      <c r="L2936" s="75">
        <f>K2936*'THAM_SO_MOI'!$C$52*'THAM_SO_MOI'!$C$17/'THAM_SO_MOI'!$C$26</f>
        <v>6022.999224852457</v>
      </c>
      <c r="M2936" s="75">
        <f>'THAM_SO_MOI'!$C$15*'THAM_SO_MOI'!$C$16*F2936^2</f>
        <v>563.6604494124333</v>
      </c>
      <c r="N2936" s="75">
        <f>'THAM_SO_MOI'!$C$12*I2936</f>
        <v>1130.112</v>
      </c>
      <c r="O2936" s="75">
        <f>M2936+N2936</f>
        <v>1693.7724494124334</v>
      </c>
      <c r="P2936" s="75">
        <f>(MIN(L2936,'THAM_SO_MOI'!$C$41)-O2936)/('THAM_SO_MOI'!$C$11*H2936)</f>
        <v>0.478737272133151</v>
      </c>
      <c r="Q2936" s="75">
        <f>IF(P2936&gt;0,1/P2936,NA())</f>
        <v>2.088828378756084</v>
      </c>
      <c r="R2936" s="75">
        <f>F2936-F2935</f>
        <v>0.007943393307218827</v>
      </c>
      <c r="S2936" s="75">
        <f>0.5*(Q2935+Q2936)*R2936</f>
        <v>0.01659109582457582</v>
      </c>
      <c r="T2936" s="75">
        <f>0.5*(F2935*Q2935+F2936*Q2936)*R2936</f>
        <v>0.23024841775016433</v>
      </c>
      <c r="U2936" s="76">
        <f>U2935+S2936</f>
        <v>21.590654682065104</v>
      </c>
      <c r="V2936" s="76">
        <f>V2935+T2936</f>
        <v>177.64690717314284</v>
      </c>
    </row>
    <row r="2937" spans="1:22" ht="19" customHeight="1">
      <c r="A2937" s="68" t="s">
        <v>376</v>
      </c>
      <c r="B2937" s="74">
        <v>4</v>
      </c>
      <c r="C2937" s="68" t="s">
        <v>363</v>
      </c>
      <c r="D2937" s="68" t="s">
        <v>364</v>
      </c>
      <c r="E2937" s="75">
        <f>60*F2937*'THAM_SO_MOI'!$C$52/(2*PI()*'THAM_SO_MOI'!$C$26)</f>
        <v>2185.117866320197</v>
      </c>
      <c r="F2937" s="75">
        <f>'HANH_TRINH'!$F$2468+('THAM_SO_MOI'!$F$52-'HANH_TRINH'!$F$2468)*468/'THAM_SO_MOI'!$C$42</f>
        <v>13.889745407078696</v>
      </c>
      <c r="G2937" s="75">
        <f>3.6*F2937</f>
        <v>50.00308346548331</v>
      </c>
      <c r="H2937" s="75">
        <f>'THAM_SO_MOI'!$D$52</f>
        <v>1.1774754878398197</v>
      </c>
      <c r="I2937" s="75">
        <f>IF(F2937&gt;'THAM_SO_MOI'!$C$14,'THAM_SO_MOI'!$C$13*(1+F2937^2/1500),'THAM_SO_MOI'!$C$13)</f>
        <v>0.015</v>
      </c>
      <c r="J2937" s="75">
        <f>'THAM_SO_MOI'!$C$40*('THAM_SO_MOI'!$C$23*(E2937/'THAM_SO_MOI'!$C$22)+'THAM_SO_MOI'!$C$24*(E2937/'THAM_SO_MOI'!$C$22)^2-'THAM_SO_MOI'!$C$25*(E2937/'THAM_SO_MOI'!$C$22)^3)</f>
        <v>98.40202787244743</v>
      </c>
      <c r="K2937" s="75">
        <f>'THAM_SO_MOI'!$C$31*J2937/E2937</f>
        <v>430.1129303478706</v>
      </c>
      <c r="L2937" s="75">
        <f>K2937*'THAM_SO_MOI'!$C$52*'THAM_SO_MOI'!$C$17/'THAM_SO_MOI'!$C$26</f>
        <v>6022.968961542943</v>
      </c>
      <c r="M2937" s="75">
        <f>'THAM_SO_MOI'!$C$15*'THAM_SO_MOI'!$C$16*F2937^2</f>
        <v>564.3057053598814</v>
      </c>
      <c r="N2937" s="75">
        <f>'THAM_SO_MOI'!$C$12*I2937</f>
        <v>1130.112</v>
      </c>
      <c r="O2937" s="75">
        <f>M2937+N2937</f>
        <v>1694.4177053598814</v>
      </c>
      <c r="P2937" s="75">
        <f>(MIN(L2937,'THAM_SO_MOI'!$C$41)-O2937)/('THAM_SO_MOI'!$C$11*H2937)</f>
        <v>0.47866257143874846</v>
      </c>
      <c r="Q2937" s="75">
        <f>IF(P2937&gt;0,1/P2937,NA())</f>
        <v>2.089154363990133</v>
      </c>
      <c r="R2937" s="75">
        <f>F2937-F2936</f>
        <v>0.007943393307218827</v>
      </c>
      <c r="S2937" s="75">
        <f>0.5*(Q2936+Q2937)*R2937</f>
        <v>0.016593680078203027</v>
      </c>
      <c r="T2937" s="75">
        <f>0.5*(F2936*Q2936+F2937*Q2937)*R2937</f>
        <v>0.2304160917313292</v>
      </c>
      <c r="U2937" s="76">
        <f>U2936+S2937</f>
        <v>21.607248362143306</v>
      </c>
      <c r="V2937" s="76">
        <f>V2936+T2937</f>
        <v>177.87732326487418</v>
      </c>
    </row>
    <row r="2938" spans="1:22" ht="19" customHeight="1">
      <c r="A2938" s="68" t="s">
        <v>376</v>
      </c>
      <c r="B2938" s="74">
        <v>4</v>
      </c>
      <c r="C2938" s="68" t="s">
        <v>363</v>
      </c>
      <c r="D2938" s="68" t="s">
        <v>364</v>
      </c>
      <c r="E2938" s="75">
        <f>60*F2938*'THAM_SO_MOI'!$C$52/(2*PI()*'THAM_SO_MOI'!$C$26)</f>
        <v>2186.3675113011604</v>
      </c>
      <c r="F2938" s="75">
        <f>'HANH_TRINH'!$F$2468+('THAM_SO_MOI'!$F$52-'HANH_TRINH'!$F$2468)*469/'THAM_SO_MOI'!$C$42</f>
        <v>13.897688800385914</v>
      </c>
      <c r="G2938" s="75">
        <f>3.6*F2938</f>
        <v>50.03167968138929</v>
      </c>
      <c r="H2938" s="75">
        <f>'THAM_SO_MOI'!$D$52</f>
        <v>1.1774754878398197</v>
      </c>
      <c r="I2938" s="75">
        <f>IF(F2938&gt;'THAM_SO_MOI'!$C$14,'THAM_SO_MOI'!$C$13*(1+F2938^2/1500),'THAM_SO_MOI'!$C$13)</f>
        <v>0.015</v>
      </c>
      <c r="J2938" s="75">
        <f>'THAM_SO_MOI'!$C$40*('THAM_SO_MOI'!$C$23*(E2938/'THAM_SO_MOI'!$C$22)+'THAM_SO_MOI'!$C$24*(E2938/'THAM_SO_MOI'!$C$22)^2-'THAM_SO_MOI'!$C$25*(E2938/'THAM_SO_MOI'!$C$22)^3)</f>
        <v>98.457773516001</v>
      </c>
      <c r="K2938" s="75">
        <f>'THAM_SO_MOI'!$C$31*J2938/E2938</f>
        <v>430.11061768131316</v>
      </c>
      <c r="L2938" s="75">
        <f>K2938*'THAM_SO_MOI'!$C$52*'THAM_SO_MOI'!$C$17/'THAM_SO_MOI'!$C$26</f>
        <v>6022.936576748367</v>
      </c>
      <c r="M2938" s="75">
        <f>'THAM_SO_MOI'!$C$15*'THAM_SO_MOI'!$C$16*F2938^2</f>
        <v>564.9513304276884</v>
      </c>
      <c r="N2938" s="75">
        <f>'THAM_SO_MOI'!$C$12*I2938</f>
        <v>1130.112</v>
      </c>
      <c r="O2938" s="75">
        <f>M2938+N2938</f>
        <v>1695.0633304276885</v>
      </c>
      <c r="P2938" s="75">
        <f>(MIN(L2938,'THAM_SO_MOI'!$C$41)-O2938)/('THAM_SO_MOI'!$C$11*H2938)</f>
        <v>0.47858759532665424</v>
      </c>
      <c r="Q2938" s="75">
        <f>IF(P2938&gt;0,1/P2938,NA())</f>
        <v>2.0894816534420664</v>
      </c>
      <c r="R2938" s="75">
        <f>F2938-F2937</f>
        <v>0.007943393307218827</v>
      </c>
      <c r="S2938" s="75">
        <f>0.5*(Q2937+Q2938)*R2938</f>
        <v>0.016596274687087232</v>
      </c>
      <c r="T2938" s="75">
        <f>0.5*(F2937*Q2937+F2938*Q2938)*R2938</f>
        <v>0.2305839506410097</v>
      </c>
      <c r="U2938" s="76">
        <f>U2937+S2938</f>
        <v>21.623844636830395</v>
      </c>
      <c r="V2938" s="76">
        <f>V2937+T2938</f>
        <v>178.10790721551518</v>
      </c>
    </row>
    <row r="2939" spans="1:22" ht="19" customHeight="1">
      <c r="A2939" s="68" t="s">
        <v>376</v>
      </c>
      <c r="B2939" s="74">
        <v>4</v>
      </c>
      <c r="C2939" s="68" t="s">
        <v>363</v>
      </c>
      <c r="D2939" s="68" t="s">
        <v>364</v>
      </c>
      <c r="E2939" s="75">
        <f>60*F2939*'THAM_SO_MOI'!$C$52/(2*PI()*'THAM_SO_MOI'!$C$26)</f>
        <v>2187.6171562821237</v>
      </c>
      <c r="F2939" s="75">
        <f>'HANH_TRINH'!$F$2468+('THAM_SO_MOI'!$F$52-'HANH_TRINH'!$F$2468)*470/'THAM_SO_MOI'!$C$42</f>
        <v>13.905632193693135</v>
      </c>
      <c r="G2939" s="75">
        <f>3.6*F2939</f>
        <v>50.060275897295284</v>
      </c>
      <c r="H2939" s="75">
        <f>'THAM_SO_MOI'!$D$52</f>
        <v>1.1774754878398197</v>
      </c>
      <c r="I2939" s="75">
        <f>IF(F2939&gt;'THAM_SO_MOI'!$C$14,'THAM_SO_MOI'!$C$13*(1+F2939^2/1500),'THAM_SO_MOI'!$C$13)</f>
        <v>0.015</v>
      </c>
      <c r="J2939" s="75">
        <f>'THAM_SO_MOI'!$C$40*('THAM_SO_MOI'!$C$23*(E2939/'THAM_SO_MOI'!$C$22)+'THAM_SO_MOI'!$C$24*(E2939/'THAM_SO_MOI'!$C$22)^2-'THAM_SO_MOI'!$C$25*(E2939/'THAM_SO_MOI'!$C$22)^3)</f>
        <v>98.51348385435573</v>
      </c>
      <c r="K2939" s="75">
        <f>'THAM_SO_MOI'!$C$31*J2939/E2939</f>
        <v>430.1081535150283</v>
      </c>
      <c r="L2939" s="75">
        <f>K2939*'THAM_SO_MOI'!$C$52*'THAM_SO_MOI'!$C$17/'THAM_SO_MOI'!$C$26</f>
        <v>6022.902070468731</v>
      </c>
      <c r="M2939" s="75">
        <f>'THAM_SO_MOI'!$C$15*'THAM_SO_MOI'!$C$16*F2939^2</f>
        <v>565.5973246158543</v>
      </c>
      <c r="N2939" s="75">
        <f>'THAM_SO_MOI'!$C$12*I2939</f>
        <v>1130.112</v>
      </c>
      <c r="O2939" s="75">
        <f>M2939+N2939</f>
        <v>1695.7093246158543</v>
      </c>
      <c r="P2939" s="75">
        <f>(MIN(L2939,'THAM_SO_MOI'!$C$41)-O2939)/('THAM_SO_MOI'!$C$11*H2939)</f>
        <v>0.4785123437968685</v>
      </c>
      <c r="Q2939" s="75">
        <f>IF(P2939&gt;0,1/P2939,NA())</f>
        <v>2.089810248290076</v>
      </c>
      <c r="R2939" s="75">
        <f>F2939-F2938</f>
        <v>0.007943393307220603</v>
      </c>
      <c r="S2939" s="75">
        <f>0.5*(Q2938+Q2939)*R2939</f>
        <v>0.016598879660570182</v>
      </c>
      <c r="T2939" s="75">
        <f>0.5*(F2938*Q2938+F2939*Q2939)*R2939</f>
        <v>0.23075199485583947</v>
      </c>
      <c r="U2939" s="76">
        <f>U2938+S2939</f>
        <v>21.640443516490965</v>
      </c>
      <c r="V2939" s="76">
        <f>V2938+T2939</f>
        <v>178.33865921037102</v>
      </c>
    </row>
    <row r="2940" spans="1:22" ht="19" customHeight="1">
      <c r="A2940" s="68" t="s">
        <v>376</v>
      </c>
      <c r="B2940" s="74">
        <v>4</v>
      </c>
      <c r="C2940" s="68" t="s">
        <v>363</v>
      </c>
      <c r="D2940" s="68" t="s">
        <v>364</v>
      </c>
      <c r="E2940" s="75">
        <f>60*F2940*'THAM_SO_MOI'!$C$52/(2*PI()*'THAM_SO_MOI'!$C$26)</f>
        <v>2188.8668012630865</v>
      </c>
      <c r="F2940" s="75">
        <f>'HANH_TRINH'!$F$2468+('THAM_SO_MOI'!$F$52-'HANH_TRINH'!$F$2468)*471/'THAM_SO_MOI'!$C$42</f>
        <v>13.913575587000354</v>
      </c>
      <c r="G2940" s="75">
        <f>3.6*F2940</f>
        <v>50.088872113201276</v>
      </c>
      <c r="H2940" s="75">
        <f>'THAM_SO_MOI'!$D$52</f>
        <v>1.1774754878398197</v>
      </c>
      <c r="I2940" s="75">
        <f>IF(F2940&gt;'THAM_SO_MOI'!$C$14,'THAM_SO_MOI'!$C$13*(1+F2940^2/1500),'THAM_SO_MOI'!$C$13)</f>
        <v>0.015</v>
      </c>
      <c r="J2940" s="75">
        <f>'THAM_SO_MOI'!$C$40*('THAM_SO_MOI'!$C$23*(E2940/'THAM_SO_MOI'!$C$22)+'THAM_SO_MOI'!$C$24*(E2940/'THAM_SO_MOI'!$C$22)^2-'THAM_SO_MOI'!$C$25*(E2940/'THAM_SO_MOI'!$C$22)^3)</f>
        <v>98.5691588280459</v>
      </c>
      <c r="K2940" s="75">
        <f>'THAM_SO_MOI'!$C$31*J2940/E2940</f>
        <v>430.1055378490159</v>
      </c>
      <c r="L2940" s="75">
        <f>K2940*'THAM_SO_MOI'!$C$52*'THAM_SO_MOI'!$C$17/'THAM_SO_MOI'!$C$26</f>
        <v>6022.865442704032</v>
      </c>
      <c r="M2940" s="75">
        <f>'THAM_SO_MOI'!$C$15*'THAM_SO_MOI'!$C$16*F2940^2</f>
        <v>566.2436879243788</v>
      </c>
      <c r="N2940" s="75">
        <f>'THAM_SO_MOI'!$C$12*I2940</f>
        <v>1130.112</v>
      </c>
      <c r="O2940" s="75">
        <f>M2940+N2940</f>
        <v>1696.3556879243788</v>
      </c>
      <c r="P2940" s="75">
        <f>(MIN(L2940,'THAM_SO_MOI'!$C$41)-O2940)/('THAM_SO_MOI'!$C$11*H2940)</f>
        <v>0.4784368168493912</v>
      </c>
      <c r="Q2940" s="75">
        <f>IF(P2940&gt;0,1/P2940,NA())</f>
        <v>2.090140149717603</v>
      </c>
      <c r="R2940" s="75">
        <f>F2940-F2939</f>
        <v>0.007943393307218827</v>
      </c>
      <c r="S2940" s="75">
        <f>0.5*(Q2939+Q2940)*R2940</f>
        <v>0.016601495008020436</v>
      </c>
      <c r="T2940" s="75">
        <f>0.5*(F2939*Q2939+F2940*Q2940)*R2940</f>
        <v>0.2309202247531217</v>
      </c>
      <c r="U2940" s="76">
        <f>U2939+S2940</f>
        <v>21.657045011498987</v>
      </c>
      <c r="V2940" s="76">
        <f>V2939+T2940</f>
        <v>178.56957943512415</v>
      </c>
    </row>
    <row r="2941" spans="1:22" ht="19" customHeight="1">
      <c r="A2941" s="68" t="s">
        <v>376</v>
      </c>
      <c r="B2941" s="74">
        <v>4</v>
      </c>
      <c r="C2941" s="68" t="s">
        <v>363</v>
      </c>
      <c r="D2941" s="68" t="s">
        <v>364</v>
      </c>
      <c r="E2941" s="75">
        <f>60*F2941*'THAM_SO_MOI'!$C$52/(2*PI()*'THAM_SO_MOI'!$C$26)</f>
        <v>2190.1164462440497</v>
      </c>
      <c r="F2941" s="75">
        <f>'HANH_TRINH'!$F$2468+('THAM_SO_MOI'!$F$52-'HANH_TRINH'!$F$2468)*472/'THAM_SO_MOI'!$C$42</f>
        <v>13.921518980307573</v>
      </c>
      <c r="G2941" s="75">
        <f>3.6*F2941</f>
        <v>50.11746832910726</v>
      </c>
      <c r="H2941" s="75">
        <f>'THAM_SO_MOI'!$D$52</f>
        <v>1.1774754878398197</v>
      </c>
      <c r="I2941" s="75">
        <f>IF(F2941&gt;'THAM_SO_MOI'!$C$14,'THAM_SO_MOI'!$C$13*(1+F2941^2/1500),'THAM_SO_MOI'!$C$13)</f>
        <v>0.015</v>
      </c>
      <c r="J2941" s="75">
        <f>'THAM_SO_MOI'!$C$40*('THAM_SO_MOI'!$C$23*(E2941/'THAM_SO_MOI'!$C$22)+'THAM_SO_MOI'!$C$24*(E2941/'THAM_SO_MOI'!$C$22)^2-'THAM_SO_MOI'!$C$25*(E2941/'THAM_SO_MOI'!$C$22)^3)</f>
        <v>98.62479837760591</v>
      </c>
      <c r="K2941" s="75">
        <f>'THAM_SO_MOI'!$C$31*J2941/E2941</f>
        <v>430.1027706832761</v>
      </c>
      <c r="L2941" s="75">
        <f>K2941*'THAM_SO_MOI'!$C$52*'THAM_SO_MOI'!$C$17/'THAM_SO_MOI'!$C$26</f>
        <v>6022.826693454275</v>
      </c>
      <c r="M2941" s="75">
        <f>'THAM_SO_MOI'!$C$15*'THAM_SO_MOI'!$C$16*F2941^2</f>
        <v>566.8904203532622</v>
      </c>
      <c r="N2941" s="75">
        <f>'THAM_SO_MOI'!$C$12*I2941</f>
        <v>1130.112</v>
      </c>
      <c r="O2941" s="75">
        <f>M2941+N2941</f>
        <v>1697.0024203532623</v>
      </c>
      <c r="P2941" s="75">
        <f>(MIN(L2941,'THAM_SO_MOI'!$C$41)-O2941)/('THAM_SO_MOI'!$C$11*H2941)</f>
        <v>0.4783610144842227</v>
      </c>
      <c r="Q2941" s="75">
        <f>IF(P2941&gt;0,1/P2941,NA())</f>
        <v>2.0904713589133466</v>
      </c>
      <c r="R2941" s="75">
        <f>F2941-F2940</f>
        <v>0.007943393307218827</v>
      </c>
      <c r="S2941" s="75">
        <f>0.5*(Q2940+Q2941)*R2941</f>
        <v>0.016604120738870545</v>
      </c>
      <c r="T2941" s="75">
        <f>0.5*(F2940*Q2940+F2941*Q2941)*R2941</f>
        <v>0.231088640711348</v>
      </c>
      <c r="U2941" s="76">
        <f>U2940+S2941</f>
        <v>21.67364913223786</v>
      </c>
      <c r="V2941" s="76">
        <f>V2940+T2941</f>
        <v>178.8006680758355</v>
      </c>
    </row>
    <row r="2942" spans="1:22" ht="19" customHeight="1">
      <c r="A2942" s="68" t="s">
        <v>376</v>
      </c>
      <c r="B2942" s="74">
        <v>4</v>
      </c>
      <c r="C2942" s="68" t="s">
        <v>363</v>
      </c>
      <c r="D2942" s="68" t="s">
        <v>364</v>
      </c>
      <c r="E2942" s="75">
        <f>60*F2942*'THAM_SO_MOI'!$C$52/(2*PI()*'THAM_SO_MOI'!$C$26)</f>
        <v>2191.3660912250134</v>
      </c>
      <c r="F2942" s="75">
        <f>'HANH_TRINH'!$F$2468+('THAM_SO_MOI'!$F$52-'HANH_TRINH'!$F$2468)*473/'THAM_SO_MOI'!$C$42</f>
        <v>13.929462373614793</v>
      </c>
      <c r="G2942" s="75">
        <f>3.6*F2942</f>
        <v>50.14606454501326</v>
      </c>
      <c r="H2942" s="75">
        <f>'THAM_SO_MOI'!$D$52</f>
        <v>1.1774754878398197</v>
      </c>
      <c r="I2942" s="75">
        <f>IF(F2942&gt;'THAM_SO_MOI'!$C$14,'THAM_SO_MOI'!$C$13*(1+F2942^2/1500),'THAM_SO_MOI'!$C$13)</f>
        <v>0.015</v>
      </c>
      <c r="J2942" s="75">
        <f>'THAM_SO_MOI'!$C$40*('THAM_SO_MOI'!$C$23*(E2942/'THAM_SO_MOI'!$C$22)+'THAM_SO_MOI'!$C$24*(E2942/'THAM_SO_MOI'!$C$22)^2-'THAM_SO_MOI'!$C$25*(E2942/'THAM_SO_MOI'!$C$22)^3)</f>
        <v>98.68040244357002</v>
      </c>
      <c r="K2942" s="75">
        <f>'THAM_SO_MOI'!$C$31*J2942/E2942</f>
        <v>430.0998520178088</v>
      </c>
      <c r="L2942" s="75">
        <f>K2942*'THAM_SO_MOI'!$C$52*'THAM_SO_MOI'!$C$17/'THAM_SO_MOI'!$C$26</f>
        <v>6022.785822719456</v>
      </c>
      <c r="M2942" s="75">
        <f>'THAM_SO_MOI'!$C$15*'THAM_SO_MOI'!$C$16*F2942^2</f>
        <v>567.5375219025046</v>
      </c>
      <c r="N2942" s="75">
        <f>'THAM_SO_MOI'!$C$12*I2942</f>
        <v>1130.112</v>
      </c>
      <c r="O2942" s="75">
        <f>M2942+N2942</f>
        <v>1697.6495219025046</v>
      </c>
      <c r="P2942" s="75">
        <f>(MIN(L2942,'THAM_SO_MOI'!$C$41)-O2942)/('THAM_SO_MOI'!$C$11*H2942)</f>
        <v>0.4782849367013623</v>
      </c>
      <c r="Q2942" s="75">
        <f>IF(P2942&gt;0,1/P2942,NA())</f>
        <v>2.09080387707128</v>
      </c>
      <c r="R2942" s="75">
        <f>F2942-F2941</f>
        <v>0.007943393307220603</v>
      </c>
      <c r="S2942" s="75">
        <f>0.5*(Q2941+Q2942)*R2942</f>
        <v>0.016606756862583765</v>
      </c>
      <c r="T2942" s="75">
        <f>0.5*(F2941*Q2941+F2942*Q2942)*R2942</f>
        <v>0.23125724310973725</v>
      </c>
      <c r="U2942" s="76">
        <f>U2941+S2942</f>
        <v>21.690255889100442</v>
      </c>
      <c r="V2942" s="76">
        <f>V2941+T2942</f>
        <v>179.0319253189452</v>
      </c>
    </row>
    <row r="2943" spans="1:22" ht="19" customHeight="1">
      <c r="A2943" s="68" t="s">
        <v>376</v>
      </c>
      <c r="B2943" s="74">
        <v>4</v>
      </c>
      <c r="C2943" s="68" t="s">
        <v>363</v>
      </c>
      <c r="D2943" s="68" t="s">
        <v>364</v>
      </c>
      <c r="E2943" s="75">
        <f>60*F2943*'THAM_SO_MOI'!$C$52/(2*PI()*'THAM_SO_MOI'!$C$26)</f>
        <v>2192.6157362059766</v>
      </c>
      <c r="F2943" s="75">
        <f>'HANH_TRINH'!$F$2468+('THAM_SO_MOI'!$F$52-'HANH_TRINH'!$F$2468)*474/'THAM_SO_MOI'!$C$42</f>
        <v>13.937405766922012</v>
      </c>
      <c r="G2943" s="75">
        <f>3.6*F2943</f>
        <v>50.174660760919245</v>
      </c>
      <c r="H2943" s="75">
        <f>'THAM_SO_MOI'!$D$52</f>
        <v>1.1774754878398197</v>
      </c>
      <c r="I2943" s="75">
        <f>IF(F2943&gt;'THAM_SO_MOI'!$C$14,'THAM_SO_MOI'!$C$13*(1+F2943^2/1500),'THAM_SO_MOI'!$C$13)</f>
        <v>0.015</v>
      </c>
      <c r="J2943" s="75">
        <f>'THAM_SO_MOI'!$C$40*('THAM_SO_MOI'!$C$23*(E2943/'THAM_SO_MOI'!$C$22)+'THAM_SO_MOI'!$C$24*(E2943/'THAM_SO_MOI'!$C$22)^2-'THAM_SO_MOI'!$C$25*(E2943/'THAM_SO_MOI'!$C$22)^3)</f>
        <v>98.73597096647251</v>
      </c>
      <c r="K2943" s="75">
        <f>'THAM_SO_MOI'!$C$31*J2943/E2943</f>
        <v>430.09678185261396</v>
      </c>
      <c r="L2943" s="75">
        <f>K2943*'THAM_SO_MOI'!$C$52*'THAM_SO_MOI'!$C$17/'THAM_SO_MOI'!$C$26</f>
        <v>6022.742830499574</v>
      </c>
      <c r="M2943" s="75">
        <f>'THAM_SO_MOI'!$C$15*'THAM_SO_MOI'!$C$16*F2943^2</f>
        <v>568.1849925721056</v>
      </c>
      <c r="N2943" s="75">
        <f>'THAM_SO_MOI'!$C$12*I2943</f>
        <v>1130.112</v>
      </c>
      <c r="O2943" s="75">
        <f>M2943+N2943</f>
        <v>1698.2969925721056</v>
      </c>
      <c r="P2943" s="75">
        <f>(MIN(L2943,'THAM_SO_MOI'!$C$41)-O2943)/('THAM_SO_MOI'!$C$11*H2943)</f>
        <v>0.47820858350081036</v>
      </c>
      <c r="Q2943" s="75">
        <f>IF(P2943&gt;0,1/P2943,NA())</f>
        <v>2.091137705390655</v>
      </c>
      <c r="R2943" s="75">
        <f>F2943-F2942</f>
        <v>0.007943393307218827</v>
      </c>
      <c r="S2943" s="75">
        <f>0.5*(Q2942+Q2943)*R2943</f>
        <v>0.01660940338865412</v>
      </c>
      <c r="T2943" s="75">
        <f>0.5*(F2942*Q2942+F2943*Q2943)*R2943</f>
        <v>0.23142603232823766</v>
      </c>
      <c r="U2943" s="76">
        <f>U2942+S2943</f>
        <v>21.706865292489095</v>
      </c>
      <c r="V2943" s="76">
        <f>V2942+T2943</f>
        <v>179.26335135127346</v>
      </c>
    </row>
    <row r="2944" spans="1:22" ht="19" customHeight="1">
      <c r="A2944" s="68" t="s">
        <v>376</v>
      </c>
      <c r="B2944" s="74">
        <v>4</v>
      </c>
      <c r="C2944" s="68" t="s">
        <v>363</v>
      </c>
      <c r="D2944" s="68" t="s">
        <v>364</v>
      </c>
      <c r="E2944" s="75">
        <f>60*F2944*'THAM_SO_MOI'!$C$52/(2*PI()*'THAM_SO_MOI'!$C$26)</f>
        <v>2193.86538118694</v>
      </c>
      <c r="F2944" s="75">
        <f>'HANH_TRINH'!$F$2468+('THAM_SO_MOI'!$F$52-'HANH_TRINH'!$F$2468)*475/'THAM_SO_MOI'!$C$42</f>
        <v>13.945349160229231</v>
      </c>
      <c r="G2944" s="75">
        <f>3.6*F2944</f>
        <v>50.20325697682523</v>
      </c>
      <c r="H2944" s="75">
        <f>'THAM_SO_MOI'!$D$52</f>
        <v>1.1774754878398197</v>
      </c>
      <c r="I2944" s="75">
        <f>IF(F2944&gt;'THAM_SO_MOI'!$C$14,'THAM_SO_MOI'!$C$13*(1+F2944^2/1500),'THAM_SO_MOI'!$C$13)</f>
        <v>0.015</v>
      </c>
      <c r="J2944" s="75">
        <f>'THAM_SO_MOI'!$C$40*('THAM_SO_MOI'!$C$23*(E2944/'THAM_SO_MOI'!$C$22)+'THAM_SO_MOI'!$C$24*(E2944/'THAM_SO_MOI'!$C$22)^2-'THAM_SO_MOI'!$C$25*(E2944/'THAM_SO_MOI'!$C$22)^3)</f>
        <v>98.79150388684775</v>
      </c>
      <c r="K2944" s="75">
        <f>'THAM_SO_MOI'!$C$31*J2944/E2944</f>
        <v>430.0935601876917</v>
      </c>
      <c r="L2944" s="75">
        <f>K2944*'THAM_SO_MOI'!$C$52*'THAM_SO_MOI'!$C$17/'THAM_SO_MOI'!$C$26</f>
        <v>6022.697716794632</v>
      </c>
      <c r="M2944" s="75">
        <f>'THAM_SO_MOI'!$C$15*'THAM_SO_MOI'!$C$16*F2944^2</f>
        <v>568.8328323620655</v>
      </c>
      <c r="N2944" s="75">
        <f>'THAM_SO_MOI'!$C$12*I2944</f>
        <v>1130.112</v>
      </c>
      <c r="O2944" s="75">
        <f>M2944+N2944</f>
        <v>1698.9448323620654</v>
      </c>
      <c r="P2944" s="75">
        <f>(MIN(L2944,'THAM_SO_MOI'!$C$41)-O2944)/('THAM_SO_MOI'!$C$11*H2944)</f>
        <v>0.4781319548825669</v>
      </c>
      <c r="Q2944" s="75">
        <f>IF(P2944&gt;0,1/P2944,NA())</f>
        <v>2.091472845076017</v>
      </c>
      <c r="R2944" s="75">
        <f>F2944-F2943</f>
        <v>0.007943393307218827</v>
      </c>
      <c r="S2944" s="75">
        <f>0.5*(Q2943+Q2944)*R2944</f>
        <v>0.016612060326639908</v>
      </c>
      <c r="T2944" s="75">
        <f>0.5*(F2943*Q2943+F2944*Q2944)*R2944</f>
        <v>0.23159500874799516</v>
      </c>
      <c r="U2944" s="76">
        <f>U2943+S2944</f>
        <v>21.723477352815735</v>
      </c>
      <c r="V2944" s="76">
        <f>V2943+T2944</f>
        <v>179.49494636002146</v>
      </c>
    </row>
    <row r="2945" spans="1:22" ht="19" customHeight="1">
      <c r="A2945" s="68" t="s">
        <v>376</v>
      </c>
      <c r="B2945" s="74">
        <v>4</v>
      </c>
      <c r="C2945" s="68" t="s">
        <v>363</v>
      </c>
      <c r="D2945" s="68" t="s">
        <v>364</v>
      </c>
      <c r="E2945" s="75">
        <f>60*F2945*'THAM_SO_MOI'!$C$52/(2*PI()*'THAM_SO_MOI'!$C$26)</f>
        <v>2195.1150261679027</v>
      </c>
      <c r="F2945" s="75">
        <f>'HANH_TRINH'!$F$2468+('THAM_SO_MOI'!$F$52-'HANH_TRINH'!$F$2468)*476/'THAM_SO_MOI'!$C$42</f>
        <v>13.95329255353645</v>
      </c>
      <c r="G2945" s="75">
        <f>3.6*F2945</f>
        <v>50.23185319273122</v>
      </c>
      <c r="H2945" s="75">
        <f>'THAM_SO_MOI'!$D$52</f>
        <v>1.1774754878398197</v>
      </c>
      <c r="I2945" s="75">
        <f>IF(F2945&gt;'THAM_SO_MOI'!$C$14,'THAM_SO_MOI'!$C$13*(1+F2945^2/1500),'THAM_SO_MOI'!$C$13)</f>
        <v>0.015</v>
      </c>
      <c r="J2945" s="75">
        <f>'THAM_SO_MOI'!$C$40*('THAM_SO_MOI'!$C$23*(E2945/'THAM_SO_MOI'!$C$22)+'THAM_SO_MOI'!$C$24*(E2945/'THAM_SO_MOI'!$C$22)^2-'THAM_SO_MOI'!$C$25*(E2945/'THAM_SO_MOI'!$C$22)^3)</f>
        <v>98.84700114522998</v>
      </c>
      <c r="K2945" s="75">
        <f>'THAM_SO_MOI'!$C$31*J2945/E2945</f>
        <v>430.0901870230419</v>
      </c>
      <c r="L2945" s="75">
        <f>K2945*'THAM_SO_MOI'!$C$52*'THAM_SO_MOI'!$C$17/'THAM_SO_MOI'!$C$26</f>
        <v>6022.650481604629</v>
      </c>
      <c r="M2945" s="75">
        <f>'THAM_SO_MOI'!$C$15*'THAM_SO_MOI'!$C$16*F2945^2</f>
        <v>569.4810412723841</v>
      </c>
      <c r="N2945" s="75">
        <f>'THAM_SO_MOI'!$C$12*I2945</f>
        <v>1130.112</v>
      </c>
      <c r="O2945" s="75">
        <f>M2945+N2945</f>
        <v>1699.5930412723842</v>
      </c>
      <c r="P2945" s="75">
        <f>(MIN(L2945,'THAM_SO_MOI'!$C$41)-O2945)/('THAM_SO_MOI'!$C$11*H2945)</f>
        <v>0.47805505084663197</v>
      </c>
      <c r="Q2945" s="75">
        <f>IF(P2945&gt;0,1/P2945,NA())</f>
        <v>2.0918092973372153</v>
      </c>
      <c r="R2945" s="75">
        <f>F2945-F2944</f>
        <v>0.007943393307218827</v>
      </c>
      <c r="S2945" s="75">
        <f>0.5*(Q2944+Q2945)*R2945</f>
        <v>0.01661472768612665</v>
      </c>
      <c r="T2945" s="75">
        <f>0.5*(F2944*Q2944+F2945*Q2945)*R2945</f>
        <v>0.2317641727508392</v>
      </c>
      <c r="U2945" s="76">
        <f>U2944+S2945</f>
        <v>21.74009208050186</v>
      </c>
      <c r="V2945" s="76">
        <f>V2944+T2945</f>
        <v>179.7267105327723</v>
      </c>
    </row>
    <row r="2946" spans="1:22" ht="19" customHeight="1">
      <c r="A2946" s="68" t="s">
        <v>376</v>
      </c>
      <c r="B2946" s="74">
        <v>4</v>
      </c>
      <c r="C2946" s="68" t="s">
        <v>363</v>
      </c>
      <c r="D2946" s="68" t="s">
        <v>364</v>
      </c>
      <c r="E2946" s="75">
        <f>60*F2946*'THAM_SO_MOI'!$C$52/(2*PI()*'THAM_SO_MOI'!$C$26)</f>
        <v>2196.3646711488664</v>
      </c>
      <c r="F2946" s="75">
        <f>'HANH_TRINH'!$F$2468+('THAM_SO_MOI'!$F$52-'HANH_TRINH'!$F$2468)*477/'THAM_SO_MOI'!$C$42</f>
        <v>13.96123594684367</v>
      </c>
      <c r="G2946" s="75">
        <f>3.6*F2946</f>
        <v>50.260449408637214</v>
      </c>
      <c r="H2946" s="75">
        <f>'THAM_SO_MOI'!$D$52</f>
        <v>1.1774754878398197</v>
      </c>
      <c r="I2946" s="75">
        <f>IF(F2946&gt;'THAM_SO_MOI'!$C$14,'THAM_SO_MOI'!$C$13*(1+F2946^2/1500),'THAM_SO_MOI'!$C$13)</f>
        <v>0.015</v>
      </c>
      <c r="J2946" s="75">
        <f>'THAM_SO_MOI'!$C$40*('THAM_SO_MOI'!$C$23*(E2946/'THAM_SO_MOI'!$C$22)+'THAM_SO_MOI'!$C$24*(E2946/'THAM_SO_MOI'!$C$22)^2-'THAM_SO_MOI'!$C$25*(E2946/'THAM_SO_MOI'!$C$22)^3)</f>
        <v>98.90246268215365</v>
      </c>
      <c r="K2946" s="75">
        <f>'THAM_SO_MOI'!$C$31*J2946/E2946</f>
        <v>430.08666235866474</v>
      </c>
      <c r="L2946" s="75">
        <f>K2946*'THAM_SO_MOI'!$C$52*'THAM_SO_MOI'!$C$17/'THAM_SO_MOI'!$C$26</f>
        <v>6022.601124929565</v>
      </c>
      <c r="M2946" s="75">
        <f>'THAM_SO_MOI'!$C$15*'THAM_SO_MOI'!$C$16*F2946^2</f>
        <v>570.1296193030616</v>
      </c>
      <c r="N2946" s="75">
        <f>'THAM_SO_MOI'!$C$12*I2946</f>
        <v>1130.112</v>
      </c>
      <c r="O2946" s="75">
        <f>M2946+N2946</f>
        <v>1700.2416193030617</v>
      </c>
      <c r="P2946" s="75">
        <f>(MIN(L2946,'THAM_SO_MOI'!$C$41)-O2946)/('THAM_SO_MOI'!$C$11*H2946)</f>
        <v>0.4779778713930054</v>
      </c>
      <c r="Q2946" s="75">
        <f>IF(P2946&gt;0,1/P2946,NA())</f>
        <v>2.0921470633894157</v>
      </c>
      <c r="R2946" s="75">
        <f>F2946-F2945</f>
        <v>0.007943393307220603</v>
      </c>
      <c r="S2946" s="75">
        <f>0.5*(Q2945+Q2946)*R2946</f>
        <v>0.016617405476749496</v>
      </c>
      <c r="T2946" s="75">
        <f>0.5*(F2945*Q2945+F2946*Q2946)*R2946</f>
        <v>0.23193352471959638</v>
      </c>
      <c r="U2946" s="76">
        <f>U2945+S2946</f>
        <v>21.75670948597861</v>
      </c>
      <c r="V2946" s="76">
        <f>V2945+T2946</f>
        <v>179.9586440574919</v>
      </c>
    </row>
    <row r="2947" spans="1:22" ht="19" customHeight="1">
      <c r="A2947" s="68" t="s">
        <v>376</v>
      </c>
      <c r="B2947" s="74">
        <v>4</v>
      </c>
      <c r="C2947" s="68" t="s">
        <v>363</v>
      </c>
      <c r="D2947" s="68" t="s">
        <v>364</v>
      </c>
      <c r="E2947" s="75">
        <f>60*F2947*'THAM_SO_MOI'!$C$52/(2*PI()*'THAM_SO_MOI'!$C$26)</f>
        <v>2197.614316129829</v>
      </c>
      <c r="F2947" s="75">
        <f>'HANH_TRINH'!$F$2468+('THAM_SO_MOI'!$F$52-'HANH_TRINH'!$F$2468)*478/'THAM_SO_MOI'!$C$42</f>
        <v>13.96917934015089</v>
      </c>
      <c r="G2947" s="75">
        <f>3.6*F2947</f>
        <v>50.2890456245432</v>
      </c>
      <c r="H2947" s="75">
        <f>'THAM_SO_MOI'!$D$52</f>
        <v>1.1774754878398197</v>
      </c>
      <c r="I2947" s="75">
        <f>IF(F2947&gt;'THAM_SO_MOI'!$C$14,'THAM_SO_MOI'!$C$13*(1+F2947^2/1500),'THAM_SO_MOI'!$C$13)</f>
        <v>0.015</v>
      </c>
      <c r="J2947" s="75">
        <f>'THAM_SO_MOI'!$C$40*('THAM_SO_MOI'!$C$23*(E2947/'THAM_SO_MOI'!$C$22)+'THAM_SO_MOI'!$C$24*(E2947/'THAM_SO_MOI'!$C$22)^2-'THAM_SO_MOI'!$C$25*(E2947/'THAM_SO_MOI'!$C$22)^3)</f>
        <v>98.9578884381529</v>
      </c>
      <c r="K2947" s="75">
        <f>'THAM_SO_MOI'!$C$31*J2947/E2947</f>
        <v>430.08298619455996</v>
      </c>
      <c r="L2947" s="75">
        <f>K2947*'THAM_SO_MOI'!$C$52*'THAM_SO_MOI'!$C$17/'THAM_SO_MOI'!$C$26</f>
        <v>6022.54964676944</v>
      </c>
      <c r="M2947" s="75">
        <f>'THAM_SO_MOI'!$C$15*'THAM_SO_MOI'!$C$16*F2947^2</f>
        <v>570.7785664540979</v>
      </c>
      <c r="N2947" s="75">
        <f>'THAM_SO_MOI'!$C$12*I2947</f>
        <v>1130.112</v>
      </c>
      <c r="O2947" s="75">
        <f>M2947+N2947</f>
        <v>1700.890566454098</v>
      </c>
      <c r="P2947" s="75">
        <f>(MIN(L2947,'THAM_SO_MOI'!$C$41)-O2947)/('THAM_SO_MOI'!$C$11*H2947)</f>
        <v>0.4779004165216874</v>
      </c>
      <c r="Q2947" s="75">
        <f>IF(P2947&gt;0,1/P2947,NA())</f>
        <v>2.0924861444531078</v>
      </c>
      <c r="R2947" s="75">
        <f>F2947-F2946</f>
        <v>0.007943393307218827</v>
      </c>
      <c r="S2947" s="75">
        <f>0.5*(Q2946+Q2947)*R2947</f>
        <v>0.016620093708170976</v>
      </c>
      <c r="T2947" s="75">
        <f>0.5*(F2946*Q2946+F2947*Q2947)*R2947</f>
        <v>0.232103065037782</v>
      </c>
      <c r="U2947" s="76">
        <f>U2946+S2947</f>
        <v>21.77332957968678</v>
      </c>
      <c r="V2947" s="76">
        <f>V2946+T2947</f>
        <v>180.1907471225297</v>
      </c>
    </row>
    <row r="2948" spans="1:22" ht="19" customHeight="1">
      <c r="A2948" s="68" t="s">
        <v>376</v>
      </c>
      <c r="B2948" s="74">
        <v>4</v>
      </c>
      <c r="C2948" s="68" t="s">
        <v>363</v>
      </c>
      <c r="D2948" s="68" t="s">
        <v>364</v>
      </c>
      <c r="E2948" s="75">
        <f>60*F2948*'THAM_SO_MOI'!$C$52/(2*PI()*'THAM_SO_MOI'!$C$26)</f>
        <v>2198.863961110793</v>
      </c>
      <c r="F2948" s="75">
        <f>'HANH_TRINH'!$F$2468+('THAM_SO_MOI'!$F$52-'HANH_TRINH'!$F$2468)*479/'THAM_SO_MOI'!$C$42</f>
        <v>13.97712273345811</v>
      </c>
      <c r="G2948" s="75">
        <f>3.6*F2948</f>
        <v>50.3176418404492</v>
      </c>
      <c r="H2948" s="75">
        <f>'THAM_SO_MOI'!$D$52</f>
        <v>1.1774754878398197</v>
      </c>
      <c r="I2948" s="75">
        <f>IF(F2948&gt;'THAM_SO_MOI'!$C$14,'THAM_SO_MOI'!$C$13*(1+F2948^2/1500),'THAM_SO_MOI'!$C$13)</f>
        <v>0.015</v>
      </c>
      <c r="J2948" s="75">
        <f>'THAM_SO_MOI'!$C$40*('THAM_SO_MOI'!$C$23*(E2948/'THAM_SO_MOI'!$C$22)+'THAM_SO_MOI'!$C$24*(E2948/'THAM_SO_MOI'!$C$22)^2-'THAM_SO_MOI'!$C$25*(E2948/'THAM_SO_MOI'!$C$22)^3)</f>
        <v>99.01327835376222</v>
      </c>
      <c r="K2948" s="75">
        <f>'THAM_SO_MOI'!$C$31*J2948/E2948</f>
        <v>430.07915853072785</v>
      </c>
      <c r="L2948" s="75">
        <f>K2948*'THAM_SO_MOI'!$C$52*'THAM_SO_MOI'!$C$17/'THAM_SO_MOI'!$C$26</f>
        <v>6022.496047124255</v>
      </c>
      <c r="M2948" s="75">
        <f>'THAM_SO_MOI'!$C$15*'THAM_SO_MOI'!$C$16*F2948^2</f>
        <v>571.4278827254932</v>
      </c>
      <c r="N2948" s="75">
        <f>'THAM_SO_MOI'!$C$12*I2948</f>
        <v>1130.112</v>
      </c>
      <c r="O2948" s="75">
        <f>M2948+N2948</f>
        <v>1701.5398827254933</v>
      </c>
      <c r="P2948" s="75">
        <f>(MIN(L2948,'THAM_SO_MOI'!$C$41)-O2948)/('THAM_SO_MOI'!$C$11*H2948)</f>
        <v>0.4778226862326779</v>
      </c>
      <c r="Q2948" s="75">
        <f>IF(P2948&gt;0,1/P2948,NA())</f>
        <v>2.0928265417541216</v>
      </c>
      <c r="R2948" s="75">
        <f>F2948-F2947</f>
        <v>0.007943393307220603</v>
      </c>
      <c r="S2948" s="75">
        <f>0.5*(Q2947+Q2948)*R2948</f>
        <v>0.016622792390121995</v>
      </c>
      <c r="T2948" s="75">
        <f>0.5*(F2947*Q2947+F2948*Q2948)*R2948</f>
        <v>0.23227279409017354</v>
      </c>
      <c r="U2948" s="76">
        <f>U2947+S2948</f>
        <v>21.789952372076904</v>
      </c>
      <c r="V2948" s="76">
        <f>V2947+T2948</f>
        <v>180.42301991661986</v>
      </c>
    </row>
    <row r="2949" spans="1:22" ht="19" customHeight="1">
      <c r="A2949" s="68" t="s">
        <v>376</v>
      </c>
      <c r="B2949" s="74">
        <v>4</v>
      </c>
      <c r="C2949" s="68" t="s">
        <v>363</v>
      </c>
      <c r="D2949" s="68" t="s">
        <v>364</v>
      </c>
      <c r="E2949" s="75">
        <f>60*F2949*'THAM_SO_MOI'!$C$52/(2*PI()*'THAM_SO_MOI'!$C$26)</f>
        <v>2200.113606091756</v>
      </c>
      <c r="F2949" s="75">
        <f>'HANH_TRINH'!$F$2468+('THAM_SO_MOI'!$F$52-'HANH_TRINH'!$F$2468)*480/'THAM_SO_MOI'!$C$42</f>
        <v>13.985066126765329</v>
      </c>
      <c r="G2949" s="75">
        <f>3.6*F2949</f>
        <v>50.34623805635518</v>
      </c>
      <c r="H2949" s="75">
        <f>'THAM_SO_MOI'!$D$52</f>
        <v>1.1774754878398197</v>
      </c>
      <c r="I2949" s="75">
        <f>IF(F2949&gt;'THAM_SO_MOI'!$C$14,'THAM_SO_MOI'!$C$13*(1+F2949^2/1500),'THAM_SO_MOI'!$C$13)</f>
        <v>0.015</v>
      </c>
      <c r="J2949" s="75">
        <f>'THAM_SO_MOI'!$C$40*('THAM_SO_MOI'!$C$23*(E2949/'THAM_SO_MOI'!$C$22)+'THAM_SO_MOI'!$C$24*(E2949/'THAM_SO_MOI'!$C$22)^2-'THAM_SO_MOI'!$C$25*(E2949/'THAM_SO_MOI'!$C$22)^3)</f>
        <v>99.0686323695158</v>
      </c>
      <c r="K2949" s="75">
        <f>'THAM_SO_MOI'!$C$31*J2949/E2949</f>
        <v>430.07517936716823</v>
      </c>
      <c r="L2949" s="75">
        <f>K2949*'THAM_SO_MOI'!$C$52*'THAM_SO_MOI'!$C$17/'THAM_SO_MOI'!$C$26</f>
        <v>6022.440325994009</v>
      </c>
      <c r="M2949" s="75">
        <f>'THAM_SO_MOI'!$C$15*'THAM_SO_MOI'!$C$16*F2949^2</f>
        <v>572.0775681172471</v>
      </c>
      <c r="N2949" s="75">
        <f>'THAM_SO_MOI'!$C$12*I2949</f>
        <v>1130.112</v>
      </c>
      <c r="O2949" s="75">
        <f>M2949+N2949</f>
        <v>1702.1895681172473</v>
      </c>
      <c r="P2949" s="75">
        <f>(MIN(L2949,'THAM_SO_MOI'!$C$41)-O2949)/('THAM_SO_MOI'!$C$11*H2949)</f>
        <v>0.47774468052597685</v>
      </c>
      <c r="Q2949" s="75">
        <f>IF(P2949&gt;0,1/P2949,NA())</f>
        <v>2.093168256523635</v>
      </c>
      <c r="R2949" s="75">
        <f>F2949-F2948</f>
        <v>0.007943393307218827</v>
      </c>
      <c r="S2949" s="75">
        <f>0.5*(Q2948+Q2949)*R2949</f>
        <v>0.01662550153234618</v>
      </c>
      <c r="T2949" s="75">
        <f>0.5*(F2948*Q2948+F2949*Q2949)*R2949</f>
        <v>0.2324427122620357</v>
      </c>
      <c r="U2949" s="76">
        <f>U2948+S2949</f>
        <v>21.80657787360925</v>
      </c>
      <c r="V2949" s="76">
        <f>V2948+T2949</f>
        <v>180.6554626288819</v>
      </c>
    </row>
    <row r="2950" spans="1:22" ht="19" customHeight="1">
      <c r="A2950" s="68" t="s">
        <v>376</v>
      </c>
      <c r="B2950" s="74">
        <v>4</v>
      </c>
      <c r="C2950" s="68" t="s">
        <v>363</v>
      </c>
      <c r="D2950" s="68" t="s">
        <v>364</v>
      </c>
      <c r="E2950" s="75">
        <f>60*F2950*'THAM_SO_MOI'!$C$52/(2*PI()*'THAM_SO_MOI'!$C$26)</f>
        <v>2201.3632510727193</v>
      </c>
      <c r="F2950" s="75">
        <f>'HANH_TRINH'!$F$2468+('THAM_SO_MOI'!$F$52-'HANH_TRINH'!$F$2468)*481/'THAM_SO_MOI'!$C$42</f>
        <v>13.993009520072548</v>
      </c>
      <c r="G2950" s="75">
        <f>3.6*F2950</f>
        <v>50.374834272261175</v>
      </c>
      <c r="H2950" s="75">
        <f>'THAM_SO_MOI'!$D$52</f>
        <v>1.1774754878398197</v>
      </c>
      <c r="I2950" s="75">
        <f>IF(F2950&gt;'THAM_SO_MOI'!$C$14,'THAM_SO_MOI'!$C$13*(1+F2950^2/1500),'THAM_SO_MOI'!$C$13)</f>
        <v>0.015</v>
      </c>
      <c r="J2950" s="75">
        <f>'THAM_SO_MOI'!$C$40*('THAM_SO_MOI'!$C$23*(E2950/'THAM_SO_MOI'!$C$22)+'THAM_SO_MOI'!$C$24*(E2950/'THAM_SO_MOI'!$C$22)^2-'THAM_SO_MOI'!$C$25*(E2950/'THAM_SO_MOI'!$C$22)^3)</f>
        <v>99.12395042594798</v>
      </c>
      <c r="K2950" s="75">
        <f>'THAM_SO_MOI'!$C$31*J2950/E2950</f>
        <v>430.0710487038811</v>
      </c>
      <c r="L2950" s="75">
        <f>K2950*'THAM_SO_MOI'!$C$52*'THAM_SO_MOI'!$C$17/'THAM_SO_MOI'!$C$26</f>
        <v>6022.382483378701</v>
      </c>
      <c r="M2950" s="75">
        <f>'THAM_SO_MOI'!$C$15*'THAM_SO_MOI'!$C$16*F2950^2</f>
        <v>572.7276226293598</v>
      </c>
      <c r="N2950" s="75">
        <f>'THAM_SO_MOI'!$C$12*I2950</f>
        <v>1130.112</v>
      </c>
      <c r="O2950" s="75">
        <f>M2950+N2950</f>
        <v>1702.8396226293598</v>
      </c>
      <c r="P2950" s="75">
        <f>(MIN(L2950,'THAM_SO_MOI'!$C$41)-O2950)/('THAM_SO_MOI'!$C$11*H2950)</f>
        <v>0.47766639940158423</v>
      </c>
      <c r="Q2950" s="75">
        <f>IF(P2950&gt;0,1/P2950,NA())</f>
        <v>2.0935112899981876</v>
      </c>
      <c r="R2950" s="75">
        <f>F2950-F2949</f>
        <v>0.007943393307218827</v>
      </c>
      <c r="S2950" s="75">
        <f>0.5*(Q2949+Q2950)*R2950</f>
        <v>0.016628221144655703</v>
      </c>
      <c r="T2950" s="75">
        <f>0.5*(F2949*Q2949+F2950*Q2950)*R2950</f>
        <v>0.23261281993990154</v>
      </c>
      <c r="U2950" s="76">
        <f>U2949+S2950</f>
        <v>21.823206094753907</v>
      </c>
      <c r="V2950" s="76">
        <f>V2949+T2950</f>
        <v>180.8880754488218</v>
      </c>
    </row>
    <row r="2951" spans="1:22" ht="19" customHeight="1">
      <c r="A2951" s="68" t="s">
        <v>376</v>
      </c>
      <c r="B2951" s="74">
        <v>4</v>
      </c>
      <c r="C2951" s="68" t="s">
        <v>363</v>
      </c>
      <c r="D2951" s="68" t="s">
        <v>364</v>
      </c>
      <c r="E2951" s="75">
        <f>60*F2951*'THAM_SO_MOI'!$C$52/(2*PI()*'THAM_SO_MOI'!$C$26)</f>
        <v>2202.6128960536826</v>
      </c>
      <c r="F2951" s="75">
        <f>'HANH_TRINH'!$F$2468+('THAM_SO_MOI'!$F$52-'HANH_TRINH'!$F$2468)*482/'THAM_SO_MOI'!$C$42</f>
        <v>14.000952913379768</v>
      </c>
      <c r="G2951" s="75">
        <f>3.6*F2951</f>
        <v>50.40343048816717</v>
      </c>
      <c r="H2951" s="75">
        <f>'THAM_SO_MOI'!$D$52</f>
        <v>1.1774754878398197</v>
      </c>
      <c r="I2951" s="75">
        <f>IF(F2951&gt;'THAM_SO_MOI'!$C$14,'THAM_SO_MOI'!$C$13*(1+F2951^2/1500),'THAM_SO_MOI'!$C$13)</f>
        <v>0.015</v>
      </c>
      <c r="J2951" s="75">
        <f>'THAM_SO_MOI'!$C$40*('THAM_SO_MOI'!$C$23*(E2951/'THAM_SO_MOI'!$C$22)+'THAM_SO_MOI'!$C$24*(E2951/'THAM_SO_MOI'!$C$22)^2-'THAM_SO_MOI'!$C$25*(E2951/'THAM_SO_MOI'!$C$22)^3)</f>
        <v>99.17923246359308</v>
      </c>
      <c r="K2951" s="75">
        <f>'THAM_SO_MOI'!$C$31*J2951/E2951</f>
        <v>430.06676654086647</v>
      </c>
      <c r="L2951" s="75">
        <f>K2951*'THAM_SO_MOI'!$C$52*'THAM_SO_MOI'!$C$17/'THAM_SO_MOI'!$C$26</f>
        <v>6022.322519278333</v>
      </c>
      <c r="M2951" s="75">
        <f>'THAM_SO_MOI'!$C$15*'THAM_SO_MOI'!$C$16*F2951^2</f>
        <v>573.3780462618315</v>
      </c>
      <c r="N2951" s="75">
        <f>'THAM_SO_MOI'!$C$12*I2951</f>
        <v>1130.112</v>
      </c>
      <c r="O2951" s="75">
        <f>M2951+N2951</f>
        <v>1703.4900462618316</v>
      </c>
      <c r="P2951" s="75">
        <f>(MIN(L2951,'THAM_SO_MOI'!$C$41)-O2951)/('THAM_SO_MOI'!$C$11*H2951)</f>
        <v>0.47758784285950007</v>
      </c>
      <c r="Q2951" s="75">
        <f>IF(P2951&gt;0,1/P2951,NA())</f>
        <v>2.0938556434196895</v>
      </c>
      <c r="R2951" s="75">
        <f>F2951-F2950</f>
        <v>0.007943393307220603</v>
      </c>
      <c r="S2951" s="75">
        <f>0.5*(Q2950+Q2951)*R2951</f>
        <v>0.016630951236894214</v>
      </c>
      <c r="T2951" s="75">
        <f>0.5*(F2950*Q2950+F2951*Q2951)*R2951</f>
        <v>0.2327831175110567</v>
      </c>
      <c r="U2951" s="76">
        <f>U2950+S2951</f>
        <v>21.8398370459908</v>
      </c>
      <c r="V2951" s="76">
        <f>V2950+T2951</f>
        <v>181.12085856633286</v>
      </c>
    </row>
    <row r="2952" spans="1:22" ht="19" customHeight="1">
      <c r="A2952" s="68" t="s">
        <v>376</v>
      </c>
      <c r="B2952" s="74">
        <v>4</v>
      </c>
      <c r="C2952" s="68" t="s">
        <v>363</v>
      </c>
      <c r="D2952" s="68" t="s">
        <v>364</v>
      </c>
      <c r="E2952" s="75">
        <f>60*F2952*'THAM_SO_MOI'!$C$52/(2*PI()*'THAM_SO_MOI'!$C$26)</f>
        <v>2203.8625410346463</v>
      </c>
      <c r="F2952" s="75">
        <f>'HANH_TRINH'!$F$2468+('THAM_SO_MOI'!$F$52-'HANH_TRINH'!$F$2468)*483/'THAM_SO_MOI'!$C$42</f>
        <v>14.008896306686987</v>
      </c>
      <c r="G2952" s="75">
        <f>3.6*F2952</f>
        <v>50.43202670407315</v>
      </c>
      <c r="H2952" s="75">
        <f>'THAM_SO_MOI'!$D$52</f>
        <v>1.1774754878398197</v>
      </c>
      <c r="I2952" s="75">
        <f>IF(F2952&gt;'THAM_SO_MOI'!$C$14,'THAM_SO_MOI'!$C$13*(1+F2952^2/1500),'THAM_SO_MOI'!$C$13)</f>
        <v>0.015</v>
      </c>
      <c r="J2952" s="75">
        <f>'THAM_SO_MOI'!$C$40*('THAM_SO_MOI'!$C$23*(E2952/'THAM_SO_MOI'!$C$22)+'THAM_SO_MOI'!$C$24*(E2952/'THAM_SO_MOI'!$C$22)^2-'THAM_SO_MOI'!$C$25*(E2952/'THAM_SO_MOI'!$C$22)^3)</f>
        <v>99.23447842298542</v>
      </c>
      <c r="K2952" s="75">
        <f>'THAM_SO_MOI'!$C$31*J2952/E2952</f>
        <v>430.0623328781243</v>
      </c>
      <c r="L2952" s="75">
        <f>K2952*'THAM_SO_MOI'!$C$52*'THAM_SO_MOI'!$C$17/'THAM_SO_MOI'!$C$26</f>
        <v>6022.260433692902</v>
      </c>
      <c r="M2952" s="75">
        <f>'THAM_SO_MOI'!$C$15*'THAM_SO_MOI'!$C$16*F2952^2</f>
        <v>574.0288390146618</v>
      </c>
      <c r="N2952" s="75">
        <f>'THAM_SO_MOI'!$C$12*I2952</f>
        <v>1130.112</v>
      </c>
      <c r="O2952" s="75">
        <f>M2952+N2952</f>
        <v>1704.1408390146619</v>
      </c>
      <c r="P2952" s="75">
        <f>(MIN(L2952,'THAM_SO_MOI'!$C$41)-O2952)/('THAM_SO_MOI'!$C$11*H2952)</f>
        <v>0.4775090108997242</v>
      </c>
      <c r="Q2952" s="75">
        <f>IF(P2952&gt;0,1/P2952,NA())</f>
        <v>2.0942013180354366</v>
      </c>
      <c r="R2952" s="75">
        <f>F2952-F2951</f>
        <v>0.007943393307218827</v>
      </c>
      <c r="S2952" s="75">
        <f>0.5*(Q2951+Q2952)*R2952</f>
        <v>0.016633691818936935</v>
      </c>
      <c r="T2952" s="75">
        <f>0.5*(F2951*Q2951+F2952*Q2952)*R2952</f>
        <v>0.23295360536354145</v>
      </c>
      <c r="U2952" s="76">
        <f>U2951+S2952</f>
        <v>21.85647073780974</v>
      </c>
      <c r="V2952" s="76">
        <f>V2951+T2952</f>
        <v>181.3538121716964</v>
      </c>
    </row>
    <row r="2953" spans="1:22" ht="19" customHeight="1">
      <c r="A2953" s="68" t="s">
        <v>376</v>
      </c>
      <c r="B2953" s="74">
        <v>4</v>
      </c>
      <c r="C2953" s="68" t="s">
        <v>363</v>
      </c>
      <c r="D2953" s="68" t="s">
        <v>364</v>
      </c>
      <c r="E2953" s="75">
        <f>60*F2953*'THAM_SO_MOI'!$C$52/(2*PI()*'THAM_SO_MOI'!$C$26)</f>
        <v>2205.1121860156095</v>
      </c>
      <c r="F2953" s="75">
        <f>'HANH_TRINH'!$F$2468+('THAM_SO_MOI'!$F$52-'HANH_TRINH'!$F$2468)*484/'THAM_SO_MOI'!$C$42</f>
        <v>14.016839699994208</v>
      </c>
      <c r="G2953" s="75">
        <f>3.6*F2953</f>
        <v>50.46062291997915</v>
      </c>
      <c r="H2953" s="75">
        <f>'THAM_SO_MOI'!$D$52</f>
        <v>1.1774754878398197</v>
      </c>
      <c r="I2953" s="75">
        <f>IF(F2953&gt;'THAM_SO_MOI'!$C$14,'THAM_SO_MOI'!$C$13*(1+F2953^2/1500),'THAM_SO_MOI'!$C$13)</f>
        <v>0.015</v>
      </c>
      <c r="J2953" s="75">
        <f>'THAM_SO_MOI'!$C$40*('THAM_SO_MOI'!$C$23*(E2953/'THAM_SO_MOI'!$C$22)+'THAM_SO_MOI'!$C$24*(E2953/'THAM_SO_MOI'!$C$22)^2-'THAM_SO_MOI'!$C$25*(E2953/'THAM_SO_MOI'!$C$22)^3)</f>
        <v>99.28968824465933</v>
      </c>
      <c r="K2953" s="75">
        <f>'THAM_SO_MOI'!$C$31*J2953/E2953</f>
        <v>430.0577477156549</v>
      </c>
      <c r="L2953" s="75">
        <f>K2953*'THAM_SO_MOI'!$C$52*'THAM_SO_MOI'!$C$17/'THAM_SO_MOI'!$C$26</f>
        <v>6022.196226622414</v>
      </c>
      <c r="M2953" s="75">
        <f>'THAM_SO_MOI'!$C$15*'THAM_SO_MOI'!$C$16*F2953^2</f>
        <v>574.6800008878512</v>
      </c>
      <c r="N2953" s="75">
        <f>'THAM_SO_MOI'!$C$12*I2953</f>
        <v>1130.112</v>
      </c>
      <c r="O2953" s="75">
        <f>M2953+N2953</f>
        <v>1704.7920008878514</v>
      </c>
      <c r="P2953" s="75">
        <f>(MIN(L2953,'THAM_SO_MOI'!$C$41)-O2953)/('THAM_SO_MOI'!$C$11*H2953)</f>
        <v>0.4774299035222572</v>
      </c>
      <c r="Q2953" s="75">
        <f>IF(P2953&gt;0,1/P2953,NA())</f>
        <v>2.094548315098116</v>
      </c>
      <c r="R2953" s="75">
        <f>F2953-F2952</f>
        <v>0.007943393307220603</v>
      </c>
      <c r="S2953" s="75">
        <f>0.5*(Q2952+Q2953)*R2953</f>
        <v>0.016636442900727907</v>
      </c>
      <c r="T2953" s="75">
        <f>0.5*(F2952*Q2952+F2953*Q2953)*R2953</f>
        <v>0.2331242838866745</v>
      </c>
      <c r="U2953" s="76">
        <f>U2952+S2953</f>
        <v>21.87310718071047</v>
      </c>
      <c r="V2953" s="76">
        <f>V2952+T2953</f>
        <v>181.58693645558307</v>
      </c>
    </row>
    <row r="2954" spans="1:22" ht="19" customHeight="1">
      <c r="A2954" s="68" t="s">
        <v>376</v>
      </c>
      <c r="B2954" s="74">
        <v>4</v>
      </c>
      <c r="C2954" s="68" t="s">
        <v>363</v>
      </c>
      <c r="D2954" s="68" t="s">
        <v>364</v>
      </c>
      <c r="E2954" s="75">
        <f>60*F2954*'THAM_SO_MOI'!$C$52/(2*PI()*'THAM_SO_MOI'!$C$26)</f>
        <v>2206.3618309965723</v>
      </c>
      <c r="F2954" s="75">
        <f>'HANH_TRINH'!$F$2468+('THAM_SO_MOI'!$F$52-'HANH_TRINH'!$F$2468)*485/'THAM_SO_MOI'!$C$42</f>
        <v>14.024783093301426</v>
      </c>
      <c r="G2954" s="75">
        <f>3.6*F2954</f>
        <v>50.489219135885136</v>
      </c>
      <c r="H2954" s="75">
        <f>'THAM_SO_MOI'!$D$52</f>
        <v>1.1774754878398197</v>
      </c>
      <c r="I2954" s="75">
        <f>IF(F2954&gt;'THAM_SO_MOI'!$C$14,'THAM_SO_MOI'!$C$13*(1+F2954^2/1500),'THAM_SO_MOI'!$C$13)</f>
        <v>0.015</v>
      </c>
      <c r="J2954" s="75">
        <f>'THAM_SO_MOI'!$C$40*('THAM_SO_MOI'!$C$23*(E2954/'THAM_SO_MOI'!$C$22)+'THAM_SO_MOI'!$C$24*(E2954/'THAM_SO_MOI'!$C$22)^2-'THAM_SO_MOI'!$C$25*(E2954/'THAM_SO_MOI'!$C$22)^3)</f>
        <v>99.34486186914907</v>
      </c>
      <c r="K2954" s="75">
        <f>'THAM_SO_MOI'!$C$31*J2954/E2954</f>
        <v>430.0530110534579</v>
      </c>
      <c r="L2954" s="75">
        <f>K2954*'THAM_SO_MOI'!$C$52*'THAM_SO_MOI'!$C$17/'THAM_SO_MOI'!$C$26</f>
        <v>6022.129898066862</v>
      </c>
      <c r="M2954" s="75">
        <f>'THAM_SO_MOI'!$C$15*'THAM_SO_MOI'!$C$16*F2954^2</f>
        <v>575.3315318813991</v>
      </c>
      <c r="N2954" s="75">
        <f>'THAM_SO_MOI'!$C$12*I2954</f>
        <v>1130.112</v>
      </c>
      <c r="O2954" s="75">
        <f>M2954+N2954</f>
        <v>1705.4435318813992</v>
      </c>
      <c r="P2954" s="75">
        <f>(MIN(L2954,'THAM_SO_MOI'!$C$41)-O2954)/('THAM_SO_MOI'!$C$11*H2954)</f>
        <v>0.4773505207270984</v>
      </c>
      <c r="Q2954" s="75">
        <f>IF(P2954&gt;0,1/P2954,NA())</f>
        <v>2.0948966358658287</v>
      </c>
      <c r="R2954" s="75">
        <f>F2954-F2953</f>
        <v>0.007943393307218827</v>
      </c>
      <c r="S2954" s="75">
        <f>0.5*(Q2953+Q2954)*R2954</f>
        <v>0.016639204492224353</v>
      </c>
      <c r="T2954" s="75">
        <f>0.5*(F2953*Q2953+F2954*Q2954)*R2954</f>
        <v>0.23329515347027496</v>
      </c>
      <c r="U2954" s="76">
        <f>U2953+S2954</f>
        <v>21.889746385202695</v>
      </c>
      <c r="V2954" s="76">
        <f>V2953+T2954</f>
        <v>181.82023160905334</v>
      </c>
    </row>
    <row r="2955" spans="1:22" ht="19" customHeight="1">
      <c r="A2955" s="68" t="s">
        <v>376</v>
      </c>
      <c r="B2955" s="74">
        <v>4</v>
      </c>
      <c r="C2955" s="68" t="s">
        <v>363</v>
      </c>
      <c r="D2955" s="68" t="s">
        <v>364</v>
      </c>
      <c r="E2955" s="75">
        <f>60*F2955*'THAM_SO_MOI'!$C$52/(2*PI()*'THAM_SO_MOI'!$C$26)</f>
        <v>2207.6114759775355</v>
      </c>
      <c r="F2955" s="75">
        <f>'HANH_TRINH'!$F$2468+('THAM_SO_MOI'!$F$52-'HANH_TRINH'!$F$2468)*486/'THAM_SO_MOI'!$C$42</f>
        <v>14.032726486608645</v>
      </c>
      <c r="G2955" s="75">
        <f>3.6*F2955</f>
        <v>50.51781535179112</v>
      </c>
      <c r="H2955" s="75">
        <f>'THAM_SO_MOI'!$D$52</f>
        <v>1.1774754878398197</v>
      </c>
      <c r="I2955" s="75">
        <f>IF(F2955&gt;'THAM_SO_MOI'!$C$14,'THAM_SO_MOI'!$C$13*(1+F2955^2/1500),'THAM_SO_MOI'!$C$13)</f>
        <v>0.015</v>
      </c>
      <c r="J2955" s="75">
        <f>'THAM_SO_MOI'!$C$40*('THAM_SO_MOI'!$C$23*(E2955/'THAM_SO_MOI'!$C$22)+'THAM_SO_MOI'!$C$24*(E2955/'THAM_SO_MOI'!$C$22)^2-'THAM_SO_MOI'!$C$25*(E2955/'THAM_SO_MOI'!$C$22)^3)</f>
        <v>99.399999236989</v>
      </c>
      <c r="K2955" s="75">
        <f>'THAM_SO_MOI'!$C$31*J2955/E2955</f>
        <v>430.0481228915334</v>
      </c>
      <c r="L2955" s="75">
        <f>K2955*'THAM_SO_MOI'!$C$52*'THAM_SO_MOI'!$C$17/'THAM_SO_MOI'!$C$26</f>
        <v>6022.061448026249</v>
      </c>
      <c r="M2955" s="75">
        <f>'THAM_SO_MOI'!$C$15*'THAM_SO_MOI'!$C$16*F2955^2</f>
        <v>575.983431995306</v>
      </c>
      <c r="N2955" s="75">
        <f>'THAM_SO_MOI'!$C$12*I2955</f>
        <v>1130.112</v>
      </c>
      <c r="O2955" s="75">
        <f>M2955+N2955</f>
        <v>1706.0954319953062</v>
      </c>
      <c r="P2955" s="75">
        <f>(MIN(L2955,'THAM_SO_MOI'!$C$41)-O2955)/('THAM_SO_MOI'!$C$11*H2955)</f>
        <v>0.47727086251424805</v>
      </c>
      <c r="Q2955" s="75">
        <f>IF(P2955&gt;0,1/P2955,NA())</f>
        <v>2.0952462816020887</v>
      </c>
      <c r="R2955" s="75">
        <f>F2955-F2954</f>
        <v>0.007943393307218827</v>
      </c>
      <c r="S2955" s="75">
        <f>0.5*(Q2954+Q2955)*R2955</f>
        <v>0.016641976603452513</v>
      </c>
      <c r="T2955" s="75">
        <f>0.5*(F2954*Q2954+F2955*Q2955)*R2955</f>
        <v>0.2334662145054468</v>
      </c>
      <c r="U2955" s="76">
        <f>U2954+S2955</f>
        <v>21.906388361806147</v>
      </c>
      <c r="V2955" s="76">
        <f>V2954+T2955</f>
        <v>182.0536978235588</v>
      </c>
    </row>
    <row r="2956" spans="1:22" ht="19" customHeight="1">
      <c r="A2956" s="68" t="s">
        <v>376</v>
      </c>
      <c r="B2956" s="74">
        <v>4</v>
      </c>
      <c r="C2956" s="68" t="s">
        <v>363</v>
      </c>
      <c r="D2956" s="68" t="s">
        <v>364</v>
      </c>
      <c r="E2956" s="75">
        <f>60*F2956*'THAM_SO_MOI'!$C$52/(2*PI()*'THAM_SO_MOI'!$C$26)</f>
        <v>2208.8611209584988</v>
      </c>
      <c r="F2956" s="75">
        <f>'HANH_TRINH'!$F$2468+('THAM_SO_MOI'!$F$52-'HANH_TRINH'!$F$2468)*487/'THAM_SO_MOI'!$C$42</f>
        <v>14.040669879915864</v>
      </c>
      <c r="G2956" s="75">
        <f>3.6*F2956</f>
        <v>50.54641156769711</v>
      </c>
      <c r="H2956" s="75">
        <f>'THAM_SO_MOI'!$D$52</f>
        <v>1.1774754878398197</v>
      </c>
      <c r="I2956" s="75">
        <f>IF(F2956&gt;'THAM_SO_MOI'!$C$14,'THAM_SO_MOI'!$C$13*(1+F2956^2/1500),'THAM_SO_MOI'!$C$13)</f>
        <v>0.015</v>
      </c>
      <c r="J2956" s="75">
        <f>'THAM_SO_MOI'!$C$40*('THAM_SO_MOI'!$C$23*(E2956/'THAM_SO_MOI'!$C$22)+'THAM_SO_MOI'!$C$24*(E2956/'THAM_SO_MOI'!$C$22)^2-'THAM_SO_MOI'!$C$25*(E2956/'THAM_SO_MOI'!$C$22)^3)</f>
        <v>99.45510028871342</v>
      </c>
      <c r="K2956" s="75">
        <f>'THAM_SO_MOI'!$C$31*J2956/E2956</f>
        <v>430.04308322988146</v>
      </c>
      <c r="L2956" s="75">
        <f>K2956*'THAM_SO_MOI'!$C$52*'THAM_SO_MOI'!$C$17/'THAM_SO_MOI'!$C$26</f>
        <v>6021.990876500577</v>
      </c>
      <c r="M2956" s="75">
        <f>'THAM_SO_MOI'!$C$15*'THAM_SO_MOI'!$C$16*F2956^2</f>
        <v>576.6357012295715</v>
      </c>
      <c r="N2956" s="75">
        <f>'THAM_SO_MOI'!$C$12*I2956</f>
        <v>1130.112</v>
      </c>
      <c r="O2956" s="75">
        <f>M2956+N2956</f>
        <v>1706.7477012295717</v>
      </c>
      <c r="P2956" s="75">
        <f>(MIN(L2956,'THAM_SO_MOI'!$C$41)-O2956)/('THAM_SO_MOI'!$C$11*H2956)</f>
        <v>0.4771909288837064</v>
      </c>
      <c r="Q2956" s="75">
        <f>IF(P2956&gt;0,1/P2956,NA())</f>
        <v>2.095597253575842</v>
      </c>
      <c r="R2956" s="75">
        <f>F2956-F2955</f>
        <v>0.007943393307218827</v>
      </c>
      <c r="S2956" s="75">
        <f>0.5*(Q2955+Q2956)*R2956</f>
        <v>0.01664475924446683</v>
      </c>
      <c r="T2956" s="75">
        <f>0.5*(F2955*Q2955+F2956*Q2956)*R2956</f>
        <v>0.23363746738400845</v>
      </c>
      <c r="U2956" s="76">
        <f>U2955+S2956</f>
        <v>21.923033121050615</v>
      </c>
      <c r="V2956" s="76">
        <f>V2955+T2956</f>
        <v>182.2873352909428</v>
      </c>
    </row>
    <row r="2957" spans="1:22" ht="19" customHeight="1">
      <c r="A2957" s="68" t="s">
        <v>376</v>
      </c>
      <c r="B2957" s="74">
        <v>4</v>
      </c>
      <c r="C2957" s="68" t="s">
        <v>363</v>
      </c>
      <c r="D2957" s="68" t="s">
        <v>364</v>
      </c>
      <c r="E2957" s="75">
        <f>60*F2957*'THAM_SO_MOI'!$C$52/(2*PI()*'THAM_SO_MOI'!$C$26)</f>
        <v>2210.1107659394625</v>
      </c>
      <c r="F2957" s="75">
        <f>'HANH_TRINH'!$F$2468+('THAM_SO_MOI'!$F$52-'HANH_TRINH'!$F$2468)*488/'THAM_SO_MOI'!$C$42</f>
        <v>14.048613273223085</v>
      </c>
      <c r="G2957" s="75">
        <f>3.6*F2957</f>
        <v>50.575007783603105</v>
      </c>
      <c r="H2957" s="75">
        <f>'THAM_SO_MOI'!$D$52</f>
        <v>1.1774754878398197</v>
      </c>
      <c r="I2957" s="75">
        <f>IF(F2957&gt;'THAM_SO_MOI'!$C$14,'THAM_SO_MOI'!$C$13*(1+F2957^2/1500),'THAM_SO_MOI'!$C$13)</f>
        <v>0.015</v>
      </c>
      <c r="J2957" s="75">
        <f>'THAM_SO_MOI'!$C$40*('THAM_SO_MOI'!$C$23*(E2957/'THAM_SO_MOI'!$C$22)+'THAM_SO_MOI'!$C$24*(E2957/'THAM_SO_MOI'!$C$22)^2-'THAM_SO_MOI'!$C$25*(E2957/'THAM_SO_MOI'!$C$22)^3)</f>
        <v>99.51016496485663</v>
      </c>
      <c r="K2957" s="75">
        <f>'THAM_SO_MOI'!$C$31*J2957/E2957</f>
        <v>430.0378920685019</v>
      </c>
      <c r="L2957" s="75">
        <f>K2957*'THAM_SO_MOI'!$C$52*'THAM_SO_MOI'!$C$17/'THAM_SO_MOI'!$C$26</f>
        <v>6021.918183489839</v>
      </c>
      <c r="M2957" s="75">
        <f>'THAM_SO_MOI'!$C$15*'THAM_SO_MOI'!$C$16*F2957^2</f>
        <v>577.2883395841961</v>
      </c>
      <c r="N2957" s="75">
        <f>'THAM_SO_MOI'!$C$12*I2957</f>
        <v>1130.112</v>
      </c>
      <c r="O2957" s="75">
        <f>M2957+N2957</f>
        <v>1707.4003395841962</v>
      </c>
      <c r="P2957" s="75">
        <f>(MIN(L2957,'THAM_SO_MOI'!$C$41)-O2957)/('THAM_SO_MOI'!$C$11*H2957)</f>
        <v>0.47711071983547254</v>
      </c>
      <c r="Q2957" s="75">
        <f>IF(P2957&gt;0,1/P2957,NA())</f>
        <v>2.0959495530614807</v>
      </c>
      <c r="R2957" s="75">
        <f>F2957-F2956</f>
        <v>0.007943393307220603</v>
      </c>
      <c r="S2957" s="75">
        <f>0.5*(Q2956+Q2957)*R2957</f>
        <v>0.0166475524253724</v>
      </c>
      <c r="T2957" s="75">
        <f>0.5*(F2956*Q2956+F2957*Q2957)*R2957</f>
        <v>0.23380891249880914</v>
      </c>
      <c r="U2957" s="76">
        <f>U2956+S2957</f>
        <v>21.939680673475987</v>
      </c>
      <c r="V2957" s="76">
        <f>V2956+T2957</f>
        <v>182.5211442034416</v>
      </c>
    </row>
    <row r="2958" spans="1:22" ht="19" customHeight="1">
      <c r="A2958" s="68" t="s">
        <v>376</v>
      </c>
      <c r="B2958" s="74">
        <v>4</v>
      </c>
      <c r="C2958" s="68" t="s">
        <v>363</v>
      </c>
      <c r="D2958" s="68" t="s">
        <v>364</v>
      </c>
      <c r="E2958" s="75">
        <f>60*F2958*'THAM_SO_MOI'!$C$52/(2*PI()*'THAM_SO_MOI'!$C$26)</f>
        <v>2211.3604109204257</v>
      </c>
      <c r="F2958" s="75">
        <f>'HANH_TRINH'!$F$2468+('THAM_SO_MOI'!$F$52-'HANH_TRINH'!$F$2468)*489/'THAM_SO_MOI'!$C$42</f>
        <v>14.056556666530303</v>
      </c>
      <c r="G2958" s="75">
        <f>3.6*F2958</f>
        <v>50.60360399950909</v>
      </c>
      <c r="H2958" s="75">
        <f>'THAM_SO_MOI'!$D$52</f>
        <v>1.1774754878398197</v>
      </c>
      <c r="I2958" s="75">
        <f>IF(F2958&gt;'THAM_SO_MOI'!$C$14,'THAM_SO_MOI'!$C$13*(1+F2958^2/1500),'THAM_SO_MOI'!$C$13)</f>
        <v>0.015</v>
      </c>
      <c r="J2958" s="75">
        <f>'THAM_SO_MOI'!$C$40*('THAM_SO_MOI'!$C$23*(E2958/'THAM_SO_MOI'!$C$22)+'THAM_SO_MOI'!$C$24*(E2958/'THAM_SO_MOI'!$C$22)^2-'THAM_SO_MOI'!$C$25*(E2958/'THAM_SO_MOI'!$C$22)^3)</f>
        <v>99.565193205953</v>
      </c>
      <c r="K2958" s="75">
        <f>'THAM_SO_MOI'!$C$31*J2958/E2958</f>
        <v>430.03254940739504</v>
      </c>
      <c r="L2958" s="75">
        <f>K2958*'THAM_SO_MOI'!$C$52*'THAM_SO_MOI'!$C$17/'THAM_SO_MOI'!$C$26</f>
        <v>6021.843368994046</v>
      </c>
      <c r="M2958" s="75">
        <f>'THAM_SO_MOI'!$C$15*'THAM_SO_MOI'!$C$16*F2958^2</f>
        <v>577.9413470591793</v>
      </c>
      <c r="N2958" s="75">
        <f>'THAM_SO_MOI'!$C$12*I2958</f>
        <v>1130.112</v>
      </c>
      <c r="O2958" s="75">
        <f>M2958+N2958</f>
        <v>1708.0533470591795</v>
      </c>
      <c r="P2958" s="75">
        <f>(MIN(L2958,'THAM_SO_MOI'!$C$41)-O2958)/('THAM_SO_MOI'!$C$11*H2958)</f>
        <v>0.4770302353695479</v>
      </c>
      <c r="Q2958" s="75">
        <f>IF(P2958&gt;0,1/P2958,NA())</f>
        <v>2.0963031813388424</v>
      </c>
      <c r="R2958" s="75">
        <f>F2958-F2957</f>
        <v>0.007943393307218827</v>
      </c>
      <c r="S2958" s="75">
        <f>0.5*(Q2957+Q2958)*R2958</f>
        <v>0.016650356156302677</v>
      </c>
      <c r="T2958" s="75">
        <f>0.5*(F2957*Q2957+F2958*Q2958)*R2958</f>
        <v>0.23398055024341766</v>
      </c>
      <c r="U2958" s="76">
        <f>U2957+S2958</f>
        <v>21.956331029632288</v>
      </c>
      <c r="V2958" s="76">
        <f>V2957+T2958</f>
        <v>182.755124753685</v>
      </c>
    </row>
    <row r="2959" spans="1:22" ht="19" customHeight="1">
      <c r="A2959" s="68" t="s">
        <v>376</v>
      </c>
      <c r="B2959" s="74">
        <v>4</v>
      </c>
      <c r="C2959" s="68" t="s">
        <v>363</v>
      </c>
      <c r="D2959" s="68" t="s">
        <v>364</v>
      </c>
      <c r="E2959" s="75">
        <f>60*F2959*'THAM_SO_MOI'!$C$52/(2*PI()*'THAM_SO_MOI'!$C$26)</f>
        <v>2212.6100559013885</v>
      </c>
      <c r="F2959" s="75">
        <f>'HANH_TRINH'!$F$2468+('THAM_SO_MOI'!$F$52-'HANH_TRINH'!$F$2468)*490/'THAM_SO_MOI'!$C$42</f>
        <v>14.064500059837522</v>
      </c>
      <c r="G2959" s="75">
        <f>3.6*F2959</f>
        <v>50.63220021541508</v>
      </c>
      <c r="H2959" s="75">
        <f>'THAM_SO_MOI'!$D$52</f>
        <v>1.1774754878398197</v>
      </c>
      <c r="I2959" s="75">
        <f>IF(F2959&gt;'THAM_SO_MOI'!$C$14,'THAM_SO_MOI'!$C$13*(1+F2959^2/1500),'THAM_SO_MOI'!$C$13)</f>
        <v>0.015</v>
      </c>
      <c r="J2959" s="75">
        <f>'THAM_SO_MOI'!$C$40*('THAM_SO_MOI'!$C$23*(E2959/'THAM_SO_MOI'!$C$22)+'THAM_SO_MOI'!$C$24*(E2959/'THAM_SO_MOI'!$C$22)^2-'THAM_SO_MOI'!$C$25*(E2959/'THAM_SO_MOI'!$C$22)^3)</f>
        <v>99.62018495253673</v>
      </c>
      <c r="K2959" s="75">
        <f>'THAM_SO_MOI'!$C$31*J2959/E2959</f>
        <v>430.0270552465606</v>
      </c>
      <c r="L2959" s="75">
        <f>K2959*'THAM_SO_MOI'!$C$52*'THAM_SO_MOI'!$C$17/'THAM_SO_MOI'!$C$26</f>
        <v>6021.76643301319</v>
      </c>
      <c r="M2959" s="75">
        <f>'THAM_SO_MOI'!$C$15*'THAM_SO_MOI'!$C$16*F2959^2</f>
        <v>578.5947236545213</v>
      </c>
      <c r="N2959" s="75">
        <f>'THAM_SO_MOI'!$C$12*I2959</f>
        <v>1130.112</v>
      </c>
      <c r="O2959" s="75">
        <f>M2959+N2959</f>
        <v>1708.7067236545213</v>
      </c>
      <c r="P2959" s="75">
        <f>(MIN(L2959,'THAM_SO_MOI'!$C$41)-O2959)/('THAM_SO_MOI'!$C$11*H2959)</f>
        <v>0.47694947548593153</v>
      </c>
      <c r="Q2959" s="75">
        <f>IF(P2959&gt;0,1/P2959,NA())</f>
        <v>2.0966581396932407</v>
      </c>
      <c r="R2959" s="75">
        <f>F2959-F2958</f>
        <v>0.007943393307218827</v>
      </c>
      <c r="S2959" s="75">
        <f>0.5*(Q2958+Q2959)*R2959</f>
        <v>0.01665317044745683</v>
      </c>
      <c r="T2959" s="75">
        <f>0.5*(F2958*Q2958+F2959*Q2959)*R2959</f>
        <v>0.23415238101264885</v>
      </c>
      <c r="U2959" s="76">
        <f>U2958+S2959</f>
        <v>21.972984200079743</v>
      </c>
      <c r="V2959" s="76">
        <f>V2958+T2959</f>
        <v>182.98927713469766</v>
      </c>
    </row>
    <row r="2960" spans="1:22" ht="19" customHeight="1">
      <c r="A2960" s="68" t="s">
        <v>376</v>
      </c>
      <c r="B2960" s="74">
        <v>4</v>
      </c>
      <c r="C2960" s="68" t="s">
        <v>363</v>
      </c>
      <c r="D2960" s="68" t="s">
        <v>364</v>
      </c>
      <c r="E2960" s="75">
        <f>60*F2960*'THAM_SO_MOI'!$C$52/(2*PI()*'THAM_SO_MOI'!$C$26)</f>
        <v>2213.859700882352</v>
      </c>
      <c r="F2960" s="75">
        <f>'HANH_TRINH'!$F$2468+('THAM_SO_MOI'!$F$52-'HANH_TRINH'!$F$2468)*491/'THAM_SO_MOI'!$C$42</f>
        <v>14.072443453144743</v>
      </c>
      <c r="G2960" s="75">
        <f>3.6*F2960</f>
        <v>50.660796431321074</v>
      </c>
      <c r="H2960" s="75">
        <f>'THAM_SO_MOI'!$D$52</f>
        <v>1.1774754878398197</v>
      </c>
      <c r="I2960" s="75">
        <f>IF(F2960&gt;'THAM_SO_MOI'!$C$14,'THAM_SO_MOI'!$C$13*(1+F2960^2/1500),'THAM_SO_MOI'!$C$13)</f>
        <v>0.015</v>
      </c>
      <c r="J2960" s="75">
        <f>'THAM_SO_MOI'!$C$40*('THAM_SO_MOI'!$C$23*(E2960/'THAM_SO_MOI'!$C$22)+'THAM_SO_MOI'!$C$24*(E2960/'THAM_SO_MOI'!$C$22)^2-'THAM_SO_MOI'!$C$25*(E2960/'THAM_SO_MOI'!$C$22)^3)</f>
        <v>99.67514014514227</v>
      </c>
      <c r="K2960" s="75">
        <f>'THAM_SO_MOI'!$C$31*J2960/E2960</f>
        <v>430.02140958599875</v>
      </c>
      <c r="L2960" s="75">
        <f>K2960*'THAM_SO_MOI'!$C$52*'THAM_SO_MOI'!$C$17/'THAM_SO_MOI'!$C$26</f>
        <v>6021.6873755472725</v>
      </c>
      <c r="M2960" s="75">
        <f>'THAM_SO_MOI'!$C$15*'THAM_SO_MOI'!$C$16*F2960^2</f>
        <v>579.2484693702223</v>
      </c>
      <c r="N2960" s="75">
        <f>'THAM_SO_MOI'!$C$12*I2960</f>
        <v>1130.112</v>
      </c>
      <c r="O2960" s="75">
        <f>M2960+N2960</f>
        <v>1709.3604693702223</v>
      </c>
      <c r="P2960" s="75">
        <f>(MIN(L2960,'THAM_SO_MOI'!$C$41)-O2960)/('THAM_SO_MOI'!$C$11*H2960)</f>
        <v>0.4768684401846235</v>
      </c>
      <c r="Q2960" s="75">
        <f>IF(P2960&gt;0,1/P2960,NA())</f>
        <v>2.097014429415463</v>
      </c>
      <c r="R2960" s="75">
        <f>F2960-F2959</f>
        <v>0.007943393307220603</v>
      </c>
      <c r="S2960" s="75">
        <f>0.5*(Q2959+Q2960)*R2960</f>
        <v>0.016655995309066356</v>
      </c>
      <c r="T2960" s="75">
        <f>0.5*(F2959*Q2959+F2960*Q2960)*R2960</f>
        <v>0.23432440520209624</v>
      </c>
      <c r="U2960" s="76">
        <f>U2959+S2960</f>
        <v>21.98964019538881</v>
      </c>
      <c r="V2960" s="76">
        <f>V2959+T2960</f>
        <v>183.22360153989976</v>
      </c>
    </row>
    <row r="2961" spans="1:22" ht="19" customHeight="1">
      <c r="A2961" s="68" t="s">
        <v>376</v>
      </c>
      <c r="B2961" s="74">
        <v>4</v>
      </c>
      <c r="C2961" s="68" t="s">
        <v>363</v>
      </c>
      <c r="D2961" s="68" t="s">
        <v>364</v>
      </c>
      <c r="E2961" s="75">
        <f>60*F2961*'THAM_SO_MOI'!$C$52/(2*PI()*'THAM_SO_MOI'!$C$26)</f>
        <v>2215.109345863315</v>
      </c>
      <c r="F2961" s="75">
        <f>'HANH_TRINH'!$F$2468+('THAM_SO_MOI'!$F$52-'HANH_TRINH'!$F$2468)*492/'THAM_SO_MOI'!$C$42</f>
        <v>14.080386846451962</v>
      </c>
      <c r="G2961" s="75">
        <f>3.6*F2961</f>
        <v>50.689392647227066</v>
      </c>
      <c r="H2961" s="75">
        <f>'THAM_SO_MOI'!$D$52</f>
        <v>1.1774754878398197</v>
      </c>
      <c r="I2961" s="75">
        <f>IF(F2961&gt;'THAM_SO_MOI'!$C$14,'THAM_SO_MOI'!$C$13*(1+F2961^2/1500),'THAM_SO_MOI'!$C$13)</f>
        <v>0.015</v>
      </c>
      <c r="J2961" s="75">
        <f>'THAM_SO_MOI'!$C$40*('THAM_SO_MOI'!$C$23*(E2961/'THAM_SO_MOI'!$C$22)+'THAM_SO_MOI'!$C$24*(E2961/'THAM_SO_MOI'!$C$22)^2-'THAM_SO_MOI'!$C$25*(E2961/'THAM_SO_MOI'!$C$22)^3)</f>
        <v>99.73005872430383</v>
      </c>
      <c r="K2961" s="75">
        <f>'THAM_SO_MOI'!$C$31*J2961/E2961</f>
        <v>430.0156124257095</v>
      </c>
      <c r="L2961" s="75">
        <f>K2961*'THAM_SO_MOI'!$C$52*'THAM_SO_MOI'!$C$17/'THAM_SO_MOI'!$C$26</f>
        <v>6021.6061965962945</v>
      </c>
      <c r="M2961" s="75">
        <f>'THAM_SO_MOI'!$C$15*'THAM_SO_MOI'!$C$16*F2961^2</f>
        <v>579.9025842062821</v>
      </c>
      <c r="N2961" s="75">
        <f>'THAM_SO_MOI'!$C$12*I2961</f>
        <v>1130.112</v>
      </c>
      <c r="O2961" s="75">
        <f>M2961+N2961</f>
        <v>1710.014584206282</v>
      </c>
      <c r="P2961" s="75">
        <f>(MIN(L2961,'THAM_SO_MOI'!$C$41)-O2961)/('THAM_SO_MOI'!$C$11*H2961)</f>
        <v>0.476787129465624</v>
      </c>
      <c r="Q2961" s="75">
        <f>IF(P2961&gt;0,1/P2961,NA())</f>
        <v>2.097372051801787</v>
      </c>
      <c r="R2961" s="75">
        <f>F2961-F2960</f>
        <v>0.007943393307218827</v>
      </c>
      <c r="S2961" s="75">
        <f>0.5*(Q2960+Q2961)*R2961</f>
        <v>0.016658830751395112</v>
      </c>
      <c r="T2961" s="75">
        <f>0.5*(F2960*Q2960+F2961*Q2961)*R2961</f>
        <v>0.23449662320813422</v>
      </c>
      <c r="U2961" s="76">
        <f>U2960+S2961</f>
        <v>22.006299026140205</v>
      </c>
      <c r="V2961" s="76">
        <f>V2960+T2961</f>
        <v>183.4580981631079</v>
      </c>
    </row>
    <row r="2962" spans="1:22" ht="19" customHeight="1">
      <c r="A2962" s="68" t="s">
        <v>376</v>
      </c>
      <c r="B2962" s="74">
        <v>4</v>
      </c>
      <c r="C2962" s="68" t="s">
        <v>363</v>
      </c>
      <c r="D2962" s="68" t="s">
        <v>364</v>
      </c>
      <c r="E2962" s="75">
        <f>60*F2962*'THAM_SO_MOI'!$C$52/(2*PI()*'THAM_SO_MOI'!$C$26)</f>
        <v>2216.3589908442787</v>
      </c>
      <c r="F2962" s="75">
        <f>'HANH_TRINH'!$F$2468+('THAM_SO_MOI'!$F$52-'HANH_TRINH'!$F$2468)*493/'THAM_SO_MOI'!$C$42</f>
        <v>14.08833023975918</v>
      </c>
      <c r="G2962" s="75">
        <f>3.6*F2962</f>
        <v>50.71798886313305</v>
      </c>
      <c r="H2962" s="75">
        <f>'THAM_SO_MOI'!$D$52</f>
        <v>1.1774754878398197</v>
      </c>
      <c r="I2962" s="75">
        <f>IF(F2962&gt;'THAM_SO_MOI'!$C$14,'THAM_SO_MOI'!$C$13*(1+F2962^2/1500),'THAM_SO_MOI'!$C$13)</f>
        <v>0.015</v>
      </c>
      <c r="J2962" s="75">
        <f>'THAM_SO_MOI'!$C$40*('THAM_SO_MOI'!$C$23*(E2962/'THAM_SO_MOI'!$C$22)+'THAM_SO_MOI'!$C$24*(E2962/'THAM_SO_MOI'!$C$22)^2-'THAM_SO_MOI'!$C$25*(E2962/'THAM_SO_MOI'!$C$22)^3)</f>
        <v>99.78494063055578</v>
      </c>
      <c r="K2962" s="75">
        <f>'THAM_SO_MOI'!$C$31*J2962/E2962</f>
        <v>430.0096637656926</v>
      </c>
      <c r="L2962" s="75">
        <f>K2962*'THAM_SO_MOI'!$C$52*'THAM_SO_MOI'!$C$17/'THAM_SO_MOI'!$C$26</f>
        <v>6021.522896160255</v>
      </c>
      <c r="M2962" s="75">
        <f>'THAM_SO_MOI'!$C$15*'THAM_SO_MOI'!$C$16*F2962^2</f>
        <v>580.5570681627005</v>
      </c>
      <c r="N2962" s="75">
        <f>'THAM_SO_MOI'!$C$12*I2962</f>
        <v>1130.112</v>
      </c>
      <c r="O2962" s="75">
        <f>M2962+N2962</f>
        <v>1710.6690681627006</v>
      </c>
      <c r="P2962" s="75">
        <f>(MIN(L2962,'THAM_SO_MOI'!$C$41)-O2962)/('THAM_SO_MOI'!$C$11*H2962)</f>
        <v>0.47670554332893295</v>
      </c>
      <c r="Q2962" s="75">
        <f>IF(P2962&gt;0,1/P2962,NA())</f>
        <v>2.097731008153994</v>
      </c>
      <c r="R2962" s="75">
        <f>F2962-F2961</f>
        <v>0.007943393307218827</v>
      </c>
      <c r="S2962" s="75">
        <f>0.5*(Q2961+Q2962)*R2962</f>
        <v>0.016661676784772983</v>
      </c>
      <c r="T2962" s="75">
        <f>0.5*(F2961*Q2961+F2962*Q2962)*R2962</f>
        <v>0.234669035428393</v>
      </c>
      <c r="U2962" s="76">
        <f>U2961+S2962</f>
        <v>22.022960702924976</v>
      </c>
      <c r="V2962" s="76">
        <f>V2961+T2962</f>
        <v>183.6927671985363</v>
      </c>
    </row>
    <row r="2963" spans="1:22" ht="19" customHeight="1">
      <c r="A2963" s="68" t="s">
        <v>376</v>
      </c>
      <c r="B2963" s="74">
        <v>4</v>
      </c>
      <c r="C2963" s="68" t="s">
        <v>363</v>
      </c>
      <c r="D2963" s="68" t="s">
        <v>364</v>
      </c>
      <c r="E2963" s="75">
        <f>60*F2963*'THAM_SO_MOI'!$C$52/(2*PI()*'THAM_SO_MOI'!$C$26)</f>
        <v>2217.608635825242</v>
      </c>
      <c r="F2963" s="75">
        <f>'HANH_TRINH'!$F$2468+('THAM_SO_MOI'!$F$52-'HANH_TRINH'!$F$2468)*494/'THAM_SO_MOI'!$C$42</f>
        <v>14.0962736330664</v>
      </c>
      <c r="G2963" s="75">
        <f>3.6*F2963</f>
        <v>50.746585079039036</v>
      </c>
      <c r="H2963" s="75">
        <f>'THAM_SO_MOI'!$D$52</f>
        <v>1.1774754878398197</v>
      </c>
      <c r="I2963" s="75">
        <f>IF(F2963&gt;'THAM_SO_MOI'!$C$14,'THAM_SO_MOI'!$C$13*(1+F2963^2/1500),'THAM_SO_MOI'!$C$13)</f>
        <v>0.015</v>
      </c>
      <c r="J2963" s="75">
        <f>'THAM_SO_MOI'!$C$40*('THAM_SO_MOI'!$C$23*(E2963/'THAM_SO_MOI'!$C$22)+'THAM_SO_MOI'!$C$24*(E2963/'THAM_SO_MOI'!$C$22)^2-'THAM_SO_MOI'!$C$25*(E2963/'THAM_SO_MOI'!$C$22)^3)</f>
        <v>99.83978580443241</v>
      </c>
      <c r="K2963" s="75">
        <f>'THAM_SO_MOI'!$C$31*J2963/E2963</f>
        <v>430.00356360594833</v>
      </c>
      <c r="L2963" s="75">
        <f>K2963*'THAM_SO_MOI'!$C$52*'THAM_SO_MOI'!$C$17/'THAM_SO_MOI'!$C$26</f>
        <v>6021.437474239155</v>
      </c>
      <c r="M2963" s="75">
        <f>'THAM_SO_MOI'!$C$15*'THAM_SO_MOI'!$C$16*F2963^2</f>
        <v>581.2119212394778</v>
      </c>
      <c r="N2963" s="75">
        <f>'THAM_SO_MOI'!$C$12*I2963</f>
        <v>1130.112</v>
      </c>
      <c r="O2963" s="75">
        <f>M2963+N2963</f>
        <v>1711.3239212394778</v>
      </c>
      <c r="P2963" s="75">
        <f>(MIN(L2963,'THAM_SO_MOI'!$C$41)-O2963)/('THAM_SO_MOI'!$C$11*H2963)</f>
        <v>0.4766236817745503</v>
      </c>
      <c r="Q2963" s="75">
        <f>IF(P2963&gt;0,1/P2963,NA())</f>
        <v>2.0980912997793806</v>
      </c>
      <c r="R2963" s="75">
        <f>F2963-F2962</f>
        <v>0.007943393307218827</v>
      </c>
      <c r="S2963" s="75">
        <f>0.5*(Q2962+Q2963)*R2963</f>
        <v>0.01666453341955871</v>
      </c>
      <c r="T2963" s="75">
        <f>0.5*(F2962*Q2962+F2963*Q2963)*R2963</f>
        <v>0.23484164226123783</v>
      </c>
      <c r="U2963" s="76">
        <f>U2962+S2963</f>
        <v>22.039625236344534</v>
      </c>
      <c r="V2963" s="76">
        <f>V2962+T2963</f>
        <v>183.92760884079755</v>
      </c>
    </row>
    <row r="2964" spans="1:22" ht="19" customHeight="1">
      <c r="A2964" s="68" t="s">
        <v>376</v>
      </c>
      <c r="B2964" s="74">
        <v>4</v>
      </c>
      <c r="C2964" s="68" t="s">
        <v>363</v>
      </c>
      <c r="D2964" s="68" t="s">
        <v>364</v>
      </c>
      <c r="E2964" s="75">
        <f>60*F2964*'THAM_SO_MOI'!$C$52/(2*PI()*'THAM_SO_MOI'!$C$26)</f>
        <v>2218.858280806205</v>
      </c>
      <c r="F2964" s="75">
        <f>'HANH_TRINH'!$F$2468+('THAM_SO_MOI'!$F$52-'HANH_TRINH'!$F$2468)*495/'THAM_SO_MOI'!$C$42</f>
        <v>14.10421702637362</v>
      </c>
      <c r="G2964" s="75">
        <f>3.6*F2964</f>
        <v>50.775181294945035</v>
      </c>
      <c r="H2964" s="75">
        <f>'THAM_SO_MOI'!$D$52</f>
        <v>1.1774754878398197</v>
      </c>
      <c r="I2964" s="75">
        <f>IF(F2964&gt;'THAM_SO_MOI'!$C$14,'THAM_SO_MOI'!$C$13*(1+F2964^2/1500),'THAM_SO_MOI'!$C$13)</f>
        <v>0.015</v>
      </c>
      <c r="J2964" s="75">
        <f>'THAM_SO_MOI'!$C$40*('THAM_SO_MOI'!$C$23*(E2964/'THAM_SO_MOI'!$C$22)+'THAM_SO_MOI'!$C$24*(E2964/'THAM_SO_MOI'!$C$22)^2-'THAM_SO_MOI'!$C$25*(E2964/'THAM_SO_MOI'!$C$22)^3)</f>
        <v>99.89459418646803</v>
      </c>
      <c r="K2964" s="75">
        <f>'THAM_SO_MOI'!$C$31*J2964/E2964</f>
        <v>429.99731194647654</v>
      </c>
      <c r="L2964" s="75">
        <f>K2964*'THAM_SO_MOI'!$C$52*'THAM_SO_MOI'!$C$17/'THAM_SO_MOI'!$C$26</f>
        <v>6021.349930832993</v>
      </c>
      <c r="M2964" s="75">
        <f>'THAM_SO_MOI'!$C$15*'THAM_SO_MOI'!$C$16*F2964^2</f>
        <v>581.8671434366141</v>
      </c>
      <c r="N2964" s="75">
        <f>'THAM_SO_MOI'!$C$12*I2964</f>
        <v>1130.112</v>
      </c>
      <c r="O2964" s="75">
        <f>M2964+N2964</f>
        <v>1711.9791434366143</v>
      </c>
      <c r="P2964" s="75">
        <f>(MIN(L2964,'THAM_SO_MOI'!$C$41)-O2964)/('THAM_SO_MOI'!$C$11*H2964)</f>
        <v>0.4765415448024761</v>
      </c>
      <c r="Q2964" s="75">
        <f>IF(P2964&gt;0,1/P2964,NA())</f>
        <v>2.0984529279907687</v>
      </c>
      <c r="R2964" s="75">
        <f>F2964-F2963</f>
        <v>0.007943393307220603</v>
      </c>
      <c r="S2964" s="75">
        <f>0.5*(Q2963+Q2964)*R2964</f>
        <v>0.016667400666162326</v>
      </c>
      <c r="T2964" s="75">
        <f>0.5*(F2963*Q2963+F2964*Q2964)*R2964</f>
        <v>0.23501444410608635</v>
      </c>
      <c r="U2964" s="76">
        <f>U2963+S2964</f>
        <v>22.056292637010696</v>
      </c>
      <c r="V2964" s="76">
        <f>V2963+T2964</f>
        <v>184.16262328490365</v>
      </c>
    </row>
    <row r="2965" spans="1:22" ht="19" customHeight="1">
      <c r="A2965" s="68" t="s">
        <v>376</v>
      </c>
      <c r="B2965" s="74">
        <v>4</v>
      </c>
      <c r="C2965" s="68" t="s">
        <v>363</v>
      </c>
      <c r="D2965" s="68" t="s">
        <v>364</v>
      </c>
      <c r="E2965" s="75">
        <f>60*F2965*'THAM_SO_MOI'!$C$52/(2*PI()*'THAM_SO_MOI'!$C$26)</f>
        <v>2220.1079257871684</v>
      </c>
      <c r="F2965" s="75">
        <f>'HANH_TRINH'!$F$2468+('THAM_SO_MOI'!$F$52-'HANH_TRINH'!$F$2468)*496/'THAM_SO_MOI'!$C$42</f>
        <v>14.112160419680839</v>
      </c>
      <c r="G2965" s="75">
        <f>3.6*F2965</f>
        <v>50.80377751085102</v>
      </c>
      <c r="H2965" s="75">
        <f>'THAM_SO_MOI'!$D$52</f>
        <v>1.1774754878398197</v>
      </c>
      <c r="I2965" s="75">
        <f>IF(F2965&gt;'THAM_SO_MOI'!$C$14,'THAM_SO_MOI'!$C$13*(1+F2965^2/1500),'THAM_SO_MOI'!$C$13)</f>
        <v>0.015</v>
      </c>
      <c r="J2965" s="75">
        <f>'THAM_SO_MOI'!$C$40*('THAM_SO_MOI'!$C$23*(E2965/'THAM_SO_MOI'!$C$22)+'THAM_SO_MOI'!$C$24*(E2965/'THAM_SO_MOI'!$C$22)^2-'THAM_SO_MOI'!$C$25*(E2965/'THAM_SO_MOI'!$C$22)^3)</f>
        <v>99.94936571719697</v>
      </c>
      <c r="K2965" s="75">
        <f>'THAM_SO_MOI'!$C$31*J2965/E2965</f>
        <v>429.99090878727736</v>
      </c>
      <c r="L2965" s="75">
        <f>K2965*'THAM_SO_MOI'!$C$52*'THAM_SO_MOI'!$C$17/'THAM_SO_MOI'!$C$26</f>
        <v>6021.260265941773</v>
      </c>
      <c r="M2965" s="75">
        <f>'THAM_SO_MOI'!$C$15*'THAM_SO_MOI'!$C$16*F2965^2</f>
        <v>582.5227347541089</v>
      </c>
      <c r="N2965" s="75">
        <f>'THAM_SO_MOI'!$C$12*I2965</f>
        <v>1130.112</v>
      </c>
      <c r="O2965" s="75">
        <f>M2965+N2965</f>
        <v>1712.634734754109</v>
      </c>
      <c r="P2965" s="75">
        <f>(MIN(L2965,'THAM_SO_MOI'!$C$41)-O2965)/('THAM_SO_MOI'!$C$11*H2965)</f>
        <v>0.4764591324127107</v>
      </c>
      <c r="Q2965" s="75">
        <f>IF(P2965&gt;0,1/P2965,NA())</f>
        <v>2.0988158941065196</v>
      </c>
      <c r="R2965" s="75">
        <f>F2965-F2964</f>
        <v>0.007943393307218827</v>
      </c>
      <c r="S2965" s="75">
        <f>0.5*(Q2964+Q2965)*R2965</f>
        <v>0.016670278535022925</v>
      </c>
      <c r="T2965" s="75">
        <f>0.5*(F2964*Q2964+F2965*Q2965)*R2965</f>
        <v>0.2351874413630967</v>
      </c>
      <c r="U2965" s="76">
        <f>U2964+S2965</f>
        <v>22.07296291554572</v>
      </c>
      <c r="V2965" s="76">
        <f>V2964+T2965</f>
        <v>184.39781072626675</v>
      </c>
    </row>
    <row r="2966" spans="1:22" ht="19" customHeight="1">
      <c r="A2966" s="68" t="s">
        <v>376</v>
      </c>
      <c r="B2966" s="74">
        <v>4</v>
      </c>
      <c r="C2966" s="68" t="s">
        <v>363</v>
      </c>
      <c r="D2966" s="68" t="s">
        <v>364</v>
      </c>
      <c r="E2966" s="75">
        <f>60*F2966*'THAM_SO_MOI'!$C$52/(2*PI()*'THAM_SO_MOI'!$C$26)</f>
        <v>2221.357570768132</v>
      </c>
      <c r="F2966" s="75">
        <f>'HANH_TRINH'!$F$2468+('THAM_SO_MOI'!$F$52-'HANH_TRINH'!$F$2468)*497/'THAM_SO_MOI'!$C$42</f>
        <v>14.12010381298806</v>
      </c>
      <c r="G2966" s="75">
        <f>3.6*F2966</f>
        <v>50.83237372675701</v>
      </c>
      <c r="H2966" s="75">
        <f>'THAM_SO_MOI'!$D$52</f>
        <v>1.1774754878398197</v>
      </c>
      <c r="I2966" s="75">
        <f>IF(F2966&gt;'THAM_SO_MOI'!$C$14,'THAM_SO_MOI'!$C$13*(1+F2966^2/1500),'THAM_SO_MOI'!$C$13)</f>
        <v>0.015</v>
      </c>
      <c r="J2966" s="75">
        <f>'THAM_SO_MOI'!$C$40*('THAM_SO_MOI'!$C$23*(E2966/'THAM_SO_MOI'!$C$22)+'THAM_SO_MOI'!$C$24*(E2966/'THAM_SO_MOI'!$C$22)^2-'THAM_SO_MOI'!$C$25*(E2966/'THAM_SO_MOI'!$C$22)^3)</f>
        <v>100.00410033715352</v>
      </c>
      <c r="K2966" s="75">
        <f>'THAM_SO_MOI'!$C$31*J2966/E2966</f>
        <v>429.98435412835056</v>
      </c>
      <c r="L2966" s="75">
        <f>K2966*'THAM_SO_MOI'!$C$52*'THAM_SO_MOI'!$C$17/'THAM_SO_MOI'!$C$26</f>
        <v>6021.168479565487</v>
      </c>
      <c r="M2966" s="75">
        <f>'THAM_SO_MOI'!$C$15*'THAM_SO_MOI'!$C$16*F2966^2</f>
        <v>583.1786951919629</v>
      </c>
      <c r="N2966" s="75">
        <f>'THAM_SO_MOI'!$C$12*I2966</f>
        <v>1130.112</v>
      </c>
      <c r="O2966" s="75">
        <f>M2966+N2966</f>
        <v>1713.290695191963</v>
      </c>
      <c r="P2966" s="75">
        <f>(MIN(L2966,'THAM_SO_MOI'!$C$41)-O2966)/('THAM_SO_MOI'!$C$11*H2966)</f>
        <v>0.4763764446052532</v>
      </c>
      <c r="Q2966" s="75">
        <f>IF(P2966&gt;0,1/P2966,NA())</f>
        <v>2.0991801994505517</v>
      </c>
      <c r="R2966" s="75">
        <f>F2966-F2965</f>
        <v>0.007943393307220603</v>
      </c>
      <c r="S2966" s="75">
        <f>0.5*(Q2965+Q2966)*R2966</f>
        <v>0.016673167036649738</v>
      </c>
      <c r="T2966" s="75">
        <f>0.5*(F2965*Q2965+F2966*Q2966)*R2966</f>
        <v>0.2353606344337491</v>
      </c>
      <c r="U2966" s="76">
        <f>U2965+S2966</f>
        <v>22.08963608258237</v>
      </c>
      <c r="V2966" s="76">
        <f>V2965+T2966</f>
        <v>184.63317136070052</v>
      </c>
    </row>
    <row r="2967" spans="1:22" ht="19" customHeight="1">
      <c r="A2967" s="68" t="s">
        <v>376</v>
      </c>
      <c r="B2967" s="74">
        <v>4</v>
      </c>
      <c r="C2967" s="68" t="s">
        <v>363</v>
      </c>
      <c r="D2967" s="68" t="s">
        <v>364</v>
      </c>
      <c r="E2967" s="75">
        <f>60*F2967*'THAM_SO_MOI'!$C$52/(2*PI()*'THAM_SO_MOI'!$C$26)</f>
        <v>2222.6072157490953</v>
      </c>
      <c r="F2967" s="75">
        <f>'HANH_TRINH'!$F$2468+('THAM_SO_MOI'!$F$52-'HANH_TRINH'!$F$2468)*498/'THAM_SO_MOI'!$C$42</f>
        <v>14.128047206295278</v>
      </c>
      <c r="G2967" s="75">
        <f>3.6*F2967</f>
        <v>50.860969942663004</v>
      </c>
      <c r="H2967" s="75">
        <f>'THAM_SO_MOI'!$D$52</f>
        <v>1.1774754878398197</v>
      </c>
      <c r="I2967" s="75">
        <f>IF(F2967&gt;'THAM_SO_MOI'!$C$14,'THAM_SO_MOI'!$C$13*(1+F2967^2/1500),'THAM_SO_MOI'!$C$13)</f>
        <v>0.015</v>
      </c>
      <c r="J2967" s="75">
        <f>'THAM_SO_MOI'!$C$40*('THAM_SO_MOI'!$C$23*(E2967/'THAM_SO_MOI'!$C$22)+'THAM_SO_MOI'!$C$24*(E2967/'THAM_SO_MOI'!$C$22)^2-'THAM_SO_MOI'!$C$25*(E2967/'THAM_SO_MOI'!$C$22)^3)</f>
        <v>100.05879798687201</v>
      </c>
      <c r="K2967" s="75">
        <f>'THAM_SO_MOI'!$C$31*J2967/E2967</f>
        <v>429.97764796969636</v>
      </c>
      <c r="L2967" s="75">
        <f>K2967*'THAM_SO_MOI'!$C$52*'THAM_SO_MOI'!$C$17/'THAM_SO_MOI'!$C$26</f>
        <v>6021.074571704145</v>
      </c>
      <c r="M2967" s="75">
        <f>'THAM_SO_MOI'!$C$15*'THAM_SO_MOI'!$C$16*F2967^2</f>
        <v>583.8350247501754</v>
      </c>
      <c r="N2967" s="75">
        <f>'THAM_SO_MOI'!$C$12*I2967</f>
        <v>1130.112</v>
      </c>
      <c r="O2967" s="75">
        <f>M2967+N2967</f>
        <v>1713.9470247501754</v>
      </c>
      <c r="P2967" s="75">
        <f>(MIN(L2967,'THAM_SO_MOI'!$C$41)-O2967)/('THAM_SO_MOI'!$C$11*H2967)</f>
        <v>0.4762934813801046</v>
      </c>
      <c r="Q2967" s="75">
        <f>IF(P2967&gt;0,1/P2967,NA())</f>
        <v>2.099545845352339</v>
      </c>
      <c r="R2967" s="75">
        <f>F2967-F2966</f>
        <v>0.007943393307218827</v>
      </c>
      <c r="S2967" s="75">
        <f>0.5*(Q2966+Q2967)*R2967</f>
        <v>0.01667606618156633</v>
      </c>
      <c r="T2967" s="75">
        <f>0.5*(F2966*Q2966+F2967*Q2967)*R2967</f>
        <v>0.23553402372005994</v>
      </c>
      <c r="U2967" s="76">
        <f>U2966+S2967</f>
        <v>22.106312148763937</v>
      </c>
      <c r="V2967" s="76">
        <f>V2966+T2967</f>
        <v>184.86870538442056</v>
      </c>
    </row>
    <row r="2968" spans="1:22" ht="19" customHeight="1">
      <c r="A2968" s="68" t="s">
        <v>376</v>
      </c>
      <c r="B2968" s="74">
        <v>4</v>
      </c>
      <c r="C2968" s="68" t="s">
        <v>363</v>
      </c>
      <c r="D2968" s="68" t="s">
        <v>364</v>
      </c>
      <c r="E2968" s="75">
        <f>60*F2968*'THAM_SO_MOI'!$C$52/(2*PI()*'THAM_SO_MOI'!$C$26)</f>
        <v>2223.856860730058</v>
      </c>
      <c r="F2968" s="75">
        <f>'HANH_TRINH'!$F$2468+('THAM_SO_MOI'!$F$52-'HANH_TRINH'!$F$2468)*499/'THAM_SO_MOI'!$C$42</f>
        <v>14.135990599602497</v>
      </c>
      <c r="G2968" s="75">
        <f>3.6*F2968</f>
        <v>50.88956615856899</v>
      </c>
      <c r="H2968" s="75">
        <f>'THAM_SO_MOI'!$D$52</f>
        <v>1.1774754878398197</v>
      </c>
      <c r="I2968" s="75">
        <f>IF(F2968&gt;'THAM_SO_MOI'!$C$14,'THAM_SO_MOI'!$C$13*(1+F2968^2/1500),'THAM_SO_MOI'!$C$13)</f>
        <v>0.015</v>
      </c>
      <c r="J2968" s="75">
        <f>'THAM_SO_MOI'!$C$40*('THAM_SO_MOI'!$C$23*(E2968/'THAM_SO_MOI'!$C$22)+'THAM_SO_MOI'!$C$24*(E2968/'THAM_SO_MOI'!$C$22)^2-'THAM_SO_MOI'!$C$25*(E2968/'THAM_SO_MOI'!$C$22)^3)</f>
        <v>100.11345860688677</v>
      </c>
      <c r="K2968" s="75">
        <f>'THAM_SO_MOI'!$C$31*J2968/E2968</f>
        <v>429.97079031131483</v>
      </c>
      <c r="L2968" s="75">
        <f>K2968*'THAM_SO_MOI'!$C$52*'THAM_SO_MOI'!$C$17/'THAM_SO_MOI'!$C$26</f>
        <v>6020.978542357741</v>
      </c>
      <c r="M2968" s="75">
        <f>'THAM_SO_MOI'!$C$15*'THAM_SO_MOI'!$C$16*F2968^2</f>
        <v>584.4917234287467</v>
      </c>
      <c r="N2968" s="75">
        <f>'THAM_SO_MOI'!$C$12*I2968</f>
        <v>1130.112</v>
      </c>
      <c r="O2968" s="75">
        <f>M2968+N2968</f>
        <v>1714.603723428747</v>
      </c>
      <c r="P2968" s="75">
        <f>(MIN(L2968,'THAM_SO_MOI'!$C$41)-O2968)/('THAM_SO_MOI'!$C$11*H2968)</f>
        <v>0.47621024273726453</v>
      </c>
      <c r="Q2968" s="75">
        <f>IF(P2968&gt;0,1/P2968,NA())</f>
        <v>2.0999128331469374</v>
      </c>
      <c r="R2968" s="75">
        <f>F2968-F2967</f>
        <v>0.007943393307218827</v>
      </c>
      <c r="S2968" s="75">
        <f>0.5*(Q2967+Q2968)*R2968</f>
        <v>0.016678975980366585</v>
      </c>
      <c r="T2968" s="75">
        <f>0.5*(F2967*Q2967+F2968*Q2968)*R2968</f>
        <v>0.23570760962537388</v>
      </c>
      <c r="U2968" s="76">
        <f>U2967+S2968</f>
        <v>22.122991124744303</v>
      </c>
      <c r="V2968" s="76">
        <f>V2967+T2968</f>
        <v>185.10441299404593</v>
      </c>
    </row>
    <row r="2969" spans="1:22" ht="19" customHeight="1">
      <c r="A2969" s="68" t="s">
        <v>376</v>
      </c>
      <c r="B2969" s="74">
        <v>4</v>
      </c>
      <c r="C2969" s="68" t="s">
        <v>363</v>
      </c>
      <c r="D2969" s="68" t="s">
        <v>364</v>
      </c>
      <c r="E2969" s="75">
        <f>60*F2969*'THAM_SO_MOI'!$C$52/(2*PI()*'THAM_SO_MOI'!$C$26)</f>
        <v>2225.106505711021</v>
      </c>
      <c r="F2969" s="75">
        <f>'HANH_TRINH'!$F$2468+('THAM_SO_MOI'!$F$52-'HANH_TRINH'!$F$2468)*500/'THAM_SO_MOI'!$C$42</f>
        <v>14.143933992909716</v>
      </c>
      <c r="G2969" s="75">
        <f>3.6*F2969</f>
        <v>50.91816237447498</v>
      </c>
      <c r="H2969" s="75">
        <f>'THAM_SO_MOI'!$D$52</f>
        <v>1.1774754878398197</v>
      </c>
      <c r="I2969" s="75">
        <f>IF(F2969&gt;'THAM_SO_MOI'!$C$14,'THAM_SO_MOI'!$C$13*(1+F2969^2/1500),'THAM_SO_MOI'!$C$13)</f>
        <v>0.015</v>
      </c>
      <c r="J2969" s="75">
        <f>'THAM_SO_MOI'!$C$40*('THAM_SO_MOI'!$C$23*(E2969/'THAM_SO_MOI'!$C$22)+'THAM_SO_MOI'!$C$24*(E2969/'THAM_SO_MOI'!$C$22)^2-'THAM_SO_MOI'!$C$25*(E2969/'THAM_SO_MOI'!$C$22)^3)</f>
        <v>100.16808213773203</v>
      </c>
      <c r="K2969" s="75">
        <f>'THAM_SO_MOI'!$C$31*J2969/E2969</f>
        <v>429.9637811532056</v>
      </c>
      <c r="L2969" s="75">
        <f>K2969*'THAM_SO_MOI'!$C$52*'THAM_SO_MOI'!$C$17/'THAM_SO_MOI'!$C$26</f>
        <v>6020.880391526274</v>
      </c>
      <c r="M2969" s="75">
        <f>'THAM_SO_MOI'!$C$15*'THAM_SO_MOI'!$C$16*F2969^2</f>
        <v>585.148791227677</v>
      </c>
      <c r="N2969" s="75">
        <f>'THAM_SO_MOI'!$C$12*I2969</f>
        <v>1130.112</v>
      </c>
      <c r="O2969" s="75">
        <f>M2969+N2969</f>
        <v>1715.2607912276771</v>
      </c>
      <c r="P2969" s="75">
        <f>(MIN(L2969,'THAM_SO_MOI'!$C$41)-O2969)/('THAM_SO_MOI'!$C$11*H2969)</f>
        <v>0.4761267286767326</v>
      </c>
      <c r="Q2969" s="75">
        <f>IF(P2969&gt;0,1/P2969,NA())</f>
        <v>2.100281164174995</v>
      </c>
      <c r="R2969" s="75">
        <f>F2969-F2968</f>
        <v>0.007943393307218827</v>
      </c>
      <c r="S2969" s="75">
        <f>0.5*(Q2968+Q2969)*R2969</f>
        <v>0.016681896443673863</v>
      </c>
      <c r="T2969" s="75">
        <f>0.5*(F2968*Q2968+F2969*Q2969)*R2969</f>
        <v>0.23588139255378882</v>
      </c>
      <c r="U2969" s="76">
        <f>U2968+S2969</f>
        <v>22.139673021187978</v>
      </c>
      <c r="V2969" s="76">
        <f>V2968+T2969</f>
        <v>185.3402943865997</v>
      </c>
    </row>
    <row r="2970" spans="1:22" ht="19" customHeight="1">
      <c r="A2970" s="68" t="s">
        <v>376</v>
      </c>
      <c r="B2970" s="74">
        <v>4</v>
      </c>
      <c r="C2970" s="68" t="s">
        <v>363</v>
      </c>
      <c r="D2970" s="68" t="s">
        <v>364</v>
      </c>
      <c r="E2970" s="75">
        <f>60*F2970*'THAM_SO_MOI'!$C$52/(2*PI()*'THAM_SO_MOI'!$C$26)</f>
        <v>2226.3561506919846</v>
      </c>
      <c r="F2970" s="75">
        <f>'HANH_TRINH'!$F$2468+('THAM_SO_MOI'!$F$52-'HANH_TRINH'!$F$2468)*501/'THAM_SO_MOI'!$C$42</f>
        <v>14.151877386216936</v>
      </c>
      <c r="G2970" s="75">
        <f>3.6*F2970</f>
        <v>50.94675859038097</v>
      </c>
      <c r="H2970" s="75">
        <f>'THAM_SO_MOI'!$D$52</f>
        <v>1.1774754878398197</v>
      </c>
      <c r="I2970" s="75">
        <f>IF(F2970&gt;'THAM_SO_MOI'!$C$14,'THAM_SO_MOI'!$C$13*(1+F2970^2/1500),'THAM_SO_MOI'!$C$13)</f>
        <v>0.015</v>
      </c>
      <c r="J2970" s="75">
        <f>'THAM_SO_MOI'!$C$40*('THAM_SO_MOI'!$C$23*(E2970/'THAM_SO_MOI'!$C$22)+'THAM_SO_MOI'!$C$24*(E2970/'THAM_SO_MOI'!$C$22)^2-'THAM_SO_MOI'!$C$25*(E2970/'THAM_SO_MOI'!$C$22)^3)</f>
        <v>100.22266851994227</v>
      </c>
      <c r="K2970" s="75">
        <f>'THAM_SO_MOI'!$C$31*J2970/E2970</f>
        <v>429.9566204953691</v>
      </c>
      <c r="L2970" s="75">
        <f>K2970*'THAM_SO_MOI'!$C$52*'THAM_SO_MOI'!$C$17/'THAM_SO_MOI'!$C$26</f>
        <v>6020.780119209749</v>
      </c>
      <c r="M2970" s="75">
        <f>'THAM_SO_MOI'!$C$15*'THAM_SO_MOI'!$C$16*F2970^2</f>
        <v>585.8062281469662</v>
      </c>
      <c r="N2970" s="75">
        <f>'THAM_SO_MOI'!$C$12*I2970</f>
        <v>1130.112</v>
      </c>
      <c r="O2970" s="75">
        <f>M2970+N2970</f>
        <v>1715.9182281469662</v>
      </c>
      <c r="P2970" s="75">
        <f>(MIN(L2970,'THAM_SO_MOI'!$C$41)-O2970)/('THAM_SO_MOI'!$C$11*H2970)</f>
        <v>0.4760429391985094</v>
      </c>
      <c r="Q2970" s="75">
        <f>IF(P2970&gt;0,1/P2970,NA())</f>
        <v>2.1006508397827557</v>
      </c>
      <c r="R2970" s="75">
        <f>F2970-F2969</f>
        <v>0.007943393307220603</v>
      </c>
      <c r="S2970" s="75">
        <f>0.5*(Q2969+Q2970)*R2970</f>
        <v>0.016684827582163417</v>
      </c>
      <c r="T2970" s="75">
        <f>0.5*(F2969*Q2969+F2970*Q2970)*R2970</f>
        <v>0.23605537291047435</v>
      </c>
      <c r="U2970" s="76">
        <f>U2969+S2970</f>
        <v>22.156357848770142</v>
      </c>
      <c r="V2970" s="76">
        <f>V2969+T2970</f>
        <v>185.57634975951018</v>
      </c>
    </row>
    <row r="2971" spans="1:22" ht="19" customHeight="1">
      <c r="A2971" s="68" t="s">
        <v>376</v>
      </c>
      <c r="B2971" s="74">
        <v>4</v>
      </c>
      <c r="C2971" s="68" t="s">
        <v>363</v>
      </c>
      <c r="D2971" s="68" t="s">
        <v>364</v>
      </c>
      <c r="E2971" s="75">
        <f>60*F2971*'THAM_SO_MOI'!$C$52/(2*PI()*'THAM_SO_MOI'!$C$26)</f>
        <v>2227.605795672948</v>
      </c>
      <c r="F2971" s="75">
        <f>'HANH_TRINH'!$F$2468+('THAM_SO_MOI'!$F$52-'HANH_TRINH'!$F$2468)*502/'THAM_SO_MOI'!$C$42</f>
        <v>14.159820779524155</v>
      </c>
      <c r="G2971" s="75">
        <f>3.6*F2971</f>
        <v>50.97535480628696</v>
      </c>
      <c r="H2971" s="75">
        <f>'THAM_SO_MOI'!$D$52</f>
        <v>1.1774754878398197</v>
      </c>
      <c r="I2971" s="75">
        <f>IF(F2971&gt;'THAM_SO_MOI'!$C$14,'THAM_SO_MOI'!$C$13*(1+F2971^2/1500),'THAM_SO_MOI'!$C$13)</f>
        <v>0.015</v>
      </c>
      <c r="J2971" s="75">
        <f>'THAM_SO_MOI'!$C$40*('THAM_SO_MOI'!$C$23*(E2971/'THAM_SO_MOI'!$C$22)+'THAM_SO_MOI'!$C$24*(E2971/'THAM_SO_MOI'!$C$22)^2-'THAM_SO_MOI'!$C$25*(E2971/'THAM_SO_MOI'!$C$22)^3)</f>
        <v>100.27721769405164</v>
      </c>
      <c r="K2971" s="75">
        <f>'THAM_SO_MOI'!$C$31*J2971/E2971</f>
        <v>429.949308337805</v>
      </c>
      <c r="L2971" s="75">
        <f>K2971*'THAM_SO_MOI'!$C$52*'THAM_SO_MOI'!$C$17/'THAM_SO_MOI'!$C$26</f>
        <v>6020.67772540816</v>
      </c>
      <c r="M2971" s="75">
        <f>'THAM_SO_MOI'!$C$15*'THAM_SO_MOI'!$C$16*F2971^2</f>
        <v>586.4640341866138</v>
      </c>
      <c r="N2971" s="75">
        <f>'THAM_SO_MOI'!$C$12*I2971</f>
        <v>1130.112</v>
      </c>
      <c r="O2971" s="75">
        <f>M2971+N2971</f>
        <v>1716.576034186614</v>
      </c>
      <c r="P2971" s="75">
        <f>(MIN(L2971,'THAM_SO_MOI'!$C$41)-O2971)/('THAM_SO_MOI'!$C$11*H2971)</f>
        <v>0.47595887430259454</v>
      </c>
      <c r="Q2971" s="75">
        <f>IF(P2971&gt;0,1/P2971,NA())</f>
        <v>2.101021861322082</v>
      </c>
      <c r="R2971" s="75">
        <f>F2971-F2970</f>
        <v>0.007943393307218827</v>
      </c>
      <c r="S2971" s="75">
        <f>0.5*(Q2970+Q2971)*R2971</f>
        <v>0.01668776940654011</v>
      </c>
      <c r="T2971" s="75">
        <f>0.5*(F2970*Q2970+F2971*Q2971)*R2971</f>
        <v>0.23622955110135857</v>
      </c>
      <c r="U2971" s="76">
        <f>U2970+S2971</f>
        <v>22.173045618176683</v>
      </c>
      <c r="V2971" s="76">
        <f>V2970+T2971</f>
        <v>185.81257931061154</v>
      </c>
    </row>
    <row r="2972" spans="1:22" ht="19" customHeight="1">
      <c r="A2972" s="68" t="s">
        <v>376</v>
      </c>
      <c r="B2972" s="74">
        <v>4</v>
      </c>
      <c r="C2972" s="68" t="s">
        <v>363</v>
      </c>
      <c r="D2972" s="68" t="s">
        <v>364</v>
      </c>
      <c r="E2972" s="75">
        <f>60*F2972*'THAM_SO_MOI'!$C$52/(2*PI()*'THAM_SO_MOI'!$C$26)</f>
        <v>2228.8554406539115</v>
      </c>
      <c r="F2972" s="75">
        <f>'HANH_TRINH'!$F$2468+('THAM_SO_MOI'!$F$52-'HANH_TRINH'!$F$2468)*503/'THAM_SO_MOI'!$C$42</f>
        <v>14.167764172831376</v>
      </c>
      <c r="G2972" s="75">
        <f>3.6*F2972</f>
        <v>51.00395102219296</v>
      </c>
      <c r="H2972" s="75">
        <f>'THAM_SO_MOI'!$D$52</f>
        <v>1.1774754878398197</v>
      </c>
      <c r="I2972" s="75">
        <f>IF(F2972&gt;'THAM_SO_MOI'!$C$14,'THAM_SO_MOI'!$C$13*(1+F2972^2/1500),'THAM_SO_MOI'!$C$13)</f>
        <v>0.015</v>
      </c>
      <c r="J2972" s="75">
        <f>'THAM_SO_MOI'!$C$40*('THAM_SO_MOI'!$C$23*(E2972/'THAM_SO_MOI'!$C$22)+'THAM_SO_MOI'!$C$24*(E2972/'THAM_SO_MOI'!$C$22)^2-'THAM_SO_MOI'!$C$25*(E2972/'THAM_SO_MOI'!$C$22)^3)</f>
        <v>100.33172960059451</v>
      </c>
      <c r="K2972" s="75">
        <f>'THAM_SO_MOI'!$C$31*J2972/E2972</f>
        <v>429.9418446805133</v>
      </c>
      <c r="L2972" s="75">
        <f>K2972*'THAM_SO_MOI'!$C$52*'THAM_SO_MOI'!$C$17/'THAM_SO_MOI'!$C$26</f>
        <v>6020.573210121511</v>
      </c>
      <c r="M2972" s="75">
        <f>'THAM_SO_MOI'!$C$15*'THAM_SO_MOI'!$C$16*F2972^2</f>
        <v>587.1222093466207</v>
      </c>
      <c r="N2972" s="75">
        <f>'THAM_SO_MOI'!$C$12*I2972</f>
        <v>1130.112</v>
      </c>
      <c r="O2972" s="75">
        <f>M2972+N2972</f>
        <v>1717.234209346621</v>
      </c>
      <c r="P2972" s="75">
        <f>(MIN(L2972,'THAM_SO_MOI'!$C$41)-O2972)/('THAM_SO_MOI'!$C$11*H2972)</f>
        <v>0.47587453398898805</v>
      </c>
      <c r="Q2972" s="75">
        <f>IF(P2972&gt;0,1/P2972,NA())</f>
        <v>2.101394230150463</v>
      </c>
      <c r="R2972" s="75">
        <f>F2972-F2971</f>
        <v>0.007943393307220603</v>
      </c>
      <c r="S2972" s="75">
        <f>0.5*(Q2971+Q2972)*R2972</f>
        <v>0.016690721927579588</v>
      </c>
      <c r="T2972" s="75">
        <f>0.5*(F2971*Q2971+F2972*Q2972)*R2972</f>
        <v>0.2364039275337123</v>
      </c>
      <c r="U2972" s="76">
        <f>U2971+S2972</f>
        <v>22.18973634010426</v>
      </c>
      <c r="V2972" s="76">
        <f>V2971+T2972</f>
        <v>186.04898323814524</v>
      </c>
    </row>
    <row r="2973" spans="1:22" ht="19" customHeight="1">
      <c r="A2973" s="68" t="s">
        <v>376</v>
      </c>
      <c r="B2973" s="74">
        <v>4</v>
      </c>
      <c r="C2973" s="68" t="s">
        <v>363</v>
      </c>
      <c r="D2973" s="68" t="s">
        <v>364</v>
      </c>
      <c r="E2973" s="75">
        <f>60*F2973*'THAM_SO_MOI'!$C$52/(2*PI()*'THAM_SO_MOI'!$C$26)</f>
        <v>2230.1050856348743</v>
      </c>
      <c r="F2973" s="75">
        <f>'HANH_TRINH'!$F$2468+('THAM_SO_MOI'!$F$52-'HANH_TRINH'!$F$2468)*504/'THAM_SO_MOI'!$C$42</f>
        <v>14.175707566138595</v>
      </c>
      <c r="G2973" s="75">
        <f>3.6*F2973</f>
        <v>51.03254723809894</v>
      </c>
      <c r="H2973" s="75">
        <f>'THAM_SO_MOI'!$D$52</f>
        <v>1.1774754878398197</v>
      </c>
      <c r="I2973" s="75">
        <f>IF(F2973&gt;'THAM_SO_MOI'!$C$14,'THAM_SO_MOI'!$C$13*(1+F2973^2/1500),'THAM_SO_MOI'!$C$13)</f>
        <v>0.015</v>
      </c>
      <c r="J2973" s="75">
        <f>'THAM_SO_MOI'!$C$40*('THAM_SO_MOI'!$C$23*(E2973/'THAM_SO_MOI'!$C$22)+'THAM_SO_MOI'!$C$24*(E2973/'THAM_SO_MOI'!$C$22)^2-'THAM_SO_MOI'!$C$25*(E2973/'THAM_SO_MOI'!$C$22)^3)</f>
        <v>100.38620418010521</v>
      </c>
      <c r="K2973" s="75">
        <f>'THAM_SO_MOI'!$C$31*J2973/E2973</f>
        <v>429.9342295234943</v>
      </c>
      <c r="L2973" s="75">
        <f>K2973*'THAM_SO_MOI'!$C$52*'THAM_SO_MOI'!$C$17/'THAM_SO_MOI'!$C$26</f>
        <v>6020.4665733498005</v>
      </c>
      <c r="M2973" s="75">
        <f>'THAM_SO_MOI'!$C$15*'THAM_SO_MOI'!$C$16*F2973^2</f>
        <v>587.7807536269862</v>
      </c>
      <c r="N2973" s="75">
        <f>'THAM_SO_MOI'!$C$12*I2973</f>
        <v>1130.112</v>
      </c>
      <c r="O2973" s="75">
        <f>M2973+N2973</f>
        <v>1717.8927536269862</v>
      </c>
      <c r="P2973" s="75">
        <f>(MIN(L2973,'THAM_SO_MOI'!$C$41)-O2973)/('THAM_SO_MOI'!$C$11*H2973)</f>
        <v>0.47578991825768996</v>
      </c>
      <c r="Q2973" s="75">
        <f>IF(P2973&gt;0,1/P2973,NA())</f>
        <v>2.101767947631029</v>
      </c>
      <c r="R2973" s="75">
        <f>F2973-F2972</f>
        <v>0.007943393307218827</v>
      </c>
      <c r="S2973" s="75">
        <f>0.5*(Q2972+Q2973)*R2973</f>
        <v>0.016693685156072405</v>
      </c>
      <c r="T2973" s="75">
        <f>0.5*(F2972*Q2972+F2973*Q2973)*R2973</f>
        <v>0.2365785026153598</v>
      </c>
      <c r="U2973" s="76">
        <f>U2972+S2973</f>
        <v>22.206430025260335</v>
      </c>
      <c r="V2973" s="76">
        <f>V2972+T2973</f>
        <v>186.2855617407606</v>
      </c>
    </row>
    <row r="2974" spans="1:22" ht="19" customHeight="1">
      <c r="A2974" s="68" t="s">
        <v>376</v>
      </c>
      <c r="B2974" s="74">
        <v>4</v>
      </c>
      <c r="C2974" s="68" t="s">
        <v>363</v>
      </c>
      <c r="D2974" s="68" t="s">
        <v>364</v>
      </c>
      <c r="E2974" s="75">
        <f>60*F2974*'THAM_SO_MOI'!$C$52/(2*PI()*'THAM_SO_MOI'!$C$26)</f>
        <v>2231.3547306158375</v>
      </c>
      <c r="F2974" s="75">
        <f>'HANH_TRINH'!$F$2468+('THAM_SO_MOI'!$F$52-'HANH_TRINH'!$F$2468)*505/'THAM_SO_MOI'!$C$42</f>
        <v>14.183650959445814</v>
      </c>
      <c r="G2974" s="75">
        <f>3.6*F2974</f>
        <v>51.06114345400493</v>
      </c>
      <c r="H2974" s="75">
        <f>'THAM_SO_MOI'!$D$52</f>
        <v>1.1774754878398197</v>
      </c>
      <c r="I2974" s="75">
        <f>IF(F2974&gt;'THAM_SO_MOI'!$C$14,'THAM_SO_MOI'!$C$13*(1+F2974^2/1500),'THAM_SO_MOI'!$C$13)</f>
        <v>0.015</v>
      </c>
      <c r="J2974" s="75">
        <f>'THAM_SO_MOI'!$C$40*('THAM_SO_MOI'!$C$23*(E2974/'THAM_SO_MOI'!$C$22)+'THAM_SO_MOI'!$C$24*(E2974/'THAM_SO_MOI'!$C$22)^2-'THAM_SO_MOI'!$C$25*(E2974/'THAM_SO_MOI'!$C$22)^3)</f>
        <v>100.44064137311804</v>
      </c>
      <c r="K2974" s="75">
        <f>'THAM_SO_MOI'!$C$31*J2974/E2974</f>
        <v>429.9264628667478</v>
      </c>
      <c r="L2974" s="75">
        <f>K2974*'THAM_SO_MOI'!$C$52*'THAM_SO_MOI'!$C$17/'THAM_SO_MOI'!$C$26</f>
        <v>6020.35781509303</v>
      </c>
      <c r="M2974" s="75">
        <f>'THAM_SO_MOI'!$C$15*'THAM_SO_MOI'!$C$16*F2974^2</f>
        <v>588.4396670277104</v>
      </c>
      <c r="N2974" s="75">
        <f>'THAM_SO_MOI'!$C$12*I2974</f>
        <v>1130.112</v>
      </c>
      <c r="O2974" s="75">
        <f>M2974+N2974</f>
        <v>1718.5516670277104</v>
      </c>
      <c r="P2974" s="75">
        <f>(MIN(L2974,'THAM_SO_MOI'!$C$41)-O2974)/('THAM_SO_MOI'!$C$11*H2974)</f>
        <v>0.47570502710870055</v>
      </c>
      <c r="Q2974" s="75">
        <f>IF(P2974&gt;0,1/P2974,NA())</f>
        <v>2.10214301513256</v>
      </c>
      <c r="R2974" s="75">
        <f>F2974-F2973</f>
        <v>0.007943393307218827</v>
      </c>
      <c r="S2974" s="75">
        <f>0.5*(Q2973+Q2974)*R2974</f>
        <v>0.01669665910288007</v>
      </c>
      <c r="T2974" s="75">
        <f>0.5*(F2973*Q2973+F2974*Q2974)*R2974</f>
        <v>0.23675327675547442</v>
      </c>
      <c r="U2974" s="76">
        <f>U2973+S2974</f>
        <v>22.223126684363216</v>
      </c>
      <c r="V2974" s="76">
        <f>V2973+T2974</f>
        <v>186.5223150175161</v>
      </c>
    </row>
    <row r="2975" spans="1:22" ht="19" customHeight="1">
      <c r="A2975" s="68" t="s">
        <v>376</v>
      </c>
      <c r="B2975" s="74">
        <v>4</v>
      </c>
      <c r="C2975" s="68" t="s">
        <v>363</v>
      </c>
      <c r="D2975" s="68" t="s">
        <v>364</v>
      </c>
      <c r="E2975" s="75">
        <f>60*F2975*'THAM_SO_MOI'!$C$52/(2*PI()*'THAM_SO_MOI'!$C$26)</f>
        <v>2232.6043755968008</v>
      </c>
      <c r="F2975" s="75">
        <f>'HANH_TRINH'!$F$2468+('THAM_SO_MOI'!$F$52-'HANH_TRINH'!$F$2468)*506/'THAM_SO_MOI'!$C$42</f>
        <v>14.191594352753032</v>
      </c>
      <c r="G2975" s="75">
        <f>3.6*F2975</f>
        <v>51.08973966991092</v>
      </c>
      <c r="H2975" s="75">
        <f>'THAM_SO_MOI'!$D$52</f>
        <v>1.1774754878398197</v>
      </c>
      <c r="I2975" s="75">
        <f>IF(F2975&gt;'THAM_SO_MOI'!$C$14,'THAM_SO_MOI'!$C$13*(1+F2975^2/1500),'THAM_SO_MOI'!$C$13)</f>
        <v>0.015</v>
      </c>
      <c r="J2975" s="75">
        <f>'THAM_SO_MOI'!$C$40*('THAM_SO_MOI'!$C$23*(E2975/'THAM_SO_MOI'!$C$22)+'THAM_SO_MOI'!$C$24*(E2975/'THAM_SO_MOI'!$C$22)^2-'THAM_SO_MOI'!$C$25*(E2975/'THAM_SO_MOI'!$C$22)^3)</f>
        <v>100.49504112016734</v>
      </c>
      <c r="K2975" s="75">
        <f>'THAM_SO_MOI'!$C$31*J2975/E2975</f>
        <v>429.91854471027386</v>
      </c>
      <c r="L2975" s="75">
        <f>K2975*'THAM_SO_MOI'!$C$52*'THAM_SO_MOI'!$C$17/'THAM_SO_MOI'!$C$26</f>
        <v>6020.246935351198</v>
      </c>
      <c r="M2975" s="75">
        <f>'THAM_SO_MOI'!$C$15*'THAM_SO_MOI'!$C$16*F2975^2</f>
        <v>589.0989495487935</v>
      </c>
      <c r="N2975" s="75">
        <f>'THAM_SO_MOI'!$C$12*I2975</f>
        <v>1130.112</v>
      </c>
      <c r="O2975" s="75">
        <f>M2975+N2975</f>
        <v>1719.2109495487935</v>
      </c>
      <c r="P2975" s="75">
        <f>(MIN(L2975,'THAM_SO_MOI'!$C$41)-O2975)/('THAM_SO_MOI'!$C$11*H2975)</f>
        <v>0.4756198605420195</v>
      </c>
      <c r="Q2975" s="75">
        <f>IF(P2975&gt;0,1/P2975,NA())</f>
        <v>2.1025194340295075</v>
      </c>
      <c r="R2975" s="75">
        <f>F2975-F2974</f>
        <v>0.007943393307218827</v>
      </c>
      <c r="S2975" s="75">
        <f>0.5*(Q2974+Q2975)*R2975</f>
        <v>0.016699643778894144</v>
      </c>
      <c r="T2975" s="75">
        <f>0.5*(F2974*Q2974+F2975*Q2975)*R2975</f>
        <v>0.23692825036400092</v>
      </c>
      <c r="U2975" s="76">
        <f>U2974+S2975</f>
        <v>22.239826328142108</v>
      </c>
      <c r="V2975" s="76">
        <f>V2974+T2975</f>
        <v>186.7592432678801</v>
      </c>
    </row>
    <row r="2976" spans="1:22" ht="19" customHeight="1">
      <c r="A2976" s="68" t="s">
        <v>376</v>
      </c>
      <c r="B2976" s="74">
        <v>4</v>
      </c>
      <c r="C2976" s="68" t="s">
        <v>363</v>
      </c>
      <c r="D2976" s="68" t="s">
        <v>364</v>
      </c>
      <c r="E2976" s="75">
        <f>60*F2976*'THAM_SO_MOI'!$C$52/(2*PI()*'THAM_SO_MOI'!$C$26)</f>
        <v>2233.854020577764</v>
      </c>
      <c r="F2976" s="75">
        <f>'HANH_TRINH'!$F$2468+('THAM_SO_MOI'!$F$52-'HANH_TRINH'!$F$2468)*507/'THAM_SO_MOI'!$C$42</f>
        <v>14.199537746060253</v>
      </c>
      <c r="G2976" s="75">
        <f>3.6*F2976</f>
        <v>51.11833588581691</v>
      </c>
      <c r="H2976" s="75">
        <f>'THAM_SO_MOI'!$D$52</f>
        <v>1.1774754878398197</v>
      </c>
      <c r="I2976" s="75">
        <f>IF(F2976&gt;'THAM_SO_MOI'!$C$14,'THAM_SO_MOI'!$C$13*(1+F2976^2/1500),'THAM_SO_MOI'!$C$13)</f>
        <v>0.015</v>
      </c>
      <c r="J2976" s="75">
        <f>'THAM_SO_MOI'!$C$40*('THAM_SO_MOI'!$C$23*(E2976/'THAM_SO_MOI'!$C$22)+'THAM_SO_MOI'!$C$24*(E2976/'THAM_SO_MOI'!$C$22)^2-'THAM_SO_MOI'!$C$25*(E2976/'THAM_SO_MOI'!$C$22)^3)</f>
        <v>100.54940336178734</v>
      </c>
      <c r="K2976" s="75">
        <f>'THAM_SO_MOI'!$C$31*J2976/E2976</f>
        <v>429.9104750540723</v>
      </c>
      <c r="L2976" s="75">
        <f>K2976*'THAM_SO_MOI'!$C$52*'THAM_SO_MOI'!$C$17/'THAM_SO_MOI'!$C$26</f>
        <v>6020.133934124305</v>
      </c>
      <c r="M2976" s="75">
        <f>'THAM_SO_MOI'!$C$15*'THAM_SO_MOI'!$C$16*F2976^2</f>
        <v>589.7586011902355</v>
      </c>
      <c r="N2976" s="75">
        <f>'THAM_SO_MOI'!$C$12*I2976</f>
        <v>1130.112</v>
      </c>
      <c r="O2976" s="75">
        <f>M2976+N2976</f>
        <v>1719.8706011902354</v>
      </c>
      <c r="P2976" s="75">
        <f>(MIN(L2976,'THAM_SO_MOI'!$C$41)-O2976)/('THAM_SO_MOI'!$C$11*H2976)</f>
        <v>0.4755344185576469</v>
      </c>
      <c r="Q2976" s="75">
        <f>IF(P2976&gt;0,1/P2976,NA())</f>
        <v>2.102897205701998</v>
      </c>
      <c r="R2976" s="75">
        <f>F2976-F2975</f>
        <v>0.007943393307220603</v>
      </c>
      <c r="S2976" s="75">
        <f>0.5*(Q2975+Q2976)*R2976</f>
        <v>0.0167026391950587</v>
      </c>
      <c r="T2976" s="75">
        <f>0.5*(F2975*Q2975+F2976*Q2976)*R2976</f>
        <v>0.23710342385197572</v>
      </c>
      <c r="U2976" s="76">
        <f>U2975+S2976</f>
        <v>22.256528967337168</v>
      </c>
      <c r="V2976" s="76">
        <f>V2975+T2976</f>
        <v>186.99634669173207</v>
      </c>
    </row>
    <row r="2977" spans="1:22" ht="19" customHeight="1">
      <c r="A2977" s="68" t="s">
        <v>376</v>
      </c>
      <c r="B2977" s="74">
        <v>4</v>
      </c>
      <c r="C2977" s="68" t="s">
        <v>363</v>
      </c>
      <c r="D2977" s="68" t="s">
        <v>364</v>
      </c>
      <c r="E2977" s="75">
        <f>60*F2977*'THAM_SO_MOI'!$C$52/(2*PI()*'THAM_SO_MOI'!$C$26)</f>
        <v>2235.1036655587277</v>
      </c>
      <c r="F2977" s="75">
        <f>'HANH_TRINH'!$F$2468+('THAM_SO_MOI'!$F$52-'HANH_TRINH'!$F$2468)*508/'THAM_SO_MOI'!$C$42</f>
        <v>14.207481139367472</v>
      </c>
      <c r="G2977" s="75">
        <f>3.6*F2977</f>
        <v>51.146932101722896</v>
      </c>
      <c r="H2977" s="75">
        <f>'THAM_SO_MOI'!$D$52</f>
        <v>1.1774754878398197</v>
      </c>
      <c r="I2977" s="75">
        <f>IF(F2977&gt;'THAM_SO_MOI'!$C$14,'THAM_SO_MOI'!$C$13*(1+F2977^2/1500),'THAM_SO_MOI'!$C$13)</f>
        <v>0.015</v>
      </c>
      <c r="J2977" s="75">
        <f>'THAM_SO_MOI'!$C$40*('THAM_SO_MOI'!$C$23*(E2977/'THAM_SO_MOI'!$C$22)+'THAM_SO_MOI'!$C$24*(E2977/'THAM_SO_MOI'!$C$22)^2-'THAM_SO_MOI'!$C$25*(E2977/'THAM_SO_MOI'!$C$22)^3)</f>
        <v>100.60372803851249</v>
      </c>
      <c r="K2977" s="75">
        <f>'THAM_SO_MOI'!$C$31*J2977/E2977</f>
        <v>429.9022538981434</v>
      </c>
      <c r="L2977" s="75">
        <f>K2977*'THAM_SO_MOI'!$C$52*'THAM_SO_MOI'!$C$17/'THAM_SO_MOI'!$C$26</f>
        <v>6020.01881141235</v>
      </c>
      <c r="M2977" s="75">
        <f>'THAM_SO_MOI'!$C$15*'THAM_SO_MOI'!$C$16*F2977^2</f>
        <v>590.4186219520361</v>
      </c>
      <c r="N2977" s="75">
        <f>'THAM_SO_MOI'!$C$12*I2977</f>
        <v>1130.112</v>
      </c>
      <c r="O2977" s="75">
        <f>M2977+N2977</f>
        <v>1720.5306219520362</v>
      </c>
      <c r="P2977" s="75">
        <f>(MIN(L2977,'THAM_SO_MOI'!$C$41)-O2977)/('THAM_SO_MOI'!$C$11*H2977)</f>
        <v>0.47544870115558274</v>
      </c>
      <c r="Q2977" s="75">
        <f>IF(P2977&gt;0,1/P2977,NA())</f>
        <v>2.1032763315358527</v>
      </c>
      <c r="R2977" s="75">
        <f>F2977-F2976</f>
        <v>0.007943393307218827</v>
      </c>
      <c r="S2977" s="75">
        <f>0.5*(Q2976+Q2977)*R2977</f>
        <v>0.01670564536234804</v>
      </c>
      <c r="T2977" s="75">
        <f>0.5*(F2976*Q2976+F2977*Q2977)*R2977</f>
        <v>0.23727879763121226</v>
      </c>
      <c r="U2977" s="76">
        <f>U2976+S2977</f>
        <v>22.273234612699515</v>
      </c>
      <c r="V2977" s="76">
        <f>V2976+T2977</f>
        <v>187.23362548936328</v>
      </c>
    </row>
    <row r="2978" spans="1:22" ht="19" customHeight="1">
      <c r="A2978" s="68" t="s">
        <v>376</v>
      </c>
      <c r="B2978" s="74">
        <v>4</v>
      </c>
      <c r="C2978" s="68" t="s">
        <v>363</v>
      </c>
      <c r="D2978" s="68" t="s">
        <v>364</v>
      </c>
      <c r="E2978" s="75">
        <f>60*F2978*'THAM_SO_MOI'!$C$52/(2*PI()*'THAM_SO_MOI'!$C$26)</f>
        <v>2236.353310539691</v>
      </c>
      <c r="F2978" s="75">
        <f>'HANH_TRINH'!$F$2468+('THAM_SO_MOI'!$F$52-'HANH_TRINH'!$F$2468)*509/'THAM_SO_MOI'!$C$42</f>
        <v>14.215424532674692</v>
      </c>
      <c r="G2978" s="75">
        <f>3.6*F2978</f>
        <v>51.175528317628896</v>
      </c>
      <c r="H2978" s="75">
        <f>'THAM_SO_MOI'!$D$52</f>
        <v>1.1774754878398197</v>
      </c>
      <c r="I2978" s="75">
        <f>IF(F2978&gt;'THAM_SO_MOI'!$C$14,'THAM_SO_MOI'!$C$13*(1+F2978^2/1500),'THAM_SO_MOI'!$C$13)</f>
        <v>0.015</v>
      </c>
      <c r="J2978" s="75">
        <f>'THAM_SO_MOI'!$C$40*('THAM_SO_MOI'!$C$23*(E2978/'THAM_SO_MOI'!$C$22)+'THAM_SO_MOI'!$C$24*(E2978/'THAM_SO_MOI'!$C$22)^2-'THAM_SO_MOI'!$C$25*(E2978/'THAM_SO_MOI'!$C$22)^3)</f>
        <v>100.65801509087697</v>
      </c>
      <c r="K2978" s="75">
        <f>'THAM_SO_MOI'!$C$31*J2978/E2978</f>
        <v>429.89388124248694</v>
      </c>
      <c r="L2978" s="75">
        <f>K2978*'THAM_SO_MOI'!$C$52*'THAM_SO_MOI'!$C$17/'THAM_SO_MOI'!$C$26</f>
        <v>6019.901567215336</v>
      </c>
      <c r="M2978" s="75">
        <f>'THAM_SO_MOI'!$C$15*'THAM_SO_MOI'!$C$16*F2978^2</f>
        <v>591.0790118341959</v>
      </c>
      <c r="N2978" s="75">
        <f>'THAM_SO_MOI'!$C$12*I2978</f>
        <v>1130.112</v>
      </c>
      <c r="O2978" s="75">
        <f>M2978+N2978</f>
        <v>1721.191011834196</v>
      </c>
      <c r="P2978" s="75">
        <f>(MIN(L2978,'THAM_SO_MOI'!$C$41)-O2978)/('THAM_SO_MOI'!$C$11*H2978)</f>
        <v>0.4753627083358272</v>
      </c>
      <c r="Q2978" s="75">
        <f>IF(P2978&gt;0,1/P2978,NA())</f>
        <v>2.1036568129225963</v>
      </c>
      <c r="R2978" s="75">
        <f>F2978-F2977</f>
        <v>0.007943393307220603</v>
      </c>
      <c r="S2978" s="75">
        <f>0.5*(Q2977+Q2978)*R2978</f>
        <v>0.016708662291807886</v>
      </c>
      <c r="T2978" s="75">
        <f>0.5*(F2977*Q2977+F2978*Q2978)*R2978</f>
        <v>0.2374543721148875</v>
      </c>
      <c r="U2978" s="76">
        <f>U2977+S2978</f>
        <v>22.289943274991323</v>
      </c>
      <c r="V2978" s="76">
        <f>V2977+T2978</f>
        <v>187.47107986147816</v>
      </c>
    </row>
    <row r="2979" spans="1:22" ht="19" customHeight="1">
      <c r="A2979" s="68" t="s">
        <v>376</v>
      </c>
      <c r="B2979" s="74">
        <v>4</v>
      </c>
      <c r="C2979" s="68" t="s">
        <v>363</v>
      </c>
      <c r="D2979" s="68" t="s">
        <v>364</v>
      </c>
      <c r="E2979" s="75">
        <f>60*F2979*'THAM_SO_MOI'!$C$52/(2*PI()*'THAM_SO_MOI'!$C$26)</f>
        <v>2237.602955520654</v>
      </c>
      <c r="F2979" s="75">
        <f>'HANH_TRINH'!$F$2468+('THAM_SO_MOI'!$F$52-'HANH_TRINH'!$F$2468)*510/'THAM_SO_MOI'!$C$42</f>
        <v>14.223367925981911</v>
      </c>
      <c r="G2979" s="75">
        <f>3.6*F2979</f>
        <v>51.20412453353488</v>
      </c>
      <c r="H2979" s="75">
        <f>'THAM_SO_MOI'!$D$52</f>
        <v>1.1774754878398197</v>
      </c>
      <c r="I2979" s="75">
        <f>IF(F2979&gt;'THAM_SO_MOI'!$C$14,'THAM_SO_MOI'!$C$13*(1+F2979^2/1500),'THAM_SO_MOI'!$C$13)</f>
        <v>0.015</v>
      </c>
      <c r="J2979" s="75">
        <f>'THAM_SO_MOI'!$C$40*('THAM_SO_MOI'!$C$23*(E2979/'THAM_SO_MOI'!$C$22)+'THAM_SO_MOI'!$C$24*(E2979/'THAM_SO_MOI'!$C$22)^2-'THAM_SO_MOI'!$C$25*(E2979/'THAM_SO_MOI'!$C$22)^3)</f>
        <v>100.71226445941517</v>
      </c>
      <c r="K2979" s="75">
        <f>'THAM_SO_MOI'!$C$31*J2979/E2979</f>
        <v>429.88535708710305</v>
      </c>
      <c r="L2979" s="75">
        <f>K2979*'THAM_SO_MOI'!$C$52*'THAM_SO_MOI'!$C$17/'THAM_SO_MOI'!$C$26</f>
        <v>6019.7822015332595</v>
      </c>
      <c r="M2979" s="75">
        <f>'THAM_SO_MOI'!$C$15*'THAM_SO_MOI'!$C$16*F2979^2</f>
        <v>591.7397708367142</v>
      </c>
      <c r="N2979" s="75">
        <f>'THAM_SO_MOI'!$C$12*I2979</f>
        <v>1130.112</v>
      </c>
      <c r="O2979" s="75">
        <f>M2979+N2979</f>
        <v>1721.8517708367144</v>
      </c>
      <c r="P2979" s="75">
        <f>(MIN(L2979,'THAM_SO_MOI'!$C$41)-O2979)/('THAM_SO_MOI'!$C$11*H2979)</f>
        <v>0.4752764400983799</v>
      </c>
      <c r="Q2979" s="75">
        <f>IF(P2979&gt;0,1/P2979,NA())</f>
        <v>2.1040386512594753</v>
      </c>
      <c r="R2979" s="75">
        <f>F2979-F2978</f>
        <v>0.007943393307218827</v>
      </c>
      <c r="S2979" s="75">
        <f>0.5*(Q2978+Q2979)*R2979</f>
        <v>0.01671168999449944</v>
      </c>
      <c r="T2979" s="75">
        <f>0.5*(F2978*Q2978+F2979*Q2979)*R2979</f>
        <v>0.23763014771674973</v>
      </c>
      <c r="U2979" s="76">
        <f>U2978+S2979</f>
        <v>22.30665496498582</v>
      </c>
      <c r="V2979" s="76">
        <f>V2978+T2979</f>
        <v>187.7087100091949</v>
      </c>
    </row>
    <row r="2980" spans="1:22" ht="19" customHeight="1">
      <c r="A2980" s="68" t="s">
        <v>376</v>
      </c>
      <c r="B2980" s="74">
        <v>4</v>
      </c>
      <c r="C2980" s="68" t="s">
        <v>363</v>
      </c>
      <c r="D2980" s="68" t="s">
        <v>364</v>
      </c>
      <c r="E2980" s="75">
        <f>60*F2980*'THAM_SO_MOI'!$C$52/(2*PI()*'THAM_SO_MOI'!$C$26)</f>
        <v>2238.8526005016174</v>
      </c>
      <c r="F2980" s="75">
        <f>'HANH_TRINH'!$F$2468+('THAM_SO_MOI'!$F$52-'HANH_TRINH'!$F$2468)*511/'THAM_SO_MOI'!$C$42</f>
        <v>14.23131131928913</v>
      </c>
      <c r="G2980" s="75">
        <f>3.6*F2980</f>
        <v>51.23272074944087</v>
      </c>
      <c r="H2980" s="75">
        <f>'THAM_SO_MOI'!$D$52</f>
        <v>1.1774754878398197</v>
      </c>
      <c r="I2980" s="75">
        <f>IF(F2980&gt;'THAM_SO_MOI'!$C$14,'THAM_SO_MOI'!$C$13*(1+F2980^2/1500),'THAM_SO_MOI'!$C$13)</f>
        <v>0.015</v>
      </c>
      <c r="J2980" s="75">
        <f>'THAM_SO_MOI'!$C$40*('THAM_SO_MOI'!$C$23*(E2980/'THAM_SO_MOI'!$C$22)+'THAM_SO_MOI'!$C$24*(E2980/'THAM_SO_MOI'!$C$22)^2-'THAM_SO_MOI'!$C$25*(E2980/'THAM_SO_MOI'!$C$22)^3)</f>
        <v>100.76647608466138</v>
      </c>
      <c r="K2980" s="75">
        <f>'THAM_SO_MOI'!$C$31*J2980/E2980</f>
        <v>429.8766814319917</v>
      </c>
      <c r="L2980" s="75">
        <f>K2980*'THAM_SO_MOI'!$C$52*'THAM_SO_MOI'!$C$17/'THAM_SO_MOI'!$C$26</f>
        <v>6019.660714366124</v>
      </c>
      <c r="M2980" s="75">
        <f>'THAM_SO_MOI'!$C$15*'THAM_SO_MOI'!$C$16*F2980^2</f>
        <v>592.4008989595912</v>
      </c>
      <c r="N2980" s="75">
        <f>'THAM_SO_MOI'!$C$12*I2980</f>
        <v>1130.112</v>
      </c>
      <c r="O2980" s="75">
        <f>M2980+N2980</f>
        <v>1722.5128989595914</v>
      </c>
      <c r="P2980" s="75">
        <f>(MIN(L2980,'THAM_SO_MOI'!$C$41)-O2980)/('THAM_SO_MOI'!$C$11*H2980)</f>
        <v>0.47518989644324133</v>
      </c>
      <c r="Q2980" s="75">
        <f>IF(P2980&gt;0,1/P2980,NA())</f>
        <v>2.1044218479494634</v>
      </c>
      <c r="R2980" s="75">
        <f>F2980-F2979</f>
        <v>0.007943393307218827</v>
      </c>
      <c r="S2980" s="75">
        <f>0.5*(Q2979+Q2980)*R2980</f>
        <v>0.016714728481555544</v>
      </c>
      <c r="T2980" s="75">
        <f>0.5*(F2979*Q2979+F2980*Q2980)*R2980</f>
        <v>0.23780612485191766</v>
      </c>
      <c r="U2980" s="76">
        <f>U2979+S2980</f>
        <v>22.323369693467377</v>
      </c>
      <c r="V2980" s="76">
        <f>V2979+T2980</f>
        <v>187.94651613404682</v>
      </c>
    </row>
    <row r="2981" spans="1:22" ht="19" customHeight="1">
      <c r="A2981" s="68" t="s">
        <v>376</v>
      </c>
      <c r="B2981" s="74">
        <v>4</v>
      </c>
      <c r="C2981" s="68" t="s">
        <v>363</v>
      </c>
      <c r="D2981" s="68" t="s">
        <v>364</v>
      </c>
      <c r="E2981" s="75">
        <f>60*F2981*'THAM_SO_MOI'!$C$52/(2*PI()*'THAM_SO_MOI'!$C$26)</f>
        <v>2240.1022454825807</v>
      </c>
      <c r="F2981" s="75">
        <f>'HANH_TRINH'!$F$2468+('THAM_SO_MOI'!$F$52-'HANH_TRINH'!$F$2468)*512/'THAM_SO_MOI'!$C$42</f>
        <v>14.239254712596349</v>
      </c>
      <c r="G2981" s="75">
        <f>3.6*F2981</f>
        <v>51.26131696534686</v>
      </c>
      <c r="H2981" s="75">
        <f>'THAM_SO_MOI'!$D$52</f>
        <v>1.1774754878398197</v>
      </c>
      <c r="I2981" s="75">
        <f>IF(F2981&gt;'THAM_SO_MOI'!$C$14,'THAM_SO_MOI'!$C$13*(1+F2981^2/1500),'THAM_SO_MOI'!$C$13)</f>
        <v>0.015</v>
      </c>
      <c r="J2981" s="75">
        <f>'THAM_SO_MOI'!$C$40*('THAM_SO_MOI'!$C$23*(E2981/'THAM_SO_MOI'!$C$22)+'THAM_SO_MOI'!$C$24*(E2981/'THAM_SO_MOI'!$C$22)^2-'THAM_SO_MOI'!$C$25*(E2981/'THAM_SO_MOI'!$C$22)^3)</f>
        <v>100.82064990714993</v>
      </c>
      <c r="K2981" s="75">
        <f>'THAM_SO_MOI'!$C$31*J2981/E2981</f>
        <v>429.86785427715296</v>
      </c>
      <c r="L2981" s="75">
        <f>K2981*'THAM_SO_MOI'!$C$52*'THAM_SO_MOI'!$C$17/'THAM_SO_MOI'!$C$26</f>
        <v>6019.537105713927</v>
      </c>
      <c r="M2981" s="75">
        <f>'THAM_SO_MOI'!$C$15*'THAM_SO_MOI'!$C$16*F2981^2</f>
        <v>593.0623962028272</v>
      </c>
      <c r="N2981" s="75">
        <f>'THAM_SO_MOI'!$C$12*I2981</f>
        <v>1130.112</v>
      </c>
      <c r="O2981" s="75">
        <f>M2981+N2981</f>
        <v>1723.1743962028272</v>
      </c>
      <c r="P2981" s="75">
        <f>(MIN(L2981,'THAM_SO_MOI'!$C$41)-O2981)/('THAM_SO_MOI'!$C$11*H2981)</f>
        <v>0.47510307737041113</v>
      </c>
      <c r="Q2981" s="75">
        <f>IF(P2981&gt;0,1/P2981,NA())</f>
        <v>2.104806404401284</v>
      </c>
      <c r="R2981" s="75">
        <f>F2981-F2980</f>
        <v>0.007943393307218827</v>
      </c>
      <c r="S2981" s="75">
        <f>0.5*(Q2980+Q2981)*R2981</f>
        <v>0.016717777764139664</v>
      </c>
      <c r="T2981" s="75">
        <f>0.5*(F2980*Q2980+F2981*Q2981)*R2981</f>
        <v>0.23798230393629996</v>
      </c>
      <c r="U2981" s="76">
        <f>U2980+S2981</f>
        <v>22.340087471231517</v>
      </c>
      <c r="V2981" s="76">
        <f>V2980+T2981</f>
        <v>188.1844984379831</v>
      </c>
    </row>
    <row r="2982" spans="1:22" ht="19" customHeight="1">
      <c r="A2982" s="68" t="s">
        <v>376</v>
      </c>
      <c r="B2982" s="74">
        <v>4</v>
      </c>
      <c r="C2982" s="68" t="s">
        <v>363</v>
      </c>
      <c r="D2982" s="68" t="s">
        <v>364</v>
      </c>
      <c r="E2982" s="75">
        <f>60*F2982*'THAM_SO_MOI'!$C$52/(2*PI()*'THAM_SO_MOI'!$C$26)</f>
        <v>2241.3518904635434</v>
      </c>
      <c r="F2982" s="75">
        <f>'HANH_TRINH'!$F$2468+('THAM_SO_MOI'!$F$52-'HANH_TRINH'!$F$2468)*513/'THAM_SO_MOI'!$C$42</f>
        <v>14.247198105903568</v>
      </c>
      <c r="G2982" s="75">
        <f>3.6*F2982</f>
        <v>51.28991318125284</v>
      </c>
      <c r="H2982" s="75">
        <f>'THAM_SO_MOI'!$D$52</f>
        <v>1.1774754878398197</v>
      </c>
      <c r="I2982" s="75">
        <f>IF(F2982&gt;'THAM_SO_MOI'!$C$14,'THAM_SO_MOI'!$C$13*(1+F2982^2/1500),'THAM_SO_MOI'!$C$13)</f>
        <v>0.015</v>
      </c>
      <c r="J2982" s="75">
        <f>'THAM_SO_MOI'!$C$40*('THAM_SO_MOI'!$C$23*(E2982/'THAM_SO_MOI'!$C$22)+'THAM_SO_MOI'!$C$24*(E2982/'THAM_SO_MOI'!$C$22)^2-'THAM_SO_MOI'!$C$25*(E2982/'THAM_SO_MOI'!$C$22)^3)</f>
        <v>100.87478586741506</v>
      </c>
      <c r="K2982" s="75">
        <f>'THAM_SO_MOI'!$C$31*J2982/E2982</f>
        <v>429.8588756225865</v>
      </c>
      <c r="L2982" s="75">
        <f>K2982*'THAM_SO_MOI'!$C$52*'THAM_SO_MOI'!$C$17/'THAM_SO_MOI'!$C$26</f>
        <v>6019.4113755766675</v>
      </c>
      <c r="M2982" s="75">
        <f>'THAM_SO_MOI'!$C$15*'THAM_SO_MOI'!$C$16*F2982^2</f>
        <v>593.724262566422</v>
      </c>
      <c r="N2982" s="75">
        <f>'THAM_SO_MOI'!$C$12*I2982</f>
        <v>1130.112</v>
      </c>
      <c r="O2982" s="75">
        <f>M2982+N2982</f>
        <v>1723.8362625664222</v>
      </c>
      <c r="P2982" s="75">
        <f>(MIN(L2982,'THAM_SO_MOI'!$C$41)-O2982)/('THAM_SO_MOI'!$C$11*H2982)</f>
        <v>0.4750159828798893</v>
      </c>
      <c r="Q2982" s="75">
        <f>IF(P2982&gt;0,1/P2982,NA())</f>
        <v>2.105192322029417</v>
      </c>
      <c r="R2982" s="75">
        <f>F2982-F2981</f>
        <v>0.007943393307218827</v>
      </c>
      <c r="S2982" s="75">
        <f>0.5*(Q2981+Q2982)*R2982</f>
        <v>0.016720837853464707</v>
      </c>
      <c r="T2982" s="75">
        <f>0.5*(F2981*Q2981+F2982*Q2982)*R2982</f>
        <v>0.23815868538686402</v>
      </c>
      <c r="U2982" s="76">
        <f>U2981+S2982</f>
        <v>22.356808309084983</v>
      </c>
      <c r="V2982" s="76">
        <f>V2981+T2982</f>
        <v>188.42265712336996</v>
      </c>
    </row>
    <row r="2983" spans="1:22" ht="19" customHeight="1">
      <c r="A2983" s="68" t="s">
        <v>376</v>
      </c>
      <c r="B2983" s="74">
        <v>4</v>
      </c>
      <c r="C2983" s="68" t="s">
        <v>363</v>
      </c>
      <c r="D2983" s="68" t="s">
        <v>364</v>
      </c>
      <c r="E2983" s="75">
        <f>60*F2983*'THAM_SO_MOI'!$C$52/(2*PI()*'THAM_SO_MOI'!$C$26)</f>
        <v>2242.6015354445067</v>
      </c>
      <c r="F2983" s="75">
        <f>'HANH_TRINH'!$F$2468+('THAM_SO_MOI'!$F$52-'HANH_TRINH'!$F$2468)*514/'THAM_SO_MOI'!$C$42</f>
        <v>14.255141499210788</v>
      </c>
      <c r="G2983" s="75">
        <f>3.6*F2983</f>
        <v>51.31850939715884</v>
      </c>
      <c r="H2983" s="75">
        <f>'THAM_SO_MOI'!$D$52</f>
        <v>1.1774754878398197</v>
      </c>
      <c r="I2983" s="75">
        <f>IF(F2983&gt;'THAM_SO_MOI'!$C$14,'THAM_SO_MOI'!$C$13*(1+F2983^2/1500),'THAM_SO_MOI'!$C$13)</f>
        <v>0.015</v>
      </c>
      <c r="J2983" s="75">
        <f>'THAM_SO_MOI'!$C$40*('THAM_SO_MOI'!$C$23*(E2983/'THAM_SO_MOI'!$C$22)+'THAM_SO_MOI'!$C$24*(E2983/'THAM_SO_MOI'!$C$22)^2-'THAM_SO_MOI'!$C$25*(E2983/'THAM_SO_MOI'!$C$22)^3)</f>
        <v>100.9288839059912</v>
      </c>
      <c r="K2983" s="75">
        <f>'THAM_SO_MOI'!$C$31*J2983/E2983</f>
        <v>429.8497454682928</v>
      </c>
      <c r="L2983" s="75">
        <f>K2983*'THAM_SO_MOI'!$C$52*'THAM_SO_MOI'!$C$17/'THAM_SO_MOI'!$C$26</f>
        <v>6019.283523954349</v>
      </c>
      <c r="M2983" s="75">
        <f>'THAM_SO_MOI'!$C$15*'THAM_SO_MOI'!$C$16*F2983^2</f>
        <v>594.3864980503757</v>
      </c>
      <c r="N2983" s="75">
        <f>'THAM_SO_MOI'!$C$12*I2983</f>
        <v>1130.112</v>
      </c>
      <c r="O2983" s="75">
        <f>M2983+N2983</f>
        <v>1724.498498050376</v>
      </c>
      <c r="P2983" s="75">
        <f>(MIN(L2983,'THAM_SO_MOI'!$C$41)-O2983)/('THAM_SO_MOI'!$C$11*H2983)</f>
        <v>0.4749286129716761</v>
      </c>
      <c r="Q2983" s="75">
        <f>IF(P2983&gt;0,1/P2983,NA())</f>
        <v>2.1055796022541142</v>
      </c>
      <c r="R2983" s="75">
        <f>F2983-F2982</f>
        <v>0.007943393307220603</v>
      </c>
      <c r="S2983" s="75">
        <f>0.5*(Q2982+Q2983)*R2983</f>
        <v>0.016723908760793108</v>
      </c>
      <c r="T2983" s="75">
        <f>0.5*(F2982*Q2982+F2983*Q2983)*R2983</f>
        <v>0.23833526962163945</v>
      </c>
      <c r="U2983" s="76">
        <f>U2982+S2983</f>
        <v>22.373532217845774</v>
      </c>
      <c r="V2983" s="76">
        <f>V2982+T2983</f>
        <v>188.6609923929916</v>
      </c>
    </row>
    <row r="2984" spans="1:22" ht="19" customHeight="1">
      <c r="A2984" s="68" t="s">
        <v>376</v>
      </c>
      <c r="B2984" s="74">
        <v>4</v>
      </c>
      <c r="C2984" s="68" t="s">
        <v>363</v>
      </c>
      <c r="D2984" s="68" t="s">
        <v>364</v>
      </c>
      <c r="E2984" s="75">
        <f>60*F2984*'THAM_SO_MOI'!$C$52/(2*PI()*'THAM_SO_MOI'!$C$26)</f>
        <v>2243.8511804254704</v>
      </c>
      <c r="F2984" s="75">
        <f>'HANH_TRINH'!$F$2468+('THAM_SO_MOI'!$F$52-'HANH_TRINH'!$F$2468)*515/'THAM_SO_MOI'!$C$42</f>
        <v>14.263084892518009</v>
      </c>
      <c r="G2984" s="75">
        <f>3.6*F2984</f>
        <v>51.347105613064834</v>
      </c>
      <c r="H2984" s="75">
        <f>'THAM_SO_MOI'!$D$52</f>
        <v>1.1774754878398197</v>
      </c>
      <c r="I2984" s="75">
        <f>IF(F2984&gt;'THAM_SO_MOI'!$C$14,'THAM_SO_MOI'!$C$13*(1+F2984^2/1500),'THAM_SO_MOI'!$C$13)</f>
        <v>0.015</v>
      </c>
      <c r="J2984" s="75">
        <f>'THAM_SO_MOI'!$C$40*('THAM_SO_MOI'!$C$23*(E2984/'THAM_SO_MOI'!$C$22)+'THAM_SO_MOI'!$C$24*(E2984/'THAM_SO_MOI'!$C$22)^2-'THAM_SO_MOI'!$C$25*(E2984/'THAM_SO_MOI'!$C$22)^3)</f>
        <v>100.98294396341264</v>
      </c>
      <c r="K2984" s="75">
        <f>'THAM_SO_MOI'!$C$31*J2984/E2984</f>
        <v>429.84046381427163</v>
      </c>
      <c r="L2984" s="75">
        <f>K2984*'THAM_SO_MOI'!$C$52*'THAM_SO_MOI'!$C$17/'THAM_SO_MOI'!$C$26</f>
        <v>6019.153550846969</v>
      </c>
      <c r="M2984" s="75">
        <f>'THAM_SO_MOI'!$C$15*'THAM_SO_MOI'!$C$16*F2984^2</f>
        <v>595.0491026546883</v>
      </c>
      <c r="N2984" s="75">
        <f>'THAM_SO_MOI'!$C$12*I2984</f>
        <v>1130.112</v>
      </c>
      <c r="O2984" s="75">
        <f>M2984+N2984</f>
        <v>1725.1611026546884</v>
      </c>
      <c r="P2984" s="75">
        <f>(MIN(L2984,'THAM_SO_MOI'!$C$41)-O2984)/('THAM_SO_MOI'!$C$11*H2984)</f>
        <v>0.4748409676457712</v>
      </c>
      <c r="Q2984" s="75">
        <f>IF(P2984&gt;0,1/P2984,NA())</f>
        <v>2.105968246501415</v>
      </c>
      <c r="R2984" s="75">
        <f>F2984-F2983</f>
        <v>0.007943393307220603</v>
      </c>
      <c r="S2984" s="75">
        <f>0.5*(Q2983+Q2984)*R2984</f>
        <v>0.016726990497422</v>
      </c>
      <c r="T2984" s="75">
        <f>0.5*(F2983*Q2983+F2984*Q2984)*R2984</f>
        <v>0.23851205705950826</v>
      </c>
      <c r="U2984" s="76">
        <f>U2983+S2984</f>
        <v>22.390259208343195</v>
      </c>
      <c r="V2984" s="76">
        <f>V2983+T2984</f>
        <v>188.8995044500511</v>
      </c>
    </row>
    <row r="2985" spans="1:22" ht="19" customHeight="1">
      <c r="A2985" s="68" t="s">
        <v>376</v>
      </c>
      <c r="B2985" s="74">
        <v>4</v>
      </c>
      <c r="C2985" s="68" t="s">
        <v>363</v>
      </c>
      <c r="D2985" s="68" t="s">
        <v>364</v>
      </c>
      <c r="E2985" s="75">
        <f>60*F2985*'THAM_SO_MOI'!$C$52/(2*PI()*'THAM_SO_MOI'!$C$26)</f>
        <v>2245.1008254064336</v>
      </c>
      <c r="F2985" s="75">
        <f>'HANH_TRINH'!$F$2468+('THAM_SO_MOI'!$F$52-'HANH_TRINH'!$F$2468)*516/'THAM_SO_MOI'!$C$42</f>
        <v>14.271028285825228</v>
      </c>
      <c r="G2985" s="75">
        <f>3.6*F2985</f>
        <v>51.37570182897082</v>
      </c>
      <c r="H2985" s="75">
        <f>'THAM_SO_MOI'!$D$52</f>
        <v>1.1774754878398197</v>
      </c>
      <c r="I2985" s="75">
        <f>IF(F2985&gt;'THAM_SO_MOI'!$C$14,'THAM_SO_MOI'!$C$13*(1+F2985^2/1500),'THAM_SO_MOI'!$C$13)</f>
        <v>0.015</v>
      </c>
      <c r="J2985" s="75">
        <f>'THAM_SO_MOI'!$C$40*('THAM_SO_MOI'!$C$23*(E2985/'THAM_SO_MOI'!$C$22)+'THAM_SO_MOI'!$C$24*(E2985/'THAM_SO_MOI'!$C$22)^2-'THAM_SO_MOI'!$C$25*(E2985/'THAM_SO_MOI'!$C$22)^3)</f>
        <v>101.0369659802136</v>
      </c>
      <c r="K2985" s="75">
        <f>'THAM_SO_MOI'!$C$31*J2985/E2985</f>
        <v>429.83103066052286</v>
      </c>
      <c r="L2985" s="75">
        <f>K2985*'THAM_SO_MOI'!$C$52*'THAM_SO_MOI'!$C$17/'THAM_SO_MOI'!$C$26</f>
        <v>6019.021456254528</v>
      </c>
      <c r="M2985" s="75">
        <f>'THAM_SO_MOI'!$C$15*'THAM_SO_MOI'!$C$16*F2985^2</f>
        <v>595.7120763793595</v>
      </c>
      <c r="N2985" s="75">
        <f>'THAM_SO_MOI'!$C$12*I2985</f>
        <v>1130.112</v>
      </c>
      <c r="O2985" s="75">
        <f>M2985+N2985</f>
        <v>1725.8240763793597</v>
      </c>
      <c r="P2985" s="75">
        <f>(MIN(L2985,'THAM_SO_MOI'!$C$41)-O2985)/('THAM_SO_MOI'!$C$11*H2985)</f>
        <v>0.474753046902175</v>
      </c>
      <c r="Q2985" s="75">
        <f>IF(P2985&gt;0,1/P2985,NA())</f>
        <v>2.106358256203155</v>
      </c>
      <c r="R2985" s="75">
        <f>F2985-F2984</f>
        <v>0.007943393307218827</v>
      </c>
      <c r="S2985" s="75">
        <f>0.5*(Q2984+Q2985)*R2985</f>
        <v>0.016730083074701987</v>
      </c>
      <c r="T2985" s="75">
        <f>0.5*(F2984*Q2984+F2985*Q2985)*R2985</f>
        <v>0.23868904812047453</v>
      </c>
      <c r="U2985" s="76">
        <f>U2984+S2985</f>
        <v>22.406989291417897</v>
      </c>
      <c r="V2985" s="76">
        <f>V2984+T2985</f>
        <v>189.13819349817157</v>
      </c>
    </row>
    <row r="2986" spans="1:22" ht="19" customHeight="1">
      <c r="A2986" s="68" t="s">
        <v>376</v>
      </c>
      <c r="B2986" s="74">
        <v>4</v>
      </c>
      <c r="C2986" s="68" t="s">
        <v>363</v>
      </c>
      <c r="D2986" s="68" t="s">
        <v>364</v>
      </c>
      <c r="E2986" s="75">
        <f>60*F2986*'THAM_SO_MOI'!$C$52/(2*PI()*'THAM_SO_MOI'!$C$26)</f>
        <v>2246.350470387397</v>
      </c>
      <c r="F2986" s="75">
        <f>'HANH_TRINH'!$F$2468+('THAM_SO_MOI'!$F$52-'HANH_TRINH'!$F$2468)*517/'THAM_SO_MOI'!$C$42</f>
        <v>14.278971679132447</v>
      </c>
      <c r="G2986" s="75">
        <f>3.6*F2986</f>
        <v>51.40429804487681</v>
      </c>
      <c r="H2986" s="75">
        <f>'THAM_SO_MOI'!$D$52</f>
        <v>1.1774754878398197</v>
      </c>
      <c r="I2986" s="75">
        <f>IF(F2986&gt;'THAM_SO_MOI'!$C$14,'THAM_SO_MOI'!$C$13*(1+F2986^2/1500),'THAM_SO_MOI'!$C$13)</f>
        <v>0.015</v>
      </c>
      <c r="J2986" s="75">
        <f>'THAM_SO_MOI'!$C$40*('THAM_SO_MOI'!$C$23*(E2986/'THAM_SO_MOI'!$C$22)+'THAM_SO_MOI'!$C$24*(E2986/'THAM_SO_MOI'!$C$22)^2-'THAM_SO_MOI'!$C$25*(E2986/'THAM_SO_MOI'!$C$22)^3)</f>
        <v>101.09094989692846</v>
      </c>
      <c r="K2986" s="75">
        <f>'THAM_SO_MOI'!$C$31*J2986/E2986</f>
        <v>429.82144600704663</v>
      </c>
      <c r="L2986" s="75">
        <f>K2986*'THAM_SO_MOI'!$C$52*'THAM_SO_MOI'!$C$17/'THAM_SO_MOI'!$C$26</f>
        <v>6018.887240177026</v>
      </c>
      <c r="M2986" s="75">
        <f>'THAM_SO_MOI'!$C$15*'THAM_SO_MOI'!$C$16*F2986^2</f>
        <v>596.3754192243895</v>
      </c>
      <c r="N2986" s="75">
        <f>'THAM_SO_MOI'!$C$12*I2986</f>
        <v>1130.112</v>
      </c>
      <c r="O2986" s="75">
        <f>M2986+N2986</f>
        <v>1726.4874192243897</v>
      </c>
      <c r="P2986" s="75">
        <f>(MIN(L2986,'THAM_SO_MOI'!$C$41)-O2986)/('THAM_SO_MOI'!$C$11*H2986)</f>
        <v>0.4746648507408871</v>
      </c>
      <c r="Q2986" s="75">
        <f>IF(P2986&gt;0,1/P2986,NA())</f>
        <v>2.1067496327969857</v>
      </c>
      <c r="R2986" s="75">
        <f>F2986-F2985</f>
        <v>0.007943393307218827</v>
      </c>
      <c r="S2986" s="75">
        <f>0.5*(Q2985+Q2986)*R2986</f>
        <v>0.016733186504037278</v>
      </c>
      <c r="T2986" s="75">
        <f>0.5*(F2985*Q2985+F2986*Q2986)*R2986</f>
        <v>0.23886624322566813</v>
      </c>
      <c r="U2986" s="76">
        <f>U2985+S2986</f>
        <v>22.423722477921935</v>
      </c>
      <c r="V2986" s="76">
        <f>V2985+T2986</f>
        <v>189.37705974139723</v>
      </c>
    </row>
    <row r="2987" spans="1:22" ht="19" customHeight="1">
      <c r="A2987" s="68" t="s">
        <v>376</v>
      </c>
      <c r="B2987" s="74">
        <v>4</v>
      </c>
      <c r="C2987" s="68" t="s">
        <v>363</v>
      </c>
      <c r="D2987" s="68" t="s">
        <v>364</v>
      </c>
      <c r="E2987" s="75">
        <f>60*F2987*'THAM_SO_MOI'!$C$52/(2*PI()*'THAM_SO_MOI'!$C$26)</f>
        <v>2247.60011536836</v>
      </c>
      <c r="F2987" s="75">
        <f>'HANH_TRINH'!$F$2468+('THAM_SO_MOI'!$F$52-'HANH_TRINH'!$F$2468)*518/'THAM_SO_MOI'!$C$42</f>
        <v>14.286915072439665</v>
      </c>
      <c r="G2987" s="75">
        <f>3.6*F2987</f>
        <v>51.432894260782795</v>
      </c>
      <c r="H2987" s="75">
        <f>'THAM_SO_MOI'!$D$52</f>
        <v>1.1774754878398197</v>
      </c>
      <c r="I2987" s="75">
        <f>IF(F2987&gt;'THAM_SO_MOI'!$C$14,'THAM_SO_MOI'!$C$13*(1+F2987^2/1500),'THAM_SO_MOI'!$C$13)</f>
        <v>0.015</v>
      </c>
      <c r="J2987" s="75">
        <f>'THAM_SO_MOI'!$C$40*('THAM_SO_MOI'!$C$23*(E2987/'THAM_SO_MOI'!$C$22)+'THAM_SO_MOI'!$C$24*(E2987/'THAM_SO_MOI'!$C$22)^2-'THAM_SO_MOI'!$C$25*(E2987/'THAM_SO_MOI'!$C$22)^3)</f>
        <v>101.14489565409151</v>
      </c>
      <c r="K2987" s="75">
        <f>'THAM_SO_MOI'!$C$31*J2987/E2987</f>
        <v>429.8117098538429</v>
      </c>
      <c r="L2987" s="75">
        <f>K2987*'THAM_SO_MOI'!$C$52*'THAM_SO_MOI'!$C$17/'THAM_SO_MOI'!$C$26</f>
        <v>6018.750902614462</v>
      </c>
      <c r="M2987" s="75">
        <f>'THAM_SO_MOI'!$C$15*'THAM_SO_MOI'!$C$16*F2987^2</f>
        <v>597.0391311897783</v>
      </c>
      <c r="N2987" s="75">
        <f>'THAM_SO_MOI'!$C$12*I2987</f>
        <v>1130.112</v>
      </c>
      <c r="O2987" s="75">
        <f>M2987+N2987</f>
        <v>1727.1511311897784</v>
      </c>
      <c r="P2987" s="75">
        <f>(MIN(L2987,'THAM_SO_MOI'!$C$41)-O2987)/('THAM_SO_MOI'!$C$11*H2987)</f>
        <v>0.47457637916190754</v>
      </c>
      <c r="Q2987" s="75">
        <f>IF(P2987&gt;0,1/P2987,NA())</f>
        <v>2.1071423777263845</v>
      </c>
      <c r="R2987" s="75">
        <f>F2987-F2986</f>
        <v>0.007943393307218827</v>
      </c>
      <c r="S2987" s="75">
        <f>0.5*(Q2986+Q2987)*R2987</f>
        <v>0.016736300796867113</v>
      </c>
      <c r="T2987" s="75">
        <f>0.5*(F2986*Q2986+F2987*Q2987)*R2987</f>
        <v>0.23904364279708154</v>
      </c>
      <c r="U2987" s="76">
        <f>U2986+S2987</f>
        <v>22.440458778718803</v>
      </c>
      <c r="V2987" s="76">
        <f>V2986+T2987</f>
        <v>189.6161033841943</v>
      </c>
    </row>
    <row r="2988" spans="1:22" ht="19" customHeight="1">
      <c r="A2988" s="68" t="s">
        <v>376</v>
      </c>
      <c r="B2988" s="74">
        <v>4</v>
      </c>
      <c r="C2988" s="68" t="s">
        <v>363</v>
      </c>
      <c r="D2988" s="68" t="s">
        <v>364</v>
      </c>
      <c r="E2988" s="75">
        <f>60*F2988*'THAM_SO_MOI'!$C$52/(2*PI()*'THAM_SO_MOI'!$C$26)</f>
        <v>2248.849760349323</v>
      </c>
      <c r="F2988" s="75">
        <f>'HANH_TRINH'!$F$2468+('THAM_SO_MOI'!$F$52-'HANH_TRINH'!$F$2468)*519/'THAM_SO_MOI'!$C$42</f>
        <v>14.294858465746884</v>
      </c>
      <c r="G2988" s="75">
        <f>3.6*F2988</f>
        <v>51.46149047668879</v>
      </c>
      <c r="H2988" s="75">
        <f>'THAM_SO_MOI'!$D$52</f>
        <v>1.1774754878398197</v>
      </c>
      <c r="I2988" s="75">
        <f>IF(F2988&gt;'THAM_SO_MOI'!$C$14,'THAM_SO_MOI'!$C$13*(1+F2988^2/1500),'THAM_SO_MOI'!$C$13)</f>
        <v>0.015</v>
      </c>
      <c r="J2988" s="75">
        <f>'THAM_SO_MOI'!$C$40*('THAM_SO_MOI'!$C$23*(E2988/'THAM_SO_MOI'!$C$22)+'THAM_SO_MOI'!$C$24*(E2988/'THAM_SO_MOI'!$C$22)^2-'THAM_SO_MOI'!$C$25*(E2988/'THAM_SO_MOI'!$C$22)^3)</f>
        <v>101.19880319223711</v>
      </c>
      <c r="K2988" s="75">
        <f>'THAM_SO_MOI'!$C$31*J2988/E2988</f>
        <v>429.8018222009118</v>
      </c>
      <c r="L2988" s="75">
        <f>K2988*'THAM_SO_MOI'!$C$52*'THAM_SO_MOI'!$C$17/'THAM_SO_MOI'!$C$26</f>
        <v>6018.612443566836</v>
      </c>
      <c r="M2988" s="75">
        <f>'THAM_SO_MOI'!$C$15*'THAM_SO_MOI'!$C$16*F2988^2</f>
        <v>597.703212275526</v>
      </c>
      <c r="N2988" s="75">
        <f>'THAM_SO_MOI'!$C$12*I2988</f>
        <v>1130.112</v>
      </c>
      <c r="O2988" s="75">
        <f>M2988+N2988</f>
        <v>1727.815212275526</v>
      </c>
      <c r="P2988" s="75">
        <f>(MIN(L2988,'THAM_SO_MOI'!$C$41)-O2988)/('THAM_SO_MOI'!$C$11*H2988)</f>
        <v>0.47448763216523643</v>
      </c>
      <c r="Q2988" s="75">
        <f>IF(P2988&gt;0,1/P2988,NA())</f>
        <v>2.1075364924406674</v>
      </c>
      <c r="R2988" s="75">
        <f>F2988-F2987</f>
        <v>0.007943393307218827</v>
      </c>
      <c r="S2988" s="75">
        <f>0.5*(Q2987+Q2988)*R2988</f>
        <v>0.016739425964680785</v>
      </c>
      <c r="T2988" s="75">
        <f>0.5*(F2987*Q2987+F2988*Q2988)*R2988</f>
        <v>0.23922124725778604</v>
      </c>
      <c r="U2988" s="76">
        <f>U2987+S2988</f>
        <v>22.457198204683483</v>
      </c>
      <c r="V2988" s="76">
        <f>V2987+T2988</f>
        <v>189.85532463145208</v>
      </c>
    </row>
    <row r="2989" spans="1:22" ht="19" customHeight="1">
      <c r="A2989" s="68" t="s">
        <v>376</v>
      </c>
      <c r="B2989" s="74">
        <v>4</v>
      </c>
      <c r="C2989" s="68" t="s">
        <v>363</v>
      </c>
      <c r="D2989" s="68" t="s">
        <v>364</v>
      </c>
      <c r="E2989" s="75">
        <f>60*F2989*'THAM_SO_MOI'!$C$52/(2*PI()*'THAM_SO_MOI'!$C$26)</f>
        <v>2250.0994053302866</v>
      </c>
      <c r="F2989" s="75">
        <f>'HANH_TRINH'!$F$2468+('THAM_SO_MOI'!$F$52-'HANH_TRINH'!$F$2468)*520/'THAM_SO_MOI'!$C$42</f>
        <v>14.302801859054105</v>
      </c>
      <c r="G2989" s="75">
        <f>3.6*F2989</f>
        <v>51.49008669259478</v>
      </c>
      <c r="H2989" s="75">
        <f>'THAM_SO_MOI'!$D$52</f>
        <v>1.1774754878398197</v>
      </c>
      <c r="I2989" s="75">
        <f>IF(F2989&gt;'THAM_SO_MOI'!$C$14,'THAM_SO_MOI'!$C$13*(1+F2989^2/1500),'THAM_SO_MOI'!$C$13)</f>
        <v>0.015</v>
      </c>
      <c r="J2989" s="75">
        <f>'THAM_SO_MOI'!$C$40*('THAM_SO_MOI'!$C$23*(E2989/'THAM_SO_MOI'!$C$22)+'THAM_SO_MOI'!$C$24*(E2989/'THAM_SO_MOI'!$C$22)^2-'THAM_SO_MOI'!$C$25*(E2989/'THAM_SO_MOI'!$C$22)^3)</f>
        <v>101.25267245189956</v>
      </c>
      <c r="K2989" s="75">
        <f>'THAM_SO_MOI'!$C$31*J2989/E2989</f>
        <v>429.79178304825314</v>
      </c>
      <c r="L2989" s="75">
        <f>K2989*'THAM_SO_MOI'!$C$52*'THAM_SO_MOI'!$C$17/'THAM_SO_MOI'!$C$26</f>
        <v>6018.471863034152</v>
      </c>
      <c r="M2989" s="75">
        <f>'THAM_SO_MOI'!$C$15*'THAM_SO_MOI'!$C$16*F2989^2</f>
        <v>598.3676624816326</v>
      </c>
      <c r="N2989" s="75">
        <f>'THAM_SO_MOI'!$C$12*I2989</f>
        <v>1130.112</v>
      </c>
      <c r="O2989" s="75">
        <f>M2989+N2989</f>
        <v>1728.4796624816327</v>
      </c>
      <c r="P2989" s="75">
        <f>(MIN(L2989,'THAM_SO_MOI'!$C$41)-O2989)/('THAM_SO_MOI'!$C$11*H2989)</f>
        <v>0.47439860975087406</v>
      </c>
      <c r="Q2989" s="75">
        <f>IF(P2989&gt;0,1/P2989,NA())</f>
        <v>2.1079319783950052</v>
      </c>
      <c r="R2989" s="75">
        <f>F2989-F2988</f>
        <v>0.007943393307220603</v>
      </c>
      <c r="S2989" s="75">
        <f>0.5*(Q2988+Q2989)*R2989</f>
        <v>0.016742562019017776</v>
      </c>
      <c r="T2989" s="75">
        <f>0.5*(F2988*Q2988+F2989*Q2989)*R2989</f>
        <v>0.23939905703193579</v>
      </c>
      <c r="U2989" s="76">
        <f>U2988+S2989</f>
        <v>22.4739407667025</v>
      </c>
      <c r="V2989" s="76">
        <f>V2988+T2989</f>
        <v>190.094723688484</v>
      </c>
    </row>
    <row r="2990" spans="1:22" ht="19" customHeight="1">
      <c r="A2990" s="68" t="s">
        <v>376</v>
      </c>
      <c r="B2990" s="74">
        <v>4</v>
      </c>
      <c r="C2990" s="68" t="s">
        <v>363</v>
      </c>
      <c r="D2990" s="68" t="s">
        <v>364</v>
      </c>
      <c r="E2990" s="75">
        <f>60*F2990*'THAM_SO_MOI'!$C$52/(2*PI()*'THAM_SO_MOI'!$C$26)</f>
        <v>2251.34905031125</v>
      </c>
      <c r="F2990" s="75">
        <f>'HANH_TRINH'!$F$2468+('THAM_SO_MOI'!$F$52-'HANH_TRINH'!$F$2468)*521/'THAM_SO_MOI'!$C$42</f>
        <v>14.310745252361324</v>
      </c>
      <c r="G2990" s="75">
        <f>3.6*F2990</f>
        <v>51.518682908500764</v>
      </c>
      <c r="H2990" s="75">
        <f>'THAM_SO_MOI'!$D$52</f>
        <v>1.1774754878398197</v>
      </c>
      <c r="I2990" s="75">
        <f>IF(F2990&gt;'THAM_SO_MOI'!$C$14,'THAM_SO_MOI'!$C$13*(1+F2990^2/1500),'THAM_SO_MOI'!$C$13)</f>
        <v>0.015</v>
      </c>
      <c r="J2990" s="75">
        <f>'THAM_SO_MOI'!$C$40*('THAM_SO_MOI'!$C$23*(E2990/'THAM_SO_MOI'!$C$22)+'THAM_SO_MOI'!$C$24*(E2990/'THAM_SO_MOI'!$C$22)^2-'THAM_SO_MOI'!$C$25*(E2990/'THAM_SO_MOI'!$C$22)^3)</f>
        <v>101.30650337361314</v>
      </c>
      <c r="K2990" s="75">
        <f>'THAM_SO_MOI'!$C$31*J2990/E2990</f>
        <v>429.78159239586705</v>
      </c>
      <c r="L2990" s="75">
        <f>K2990*'THAM_SO_MOI'!$C$52*'THAM_SO_MOI'!$C$17/'THAM_SO_MOI'!$C$26</f>
        <v>6018.329161016406</v>
      </c>
      <c r="M2990" s="75">
        <f>'THAM_SO_MOI'!$C$15*'THAM_SO_MOI'!$C$16*F2990^2</f>
        <v>599.0324818080978</v>
      </c>
      <c r="N2990" s="75">
        <f>'THAM_SO_MOI'!$C$12*I2990</f>
        <v>1130.112</v>
      </c>
      <c r="O2990" s="75">
        <f>M2990+N2990</f>
        <v>1729.144481808098</v>
      </c>
      <c r="P2990" s="75">
        <f>(MIN(L2990,'THAM_SO_MOI'!$C$41)-O2990)/('THAM_SO_MOI'!$C$11*H2990)</f>
        <v>0.47430931191882003</v>
      </c>
      <c r="Q2990" s="75">
        <f>IF(P2990&gt;0,1/P2990,NA())</f>
        <v>2.1083288370504394</v>
      </c>
      <c r="R2990" s="75">
        <f>F2990-F2989</f>
        <v>0.007943393307218827</v>
      </c>
      <c r="S2990" s="75">
        <f>0.5*(Q2989+Q2990)*R2990</f>
        <v>0.01674570897144917</v>
      </c>
      <c r="T2990" s="75">
        <f>0.5*(F2989*Q2989+F2990*Q2990)*R2990</f>
        <v>0.2395770725445034</v>
      </c>
      <c r="U2990" s="76">
        <f>U2989+S2990</f>
        <v>22.49068647567395</v>
      </c>
      <c r="V2990" s="76">
        <f>V2989+T2990</f>
        <v>190.33430076102852</v>
      </c>
    </row>
    <row r="2991" spans="1:22" ht="19" customHeight="1">
      <c r="A2991" s="68" t="s">
        <v>376</v>
      </c>
      <c r="B2991" s="74">
        <v>4</v>
      </c>
      <c r="C2991" s="68" t="s">
        <v>363</v>
      </c>
      <c r="D2991" s="68" t="s">
        <v>364</v>
      </c>
      <c r="E2991" s="75">
        <f>60*F2991*'THAM_SO_MOI'!$C$52/(2*PI()*'THAM_SO_MOI'!$C$26)</f>
        <v>2252.5986952922135</v>
      </c>
      <c r="F2991" s="75">
        <f>'HANH_TRINH'!$F$2468+('THAM_SO_MOI'!$F$52-'HANH_TRINH'!$F$2468)*522/'THAM_SO_MOI'!$C$42</f>
        <v>14.318688645668544</v>
      </c>
      <c r="G2991" s="75">
        <f>3.6*F2991</f>
        <v>51.547279124406764</v>
      </c>
      <c r="H2991" s="75">
        <f>'THAM_SO_MOI'!$D$52</f>
        <v>1.1774754878398197</v>
      </c>
      <c r="I2991" s="75">
        <f>IF(F2991&gt;'THAM_SO_MOI'!$C$14,'THAM_SO_MOI'!$C$13*(1+F2991^2/1500),'THAM_SO_MOI'!$C$13)</f>
        <v>0.015</v>
      </c>
      <c r="J2991" s="75">
        <f>'THAM_SO_MOI'!$C$40*('THAM_SO_MOI'!$C$23*(E2991/'THAM_SO_MOI'!$C$22)+'THAM_SO_MOI'!$C$24*(E2991/'THAM_SO_MOI'!$C$22)^2-'THAM_SO_MOI'!$C$25*(E2991/'THAM_SO_MOI'!$C$22)^3)</f>
        <v>101.36029589791218</v>
      </c>
      <c r="K2991" s="75">
        <f>'THAM_SO_MOI'!$C$31*J2991/E2991</f>
        <v>429.77125024375346</v>
      </c>
      <c r="L2991" s="75">
        <f>K2991*'THAM_SO_MOI'!$C$52*'THAM_SO_MOI'!$C$17/'THAM_SO_MOI'!$C$26</f>
        <v>6018.184337513599</v>
      </c>
      <c r="M2991" s="75">
        <f>'THAM_SO_MOI'!$C$15*'THAM_SO_MOI'!$C$16*F2991^2</f>
        <v>599.6976702549222</v>
      </c>
      <c r="N2991" s="75">
        <f>'THAM_SO_MOI'!$C$12*I2991</f>
        <v>1130.112</v>
      </c>
      <c r="O2991" s="75">
        <f>M2991+N2991</f>
        <v>1729.8096702549224</v>
      </c>
      <c r="P2991" s="75">
        <f>(MIN(L2991,'THAM_SO_MOI'!$C$41)-O2991)/('THAM_SO_MOI'!$C$11*H2991)</f>
        <v>0.47421973866907446</v>
      </c>
      <c r="Q2991" s="75">
        <f>IF(P2991&gt;0,1/P2991,NA())</f>
        <v>2.1087270698738916</v>
      </c>
      <c r="R2991" s="75">
        <f>F2991-F2990</f>
        <v>0.007943393307220603</v>
      </c>
      <c r="S2991" s="75">
        <f>0.5*(Q2990+Q2991)*R2991</f>
        <v>0.01674886683361892</v>
      </c>
      <c r="T2991" s="75">
        <f>0.5*(F2990*Q2990+F2991*Q2991)*R2991</f>
        <v>0.23975529422187247</v>
      </c>
      <c r="U2991" s="76">
        <f>U2990+S2991</f>
        <v>22.50743534250757</v>
      </c>
      <c r="V2991" s="76">
        <f>V2990+T2991</f>
        <v>190.5740560552504</v>
      </c>
    </row>
    <row r="2992" spans="1:22" ht="19" customHeight="1">
      <c r="A2992" s="68" t="s">
        <v>376</v>
      </c>
      <c r="B2992" s="74">
        <v>4</v>
      </c>
      <c r="C2992" s="68" t="s">
        <v>363</v>
      </c>
      <c r="D2992" s="68" t="s">
        <v>364</v>
      </c>
      <c r="E2992" s="75">
        <f>60*F2992*'THAM_SO_MOI'!$C$52/(2*PI()*'THAM_SO_MOI'!$C$26)</f>
        <v>2253.8483402731763</v>
      </c>
      <c r="F2992" s="75">
        <f>'HANH_TRINH'!$F$2468+('THAM_SO_MOI'!$F$52-'HANH_TRINH'!$F$2468)*523/'THAM_SO_MOI'!$C$42</f>
        <v>14.326632038975763</v>
      </c>
      <c r="G2992" s="75">
        <f>3.6*F2992</f>
        <v>51.57587534031275</v>
      </c>
      <c r="H2992" s="75">
        <f>'THAM_SO_MOI'!$D$52</f>
        <v>1.1774754878398197</v>
      </c>
      <c r="I2992" s="75">
        <f>IF(F2992&gt;'THAM_SO_MOI'!$C$14,'THAM_SO_MOI'!$C$13*(1+F2992^2/1500),'THAM_SO_MOI'!$C$13)</f>
        <v>0.015</v>
      </c>
      <c r="J2992" s="75">
        <f>'THAM_SO_MOI'!$C$40*('THAM_SO_MOI'!$C$23*(E2992/'THAM_SO_MOI'!$C$22)+'THAM_SO_MOI'!$C$24*(E2992/'THAM_SO_MOI'!$C$22)^2-'THAM_SO_MOI'!$C$25*(E2992/'THAM_SO_MOI'!$C$22)^3)</f>
        <v>101.414049965331</v>
      </c>
      <c r="K2992" s="75">
        <f>'THAM_SO_MOI'!$C$31*J2992/E2992</f>
        <v>429.7607565919125</v>
      </c>
      <c r="L2992" s="75">
        <f>K2992*'THAM_SO_MOI'!$C$52*'THAM_SO_MOI'!$C$17/'THAM_SO_MOI'!$C$26</f>
        <v>6018.037392525732</v>
      </c>
      <c r="M2992" s="75">
        <f>'THAM_SO_MOI'!$C$15*'THAM_SO_MOI'!$C$16*F2992^2</f>
        <v>600.3632278221049</v>
      </c>
      <c r="N2992" s="75">
        <f>'THAM_SO_MOI'!$C$12*I2992</f>
        <v>1130.112</v>
      </c>
      <c r="O2992" s="75">
        <f>M2992+N2992</f>
        <v>1730.475227822105</v>
      </c>
      <c r="P2992" s="75">
        <f>(MIN(L2992,'THAM_SO_MOI'!$C$41)-O2992)/('THAM_SO_MOI'!$C$11*H2992)</f>
        <v>0.47412989000163747</v>
      </c>
      <c r="Q2992" s="75">
        <f>IF(P2992&gt;0,1/P2992,NA())</f>
        <v>2.1091266783381792</v>
      </c>
      <c r="R2992" s="75">
        <f>F2992-F2991</f>
        <v>0.007943393307218827</v>
      </c>
      <c r="S2992" s="75">
        <f>0.5*(Q2991+Q2992)*R2992</f>
        <v>0.016752035617187803</v>
      </c>
      <c r="T2992" s="75">
        <f>0.5*(F2991*Q2991+F2992*Q2992)*R2992</f>
        <v>0.23993372249103745</v>
      </c>
      <c r="U2992" s="76">
        <f>U2991+S2992</f>
        <v>22.524187378124758</v>
      </c>
      <c r="V2992" s="76">
        <f>V2991+T2992</f>
        <v>190.81398977774143</v>
      </c>
    </row>
    <row r="2993" spans="1:22" ht="19" customHeight="1">
      <c r="A2993" s="68" t="s">
        <v>376</v>
      </c>
      <c r="B2993" s="74">
        <v>4</v>
      </c>
      <c r="C2993" s="68" t="s">
        <v>363</v>
      </c>
      <c r="D2993" s="68" t="s">
        <v>364</v>
      </c>
      <c r="E2993" s="75">
        <f>60*F2993*'THAM_SO_MOI'!$C$52/(2*PI()*'THAM_SO_MOI'!$C$26)</f>
        <v>2255.0979852541395</v>
      </c>
      <c r="F2993" s="75">
        <f>'HANH_TRINH'!$F$2468+('THAM_SO_MOI'!$F$52-'HANH_TRINH'!$F$2468)*524/'THAM_SO_MOI'!$C$42</f>
        <v>14.334575432282982</v>
      </c>
      <c r="G2993" s="75">
        <f>3.6*F2993</f>
        <v>51.60447155621873</v>
      </c>
      <c r="H2993" s="75">
        <f>'THAM_SO_MOI'!$D$52</f>
        <v>1.1774754878398197</v>
      </c>
      <c r="I2993" s="75">
        <f>IF(F2993&gt;'THAM_SO_MOI'!$C$14,'THAM_SO_MOI'!$C$13*(1+F2993^2/1500),'THAM_SO_MOI'!$C$13)</f>
        <v>0.015</v>
      </c>
      <c r="J2993" s="75">
        <f>'THAM_SO_MOI'!$C$40*('THAM_SO_MOI'!$C$23*(E2993/'THAM_SO_MOI'!$C$22)+'THAM_SO_MOI'!$C$24*(E2993/'THAM_SO_MOI'!$C$22)^2-'THAM_SO_MOI'!$C$25*(E2993/'THAM_SO_MOI'!$C$22)^3)</f>
        <v>101.46776551640386</v>
      </c>
      <c r="K2993" s="75">
        <f>'THAM_SO_MOI'!$C$31*J2993/E2993</f>
        <v>429.7501114403438</v>
      </c>
      <c r="L2993" s="75">
        <f>K2993*'THAM_SO_MOI'!$C$52*'THAM_SO_MOI'!$C$17/'THAM_SO_MOI'!$C$26</f>
        <v>6017.888326052801</v>
      </c>
      <c r="M2993" s="75">
        <f>'THAM_SO_MOI'!$C$15*'THAM_SO_MOI'!$C$16*F2993^2</f>
        <v>601.0291545096467</v>
      </c>
      <c r="N2993" s="75">
        <f>'THAM_SO_MOI'!$C$12*I2993</f>
        <v>1130.112</v>
      </c>
      <c r="O2993" s="75">
        <f>M2993+N2993</f>
        <v>1731.1411545096466</v>
      </c>
      <c r="P2993" s="75">
        <f>(MIN(L2993,'THAM_SO_MOI'!$C$41)-O2993)/('THAM_SO_MOI'!$C$11*H2993)</f>
        <v>0.4740397659165086</v>
      </c>
      <c r="Q2993" s="75">
        <f>IF(P2993&gt;0,1/P2993,NA())</f>
        <v>2.1095276639220337</v>
      </c>
      <c r="R2993" s="75">
        <f>F2993-F2992</f>
        <v>0.007943393307218827</v>
      </c>
      <c r="S2993" s="75">
        <f>0.5*(Q2992+Q2993)*R2993</f>
        <v>0.016755215333889708</v>
      </c>
      <c r="T2993" s="75">
        <f>0.5*(F2992*Q2992+F2993*Q2993)*R2993</f>
        <v>0.2401123577804111</v>
      </c>
      <c r="U2993" s="76">
        <f>U2992+S2993</f>
        <v>22.54094259345865</v>
      </c>
      <c r="V2993" s="76">
        <f>V2992+T2993</f>
        <v>191.05410213552184</v>
      </c>
    </row>
    <row r="2994" spans="1:22" ht="19" customHeight="1">
      <c r="A2994" s="68" t="s">
        <v>376</v>
      </c>
      <c r="B2994" s="74">
        <v>4</v>
      </c>
      <c r="C2994" s="68" t="s">
        <v>363</v>
      </c>
      <c r="D2994" s="68" t="s">
        <v>364</v>
      </c>
      <c r="E2994" s="75">
        <f>60*F2994*'THAM_SO_MOI'!$C$52/(2*PI()*'THAM_SO_MOI'!$C$26)</f>
        <v>2256.3476302351028</v>
      </c>
      <c r="F2994" s="75">
        <f>'HANH_TRINH'!$F$2468+('THAM_SO_MOI'!$F$52-'HANH_TRINH'!$F$2468)*525/'THAM_SO_MOI'!$C$42</f>
        <v>14.3425188255902</v>
      </c>
      <c r="G2994" s="75">
        <f>3.6*F2994</f>
        <v>51.633067772124726</v>
      </c>
      <c r="H2994" s="75">
        <f>'THAM_SO_MOI'!$D$52</f>
        <v>1.1774754878398197</v>
      </c>
      <c r="I2994" s="75">
        <f>IF(F2994&gt;'THAM_SO_MOI'!$C$14,'THAM_SO_MOI'!$C$13*(1+F2994^2/1500),'THAM_SO_MOI'!$C$13)</f>
        <v>0.015</v>
      </c>
      <c r="J2994" s="75">
        <f>'THAM_SO_MOI'!$C$40*('THAM_SO_MOI'!$C$23*(E2994/'THAM_SO_MOI'!$C$22)+'THAM_SO_MOI'!$C$24*(E2994/'THAM_SO_MOI'!$C$22)^2-'THAM_SO_MOI'!$C$25*(E2994/'THAM_SO_MOI'!$C$22)^3)</f>
        <v>101.52144249166516</v>
      </c>
      <c r="K2994" s="75">
        <f>'THAM_SO_MOI'!$C$31*J2994/E2994</f>
        <v>429.7393147890478</v>
      </c>
      <c r="L2994" s="75">
        <f>K2994*'THAM_SO_MOI'!$C$52*'THAM_SO_MOI'!$C$17/'THAM_SO_MOI'!$C$26</f>
        <v>6017.73713809481</v>
      </c>
      <c r="M2994" s="75">
        <f>'THAM_SO_MOI'!$C$15*'THAM_SO_MOI'!$C$16*F2994^2</f>
        <v>601.6954503175473</v>
      </c>
      <c r="N2994" s="75">
        <f>'THAM_SO_MOI'!$C$12*I2994</f>
        <v>1130.112</v>
      </c>
      <c r="O2994" s="75">
        <f>M2994+N2994</f>
        <v>1731.8074503175474</v>
      </c>
      <c r="P2994" s="75">
        <f>(MIN(L2994,'THAM_SO_MOI'!$C$41)-O2994)/('THAM_SO_MOI'!$C$11*H2994)</f>
        <v>0.4739493664136883</v>
      </c>
      <c r="Q2994" s="75">
        <f>IF(P2994&gt;0,1/P2994,NA())</f>
        <v>2.1099300281101057</v>
      </c>
      <c r="R2994" s="75">
        <f>F2994-F2993</f>
        <v>0.007943393307218827</v>
      </c>
      <c r="S2994" s="75">
        <f>0.5*(Q2993+Q2994)*R2994</f>
        <v>0.016758405995490548</v>
      </c>
      <c r="T2994" s="75">
        <f>0.5*(F2993*Q2993+F2994*Q2994)*R2994</f>
        <v>0.24029120051923805</v>
      </c>
      <c r="U2994" s="76">
        <f>U2993+S2994</f>
        <v>22.557700999454138</v>
      </c>
      <c r="V2994" s="76">
        <f>V2993+T2994</f>
        <v>191.29439333604108</v>
      </c>
    </row>
    <row r="2995" spans="1:22" ht="19" customHeight="1">
      <c r="A2995" s="68" t="s">
        <v>376</v>
      </c>
      <c r="B2995" s="74">
        <v>4</v>
      </c>
      <c r="C2995" s="68" t="s">
        <v>363</v>
      </c>
      <c r="D2995" s="68" t="s">
        <v>364</v>
      </c>
      <c r="E2995" s="75">
        <f>60*F2995*'THAM_SO_MOI'!$C$52/(2*PI()*'THAM_SO_MOI'!$C$26)</f>
        <v>2257.597275216066</v>
      </c>
      <c r="F2995" s="75">
        <f>'HANH_TRINH'!$F$2468+('THAM_SO_MOI'!$F$52-'HANH_TRINH'!$F$2468)*526/'THAM_SO_MOI'!$C$42</f>
        <v>14.350462218897421</v>
      </c>
      <c r="G2995" s="75">
        <f>3.6*F2995</f>
        <v>51.66166398803072</v>
      </c>
      <c r="H2995" s="75">
        <f>'THAM_SO_MOI'!$D$52</f>
        <v>1.1774754878398197</v>
      </c>
      <c r="I2995" s="75">
        <f>IF(F2995&gt;'THAM_SO_MOI'!$C$14,'THAM_SO_MOI'!$C$13*(1+F2995^2/1500),'THAM_SO_MOI'!$C$13)</f>
        <v>0.015</v>
      </c>
      <c r="J2995" s="75">
        <f>'THAM_SO_MOI'!$C$40*('THAM_SO_MOI'!$C$23*(E2995/'THAM_SO_MOI'!$C$22)+'THAM_SO_MOI'!$C$24*(E2995/'THAM_SO_MOI'!$C$22)^2-'THAM_SO_MOI'!$C$25*(E2995/'THAM_SO_MOI'!$C$22)^3)</f>
        <v>101.57508083164916</v>
      </c>
      <c r="K2995" s="75">
        <f>'THAM_SO_MOI'!$C$31*J2995/E2995</f>
        <v>429.7283666380242</v>
      </c>
      <c r="L2995" s="75">
        <f>K2995*'THAM_SO_MOI'!$C$52*'THAM_SO_MOI'!$C$17/'THAM_SO_MOI'!$C$26</f>
        <v>6017.583828651758</v>
      </c>
      <c r="M2995" s="75">
        <f>'THAM_SO_MOI'!$C$15*'THAM_SO_MOI'!$C$16*F2995^2</f>
        <v>602.3621152458069</v>
      </c>
      <c r="N2995" s="75">
        <f>'THAM_SO_MOI'!$C$12*I2995</f>
        <v>1130.112</v>
      </c>
      <c r="O2995" s="75">
        <f>M2995+N2995</f>
        <v>1732.4741152458068</v>
      </c>
      <c r="P2995" s="75">
        <f>(MIN(L2995,'THAM_SO_MOI'!$C$41)-O2995)/('THAM_SO_MOI'!$C$11*H2995)</f>
        <v>0.47385869149317644</v>
      </c>
      <c r="Q2995" s="75">
        <f>IF(P2995&gt;0,1/P2995,NA())</f>
        <v>2.1103337723929876</v>
      </c>
      <c r="R2995" s="75">
        <f>F2995-F2994</f>
        <v>0.007943393307220603</v>
      </c>
      <c r="S2995" s="75">
        <f>0.5*(Q2994+Q2995)*R2995</f>
        <v>0.01676160761381083</v>
      </c>
      <c r="T2995" s="75">
        <f>0.5*(F2994*Q2994+F2995*Q2995)*R2995</f>
        <v>0.2404702511379202</v>
      </c>
      <c r="U2995" s="76">
        <f>U2994+S2995</f>
        <v>22.57446260706795</v>
      </c>
      <c r="V2995" s="76">
        <f>V2994+T2995</f>
        <v>191.534863587179</v>
      </c>
    </row>
    <row r="2996" spans="1:22" ht="19" customHeight="1">
      <c r="A2996" s="68" t="s">
        <v>376</v>
      </c>
      <c r="B2996" s="74">
        <v>4</v>
      </c>
      <c r="C2996" s="68" t="s">
        <v>363</v>
      </c>
      <c r="D2996" s="68" t="s">
        <v>364</v>
      </c>
      <c r="E2996" s="75">
        <f>60*F2996*'THAM_SO_MOI'!$C$52/(2*PI()*'THAM_SO_MOI'!$C$26)</f>
        <v>2258.8469201970297</v>
      </c>
      <c r="F2996" s="75">
        <f>'HANH_TRINH'!$F$2468+('THAM_SO_MOI'!$F$52-'HANH_TRINH'!$F$2468)*527/'THAM_SO_MOI'!$C$42</f>
        <v>14.358405612204642</v>
      </c>
      <c r="G2996" s="75">
        <f>3.6*F2996</f>
        <v>51.69026020393671</v>
      </c>
      <c r="H2996" s="75">
        <f>'THAM_SO_MOI'!$D$52</f>
        <v>1.1774754878398197</v>
      </c>
      <c r="I2996" s="75">
        <f>IF(F2996&gt;'THAM_SO_MOI'!$C$14,'THAM_SO_MOI'!$C$13*(1+F2996^2/1500),'THAM_SO_MOI'!$C$13)</f>
        <v>0.015</v>
      </c>
      <c r="J2996" s="75">
        <f>'THAM_SO_MOI'!$C$40*('THAM_SO_MOI'!$C$23*(E2996/'THAM_SO_MOI'!$C$22)+'THAM_SO_MOI'!$C$24*(E2996/'THAM_SO_MOI'!$C$22)^2-'THAM_SO_MOI'!$C$25*(E2996/'THAM_SO_MOI'!$C$22)^3)</f>
        <v>101.62868047689022</v>
      </c>
      <c r="K2996" s="75">
        <f>'THAM_SO_MOI'!$C$31*J2996/E2996</f>
        <v>429.7172669872733</v>
      </c>
      <c r="L2996" s="75">
        <f>K2996*'THAM_SO_MOI'!$C$52*'THAM_SO_MOI'!$C$17/'THAM_SO_MOI'!$C$26</f>
        <v>6017.428397723646</v>
      </c>
      <c r="M2996" s="75">
        <f>'THAM_SO_MOI'!$C$15*'THAM_SO_MOI'!$C$16*F2996^2</f>
        <v>603.0291492944251</v>
      </c>
      <c r="N2996" s="75">
        <f>'THAM_SO_MOI'!$C$12*I2996</f>
        <v>1130.112</v>
      </c>
      <c r="O2996" s="75">
        <f>M2996+N2996</f>
        <v>1733.1411492944253</v>
      </c>
      <c r="P2996" s="75">
        <f>(MIN(L2996,'THAM_SO_MOI'!$C$41)-O2996)/('THAM_SO_MOI'!$C$11*H2996)</f>
        <v>0.4737677411549732</v>
      </c>
      <c r="Q2996" s="75">
        <f>IF(P2996&gt;0,1/P2996,NA())</f>
        <v>2.110738898267225</v>
      </c>
      <c r="R2996" s="75">
        <f>F2996-F2995</f>
        <v>0.007943393307220603</v>
      </c>
      <c r="S2996" s="75">
        <f>0.5*(Q2995+Q2996)*R2996</f>
        <v>0.016764820200707065</v>
      </c>
      <c r="T2996" s="75">
        <f>0.5*(F2995*Q2995+F2996*Q2996)*R2996</f>
        <v>0.24064951006775173</v>
      </c>
      <c r="U2996" s="76">
        <f>U2995+S2996</f>
        <v>22.591227427268656</v>
      </c>
      <c r="V2996" s="76">
        <f>V2995+T2996</f>
        <v>191.77551309724674</v>
      </c>
    </row>
    <row r="2997" spans="1:22" ht="19" customHeight="1">
      <c r="A2997" s="68" t="s">
        <v>376</v>
      </c>
      <c r="B2997" s="74">
        <v>4</v>
      </c>
      <c r="C2997" s="68" t="s">
        <v>363</v>
      </c>
      <c r="D2997" s="68" t="s">
        <v>364</v>
      </c>
      <c r="E2997" s="75">
        <f>60*F2997*'THAM_SO_MOI'!$C$52/(2*PI()*'THAM_SO_MOI'!$C$26)</f>
        <v>2260.0965651779925</v>
      </c>
      <c r="F2997" s="75">
        <f>'HANH_TRINH'!$F$2468+('THAM_SO_MOI'!$F$52-'HANH_TRINH'!$F$2468)*528/'THAM_SO_MOI'!$C$42</f>
        <v>14.36634900551186</v>
      </c>
      <c r="G2997" s="75">
        <f>3.6*F2997</f>
        <v>51.7188564198427</v>
      </c>
      <c r="H2997" s="75">
        <f>'THAM_SO_MOI'!$D$52</f>
        <v>1.1774754878398197</v>
      </c>
      <c r="I2997" s="75">
        <f>IF(F2997&gt;'THAM_SO_MOI'!$C$14,'THAM_SO_MOI'!$C$13*(1+F2997^2/1500),'THAM_SO_MOI'!$C$13)</f>
        <v>0.015</v>
      </c>
      <c r="J2997" s="75">
        <f>'THAM_SO_MOI'!$C$40*('THAM_SO_MOI'!$C$23*(E2997/'THAM_SO_MOI'!$C$22)+'THAM_SO_MOI'!$C$24*(E2997/'THAM_SO_MOI'!$C$22)^2-'THAM_SO_MOI'!$C$25*(E2997/'THAM_SO_MOI'!$C$22)^3)</f>
        <v>101.68224136792257</v>
      </c>
      <c r="K2997" s="75">
        <f>'THAM_SO_MOI'!$C$31*J2997/E2997</f>
        <v>429.70601583679485</v>
      </c>
      <c r="L2997" s="75">
        <f>K2997*'THAM_SO_MOI'!$C$52*'THAM_SO_MOI'!$C$17/'THAM_SO_MOI'!$C$26</f>
        <v>6017.270845310473</v>
      </c>
      <c r="M2997" s="75">
        <f>'THAM_SO_MOI'!$C$15*'THAM_SO_MOI'!$C$16*F2997^2</f>
        <v>603.6965524634021</v>
      </c>
      <c r="N2997" s="75">
        <f>'THAM_SO_MOI'!$C$12*I2997</f>
        <v>1130.112</v>
      </c>
      <c r="O2997" s="75">
        <f>M2997+N2997</f>
        <v>1733.808552463402</v>
      </c>
      <c r="P2997" s="75">
        <f>(MIN(L2997,'THAM_SO_MOI'!$C$41)-O2997)/('THAM_SO_MOI'!$C$11*H2997)</f>
        <v>0.4736765153990784</v>
      </c>
      <c r="Q2997" s="75">
        <f>IF(P2997&gt;0,1/P2997,NA())</f>
        <v>2.1111454072353313</v>
      </c>
      <c r="R2997" s="75">
        <f>F2997-F2996</f>
        <v>0.007943393307218827</v>
      </c>
      <c r="S2997" s="75">
        <f>0.5*(Q2996+Q2997)*R2997</f>
        <v>0.016768043768090605</v>
      </c>
      <c r="T2997" s="75">
        <f>0.5*(F2996*Q2996+F2997*Q2997)*R2997</f>
        <v>0.24082897774119114</v>
      </c>
      <c r="U2997" s="76">
        <f>U2996+S2997</f>
        <v>22.607995471036748</v>
      </c>
      <c r="V2997" s="76">
        <f>V2996+T2997</f>
        <v>192.01634207498793</v>
      </c>
    </row>
    <row r="2998" spans="1:22" ht="19" customHeight="1">
      <c r="A2998" s="68" t="s">
        <v>376</v>
      </c>
      <c r="B2998" s="74">
        <v>4</v>
      </c>
      <c r="C2998" s="68" t="s">
        <v>363</v>
      </c>
      <c r="D2998" s="68" t="s">
        <v>364</v>
      </c>
      <c r="E2998" s="75">
        <f>60*F2998*'THAM_SO_MOI'!$C$52/(2*PI()*'THAM_SO_MOI'!$C$26)</f>
        <v>2261.3462101589557</v>
      </c>
      <c r="F2998" s="75">
        <f>'HANH_TRINH'!$F$2468+('THAM_SO_MOI'!$F$52-'HANH_TRINH'!$F$2468)*529/'THAM_SO_MOI'!$C$42</f>
        <v>14.37429239881908</v>
      </c>
      <c r="G2998" s="75">
        <f>3.6*F2998</f>
        <v>51.74745263574869</v>
      </c>
      <c r="H2998" s="75">
        <f>'THAM_SO_MOI'!$D$52</f>
        <v>1.1774754878398197</v>
      </c>
      <c r="I2998" s="75">
        <f>IF(F2998&gt;'THAM_SO_MOI'!$C$14,'THAM_SO_MOI'!$C$13*(1+F2998^2/1500),'THAM_SO_MOI'!$C$13)</f>
        <v>0.015</v>
      </c>
      <c r="J2998" s="75">
        <f>'THAM_SO_MOI'!$C$40*('THAM_SO_MOI'!$C$23*(E2998/'THAM_SO_MOI'!$C$22)+'THAM_SO_MOI'!$C$24*(E2998/'THAM_SO_MOI'!$C$22)^2-'THAM_SO_MOI'!$C$25*(E2998/'THAM_SO_MOI'!$C$22)^3)</f>
        <v>101.73576344528063</v>
      </c>
      <c r="K2998" s="75">
        <f>'THAM_SO_MOI'!$C$31*J2998/E2998</f>
        <v>429.694613186589</v>
      </c>
      <c r="L2998" s="75">
        <f>K2998*'THAM_SO_MOI'!$C$52*'THAM_SO_MOI'!$C$17/'THAM_SO_MOI'!$C$26</f>
        <v>6017.111171412239</v>
      </c>
      <c r="M2998" s="75">
        <f>'THAM_SO_MOI'!$C$15*'THAM_SO_MOI'!$C$16*F2998^2</f>
        <v>604.364324752738</v>
      </c>
      <c r="N2998" s="75">
        <f>'THAM_SO_MOI'!$C$12*I2998</f>
        <v>1130.112</v>
      </c>
      <c r="O2998" s="75">
        <f>M2998+N2998</f>
        <v>1734.476324752738</v>
      </c>
      <c r="P2998" s="75">
        <f>(MIN(L2998,'THAM_SO_MOI'!$C$41)-O2998)/('THAM_SO_MOI'!$C$11*H2998)</f>
        <v>0.4735850142254921</v>
      </c>
      <c r="Q2998" s="75">
        <f>IF(P2998&gt;0,1/P2998,NA())</f>
        <v>2.111553300805801</v>
      </c>
      <c r="R2998" s="75">
        <f>F2998-F2997</f>
        <v>0.007943393307218827</v>
      </c>
      <c r="S2998" s="75">
        <f>0.5*(Q2997+Q2998)*R2998</f>
        <v>0.01677127832792776</v>
      </c>
      <c r="T2998" s="75">
        <f>0.5*(F2997*Q2997+F2998*Q2998)*R2998</f>
        <v>0.2410086545918652</v>
      </c>
      <c r="U2998" s="76">
        <f>U2997+S2998</f>
        <v>22.624766749364674</v>
      </c>
      <c r="V2998" s="76">
        <f>V2997+T2998</f>
        <v>192.2573507295798</v>
      </c>
    </row>
    <row r="2999" spans="1:22" ht="19" customHeight="1">
      <c r="A2999" s="68" t="s">
        <v>376</v>
      </c>
      <c r="B2999" s="74">
        <v>4</v>
      </c>
      <c r="C2999" s="68" t="s">
        <v>363</v>
      </c>
      <c r="D2999" s="68" t="s">
        <v>364</v>
      </c>
      <c r="E2999" s="75">
        <f>60*F2999*'THAM_SO_MOI'!$C$52/(2*PI()*'THAM_SO_MOI'!$C$26)</f>
        <v>2262.595855139919</v>
      </c>
      <c r="F2999" s="75">
        <f>'HANH_TRINH'!$F$2468+('THAM_SO_MOI'!$F$52-'HANH_TRINH'!$F$2468)*530/'THAM_SO_MOI'!$C$42</f>
        <v>14.382235792126298</v>
      </c>
      <c r="G2999" s="75">
        <f>3.6*F2999</f>
        <v>51.77604885165468</v>
      </c>
      <c r="H2999" s="75">
        <f>'THAM_SO_MOI'!$D$52</f>
        <v>1.1774754878398197</v>
      </c>
      <c r="I2999" s="75">
        <f>IF(F2999&gt;'THAM_SO_MOI'!$C$14,'THAM_SO_MOI'!$C$13*(1+F2999^2/1500),'THAM_SO_MOI'!$C$13)</f>
        <v>0.015</v>
      </c>
      <c r="J2999" s="75">
        <f>'THAM_SO_MOI'!$C$40*('THAM_SO_MOI'!$C$23*(E2999/'THAM_SO_MOI'!$C$22)+'THAM_SO_MOI'!$C$24*(E2999/'THAM_SO_MOI'!$C$22)^2-'THAM_SO_MOI'!$C$25*(E2999/'THAM_SO_MOI'!$C$22)^3)</f>
        <v>101.78924664949864</v>
      </c>
      <c r="K2999" s="75">
        <f>'THAM_SO_MOI'!$C$31*J2999/E2999</f>
        <v>429.6830590366556</v>
      </c>
      <c r="L2999" s="75">
        <f>K2999*'THAM_SO_MOI'!$C$52*'THAM_SO_MOI'!$C$17/'THAM_SO_MOI'!$C$26</f>
        <v>6016.949376028944</v>
      </c>
      <c r="M2999" s="75">
        <f>'THAM_SO_MOI'!$C$15*'THAM_SO_MOI'!$C$16*F2999^2</f>
        <v>605.0324661624325</v>
      </c>
      <c r="N2999" s="75">
        <f>'THAM_SO_MOI'!$C$12*I2999</f>
        <v>1130.112</v>
      </c>
      <c r="O2999" s="75">
        <f>M2999+N2999</f>
        <v>1735.1444661624325</v>
      </c>
      <c r="P2999" s="75">
        <f>(MIN(L2999,'THAM_SO_MOI'!$C$41)-O2999)/('THAM_SO_MOI'!$C$11*H2999)</f>
        <v>0.4734932376342142</v>
      </c>
      <c r="Q2999" s="75">
        <f>IF(P2999&gt;0,1/P2999,NA())</f>
        <v>2.111962580493126</v>
      </c>
      <c r="R2999" s="75">
        <f>F2999-F2998</f>
        <v>0.007943393307218827</v>
      </c>
      <c r="S2999" s="75">
        <f>0.5*(Q2998+Q2999)*R2999</f>
        <v>0.01677452389222116</v>
      </c>
      <c r="T2999" s="75">
        <f>0.5*(F2998*Q2998+F2999*Q2999)*R2999</f>
        <v>0.2411885410543033</v>
      </c>
      <c r="U2999" s="76">
        <f>U2998+S2999</f>
        <v>22.641541273256895</v>
      </c>
      <c r="V2999" s="76">
        <f>V2998+T2999</f>
        <v>192.4985392706341</v>
      </c>
    </row>
    <row r="3000" spans="1:22" ht="19" customHeight="1">
      <c r="A3000" s="68" t="s">
        <v>376</v>
      </c>
      <c r="B3000" s="74">
        <v>4</v>
      </c>
      <c r="C3000" s="68" t="s">
        <v>363</v>
      </c>
      <c r="D3000" s="68" t="s">
        <v>364</v>
      </c>
      <c r="E3000" s="75">
        <f>60*F3000*'THAM_SO_MOI'!$C$52/(2*PI()*'THAM_SO_MOI'!$C$26)</f>
        <v>2263.845500120882</v>
      </c>
      <c r="F3000" s="75">
        <f>'HANH_TRINH'!$F$2468+('THAM_SO_MOI'!$F$52-'HANH_TRINH'!$F$2468)*531/'THAM_SO_MOI'!$C$42</f>
        <v>14.390179185433517</v>
      </c>
      <c r="G3000" s="75">
        <f>3.6*F3000</f>
        <v>51.804645067560664</v>
      </c>
      <c r="H3000" s="75">
        <f>'THAM_SO_MOI'!$D$52</f>
        <v>1.1774754878398197</v>
      </c>
      <c r="I3000" s="75">
        <f>IF(F3000&gt;'THAM_SO_MOI'!$C$14,'THAM_SO_MOI'!$C$13*(1+F3000^2/1500),'THAM_SO_MOI'!$C$13)</f>
        <v>0.015</v>
      </c>
      <c r="J3000" s="75">
        <f>'THAM_SO_MOI'!$C$40*('THAM_SO_MOI'!$C$23*(E3000/'THAM_SO_MOI'!$C$22)+'THAM_SO_MOI'!$C$24*(E3000/'THAM_SO_MOI'!$C$22)^2-'THAM_SO_MOI'!$C$25*(E3000/'THAM_SO_MOI'!$C$22)^3)</f>
        <v>101.84269092111091</v>
      </c>
      <c r="K3000" s="75">
        <f>'THAM_SO_MOI'!$C$31*J3000/E3000</f>
        <v>429.6713533869947</v>
      </c>
      <c r="L3000" s="75">
        <f>K3000*'THAM_SO_MOI'!$C$52*'THAM_SO_MOI'!$C$17/'THAM_SO_MOI'!$C$26</f>
        <v>6016.785459160588</v>
      </c>
      <c r="M3000" s="75">
        <f>'THAM_SO_MOI'!$C$15*'THAM_SO_MOI'!$C$16*F3000^2</f>
        <v>605.7009766924859</v>
      </c>
      <c r="N3000" s="75">
        <f>'THAM_SO_MOI'!$C$12*I3000</f>
        <v>1130.112</v>
      </c>
      <c r="O3000" s="75">
        <f>M3000+N3000</f>
        <v>1735.812976692486</v>
      </c>
      <c r="P3000" s="75">
        <f>(MIN(L3000,'THAM_SO_MOI'!$C$41)-O3000)/('THAM_SO_MOI'!$C$11*H3000)</f>
        <v>0.47340118562524486</v>
      </c>
      <c r="Q3000" s="75">
        <f>IF(P3000&gt;0,1/P3000,NA())</f>
        <v>2.112373247817809</v>
      </c>
      <c r="R3000" s="75">
        <f>F3000-F2999</f>
        <v>0.007943393307218827</v>
      </c>
      <c r="S3000" s="75">
        <f>0.5*(Q2999+Q3000)*R3000</f>
        <v>0.016777780473024893</v>
      </c>
      <c r="T3000" s="75">
        <f>0.5*(F2999*Q2999+F3000*Q3000)*R3000</f>
        <v>0.2413686375641561</v>
      </c>
      <c r="U3000" s="76">
        <f>U2999+S3000</f>
        <v>22.65831905372992</v>
      </c>
      <c r="V3000" s="76">
        <f>V2999+T3000</f>
        <v>192.73990790819826</v>
      </c>
    </row>
    <row r="3001" spans="1:22" ht="19" customHeight="1">
      <c r="A3001" s="68" t="s">
        <v>376</v>
      </c>
      <c r="B3001" s="74">
        <v>4</v>
      </c>
      <c r="C3001" s="68" t="s">
        <v>363</v>
      </c>
      <c r="D3001" s="68" t="s">
        <v>364</v>
      </c>
      <c r="E3001" s="75">
        <f>60*F3001*'THAM_SO_MOI'!$C$52/(2*PI()*'THAM_SO_MOI'!$C$26)</f>
        <v>2265.095145101846</v>
      </c>
      <c r="F3001" s="75">
        <f>'HANH_TRINH'!$F$2468+('THAM_SO_MOI'!$F$52-'HANH_TRINH'!$F$2468)*532/'THAM_SO_MOI'!$C$42</f>
        <v>14.398122578740738</v>
      </c>
      <c r="G3001" s="75">
        <f>3.6*F3001</f>
        <v>51.833241283466656</v>
      </c>
      <c r="H3001" s="75">
        <f>'THAM_SO_MOI'!$D$52</f>
        <v>1.1774754878398197</v>
      </c>
      <c r="I3001" s="75">
        <f>IF(F3001&gt;'THAM_SO_MOI'!$C$14,'THAM_SO_MOI'!$C$13*(1+F3001^2/1500),'THAM_SO_MOI'!$C$13)</f>
        <v>0.015</v>
      </c>
      <c r="J3001" s="75">
        <f>'THAM_SO_MOI'!$C$40*('THAM_SO_MOI'!$C$23*(E3001/'THAM_SO_MOI'!$C$22)+'THAM_SO_MOI'!$C$24*(E3001/'THAM_SO_MOI'!$C$22)^2-'THAM_SO_MOI'!$C$25*(E3001/'THAM_SO_MOI'!$C$22)^3)</f>
        <v>101.89609620065184</v>
      </c>
      <c r="K3001" s="75">
        <f>'THAM_SO_MOI'!$C$31*J3001/E3001</f>
        <v>429.65949623760645</v>
      </c>
      <c r="L3001" s="75">
        <f>K3001*'THAM_SO_MOI'!$C$52*'THAM_SO_MOI'!$C$17/'THAM_SO_MOI'!$C$26</f>
        <v>6016.619420807172</v>
      </c>
      <c r="M3001" s="75">
        <f>'THAM_SO_MOI'!$C$15*'THAM_SO_MOI'!$C$16*F3001^2</f>
        <v>606.3698563428983</v>
      </c>
      <c r="N3001" s="75">
        <f>'THAM_SO_MOI'!$C$12*I3001</f>
        <v>1130.112</v>
      </c>
      <c r="O3001" s="75">
        <f>M3001+N3001</f>
        <v>1736.4818563428985</v>
      </c>
      <c r="P3001" s="75">
        <f>(MIN(L3001,'THAM_SO_MOI'!$C$41)-O3001)/('THAM_SO_MOI'!$C$11*H3001)</f>
        <v>0.473308858198584</v>
      </c>
      <c r="Q3001" s="75">
        <f>IF(P3001&gt;0,1/P3001,NA())</f>
        <v>2.112785304306379</v>
      </c>
      <c r="R3001" s="75">
        <f>F3001-F3000</f>
        <v>0.007943393307220603</v>
      </c>
      <c r="S3001" s="75">
        <f>0.5*(Q3000+Q3001)*R3001</f>
        <v>0.016781048082444586</v>
      </c>
      <c r="T3001" s="75">
        <f>0.5*(F3000*Q3000+F3001*Q3001)*R3001</f>
        <v>0.24154894455819953</v>
      </c>
      <c r="U3001" s="76">
        <f>U3000+S3001</f>
        <v>22.67510010181236</v>
      </c>
      <c r="V3001" s="76">
        <f>V3000+T3001</f>
        <v>192.98145685275645</v>
      </c>
    </row>
    <row r="3002" spans="1:22" ht="19" customHeight="1">
      <c r="A3002" s="68" t="s">
        <v>376</v>
      </c>
      <c r="B3002" s="74">
        <v>4</v>
      </c>
      <c r="C3002" s="68" t="s">
        <v>363</v>
      </c>
      <c r="D3002" s="68" t="s">
        <v>364</v>
      </c>
      <c r="E3002" s="75">
        <f>60*F3002*'THAM_SO_MOI'!$C$52/(2*PI()*'THAM_SO_MOI'!$C$26)</f>
        <v>2266.3447900828087</v>
      </c>
      <c r="F3002" s="75">
        <f>'HANH_TRINH'!$F$2468+('THAM_SO_MOI'!$F$52-'HANH_TRINH'!$F$2468)*533/'THAM_SO_MOI'!$C$42</f>
        <v>14.406065972047958</v>
      </c>
      <c r="G3002" s="75">
        <f>3.6*F3002</f>
        <v>51.861837499372655</v>
      </c>
      <c r="H3002" s="75">
        <f>'THAM_SO_MOI'!$D$52</f>
        <v>1.1774754878398197</v>
      </c>
      <c r="I3002" s="75">
        <f>IF(F3002&gt;'THAM_SO_MOI'!$C$14,'THAM_SO_MOI'!$C$13*(1+F3002^2/1500),'THAM_SO_MOI'!$C$13)</f>
        <v>0.015</v>
      </c>
      <c r="J3002" s="75">
        <f>'THAM_SO_MOI'!$C$40*('THAM_SO_MOI'!$C$23*(E3002/'THAM_SO_MOI'!$C$22)+'THAM_SO_MOI'!$C$24*(E3002/'THAM_SO_MOI'!$C$22)^2-'THAM_SO_MOI'!$C$25*(E3002/'THAM_SO_MOI'!$C$22)^3)</f>
        <v>101.94946242865562</v>
      </c>
      <c r="K3002" s="75">
        <f>'THAM_SO_MOI'!$C$31*J3002/E3002</f>
        <v>429.6474875884907</v>
      </c>
      <c r="L3002" s="75">
        <f>K3002*'THAM_SO_MOI'!$C$52*'THAM_SO_MOI'!$C$17/'THAM_SO_MOI'!$C$26</f>
        <v>6016.451260968694</v>
      </c>
      <c r="M3002" s="75">
        <f>'THAM_SO_MOI'!$C$15*'THAM_SO_MOI'!$C$16*F3002^2</f>
        <v>607.0391051136695</v>
      </c>
      <c r="N3002" s="75">
        <f>'THAM_SO_MOI'!$C$12*I3002</f>
        <v>1130.112</v>
      </c>
      <c r="O3002" s="75">
        <f>M3002+N3002</f>
        <v>1737.1511051136695</v>
      </c>
      <c r="P3002" s="75">
        <f>(MIN(L3002,'THAM_SO_MOI'!$C$41)-O3002)/('THAM_SO_MOI'!$C$11*H3002)</f>
        <v>0.4732162553542315</v>
      </c>
      <c r="Q3002" s="75">
        <f>IF(P3002&gt;0,1/P3002,NA())</f>
        <v>2.1131987514914052</v>
      </c>
      <c r="R3002" s="75">
        <f>F3002-F3001</f>
        <v>0.007943393307220603</v>
      </c>
      <c r="S3002" s="75">
        <f>0.5*(Q3001+Q3002)*R3002</f>
        <v>0.01678432673262255</v>
      </c>
      <c r="T3002" s="75">
        <f>0.5*(F3001*Q3001+F3002*Q3002)*R3002</f>
        <v>0.2417294624741222</v>
      </c>
      <c r="U3002" s="76">
        <f>U3001+S3002</f>
        <v>22.691884428544984</v>
      </c>
      <c r="V3002" s="76">
        <f>V3001+T3002</f>
        <v>193.22318631523058</v>
      </c>
    </row>
    <row r="3003" spans="1:22" ht="19" customHeight="1">
      <c r="A3003" s="68" t="s">
        <v>376</v>
      </c>
      <c r="B3003" s="74">
        <v>4</v>
      </c>
      <c r="C3003" s="68" t="s">
        <v>363</v>
      </c>
      <c r="D3003" s="68" t="s">
        <v>364</v>
      </c>
      <c r="E3003" s="75">
        <f>60*F3003*'THAM_SO_MOI'!$C$52/(2*PI()*'THAM_SO_MOI'!$C$26)</f>
        <v>2267.594435063772</v>
      </c>
      <c r="F3003" s="75">
        <f>'HANH_TRINH'!$F$2468+('THAM_SO_MOI'!$F$52-'HANH_TRINH'!$F$2468)*534/'THAM_SO_MOI'!$C$42</f>
        <v>14.414009365355177</v>
      </c>
      <c r="G3003" s="75">
        <f>3.6*F3003</f>
        <v>51.89043371527864</v>
      </c>
      <c r="H3003" s="75">
        <f>'THAM_SO_MOI'!$D$52</f>
        <v>1.1774754878398197</v>
      </c>
      <c r="I3003" s="75">
        <f>IF(F3003&gt;'THAM_SO_MOI'!$C$14,'THAM_SO_MOI'!$C$13*(1+F3003^2/1500),'THAM_SO_MOI'!$C$13)</f>
        <v>0.015</v>
      </c>
      <c r="J3003" s="75">
        <f>'THAM_SO_MOI'!$C$40*('THAM_SO_MOI'!$C$23*(E3003/'THAM_SO_MOI'!$C$22)+'THAM_SO_MOI'!$C$24*(E3003/'THAM_SO_MOI'!$C$22)^2-'THAM_SO_MOI'!$C$25*(E3003/'THAM_SO_MOI'!$C$22)^3)</f>
        <v>102.00278954565663</v>
      </c>
      <c r="K3003" s="75">
        <f>'THAM_SO_MOI'!$C$31*J3003/E3003</f>
        <v>429.63532743964737</v>
      </c>
      <c r="L3003" s="75">
        <f>K3003*'THAM_SO_MOI'!$C$52*'THAM_SO_MOI'!$C$17/'THAM_SO_MOI'!$C$26</f>
        <v>6016.280979645155</v>
      </c>
      <c r="M3003" s="75">
        <f>'THAM_SO_MOI'!$C$15*'THAM_SO_MOI'!$C$16*F3003^2</f>
        <v>607.7087230047994</v>
      </c>
      <c r="N3003" s="75">
        <f>'THAM_SO_MOI'!$C$12*I3003</f>
        <v>1130.112</v>
      </c>
      <c r="O3003" s="75">
        <f>M3003+N3003</f>
        <v>1737.8207230047994</v>
      </c>
      <c r="P3003" s="75">
        <f>(MIN(L3003,'THAM_SO_MOI'!$C$41)-O3003)/('THAM_SO_MOI'!$C$11*H3003)</f>
        <v>0.4731233770921874</v>
      </c>
      <c r="Q3003" s="75">
        <f>IF(P3003&gt;0,1/P3003,NA())</f>
        <v>2.113613590911513</v>
      </c>
      <c r="R3003" s="75">
        <f>F3003-F3002</f>
        <v>0.007943393307218827</v>
      </c>
      <c r="S3003" s="75">
        <f>0.5*(Q3002+Q3003)*R3003</f>
        <v>0.016787616435756637</v>
      </c>
      <c r="T3003" s="75">
        <f>0.5*(F3002*Q3002+F3003*Q3003)*R3003</f>
        <v>0.24191019175079898</v>
      </c>
      <c r="U3003" s="76">
        <f>U3002+S3003</f>
        <v>22.70867204498074</v>
      </c>
      <c r="V3003" s="76">
        <f>V3002+T3003</f>
        <v>193.46509650698138</v>
      </c>
    </row>
    <row r="3004" spans="1:22" ht="19" customHeight="1">
      <c r="A3004" s="68" t="s">
        <v>376</v>
      </c>
      <c r="B3004" s="74">
        <v>4</v>
      </c>
      <c r="C3004" s="68" t="s">
        <v>363</v>
      </c>
      <c r="D3004" s="68" t="s">
        <v>364</v>
      </c>
      <c r="E3004" s="75">
        <f>60*F3004*'THAM_SO_MOI'!$C$52/(2*PI()*'THAM_SO_MOI'!$C$26)</f>
        <v>2268.8440800447356</v>
      </c>
      <c r="F3004" s="75">
        <f>'HANH_TRINH'!$F$2468+('THAM_SO_MOI'!$F$52-'HANH_TRINH'!$F$2468)*535/'THAM_SO_MOI'!$C$42</f>
        <v>14.421952758662396</v>
      </c>
      <c r="G3004" s="75">
        <f>3.6*F3004</f>
        <v>51.919029931184625</v>
      </c>
      <c r="H3004" s="75">
        <f>'THAM_SO_MOI'!$D$52</f>
        <v>1.1774754878398197</v>
      </c>
      <c r="I3004" s="75">
        <f>IF(F3004&gt;'THAM_SO_MOI'!$C$14,'THAM_SO_MOI'!$C$13*(1+F3004^2/1500),'THAM_SO_MOI'!$C$13)</f>
        <v>0.015</v>
      </c>
      <c r="J3004" s="75">
        <f>'THAM_SO_MOI'!$C$40*('THAM_SO_MOI'!$C$23*(E3004/'THAM_SO_MOI'!$C$22)+'THAM_SO_MOI'!$C$24*(E3004/'THAM_SO_MOI'!$C$22)^2-'THAM_SO_MOI'!$C$25*(E3004/'THAM_SO_MOI'!$C$22)^3)</f>
        <v>102.05607749218919</v>
      </c>
      <c r="K3004" s="75">
        <f>'THAM_SO_MOI'!$C$31*J3004/E3004</f>
        <v>429.62301579107657</v>
      </c>
      <c r="L3004" s="75">
        <f>K3004*'THAM_SO_MOI'!$C$52*'THAM_SO_MOI'!$C$17/'THAM_SO_MOI'!$C$26</f>
        <v>6016.108576836555</v>
      </c>
      <c r="M3004" s="75">
        <f>'THAM_SO_MOI'!$C$15*'THAM_SO_MOI'!$C$16*F3004^2</f>
        <v>608.3787100162881</v>
      </c>
      <c r="N3004" s="75">
        <f>'THAM_SO_MOI'!$C$12*I3004</f>
        <v>1130.112</v>
      </c>
      <c r="O3004" s="75">
        <f>M3004+N3004</f>
        <v>1738.4907100162882</v>
      </c>
      <c r="P3004" s="75">
        <f>(MIN(L3004,'THAM_SO_MOI'!$C$41)-O3004)/('THAM_SO_MOI'!$C$11*H3004)</f>
        <v>0.4730302234124518</v>
      </c>
      <c r="Q3004" s="75">
        <f>IF(P3004&gt;0,1/P3004,NA())</f>
        <v>2.1140298241113964</v>
      </c>
      <c r="R3004" s="75">
        <f>F3004-F3003</f>
        <v>0.007943393307218827</v>
      </c>
      <c r="S3004" s="75">
        <f>0.5*(Q3003+Q3004)*R3004</f>
        <v>0.01679091720410036</v>
      </c>
      <c r="T3004" s="75">
        <f>0.5*(F3003*Q3003+F3004*Q3004)*R3004</f>
        <v>0.2420911328282948</v>
      </c>
      <c r="U3004" s="76">
        <f>U3003+S3004</f>
        <v>22.725462962184842</v>
      </c>
      <c r="V3004" s="76">
        <f>V3003+T3004</f>
        <v>193.7071876398097</v>
      </c>
    </row>
    <row r="3005" spans="1:22" ht="19" customHeight="1">
      <c r="A3005" s="68" t="s">
        <v>376</v>
      </c>
      <c r="B3005" s="74">
        <v>4</v>
      </c>
      <c r="C3005" s="68" t="s">
        <v>363</v>
      </c>
      <c r="D3005" s="68" t="s">
        <v>364</v>
      </c>
      <c r="E3005" s="75">
        <f>60*F3005*'THAM_SO_MOI'!$C$52/(2*PI()*'THAM_SO_MOI'!$C$26)</f>
        <v>2270.093725025699</v>
      </c>
      <c r="F3005" s="75">
        <f>'HANH_TRINH'!$F$2468+('THAM_SO_MOI'!$F$52-'HANH_TRINH'!$F$2468)*536/'THAM_SO_MOI'!$C$42</f>
        <v>14.429896151969615</v>
      </c>
      <c r="G3005" s="75">
        <f>3.6*F3005</f>
        <v>51.94762614709062</v>
      </c>
      <c r="H3005" s="75">
        <f>'THAM_SO_MOI'!$D$52</f>
        <v>1.1774754878398197</v>
      </c>
      <c r="I3005" s="75">
        <f>IF(F3005&gt;'THAM_SO_MOI'!$C$14,'THAM_SO_MOI'!$C$13*(1+F3005^2/1500),'THAM_SO_MOI'!$C$13)</f>
        <v>0.015</v>
      </c>
      <c r="J3005" s="75">
        <f>'THAM_SO_MOI'!$C$40*('THAM_SO_MOI'!$C$23*(E3005/'THAM_SO_MOI'!$C$22)+'THAM_SO_MOI'!$C$24*(E3005/'THAM_SO_MOI'!$C$22)^2-'THAM_SO_MOI'!$C$25*(E3005/'THAM_SO_MOI'!$C$22)^3)</f>
        <v>102.10932620878762</v>
      </c>
      <c r="K3005" s="75">
        <f>'THAM_SO_MOI'!$C$31*J3005/E3005</f>
        <v>429.61055264277854</v>
      </c>
      <c r="L3005" s="75">
        <f>K3005*'THAM_SO_MOI'!$C$52*'THAM_SO_MOI'!$C$17/'THAM_SO_MOI'!$C$26</f>
        <v>6015.934052542897</v>
      </c>
      <c r="M3005" s="75">
        <f>'THAM_SO_MOI'!$C$15*'THAM_SO_MOI'!$C$16*F3005^2</f>
        <v>609.0490661481355</v>
      </c>
      <c r="N3005" s="75">
        <f>'THAM_SO_MOI'!$C$12*I3005</f>
        <v>1130.112</v>
      </c>
      <c r="O3005" s="75">
        <f>M3005+N3005</f>
        <v>1739.1610661481354</v>
      </c>
      <c r="P3005" s="75">
        <f>(MIN(L3005,'THAM_SO_MOI'!$C$41)-O3005)/('THAM_SO_MOI'!$C$11*H3005)</f>
        <v>0.4729367943150251</v>
      </c>
      <c r="Q3005" s="75">
        <f>IF(P3005&gt;0,1/P3005,NA())</f>
        <v>2.1144474526418344</v>
      </c>
      <c r="R3005" s="75">
        <f>F3005-F3004</f>
        <v>0.007943393307218827</v>
      </c>
      <c r="S3005" s="75">
        <f>0.5*(Q3004+Q3005)*R3005</f>
        <v>0.01679422904994425</v>
      </c>
      <c r="T3005" s="75">
        <f>0.5*(F3004*Q3004+F3005*Q3005)*R3005</f>
        <v>0.24227228614759802</v>
      </c>
      <c r="U3005" s="76">
        <f>U3004+S3005</f>
        <v>22.742257191234785</v>
      </c>
      <c r="V3005" s="76">
        <f>V3004+T3005</f>
        <v>193.94945992595729</v>
      </c>
    </row>
    <row r="3006" spans="1:22" ht="19" customHeight="1">
      <c r="A3006" s="68" t="s">
        <v>376</v>
      </c>
      <c r="B3006" s="74">
        <v>4</v>
      </c>
      <c r="C3006" s="68" t="s">
        <v>363</v>
      </c>
      <c r="D3006" s="68" t="s">
        <v>364</v>
      </c>
      <c r="E3006" s="75">
        <f>60*F3006*'THAM_SO_MOI'!$C$52/(2*PI()*'THAM_SO_MOI'!$C$26)</f>
        <v>2271.343370006662</v>
      </c>
      <c r="F3006" s="75">
        <f>'HANH_TRINH'!$F$2468+('THAM_SO_MOI'!$F$52-'HANH_TRINH'!$F$2468)*537/'THAM_SO_MOI'!$C$42</f>
        <v>14.437839545276834</v>
      </c>
      <c r="G3006" s="75">
        <f>3.6*F3006</f>
        <v>51.9762223629966</v>
      </c>
      <c r="H3006" s="75">
        <f>'THAM_SO_MOI'!$D$52</f>
        <v>1.1774754878398197</v>
      </c>
      <c r="I3006" s="75">
        <f>IF(F3006&gt;'THAM_SO_MOI'!$C$14,'THAM_SO_MOI'!$C$13*(1+F3006^2/1500),'THAM_SO_MOI'!$C$13)</f>
        <v>0.015</v>
      </c>
      <c r="J3006" s="75">
        <f>'THAM_SO_MOI'!$C$40*('THAM_SO_MOI'!$C$23*(E3006/'THAM_SO_MOI'!$C$22)+'THAM_SO_MOI'!$C$24*(E3006/'THAM_SO_MOI'!$C$22)^2-'THAM_SO_MOI'!$C$25*(E3006/'THAM_SO_MOI'!$C$22)^3)</f>
        <v>102.16253563598615</v>
      </c>
      <c r="K3006" s="75">
        <f>'THAM_SO_MOI'!$C$31*J3006/E3006</f>
        <v>429.59793799475267</v>
      </c>
      <c r="L3006" s="75">
        <f>K3006*'THAM_SO_MOI'!$C$52*'THAM_SO_MOI'!$C$17/'THAM_SO_MOI'!$C$26</f>
        <v>6015.757406764173</v>
      </c>
      <c r="M3006" s="75">
        <f>'THAM_SO_MOI'!$C$15*'THAM_SO_MOI'!$C$16*F3006^2</f>
        <v>609.7197914003418</v>
      </c>
      <c r="N3006" s="75">
        <f>'THAM_SO_MOI'!$C$12*I3006</f>
        <v>1130.112</v>
      </c>
      <c r="O3006" s="75">
        <f>M3006+N3006</f>
        <v>1739.831791400342</v>
      </c>
      <c r="P3006" s="75">
        <f>(MIN(L3006,'THAM_SO_MOI'!$C$41)-O3006)/('THAM_SO_MOI'!$C$11*H3006)</f>
        <v>0.47284308979990614</v>
      </c>
      <c r="Q3006" s="75">
        <f>IF(P3006&gt;0,1/P3006,NA())</f>
        <v>2.114866478059713</v>
      </c>
      <c r="R3006" s="75">
        <f>F3006-F3005</f>
        <v>0.007943393307218827</v>
      </c>
      <c r="S3006" s="75">
        <f>0.5*(Q3005+Q3006)*R3006</f>
        <v>0.016797551985631008</v>
      </c>
      <c r="T3006" s="75">
        <f>0.5*(F3005*Q3005+F3006*Q3006)*R3006</f>
        <v>0.24245365215084042</v>
      </c>
      <c r="U3006" s="76">
        <f>U3005+S3006</f>
        <v>22.759054743220418</v>
      </c>
      <c r="V3006" s="76">
        <f>V3005+T3006</f>
        <v>194.1919135781081</v>
      </c>
    </row>
    <row r="3007" spans="1:22" ht="19" customHeight="1">
      <c r="A3007" s="68" t="s">
        <v>376</v>
      </c>
      <c r="B3007" s="74">
        <v>4</v>
      </c>
      <c r="C3007" s="68" t="s">
        <v>363</v>
      </c>
      <c r="D3007" s="68" t="s">
        <v>364</v>
      </c>
      <c r="E3007" s="75">
        <f>60*F3007*'THAM_SO_MOI'!$C$52/(2*PI()*'THAM_SO_MOI'!$C$26)</f>
        <v>2272.5930149876253</v>
      </c>
      <c r="F3007" s="75">
        <f>'HANH_TRINH'!$F$2468+('THAM_SO_MOI'!$F$52-'HANH_TRINH'!$F$2468)*538/'THAM_SO_MOI'!$C$42</f>
        <v>14.445782938584054</v>
      </c>
      <c r="G3007" s="75">
        <f>3.6*F3007</f>
        <v>52.004818578902594</v>
      </c>
      <c r="H3007" s="75">
        <f>'THAM_SO_MOI'!$D$52</f>
        <v>1.1774754878398197</v>
      </c>
      <c r="I3007" s="75">
        <f>IF(F3007&gt;'THAM_SO_MOI'!$C$14,'THAM_SO_MOI'!$C$13*(1+F3007^2/1500),'THAM_SO_MOI'!$C$13)</f>
        <v>0.015</v>
      </c>
      <c r="J3007" s="75">
        <f>'THAM_SO_MOI'!$C$40*('THAM_SO_MOI'!$C$23*(E3007/'THAM_SO_MOI'!$C$22)+'THAM_SO_MOI'!$C$24*(E3007/'THAM_SO_MOI'!$C$22)^2-'THAM_SO_MOI'!$C$25*(E3007/'THAM_SO_MOI'!$C$22)^3)</f>
        <v>102.2157057143192</v>
      </c>
      <c r="K3007" s="75">
        <f>'THAM_SO_MOI'!$C$31*J3007/E3007</f>
        <v>429.5851718469996</v>
      </c>
      <c r="L3007" s="75">
        <f>K3007*'THAM_SO_MOI'!$C$52*'THAM_SO_MOI'!$C$17/'THAM_SO_MOI'!$C$26</f>
        <v>6015.578639500392</v>
      </c>
      <c r="M3007" s="75">
        <f>'THAM_SO_MOI'!$C$15*'THAM_SO_MOI'!$C$16*F3007^2</f>
        <v>610.3908857729072</v>
      </c>
      <c r="N3007" s="75">
        <f>'THAM_SO_MOI'!$C$12*I3007</f>
        <v>1130.112</v>
      </c>
      <c r="O3007" s="75">
        <f>M3007+N3007</f>
        <v>1740.5028857729071</v>
      </c>
      <c r="P3007" s="75">
        <f>(MIN(L3007,'THAM_SO_MOI'!$C$41)-O3007)/('THAM_SO_MOI'!$C$11*H3007)</f>
        <v>0.4727491098670961</v>
      </c>
      <c r="Q3007" s="75">
        <f>IF(P3007&gt;0,1/P3007,NA())</f>
        <v>2.1152869019280223</v>
      </c>
      <c r="R3007" s="75">
        <f>F3007-F3006</f>
        <v>0.007943393307220603</v>
      </c>
      <c r="S3007" s="75">
        <f>0.5*(Q3006+Q3007)*R3007</f>
        <v>0.016800886023555592</v>
      </c>
      <c r="T3007" s="75">
        <f>0.5*(F3006*Q3006+F3007*Q3007)*R3007</f>
        <v>0.2426352312813007</v>
      </c>
      <c r="U3007" s="76">
        <f>U3006+S3007</f>
        <v>22.775855629243974</v>
      </c>
      <c r="V3007" s="76">
        <f>V3006+T3007</f>
        <v>194.4345488093894</v>
      </c>
    </row>
    <row r="3008" spans="1:22" ht="19" customHeight="1">
      <c r="A3008" s="68" t="s">
        <v>376</v>
      </c>
      <c r="B3008" s="74">
        <v>4</v>
      </c>
      <c r="C3008" s="68" t="s">
        <v>363</v>
      </c>
      <c r="D3008" s="68" t="s">
        <v>364</v>
      </c>
      <c r="E3008" s="75">
        <f>60*F3008*'THAM_SO_MOI'!$C$52/(2*PI()*'THAM_SO_MOI'!$C$26)</f>
        <v>2273.8426599685886</v>
      </c>
      <c r="F3008" s="75">
        <f>'HANH_TRINH'!$F$2468+('THAM_SO_MOI'!$F$52-'HANH_TRINH'!$F$2468)*539/'THAM_SO_MOI'!$C$42</f>
        <v>14.453726331891273</v>
      </c>
      <c r="G3008" s="75">
        <f>3.6*F3008</f>
        <v>52.033414794808586</v>
      </c>
      <c r="H3008" s="75">
        <f>'THAM_SO_MOI'!$D$52</f>
        <v>1.1774754878398197</v>
      </c>
      <c r="I3008" s="75">
        <f>IF(F3008&gt;'THAM_SO_MOI'!$C$14,'THAM_SO_MOI'!$C$13*(1+F3008^2/1500),'THAM_SO_MOI'!$C$13)</f>
        <v>0.015</v>
      </c>
      <c r="J3008" s="75">
        <f>'THAM_SO_MOI'!$C$40*('THAM_SO_MOI'!$C$23*(E3008/'THAM_SO_MOI'!$C$22)+'THAM_SO_MOI'!$C$24*(E3008/'THAM_SO_MOI'!$C$22)^2-'THAM_SO_MOI'!$C$25*(E3008/'THAM_SO_MOI'!$C$22)^3)</f>
        <v>102.268836384321</v>
      </c>
      <c r="K3008" s="75">
        <f>'THAM_SO_MOI'!$C$31*J3008/E3008</f>
        <v>429.57225419951885</v>
      </c>
      <c r="L3008" s="75">
        <f>K3008*'THAM_SO_MOI'!$C$52*'THAM_SO_MOI'!$C$17/'THAM_SO_MOI'!$C$26</f>
        <v>6015.397750751547</v>
      </c>
      <c r="M3008" s="75">
        <f>'THAM_SO_MOI'!$C$15*'THAM_SO_MOI'!$C$16*F3008^2</f>
        <v>611.062349265831</v>
      </c>
      <c r="N3008" s="75">
        <f>'THAM_SO_MOI'!$C$12*I3008</f>
        <v>1130.112</v>
      </c>
      <c r="O3008" s="75">
        <f>M3008+N3008</f>
        <v>1741.174349265831</v>
      </c>
      <c r="P3008" s="75">
        <f>(MIN(L3008,'THAM_SO_MOI'!$C$41)-O3008)/('THAM_SO_MOI'!$C$11*H3008)</f>
        <v>0.4726548545165944</v>
      </c>
      <c r="Q3008" s="75">
        <f>IF(P3008&gt;0,1/P3008,NA())</f>
        <v>2.1157087258158924</v>
      </c>
      <c r="R3008" s="75">
        <f>F3008-F3007</f>
        <v>0.007943393307218827</v>
      </c>
      <c r="S3008" s="75">
        <f>0.5*(Q3007+Q3008)*R3008</f>
        <v>0.016804231176146565</v>
      </c>
      <c r="T3008" s="75">
        <f>0.5*(F3007*Q3007+F3008*Q3008)*R3008</f>
        <v>0.242817023983137</v>
      </c>
      <c r="U3008" s="76">
        <f>U3007+S3008</f>
        <v>22.79265986042012</v>
      </c>
      <c r="V3008" s="76">
        <f>V3007+T3008</f>
        <v>194.67736583337256</v>
      </c>
    </row>
    <row r="3009" spans="1:22" ht="19" customHeight="1">
      <c r="A3009" s="68" t="s">
        <v>376</v>
      </c>
      <c r="B3009" s="74">
        <v>4</v>
      </c>
      <c r="C3009" s="68" t="s">
        <v>363</v>
      </c>
      <c r="D3009" s="68" t="s">
        <v>364</v>
      </c>
      <c r="E3009" s="75">
        <f>60*F3009*'THAM_SO_MOI'!$C$52/(2*PI()*'THAM_SO_MOI'!$C$26)</f>
        <v>2275.092304949552</v>
      </c>
      <c r="F3009" s="75">
        <f>'HANH_TRINH'!$F$2468+('THAM_SO_MOI'!$F$52-'HANH_TRINH'!$F$2468)*540/'THAM_SO_MOI'!$C$42</f>
        <v>14.461669725198494</v>
      </c>
      <c r="G3009" s="75">
        <f>3.6*F3009</f>
        <v>52.06201101071458</v>
      </c>
      <c r="H3009" s="75">
        <f>'THAM_SO_MOI'!$D$52</f>
        <v>1.1774754878398197</v>
      </c>
      <c r="I3009" s="75">
        <f>IF(F3009&gt;'THAM_SO_MOI'!$C$14,'THAM_SO_MOI'!$C$13*(1+F3009^2/1500),'THAM_SO_MOI'!$C$13)</f>
        <v>0.015</v>
      </c>
      <c r="J3009" s="75">
        <f>'THAM_SO_MOI'!$C$40*('THAM_SO_MOI'!$C$23*(E3009/'THAM_SO_MOI'!$C$22)+'THAM_SO_MOI'!$C$24*(E3009/'THAM_SO_MOI'!$C$22)^2-'THAM_SO_MOI'!$C$25*(E3009/'THAM_SO_MOI'!$C$22)^3)</f>
        <v>102.32192758652596</v>
      </c>
      <c r="K3009" s="75">
        <f>'THAM_SO_MOI'!$C$31*J3009/E3009</f>
        <v>429.5591850523108</v>
      </c>
      <c r="L3009" s="75">
        <f>K3009*'THAM_SO_MOI'!$C$52*'THAM_SO_MOI'!$C$17/'THAM_SO_MOI'!$C$26</f>
        <v>6015.214740517643</v>
      </c>
      <c r="M3009" s="75">
        <f>'THAM_SO_MOI'!$C$15*'THAM_SO_MOI'!$C$16*F3009^2</f>
        <v>611.7341818791139</v>
      </c>
      <c r="N3009" s="75">
        <f>'THAM_SO_MOI'!$C$12*I3009</f>
        <v>1130.112</v>
      </c>
      <c r="O3009" s="75">
        <f>M3009+N3009</f>
        <v>1741.8461818791138</v>
      </c>
      <c r="P3009" s="75">
        <f>(MIN(L3009,'THAM_SO_MOI'!$C$41)-O3009)/('THAM_SO_MOI'!$C$11*H3009)</f>
        <v>0.47256032374840123</v>
      </c>
      <c r="Q3009" s="75">
        <f>IF(P3009&gt;0,1/P3009,NA())</f>
        <v>2.1161319512985948</v>
      </c>
      <c r="R3009" s="75">
        <f>F3009-F3008</f>
        <v>0.007943393307220603</v>
      </c>
      <c r="S3009" s="75">
        <f>0.5*(Q3008+Q3009)*R3009</f>
        <v>0.01680758745590756</v>
      </c>
      <c r="T3009" s="75">
        <f>0.5*(F3008*Q3008+F3009*Q3009)*R3009</f>
        <v>0.24299903070198764</v>
      </c>
      <c r="U3009" s="76">
        <f>U3008+S3009</f>
        <v>22.809467447876028</v>
      </c>
      <c r="V3009" s="76">
        <f>V3008+T3009</f>
        <v>194.92036486407454</v>
      </c>
    </row>
    <row r="3010" spans="1:22" ht="19" customHeight="1">
      <c r="A3010" s="68" t="s">
        <v>376</v>
      </c>
      <c r="B3010" s="74">
        <v>4</v>
      </c>
      <c r="C3010" s="68" t="s">
        <v>363</v>
      </c>
      <c r="D3010" s="68" t="s">
        <v>364</v>
      </c>
      <c r="E3010" s="75">
        <f>60*F3010*'THAM_SO_MOI'!$C$52/(2*PI()*'THAM_SO_MOI'!$C$26)</f>
        <v>2276.341949930515</v>
      </c>
      <c r="F3010" s="75">
        <f>'HANH_TRINH'!$F$2468+('THAM_SO_MOI'!$F$52-'HANH_TRINH'!$F$2468)*541/'THAM_SO_MOI'!$C$42</f>
        <v>14.469613118505713</v>
      </c>
      <c r="G3010" s="75">
        <f>3.6*F3010</f>
        <v>52.09060722662057</v>
      </c>
      <c r="H3010" s="75">
        <f>'THAM_SO_MOI'!$D$52</f>
        <v>1.1774754878398197</v>
      </c>
      <c r="I3010" s="75">
        <f>IF(F3010&gt;'THAM_SO_MOI'!$C$14,'THAM_SO_MOI'!$C$13*(1+F3010^2/1500),'THAM_SO_MOI'!$C$13)</f>
        <v>0.015</v>
      </c>
      <c r="J3010" s="75">
        <f>'THAM_SO_MOI'!$C$40*('THAM_SO_MOI'!$C$23*(E3010/'THAM_SO_MOI'!$C$22)+'THAM_SO_MOI'!$C$24*(E3010/'THAM_SO_MOI'!$C$22)^2-'THAM_SO_MOI'!$C$25*(E3010/'THAM_SO_MOI'!$C$22)^3)</f>
        <v>102.37497926146831</v>
      </c>
      <c r="K3010" s="75">
        <f>'THAM_SO_MOI'!$C$31*J3010/E3010</f>
        <v>429.5459644053752</v>
      </c>
      <c r="L3010" s="75">
        <f>K3010*'THAM_SO_MOI'!$C$52*'THAM_SO_MOI'!$C$17/'THAM_SO_MOI'!$C$26</f>
        <v>6015.029608798677</v>
      </c>
      <c r="M3010" s="75">
        <f>'THAM_SO_MOI'!$C$15*'THAM_SO_MOI'!$C$16*F3010^2</f>
        <v>612.4063836127555</v>
      </c>
      <c r="N3010" s="75">
        <f>'THAM_SO_MOI'!$C$12*I3010</f>
        <v>1130.112</v>
      </c>
      <c r="O3010" s="75">
        <f>M3010+N3010</f>
        <v>1742.5183836127555</v>
      </c>
      <c r="P3010" s="75">
        <f>(MIN(L3010,'THAM_SO_MOI'!$C$41)-O3010)/('THAM_SO_MOI'!$C$11*H3010)</f>
        <v>0.4724655175625164</v>
      </c>
      <c r="Q3010" s="75">
        <f>IF(P3010&gt;0,1/P3010,NA())</f>
        <v>2.116556579957564</v>
      </c>
      <c r="R3010" s="75">
        <f>F3010-F3009</f>
        <v>0.007943393307218827</v>
      </c>
      <c r="S3010" s="75">
        <f>0.5*(Q3009+Q3010)*R3010</f>
        <v>0.01681095487536103</v>
      </c>
      <c r="T3010" s="75">
        <f>0.5*(F3009*Q3009+F3010*Q3010)*R3010</f>
        <v>0.24318125188416043</v>
      </c>
      <c r="U3010" s="76">
        <f>U3009+S3010</f>
        <v>22.826278402751388</v>
      </c>
      <c r="V3010" s="76">
        <f>V3009+T3010</f>
        <v>195.1635461159587</v>
      </c>
    </row>
    <row r="3011" spans="1:22" ht="19" customHeight="1">
      <c r="A3011" s="68" t="s">
        <v>376</v>
      </c>
      <c r="B3011" s="74">
        <v>4</v>
      </c>
      <c r="C3011" s="68" t="s">
        <v>363</v>
      </c>
      <c r="D3011" s="68" t="s">
        <v>364</v>
      </c>
      <c r="E3011" s="75">
        <f>60*F3011*'THAM_SO_MOI'!$C$52/(2*PI()*'THAM_SO_MOI'!$C$26)</f>
        <v>2277.5915949114783</v>
      </c>
      <c r="F3011" s="75">
        <f>'HANH_TRINH'!$F$2468+('THAM_SO_MOI'!$F$52-'HANH_TRINH'!$F$2468)*542/'THAM_SO_MOI'!$C$42</f>
        <v>14.477556511812931</v>
      </c>
      <c r="G3011" s="75">
        <f>3.6*F3011</f>
        <v>52.119203442526555</v>
      </c>
      <c r="H3011" s="75">
        <f>'THAM_SO_MOI'!$D$52</f>
        <v>1.1774754878398197</v>
      </c>
      <c r="I3011" s="75">
        <f>IF(F3011&gt;'THAM_SO_MOI'!$C$14,'THAM_SO_MOI'!$C$13*(1+F3011^2/1500),'THAM_SO_MOI'!$C$13)</f>
        <v>0.015</v>
      </c>
      <c r="J3011" s="75">
        <f>'THAM_SO_MOI'!$C$40*('THAM_SO_MOI'!$C$23*(E3011/'THAM_SO_MOI'!$C$22)+'THAM_SO_MOI'!$C$24*(E3011/'THAM_SO_MOI'!$C$22)^2-'THAM_SO_MOI'!$C$25*(E3011/'THAM_SO_MOI'!$C$22)^3)</f>
        <v>102.42799134968236</v>
      </c>
      <c r="K3011" s="75">
        <f>'THAM_SO_MOI'!$C$31*J3011/E3011</f>
        <v>429.532592258712</v>
      </c>
      <c r="L3011" s="75">
        <f>K3011*'THAM_SO_MOI'!$C$52*'THAM_SO_MOI'!$C$17/'THAM_SO_MOI'!$C$26</f>
        <v>6014.842355594647</v>
      </c>
      <c r="M3011" s="75">
        <f>'THAM_SO_MOI'!$C$15*'THAM_SO_MOI'!$C$16*F3011^2</f>
        <v>613.0789544667558</v>
      </c>
      <c r="N3011" s="75">
        <f>'THAM_SO_MOI'!$C$12*I3011</f>
        <v>1130.112</v>
      </c>
      <c r="O3011" s="75">
        <f>M3011+N3011</f>
        <v>1743.190954466756</v>
      </c>
      <c r="P3011" s="75">
        <f>(MIN(L3011,'THAM_SO_MOI'!$C$41)-O3011)/('THAM_SO_MOI'!$C$11*H3011)</f>
        <v>0.47237043595893974</v>
      </c>
      <c r="Q3011" s="75">
        <f>IF(P3011&gt;0,1/P3011,NA())</f>
        <v>2.11698261338041</v>
      </c>
      <c r="R3011" s="75">
        <f>F3011-F3010</f>
        <v>0.007943393307218827</v>
      </c>
      <c r="S3011" s="75">
        <f>0.5*(Q3010+Q3011)*R3011</f>
        <v>0.016814333447104726</v>
      </c>
      <c r="T3011" s="75">
        <f>0.5*(F3010*Q3010+F3011*Q3011)*R3011</f>
        <v>0.24336368797745114</v>
      </c>
      <c r="U3011" s="76">
        <f>U3010+S3011</f>
        <v>22.843092736198493</v>
      </c>
      <c r="V3011" s="76">
        <f>V3010+T3011</f>
        <v>195.40690980393614</v>
      </c>
    </row>
    <row r="3012" spans="1:22" ht="19" customHeight="1">
      <c r="A3012" s="68" t="s">
        <v>376</v>
      </c>
      <c r="B3012" s="74">
        <v>4</v>
      </c>
      <c r="C3012" s="68" t="s">
        <v>363</v>
      </c>
      <c r="D3012" s="68" t="s">
        <v>364</v>
      </c>
      <c r="E3012" s="75">
        <f>60*F3012*'THAM_SO_MOI'!$C$52/(2*PI()*'THAM_SO_MOI'!$C$26)</f>
        <v>2278.841239892441</v>
      </c>
      <c r="F3012" s="75">
        <f>'HANH_TRINH'!$F$2468+('THAM_SO_MOI'!$F$52-'HANH_TRINH'!$F$2468)*543/'THAM_SO_MOI'!$C$42</f>
        <v>14.48549990512015</v>
      </c>
      <c r="G3012" s="75">
        <f>3.6*F3012</f>
        <v>52.14779965843254</v>
      </c>
      <c r="H3012" s="75">
        <f>'THAM_SO_MOI'!$D$52</f>
        <v>1.1774754878398197</v>
      </c>
      <c r="I3012" s="75">
        <f>IF(F3012&gt;'THAM_SO_MOI'!$C$14,'THAM_SO_MOI'!$C$13*(1+F3012^2/1500),'THAM_SO_MOI'!$C$13)</f>
        <v>0.015</v>
      </c>
      <c r="J3012" s="75">
        <f>'THAM_SO_MOI'!$C$40*('THAM_SO_MOI'!$C$23*(E3012/'THAM_SO_MOI'!$C$22)+'THAM_SO_MOI'!$C$24*(E3012/'THAM_SO_MOI'!$C$22)^2-'THAM_SO_MOI'!$C$25*(E3012/'THAM_SO_MOI'!$C$22)^3)</f>
        <v>102.48096379170244</v>
      </c>
      <c r="K3012" s="75">
        <f>'THAM_SO_MOI'!$C$31*J3012/E3012</f>
        <v>429.51906861232135</v>
      </c>
      <c r="L3012" s="75">
        <f>K3012*'THAM_SO_MOI'!$C$52*'THAM_SO_MOI'!$C$17/'THAM_SO_MOI'!$C$26</f>
        <v>6014.652980905559</v>
      </c>
      <c r="M3012" s="75">
        <f>'THAM_SO_MOI'!$C$15*'THAM_SO_MOI'!$C$16*F3012^2</f>
        <v>613.751894441115</v>
      </c>
      <c r="N3012" s="75">
        <f>'THAM_SO_MOI'!$C$12*I3012</f>
        <v>1130.112</v>
      </c>
      <c r="O3012" s="75">
        <f>M3012+N3012</f>
        <v>1743.863894441115</v>
      </c>
      <c r="P3012" s="75">
        <f>(MIN(L3012,'THAM_SO_MOI'!$C$41)-O3012)/('THAM_SO_MOI'!$C$11*H3012)</f>
        <v>0.4722750789376719</v>
      </c>
      <c r="Q3012" s="75">
        <f>IF(P3012&gt;0,1/P3012,NA())</f>
        <v>2.1174100531609334</v>
      </c>
      <c r="R3012" s="75">
        <f>F3012-F3011</f>
        <v>0.007943393307218827</v>
      </c>
      <c r="S3012" s="75">
        <f>0.5*(Q3011+Q3012)*R3012</f>
        <v>0.016817723183770495</v>
      </c>
      <c r="T3012" s="75">
        <f>0.5*(F3011*Q3011+F3012*Q3012)*R3012</f>
        <v>0.24354633943054924</v>
      </c>
      <c r="U3012" s="76">
        <f>U3011+S3012</f>
        <v>22.859910459382263</v>
      </c>
      <c r="V3012" s="76">
        <f>V3011+T3012</f>
        <v>195.65045614336668</v>
      </c>
    </row>
    <row r="3013" spans="1:22" ht="19" customHeight="1">
      <c r="A3013" s="68" t="s">
        <v>376</v>
      </c>
      <c r="B3013" s="74">
        <v>4</v>
      </c>
      <c r="C3013" s="68" t="s">
        <v>363</v>
      </c>
      <c r="D3013" s="68" t="s">
        <v>364</v>
      </c>
      <c r="E3013" s="75">
        <f>60*F3013*'THAM_SO_MOI'!$C$52/(2*PI()*'THAM_SO_MOI'!$C$26)</f>
        <v>2280.0908848734043</v>
      </c>
      <c r="F3013" s="75">
        <f>'HANH_TRINH'!$F$2468+('THAM_SO_MOI'!$F$52-'HANH_TRINH'!$F$2468)*544/'THAM_SO_MOI'!$C$42</f>
        <v>14.49344329842737</v>
      </c>
      <c r="G3013" s="75">
        <f>3.6*F3013</f>
        <v>52.17639587433853</v>
      </c>
      <c r="H3013" s="75">
        <f>'THAM_SO_MOI'!$D$52</f>
        <v>1.1774754878398197</v>
      </c>
      <c r="I3013" s="75">
        <f>IF(F3013&gt;'THAM_SO_MOI'!$C$14,'THAM_SO_MOI'!$C$13*(1+F3013^2/1500),'THAM_SO_MOI'!$C$13)</f>
        <v>0.015</v>
      </c>
      <c r="J3013" s="75">
        <f>'THAM_SO_MOI'!$C$40*('THAM_SO_MOI'!$C$23*(E3013/'THAM_SO_MOI'!$C$22)+'THAM_SO_MOI'!$C$24*(E3013/'THAM_SO_MOI'!$C$22)^2-'THAM_SO_MOI'!$C$25*(E3013/'THAM_SO_MOI'!$C$22)^3)</f>
        <v>102.53389652806295</v>
      </c>
      <c r="K3013" s="75">
        <f>'THAM_SO_MOI'!$C$31*J3013/E3013</f>
        <v>429.5053934662035</v>
      </c>
      <c r="L3013" s="75">
        <f>K3013*'THAM_SO_MOI'!$C$52*'THAM_SO_MOI'!$C$17/'THAM_SO_MOI'!$C$26</f>
        <v>6014.461484731413</v>
      </c>
      <c r="M3013" s="75">
        <f>'THAM_SO_MOI'!$C$15*'THAM_SO_MOI'!$C$16*F3013^2</f>
        <v>614.425203535833</v>
      </c>
      <c r="N3013" s="75">
        <f>'THAM_SO_MOI'!$C$12*I3013</f>
        <v>1130.112</v>
      </c>
      <c r="O3013" s="75">
        <f>M3013+N3013</f>
        <v>1744.5372035358332</v>
      </c>
      <c r="P3013" s="75">
        <f>(MIN(L3013,'THAM_SO_MOI'!$C$41)-O3013)/('THAM_SO_MOI'!$C$11*H3013)</f>
        <v>0.4721794464987128</v>
      </c>
      <c r="Q3013" s="75">
        <f>IF(P3013&gt;0,1/P3013,NA())</f>
        <v>2.117838900899144</v>
      </c>
      <c r="R3013" s="75">
        <f>F3013-F3012</f>
        <v>0.007943393307218827</v>
      </c>
      <c r="S3013" s="75">
        <f>0.5*(Q3012+Q3013)*R3013</f>
        <v>0.016821124098043178</v>
      </c>
      <c r="T3013" s="75">
        <f>0.5*(F3012*Q3012+F3013*Q3013)*R3013</f>
        <v>0.24372920669331363</v>
      </c>
      <c r="U3013" s="76">
        <f>U3012+S3013</f>
        <v>22.876731583480307</v>
      </c>
      <c r="V3013" s="76">
        <f>V3012+T3013</f>
        <v>195.89418535005998</v>
      </c>
    </row>
    <row r="3014" spans="1:22" ht="19" customHeight="1">
      <c r="A3014" s="68" t="s">
        <v>376</v>
      </c>
      <c r="B3014" s="74">
        <v>4</v>
      </c>
      <c r="C3014" s="68" t="s">
        <v>363</v>
      </c>
      <c r="D3014" s="68" t="s">
        <v>364</v>
      </c>
      <c r="E3014" s="75">
        <f>60*F3014*'THAM_SO_MOI'!$C$52/(2*PI()*'THAM_SO_MOI'!$C$26)</f>
        <v>2281.340529854368</v>
      </c>
      <c r="F3014" s="75">
        <f>'HANH_TRINH'!$F$2468+('THAM_SO_MOI'!$F$52-'HANH_TRINH'!$F$2468)*545/'THAM_SO_MOI'!$C$42</f>
        <v>14.50138669173459</v>
      </c>
      <c r="G3014" s="75">
        <f>3.6*F3014</f>
        <v>52.204992090244524</v>
      </c>
      <c r="H3014" s="75">
        <f>'THAM_SO_MOI'!$D$52</f>
        <v>1.1774754878398197</v>
      </c>
      <c r="I3014" s="75">
        <f>IF(F3014&gt;'THAM_SO_MOI'!$C$14,'THAM_SO_MOI'!$C$13*(1+F3014^2/1500),'THAM_SO_MOI'!$C$13)</f>
        <v>0.015</v>
      </c>
      <c r="J3014" s="75">
        <f>'THAM_SO_MOI'!$C$40*('THAM_SO_MOI'!$C$23*(E3014/'THAM_SO_MOI'!$C$22)+'THAM_SO_MOI'!$C$24*(E3014/'THAM_SO_MOI'!$C$22)^2-'THAM_SO_MOI'!$C$25*(E3014/'THAM_SO_MOI'!$C$22)^3)</f>
        <v>102.58678949929812</v>
      </c>
      <c r="K3014" s="75">
        <f>'THAM_SO_MOI'!$C$31*J3014/E3014</f>
        <v>429.491566820358</v>
      </c>
      <c r="L3014" s="75">
        <f>K3014*'THAM_SO_MOI'!$C$52*'THAM_SO_MOI'!$C$17/'THAM_SO_MOI'!$C$26</f>
        <v>6014.267867072203</v>
      </c>
      <c r="M3014" s="75">
        <f>'THAM_SO_MOI'!$C$15*'THAM_SO_MOI'!$C$16*F3014^2</f>
        <v>615.09888175091</v>
      </c>
      <c r="N3014" s="75">
        <f>'THAM_SO_MOI'!$C$12*I3014</f>
        <v>1130.112</v>
      </c>
      <c r="O3014" s="75">
        <f>M3014+N3014</f>
        <v>1745.2108817509102</v>
      </c>
      <c r="P3014" s="75">
        <f>(MIN(L3014,'THAM_SO_MOI'!$C$41)-O3014)/('THAM_SO_MOI'!$C$11*H3014)</f>
        <v>0.4720835386420619</v>
      </c>
      <c r="Q3014" s="75">
        <f>IF(P3014&gt;0,1/P3014,NA())</f>
        <v>2.1182691582012763</v>
      </c>
      <c r="R3014" s="75">
        <f>F3014-F3013</f>
        <v>0.007943393307220603</v>
      </c>
      <c r="S3014" s="75">
        <f>0.5*(Q3013+Q3014)*R3014</f>
        <v>0.016824536202660768</v>
      </c>
      <c r="T3014" s="75">
        <f>0.5*(F3013*Q3013+F3014*Q3014)*R3014</f>
        <v>0.24391229021677674</v>
      </c>
      <c r="U3014" s="76">
        <f>U3013+S3014</f>
        <v>22.89355611968297</v>
      </c>
      <c r="V3014" s="76">
        <f>V3013+T3014</f>
        <v>196.13809764027675</v>
      </c>
    </row>
    <row r="3015" spans="1:22" ht="19" customHeight="1">
      <c r="A3015" s="68" t="s">
        <v>376</v>
      </c>
      <c r="B3015" s="74">
        <v>4</v>
      </c>
      <c r="C3015" s="68" t="s">
        <v>363</v>
      </c>
      <c r="D3015" s="68" t="s">
        <v>364</v>
      </c>
      <c r="E3015" s="75">
        <f>60*F3015*'THAM_SO_MOI'!$C$52/(2*PI()*'THAM_SO_MOI'!$C$26)</f>
        <v>2282.5901748353313</v>
      </c>
      <c r="F3015" s="75">
        <f>'HANH_TRINH'!$F$2468+('THAM_SO_MOI'!$F$52-'HANH_TRINH'!$F$2468)*546/'THAM_SO_MOI'!$C$42</f>
        <v>14.50933008504181</v>
      </c>
      <c r="G3015" s="75">
        <f>3.6*F3015</f>
        <v>52.233588306150516</v>
      </c>
      <c r="H3015" s="75">
        <f>'THAM_SO_MOI'!$D$52</f>
        <v>1.1774754878398197</v>
      </c>
      <c r="I3015" s="75">
        <f>IF(F3015&gt;'THAM_SO_MOI'!$C$14,'THAM_SO_MOI'!$C$13*(1+F3015^2/1500),'THAM_SO_MOI'!$C$13)</f>
        <v>0.015</v>
      </c>
      <c r="J3015" s="75">
        <f>'THAM_SO_MOI'!$C$40*('THAM_SO_MOI'!$C$23*(E3015/'THAM_SO_MOI'!$C$22)+'THAM_SO_MOI'!$C$24*(E3015/'THAM_SO_MOI'!$C$22)^2-'THAM_SO_MOI'!$C$25*(E3015/'THAM_SO_MOI'!$C$22)^3)</f>
        <v>102.63964264594222</v>
      </c>
      <c r="K3015" s="75">
        <f>'THAM_SO_MOI'!$C$31*J3015/E3015</f>
        <v>429.4775886747849</v>
      </c>
      <c r="L3015" s="75">
        <f>K3015*'THAM_SO_MOI'!$C$52*'THAM_SO_MOI'!$C$17/'THAM_SO_MOI'!$C$26</f>
        <v>6014.072127927931</v>
      </c>
      <c r="M3015" s="75">
        <f>'THAM_SO_MOI'!$C$15*'THAM_SO_MOI'!$C$16*F3015^2</f>
        <v>615.7729290863458</v>
      </c>
      <c r="N3015" s="75">
        <f>'THAM_SO_MOI'!$C$12*I3015</f>
        <v>1130.112</v>
      </c>
      <c r="O3015" s="75">
        <f>M3015+N3015</f>
        <v>1745.884929086346</v>
      </c>
      <c r="P3015" s="75">
        <f>(MIN(L3015,'THAM_SO_MOI'!$C$41)-O3015)/('THAM_SO_MOI'!$C$11*H3015)</f>
        <v>0.47198735536771913</v>
      </c>
      <c r="Q3015" s="75">
        <f>IF(P3015&gt;0,1/P3015,NA())</f>
        <v>2.118700826679802</v>
      </c>
      <c r="R3015" s="75">
        <f>F3015-F3014</f>
        <v>0.007943393307220603</v>
      </c>
      <c r="S3015" s="75">
        <f>0.5*(Q3014+Q3015)*R3015</f>
        <v>0.01682795951039947</v>
      </c>
      <c r="T3015" s="75">
        <f>0.5*(F3014*Q3014+F3015*Q3015)*R3015</f>
        <v>0.24409559045293006</v>
      </c>
      <c r="U3015" s="76">
        <f>U3014+S3015</f>
        <v>22.91038407919337</v>
      </c>
      <c r="V3015" s="76">
        <f>V3014+T3015</f>
        <v>196.38219323072968</v>
      </c>
    </row>
    <row r="3016" spans="1:22" ht="19" customHeight="1">
      <c r="A3016" s="68" t="s">
        <v>376</v>
      </c>
      <c r="B3016" s="74">
        <v>4</v>
      </c>
      <c r="C3016" s="68" t="s">
        <v>363</v>
      </c>
      <c r="D3016" s="68" t="s">
        <v>364</v>
      </c>
      <c r="E3016" s="75">
        <f>60*F3016*'THAM_SO_MOI'!$C$52/(2*PI()*'THAM_SO_MOI'!$C$26)</f>
        <v>2283.8398198162945</v>
      </c>
      <c r="F3016" s="75">
        <f>'HANH_TRINH'!$F$2468+('THAM_SO_MOI'!$F$52-'HANH_TRINH'!$F$2468)*547/'THAM_SO_MOI'!$C$42</f>
        <v>14.51727347834903</v>
      </c>
      <c r="G3016" s="75">
        <f>3.6*F3016</f>
        <v>52.26218452205651</v>
      </c>
      <c r="H3016" s="75">
        <f>'THAM_SO_MOI'!$D$52</f>
        <v>1.1774754878398197</v>
      </c>
      <c r="I3016" s="75">
        <f>IF(F3016&gt;'THAM_SO_MOI'!$C$14,'THAM_SO_MOI'!$C$13*(1+F3016^2/1500),'THAM_SO_MOI'!$C$13)</f>
        <v>0.015</v>
      </c>
      <c r="J3016" s="75">
        <f>'THAM_SO_MOI'!$C$40*('THAM_SO_MOI'!$C$23*(E3016/'THAM_SO_MOI'!$C$22)+'THAM_SO_MOI'!$C$24*(E3016/'THAM_SO_MOI'!$C$22)^2-'THAM_SO_MOI'!$C$25*(E3016/'THAM_SO_MOI'!$C$22)^3)</f>
        <v>102.69245590852967</v>
      </c>
      <c r="K3016" s="75">
        <f>'THAM_SO_MOI'!$C$31*J3016/E3016</f>
        <v>429.4634590294845</v>
      </c>
      <c r="L3016" s="75">
        <f>K3016*'THAM_SO_MOI'!$C$52*'THAM_SO_MOI'!$C$17/'THAM_SO_MOI'!$C$26</f>
        <v>6013.874267298602</v>
      </c>
      <c r="M3016" s="75">
        <f>'THAM_SO_MOI'!$C$15*'THAM_SO_MOI'!$C$16*F3016^2</f>
        <v>616.4473455421403</v>
      </c>
      <c r="N3016" s="75">
        <f>'THAM_SO_MOI'!$C$12*I3016</f>
        <v>1130.112</v>
      </c>
      <c r="O3016" s="75">
        <f>M3016+N3016</f>
        <v>1746.5593455421404</v>
      </c>
      <c r="P3016" s="75">
        <f>(MIN(L3016,'THAM_SO_MOI'!$C$41)-O3016)/('THAM_SO_MOI'!$C$11*H3016)</f>
        <v>0.4718908966756854</v>
      </c>
      <c r="Q3016" s="75">
        <f>IF(P3016&gt;0,1/P3016,NA())</f>
        <v>2.1191339079534437</v>
      </c>
      <c r="R3016" s="75">
        <f>F3016-F3015</f>
        <v>0.007943393307218827</v>
      </c>
      <c r="S3016" s="75">
        <f>0.5*(Q3015+Q3016)*R3016</f>
        <v>0.0168313940340926</v>
      </c>
      <c r="T3016" s="75">
        <f>0.5*(F3015*Q3015+F3016*Q3016)*R3016</f>
        <v>0.2442791078549999</v>
      </c>
      <c r="U3016" s="76">
        <f>U3015+S3016</f>
        <v>22.927215473227463</v>
      </c>
      <c r="V3016" s="76">
        <f>V3015+T3016</f>
        <v>196.62647233858468</v>
      </c>
    </row>
    <row r="3017" spans="1:22" ht="19" customHeight="1">
      <c r="A3017" s="68" t="s">
        <v>376</v>
      </c>
      <c r="B3017" s="74">
        <v>4</v>
      </c>
      <c r="C3017" s="68" t="s">
        <v>363</v>
      </c>
      <c r="D3017" s="68" t="s">
        <v>364</v>
      </c>
      <c r="E3017" s="75">
        <f>60*F3017*'THAM_SO_MOI'!$C$52/(2*PI()*'THAM_SO_MOI'!$C$26)</f>
        <v>2285.0894647972577</v>
      </c>
      <c r="F3017" s="75">
        <f>'HANH_TRINH'!$F$2468+('THAM_SO_MOI'!$F$52-'HANH_TRINH'!$F$2468)*548/'THAM_SO_MOI'!$C$42</f>
        <v>14.525216871656248</v>
      </c>
      <c r="G3017" s="75">
        <f>3.6*F3017</f>
        <v>52.29078073796249</v>
      </c>
      <c r="H3017" s="75">
        <f>'THAM_SO_MOI'!$D$52</f>
        <v>1.1774754878398197</v>
      </c>
      <c r="I3017" s="75">
        <f>IF(F3017&gt;'THAM_SO_MOI'!$C$14,'THAM_SO_MOI'!$C$13*(1+F3017^2/1500),'THAM_SO_MOI'!$C$13)</f>
        <v>0.015</v>
      </c>
      <c r="J3017" s="75">
        <f>'THAM_SO_MOI'!$C$40*('THAM_SO_MOI'!$C$23*(E3017/'THAM_SO_MOI'!$C$22)+'THAM_SO_MOI'!$C$24*(E3017/'THAM_SO_MOI'!$C$22)^2-'THAM_SO_MOI'!$C$25*(E3017/'THAM_SO_MOI'!$C$22)^3)</f>
        <v>102.74522922759466</v>
      </c>
      <c r="K3017" s="75">
        <f>'THAM_SO_MOI'!$C$31*J3017/E3017</f>
        <v>429.4491778844564</v>
      </c>
      <c r="L3017" s="75">
        <f>K3017*'THAM_SO_MOI'!$C$52*'THAM_SO_MOI'!$C$17/'THAM_SO_MOI'!$C$26</f>
        <v>6013.674285184206</v>
      </c>
      <c r="M3017" s="75">
        <f>'THAM_SO_MOI'!$C$15*'THAM_SO_MOI'!$C$16*F3017^2</f>
        <v>617.1221311182934</v>
      </c>
      <c r="N3017" s="75">
        <f>'THAM_SO_MOI'!$C$12*I3017</f>
        <v>1130.112</v>
      </c>
      <c r="O3017" s="75">
        <f>M3017+N3017</f>
        <v>1747.2341311182936</v>
      </c>
      <c r="P3017" s="75">
        <f>(MIN(L3017,'THAM_SO_MOI'!$C$41)-O3017)/('THAM_SO_MOI'!$C$11*H3017)</f>
        <v>0.4717941625659596</v>
      </c>
      <c r="Q3017" s="75">
        <f>IF(P3017&gt;0,1/P3017,NA())</f>
        <v>2.1195684036472033</v>
      </c>
      <c r="R3017" s="75">
        <f>F3017-F3016</f>
        <v>0.007943393307218827</v>
      </c>
      <c r="S3017" s="75">
        <f>0.5*(Q3016+Q3017)*R3017</f>
        <v>0.016834839786630775</v>
      </c>
      <c r="T3017" s="75">
        <f>0.5*(F3016*Q3016+F3017*Q3017)*R3017</f>
        <v>0.2444628428774523</v>
      </c>
      <c r="U3017" s="76">
        <f>U3016+S3017</f>
        <v>22.944050313014095</v>
      </c>
      <c r="V3017" s="76">
        <f>V3016+T3017</f>
        <v>196.87093518146213</v>
      </c>
    </row>
    <row r="3018" spans="1:22" ht="19" customHeight="1">
      <c r="A3018" s="68" t="s">
        <v>376</v>
      </c>
      <c r="B3018" s="74">
        <v>4</v>
      </c>
      <c r="C3018" s="68" t="s">
        <v>363</v>
      </c>
      <c r="D3018" s="68" t="s">
        <v>364</v>
      </c>
      <c r="E3018" s="75">
        <f>60*F3018*'THAM_SO_MOI'!$C$52/(2*PI()*'THAM_SO_MOI'!$C$26)</f>
        <v>2286.339109778221</v>
      </c>
      <c r="F3018" s="75">
        <f>'HANH_TRINH'!$F$2468+('THAM_SO_MOI'!$F$52-'HANH_TRINH'!$F$2468)*549/'THAM_SO_MOI'!$C$42</f>
        <v>14.533160264963467</v>
      </c>
      <c r="G3018" s="75">
        <f>3.6*F3018</f>
        <v>52.319376953868485</v>
      </c>
      <c r="H3018" s="75">
        <f>'THAM_SO_MOI'!$D$52</f>
        <v>1.1774754878398197</v>
      </c>
      <c r="I3018" s="75">
        <f>IF(F3018&gt;'THAM_SO_MOI'!$C$14,'THAM_SO_MOI'!$C$13*(1+F3018^2/1500),'THAM_SO_MOI'!$C$13)</f>
        <v>0.015</v>
      </c>
      <c r="J3018" s="75">
        <f>'THAM_SO_MOI'!$C$40*('THAM_SO_MOI'!$C$23*(E3018/'THAM_SO_MOI'!$C$22)+'THAM_SO_MOI'!$C$24*(E3018/'THAM_SO_MOI'!$C$22)^2-'THAM_SO_MOI'!$C$25*(E3018/'THAM_SO_MOI'!$C$22)^3)</f>
        <v>102.79796254367167</v>
      </c>
      <c r="K3018" s="75">
        <f>'THAM_SO_MOI'!$C$31*J3018/E3018</f>
        <v>429.4347452397012</v>
      </c>
      <c r="L3018" s="75">
        <f>K3018*'THAM_SO_MOI'!$C$52*'THAM_SO_MOI'!$C$17/'THAM_SO_MOI'!$C$26</f>
        <v>6013.472181584756</v>
      </c>
      <c r="M3018" s="75">
        <f>'THAM_SO_MOI'!$C$15*'THAM_SO_MOI'!$C$16*F3018^2</f>
        <v>617.7972858148055</v>
      </c>
      <c r="N3018" s="75">
        <f>'THAM_SO_MOI'!$C$12*I3018</f>
        <v>1130.112</v>
      </c>
      <c r="O3018" s="75">
        <f>M3018+N3018</f>
        <v>1747.9092858148056</v>
      </c>
      <c r="P3018" s="75">
        <f>(MIN(L3018,'THAM_SO_MOI'!$C$41)-O3018)/('THAM_SO_MOI'!$C$11*H3018)</f>
        <v>0.4716971530385429</v>
      </c>
      <c r="Q3018" s="75">
        <f>IF(P3018&gt;0,1/P3018,NA())</f>
        <v>2.120004315392357</v>
      </c>
      <c r="R3018" s="75">
        <f>F3018-F3017</f>
        <v>0.007943393307218827</v>
      </c>
      <c r="S3018" s="75">
        <f>0.5*(Q3017+Q3018)*R3018</f>
        <v>0.016838296780943184</v>
      </c>
      <c r="T3018" s="75">
        <f>0.5*(F3017*Q3017+F3018*Q3018)*R3018</f>
        <v>0.24464679597572342</v>
      </c>
      <c r="U3018" s="76">
        <f>U3017+S3018</f>
        <v>22.960888609795038</v>
      </c>
      <c r="V3018" s="76">
        <f>V3017+T3018</f>
        <v>197.11558197743784</v>
      </c>
    </row>
    <row r="3019" spans="1:22" ht="19" customHeight="1">
      <c r="A3019" s="68" t="s">
        <v>376</v>
      </c>
      <c r="B3019" s="74">
        <v>4</v>
      </c>
      <c r="C3019" s="68" t="s">
        <v>363</v>
      </c>
      <c r="D3019" s="68" t="s">
        <v>364</v>
      </c>
      <c r="E3019" s="75">
        <f>60*F3019*'THAM_SO_MOI'!$C$52/(2*PI()*'THAM_SO_MOI'!$C$26)</f>
        <v>2287.588754759184</v>
      </c>
      <c r="F3019" s="75">
        <f>'HANH_TRINH'!$F$2468+('THAM_SO_MOI'!$F$52-'HANH_TRINH'!$F$2468)*550/'THAM_SO_MOI'!$C$42</f>
        <v>14.541103658270686</v>
      </c>
      <c r="G3019" s="75">
        <f>3.6*F3019</f>
        <v>52.34797316977447</v>
      </c>
      <c r="H3019" s="75">
        <f>'THAM_SO_MOI'!$D$52</f>
        <v>1.1774754878398197</v>
      </c>
      <c r="I3019" s="75">
        <f>IF(F3019&gt;'THAM_SO_MOI'!$C$14,'THAM_SO_MOI'!$C$13*(1+F3019^2/1500),'THAM_SO_MOI'!$C$13)</f>
        <v>0.015</v>
      </c>
      <c r="J3019" s="75">
        <f>'THAM_SO_MOI'!$C$40*('THAM_SO_MOI'!$C$23*(E3019/'THAM_SO_MOI'!$C$22)+'THAM_SO_MOI'!$C$24*(E3019/'THAM_SO_MOI'!$C$22)^2-'THAM_SO_MOI'!$C$25*(E3019/'THAM_SO_MOI'!$C$22)^3)</f>
        <v>102.85065579729485</v>
      </c>
      <c r="K3019" s="75">
        <f>'THAM_SO_MOI'!$C$31*J3019/E3019</f>
        <v>429.42016109521825</v>
      </c>
      <c r="L3019" s="75">
        <f>K3019*'THAM_SO_MOI'!$C$52*'THAM_SO_MOI'!$C$17/'THAM_SO_MOI'!$C$26</f>
        <v>6013.26795650024</v>
      </c>
      <c r="M3019" s="75">
        <f>'THAM_SO_MOI'!$C$15*'THAM_SO_MOI'!$C$16*F3019^2</f>
        <v>618.4728096316765</v>
      </c>
      <c r="N3019" s="75">
        <f>'THAM_SO_MOI'!$C$12*I3019</f>
        <v>1130.112</v>
      </c>
      <c r="O3019" s="75">
        <f>M3019+N3019</f>
        <v>1748.5848096316765</v>
      </c>
      <c r="P3019" s="75">
        <f>(MIN(L3019,'THAM_SO_MOI'!$C$41)-O3019)/('THAM_SO_MOI'!$C$11*H3019)</f>
        <v>0.47159986809343407</v>
      </c>
      <c r="Q3019" s="75">
        <f>IF(P3019&gt;0,1/P3019,NA())</f>
        <v>2.120441644826496</v>
      </c>
      <c r="R3019" s="75">
        <f>F3019-F3018</f>
        <v>0.007943393307218827</v>
      </c>
      <c r="S3019" s="75">
        <f>0.5*(Q3018+Q3019)*R3019</f>
        <v>0.016841765030012775</v>
      </c>
      <c r="T3019" s="75">
        <f>0.5*(F3018*Q3018+F3019*Q3019)*R3019</f>
        <v>0.24483096760644169</v>
      </c>
      <c r="U3019" s="76">
        <f>U3018+S3019</f>
        <v>22.97773037482505</v>
      </c>
      <c r="V3019" s="76">
        <f>V3018+T3019</f>
        <v>197.3604129450443</v>
      </c>
    </row>
    <row r="3020" spans="1:22" ht="19" customHeight="1">
      <c r="A3020" s="68" t="s">
        <v>376</v>
      </c>
      <c r="B3020" s="74">
        <v>4</v>
      </c>
      <c r="C3020" s="68" t="s">
        <v>363</v>
      </c>
      <c r="D3020" s="68" t="s">
        <v>364</v>
      </c>
      <c r="E3020" s="75">
        <f>60*F3020*'THAM_SO_MOI'!$C$52/(2*PI()*'THAM_SO_MOI'!$C$26)</f>
        <v>2288.838399740148</v>
      </c>
      <c r="F3020" s="75">
        <f>'HANH_TRINH'!$F$2468+('THAM_SO_MOI'!$F$52-'HANH_TRINH'!$F$2468)*551/'THAM_SO_MOI'!$C$42</f>
        <v>14.549047051577906</v>
      </c>
      <c r="G3020" s="75">
        <f>3.6*F3020</f>
        <v>52.37656938568046</v>
      </c>
      <c r="H3020" s="75">
        <f>'THAM_SO_MOI'!$D$52</f>
        <v>1.1774754878398197</v>
      </c>
      <c r="I3020" s="75">
        <f>IF(F3020&gt;'THAM_SO_MOI'!$C$14,'THAM_SO_MOI'!$C$13*(1+F3020^2/1500),'THAM_SO_MOI'!$C$13)</f>
        <v>0.015</v>
      </c>
      <c r="J3020" s="75">
        <f>'THAM_SO_MOI'!$C$40*('THAM_SO_MOI'!$C$23*(E3020/'THAM_SO_MOI'!$C$22)+'THAM_SO_MOI'!$C$24*(E3020/'THAM_SO_MOI'!$C$22)^2-'THAM_SO_MOI'!$C$25*(E3020/'THAM_SO_MOI'!$C$22)^3)</f>
        <v>102.90330892899863</v>
      </c>
      <c r="K3020" s="75">
        <f>'THAM_SO_MOI'!$C$31*J3020/E3020</f>
        <v>429.4054254510079</v>
      </c>
      <c r="L3020" s="75">
        <f>K3020*'THAM_SO_MOI'!$C$52*'THAM_SO_MOI'!$C$17/'THAM_SO_MOI'!$C$26</f>
        <v>6013.061609930665</v>
      </c>
      <c r="M3020" s="75">
        <f>'THAM_SO_MOI'!$C$15*'THAM_SO_MOI'!$C$16*F3020^2</f>
        <v>619.1487025689062</v>
      </c>
      <c r="N3020" s="75">
        <f>'THAM_SO_MOI'!$C$12*I3020</f>
        <v>1130.112</v>
      </c>
      <c r="O3020" s="75">
        <f>M3020+N3020</f>
        <v>1749.2607025689063</v>
      </c>
      <c r="P3020" s="75">
        <f>(MIN(L3020,'THAM_SO_MOI'!$C$41)-O3020)/('THAM_SO_MOI'!$C$11*H3020)</f>
        <v>0.47150230773063395</v>
      </c>
      <c r="Q3020" s="75">
        <f>IF(P3020&gt;0,1/P3020,NA())</f>
        <v>2.12088039359352</v>
      </c>
      <c r="R3020" s="75">
        <f>F3020-F3019</f>
        <v>0.007943393307220603</v>
      </c>
      <c r="S3020" s="75">
        <f>0.5*(Q3019+Q3020)*R3020</f>
        <v>0.0168452445468764</v>
      </c>
      <c r="T3020" s="75">
        <f>0.5*(F3019*Q3019+F3020*Q3020)*R3020</f>
        <v>0.24501535822743212</v>
      </c>
      <c r="U3020" s="76">
        <f>U3019+S3020</f>
        <v>22.994575619371926</v>
      </c>
      <c r="V3020" s="76">
        <f>V3019+T3020</f>
        <v>197.6054283032717</v>
      </c>
    </row>
    <row r="3021" spans="1:22" ht="19" customHeight="1">
      <c r="A3021" s="68" t="s">
        <v>376</v>
      </c>
      <c r="B3021" s="74">
        <v>4</v>
      </c>
      <c r="C3021" s="68" t="s">
        <v>363</v>
      </c>
      <c r="D3021" s="68" t="s">
        <v>364</v>
      </c>
      <c r="E3021" s="75">
        <f>60*F3021*'THAM_SO_MOI'!$C$52/(2*PI()*'THAM_SO_MOI'!$C$26)</f>
        <v>2290.088044721111</v>
      </c>
      <c r="F3021" s="75">
        <f>'HANH_TRINH'!$F$2468+('THAM_SO_MOI'!$F$52-'HANH_TRINH'!$F$2468)*552/'THAM_SO_MOI'!$C$42</f>
        <v>14.556990444885127</v>
      </c>
      <c r="G3021" s="75">
        <f>3.6*F3021</f>
        <v>52.40516560158646</v>
      </c>
      <c r="H3021" s="75">
        <f>'THAM_SO_MOI'!$D$52</f>
        <v>1.1774754878398197</v>
      </c>
      <c r="I3021" s="75">
        <f>IF(F3021&gt;'THAM_SO_MOI'!$C$14,'THAM_SO_MOI'!$C$13*(1+F3021^2/1500),'THAM_SO_MOI'!$C$13)</f>
        <v>0.015</v>
      </c>
      <c r="J3021" s="75">
        <f>'THAM_SO_MOI'!$C$40*('THAM_SO_MOI'!$C$23*(E3021/'THAM_SO_MOI'!$C$22)+'THAM_SO_MOI'!$C$24*(E3021/'THAM_SO_MOI'!$C$22)^2-'THAM_SO_MOI'!$C$25*(E3021/'THAM_SO_MOI'!$C$22)^3)</f>
        <v>102.95592187931726</v>
      </c>
      <c r="K3021" s="75">
        <f>'THAM_SO_MOI'!$C$31*J3021/E3021</f>
        <v>429.39053830707013</v>
      </c>
      <c r="L3021" s="75">
        <f>K3021*'THAM_SO_MOI'!$C$52*'THAM_SO_MOI'!$C$17/'THAM_SO_MOI'!$C$26</f>
        <v>6012.853141876029</v>
      </c>
      <c r="M3021" s="75">
        <f>'THAM_SO_MOI'!$C$15*'THAM_SO_MOI'!$C$16*F3021^2</f>
        <v>619.824964626495</v>
      </c>
      <c r="N3021" s="75">
        <f>'THAM_SO_MOI'!$C$12*I3021</f>
        <v>1130.112</v>
      </c>
      <c r="O3021" s="75">
        <f>M3021+N3021</f>
        <v>1749.936964626495</v>
      </c>
      <c r="P3021" s="75">
        <f>(MIN(L3021,'THAM_SO_MOI'!$C$41)-O3021)/('THAM_SO_MOI'!$C$11*H3021)</f>
        <v>0.4714044719501424</v>
      </c>
      <c r="Q3021" s="75">
        <f>IF(P3021&gt;0,1/P3021,NA())</f>
        <v>2.121320563343667</v>
      </c>
      <c r="R3021" s="75">
        <f>F3021-F3020</f>
        <v>0.007943393307220603</v>
      </c>
      <c r="S3021" s="75">
        <f>0.5*(Q3020+Q3021)*R3021</f>
        <v>0.016848735344609848</v>
      </c>
      <c r="T3021" s="75">
        <f>0.5*(F3020*Q3020+F3021*Q3021)*R3021</f>
        <v>0.2451999682975005</v>
      </c>
      <c r="U3021" s="76">
        <f>U3020+S3021</f>
        <v>23.011424354716535</v>
      </c>
      <c r="V3021" s="76">
        <f>V3020+T3021</f>
        <v>197.8506282715692</v>
      </c>
    </row>
    <row r="3022" spans="1:22" ht="19" customHeight="1">
      <c r="A3022" s="68" t="s">
        <v>376</v>
      </c>
      <c r="B3022" s="74">
        <v>4</v>
      </c>
      <c r="C3022" s="68" t="s">
        <v>363</v>
      </c>
      <c r="D3022" s="68" t="s">
        <v>364</v>
      </c>
      <c r="E3022" s="75">
        <f>60*F3022*'THAM_SO_MOI'!$C$52/(2*PI()*'THAM_SO_MOI'!$C$26)</f>
        <v>2291.337689702074</v>
      </c>
      <c r="F3022" s="75">
        <f>'HANH_TRINH'!$F$2468+('THAM_SO_MOI'!$F$52-'HANH_TRINH'!$F$2468)*553/'THAM_SO_MOI'!$C$42</f>
        <v>14.564933838192346</v>
      </c>
      <c r="G3022" s="75">
        <f>3.6*F3022</f>
        <v>52.433761817492446</v>
      </c>
      <c r="H3022" s="75">
        <f>'THAM_SO_MOI'!$D$52</f>
        <v>1.1774754878398197</v>
      </c>
      <c r="I3022" s="75">
        <f>IF(F3022&gt;'THAM_SO_MOI'!$C$14,'THAM_SO_MOI'!$C$13*(1+F3022^2/1500),'THAM_SO_MOI'!$C$13)</f>
        <v>0.015</v>
      </c>
      <c r="J3022" s="75">
        <f>'THAM_SO_MOI'!$C$40*('THAM_SO_MOI'!$C$23*(E3022/'THAM_SO_MOI'!$C$22)+'THAM_SO_MOI'!$C$24*(E3022/'THAM_SO_MOI'!$C$22)^2-'THAM_SO_MOI'!$C$25*(E3022/'THAM_SO_MOI'!$C$22)^3)</f>
        <v>103.00849458878503</v>
      </c>
      <c r="K3022" s="75">
        <f>'THAM_SO_MOI'!$C$31*J3022/E3022</f>
        <v>429.37549966340487</v>
      </c>
      <c r="L3022" s="75">
        <f>K3022*'THAM_SO_MOI'!$C$52*'THAM_SO_MOI'!$C$17/'THAM_SO_MOI'!$C$26</f>
        <v>6012.642552336332</v>
      </c>
      <c r="M3022" s="75">
        <f>'THAM_SO_MOI'!$C$15*'THAM_SO_MOI'!$C$16*F3022^2</f>
        <v>620.5015958044423</v>
      </c>
      <c r="N3022" s="75">
        <f>'THAM_SO_MOI'!$C$12*I3022</f>
        <v>1130.112</v>
      </c>
      <c r="O3022" s="75">
        <f>M3022+N3022</f>
        <v>1750.6135958044424</v>
      </c>
      <c r="P3022" s="75">
        <f>(MIN(L3022,'THAM_SO_MOI'!$C$41)-O3022)/('THAM_SO_MOI'!$C$11*H3022)</f>
        <v>0.4713063607519592</v>
      </c>
      <c r="Q3022" s="75">
        <f>IF(P3022&gt;0,1/P3022,NA())</f>
        <v>2.1217621557335264</v>
      </c>
      <c r="R3022" s="75">
        <f>F3022-F3021</f>
        <v>0.007943393307218827</v>
      </c>
      <c r="S3022" s="75">
        <f>0.5*(Q3021+Q3022)*R3022</f>
        <v>0.01685223743634682</v>
      </c>
      <c r="T3022" s="75">
        <f>0.5*(F3021*Q3021+F3022*Q3022)*R3022</f>
        <v>0.2453847982767115</v>
      </c>
      <c r="U3022" s="76">
        <f>U3021+S3022</f>
        <v>23.02827659215288</v>
      </c>
      <c r="V3022" s="76">
        <f>V3021+T3022</f>
        <v>198.09601306984592</v>
      </c>
    </row>
    <row r="3023" spans="1:22" ht="19" customHeight="1">
      <c r="A3023" s="68" t="s">
        <v>376</v>
      </c>
      <c r="B3023" s="74">
        <v>4</v>
      </c>
      <c r="C3023" s="68" t="s">
        <v>363</v>
      </c>
      <c r="D3023" s="68" t="s">
        <v>364</v>
      </c>
      <c r="E3023" s="75">
        <f>60*F3023*'THAM_SO_MOI'!$C$52/(2*PI()*'THAM_SO_MOI'!$C$26)</f>
        <v>2292.587334683037</v>
      </c>
      <c r="F3023" s="75">
        <f>'HANH_TRINH'!$F$2468+('THAM_SO_MOI'!$F$52-'HANH_TRINH'!$F$2468)*554/'THAM_SO_MOI'!$C$42</f>
        <v>14.572877231499564</v>
      </c>
      <c r="G3023" s="75">
        <f>3.6*F3023</f>
        <v>52.46235803339843</v>
      </c>
      <c r="H3023" s="75">
        <f>'THAM_SO_MOI'!$D$52</f>
        <v>1.1774754878398197</v>
      </c>
      <c r="I3023" s="75">
        <f>IF(F3023&gt;'THAM_SO_MOI'!$C$14,'THAM_SO_MOI'!$C$13*(1+F3023^2/1500),'THAM_SO_MOI'!$C$13)</f>
        <v>0.015</v>
      </c>
      <c r="J3023" s="75">
        <f>'THAM_SO_MOI'!$C$40*('THAM_SO_MOI'!$C$23*(E3023/'THAM_SO_MOI'!$C$22)+'THAM_SO_MOI'!$C$24*(E3023/'THAM_SO_MOI'!$C$22)^2-'THAM_SO_MOI'!$C$25*(E3023/'THAM_SO_MOI'!$C$22)^3)</f>
        <v>103.06102699793632</v>
      </c>
      <c r="K3023" s="75">
        <f>'THAM_SO_MOI'!$C$31*J3023/E3023</f>
        <v>429.3603095200121</v>
      </c>
      <c r="L3023" s="75">
        <f>K3023*'THAM_SO_MOI'!$C$52*'THAM_SO_MOI'!$C$17/'THAM_SO_MOI'!$C$26</f>
        <v>6012.429841311575</v>
      </c>
      <c r="M3023" s="75">
        <f>'THAM_SO_MOI'!$C$15*'THAM_SO_MOI'!$C$16*F3023^2</f>
        <v>621.1785961027483</v>
      </c>
      <c r="N3023" s="75">
        <f>'THAM_SO_MOI'!$C$12*I3023</f>
        <v>1130.112</v>
      </c>
      <c r="O3023" s="75">
        <f>M3023+N3023</f>
        <v>1751.2905961027484</v>
      </c>
      <c r="P3023" s="75">
        <f>(MIN(L3023,'THAM_SO_MOI'!$C$41)-O3023)/('THAM_SO_MOI'!$C$11*H3023)</f>
        <v>0.4712079741360846</v>
      </c>
      <c r="Q3023" s="75">
        <f>IF(P3023&gt;0,1/P3023,NA())</f>
        <v>2.122205172426052</v>
      </c>
      <c r="R3023" s="75">
        <f>F3023-F3022</f>
        <v>0.007943393307218827</v>
      </c>
      <c r="S3023" s="75">
        <f>0.5*(Q3022+Q3023)*R3023</f>
        <v>0.01685575083527908</v>
      </c>
      <c r="T3023" s="75">
        <f>0.5*(F3022*Q3022+F3023*Q3023)*R3023</f>
        <v>0.24556984862639283</v>
      </c>
      <c r="U3023" s="76">
        <f>U3022+S3023</f>
        <v>23.04513234298816</v>
      </c>
      <c r="V3023" s="76">
        <f>V3022+T3023</f>
        <v>198.3415829184723</v>
      </c>
    </row>
    <row r="3024" spans="1:22" ht="19" customHeight="1">
      <c r="A3024" s="68" t="s">
        <v>376</v>
      </c>
      <c r="B3024" s="74">
        <v>4</v>
      </c>
      <c r="C3024" s="68" t="s">
        <v>363</v>
      </c>
      <c r="D3024" s="68" t="s">
        <v>364</v>
      </c>
      <c r="E3024" s="75">
        <f>60*F3024*'THAM_SO_MOI'!$C$52/(2*PI()*'THAM_SO_MOI'!$C$26)</f>
        <v>2293.8369796640004</v>
      </c>
      <c r="F3024" s="75">
        <f>'HANH_TRINH'!$F$2468+('THAM_SO_MOI'!$F$52-'HANH_TRINH'!$F$2468)*555/'THAM_SO_MOI'!$C$42</f>
        <v>14.580820624806783</v>
      </c>
      <c r="G3024" s="75">
        <f>3.6*F3024</f>
        <v>52.49095424930442</v>
      </c>
      <c r="H3024" s="75">
        <f>'THAM_SO_MOI'!$D$52</f>
        <v>1.1774754878398197</v>
      </c>
      <c r="I3024" s="75">
        <f>IF(F3024&gt;'THAM_SO_MOI'!$C$14,'THAM_SO_MOI'!$C$13*(1+F3024^2/1500),'THAM_SO_MOI'!$C$13)</f>
        <v>0.015</v>
      </c>
      <c r="J3024" s="75">
        <f>'THAM_SO_MOI'!$C$40*('THAM_SO_MOI'!$C$23*(E3024/'THAM_SO_MOI'!$C$22)+'THAM_SO_MOI'!$C$24*(E3024/'THAM_SO_MOI'!$C$22)^2-'THAM_SO_MOI'!$C$25*(E3024/'THAM_SO_MOI'!$C$22)^3)</f>
        <v>103.11351904730539</v>
      </c>
      <c r="K3024" s="75">
        <f>'THAM_SO_MOI'!$C$31*J3024/E3024</f>
        <v>429.34496787689176</v>
      </c>
      <c r="L3024" s="75">
        <f>K3024*'THAM_SO_MOI'!$C$52*'THAM_SO_MOI'!$C$17/'THAM_SO_MOI'!$C$26</f>
        <v>6012.215008801754</v>
      </c>
      <c r="M3024" s="75">
        <f>'THAM_SO_MOI'!$C$15*'THAM_SO_MOI'!$C$16*F3024^2</f>
        <v>621.8559655214134</v>
      </c>
      <c r="N3024" s="75">
        <f>'THAM_SO_MOI'!$C$12*I3024</f>
        <v>1130.112</v>
      </c>
      <c r="O3024" s="75">
        <f>M3024+N3024</f>
        <v>1751.9679655214136</v>
      </c>
      <c r="P3024" s="75">
        <f>(MIN(L3024,'THAM_SO_MOI'!$C$41)-O3024)/('THAM_SO_MOI'!$C$11*H3024)</f>
        <v>0.47110931210251816</v>
      </c>
      <c r="Q3024" s="75">
        <f>IF(P3024&gt;0,1/P3024,NA())</f>
        <v>2.1226496150905843</v>
      </c>
      <c r="R3024" s="75">
        <f>F3024-F3023</f>
        <v>0.007943393307218827</v>
      </c>
      <c r="S3024" s="75">
        <f>0.5*(Q3023+Q3024)*R3024</f>
        <v>0.01685927555463772</v>
      </c>
      <c r="T3024" s="75">
        <f>0.5*(F3023*Q3023+F3024*Q3024)*R3024</f>
        <v>0.2457551198088648</v>
      </c>
      <c r="U3024" s="76">
        <f>U3023+S3024</f>
        <v>23.061991618542798</v>
      </c>
      <c r="V3024" s="76">
        <f>V3023+T3024</f>
        <v>198.5873380382812</v>
      </c>
    </row>
    <row r="3025" spans="1:22" ht="19" customHeight="1">
      <c r="A3025" s="68" t="s">
        <v>376</v>
      </c>
      <c r="B3025" s="74">
        <v>4</v>
      </c>
      <c r="C3025" s="68" t="s">
        <v>363</v>
      </c>
      <c r="D3025" s="68" t="s">
        <v>364</v>
      </c>
      <c r="E3025" s="75">
        <f>60*F3025*'THAM_SO_MOI'!$C$52/(2*PI()*'THAM_SO_MOI'!$C$26)</f>
        <v>2295.086624644964</v>
      </c>
      <c r="F3025" s="75">
        <f>'HANH_TRINH'!$F$2468+('THAM_SO_MOI'!$F$52-'HANH_TRINH'!$F$2468)*556/'THAM_SO_MOI'!$C$42</f>
        <v>14.588764018114004</v>
      </c>
      <c r="G3025" s="75">
        <f>3.6*F3025</f>
        <v>52.519550465210415</v>
      </c>
      <c r="H3025" s="75">
        <f>'THAM_SO_MOI'!$D$52</f>
        <v>1.1774754878398197</v>
      </c>
      <c r="I3025" s="75">
        <f>IF(F3025&gt;'THAM_SO_MOI'!$C$14,'THAM_SO_MOI'!$C$13*(1+F3025^2/1500),'THAM_SO_MOI'!$C$13)</f>
        <v>0.015</v>
      </c>
      <c r="J3025" s="75">
        <f>'THAM_SO_MOI'!$C$40*('THAM_SO_MOI'!$C$23*(E3025/'THAM_SO_MOI'!$C$22)+'THAM_SO_MOI'!$C$24*(E3025/'THAM_SO_MOI'!$C$22)^2-'THAM_SO_MOI'!$C$25*(E3025/'THAM_SO_MOI'!$C$22)^3)</f>
        <v>103.16597067742661</v>
      </c>
      <c r="K3025" s="75">
        <f>'THAM_SO_MOI'!$C$31*J3025/E3025</f>
        <v>429.329474734044</v>
      </c>
      <c r="L3025" s="75">
        <f>K3025*'THAM_SO_MOI'!$C$52*'THAM_SO_MOI'!$C$17/'THAM_SO_MOI'!$C$26</f>
        <v>6011.998054806874</v>
      </c>
      <c r="M3025" s="75">
        <f>'THAM_SO_MOI'!$C$15*'THAM_SO_MOI'!$C$16*F3025^2</f>
        <v>622.5337040604373</v>
      </c>
      <c r="N3025" s="75">
        <f>'THAM_SO_MOI'!$C$12*I3025</f>
        <v>1130.112</v>
      </c>
      <c r="O3025" s="75">
        <f>M3025+N3025</f>
        <v>1752.6457040604373</v>
      </c>
      <c r="P3025" s="75">
        <f>(MIN(L3025,'THAM_SO_MOI'!$C$41)-O3025)/('THAM_SO_MOI'!$C$11*H3025)</f>
        <v>0.47101037465126033</v>
      </c>
      <c r="Q3025" s="75">
        <f>IF(P3025&gt;0,1/P3025,NA())</f>
        <v>2.123095485402859</v>
      </c>
      <c r="R3025" s="75">
        <f>F3025-F3024</f>
        <v>0.007943393307220603</v>
      </c>
      <c r="S3025" s="75">
        <f>0.5*(Q3024+Q3025)*R3025</f>
        <v>0.016862811607712143</v>
      </c>
      <c r="T3025" s="75">
        <f>0.5*(F3024*Q3024+F3025*Q3025)*R3025</f>
        <v>0.24594061228771844</v>
      </c>
      <c r="U3025" s="76">
        <f>U3024+S3025</f>
        <v>23.07885443015051</v>
      </c>
      <c r="V3025" s="76">
        <f>V3024+T3025</f>
        <v>198.8332786505689</v>
      </c>
    </row>
    <row r="3026" spans="1:22" ht="19" customHeight="1">
      <c r="A3026" s="68" t="s">
        <v>376</v>
      </c>
      <c r="B3026" s="74">
        <v>4</v>
      </c>
      <c r="C3026" s="68" t="s">
        <v>363</v>
      </c>
      <c r="D3026" s="68" t="s">
        <v>364</v>
      </c>
      <c r="E3026" s="75">
        <f>60*F3026*'THAM_SO_MOI'!$C$52/(2*PI()*'THAM_SO_MOI'!$C$26)</f>
        <v>2296.336269625927</v>
      </c>
      <c r="F3026" s="75">
        <f>'HANH_TRINH'!$F$2468+('THAM_SO_MOI'!$F$52-'HANH_TRINH'!$F$2468)*557/'THAM_SO_MOI'!$C$42</f>
        <v>14.596707411421223</v>
      </c>
      <c r="G3026" s="75">
        <f>3.6*F3026</f>
        <v>52.5481466811164</v>
      </c>
      <c r="H3026" s="75">
        <f>'THAM_SO_MOI'!$D$52</f>
        <v>1.1774754878398197</v>
      </c>
      <c r="I3026" s="75">
        <f>IF(F3026&gt;'THAM_SO_MOI'!$C$14,'THAM_SO_MOI'!$C$13*(1+F3026^2/1500),'THAM_SO_MOI'!$C$13)</f>
        <v>0.015</v>
      </c>
      <c r="J3026" s="75">
        <f>'THAM_SO_MOI'!$C$40*('THAM_SO_MOI'!$C$23*(E3026/'THAM_SO_MOI'!$C$22)+'THAM_SO_MOI'!$C$24*(E3026/'THAM_SO_MOI'!$C$22)^2-'THAM_SO_MOI'!$C$25*(E3026/'THAM_SO_MOI'!$C$22)^3)</f>
        <v>103.21838182883427</v>
      </c>
      <c r="K3026" s="75">
        <f>'THAM_SO_MOI'!$C$31*J3026/E3026</f>
        <v>429.31383009146896</v>
      </c>
      <c r="L3026" s="75">
        <f>K3026*'THAM_SO_MOI'!$C$52*'THAM_SO_MOI'!$C$17/'THAM_SO_MOI'!$C$26</f>
        <v>6011.778979326935</v>
      </c>
      <c r="M3026" s="75">
        <f>'THAM_SO_MOI'!$C$15*'THAM_SO_MOI'!$C$16*F3026^2</f>
        <v>623.2118117198198</v>
      </c>
      <c r="N3026" s="75">
        <f>'THAM_SO_MOI'!$C$12*I3026</f>
        <v>1130.112</v>
      </c>
      <c r="O3026" s="75">
        <f>M3026+N3026</f>
        <v>1753.3238117198198</v>
      </c>
      <c r="P3026" s="75">
        <f>(MIN(L3026,'THAM_SO_MOI'!$C$41)-O3026)/('THAM_SO_MOI'!$C$11*H3026)</f>
        <v>0.47091116178231124</v>
      </c>
      <c r="Q3026" s="75">
        <f>IF(P3026&gt;0,1/P3026,NA())</f>
        <v>2.1235427850450304</v>
      </c>
      <c r="R3026" s="75">
        <f>F3026-F3025</f>
        <v>0.007943393307218827</v>
      </c>
      <c r="S3026" s="75">
        <f>0.5*(Q3025+Q3026)*R3026</f>
        <v>0.01686635900782755</v>
      </c>
      <c r="T3026" s="75">
        <f>0.5*(F3025*Q3025+F3026*Q3026)*R3026</f>
        <v>0.2461263265274895</v>
      </c>
      <c r="U3026" s="76">
        <f>U3025+S3026</f>
        <v>23.09572078915834</v>
      </c>
      <c r="V3026" s="76">
        <f>V3025+T3026</f>
        <v>199.0794049770964</v>
      </c>
    </row>
    <row r="3027" spans="1:22" ht="19" customHeight="1">
      <c r="A3027" s="68" t="s">
        <v>376</v>
      </c>
      <c r="B3027" s="74">
        <v>4</v>
      </c>
      <c r="C3027" s="68" t="s">
        <v>363</v>
      </c>
      <c r="D3027" s="68" t="s">
        <v>364</v>
      </c>
      <c r="E3027" s="75">
        <f>60*F3027*'THAM_SO_MOI'!$C$52/(2*PI()*'THAM_SO_MOI'!$C$26)</f>
        <v>2297.5859146068906</v>
      </c>
      <c r="F3027" s="75">
        <f>'HANH_TRINH'!$F$2468+('THAM_SO_MOI'!$F$52-'HANH_TRINH'!$F$2468)*558/'THAM_SO_MOI'!$C$42</f>
        <v>14.604650804728443</v>
      </c>
      <c r="G3027" s="75">
        <f>3.6*F3027</f>
        <v>52.5767428970224</v>
      </c>
      <c r="H3027" s="75">
        <f>'THAM_SO_MOI'!$D$52</f>
        <v>1.1774754878398197</v>
      </c>
      <c r="I3027" s="75">
        <f>IF(F3027&gt;'THAM_SO_MOI'!$C$14,'THAM_SO_MOI'!$C$13*(1+F3027^2/1500),'THAM_SO_MOI'!$C$13)</f>
        <v>0.015</v>
      </c>
      <c r="J3027" s="75">
        <f>'THAM_SO_MOI'!$C$40*('THAM_SO_MOI'!$C$23*(E3027/'THAM_SO_MOI'!$C$22)+'THAM_SO_MOI'!$C$24*(E3027/'THAM_SO_MOI'!$C$22)^2-'THAM_SO_MOI'!$C$25*(E3027/'THAM_SO_MOI'!$C$22)^3)</f>
        <v>103.27075244206264</v>
      </c>
      <c r="K3027" s="75">
        <f>'THAM_SO_MOI'!$C$31*J3027/E3027</f>
        <v>429.2980339491662</v>
      </c>
      <c r="L3027" s="75">
        <f>K3027*'THAM_SO_MOI'!$C$52*'THAM_SO_MOI'!$C$17/'THAM_SO_MOI'!$C$26</f>
        <v>6011.5577823619315</v>
      </c>
      <c r="M3027" s="75">
        <f>'THAM_SO_MOI'!$C$15*'THAM_SO_MOI'!$C$16*F3027^2</f>
        <v>623.8902884995614</v>
      </c>
      <c r="N3027" s="75">
        <f>'THAM_SO_MOI'!$C$12*I3027</f>
        <v>1130.112</v>
      </c>
      <c r="O3027" s="75">
        <f>M3027+N3027</f>
        <v>1754.0022884995615</v>
      </c>
      <c r="P3027" s="75">
        <f>(MIN(L3027,'THAM_SO_MOI'!$C$41)-O3027)/('THAM_SO_MOI'!$C$11*H3027)</f>
        <v>0.47081167349567016</v>
      </c>
      <c r="Q3027" s="75">
        <f>IF(P3027&gt;0,1/P3027,NA())</f>
        <v>2.123991515705688</v>
      </c>
      <c r="R3027" s="75">
        <f>F3027-F3026</f>
        <v>0.007943393307220603</v>
      </c>
      <c r="S3027" s="75">
        <f>0.5*(Q3026+Q3027)*R3027</f>
        <v>0.0168699177683866</v>
      </c>
      <c r="T3027" s="75">
        <f>0.5*(F3026*Q3026+F3027*Q3027)*R3027</f>
        <v>0.24631226299426803</v>
      </c>
      <c r="U3027" s="76">
        <f>U3026+S3027</f>
        <v>23.112590706926724</v>
      </c>
      <c r="V3027" s="76">
        <f>V3026+T3027</f>
        <v>199.32571724009068</v>
      </c>
    </row>
    <row r="3028" spans="1:22" ht="19" customHeight="1">
      <c r="A3028" s="68" t="s">
        <v>376</v>
      </c>
      <c r="B3028" s="74">
        <v>4</v>
      </c>
      <c r="C3028" s="68" t="s">
        <v>363</v>
      </c>
      <c r="D3028" s="68" t="s">
        <v>364</v>
      </c>
      <c r="E3028" s="75">
        <f>60*F3028*'THAM_SO_MOI'!$C$52/(2*PI()*'THAM_SO_MOI'!$C$26)</f>
        <v>2298.835559587854</v>
      </c>
      <c r="F3028" s="75">
        <f>'HANH_TRINH'!$F$2468+('THAM_SO_MOI'!$F$52-'HANH_TRINH'!$F$2468)*559/'THAM_SO_MOI'!$C$42</f>
        <v>14.612594198035662</v>
      </c>
      <c r="G3028" s="75">
        <f>3.6*F3028</f>
        <v>52.605339112928384</v>
      </c>
      <c r="H3028" s="75">
        <f>'THAM_SO_MOI'!$D$52</f>
        <v>1.1774754878398197</v>
      </c>
      <c r="I3028" s="75">
        <f>IF(F3028&gt;'THAM_SO_MOI'!$C$14,'THAM_SO_MOI'!$C$13*(1+F3028^2/1500),'THAM_SO_MOI'!$C$13)</f>
        <v>0.015</v>
      </c>
      <c r="J3028" s="75">
        <f>'THAM_SO_MOI'!$C$40*('THAM_SO_MOI'!$C$23*(E3028/'THAM_SO_MOI'!$C$22)+'THAM_SO_MOI'!$C$24*(E3028/'THAM_SO_MOI'!$C$22)^2-'THAM_SO_MOI'!$C$25*(E3028/'THAM_SO_MOI'!$C$22)^3)</f>
        <v>103.32308245764611</v>
      </c>
      <c r="K3028" s="75">
        <f>'THAM_SO_MOI'!$C$31*J3028/E3028</f>
        <v>429.2820863071361</v>
      </c>
      <c r="L3028" s="75">
        <f>K3028*'THAM_SO_MOI'!$C$52*'THAM_SO_MOI'!$C$17/'THAM_SO_MOI'!$C$26</f>
        <v>6011.3344639118695</v>
      </c>
      <c r="M3028" s="75">
        <f>'THAM_SO_MOI'!$C$15*'THAM_SO_MOI'!$C$16*F3028^2</f>
        <v>624.5691343996616</v>
      </c>
      <c r="N3028" s="75">
        <f>'THAM_SO_MOI'!$C$12*I3028</f>
        <v>1130.112</v>
      </c>
      <c r="O3028" s="75">
        <f>M3028+N3028</f>
        <v>1754.6811343996617</v>
      </c>
      <c r="P3028" s="75">
        <f>(MIN(L3028,'THAM_SO_MOI'!$C$41)-O3028)/('THAM_SO_MOI'!$C$11*H3028)</f>
        <v>0.4707119097913379</v>
      </c>
      <c r="Q3028" s="75">
        <f>IF(P3028&gt;0,1/P3028,NA())</f>
        <v>2.1244416790798653</v>
      </c>
      <c r="R3028" s="75">
        <f>F3028-F3027</f>
        <v>0.007943393307218827</v>
      </c>
      <c r="S3028" s="75">
        <f>0.5*(Q3027+Q3028)*R3028</f>
        <v>0.01687348790281293</v>
      </c>
      <c r="T3028" s="75">
        <f>0.5*(F3027*Q3027+F3028*Q3028)*R3028</f>
        <v>0.2464984221548764</v>
      </c>
      <c r="U3028" s="76">
        <f>U3027+S3028</f>
        <v>23.129464194829538</v>
      </c>
      <c r="V3028" s="76">
        <f>V3027+T3028</f>
        <v>199.57221566224555</v>
      </c>
    </row>
    <row r="3029" spans="1:22" ht="19" customHeight="1">
      <c r="A3029" s="68" t="s">
        <v>376</v>
      </c>
      <c r="B3029" s="74">
        <v>4</v>
      </c>
      <c r="C3029" s="68" t="s">
        <v>363</v>
      </c>
      <c r="D3029" s="68" t="s">
        <v>364</v>
      </c>
      <c r="E3029" s="75">
        <f>60*F3029*'THAM_SO_MOI'!$C$52/(2*PI()*'THAM_SO_MOI'!$C$26)</f>
        <v>2300.085204568817</v>
      </c>
      <c r="F3029" s="75">
        <f>'HANH_TRINH'!$F$2468+('THAM_SO_MOI'!$F$52-'HANH_TRINH'!$F$2468)*560/'THAM_SO_MOI'!$C$42</f>
        <v>14.620537591342881</v>
      </c>
      <c r="G3029" s="75">
        <f>3.6*F3029</f>
        <v>52.633935328834376</v>
      </c>
      <c r="H3029" s="75">
        <f>'THAM_SO_MOI'!$D$52</f>
        <v>1.1774754878398197</v>
      </c>
      <c r="I3029" s="75">
        <f>IF(F3029&gt;'THAM_SO_MOI'!$C$14,'THAM_SO_MOI'!$C$13*(1+F3029^2/1500),'THAM_SO_MOI'!$C$13)</f>
        <v>0.015</v>
      </c>
      <c r="J3029" s="75">
        <f>'THAM_SO_MOI'!$C$40*('THAM_SO_MOI'!$C$23*(E3029/'THAM_SO_MOI'!$C$22)+'THAM_SO_MOI'!$C$24*(E3029/'THAM_SO_MOI'!$C$22)^2-'THAM_SO_MOI'!$C$25*(E3029/'THAM_SO_MOI'!$C$22)^3)</f>
        <v>103.3753718161189</v>
      </c>
      <c r="K3029" s="75">
        <f>'THAM_SO_MOI'!$C$31*J3029/E3029</f>
        <v>429.26598716537836</v>
      </c>
      <c r="L3029" s="75">
        <f>K3029*'THAM_SO_MOI'!$C$52*'THAM_SO_MOI'!$C$17/'THAM_SO_MOI'!$C$26</f>
        <v>6011.109023976744</v>
      </c>
      <c r="M3029" s="75">
        <f>'THAM_SO_MOI'!$C$15*'THAM_SO_MOI'!$C$16*F3029^2</f>
        <v>625.2483494201206</v>
      </c>
      <c r="N3029" s="75">
        <f>'THAM_SO_MOI'!$C$12*I3029</f>
        <v>1130.112</v>
      </c>
      <c r="O3029" s="75">
        <f>M3029+N3029</f>
        <v>1755.3603494201207</v>
      </c>
      <c r="P3029" s="75">
        <f>(MIN(L3029,'THAM_SO_MOI'!$C$41)-O3029)/('THAM_SO_MOI'!$C$11*H3029)</f>
        <v>0.47061187066931376</v>
      </c>
      <c r="Q3029" s="75">
        <f>IF(P3029&gt;0,1/P3029,NA())</f>
        <v>2.124893276869068</v>
      </c>
      <c r="R3029" s="75">
        <f>F3029-F3028</f>
        <v>0.007943393307218827</v>
      </c>
      <c r="S3029" s="75">
        <f>0.5*(Q3028+Q3029)*R3029</f>
        <v>0.01687706942460788</v>
      </c>
      <c r="T3029" s="75">
        <f>0.5*(F3028*Q3028+F3029*Q3029)*R3029</f>
        <v>0.24668480447769922</v>
      </c>
      <c r="U3029" s="76">
        <f>U3028+S3029</f>
        <v>23.146341264254147</v>
      </c>
      <c r="V3029" s="76">
        <f>V3028+T3029</f>
        <v>199.81890046672325</v>
      </c>
    </row>
    <row r="3030" spans="1:22" ht="19" customHeight="1">
      <c r="A3030" s="68" t="s">
        <v>376</v>
      </c>
      <c r="B3030" s="74">
        <v>4</v>
      </c>
      <c r="C3030" s="68" t="s">
        <v>363</v>
      </c>
      <c r="D3030" s="68" t="s">
        <v>364</v>
      </c>
      <c r="E3030" s="75">
        <f>60*F3030*'THAM_SO_MOI'!$C$52/(2*PI()*'THAM_SO_MOI'!$C$26)</f>
        <v>2301.3348495497803</v>
      </c>
      <c r="F3030" s="75">
        <f>'HANH_TRINH'!$F$2468+('THAM_SO_MOI'!$F$52-'HANH_TRINH'!$F$2468)*561/'THAM_SO_MOI'!$C$42</f>
        <v>14.6284809846501</v>
      </c>
      <c r="G3030" s="75">
        <f>3.6*F3030</f>
        <v>52.66253154474036</v>
      </c>
      <c r="H3030" s="75">
        <f>'THAM_SO_MOI'!$D$52</f>
        <v>1.1774754878398197</v>
      </c>
      <c r="I3030" s="75">
        <f>IF(F3030&gt;'THAM_SO_MOI'!$C$14,'THAM_SO_MOI'!$C$13*(1+F3030^2/1500),'THAM_SO_MOI'!$C$13)</f>
        <v>0.015</v>
      </c>
      <c r="J3030" s="75">
        <f>'THAM_SO_MOI'!$C$40*('THAM_SO_MOI'!$C$23*(E3030/'THAM_SO_MOI'!$C$22)+'THAM_SO_MOI'!$C$24*(E3030/'THAM_SO_MOI'!$C$22)^2-'THAM_SO_MOI'!$C$25*(E3030/'THAM_SO_MOI'!$C$22)^3)</f>
        <v>103.42762045801541</v>
      </c>
      <c r="K3030" s="75">
        <f>'THAM_SO_MOI'!$C$31*J3030/E3030</f>
        <v>429.2497365238933</v>
      </c>
      <c r="L3030" s="75">
        <f>K3030*'THAM_SO_MOI'!$C$52*'THAM_SO_MOI'!$C$17/'THAM_SO_MOI'!$C$26</f>
        <v>6010.881462556558</v>
      </c>
      <c r="M3030" s="75">
        <f>'THAM_SO_MOI'!$C$15*'THAM_SO_MOI'!$C$16*F3030^2</f>
        <v>625.9279335609385</v>
      </c>
      <c r="N3030" s="75">
        <f>'THAM_SO_MOI'!$C$12*I3030</f>
        <v>1130.112</v>
      </c>
      <c r="O3030" s="75">
        <f>M3030+N3030</f>
        <v>1756.0399335609386</v>
      </c>
      <c r="P3030" s="75">
        <f>(MIN(L3030,'THAM_SO_MOI'!$C$41)-O3030)/('THAM_SO_MOI'!$C$11*H3030)</f>
        <v>0.4705115561295983</v>
      </c>
      <c r="Q3030" s="75">
        <f>IF(P3030&gt;0,1/P3030,NA())</f>
        <v>2.125346310781278</v>
      </c>
      <c r="R3030" s="75">
        <f>F3030-F3029</f>
        <v>0.007943393307218827</v>
      </c>
      <c r="S3030" s="75">
        <f>0.5*(Q3029+Q3030)*R3030</f>
        <v>0.01688066234730913</v>
      </c>
      <c r="T3030" s="75">
        <f>0.5*(F3029*Q3029+F3030*Q3030)*R3030</f>
        <v>0.24687141043208152</v>
      </c>
      <c r="U3030" s="76">
        <f>U3029+S3030</f>
        <v>23.163221926601455</v>
      </c>
      <c r="V3030" s="76">
        <f>V3029+T3030</f>
        <v>200.06577187715533</v>
      </c>
    </row>
    <row r="3031" spans="1:22" ht="19" customHeight="1">
      <c r="A3031" s="68" t="s">
        <v>376</v>
      </c>
      <c r="B3031" s="74">
        <v>4</v>
      </c>
      <c r="C3031" s="68" t="s">
        <v>363</v>
      </c>
      <c r="D3031" s="68" t="s">
        <v>364</v>
      </c>
      <c r="E3031" s="75">
        <f>60*F3031*'THAM_SO_MOI'!$C$52/(2*PI()*'THAM_SO_MOI'!$C$26)</f>
        <v>2302.584494530743</v>
      </c>
      <c r="F3031" s="75">
        <f>'HANH_TRINH'!$F$2468+('THAM_SO_MOI'!$F$52-'HANH_TRINH'!$F$2468)*562/'THAM_SO_MOI'!$C$42</f>
        <v>14.636424377957319</v>
      </c>
      <c r="G3031" s="75">
        <f>3.6*F3031</f>
        <v>52.691127760646346</v>
      </c>
      <c r="H3031" s="75">
        <f>'THAM_SO_MOI'!$D$52</f>
        <v>1.1774754878398197</v>
      </c>
      <c r="I3031" s="75">
        <f>IF(F3031&gt;'THAM_SO_MOI'!$C$14,'THAM_SO_MOI'!$C$13*(1+F3031^2/1500),'THAM_SO_MOI'!$C$13)</f>
        <v>0.015</v>
      </c>
      <c r="J3031" s="75">
        <f>'THAM_SO_MOI'!$C$40*('THAM_SO_MOI'!$C$23*(E3031/'THAM_SO_MOI'!$C$22)+'THAM_SO_MOI'!$C$24*(E3031/'THAM_SO_MOI'!$C$22)^2-'THAM_SO_MOI'!$C$25*(E3031/'THAM_SO_MOI'!$C$22)^3)</f>
        <v>103.47982832386988</v>
      </c>
      <c r="K3031" s="75">
        <f>'THAM_SO_MOI'!$C$31*J3031/E3031</f>
        <v>429.2333343826807</v>
      </c>
      <c r="L3031" s="75">
        <f>K3031*'THAM_SO_MOI'!$C$52*'THAM_SO_MOI'!$C$17/'THAM_SO_MOI'!$C$26</f>
        <v>6010.651779651313</v>
      </c>
      <c r="M3031" s="75">
        <f>'THAM_SO_MOI'!$C$15*'THAM_SO_MOI'!$C$16*F3031^2</f>
        <v>626.6078868221151</v>
      </c>
      <c r="N3031" s="75">
        <f>'THAM_SO_MOI'!$C$12*I3031</f>
        <v>1130.112</v>
      </c>
      <c r="O3031" s="75">
        <f>M3031+N3031</f>
        <v>1756.7198868221153</v>
      </c>
      <c r="P3031" s="75">
        <f>(MIN(L3031,'THAM_SO_MOI'!$C$41)-O3031)/('THAM_SO_MOI'!$C$11*H3031)</f>
        <v>0.47041096617219125</v>
      </c>
      <c r="Q3031" s="75">
        <f>IF(P3031&gt;0,1/P3031,NA())</f>
        <v>2.125800782530983</v>
      </c>
      <c r="R3031" s="75">
        <f>F3031-F3030</f>
        <v>0.007943393307218827</v>
      </c>
      <c r="S3031" s="75">
        <f>0.5*(Q3030+Q3031)*R3031</f>
        <v>0.01688426668450969</v>
      </c>
      <c r="T3031" s="75">
        <f>0.5*(F3030*Q3030+F3031*Q3031)*R3031</f>
        <v>0.2470582404886082</v>
      </c>
      <c r="U3031" s="76">
        <f>U3030+S3031</f>
        <v>23.180106193285965</v>
      </c>
      <c r="V3031" s="76">
        <f>V3030+T3031</f>
        <v>200.31283011764393</v>
      </c>
    </row>
    <row r="3032" spans="1:22" ht="19" customHeight="1">
      <c r="A3032" s="68" t="s">
        <v>376</v>
      </c>
      <c r="B3032" s="74">
        <v>4</v>
      </c>
      <c r="C3032" s="68" t="s">
        <v>363</v>
      </c>
      <c r="D3032" s="68" t="s">
        <v>364</v>
      </c>
      <c r="E3032" s="75">
        <f>60*F3032*'THAM_SO_MOI'!$C$52/(2*PI()*'THAM_SO_MOI'!$C$26)</f>
        <v>2303.834139511707</v>
      </c>
      <c r="F3032" s="75">
        <f>'HANH_TRINH'!$F$2468+('THAM_SO_MOI'!$F$52-'HANH_TRINH'!$F$2468)*563/'THAM_SO_MOI'!$C$42</f>
        <v>14.64436777126454</v>
      </c>
      <c r="G3032" s="75">
        <f>3.6*F3032</f>
        <v>52.719723976552345</v>
      </c>
      <c r="H3032" s="75">
        <f>'THAM_SO_MOI'!$D$52</f>
        <v>1.1774754878398197</v>
      </c>
      <c r="I3032" s="75">
        <f>IF(F3032&gt;'THAM_SO_MOI'!$C$14,'THAM_SO_MOI'!$C$13*(1+F3032^2/1500),'THAM_SO_MOI'!$C$13)</f>
        <v>0.015</v>
      </c>
      <c r="J3032" s="75">
        <f>'THAM_SO_MOI'!$C$40*('THAM_SO_MOI'!$C$23*(E3032/'THAM_SO_MOI'!$C$22)+'THAM_SO_MOI'!$C$24*(E3032/'THAM_SO_MOI'!$C$22)^2-'THAM_SO_MOI'!$C$25*(E3032/'THAM_SO_MOI'!$C$22)^3)</f>
        <v>103.53199535421672</v>
      </c>
      <c r="K3032" s="75">
        <f>'THAM_SO_MOI'!$C$31*J3032/E3032</f>
        <v>429.2167807417407</v>
      </c>
      <c r="L3032" s="75">
        <f>K3032*'THAM_SO_MOI'!$C$52*'THAM_SO_MOI'!$C$17/'THAM_SO_MOI'!$C$26</f>
        <v>6010.419975261006</v>
      </c>
      <c r="M3032" s="75">
        <f>'THAM_SO_MOI'!$C$15*'THAM_SO_MOI'!$C$16*F3032^2</f>
        <v>627.2882092036508</v>
      </c>
      <c r="N3032" s="75">
        <f>'THAM_SO_MOI'!$C$12*I3032</f>
        <v>1130.112</v>
      </c>
      <c r="O3032" s="75">
        <f>M3032+N3032</f>
        <v>1757.4002092036508</v>
      </c>
      <c r="P3032" s="75">
        <f>(MIN(L3032,'THAM_SO_MOI'!$C$41)-O3032)/('THAM_SO_MOI'!$C$11*H3032)</f>
        <v>0.4703101007970927</v>
      </c>
      <c r="Q3032" s="75">
        <f>IF(P3032&gt;0,1/P3032,NA())</f>
        <v>2.126256693839185</v>
      </c>
      <c r="R3032" s="75">
        <f>F3032-F3031</f>
        <v>0.007943393307220603</v>
      </c>
      <c r="S3032" s="75">
        <f>0.5*(Q3031+Q3032)*R3032</f>
        <v>0.01688788244985806</v>
      </c>
      <c r="T3032" s="75">
        <f>0.5*(F3031*Q3031+F3032*Q3032)*R3032</f>
        <v>0.24724529511910834</v>
      </c>
      <c r="U3032" s="76">
        <f>U3031+S3032</f>
        <v>23.196994075735823</v>
      </c>
      <c r="V3032" s="76">
        <f>V3031+T3032</f>
        <v>200.56007541276304</v>
      </c>
    </row>
    <row r="3033" spans="1:22" ht="19" customHeight="1">
      <c r="A3033" s="68" t="s">
        <v>376</v>
      </c>
      <c r="B3033" s="74">
        <v>4</v>
      </c>
      <c r="C3033" s="68" t="s">
        <v>363</v>
      </c>
      <c r="D3033" s="68" t="s">
        <v>364</v>
      </c>
      <c r="E3033" s="75">
        <f>60*F3033*'THAM_SO_MOI'!$C$52/(2*PI()*'THAM_SO_MOI'!$C$26)</f>
        <v>2305.0837844926705</v>
      </c>
      <c r="F3033" s="75">
        <f>'HANH_TRINH'!$F$2468+('THAM_SO_MOI'!$F$52-'HANH_TRINH'!$F$2468)*564/'THAM_SO_MOI'!$C$42</f>
        <v>14.65231116457176</v>
      </c>
      <c r="G3033" s="75">
        <f>3.6*F3033</f>
        <v>52.74832019245834</v>
      </c>
      <c r="H3033" s="75">
        <f>'THAM_SO_MOI'!$D$52</f>
        <v>1.1774754878398197</v>
      </c>
      <c r="I3033" s="75">
        <f>IF(F3033&gt;'THAM_SO_MOI'!$C$14,'THAM_SO_MOI'!$C$13*(1+F3033^2/1500),'THAM_SO_MOI'!$C$13)</f>
        <v>0.015</v>
      </c>
      <c r="J3033" s="75">
        <f>'THAM_SO_MOI'!$C$40*('THAM_SO_MOI'!$C$23*(E3033/'THAM_SO_MOI'!$C$22)+'THAM_SO_MOI'!$C$24*(E3033/'THAM_SO_MOI'!$C$22)^2-'THAM_SO_MOI'!$C$25*(E3033/'THAM_SO_MOI'!$C$22)^3)</f>
        <v>103.58412148959016</v>
      </c>
      <c r="K3033" s="75">
        <f>'THAM_SO_MOI'!$C$31*J3033/E3033</f>
        <v>429.2000756010731</v>
      </c>
      <c r="L3033" s="75">
        <f>K3033*'THAM_SO_MOI'!$C$52*'THAM_SO_MOI'!$C$17/'THAM_SO_MOI'!$C$26</f>
        <v>6010.1860493856375</v>
      </c>
      <c r="M3033" s="75">
        <f>'THAM_SO_MOI'!$C$15*'THAM_SO_MOI'!$C$16*F3033^2</f>
        <v>627.9689007055453</v>
      </c>
      <c r="N3033" s="75">
        <f>'THAM_SO_MOI'!$C$12*I3033</f>
        <v>1130.112</v>
      </c>
      <c r="O3033" s="75">
        <f>M3033+N3033</f>
        <v>1758.0809007055454</v>
      </c>
      <c r="P3033" s="75">
        <f>(MIN(L3033,'THAM_SO_MOI'!$C$41)-O3033)/('THAM_SO_MOI'!$C$11*H3033)</f>
        <v>0.47020896000430257</v>
      </c>
      <c r="Q3033" s="75">
        <f>IF(P3033&gt;0,1/P3033,NA())</f>
        <v>2.126714046433419</v>
      </c>
      <c r="R3033" s="75">
        <f>F3033-F3032</f>
        <v>0.007943393307220603</v>
      </c>
      <c r="S3033" s="75">
        <f>0.5*(Q3032+Q3033)*R3033</f>
        <v>0.016891509657043228</v>
      </c>
      <c r="T3033" s="75">
        <f>0.5*(F3032*Q3032+F3033*Q3033)*R3033</f>
        <v>0.24743257479643788</v>
      </c>
      <c r="U3033" s="76">
        <f>U3032+S3033</f>
        <v>23.213885585392866</v>
      </c>
      <c r="V3033" s="76">
        <f>V3032+T3033</f>
        <v>200.8075079875595</v>
      </c>
    </row>
    <row r="3034" spans="1:22" ht="19" customHeight="1">
      <c r="A3034" s="68" t="s">
        <v>376</v>
      </c>
      <c r="B3034" s="74">
        <v>4</v>
      </c>
      <c r="C3034" s="68" t="s">
        <v>363</v>
      </c>
      <c r="D3034" s="68" t="s">
        <v>364</v>
      </c>
      <c r="E3034" s="75">
        <f>60*F3034*'THAM_SO_MOI'!$C$52/(2*PI()*'THAM_SO_MOI'!$C$26)</f>
        <v>2306.3334294736337</v>
      </c>
      <c r="F3034" s="75">
        <f>'HANH_TRINH'!$F$2468+('THAM_SO_MOI'!$F$52-'HANH_TRINH'!$F$2468)*565/'THAM_SO_MOI'!$C$42</f>
        <v>14.660254557878979</v>
      </c>
      <c r="G3034" s="75">
        <f>3.6*F3034</f>
        <v>52.77691640836432</v>
      </c>
      <c r="H3034" s="75">
        <f>'THAM_SO_MOI'!$D$52</f>
        <v>1.1774754878398197</v>
      </c>
      <c r="I3034" s="75">
        <f>IF(F3034&gt;'THAM_SO_MOI'!$C$14,'THAM_SO_MOI'!$C$13*(1+F3034^2/1500),'THAM_SO_MOI'!$C$13)</f>
        <v>0.015</v>
      </c>
      <c r="J3034" s="75">
        <f>'THAM_SO_MOI'!$C$40*('THAM_SO_MOI'!$C$23*(E3034/'THAM_SO_MOI'!$C$22)+'THAM_SO_MOI'!$C$24*(E3034/'THAM_SO_MOI'!$C$22)^2-'THAM_SO_MOI'!$C$25*(E3034/'THAM_SO_MOI'!$C$22)^3)</f>
        <v>103.63620667052453</v>
      </c>
      <c r="K3034" s="75">
        <f>'THAM_SO_MOI'!$C$31*J3034/E3034</f>
        <v>429.18321896067806</v>
      </c>
      <c r="L3034" s="75">
        <f>K3034*'THAM_SO_MOI'!$C$52*'THAM_SO_MOI'!$C$17/'THAM_SO_MOI'!$C$26</f>
        <v>6009.950002025208</v>
      </c>
      <c r="M3034" s="75">
        <f>'THAM_SO_MOI'!$C$15*'THAM_SO_MOI'!$C$16*F3034^2</f>
        <v>628.6499613277983</v>
      </c>
      <c r="N3034" s="75">
        <f>'THAM_SO_MOI'!$C$12*I3034</f>
        <v>1130.112</v>
      </c>
      <c r="O3034" s="75">
        <f>M3034+N3034</f>
        <v>1758.7619613277984</v>
      </c>
      <c r="P3034" s="75">
        <f>(MIN(L3034,'THAM_SO_MOI'!$C$41)-O3034)/('THAM_SO_MOI'!$C$11*H3034)</f>
        <v>0.47010754379382086</v>
      </c>
      <c r="Q3034" s="75">
        <f>IF(P3034&gt;0,1/P3034,NA())</f>
        <v>2.1271728420477736</v>
      </c>
      <c r="R3034" s="75">
        <f>F3034-F3033</f>
        <v>0.007943393307218827</v>
      </c>
      <c r="S3034" s="75">
        <f>0.5*(Q3033+Q3034)*R3034</f>
        <v>0.016895148319813712</v>
      </c>
      <c r="T3034" s="75">
        <f>0.5*(F3033*Q3033+F3034*Q3034)*R3034</f>
        <v>0.24762007999476007</v>
      </c>
      <c r="U3034" s="76">
        <f>U3033+S3034</f>
        <v>23.23078073371268</v>
      </c>
      <c r="V3034" s="76">
        <f>V3033+T3034</f>
        <v>201.05512806755425</v>
      </c>
    </row>
    <row r="3035" spans="1:22" ht="19" customHeight="1">
      <c r="A3035" s="68" t="s">
        <v>376</v>
      </c>
      <c r="B3035" s="74">
        <v>4</v>
      </c>
      <c r="C3035" s="68" t="s">
        <v>363</v>
      </c>
      <c r="D3035" s="68" t="s">
        <v>364</v>
      </c>
      <c r="E3035" s="75">
        <f>60*F3035*'THAM_SO_MOI'!$C$52/(2*PI()*'THAM_SO_MOI'!$C$26)</f>
        <v>2307.5830744545965</v>
      </c>
      <c r="F3035" s="75">
        <f>'HANH_TRINH'!$F$2468+('THAM_SO_MOI'!$F$52-'HANH_TRINH'!$F$2468)*566/'THAM_SO_MOI'!$C$42</f>
        <v>14.668197951186198</v>
      </c>
      <c r="G3035" s="75">
        <f>3.6*F3035</f>
        <v>52.805512624270314</v>
      </c>
      <c r="H3035" s="75">
        <f>'THAM_SO_MOI'!$D$52</f>
        <v>1.1774754878398197</v>
      </c>
      <c r="I3035" s="75">
        <f>IF(F3035&gt;'THAM_SO_MOI'!$C$14,'THAM_SO_MOI'!$C$13*(1+F3035^2/1500),'THAM_SO_MOI'!$C$13)</f>
        <v>0.015</v>
      </c>
      <c r="J3035" s="75">
        <f>'THAM_SO_MOI'!$C$40*('THAM_SO_MOI'!$C$23*(E3035/'THAM_SO_MOI'!$C$22)+'THAM_SO_MOI'!$C$24*(E3035/'THAM_SO_MOI'!$C$22)^2-'THAM_SO_MOI'!$C$25*(E3035/'THAM_SO_MOI'!$C$22)^3)</f>
        <v>103.68825083755416</v>
      </c>
      <c r="K3035" s="75">
        <f>'THAM_SO_MOI'!$C$31*J3035/E3035</f>
        <v>429.1662108205557</v>
      </c>
      <c r="L3035" s="75">
        <f>K3035*'THAM_SO_MOI'!$C$52*'THAM_SO_MOI'!$C$17/'THAM_SO_MOI'!$C$26</f>
        <v>6009.711833179719</v>
      </c>
      <c r="M3035" s="75">
        <f>'THAM_SO_MOI'!$C$15*'THAM_SO_MOI'!$C$16*F3035^2</f>
        <v>629.3313910704103</v>
      </c>
      <c r="N3035" s="75">
        <f>'THAM_SO_MOI'!$C$12*I3035</f>
        <v>1130.112</v>
      </c>
      <c r="O3035" s="75">
        <f>M3035+N3035</f>
        <v>1759.4433910704104</v>
      </c>
      <c r="P3035" s="75">
        <f>(MIN(L3035,'THAM_SO_MOI'!$C$41)-O3035)/('THAM_SO_MOI'!$C$11*H3035)</f>
        <v>0.47000585216564783</v>
      </c>
      <c r="Q3035" s="75">
        <f>IF(P3035&gt;0,1/P3035,NA())</f>
        <v>2.1276330824229017</v>
      </c>
      <c r="R3035" s="75">
        <f>F3035-F3034</f>
        <v>0.007943393307218827</v>
      </c>
      <c r="S3035" s="75">
        <f>0.5*(Q3034+Q3035)*R3035</f>
        <v>0.016898798451977688</v>
      </c>
      <c r="T3035" s="75">
        <f>0.5*(F3034*Q3034+F3035*Q3035)*R3035</f>
        <v>0.24780781118954984</v>
      </c>
      <c r="U3035" s="76">
        <f>U3034+S3035</f>
        <v>23.247679532164657</v>
      </c>
      <c r="V3035" s="76">
        <f>V3034+T3035</f>
        <v>201.3029358787438</v>
      </c>
    </row>
    <row r="3036" spans="1:22" ht="19" customHeight="1">
      <c r="A3036" s="68" t="s">
        <v>376</v>
      </c>
      <c r="B3036" s="74">
        <v>4</v>
      </c>
      <c r="C3036" s="68" t="s">
        <v>363</v>
      </c>
      <c r="D3036" s="68" t="s">
        <v>364</v>
      </c>
      <c r="E3036" s="75">
        <f>60*F3036*'THAM_SO_MOI'!$C$52/(2*PI()*'THAM_SO_MOI'!$C$26)</f>
        <v>2308.8327194355593</v>
      </c>
      <c r="F3036" s="75">
        <f>'HANH_TRINH'!$F$2468+('THAM_SO_MOI'!$F$52-'HANH_TRINH'!$F$2468)*567/'THAM_SO_MOI'!$C$42</f>
        <v>14.676141344493416</v>
      </c>
      <c r="G3036" s="75">
        <f>3.6*F3036</f>
        <v>52.8341088401763</v>
      </c>
      <c r="H3036" s="75">
        <f>'THAM_SO_MOI'!$D$52</f>
        <v>1.1774754878398197</v>
      </c>
      <c r="I3036" s="75">
        <f>IF(F3036&gt;'THAM_SO_MOI'!$C$14,'THAM_SO_MOI'!$C$13*(1+F3036^2/1500),'THAM_SO_MOI'!$C$13)</f>
        <v>0.015</v>
      </c>
      <c r="J3036" s="75">
        <f>'THAM_SO_MOI'!$C$40*('THAM_SO_MOI'!$C$23*(E3036/'THAM_SO_MOI'!$C$22)+'THAM_SO_MOI'!$C$24*(E3036/'THAM_SO_MOI'!$C$22)^2-'THAM_SO_MOI'!$C$25*(E3036/'THAM_SO_MOI'!$C$22)^3)</f>
        <v>103.74025393121333</v>
      </c>
      <c r="K3036" s="75">
        <f>'THAM_SO_MOI'!$C$31*J3036/E3036</f>
        <v>429.14905118070567</v>
      </c>
      <c r="L3036" s="75">
        <f>K3036*'THAM_SO_MOI'!$C$52*'THAM_SO_MOI'!$C$17/'THAM_SO_MOI'!$C$26</f>
        <v>6009.471542849167</v>
      </c>
      <c r="M3036" s="75">
        <f>'THAM_SO_MOI'!$C$15*'THAM_SO_MOI'!$C$16*F3036^2</f>
        <v>630.0131899333809</v>
      </c>
      <c r="N3036" s="75">
        <f>'THAM_SO_MOI'!$C$12*I3036</f>
        <v>1130.112</v>
      </c>
      <c r="O3036" s="75">
        <f>M3036+N3036</f>
        <v>1760.125189933381</v>
      </c>
      <c r="P3036" s="75">
        <f>(MIN(L3036,'THAM_SO_MOI'!$C$41)-O3036)/('THAM_SO_MOI'!$C$11*H3036)</f>
        <v>0.469903885119783</v>
      </c>
      <c r="Q3036" s="75">
        <f>IF(P3036&gt;0,1/P3036,NA())</f>
        <v>2.1280947693060477</v>
      </c>
      <c r="R3036" s="75">
        <f>F3036-F3035</f>
        <v>0.007943393307218827</v>
      </c>
      <c r="S3036" s="75">
        <f>0.5*(Q3035+Q3036)*R3036</f>
        <v>0.016902460067384245</v>
      </c>
      <c r="T3036" s="75">
        <f>0.5*(F3035*Q3035+F3036*Q3036)*R3036</f>
        <v>0.24799576885732122</v>
      </c>
      <c r="U3036" s="76">
        <f>U3035+S3036</f>
        <v>23.264581992232042</v>
      </c>
      <c r="V3036" s="76">
        <f>V3035+T3036</f>
        <v>201.55093164760112</v>
      </c>
    </row>
    <row r="3037" spans="1:22" ht="19" customHeight="1">
      <c r="A3037" s="68" t="s">
        <v>376</v>
      </c>
      <c r="B3037" s="74">
        <v>4</v>
      </c>
      <c r="C3037" s="68" t="s">
        <v>363</v>
      </c>
      <c r="D3037" s="68" t="s">
        <v>364</v>
      </c>
      <c r="E3037" s="75">
        <f>60*F3037*'THAM_SO_MOI'!$C$52/(2*PI()*'THAM_SO_MOI'!$C$26)</f>
        <v>2310.0823644165225</v>
      </c>
      <c r="F3037" s="75">
        <f>'HANH_TRINH'!$F$2468+('THAM_SO_MOI'!$F$52-'HANH_TRINH'!$F$2468)*568/'THAM_SO_MOI'!$C$42</f>
        <v>14.684084737800635</v>
      </c>
      <c r="G3037" s="75">
        <f>3.6*F3037</f>
        <v>52.86270505608229</v>
      </c>
      <c r="H3037" s="75">
        <f>'THAM_SO_MOI'!$D$52</f>
        <v>1.1774754878398197</v>
      </c>
      <c r="I3037" s="75">
        <f>IF(F3037&gt;'THAM_SO_MOI'!$C$14,'THAM_SO_MOI'!$C$13*(1+F3037^2/1500),'THAM_SO_MOI'!$C$13)</f>
        <v>0.015</v>
      </c>
      <c r="J3037" s="75">
        <f>'THAM_SO_MOI'!$C$40*('THAM_SO_MOI'!$C$23*(E3037/'THAM_SO_MOI'!$C$22)+'THAM_SO_MOI'!$C$24*(E3037/'THAM_SO_MOI'!$C$22)^2-'THAM_SO_MOI'!$C$25*(E3037/'THAM_SO_MOI'!$C$22)^3)</f>
        <v>103.79221589203641</v>
      </c>
      <c r="K3037" s="75">
        <f>'THAM_SO_MOI'!$C$31*J3037/E3037</f>
        <v>429.13174004112824</v>
      </c>
      <c r="L3037" s="75">
        <f>K3037*'THAM_SO_MOI'!$C$52*'THAM_SO_MOI'!$C$17/'THAM_SO_MOI'!$C$26</f>
        <v>6009.229131033556</v>
      </c>
      <c r="M3037" s="75">
        <f>'THAM_SO_MOI'!$C$15*'THAM_SO_MOI'!$C$16*F3037^2</f>
        <v>630.6953579167105</v>
      </c>
      <c r="N3037" s="75">
        <f>'THAM_SO_MOI'!$C$12*I3037</f>
        <v>1130.112</v>
      </c>
      <c r="O3037" s="75">
        <f>M3037+N3037</f>
        <v>1760.8073579167105</v>
      </c>
      <c r="P3037" s="75">
        <f>(MIN(L3037,'THAM_SO_MOI'!$C$41)-O3037)/('THAM_SO_MOI'!$C$11*H3037)</f>
        <v>0.4698016426562268</v>
      </c>
      <c r="Q3037" s="75">
        <f>IF(P3037&gt;0,1/P3037,NA())</f>
        <v>2.1285579044510516</v>
      </c>
      <c r="R3037" s="75">
        <f>F3037-F3036</f>
        <v>0.007943393307218827</v>
      </c>
      <c r="S3037" s="75">
        <f>0.5*(Q3036+Q3037)*R3037</f>
        <v>0.01690613317993863</v>
      </c>
      <c r="T3037" s="75">
        <f>0.5*(F3036*Q3036+F3037*Q3037)*R3037</f>
        <v>0.24818395347585268</v>
      </c>
      <c r="U3037" s="76">
        <f>U3036+S3037</f>
        <v>23.28148812541198</v>
      </c>
      <c r="V3037" s="76">
        <f>V3036+T3037</f>
        <v>201.79911560107698</v>
      </c>
    </row>
    <row r="3038" spans="1:22" ht="19" customHeight="1">
      <c r="A3038" s="68" t="s">
        <v>376</v>
      </c>
      <c r="B3038" s="74">
        <v>4</v>
      </c>
      <c r="C3038" s="68" t="s">
        <v>363</v>
      </c>
      <c r="D3038" s="68" t="s">
        <v>364</v>
      </c>
      <c r="E3038" s="75">
        <f>60*F3038*'THAM_SO_MOI'!$C$52/(2*PI()*'THAM_SO_MOI'!$C$26)</f>
        <v>2311.332009397486</v>
      </c>
      <c r="F3038" s="75">
        <f>'HANH_TRINH'!$F$2468+('THAM_SO_MOI'!$F$52-'HANH_TRINH'!$F$2468)*569/'THAM_SO_MOI'!$C$42</f>
        <v>14.692028131107856</v>
      </c>
      <c r="G3038" s="75">
        <f>3.6*F3038</f>
        <v>52.89130127198828</v>
      </c>
      <c r="H3038" s="75">
        <f>'THAM_SO_MOI'!$D$52</f>
        <v>1.1774754878398197</v>
      </c>
      <c r="I3038" s="75">
        <f>IF(F3038&gt;'THAM_SO_MOI'!$C$14,'THAM_SO_MOI'!$C$13*(1+F3038^2/1500),'THAM_SO_MOI'!$C$13)</f>
        <v>0.015</v>
      </c>
      <c r="J3038" s="75">
        <f>'THAM_SO_MOI'!$C$40*('THAM_SO_MOI'!$C$23*(E3038/'THAM_SO_MOI'!$C$22)+'THAM_SO_MOI'!$C$24*(E3038/'THAM_SO_MOI'!$C$22)^2-'THAM_SO_MOI'!$C$25*(E3038/'THAM_SO_MOI'!$C$22)^3)</f>
        <v>103.84413666055771</v>
      </c>
      <c r="K3038" s="75">
        <f>'THAM_SO_MOI'!$C$31*J3038/E3038</f>
        <v>429.1142774018234</v>
      </c>
      <c r="L3038" s="75">
        <f>K3038*'THAM_SO_MOI'!$C$52*'THAM_SO_MOI'!$C$17/'THAM_SO_MOI'!$C$26</f>
        <v>6008.984597732883</v>
      </c>
      <c r="M3038" s="75">
        <f>'THAM_SO_MOI'!$C$15*'THAM_SO_MOI'!$C$16*F3038^2</f>
        <v>631.377895020399</v>
      </c>
      <c r="N3038" s="75">
        <f>'THAM_SO_MOI'!$C$12*I3038</f>
        <v>1130.112</v>
      </c>
      <c r="O3038" s="75">
        <f>M3038+N3038</f>
        <v>1761.4898950203992</v>
      </c>
      <c r="P3038" s="75">
        <f>(MIN(L3038,'THAM_SO_MOI'!$C$41)-O3038)/('THAM_SO_MOI'!$C$11*H3038)</f>
        <v>0.46969912477497905</v>
      </c>
      <c r="Q3038" s="75">
        <f>IF(P3038&gt;0,1/P3038,NA())</f>
        <v>2.12902248961838</v>
      </c>
      <c r="R3038" s="75">
        <f>F3038-F3037</f>
        <v>0.007943393307220603</v>
      </c>
      <c r="S3038" s="75">
        <f>0.5*(Q3037+Q3038)*R3038</f>
        <v>0.016909817803602394</v>
      </c>
      <c r="T3038" s="75">
        <f>0.5*(F3037*Q3037+F3038*Q3038)*R3038</f>
        <v>0.24837236552419137</v>
      </c>
      <c r="U3038" s="76">
        <f>U3037+S3038</f>
        <v>23.29839794321558</v>
      </c>
      <c r="V3038" s="76">
        <f>V3037+T3038</f>
        <v>202.04748796660118</v>
      </c>
    </row>
    <row r="3039" spans="1:22" ht="19" customHeight="1">
      <c r="A3039" s="68" t="s">
        <v>376</v>
      </c>
      <c r="B3039" s="74">
        <v>4</v>
      </c>
      <c r="C3039" s="68" t="s">
        <v>363</v>
      </c>
      <c r="D3039" s="68" t="s">
        <v>364</v>
      </c>
      <c r="E3039" s="75">
        <f>60*F3039*'THAM_SO_MOI'!$C$52/(2*PI()*'THAM_SO_MOI'!$C$26)</f>
        <v>2312.5816543784495</v>
      </c>
      <c r="F3039" s="75">
        <f>'HANH_TRINH'!$F$2468+('THAM_SO_MOI'!$F$52-'HANH_TRINH'!$F$2468)*570/'THAM_SO_MOI'!$C$42</f>
        <v>14.699971524415075</v>
      </c>
      <c r="G3039" s="75">
        <f>3.6*F3039</f>
        <v>52.91989748789427</v>
      </c>
      <c r="H3039" s="75">
        <f>'THAM_SO_MOI'!$D$52</f>
        <v>1.1774754878398197</v>
      </c>
      <c r="I3039" s="75">
        <f>IF(F3039&gt;'THAM_SO_MOI'!$C$14,'THAM_SO_MOI'!$C$13*(1+F3039^2/1500),'THAM_SO_MOI'!$C$13)</f>
        <v>0.015</v>
      </c>
      <c r="J3039" s="75">
        <f>'THAM_SO_MOI'!$C$40*('THAM_SO_MOI'!$C$23*(E3039/'THAM_SO_MOI'!$C$22)+'THAM_SO_MOI'!$C$24*(E3039/'THAM_SO_MOI'!$C$22)^2-'THAM_SO_MOI'!$C$25*(E3039/'THAM_SO_MOI'!$C$22)^3)</f>
        <v>103.89601617731148</v>
      </c>
      <c r="K3039" s="75">
        <f>'THAM_SO_MOI'!$C$31*J3039/E3039</f>
        <v>429.09666326279097</v>
      </c>
      <c r="L3039" s="75">
        <f>K3039*'THAM_SO_MOI'!$C$52*'THAM_SO_MOI'!$C$17/'THAM_SO_MOI'!$C$26</f>
        <v>6008.7379429471475</v>
      </c>
      <c r="M3039" s="75">
        <f>'THAM_SO_MOI'!$C$15*'THAM_SO_MOI'!$C$16*F3039^2</f>
        <v>632.0608012444461</v>
      </c>
      <c r="N3039" s="75">
        <f>'THAM_SO_MOI'!$C$12*I3039</f>
        <v>1130.112</v>
      </c>
      <c r="O3039" s="75">
        <f>M3039+N3039</f>
        <v>1762.1728012444462</v>
      </c>
      <c r="P3039" s="75">
        <f>(MIN(L3039,'THAM_SO_MOI'!$C$41)-O3039)/('THAM_SO_MOI'!$C$11*H3039)</f>
        <v>0.46959633147603946</v>
      </c>
      <c r="Q3039" s="75">
        <f>IF(P3039&gt;0,1/P3039,NA())</f>
        <v>2.129488526575135</v>
      </c>
      <c r="R3039" s="75">
        <f>F3039-F3038</f>
        <v>0.007943393307218827</v>
      </c>
      <c r="S3039" s="75">
        <f>0.5*(Q3038+Q3039)*R3039</f>
        <v>0.016913513952374604</v>
      </c>
      <c r="T3039" s="75">
        <f>0.5*(F3038*Q3038+F3039*Q3039)*R3039</f>
        <v>0.24856100548237975</v>
      </c>
      <c r="U3039" s="76">
        <f>U3038+S3039</f>
        <v>23.315311457167955</v>
      </c>
      <c r="V3039" s="76">
        <f>V3038+T3039</f>
        <v>202.29604897208355</v>
      </c>
    </row>
    <row r="3040" spans="1:22" ht="19" customHeight="1">
      <c r="A3040" s="68" t="s">
        <v>376</v>
      </c>
      <c r="B3040" s="74">
        <v>4</v>
      </c>
      <c r="C3040" s="68" t="s">
        <v>363</v>
      </c>
      <c r="D3040" s="68" t="s">
        <v>364</v>
      </c>
      <c r="E3040" s="75">
        <f>60*F3040*'THAM_SO_MOI'!$C$52/(2*PI()*'THAM_SO_MOI'!$C$26)</f>
        <v>2313.8312993594127</v>
      </c>
      <c r="F3040" s="75">
        <f>'HANH_TRINH'!$F$2468+('THAM_SO_MOI'!$F$52-'HANH_TRINH'!$F$2468)*571/'THAM_SO_MOI'!$C$42</f>
        <v>14.707914917722295</v>
      </c>
      <c r="G3040" s="75">
        <f>3.6*F3040</f>
        <v>52.94849370380027</v>
      </c>
      <c r="H3040" s="75">
        <f>'THAM_SO_MOI'!$D$52</f>
        <v>1.1774754878398197</v>
      </c>
      <c r="I3040" s="75">
        <f>IF(F3040&gt;'THAM_SO_MOI'!$C$14,'THAM_SO_MOI'!$C$13*(1+F3040^2/1500),'THAM_SO_MOI'!$C$13)</f>
        <v>0.015</v>
      </c>
      <c r="J3040" s="75">
        <f>'THAM_SO_MOI'!$C$40*('THAM_SO_MOI'!$C$23*(E3040/'THAM_SO_MOI'!$C$22)+'THAM_SO_MOI'!$C$24*(E3040/'THAM_SO_MOI'!$C$22)^2-'THAM_SO_MOI'!$C$25*(E3040/'THAM_SO_MOI'!$C$22)^3)</f>
        <v>103.9478543828321</v>
      </c>
      <c r="K3040" s="75">
        <f>'THAM_SO_MOI'!$C$31*J3040/E3040</f>
        <v>429.0788976240313</v>
      </c>
      <c r="L3040" s="75">
        <f>K3040*'THAM_SO_MOI'!$C$52*'THAM_SO_MOI'!$C$17/'THAM_SO_MOI'!$C$26</f>
        <v>6008.489166676357</v>
      </c>
      <c r="M3040" s="75">
        <f>'THAM_SO_MOI'!$C$15*'THAM_SO_MOI'!$C$16*F3040^2</f>
        <v>632.7440765888523</v>
      </c>
      <c r="N3040" s="75">
        <f>'THAM_SO_MOI'!$C$12*I3040</f>
        <v>1130.112</v>
      </c>
      <c r="O3040" s="75">
        <f>M3040+N3040</f>
        <v>1762.8560765888524</v>
      </c>
      <c r="P3040" s="75">
        <f>(MIN(L3040,'THAM_SO_MOI'!$C$41)-O3040)/('THAM_SO_MOI'!$C$11*H3040)</f>
        <v>0.4694932627594091</v>
      </c>
      <c r="Q3040" s="75">
        <f>IF(P3040&gt;0,1/P3040,NA())</f>
        <v>2.1299560170950698</v>
      </c>
      <c r="R3040" s="75">
        <f>F3040-F3039</f>
        <v>0.007943393307220603</v>
      </c>
      <c r="S3040" s="75">
        <f>0.5*(Q3039+Q3040)*R3040</f>
        <v>0.01691722164033361</v>
      </c>
      <c r="T3040" s="75">
        <f>0.5*(F3039*Q3039+F3040*Q3040)*R3040</f>
        <v>0.24874987383207028</v>
      </c>
      <c r="U3040" s="76">
        <f>U3039+S3040</f>
        <v>23.33222867880829</v>
      </c>
      <c r="V3040" s="76">
        <f>V3039+T3040</f>
        <v>202.54479884591564</v>
      </c>
    </row>
    <row r="3041" spans="1:22" ht="19" customHeight="1">
      <c r="A3041" s="68" t="s">
        <v>376</v>
      </c>
      <c r="B3041" s="74">
        <v>4</v>
      </c>
      <c r="C3041" s="68" t="s">
        <v>363</v>
      </c>
      <c r="D3041" s="68" t="s">
        <v>364</v>
      </c>
      <c r="E3041" s="75">
        <f>60*F3041*'THAM_SO_MOI'!$C$52/(2*PI()*'THAM_SO_MOI'!$C$26)</f>
        <v>2315.080944340376</v>
      </c>
      <c r="F3041" s="75">
        <f>'HANH_TRINH'!$F$2468+('THAM_SO_MOI'!$F$52-'HANH_TRINH'!$F$2468)*572/'THAM_SO_MOI'!$C$42</f>
        <v>14.715858311029514</v>
      </c>
      <c r="G3041" s="75">
        <f>3.6*F3041</f>
        <v>52.97708991970625</v>
      </c>
      <c r="H3041" s="75">
        <f>'THAM_SO_MOI'!$D$52</f>
        <v>1.1774754878398197</v>
      </c>
      <c r="I3041" s="75">
        <f>IF(F3041&gt;'THAM_SO_MOI'!$C$14,'THAM_SO_MOI'!$C$13*(1+F3041^2/1500),'THAM_SO_MOI'!$C$13)</f>
        <v>0.015</v>
      </c>
      <c r="J3041" s="75">
        <f>'THAM_SO_MOI'!$C$40*('THAM_SO_MOI'!$C$23*(E3041/'THAM_SO_MOI'!$C$22)+'THAM_SO_MOI'!$C$24*(E3041/'THAM_SO_MOI'!$C$22)^2-'THAM_SO_MOI'!$C$25*(E3041/'THAM_SO_MOI'!$C$22)^3)</f>
        <v>103.99965121765379</v>
      </c>
      <c r="K3041" s="75">
        <f>'THAM_SO_MOI'!$C$31*J3041/E3041</f>
        <v>429.0609804855438</v>
      </c>
      <c r="L3041" s="75">
        <f>K3041*'THAM_SO_MOI'!$C$52*'THAM_SO_MOI'!$C$17/'THAM_SO_MOI'!$C$26</f>
        <v>6008.238268920499</v>
      </c>
      <c r="M3041" s="75">
        <f>'THAM_SO_MOI'!$C$15*'THAM_SO_MOI'!$C$16*F3041^2</f>
        <v>633.4277210536171</v>
      </c>
      <c r="N3041" s="75">
        <f>'THAM_SO_MOI'!$C$12*I3041</f>
        <v>1130.112</v>
      </c>
      <c r="O3041" s="75">
        <f>M3041+N3041</f>
        <v>1763.539721053617</v>
      </c>
      <c r="P3041" s="75">
        <f>(MIN(L3041,'THAM_SO_MOI'!$C$41)-O3041)/('THAM_SO_MOI'!$C$11*H3041)</f>
        <v>0.4693899186250864</v>
      </c>
      <c r="Q3041" s="75">
        <f>IF(P3041&gt;0,1/P3041,NA())</f>
        <v>2.1304249629586214</v>
      </c>
      <c r="R3041" s="75">
        <f>F3041-F3040</f>
        <v>0.007943393307218827</v>
      </c>
      <c r="S3041" s="75">
        <f>0.5*(Q3040+Q3041)*R3041</f>
        <v>0.01692094088158044</v>
      </c>
      <c r="T3041" s="75">
        <f>0.5*(F3040*Q3040+F3041*Q3041)*R3041</f>
        <v>0.24893897105569684</v>
      </c>
      <c r="U3041" s="76">
        <f>U3040+S3041</f>
        <v>23.349149619689868</v>
      </c>
      <c r="V3041" s="76">
        <f>V3040+T3041</f>
        <v>202.79373781697134</v>
      </c>
    </row>
    <row r="3042" spans="1:22" ht="19" customHeight="1">
      <c r="A3042" s="68" t="s">
        <v>376</v>
      </c>
      <c r="B3042" s="74">
        <v>4</v>
      </c>
      <c r="C3042" s="68" t="s">
        <v>363</v>
      </c>
      <c r="D3042" s="68" t="s">
        <v>364</v>
      </c>
      <c r="E3042" s="75">
        <f>60*F3042*'THAM_SO_MOI'!$C$52/(2*PI()*'THAM_SO_MOI'!$C$26)</f>
        <v>2316.330589321339</v>
      </c>
      <c r="F3042" s="75">
        <f>'HANH_TRINH'!$F$2468+('THAM_SO_MOI'!$F$52-'HANH_TRINH'!$F$2468)*573/'THAM_SO_MOI'!$C$42</f>
        <v>14.723801704336733</v>
      </c>
      <c r="G3042" s="75">
        <f>3.6*F3042</f>
        <v>53.00568613561224</v>
      </c>
      <c r="H3042" s="75">
        <f>'THAM_SO_MOI'!$D$52</f>
        <v>1.1774754878398197</v>
      </c>
      <c r="I3042" s="75">
        <f>IF(F3042&gt;'THAM_SO_MOI'!$C$14,'THAM_SO_MOI'!$C$13*(1+F3042^2/1500),'THAM_SO_MOI'!$C$13)</f>
        <v>0.015</v>
      </c>
      <c r="J3042" s="75">
        <f>'THAM_SO_MOI'!$C$40*('THAM_SO_MOI'!$C$23*(E3042/'THAM_SO_MOI'!$C$22)+'THAM_SO_MOI'!$C$24*(E3042/'THAM_SO_MOI'!$C$22)^2-'THAM_SO_MOI'!$C$25*(E3042/'THAM_SO_MOI'!$C$22)^3)</f>
        <v>104.05140662231099</v>
      </c>
      <c r="K3042" s="75">
        <f>'THAM_SO_MOI'!$C$31*J3042/E3042</f>
        <v>429.04291184732904</v>
      </c>
      <c r="L3042" s="75">
        <f>K3042*'THAM_SO_MOI'!$C$52*'THAM_SO_MOI'!$C$17/'THAM_SO_MOI'!$C$26</f>
        <v>6007.985249679581</v>
      </c>
      <c r="M3042" s="75">
        <f>'THAM_SO_MOI'!$C$15*'THAM_SO_MOI'!$C$16*F3042^2</f>
        <v>634.1117346387407</v>
      </c>
      <c r="N3042" s="75">
        <f>'THAM_SO_MOI'!$C$12*I3042</f>
        <v>1130.112</v>
      </c>
      <c r="O3042" s="75">
        <f>M3042+N3042</f>
        <v>1764.2237346387408</v>
      </c>
      <c r="P3042" s="75">
        <f>(MIN(L3042,'THAM_SO_MOI'!$C$41)-O3042)/('THAM_SO_MOI'!$C$11*H3042)</f>
        <v>0.4692862990730724</v>
      </c>
      <c r="Q3042" s="75">
        <f>IF(P3042&gt;0,1/P3042,NA())</f>
        <v>2.130895365952907</v>
      </c>
      <c r="R3042" s="75">
        <f>F3042-F3041</f>
        <v>0.007943393307218827</v>
      </c>
      <c r="S3042" s="75">
        <f>0.5*(Q3041+Q3042)*R3042</f>
        <v>0.016924671690295684</v>
      </c>
      <c r="T3042" s="75">
        <f>0.5*(F3041*Q3041+F3042*Q3042)*R3042</f>
        <v>0.24912829763731234</v>
      </c>
      <c r="U3042" s="76">
        <f>U3041+S3042</f>
        <v>23.366074291380162</v>
      </c>
      <c r="V3042" s="76">
        <f>V3041+T3042</f>
        <v>203.04286611460864</v>
      </c>
    </row>
    <row r="3043" spans="1:22" ht="19" customHeight="1">
      <c r="A3043" s="68" t="s">
        <v>376</v>
      </c>
      <c r="B3043" s="74">
        <v>4</v>
      </c>
      <c r="C3043" s="68" t="s">
        <v>363</v>
      </c>
      <c r="D3043" s="68" t="s">
        <v>364</v>
      </c>
      <c r="E3043" s="75">
        <f>60*F3043*'THAM_SO_MOI'!$C$52/(2*PI()*'THAM_SO_MOI'!$C$26)</f>
        <v>2317.5802343023024</v>
      </c>
      <c r="F3043" s="75">
        <f>'HANH_TRINH'!$F$2468+('THAM_SO_MOI'!$F$52-'HANH_TRINH'!$F$2468)*574/'THAM_SO_MOI'!$C$42</f>
        <v>14.731745097643952</v>
      </c>
      <c r="G3043" s="75">
        <f>3.6*F3043</f>
        <v>53.03428235151823</v>
      </c>
      <c r="H3043" s="75">
        <f>'THAM_SO_MOI'!$D$52</f>
        <v>1.1774754878398197</v>
      </c>
      <c r="I3043" s="75">
        <f>IF(F3043&gt;'THAM_SO_MOI'!$C$14,'THAM_SO_MOI'!$C$13*(1+F3043^2/1500),'THAM_SO_MOI'!$C$13)</f>
        <v>0.015</v>
      </c>
      <c r="J3043" s="75">
        <f>'THAM_SO_MOI'!$C$40*('THAM_SO_MOI'!$C$23*(E3043/'THAM_SO_MOI'!$C$22)+'THAM_SO_MOI'!$C$24*(E3043/'THAM_SO_MOI'!$C$22)^2-'THAM_SO_MOI'!$C$25*(E3043/'THAM_SO_MOI'!$C$22)^3)</f>
        <v>104.10312053733792</v>
      </c>
      <c r="K3043" s="75">
        <f>'THAM_SO_MOI'!$C$31*J3043/E3043</f>
        <v>429.02469170938673</v>
      </c>
      <c r="L3043" s="75">
        <f>K3043*'THAM_SO_MOI'!$C$52*'THAM_SO_MOI'!$C$17/'THAM_SO_MOI'!$C$26</f>
        <v>6007.730108953604</v>
      </c>
      <c r="M3043" s="75">
        <f>'THAM_SO_MOI'!$C$15*'THAM_SO_MOI'!$C$16*F3043^2</f>
        <v>634.7961173442231</v>
      </c>
      <c r="N3043" s="75">
        <f>'THAM_SO_MOI'!$C$12*I3043</f>
        <v>1130.112</v>
      </c>
      <c r="O3043" s="75">
        <f>M3043+N3043</f>
        <v>1764.9081173442232</v>
      </c>
      <c r="P3043" s="75">
        <f>(MIN(L3043,'THAM_SO_MOI'!$C$41)-O3043)/('THAM_SO_MOI'!$C$11*H3043)</f>
        <v>0.4691824041033671</v>
      </c>
      <c r="Q3043" s="75">
        <f>IF(P3043&gt;0,1/P3043,NA())</f>
        <v>2.131367227871757</v>
      </c>
      <c r="R3043" s="75">
        <f>F3043-F3042</f>
        <v>0.007943393307218827</v>
      </c>
      <c r="S3043" s="75">
        <f>0.5*(Q3042+Q3043)*R3043</f>
        <v>0.016928414080697996</v>
      </c>
      <c r="T3043" s="75">
        <f>0.5*(F3042*Q3042+F3043*Q3043)*R3043</f>
        <v>0.24931785406198087</v>
      </c>
      <c r="U3043" s="76">
        <f>U3042+S3043</f>
        <v>23.38300270546086</v>
      </c>
      <c r="V3043" s="76">
        <f>V3042+T3043</f>
        <v>203.29218396867063</v>
      </c>
    </row>
    <row r="3044" spans="1:22" ht="19" customHeight="1">
      <c r="A3044" s="68" t="s">
        <v>376</v>
      </c>
      <c r="B3044" s="74">
        <v>4</v>
      </c>
      <c r="C3044" s="68" t="s">
        <v>363</v>
      </c>
      <c r="D3044" s="68" t="s">
        <v>364</v>
      </c>
      <c r="E3044" s="75">
        <f>60*F3044*'THAM_SO_MOI'!$C$52/(2*PI()*'THAM_SO_MOI'!$C$26)</f>
        <v>2318.829879283266</v>
      </c>
      <c r="F3044" s="75">
        <f>'HANH_TRINH'!$F$2468+('THAM_SO_MOI'!$F$52-'HANH_TRINH'!$F$2468)*575/'THAM_SO_MOI'!$C$42</f>
        <v>14.739688490951172</v>
      </c>
      <c r="G3044" s="75">
        <f>3.6*F3044</f>
        <v>53.06287856742422</v>
      </c>
      <c r="H3044" s="75">
        <f>'THAM_SO_MOI'!$D$52</f>
        <v>1.1774754878398197</v>
      </c>
      <c r="I3044" s="75">
        <f>IF(F3044&gt;'THAM_SO_MOI'!$C$14,'THAM_SO_MOI'!$C$13*(1+F3044^2/1500),'THAM_SO_MOI'!$C$13)</f>
        <v>0.015</v>
      </c>
      <c r="J3044" s="75">
        <f>'THAM_SO_MOI'!$C$40*('THAM_SO_MOI'!$C$23*(E3044/'THAM_SO_MOI'!$C$22)+'THAM_SO_MOI'!$C$24*(E3044/'THAM_SO_MOI'!$C$22)^2-'THAM_SO_MOI'!$C$25*(E3044/'THAM_SO_MOI'!$C$22)^3)</f>
        <v>104.15479290326897</v>
      </c>
      <c r="K3044" s="75">
        <f>'THAM_SO_MOI'!$C$31*J3044/E3044</f>
        <v>429.0063200717171</v>
      </c>
      <c r="L3044" s="75">
        <f>K3044*'THAM_SO_MOI'!$C$52*'THAM_SO_MOI'!$C$17/'THAM_SO_MOI'!$C$26</f>
        <v>6007.472846742567</v>
      </c>
      <c r="M3044" s="75">
        <f>'THAM_SO_MOI'!$C$15*'THAM_SO_MOI'!$C$16*F3044^2</f>
        <v>635.4808691700646</v>
      </c>
      <c r="N3044" s="75">
        <f>'THAM_SO_MOI'!$C$12*I3044</f>
        <v>1130.112</v>
      </c>
      <c r="O3044" s="75">
        <f>M3044+N3044</f>
        <v>1765.5928691700647</v>
      </c>
      <c r="P3044" s="75">
        <f>(MIN(L3044,'THAM_SO_MOI'!$C$41)-O3044)/('THAM_SO_MOI'!$C$11*H3044)</f>
        <v>0.4690782337159701</v>
      </c>
      <c r="Q3044" s="75">
        <f>IF(P3044&gt;0,1/P3044,NA())</f>
        <v>2.13184055051573</v>
      </c>
      <c r="R3044" s="75">
        <f>F3044-F3043</f>
        <v>0.007943393307220603</v>
      </c>
      <c r="S3044" s="75">
        <f>0.5*(Q3043+Q3044)*R3044</f>
        <v>0.016932168067066992</v>
      </c>
      <c r="T3044" s="75">
        <f>0.5*(F3043*Q3043+F3044*Q3044)*R3044</f>
        <v>0.24950764081611648</v>
      </c>
      <c r="U3044" s="76">
        <f>U3043+S3044</f>
        <v>23.39993487352793</v>
      </c>
      <c r="V3044" s="76">
        <f>V3043+T3044</f>
        <v>203.54169160948675</v>
      </c>
    </row>
    <row r="3045" spans="1:22" ht="19" customHeight="1">
      <c r="A3045" s="68" t="s">
        <v>376</v>
      </c>
      <c r="B3045" s="74">
        <v>4</v>
      </c>
      <c r="C3045" s="68" t="s">
        <v>363</v>
      </c>
      <c r="D3045" s="68" t="s">
        <v>364</v>
      </c>
      <c r="E3045" s="75">
        <f>60*F3045*'THAM_SO_MOI'!$C$52/(2*PI()*'THAM_SO_MOI'!$C$26)</f>
        <v>2320.079524264229</v>
      </c>
      <c r="F3045" s="75">
        <f>'HANH_TRINH'!$F$2468+('THAM_SO_MOI'!$F$52-'HANH_TRINH'!$F$2468)*576/'THAM_SO_MOI'!$C$42</f>
        <v>14.747631884258391</v>
      </c>
      <c r="G3045" s="75">
        <f>3.6*F3045</f>
        <v>53.091474783330206</v>
      </c>
      <c r="H3045" s="75">
        <f>'THAM_SO_MOI'!$D$52</f>
        <v>1.1774754878398197</v>
      </c>
      <c r="I3045" s="75">
        <f>IF(F3045&gt;'THAM_SO_MOI'!$C$14,'THAM_SO_MOI'!$C$13*(1+F3045^2/1500),'THAM_SO_MOI'!$C$13)</f>
        <v>0.015</v>
      </c>
      <c r="J3045" s="75">
        <f>'THAM_SO_MOI'!$C$40*('THAM_SO_MOI'!$C$23*(E3045/'THAM_SO_MOI'!$C$22)+'THAM_SO_MOI'!$C$24*(E3045/'THAM_SO_MOI'!$C$22)^2-'THAM_SO_MOI'!$C$25*(E3045/'THAM_SO_MOI'!$C$22)^3)</f>
        <v>104.20642366063835</v>
      </c>
      <c r="K3045" s="75">
        <f>'THAM_SO_MOI'!$C$31*J3045/E3045</f>
        <v>428.9877969343198</v>
      </c>
      <c r="L3045" s="75">
        <f>K3045*'THAM_SO_MOI'!$C$52*'THAM_SO_MOI'!$C$17/'THAM_SO_MOI'!$C$26</f>
        <v>6007.213463046467</v>
      </c>
      <c r="M3045" s="75">
        <f>'THAM_SO_MOI'!$C$15*'THAM_SO_MOI'!$C$16*F3045^2</f>
        <v>636.1659901162645</v>
      </c>
      <c r="N3045" s="75">
        <f>'THAM_SO_MOI'!$C$12*I3045</f>
        <v>1130.112</v>
      </c>
      <c r="O3045" s="75">
        <f>M3045+N3045</f>
        <v>1766.2779901162646</v>
      </c>
      <c r="P3045" s="75">
        <f>(MIN(L3045,'THAM_SO_MOI'!$C$41)-O3045)/('THAM_SO_MOI'!$C$11*H3045)</f>
        <v>0.4689737879108816</v>
      </c>
      <c r="Q3045" s="75">
        <f>IF(P3045&gt;0,1/P3045,NA())</f>
        <v>2.132315335692127</v>
      </c>
      <c r="R3045" s="75">
        <f>F3045-F3044</f>
        <v>0.007943393307218827</v>
      </c>
      <c r="S3045" s="75">
        <f>0.5*(Q3044+Q3045)*R3045</f>
        <v>0.016935933663720627</v>
      </c>
      <c r="T3045" s="75">
        <f>0.5*(F3044*Q3044+F3045*Q3045)*R3045</f>
        <v>0.24969765838715252</v>
      </c>
      <c r="U3045" s="76">
        <f>U3044+S3045</f>
        <v>23.41687080719165</v>
      </c>
      <c r="V3045" s="76">
        <f>V3044+T3045</f>
        <v>203.7913892678739</v>
      </c>
    </row>
    <row r="3046" spans="1:22" ht="19" customHeight="1">
      <c r="A3046" s="68" t="s">
        <v>376</v>
      </c>
      <c r="B3046" s="74">
        <v>4</v>
      </c>
      <c r="C3046" s="68" t="s">
        <v>363</v>
      </c>
      <c r="D3046" s="68" t="s">
        <v>364</v>
      </c>
      <c r="E3046" s="75">
        <f>60*F3046*'THAM_SO_MOI'!$C$52/(2*PI()*'THAM_SO_MOI'!$C$26)</f>
        <v>2321.3291692451926</v>
      </c>
      <c r="F3046" s="75">
        <f>'HANH_TRINH'!$F$2468+('THAM_SO_MOI'!$F$52-'HANH_TRINH'!$F$2468)*577/'THAM_SO_MOI'!$C$42</f>
        <v>14.755575277565612</v>
      </c>
      <c r="G3046" s="75">
        <f>3.6*F3046</f>
        <v>53.120070999236205</v>
      </c>
      <c r="H3046" s="75">
        <f>'THAM_SO_MOI'!$D$52</f>
        <v>1.1774754878398197</v>
      </c>
      <c r="I3046" s="75">
        <f>IF(F3046&gt;'THAM_SO_MOI'!$C$14,'THAM_SO_MOI'!$C$13*(1+F3046^2/1500),'THAM_SO_MOI'!$C$13)</f>
        <v>0.015</v>
      </c>
      <c r="J3046" s="75">
        <f>'THAM_SO_MOI'!$C$40*('THAM_SO_MOI'!$C$23*(E3046/'THAM_SO_MOI'!$C$22)+'THAM_SO_MOI'!$C$24*(E3046/'THAM_SO_MOI'!$C$22)^2-'THAM_SO_MOI'!$C$25*(E3046/'THAM_SO_MOI'!$C$22)^3)</f>
        <v>104.25801274998047</v>
      </c>
      <c r="K3046" s="75">
        <f>'THAM_SO_MOI'!$C$31*J3046/E3046</f>
        <v>428.96912229719516</v>
      </c>
      <c r="L3046" s="75">
        <f>K3046*'THAM_SO_MOI'!$C$52*'THAM_SO_MOI'!$C$17/'THAM_SO_MOI'!$C$26</f>
        <v>6006.951957865306</v>
      </c>
      <c r="M3046" s="75">
        <f>'THAM_SO_MOI'!$C$15*'THAM_SO_MOI'!$C$16*F3046^2</f>
        <v>636.8514801828236</v>
      </c>
      <c r="N3046" s="75">
        <f>'THAM_SO_MOI'!$C$12*I3046</f>
        <v>1130.112</v>
      </c>
      <c r="O3046" s="75">
        <f>M3046+N3046</f>
        <v>1766.9634801828238</v>
      </c>
      <c r="P3046" s="75">
        <f>(MIN(L3046,'THAM_SO_MOI'!$C$41)-O3046)/('THAM_SO_MOI'!$C$11*H3046)</f>
        <v>0.4688690666881016</v>
      </c>
      <c r="Q3046" s="75">
        <f>IF(P3046&gt;0,1/P3046,NA())</f>
        <v>2.1327915852150134</v>
      </c>
      <c r="R3046" s="75">
        <f>F3046-F3045</f>
        <v>0.007943393307220603</v>
      </c>
      <c r="S3046" s="75">
        <f>0.5*(Q3045+Q3046)*R3046</f>
        <v>0.016939710885057024</v>
      </c>
      <c r="T3046" s="75">
        <f>0.5*(F3045*Q3045+F3046*Q3046)*R3046</f>
        <v>0.2498879072641595</v>
      </c>
      <c r="U3046" s="76">
        <f>U3045+S3046</f>
        <v>23.433810518076708</v>
      </c>
      <c r="V3046" s="76">
        <f>V3045+T3046</f>
        <v>204.04127717513808</v>
      </c>
    </row>
    <row r="3047" spans="1:22" ht="19" customHeight="1">
      <c r="A3047" s="68" t="s">
        <v>376</v>
      </c>
      <c r="B3047" s="74">
        <v>4</v>
      </c>
      <c r="C3047" s="68" t="s">
        <v>363</v>
      </c>
      <c r="D3047" s="68" t="s">
        <v>364</v>
      </c>
      <c r="E3047" s="75">
        <f>60*F3047*'THAM_SO_MOI'!$C$52/(2*PI()*'THAM_SO_MOI'!$C$26)</f>
        <v>2322.578814226156</v>
      </c>
      <c r="F3047" s="75">
        <f>'HANH_TRINH'!$F$2468+('THAM_SO_MOI'!$F$52-'HANH_TRINH'!$F$2468)*578/'THAM_SO_MOI'!$C$42</f>
        <v>14.76351867087283</v>
      </c>
      <c r="G3047" s="75">
        <f>3.6*F3047</f>
        <v>53.14866721514219</v>
      </c>
      <c r="H3047" s="75">
        <f>'THAM_SO_MOI'!$D$52</f>
        <v>1.1774754878398197</v>
      </c>
      <c r="I3047" s="75">
        <f>IF(F3047&gt;'THAM_SO_MOI'!$C$14,'THAM_SO_MOI'!$C$13*(1+F3047^2/1500),'THAM_SO_MOI'!$C$13)</f>
        <v>0.015</v>
      </c>
      <c r="J3047" s="75">
        <f>'THAM_SO_MOI'!$C$40*('THAM_SO_MOI'!$C$23*(E3047/'THAM_SO_MOI'!$C$22)+'THAM_SO_MOI'!$C$24*(E3047/'THAM_SO_MOI'!$C$22)^2-'THAM_SO_MOI'!$C$25*(E3047/'THAM_SO_MOI'!$C$22)^3)</f>
        <v>104.30956011182957</v>
      </c>
      <c r="K3047" s="75">
        <f>'THAM_SO_MOI'!$C$31*J3047/E3047</f>
        <v>428.9502961603429</v>
      </c>
      <c r="L3047" s="75">
        <f>K3047*'THAM_SO_MOI'!$C$52*'THAM_SO_MOI'!$C$17/'THAM_SO_MOI'!$C$26</f>
        <v>6006.688331199083</v>
      </c>
      <c r="M3047" s="75">
        <f>'THAM_SO_MOI'!$C$15*'THAM_SO_MOI'!$C$16*F3047^2</f>
        <v>637.5373393697413</v>
      </c>
      <c r="N3047" s="75">
        <f>'THAM_SO_MOI'!$C$12*I3047</f>
        <v>1130.112</v>
      </c>
      <c r="O3047" s="75">
        <f>M3047+N3047</f>
        <v>1767.6493393697415</v>
      </c>
      <c r="P3047" s="75">
        <f>(MIN(L3047,'THAM_SO_MOI'!$C$41)-O3047)/('THAM_SO_MOI'!$C$11*H3047)</f>
        <v>0.4687640700476298</v>
      </c>
      <c r="Q3047" s="75">
        <f>IF(P3047&gt;0,1/P3047,NA())</f>
        <v>2.1332693009052353</v>
      </c>
      <c r="R3047" s="75">
        <f>F3047-F3046</f>
        <v>0.007943393307218827</v>
      </c>
      <c r="S3047" s="75">
        <f>0.5*(Q3046+Q3047)*R3047</f>
        <v>0.0169434997454978</v>
      </c>
      <c r="T3047" s="75">
        <f>0.5*(F3046*Q3046+F3047*Q3047)*R3047</f>
        <v>0.2500783879370123</v>
      </c>
      <c r="U3047" s="76">
        <f>U3046+S3047</f>
        <v>23.450754017822206</v>
      </c>
      <c r="V3047" s="76">
        <f>V3046+T3047</f>
        <v>204.2913555630751</v>
      </c>
    </row>
    <row r="3048" spans="1:22" ht="19" customHeight="1">
      <c r="A3048" s="68" t="s">
        <v>376</v>
      </c>
      <c r="B3048" s="74">
        <v>4</v>
      </c>
      <c r="C3048" s="68" t="s">
        <v>363</v>
      </c>
      <c r="D3048" s="68" t="s">
        <v>364</v>
      </c>
      <c r="E3048" s="75">
        <f>60*F3048*'THAM_SO_MOI'!$C$52/(2*PI()*'THAM_SO_MOI'!$C$26)</f>
        <v>2323.828459207119</v>
      </c>
      <c r="F3048" s="75">
        <f>'HANH_TRINH'!$F$2468+('THAM_SO_MOI'!$F$52-'HANH_TRINH'!$F$2468)*579/'THAM_SO_MOI'!$C$42</f>
        <v>14.77146206418005</v>
      </c>
      <c r="G3048" s="75">
        <f>3.6*F3048</f>
        <v>53.17726343104818</v>
      </c>
      <c r="H3048" s="75">
        <f>'THAM_SO_MOI'!$D$52</f>
        <v>1.1774754878398197</v>
      </c>
      <c r="I3048" s="75">
        <f>IF(F3048&gt;'THAM_SO_MOI'!$C$14,'THAM_SO_MOI'!$C$13*(1+F3048^2/1500),'THAM_SO_MOI'!$C$13)</f>
        <v>0.015</v>
      </c>
      <c r="J3048" s="75">
        <f>'THAM_SO_MOI'!$C$40*('THAM_SO_MOI'!$C$23*(E3048/'THAM_SO_MOI'!$C$22)+'THAM_SO_MOI'!$C$24*(E3048/'THAM_SO_MOI'!$C$22)^2-'THAM_SO_MOI'!$C$25*(E3048/'THAM_SO_MOI'!$C$22)^3)</f>
        <v>104.36106568672001</v>
      </c>
      <c r="K3048" s="75">
        <f>'THAM_SO_MOI'!$C$31*J3048/E3048</f>
        <v>428.93131852376325</v>
      </c>
      <c r="L3048" s="75">
        <f>K3048*'THAM_SO_MOI'!$C$52*'THAM_SO_MOI'!$C$17/'THAM_SO_MOI'!$C$26</f>
        <v>6006.422583047801</v>
      </c>
      <c r="M3048" s="75">
        <f>'THAM_SO_MOI'!$C$15*'THAM_SO_MOI'!$C$16*F3048^2</f>
        <v>638.2235676770177</v>
      </c>
      <c r="N3048" s="75">
        <f>'THAM_SO_MOI'!$C$12*I3048</f>
        <v>1130.112</v>
      </c>
      <c r="O3048" s="75">
        <f>M3048+N3048</f>
        <v>1768.335567677018</v>
      </c>
      <c r="P3048" s="75">
        <f>(MIN(L3048,'THAM_SO_MOI'!$C$41)-O3048)/('THAM_SO_MOI'!$C$11*H3048)</f>
        <v>0.46865879798946664</v>
      </c>
      <c r="Q3048" s="75">
        <f>IF(P3048&gt;0,1/P3048,NA())</f>
        <v>2.1337484845904364</v>
      </c>
      <c r="R3048" s="75">
        <f>F3048-F3047</f>
        <v>0.007943393307218827</v>
      </c>
      <c r="S3048" s="75">
        <f>0.5*(Q3047+Q3048)*R3048</f>
        <v>0.016947300259545005</v>
      </c>
      <c r="T3048" s="75">
        <f>0.5*(F3047*Q3047+F3048*Q3048)*R3048</f>
        <v>0.2502691008972321</v>
      </c>
      <c r="U3048" s="76">
        <f>U3047+S3048</f>
        <v>23.46770131808175</v>
      </c>
      <c r="V3048" s="76">
        <f>V3047+T3048</f>
        <v>204.54162466397233</v>
      </c>
    </row>
    <row r="3049" spans="1:22" ht="19" customHeight="1">
      <c r="A3049" s="68" t="s">
        <v>376</v>
      </c>
      <c r="B3049" s="74">
        <v>4</v>
      </c>
      <c r="C3049" s="68" t="s">
        <v>363</v>
      </c>
      <c r="D3049" s="68" t="s">
        <v>364</v>
      </c>
      <c r="E3049" s="75">
        <f>60*F3049*'THAM_SO_MOI'!$C$52/(2*PI()*'THAM_SO_MOI'!$C$26)</f>
        <v>2325.0781041880823</v>
      </c>
      <c r="F3049" s="75">
        <f>'HANH_TRINH'!$F$2468+('THAM_SO_MOI'!$F$52-'HANH_TRINH'!$F$2468)*580/'THAM_SO_MOI'!$C$42</f>
        <v>14.779405457487268</v>
      </c>
      <c r="G3049" s="75">
        <f>3.6*F3049</f>
        <v>53.20585964695417</v>
      </c>
      <c r="H3049" s="75">
        <f>'THAM_SO_MOI'!$D$52</f>
        <v>1.1774754878398197</v>
      </c>
      <c r="I3049" s="75">
        <f>IF(F3049&gt;'THAM_SO_MOI'!$C$14,'THAM_SO_MOI'!$C$13*(1+F3049^2/1500),'THAM_SO_MOI'!$C$13)</f>
        <v>0.015</v>
      </c>
      <c r="J3049" s="75">
        <f>'THAM_SO_MOI'!$C$40*('THAM_SO_MOI'!$C$23*(E3049/'THAM_SO_MOI'!$C$22)+'THAM_SO_MOI'!$C$24*(E3049/'THAM_SO_MOI'!$C$22)^2-'THAM_SO_MOI'!$C$25*(E3049/'THAM_SO_MOI'!$C$22)^3)</f>
        <v>104.41252941518611</v>
      </c>
      <c r="K3049" s="75">
        <f>'THAM_SO_MOI'!$C$31*J3049/E3049</f>
        <v>428.9121893874562</v>
      </c>
      <c r="L3049" s="75">
        <f>K3049*'THAM_SO_MOI'!$C$52*'THAM_SO_MOI'!$C$17/'THAM_SO_MOI'!$C$26</f>
        <v>6006.154713411458</v>
      </c>
      <c r="M3049" s="75">
        <f>'THAM_SO_MOI'!$C$15*'THAM_SO_MOI'!$C$16*F3049^2</f>
        <v>638.9101651046531</v>
      </c>
      <c r="N3049" s="75">
        <f>'THAM_SO_MOI'!$C$12*I3049</f>
        <v>1130.112</v>
      </c>
      <c r="O3049" s="75">
        <f>M3049+N3049</f>
        <v>1769.0221651046531</v>
      </c>
      <c r="P3049" s="75">
        <f>(MIN(L3049,'THAM_SO_MOI'!$C$41)-O3049)/('THAM_SO_MOI'!$C$11*H3049)</f>
        <v>0.4685532505136121</v>
      </c>
      <c r="Q3049" s="75">
        <f>IF(P3049&gt;0,1/P3049,NA())</f>
        <v>2.13422913810508</v>
      </c>
      <c r="R3049" s="75">
        <f>F3049-F3048</f>
        <v>0.007943393307218827</v>
      </c>
      <c r="S3049" s="75">
        <f>0.5*(Q3048+Q3049)*R3049</f>
        <v>0.016951112441739642</v>
      </c>
      <c r="T3049" s="75">
        <f>0.5*(F3048*Q3048+F3049*Q3049)*R3049</f>
        <v>0.25046004663737587</v>
      </c>
      <c r="U3049" s="76">
        <f>U3048+S3049</f>
        <v>23.48465243052349</v>
      </c>
      <c r="V3049" s="76">
        <f>V3048+T3049</f>
        <v>204.7920847106097</v>
      </c>
    </row>
    <row r="3050" spans="1:22" ht="19" customHeight="1">
      <c r="A3050" s="68" t="s">
        <v>376</v>
      </c>
      <c r="B3050" s="74">
        <v>4</v>
      </c>
      <c r="C3050" s="68" t="s">
        <v>363</v>
      </c>
      <c r="D3050" s="68" t="s">
        <v>364</v>
      </c>
      <c r="E3050" s="75">
        <f>60*F3050*'THAM_SO_MOI'!$C$52/(2*PI()*'THAM_SO_MOI'!$C$26)</f>
        <v>2326.327749169045</v>
      </c>
      <c r="F3050" s="75">
        <f>'HANH_TRINH'!$F$2468+('THAM_SO_MOI'!$F$52-'HANH_TRINH'!$F$2468)*581/'THAM_SO_MOI'!$C$42</f>
        <v>14.787348850794487</v>
      </c>
      <c r="G3050" s="75">
        <f>3.6*F3050</f>
        <v>53.23445586286015</v>
      </c>
      <c r="H3050" s="75">
        <f>'THAM_SO_MOI'!$D$52</f>
        <v>1.1774754878398197</v>
      </c>
      <c r="I3050" s="75">
        <f>IF(F3050&gt;'THAM_SO_MOI'!$C$14,'THAM_SO_MOI'!$C$13*(1+F3050^2/1500),'THAM_SO_MOI'!$C$13)</f>
        <v>0.015</v>
      </c>
      <c r="J3050" s="75">
        <f>'THAM_SO_MOI'!$C$40*('THAM_SO_MOI'!$C$23*(E3050/'THAM_SO_MOI'!$C$22)+'THAM_SO_MOI'!$C$24*(E3050/'THAM_SO_MOI'!$C$22)^2-'THAM_SO_MOI'!$C$25*(E3050/'THAM_SO_MOI'!$C$22)^3)</f>
        <v>104.46395123776212</v>
      </c>
      <c r="K3050" s="75">
        <f>'THAM_SO_MOI'!$C$31*J3050/E3050</f>
        <v>428.89290875142154</v>
      </c>
      <c r="L3050" s="75">
        <f>K3050*'THAM_SO_MOI'!$C$52*'THAM_SO_MOI'!$C$17/'THAM_SO_MOI'!$C$26</f>
        <v>6005.884722290053</v>
      </c>
      <c r="M3050" s="75">
        <f>'THAM_SO_MOI'!$C$15*'THAM_SO_MOI'!$C$16*F3050^2</f>
        <v>639.5971316526472</v>
      </c>
      <c r="N3050" s="75">
        <f>'THAM_SO_MOI'!$C$12*I3050</f>
        <v>1130.112</v>
      </c>
      <c r="O3050" s="75">
        <f>M3050+N3050</f>
        <v>1769.7091316526473</v>
      </c>
      <c r="P3050" s="75">
        <f>(MIN(L3050,'THAM_SO_MOI'!$C$41)-O3050)/('THAM_SO_MOI'!$C$11*H3050)</f>
        <v>0.46844742762006575</v>
      </c>
      <c r="Q3050" s="75">
        <f>IF(P3050&gt;0,1/P3050,NA())</f>
        <v>2.1347112632904666</v>
      </c>
      <c r="R3050" s="75">
        <f>F3050-F3049</f>
        <v>0.007943393307218827</v>
      </c>
      <c r="S3050" s="75">
        <f>0.5*(Q3049+Q3050)*R3050</f>
        <v>0.01695493630668072</v>
      </c>
      <c r="T3050" s="75">
        <f>0.5*(F3049*Q3049+F3050*Q3050)*R3050</f>
        <v>0.2506512256513206</v>
      </c>
      <c r="U3050" s="76">
        <f>U3049+S3050</f>
        <v>23.50160736683017</v>
      </c>
      <c r="V3050" s="76">
        <f>V3049+T3050</f>
        <v>205.04273593626104</v>
      </c>
    </row>
    <row r="3051" spans="1:22" ht="19" customHeight="1">
      <c r="A3051" s="68" t="s">
        <v>376</v>
      </c>
      <c r="B3051" s="74">
        <v>4</v>
      </c>
      <c r="C3051" s="68" t="s">
        <v>363</v>
      </c>
      <c r="D3051" s="68" t="s">
        <v>364</v>
      </c>
      <c r="E3051" s="75">
        <f>60*F3051*'THAM_SO_MOI'!$C$52/(2*PI()*'THAM_SO_MOI'!$C$26)</f>
        <v>2327.577394150009</v>
      </c>
      <c r="F3051" s="75">
        <f>'HANH_TRINH'!$F$2468+('THAM_SO_MOI'!$F$52-'HANH_TRINH'!$F$2468)*582/'THAM_SO_MOI'!$C$42</f>
        <v>14.79529224410171</v>
      </c>
      <c r="G3051" s="75">
        <f>3.6*F3051</f>
        <v>53.26305207876616</v>
      </c>
      <c r="H3051" s="75">
        <f>'THAM_SO_MOI'!$D$52</f>
        <v>1.1774754878398197</v>
      </c>
      <c r="I3051" s="75">
        <f>IF(F3051&gt;'THAM_SO_MOI'!$C$14,'THAM_SO_MOI'!$C$13*(1+F3051^2/1500),'THAM_SO_MOI'!$C$13)</f>
        <v>0.015</v>
      </c>
      <c r="J3051" s="75">
        <f>'THAM_SO_MOI'!$C$40*('THAM_SO_MOI'!$C$23*(E3051/'THAM_SO_MOI'!$C$22)+'THAM_SO_MOI'!$C$24*(E3051/'THAM_SO_MOI'!$C$22)^2-'THAM_SO_MOI'!$C$25*(E3051/'THAM_SO_MOI'!$C$22)^3)</f>
        <v>104.51533109498244</v>
      </c>
      <c r="K3051" s="75">
        <f>'THAM_SO_MOI'!$C$31*J3051/E3051</f>
        <v>428.87347661565946</v>
      </c>
      <c r="L3051" s="75">
        <f>K3051*'THAM_SO_MOI'!$C$52*'THAM_SO_MOI'!$C$17/'THAM_SO_MOI'!$C$26</f>
        <v>6005.612609683588</v>
      </c>
      <c r="M3051" s="75">
        <f>'THAM_SO_MOI'!$C$15*'THAM_SO_MOI'!$C$16*F3051^2</f>
        <v>640.2844673210004</v>
      </c>
      <c r="N3051" s="75">
        <f>'THAM_SO_MOI'!$C$12*I3051</f>
        <v>1130.112</v>
      </c>
      <c r="O3051" s="75">
        <f>M3051+N3051</f>
        <v>1770.3964673210005</v>
      </c>
      <c r="P3051" s="75">
        <f>(MIN(L3051,'THAM_SO_MOI'!$C$41)-O3051)/('THAM_SO_MOI'!$C$11*H3051)</f>
        <v>0.46834132930882805</v>
      </c>
      <c r="Q3051" s="75">
        <f>IF(P3051&gt;0,1/P3051,NA())</f>
        <v>2.1351948619947483</v>
      </c>
      <c r="R3051" s="75">
        <f>F3051-F3050</f>
        <v>0.00794339330722238</v>
      </c>
      <c r="S3051" s="75">
        <f>0.5*(Q3050+Q3051)*R3051</f>
        <v>0.01695877186902921</v>
      </c>
      <c r="T3051" s="75">
        <f>0.5*(F3050*Q3050+F3051*Q3051)*R3051</f>
        <v>0.25084263843432353</v>
      </c>
      <c r="U3051" s="76">
        <f>U3050+S3051</f>
        <v>23.5185661386992</v>
      </c>
      <c r="V3051" s="76">
        <f>V3050+T3051</f>
        <v>205.29357857469537</v>
      </c>
    </row>
    <row r="3052" spans="1:22" ht="19" customHeight="1">
      <c r="A3052" s="68" t="s">
        <v>376</v>
      </c>
      <c r="B3052" s="74">
        <v>4</v>
      </c>
      <c r="C3052" s="68" t="s">
        <v>363</v>
      </c>
      <c r="D3052" s="68" t="s">
        <v>364</v>
      </c>
      <c r="E3052" s="75">
        <f>60*F3052*'THAM_SO_MOI'!$C$52/(2*PI()*'THAM_SO_MOI'!$C$26)</f>
        <v>2328.827039130972</v>
      </c>
      <c r="F3052" s="75">
        <f>'HANH_TRINH'!$F$2468+('THAM_SO_MOI'!$F$52-'HANH_TRINH'!$F$2468)*583/'THAM_SO_MOI'!$C$42</f>
        <v>14.803235637408928</v>
      </c>
      <c r="G3052" s="75">
        <f>3.6*F3052</f>
        <v>53.29164829467214</v>
      </c>
      <c r="H3052" s="75">
        <f>'THAM_SO_MOI'!$D$52</f>
        <v>1.1774754878398197</v>
      </c>
      <c r="I3052" s="75">
        <f>IF(F3052&gt;'THAM_SO_MOI'!$C$14,'THAM_SO_MOI'!$C$13*(1+F3052^2/1500),'THAM_SO_MOI'!$C$13)</f>
        <v>0.015</v>
      </c>
      <c r="J3052" s="75">
        <f>'THAM_SO_MOI'!$C$40*('THAM_SO_MOI'!$C$23*(E3052/'THAM_SO_MOI'!$C$22)+'THAM_SO_MOI'!$C$24*(E3052/'THAM_SO_MOI'!$C$22)^2-'THAM_SO_MOI'!$C$25*(E3052/'THAM_SO_MOI'!$C$22)^3)</f>
        <v>104.56666892738136</v>
      </c>
      <c r="K3052" s="75">
        <f>'THAM_SO_MOI'!$C$31*J3052/E3052</f>
        <v>428.85389298017003</v>
      </c>
      <c r="L3052" s="75">
        <f>K3052*'THAM_SO_MOI'!$C$52*'THAM_SO_MOI'!$C$17/'THAM_SO_MOI'!$C$26</f>
        <v>6005.338375592063</v>
      </c>
      <c r="M3052" s="75">
        <f>'THAM_SO_MOI'!$C$15*'THAM_SO_MOI'!$C$16*F3052^2</f>
        <v>640.9721721097122</v>
      </c>
      <c r="N3052" s="75">
        <f>'THAM_SO_MOI'!$C$12*I3052</f>
        <v>1130.112</v>
      </c>
      <c r="O3052" s="75">
        <f>M3052+N3052</f>
        <v>1771.0841721097122</v>
      </c>
      <c r="P3052" s="75">
        <f>(MIN(L3052,'THAM_SO_MOI'!$C$41)-O3052)/('THAM_SO_MOI'!$C$11*H3052)</f>
        <v>0.46823495557989897</v>
      </c>
      <c r="Q3052" s="75">
        <f>IF(P3052&gt;0,1/P3052,NA())</f>
        <v>2.1356799360729517</v>
      </c>
      <c r="R3052" s="75">
        <f>F3052-F3051</f>
        <v>0.007943393307218827</v>
      </c>
      <c r="S3052" s="75">
        <f>0.5*(Q3051+Q3052)*R3052</f>
        <v>0.01696261914347026</v>
      </c>
      <c r="T3052" s="75">
        <f>0.5*(F3051*Q3051+F3052*Q3052)*R3052</f>
        <v>0.2510342854824654</v>
      </c>
      <c r="U3052" s="76">
        <f>U3051+S3052</f>
        <v>23.53552875784267</v>
      </c>
      <c r="V3052" s="76">
        <f>V3051+T3052</f>
        <v>205.54461286017784</v>
      </c>
    </row>
    <row r="3053" spans="1:22" ht="19" customHeight="1">
      <c r="A3053" s="68" t="s">
        <v>376</v>
      </c>
      <c r="B3053" s="74">
        <v>4</v>
      </c>
      <c r="C3053" s="68" t="s">
        <v>363</v>
      </c>
      <c r="D3053" s="68" t="s">
        <v>364</v>
      </c>
      <c r="E3053" s="75">
        <f>60*F3053*'THAM_SO_MOI'!$C$52/(2*PI()*'THAM_SO_MOI'!$C$26)</f>
        <v>2330.0766841119353</v>
      </c>
      <c r="F3053" s="75">
        <f>'HANH_TRINH'!$F$2468+('THAM_SO_MOI'!$F$52-'HANH_TRINH'!$F$2468)*584/'THAM_SO_MOI'!$C$42</f>
        <v>14.811179030716147</v>
      </c>
      <c r="G3053" s="75">
        <f>3.6*F3053</f>
        <v>53.32024451057813</v>
      </c>
      <c r="H3053" s="75">
        <f>'THAM_SO_MOI'!$D$52</f>
        <v>1.1774754878398197</v>
      </c>
      <c r="I3053" s="75">
        <f>IF(F3053&gt;'THAM_SO_MOI'!$C$14,'THAM_SO_MOI'!$C$13*(1+F3053^2/1500),'THAM_SO_MOI'!$C$13)</f>
        <v>0.015</v>
      </c>
      <c r="J3053" s="75">
        <f>'THAM_SO_MOI'!$C$40*('THAM_SO_MOI'!$C$23*(E3053/'THAM_SO_MOI'!$C$22)+'THAM_SO_MOI'!$C$24*(E3053/'THAM_SO_MOI'!$C$22)^2-'THAM_SO_MOI'!$C$25*(E3053/'THAM_SO_MOI'!$C$22)^3)</f>
        <v>104.61796467549313</v>
      </c>
      <c r="K3053" s="75">
        <f>'THAM_SO_MOI'!$C$31*J3053/E3053</f>
        <v>428.834157844953</v>
      </c>
      <c r="L3053" s="75">
        <f>K3053*'THAM_SO_MOI'!$C$52*'THAM_SO_MOI'!$C$17/'THAM_SO_MOI'!$C$26</f>
        <v>6005.062020015474</v>
      </c>
      <c r="M3053" s="75">
        <f>'THAM_SO_MOI'!$C$15*'THAM_SO_MOI'!$C$16*F3053^2</f>
        <v>641.6602460187828</v>
      </c>
      <c r="N3053" s="75">
        <f>'THAM_SO_MOI'!$C$12*I3053</f>
        <v>1130.112</v>
      </c>
      <c r="O3053" s="75">
        <f>M3053+N3053</f>
        <v>1771.7722460187829</v>
      </c>
      <c r="P3053" s="75">
        <f>(MIN(L3053,'THAM_SO_MOI'!$C$41)-O3053)/('THAM_SO_MOI'!$C$11*H3053)</f>
        <v>0.4681283064332779</v>
      </c>
      <c r="Q3053" s="75">
        <f>IF(P3053&gt;0,1/P3053,NA())</f>
        <v>2.136166487386999</v>
      </c>
      <c r="R3053" s="75">
        <f>F3053-F3052</f>
        <v>0.007943393307218827</v>
      </c>
      <c r="S3053" s="75">
        <f>0.5*(Q3052+Q3053)*R3053</f>
        <v>0.016966478144789226</v>
      </c>
      <c r="T3053" s="75">
        <f>0.5*(F3052*Q3052+F3053*Q3053)*R3053</f>
        <v>0.25122616729377734</v>
      </c>
      <c r="U3053" s="76">
        <f>U3052+S3053</f>
        <v>23.552495235987458</v>
      </c>
      <c r="V3053" s="76">
        <f>V3052+T3053</f>
        <v>205.7958390274716</v>
      </c>
    </row>
    <row r="3054" spans="1:22" ht="19" customHeight="1">
      <c r="A3054" s="68" t="s">
        <v>376</v>
      </c>
      <c r="B3054" s="74">
        <v>4</v>
      </c>
      <c r="C3054" s="68" t="s">
        <v>363</v>
      </c>
      <c r="D3054" s="68" t="s">
        <v>364</v>
      </c>
      <c r="E3054" s="75">
        <f>60*F3054*'THAM_SO_MOI'!$C$52/(2*PI()*'THAM_SO_MOI'!$C$26)</f>
        <v>2331.3263290928985</v>
      </c>
      <c r="F3054" s="75">
        <f>'HANH_TRINH'!$F$2468+('THAM_SO_MOI'!$F$52-'HANH_TRINH'!$F$2468)*585/'THAM_SO_MOI'!$C$42</f>
        <v>14.819122424023366</v>
      </c>
      <c r="G3054" s="75">
        <f>3.6*F3054</f>
        <v>53.34884072648412</v>
      </c>
      <c r="H3054" s="75">
        <f>'THAM_SO_MOI'!$D$52</f>
        <v>1.1774754878398197</v>
      </c>
      <c r="I3054" s="75">
        <f>IF(F3054&gt;'THAM_SO_MOI'!$C$14,'THAM_SO_MOI'!$C$13*(1+F3054^2/1500),'THAM_SO_MOI'!$C$13)</f>
        <v>0.015</v>
      </c>
      <c r="J3054" s="75">
        <f>'THAM_SO_MOI'!$C$40*('THAM_SO_MOI'!$C$23*(E3054/'THAM_SO_MOI'!$C$22)+'THAM_SO_MOI'!$C$24*(E3054/'THAM_SO_MOI'!$C$22)^2-'THAM_SO_MOI'!$C$25*(E3054/'THAM_SO_MOI'!$C$22)^3)</f>
        <v>104.66921827985212</v>
      </c>
      <c r="K3054" s="75">
        <f>'THAM_SO_MOI'!$C$31*J3054/E3054</f>
        <v>428.8142712100084</v>
      </c>
      <c r="L3054" s="75">
        <f>K3054*'THAM_SO_MOI'!$C$52*'THAM_SO_MOI'!$C$17/'THAM_SO_MOI'!$C$26</f>
        <v>6004.783542953825</v>
      </c>
      <c r="M3054" s="75">
        <f>'THAM_SO_MOI'!$C$15*'THAM_SO_MOI'!$C$16*F3054^2</f>
        <v>642.3486890482121</v>
      </c>
      <c r="N3054" s="75">
        <f>'THAM_SO_MOI'!$C$12*I3054</f>
        <v>1130.112</v>
      </c>
      <c r="O3054" s="75">
        <f>M3054+N3054</f>
        <v>1772.4606890482123</v>
      </c>
      <c r="P3054" s="75">
        <f>(MIN(L3054,'THAM_SO_MOI'!$C$41)-O3054)/('THAM_SO_MOI'!$C$11*H3054)</f>
        <v>0.4680213818689656</v>
      </c>
      <c r="Q3054" s="75">
        <f>IF(P3054&gt;0,1/P3054,NA())</f>
        <v>2.136654517805717</v>
      </c>
      <c r="R3054" s="75">
        <f>F3054-F3053</f>
        <v>0.007943393307218827</v>
      </c>
      <c r="S3054" s="75">
        <f>0.5*(Q3053+Q3054)*R3054</f>
        <v>0.01697034888779592</v>
      </c>
      <c r="T3054" s="75">
        <f>0.5*(F3053*Q3053+F3054*Q3054)*R3054</f>
        <v>0.25141828436712277</v>
      </c>
      <c r="U3054" s="76">
        <f>U3053+S3054</f>
        <v>23.569465584875253</v>
      </c>
      <c r="V3054" s="76">
        <f>V3053+T3054</f>
        <v>206.04725731183873</v>
      </c>
    </row>
    <row r="3055" spans="1:22" ht="19" customHeight="1">
      <c r="A3055" s="68" t="s">
        <v>376</v>
      </c>
      <c r="B3055" s="74">
        <v>4</v>
      </c>
      <c r="C3055" s="68" t="s">
        <v>363</v>
      </c>
      <c r="D3055" s="68" t="s">
        <v>364</v>
      </c>
      <c r="E3055" s="75">
        <f>60*F3055*'THAM_SO_MOI'!$C$52/(2*PI()*'THAM_SO_MOI'!$C$26)</f>
        <v>2332.5759740738613</v>
      </c>
      <c r="F3055" s="75">
        <f>'HANH_TRINH'!$F$2468+('THAM_SO_MOI'!$F$52-'HANH_TRINH'!$F$2468)*586/'THAM_SO_MOI'!$C$42</f>
        <v>14.827065817330585</v>
      </c>
      <c r="G3055" s="75">
        <f>3.6*F3055</f>
        <v>53.377436942390105</v>
      </c>
      <c r="H3055" s="75">
        <f>'THAM_SO_MOI'!$D$52</f>
        <v>1.1774754878398197</v>
      </c>
      <c r="I3055" s="75">
        <f>IF(F3055&gt;'THAM_SO_MOI'!$C$14,'THAM_SO_MOI'!$C$13*(1+F3055^2/1500),'THAM_SO_MOI'!$C$13)</f>
        <v>0.015</v>
      </c>
      <c r="J3055" s="75">
        <f>'THAM_SO_MOI'!$C$40*('THAM_SO_MOI'!$C$23*(E3055/'THAM_SO_MOI'!$C$22)+'THAM_SO_MOI'!$C$24*(E3055/'THAM_SO_MOI'!$C$22)^2-'THAM_SO_MOI'!$C$25*(E3055/'THAM_SO_MOI'!$C$22)^3)</f>
        <v>104.7204296809926</v>
      </c>
      <c r="K3055" s="75">
        <f>'THAM_SO_MOI'!$C$31*J3055/E3055</f>
        <v>428.79423307533636</v>
      </c>
      <c r="L3055" s="75">
        <f>K3055*'THAM_SO_MOI'!$C$52*'THAM_SO_MOI'!$C$17/'THAM_SO_MOI'!$C$26</f>
        <v>6004.502944407114</v>
      </c>
      <c r="M3055" s="75">
        <f>'THAM_SO_MOI'!$C$15*'THAM_SO_MOI'!$C$16*F3055^2</f>
        <v>643.0375011980003</v>
      </c>
      <c r="N3055" s="75">
        <f>'THAM_SO_MOI'!$C$12*I3055</f>
        <v>1130.112</v>
      </c>
      <c r="O3055" s="75">
        <f>M3055+N3055</f>
        <v>1773.1495011980005</v>
      </c>
      <c r="P3055" s="75">
        <f>(MIN(L3055,'THAM_SO_MOI'!$C$41)-O3055)/('THAM_SO_MOI'!$C$11*H3055)</f>
        <v>0.46791418188696143</v>
      </c>
      <c r="Q3055" s="75">
        <f>IF(P3055&gt;0,1/P3055,NA())</f>
        <v>2.1371440292048676</v>
      </c>
      <c r="R3055" s="75">
        <f>F3055-F3054</f>
        <v>0.007943393307218827</v>
      </c>
      <c r="S3055" s="75">
        <f>0.5*(Q3054+Q3055)*R3055</f>
        <v>0.01697423138736271</v>
      </c>
      <c r="T3055" s="75">
        <f>0.5*(F3054*Q3054+F3055*Q3055)*R3055</f>
        <v>0.25161063720276283</v>
      </c>
      <c r="U3055" s="76">
        <f>U3054+S3055</f>
        <v>23.586439816262615</v>
      </c>
      <c r="V3055" s="76">
        <f>V3054+T3055</f>
        <v>206.2988679490415</v>
      </c>
    </row>
    <row r="3056" spans="1:22" ht="19" customHeight="1">
      <c r="A3056" s="68" t="s">
        <v>376</v>
      </c>
      <c r="B3056" s="74">
        <v>4</v>
      </c>
      <c r="C3056" s="68" t="s">
        <v>363</v>
      </c>
      <c r="D3056" s="68" t="s">
        <v>364</v>
      </c>
      <c r="E3056" s="75">
        <f>60*F3056*'THAM_SO_MOI'!$C$52/(2*PI()*'THAM_SO_MOI'!$C$26)</f>
        <v>2333.825619054825</v>
      </c>
      <c r="F3056" s="75">
        <f>'HANH_TRINH'!$F$2468+('THAM_SO_MOI'!$F$52-'HANH_TRINH'!$F$2468)*587/'THAM_SO_MOI'!$C$42</f>
        <v>14.835009210637805</v>
      </c>
      <c r="G3056" s="75">
        <f>3.6*F3056</f>
        <v>53.4060331582961</v>
      </c>
      <c r="H3056" s="75">
        <f>'THAM_SO_MOI'!$D$52</f>
        <v>1.1774754878398197</v>
      </c>
      <c r="I3056" s="75">
        <f>IF(F3056&gt;'THAM_SO_MOI'!$C$14,'THAM_SO_MOI'!$C$13*(1+F3056^2/1500),'THAM_SO_MOI'!$C$13)</f>
        <v>0.015</v>
      </c>
      <c r="J3056" s="75">
        <f>'THAM_SO_MOI'!$C$40*('THAM_SO_MOI'!$C$23*(E3056/'THAM_SO_MOI'!$C$22)+'THAM_SO_MOI'!$C$24*(E3056/'THAM_SO_MOI'!$C$22)^2-'THAM_SO_MOI'!$C$25*(E3056/'THAM_SO_MOI'!$C$22)^3)</f>
        <v>104.77159881944897</v>
      </c>
      <c r="K3056" s="75">
        <f>'THAM_SO_MOI'!$C$31*J3056/E3056</f>
        <v>428.7740434409369</v>
      </c>
      <c r="L3056" s="75">
        <f>K3056*'THAM_SO_MOI'!$C$52*'THAM_SO_MOI'!$C$17/'THAM_SO_MOI'!$C$26</f>
        <v>6004.2202243753445</v>
      </c>
      <c r="M3056" s="75">
        <f>'THAM_SO_MOI'!$C$15*'THAM_SO_MOI'!$C$16*F3056^2</f>
        <v>643.7266824681475</v>
      </c>
      <c r="N3056" s="75">
        <f>'THAM_SO_MOI'!$C$12*I3056</f>
        <v>1130.112</v>
      </c>
      <c r="O3056" s="75">
        <f>M3056+N3056</f>
        <v>1773.8386824681475</v>
      </c>
      <c r="P3056" s="75">
        <f>(MIN(L3056,'THAM_SO_MOI'!$C$41)-O3056)/('THAM_SO_MOI'!$C$11*H3056)</f>
        <v>0.4678067064872661</v>
      </c>
      <c r="Q3056" s="75">
        <f>IF(P3056&gt;0,1/P3056,NA())</f>
        <v>2.137635023467156</v>
      </c>
      <c r="R3056" s="75">
        <f>F3056-F3055</f>
        <v>0.007943393307220603</v>
      </c>
      <c r="S3056" s="75">
        <f>0.5*(Q3055+Q3056)*R3056</f>
        <v>0.01697812565842089</v>
      </c>
      <c r="T3056" s="75">
        <f>0.5*(F3055*Q3055+F3056*Q3056)*R3056</f>
        <v>0.2518032263023051</v>
      </c>
      <c r="U3056" s="76">
        <f>U3055+S3056</f>
        <v>23.603417941921037</v>
      </c>
      <c r="V3056" s="76">
        <f>V3055+T3056</f>
        <v>206.5506711753438</v>
      </c>
    </row>
    <row r="3057" spans="1:22" ht="19" customHeight="1">
      <c r="A3057" s="68" t="s">
        <v>376</v>
      </c>
      <c r="B3057" s="74">
        <v>4</v>
      </c>
      <c r="C3057" s="68" t="s">
        <v>363</v>
      </c>
      <c r="D3057" s="68" t="s">
        <v>364</v>
      </c>
      <c r="E3057" s="75">
        <f>60*F3057*'THAM_SO_MOI'!$C$52/(2*PI()*'THAM_SO_MOI'!$C$26)</f>
        <v>2335.075264035788</v>
      </c>
      <c r="F3057" s="75">
        <f>'HANH_TRINH'!$F$2468+('THAM_SO_MOI'!$F$52-'HANH_TRINH'!$F$2468)*588/'THAM_SO_MOI'!$C$42</f>
        <v>14.842952603945024</v>
      </c>
      <c r="G3057" s="75">
        <f>3.6*F3057</f>
        <v>53.43462937420209</v>
      </c>
      <c r="H3057" s="75">
        <f>'THAM_SO_MOI'!$D$52</f>
        <v>1.1774754878398197</v>
      </c>
      <c r="I3057" s="75">
        <f>IF(F3057&gt;'THAM_SO_MOI'!$C$14,'THAM_SO_MOI'!$C$13*(1+F3057^2/1500),'THAM_SO_MOI'!$C$13)</f>
        <v>0.015</v>
      </c>
      <c r="J3057" s="75">
        <f>'THAM_SO_MOI'!$C$40*('THAM_SO_MOI'!$C$23*(E3057/'THAM_SO_MOI'!$C$22)+'THAM_SO_MOI'!$C$24*(E3057/'THAM_SO_MOI'!$C$22)^2-'THAM_SO_MOI'!$C$25*(E3057/'THAM_SO_MOI'!$C$22)^3)</f>
        <v>104.82272563575548</v>
      </c>
      <c r="K3057" s="75">
        <f>'THAM_SO_MOI'!$C$31*J3057/E3057</f>
        <v>428.75370230681006</v>
      </c>
      <c r="L3057" s="75">
        <f>K3057*'THAM_SO_MOI'!$C$52*'THAM_SO_MOI'!$C$17/'THAM_SO_MOI'!$C$26</f>
        <v>6003.9353828585145</v>
      </c>
      <c r="M3057" s="75">
        <f>'THAM_SO_MOI'!$C$15*'THAM_SO_MOI'!$C$16*F3057^2</f>
        <v>644.4162328586533</v>
      </c>
      <c r="N3057" s="75">
        <f>'THAM_SO_MOI'!$C$12*I3057</f>
        <v>1130.112</v>
      </c>
      <c r="O3057" s="75">
        <f>M3057+N3057</f>
        <v>1774.5282328586534</v>
      </c>
      <c r="P3057" s="75">
        <f>(MIN(L3057,'THAM_SO_MOI'!$C$41)-O3057)/('THAM_SO_MOI'!$C$11*H3057)</f>
        <v>0.46769895566987923</v>
      </c>
      <c r="Q3057" s="75">
        <f>IF(P3057&gt;0,1/P3057,NA())</f>
        <v>2.1381275024822597</v>
      </c>
      <c r="R3057" s="75">
        <f>F3057-F3056</f>
        <v>0.007943393307218827</v>
      </c>
      <c r="S3057" s="75">
        <f>0.5*(Q3056+Q3057)*R3057</f>
        <v>0.016982031715941828</v>
      </c>
      <c r="T3057" s="75">
        <f>0.5*(F3056*Q3056+F3057*Q3057)*R3057</f>
        <v>0.25199605216842635</v>
      </c>
      <c r="U3057" s="76">
        <f>U3056+S3057</f>
        <v>23.620399973636978</v>
      </c>
      <c r="V3057" s="76">
        <f>V3056+T3057</f>
        <v>206.80266722751225</v>
      </c>
    </row>
    <row r="3058" spans="1:22" ht="19" customHeight="1">
      <c r="A3058" s="68" t="s">
        <v>376</v>
      </c>
      <c r="B3058" s="74">
        <v>4</v>
      </c>
      <c r="C3058" s="68" t="s">
        <v>363</v>
      </c>
      <c r="D3058" s="68" t="s">
        <v>364</v>
      </c>
      <c r="E3058" s="75">
        <f>60*F3058*'THAM_SO_MOI'!$C$52/(2*PI()*'THAM_SO_MOI'!$C$26)</f>
        <v>2336.324909016752</v>
      </c>
      <c r="F3058" s="75">
        <f>'HANH_TRINH'!$F$2468+('THAM_SO_MOI'!$F$52-'HANH_TRINH'!$F$2468)*589/'THAM_SO_MOI'!$C$42</f>
        <v>14.850895997252245</v>
      </c>
      <c r="G3058" s="75">
        <f>3.6*F3058</f>
        <v>53.46322559010808</v>
      </c>
      <c r="H3058" s="75">
        <f>'THAM_SO_MOI'!$D$52</f>
        <v>1.1774754878398197</v>
      </c>
      <c r="I3058" s="75">
        <f>IF(F3058&gt;'THAM_SO_MOI'!$C$14,'THAM_SO_MOI'!$C$13*(1+F3058^2/1500),'THAM_SO_MOI'!$C$13)</f>
        <v>0.015</v>
      </c>
      <c r="J3058" s="75">
        <f>'THAM_SO_MOI'!$C$40*('THAM_SO_MOI'!$C$23*(E3058/'THAM_SO_MOI'!$C$22)+'THAM_SO_MOI'!$C$24*(E3058/'THAM_SO_MOI'!$C$22)^2-'THAM_SO_MOI'!$C$25*(E3058/'THAM_SO_MOI'!$C$22)^3)</f>
        <v>104.87381007044645</v>
      </c>
      <c r="K3058" s="75">
        <f>'THAM_SO_MOI'!$C$31*J3058/E3058</f>
        <v>428.73320967295564</v>
      </c>
      <c r="L3058" s="75">
        <f>K3058*'THAM_SO_MOI'!$C$52*'THAM_SO_MOI'!$C$17/'THAM_SO_MOI'!$C$26</f>
        <v>6003.648419856621</v>
      </c>
      <c r="M3058" s="75">
        <f>'THAM_SO_MOI'!$C$15*'THAM_SO_MOI'!$C$16*F3058^2</f>
        <v>645.1061523695181</v>
      </c>
      <c r="N3058" s="75">
        <f>'THAM_SO_MOI'!$C$12*I3058</f>
        <v>1130.112</v>
      </c>
      <c r="O3058" s="75">
        <f>M3058+N3058</f>
        <v>1775.218152369518</v>
      </c>
      <c r="P3058" s="75">
        <f>(MIN(L3058,'THAM_SO_MOI'!$C$41)-O3058)/('THAM_SO_MOI'!$C$11*H3058)</f>
        <v>0.4675909294348007</v>
      </c>
      <c r="Q3058" s="75">
        <f>IF(P3058&gt;0,1/P3058,NA())</f>
        <v>2.1386214681468423</v>
      </c>
      <c r="R3058" s="75">
        <f>F3058-F3057</f>
        <v>0.007943393307220603</v>
      </c>
      <c r="S3058" s="75">
        <f>0.5*(Q3057+Q3058)*R3058</f>
        <v>0.016985949574978905</v>
      </c>
      <c r="T3058" s="75">
        <f>0.5*(F3057*Q3057+F3058*Q3058)*R3058</f>
        <v>0.25218911530549665</v>
      </c>
      <c r="U3058" s="76">
        <f>U3057+S3058</f>
        <v>23.63738592321196</v>
      </c>
      <c r="V3058" s="76">
        <f>V3057+T3058</f>
        <v>207.05485634281774</v>
      </c>
    </row>
    <row r="3059" spans="1:22" ht="19" customHeight="1">
      <c r="A3059" s="68" t="s">
        <v>376</v>
      </c>
      <c r="B3059" s="74">
        <v>4</v>
      </c>
      <c r="C3059" s="68" t="s">
        <v>363</v>
      </c>
      <c r="D3059" s="68" t="s">
        <v>364</v>
      </c>
      <c r="E3059" s="75">
        <f>60*F3059*'THAM_SO_MOI'!$C$52/(2*PI()*'THAM_SO_MOI'!$C$26)</f>
        <v>2337.5745539977147</v>
      </c>
      <c r="F3059" s="75">
        <f>'HANH_TRINH'!$F$2468+('THAM_SO_MOI'!$F$52-'HANH_TRINH'!$F$2468)*590/'THAM_SO_MOI'!$C$42</f>
        <v>14.858839390559464</v>
      </c>
      <c r="G3059" s="75">
        <f>3.6*F3059</f>
        <v>53.49182180601407</v>
      </c>
      <c r="H3059" s="75">
        <f>'THAM_SO_MOI'!$D$52</f>
        <v>1.1774754878398197</v>
      </c>
      <c r="I3059" s="75">
        <f>IF(F3059&gt;'THAM_SO_MOI'!$C$14,'THAM_SO_MOI'!$C$13*(1+F3059^2/1500),'THAM_SO_MOI'!$C$13)</f>
        <v>0.015</v>
      </c>
      <c r="J3059" s="75">
        <f>'THAM_SO_MOI'!$C$40*('THAM_SO_MOI'!$C$23*(E3059/'THAM_SO_MOI'!$C$22)+'THAM_SO_MOI'!$C$24*(E3059/'THAM_SO_MOI'!$C$22)^2-'THAM_SO_MOI'!$C$25*(E3059/'THAM_SO_MOI'!$C$22)^3)</f>
        <v>104.92485206405617</v>
      </c>
      <c r="K3059" s="75">
        <f>'THAM_SO_MOI'!$C$31*J3059/E3059</f>
        <v>428.71256553937377</v>
      </c>
      <c r="L3059" s="75">
        <f>K3059*'THAM_SO_MOI'!$C$52*'THAM_SO_MOI'!$C$17/'THAM_SO_MOI'!$C$26</f>
        <v>6003.359335369669</v>
      </c>
      <c r="M3059" s="75">
        <f>'THAM_SO_MOI'!$C$15*'THAM_SO_MOI'!$C$16*F3059^2</f>
        <v>645.7964410007415</v>
      </c>
      <c r="N3059" s="75">
        <f>'THAM_SO_MOI'!$C$12*I3059</f>
        <v>1130.112</v>
      </c>
      <c r="O3059" s="75">
        <f>M3059+N3059</f>
        <v>1775.9084410007417</v>
      </c>
      <c r="P3059" s="75">
        <f>(MIN(L3059,'THAM_SO_MOI'!$C$41)-O3059)/('THAM_SO_MOI'!$C$11*H3059)</f>
        <v>0.4674826277820307</v>
      </c>
      <c r="Q3059" s="75">
        <f>IF(P3059&gt;0,1/P3059,NA())</f>
        <v>2.1391169223645714</v>
      </c>
      <c r="R3059" s="75">
        <f>F3059-F3058</f>
        <v>0.007943393307218827</v>
      </c>
      <c r="S3059" s="75">
        <f>0.5*(Q3058+Q3059)*R3059</f>
        <v>0.016989879250610698</v>
      </c>
      <c r="T3059" s="75">
        <f>0.5*(F3058*Q3058+F3059*Q3059)*R3059</f>
        <v>0.2523824162187386</v>
      </c>
      <c r="U3059" s="76">
        <f>U3058+S3059</f>
        <v>23.65437580246257</v>
      </c>
      <c r="V3059" s="76">
        <f>V3058+T3059</f>
        <v>207.3072387590365</v>
      </c>
    </row>
    <row r="3060" spans="1:22" ht="19" customHeight="1">
      <c r="A3060" s="68" t="s">
        <v>376</v>
      </c>
      <c r="B3060" s="74">
        <v>4</v>
      </c>
      <c r="C3060" s="68" t="s">
        <v>363</v>
      </c>
      <c r="D3060" s="68" t="s">
        <v>364</v>
      </c>
      <c r="E3060" s="75">
        <f>60*F3060*'THAM_SO_MOI'!$C$52/(2*PI()*'THAM_SO_MOI'!$C$26)</f>
        <v>2338.824198978678</v>
      </c>
      <c r="F3060" s="75">
        <f>'HANH_TRINH'!$F$2468+('THAM_SO_MOI'!$F$52-'HANH_TRINH'!$F$2468)*591/'THAM_SO_MOI'!$C$42</f>
        <v>14.866782783866682</v>
      </c>
      <c r="G3060" s="75">
        <f>3.6*F3060</f>
        <v>53.52041802192006</v>
      </c>
      <c r="H3060" s="75">
        <f>'THAM_SO_MOI'!$D$52</f>
        <v>1.1774754878398197</v>
      </c>
      <c r="I3060" s="75">
        <f>IF(F3060&gt;'THAM_SO_MOI'!$C$14,'THAM_SO_MOI'!$C$13*(1+F3060^2/1500),'THAM_SO_MOI'!$C$13)</f>
        <v>0.015</v>
      </c>
      <c r="J3060" s="75">
        <f>'THAM_SO_MOI'!$C$40*('THAM_SO_MOI'!$C$23*(E3060/'THAM_SO_MOI'!$C$22)+'THAM_SO_MOI'!$C$24*(E3060/'THAM_SO_MOI'!$C$22)^2-'THAM_SO_MOI'!$C$25*(E3060/'THAM_SO_MOI'!$C$22)^3)</f>
        <v>104.97585155711899</v>
      </c>
      <c r="K3060" s="75">
        <f>'THAM_SO_MOI'!$C$31*J3060/E3060</f>
        <v>428.6917699060644</v>
      </c>
      <c r="L3060" s="75">
        <f>K3060*'THAM_SO_MOI'!$C$52*'THAM_SO_MOI'!$C$17/'THAM_SO_MOI'!$C$26</f>
        <v>6003.068129397654</v>
      </c>
      <c r="M3060" s="75">
        <f>'THAM_SO_MOI'!$C$15*'THAM_SO_MOI'!$C$16*F3060^2</f>
        <v>646.4870987523237</v>
      </c>
      <c r="N3060" s="75">
        <f>'THAM_SO_MOI'!$C$12*I3060</f>
        <v>1130.112</v>
      </c>
      <c r="O3060" s="75">
        <f>M3060+N3060</f>
        <v>1776.5990987523237</v>
      </c>
      <c r="P3060" s="75">
        <f>(MIN(L3060,'THAM_SO_MOI'!$C$41)-O3060)/('THAM_SO_MOI'!$C$11*H3060)</f>
        <v>0.46737405071156907</v>
      </c>
      <c r="Q3060" s="75">
        <f>IF(P3060&gt;0,1/P3060,NA())</f>
        <v>2.139613867046142</v>
      </c>
      <c r="R3060" s="75">
        <f>F3060-F3059</f>
        <v>0.007943393307218827</v>
      </c>
      <c r="S3060" s="75">
        <f>0.5*(Q3059+Q3060)*R3060</f>
        <v>0.016993820757998098</v>
      </c>
      <c r="T3060" s="75">
        <f>0.5*(F3059*Q3059+F3060*Q3060)*R3060</f>
        <v>0.25257595541507716</v>
      </c>
      <c r="U3060" s="76">
        <f>U3059+S3060</f>
        <v>23.67136962322057</v>
      </c>
      <c r="V3060" s="76">
        <f>V3059+T3060</f>
        <v>207.55981471445156</v>
      </c>
    </row>
    <row r="3061" spans="1:22" ht="19" customHeight="1">
      <c r="A3061" s="68" t="s">
        <v>376</v>
      </c>
      <c r="B3061" s="74">
        <v>4</v>
      </c>
      <c r="C3061" s="68" t="s">
        <v>363</v>
      </c>
      <c r="D3061" s="68" t="s">
        <v>364</v>
      </c>
      <c r="E3061" s="75">
        <f>60*F3061*'THAM_SO_MOI'!$C$52/(2*PI()*'THAM_SO_MOI'!$C$26)</f>
        <v>2340.073843959641</v>
      </c>
      <c r="F3061" s="75">
        <f>'HANH_TRINH'!$F$2468+('THAM_SO_MOI'!$F$52-'HANH_TRINH'!$F$2468)*592/'THAM_SO_MOI'!$C$42</f>
        <v>14.874726177173901</v>
      </c>
      <c r="G3061" s="75">
        <f>3.6*F3061</f>
        <v>53.54901423782604</v>
      </c>
      <c r="H3061" s="75">
        <f>'THAM_SO_MOI'!$D$52</f>
        <v>1.1774754878398197</v>
      </c>
      <c r="I3061" s="75">
        <f>IF(F3061&gt;'THAM_SO_MOI'!$C$14,'THAM_SO_MOI'!$C$13*(1+F3061^2/1500),'THAM_SO_MOI'!$C$13)</f>
        <v>0.015</v>
      </c>
      <c r="J3061" s="75">
        <f>'THAM_SO_MOI'!$C$40*('THAM_SO_MOI'!$C$23*(E3061/'THAM_SO_MOI'!$C$22)+'THAM_SO_MOI'!$C$24*(E3061/'THAM_SO_MOI'!$C$22)^2-'THAM_SO_MOI'!$C$25*(E3061/'THAM_SO_MOI'!$C$22)^3)</f>
        <v>105.02680849016924</v>
      </c>
      <c r="K3061" s="75">
        <f>'THAM_SO_MOI'!$C$31*J3061/E3061</f>
        <v>428.6708227730277</v>
      </c>
      <c r="L3061" s="75">
        <f>K3061*'THAM_SO_MOI'!$C$52*'THAM_SO_MOI'!$C$17/'THAM_SO_MOI'!$C$26</f>
        <v>6002.774801940581</v>
      </c>
      <c r="M3061" s="75">
        <f>'THAM_SO_MOI'!$C$15*'THAM_SO_MOI'!$C$16*F3061^2</f>
        <v>647.1781256242649</v>
      </c>
      <c r="N3061" s="75">
        <f>'THAM_SO_MOI'!$C$12*I3061</f>
        <v>1130.112</v>
      </c>
      <c r="O3061" s="75">
        <f>M3061+N3061</f>
        <v>1777.2901256242649</v>
      </c>
      <c r="P3061" s="75">
        <f>(MIN(L3061,'THAM_SO_MOI'!$C$41)-O3061)/('THAM_SO_MOI'!$C$11*H3061)</f>
        <v>0.46726519822341617</v>
      </c>
      <c r="Q3061" s="75">
        <f>IF(P3061&gt;0,1/P3061,NA())</f>
        <v>2.1401123041092913</v>
      </c>
      <c r="R3061" s="75">
        <f>F3061-F3060</f>
        <v>0.007943393307218827</v>
      </c>
      <c r="S3061" s="75">
        <f>0.5*(Q3060+Q3061)*R3061</f>
        <v>0.01699777411234266</v>
      </c>
      <c r="T3061" s="75">
        <f>0.5*(F3060*Q3060+F3061*Q3061)*R3061</f>
        <v>0.2527697334025243</v>
      </c>
      <c r="U3061" s="76">
        <f>U3060+S3061</f>
        <v>23.688367397332915</v>
      </c>
      <c r="V3061" s="76">
        <f>V3060+T3061</f>
        <v>207.81258444785408</v>
      </c>
    </row>
    <row r="3062" spans="1:22" ht="19" customHeight="1">
      <c r="A3062" s="68" t="s">
        <v>376</v>
      </c>
      <c r="B3062" s="74">
        <v>4</v>
      </c>
      <c r="C3062" s="68" t="s">
        <v>363</v>
      </c>
      <c r="D3062" s="68" t="s">
        <v>364</v>
      </c>
      <c r="E3062" s="75">
        <f>60*F3062*'THAM_SO_MOI'!$C$52/(2*PI()*'THAM_SO_MOI'!$C$26)</f>
        <v>2341.323488940605</v>
      </c>
      <c r="F3062" s="75">
        <f>'HANH_TRINH'!$F$2468+('THAM_SO_MOI'!$F$52-'HANH_TRINH'!$F$2468)*593/'THAM_SO_MOI'!$C$42</f>
        <v>14.882669570481122</v>
      </c>
      <c r="G3062" s="75">
        <f>3.6*F3062</f>
        <v>53.57761045373204</v>
      </c>
      <c r="H3062" s="75">
        <f>'THAM_SO_MOI'!$D$52</f>
        <v>1.1774754878398197</v>
      </c>
      <c r="I3062" s="75">
        <f>IF(F3062&gt;'THAM_SO_MOI'!$C$14,'THAM_SO_MOI'!$C$13*(1+F3062^2/1500),'THAM_SO_MOI'!$C$13)</f>
        <v>0.015</v>
      </c>
      <c r="J3062" s="75">
        <f>'THAM_SO_MOI'!$C$40*('THAM_SO_MOI'!$C$23*(E3062/'THAM_SO_MOI'!$C$22)+'THAM_SO_MOI'!$C$24*(E3062/'THAM_SO_MOI'!$C$22)^2-'THAM_SO_MOI'!$C$25*(E3062/'THAM_SO_MOI'!$C$22)^3)</f>
        <v>105.07772280374118</v>
      </c>
      <c r="K3062" s="75">
        <f>'THAM_SO_MOI'!$C$31*J3062/E3062</f>
        <v>428.64972414026323</v>
      </c>
      <c r="L3062" s="75">
        <f>K3062*'THAM_SO_MOI'!$C$52*'THAM_SO_MOI'!$C$17/'THAM_SO_MOI'!$C$26</f>
        <v>6002.479352998442</v>
      </c>
      <c r="M3062" s="75">
        <f>'THAM_SO_MOI'!$C$15*'THAM_SO_MOI'!$C$16*F3062^2</f>
        <v>647.869521616565</v>
      </c>
      <c r="N3062" s="75">
        <f>'THAM_SO_MOI'!$C$12*I3062</f>
        <v>1130.112</v>
      </c>
      <c r="O3062" s="75">
        <f>M3062+N3062</f>
        <v>1777.981521616565</v>
      </c>
      <c r="P3062" s="75">
        <f>(MIN(L3062,'THAM_SO_MOI'!$C$41)-O3062)/('THAM_SO_MOI'!$C$11*H3062)</f>
        <v>0.46715607031757117</v>
      </c>
      <c r="Q3062" s="75">
        <f>IF(P3062&gt;0,1/P3062,NA())</f>
        <v>2.1406122354788266</v>
      </c>
      <c r="R3062" s="75">
        <f>F3062-F3061</f>
        <v>0.007943393307220603</v>
      </c>
      <c r="S3062" s="75">
        <f>0.5*(Q3061+Q3062)*R3062</f>
        <v>0.017001739328909624</v>
      </c>
      <c r="T3062" s="75">
        <f>0.5*(F3061*Q3061+F3062*Q3062)*R3062</f>
        <v>0.2529637506905218</v>
      </c>
      <c r="U3062" s="76">
        <f>U3061+S3062</f>
        <v>23.705369136661822</v>
      </c>
      <c r="V3062" s="76">
        <f>V3061+T3062</f>
        <v>208.0655481985446</v>
      </c>
    </row>
    <row r="3063" spans="1:22" ht="19" customHeight="1">
      <c r="A3063" s="68" t="s">
        <v>376</v>
      </c>
      <c r="B3063" s="74">
        <v>4</v>
      </c>
      <c r="C3063" s="68" t="s">
        <v>363</v>
      </c>
      <c r="D3063" s="68" t="s">
        <v>364</v>
      </c>
      <c r="E3063" s="75">
        <f>60*F3063*'THAM_SO_MOI'!$C$52/(2*PI()*'THAM_SO_MOI'!$C$26)</f>
        <v>2342.573133921568</v>
      </c>
      <c r="F3063" s="75">
        <f>'HANH_TRINH'!$F$2468+('THAM_SO_MOI'!$F$52-'HANH_TRINH'!$F$2468)*594/'THAM_SO_MOI'!$C$42</f>
        <v>14.89061296378834</v>
      </c>
      <c r="G3063" s="75">
        <f>3.6*F3063</f>
        <v>53.60620666963803</v>
      </c>
      <c r="H3063" s="75">
        <f>'THAM_SO_MOI'!$D$52</f>
        <v>1.1774754878398197</v>
      </c>
      <c r="I3063" s="75">
        <f>IF(F3063&gt;'THAM_SO_MOI'!$C$14,'THAM_SO_MOI'!$C$13*(1+F3063^2/1500),'THAM_SO_MOI'!$C$13)</f>
        <v>0.015</v>
      </c>
      <c r="J3063" s="75">
        <f>'THAM_SO_MOI'!$C$40*('THAM_SO_MOI'!$C$23*(E3063/'THAM_SO_MOI'!$C$22)+'THAM_SO_MOI'!$C$24*(E3063/'THAM_SO_MOI'!$C$22)^2-'THAM_SO_MOI'!$C$25*(E3063/'THAM_SO_MOI'!$C$22)^3)</f>
        <v>105.12859443836918</v>
      </c>
      <c r="K3063" s="75">
        <f>'THAM_SO_MOI'!$C$31*J3063/E3063</f>
        <v>428.6284740077716</v>
      </c>
      <c r="L3063" s="75">
        <f>K3063*'THAM_SO_MOI'!$C$52*'THAM_SO_MOI'!$C$17/'THAM_SO_MOI'!$C$26</f>
        <v>6002.181782571248</v>
      </c>
      <c r="M3063" s="75">
        <f>'THAM_SO_MOI'!$C$15*'THAM_SO_MOI'!$C$16*F3063^2</f>
        <v>648.5612867292235</v>
      </c>
      <c r="N3063" s="75">
        <f>'THAM_SO_MOI'!$C$12*I3063</f>
        <v>1130.112</v>
      </c>
      <c r="O3063" s="75">
        <f>M3063+N3063</f>
        <v>1778.6732867292235</v>
      </c>
      <c r="P3063" s="75">
        <f>(MIN(L3063,'THAM_SO_MOI'!$C$41)-O3063)/('THAM_SO_MOI'!$C$11*H3063)</f>
        <v>0.46704666699403535</v>
      </c>
      <c r="Q3063" s="75">
        <f>IF(P3063&gt;0,1/P3063,NA())</f>
        <v>2.141113663086629</v>
      </c>
      <c r="R3063" s="75">
        <f>F3063-F3062</f>
        <v>0.007943393307218827</v>
      </c>
      <c r="S3063" s="75">
        <f>0.5*(Q3062+Q3063)*R3063</f>
        <v>0.01700571642300518</v>
      </c>
      <c r="T3063" s="75">
        <f>0.5*(F3062*Q3062+F3063*Q3063)*R3063</f>
        <v>0.2531580077896065</v>
      </c>
      <c r="U3063" s="76">
        <f>U3062+S3063</f>
        <v>23.722374853084826</v>
      </c>
      <c r="V3063" s="76">
        <f>V3062+T3063</f>
        <v>208.3187062063342</v>
      </c>
    </row>
    <row r="3064" spans="1:22" ht="19" customHeight="1">
      <c r="A3064" s="68" t="s">
        <v>376</v>
      </c>
      <c r="B3064" s="74">
        <v>4</v>
      </c>
      <c r="C3064" s="68" t="s">
        <v>363</v>
      </c>
      <c r="D3064" s="68" t="s">
        <v>364</v>
      </c>
      <c r="E3064" s="75">
        <f>60*F3064*'THAM_SO_MOI'!$C$52/(2*PI()*'THAM_SO_MOI'!$C$26)</f>
        <v>2343.822778902531</v>
      </c>
      <c r="F3064" s="75">
        <f>'HANH_TRINH'!$F$2468+('THAM_SO_MOI'!$F$52-'HANH_TRINH'!$F$2468)*595/'THAM_SO_MOI'!$C$42</f>
        <v>14.898556357095561</v>
      </c>
      <c r="G3064" s="75">
        <f>3.6*F3064</f>
        <v>53.63480288554402</v>
      </c>
      <c r="H3064" s="75">
        <f>'THAM_SO_MOI'!$D$52</f>
        <v>1.1774754878398197</v>
      </c>
      <c r="I3064" s="75">
        <f>IF(F3064&gt;'THAM_SO_MOI'!$C$14,'THAM_SO_MOI'!$C$13*(1+F3064^2/1500),'THAM_SO_MOI'!$C$13)</f>
        <v>0.015</v>
      </c>
      <c r="J3064" s="75">
        <f>'THAM_SO_MOI'!$C$40*('THAM_SO_MOI'!$C$23*(E3064/'THAM_SO_MOI'!$C$22)+'THAM_SO_MOI'!$C$24*(E3064/'THAM_SO_MOI'!$C$22)^2-'THAM_SO_MOI'!$C$25*(E3064/'THAM_SO_MOI'!$C$22)^3)</f>
        <v>105.17942333458748</v>
      </c>
      <c r="K3064" s="75">
        <f>'THAM_SO_MOI'!$C$31*J3064/E3064</f>
        <v>428.6070723755523</v>
      </c>
      <c r="L3064" s="75">
        <f>K3064*'THAM_SO_MOI'!$C$52*'THAM_SO_MOI'!$C$17/'THAM_SO_MOI'!$C$26</f>
        <v>6001.882090658988</v>
      </c>
      <c r="M3064" s="75">
        <f>'THAM_SO_MOI'!$C$15*'THAM_SO_MOI'!$C$16*F3064^2</f>
        <v>649.2534209622413</v>
      </c>
      <c r="N3064" s="75">
        <f>'THAM_SO_MOI'!$C$12*I3064</f>
        <v>1130.112</v>
      </c>
      <c r="O3064" s="75">
        <f>M3064+N3064</f>
        <v>1779.3654209622414</v>
      </c>
      <c r="P3064" s="75">
        <f>(MIN(L3064,'THAM_SO_MOI'!$C$41)-O3064)/('THAM_SO_MOI'!$C$11*H3064)</f>
        <v>0.4669369882528075</v>
      </c>
      <c r="Q3064" s="75">
        <f>IF(P3064&gt;0,1/P3064,NA())</f>
        <v>2.1416165888716945</v>
      </c>
      <c r="R3064" s="75">
        <f>F3064-F3063</f>
        <v>0.007943393307220603</v>
      </c>
      <c r="S3064" s="75">
        <f>0.5*(Q3063+Q3064)*R3064</f>
        <v>0.017009705410018477</v>
      </c>
      <c r="T3064" s="75">
        <f>0.5*(F3063*Q3063+F3064*Q3064)*R3064</f>
        <v>0.2533525052120372</v>
      </c>
      <c r="U3064" s="76">
        <f>U3063+S3064</f>
        <v>23.739384558494844</v>
      </c>
      <c r="V3064" s="76">
        <f>V3063+T3064</f>
        <v>208.57205871154625</v>
      </c>
    </row>
    <row r="3065" spans="1:22" ht="19" customHeight="1">
      <c r="A3065" s="68" t="s">
        <v>376</v>
      </c>
      <c r="B3065" s="74">
        <v>4</v>
      </c>
      <c r="C3065" s="68" t="s">
        <v>363</v>
      </c>
      <c r="D3065" s="68" t="s">
        <v>364</v>
      </c>
      <c r="E3065" s="75">
        <f>60*F3065*'THAM_SO_MOI'!$C$52/(2*PI()*'THAM_SO_MOI'!$C$26)</f>
        <v>2345.072423883494</v>
      </c>
      <c r="F3065" s="75">
        <f>'HANH_TRINH'!$F$2468+('THAM_SO_MOI'!$F$52-'HANH_TRINH'!$F$2468)*596/'THAM_SO_MOI'!$C$42</f>
        <v>14.90649975040278</v>
      </c>
      <c r="G3065" s="75">
        <f>3.6*F3065</f>
        <v>53.66339910145001</v>
      </c>
      <c r="H3065" s="75">
        <f>'THAM_SO_MOI'!$D$52</f>
        <v>1.1774754878398197</v>
      </c>
      <c r="I3065" s="75">
        <f>IF(F3065&gt;'THAM_SO_MOI'!$C$14,'THAM_SO_MOI'!$C$13*(1+F3065^2/1500),'THAM_SO_MOI'!$C$13)</f>
        <v>0.015</v>
      </c>
      <c r="J3065" s="75">
        <f>'THAM_SO_MOI'!$C$40*('THAM_SO_MOI'!$C$23*(E3065/'THAM_SO_MOI'!$C$22)+'THAM_SO_MOI'!$C$24*(E3065/'THAM_SO_MOI'!$C$22)^2-'THAM_SO_MOI'!$C$25*(E3065/'THAM_SO_MOI'!$C$22)^3)</f>
        <v>105.23020943293047</v>
      </c>
      <c r="K3065" s="75">
        <f>'THAM_SO_MOI'!$C$31*J3065/E3065</f>
        <v>428.58551924360563</v>
      </c>
      <c r="L3065" s="75">
        <f>K3065*'THAM_SO_MOI'!$C$52*'THAM_SO_MOI'!$C$17/'THAM_SO_MOI'!$C$26</f>
        <v>6001.580277261669</v>
      </c>
      <c r="M3065" s="75">
        <f>'THAM_SO_MOI'!$C$15*'THAM_SO_MOI'!$C$16*F3065^2</f>
        <v>649.9459243156176</v>
      </c>
      <c r="N3065" s="75">
        <f>'THAM_SO_MOI'!$C$12*I3065</f>
        <v>1130.112</v>
      </c>
      <c r="O3065" s="75">
        <f>M3065+N3065</f>
        <v>1780.0579243156176</v>
      </c>
      <c r="P3065" s="75">
        <f>(MIN(L3065,'THAM_SO_MOI'!$C$41)-O3065)/('THAM_SO_MOI'!$C$11*H3065)</f>
        <v>0.46682703409388815</v>
      </c>
      <c r="Q3065" s="75">
        <f>IF(P3065&gt;0,1/P3065,NA())</f>
        <v>2.1421210147801344</v>
      </c>
      <c r="R3065" s="75">
        <f>F3065-F3064</f>
        <v>0.007943393307218827</v>
      </c>
      <c r="S3065" s="75">
        <f>0.5*(Q3064+Q3065)*R3065</f>
        <v>0.01701370630536478</v>
      </c>
      <c r="T3065" s="75">
        <f>0.5*(F3064*Q3064+F3065*Q3065)*R3065</f>
        <v>0.2535472434709508</v>
      </c>
      <c r="U3065" s="76">
        <f>U3064+S3065</f>
        <v>23.756398264800207</v>
      </c>
      <c r="V3065" s="76">
        <f>V3064+T3065</f>
        <v>208.8256059550172</v>
      </c>
    </row>
    <row r="3066" spans="1:22" ht="19" customHeight="1">
      <c r="A3066" s="68" t="s">
        <v>376</v>
      </c>
      <c r="B3066" s="74">
        <v>4</v>
      </c>
      <c r="C3066" s="68" t="s">
        <v>363</v>
      </c>
      <c r="D3066" s="68" t="s">
        <v>364</v>
      </c>
      <c r="E3066" s="75">
        <f>60*F3066*'THAM_SO_MOI'!$C$52/(2*PI()*'THAM_SO_MOI'!$C$26)</f>
        <v>2346.3220688644574</v>
      </c>
      <c r="F3066" s="75">
        <f>'HANH_TRINH'!$F$2468+('THAM_SO_MOI'!$F$52-'HANH_TRINH'!$F$2468)*597/'THAM_SO_MOI'!$C$42</f>
        <v>14.914443143709999</v>
      </c>
      <c r="G3066" s="75">
        <f>3.6*F3066</f>
        <v>53.691995317355996</v>
      </c>
      <c r="H3066" s="75">
        <f>'THAM_SO_MOI'!$D$52</f>
        <v>1.1774754878398197</v>
      </c>
      <c r="I3066" s="75">
        <f>IF(F3066&gt;'THAM_SO_MOI'!$C$14,'THAM_SO_MOI'!$C$13*(1+F3066^2/1500),'THAM_SO_MOI'!$C$13)</f>
        <v>0.015</v>
      </c>
      <c r="J3066" s="75">
        <f>'THAM_SO_MOI'!$C$40*('THAM_SO_MOI'!$C$23*(E3066/'THAM_SO_MOI'!$C$22)+'THAM_SO_MOI'!$C$24*(E3066/'THAM_SO_MOI'!$C$22)^2-'THAM_SO_MOI'!$C$25*(E3066/'THAM_SO_MOI'!$C$22)^3)</f>
        <v>105.2809526739324</v>
      </c>
      <c r="K3066" s="75">
        <f>'THAM_SO_MOI'!$C$31*J3066/E3066</f>
        <v>428.56381461193143</v>
      </c>
      <c r="L3066" s="75">
        <f>K3066*'THAM_SO_MOI'!$C$52*'THAM_SO_MOI'!$C$17/'THAM_SO_MOI'!$C$26</f>
        <v>6001.276342379289</v>
      </c>
      <c r="M3066" s="75">
        <f>'THAM_SO_MOI'!$C$15*'THAM_SO_MOI'!$C$16*F3066^2</f>
        <v>650.6387967893527</v>
      </c>
      <c r="N3066" s="75">
        <f>'THAM_SO_MOI'!$C$12*I3066</f>
        <v>1130.112</v>
      </c>
      <c r="O3066" s="75">
        <f>M3066+N3066</f>
        <v>1780.7507967893528</v>
      </c>
      <c r="P3066" s="75">
        <f>(MIN(L3066,'THAM_SO_MOI'!$C$41)-O3066)/('THAM_SO_MOI'!$C$11*H3066)</f>
        <v>0.4667168045172775</v>
      </c>
      <c r="Q3066" s="75">
        <f>IF(P3066&gt;0,1/P3066,NA())</f>
        <v>2.142626942765205</v>
      </c>
      <c r="R3066" s="75">
        <f>F3066-F3065</f>
        <v>0.007943393307218827</v>
      </c>
      <c r="S3066" s="75">
        <f>0.5*(Q3065+Q3066)*R3066</f>
        <v>0.017017719124542592</v>
      </c>
      <c r="T3066" s="75">
        <f>0.5*(F3065*Q3065+F3066*Q3066)*R3066</f>
        <v>0.2537422230812152</v>
      </c>
      <c r="U3066" s="76">
        <f>U3065+S3066</f>
        <v>23.77341598392475</v>
      </c>
      <c r="V3066" s="76">
        <f>V3065+T3066</f>
        <v>209.07934817809843</v>
      </c>
    </row>
    <row r="3067" spans="1:22" ht="19" customHeight="1">
      <c r="A3067" s="68" t="s">
        <v>376</v>
      </c>
      <c r="B3067" s="74">
        <v>4</v>
      </c>
      <c r="C3067" s="68" t="s">
        <v>363</v>
      </c>
      <c r="D3067" s="68" t="s">
        <v>364</v>
      </c>
      <c r="E3067" s="75">
        <f>60*F3067*'THAM_SO_MOI'!$C$52/(2*PI()*'THAM_SO_MOI'!$C$26)</f>
        <v>2347.5717138454206</v>
      </c>
      <c r="F3067" s="75">
        <f>'HANH_TRINH'!$F$2468+('THAM_SO_MOI'!$F$52-'HANH_TRINH'!$F$2468)*598/'THAM_SO_MOI'!$C$42</f>
        <v>14.922386537017218</v>
      </c>
      <c r="G3067" s="75">
        <f>3.6*F3067</f>
        <v>53.72059153326199</v>
      </c>
      <c r="H3067" s="75">
        <f>'THAM_SO_MOI'!$D$52</f>
        <v>1.1774754878398197</v>
      </c>
      <c r="I3067" s="75">
        <f>IF(F3067&gt;'THAM_SO_MOI'!$C$14,'THAM_SO_MOI'!$C$13*(1+F3067^2/1500),'THAM_SO_MOI'!$C$13)</f>
        <v>0.015</v>
      </c>
      <c r="J3067" s="75">
        <f>'THAM_SO_MOI'!$C$40*('THAM_SO_MOI'!$C$23*(E3067/'THAM_SO_MOI'!$C$22)+'THAM_SO_MOI'!$C$24*(E3067/'THAM_SO_MOI'!$C$22)^2-'THAM_SO_MOI'!$C$25*(E3067/'THAM_SO_MOI'!$C$22)^3)</f>
        <v>105.33165299812761</v>
      </c>
      <c r="K3067" s="75">
        <f>'THAM_SO_MOI'!$C$31*J3067/E3067</f>
        <v>428.5419584805297</v>
      </c>
      <c r="L3067" s="75">
        <f>K3067*'THAM_SO_MOI'!$C$52*'THAM_SO_MOI'!$C$17/'THAM_SO_MOI'!$C$26</f>
        <v>6000.970286011848</v>
      </c>
      <c r="M3067" s="75">
        <f>'THAM_SO_MOI'!$C$15*'THAM_SO_MOI'!$C$16*F3067^2</f>
        <v>651.3320383834467</v>
      </c>
      <c r="N3067" s="75">
        <f>'THAM_SO_MOI'!$C$12*I3067</f>
        <v>1130.112</v>
      </c>
      <c r="O3067" s="75">
        <f>M3067+N3067</f>
        <v>1781.4440383834467</v>
      </c>
      <c r="P3067" s="75">
        <f>(MIN(L3067,'THAM_SO_MOI'!$C$41)-O3067)/('THAM_SO_MOI'!$C$11*H3067)</f>
        <v>0.466606299522975</v>
      </c>
      <c r="Q3067" s="75">
        <f>IF(P3067&gt;0,1/P3067,NA())</f>
        <v>2.1431343747873286</v>
      </c>
      <c r="R3067" s="75">
        <f>F3067-F3066</f>
        <v>0.007943393307218827</v>
      </c>
      <c r="S3067" s="75">
        <f>0.5*(Q3066+Q3067)*R3067</f>
        <v>0.017021743883092067</v>
      </c>
      <c r="T3067" s="75">
        <f>0.5*(F3066*Q3066+F3067*Q3067)*R3067</f>
        <v>0.25393744455881184</v>
      </c>
      <c r="U3067" s="76">
        <f>U3066+S3067</f>
        <v>23.79043772780784</v>
      </c>
      <c r="V3067" s="76">
        <f>V3066+T3067</f>
        <v>209.33328562265723</v>
      </c>
    </row>
    <row r="3068" spans="1:22" ht="19" customHeight="1">
      <c r="A3068" s="68" t="s">
        <v>376</v>
      </c>
      <c r="B3068" s="74">
        <v>4</v>
      </c>
      <c r="C3068" s="68" t="s">
        <v>363</v>
      </c>
      <c r="D3068" s="68" t="s">
        <v>364</v>
      </c>
      <c r="E3068" s="75">
        <f>60*F3068*'THAM_SO_MOI'!$C$52/(2*PI()*'THAM_SO_MOI'!$C$26)</f>
        <v>2348.8213588263843</v>
      </c>
      <c r="F3068" s="75">
        <f>'HANH_TRINH'!$F$2468+('THAM_SO_MOI'!$F$52-'HANH_TRINH'!$F$2468)*599/'THAM_SO_MOI'!$C$42</f>
        <v>14.930329930324437</v>
      </c>
      <c r="G3068" s="75">
        <f>3.6*F3068</f>
        <v>53.74918774916797</v>
      </c>
      <c r="H3068" s="75">
        <f>'THAM_SO_MOI'!$D$52</f>
        <v>1.1774754878398197</v>
      </c>
      <c r="I3068" s="75">
        <f>IF(F3068&gt;'THAM_SO_MOI'!$C$14,'THAM_SO_MOI'!$C$13*(1+F3068^2/1500),'THAM_SO_MOI'!$C$13)</f>
        <v>0.015</v>
      </c>
      <c r="J3068" s="75">
        <f>'THAM_SO_MOI'!$C$40*('THAM_SO_MOI'!$C$23*(E3068/'THAM_SO_MOI'!$C$22)+'THAM_SO_MOI'!$C$24*(E3068/'THAM_SO_MOI'!$C$22)^2-'THAM_SO_MOI'!$C$25*(E3068/'THAM_SO_MOI'!$C$22)^3)</f>
        <v>105.38231034605047</v>
      </c>
      <c r="K3068" s="75">
        <f>'THAM_SO_MOI'!$C$31*J3068/E3068</f>
        <v>428.51995084940063</v>
      </c>
      <c r="L3068" s="75">
        <f>K3068*'THAM_SO_MOI'!$C$52*'THAM_SO_MOI'!$C$17/'THAM_SO_MOI'!$C$26</f>
        <v>6000.662108159347</v>
      </c>
      <c r="M3068" s="75">
        <f>'THAM_SO_MOI'!$C$15*'THAM_SO_MOI'!$C$16*F3068^2</f>
        <v>652.0256490978995</v>
      </c>
      <c r="N3068" s="75">
        <f>'THAM_SO_MOI'!$C$12*I3068</f>
        <v>1130.112</v>
      </c>
      <c r="O3068" s="75">
        <f>M3068+N3068</f>
        <v>1782.1376490978996</v>
      </c>
      <c r="P3068" s="75">
        <f>(MIN(L3068,'THAM_SO_MOI'!$C$41)-O3068)/('THAM_SO_MOI'!$C$11*H3068)</f>
        <v>0.46649551911098125</v>
      </c>
      <c r="Q3068" s="75">
        <f>IF(P3068&gt;0,1/P3068,NA())</f>
        <v>2.143643312814106</v>
      </c>
      <c r="R3068" s="75">
        <f>F3068-F3067</f>
        <v>0.007943393307218827</v>
      </c>
      <c r="S3068" s="75">
        <f>0.5*(Q3067+Q3068)*R3068</f>
        <v>0.017025780596614117</v>
      </c>
      <c r="T3068" s="75">
        <f>0.5*(F3067*Q3067+F3068*Q3068)*R3068</f>
        <v>0.254132908421123</v>
      </c>
      <c r="U3068" s="76">
        <f>U3067+S3068</f>
        <v>23.807463508404457</v>
      </c>
      <c r="V3068" s="76">
        <f>V3067+T3068</f>
        <v>209.58741853107836</v>
      </c>
    </row>
    <row r="3069" spans="1:22" ht="19" customHeight="1">
      <c r="A3069" s="68" t="s">
        <v>376</v>
      </c>
      <c r="B3069" s="74">
        <v>4</v>
      </c>
      <c r="C3069" s="68" t="s">
        <v>363</v>
      </c>
      <c r="D3069" s="68" t="s">
        <v>364</v>
      </c>
      <c r="E3069" s="75">
        <f>60*F3069*'THAM_SO_MOI'!$C$52/(2*PI()*'THAM_SO_MOI'!$C$26)</f>
        <v>2350.071003807347</v>
      </c>
      <c r="F3069" s="75">
        <f>'HANH_TRINH'!$F$2468+('THAM_SO_MOI'!$F$52-'HANH_TRINH'!$F$2468)*600/'THAM_SO_MOI'!$C$42</f>
        <v>14.938273323631657</v>
      </c>
      <c r="G3069" s="75">
        <f>3.6*F3069</f>
        <v>53.777783965073965</v>
      </c>
      <c r="H3069" s="75">
        <f>'THAM_SO_MOI'!$D$52</f>
        <v>1.1774754878398197</v>
      </c>
      <c r="I3069" s="75">
        <f>IF(F3069&gt;'THAM_SO_MOI'!$C$14,'THAM_SO_MOI'!$C$13*(1+F3069^2/1500),'THAM_SO_MOI'!$C$13)</f>
        <v>0.015</v>
      </c>
      <c r="J3069" s="75">
        <f>'THAM_SO_MOI'!$C$40*('THAM_SO_MOI'!$C$23*(E3069/'THAM_SO_MOI'!$C$22)+'THAM_SO_MOI'!$C$24*(E3069/'THAM_SO_MOI'!$C$22)^2-'THAM_SO_MOI'!$C$25*(E3069/'THAM_SO_MOI'!$C$22)^3)</f>
        <v>105.4329246582352</v>
      </c>
      <c r="K3069" s="75">
        <f>'THAM_SO_MOI'!$C$31*J3069/E3069</f>
        <v>428.49779171854397</v>
      </c>
      <c r="L3069" s="75">
        <f>K3069*'THAM_SO_MOI'!$C$52*'THAM_SO_MOI'!$C$17/'THAM_SO_MOI'!$C$26</f>
        <v>6000.351808821783</v>
      </c>
      <c r="M3069" s="75">
        <f>'THAM_SO_MOI'!$C$15*'THAM_SO_MOI'!$C$16*F3069^2</f>
        <v>652.7196289327113</v>
      </c>
      <c r="N3069" s="75">
        <f>'THAM_SO_MOI'!$C$12*I3069</f>
        <v>1130.112</v>
      </c>
      <c r="O3069" s="75">
        <f>M3069+N3069</f>
        <v>1782.8316289327113</v>
      </c>
      <c r="P3069" s="75">
        <f>(MIN(L3069,'THAM_SO_MOI'!$C$41)-O3069)/('THAM_SO_MOI'!$C$11*H3069)</f>
        <v>0.46638446328129585</v>
      </c>
      <c r="Q3069" s="75">
        <f>IF(P3069&gt;0,1/P3069,NA())</f>
        <v>2.144153758820346</v>
      </c>
      <c r="R3069" s="75">
        <f>F3069-F3068</f>
        <v>0.007943393307220603</v>
      </c>
      <c r="S3069" s="75">
        <f>0.5*(Q3068+Q3069)*R3069</f>
        <v>0.017029829280770604</v>
      </c>
      <c r="T3069" s="75">
        <f>0.5*(F3068*Q3068+F3069*Q3069)*R3069</f>
        <v>0.25432861518693717</v>
      </c>
      <c r="U3069" s="76">
        <f>U3068+S3069</f>
        <v>23.824493337685226</v>
      </c>
      <c r="V3069" s="76">
        <f>V3068+T3069</f>
        <v>209.8417471462653</v>
      </c>
    </row>
    <row r="3070" spans="1:22" ht="19" customHeight="1">
      <c r="A3070" s="68" t="s">
        <v>376</v>
      </c>
      <c r="B3070" s="74">
        <v>4</v>
      </c>
      <c r="C3070" s="68" t="s">
        <v>363</v>
      </c>
      <c r="D3070" s="68" t="s">
        <v>364</v>
      </c>
      <c r="E3070" s="75">
        <f>60*F3070*'THAM_SO_MOI'!$C$52/(2*PI()*'THAM_SO_MOI'!$C$26)</f>
        <v>2351.320648788311</v>
      </c>
      <c r="F3070" s="75">
        <f>'HANH_TRINH'!$F$2468+('THAM_SO_MOI'!$F$52-'HANH_TRINH'!$F$2468)*601/'THAM_SO_MOI'!$C$42</f>
        <v>14.946216716938878</v>
      </c>
      <c r="G3070" s="75">
        <f>3.6*F3070</f>
        <v>53.806380180979964</v>
      </c>
      <c r="H3070" s="75">
        <f>'THAM_SO_MOI'!$D$52</f>
        <v>1.1774754878398197</v>
      </c>
      <c r="I3070" s="75">
        <f>IF(F3070&gt;'THAM_SO_MOI'!$C$14,'THAM_SO_MOI'!$C$13*(1+F3070^2/1500),'THAM_SO_MOI'!$C$13)</f>
        <v>0.015</v>
      </c>
      <c r="J3070" s="75">
        <f>'THAM_SO_MOI'!$C$40*('THAM_SO_MOI'!$C$23*(E3070/'THAM_SO_MOI'!$C$22)+'THAM_SO_MOI'!$C$24*(E3070/'THAM_SO_MOI'!$C$22)^2-'THAM_SO_MOI'!$C$25*(E3070/'THAM_SO_MOI'!$C$22)^3)</f>
        <v>105.48349587521618</v>
      </c>
      <c r="K3070" s="75">
        <f>'THAM_SO_MOI'!$C$31*J3070/E3070</f>
        <v>428.4754810879599</v>
      </c>
      <c r="L3070" s="75">
        <f>K3070*'THAM_SO_MOI'!$C$52*'THAM_SO_MOI'!$C$17/'THAM_SO_MOI'!$C$26</f>
        <v>6000.03938799916</v>
      </c>
      <c r="M3070" s="75">
        <f>'THAM_SO_MOI'!$C$15*'THAM_SO_MOI'!$C$16*F3070^2</f>
        <v>653.4139778878819</v>
      </c>
      <c r="N3070" s="75">
        <f>'THAM_SO_MOI'!$C$12*I3070</f>
        <v>1130.112</v>
      </c>
      <c r="O3070" s="75">
        <f>M3070+N3070</f>
        <v>1783.525977887882</v>
      </c>
      <c r="P3070" s="75">
        <f>(MIN(L3070,'THAM_SO_MOI'!$C$41)-O3070)/('THAM_SO_MOI'!$C$11*H3070)</f>
        <v>0.46627313203391896</v>
      </c>
      <c r="Q3070" s="75">
        <f>IF(P3070&gt;0,1/P3070,NA())</f>
        <v>2.1446657147880765</v>
      </c>
      <c r="R3070" s="75">
        <f>F3070-F3069</f>
        <v>0.007943393307220603</v>
      </c>
      <c r="S3070" s="75">
        <f>0.5*(Q3069+Q3070)*R3070</f>
        <v>0.017033889951269265</v>
      </c>
      <c r="T3070" s="75">
        <f>0.5*(F3069*Q3069+F3070*Q3070)*R3070</f>
        <v>0.25452456537622553</v>
      </c>
      <c r="U3070" s="76">
        <f>U3069+S3070</f>
        <v>23.841527227636494</v>
      </c>
      <c r="V3070" s="76">
        <f>V3069+T3070</f>
        <v>210.09627171164152</v>
      </c>
    </row>
    <row r="3071" spans="1:22" ht="19" customHeight="1">
      <c r="A3071" s="68" t="s">
        <v>376</v>
      </c>
      <c r="B3071" s="74">
        <v>4</v>
      </c>
      <c r="C3071" s="68" t="s">
        <v>363</v>
      </c>
      <c r="D3071" s="68" t="s">
        <v>364</v>
      </c>
      <c r="E3071" s="75">
        <f>60*F3071*'THAM_SO_MOI'!$C$52/(2*PI()*'THAM_SO_MOI'!$C$26)</f>
        <v>2352.570293769274</v>
      </c>
      <c r="F3071" s="75">
        <f>'HANH_TRINH'!$F$2468+('THAM_SO_MOI'!$F$52-'HANH_TRINH'!$F$2468)*602/'THAM_SO_MOI'!$C$42</f>
        <v>14.954160110246097</v>
      </c>
      <c r="G3071" s="75">
        <f>3.6*F3071</f>
        <v>53.83497639688595</v>
      </c>
      <c r="H3071" s="75">
        <f>'THAM_SO_MOI'!$D$52</f>
        <v>1.1774754878398197</v>
      </c>
      <c r="I3071" s="75">
        <f>IF(F3071&gt;'THAM_SO_MOI'!$C$14,'THAM_SO_MOI'!$C$13*(1+F3071^2/1500),'THAM_SO_MOI'!$C$13)</f>
        <v>0.015</v>
      </c>
      <c r="J3071" s="75">
        <f>'THAM_SO_MOI'!$C$40*('THAM_SO_MOI'!$C$23*(E3071/'THAM_SO_MOI'!$C$22)+'THAM_SO_MOI'!$C$24*(E3071/'THAM_SO_MOI'!$C$22)^2-'THAM_SO_MOI'!$C$25*(E3071/'THAM_SO_MOI'!$C$22)^3)</f>
        <v>105.53402393752768</v>
      </c>
      <c r="K3071" s="75">
        <f>'THAM_SO_MOI'!$C$31*J3071/E3071</f>
        <v>428.4530189576484</v>
      </c>
      <c r="L3071" s="75">
        <f>K3071*'THAM_SO_MOI'!$C$52*'THAM_SO_MOI'!$C$17/'THAM_SO_MOI'!$C$26</f>
        <v>5999.724845691477</v>
      </c>
      <c r="M3071" s="75">
        <f>'THAM_SO_MOI'!$C$15*'THAM_SO_MOI'!$C$16*F3071^2</f>
        <v>654.108695963411</v>
      </c>
      <c r="N3071" s="75">
        <f>'THAM_SO_MOI'!$C$12*I3071</f>
        <v>1130.112</v>
      </c>
      <c r="O3071" s="75">
        <f>M3071+N3071</f>
        <v>1784.2206959634111</v>
      </c>
      <c r="P3071" s="75">
        <f>(MIN(L3071,'THAM_SO_MOI'!$C$41)-O3071)/('THAM_SO_MOI'!$C$11*H3071)</f>
        <v>0.46616152536885064</v>
      </c>
      <c r="Q3071" s="75">
        <f>IF(P3071&gt;0,1/P3071,NA())</f>
        <v>2.1451791827065723</v>
      </c>
      <c r="R3071" s="75">
        <f>F3071-F3070</f>
        <v>0.007943393307218827</v>
      </c>
      <c r="S3071" s="75">
        <f>0.5*(Q3070+Q3071)*R3071</f>
        <v>0.017037962623882914</v>
      </c>
      <c r="T3071" s="75">
        <f>0.5*(F3070*Q3070+F3071*Q3071)*R3071</f>
        <v>0.2547207595104313</v>
      </c>
      <c r="U3071" s="76">
        <f>U3070+S3071</f>
        <v>23.858565190260375</v>
      </c>
      <c r="V3071" s="76">
        <f>V3070+T3071</f>
        <v>210.35099247115195</v>
      </c>
    </row>
    <row r="3072" spans="1:22" ht="19" customHeight="1">
      <c r="A3072" s="68" t="s">
        <v>376</v>
      </c>
      <c r="B3072" s="74">
        <v>4</v>
      </c>
      <c r="C3072" s="68" t="s">
        <v>363</v>
      </c>
      <c r="D3072" s="68" t="s">
        <v>364</v>
      </c>
      <c r="E3072" s="75">
        <f>60*F3072*'THAM_SO_MOI'!$C$52/(2*PI()*'THAM_SO_MOI'!$C$26)</f>
        <v>2353.8199387502373</v>
      </c>
      <c r="F3072" s="75">
        <f>'HANH_TRINH'!$F$2468+('THAM_SO_MOI'!$F$52-'HANH_TRINH'!$F$2468)*603/'THAM_SO_MOI'!$C$42</f>
        <v>14.962103503553315</v>
      </c>
      <c r="G3072" s="75">
        <f>3.6*F3072</f>
        <v>53.863572612791934</v>
      </c>
      <c r="H3072" s="75">
        <f>'THAM_SO_MOI'!$D$52</f>
        <v>1.1774754878398197</v>
      </c>
      <c r="I3072" s="75">
        <f>IF(F3072&gt;'THAM_SO_MOI'!$C$14,'THAM_SO_MOI'!$C$13*(1+F3072^2/1500),'THAM_SO_MOI'!$C$13)</f>
        <v>0.015</v>
      </c>
      <c r="J3072" s="75">
        <f>'THAM_SO_MOI'!$C$40*('THAM_SO_MOI'!$C$23*(E3072/'THAM_SO_MOI'!$C$22)+'THAM_SO_MOI'!$C$24*(E3072/'THAM_SO_MOI'!$C$22)^2-'THAM_SO_MOI'!$C$25*(E3072/'THAM_SO_MOI'!$C$22)^3)</f>
        <v>105.58450878570402</v>
      </c>
      <c r="K3072" s="75">
        <f>'THAM_SO_MOI'!$C$31*J3072/E3072</f>
        <v>428.43040532760926</v>
      </c>
      <c r="L3072" s="75">
        <f>K3072*'THAM_SO_MOI'!$C$52*'THAM_SO_MOI'!$C$17/'THAM_SO_MOI'!$C$26</f>
        <v>5999.408181898728</v>
      </c>
      <c r="M3072" s="75">
        <f>'THAM_SO_MOI'!$C$15*'THAM_SO_MOI'!$C$16*F3072^2</f>
        <v>654.8037831592991</v>
      </c>
      <c r="N3072" s="75">
        <f>'THAM_SO_MOI'!$C$12*I3072</f>
        <v>1130.112</v>
      </c>
      <c r="O3072" s="75">
        <f>M3072+N3072</f>
        <v>1784.9157831592993</v>
      </c>
      <c r="P3072" s="75">
        <f>(MIN(L3072,'THAM_SO_MOI'!$C$41)-O3072)/('THAM_SO_MOI'!$C$11*H3072)</f>
        <v>0.46604964328609033</v>
      </c>
      <c r="Q3072" s="75">
        <f>IF(P3072&gt;0,1/P3072,NA())</f>
        <v>2.145694164572373</v>
      </c>
      <c r="R3072" s="75">
        <f>F3072-F3071</f>
        <v>0.007943393307218827</v>
      </c>
      <c r="S3072" s="75">
        <f>0.5*(Q3071+Q3072)*R3072</f>
        <v>0.017042047314449606</v>
      </c>
      <c r="T3072" s="75">
        <f>0.5*(F3071*Q3071+F3072*Q3072)*R3072</f>
        <v>0.25491719811247515</v>
      </c>
      <c r="U3072" s="76">
        <f>U3071+S3072</f>
        <v>23.875607237574826</v>
      </c>
      <c r="V3072" s="76">
        <f>V3071+T3072</f>
        <v>210.60590966926443</v>
      </c>
    </row>
    <row r="3073" spans="1:22" ht="19" customHeight="1">
      <c r="A3073" s="68" t="s">
        <v>376</v>
      </c>
      <c r="B3073" s="74">
        <v>4</v>
      </c>
      <c r="C3073" s="68" t="s">
        <v>363</v>
      </c>
      <c r="D3073" s="68" t="s">
        <v>364</v>
      </c>
      <c r="E3073" s="75">
        <f>60*F3073*'THAM_SO_MOI'!$C$52/(2*PI()*'THAM_SO_MOI'!$C$26)</f>
        <v>2355.0695837312005</v>
      </c>
      <c r="F3073" s="75">
        <f>'HANH_TRINH'!$F$2468+('THAM_SO_MOI'!$F$52-'HANH_TRINH'!$F$2468)*604/'THAM_SO_MOI'!$C$42</f>
        <v>14.970046896860534</v>
      </c>
      <c r="G3073" s="75">
        <f>3.6*F3073</f>
        <v>53.892168828697926</v>
      </c>
      <c r="H3073" s="75">
        <f>'THAM_SO_MOI'!$D$52</f>
        <v>1.1774754878398197</v>
      </c>
      <c r="I3073" s="75">
        <f>IF(F3073&gt;'THAM_SO_MOI'!$C$14,'THAM_SO_MOI'!$C$13*(1+F3073^2/1500),'THAM_SO_MOI'!$C$13)</f>
        <v>0.015</v>
      </c>
      <c r="J3073" s="75">
        <f>'THAM_SO_MOI'!$C$40*('THAM_SO_MOI'!$C$23*(E3073/'THAM_SO_MOI'!$C$22)+'THAM_SO_MOI'!$C$24*(E3073/'THAM_SO_MOI'!$C$22)^2-'THAM_SO_MOI'!$C$25*(E3073/'THAM_SO_MOI'!$C$22)^3)</f>
        <v>105.63495036027953</v>
      </c>
      <c r="K3073" s="75">
        <f>'THAM_SO_MOI'!$C$31*J3073/E3073</f>
        <v>428.4076401978428</v>
      </c>
      <c r="L3073" s="75">
        <f>K3073*'THAM_SO_MOI'!$C$52*'THAM_SO_MOI'!$C$17/'THAM_SO_MOI'!$C$26</f>
        <v>5999.089396620923</v>
      </c>
      <c r="M3073" s="75">
        <f>'THAM_SO_MOI'!$C$15*'THAM_SO_MOI'!$C$16*F3073^2</f>
        <v>655.4992394755459</v>
      </c>
      <c r="N3073" s="75">
        <f>'THAM_SO_MOI'!$C$12*I3073</f>
        <v>1130.112</v>
      </c>
      <c r="O3073" s="75">
        <f>M3073+N3073</f>
        <v>1785.611239475546</v>
      </c>
      <c r="P3073" s="75">
        <f>(MIN(L3073,'THAM_SO_MOI'!$C$41)-O3073)/('THAM_SO_MOI'!$C$11*H3073)</f>
        <v>0.4659374857856391</v>
      </c>
      <c r="Q3073" s="75">
        <f>IF(P3073&gt;0,1/P3073,NA())</f>
        <v>2.1462106623892967</v>
      </c>
      <c r="R3073" s="75">
        <f>F3073-F3072</f>
        <v>0.007943393307218827</v>
      </c>
      <c r="S3073" s="75">
        <f>0.5*(Q3072+Q3073)*R3073</f>
        <v>0.017046144038853753</v>
      </c>
      <c r="T3073" s="75">
        <f>0.5*(F3072*Q3072+F3073*Q3073)*R3073</f>
        <v>0.25511388170647414</v>
      </c>
      <c r="U3073" s="76">
        <f>U3072+S3073</f>
        <v>23.89265338161368</v>
      </c>
      <c r="V3073" s="76">
        <f>V3072+T3073</f>
        <v>210.8610235509709</v>
      </c>
    </row>
    <row r="3074" spans="1:22" ht="19" customHeight="1">
      <c r="A3074" s="68" t="s">
        <v>376</v>
      </c>
      <c r="B3074" s="74">
        <v>4</v>
      </c>
      <c r="C3074" s="68" t="s">
        <v>363</v>
      </c>
      <c r="D3074" s="68" t="s">
        <v>364</v>
      </c>
      <c r="E3074" s="75">
        <f>60*F3074*'THAM_SO_MOI'!$C$52/(2*PI()*'THAM_SO_MOI'!$C$26)</f>
        <v>2356.3192287121633</v>
      </c>
      <c r="F3074" s="75">
        <f>'HANH_TRINH'!$F$2468+('THAM_SO_MOI'!$F$52-'HANH_TRINH'!$F$2468)*605/'THAM_SO_MOI'!$C$42</f>
        <v>14.977990290167753</v>
      </c>
      <c r="G3074" s="75">
        <f>3.6*F3074</f>
        <v>53.92076504460391</v>
      </c>
      <c r="H3074" s="75">
        <f>'THAM_SO_MOI'!$D$52</f>
        <v>1.1774754878398197</v>
      </c>
      <c r="I3074" s="75">
        <f>IF(F3074&gt;'THAM_SO_MOI'!$C$14,'THAM_SO_MOI'!$C$13*(1+F3074^2/1500),'THAM_SO_MOI'!$C$13)</f>
        <v>0.015</v>
      </c>
      <c r="J3074" s="75">
        <f>'THAM_SO_MOI'!$C$40*('THAM_SO_MOI'!$C$23*(E3074/'THAM_SO_MOI'!$C$22)+'THAM_SO_MOI'!$C$24*(E3074/'THAM_SO_MOI'!$C$22)^2-'THAM_SO_MOI'!$C$25*(E3074/'THAM_SO_MOI'!$C$22)^3)</f>
        <v>105.6853486017885</v>
      </c>
      <c r="K3074" s="75">
        <f>'THAM_SO_MOI'!$C$31*J3074/E3074</f>
        <v>428.3847235683488</v>
      </c>
      <c r="L3074" s="75">
        <f>K3074*'THAM_SO_MOI'!$C$52*'THAM_SO_MOI'!$C$17/'THAM_SO_MOI'!$C$26</f>
        <v>5998.768489858056</v>
      </c>
      <c r="M3074" s="75">
        <f>'THAM_SO_MOI'!$C$15*'THAM_SO_MOI'!$C$16*F3074^2</f>
        <v>656.1950649121516</v>
      </c>
      <c r="N3074" s="75">
        <f>'THAM_SO_MOI'!$C$12*I3074</f>
        <v>1130.112</v>
      </c>
      <c r="O3074" s="75">
        <f>M3074+N3074</f>
        <v>1786.3070649121516</v>
      </c>
      <c r="P3074" s="75">
        <f>(MIN(L3074,'THAM_SO_MOI'!$C$41)-O3074)/('THAM_SO_MOI'!$C$11*H3074)</f>
        <v>0.4658250528674959</v>
      </c>
      <c r="Q3074" s="75">
        <f>IF(P3074&gt;0,1/P3074,NA())</f>
        <v>2.146728678168476</v>
      </c>
      <c r="R3074" s="75">
        <f>F3074-F3073</f>
        <v>0.007943393307218827</v>
      </c>
      <c r="S3074" s="75">
        <f>0.5*(Q3073+Q3074)*R3074</f>
        <v>0.017050252813041507</v>
      </c>
      <c r="T3074" s="75">
        <f>0.5*(F3073*Q3073+F3074*Q3074)*R3074</f>
        <v>0.25531081081797513</v>
      </c>
      <c r="U3074" s="76">
        <f>U3073+S3074</f>
        <v>23.909703634426723</v>
      </c>
      <c r="V3074" s="76">
        <f>V3073+T3074</f>
        <v>211.1163343617889</v>
      </c>
    </row>
    <row r="3075" spans="1:22" ht="19" customHeight="1">
      <c r="A3075" s="68" t="s">
        <v>376</v>
      </c>
      <c r="B3075" s="74">
        <v>4</v>
      </c>
      <c r="C3075" s="68" t="s">
        <v>363</v>
      </c>
      <c r="D3075" s="68" t="s">
        <v>364</v>
      </c>
      <c r="E3075" s="75">
        <f>60*F3075*'THAM_SO_MOI'!$C$52/(2*PI()*'THAM_SO_MOI'!$C$26)</f>
        <v>2357.568873693127</v>
      </c>
      <c r="F3075" s="75">
        <f>'HANH_TRINH'!$F$2468+('THAM_SO_MOI'!$F$52-'HANH_TRINH'!$F$2468)*606/'THAM_SO_MOI'!$C$42</f>
        <v>14.985933683474974</v>
      </c>
      <c r="G3075" s="75">
        <f>3.6*F3075</f>
        <v>53.9493612605099</v>
      </c>
      <c r="H3075" s="75">
        <f>'THAM_SO_MOI'!$D$52</f>
        <v>1.1774754878398197</v>
      </c>
      <c r="I3075" s="75">
        <f>IF(F3075&gt;'THAM_SO_MOI'!$C$14,'THAM_SO_MOI'!$C$13*(1+F3075^2/1500),'THAM_SO_MOI'!$C$13)</f>
        <v>0.015</v>
      </c>
      <c r="J3075" s="75">
        <f>'THAM_SO_MOI'!$C$40*('THAM_SO_MOI'!$C$23*(E3075/'THAM_SO_MOI'!$C$22)+'THAM_SO_MOI'!$C$24*(E3075/'THAM_SO_MOI'!$C$22)^2-'THAM_SO_MOI'!$C$25*(E3075/'THAM_SO_MOI'!$C$22)^3)</f>
        <v>105.7357034507653</v>
      </c>
      <c r="K3075" s="75">
        <f>'THAM_SO_MOI'!$C$31*J3075/E3075</f>
        <v>428.3616554391273</v>
      </c>
      <c r="L3075" s="75">
        <f>K3075*'THAM_SO_MOI'!$C$52*'THAM_SO_MOI'!$C$17/'THAM_SO_MOI'!$C$26</f>
        <v>5998.445461610127</v>
      </c>
      <c r="M3075" s="75">
        <f>'THAM_SO_MOI'!$C$15*'THAM_SO_MOI'!$C$16*F3075^2</f>
        <v>656.8912594691162</v>
      </c>
      <c r="N3075" s="75">
        <f>'THAM_SO_MOI'!$C$12*I3075</f>
        <v>1130.112</v>
      </c>
      <c r="O3075" s="75">
        <f>M3075+N3075</f>
        <v>1787.0032594691163</v>
      </c>
      <c r="P3075" s="75">
        <f>(MIN(L3075,'THAM_SO_MOI'!$C$41)-O3075)/('THAM_SO_MOI'!$C$11*H3075)</f>
        <v>0.46571234453166127</v>
      </c>
      <c r="Q3075" s="75">
        <f>IF(P3075&gt;0,1/P3075,NA())</f>
        <v>2.147248213928363</v>
      </c>
      <c r="R3075" s="75">
        <f>F3075-F3074</f>
        <v>0.007943393307220603</v>
      </c>
      <c r="S3075" s="75">
        <f>0.5*(Q3074+Q3075)*R3075</f>
        <v>0.01705437365302098</v>
      </c>
      <c r="T3075" s="75">
        <f>0.5*(F3074*Q3074+F3075*Q3075)*R3075</f>
        <v>0.25550798597395963</v>
      </c>
      <c r="U3075" s="76">
        <f>U3074+S3075</f>
        <v>23.926758008079744</v>
      </c>
      <c r="V3075" s="76">
        <f>V3074+T3075</f>
        <v>211.37184234776285</v>
      </c>
    </row>
    <row r="3076" spans="1:22" ht="19" customHeight="1">
      <c r="A3076" s="68" t="s">
        <v>376</v>
      </c>
      <c r="B3076" s="74">
        <v>4</v>
      </c>
      <c r="C3076" s="68" t="s">
        <v>363</v>
      </c>
      <c r="D3076" s="68" t="s">
        <v>364</v>
      </c>
      <c r="E3076" s="75">
        <f>60*F3076*'THAM_SO_MOI'!$C$52/(2*PI()*'THAM_SO_MOI'!$C$26)</f>
        <v>2358.8185186740902</v>
      </c>
      <c r="F3076" s="75">
        <f>'HANH_TRINH'!$F$2468+('THAM_SO_MOI'!$F$52-'HANH_TRINH'!$F$2468)*607/'THAM_SO_MOI'!$C$42</f>
        <v>14.993877076782193</v>
      </c>
      <c r="G3076" s="75">
        <f>3.6*F3076</f>
        <v>53.977957476415895</v>
      </c>
      <c r="H3076" s="75">
        <f>'THAM_SO_MOI'!$D$52</f>
        <v>1.1774754878398197</v>
      </c>
      <c r="I3076" s="75">
        <f>IF(F3076&gt;'THAM_SO_MOI'!$C$14,'THAM_SO_MOI'!$C$13*(1+F3076^2/1500),'THAM_SO_MOI'!$C$13)</f>
        <v>0.015</v>
      </c>
      <c r="J3076" s="75">
        <f>'THAM_SO_MOI'!$C$40*('THAM_SO_MOI'!$C$23*(E3076/'THAM_SO_MOI'!$C$22)+'THAM_SO_MOI'!$C$24*(E3076/'THAM_SO_MOI'!$C$22)^2-'THAM_SO_MOI'!$C$25*(E3076/'THAM_SO_MOI'!$C$22)^3)</f>
        <v>105.78601484774417</v>
      </c>
      <c r="K3076" s="75">
        <f>'THAM_SO_MOI'!$C$31*J3076/E3076</f>
        <v>428.3384358101783</v>
      </c>
      <c r="L3076" s="75">
        <f>K3076*'THAM_SO_MOI'!$C$52*'THAM_SO_MOI'!$C$17/'THAM_SO_MOI'!$C$26</f>
        <v>5998.1203118771355</v>
      </c>
      <c r="M3076" s="75">
        <f>'THAM_SO_MOI'!$C$15*'THAM_SO_MOI'!$C$16*F3076^2</f>
        <v>657.5878231464394</v>
      </c>
      <c r="N3076" s="75">
        <f>'THAM_SO_MOI'!$C$12*I3076</f>
        <v>1130.112</v>
      </c>
      <c r="O3076" s="75">
        <f>M3076+N3076</f>
        <v>1787.6998231464395</v>
      </c>
      <c r="P3076" s="75">
        <f>(MIN(L3076,'THAM_SO_MOI'!$C$41)-O3076)/('THAM_SO_MOI'!$C$11*H3076)</f>
        <v>0.465599360778135</v>
      </c>
      <c r="Q3076" s="75">
        <f>IF(P3076&gt;0,1/P3076,NA())</f>
        <v>2.147769271694758</v>
      </c>
      <c r="R3076" s="75">
        <f>F3076-F3075</f>
        <v>0.007943393307218827</v>
      </c>
      <c r="S3076" s="75">
        <f>0.5*(Q3075+Q3076)*R3076</f>
        <v>0.017058506574843264</v>
      </c>
      <c r="T3076" s="75">
        <f>0.5*(F3075*Q3075+F3076*Q3076)*R3076</f>
        <v>0.2557054077025621</v>
      </c>
      <c r="U3076" s="76">
        <f>U3075+S3076</f>
        <v>23.94381651465459</v>
      </c>
      <c r="V3076" s="76">
        <f>V3075+T3076</f>
        <v>211.6275477554654</v>
      </c>
    </row>
    <row r="3077" spans="1:22" ht="19" customHeight="1">
      <c r="A3077" s="68" t="s">
        <v>376</v>
      </c>
      <c r="B3077" s="74">
        <v>4</v>
      </c>
      <c r="C3077" s="68" t="s">
        <v>363</v>
      </c>
      <c r="D3077" s="68" t="s">
        <v>364</v>
      </c>
      <c r="E3077" s="75">
        <f>60*F3077*'THAM_SO_MOI'!$C$52/(2*PI()*'THAM_SO_MOI'!$C$26)</f>
        <v>2360.068163655054</v>
      </c>
      <c r="F3077" s="75">
        <f>'HANH_TRINH'!$F$2468+('THAM_SO_MOI'!$F$52-'HANH_TRINH'!$F$2468)*608/'THAM_SO_MOI'!$C$42</f>
        <v>15.001820470089413</v>
      </c>
      <c r="G3077" s="75">
        <f>3.6*F3077</f>
        <v>54.00655369232189</v>
      </c>
      <c r="H3077" s="75">
        <f>'THAM_SO_MOI'!$D$52</f>
        <v>1.1774754878398197</v>
      </c>
      <c r="I3077" s="75">
        <f>IF(F3077&gt;'THAM_SO_MOI'!$C$14,'THAM_SO_MOI'!$C$13*(1+F3077^2/1500),'THAM_SO_MOI'!$C$13)</f>
        <v>0.015</v>
      </c>
      <c r="J3077" s="75">
        <f>'THAM_SO_MOI'!$C$40*('THAM_SO_MOI'!$C$23*(E3077/'THAM_SO_MOI'!$C$22)+'THAM_SO_MOI'!$C$24*(E3077/'THAM_SO_MOI'!$C$22)^2-'THAM_SO_MOI'!$C$25*(E3077/'THAM_SO_MOI'!$C$22)^3)</f>
        <v>105.83628273325951</v>
      </c>
      <c r="K3077" s="75">
        <f>'THAM_SO_MOI'!$C$31*J3077/E3077</f>
        <v>428.3150646815019</v>
      </c>
      <c r="L3077" s="75">
        <f>K3077*'THAM_SO_MOI'!$C$52*'THAM_SO_MOI'!$C$17/'THAM_SO_MOI'!$C$26</f>
        <v>5997.793040659085</v>
      </c>
      <c r="M3077" s="75">
        <f>'THAM_SO_MOI'!$C$15*'THAM_SO_MOI'!$C$16*F3077^2</f>
        <v>658.2847559441218</v>
      </c>
      <c r="N3077" s="75">
        <f>'THAM_SO_MOI'!$C$12*I3077</f>
        <v>1130.112</v>
      </c>
      <c r="O3077" s="75">
        <f>M3077+N3077</f>
        <v>1788.3967559441219</v>
      </c>
      <c r="P3077" s="75">
        <f>(MIN(L3077,'THAM_SO_MOI'!$C$41)-O3077)/('THAM_SO_MOI'!$C$11*H3077)</f>
        <v>0.46548610160691734</v>
      </c>
      <c r="Q3077" s="75">
        <f>IF(P3077&gt;0,1/P3077,NA())</f>
        <v>2.1482918535008295</v>
      </c>
      <c r="R3077" s="75">
        <f>F3077-F3076</f>
        <v>0.007943393307220603</v>
      </c>
      <c r="S3077" s="75">
        <f>0.5*(Q3076+Q3077)*R3077</f>
        <v>0.01706265159464462</v>
      </c>
      <c r="T3077" s="75">
        <f>0.5*(F3076*Q3076+F3077*Q3077)*R3077</f>
        <v>0.25590307653370425</v>
      </c>
      <c r="U3077" s="76">
        <f>U3076+S3077</f>
        <v>23.960879166249235</v>
      </c>
      <c r="V3077" s="76">
        <f>V3076+T3077</f>
        <v>211.8834508319991</v>
      </c>
    </row>
    <row r="3078" spans="1:22" ht="19" customHeight="1">
      <c r="A3078" s="68" t="s">
        <v>376</v>
      </c>
      <c r="B3078" s="74">
        <v>4</v>
      </c>
      <c r="C3078" s="68" t="s">
        <v>363</v>
      </c>
      <c r="D3078" s="68" t="s">
        <v>364</v>
      </c>
      <c r="E3078" s="75">
        <f>60*F3078*'THAM_SO_MOI'!$C$52/(2*PI()*'THAM_SO_MOI'!$C$26)</f>
        <v>2361.3178086360167</v>
      </c>
      <c r="F3078" s="75">
        <f>'HANH_TRINH'!$F$2468+('THAM_SO_MOI'!$F$52-'HANH_TRINH'!$F$2468)*609/'THAM_SO_MOI'!$C$42</f>
        <v>15.009763863396632</v>
      </c>
      <c r="G3078" s="75">
        <f>3.6*F3078</f>
        <v>54.03514990822788</v>
      </c>
      <c r="H3078" s="75">
        <f>'THAM_SO_MOI'!$D$52</f>
        <v>1.1774754878398197</v>
      </c>
      <c r="I3078" s="75">
        <f>IF(F3078&gt;'THAM_SO_MOI'!$C$14,'THAM_SO_MOI'!$C$13*(1+F3078^2/1500),'THAM_SO_MOI'!$C$13)</f>
        <v>0.015</v>
      </c>
      <c r="J3078" s="75">
        <f>'THAM_SO_MOI'!$C$40*('THAM_SO_MOI'!$C$23*(E3078/'THAM_SO_MOI'!$C$22)+'THAM_SO_MOI'!$C$24*(E3078/'THAM_SO_MOI'!$C$22)^2-'THAM_SO_MOI'!$C$25*(E3078/'THAM_SO_MOI'!$C$22)^3)</f>
        <v>105.88650704784551</v>
      </c>
      <c r="K3078" s="75">
        <f>'THAM_SO_MOI'!$C$31*J3078/E3078</f>
        <v>428.29154205309794</v>
      </c>
      <c r="L3078" s="75">
        <f>K3078*'THAM_SO_MOI'!$C$52*'THAM_SO_MOI'!$C$17/'THAM_SO_MOI'!$C$26</f>
        <v>5997.463647955972</v>
      </c>
      <c r="M3078" s="75">
        <f>'THAM_SO_MOI'!$C$15*'THAM_SO_MOI'!$C$16*F3078^2</f>
        <v>658.9820578621627</v>
      </c>
      <c r="N3078" s="75">
        <f>'THAM_SO_MOI'!$C$12*I3078</f>
        <v>1130.112</v>
      </c>
      <c r="O3078" s="75">
        <f>M3078+N3078</f>
        <v>1789.0940578621628</v>
      </c>
      <c r="P3078" s="75">
        <f>(MIN(L3078,'THAM_SO_MOI'!$C$41)-O3078)/('THAM_SO_MOI'!$C$11*H3078)</f>
        <v>0.46537256701800794</v>
      </c>
      <c r="Q3078" s="75">
        <f>IF(P3078&gt;0,1/P3078,NA())</f>
        <v>2.1488159613871356</v>
      </c>
      <c r="R3078" s="75">
        <f>F3078-F3077</f>
        <v>0.007943393307218827</v>
      </c>
      <c r="S3078" s="75">
        <f>0.5*(Q3077+Q3078)*R3078</f>
        <v>0.017066808728589393</v>
      </c>
      <c r="T3078" s="75">
        <f>0.5*(F3077*Q3077+F3078*Q3078)*R3078</f>
        <v>0.25610099299824207</v>
      </c>
      <c r="U3078" s="76">
        <f>U3077+S3078</f>
        <v>23.977945974977825</v>
      </c>
      <c r="V3078" s="76">
        <f>V3077+T3078</f>
        <v>212.13955182499737</v>
      </c>
    </row>
    <row r="3079" spans="1:22" ht="19" customHeight="1">
      <c r="A3079" s="68" t="s">
        <v>376</v>
      </c>
      <c r="B3079" s="74">
        <v>4</v>
      </c>
      <c r="C3079" s="68" t="s">
        <v>363</v>
      </c>
      <c r="D3079" s="68" t="s">
        <v>364</v>
      </c>
      <c r="E3079" s="75">
        <f>60*F3079*'THAM_SO_MOI'!$C$52/(2*PI()*'THAM_SO_MOI'!$C$26)</f>
        <v>2362.5674536169795</v>
      </c>
      <c r="F3079" s="75">
        <f>'HANH_TRINH'!$F$2468+('THAM_SO_MOI'!$F$52-'HANH_TRINH'!$F$2468)*610/'THAM_SO_MOI'!$C$42</f>
        <v>15.01770725670385</v>
      </c>
      <c r="G3079" s="75">
        <f>3.6*F3079</f>
        <v>54.063746124133864</v>
      </c>
      <c r="H3079" s="75">
        <f>'THAM_SO_MOI'!$D$52</f>
        <v>1.1774754878398197</v>
      </c>
      <c r="I3079" s="75">
        <f>IF(F3079&gt;'THAM_SO_MOI'!$C$14,'THAM_SO_MOI'!$C$13*(1+F3079^2/1500),'THAM_SO_MOI'!$C$13)</f>
        <v>0.015</v>
      </c>
      <c r="J3079" s="75">
        <f>'THAM_SO_MOI'!$C$40*('THAM_SO_MOI'!$C$23*(E3079/'THAM_SO_MOI'!$C$22)+'THAM_SO_MOI'!$C$24*(E3079/'THAM_SO_MOI'!$C$22)^2-'THAM_SO_MOI'!$C$25*(E3079/'THAM_SO_MOI'!$C$22)^3)</f>
        <v>105.93668773203657</v>
      </c>
      <c r="K3079" s="75">
        <f>'THAM_SO_MOI'!$C$31*J3079/E3079</f>
        <v>428.2678679249666</v>
      </c>
      <c r="L3079" s="75">
        <f>K3079*'THAM_SO_MOI'!$C$52*'THAM_SO_MOI'!$C$17/'THAM_SO_MOI'!$C$26</f>
        <v>5997.1321337678</v>
      </c>
      <c r="M3079" s="75">
        <f>'THAM_SO_MOI'!$C$15*'THAM_SO_MOI'!$C$16*F3079^2</f>
        <v>659.6797289005624</v>
      </c>
      <c r="N3079" s="75">
        <f>'THAM_SO_MOI'!$C$12*I3079</f>
        <v>1130.112</v>
      </c>
      <c r="O3079" s="75">
        <f>M3079+N3079</f>
        <v>1789.7917289005625</v>
      </c>
      <c r="P3079" s="75">
        <f>(MIN(L3079,'THAM_SO_MOI'!$C$41)-O3079)/('THAM_SO_MOI'!$C$11*H3079)</f>
        <v>0.4652587570114073</v>
      </c>
      <c r="Q3079" s="75">
        <f>IF(P3079&gt;0,1/P3079,NA())</f>
        <v>2.1493415974016408</v>
      </c>
      <c r="R3079" s="75">
        <f>F3079-F3078</f>
        <v>0.007943393307218827</v>
      </c>
      <c r="S3079" s="75">
        <f>0.5*(Q3078+Q3079)*R3079</f>
        <v>0.01707097799292739</v>
      </c>
      <c r="T3079" s="75">
        <f>0.5*(F3078*Q3078+F3079*Q3079)*R3079</f>
        <v>0.25629915762882827</v>
      </c>
      <c r="U3079" s="76">
        <f>U3078+S3079</f>
        <v>23.99501695297075</v>
      </c>
      <c r="V3079" s="76">
        <f>V3078+T3079</f>
        <v>212.3958509826262</v>
      </c>
    </row>
    <row r="3080" spans="1:22" ht="19" customHeight="1">
      <c r="A3080" s="68" t="s">
        <v>376</v>
      </c>
      <c r="B3080" s="74">
        <v>4</v>
      </c>
      <c r="C3080" s="68" t="s">
        <v>363</v>
      </c>
      <c r="D3080" s="68" t="s">
        <v>364</v>
      </c>
      <c r="E3080" s="75">
        <f>60*F3080*'THAM_SO_MOI'!$C$52/(2*PI()*'THAM_SO_MOI'!$C$26)</f>
        <v>2363.8170985979427</v>
      </c>
      <c r="F3080" s="75">
        <f>'HANH_TRINH'!$F$2468+('THAM_SO_MOI'!$F$52-'HANH_TRINH'!$F$2468)*611/'THAM_SO_MOI'!$C$42</f>
        <v>15.02565065001107</v>
      </c>
      <c r="G3080" s="75">
        <f>3.6*F3080</f>
        <v>54.09234234003985</v>
      </c>
      <c r="H3080" s="75">
        <f>'THAM_SO_MOI'!$D$52</f>
        <v>1.1774754878398197</v>
      </c>
      <c r="I3080" s="75">
        <f>IF(F3080&gt;'THAM_SO_MOI'!$C$14,'THAM_SO_MOI'!$C$13*(1+F3080^2/1500),'THAM_SO_MOI'!$C$13)</f>
        <v>0.015</v>
      </c>
      <c r="J3080" s="75">
        <f>'THAM_SO_MOI'!$C$40*('THAM_SO_MOI'!$C$23*(E3080/'THAM_SO_MOI'!$C$22)+'THAM_SO_MOI'!$C$24*(E3080/'THAM_SO_MOI'!$C$22)^2-'THAM_SO_MOI'!$C$25*(E3080/'THAM_SO_MOI'!$C$22)^3)</f>
        <v>105.98682472636703</v>
      </c>
      <c r="K3080" s="75">
        <f>'THAM_SO_MOI'!$C$31*J3080/E3080</f>
        <v>428.2440422971078</v>
      </c>
      <c r="L3080" s="75">
        <f>K3080*'THAM_SO_MOI'!$C$52*'THAM_SO_MOI'!$C$17/'THAM_SO_MOI'!$C$26</f>
        <v>5996.798498094567</v>
      </c>
      <c r="M3080" s="75">
        <f>'THAM_SO_MOI'!$C$15*'THAM_SO_MOI'!$C$16*F3080^2</f>
        <v>660.3777690593209</v>
      </c>
      <c r="N3080" s="75">
        <f>'THAM_SO_MOI'!$C$12*I3080</f>
        <v>1130.112</v>
      </c>
      <c r="O3080" s="75">
        <f>M3080+N3080</f>
        <v>1790.4897690593211</v>
      </c>
      <c r="P3080" s="75">
        <f>(MIN(L3080,'THAM_SO_MOI'!$C$41)-O3080)/('THAM_SO_MOI'!$C$11*H3080)</f>
        <v>0.4651446715871151</v>
      </c>
      <c r="Q3080" s="75">
        <f>IF(P3080&gt;0,1/P3080,NA())</f>
        <v>2.149868763599744</v>
      </c>
      <c r="R3080" s="75">
        <f>F3080-F3079</f>
        <v>0.007943393307218827</v>
      </c>
      <c r="S3080" s="75">
        <f>0.5*(Q3079+Q3080)*R3080</f>
        <v>0.017075159403952118</v>
      </c>
      <c r="T3080" s="75">
        <f>0.5*(F3079*Q3079+F3080*Q3080)*R3080</f>
        <v>0.2564975709592882</v>
      </c>
      <c r="U3080" s="76">
        <f>U3079+S3080</f>
        <v>24.012092112374702</v>
      </c>
      <c r="V3080" s="76">
        <f>V3079+T3080</f>
        <v>212.65234855358548</v>
      </c>
    </row>
    <row r="3081" spans="1:22" ht="19" customHeight="1">
      <c r="A3081" s="68" t="s">
        <v>376</v>
      </c>
      <c r="B3081" s="74">
        <v>4</v>
      </c>
      <c r="C3081" s="68" t="s">
        <v>363</v>
      </c>
      <c r="D3081" s="68" t="s">
        <v>364</v>
      </c>
      <c r="E3081" s="75">
        <f>60*F3081*'THAM_SO_MOI'!$C$52/(2*PI()*'THAM_SO_MOI'!$C$26)</f>
        <v>2365.0667435789064</v>
      </c>
      <c r="F3081" s="75">
        <f>'HANH_TRINH'!$F$2468+('THAM_SO_MOI'!$F$52-'HANH_TRINH'!$F$2468)*612/'THAM_SO_MOI'!$C$42</f>
        <v>15.03359404331829</v>
      </c>
      <c r="G3081" s="75">
        <f>3.6*F3081</f>
        <v>54.12093855594585</v>
      </c>
      <c r="H3081" s="75">
        <f>'THAM_SO_MOI'!$D$52</f>
        <v>1.1774754878398197</v>
      </c>
      <c r="I3081" s="75">
        <f>IF(F3081&gt;'THAM_SO_MOI'!$C$14,'THAM_SO_MOI'!$C$13*(1+F3081^2/1500),'THAM_SO_MOI'!$C$13)</f>
        <v>0.015</v>
      </c>
      <c r="J3081" s="75">
        <f>'THAM_SO_MOI'!$C$40*('THAM_SO_MOI'!$C$23*(E3081/'THAM_SO_MOI'!$C$22)+'THAM_SO_MOI'!$C$24*(E3081/'THAM_SO_MOI'!$C$22)^2-'THAM_SO_MOI'!$C$25*(E3081/'THAM_SO_MOI'!$C$22)^3)</f>
        <v>106.03691797137115</v>
      </c>
      <c r="K3081" s="75">
        <f>'THAM_SO_MOI'!$C$31*J3081/E3081</f>
        <v>428.22006516952143</v>
      </c>
      <c r="L3081" s="75">
        <f>K3081*'THAM_SO_MOI'!$C$52*'THAM_SO_MOI'!$C$17/'THAM_SO_MOI'!$C$26</f>
        <v>5996.462740936271</v>
      </c>
      <c r="M3081" s="75">
        <f>'THAM_SO_MOI'!$C$15*'THAM_SO_MOI'!$C$16*F3081^2</f>
        <v>661.0761783384385</v>
      </c>
      <c r="N3081" s="75">
        <f>'THAM_SO_MOI'!$C$12*I3081</f>
        <v>1130.112</v>
      </c>
      <c r="O3081" s="75">
        <f>M3081+N3081</f>
        <v>1791.1881783384385</v>
      </c>
      <c r="P3081" s="75">
        <f>(MIN(L3081,'THAM_SO_MOI'!$C$41)-O3081)/('THAM_SO_MOI'!$C$11*H3081)</f>
        <v>0.46503031074513107</v>
      </c>
      <c r="Q3081" s="75">
        <f>IF(P3081&gt;0,1/P3081,NA())</f>
        <v>2.1503974620442956</v>
      </c>
      <c r="R3081" s="75">
        <f>F3081-F3080</f>
        <v>0.007943393307220603</v>
      </c>
      <c r="S3081" s="75">
        <f>0.5*(Q3080+Q3081)*R3081</f>
        <v>0.01707935297802383</v>
      </c>
      <c r="T3081" s="75">
        <f>0.5*(F3080*Q3080+F3081*Q3081)*R3081</f>
        <v>0.2566962335249681</v>
      </c>
      <c r="U3081" s="76">
        <f>U3080+S3081</f>
        <v>24.029171465352725</v>
      </c>
      <c r="V3081" s="76">
        <f>V3080+T3081</f>
        <v>212.90904478711045</v>
      </c>
    </row>
    <row r="3082" spans="1:22" ht="19" customHeight="1">
      <c r="A3082" s="68" t="s">
        <v>376</v>
      </c>
      <c r="B3082" s="74">
        <v>4</v>
      </c>
      <c r="C3082" s="68" t="s">
        <v>363</v>
      </c>
      <c r="D3082" s="68" t="s">
        <v>364</v>
      </c>
      <c r="E3082" s="75">
        <f>60*F3082*'THAM_SO_MOI'!$C$52/(2*PI()*'THAM_SO_MOI'!$C$26)</f>
        <v>2366.31638855987</v>
      </c>
      <c r="F3082" s="75">
        <f>'HANH_TRINH'!$F$2468+('THAM_SO_MOI'!$F$52-'HANH_TRINH'!$F$2468)*613/'THAM_SO_MOI'!$C$42</f>
        <v>15.04153743662551</v>
      </c>
      <c r="G3082" s="75">
        <f>3.6*F3082</f>
        <v>54.14953477185184</v>
      </c>
      <c r="H3082" s="75">
        <f>'THAM_SO_MOI'!$D$52</f>
        <v>1.1774754878398197</v>
      </c>
      <c r="I3082" s="75">
        <f>IF(F3082&gt;'THAM_SO_MOI'!$C$14,'THAM_SO_MOI'!$C$13*(1+F3082^2/1500),'THAM_SO_MOI'!$C$13)</f>
        <v>0.015</v>
      </c>
      <c r="J3082" s="75">
        <f>'THAM_SO_MOI'!$C$40*('THAM_SO_MOI'!$C$23*(E3082/'THAM_SO_MOI'!$C$22)+'THAM_SO_MOI'!$C$24*(E3082/'THAM_SO_MOI'!$C$22)^2-'THAM_SO_MOI'!$C$25*(E3082/'THAM_SO_MOI'!$C$22)^3)</f>
        <v>106.08696740758327</v>
      </c>
      <c r="K3082" s="75">
        <f>'THAM_SO_MOI'!$C$31*J3082/E3082</f>
        <v>428.1959365422077</v>
      </c>
      <c r="L3082" s="75">
        <f>K3082*'THAM_SO_MOI'!$C$52*'THAM_SO_MOI'!$C$17/'THAM_SO_MOI'!$C$26</f>
        <v>5996.124862292918</v>
      </c>
      <c r="M3082" s="75">
        <f>'THAM_SO_MOI'!$C$15*'THAM_SO_MOI'!$C$16*F3082^2</f>
        <v>661.7749567379147</v>
      </c>
      <c r="N3082" s="75">
        <f>'THAM_SO_MOI'!$C$12*I3082</f>
        <v>1130.112</v>
      </c>
      <c r="O3082" s="75">
        <f>M3082+N3082</f>
        <v>1791.8869567379147</v>
      </c>
      <c r="P3082" s="75">
        <f>(MIN(L3082,'THAM_SO_MOI'!$C$41)-O3082)/('THAM_SO_MOI'!$C$11*H3082)</f>
        <v>0.4649156744854559</v>
      </c>
      <c r="Q3082" s="75">
        <f>IF(P3082&gt;0,1/P3082,NA())</f>
        <v>2.1509276948056164</v>
      </c>
      <c r="R3082" s="75">
        <f>F3082-F3081</f>
        <v>0.007943393307220603</v>
      </c>
      <c r="S3082" s="75">
        <f>0.5*(Q3081+Q3082)*R3082</f>
        <v>0.0170835587315506</v>
      </c>
      <c r="T3082" s="75">
        <f>0.5*(F3081*Q3081+F3082*Q3082)*R3082</f>
        <v>0.2568951458624532</v>
      </c>
      <c r="U3082" s="76">
        <f>U3081+S3082</f>
        <v>24.046255024084275</v>
      </c>
      <c r="V3082" s="76">
        <f>V3081+T3082</f>
        <v>213.1659399329729</v>
      </c>
    </row>
    <row r="3083" spans="1:22" ht="19" customHeight="1">
      <c r="A3083" s="68" t="s">
        <v>376</v>
      </c>
      <c r="B3083" s="74">
        <v>4</v>
      </c>
      <c r="C3083" s="68" t="s">
        <v>363</v>
      </c>
      <c r="D3083" s="68" t="s">
        <v>364</v>
      </c>
      <c r="E3083" s="75">
        <f>60*F3083*'THAM_SO_MOI'!$C$52/(2*PI()*'THAM_SO_MOI'!$C$26)</f>
        <v>2367.566033540833</v>
      </c>
      <c r="F3083" s="75">
        <f>'HANH_TRINH'!$F$2468+('THAM_SO_MOI'!$F$52-'HANH_TRINH'!$F$2468)*614/'THAM_SO_MOI'!$C$42</f>
        <v>15.04948082993273</v>
      </c>
      <c r="G3083" s="75">
        <f>3.6*F3083</f>
        <v>54.178130987757825</v>
      </c>
      <c r="H3083" s="75">
        <f>'THAM_SO_MOI'!$D$52</f>
        <v>1.1774754878398197</v>
      </c>
      <c r="I3083" s="75">
        <f>IF(F3083&gt;'THAM_SO_MOI'!$C$14,'THAM_SO_MOI'!$C$13*(1+F3083^2/1500),'THAM_SO_MOI'!$C$13)</f>
        <v>0.015</v>
      </c>
      <c r="J3083" s="75">
        <f>'THAM_SO_MOI'!$C$40*('THAM_SO_MOI'!$C$23*(E3083/'THAM_SO_MOI'!$C$22)+'THAM_SO_MOI'!$C$24*(E3083/'THAM_SO_MOI'!$C$22)^2-'THAM_SO_MOI'!$C$25*(E3083/'THAM_SO_MOI'!$C$22)^3)</f>
        <v>106.13697297553765</v>
      </c>
      <c r="K3083" s="75">
        <f>'THAM_SO_MOI'!$C$31*J3083/E3083</f>
        <v>428.17165641516635</v>
      </c>
      <c r="L3083" s="75">
        <f>K3083*'THAM_SO_MOI'!$C$52*'THAM_SO_MOI'!$C$17/'THAM_SO_MOI'!$C$26</f>
        <v>5995.784862164501</v>
      </c>
      <c r="M3083" s="75">
        <f>'THAM_SO_MOI'!$C$15*'THAM_SO_MOI'!$C$16*F3083^2</f>
        <v>662.4741042577498</v>
      </c>
      <c r="N3083" s="75">
        <f>'THAM_SO_MOI'!$C$12*I3083</f>
        <v>1130.112</v>
      </c>
      <c r="O3083" s="75">
        <f>M3083+N3083</f>
        <v>1792.5861042577499</v>
      </c>
      <c r="P3083" s="75">
        <f>(MIN(L3083,'THAM_SO_MOI'!$C$41)-O3083)/('THAM_SO_MOI'!$C$11*H3083)</f>
        <v>0.46480076280808896</v>
      </c>
      <c r="Q3083" s="75">
        <f>IF(P3083&gt;0,1/P3083,NA())</f>
        <v>2.151459463961527</v>
      </c>
      <c r="R3083" s="75">
        <f>F3083-F3082</f>
        <v>0.007943393307218827</v>
      </c>
      <c r="S3083" s="75">
        <f>0.5*(Q3082+Q3083)*R3083</f>
        <v>0.017087776681007572</v>
      </c>
      <c r="T3083" s="75">
        <f>0.5*(F3082*Q3082+F3083*Q3083)*R3083</f>
        <v>0.25709430850985915</v>
      </c>
      <c r="U3083" s="76">
        <f>U3082+S3083</f>
        <v>24.06334280076528</v>
      </c>
      <c r="V3083" s="76">
        <f>V3082+T3083</f>
        <v>213.42303424148275</v>
      </c>
    </row>
    <row r="3084" spans="1:22" ht="19" customHeight="1">
      <c r="A3084" s="68" t="s">
        <v>376</v>
      </c>
      <c r="B3084" s="74">
        <v>4</v>
      </c>
      <c r="C3084" s="68" t="s">
        <v>363</v>
      </c>
      <c r="D3084" s="68" t="s">
        <v>364</v>
      </c>
      <c r="E3084" s="75">
        <f>60*F3084*'THAM_SO_MOI'!$C$52/(2*PI()*'THAM_SO_MOI'!$C$26)</f>
        <v>2368.8156785217966</v>
      </c>
      <c r="F3084" s="75">
        <f>'HANH_TRINH'!$F$2468+('THAM_SO_MOI'!$F$52-'HANH_TRINH'!$F$2468)*615/'THAM_SO_MOI'!$C$42</f>
        <v>15.057424223239948</v>
      </c>
      <c r="G3084" s="75">
        <f>3.6*F3084</f>
        <v>54.20672720366382</v>
      </c>
      <c r="H3084" s="75">
        <f>'THAM_SO_MOI'!$D$52</f>
        <v>1.1774754878398197</v>
      </c>
      <c r="I3084" s="75">
        <f>IF(F3084&gt;'THAM_SO_MOI'!$C$14,'THAM_SO_MOI'!$C$13*(1+F3084^2/1500),'THAM_SO_MOI'!$C$13)</f>
        <v>0.015</v>
      </c>
      <c r="J3084" s="75">
        <f>'THAM_SO_MOI'!$C$40*('THAM_SO_MOI'!$C$23*(E3084/'THAM_SO_MOI'!$C$22)+'THAM_SO_MOI'!$C$24*(E3084/'THAM_SO_MOI'!$C$22)^2-'THAM_SO_MOI'!$C$25*(E3084/'THAM_SO_MOI'!$C$22)^3)</f>
        <v>106.18693461576868</v>
      </c>
      <c r="K3084" s="75">
        <f>'THAM_SO_MOI'!$C$31*J3084/E3084</f>
        <v>428.1472247883977</v>
      </c>
      <c r="L3084" s="75">
        <f>K3084*'THAM_SO_MOI'!$C$52*'THAM_SO_MOI'!$C$17/'THAM_SO_MOI'!$C$26</f>
        <v>5995.442740551023</v>
      </c>
      <c r="M3084" s="75">
        <f>'THAM_SO_MOI'!$C$15*'THAM_SO_MOI'!$C$16*F3084^2</f>
        <v>663.1736208979436</v>
      </c>
      <c r="N3084" s="75">
        <f>'THAM_SO_MOI'!$C$12*I3084</f>
        <v>1130.112</v>
      </c>
      <c r="O3084" s="75">
        <f>M3084+N3084</f>
        <v>1793.2856208979438</v>
      </c>
      <c r="P3084" s="75">
        <f>(MIN(L3084,'THAM_SO_MOI'!$C$41)-O3084)/('THAM_SO_MOI'!$C$11*H3084)</f>
        <v>0.46468557571303054</v>
      </c>
      <c r="Q3084" s="75">
        <f>IF(P3084&gt;0,1/P3084,NA())</f>
        <v>2.151992771597361</v>
      </c>
      <c r="R3084" s="75">
        <f>F3084-F3083</f>
        <v>0.007943393307218827</v>
      </c>
      <c r="S3084" s="75">
        <f>0.5*(Q3083+Q3084)*R3084</f>
        <v>0.017092006842937185</v>
      </c>
      <c r="T3084" s="75">
        <f>0.5*(F3083*Q3083+F3084*Q3084)*R3084</f>
        <v>0.25729372200683803</v>
      </c>
      <c r="U3084" s="76">
        <f>U3083+S3084</f>
        <v>24.080434807608217</v>
      </c>
      <c r="V3084" s="76">
        <f>V3083+T3084</f>
        <v>213.6803279634896</v>
      </c>
    </row>
    <row r="3085" spans="1:22" ht="19" customHeight="1">
      <c r="A3085" s="68" t="s">
        <v>376</v>
      </c>
      <c r="B3085" s="74">
        <v>4</v>
      </c>
      <c r="C3085" s="68" t="s">
        <v>363</v>
      </c>
      <c r="D3085" s="68" t="s">
        <v>364</v>
      </c>
      <c r="E3085" s="75">
        <f>60*F3085*'THAM_SO_MOI'!$C$52/(2*PI()*'THAM_SO_MOI'!$C$26)</f>
        <v>2370.0653235027594</v>
      </c>
      <c r="F3085" s="75">
        <f>'HANH_TRINH'!$F$2468+('THAM_SO_MOI'!$F$52-'HANH_TRINH'!$F$2468)*616/'THAM_SO_MOI'!$C$42</f>
        <v>15.065367616547167</v>
      </c>
      <c r="G3085" s="75">
        <f>3.6*F3085</f>
        <v>54.2353234195698</v>
      </c>
      <c r="H3085" s="75">
        <f>'THAM_SO_MOI'!$D$52</f>
        <v>1.1774754878398197</v>
      </c>
      <c r="I3085" s="75">
        <f>IF(F3085&gt;'THAM_SO_MOI'!$C$14,'THAM_SO_MOI'!$C$13*(1+F3085^2/1500),'THAM_SO_MOI'!$C$13)</f>
        <v>0.015</v>
      </c>
      <c r="J3085" s="75">
        <f>'THAM_SO_MOI'!$C$40*('THAM_SO_MOI'!$C$23*(E3085/'THAM_SO_MOI'!$C$22)+'THAM_SO_MOI'!$C$24*(E3085/'THAM_SO_MOI'!$C$22)^2-'THAM_SO_MOI'!$C$25*(E3085/'THAM_SO_MOI'!$C$22)^3)</f>
        <v>106.23685226881061</v>
      </c>
      <c r="K3085" s="75">
        <f>'THAM_SO_MOI'!$C$31*J3085/E3085</f>
        <v>428.12264166190147</v>
      </c>
      <c r="L3085" s="75">
        <f>K3085*'THAM_SO_MOI'!$C$52*'THAM_SO_MOI'!$C$17/'THAM_SO_MOI'!$C$26</f>
        <v>5995.0984974524845</v>
      </c>
      <c r="M3085" s="75">
        <f>'THAM_SO_MOI'!$C$15*'THAM_SO_MOI'!$C$16*F3085^2</f>
        <v>663.8735066584961</v>
      </c>
      <c r="N3085" s="75">
        <f>'THAM_SO_MOI'!$C$12*I3085</f>
        <v>1130.112</v>
      </c>
      <c r="O3085" s="75">
        <f>M3085+N3085</f>
        <v>1793.9855066584962</v>
      </c>
      <c r="P3085" s="75">
        <f>(MIN(L3085,'THAM_SO_MOI'!$C$41)-O3085)/('THAM_SO_MOI'!$C$11*H3085)</f>
        <v>0.4645701132002806</v>
      </c>
      <c r="Q3085" s="75">
        <f>IF(P3085&gt;0,1/P3085,NA())</f>
        <v>2.1525276198059915</v>
      </c>
      <c r="R3085" s="75">
        <f>F3085-F3084</f>
        <v>0.007943393307218827</v>
      </c>
      <c r="S3085" s="75">
        <f>0.5*(Q3084+Q3085)*R3085</f>
        <v>0.017096249233930178</v>
      </c>
      <c r="T3085" s="75">
        <f>0.5*(F3084*Q3084+F3085*Q3085)*R3085</f>
        <v>0.2574933868942952</v>
      </c>
      <c r="U3085" s="76">
        <f>U3084+S3085</f>
        <v>24.097531056842147</v>
      </c>
      <c r="V3085" s="76">
        <f>V3084+T3085</f>
        <v>213.93782135038387</v>
      </c>
    </row>
    <row r="3086" spans="1:22" ht="19" customHeight="1">
      <c r="A3086" s="68" t="s">
        <v>376</v>
      </c>
      <c r="B3086" s="74">
        <v>4</v>
      </c>
      <c r="C3086" s="68" t="s">
        <v>363</v>
      </c>
      <c r="D3086" s="68" t="s">
        <v>364</v>
      </c>
      <c r="E3086" s="75">
        <f>60*F3086*'THAM_SO_MOI'!$C$52/(2*PI()*'THAM_SO_MOI'!$C$26)</f>
        <v>2371.3149684837226</v>
      </c>
      <c r="F3086" s="75">
        <f>'HANH_TRINH'!$F$2468+('THAM_SO_MOI'!$F$52-'HANH_TRINH'!$F$2468)*617/'THAM_SO_MOI'!$C$42</f>
        <v>15.073311009854386</v>
      </c>
      <c r="G3086" s="75">
        <f>3.6*F3086</f>
        <v>54.263919635475794</v>
      </c>
      <c r="H3086" s="75">
        <f>'THAM_SO_MOI'!$D$52</f>
        <v>1.1774754878398197</v>
      </c>
      <c r="I3086" s="75">
        <f>IF(F3086&gt;'THAM_SO_MOI'!$C$14,'THAM_SO_MOI'!$C$13*(1+F3086^2/1500),'THAM_SO_MOI'!$C$13)</f>
        <v>0.015</v>
      </c>
      <c r="J3086" s="75">
        <f>'THAM_SO_MOI'!$C$40*('THAM_SO_MOI'!$C$23*(E3086/'THAM_SO_MOI'!$C$22)+'THAM_SO_MOI'!$C$24*(E3086/'THAM_SO_MOI'!$C$22)^2-'THAM_SO_MOI'!$C$25*(E3086/'THAM_SO_MOI'!$C$22)^3)</f>
        <v>106.28672587519779</v>
      </c>
      <c r="K3086" s="75">
        <f>'THAM_SO_MOI'!$C$31*J3086/E3086</f>
        <v>428.09790703567785</v>
      </c>
      <c r="L3086" s="75">
        <f>K3086*'THAM_SO_MOI'!$C$52*'THAM_SO_MOI'!$C$17/'THAM_SO_MOI'!$C$26</f>
        <v>5994.752132868886</v>
      </c>
      <c r="M3086" s="75">
        <f>'THAM_SO_MOI'!$C$15*'THAM_SO_MOI'!$C$16*F3086^2</f>
        <v>664.5737615394075</v>
      </c>
      <c r="N3086" s="75">
        <f>'THAM_SO_MOI'!$C$12*I3086</f>
        <v>1130.112</v>
      </c>
      <c r="O3086" s="75">
        <f>M3086+N3086</f>
        <v>1794.6857615394076</v>
      </c>
      <c r="P3086" s="75">
        <f>(MIN(L3086,'THAM_SO_MOI'!$C$41)-O3086)/('THAM_SO_MOI'!$C$11*H3086)</f>
        <v>0.4644543752698392</v>
      </c>
      <c r="Q3086" s="75">
        <f>IF(P3086&gt;0,1/P3086,NA())</f>
        <v>2.1530640106878507</v>
      </c>
      <c r="R3086" s="75">
        <f>F3086-F3085</f>
        <v>0.007943393307218827</v>
      </c>
      <c r="S3086" s="75">
        <f>0.5*(Q3085+Q3086)*R3086</f>
        <v>0.01710050387064109</v>
      </c>
      <c r="T3086" s="75">
        <f>0.5*(F3085*Q3085+F3086*Q3086)*R3086</f>
        <v>0.2576933037146244</v>
      </c>
      <c r="U3086" s="76">
        <f>U3085+S3086</f>
        <v>24.114631560712787</v>
      </c>
      <c r="V3086" s="76">
        <f>V3085+T3086</f>
        <v>214.1955146540985</v>
      </c>
    </row>
    <row r="3087" spans="1:22" ht="19" customHeight="1">
      <c r="A3087" s="68" t="s">
        <v>376</v>
      </c>
      <c r="B3087" s="74">
        <v>4</v>
      </c>
      <c r="C3087" s="68" t="s">
        <v>363</v>
      </c>
      <c r="D3087" s="68" t="s">
        <v>364</v>
      </c>
      <c r="E3087" s="75">
        <f>60*F3087*'THAM_SO_MOI'!$C$52/(2*PI()*'THAM_SO_MOI'!$C$26)</f>
        <v>2372.5646134646863</v>
      </c>
      <c r="F3087" s="75">
        <f>'HANH_TRINH'!$F$2468+('THAM_SO_MOI'!$F$52-'HANH_TRINH'!$F$2468)*618/'THAM_SO_MOI'!$C$42</f>
        <v>15.081254403161607</v>
      </c>
      <c r="G3087" s="75">
        <f>3.6*F3087</f>
        <v>54.292515851381786</v>
      </c>
      <c r="H3087" s="75">
        <f>'THAM_SO_MOI'!$D$52</f>
        <v>1.1774754878398197</v>
      </c>
      <c r="I3087" s="75">
        <f>IF(F3087&gt;'THAM_SO_MOI'!$C$14,'THAM_SO_MOI'!$C$13*(1+F3087^2/1500),'THAM_SO_MOI'!$C$13)</f>
        <v>0.015</v>
      </c>
      <c r="J3087" s="75">
        <f>'THAM_SO_MOI'!$C$40*('THAM_SO_MOI'!$C$23*(E3087/'THAM_SO_MOI'!$C$22)+'THAM_SO_MOI'!$C$24*(E3087/'THAM_SO_MOI'!$C$22)^2-'THAM_SO_MOI'!$C$25*(E3087/'THAM_SO_MOI'!$C$22)^3)</f>
        <v>106.3365553754645</v>
      </c>
      <c r="K3087" s="75">
        <f>'THAM_SO_MOI'!$C$31*J3087/E3087</f>
        <v>428.0730209097265</v>
      </c>
      <c r="L3087" s="75">
        <f>K3087*'THAM_SO_MOI'!$C$52*'THAM_SO_MOI'!$C$17/'THAM_SO_MOI'!$C$26</f>
        <v>5994.403646800224</v>
      </c>
      <c r="M3087" s="75">
        <f>'THAM_SO_MOI'!$C$15*'THAM_SO_MOI'!$C$16*F3087^2</f>
        <v>665.274385540678</v>
      </c>
      <c r="N3087" s="75">
        <f>'THAM_SO_MOI'!$C$12*I3087</f>
        <v>1130.112</v>
      </c>
      <c r="O3087" s="75">
        <f>M3087+N3087</f>
        <v>1795.386385540678</v>
      </c>
      <c r="P3087" s="75">
        <f>(MIN(L3087,'THAM_SO_MOI'!$C$41)-O3087)/('THAM_SO_MOI'!$C$11*H3087)</f>
        <v>0.4643383619217059</v>
      </c>
      <c r="Q3087" s="75">
        <f>IF(P3087&gt;0,1/P3087,NA())</f>
        <v>2.153601946350955</v>
      </c>
      <c r="R3087" s="75">
        <f>F3087-F3086</f>
        <v>0.007943393307220603</v>
      </c>
      <c r="S3087" s="75">
        <f>0.5*(Q3086+Q3087)*R3087</f>
        <v>0.017104770769788433</v>
      </c>
      <c r="T3087" s="75">
        <f>0.5*(F3086*Q3086+F3087*Q3087)*R3087</f>
        <v>0.2578934730117131</v>
      </c>
      <c r="U3087" s="76">
        <f>U3086+S3087</f>
        <v>24.131736331482575</v>
      </c>
      <c r="V3087" s="76">
        <f>V3086+T3087</f>
        <v>214.4534081271102</v>
      </c>
    </row>
    <row r="3088" spans="1:22" ht="19" customHeight="1">
      <c r="A3088" s="68" t="s">
        <v>376</v>
      </c>
      <c r="B3088" s="74">
        <v>4</v>
      </c>
      <c r="C3088" s="68" t="s">
        <v>363</v>
      </c>
      <c r="D3088" s="68" t="s">
        <v>364</v>
      </c>
      <c r="E3088" s="75">
        <f>60*F3088*'THAM_SO_MOI'!$C$52/(2*PI()*'THAM_SO_MOI'!$C$26)</f>
        <v>2373.814258445649</v>
      </c>
      <c r="F3088" s="75">
        <f>'HANH_TRINH'!$F$2468+('THAM_SO_MOI'!$F$52-'HANH_TRINH'!$F$2468)*619/'THAM_SO_MOI'!$C$42</f>
        <v>15.089197796468826</v>
      </c>
      <c r="G3088" s="75">
        <f>3.6*F3088</f>
        <v>54.32111206728777</v>
      </c>
      <c r="H3088" s="75">
        <f>'THAM_SO_MOI'!$D$52</f>
        <v>1.1774754878398197</v>
      </c>
      <c r="I3088" s="75">
        <f>IF(F3088&gt;'THAM_SO_MOI'!$C$14,'THAM_SO_MOI'!$C$13*(1+F3088^2/1500),'THAM_SO_MOI'!$C$13)</f>
        <v>0.015</v>
      </c>
      <c r="J3088" s="75">
        <f>'THAM_SO_MOI'!$C$40*('THAM_SO_MOI'!$C$23*(E3088/'THAM_SO_MOI'!$C$22)+'THAM_SO_MOI'!$C$24*(E3088/'THAM_SO_MOI'!$C$22)^2-'THAM_SO_MOI'!$C$25*(E3088/'THAM_SO_MOI'!$C$22)^3)</f>
        <v>106.38634071014509</v>
      </c>
      <c r="K3088" s="75">
        <f>'THAM_SO_MOI'!$C$31*J3088/E3088</f>
        <v>428.0479832840479</v>
      </c>
      <c r="L3088" s="75">
        <f>K3088*'THAM_SO_MOI'!$C$52*'THAM_SO_MOI'!$C$17/'THAM_SO_MOI'!$C$26</f>
        <v>5994.053039246503</v>
      </c>
      <c r="M3088" s="75">
        <f>'THAM_SO_MOI'!$C$15*'THAM_SO_MOI'!$C$16*F3088^2</f>
        <v>665.975378662307</v>
      </c>
      <c r="N3088" s="75">
        <f>'THAM_SO_MOI'!$C$12*I3088</f>
        <v>1130.112</v>
      </c>
      <c r="O3088" s="75">
        <f>M3088+N3088</f>
        <v>1796.087378662307</v>
      </c>
      <c r="P3088" s="75">
        <f>(MIN(L3088,'THAM_SO_MOI'!$C$41)-O3088)/('THAM_SO_MOI'!$C$11*H3088)</f>
        <v>0.46422207315588143</v>
      </c>
      <c r="Q3088" s="75">
        <f>IF(P3088&gt;0,1/P3088,NA())</f>
        <v>2.1541414289109198</v>
      </c>
      <c r="R3088" s="75">
        <f>F3088-F3087</f>
        <v>0.007943393307218827</v>
      </c>
      <c r="S3088" s="75">
        <f>0.5*(Q3087+Q3088)*R3088</f>
        <v>0.01710904994813571</v>
      </c>
      <c r="T3088" s="75">
        <f>0.5*(F3087*Q3087+F3088*Q3088)*R3088</f>
        <v>0.2580938953306588</v>
      </c>
      <c r="U3088" s="76">
        <f>U3087+S3088</f>
        <v>24.14884538143071</v>
      </c>
      <c r="V3088" s="76">
        <f>V3087+T3088</f>
        <v>214.71150202244087</v>
      </c>
    </row>
    <row r="3089" spans="1:22" ht="19" customHeight="1">
      <c r="A3089" s="68" t="s">
        <v>376</v>
      </c>
      <c r="B3089" s="74">
        <v>4</v>
      </c>
      <c r="C3089" s="68" t="s">
        <v>363</v>
      </c>
      <c r="D3089" s="68" t="s">
        <v>364</v>
      </c>
      <c r="E3089" s="75">
        <f>60*F3089*'THAM_SO_MOI'!$C$52/(2*PI()*'THAM_SO_MOI'!$C$26)</f>
        <v>2375.063903426613</v>
      </c>
      <c r="F3089" s="75">
        <f>'HANH_TRINH'!$F$2468+('THAM_SO_MOI'!$F$52-'HANH_TRINH'!$F$2468)*620/'THAM_SO_MOI'!$C$42</f>
        <v>15.097141189776046</v>
      </c>
      <c r="G3089" s="75">
        <f>3.6*F3089</f>
        <v>54.34970828319377</v>
      </c>
      <c r="H3089" s="75">
        <f>'THAM_SO_MOI'!$D$52</f>
        <v>1.1774754878398197</v>
      </c>
      <c r="I3089" s="75">
        <f>IF(F3089&gt;'THAM_SO_MOI'!$C$14,'THAM_SO_MOI'!$C$13*(1+F3089^2/1500),'THAM_SO_MOI'!$C$13)</f>
        <v>0.015</v>
      </c>
      <c r="J3089" s="75">
        <f>'THAM_SO_MOI'!$C$40*('THAM_SO_MOI'!$C$23*(E3089/'THAM_SO_MOI'!$C$22)+'THAM_SO_MOI'!$C$24*(E3089/'THAM_SO_MOI'!$C$22)^2-'THAM_SO_MOI'!$C$25*(E3089/'THAM_SO_MOI'!$C$22)^3)</f>
        <v>106.43608181977389</v>
      </c>
      <c r="K3089" s="75">
        <f>'THAM_SO_MOI'!$C$31*J3089/E3089</f>
        <v>428.02279415864183</v>
      </c>
      <c r="L3089" s="75">
        <f>K3089*'THAM_SO_MOI'!$C$52*'THAM_SO_MOI'!$C$17/'THAM_SO_MOI'!$C$26</f>
        <v>5993.700310207722</v>
      </c>
      <c r="M3089" s="75">
        <f>'THAM_SO_MOI'!$C$15*'THAM_SO_MOI'!$C$16*F3089^2</f>
        <v>666.6767409042951</v>
      </c>
      <c r="N3089" s="75">
        <f>'THAM_SO_MOI'!$C$12*I3089</f>
        <v>1130.112</v>
      </c>
      <c r="O3089" s="75">
        <f>M3089+N3089</f>
        <v>1796.788740904295</v>
      </c>
      <c r="P3089" s="75">
        <f>(MIN(L3089,'THAM_SO_MOI'!$C$41)-O3089)/('THAM_SO_MOI'!$C$11*H3089)</f>
        <v>0.4641055089723654</v>
      </c>
      <c r="Q3089" s="75">
        <f>IF(P3089&gt;0,1/P3089,NA())</f>
        <v>2.154682460490991</v>
      </c>
      <c r="R3089" s="75">
        <f>F3089-F3088</f>
        <v>0.007943393307220603</v>
      </c>
      <c r="S3089" s="75">
        <f>0.5*(Q3088+Q3089)*R3089</f>
        <v>0.017113341422533693</v>
      </c>
      <c r="T3089" s="75">
        <f>0.5*(F3088*Q3088+F3089*Q3089)*R3089</f>
        <v>0.2582945712184087</v>
      </c>
      <c r="U3089" s="76">
        <f>U3088+S3089</f>
        <v>24.165958722853244</v>
      </c>
      <c r="V3089" s="76">
        <f>V3088+T3089</f>
        <v>214.96979659365928</v>
      </c>
    </row>
    <row r="3090" spans="1:22" ht="19" customHeight="1">
      <c r="A3090" s="68" t="s">
        <v>376</v>
      </c>
      <c r="B3090" s="74">
        <v>4</v>
      </c>
      <c r="C3090" s="68" t="s">
        <v>363</v>
      </c>
      <c r="D3090" s="68" t="s">
        <v>364</v>
      </c>
      <c r="E3090" s="75">
        <f>60*F3090*'THAM_SO_MOI'!$C$52/(2*PI()*'THAM_SO_MOI'!$C$26)</f>
        <v>2376.313548407576</v>
      </c>
      <c r="F3090" s="75">
        <f>'HANH_TRINH'!$F$2468+('THAM_SO_MOI'!$F$52-'HANH_TRINH'!$F$2468)*621/'THAM_SO_MOI'!$C$42</f>
        <v>15.105084583083265</v>
      </c>
      <c r="G3090" s="75">
        <f>3.6*F3090</f>
        <v>54.378304499099755</v>
      </c>
      <c r="H3090" s="75">
        <f>'THAM_SO_MOI'!$D$52</f>
        <v>1.1774754878398197</v>
      </c>
      <c r="I3090" s="75">
        <f>IF(F3090&gt;'THAM_SO_MOI'!$C$14,'THAM_SO_MOI'!$C$13*(1+F3090^2/1500),'THAM_SO_MOI'!$C$13)</f>
        <v>0.015</v>
      </c>
      <c r="J3090" s="75">
        <f>'THAM_SO_MOI'!$C$40*('THAM_SO_MOI'!$C$23*(E3090/'THAM_SO_MOI'!$C$22)+'THAM_SO_MOI'!$C$24*(E3090/'THAM_SO_MOI'!$C$22)^2-'THAM_SO_MOI'!$C$25*(E3090/'THAM_SO_MOI'!$C$22)^3)</f>
        <v>106.48577864488516</v>
      </c>
      <c r="K3090" s="75">
        <f>'THAM_SO_MOI'!$C$31*J3090/E3090</f>
        <v>427.99745353350824</v>
      </c>
      <c r="L3090" s="75">
        <f>K3090*'THAM_SO_MOI'!$C$52*'THAM_SO_MOI'!$C$17/'THAM_SO_MOI'!$C$26</f>
        <v>5993.345459683877</v>
      </c>
      <c r="M3090" s="75">
        <f>'THAM_SO_MOI'!$C$15*'THAM_SO_MOI'!$C$16*F3090^2</f>
        <v>667.3784722666418</v>
      </c>
      <c r="N3090" s="75">
        <f>'THAM_SO_MOI'!$C$12*I3090</f>
        <v>1130.112</v>
      </c>
      <c r="O3090" s="75">
        <f>M3090+N3090</f>
        <v>1797.490472266642</v>
      </c>
      <c r="P3090" s="75">
        <f>(MIN(L3090,'THAM_SO_MOI'!$C$41)-O3090)/('THAM_SO_MOI'!$C$11*H3090)</f>
        <v>0.4639886693711576</v>
      </c>
      <c r="Q3090" s="75">
        <f>IF(P3090&gt;0,1/P3090,NA())</f>
        <v>2.1552250432220617</v>
      </c>
      <c r="R3090" s="75">
        <f>F3090-F3089</f>
        <v>0.007943393307218827</v>
      </c>
      <c r="S3090" s="75">
        <f>0.5*(Q3089+Q3090)*R3090</f>
        <v>0.017117645209863232</v>
      </c>
      <c r="T3090" s="75">
        <f>0.5*(F3089*Q3089+F3090*Q3090)*R3090</f>
        <v>0.25849550122289955</v>
      </c>
      <c r="U3090" s="76">
        <f>U3089+S3090</f>
        <v>24.18307636806311</v>
      </c>
      <c r="V3090" s="76">
        <f>V3089+T3090</f>
        <v>215.2282920948822</v>
      </c>
    </row>
    <row r="3091" spans="1:22" ht="19" customHeight="1">
      <c r="A3091" s="68" t="s">
        <v>376</v>
      </c>
      <c r="B3091" s="74">
        <v>4</v>
      </c>
      <c r="C3091" s="68" t="s">
        <v>363</v>
      </c>
      <c r="D3091" s="68" t="s">
        <v>364</v>
      </c>
      <c r="E3091" s="75">
        <f>60*F3091*'THAM_SO_MOI'!$C$52/(2*PI()*'THAM_SO_MOI'!$C$26)</f>
        <v>2377.5631933885393</v>
      </c>
      <c r="F3091" s="75">
        <f>'HANH_TRINH'!$F$2468+('THAM_SO_MOI'!$F$52-'HANH_TRINH'!$F$2468)*622/'THAM_SO_MOI'!$C$42</f>
        <v>15.113027976390484</v>
      </c>
      <c r="G3091" s="75">
        <f>3.6*F3091</f>
        <v>54.40690071500574</v>
      </c>
      <c r="H3091" s="75">
        <f>'THAM_SO_MOI'!$D$52</f>
        <v>1.1774754878398197</v>
      </c>
      <c r="I3091" s="75">
        <f>IF(F3091&gt;'THAM_SO_MOI'!$C$14,'THAM_SO_MOI'!$C$13*(1+F3091^2/1500),'THAM_SO_MOI'!$C$13)</f>
        <v>0.015</v>
      </c>
      <c r="J3091" s="75">
        <f>'THAM_SO_MOI'!$C$40*('THAM_SO_MOI'!$C$23*(E3091/'THAM_SO_MOI'!$C$22)+'THAM_SO_MOI'!$C$24*(E3091/'THAM_SO_MOI'!$C$22)^2-'THAM_SO_MOI'!$C$25*(E3091/'THAM_SO_MOI'!$C$22)^3)</f>
        <v>106.53543112601322</v>
      </c>
      <c r="K3091" s="75">
        <f>'THAM_SO_MOI'!$C$31*J3091/E3091</f>
        <v>427.97196140864713</v>
      </c>
      <c r="L3091" s="75">
        <f>K3091*'THAM_SO_MOI'!$C$52*'THAM_SO_MOI'!$C$17/'THAM_SO_MOI'!$C$26</f>
        <v>5992.988487674973</v>
      </c>
      <c r="M3091" s="75">
        <f>'THAM_SO_MOI'!$C$15*'THAM_SO_MOI'!$C$16*F3091^2</f>
        <v>668.0805727493472</v>
      </c>
      <c r="N3091" s="75">
        <f>'THAM_SO_MOI'!$C$12*I3091</f>
        <v>1130.112</v>
      </c>
      <c r="O3091" s="75">
        <f>M3091+N3091</f>
        <v>1798.1925727493472</v>
      </c>
      <c r="P3091" s="75">
        <f>(MIN(L3091,'THAM_SO_MOI'!$C$41)-O3091)/('THAM_SO_MOI'!$C$11*H3091)</f>
        <v>0.4638715543522584</v>
      </c>
      <c r="Q3091" s="75">
        <f>IF(P3091&gt;0,1/P3091,NA())</f>
        <v>2.155769179242692</v>
      </c>
      <c r="R3091" s="75">
        <f>F3091-F3090</f>
        <v>0.007943393307218827</v>
      </c>
      <c r="S3091" s="75">
        <f>0.5*(Q3090+Q3091)*R3091</f>
        <v>0.017121961327092775</v>
      </c>
      <c r="T3091" s="75">
        <f>0.5*(F3090*Q3090+F3091*Q3091)*R3091</f>
        <v>0.2586966858939283</v>
      </c>
      <c r="U3091" s="76">
        <f>U3090+S3091</f>
        <v>24.2001983293902</v>
      </c>
      <c r="V3091" s="76">
        <f>V3090+T3091</f>
        <v>215.48698878077613</v>
      </c>
    </row>
    <row r="3092" spans="1:22" ht="19" customHeight="1">
      <c r="A3092" s="68" t="s">
        <v>376</v>
      </c>
      <c r="B3092" s="74">
        <v>4</v>
      </c>
      <c r="C3092" s="68" t="s">
        <v>363</v>
      </c>
      <c r="D3092" s="68" t="s">
        <v>364</v>
      </c>
      <c r="E3092" s="75">
        <f>60*F3092*'THAM_SO_MOI'!$C$52/(2*PI()*'THAM_SO_MOI'!$C$26)</f>
        <v>2378.812838369502</v>
      </c>
      <c r="F3092" s="75">
        <f>'HANH_TRINH'!$F$2468+('THAM_SO_MOI'!$F$52-'HANH_TRINH'!$F$2468)*623/'THAM_SO_MOI'!$C$42</f>
        <v>15.120971369697703</v>
      </c>
      <c r="G3092" s="75">
        <f>3.6*F3092</f>
        <v>54.43549693091173</v>
      </c>
      <c r="H3092" s="75">
        <f>'THAM_SO_MOI'!$D$52</f>
        <v>1.1774754878398197</v>
      </c>
      <c r="I3092" s="75">
        <f>IF(F3092&gt;'THAM_SO_MOI'!$C$14,'THAM_SO_MOI'!$C$13*(1+F3092^2/1500),'THAM_SO_MOI'!$C$13)</f>
        <v>0.015</v>
      </c>
      <c r="J3092" s="75">
        <f>'THAM_SO_MOI'!$C$40*('THAM_SO_MOI'!$C$23*(E3092/'THAM_SO_MOI'!$C$22)+'THAM_SO_MOI'!$C$24*(E3092/'THAM_SO_MOI'!$C$22)^2-'THAM_SO_MOI'!$C$25*(E3092/'THAM_SO_MOI'!$C$22)^3)</f>
        <v>106.58503920369239</v>
      </c>
      <c r="K3092" s="75">
        <f>'THAM_SO_MOI'!$C$31*J3092/E3092</f>
        <v>427.94631778405864</v>
      </c>
      <c r="L3092" s="75">
        <f>K3092*'THAM_SO_MOI'!$C$52*'THAM_SO_MOI'!$C$17/'THAM_SO_MOI'!$C$26</f>
        <v>5992.629394181007</v>
      </c>
      <c r="M3092" s="75">
        <f>'THAM_SO_MOI'!$C$15*'THAM_SO_MOI'!$C$16*F3092^2</f>
        <v>668.7830423524116</v>
      </c>
      <c r="N3092" s="75">
        <f>'THAM_SO_MOI'!$C$12*I3092</f>
        <v>1130.112</v>
      </c>
      <c r="O3092" s="75">
        <f>M3092+N3092</f>
        <v>1798.8950423524116</v>
      </c>
      <c r="P3092" s="75">
        <f>(MIN(L3092,'THAM_SO_MOI'!$C$41)-O3092)/('THAM_SO_MOI'!$C$11*H3092)</f>
        <v>0.4637541639156676</v>
      </c>
      <c r="Q3092" s="75">
        <f>IF(P3092&gt;0,1/P3092,NA())</f>
        <v>2.1563148706991386</v>
      </c>
      <c r="R3092" s="75">
        <f>F3092-F3091</f>
        <v>0.007943393307218827</v>
      </c>
      <c r="S3092" s="75">
        <f>0.5*(Q3091+Q3092)*R3092</f>
        <v>0.017126289791236496</v>
      </c>
      <c r="T3092" s="75">
        <f>0.5*(F3091*Q3091+F3092*Q3092)*R3092</f>
        <v>0.2588981257825218</v>
      </c>
      <c r="U3092" s="76">
        <f>U3091+S3092</f>
        <v>24.217324619181436</v>
      </c>
      <c r="V3092" s="76">
        <f>V3091+T3092</f>
        <v>215.74588690655864</v>
      </c>
    </row>
    <row r="3093" spans="1:22" ht="19" customHeight="1">
      <c r="A3093" s="68" t="s">
        <v>376</v>
      </c>
      <c r="B3093" s="74">
        <v>4</v>
      </c>
      <c r="C3093" s="68" t="s">
        <v>363</v>
      </c>
      <c r="D3093" s="68" t="s">
        <v>364</v>
      </c>
      <c r="E3093" s="75">
        <f>60*F3093*'THAM_SO_MOI'!$C$52/(2*PI()*'THAM_SO_MOI'!$C$26)</f>
        <v>2380.0624833504653</v>
      </c>
      <c r="F3093" s="75">
        <f>'HANH_TRINH'!$F$2468+('THAM_SO_MOI'!$F$52-'HANH_TRINH'!$F$2468)*624/'THAM_SO_MOI'!$C$42</f>
        <v>15.128914763004923</v>
      </c>
      <c r="G3093" s="75">
        <f>3.6*F3093</f>
        <v>54.464093146817724</v>
      </c>
      <c r="H3093" s="75">
        <f>'THAM_SO_MOI'!$D$52</f>
        <v>1.1774754878398197</v>
      </c>
      <c r="I3093" s="75">
        <f>IF(F3093&gt;'THAM_SO_MOI'!$C$14,'THAM_SO_MOI'!$C$13*(1+F3093^2/1500),'THAM_SO_MOI'!$C$13)</f>
        <v>0.015</v>
      </c>
      <c r="J3093" s="75">
        <f>'THAM_SO_MOI'!$C$40*('THAM_SO_MOI'!$C$23*(E3093/'THAM_SO_MOI'!$C$22)+'THAM_SO_MOI'!$C$24*(E3093/'THAM_SO_MOI'!$C$22)^2-'THAM_SO_MOI'!$C$25*(E3093/'THAM_SO_MOI'!$C$22)^3)</f>
        <v>106.63460281845701</v>
      </c>
      <c r="K3093" s="75">
        <f>'THAM_SO_MOI'!$C$31*J3093/E3093</f>
        <v>427.9205226597426</v>
      </c>
      <c r="L3093" s="75">
        <f>K3093*'THAM_SO_MOI'!$C$52*'THAM_SO_MOI'!$C$17/'THAM_SO_MOI'!$C$26</f>
        <v>5992.268179201982</v>
      </c>
      <c r="M3093" s="75">
        <f>'THAM_SO_MOI'!$C$15*'THAM_SO_MOI'!$C$16*F3093^2</f>
        <v>669.4858810758349</v>
      </c>
      <c r="N3093" s="75">
        <f>'THAM_SO_MOI'!$C$12*I3093</f>
        <v>1130.112</v>
      </c>
      <c r="O3093" s="75">
        <f>M3093+N3093</f>
        <v>1799.597881075835</v>
      </c>
      <c r="P3093" s="75">
        <f>(MIN(L3093,'THAM_SO_MOI'!$C$41)-O3093)/('THAM_SO_MOI'!$C$11*H3093)</f>
        <v>0.4636364980613854</v>
      </c>
      <c r="Q3093" s="75">
        <f>IF(P3093&gt;0,1/P3093,NA())</f>
        <v>2.1568621197453703</v>
      </c>
      <c r="R3093" s="75">
        <f>F3093-F3092</f>
        <v>0.007943393307220603</v>
      </c>
      <c r="S3093" s="75">
        <f>0.5*(Q3092+Q3093)*R3093</f>
        <v>0.017130630619377408</v>
      </c>
      <c r="T3093" s="75">
        <f>0.5*(F3092*Q3092+F3093*Q3093)*R3093</f>
        <v>0.2590998214412891</v>
      </c>
      <c r="U3093" s="76">
        <f>U3092+S3093</f>
        <v>24.234455249800813</v>
      </c>
      <c r="V3093" s="76">
        <f>V3092+T3093</f>
        <v>216.00498672799992</v>
      </c>
    </row>
    <row r="3094" spans="1:22" ht="19" customHeight="1">
      <c r="A3094" s="68" t="s">
        <v>376</v>
      </c>
      <c r="B3094" s="74">
        <v>4</v>
      </c>
      <c r="C3094" s="68" t="s">
        <v>363</v>
      </c>
      <c r="D3094" s="68" t="s">
        <v>364</v>
      </c>
      <c r="E3094" s="75">
        <f>60*F3094*'THAM_SO_MOI'!$C$52/(2*PI()*'THAM_SO_MOI'!$C$26)</f>
        <v>2381.3121283314285</v>
      </c>
      <c r="F3094" s="75">
        <f>'HANH_TRINH'!$F$2468+('THAM_SO_MOI'!$F$52-'HANH_TRINH'!$F$2468)*625/'THAM_SO_MOI'!$C$42</f>
        <v>15.136858156312142</v>
      </c>
      <c r="G3094" s="75">
        <f>3.6*F3094</f>
        <v>54.49268936272371</v>
      </c>
      <c r="H3094" s="75">
        <f>'THAM_SO_MOI'!$D$52</f>
        <v>1.1774754878398197</v>
      </c>
      <c r="I3094" s="75">
        <f>IF(F3094&gt;'THAM_SO_MOI'!$C$14,'THAM_SO_MOI'!$C$13*(1+F3094^2/1500),'THAM_SO_MOI'!$C$13)</f>
        <v>0.015</v>
      </c>
      <c r="J3094" s="75">
        <f>'THAM_SO_MOI'!$C$40*('THAM_SO_MOI'!$C$23*(E3094/'THAM_SO_MOI'!$C$22)+'THAM_SO_MOI'!$C$24*(E3094/'THAM_SO_MOI'!$C$22)^2-'THAM_SO_MOI'!$C$25*(E3094/'THAM_SO_MOI'!$C$22)^3)</f>
        <v>106.68412191084138</v>
      </c>
      <c r="K3094" s="75">
        <f>'THAM_SO_MOI'!$C$31*J3094/E3094</f>
        <v>427.89457603569906</v>
      </c>
      <c r="L3094" s="75">
        <f>K3094*'THAM_SO_MOI'!$C$52*'THAM_SO_MOI'!$C$17/'THAM_SO_MOI'!$C$26</f>
        <v>5991.904842737894</v>
      </c>
      <c r="M3094" s="75">
        <f>'THAM_SO_MOI'!$C$15*'THAM_SO_MOI'!$C$16*F3094^2</f>
        <v>670.1890889196168</v>
      </c>
      <c r="N3094" s="75">
        <f>'THAM_SO_MOI'!$C$12*I3094</f>
        <v>1130.112</v>
      </c>
      <c r="O3094" s="75">
        <f>M3094+N3094</f>
        <v>1800.3010889196169</v>
      </c>
      <c r="P3094" s="75">
        <f>(MIN(L3094,'THAM_SO_MOI'!$C$41)-O3094)/('THAM_SO_MOI'!$C$11*H3094)</f>
        <v>0.46351855678941156</v>
      </c>
      <c r="Q3094" s="75">
        <f>IF(P3094&gt;0,1/P3094,NA())</f>
        <v>2.157410928543096</v>
      </c>
      <c r="R3094" s="75">
        <f>F3094-F3093</f>
        <v>0.007943393307218827</v>
      </c>
      <c r="S3094" s="75">
        <f>0.5*(Q3093+Q3094)*R3094</f>
        <v>0.017134983828644586</v>
      </c>
      <c r="T3094" s="75">
        <f>0.5*(F3093*Q3093+F3094*Q3094)*R3094</f>
        <v>0.25930177342407895</v>
      </c>
      <c r="U3094" s="76">
        <f>U3093+S3094</f>
        <v>24.251590233629457</v>
      </c>
      <c r="V3094" s="76">
        <f>V3093+T3094</f>
        <v>216.264288501424</v>
      </c>
    </row>
    <row r="3095" spans="1:22" ht="19" customHeight="1">
      <c r="A3095" s="68" t="s">
        <v>376</v>
      </c>
      <c r="B3095" s="74">
        <v>4</v>
      </c>
      <c r="C3095" s="68" t="s">
        <v>363</v>
      </c>
      <c r="D3095" s="68" t="s">
        <v>364</v>
      </c>
      <c r="E3095" s="75">
        <f>60*F3095*'THAM_SO_MOI'!$C$52/(2*PI()*'THAM_SO_MOI'!$C$26)</f>
        <v>2382.5617733123922</v>
      </c>
      <c r="F3095" s="75">
        <f>'HANH_TRINH'!$F$2468+('THAM_SO_MOI'!$F$52-'HANH_TRINH'!$F$2468)*626/'THAM_SO_MOI'!$C$42</f>
        <v>15.144801549619363</v>
      </c>
      <c r="G3095" s="75">
        <f>3.6*F3095</f>
        <v>54.52128557862971</v>
      </c>
      <c r="H3095" s="75">
        <f>'THAM_SO_MOI'!$D$52</f>
        <v>1.1774754878398197</v>
      </c>
      <c r="I3095" s="75">
        <f>IF(F3095&gt;'THAM_SO_MOI'!$C$14,'THAM_SO_MOI'!$C$13*(1+F3095^2/1500),'THAM_SO_MOI'!$C$13)</f>
        <v>0.015</v>
      </c>
      <c r="J3095" s="75">
        <f>'THAM_SO_MOI'!$C$40*('THAM_SO_MOI'!$C$23*(E3095/'THAM_SO_MOI'!$C$22)+'THAM_SO_MOI'!$C$24*(E3095/'THAM_SO_MOI'!$C$22)^2-'THAM_SO_MOI'!$C$25*(E3095/'THAM_SO_MOI'!$C$22)^3)</f>
        <v>106.73359642137986</v>
      </c>
      <c r="K3095" s="75">
        <f>'THAM_SO_MOI'!$C$31*J3095/E3095</f>
        <v>427.8684779119282</v>
      </c>
      <c r="L3095" s="75">
        <f>K3095*'THAM_SO_MOI'!$C$52*'THAM_SO_MOI'!$C$17/'THAM_SO_MOI'!$C$26</f>
        <v>5991.539384788748</v>
      </c>
      <c r="M3095" s="75">
        <f>'THAM_SO_MOI'!$C$15*'THAM_SO_MOI'!$C$16*F3095^2</f>
        <v>670.8926658837578</v>
      </c>
      <c r="N3095" s="75">
        <f>'THAM_SO_MOI'!$C$12*I3095</f>
        <v>1130.112</v>
      </c>
      <c r="O3095" s="75">
        <f>M3095+N3095</f>
        <v>1801.0046658837578</v>
      </c>
      <c r="P3095" s="75">
        <f>(MIN(L3095,'THAM_SO_MOI'!$C$41)-O3095)/('THAM_SO_MOI'!$C$11*H3095)</f>
        <v>0.4634003400997464</v>
      </c>
      <c r="Q3095" s="75">
        <f>IF(P3095&gt;0,1/P3095,NA())</f>
        <v>2.157961299261781</v>
      </c>
      <c r="R3095" s="75">
        <f>F3095-F3094</f>
        <v>0.007943393307220603</v>
      </c>
      <c r="S3095" s="75">
        <f>0.5*(Q3094+Q3095)*R3095</f>
        <v>0.017139349436255464</v>
      </c>
      <c r="T3095" s="75">
        <f>0.5*(F3094*Q3094+F3095*Q3095)*R3095</f>
        <v>0.25950398228662214</v>
      </c>
      <c r="U3095" s="76">
        <f>U3094+S3095</f>
        <v>24.268729583065713</v>
      </c>
      <c r="V3095" s="76">
        <f>V3094+T3095</f>
        <v>216.52379248371062</v>
      </c>
    </row>
    <row r="3096" spans="1:22" ht="19" customHeight="1">
      <c r="A3096" s="68" t="s">
        <v>376</v>
      </c>
      <c r="B3096" s="74">
        <v>4</v>
      </c>
      <c r="C3096" s="68" t="s">
        <v>363</v>
      </c>
      <c r="D3096" s="68" t="s">
        <v>364</v>
      </c>
      <c r="E3096" s="75">
        <f>60*F3096*'THAM_SO_MOI'!$C$52/(2*PI()*'THAM_SO_MOI'!$C$26)</f>
        <v>2383.8114182933555</v>
      </c>
      <c r="F3096" s="75">
        <f>'HANH_TRINH'!$F$2468+('THAM_SO_MOI'!$F$52-'HANH_TRINH'!$F$2468)*627/'THAM_SO_MOI'!$C$42</f>
        <v>15.152744942926581</v>
      </c>
      <c r="G3096" s="75">
        <f>3.6*F3096</f>
        <v>54.54988179453569</v>
      </c>
      <c r="H3096" s="75">
        <f>'THAM_SO_MOI'!$D$52</f>
        <v>1.1774754878398197</v>
      </c>
      <c r="I3096" s="75">
        <f>IF(F3096&gt;'THAM_SO_MOI'!$C$14,'THAM_SO_MOI'!$C$13*(1+F3096^2/1500),'THAM_SO_MOI'!$C$13)</f>
        <v>0.015</v>
      </c>
      <c r="J3096" s="75">
        <f>'THAM_SO_MOI'!$C$40*('THAM_SO_MOI'!$C$23*(E3096/'THAM_SO_MOI'!$C$22)+'THAM_SO_MOI'!$C$24*(E3096/'THAM_SO_MOI'!$C$22)^2-'THAM_SO_MOI'!$C$25*(E3096/'THAM_SO_MOI'!$C$22)^3)</f>
        <v>106.78302629060667</v>
      </c>
      <c r="K3096" s="75">
        <f>'THAM_SO_MOI'!$C$31*J3096/E3096</f>
        <v>427.8422282884298</v>
      </c>
      <c r="L3096" s="75">
        <f>K3096*'THAM_SO_MOI'!$C$52*'THAM_SO_MOI'!$C$17/'THAM_SO_MOI'!$C$26</f>
        <v>5991.171805354539</v>
      </c>
      <c r="M3096" s="75">
        <f>'THAM_SO_MOI'!$C$15*'THAM_SO_MOI'!$C$16*F3096^2</f>
        <v>671.5966119682573</v>
      </c>
      <c r="N3096" s="75">
        <f>'THAM_SO_MOI'!$C$12*I3096</f>
        <v>1130.112</v>
      </c>
      <c r="O3096" s="75">
        <f>M3096+N3096</f>
        <v>1801.7086119682574</v>
      </c>
      <c r="P3096" s="75">
        <f>(MIN(L3096,'THAM_SO_MOI'!$C$41)-O3096)/('THAM_SO_MOI'!$C$11*H3096)</f>
        <v>0.46328184799238964</v>
      </c>
      <c r="Q3096" s="75">
        <f>IF(P3096&gt;0,1/P3096,NA())</f>
        <v>2.1585132340786792</v>
      </c>
      <c r="R3096" s="75">
        <f>F3096-F3095</f>
        <v>0.007943393307218827</v>
      </c>
      <c r="S3096" s="75">
        <f>0.5*(Q3095+Q3096)*R3096</f>
        <v>0.01714372745945856</v>
      </c>
      <c r="T3096" s="75">
        <f>0.5*(F3095*Q3095+F3096*Q3096)*R3096</f>
        <v>0.2597064485856675</v>
      </c>
      <c r="U3096" s="76">
        <f>U3095+S3096</f>
        <v>24.285873310525172</v>
      </c>
      <c r="V3096" s="76">
        <f>V3095+T3096</f>
        <v>216.78349893229628</v>
      </c>
    </row>
    <row r="3097" spans="1:22" ht="19" customHeight="1">
      <c r="A3097" s="68" t="s">
        <v>376</v>
      </c>
      <c r="B3097" s="74">
        <v>4</v>
      </c>
      <c r="C3097" s="68" t="s">
        <v>363</v>
      </c>
      <c r="D3097" s="68" t="s">
        <v>364</v>
      </c>
      <c r="E3097" s="75">
        <f>60*F3097*'THAM_SO_MOI'!$C$52/(2*PI()*'THAM_SO_MOI'!$C$26)</f>
        <v>2385.0610632743187</v>
      </c>
      <c r="F3097" s="75">
        <f>'HANH_TRINH'!$F$2468+('THAM_SO_MOI'!$F$52-'HANH_TRINH'!$F$2468)*628/'THAM_SO_MOI'!$C$42</f>
        <v>15.1606883362338</v>
      </c>
      <c r="G3097" s="75">
        <f>3.6*F3097</f>
        <v>54.578478010441685</v>
      </c>
      <c r="H3097" s="75">
        <f>'THAM_SO_MOI'!$D$52</f>
        <v>1.1774754878398197</v>
      </c>
      <c r="I3097" s="75">
        <f>IF(F3097&gt;'THAM_SO_MOI'!$C$14,'THAM_SO_MOI'!$C$13*(1+F3097^2/1500),'THAM_SO_MOI'!$C$13)</f>
        <v>0.015</v>
      </c>
      <c r="J3097" s="75">
        <f>'THAM_SO_MOI'!$C$40*('THAM_SO_MOI'!$C$23*(E3097/'THAM_SO_MOI'!$C$22)+'THAM_SO_MOI'!$C$24*(E3097/'THAM_SO_MOI'!$C$22)^2-'THAM_SO_MOI'!$C$25*(E3097/'THAM_SO_MOI'!$C$22)^3)</f>
        <v>106.83241145905616</v>
      </c>
      <c r="K3097" s="75">
        <f>'THAM_SO_MOI'!$C$31*J3097/E3097</f>
        <v>427.8158271652038</v>
      </c>
      <c r="L3097" s="75">
        <f>K3097*'THAM_SO_MOI'!$C$52*'THAM_SO_MOI'!$C$17/'THAM_SO_MOI'!$C$26</f>
        <v>5990.802104435267</v>
      </c>
      <c r="M3097" s="75">
        <f>'THAM_SO_MOI'!$C$15*'THAM_SO_MOI'!$C$16*F3097^2</f>
        <v>672.3009271731156</v>
      </c>
      <c r="N3097" s="75">
        <f>'THAM_SO_MOI'!$C$12*I3097</f>
        <v>1130.112</v>
      </c>
      <c r="O3097" s="75">
        <f>M3097+N3097</f>
        <v>1802.4129271731158</v>
      </c>
      <c r="P3097" s="75">
        <f>(MIN(L3097,'THAM_SO_MOI'!$C$41)-O3097)/('THAM_SO_MOI'!$C$11*H3097)</f>
        <v>0.46316308046734106</v>
      </c>
      <c r="Q3097" s="75">
        <f>IF(P3097&gt;0,1/P3097,NA())</f>
        <v>2.1590667351788477</v>
      </c>
      <c r="R3097" s="75">
        <f>F3097-F3096</f>
        <v>0.007943393307218827</v>
      </c>
      <c r="S3097" s="75">
        <f>0.5*(Q3096+Q3097)*R3097</f>
        <v>0.017148117915591152</v>
      </c>
      <c r="T3097" s="75">
        <f>0.5*(F3096*Q3096+F3097*Q3097)*R3097</f>
        <v>0.2599091728798572</v>
      </c>
      <c r="U3097" s="76">
        <f>U3096+S3097</f>
        <v>24.303021428440765</v>
      </c>
      <c r="V3097" s="76">
        <f>V3096+T3097</f>
        <v>217.04340810517613</v>
      </c>
    </row>
    <row r="3098" spans="1:22" ht="19" customHeight="1">
      <c r="A3098" s="68" t="s">
        <v>376</v>
      </c>
      <c r="B3098" s="74">
        <v>4</v>
      </c>
      <c r="C3098" s="68" t="s">
        <v>363</v>
      </c>
      <c r="D3098" s="68" t="s">
        <v>364</v>
      </c>
      <c r="E3098" s="75">
        <f>60*F3098*'THAM_SO_MOI'!$C$52/(2*PI()*'THAM_SO_MOI'!$C$26)</f>
        <v>2386.310708255282</v>
      </c>
      <c r="F3098" s="75">
        <f>'HANH_TRINH'!$F$2468+('THAM_SO_MOI'!$F$52-'HANH_TRINH'!$F$2468)*629/'THAM_SO_MOI'!$C$42</f>
        <v>15.16863172954102</v>
      </c>
      <c r="G3098" s="75">
        <f>3.6*F3098</f>
        <v>54.60707422634767</v>
      </c>
      <c r="H3098" s="75">
        <f>'THAM_SO_MOI'!$D$52</f>
        <v>1.1774754878398197</v>
      </c>
      <c r="I3098" s="75">
        <f>IF(F3098&gt;'THAM_SO_MOI'!$C$14,'THAM_SO_MOI'!$C$13*(1+F3098^2/1500),'THAM_SO_MOI'!$C$13)</f>
        <v>0.015</v>
      </c>
      <c r="J3098" s="75">
        <f>'THAM_SO_MOI'!$C$40*('THAM_SO_MOI'!$C$23*(E3098/'THAM_SO_MOI'!$C$22)+'THAM_SO_MOI'!$C$24*(E3098/'THAM_SO_MOI'!$C$22)^2-'THAM_SO_MOI'!$C$25*(E3098/'THAM_SO_MOI'!$C$22)^3)</f>
        <v>106.88175186726265</v>
      </c>
      <c r="K3098" s="75">
        <f>'THAM_SO_MOI'!$C$31*J3098/E3098</f>
        <v>427.78927454225044</v>
      </c>
      <c r="L3098" s="75">
        <f>K3098*'THAM_SO_MOI'!$C$52*'THAM_SO_MOI'!$C$17/'THAM_SO_MOI'!$C$26</f>
        <v>5990.430282030937</v>
      </c>
      <c r="M3098" s="75">
        <f>'THAM_SO_MOI'!$C$15*'THAM_SO_MOI'!$C$16*F3098^2</f>
        <v>673.0056114983329</v>
      </c>
      <c r="N3098" s="75">
        <f>'THAM_SO_MOI'!$C$12*I3098</f>
        <v>1130.112</v>
      </c>
      <c r="O3098" s="75">
        <f>M3098+N3098</f>
        <v>1803.117611498333</v>
      </c>
      <c r="P3098" s="75">
        <f>(MIN(L3098,'THAM_SO_MOI'!$C$41)-O3098)/('THAM_SO_MOI'!$C$11*H3098)</f>
        <v>0.46304403752460116</v>
      </c>
      <c r="Q3098" s="75">
        <f>IF(P3098&gt;0,1/P3098,NA())</f>
        <v>2.1596218047551705</v>
      </c>
      <c r="R3098" s="75">
        <f>F3098-F3097</f>
        <v>0.007943393307218827</v>
      </c>
      <c r="S3098" s="75">
        <f>0.5*(Q3097+Q3098)*R3098</f>
        <v>0.017152520822037262</v>
      </c>
      <c r="T3098" s="75">
        <f>0.5*(F3097*Q3097+F3098*Q3098)*R3098</f>
        <v>0.26011215572909285</v>
      </c>
      <c r="U3098" s="76">
        <f>U3097+S3098</f>
        <v>24.320173949262802</v>
      </c>
      <c r="V3098" s="76">
        <f>V3097+T3098</f>
        <v>217.30352026090523</v>
      </c>
    </row>
    <row r="3099" spans="1:22" ht="19" customHeight="1">
      <c r="A3099" s="68" t="s">
        <v>376</v>
      </c>
      <c r="B3099" s="74">
        <v>4</v>
      </c>
      <c r="C3099" s="68" t="s">
        <v>363</v>
      </c>
      <c r="D3099" s="68" t="s">
        <v>364</v>
      </c>
      <c r="E3099" s="75">
        <f>60*F3099*'THAM_SO_MOI'!$C$52/(2*PI()*'THAM_SO_MOI'!$C$26)</f>
        <v>2387.5603532362447</v>
      </c>
      <c r="F3099" s="75">
        <f>'HANH_TRINH'!$F$2468+('THAM_SO_MOI'!$F$52-'HANH_TRINH'!$F$2468)*630/'THAM_SO_MOI'!$C$42</f>
        <v>15.176575122848238</v>
      </c>
      <c r="G3099" s="75">
        <f>3.6*F3099</f>
        <v>54.635670442253655</v>
      </c>
      <c r="H3099" s="75">
        <f>'THAM_SO_MOI'!$D$52</f>
        <v>1.1774754878398197</v>
      </c>
      <c r="I3099" s="75">
        <f>IF(F3099&gt;'THAM_SO_MOI'!$C$14,'THAM_SO_MOI'!$C$13*(1+F3099^2/1500),'THAM_SO_MOI'!$C$13)</f>
        <v>0.015</v>
      </c>
      <c r="J3099" s="75">
        <f>'THAM_SO_MOI'!$C$40*('THAM_SO_MOI'!$C$23*(E3099/'THAM_SO_MOI'!$C$22)+'THAM_SO_MOI'!$C$24*(E3099/'THAM_SO_MOI'!$C$22)^2-'THAM_SO_MOI'!$C$25*(E3099/'THAM_SO_MOI'!$C$22)^3)</f>
        <v>106.93104745576045</v>
      </c>
      <c r="K3099" s="75">
        <f>'THAM_SO_MOI'!$C$31*J3099/E3099</f>
        <v>427.7625704195696</v>
      </c>
      <c r="L3099" s="75">
        <f>K3099*'THAM_SO_MOI'!$C$52*'THAM_SO_MOI'!$C$17/'THAM_SO_MOI'!$C$26</f>
        <v>5990.056338141545</v>
      </c>
      <c r="M3099" s="75">
        <f>'THAM_SO_MOI'!$C$15*'THAM_SO_MOI'!$C$16*F3099^2</f>
        <v>673.7106649439089</v>
      </c>
      <c r="N3099" s="75">
        <f>'THAM_SO_MOI'!$C$12*I3099</f>
        <v>1130.112</v>
      </c>
      <c r="O3099" s="75">
        <f>M3099+N3099</f>
        <v>1803.8226649439089</v>
      </c>
      <c r="P3099" s="75">
        <f>(MIN(L3099,'THAM_SO_MOI'!$C$41)-O3099)/('THAM_SO_MOI'!$C$11*H3099)</f>
        <v>0.46292471916416966</v>
      </c>
      <c r="Q3099" s="75">
        <f>IF(P3099&gt;0,1/P3099,NA())</f>
        <v>2.1601784450083863</v>
      </c>
      <c r="R3099" s="75">
        <f>F3099-F3098</f>
        <v>0.007943393307218827</v>
      </c>
      <c r="S3099" s="75">
        <f>0.5*(Q3098+Q3099)*R3099</f>
        <v>0.017156936196247023</v>
      </c>
      <c r="T3099" s="75">
        <f>0.5*(F3098*Q3098+F3099*Q3099)*R3099</f>
        <v>0.26031539769483203</v>
      </c>
      <c r="U3099" s="76">
        <f>U3098+S3099</f>
        <v>24.33733088545905</v>
      </c>
      <c r="V3099" s="76">
        <f>V3098+T3099</f>
        <v>217.56383565860006</v>
      </c>
    </row>
    <row r="3100" spans="1:22" ht="19" customHeight="1">
      <c r="A3100" s="68" t="s">
        <v>376</v>
      </c>
      <c r="B3100" s="74">
        <v>4</v>
      </c>
      <c r="C3100" s="68" t="s">
        <v>363</v>
      </c>
      <c r="D3100" s="68" t="s">
        <v>364</v>
      </c>
      <c r="E3100" s="75">
        <f>60*F3100*'THAM_SO_MOI'!$C$52/(2*PI()*'THAM_SO_MOI'!$C$26)</f>
        <v>2388.8099982172084</v>
      </c>
      <c r="F3100" s="75">
        <f>'HANH_TRINH'!$F$2468+('THAM_SO_MOI'!$F$52-'HANH_TRINH'!$F$2468)*631/'THAM_SO_MOI'!$C$42</f>
        <v>15.184518516155459</v>
      </c>
      <c r="G3100" s="75">
        <f>3.6*F3100</f>
        <v>54.664266658159654</v>
      </c>
      <c r="H3100" s="75">
        <f>'THAM_SO_MOI'!$D$52</f>
        <v>1.1774754878398197</v>
      </c>
      <c r="I3100" s="75">
        <f>IF(F3100&gt;'THAM_SO_MOI'!$C$14,'THAM_SO_MOI'!$C$13*(1+F3100^2/1500),'THAM_SO_MOI'!$C$13)</f>
        <v>0.015</v>
      </c>
      <c r="J3100" s="75">
        <f>'THAM_SO_MOI'!$C$40*('THAM_SO_MOI'!$C$23*(E3100/'THAM_SO_MOI'!$C$22)+'THAM_SO_MOI'!$C$24*(E3100/'THAM_SO_MOI'!$C$22)^2-'THAM_SO_MOI'!$C$25*(E3100/'THAM_SO_MOI'!$C$22)^3)</f>
        <v>106.98029816508391</v>
      </c>
      <c r="K3100" s="75">
        <f>'THAM_SO_MOI'!$C$31*J3100/E3100</f>
        <v>427.7357147971613</v>
      </c>
      <c r="L3100" s="75">
        <f>K3100*'THAM_SO_MOI'!$C$52*'THAM_SO_MOI'!$C$17/'THAM_SO_MOI'!$C$26</f>
        <v>5989.680272767093</v>
      </c>
      <c r="M3100" s="75">
        <f>'THAM_SO_MOI'!$C$15*'THAM_SO_MOI'!$C$16*F3100^2</f>
        <v>674.4160875098438</v>
      </c>
      <c r="N3100" s="75">
        <f>'THAM_SO_MOI'!$C$12*I3100</f>
        <v>1130.112</v>
      </c>
      <c r="O3100" s="75">
        <f>M3100+N3100</f>
        <v>1804.5280875098438</v>
      </c>
      <c r="P3100" s="75">
        <f>(MIN(L3100,'THAM_SO_MOI'!$C$41)-O3100)/('THAM_SO_MOI'!$C$11*H3100)</f>
        <v>0.46280512538604673</v>
      </c>
      <c r="Q3100" s="75">
        <f>IF(P3100&gt;0,1/P3100,NA())</f>
        <v>2.1607366581471084</v>
      </c>
      <c r="R3100" s="75">
        <f>F3100-F3099</f>
        <v>0.007943393307220603</v>
      </c>
      <c r="S3100" s="75">
        <f>0.5*(Q3099+Q3100)*R3100</f>
        <v>0.017161364055736886</v>
      </c>
      <c r="T3100" s="75">
        <f>0.5*(F3099*Q3099+F3100*Q3100)*R3100</f>
        <v>0.260518899340093</v>
      </c>
      <c r="U3100" s="76">
        <f>U3099+S3100</f>
        <v>24.354492249514788</v>
      </c>
      <c r="V3100" s="76">
        <f>V3099+T3100</f>
        <v>217.82435455794015</v>
      </c>
    </row>
    <row r="3101" spans="1:22" ht="19" customHeight="1">
      <c r="A3101" s="68" t="s">
        <v>376</v>
      </c>
      <c r="B3101" s="74">
        <v>4</v>
      </c>
      <c r="C3101" s="68" t="s">
        <v>363</v>
      </c>
      <c r="D3101" s="68" t="s">
        <v>364</v>
      </c>
      <c r="E3101" s="75">
        <f>60*F3101*'THAM_SO_MOI'!$C$52/(2*PI()*'THAM_SO_MOI'!$C$26)</f>
        <v>2390.059643198172</v>
      </c>
      <c r="F3101" s="75">
        <f>'HANH_TRINH'!$F$2468+('THAM_SO_MOI'!$F$52-'HANH_TRINH'!$F$2468)*632/'THAM_SO_MOI'!$C$42</f>
        <v>15.19246190946268</v>
      </c>
      <c r="G3101" s="75">
        <f>3.6*F3101</f>
        <v>54.692862874065646</v>
      </c>
      <c r="H3101" s="75">
        <f>'THAM_SO_MOI'!$D$52</f>
        <v>1.1774754878398197</v>
      </c>
      <c r="I3101" s="75">
        <f>IF(F3101&gt;'THAM_SO_MOI'!$C$14,'THAM_SO_MOI'!$C$13*(1+F3101^2/1500),'THAM_SO_MOI'!$C$13)</f>
        <v>0.015</v>
      </c>
      <c r="J3101" s="75">
        <f>'THAM_SO_MOI'!$C$40*('THAM_SO_MOI'!$C$23*(E3101/'THAM_SO_MOI'!$C$22)+'THAM_SO_MOI'!$C$24*(E3101/'THAM_SO_MOI'!$C$22)^2-'THAM_SO_MOI'!$C$25*(E3101/'THAM_SO_MOI'!$C$22)^3)</f>
        <v>107.02950393576727</v>
      </c>
      <c r="K3101" s="75">
        <f>'THAM_SO_MOI'!$C$31*J3101/E3101</f>
        <v>427.70870767502527</v>
      </c>
      <c r="L3101" s="75">
        <f>K3101*'THAM_SO_MOI'!$C$52*'THAM_SO_MOI'!$C$17/'THAM_SO_MOI'!$C$26</f>
        <v>5989.302085907576</v>
      </c>
      <c r="M3101" s="75">
        <f>'THAM_SO_MOI'!$C$15*'THAM_SO_MOI'!$C$16*F3101^2</f>
        <v>675.1218791961377</v>
      </c>
      <c r="N3101" s="75">
        <f>'THAM_SO_MOI'!$C$12*I3101</f>
        <v>1130.112</v>
      </c>
      <c r="O3101" s="75">
        <f>M3101+N3101</f>
        <v>1805.2338791961379</v>
      </c>
      <c r="P3101" s="75">
        <f>(MIN(L3101,'THAM_SO_MOI'!$C$41)-O3101)/('THAM_SO_MOI'!$C$11*H3101)</f>
        <v>0.46268525619023193</v>
      </c>
      <c r="Q3101" s="75">
        <f>IF(P3101&gt;0,1/P3101,NA())</f>
        <v>2.1612964463878495</v>
      </c>
      <c r="R3101" s="75">
        <f>F3101-F3100</f>
        <v>0.007943393307220603</v>
      </c>
      <c r="S3101" s="75">
        <f>0.5*(Q3100+Q3101)*R3101</f>
        <v>0.017165804418074436</v>
      </c>
      <c r="T3101" s="75">
        <f>0.5*(F3100*Q3100+F3101*Q3101)*R3101</f>
        <v>0.26072266122922744</v>
      </c>
      <c r="U3101" s="76">
        <f>U3100+S3101</f>
        <v>24.37165805393286</v>
      </c>
      <c r="V3101" s="76">
        <f>V3100+T3101</f>
        <v>218.0850772191694</v>
      </c>
    </row>
    <row r="3102" spans="1:22" ht="19" customHeight="1">
      <c r="A3102" s="68" t="s">
        <v>376</v>
      </c>
      <c r="B3102" s="74">
        <v>4</v>
      </c>
      <c r="C3102" s="68" t="s">
        <v>363</v>
      </c>
      <c r="D3102" s="68" t="s">
        <v>364</v>
      </c>
      <c r="E3102" s="75">
        <f>60*F3102*'THAM_SO_MOI'!$C$52/(2*PI()*'THAM_SO_MOI'!$C$26)</f>
        <v>2391.309288179135</v>
      </c>
      <c r="F3102" s="75">
        <f>'HANH_TRINH'!$F$2468+('THAM_SO_MOI'!$F$52-'HANH_TRINH'!$F$2468)*633/'THAM_SO_MOI'!$C$42</f>
        <v>15.200405302769898</v>
      </c>
      <c r="G3102" s="75">
        <f>3.6*F3102</f>
        <v>54.72145908997163</v>
      </c>
      <c r="H3102" s="75">
        <f>'THAM_SO_MOI'!$D$52</f>
        <v>1.1774754878398197</v>
      </c>
      <c r="I3102" s="75">
        <f>IF(F3102&gt;'THAM_SO_MOI'!$C$14,'THAM_SO_MOI'!$C$13*(1+F3102^2/1500),'THAM_SO_MOI'!$C$13)</f>
        <v>0.015</v>
      </c>
      <c r="J3102" s="75">
        <f>'THAM_SO_MOI'!$C$40*('THAM_SO_MOI'!$C$23*(E3102/'THAM_SO_MOI'!$C$22)+'THAM_SO_MOI'!$C$24*(E3102/'THAM_SO_MOI'!$C$22)^2-'THAM_SO_MOI'!$C$25*(E3102/'THAM_SO_MOI'!$C$22)^3)</f>
        <v>107.07866470834492</v>
      </c>
      <c r="K3102" s="75">
        <f>'THAM_SO_MOI'!$C$31*J3102/E3102</f>
        <v>427.68154905316214</v>
      </c>
      <c r="L3102" s="75">
        <f>K3102*'THAM_SO_MOI'!$C$52*'THAM_SO_MOI'!$C$17/'THAM_SO_MOI'!$C$26</f>
        <v>5988.921777563003</v>
      </c>
      <c r="M3102" s="75">
        <f>'THAM_SO_MOI'!$C$15*'THAM_SO_MOI'!$C$16*F3102^2</f>
        <v>675.8280400027902</v>
      </c>
      <c r="N3102" s="75">
        <f>'THAM_SO_MOI'!$C$12*I3102</f>
        <v>1130.112</v>
      </c>
      <c r="O3102" s="75">
        <f>M3102+N3102</f>
        <v>1805.9400400027903</v>
      </c>
      <c r="P3102" s="75">
        <f>(MIN(L3102,'THAM_SO_MOI'!$C$41)-O3102)/('THAM_SO_MOI'!$C$11*H3102)</f>
        <v>0.4625651115767261</v>
      </c>
      <c r="Q3102" s="75">
        <f>IF(P3102&gt;0,1/P3102,NA())</f>
        <v>2.16185781195504</v>
      </c>
      <c r="R3102" s="75">
        <f>F3102-F3101</f>
        <v>0.007943393307218827</v>
      </c>
      <c r="S3102" s="75">
        <f>0.5*(Q3101+Q3102)*R3102</f>
        <v>0.01717025730089774</v>
      </c>
      <c r="T3102" s="75">
        <f>0.5*(F3101*Q3101+F3102*Q3102)*R3102</f>
        <v>0.26092668392821655</v>
      </c>
      <c r="U3102" s="76">
        <f>U3101+S3102</f>
        <v>24.38882831123376</v>
      </c>
      <c r="V3102" s="76">
        <f>V3101+T3102</f>
        <v>218.3460039030976</v>
      </c>
    </row>
    <row r="3103" spans="1:22" ht="19" customHeight="1">
      <c r="A3103" s="68" t="s">
        <v>376</v>
      </c>
      <c r="B3103" s="74">
        <v>4</v>
      </c>
      <c r="C3103" s="68" t="s">
        <v>363</v>
      </c>
      <c r="D3103" s="68" t="s">
        <v>364</v>
      </c>
      <c r="E3103" s="75">
        <f>60*F3103*'THAM_SO_MOI'!$C$52/(2*PI()*'THAM_SO_MOI'!$C$26)</f>
        <v>2392.558933160098</v>
      </c>
      <c r="F3103" s="75">
        <f>'HANH_TRINH'!$F$2468+('THAM_SO_MOI'!$F$52-'HANH_TRINH'!$F$2468)*634/'THAM_SO_MOI'!$C$42</f>
        <v>15.208348696077117</v>
      </c>
      <c r="G3103" s="75">
        <f>3.6*F3103</f>
        <v>54.75005530587762</v>
      </c>
      <c r="H3103" s="75">
        <f>'THAM_SO_MOI'!$D$52</f>
        <v>1.1774754878398197</v>
      </c>
      <c r="I3103" s="75">
        <f>IF(F3103&gt;'THAM_SO_MOI'!$C$14,'THAM_SO_MOI'!$C$13*(1+F3103^2/1500),'THAM_SO_MOI'!$C$13)</f>
        <v>0.015</v>
      </c>
      <c r="J3103" s="75">
        <f>'THAM_SO_MOI'!$C$40*('THAM_SO_MOI'!$C$23*(E3103/'THAM_SO_MOI'!$C$22)+'THAM_SO_MOI'!$C$24*(E3103/'THAM_SO_MOI'!$C$22)^2-'THAM_SO_MOI'!$C$25*(E3103/'THAM_SO_MOI'!$C$22)^3)</f>
        <v>107.1277804233511</v>
      </c>
      <c r="K3103" s="75">
        <f>'THAM_SO_MOI'!$C$31*J3103/E3103</f>
        <v>427.6542389315713</v>
      </c>
      <c r="L3103" s="75">
        <f>K3103*'THAM_SO_MOI'!$C$52*'THAM_SO_MOI'!$C$17/'THAM_SO_MOI'!$C$26</f>
        <v>5988.539347733366</v>
      </c>
      <c r="M3103" s="75">
        <f>'THAM_SO_MOI'!$C$15*'THAM_SO_MOI'!$C$16*F3103^2</f>
        <v>676.5345699298014</v>
      </c>
      <c r="N3103" s="75">
        <f>'THAM_SO_MOI'!$C$12*I3103</f>
        <v>1130.112</v>
      </c>
      <c r="O3103" s="75">
        <f>M3103+N3103</f>
        <v>1806.6465699298014</v>
      </c>
      <c r="P3103" s="75">
        <f>(MIN(L3103,'THAM_SO_MOI'!$C$41)-O3103)/('THAM_SO_MOI'!$C$11*H3103)</f>
        <v>0.4624446915455283</v>
      </c>
      <c r="Q3103" s="75">
        <f>IF(P3103&gt;0,1/P3103,NA())</f>
        <v>2.162420757081063</v>
      </c>
      <c r="R3103" s="75">
        <f>F3103-F3102</f>
        <v>0.007943393307218827</v>
      </c>
      <c r="S3103" s="75">
        <f>0.5*(Q3102+Q3103)*R3103</f>
        <v>0.017174722721915593</v>
      </c>
      <c r="T3103" s="75">
        <f>0.5*(F3102*Q3102+F3103*Q3103)*R3103</f>
        <v>0.26113096800467683</v>
      </c>
      <c r="U3103" s="76">
        <f>U3102+S3103</f>
        <v>24.406003033955674</v>
      </c>
      <c r="V3103" s="76">
        <f>V3102+T3103</f>
        <v>218.60713487110226</v>
      </c>
    </row>
    <row r="3104" spans="1:22" ht="19" customHeight="1">
      <c r="A3104" s="68" t="s">
        <v>376</v>
      </c>
      <c r="B3104" s="74">
        <v>4</v>
      </c>
      <c r="C3104" s="68" t="s">
        <v>363</v>
      </c>
      <c r="D3104" s="68" t="s">
        <v>364</v>
      </c>
      <c r="E3104" s="75">
        <f>60*F3104*'THAM_SO_MOI'!$C$52/(2*PI()*'THAM_SO_MOI'!$C$26)</f>
        <v>2393.8085781410614</v>
      </c>
      <c r="F3104" s="75">
        <f>'HANH_TRINH'!$F$2468+('THAM_SO_MOI'!$F$52-'HANH_TRINH'!$F$2468)*635/'THAM_SO_MOI'!$C$42</f>
        <v>15.216292089384336</v>
      </c>
      <c r="G3104" s="75">
        <f>3.6*F3104</f>
        <v>54.77865152178361</v>
      </c>
      <c r="H3104" s="75">
        <f>'THAM_SO_MOI'!$D$52</f>
        <v>1.1774754878398197</v>
      </c>
      <c r="I3104" s="75">
        <f>IF(F3104&gt;'THAM_SO_MOI'!$C$14,'THAM_SO_MOI'!$C$13*(1+F3104^2/1500),'THAM_SO_MOI'!$C$13)</f>
        <v>0.015</v>
      </c>
      <c r="J3104" s="75">
        <f>'THAM_SO_MOI'!$C$40*('THAM_SO_MOI'!$C$23*(E3104/'THAM_SO_MOI'!$C$22)+'THAM_SO_MOI'!$C$24*(E3104/'THAM_SO_MOI'!$C$22)^2-'THAM_SO_MOI'!$C$25*(E3104/'THAM_SO_MOI'!$C$22)^3)</f>
        <v>107.17685102132022</v>
      </c>
      <c r="K3104" s="75">
        <f>'THAM_SO_MOI'!$C$31*J3104/E3104</f>
        <v>427.6267773102532</v>
      </c>
      <c r="L3104" s="75">
        <f>K3104*'THAM_SO_MOI'!$C$52*'THAM_SO_MOI'!$C$17/'THAM_SO_MOI'!$C$26</f>
        <v>5988.154796418671</v>
      </c>
      <c r="M3104" s="75">
        <f>'THAM_SO_MOI'!$C$15*'THAM_SO_MOI'!$C$16*F3104^2</f>
        <v>677.2414689771714</v>
      </c>
      <c r="N3104" s="75">
        <f>'THAM_SO_MOI'!$C$12*I3104</f>
        <v>1130.112</v>
      </c>
      <c r="O3104" s="75">
        <f>M3104+N3104</f>
        <v>1807.3534689771714</v>
      </c>
      <c r="P3104" s="75">
        <f>(MIN(L3104,'THAM_SO_MOI'!$C$41)-O3104)/('THAM_SO_MOI'!$C$11*H3104)</f>
        <v>0.4623239960966394</v>
      </c>
      <c r="Q3104" s="75">
        <f>IF(P3104&gt;0,1/P3104,NA())</f>
        <v>2.162985284006263</v>
      </c>
      <c r="R3104" s="75">
        <f>F3104-F3103</f>
        <v>0.007943393307218827</v>
      </c>
      <c r="S3104" s="75">
        <f>0.5*(Q3103+Q3104)*R3104</f>
        <v>0.017179200698888477</v>
      </c>
      <c r="T3104" s="75">
        <f>0.5*(F3103*Q3103+F3104*Q3104)*R3104</f>
        <v>0.2613355140275741</v>
      </c>
      <c r="U3104" s="76">
        <f>U3103+S3104</f>
        <v>24.42318223465456</v>
      </c>
      <c r="V3104" s="76">
        <f>V3103+T3104</f>
        <v>218.86847038512983</v>
      </c>
    </row>
    <row r="3105" spans="1:22" ht="19" customHeight="1">
      <c r="A3105" s="68" t="s">
        <v>376</v>
      </c>
      <c r="B3105" s="74">
        <v>4</v>
      </c>
      <c r="C3105" s="68" t="s">
        <v>363</v>
      </c>
      <c r="D3105" s="68" t="s">
        <v>364</v>
      </c>
      <c r="E3105" s="75">
        <f>60*F3105*'THAM_SO_MOI'!$C$52/(2*PI()*'THAM_SO_MOI'!$C$26)</f>
        <v>2395.0582231220246</v>
      </c>
      <c r="F3105" s="75">
        <f>'HANH_TRINH'!$F$2468+('THAM_SO_MOI'!$F$52-'HANH_TRINH'!$F$2468)*636/'THAM_SO_MOI'!$C$42</f>
        <v>15.224235482691554</v>
      </c>
      <c r="G3105" s="75">
        <f>3.6*F3105</f>
        <v>54.8072477376896</v>
      </c>
      <c r="H3105" s="75">
        <f>'THAM_SO_MOI'!$D$52</f>
        <v>1.1774754878398197</v>
      </c>
      <c r="I3105" s="75">
        <f>IF(F3105&gt;'THAM_SO_MOI'!$C$14,'THAM_SO_MOI'!$C$13*(1+F3105^2/1500),'THAM_SO_MOI'!$C$13)</f>
        <v>0.015</v>
      </c>
      <c r="J3105" s="75">
        <f>'THAM_SO_MOI'!$C$40*('THAM_SO_MOI'!$C$23*(E3105/'THAM_SO_MOI'!$C$22)+'THAM_SO_MOI'!$C$24*(E3105/'THAM_SO_MOI'!$C$22)^2-'THAM_SO_MOI'!$C$25*(E3105/'THAM_SO_MOI'!$C$22)^3)</f>
        <v>107.22587644278647</v>
      </c>
      <c r="K3105" s="75">
        <f>'THAM_SO_MOI'!$C$31*J3105/E3105</f>
        <v>427.5991641892074</v>
      </c>
      <c r="L3105" s="75">
        <f>K3105*'THAM_SO_MOI'!$C$52*'THAM_SO_MOI'!$C$17/'THAM_SO_MOI'!$C$26</f>
        <v>5987.768123618912</v>
      </c>
      <c r="M3105" s="75">
        <f>'THAM_SO_MOI'!$C$15*'THAM_SO_MOI'!$C$16*F3105^2</f>
        <v>677.9487371449004</v>
      </c>
      <c r="N3105" s="75">
        <f>'THAM_SO_MOI'!$C$12*I3105</f>
        <v>1130.112</v>
      </c>
      <c r="O3105" s="75">
        <f>M3105+N3105</f>
        <v>1808.0607371449005</v>
      </c>
      <c r="P3105" s="75">
        <f>(MIN(L3105,'THAM_SO_MOI'!$C$41)-O3105)/('THAM_SO_MOI'!$C$11*H3105)</f>
        <v>0.4622030252300585</v>
      </c>
      <c r="Q3105" s="75">
        <f>IF(P3105&gt;0,1/P3105,NA())</f>
        <v>2.1635513949789846</v>
      </c>
      <c r="R3105" s="75">
        <f>F3105-F3104</f>
        <v>0.007943393307218827</v>
      </c>
      <c r="S3105" s="75">
        <f>0.5*(Q3104+Q3105)*R3105</f>
        <v>0.01718369124964409</v>
      </c>
      <c r="T3105" s="75">
        <f>0.5*(F3104*Q3104+F3105*Q3105)*R3105</f>
        <v>0.2615403225674615</v>
      </c>
      <c r="U3105" s="76">
        <f>U3104+S3105</f>
        <v>24.440365925904207</v>
      </c>
      <c r="V3105" s="76">
        <f>V3104+T3105</f>
        <v>219.1300107076973</v>
      </c>
    </row>
    <row r="3106" spans="1:22" ht="19" customHeight="1">
      <c r="A3106" s="68" t="s">
        <v>376</v>
      </c>
      <c r="B3106" s="74">
        <v>4</v>
      </c>
      <c r="C3106" s="68" t="s">
        <v>363</v>
      </c>
      <c r="D3106" s="68" t="s">
        <v>364</v>
      </c>
      <c r="E3106" s="75">
        <f>60*F3106*'THAM_SO_MOI'!$C$52/(2*PI()*'THAM_SO_MOI'!$C$26)</f>
        <v>2396.307868102988</v>
      </c>
      <c r="F3106" s="75">
        <f>'HANH_TRINH'!$F$2468+('THAM_SO_MOI'!$F$52-'HANH_TRINH'!$F$2468)*637/'THAM_SO_MOI'!$C$42</f>
        <v>15.232178875998775</v>
      </c>
      <c r="G3106" s="75">
        <f>3.6*F3106</f>
        <v>54.83584395359559</v>
      </c>
      <c r="H3106" s="75">
        <f>'THAM_SO_MOI'!$D$52</f>
        <v>1.1774754878398197</v>
      </c>
      <c r="I3106" s="75">
        <f>IF(F3106&gt;'THAM_SO_MOI'!$C$14,'THAM_SO_MOI'!$C$13*(1+F3106^2/1500),'THAM_SO_MOI'!$C$13)</f>
        <v>0.015</v>
      </c>
      <c r="J3106" s="75">
        <f>'THAM_SO_MOI'!$C$40*('THAM_SO_MOI'!$C$23*(E3106/'THAM_SO_MOI'!$C$22)+'THAM_SO_MOI'!$C$24*(E3106/'THAM_SO_MOI'!$C$22)^2-'THAM_SO_MOI'!$C$25*(E3106/'THAM_SO_MOI'!$C$22)^3)</f>
        <v>107.2748566282843</v>
      </c>
      <c r="K3106" s="75">
        <f>'THAM_SO_MOI'!$C$31*J3106/E3106</f>
        <v>427.57139956843434</v>
      </c>
      <c r="L3106" s="75">
        <f>K3106*'THAM_SO_MOI'!$C$52*'THAM_SO_MOI'!$C$17/'THAM_SO_MOI'!$C$26</f>
        <v>5987.379329334095</v>
      </c>
      <c r="M3106" s="75">
        <f>'THAM_SO_MOI'!$C$15*'THAM_SO_MOI'!$C$16*F3106^2</f>
        <v>678.6563744329883</v>
      </c>
      <c r="N3106" s="75">
        <f>'THAM_SO_MOI'!$C$12*I3106</f>
        <v>1130.112</v>
      </c>
      <c r="O3106" s="75">
        <f>M3106+N3106</f>
        <v>1808.7683744329884</v>
      </c>
      <c r="P3106" s="75">
        <f>(MIN(L3106,'THAM_SO_MOI'!$C$41)-O3106)/('THAM_SO_MOI'!$C$11*H3106)</f>
        <v>0.4620817789457864</v>
      </c>
      <c r="Q3106" s="75">
        <f>IF(P3106&gt;0,1/P3106,NA())</f>
        <v>2.1641190922555826</v>
      </c>
      <c r="R3106" s="75">
        <f>F3106-F3105</f>
        <v>0.007943393307220603</v>
      </c>
      <c r="S3106" s="75">
        <f>0.5*(Q3105+Q3106)*R3106</f>
        <v>0.017188194392077593</v>
      </c>
      <c r="T3106" s="75">
        <f>0.5*(F3105*Q3105+F3106*Q3106)*R3106</f>
        <v>0.2617453941964857</v>
      </c>
      <c r="U3106" s="76">
        <f>U3105+S3106</f>
        <v>24.457554120296283</v>
      </c>
      <c r="V3106" s="76">
        <f>V3105+T3106</f>
        <v>219.39175610189378</v>
      </c>
    </row>
    <row r="3107" spans="1:22" ht="19" customHeight="1">
      <c r="A3107" s="68" t="s">
        <v>376</v>
      </c>
      <c r="B3107" s="74">
        <v>4</v>
      </c>
      <c r="C3107" s="68" t="s">
        <v>363</v>
      </c>
      <c r="D3107" s="68" t="s">
        <v>364</v>
      </c>
      <c r="E3107" s="75">
        <f>60*F3107*'THAM_SO_MOI'!$C$52/(2*PI()*'THAM_SO_MOI'!$C$26)</f>
        <v>2397.557513083951</v>
      </c>
      <c r="F3107" s="75">
        <f>'HANH_TRINH'!$F$2468+('THAM_SO_MOI'!$F$52-'HANH_TRINH'!$F$2468)*638/'THAM_SO_MOI'!$C$42</f>
        <v>15.240122269305994</v>
      </c>
      <c r="G3107" s="75">
        <f>3.6*F3107</f>
        <v>54.86444016950158</v>
      </c>
      <c r="H3107" s="75">
        <f>'THAM_SO_MOI'!$D$52</f>
        <v>1.1774754878398197</v>
      </c>
      <c r="I3107" s="75">
        <f>IF(F3107&gt;'THAM_SO_MOI'!$C$14,'THAM_SO_MOI'!$C$13*(1+F3107^2/1500),'THAM_SO_MOI'!$C$13)</f>
        <v>0.015</v>
      </c>
      <c r="J3107" s="75">
        <f>'THAM_SO_MOI'!$C$40*('THAM_SO_MOI'!$C$23*(E3107/'THAM_SO_MOI'!$C$22)+'THAM_SO_MOI'!$C$24*(E3107/'THAM_SO_MOI'!$C$22)^2-'THAM_SO_MOI'!$C$25*(E3107/'THAM_SO_MOI'!$C$22)^3)</f>
        <v>107.32379151834789</v>
      </c>
      <c r="K3107" s="75">
        <f>'THAM_SO_MOI'!$C$31*J3107/E3107</f>
        <v>427.5434834479336</v>
      </c>
      <c r="L3107" s="75">
        <f>K3107*'THAM_SO_MOI'!$C$52*'THAM_SO_MOI'!$C$17/'THAM_SO_MOI'!$C$26</f>
        <v>5986.988413564215</v>
      </c>
      <c r="M3107" s="75">
        <f>'THAM_SO_MOI'!$C$15*'THAM_SO_MOI'!$C$16*F3107^2</f>
        <v>679.3643808414347</v>
      </c>
      <c r="N3107" s="75">
        <f>'THAM_SO_MOI'!$C$12*I3107</f>
        <v>1130.112</v>
      </c>
      <c r="O3107" s="75">
        <f>M3107+N3107</f>
        <v>1809.4763808414348</v>
      </c>
      <c r="P3107" s="75">
        <f>(MIN(L3107,'THAM_SO_MOI'!$C$41)-O3107)/('THAM_SO_MOI'!$C$11*H3107)</f>
        <v>0.4619602572438227</v>
      </c>
      <c r="Q3107" s="75">
        <f>IF(P3107&gt;0,1/P3107,NA())</f>
        <v>2.164688378100456</v>
      </c>
      <c r="R3107" s="75">
        <f>F3107-F3106</f>
        <v>0.007943393307218827</v>
      </c>
      <c r="S3107" s="75">
        <f>0.5*(Q3106+Q3107)*R3107</f>
        <v>0.017192710144132504</v>
      </c>
      <c r="T3107" s="75">
        <f>0.5*(F3106*Q3106+F3107*Q3107)*R3107</f>
        <v>0.261950729488099</v>
      </c>
      <c r="U3107" s="76">
        <f>U3106+S3107</f>
        <v>24.474746830440417</v>
      </c>
      <c r="V3107" s="76">
        <f>V3106+T3107</f>
        <v>219.65370683138187</v>
      </c>
    </row>
    <row r="3108" spans="1:22" ht="19" customHeight="1">
      <c r="A3108" s="68" t="s">
        <v>376</v>
      </c>
      <c r="B3108" s="74">
        <v>4</v>
      </c>
      <c r="C3108" s="68" t="s">
        <v>363</v>
      </c>
      <c r="D3108" s="68" t="s">
        <v>364</v>
      </c>
      <c r="E3108" s="75">
        <f>60*F3108*'THAM_SO_MOI'!$C$52/(2*PI()*'THAM_SO_MOI'!$C$26)</f>
        <v>2398.8071580649143</v>
      </c>
      <c r="F3108" s="75">
        <f>'HANH_TRINH'!$F$2468+('THAM_SO_MOI'!$F$52-'HANH_TRINH'!$F$2468)*639/'THAM_SO_MOI'!$C$42</f>
        <v>15.248065662613214</v>
      </c>
      <c r="G3108" s="75">
        <f>3.6*F3108</f>
        <v>54.89303638540758</v>
      </c>
      <c r="H3108" s="75">
        <f>'THAM_SO_MOI'!$D$52</f>
        <v>1.1774754878398197</v>
      </c>
      <c r="I3108" s="75">
        <f>IF(F3108&gt;'THAM_SO_MOI'!$C$14,'THAM_SO_MOI'!$C$13*(1+F3108^2/1500),'THAM_SO_MOI'!$C$13)</f>
        <v>0.015</v>
      </c>
      <c r="J3108" s="75">
        <f>'THAM_SO_MOI'!$C$40*('THAM_SO_MOI'!$C$23*(E3108/'THAM_SO_MOI'!$C$22)+'THAM_SO_MOI'!$C$24*(E3108/'THAM_SO_MOI'!$C$22)^2-'THAM_SO_MOI'!$C$25*(E3108/'THAM_SO_MOI'!$C$22)^3)</f>
        <v>107.37268105351161</v>
      </c>
      <c r="K3108" s="75">
        <f>'THAM_SO_MOI'!$C$31*J3108/E3108</f>
        <v>427.5154158277054</v>
      </c>
      <c r="L3108" s="75">
        <f>K3108*'THAM_SO_MOI'!$C$52*'THAM_SO_MOI'!$C$17/'THAM_SO_MOI'!$C$26</f>
        <v>5986.595376309273</v>
      </c>
      <c r="M3108" s="75">
        <f>'THAM_SO_MOI'!$C$15*'THAM_SO_MOI'!$C$16*F3108^2</f>
        <v>680.0727563702403</v>
      </c>
      <c r="N3108" s="75">
        <f>'THAM_SO_MOI'!$C$12*I3108</f>
        <v>1130.112</v>
      </c>
      <c r="O3108" s="75">
        <f>M3108+N3108</f>
        <v>1810.1847563702404</v>
      </c>
      <c r="P3108" s="75">
        <f>(MIN(L3108,'THAM_SO_MOI'!$C$41)-O3108)/('THAM_SO_MOI'!$C$11*H3108)</f>
        <v>0.46183846012416724</v>
      </c>
      <c r="Q3108" s="75">
        <f>IF(P3108&gt;0,1/P3108,NA())</f>
        <v>2.165259254786069</v>
      </c>
      <c r="R3108" s="75">
        <f>F3108-F3107</f>
        <v>0.007943393307220603</v>
      </c>
      <c r="S3108" s="75">
        <f>0.5*(Q3107+Q3108)*R3108</f>
        <v>0.017197238523843254</v>
      </c>
      <c r="T3108" s="75">
        <f>0.5*(F3107*Q3107+F3108*Q3108)*R3108</f>
        <v>0.2621563290177096</v>
      </c>
      <c r="U3108" s="76">
        <f>U3107+S3108</f>
        <v>24.49194406896426</v>
      </c>
      <c r="V3108" s="76">
        <f>V3107+T3108</f>
        <v>219.91586316039957</v>
      </c>
    </row>
    <row r="3109" spans="1:22" ht="19" customHeight="1">
      <c r="A3109" s="68" t="s">
        <v>376</v>
      </c>
      <c r="B3109" s="74">
        <v>4</v>
      </c>
      <c r="C3109" s="68" t="s">
        <v>363</v>
      </c>
      <c r="D3109" s="68" t="s">
        <v>364</v>
      </c>
      <c r="E3109" s="75">
        <f>60*F3109*'THAM_SO_MOI'!$C$52/(2*PI()*'THAM_SO_MOI'!$C$26)</f>
        <v>2400.056803045878</v>
      </c>
      <c r="F3109" s="75">
        <f>'HANH_TRINH'!$F$2468+('THAM_SO_MOI'!$F$52-'HANH_TRINH'!$F$2468)*640/'THAM_SO_MOI'!$C$42</f>
        <v>15.256009055920433</v>
      </c>
      <c r="G3109" s="75">
        <f>3.6*F3109</f>
        <v>54.92163260131356</v>
      </c>
      <c r="H3109" s="75">
        <f>'THAM_SO_MOI'!$D$52</f>
        <v>1.1774754878398197</v>
      </c>
      <c r="I3109" s="75">
        <f>IF(F3109&gt;'THAM_SO_MOI'!$C$14,'THAM_SO_MOI'!$C$13*(1+F3109^2/1500),'THAM_SO_MOI'!$C$13)</f>
        <v>0.015</v>
      </c>
      <c r="J3109" s="75">
        <f>'THAM_SO_MOI'!$C$40*('THAM_SO_MOI'!$C$23*(E3109/'THAM_SO_MOI'!$C$22)+'THAM_SO_MOI'!$C$24*(E3109/'THAM_SO_MOI'!$C$22)^2-'THAM_SO_MOI'!$C$25*(E3109/'THAM_SO_MOI'!$C$22)^3)</f>
        <v>107.42152517430983</v>
      </c>
      <c r="K3109" s="75">
        <f>'THAM_SO_MOI'!$C$31*J3109/E3109</f>
        <v>427.48719670774983</v>
      </c>
      <c r="L3109" s="75">
        <f>K3109*'THAM_SO_MOI'!$C$52*'THAM_SO_MOI'!$C$17/'THAM_SO_MOI'!$C$26</f>
        <v>5986.200217569272</v>
      </c>
      <c r="M3109" s="75">
        <f>'THAM_SO_MOI'!$C$15*'THAM_SO_MOI'!$C$16*F3109^2</f>
        <v>680.7815010194045</v>
      </c>
      <c r="N3109" s="75">
        <f>'THAM_SO_MOI'!$C$12*I3109</f>
        <v>1130.112</v>
      </c>
      <c r="O3109" s="75">
        <f>M3109+N3109</f>
        <v>1810.8935010194045</v>
      </c>
      <c r="P3109" s="75">
        <f>(MIN(L3109,'THAM_SO_MOI'!$C$41)-O3109)/('THAM_SO_MOI'!$C$11*H3109)</f>
        <v>0.4617163875868205</v>
      </c>
      <c r="Q3109" s="75">
        <f>IF(P3109&gt;0,1/P3109,NA())</f>
        <v>2.165831724592971</v>
      </c>
      <c r="R3109" s="75">
        <f>F3109-F3108</f>
        <v>0.007943393307218827</v>
      </c>
      <c r="S3109" s="75">
        <f>0.5*(Q3108+Q3109)*R3109</f>
        <v>0.017201779549277648</v>
      </c>
      <c r="T3109" s="75">
        <f>0.5*(F3108*Q3108+F3109*Q3109)*R3109</f>
        <v>0.26236219336180777</v>
      </c>
      <c r="U3109" s="76">
        <f>U3108+S3109</f>
        <v>24.509145848513537</v>
      </c>
      <c r="V3109" s="76">
        <f>V3108+T3109</f>
        <v>220.17822535376138</v>
      </c>
    </row>
    <row r="3110" spans="1:22" ht="19" customHeight="1">
      <c r="A3110" s="68" t="s">
        <v>376</v>
      </c>
      <c r="B3110" s="74">
        <v>4</v>
      </c>
      <c r="C3110" s="68" t="s">
        <v>363</v>
      </c>
      <c r="D3110" s="68" t="s">
        <v>364</v>
      </c>
      <c r="E3110" s="75">
        <f>60*F3110*'THAM_SO_MOI'!$C$52/(2*PI()*'THAM_SO_MOI'!$C$26)</f>
        <v>2401.3064480268413</v>
      </c>
      <c r="F3110" s="75">
        <f>'HANH_TRINH'!$F$2468+('THAM_SO_MOI'!$F$52-'HANH_TRINH'!$F$2468)*641/'THAM_SO_MOI'!$C$42</f>
        <v>15.263952449227652</v>
      </c>
      <c r="G3110" s="75">
        <f>3.6*F3110</f>
        <v>54.950228817219546</v>
      </c>
      <c r="H3110" s="75">
        <f>'THAM_SO_MOI'!$D$52</f>
        <v>1.1774754878398197</v>
      </c>
      <c r="I3110" s="75">
        <f>IF(F3110&gt;'THAM_SO_MOI'!$C$14,'THAM_SO_MOI'!$C$13*(1+F3110^2/1500),'THAM_SO_MOI'!$C$13)</f>
        <v>0.015</v>
      </c>
      <c r="J3110" s="75">
        <f>'THAM_SO_MOI'!$C$40*('THAM_SO_MOI'!$C$23*(E3110/'THAM_SO_MOI'!$C$22)+'THAM_SO_MOI'!$C$24*(E3110/'THAM_SO_MOI'!$C$22)^2-'THAM_SO_MOI'!$C$25*(E3110/'THAM_SO_MOI'!$C$22)^3)</f>
        <v>107.47032382127679</v>
      </c>
      <c r="K3110" s="75">
        <f>'THAM_SO_MOI'!$C$31*J3110/E3110</f>
        <v>427.45882608806676</v>
      </c>
      <c r="L3110" s="75">
        <f>K3110*'THAM_SO_MOI'!$C$52*'THAM_SO_MOI'!$C$17/'THAM_SO_MOI'!$C$26</f>
        <v>5985.802937344209</v>
      </c>
      <c r="M3110" s="75">
        <f>'THAM_SO_MOI'!$C$15*'THAM_SO_MOI'!$C$16*F3110^2</f>
        <v>681.4906147889274</v>
      </c>
      <c r="N3110" s="75">
        <f>'THAM_SO_MOI'!$C$12*I3110</f>
        <v>1130.112</v>
      </c>
      <c r="O3110" s="75">
        <f>M3110+N3110</f>
        <v>1811.6026147889274</v>
      </c>
      <c r="P3110" s="75">
        <f>(MIN(L3110,'THAM_SO_MOI'!$C$41)-O3110)/('THAM_SO_MOI'!$C$11*H3110)</f>
        <v>0.46159403963178197</v>
      </c>
      <c r="Q3110" s="75">
        <f>IF(P3110&gt;0,1/P3110,NA())</f>
        <v>2.166405789809829</v>
      </c>
      <c r="R3110" s="75">
        <f>F3110-F3109</f>
        <v>0.007943393307218827</v>
      </c>
      <c r="S3110" s="75">
        <f>0.5*(Q3109+Q3110)*R3110</f>
        <v>0.017206333238594763</v>
      </c>
      <c r="T3110" s="75">
        <f>0.5*(F3109*Q3109+F3110*Q3110)*R3110</f>
        <v>0.26256832309885064</v>
      </c>
      <c r="U3110" s="76">
        <f>U3109+S3110</f>
        <v>24.52635218175213</v>
      </c>
      <c r="V3110" s="76">
        <f>V3109+T3110</f>
        <v>220.44079367686024</v>
      </c>
    </row>
    <row r="3111" spans="1:22" ht="19" customHeight="1">
      <c r="A3111" s="68" t="s">
        <v>376</v>
      </c>
      <c r="B3111" s="74">
        <v>4</v>
      </c>
      <c r="C3111" s="68" t="s">
        <v>363</v>
      </c>
      <c r="D3111" s="68" t="s">
        <v>364</v>
      </c>
      <c r="E3111" s="75">
        <f>60*F3111*'THAM_SO_MOI'!$C$52/(2*PI()*'THAM_SO_MOI'!$C$26)</f>
        <v>2402.5560930078045</v>
      </c>
      <c r="F3111" s="75">
        <f>'HANH_TRINH'!$F$2468+('THAM_SO_MOI'!$F$52-'HANH_TRINH'!$F$2468)*642/'THAM_SO_MOI'!$C$42</f>
        <v>15.271895842534873</v>
      </c>
      <c r="G3111" s="75">
        <f>3.6*F3111</f>
        <v>54.978825033125545</v>
      </c>
      <c r="H3111" s="75">
        <f>'THAM_SO_MOI'!$D$52</f>
        <v>1.1774754878398197</v>
      </c>
      <c r="I3111" s="75">
        <f>IF(F3111&gt;'THAM_SO_MOI'!$C$14,'THAM_SO_MOI'!$C$13*(1+F3111^2/1500),'THAM_SO_MOI'!$C$13)</f>
        <v>0.015</v>
      </c>
      <c r="J3111" s="75">
        <f>'THAM_SO_MOI'!$C$40*('THAM_SO_MOI'!$C$23*(E3111/'THAM_SO_MOI'!$C$22)+'THAM_SO_MOI'!$C$24*(E3111/'THAM_SO_MOI'!$C$22)^2-'THAM_SO_MOI'!$C$25*(E3111/'THAM_SO_MOI'!$C$22)^3)</f>
        <v>107.51907693494682</v>
      </c>
      <c r="K3111" s="75">
        <f>'THAM_SO_MOI'!$C$31*J3111/E3111</f>
        <v>427.43030396865623</v>
      </c>
      <c r="L3111" s="75">
        <f>K3111*'THAM_SO_MOI'!$C$52*'THAM_SO_MOI'!$C$17/'THAM_SO_MOI'!$C$26</f>
        <v>5985.4035356340855</v>
      </c>
      <c r="M3111" s="75">
        <f>'THAM_SO_MOI'!$C$15*'THAM_SO_MOI'!$C$16*F3111^2</f>
        <v>682.2000976788094</v>
      </c>
      <c r="N3111" s="75">
        <f>'THAM_SO_MOI'!$C$12*I3111</f>
        <v>1130.112</v>
      </c>
      <c r="O3111" s="75">
        <f>M3111+N3111</f>
        <v>1812.3120976788096</v>
      </c>
      <c r="P3111" s="75">
        <f>(MIN(L3111,'THAM_SO_MOI'!$C$41)-O3111)/('THAM_SO_MOI'!$C$11*H3111)</f>
        <v>0.46147141625905214</v>
      </c>
      <c r="Q3111" s="75">
        <f>IF(P3111&gt;0,1/P3111,NA())</f>
        <v>2.1669814527334426</v>
      </c>
      <c r="R3111" s="75">
        <f>F3111-F3110</f>
        <v>0.007943393307220603</v>
      </c>
      <c r="S3111" s="75">
        <f>0.5*(Q3110+Q3111)*R3111</f>
        <v>0.017210899610006682</v>
      </c>
      <c r="T3111" s="75">
        <f>0.5*(F3110*Q3110+F3111*Q3111)*R3111</f>
        <v>0.2627747188086819</v>
      </c>
      <c r="U3111" s="76">
        <f>U3110+S3111</f>
        <v>24.543563081362137</v>
      </c>
      <c r="V3111" s="76">
        <f>V3110+T3111</f>
        <v>220.70356839566892</v>
      </c>
    </row>
    <row r="3112" spans="1:22" ht="19" customHeight="1">
      <c r="A3112" s="68" t="s">
        <v>376</v>
      </c>
      <c r="B3112" s="74">
        <v>4</v>
      </c>
      <c r="C3112" s="68" t="s">
        <v>363</v>
      </c>
      <c r="D3112" s="68" t="s">
        <v>364</v>
      </c>
      <c r="E3112" s="75">
        <f>60*F3112*'THAM_SO_MOI'!$C$52/(2*PI()*'THAM_SO_MOI'!$C$26)</f>
        <v>2403.8057379887678</v>
      </c>
      <c r="F3112" s="75">
        <f>'HANH_TRINH'!$F$2468+('THAM_SO_MOI'!$F$52-'HANH_TRINH'!$F$2468)*643/'THAM_SO_MOI'!$C$42</f>
        <v>15.279839235842092</v>
      </c>
      <c r="G3112" s="75">
        <f>3.6*F3112</f>
        <v>55.00742124903153</v>
      </c>
      <c r="H3112" s="75">
        <f>'THAM_SO_MOI'!$D$52</f>
        <v>1.1774754878398197</v>
      </c>
      <c r="I3112" s="75">
        <f>IF(F3112&gt;'THAM_SO_MOI'!$C$14,'THAM_SO_MOI'!$C$13*(1+F3112^2/1500),'THAM_SO_MOI'!$C$13)</f>
        <v>0.015</v>
      </c>
      <c r="J3112" s="75">
        <f>'THAM_SO_MOI'!$C$40*('THAM_SO_MOI'!$C$23*(E3112/'THAM_SO_MOI'!$C$22)+'THAM_SO_MOI'!$C$24*(E3112/'THAM_SO_MOI'!$C$22)^2-'THAM_SO_MOI'!$C$25*(E3112/'THAM_SO_MOI'!$C$22)^3)</f>
        <v>107.56778445585424</v>
      </c>
      <c r="K3112" s="75">
        <f>'THAM_SO_MOI'!$C$31*J3112/E3112</f>
        <v>427.40163034951814</v>
      </c>
      <c r="L3112" s="75">
        <f>K3112*'THAM_SO_MOI'!$C$52*'THAM_SO_MOI'!$C$17/'THAM_SO_MOI'!$C$26</f>
        <v>5985.002012438901</v>
      </c>
      <c r="M3112" s="75">
        <f>'THAM_SO_MOI'!$C$15*'THAM_SO_MOI'!$C$16*F3112^2</f>
        <v>682.90994968905</v>
      </c>
      <c r="N3112" s="75">
        <f>'THAM_SO_MOI'!$C$12*I3112</f>
        <v>1130.112</v>
      </c>
      <c r="O3112" s="75">
        <f>M3112+N3112</f>
        <v>1813.02194968905</v>
      </c>
      <c r="P3112" s="75">
        <f>(MIN(L3112,'THAM_SO_MOI'!$C$41)-O3112)/('THAM_SO_MOI'!$C$11*H3112)</f>
        <v>0.4613485174686307</v>
      </c>
      <c r="Q3112" s="75">
        <f>IF(P3112&gt;0,1/P3112,NA())</f>
        <v>2.167558715668778</v>
      </c>
      <c r="R3112" s="75">
        <f>F3112-F3111</f>
        <v>0.007943393307218827</v>
      </c>
      <c r="S3112" s="75">
        <f>0.5*(Q3111+Q3112)*R3112</f>
        <v>0.01721547868177868</v>
      </c>
      <c r="T3112" s="75">
        <f>0.5*(F3111*Q3111+F3112*Q3112)*R3112</f>
        <v>0.26298138107253594</v>
      </c>
      <c r="U3112" s="76">
        <f>U3111+S3112</f>
        <v>24.560778560043914</v>
      </c>
      <c r="V3112" s="76">
        <f>V3111+T3112</f>
        <v>220.96654977674146</v>
      </c>
    </row>
    <row r="3113" spans="1:22" ht="19" customHeight="1">
      <c r="A3113" s="68" t="s">
        <v>376</v>
      </c>
      <c r="B3113" s="74">
        <v>4</v>
      </c>
      <c r="C3113" s="68" t="s">
        <v>363</v>
      </c>
      <c r="D3113" s="68" t="s">
        <v>364</v>
      </c>
      <c r="E3113" s="75">
        <f>60*F3113*'THAM_SO_MOI'!$C$52/(2*PI()*'THAM_SO_MOI'!$C$26)</f>
        <v>2405.055382969731</v>
      </c>
      <c r="F3113" s="75">
        <f>'HANH_TRINH'!$F$2468+('THAM_SO_MOI'!$F$52-'HANH_TRINH'!$F$2468)*644/'THAM_SO_MOI'!$C$42</f>
        <v>15.287782629149312</v>
      </c>
      <c r="G3113" s="75">
        <f>3.6*F3113</f>
        <v>55.03601746493752</v>
      </c>
      <c r="H3113" s="75">
        <f>'THAM_SO_MOI'!$D$52</f>
        <v>1.1774754878398197</v>
      </c>
      <c r="I3113" s="75">
        <f>IF(F3113&gt;'THAM_SO_MOI'!$C$14,'THAM_SO_MOI'!$C$13*(1+F3113^2/1500),'THAM_SO_MOI'!$C$13)</f>
        <v>0.015</v>
      </c>
      <c r="J3113" s="75">
        <f>'THAM_SO_MOI'!$C$40*('THAM_SO_MOI'!$C$23*(E3113/'THAM_SO_MOI'!$C$22)+'THAM_SO_MOI'!$C$24*(E3113/'THAM_SO_MOI'!$C$22)^2-'THAM_SO_MOI'!$C$25*(E3113/'THAM_SO_MOI'!$C$22)^3)</f>
        <v>107.61644632453337</v>
      </c>
      <c r="K3113" s="75">
        <f>'THAM_SO_MOI'!$C$31*J3113/E3113</f>
        <v>427.37280523065266</v>
      </c>
      <c r="L3113" s="75">
        <f>K3113*'THAM_SO_MOI'!$C$52*'THAM_SO_MOI'!$C$17/'THAM_SO_MOI'!$C$26</f>
        <v>5984.5983677586555</v>
      </c>
      <c r="M3113" s="75">
        <f>'THAM_SO_MOI'!$C$15*'THAM_SO_MOI'!$C$16*F3113^2</f>
        <v>683.6201708196495</v>
      </c>
      <c r="N3113" s="75">
        <f>'THAM_SO_MOI'!$C$12*I3113</f>
        <v>1130.112</v>
      </c>
      <c r="O3113" s="75">
        <f>M3113+N3113</f>
        <v>1813.7321708196496</v>
      </c>
      <c r="P3113" s="75">
        <f>(MIN(L3113,'THAM_SO_MOI'!$C$41)-O3113)/('THAM_SO_MOI'!$C$11*H3113)</f>
        <v>0.4612253432605178</v>
      </c>
      <c r="Q3113" s="75">
        <f>IF(P3113&gt;0,1/P3113,NA())</f>
        <v>2.1681375809289856</v>
      </c>
      <c r="R3113" s="75">
        <f>F3113-F3112</f>
        <v>0.007943393307220603</v>
      </c>
      <c r="S3113" s="75">
        <f>0.5*(Q3112+Q3113)*R3113</f>
        <v>0.017220070472267916</v>
      </c>
      <c r="T3113" s="75">
        <f>0.5*(F3112*Q3112+F3113*Q3113)*R3113</f>
        <v>0.26318831047363206</v>
      </c>
      <c r="U3113" s="76">
        <f>U3112+S3113</f>
        <v>24.57799863051618</v>
      </c>
      <c r="V3113" s="76">
        <f>V3112+T3113</f>
        <v>221.22973808721508</v>
      </c>
    </row>
    <row r="3114" spans="1:22" ht="19" customHeight="1">
      <c r="A3114" s="68" t="s">
        <v>376</v>
      </c>
      <c r="B3114" s="74">
        <v>4</v>
      </c>
      <c r="C3114" s="68" t="s">
        <v>363</v>
      </c>
      <c r="D3114" s="68" t="s">
        <v>364</v>
      </c>
      <c r="E3114" s="75">
        <f>60*F3114*'THAM_SO_MOI'!$C$52/(2*PI()*'THAM_SO_MOI'!$C$26)</f>
        <v>2406.3050279506942</v>
      </c>
      <c r="F3114" s="75">
        <f>'HANH_TRINH'!$F$2468+('THAM_SO_MOI'!$F$52-'HANH_TRINH'!$F$2468)*645/'THAM_SO_MOI'!$C$42</f>
        <v>15.295726022456531</v>
      </c>
      <c r="G3114" s="75">
        <f>3.6*F3114</f>
        <v>55.064613680843514</v>
      </c>
      <c r="H3114" s="75">
        <f>'THAM_SO_MOI'!$D$52</f>
        <v>1.1774754878398197</v>
      </c>
      <c r="I3114" s="75">
        <f>IF(F3114&gt;'THAM_SO_MOI'!$C$14,'THAM_SO_MOI'!$C$13*(1+F3114^2/1500),'THAM_SO_MOI'!$C$13)</f>
        <v>0.015</v>
      </c>
      <c r="J3114" s="75">
        <f>'THAM_SO_MOI'!$C$40*('THAM_SO_MOI'!$C$23*(E3114/'THAM_SO_MOI'!$C$22)+'THAM_SO_MOI'!$C$24*(E3114/'THAM_SO_MOI'!$C$22)^2-'THAM_SO_MOI'!$C$25*(E3114/'THAM_SO_MOI'!$C$22)^3)</f>
        <v>107.6650624815185</v>
      </c>
      <c r="K3114" s="75">
        <f>'THAM_SO_MOI'!$C$31*J3114/E3114</f>
        <v>427.34382861205967</v>
      </c>
      <c r="L3114" s="75">
        <f>K3114*'THAM_SO_MOI'!$C$52*'THAM_SO_MOI'!$C$17/'THAM_SO_MOI'!$C$26</f>
        <v>5984.192601593349</v>
      </c>
      <c r="M3114" s="75">
        <f>'THAM_SO_MOI'!$C$15*'THAM_SO_MOI'!$C$16*F3114^2</f>
        <v>684.3307610706078</v>
      </c>
      <c r="N3114" s="75">
        <f>'THAM_SO_MOI'!$C$12*I3114</f>
        <v>1130.112</v>
      </c>
      <c r="O3114" s="75">
        <f>M3114+N3114</f>
        <v>1814.442761070608</v>
      </c>
      <c r="P3114" s="75">
        <f>(MIN(L3114,'THAM_SO_MOI'!$C$41)-O3114)/('THAM_SO_MOI'!$C$11*H3114)</f>
        <v>0.4611018936347132</v>
      </c>
      <c r="Q3114" s="75">
        <f>IF(P3114&gt;0,1/P3114,NA())</f>
        <v>2.168718050835428</v>
      </c>
      <c r="R3114" s="75">
        <f>F3114-F3113</f>
        <v>0.007943393307218827</v>
      </c>
      <c r="S3114" s="75">
        <f>0.5*(Q3113+Q3114)*R3114</f>
        <v>0.01722467499986586</v>
      </c>
      <c r="T3114" s="75">
        <f>0.5*(F3113*Q3113+F3114*Q3114)*R3114</f>
        <v>0.2633955075962978</v>
      </c>
      <c r="U3114" s="76">
        <f>U3113+S3114</f>
        <v>24.595223305516047</v>
      </c>
      <c r="V3114" s="76">
        <f>V3113+T3114</f>
        <v>221.49313359481138</v>
      </c>
    </row>
    <row r="3115" spans="1:22" ht="19" customHeight="1">
      <c r="A3115" s="68" t="s">
        <v>376</v>
      </c>
      <c r="B3115" s="74">
        <v>4</v>
      </c>
      <c r="C3115" s="68" t="s">
        <v>363</v>
      </c>
      <c r="D3115" s="68" t="s">
        <v>364</v>
      </c>
      <c r="E3115" s="75">
        <f>60*F3115*'THAM_SO_MOI'!$C$52/(2*PI()*'THAM_SO_MOI'!$C$26)</f>
        <v>2407.5546729316575</v>
      </c>
      <c r="F3115" s="75">
        <f>'HANH_TRINH'!$F$2468+('THAM_SO_MOI'!$F$52-'HANH_TRINH'!$F$2468)*646/'THAM_SO_MOI'!$C$42</f>
        <v>15.30366941576375</v>
      </c>
      <c r="G3115" s="75">
        <f>3.6*F3115</f>
        <v>55.0932098967495</v>
      </c>
      <c r="H3115" s="75">
        <f>'THAM_SO_MOI'!$D$52</f>
        <v>1.1774754878398197</v>
      </c>
      <c r="I3115" s="75">
        <f>IF(F3115&gt;'THAM_SO_MOI'!$C$14,'THAM_SO_MOI'!$C$13*(1+F3115^2/1500),'THAM_SO_MOI'!$C$13)</f>
        <v>0.015</v>
      </c>
      <c r="J3115" s="75">
        <f>'THAM_SO_MOI'!$C$40*('THAM_SO_MOI'!$C$23*(E3115/'THAM_SO_MOI'!$C$22)+'THAM_SO_MOI'!$C$24*(E3115/'THAM_SO_MOI'!$C$22)^2-'THAM_SO_MOI'!$C$25*(E3115/'THAM_SO_MOI'!$C$22)^3)</f>
        <v>107.71363286734399</v>
      </c>
      <c r="K3115" s="75">
        <f>'THAM_SO_MOI'!$C$31*J3115/E3115</f>
        <v>427.3147004937392</v>
      </c>
      <c r="L3115" s="75">
        <f>K3115*'THAM_SO_MOI'!$C$52*'THAM_SO_MOI'!$C$17/'THAM_SO_MOI'!$C$26</f>
        <v>5983.784713942981</v>
      </c>
      <c r="M3115" s="75">
        <f>'THAM_SO_MOI'!$C$15*'THAM_SO_MOI'!$C$16*F3115^2</f>
        <v>685.0417204419248</v>
      </c>
      <c r="N3115" s="75">
        <f>'THAM_SO_MOI'!$C$12*I3115</f>
        <v>1130.112</v>
      </c>
      <c r="O3115" s="75">
        <f>M3115+N3115</f>
        <v>1815.1537204419249</v>
      </c>
      <c r="P3115" s="75">
        <f>(MIN(L3115,'THAM_SO_MOI'!$C$41)-O3115)/('THAM_SO_MOI'!$C$11*H3115)</f>
        <v>0.4609781685912172</v>
      </c>
      <c r="Q3115" s="75">
        <f>IF(P3115&gt;0,1/P3115,NA())</f>
        <v>2.1693001277177024</v>
      </c>
      <c r="R3115" s="75">
        <f>F3115-F3114</f>
        <v>0.007943393307218827</v>
      </c>
      <c r="S3115" s="75">
        <f>0.5*(Q3114+Q3115)*R3115</f>
        <v>0.01722929228305627</v>
      </c>
      <c r="T3115" s="75">
        <f>0.5*(F3114*Q3114+F3115*Q3115)*R3115</f>
        <v>0.2636029730268566</v>
      </c>
      <c r="U3115" s="76">
        <f>U3114+S3115</f>
        <v>24.612452597799102</v>
      </c>
      <c r="V3115" s="76">
        <f>V3114+T3115</f>
        <v>221.75673656783823</v>
      </c>
    </row>
    <row r="3116" spans="1:22" ht="19" customHeight="1">
      <c r="A3116" s="68" t="s">
        <v>376</v>
      </c>
      <c r="B3116" s="74">
        <v>4</v>
      </c>
      <c r="C3116" s="68" t="s">
        <v>363</v>
      </c>
      <c r="D3116" s="68" t="s">
        <v>364</v>
      </c>
      <c r="E3116" s="75">
        <f>60*F3116*'THAM_SO_MOI'!$C$52/(2*PI()*'THAM_SO_MOI'!$C$26)</f>
        <v>2408.8043179126207</v>
      </c>
      <c r="F3116" s="75">
        <f>'HANH_TRINH'!$F$2468+('THAM_SO_MOI'!$F$52-'HANH_TRINH'!$F$2468)*647/'THAM_SO_MOI'!$C$42</f>
        <v>15.311612809070969</v>
      </c>
      <c r="G3116" s="75">
        <f>3.6*F3116</f>
        <v>55.12180611265549</v>
      </c>
      <c r="H3116" s="75">
        <f>'THAM_SO_MOI'!$D$52</f>
        <v>1.1774754878398197</v>
      </c>
      <c r="I3116" s="75">
        <f>IF(F3116&gt;'THAM_SO_MOI'!$C$14,'THAM_SO_MOI'!$C$13*(1+F3116^2/1500),'THAM_SO_MOI'!$C$13)</f>
        <v>0.015</v>
      </c>
      <c r="J3116" s="75">
        <f>'THAM_SO_MOI'!$C$40*('THAM_SO_MOI'!$C$23*(E3116/'THAM_SO_MOI'!$C$22)+'THAM_SO_MOI'!$C$24*(E3116/'THAM_SO_MOI'!$C$22)^2-'THAM_SO_MOI'!$C$25*(E3116/'THAM_SO_MOI'!$C$22)^3)</f>
        <v>107.76215742254409</v>
      </c>
      <c r="K3116" s="75">
        <f>'THAM_SO_MOI'!$C$31*J3116/E3116</f>
        <v>427.28542087569133</v>
      </c>
      <c r="L3116" s="75">
        <f>K3116*'THAM_SO_MOI'!$C$52*'THAM_SO_MOI'!$C$17/'THAM_SO_MOI'!$C$26</f>
        <v>5983.374704807554</v>
      </c>
      <c r="M3116" s="75">
        <f>'THAM_SO_MOI'!$C$15*'THAM_SO_MOI'!$C$16*F3116^2</f>
        <v>685.7530489336006</v>
      </c>
      <c r="N3116" s="75">
        <f>'THAM_SO_MOI'!$C$12*I3116</f>
        <v>1130.112</v>
      </c>
      <c r="O3116" s="75">
        <f>M3116+N3116</f>
        <v>1815.8650489336005</v>
      </c>
      <c r="P3116" s="75">
        <f>(MIN(L3116,'THAM_SO_MOI'!$C$41)-O3116)/('THAM_SO_MOI'!$C$11*H3116)</f>
        <v>0.4608541681300297</v>
      </c>
      <c r="Q3116" s="75">
        <f>IF(P3116&gt;0,1/P3116,NA())</f>
        <v>2.169883813913669</v>
      </c>
      <c r="R3116" s="75">
        <f>F3116-F3115</f>
        <v>0.007943393307218827</v>
      </c>
      <c r="S3116" s="75">
        <f>0.5*(Q3115+Q3116)*R3116</f>
        <v>0.01723392234037302</v>
      </c>
      <c r="T3116" s="75">
        <f>0.5*(F3115*Q3115+F3116*Q3116)*R3116</f>
        <v>0.26381070735298656</v>
      </c>
      <c r="U3116" s="76">
        <f>U3115+S3116</f>
        <v>24.629686520139476</v>
      </c>
      <c r="V3116" s="76">
        <f>V3115+T3116</f>
        <v>222.0205472751912</v>
      </c>
    </row>
    <row r="3117" spans="1:22" ht="19" customHeight="1">
      <c r="A3117" s="68" t="s">
        <v>376</v>
      </c>
      <c r="B3117" s="74">
        <v>4</v>
      </c>
      <c r="C3117" s="68" t="s">
        <v>363</v>
      </c>
      <c r="D3117" s="68" t="s">
        <v>364</v>
      </c>
      <c r="E3117" s="75">
        <f>60*F3117*'THAM_SO_MOI'!$C$52/(2*PI()*'THAM_SO_MOI'!$C$26)</f>
        <v>2410.053962893584</v>
      </c>
      <c r="F3117" s="75">
        <f>'HANH_TRINH'!$F$2468+('THAM_SO_MOI'!$F$52-'HANH_TRINH'!$F$2468)*648/'THAM_SO_MOI'!$C$42</f>
        <v>15.319556202378187</v>
      </c>
      <c r="G3117" s="75">
        <f>3.6*F3117</f>
        <v>55.150402328561476</v>
      </c>
      <c r="H3117" s="75">
        <f>'THAM_SO_MOI'!$D$52</f>
        <v>1.1774754878398197</v>
      </c>
      <c r="I3117" s="75">
        <f>IF(F3117&gt;'THAM_SO_MOI'!$C$14,'THAM_SO_MOI'!$C$13*(1+F3117^2/1500),'THAM_SO_MOI'!$C$13)</f>
        <v>0.015</v>
      </c>
      <c r="J3117" s="75">
        <f>'THAM_SO_MOI'!$C$40*('THAM_SO_MOI'!$C$23*(E3117/'THAM_SO_MOI'!$C$22)+'THAM_SO_MOI'!$C$24*(E3117/'THAM_SO_MOI'!$C$22)^2-'THAM_SO_MOI'!$C$25*(E3117/'THAM_SO_MOI'!$C$22)^3)</f>
        <v>107.81063608765315</v>
      </c>
      <c r="K3117" s="75">
        <f>'THAM_SO_MOI'!$C$31*J3117/E3117</f>
        <v>427.2559897579158</v>
      </c>
      <c r="L3117" s="75">
        <f>K3117*'THAM_SO_MOI'!$C$52*'THAM_SO_MOI'!$C$17/'THAM_SO_MOI'!$C$26</f>
        <v>5982.962574187062</v>
      </c>
      <c r="M3117" s="75">
        <f>'THAM_SO_MOI'!$C$15*'THAM_SO_MOI'!$C$16*F3117^2</f>
        <v>686.4647465456352</v>
      </c>
      <c r="N3117" s="75">
        <f>'THAM_SO_MOI'!$C$12*I3117</f>
        <v>1130.112</v>
      </c>
      <c r="O3117" s="75">
        <f>M3117+N3117</f>
        <v>1816.5767465456352</v>
      </c>
      <c r="P3117" s="75">
        <f>(MIN(L3117,'THAM_SO_MOI'!$C$41)-O3117)/('THAM_SO_MOI'!$C$11*H3117)</f>
        <v>0.46072989225115035</v>
      </c>
      <c r="Q3117" s="75">
        <f>IF(P3117&gt;0,1/P3117,NA())</f>
        <v>2.1704691117694743</v>
      </c>
      <c r="R3117" s="75">
        <f>F3117-F3116</f>
        <v>0.007943393307218827</v>
      </c>
      <c r="S3117" s="75">
        <f>0.5*(Q3116+Q3117)*R3117</f>
        <v>0.01723856519041957</v>
      </c>
      <c r="T3117" s="75">
        <f>0.5*(F3116*Q3116+F3117*Q3117)*R3117</f>
        <v>0.2640187111640205</v>
      </c>
      <c r="U3117" s="76">
        <f>U3116+S3117</f>
        <v>24.646925085329894</v>
      </c>
      <c r="V3117" s="76">
        <f>V3116+T3117</f>
        <v>222.28456598635523</v>
      </c>
    </row>
    <row r="3118" spans="1:22" ht="19" customHeight="1">
      <c r="A3118" s="68" t="s">
        <v>376</v>
      </c>
      <c r="B3118" s="74">
        <v>4</v>
      </c>
      <c r="C3118" s="68" t="s">
        <v>363</v>
      </c>
      <c r="D3118" s="68" t="s">
        <v>364</v>
      </c>
      <c r="E3118" s="75">
        <f>60*F3118*'THAM_SO_MOI'!$C$52/(2*PI()*'THAM_SO_MOI'!$C$26)</f>
        <v>2411.303607874547</v>
      </c>
      <c r="F3118" s="75">
        <f>'HANH_TRINH'!$F$2468+('THAM_SO_MOI'!$F$52-'HANH_TRINH'!$F$2468)*649/'THAM_SO_MOI'!$C$42</f>
        <v>15.327499595685408</v>
      </c>
      <c r="G3118" s="75">
        <f>3.6*F3118</f>
        <v>55.17899854446747</v>
      </c>
      <c r="H3118" s="75">
        <f>'THAM_SO_MOI'!$D$52</f>
        <v>1.1774754878398197</v>
      </c>
      <c r="I3118" s="75">
        <f>IF(F3118&gt;'THAM_SO_MOI'!$C$14,'THAM_SO_MOI'!$C$13*(1+F3118^2/1500),'THAM_SO_MOI'!$C$13)</f>
        <v>0.015</v>
      </c>
      <c r="J3118" s="75">
        <f>'THAM_SO_MOI'!$C$40*('THAM_SO_MOI'!$C$23*(E3118/'THAM_SO_MOI'!$C$22)+'THAM_SO_MOI'!$C$24*(E3118/'THAM_SO_MOI'!$C$22)^2-'THAM_SO_MOI'!$C$25*(E3118/'THAM_SO_MOI'!$C$22)^3)</f>
        <v>107.85906880320549</v>
      </c>
      <c r="K3118" s="75">
        <f>'THAM_SO_MOI'!$C$31*J3118/E3118</f>
        <v>427.22640714041296</v>
      </c>
      <c r="L3118" s="75">
        <f>K3118*'THAM_SO_MOI'!$C$52*'THAM_SO_MOI'!$C$17/'THAM_SO_MOI'!$C$26</f>
        <v>5982.548322081513</v>
      </c>
      <c r="M3118" s="75">
        <f>'THAM_SO_MOI'!$C$15*'THAM_SO_MOI'!$C$16*F3118^2</f>
        <v>687.1768132780289</v>
      </c>
      <c r="N3118" s="75">
        <f>'THAM_SO_MOI'!$C$12*I3118</f>
        <v>1130.112</v>
      </c>
      <c r="O3118" s="75">
        <f>M3118+N3118</f>
        <v>1817.288813278029</v>
      </c>
      <c r="P3118" s="75">
        <f>(MIN(L3118,'THAM_SO_MOI'!$C$41)-O3118)/('THAM_SO_MOI'!$C$11*H3118)</f>
        <v>0.46060534095457983</v>
      </c>
      <c r="Q3118" s="75">
        <f>IF(P3118&gt;0,1/P3118,NA())</f>
        <v>2.1710560236395735</v>
      </c>
      <c r="R3118" s="75">
        <f>F3118-F3117</f>
        <v>0.007943393307220603</v>
      </c>
      <c r="S3118" s="75">
        <f>0.5*(Q3117+Q3118)*R3118</f>
        <v>0.017243220851869127</v>
      </c>
      <c r="T3118" s="75">
        <f>0.5*(F3117*Q3117+F3118*Q3118)*R3118</f>
        <v>0.26422698505095094</v>
      </c>
      <c r="U3118" s="76">
        <f>U3117+S3118</f>
        <v>24.664168306181764</v>
      </c>
      <c r="V3118" s="76">
        <f>V3117+T3118</f>
        <v>222.5487929714062</v>
      </c>
    </row>
    <row r="3119" spans="1:22" ht="19" customHeight="1">
      <c r="A3119" s="68" t="s">
        <v>376</v>
      </c>
      <c r="B3119" s="74">
        <v>4</v>
      </c>
      <c r="C3119" s="68" t="s">
        <v>363</v>
      </c>
      <c r="D3119" s="68" t="s">
        <v>364</v>
      </c>
      <c r="E3119" s="75">
        <f>60*F3119*'THAM_SO_MOI'!$C$52/(2*PI()*'THAM_SO_MOI'!$C$26)</f>
        <v>2412.55325285551</v>
      </c>
      <c r="F3119" s="75">
        <f>'HANH_TRINH'!$F$2468+('THAM_SO_MOI'!$F$52-'HANH_TRINH'!$F$2468)*650/'THAM_SO_MOI'!$C$42</f>
        <v>15.335442988992627</v>
      </c>
      <c r="G3119" s="75">
        <f>3.6*F3119</f>
        <v>55.20759476037346</v>
      </c>
      <c r="H3119" s="75">
        <f>'THAM_SO_MOI'!$D$52</f>
        <v>1.1774754878398197</v>
      </c>
      <c r="I3119" s="75">
        <f>IF(F3119&gt;'THAM_SO_MOI'!$C$14,'THAM_SO_MOI'!$C$13*(1+F3119^2/1500),'THAM_SO_MOI'!$C$13)</f>
        <v>0.015</v>
      </c>
      <c r="J3119" s="75">
        <f>'THAM_SO_MOI'!$C$40*('THAM_SO_MOI'!$C$23*(E3119/'THAM_SO_MOI'!$C$22)+'THAM_SO_MOI'!$C$24*(E3119/'THAM_SO_MOI'!$C$22)^2-'THAM_SO_MOI'!$C$25*(E3119/'THAM_SO_MOI'!$C$22)^3)</f>
        <v>107.9074555097354</v>
      </c>
      <c r="K3119" s="75">
        <f>'THAM_SO_MOI'!$C$31*J3119/E3119</f>
        <v>427.19667302318265</v>
      </c>
      <c r="L3119" s="75">
        <f>K3119*'THAM_SO_MOI'!$C$52*'THAM_SO_MOI'!$C$17/'THAM_SO_MOI'!$C$26</f>
        <v>5982.131948490902</v>
      </c>
      <c r="M3119" s="75">
        <f>'THAM_SO_MOI'!$C$15*'THAM_SO_MOI'!$C$16*F3119^2</f>
        <v>687.8892491307811</v>
      </c>
      <c r="N3119" s="75">
        <f>'THAM_SO_MOI'!$C$12*I3119</f>
        <v>1130.112</v>
      </c>
      <c r="O3119" s="75">
        <f>M3119+N3119</f>
        <v>1818.0012491307812</v>
      </c>
      <c r="P3119" s="75">
        <f>(MIN(L3119,'THAM_SO_MOI'!$C$41)-O3119)/('THAM_SO_MOI'!$C$11*H3119)</f>
        <v>0.4604805142403176</v>
      </c>
      <c r="Q3119" s="75">
        <f>IF(P3119&gt;0,1/P3119,NA())</f>
        <v>2.1716445518867613</v>
      </c>
      <c r="R3119" s="75">
        <f>F3119-F3118</f>
        <v>0.007943393307218827</v>
      </c>
      <c r="S3119" s="75">
        <f>0.5*(Q3118+Q3119)*R3119</f>
        <v>0.017247889343445618</v>
      </c>
      <c r="T3119" s="75">
        <f>0.5*(F3118*Q3118+F3119*Q3119)*R3119</f>
        <v>0.2644355296061414</v>
      </c>
      <c r="U3119" s="76">
        <f>U3118+S3119</f>
        <v>24.68141619552521</v>
      </c>
      <c r="V3119" s="76">
        <f>V3118+T3119</f>
        <v>222.81322850101233</v>
      </c>
    </row>
    <row r="3120" spans="1:22" ht="19" customHeight="1">
      <c r="A3120" s="68" t="s">
        <v>376</v>
      </c>
      <c r="B3120" s="74">
        <v>4</v>
      </c>
      <c r="C3120" s="68" t="s">
        <v>363</v>
      </c>
      <c r="D3120" s="68" t="s">
        <v>364</v>
      </c>
      <c r="E3120" s="75">
        <f>60*F3120*'THAM_SO_MOI'!$C$52/(2*PI()*'THAM_SO_MOI'!$C$26)</f>
        <v>2413.8028978364737</v>
      </c>
      <c r="F3120" s="75">
        <f>'HANH_TRINH'!$F$2468+('THAM_SO_MOI'!$F$52-'HANH_TRINH'!$F$2468)*651/'THAM_SO_MOI'!$C$42</f>
        <v>15.343386382299848</v>
      </c>
      <c r="G3120" s="75">
        <f>3.6*F3120</f>
        <v>55.23619097627945</v>
      </c>
      <c r="H3120" s="75">
        <f>'THAM_SO_MOI'!$D$52</f>
        <v>1.1774754878398197</v>
      </c>
      <c r="I3120" s="75">
        <f>IF(F3120&gt;'THAM_SO_MOI'!$C$14,'THAM_SO_MOI'!$C$13*(1+F3120^2/1500),'THAM_SO_MOI'!$C$13)</f>
        <v>0.015</v>
      </c>
      <c r="J3120" s="75">
        <f>'THAM_SO_MOI'!$C$40*('THAM_SO_MOI'!$C$23*(E3120/'THAM_SO_MOI'!$C$22)+'THAM_SO_MOI'!$C$24*(E3120/'THAM_SO_MOI'!$C$22)^2-'THAM_SO_MOI'!$C$25*(E3120/'THAM_SO_MOI'!$C$22)^3)</f>
        <v>107.95579614777722</v>
      </c>
      <c r="K3120" s="75">
        <f>'THAM_SO_MOI'!$C$31*J3120/E3120</f>
        <v>427.1667874062247</v>
      </c>
      <c r="L3120" s="75">
        <f>K3120*'THAM_SO_MOI'!$C$52*'THAM_SO_MOI'!$C$17/'THAM_SO_MOI'!$C$26</f>
        <v>5981.713453415228</v>
      </c>
      <c r="M3120" s="75">
        <f>'THAM_SO_MOI'!$C$15*'THAM_SO_MOI'!$C$16*F3120^2</f>
        <v>688.6020541038924</v>
      </c>
      <c r="N3120" s="75">
        <f>'THAM_SO_MOI'!$C$12*I3120</f>
        <v>1130.112</v>
      </c>
      <c r="O3120" s="75">
        <f>M3120+N3120</f>
        <v>1818.7140541038925</v>
      </c>
      <c r="P3120" s="75">
        <f>(MIN(L3120,'THAM_SO_MOI'!$C$41)-O3120)/('THAM_SO_MOI'!$C$11*H3120)</f>
        <v>0.4603554121083638</v>
      </c>
      <c r="Q3120" s="75">
        <f>IF(P3120&gt;0,1/P3120,NA())</f>
        <v>2.1722346988821943</v>
      </c>
      <c r="R3120" s="75">
        <f>F3120-F3119</f>
        <v>0.007943393307220603</v>
      </c>
      <c r="S3120" s="75">
        <f>0.5*(Q3119+Q3120)*R3120</f>
        <v>0.017252570683966285</v>
      </c>
      <c r="T3120" s="75">
        <f>0.5*(F3119*Q3119+F3120*Q3120)*R3120</f>
        <v>0.2646443454239818</v>
      </c>
      <c r="U3120" s="76">
        <f>U3119+S3120</f>
        <v>24.698668766209174</v>
      </c>
      <c r="V3120" s="76">
        <f>V3119+T3120</f>
        <v>223.07787284643632</v>
      </c>
    </row>
    <row r="3121" spans="1:22" ht="19" customHeight="1">
      <c r="A3121" s="68" t="s">
        <v>376</v>
      </c>
      <c r="B3121" s="74">
        <v>4</v>
      </c>
      <c r="C3121" s="68" t="s">
        <v>363</v>
      </c>
      <c r="D3121" s="68" t="s">
        <v>364</v>
      </c>
      <c r="E3121" s="75">
        <f>60*F3121*'THAM_SO_MOI'!$C$52/(2*PI()*'THAM_SO_MOI'!$C$26)</f>
        <v>2415.052542817437</v>
      </c>
      <c r="F3121" s="75">
        <f>'HANH_TRINH'!$F$2468+('THAM_SO_MOI'!$F$52-'HANH_TRINH'!$F$2468)*652/'THAM_SO_MOI'!$C$42</f>
        <v>15.351329775607066</v>
      </c>
      <c r="G3121" s="75">
        <f>3.6*F3121</f>
        <v>55.26478719218544</v>
      </c>
      <c r="H3121" s="75">
        <f>'THAM_SO_MOI'!$D$52</f>
        <v>1.1774754878398197</v>
      </c>
      <c r="I3121" s="75">
        <f>IF(F3121&gt;'THAM_SO_MOI'!$C$14,'THAM_SO_MOI'!$C$13*(1+F3121^2/1500),'THAM_SO_MOI'!$C$13)</f>
        <v>0.015</v>
      </c>
      <c r="J3121" s="75">
        <f>'THAM_SO_MOI'!$C$40*('THAM_SO_MOI'!$C$23*(E3121/'THAM_SO_MOI'!$C$22)+'THAM_SO_MOI'!$C$24*(E3121/'THAM_SO_MOI'!$C$22)^2-'THAM_SO_MOI'!$C$25*(E3121/'THAM_SO_MOI'!$C$22)^3)</f>
        <v>108.00409065786526</v>
      </c>
      <c r="K3121" s="75">
        <f>'THAM_SO_MOI'!$C$31*J3121/E3121</f>
        <v>427.13675028953946</v>
      </c>
      <c r="L3121" s="75">
        <f>K3121*'THAM_SO_MOI'!$C$52*'THAM_SO_MOI'!$C$17/'THAM_SO_MOI'!$C$26</f>
        <v>5981.292836854495</v>
      </c>
      <c r="M3121" s="75">
        <f>'THAM_SO_MOI'!$C$15*'THAM_SO_MOI'!$C$16*F3121^2</f>
        <v>689.3152281973624</v>
      </c>
      <c r="N3121" s="75">
        <f>'THAM_SO_MOI'!$C$12*I3121</f>
        <v>1130.112</v>
      </c>
      <c r="O3121" s="75">
        <f>M3121+N3121</f>
        <v>1819.4272281973626</v>
      </c>
      <c r="P3121" s="75">
        <f>(MIN(L3121,'THAM_SO_MOI'!$C$41)-O3121)/('THAM_SO_MOI'!$C$11*H3121)</f>
        <v>0.4602300345587185</v>
      </c>
      <c r="Q3121" s="75">
        <f>IF(P3121&gt;0,1/P3121,NA())</f>
        <v>2.172826467005414</v>
      </c>
      <c r="R3121" s="75">
        <f>F3121-F3120</f>
        <v>0.007943393307218827</v>
      </c>
      <c r="S3121" s="75">
        <f>0.5*(Q3120+Q3121)*R3121</f>
        <v>0.017257264892284033</v>
      </c>
      <c r="T3121" s="75">
        <f>0.5*(F3120*Q3120+F3121*Q3121)*R3121</f>
        <v>0.2648534331000071</v>
      </c>
      <c r="U3121" s="76">
        <f>U3120+S3121</f>
        <v>24.715926031101457</v>
      </c>
      <c r="V3121" s="76">
        <f>V3120+T3121</f>
        <v>223.34272627953632</v>
      </c>
    </row>
    <row r="3122" spans="1:22" ht="19" customHeight="1">
      <c r="A3122" s="68" t="s">
        <v>376</v>
      </c>
      <c r="B3122" s="74">
        <v>4</v>
      </c>
      <c r="C3122" s="68" t="s">
        <v>363</v>
      </c>
      <c r="D3122" s="68" t="s">
        <v>364</v>
      </c>
      <c r="E3122" s="75">
        <f>60*F3122*'THAM_SO_MOI'!$C$52/(2*PI()*'THAM_SO_MOI'!$C$26)</f>
        <v>2416.3021877984</v>
      </c>
      <c r="F3122" s="75">
        <f>'HANH_TRINH'!$F$2468+('THAM_SO_MOI'!$F$52-'HANH_TRINH'!$F$2468)*653/'THAM_SO_MOI'!$C$42</f>
        <v>15.359273168914285</v>
      </c>
      <c r="G3122" s="75">
        <f>3.6*F3122</f>
        <v>55.29338340809143</v>
      </c>
      <c r="H3122" s="75">
        <f>'THAM_SO_MOI'!$D$52</f>
        <v>1.1774754878398197</v>
      </c>
      <c r="I3122" s="75">
        <f>IF(F3122&gt;'THAM_SO_MOI'!$C$14,'THAM_SO_MOI'!$C$13*(1+F3122^2/1500),'THAM_SO_MOI'!$C$13)</f>
        <v>0.015</v>
      </c>
      <c r="J3122" s="75">
        <f>'THAM_SO_MOI'!$C$40*('THAM_SO_MOI'!$C$23*(E3122/'THAM_SO_MOI'!$C$22)+'THAM_SO_MOI'!$C$24*(E3122/'THAM_SO_MOI'!$C$22)^2-'THAM_SO_MOI'!$C$25*(E3122/'THAM_SO_MOI'!$C$22)^3)</f>
        <v>108.0523389805338</v>
      </c>
      <c r="K3122" s="75">
        <f>'THAM_SO_MOI'!$C$31*J3122/E3122</f>
        <v>427.10656167312663</v>
      </c>
      <c r="L3122" s="75">
        <f>K3122*'THAM_SO_MOI'!$C$52*'THAM_SO_MOI'!$C$17/'THAM_SO_MOI'!$C$26</f>
        <v>5980.8700988087</v>
      </c>
      <c r="M3122" s="75">
        <f>'THAM_SO_MOI'!$C$15*'THAM_SO_MOI'!$C$16*F3122^2</f>
        <v>690.0287714111911</v>
      </c>
      <c r="N3122" s="75">
        <f>'THAM_SO_MOI'!$C$12*I3122</f>
        <v>1130.112</v>
      </c>
      <c r="O3122" s="75">
        <f>M3122+N3122</f>
        <v>1820.140771411191</v>
      </c>
      <c r="P3122" s="75">
        <f>(MIN(L3122,'THAM_SO_MOI'!$C$41)-O3122)/('THAM_SO_MOI'!$C$11*H3122)</f>
        <v>0.46010438159138173</v>
      </c>
      <c r="Q3122" s="75">
        <f>IF(P3122&gt;0,1/P3122,NA())</f>
        <v>2.1734198586443783</v>
      </c>
      <c r="R3122" s="75">
        <f>F3122-F3121</f>
        <v>0.007943393307218827</v>
      </c>
      <c r="S3122" s="75">
        <f>0.5*(Q3121+Q3122)*R3122</f>
        <v>0.017261971987345488</v>
      </c>
      <c r="T3122" s="75">
        <f>0.5*(F3121*Q3121+F3122*Q3122)*R3122</f>
        <v>0.26506279323179055</v>
      </c>
      <c r="U3122" s="76">
        <f>U3121+S3122</f>
        <v>24.733188003088802</v>
      </c>
      <c r="V3122" s="76">
        <f>V3121+T3122</f>
        <v>223.6077890727681</v>
      </c>
    </row>
    <row r="3123" spans="1:22" ht="19" customHeight="1">
      <c r="A3123" s="68" t="s">
        <v>376</v>
      </c>
      <c r="B3123" s="74">
        <v>4</v>
      </c>
      <c r="C3123" s="68" t="s">
        <v>363</v>
      </c>
      <c r="D3123" s="68" t="s">
        <v>364</v>
      </c>
      <c r="E3123" s="75">
        <f>60*F3123*'THAM_SO_MOI'!$C$52/(2*PI()*'THAM_SO_MOI'!$C$26)</f>
        <v>2417.5518327793634</v>
      </c>
      <c r="F3123" s="75">
        <f>'HANH_TRINH'!$F$2468+('THAM_SO_MOI'!$F$52-'HANH_TRINH'!$F$2468)*654/'THAM_SO_MOI'!$C$42</f>
        <v>15.367216562221504</v>
      </c>
      <c r="G3123" s="75">
        <f>3.6*F3123</f>
        <v>55.321979623997414</v>
      </c>
      <c r="H3123" s="75">
        <f>'THAM_SO_MOI'!$D$52</f>
        <v>1.1774754878398197</v>
      </c>
      <c r="I3123" s="75">
        <f>IF(F3123&gt;'THAM_SO_MOI'!$C$14,'THAM_SO_MOI'!$C$13*(1+F3123^2/1500),'THAM_SO_MOI'!$C$13)</f>
        <v>0.015</v>
      </c>
      <c r="J3123" s="75">
        <f>'THAM_SO_MOI'!$C$40*('THAM_SO_MOI'!$C$23*(E3123/'THAM_SO_MOI'!$C$22)+'THAM_SO_MOI'!$C$24*(E3123/'THAM_SO_MOI'!$C$22)^2-'THAM_SO_MOI'!$C$25*(E3123/'THAM_SO_MOI'!$C$22)^3)</f>
        <v>108.1005410563172</v>
      </c>
      <c r="K3123" s="75">
        <f>'THAM_SO_MOI'!$C$31*J3123/E3123</f>
        <v>427.0762215569864</v>
      </c>
      <c r="L3123" s="75">
        <f>K3123*'THAM_SO_MOI'!$C$52*'THAM_SO_MOI'!$C$17/'THAM_SO_MOI'!$C$26</f>
        <v>5980.445239277847</v>
      </c>
      <c r="M3123" s="75">
        <f>'THAM_SO_MOI'!$C$15*'THAM_SO_MOI'!$C$16*F3123^2</f>
        <v>690.7426837453786</v>
      </c>
      <c r="N3123" s="75">
        <f>'THAM_SO_MOI'!$C$12*I3123</f>
        <v>1130.112</v>
      </c>
      <c r="O3123" s="75">
        <f>M3123+N3123</f>
        <v>1820.8546837453787</v>
      </c>
      <c r="P3123" s="75">
        <f>(MIN(L3123,'THAM_SO_MOI'!$C$41)-O3123)/('THAM_SO_MOI'!$C$11*H3123)</f>
        <v>0.45997845320635355</v>
      </c>
      <c r="Q3123" s="75">
        <f>IF(P3123&gt;0,1/P3123,NA())</f>
        <v>2.174014876195482</v>
      </c>
      <c r="R3123" s="75">
        <f>F3123-F3122</f>
        <v>0.007943393307218827</v>
      </c>
      <c r="S3123" s="75">
        <f>0.5*(Q3122+Q3123)*R3123</f>
        <v>0.0172666919881488</v>
      </c>
      <c r="T3123" s="75">
        <f>0.5*(F3122*Q3122+F3123*Q3123)*R3123</f>
        <v>0.26527242641829896</v>
      </c>
      <c r="U3123" s="76">
        <f>U3122+S3123</f>
        <v>24.75045469507695</v>
      </c>
      <c r="V3123" s="76">
        <f>V3122+T3123</f>
        <v>223.8730614991864</v>
      </c>
    </row>
    <row r="3124" spans="1:22" ht="19" customHeight="1">
      <c r="A3124" s="68" t="s">
        <v>376</v>
      </c>
      <c r="B3124" s="74">
        <v>4</v>
      </c>
      <c r="C3124" s="68" t="s">
        <v>363</v>
      </c>
      <c r="D3124" s="68" t="s">
        <v>364</v>
      </c>
      <c r="E3124" s="75">
        <f>60*F3124*'THAM_SO_MOI'!$C$52/(2*PI()*'THAM_SO_MOI'!$C$26)</f>
        <v>2418.8014777603266</v>
      </c>
      <c r="F3124" s="75">
        <f>'HANH_TRINH'!$F$2468+('THAM_SO_MOI'!$F$52-'HANH_TRINH'!$F$2468)*655/'THAM_SO_MOI'!$C$42</f>
        <v>15.375159955528723</v>
      </c>
      <c r="G3124" s="75">
        <f>3.6*F3124</f>
        <v>55.35057583990341</v>
      </c>
      <c r="H3124" s="75">
        <f>'THAM_SO_MOI'!$D$52</f>
        <v>1.1774754878398197</v>
      </c>
      <c r="I3124" s="75">
        <f>IF(F3124&gt;'THAM_SO_MOI'!$C$14,'THAM_SO_MOI'!$C$13*(1+F3124^2/1500),'THAM_SO_MOI'!$C$13)</f>
        <v>0.015</v>
      </c>
      <c r="J3124" s="75">
        <f>'THAM_SO_MOI'!$C$40*('THAM_SO_MOI'!$C$23*(E3124/'THAM_SO_MOI'!$C$22)+'THAM_SO_MOI'!$C$24*(E3124/'THAM_SO_MOI'!$C$22)^2-'THAM_SO_MOI'!$C$25*(E3124/'THAM_SO_MOI'!$C$22)^3)</f>
        <v>108.14869682574974</v>
      </c>
      <c r="K3124" s="75">
        <f>'THAM_SO_MOI'!$C$31*J3124/E3124</f>
        <v>427.0457299411187</v>
      </c>
      <c r="L3124" s="75">
        <f>K3124*'THAM_SO_MOI'!$C$52*'THAM_SO_MOI'!$C$17/'THAM_SO_MOI'!$C$26</f>
        <v>5980.018258261929</v>
      </c>
      <c r="M3124" s="75">
        <f>'THAM_SO_MOI'!$C$15*'THAM_SO_MOI'!$C$16*F3124^2</f>
        <v>691.456965199925</v>
      </c>
      <c r="N3124" s="75">
        <f>'THAM_SO_MOI'!$C$12*I3124</f>
        <v>1130.112</v>
      </c>
      <c r="O3124" s="75">
        <f>M3124+N3124</f>
        <v>1821.568965199925</v>
      </c>
      <c r="P3124" s="75">
        <f>(MIN(L3124,'THAM_SO_MOI'!$C$41)-O3124)/('THAM_SO_MOI'!$C$11*H3124)</f>
        <v>0.45985224940363356</v>
      </c>
      <c r="Q3124" s="75">
        <f>IF(P3124&gt;0,1/P3124,NA())</f>
        <v>2.1746115220635875</v>
      </c>
      <c r="R3124" s="75">
        <f>F3124-F3123</f>
        <v>0.007943393307218827</v>
      </c>
      <c r="S3124" s="75">
        <f>0.5*(Q3123+Q3124)*R3124</f>
        <v>0.017271424913763104</v>
      </c>
      <c r="T3124" s="75">
        <f>0.5*(F3123*Q3123+F3124*Q3124)*R3124</f>
        <v>0.26548233326019377</v>
      </c>
      <c r="U3124" s="76">
        <f>U3123+S3124</f>
        <v>24.767726119990712</v>
      </c>
      <c r="V3124" s="76">
        <f>V3123+T3124</f>
        <v>224.1385438324466</v>
      </c>
    </row>
    <row r="3125" spans="1:22" ht="19" customHeight="1">
      <c r="A3125" s="68" t="s">
        <v>376</v>
      </c>
      <c r="B3125" s="74">
        <v>4</v>
      </c>
      <c r="C3125" s="68" t="s">
        <v>363</v>
      </c>
      <c r="D3125" s="68" t="s">
        <v>364</v>
      </c>
      <c r="E3125" s="75">
        <f>60*F3125*'THAM_SO_MOI'!$C$52/(2*PI()*'THAM_SO_MOI'!$C$26)</f>
        <v>2420.0511227412903</v>
      </c>
      <c r="F3125" s="75">
        <f>'HANH_TRINH'!$F$2468+('THAM_SO_MOI'!$F$52-'HANH_TRINH'!$F$2468)*656/'THAM_SO_MOI'!$C$42</f>
        <v>15.383103348835943</v>
      </c>
      <c r="G3125" s="75">
        <f>3.6*F3125</f>
        <v>55.3791720558094</v>
      </c>
      <c r="H3125" s="75">
        <f>'THAM_SO_MOI'!$D$52</f>
        <v>1.1774754878398197</v>
      </c>
      <c r="I3125" s="75">
        <f>IF(F3125&gt;'THAM_SO_MOI'!$C$14,'THAM_SO_MOI'!$C$13*(1+F3125^2/1500),'THAM_SO_MOI'!$C$13)</f>
        <v>0.015</v>
      </c>
      <c r="J3125" s="75">
        <f>'THAM_SO_MOI'!$C$40*('THAM_SO_MOI'!$C$23*(E3125/'THAM_SO_MOI'!$C$22)+'THAM_SO_MOI'!$C$24*(E3125/'THAM_SO_MOI'!$C$22)^2-'THAM_SO_MOI'!$C$25*(E3125/'THAM_SO_MOI'!$C$22)^3)</f>
        <v>108.19680622936576</v>
      </c>
      <c r="K3125" s="75">
        <f>'THAM_SO_MOI'!$C$31*J3125/E3125</f>
        <v>427.01508682552344</v>
      </c>
      <c r="L3125" s="75">
        <f>K3125*'THAM_SO_MOI'!$C$52*'THAM_SO_MOI'!$C$17/'THAM_SO_MOI'!$C$26</f>
        <v>5979.589155760951</v>
      </c>
      <c r="M3125" s="75">
        <f>'THAM_SO_MOI'!$C$15*'THAM_SO_MOI'!$C$16*F3125^2</f>
        <v>692.1716157748303</v>
      </c>
      <c r="N3125" s="75">
        <f>'THAM_SO_MOI'!$C$12*I3125</f>
        <v>1130.112</v>
      </c>
      <c r="O3125" s="75">
        <f>M3125+N3125</f>
        <v>1822.2836157748304</v>
      </c>
      <c r="P3125" s="75">
        <f>(MIN(L3125,'THAM_SO_MOI'!$C$41)-O3125)/('THAM_SO_MOI'!$C$11*H3125)</f>
        <v>0.45972577018322197</v>
      </c>
      <c r="Q3125" s="75">
        <f>IF(P3125&gt;0,1/P3125,NA())</f>
        <v>2.1752097986620456</v>
      </c>
      <c r="R3125" s="75">
        <f>F3125-F3124</f>
        <v>0.007943393307220603</v>
      </c>
      <c r="S3125" s="75">
        <f>0.5*(Q3124+Q3125)*R3125</f>
        <v>0.01727617078332874</v>
      </c>
      <c r="T3125" s="75">
        <f>0.5*(F3124*Q3124+F3125*Q3125)*R3125</f>
        <v>0.26569251435983765</v>
      </c>
      <c r="U3125" s="76">
        <f>U3124+S3125</f>
        <v>24.78500229077404</v>
      </c>
      <c r="V3125" s="76">
        <f>V3124+T3125</f>
        <v>224.40423634680644</v>
      </c>
    </row>
    <row r="3126" spans="1:22" ht="19" customHeight="1">
      <c r="A3126" s="68" t="s">
        <v>376</v>
      </c>
      <c r="B3126" s="74">
        <v>4</v>
      </c>
      <c r="C3126" s="68" t="s">
        <v>363</v>
      </c>
      <c r="D3126" s="68" t="s">
        <v>364</v>
      </c>
      <c r="E3126" s="75">
        <f>60*F3126*'THAM_SO_MOI'!$C$52/(2*PI()*'THAM_SO_MOI'!$C$26)</f>
        <v>2421.3007677222536</v>
      </c>
      <c r="F3126" s="75">
        <f>'HANH_TRINH'!$F$2468+('THAM_SO_MOI'!$F$52-'HANH_TRINH'!$F$2468)*657/'THAM_SO_MOI'!$C$42</f>
        <v>15.391046742143164</v>
      </c>
      <c r="G3126" s="75">
        <f>3.6*F3126</f>
        <v>55.40776827171539</v>
      </c>
      <c r="H3126" s="75">
        <f>'THAM_SO_MOI'!$D$52</f>
        <v>1.1774754878398197</v>
      </c>
      <c r="I3126" s="75">
        <f>IF(F3126&gt;'THAM_SO_MOI'!$C$14,'THAM_SO_MOI'!$C$13*(1+F3126^2/1500),'THAM_SO_MOI'!$C$13)</f>
        <v>0.015</v>
      </c>
      <c r="J3126" s="75">
        <f>'THAM_SO_MOI'!$C$40*('THAM_SO_MOI'!$C$23*(E3126/'THAM_SO_MOI'!$C$22)+'THAM_SO_MOI'!$C$24*(E3126/'THAM_SO_MOI'!$C$22)^2-'THAM_SO_MOI'!$C$25*(E3126/'THAM_SO_MOI'!$C$22)^3)</f>
        <v>108.24486920769954</v>
      </c>
      <c r="K3126" s="75">
        <f>'THAM_SO_MOI'!$C$31*J3126/E3126</f>
        <v>426.9842922102007</v>
      </c>
      <c r="L3126" s="75">
        <f>K3126*'THAM_SO_MOI'!$C$52*'THAM_SO_MOI'!$C$17/'THAM_SO_MOI'!$C$26</f>
        <v>5979.157931774913</v>
      </c>
      <c r="M3126" s="75">
        <f>'THAM_SO_MOI'!$C$15*'THAM_SO_MOI'!$C$16*F3126^2</f>
        <v>692.8866354700945</v>
      </c>
      <c r="N3126" s="75">
        <f>'THAM_SO_MOI'!$C$12*I3126</f>
        <v>1130.112</v>
      </c>
      <c r="O3126" s="75">
        <f>M3126+N3126</f>
        <v>1822.9986354700945</v>
      </c>
      <c r="P3126" s="75">
        <f>(MIN(L3126,'THAM_SO_MOI'!$C$41)-O3126)/('THAM_SO_MOI'!$C$11*H3126)</f>
        <v>0.459599015545119</v>
      </c>
      <c r="Q3126" s="75">
        <f>IF(P3126&gt;0,1/P3126,NA())</f>
        <v>2.1758097084127233</v>
      </c>
      <c r="R3126" s="75">
        <f>F3126-F3125</f>
        <v>0.007943393307220603</v>
      </c>
      <c r="S3126" s="75">
        <f>0.5*(Q3125+Q3126)*R3126</f>
        <v>0.017280929616042003</v>
      </c>
      <c r="T3126" s="75">
        <f>0.5*(F3125*Q3125+F3126*Q3126)*R3126</f>
        <v>0.2659029703210622</v>
      </c>
      <c r="U3126" s="76">
        <f>U3125+S3126</f>
        <v>24.802283220390084</v>
      </c>
      <c r="V3126" s="76">
        <f>V3125+T3126</f>
        <v>224.6701393171275</v>
      </c>
    </row>
    <row r="3127" spans="1:22" ht="19" customHeight="1">
      <c r="A3127" s="68" t="s">
        <v>376</v>
      </c>
      <c r="B3127" s="74">
        <v>4</v>
      </c>
      <c r="C3127" s="68" t="s">
        <v>363</v>
      </c>
      <c r="D3127" s="68" t="s">
        <v>364</v>
      </c>
      <c r="E3127" s="75">
        <f>60*F3127*'THAM_SO_MOI'!$C$52/(2*PI()*'THAM_SO_MOI'!$C$26)</f>
        <v>2422.5504127032164</v>
      </c>
      <c r="F3127" s="75">
        <f>'HANH_TRINH'!$F$2468+('THAM_SO_MOI'!$F$52-'HANH_TRINH'!$F$2468)*658/'THAM_SO_MOI'!$C$42</f>
        <v>15.398990135450383</v>
      </c>
      <c r="G3127" s="75">
        <f>3.6*F3127</f>
        <v>55.43636448762138</v>
      </c>
      <c r="H3127" s="75">
        <f>'THAM_SO_MOI'!$D$52</f>
        <v>1.1774754878398197</v>
      </c>
      <c r="I3127" s="75">
        <f>IF(F3127&gt;'THAM_SO_MOI'!$C$14,'THAM_SO_MOI'!$C$13*(1+F3127^2/1500),'THAM_SO_MOI'!$C$13)</f>
        <v>0.015</v>
      </c>
      <c r="J3127" s="75">
        <f>'THAM_SO_MOI'!$C$40*('THAM_SO_MOI'!$C$23*(E3127/'THAM_SO_MOI'!$C$22)+'THAM_SO_MOI'!$C$24*(E3127/'THAM_SO_MOI'!$C$22)^2-'THAM_SO_MOI'!$C$25*(E3127/'THAM_SO_MOI'!$C$22)^3)</f>
        <v>108.29288570128541</v>
      </c>
      <c r="K3127" s="75">
        <f>'THAM_SO_MOI'!$C$31*J3127/E3127</f>
        <v>426.95334609515066</v>
      </c>
      <c r="L3127" s="75">
        <f>K3127*'THAM_SO_MOI'!$C$52*'THAM_SO_MOI'!$C$17/'THAM_SO_MOI'!$C$26</f>
        <v>5978.724586303815</v>
      </c>
      <c r="M3127" s="75">
        <f>'THAM_SO_MOI'!$C$15*'THAM_SO_MOI'!$C$16*F3127^2</f>
        <v>693.6020242857173</v>
      </c>
      <c r="N3127" s="75">
        <f>'THAM_SO_MOI'!$C$12*I3127</f>
        <v>1130.112</v>
      </c>
      <c r="O3127" s="75">
        <f>M3127+N3127</f>
        <v>1823.7140242857174</v>
      </c>
      <c r="P3127" s="75">
        <f>(MIN(L3127,'THAM_SO_MOI'!$C$41)-O3127)/('THAM_SO_MOI'!$C$11*H3127)</f>
        <v>0.4594719854893247</v>
      </c>
      <c r="Q3127" s="75">
        <f>IF(P3127&gt;0,1/P3127,NA())</f>
        <v>2.1764112537460325</v>
      </c>
      <c r="R3127" s="75">
        <f>F3127-F3126</f>
        <v>0.007943393307218827</v>
      </c>
      <c r="S3127" s="75">
        <f>0.5*(Q3126+Q3127)*R3127</f>
        <v>0.01728570143117467</v>
      </c>
      <c r="T3127" s="75">
        <f>0.5*(F3126*Q3126+F3127*Q3127)*R3127</f>
        <v>0.26611370174947113</v>
      </c>
      <c r="U3127" s="76">
        <f>U3126+S3127</f>
        <v>24.819568921821258</v>
      </c>
      <c r="V3127" s="76">
        <f>V3126+T3127</f>
        <v>224.93625301887698</v>
      </c>
    </row>
    <row r="3128" spans="1:22" ht="19" customHeight="1">
      <c r="A3128" s="68" t="s">
        <v>376</v>
      </c>
      <c r="B3128" s="74">
        <v>4</v>
      </c>
      <c r="C3128" s="68" t="s">
        <v>363</v>
      </c>
      <c r="D3128" s="68" t="s">
        <v>364</v>
      </c>
      <c r="E3128" s="75">
        <f>60*F3128*'THAM_SO_MOI'!$C$52/(2*PI()*'THAM_SO_MOI'!$C$26)</f>
        <v>2423.8000576841796</v>
      </c>
      <c r="F3128" s="75">
        <f>'HANH_TRINH'!$F$2468+('THAM_SO_MOI'!$F$52-'HANH_TRINH'!$F$2468)*659/'THAM_SO_MOI'!$C$42</f>
        <v>15.406933528757602</v>
      </c>
      <c r="G3128" s="75">
        <f>3.6*F3128</f>
        <v>55.46496070352737</v>
      </c>
      <c r="H3128" s="75">
        <f>'THAM_SO_MOI'!$D$52</f>
        <v>1.1774754878398197</v>
      </c>
      <c r="I3128" s="75">
        <f>IF(F3128&gt;'THAM_SO_MOI'!$C$14,'THAM_SO_MOI'!$C$13*(1+F3128^2/1500),'THAM_SO_MOI'!$C$13)</f>
        <v>0.015</v>
      </c>
      <c r="J3128" s="75">
        <f>'THAM_SO_MOI'!$C$40*('THAM_SO_MOI'!$C$23*(E3128/'THAM_SO_MOI'!$C$22)+'THAM_SO_MOI'!$C$24*(E3128/'THAM_SO_MOI'!$C$22)^2-'THAM_SO_MOI'!$C$25*(E3128/'THAM_SO_MOI'!$C$22)^3)</f>
        <v>108.34085565065769</v>
      </c>
      <c r="K3128" s="75">
        <f>'THAM_SO_MOI'!$C$31*J3128/E3128</f>
        <v>426.922248480373</v>
      </c>
      <c r="L3128" s="75">
        <f>K3128*'THAM_SO_MOI'!$C$52*'THAM_SO_MOI'!$C$17/'THAM_SO_MOI'!$C$26</f>
        <v>5978.289119347655</v>
      </c>
      <c r="M3128" s="75">
        <f>'THAM_SO_MOI'!$C$15*'THAM_SO_MOI'!$C$16*F3128^2</f>
        <v>694.3177822216988</v>
      </c>
      <c r="N3128" s="75">
        <f>'THAM_SO_MOI'!$C$12*I3128</f>
        <v>1130.112</v>
      </c>
      <c r="O3128" s="75">
        <f>M3128+N3128</f>
        <v>1824.429782221699</v>
      </c>
      <c r="P3128" s="75">
        <f>(MIN(L3128,'THAM_SO_MOI'!$C$41)-O3128)/('THAM_SO_MOI'!$C$11*H3128)</f>
        <v>0.4593446800158388</v>
      </c>
      <c r="Q3128" s="75">
        <f>IF(P3128&gt;0,1/P3128,NA())</f>
        <v>2.177014437100956</v>
      </c>
      <c r="R3128" s="75">
        <f>F3128-F3127</f>
        <v>0.007943393307218827</v>
      </c>
      <c r="S3128" s="75">
        <f>0.5*(Q3127+Q3128)*R3128</f>
        <v>0.017290486248074232</v>
      </c>
      <c r="T3128" s="75">
        <f>0.5*(F3127*Q3127+F3128*Q3128)*R3128</f>
        <v>0.26632470925244645</v>
      </c>
      <c r="U3128" s="76">
        <f>U3127+S3128</f>
        <v>24.836859408069333</v>
      </c>
      <c r="V3128" s="76">
        <f>V3127+T3128</f>
        <v>225.20257772812943</v>
      </c>
    </row>
    <row r="3129" spans="1:22" ht="19" customHeight="1">
      <c r="A3129" s="68" t="s">
        <v>376</v>
      </c>
      <c r="B3129" s="74">
        <v>4</v>
      </c>
      <c r="C3129" s="68" t="s">
        <v>363</v>
      </c>
      <c r="D3129" s="68" t="s">
        <v>364</v>
      </c>
      <c r="E3129" s="75">
        <f>60*F3129*'THAM_SO_MOI'!$C$52/(2*PI()*'THAM_SO_MOI'!$C$26)</f>
        <v>2425.049702665143</v>
      </c>
      <c r="F3129" s="75">
        <f>'HANH_TRINH'!$F$2468+('THAM_SO_MOI'!$F$52-'HANH_TRINH'!$F$2468)*660/'THAM_SO_MOI'!$C$42</f>
        <v>15.41487692206482</v>
      </c>
      <c r="G3129" s="75">
        <f>3.6*F3129</f>
        <v>55.49355691943335</v>
      </c>
      <c r="H3129" s="75">
        <f>'THAM_SO_MOI'!$D$52</f>
        <v>1.1774754878398197</v>
      </c>
      <c r="I3129" s="75">
        <f>IF(F3129&gt;'THAM_SO_MOI'!$C$14,'THAM_SO_MOI'!$C$13*(1+F3129^2/1500),'THAM_SO_MOI'!$C$13)</f>
        <v>0.015</v>
      </c>
      <c r="J3129" s="75">
        <f>'THAM_SO_MOI'!$C$40*('THAM_SO_MOI'!$C$23*(E3129/'THAM_SO_MOI'!$C$22)+'THAM_SO_MOI'!$C$24*(E3129/'THAM_SO_MOI'!$C$22)^2-'THAM_SO_MOI'!$C$25*(E3129/'THAM_SO_MOI'!$C$22)^3)</f>
        <v>108.38877899635067</v>
      </c>
      <c r="K3129" s="75">
        <f>'THAM_SO_MOI'!$C$31*J3129/E3129</f>
        <v>426.89099936586786</v>
      </c>
      <c r="L3129" s="75">
        <f>K3129*'THAM_SO_MOI'!$C$52*'THAM_SO_MOI'!$C$17/'THAM_SO_MOI'!$C$26</f>
        <v>5977.851530906434</v>
      </c>
      <c r="M3129" s="75">
        <f>'THAM_SO_MOI'!$C$15*'THAM_SO_MOI'!$C$16*F3129^2</f>
        <v>695.0339092780393</v>
      </c>
      <c r="N3129" s="75">
        <f>'THAM_SO_MOI'!$C$12*I3129</f>
        <v>1130.112</v>
      </c>
      <c r="O3129" s="75">
        <f>M3129+N3129</f>
        <v>1825.1459092780394</v>
      </c>
      <c r="P3129" s="75">
        <f>(MIN(L3129,'THAM_SO_MOI'!$C$41)-O3129)/('THAM_SO_MOI'!$C$11*H3129)</f>
        <v>0.4592170991246612</v>
      </c>
      <c r="Q3129" s="75">
        <f>IF(P3129&gt;0,1/P3129,NA())</f>
        <v>2.1776192609250713</v>
      </c>
      <c r="R3129" s="75">
        <f>F3129-F3128</f>
        <v>0.007943393307218827</v>
      </c>
      <c r="S3129" s="75">
        <f>0.5*(Q3128+Q3129)*R3129</f>
        <v>0.01729528408614476</v>
      </c>
      <c r="T3129" s="75">
        <f>0.5*(F3128*Q3128+F3129*Q3129)*R3129</f>
        <v>0.266535993438857</v>
      </c>
      <c r="U3129" s="76">
        <f>U3128+S3129</f>
        <v>24.85415469215548</v>
      </c>
      <c r="V3129" s="76">
        <f>V3128+T3129</f>
        <v>225.46911372156828</v>
      </c>
    </row>
    <row r="3130" spans="1:22" ht="19" customHeight="1">
      <c r="A3130" s="68" t="s">
        <v>376</v>
      </c>
      <c r="B3130" s="74">
        <v>4</v>
      </c>
      <c r="C3130" s="68" t="s">
        <v>363</v>
      </c>
      <c r="D3130" s="68" t="s">
        <v>364</v>
      </c>
      <c r="E3130" s="75">
        <f>60*F3130*'THAM_SO_MOI'!$C$52/(2*PI()*'THAM_SO_MOI'!$C$26)</f>
        <v>2426.299347646106</v>
      </c>
      <c r="F3130" s="75">
        <f>'HANH_TRINH'!$F$2468+('THAM_SO_MOI'!$F$52-'HANH_TRINH'!$F$2468)*661/'THAM_SO_MOI'!$C$42</f>
        <v>15.42282031537204</v>
      </c>
      <c r="G3130" s="75">
        <f>3.6*F3130</f>
        <v>55.522153135339344</v>
      </c>
      <c r="H3130" s="75">
        <f>'THAM_SO_MOI'!$D$52</f>
        <v>1.1774754878398197</v>
      </c>
      <c r="I3130" s="75">
        <f>IF(F3130&gt;'THAM_SO_MOI'!$C$14,'THAM_SO_MOI'!$C$13*(1+F3130^2/1500),'THAM_SO_MOI'!$C$13)</f>
        <v>0.015</v>
      </c>
      <c r="J3130" s="75">
        <f>'THAM_SO_MOI'!$C$40*('THAM_SO_MOI'!$C$23*(E3130/'THAM_SO_MOI'!$C$22)+'THAM_SO_MOI'!$C$24*(E3130/'THAM_SO_MOI'!$C$22)^2-'THAM_SO_MOI'!$C$25*(E3130/'THAM_SO_MOI'!$C$22)^3)</f>
        <v>108.4366556788987</v>
      </c>
      <c r="K3130" s="75">
        <f>'THAM_SO_MOI'!$C$31*J3130/E3130</f>
        <v>426.8595987516353</v>
      </c>
      <c r="L3130" s="75">
        <f>K3130*'THAM_SO_MOI'!$C$52*'THAM_SO_MOI'!$C$17/'THAM_SO_MOI'!$C$26</f>
        <v>5977.411820980152</v>
      </c>
      <c r="M3130" s="75">
        <f>'THAM_SO_MOI'!$C$15*'THAM_SO_MOI'!$C$16*F3130^2</f>
        <v>695.7504054547386</v>
      </c>
      <c r="N3130" s="75">
        <f>'THAM_SO_MOI'!$C$12*I3130</f>
        <v>1130.112</v>
      </c>
      <c r="O3130" s="75">
        <f>M3130+N3130</f>
        <v>1825.8624054547386</v>
      </c>
      <c r="P3130" s="75">
        <f>(MIN(L3130,'THAM_SO_MOI'!$C$41)-O3130)/('THAM_SO_MOI'!$C$11*H3130)</f>
        <v>0.45908924281579205</v>
      </c>
      <c r="Q3130" s="75">
        <f>IF(P3130&gt;0,1/P3130,NA())</f>
        <v>2.1782257276745787</v>
      </c>
      <c r="R3130" s="75">
        <f>F3130-F3129</f>
        <v>0.007943393307218827</v>
      </c>
      <c r="S3130" s="75">
        <f>0.5*(Q3129+Q3130)*R3130</f>
        <v>0.01730009496486256</v>
      </c>
      <c r="T3130" s="75">
        <f>0.5*(F3129*Q3129+F3130*Q3130)*R3130</f>
        <v>0.2667475549193023</v>
      </c>
      <c r="U3130" s="76">
        <f>U3129+S3130</f>
        <v>24.871454787120342</v>
      </c>
      <c r="V3130" s="76">
        <f>V3129+T3130</f>
        <v>225.73586127648758</v>
      </c>
    </row>
    <row r="3131" spans="1:22" ht="19" customHeight="1">
      <c r="A3131" s="68" t="s">
        <v>376</v>
      </c>
      <c r="B3131" s="74">
        <v>4</v>
      </c>
      <c r="C3131" s="68" t="s">
        <v>363</v>
      </c>
      <c r="D3131" s="68" t="s">
        <v>364</v>
      </c>
      <c r="E3131" s="75">
        <f>60*F3131*'THAM_SO_MOI'!$C$52/(2*PI()*'THAM_SO_MOI'!$C$26)</f>
        <v>2427.5489926270698</v>
      </c>
      <c r="F3131" s="75">
        <f>'HANH_TRINH'!$F$2468+('THAM_SO_MOI'!$F$52-'HANH_TRINH'!$F$2468)*662/'THAM_SO_MOI'!$C$42</f>
        <v>15.43076370867926</v>
      </c>
      <c r="G3131" s="75">
        <f>3.6*F3131</f>
        <v>55.55074935124534</v>
      </c>
      <c r="H3131" s="75">
        <f>'THAM_SO_MOI'!$D$52</f>
        <v>1.1774754878398197</v>
      </c>
      <c r="I3131" s="75">
        <f>IF(F3131&gt;'THAM_SO_MOI'!$C$14,'THAM_SO_MOI'!$C$13*(1+F3131^2/1500),'THAM_SO_MOI'!$C$13)</f>
        <v>0.015</v>
      </c>
      <c r="J3131" s="75">
        <f>'THAM_SO_MOI'!$C$40*('THAM_SO_MOI'!$C$23*(E3131/'THAM_SO_MOI'!$C$22)+'THAM_SO_MOI'!$C$24*(E3131/'THAM_SO_MOI'!$C$22)^2-'THAM_SO_MOI'!$C$25*(E3131/'THAM_SO_MOI'!$C$22)^3)</f>
        <v>108.4844856388361</v>
      </c>
      <c r="K3131" s="75">
        <f>'THAM_SO_MOI'!$C$31*J3131/E3131</f>
        <v>426.8280466376753</v>
      </c>
      <c r="L3131" s="75">
        <f>K3131*'THAM_SO_MOI'!$C$52*'THAM_SO_MOI'!$C$17/'THAM_SO_MOI'!$C$26</f>
        <v>5976.969989568809</v>
      </c>
      <c r="M3131" s="75">
        <f>'THAM_SO_MOI'!$C$15*'THAM_SO_MOI'!$C$16*F3131^2</f>
        <v>696.4672707517967</v>
      </c>
      <c r="N3131" s="75">
        <f>'THAM_SO_MOI'!$C$12*I3131</f>
        <v>1130.112</v>
      </c>
      <c r="O3131" s="75">
        <f>M3131+N3131</f>
        <v>1826.5792707517967</v>
      </c>
      <c r="P3131" s="75">
        <f>(MIN(L3131,'THAM_SO_MOI'!$C$41)-O3131)/('THAM_SO_MOI'!$C$11*H3131)</f>
        <v>0.4589611110892315</v>
      </c>
      <c r="Q3131" s="75">
        <f>IF(P3131&gt;0,1/P3131,NA())</f>
        <v>2.1788338398143265</v>
      </c>
      <c r="R3131" s="75">
        <f>F3131-F3130</f>
        <v>0.007943393307220603</v>
      </c>
      <c r="S3131" s="75">
        <f>0.5*(Q3130+Q3131)*R3131</f>
        <v>0.01730491890377643</v>
      </c>
      <c r="T3131" s="75">
        <f>0.5*(F3130*Q3130+F3131*Q3131)*R3131</f>
        <v>0.2669593943061185</v>
      </c>
      <c r="U3131" s="76">
        <f>U3130+S3131</f>
        <v>24.888759706024118</v>
      </c>
      <c r="V3131" s="76">
        <f>V3130+T3131</f>
        <v>226.0028206707937</v>
      </c>
    </row>
    <row r="3132" spans="1:22" ht="19" customHeight="1">
      <c r="A3132" s="68" t="s">
        <v>376</v>
      </c>
      <c r="B3132" s="74">
        <v>4</v>
      </c>
      <c r="C3132" s="68" t="s">
        <v>363</v>
      </c>
      <c r="D3132" s="68" t="s">
        <v>364</v>
      </c>
      <c r="E3132" s="75">
        <f>60*F3132*'THAM_SO_MOI'!$C$52/(2*PI()*'THAM_SO_MOI'!$C$26)</f>
        <v>2428.7986376080325</v>
      </c>
      <c r="F3132" s="75">
        <f>'HANH_TRINH'!$F$2468+('THAM_SO_MOI'!$F$52-'HANH_TRINH'!$F$2468)*663/'THAM_SO_MOI'!$C$42</f>
        <v>15.43870710198648</v>
      </c>
      <c r="G3132" s="75">
        <f>3.6*F3132</f>
        <v>55.57934556715133</v>
      </c>
      <c r="H3132" s="75">
        <f>'THAM_SO_MOI'!$D$52</f>
        <v>1.1774754878398197</v>
      </c>
      <c r="I3132" s="75">
        <f>IF(F3132&gt;'THAM_SO_MOI'!$C$14,'THAM_SO_MOI'!$C$13*(1+F3132^2/1500),'THAM_SO_MOI'!$C$13)</f>
        <v>0.015</v>
      </c>
      <c r="J3132" s="75">
        <f>'THAM_SO_MOI'!$C$40*('THAM_SO_MOI'!$C$23*(E3132/'THAM_SO_MOI'!$C$22)+'THAM_SO_MOI'!$C$24*(E3132/'THAM_SO_MOI'!$C$22)^2-'THAM_SO_MOI'!$C$25*(E3132/'THAM_SO_MOI'!$C$22)^3)</f>
        <v>108.53226881669711</v>
      </c>
      <c r="K3132" s="75">
        <f>'THAM_SO_MOI'!$C$31*J3132/E3132</f>
        <v>426.79634302398773</v>
      </c>
      <c r="L3132" s="75">
        <f>K3132*'THAM_SO_MOI'!$C$52*'THAM_SO_MOI'!$C$17/'THAM_SO_MOI'!$C$26</f>
        <v>5976.526036672405</v>
      </c>
      <c r="M3132" s="75">
        <f>'THAM_SO_MOI'!$C$15*'THAM_SO_MOI'!$C$16*F3132^2</f>
        <v>697.1845051692138</v>
      </c>
      <c r="N3132" s="75">
        <f>'THAM_SO_MOI'!$C$12*I3132</f>
        <v>1130.112</v>
      </c>
      <c r="O3132" s="75">
        <f>M3132+N3132</f>
        <v>1827.296505169214</v>
      </c>
      <c r="P3132" s="75">
        <f>(MIN(L3132,'THAM_SO_MOI'!$C$41)-O3132)/('THAM_SO_MOI'!$C$11*H3132)</f>
        <v>0.4588327039449793</v>
      </c>
      <c r="Q3132" s="75">
        <f>IF(P3132&gt;0,1/P3132,NA())</f>
        <v>2.179443599817842</v>
      </c>
      <c r="R3132" s="75">
        <f>F3132-F3131</f>
        <v>0.007943393307220603</v>
      </c>
      <c r="S3132" s="75">
        <f>0.5*(Q3131+Q3132)*R3132</f>
        <v>0.017309755922492356</v>
      </c>
      <c r="T3132" s="75">
        <f>0.5*(F3131*Q3131+F3132*Q3132)*R3132</f>
        <v>0.26717151221314567</v>
      </c>
      <c r="U3132" s="76">
        <f>U3131+S3132</f>
        <v>24.90606946194661</v>
      </c>
      <c r="V3132" s="76">
        <f>V3131+T3132</f>
        <v>226.26999218300685</v>
      </c>
    </row>
    <row r="3133" spans="1:22" ht="19" customHeight="1">
      <c r="A3133" s="68" t="s">
        <v>376</v>
      </c>
      <c r="B3133" s="74">
        <v>4</v>
      </c>
      <c r="C3133" s="68" t="s">
        <v>363</v>
      </c>
      <c r="D3133" s="68" t="s">
        <v>364</v>
      </c>
      <c r="E3133" s="75">
        <f>60*F3133*'THAM_SO_MOI'!$C$52/(2*PI()*'THAM_SO_MOI'!$C$26)</f>
        <v>2430.048282588996</v>
      </c>
      <c r="F3133" s="75">
        <f>'HANH_TRINH'!$F$2468+('THAM_SO_MOI'!$F$52-'HANH_TRINH'!$F$2468)*664/'THAM_SO_MOI'!$C$42</f>
        <v>15.4466504952937</v>
      </c>
      <c r="G3133" s="75">
        <f>3.6*F3133</f>
        <v>55.60794178305732</v>
      </c>
      <c r="H3133" s="75">
        <f>'THAM_SO_MOI'!$D$52</f>
        <v>1.1774754878398197</v>
      </c>
      <c r="I3133" s="75">
        <f>IF(F3133&gt;'THAM_SO_MOI'!$C$14,'THAM_SO_MOI'!$C$13*(1+F3133^2/1500),'THAM_SO_MOI'!$C$13)</f>
        <v>0.015</v>
      </c>
      <c r="J3133" s="75">
        <f>'THAM_SO_MOI'!$C$40*('THAM_SO_MOI'!$C$23*(E3133/'THAM_SO_MOI'!$C$22)+'THAM_SO_MOI'!$C$24*(E3133/'THAM_SO_MOI'!$C$22)^2-'THAM_SO_MOI'!$C$25*(E3133/'THAM_SO_MOI'!$C$22)^3)</f>
        <v>108.58000515301612</v>
      </c>
      <c r="K3133" s="75">
        <f>'THAM_SO_MOI'!$C$31*J3133/E3133</f>
        <v>426.7644879105727</v>
      </c>
      <c r="L3133" s="75">
        <f>K3133*'THAM_SO_MOI'!$C$52*'THAM_SO_MOI'!$C$17/'THAM_SO_MOI'!$C$26</f>
        <v>5976.07996229094</v>
      </c>
      <c r="M3133" s="75">
        <f>'THAM_SO_MOI'!$C$15*'THAM_SO_MOI'!$C$16*F3133^2</f>
        <v>697.9021087069896</v>
      </c>
      <c r="N3133" s="75">
        <f>'THAM_SO_MOI'!$C$12*I3133</f>
        <v>1130.112</v>
      </c>
      <c r="O3133" s="75">
        <f>M3133+N3133</f>
        <v>1828.0141087069896</v>
      </c>
      <c r="P3133" s="75">
        <f>(MIN(L3133,'THAM_SO_MOI'!$C$41)-O3133)/('THAM_SO_MOI'!$C$11*H3133)</f>
        <v>0.45870402138303557</v>
      </c>
      <c r="Q3133" s="75">
        <f>IF(P3133&gt;0,1/P3133,NA())</f>
        <v>2.1800550101673544</v>
      </c>
      <c r="R3133" s="75">
        <f>F3133-F3132</f>
        <v>0.007943393307218827</v>
      </c>
      <c r="S3133" s="75">
        <f>0.5*(Q3132+Q3133)*R3133</f>
        <v>0.017314606040693094</v>
      </c>
      <c r="T3133" s="75">
        <f>0.5*(F3132*Q3132+F3133*Q3133)*R3133</f>
        <v>0.26738390925603256</v>
      </c>
      <c r="U3133" s="76">
        <f>U3132+S3133</f>
        <v>24.923384067987303</v>
      </c>
      <c r="V3133" s="76">
        <f>V3132+T3133</f>
        <v>226.5373760922629</v>
      </c>
    </row>
    <row r="3134" spans="1:22" ht="19" customHeight="1">
      <c r="A3134" s="68" t="s">
        <v>376</v>
      </c>
      <c r="B3134" s="74">
        <v>4</v>
      </c>
      <c r="C3134" s="68" t="s">
        <v>363</v>
      </c>
      <c r="D3134" s="68" t="s">
        <v>364</v>
      </c>
      <c r="E3134" s="75">
        <f>60*F3134*'THAM_SO_MOI'!$C$52/(2*PI()*'THAM_SO_MOI'!$C$26)</f>
        <v>2431.297927569959</v>
      </c>
      <c r="F3134" s="75">
        <f>'HANH_TRINH'!$F$2468+('THAM_SO_MOI'!$F$52-'HANH_TRINH'!$F$2468)*665/'THAM_SO_MOI'!$C$42</f>
        <v>15.454593888600918</v>
      </c>
      <c r="G3134" s="75">
        <f>3.6*F3134</f>
        <v>55.636537998963306</v>
      </c>
      <c r="H3134" s="75">
        <f>'THAM_SO_MOI'!$D$52</f>
        <v>1.1774754878398197</v>
      </c>
      <c r="I3134" s="75">
        <f>IF(F3134&gt;'THAM_SO_MOI'!$C$14,'THAM_SO_MOI'!$C$13*(1+F3134^2/1500),'THAM_SO_MOI'!$C$13)</f>
        <v>0.015</v>
      </c>
      <c r="J3134" s="75">
        <f>'THAM_SO_MOI'!$C$40*('THAM_SO_MOI'!$C$23*(E3134/'THAM_SO_MOI'!$C$22)+'THAM_SO_MOI'!$C$24*(E3134/'THAM_SO_MOI'!$C$22)^2-'THAM_SO_MOI'!$C$25*(E3134/'THAM_SO_MOI'!$C$22)^3)</f>
        <v>108.62769458832742</v>
      </c>
      <c r="K3134" s="75">
        <f>'THAM_SO_MOI'!$C$31*J3134/E3134</f>
        <v>426.73248129743024</v>
      </c>
      <c r="L3134" s="75">
        <f>K3134*'THAM_SO_MOI'!$C$52*'THAM_SO_MOI'!$C$17/'THAM_SO_MOI'!$C$26</f>
        <v>5975.631766424414</v>
      </c>
      <c r="M3134" s="75">
        <f>'THAM_SO_MOI'!$C$15*'THAM_SO_MOI'!$C$16*F3134^2</f>
        <v>698.620081365124</v>
      </c>
      <c r="N3134" s="75">
        <f>'THAM_SO_MOI'!$C$12*I3134</f>
        <v>1130.112</v>
      </c>
      <c r="O3134" s="75">
        <f>M3134+N3134</f>
        <v>1828.732081365124</v>
      </c>
      <c r="P3134" s="75">
        <f>(MIN(L3134,'THAM_SO_MOI'!$C$41)-O3134)/('THAM_SO_MOI'!$C$11*H3134)</f>
        <v>0.4585750634034004</v>
      </c>
      <c r="Q3134" s="75">
        <f>IF(P3134&gt;0,1/P3134,NA())</f>
        <v>2.1806680733538224</v>
      </c>
      <c r="R3134" s="75">
        <f>F3134-F3133</f>
        <v>0.007943393307218827</v>
      </c>
      <c r="S3134" s="75">
        <f>0.5*(Q3133+Q3134)*R3134</f>
        <v>0.01731946927813838</v>
      </c>
      <c r="T3134" s="75">
        <f>0.5*(F3133*Q3133+F3134*Q3134)*R3134</f>
        <v>0.2675965860522426</v>
      </c>
      <c r="U3134" s="76">
        <f>U3133+S3134</f>
        <v>24.940703537265442</v>
      </c>
      <c r="V3134" s="76">
        <f>V3133+T3134</f>
        <v>226.80497267831512</v>
      </c>
    </row>
    <row r="3135" spans="1:22" ht="19" customHeight="1">
      <c r="A3135" s="68" t="s">
        <v>376</v>
      </c>
      <c r="B3135" s="74">
        <v>4</v>
      </c>
      <c r="C3135" s="68" t="s">
        <v>363</v>
      </c>
      <c r="D3135" s="68" t="s">
        <v>364</v>
      </c>
      <c r="E3135" s="75">
        <f>60*F3135*'THAM_SO_MOI'!$C$52/(2*PI()*'THAM_SO_MOI'!$C$26)</f>
        <v>2432.5475725509227</v>
      </c>
      <c r="F3135" s="75">
        <f>'HANH_TRINH'!$F$2468+('THAM_SO_MOI'!$F$52-'HANH_TRINH'!$F$2468)*666/'THAM_SO_MOI'!$C$42</f>
        <v>15.462537281908137</v>
      </c>
      <c r="G3135" s="75">
        <f>3.6*F3135</f>
        <v>55.6651342148693</v>
      </c>
      <c r="H3135" s="75">
        <f>'THAM_SO_MOI'!$D$52</f>
        <v>1.1774754878398197</v>
      </c>
      <c r="I3135" s="75">
        <f>IF(F3135&gt;'THAM_SO_MOI'!$C$14,'THAM_SO_MOI'!$C$13*(1+F3135^2/1500),'THAM_SO_MOI'!$C$13)</f>
        <v>0.015</v>
      </c>
      <c r="J3135" s="75">
        <f>'THAM_SO_MOI'!$C$40*('THAM_SO_MOI'!$C$23*(E3135/'THAM_SO_MOI'!$C$22)+'THAM_SO_MOI'!$C$24*(E3135/'THAM_SO_MOI'!$C$22)^2-'THAM_SO_MOI'!$C$25*(E3135/'THAM_SO_MOI'!$C$22)^3)</f>
        <v>108.6753370631653</v>
      </c>
      <c r="K3135" s="75">
        <f>'THAM_SO_MOI'!$C$31*J3135/E3135</f>
        <v>426.70032318456026</v>
      </c>
      <c r="L3135" s="75">
        <f>K3135*'THAM_SO_MOI'!$C$52*'THAM_SO_MOI'!$C$17/'THAM_SO_MOI'!$C$26</f>
        <v>5975.1814490728275</v>
      </c>
      <c r="M3135" s="75">
        <f>'THAM_SO_MOI'!$C$15*'THAM_SO_MOI'!$C$16*F3135^2</f>
        <v>699.3384231436173</v>
      </c>
      <c r="N3135" s="75">
        <f>'THAM_SO_MOI'!$C$12*I3135</f>
        <v>1130.112</v>
      </c>
      <c r="O3135" s="75">
        <f>M3135+N3135</f>
        <v>1829.4504231436174</v>
      </c>
      <c r="P3135" s="75">
        <f>(MIN(L3135,'THAM_SO_MOI'!$C$41)-O3135)/('THAM_SO_MOI'!$C$11*H3135)</f>
        <v>0.45844583000607364</v>
      </c>
      <c r="Q3135" s="75">
        <f>IF(P3135&gt;0,1/P3135,NA())</f>
        <v>2.181282791876963</v>
      </c>
      <c r="R3135" s="75">
        <f>F3135-F3134</f>
        <v>0.007943393307218827</v>
      </c>
      <c r="S3135" s="75">
        <f>0.5*(Q3134+Q3135)*R3135</f>
        <v>0.017324345654645794</v>
      </c>
      <c r="T3135" s="75">
        <f>0.5*(F3134*Q3134+F3135*Q3135)*R3135</f>
        <v>0.26780954322076145</v>
      </c>
      <c r="U3135" s="76">
        <f>U3134+S3135</f>
        <v>24.95802788292009</v>
      </c>
      <c r="V3135" s="76">
        <f>V3134+T3135</f>
        <v>227.07278222153587</v>
      </c>
    </row>
    <row r="3136" spans="1:22" ht="19" customHeight="1">
      <c r="A3136" s="68" t="s">
        <v>376</v>
      </c>
      <c r="B3136" s="74">
        <v>4</v>
      </c>
      <c r="C3136" s="68" t="s">
        <v>363</v>
      </c>
      <c r="D3136" s="68" t="s">
        <v>364</v>
      </c>
      <c r="E3136" s="75">
        <f>60*F3136*'THAM_SO_MOI'!$C$52/(2*PI()*'THAM_SO_MOI'!$C$26)</f>
        <v>2433.797217531886</v>
      </c>
      <c r="F3136" s="75">
        <f>'HANH_TRINH'!$F$2468+('THAM_SO_MOI'!$F$52-'HANH_TRINH'!$F$2468)*667/'THAM_SO_MOI'!$C$42</f>
        <v>15.470480675215356</v>
      </c>
      <c r="G3136" s="75">
        <f>3.6*F3136</f>
        <v>55.69373043077528</v>
      </c>
      <c r="H3136" s="75">
        <f>'THAM_SO_MOI'!$D$52</f>
        <v>1.1774754878398197</v>
      </c>
      <c r="I3136" s="75">
        <f>IF(F3136&gt;'THAM_SO_MOI'!$C$14,'THAM_SO_MOI'!$C$13*(1+F3136^2/1500),'THAM_SO_MOI'!$C$13)</f>
        <v>0.015</v>
      </c>
      <c r="J3136" s="75">
        <f>'THAM_SO_MOI'!$C$40*('THAM_SO_MOI'!$C$23*(E3136/'THAM_SO_MOI'!$C$22)+'THAM_SO_MOI'!$C$24*(E3136/'THAM_SO_MOI'!$C$22)^2-'THAM_SO_MOI'!$C$25*(E3136/'THAM_SO_MOI'!$C$22)^3)</f>
        <v>108.7229325180641</v>
      </c>
      <c r="K3136" s="75">
        <f>'THAM_SO_MOI'!$C$31*J3136/E3136</f>
        <v>426.6680135719628</v>
      </c>
      <c r="L3136" s="75">
        <f>K3136*'THAM_SO_MOI'!$C$52*'THAM_SO_MOI'!$C$17/'THAM_SO_MOI'!$C$26</f>
        <v>5974.729010236178</v>
      </c>
      <c r="M3136" s="75">
        <f>'THAM_SO_MOI'!$C$15*'THAM_SO_MOI'!$C$16*F3136^2</f>
        <v>700.0571340424696</v>
      </c>
      <c r="N3136" s="75">
        <f>'THAM_SO_MOI'!$C$12*I3136</f>
        <v>1130.112</v>
      </c>
      <c r="O3136" s="75">
        <f>M3136+N3136</f>
        <v>1830.1691340424695</v>
      </c>
      <c r="P3136" s="75">
        <f>(MIN(L3136,'THAM_SO_MOI'!$C$41)-O3136)/('THAM_SO_MOI'!$C$11*H3136)</f>
        <v>0.45831632119105514</v>
      </c>
      <c r="Q3136" s="75">
        <f>IF(P3136&gt;0,1/P3136,NA())</f>
        <v>2.1818991682452804</v>
      </c>
      <c r="R3136" s="75">
        <f>F3136-F3135</f>
        <v>0.007943393307218827</v>
      </c>
      <c r="S3136" s="75">
        <f>0.5*(Q3135+Q3136)*R3136</f>
        <v>0.017329235190106478</v>
      </c>
      <c r="T3136" s="75">
        <f>0.5*(F3135*Q3135+F3136*Q3136)*R3136</f>
        <v>0.26802278138234154</v>
      </c>
      <c r="U3136" s="76">
        <f>U3135+S3136</f>
        <v>24.975357118110196</v>
      </c>
      <c r="V3136" s="76">
        <f>V3135+T3136</f>
        <v>227.34080500291822</v>
      </c>
    </row>
    <row r="3137" spans="1:22" ht="19" customHeight="1">
      <c r="A3137" s="68" t="s">
        <v>376</v>
      </c>
      <c r="B3137" s="74">
        <v>4</v>
      </c>
      <c r="C3137" s="68" t="s">
        <v>363</v>
      </c>
      <c r="D3137" s="68" t="s">
        <v>364</v>
      </c>
      <c r="E3137" s="75">
        <f>60*F3137*'THAM_SO_MOI'!$C$52/(2*PI()*'THAM_SO_MOI'!$C$26)</f>
        <v>2435.046862512849</v>
      </c>
      <c r="F3137" s="75">
        <f>'HANH_TRINH'!$F$2468+('THAM_SO_MOI'!$F$52-'HANH_TRINH'!$F$2468)*668/'THAM_SO_MOI'!$C$42</f>
        <v>15.478424068522578</v>
      </c>
      <c r="G3137" s="75">
        <f>3.6*F3137</f>
        <v>55.72232664668128</v>
      </c>
      <c r="H3137" s="75">
        <f>'THAM_SO_MOI'!$D$52</f>
        <v>1.1774754878398197</v>
      </c>
      <c r="I3137" s="75">
        <f>IF(F3137&gt;'THAM_SO_MOI'!$C$14,'THAM_SO_MOI'!$C$13*(1+F3137^2/1500),'THAM_SO_MOI'!$C$13)</f>
        <v>0.015</v>
      </c>
      <c r="J3137" s="75">
        <f>'THAM_SO_MOI'!$C$40*('THAM_SO_MOI'!$C$23*(E3137/'THAM_SO_MOI'!$C$22)+'THAM_SO_MOI'!$C$24*(E3137/'THAM_SO_MOI'!$C$22)^2-'THAM_SO_MOI'!$C$25*(E3137/'THAM_SO_MOI'!$C$22)^3)</f>
        <v>108.77048089355813</v>
      </c>
      <c r="K3137" s="75">
        <f>'THAM_SO_MOI'!$C$31*J3137/E3137</f>
        <v>426.6355524596379</v>
      </c>
      <c r="L3137" s="75">
        <f>K3137*'THAM_SO_MOI'!$C$52*'THAM_SO_MOI'!$C$17/'THAM_SO_MOI'!$C$26</f>
        <v>5974.274449914469</v>
      </c>
      <c r="M3137" s="75">
        <f>'THAM_SO_MOI'!$C$15*'THAM_SO_MOI'!$C$16*F3137^2</f>
        <v>700.7762140616808</v>
      </c>
      <c r="N3137" s="75">
        <f>'THAM_SO_MOI'!$C$12*I3137</f>
        <v>1130.112</v>
      </c>
      <c r="O3137" s="75">
        <f>M3137+N3137</f>
        <v>1830.8882140616809</v>
      </c>
      <c r="P3137" s="75">
        <f>(MIN(L3137,'THAM_SO_MOI'!$C$41)-O3137)/('THAM_SO_MOI'!$C$11*H3137)</f>
        <v>0.4581865369583453</v>
      </c>
      <c r="Q3137" s="75">
        <f>IF(P3137&gt;0,1/P3137,NA())</f>
        <v>2.182517204976086</v>
      </c>
      <c r="R3137" s="75">
        <f>F3137-F3136</f>
        <v>0.00794339330722238</v>
      </c>
      <c r="S3137" s="75">
        <f>0.5*(Q3136+Q3137)*R3137</f>
        <v>0.017334137904489188</v>
      </c>
      <c r="T3137" s="75">
        <f>0.5*(F3136*Q3136+F3137*Q3137)*R3137</f>
        <v>0.26823630115956926</v>
      </c>
      <c r="U3137" s="76">
        <f>U3136+S3137</f>
        <v>24.992691256014684</v>
      </c>
      <c r="V3137" s="76">
        <f>V3136+T3137</f>
        <v>227.60904130407778</v>
      </c>
    </row>
    <row r="3138" spans="1:22" ht="19" customHeight="1">
      <c r="A3138" s="68" t="s">
        <v>376</v>
      </c>
      <c r="B3138" s="74">
        <v>4</v>
      </c>
      <c r="C3138" s="68" t="s">
        <v>363</v>
      </c>
      <c r="D3138" s="68" t="s">
        <v>364</v>
      </c>
      <c r="E3138" s="75">
        <f>60*F3138*'THAM_SO_MOI'!$C$52/(2*PI()*'THAM_SO_MOI'!$C$26)</f>
        <v>2436.2965074938124</v>
      </c>
      <c r="F3138" s="75">
        <f>'HANH_TRINH'!$F$2468+('THAM_SO_MOI'!$F$52-'HANH_TRINH'!$F$2468)*669/'THAM_SO_MOI'!$C$42</f>
        <v>15.486367461829795</v>
      </c>
      <c r="G3138" s="75">
        <f>3.6*F3138</f>
        <v>55.75092286258727</v>
      </c>
      <c r="H3138" s="75">
        <f>'THAM_SO_MOI'!$D$52</f>
        <v>1.1774754878398197</v>
      </c>
      <c r="I3138" s="75">
        <f>IF(F3138&gt;'THAM_SO_MOI'!$C$14,'THAM_SO_MOI'!$C$13*(1+F3138^2/1500),'THAM_SO_MOI'!$C$13)</f>
        <v>0.015</v>
      </c>
      <c r="J3138" s="75">
        <f>'THAM_SO_MOI'!$C$40*('THAM_SO_MOI'!$C$23*(E3138/'THAM_SO_MOI'!$C$22)+'THAM_SO_MOI'!$C$24*(E3138/'THAM_SO_MOI'!$C$22)^2-'THAM_SO_MOI'!$C$25*(E3138/'THAM_SO_MOI'!$C$22)^3)</f>
        <v>108.81798213018169</v>
      </c>
      <c r="K3138" s="75">
        <f>'THAM_SO_MOI'!$C$31*J3138/E3138</f>
        <v>426.60293984758556</v>
      </c>
      <c r="L3138" s="75">
        <f>K3138*'THAM_SO_MOI'!$C$52*'THAM_SO_MOI'!$C$17/'THAM_SO_MOI'!$C$26</f>
        <v>5973.8177681077</v>
      </c>
      <c r="M3138" s="75">
        <f>'THAM_SO_MOI'!$C$15*'THAM_SO_MOI'!$C$16*F3138^2</f>
        <v>701.4956632012503</v>
      </c>
      <c r="N3138" s="75">
        <f>'THAM_SO_MOI'!$C$12*I3138</f>
        <v>1130.112</v>
      </c>
      <c r="O3138" s="75">
        <f>M3138+N3138</f>
        <v>1831.6076632012505</v>
      </c>
      <c r="P3138" s="75">
        <f>(MIN(L3138,'THAM_SO_MOI'!$C$41)-O3138)/('THAM_SO_MOI'!$C$11*H3138)</f>
        <v>0.4580564773079441</v>
      </c>
      <c r="Q3138" s="75">
        <f>IF(P3138&gt;0,1/P3138,NA())</f>
        <v>2.183136904595535</v>
      </c>
      <c r="R3138" s="75">
        <f>F3138-F3137</f>
        <v>0.00794339330721705</v>
      </c>
      <c r="S3138" s="75">
        <f>0.5*(Q3137+Q3138)*R3138</f>
        <v>0.017339053817797913</v>
      </c>
      <c r="T3138" s="75">
        <f>0.5*(F3137*Q3137+F3138*Q3138)*R3138</f>
        <v>0.26845010317621015</v>
      </c>
      <c r="U3138" s="76">
        <f>U3137+S3138</f>
        <v>25.01003030983248</v>
      </c>
      <c r="V3138" s="76">
        <f>V3137+T3138</f>
        <v>227.87749140725398</v>
      </c>
    </row>
    <row r="3139" spans="1:22" ht="19" customHeight="1">
      <c r="A3139" s="68" t="s">
        <v>376</v>
      </c>
      <c r="B3139" s="74">
        <v>4</v>
      </c>
      <c r="C3139" s="68" t="s">
        <v>363</v>
      </c>
      <c r="D3139" s="68" t="s">
        <v>364</v>
      </c>
      <c r="E3139" s="75">
        <f>60*F3139*'THAM_SO_MOI'!$C$52/(2*PI()*'THAM_SO_MOI'!$C$26)</f>
        <v>2437.5461524747757</v>
      </c>
      <c r="F3139" s="75">
        <f>'HANH_TRINH'!$F$2468+('THAM_SO_MOI'!$F$52-'HANH_TRINH'!$F$2468)*670/'THAM_SO_MOI'!$C$42</f>
        <v>15.494310855137016</v>
      </c>
      <c r="G3139" s="75">
        <f>3.6*F3139</f>
        <v>55.77951907849326</v>
      </c>
      <c r="H3139" s="75">
        <f>'THAM_SO_MOI'!$D$52</f>
        <v>1.1774754878398197</v>
      </c>
      <c r="I3139" s="75">
        <f>IF(F3139&gt;'THAM_SO_MOI'!$C$14,'THAM_SO_MOI'!$C$13*(1+F3139^2/1500),'THAM_SO_MOI'!$C$13)</f>
        <v>0.015</v>
      </c>
      <c r="J3139" s="75">
        <f>'THAM_SO_MOI'!$C$40*('THAM_SO_MOI'!$C$23*(E3139/'THAM_SO_MOI'!$C$22)+'THAM_SO_MOI'!$C$24*(E3139/'THAM_SO_MOI'!$C$22)^2-'THAM_SO_MOI'!$C$25*(E3139/'THAM_SO_MOI'!$C$22)^3)</f>
        <v>108.86543616846912</v>
      </c>
      <c r="K3139" s="75">
        <f>'THAM_SO_MOI'!$C$31*J3139/E3139</f>
        <v>426.57017573580566</v>
      </c>
      <c r="L3139" s="75">
        <f>K3139*'THAM_SO_MOI'!$C$52*'THAM_SO_MOI'!$C$17/'THAM_SO_MOI'!$C$26</f>
        <v>5973.358964815868</v>
      </c>
      <c r="M3139" s="75">
        <f>'THAM_SO_MOI'!$C$15*'THAM_SO_MOI'!$C$16*F3139^2</f>
        <v>702.2154814611791</v>
      </c>
      <c r="N3139" s="75">
        <f>'THAM_SO_MOI'!$C$12*I3139</f>
        <v>1130.112</v>
      </c>
      <c r="O3139" s="75">
        <f>M3139+N3139</f>
        <v>1832.327481461179</v>
      </c>
      <c r="P3139" s="75">
        <f>(MIN(L3139,'THAM_SO_MOI'!$C$41)-O3139)/('THAM_SO_MOI'!$C$11*H3139)</f>
        <v>0.45792614223985084</v>
      </c>
      <c r="Q3139" s="75">
        <f>IF(P3139&gt;0,1/P3139,NA())</f>
        <v>2.1837582696386524</v>
      </c>
      <c r="R3139" s="75">
        <f>F3139-F3138</f>
        <v>0.007943393307220603</v>
      </c>
      <c r="S3139" s="75">
        <f>0.5*(Q3138+Q3139)*R3139</f>
        <v>0.017343982950172896</v>
      </c>
      <c r="T3139" s="75">
        <f>0.5*(F3138*Q3138+F3139*Q3139)*R3139</f>
        <v>0.26866418805877657</v>
      </c>
      <c r="U3139" s="76">
        <f>U3138+S3139</f>
        <v>25.027374292782653</v>
      </c>
      <c r="V3139" s="76">
        <f>V3138+T3139</f>
        <v>228.14615559531276</v>
      </c>
    </row>
    <row r="3140" spans="1:22" ht="19" customHeight="1">
      <c r="A3140" s="68" t="s">
        <v>376</v>
      </c>
      <c r="B3140" s="74">
        <v>4</v>
      </c>
      <c r="C3140" s="68" t="s">
        <v>363</v>
      </c>
      <c r="D3140" s="68" t="s">
        <v>364</v>
      </c>
      <c r="E3140" s="75">
        <f>60*F3140*'THAM_SO_MOI'!$C$52/(2*PI()*'THAM_SO_MOI'!$C$26)</f>
        <v>2438.795797455739</v>
      </c>
      <c r="F3140" s="75">
        <f>'HANH_TRINH'!$F$2468+('THAM_SO_MOI'!$F$52-'HANH_TRINH'!$F$2468)*671/'THAM_SO_MOI'!$C$42</f>
        <v>15.502254248444235</v>
      </c>
      <c r="G3140" s="75">
        <f>3.6*F3140</f>
        <v>55.808115294399244</v>
      </c>
      <c r="H3140" s="75">
        <f>'THAM_SO_MOI'!$D$52</f>
        <v>1.1774754878398197</v>
      </c>
      <c r="I3140" s="75">
        <f>IF(F3140&gt;'THAM_SO_MOI'!$C$14,'THAM_SO_MOI'!$C$13*(1+F3140^2/1500),'THAM_SO_MOI'!$C$13)</f>
        <v>0.015</v>
      </c>
      <c r="J3140" s="75">
        <f>'THAM_SO_MOI'!$C$40*('THAM_SO_MOI'!$C$23*(E3140/'THAM_SO_MOI'!$C$22)+'THAM_SO_MOI'!$C$24*(E3140/'THAM_SO_MOI'!$C$22)^2-'THAM_SO_MOI'!$C$25*(E3140/'THAM_SO_MOI'!$C$22)^3)</f>
        <v>108.91284294895469</v>
      </c>
      <c r="K3140" s="75">
        <f>'THAM_SO_MOI'!$C$31*J3140/E3140</f>
        <v>426.53726012429837</v>
      </c>
      <c r="L3140" s="75">
        <f>K3140*'THAM_SO_MOI'!$C$52*'THAM_SO_MOI'!$C$17/'THAM_SO_MOI'!$C$26</f>
        <v>5972.898040038978</v>
      </c>
      <c r="M3140" s="75">
        <f>'THAM_SO_MOI'!$C$15*'THAM_SO_MOI'!$C$16*F3140^2</f>
        <v>702.9356688414664</v>
      </c>
      <c r="N3140" s="75">
        <f>'THAM_SO_MOI'!$C$12*I3140</f>
        <v>1130.112</v>
      </c>
      <c r="O3140" s="75">
        <f>M3140+N3140</f>
        <v>1833.0476688414665</v>
      </c>
      <c r="P3140" s="75">
        <f>(MIN(L3140,'THAM_SO_MOI'!$C$41)-O3140)/('THAM_SO_MOI'!$C$11*H3140)</f>
        <v>0.45779553175406673</v>
      </c>
      <c r="Q3140" s="75">
        <f>IF(P3140&gt;0,1/P3140,NA())</f>
        <v>2.1843813026493497</v>
      </c>
      <c r="R3140" s="75">
        <f>F3140-F3139</f>
        <v>0.007943393307218827</v>
      </c>
      <c r="S3140" s="75">
        <f>0.5*(Q3139+Q3140)*R3140</f>
        <v>0.017348925321755113</v>
      </c>
      <c r="T3140" s="75">
        <f>0.5*(F3139*Q3139+F3140*Q3140)*R3140</f>
        <v>0.26887855643443176</v>
      </c>
      <c r="U3140" s="76">
        <f>U3139+S3140</f>
        <v>25.04472321810441</v>
      </c>
      <c r="V3140" s="76">
        <f>V3139+T3140</f>
        <v>228.4150341517472</v>
      </c>
    </row>
    <row r="3141" spans="1:22" ht="19" customHeight="1">
      <c r="A3141" s="68" t="s">
        <v>376</v>
      </c>
      <c r="B3141" s="74">
        <v>4</v>
      </c>
      <c r="C3141" s="68" t="s">
        <v>363</v>
      </c>
      <c r="D3141" s="68" t="s">
        <v>364</v>
      </c>
      <c r="E3141" s="75">
        <f>60*F3141*'THAM_SO_MOI'!$C$52/(2*PI()*'THAM_SO_MOI'!$C$26)</f>
        <v>2440.045442436702</v>
      </c>
      <c r="F3141" s="75">
        <f>'HANH_TRINH'!$F$2468+('THAM_SO_MOI'!$F$52-'HANH_TRINH'!$F$2468)*672/'THAM_SO_MOI'!$C$42</f>
        <v>15.510197641751454</v>
      </c>
      <c r="G3141" s="75">
        <f>3.6*F3141</f>
        <v>55.836711510305236</v>
      </c>
      <c r="H3141" s="75">
        <f>'THAM_SO_MOI'!$D$52</f>
        <v>1.1774754878398197</v>
      </c>
      <c r="I3141" s="75">
        <f>IF(F3141&gt;'THAM_SO_MOI'!$C$14,'THAM_SO_MOI'!$C$13*(1+F3141^2/1500),'THAM_SO_MOI'!$C$13)</f>
        <v>0.015</v>
      </c>
      <c r="J3141" s="75">
        <f>'THAM_SO_MOI'!$C$40*('THAM_SO_MOI'!$C$23*(E3141/'THAM_SO_MOI'!$C$22)+'THAM_SO_MOI'!$C$24*(E3141/'THAM_SO_MOI'!$C$22)^2-'THAM_SO_MOI'!$C$25*(E3141/'THAM_SO_MOI'!$C$22)^3)</f>
        <v>108.96020241217278</v>
      </c>
      <c r="K3141" s="75">
        <f>'THAM_SO_MOI'!$C$31*J3141/E3141</f>
        <v>426.5041930130636</v>
      </c>
      <c r="L3141" s="75">
        <f>K3141*'THAM_SO_MOI'!$C$52*'THAM_SO_MOI'!$C$17/'THAM_SO_MOI'!$C$26</f>
        <v>5972.434993777026</v>
      </c>
      <c r="M3141" s="75">
        <f>'THAM_SO_MOI'!$C$15*'THAM_SO_MOI'!$C$16*F3141^2</f>
        <v>703.6562253421126</v>
      </c>
      <c r="N3141" s="75">
        <f>'THAM_SO_MOI'!$C$12*I3141</f>
        <v>1130.112</v>
      </c>
      <c r="O3141" s="75">
        <f>M3141+N3141</f>
        <v>1833.7682253421126</v>
      </c>
      <c r="P3141" s="75">
        <f>(MIN(L3141,'THAM_SO_MOI'!$C$41)-O3141)/('THAM_SO_MOI'!$C$11*H3141)</f>
        <v>0.4576646458505908</v>
      </c>
      <c r="Q3141" s="75">
        <f>IF(P3141&gt;0,1/P3141,NA())</f>
        <v>2.185006006180473</v>
      </c>
      <c r="R3141" s="75">
        <f>F3141-F3140</f>
        <v>0.007943393307218827</v>
      </c>
      <c r="S3141" s="75">
        <f>0.5*(Q3140+Q3141)*R3141</f>
        <v>0.017353880952802846</v>
      </c>
      <c r="T3141" s="75">
        <f>0.5*(F3140*Q3140+F3141*Q3141)*R3141</f>
        <v>0.26909320893279814</v>
      </c>
      <c r="U3141" s="76">
        <f>U3140+S3141</f>
        <v>25.062077099057213</v>
      </c>
      <c r="V3141" s="76">
        <f>V3140+T3141</f>
        <v>228.68412736067998</v>
      </c>
    </row>
    <row r="3142" spans="1:22" ht="19" customHeight="1">
      <c r="A3142" s="68" t="s">
        <v>376</v>
      </c>
      <c r="B3142" s="74">
        <v>4</v>
      </c>
      <c r="C3142" s="68" t="s">
        <v>363</v>
      </c>
      <c r="D3142" s="68" t="s">
        <v>364</v>
      </c>
      <c r="E3142" s="75">
        <f>60*F3142*'THAM_SO_MOI'!$C$52/(2*PI()*'THAM_SO_MOI'!$C$26)</f>
        <v>2441.2950874176654</v>
      </c>
      <c r="F3142" s="75">
        <f>'HANH_TRINH'!$F$2468+('THAM_SO_MOI'!$F$52-'HANH_TRINH'!$F$2468)*673/'THAM_SO_MOI'!$C$42</f>
        <v>15.518141035058674</v>
      </c>
      <c r="G3142" s="75">
        <f>3.6*F3142</f>
        <v>55.86530772621123</v>
      </c>
      <c r="H3142" s="75">
        <f>'THAM_SO_MOI'!$D$52</f>
        <v>1.1774754878398197</v>
      </c>
      <c r="I3142" s="75">
        <f>IF(F3142&gt;'THAM_SO_MOI'!$C$14,'THAM_SO_MOI'!$C$13*(1+F3142^2/1500),'THAM_SO_MOI'!$C$13)</f>
        <v>0.015</v>
      </c>
      <c r="J3142" s="75">
        <f>'THAM_SO_MOI'!$C$40*('THAM_SO_MOI'!$C$23*(E3142/'THAM_SO_MOI'!$C$22)+'THAM_SO_MOI'!$C$24*(E3142/'THAM_SO_MOI'!$C$22)^2-'THAM_SO_MOI'!$C$25*(E3142/'THAM_SO_MOI'!$C$22)^3)</f>
        <v>109.0075144986576</v>
      </c>
      <c r="K3142" s="75">
        <f>'THAM_SO_MOI'!$C$31*J3142/E3142</f>
        <v>426.4709744021012</v>
      </c>
      <c r="L3142" s="75">
        <f>K3142*'THAM_SO_MOI'!$C$52*'THAM_SO_MOI'!$C$17/'THAM_SO_MOI'!$C$26</f>
        <v>5971.969826030011</v>
      </c>
      <c r="M3142" s="75">
        <f>'THAM_SO_MOI'!$C$15*'THAM_SO_MOI'!$C$16*F3142^2</f>
        <v>704.3771509631179</v>
      </c>
      <c r="N3142" s="75">
        <f>'THAM_SO_MOI'!$C$12*I3142</f>
        <v>1130.112</v>
      </c>
      <c r="O3142" s="75">
        <f>M3142+N3142</f>
        <v>1834.489150963118</v>
      </c>
      <c r="P3142" s="75">
        <f>(MIN(L3142,'THAM_SO_MOI'!$C$41)-O3142)/('THAM_SO_MOI'!$C$11*H3142)</f>
        <v>0.4575334845294231</v>
      </c>
      <c r="Q3142" s="75">
        <f>IF(P3142&gt;0,1/P3142,NA())</f>
        <v>2.185632382793815</v>
      </c>
      <c r="R3142" s="75">
        <f>F3142-F3141</f>
        <v>0.007943393307220603</v>
      </c>
      <c r="S3142" s="75">
        <f>0.5*(Q3141+Q3142)*R3142</f>
        <v>0.0173588498636299</v>
      </c>
      <c r="T3142" s="75">
        <f>0.5*(F3141*Q3141+F3142*Q3142)*R3142</f>
        <v>0.2693081461850031</v>
      </c>
      <c r="U3142" s="76">
        <f>U3141+S3142</f>
        <v>25.079435948920842</v>
      </c>
      <c r="V3142" s="76">
        <f>V3141+T3142</f>
        <v>228.953435506865</v>
      </c>
    </row>
    <row r="3143" spans="1:22" ht="19" customHeight="1">
      <c r="A3143" s="68" t="s">
        <v>376</v>
      </c>
      <c r="B3143" s="74">
        <v>4</v>
      </c>
      <c r="C3143" s="68" t="s">
        <v>363</v>
      </c>
      <c r="D3143" s="68" t="s">
        <v>364</v>
      </c>
      <c r="E3143" s="75">
        <f>60*F3143*'THAM_SO_MOI'!$C$52/(2*PI()*'THAM_SO_MOI'!$C$26)</f>
        <v>2442.544732398629</v>
      </c>
      <c r="F3143" s="75">
        <f>'HANH_TRINH'!$F$2468+('THAM_SO_MOI'!$F$52-'HANH_TRINH'!$F$2468)*674/'THAM_SO_MOI'!$C$42</f>
        <v>15.526084428365895</v>
      </c>
      <c r="G3143" s="75">
        <f>3.6*F3143</f>
        <v>55.89390394211722</v>
      </c>
      <c r="H3143" s="75">
        <f>'THAM_SO_MOI'!$D$52</f>
        <v>1.1774754878398197</v>
      </c>
      <c r="I3143" s="75">
        <f>IF(F3143&gt;'THAM_SO_MOI'!$C$14,'THAM_SO_MOI'!$C$13*(1+F3143^2/1500),'THAM_SO_MOI'!$C$13)</f>
        <v>0.015</v>
      </c>
      <c r="J3143" s="75">
        <f>'THAM_SO_MOI'!$C$40*('THAM_SO_MOI'!$C$23*(E3143/'THAM_SO_MOI'!$C$22)+'THAM_SO_MOI'!$C$24*(E3143/'THAM_SO_MOI'!$C$22)^2-'THAM_SO_MOI'!$C$25*(E3143/'THAM_SO_MOI'!$C$22)^3)</f>
        <v>109.05477914894361</v>
      </c>
      <c r="K3143" s="75">
        <f>'THAM_SO_MOI'!$C$31*J3143/E3143</f>
        <v>426.43760429141156</v>
      </c>
      <c r="L3143" s="75">
        <f>K3143*'THAM_SO_MOI'!$C$52*'THAM_SO_MOI'!$C$17/'THAM_SO_MOI'!$C$26</f>
        <v>5971.502536797937</v>
      </c>
      <c r="M3143" s="75">
        <f>'THAM_SO_MOI'!$C$15*'THAM_SO_MOI'!$C$16*F3143^2</f>
        <v>705.0984457044818</v>
      </c>
      <c r="N3143" s="75">
        <f>'THAM_SO_MOI'!$C$12*I3143</f>
        <v>1130.112</v>
      </c>
      <c r="O3143" s="75">
        <f>M3143+N3143</f>
        <v>1835.210445704482</v>
      </c>
      <c r="P3143" s="75">
        <f>(MIN(L3143,'THAM_SO_MOI'!$C$41)-O3143)/('THAM_SO_MOI'!$C$11*H3143)</f>
        <v>0.45740204779056415</v>
      </c>
      <c r="Q3143" s="75">
        <f>IF(P3143&gt;0,1/P3143,NA())</f>
        <v>2.186260435060145</v>
      </c>
      <c r="R3143" s="75">
        <f>F3143-F3142</f>
        <v>0.007943393307220603</v>
      </c>
      <c r="S3143" s="75">
        <f>0.5*(Q3142+Q3143)*R3143</f>
        <v>0.01736383207461348</v>
      </c>
      <c r="T3143" s="75">
        <f>0.5*(F3142*Q3142+F3143*Q3143)*R3143</f>
        <v>0.2695233688238036</v>
      </c>
      <c r="U3143" s="76">
        <f>U3142+S3143</f>
        <v>25.096799780995457</v>
      </c>
      <c r="V3143" s="76">
        <f>V3142+T3143</f>
        <v>229.2229588756888</v>
      </c>
    </row>
    <row r="3144" spans="1:22" ht="19" customHeight="1">
      <c r="A3144" s="68" t="s">
        <v>376</v>
      </c>
      <c r="B3144" s="74">
        <v>4</v>
      </c>
      <c r="C3144" s="68" t="s">
        <v>363</v>
      </c>
      <c r="D3144" s="68" t="s">
        <v>364</v>
      </c>
      <c r="E3144" s="75">
        <f>60*F3144*'THAM_SO_MOI'!$C$52/(2*PI()*'THAM_SO_MOI'!$C$26)</f>
        <v>2443.7943773795923</v>
      </c>
      <c r="F3144" s="75">
        <f>'HANH_TRINH'!$F$2468+('THAM_SO_MOI'!$F$52-'HANH_TRINH'!$F$2468)*675/'THAM_SO_MOI'!$C$42</f>
        <v>15.534027821673114</v>
      </c>
      <c r="G3144" s="75">
        <f>3.6*F3144</f>
        <v>55.92250015802321</v>
      </c>
      <c r="H3144" s="75">
        <f>'THAM_SO_MOI'!$D$52</f>
        <v>1.1774754878398197</v>
      </c>
      <c r="I3144" s="75">
        <f>IF(F3144&gt;'THAM_SO_MOI'!$C$14,'THAM_SO_MOI'!$C$13*(1+F3144^2/1500),'THAM_SO_MOI'!$C$13)</f>
        <v>0.015</v>
      </c>
      <c r="J3144" s="75">
        <f>'THAM_SO_MOI'!$C$40*('THAM_SO_MOI'!$C$23*(E3144/'THAM_SO_MOI'!$C$22)+'THAM_SO_MOI'!$C$24*(E3144/'THAM_SO_MOI'!$C$22)^2-'THAM_SO_MOI'!$C$25*(E3144/'THAM_SO_MOI'!$C$22)^3)</f>
        <v>109.10199630356497</v>
      </c>
      <c r="K3144" s="75">
        <f>'THAM_SO_MOI'!$C$31*J3144/E3144</f>
        <v>426.4040826809943</v>
      </c>
      <c r="L3144" s="75">
        <f>K3144*'THAM_SO_MOI'!$C$52*'THAM_SO_MOI'!$C$17/'THAM_SO_MOI'!$C$26</f>
        <v>5971.033126080801</v>
      </c>
      <c r="M3144" s="75">
        <f>'THAM_SO_MOI'!$C$15*'THAM_SO_MOI'!$C$16*F3144^2</f>
        <v>705.8201095662045</v>
      </c>
      <c r="N3144" s="75">
        <f>'THAM_SO_MOI'!$C$12*I3144</f>
        <v>1130.112</v>
      </c>
      <c r="O3144" s="75">
        <f>M3144+N3144</f>
        <v>1835.9321095662044</v>
      </c>
      <c r="P3144" s="75">
        <f>(MIN(L3144,'THAM_SO_MOI'!$C$41)-O3144)/('THAM_SO_MOI'!$C$11*H3144)</f>
        <v>0.4572703356340135</v>
      </c>
      <c r="Q3144" s="75">
        <f>IF(P3144&gt;0,1/P3144,NA())</f>
        <v>2.1868901655592468</v>
      </c>
      <c r="R3144" s="75">
        <f>F3144-F3143</f>
        <v>0.007943393307218827</v>
      </c>
      <c r="S3144" s="75">
        <f>0.5*(Q3143+Q3144)*R3144</f>
        <v>0.017368827606210033</v>
      </c>
      <c r="T3144" s="75">
        <f>0.5*(F3143*Q3143+F3144*Q3144)*R3144</f>
        <v>0.2697388774838346</v>
      </c>
      <c r="U3144" s="76">
        <f>U3143+S3144</f>
        <v>25.114168608601666</v>
      </c>
      <c r="V3144" s="76">
        <f>V3143+T3144</f>
        <v>229.49269775317262</v>
      </c>
    </row>
    <row r="3145" spans="1:22" ht="19" customHeight="1">
      <c r="A3145" s="68" t="s">
        <v>376</v>
      </c>
      <c r="B3145" s="74">
        <v>4</v>
      </c>
      <c r="C3145" s="68" t="s">
        <v>363</v>
      </c>
      <c r="D3145" s="68" t="s">
        <v>364</v>
      </c>
      <c r="E3145" s="75">
        <f>60*F3145*'THAM_SO_MOI'!$C$52/(2*PI()*'THAM_SO_MOI'!$C$26)</f>
        <v>2445.0440223605556</v>
      </c>
      <c r="F3145" s="75">
        <f>'HANH_TRINH'!$F$2468+('THAM_SO_MOI'!$F$52-'HANH_TRINH'!$F$2468)*676/'THAM_SO_MOI'!$C$42</f>
        <v>15.541971214980332</v>
      </c>
      <c r="G3145" s="75">
        <f>3.6*F3145</f>
        <v>55.9510963739292</v>
      </c>
      <c r="H3145" s="75">
        <f>'THAM_SO_MOI'!$D$52</f>
        <v>1.1774754878398197</v>
      </c>
      <c r="I3145" s="75">
        <f>IF(F3145&gt;'THAM_SO_MOI'!$C$14,'THAM_SO_MOI'!$C$13*(1+F3145^2/1500),'THAM_SO_MOI'!$C$13)</f>
        <v>0.015</v>
      </c>
      <c r="J3145" s="75">
        <f>'THAM_SO_MOI'!$C$40*('THAM_SO_MOI'!$C$23*(E3145/'THAM_SO_MOI'!$C$22)+'THAM_SO_MOI'!$C$24*(E3145/'THAM_SO_MOI'!$C$22)^2-'THAM_SO_MOI'!$C$25*(E3145/'THAM_SO_MOI'!$C$22)^3)</f>
        <v>109.14916590305609</v>
      </c>
      <c r="K3145" s="75">
        <f>'THAM_SO_MOI'!$C$31*J3145/E3145</f>
        <v>426.3704095708495</v>
      </c>
      <c r="L3145" s="75">
        <f>K3145*'THAM_SO_MOI'!$C$52*'THAM_SO_MOI'!$C$17/'THAM_SO_MOI'!$C$26</f>
        <v>5970.561593878603</v>
      </c>
      <c r="M3145" s="75">
        <f>'THAM_SO_MOI'!$C$15*'THAM_SO_MOI'!$C$16*F3145^2</f>
        <v>706.5421425482859</v>
      </c>
      <c r="N3145" s="75">
        <f>'THAM_SO_MOI'!$C$12*I3145</f>
        <v>1130.112</v>
      </c>
      <c r="O3145" s="75">
        <f>M3145+N3145</f>
        <v>1836.654142548286</v>
      </c>
      <c r="P3145" s="75">
        <f>(MIN(L3145,'THAM_SO_MOI'!$C$41)-O3145)/('THAM_SO_MOI'!$C$11*H3145)</f>
        <v>0.45713834805977127</v>
      </c>
      <c r="Q3145" s="75">
        <f>IF(P3145&gt;0,1/P3145,NA())</f>
        <v>2.187521576879936</v>
      </c>
      <c r="R3145" s="75">
        <f>F3145-F3144</f>
        <v>0.007943393307218827</v>
      </c>
      <c r="S3145" s="75">
        <f>0.5*(Q3144+Q3145)*R3145</f>
        <v>0.017373836478955424</v>
      </c>
      <c r="T3145" s="75">
        <f>0.5*(F3144*Q3144+F3145*Q3145)*R3145</f>
        <v>0.26995467280161517</v>
      </c>
      <c r="U3145" s="76">
        <f>U3144+S3145</f>
        <v>25.131542445080623</v>
      </c>
      <c r="V3145" s="76">
        <f>V3144+T3145</f>
        <v>229.76265242597424</v>
      </c>
    </row>
    <row r="3146" spans="1:22" ht="19" customHeight="1">
      <c r="A3146" s="68" t="s">
        <v>376</v>
      </c>
      <c r="B3146" s="74">
        <v>4</v>
      </c>
      <c r="C3146" s="68" t="s">
        <v>363</v>
      </c>
      <c r="D3146" s="68" t="s">
        <v>364</v>
      </c>
      <c r="E3146" s="75">
        <f>60*F3146*'THAM_SO_MOI'!$C$52/(2*PI()*'THAM_SO_MOI'!$C$26)</f>
        <v>2446.2936673415184</v>
      </c>
      <c r="F3146" s="75">
        <f>'HANH_TRINH'!$F$2468+('THAM_SO_MOI'!$F$52-'HANH_TRINH'!$F$2468)*677/'THAM_SO_MOI'!$C$42</f>
        <v>15.549914608287551</v>
      </c>
      <c r="G3146" s="75">
        <f>3.6*F3146</f>
        <v>55.97969258983519</v>
      </c>
      <c r="H3146" s="75">
        <f>'THAM_SO_MOI'!$D$52</f>
        <v>1.1774754878398197</v>
      </c>
      <c r="I3146" s="75">
        <f>IF(F3146&gt;'THAM_SO_MOI'!$C$14,'THAM_SO_MOI'!$C$13*(1+F3146^2/1500),'THAM_SO_MOI'!$C$13)</f>
        <v>0.015</v>
      </c>
      <c r="J3146" s="75">
        <f>'THAM_SO_MOI'!$C$40*('THAM_SO_MOI'!$C$23*(E3146/'THAM_SO_MOI'!$C$22)+'THAM_SO_MOI'!$C$24*(E3146/'THAM_SO_MOI'!$C$22)^2-'THAM_SO_MOI'!$C$25*(E3146/'THAM_SO_MOI'!$C$22)^3)</f>
        <v>109.19628788795124</v>
      </c>
      <c r="K3146" s="75">
        <f>'THAM_SO_MOI'!$C$31*J3146/E3146</f>
        <v>426.3365849609774</v>
      </c>
      <c r="L3146" s="75">
        <f>K3146*'THAM_SO_MOI'!$C$52*'THAM_SO_MOI'!$C$17/'THAM_SO_MOI'!$C$26</f>
        <v>5970.087940191346</v>
      </c>
      <c r="M3146" s="75">
        <f>'THAM_SO_MOI'!$C$15*'THAM_SO_MOI'!$C$16*F3146^2</f>
        <v>707.2645446507263</v>
      </c>
      <c r="N3146" s="75">
        <f>'THAM_SO_MOI'!$C$12*I3146</f>
        <v>1130.112</v>
      </c>
      <c r="O3146" s="75">
        <f>M3146+N3146</f>
        <v>1837.3765446507264</v>
      </c>
      <c r="P3146" s="75">
        <f>(MIN(L3146,'THAM_SO_MOI'!$C$41)-O3146)/('THAM_SO_MOI'!$C$11*H3146)</f>
        <v>0.4570060850678376</v>
      </c>
      <c r="Q3146" s="75">
        <f>IF(P3146&gt;0,1/P3146,NA())</f>
        <v>2.1881546716200964</v>
      </c>
      <c r="R3146" s="75">
        <f>F3146-F3145</f>
        <v>0.007943393307218827</v>
      </c>
      <c r="S3146" s="75">
        <f>0.5*(Q3145+Q3146)*R3146</f>
        <v>0.01737885871344577</v>
      </c>
      <c r="T3146" s="75">
        <f>0.5*(F3145*Q3145+F3146*Q3146)*R3146</f>
        <v>0.2701707554152534</v>
      </c>
      <c r="U3146" s="76">
        <f>U3145+S3146</f>
        <v>25.14892130379407</v>
      </c>
      <c r="V3146" s="76">
        <f>V3145+T3146</f>
        <v>230.0328231813895</v>
      </c>
    </row>
    <row r="3147" spans="1:22" ht="19" customHeight="1">
      <c r="A3147" s="68" t="s">
        <v>376</v>
      </c>
      <c r="B3147" s="74">
        <v>4</v>
      </c>
      <c r="C3147" s="68" t="s">
        <v>363</v>
      </c>
      <c r="D3147" s="68" t="s">
        <v>364</v>
      </c>
      <c r="E3147" s="75">
        <f>60*F3147*'THAM_SO_MOI'!$C$52/(2*PI()*'THAM_SO_MOI'!$C$26)</f>
        <v>2447.5433123224816</v>
      </c>
      <c r="F3147" s="75">
        <f>'HANH_TRINH'!$F$2468+('THAM_SO_MOI'!$F$52-'HANH_TRINH'!$F$2468)*678/'THAM_SO_MOI'!$C$42</f>
        <v>15.55785800159477</v>
      </c>
      <c r="G3147" s="75">
        <f>3.6*F3147</f>
        <v>56.008288805741174</v>
      </c>
      <c r="H3147" s="75">
        <f>'THAM_SO_MOI'!$D$52</f>
        <v>1.1774754878398197</v>
      </c>
      <c r="I3147" s="75">
        <f>IF(F3147&gt;'THAM_SO_MOI'!$C$14,'THAM_SO_MOI'!$C$13*(1+F3147^2/1500),'THAM_SO_MOI'!$C$13)</f>
        <v>0.015</v>
      </c>
      <c r="J3147" s="75">
        <f>'THAM_SO_MOI'!$C$40*('THAM_SO_MOI'!$C$23*(E3147/'THAM_SO_MOI'!$C$22)+'THAM_SO_MOI'!$C$24*(E3147/'THAM_SO_MOI'!$C$22)^2-'THAM_SO_MOI'!$C$25*(E3147/'THAM_SO_MOI'!$C$22)^3)</f>
        <v>109.24336219878478</v>
      </c>
      <c r="K3147" s="75">
        <f>'THAM_SO_MOI'!$C$31*J3147/E3147</f>
        <v>426.30260885137784</v>
      </c>
      <c r="L3147" s="75">
        <f>K3147*'THAM_SO_MOI'!$C$52*'THAM_SO_MOI'!$C$17/'THAM_SO_MOI'!$C$26</f>
        <v>5969.612165019029</v>
      </c>
      <c r="M3147" s="75">
        <f>'THAM_SO_MOI'!$C$15*'THAM_SO_MOI'!$C$16*F3147^2</f>
        <v>707.9873158735253</v>
      </c>
      <c r="N3147" s="75">
        <f>'THAM_SO_MOI'!$C$12*I3147</f>
        <v>1130.112</v>
      </c>
      <c r="O3147" s="75">
        <f>M3147+N3147</f>
        <v>1838.0993158735255</v>
      </c>
      <c r="P3147" s="75">
        <f>(MIN(L3147,'THAM_SO_MOI'!$C$41)-O3147)/('THAM_SO_MOI'!$C$11*H3147)</f>
        <v>0.45687354665821256</v>
      </c>
      <c r="Q3147" s="75">
        <f>IF(P3147&gt;0,1/P3147,NA())</f>
        <v>2.188789452386703</v>
      </c>
      <c r="R3147" s="75">
        <f>F3147-F3146</f>
        <v>0.007943393307218827</v>
      </c>
      <c r="S3147" s="75">
        <f>0.5*(Q3146+Q3147)*R3147</f>
        <v>0.01738389433035319</v>
      </c>
      <c r="T3147" s="75">
        <f>0.5*(F3146*Q3146+F3147*Q3147)*R3147</f>
        <v>0.2703871259646942</v>
      </c>
      <c r="U3147" s="76">
        <f>U3146+S3147</f>
        <v>25.166305198124423</v>
      </c>
      <c r="V3147" s="76">
        <f>V3146+T3147</f>
        <v>230.3032103073542</v>
      </c>
    </row>
    <row r="3148" spans="1:22" ht="19" customHeight="1">
      <c r="A3148" s="68" t="s">
        <v>376</v>
      </c>
      <c r="B3148" s="74">
        <v>4</v>
      </c>
      <c r="C3148" s="68" t="s">
        <v>363</v>
      </c>
      <c r="D3148" s="68" t="s">
        <v>364</v>
      </c>
      <c r="E3148" s="75">
        <f>60*F3148*'THAM_SO_MOI'!$C$52/(2*PI()*'THAM_SO_MOI'!$C$26)</f>
        <v>2448.792957303445</v>
      </c>
      <c r="F3148" s="75">
        <f>'HANH_TRINH'!$F$2468+('THAM_SO_MOI'!$F$52-'HANH_TRINH'!$F$2468)*679/'THAM_SO_MOI'!$C$42</f>
        <v>15.56580139490199</v>
      </c>
      <c r="G3148" s="75">
        <f>3.6*F3148</f>
        <v>56.036885021647166</v>
      </c>
      <c r="H3148" s="75">
        <f>'THAM_SO_MOI'!$D$52</f>
        <v>1.1774754878398197</v>
      </c>
      <c r="I3148" s="75">
        <f>IF(F3148&gt;'THAM_SO_MOI'!$C$14,'THAM_SO_MOI'!$C$13*(1+F3148^2/1500),'THAM_SO_MOI'!$C$13)</f>
        <v>0.015</v>
      </c>
      <c r="J3148" s="75">
        <f>'THAM_SO_MOI'!$C$40*('THAM_SO_MOI'!$C$23*(E3148/'THAM_SO_MOI'!$C$22)+'THAM_SO_MOI'!$C$24*(E3148/'THAM_SO_MOI'!$C$22)^2-'THAM_SO_MOI'!$C$25*(E3148/'THAM_SO_MOI'!$C$22)^3)</f>
        <v>109.29038877609096</v>
      </c>
      <c r="K3148" s="75">
        <f>'THAM_SO_MOI'!$C$31*J3148/E3148</f>
        <v>426.26848124205065</v>
      </c>
      <c r="L3148" s="75">
        <f>K3148*'THAM_SO_MOI'!$C$52*'THAM_SO_MOI'!$C$17/'THAM_SO_MOI'!$C$26</f>
        <v>5969.1342683616485</v>
      </c>
      <c r="M3148" s="75">
        <f>'THAM_SO_MOI'!$C$15*'THAM_SO_MOI'!$C$16*F3148^2</f>
        <v>708.7104562166834</v>
      </c>
      <c r="N3148" s="75">
        <f>'THAM_SO_MOI'!$C$12*I3148</f>
        <v>1130.112</v>
      </c>
      <c r="O3148" s="75">
        <f>M3148+N3148</f>
        <v>1838.8224562166833</v>
      </c>
      <c r="P3148" s="75">
        <f>(MIN(L3148,'THAM_SO_MOI'!$C$41)-O3148)/('THAM_SO_MOI'!$C$11*H3148)</f>
        <v>0.4567407328308957</v>
      </c>
      <c r="Q3148" s="75">
        <f>IF(P3148&gt;0,1/P3148,NA())</f>
        <v>2.189425921795859</v>
      </c>
      <c r="R3148" s="75">
        <f>F3148-F3147</f>
        <v>0.007943393307220603</v>
      </c>
      <c r="S3148" s="75">
        <f>0.5*(Q3147+Q3148)*R3148</f>
        <v>0.017388943350426057</v>
      </c>
      <c r="T3148" s="75">
        <f>0.5*(F3147*Q3147+F3148*Q3148)*R3148</f>
        <v>0.2706037850917256</v>
      </c>
      <c r="U3148" s="76">
        <f>U3147+S3148</f>
        <v>25.18369414147485</v>
      </c>
      <c r="V3148" s="76">
        <f>V3147+T3148</f>
        <v>230.57381409244593</v>
      </c>
    </row>
    <row r="3149" spans="1:22" ht="19" customHeight="1">
      <c r="A3149" s="68" t="s">
        <v>376</v>
      </c>
      <c r="B3149" s="74">
        <v>4</v>
      </c>
      <c r="C3149" s="68" t="s">
        <v>363</v>
      </c>
      <c r="D3149" s="68" t="s">
        <v>364</v>
      </c>
      <c r="E3149" s="75">
        <f>60*F3149*'THAM_SO_MOI'!$C$52/(2*PI()*'THAM_SO_MOI'!$C$26)</f>
        <v>2450.0426022844085</v>
      </c>
      <c r="F3149" s="75">
        <f>'HANH_TRINH'!$F$2468+('THAM_SO_MOI'!$F$52-'HANH_TRINH'!$F$2468)*680/'THAM_SO_MOI'!$C$42</f>
        <v>15.57374478820921</v>
      </c>
      <c r="G3149" s="75">
        <f>3.6*F3149</f>
        <v>56.06548123755316</v>
      </c>
      <c r="H3149" s="75">
        <f>'THAM_SO_MOI'!$D$52</f>
        <v>1.1774754878398197</v>
      </c>
      <c r="I3149" s="75">
        <f>IF(F3149&gt;'THAM_SO_MOI'!$C$14,'THAM_SO_MOI'!$C$13*(1+F3149^2/1500),'THAM_SO_MOI'!$C$13)</f>
        <v>0.015</v>
      </c>
      <c r="J3149" s="75">
        <f>'THAM_SO_MOI'!$C$40*('THAM_SO_MOI'!$C$23*(E3149/'THAM_SO_MOI'!$C$22)+'THAM_SO_MOI'!$C$24*(E3149/'THAM_SO_MOI'!$C$22)^2-'THAM_SO_MOI'!$C$25*(E3149/'THAM_SO_MOI'!$C$22)^3)</f>
        <v>109.33736756040416</v>
      </c>
      <c r="K3149" s="75">
        <f>'THAM_SO_MOI'!$C$31*J3149/E3149</f>
        <v>426.234202132996</v>
      </c>
      <c r="L3149" s="75">
        <f>K3149*'THAM_SO_MOI'!$C$52*'THAM_SO_MOI'!$C$17/'THAM_SO_MOI'!$C$26</f>
        <v>5968.654250219209</v>
      </c>
      <c r="M3149" s="75">
        <f>'THAM_SO_MOI'!$C$15*'THAM_SO_MOI'!$C$16*F3149^2</f>
        <v>709.4339656802001</v>
      </c>
      <c r="N3149" s="75">
        <f>'THAM_SO_MOI'!$C$12*I3149</f>
        <v>1130.112</v>
      </c>
      <c r="O3149" s="75">
        <f>M3149+N3149</f>
        <v>1839.5459656802002</v>
      </c>
      <c r="P3149" s="75">
        <f>(MIN(L3149,'THAM_SO_MOI'!$C$41)-O3149)/('THAM_SO_MOI'!$C$11*H3149)</f>
        <v>0.4566076435858875</v>
      </c>
      <c r="Q3149" s="75">
        <f>IF(P3149&gt;0,1/P3149,NA())</f>
        <v>2.190064082472813</v>
      </c>
      <c r="R3149" s="75">
        <f>F3149-F3148</f>
        <v>0.007943393307218827</v>
      </c>
      <c r="S3149" s="75">
        <f>0.5*(Q3148+Q3149)*R3149</f>
        <v>0.01739400579446976</v>
      </c>
      <c r="T3149" s="75">
        <f>0.5*(F3148*Q3148+F3149*Q3149)*R3149</f>
        <v>0.2708207334396828</v>
      </c>
      <c r="U3149" s="76">
        <f>U3148+S3149</f>
        <v>25.201088147269317</v>
      </c>
      <c r="V3149" s="76">
        <f>V3148+T3149</f>
        <v>230.8446348258856</v>
      </c>
    </row>
    <row r="3150" spans="1:22" ht="19" customHeight="1">
      <c r="A3150" s="68" t="s">
        <v>376</v>
      </c>
      <c r="B3150" s="74">
        <v>4</v>
      </c>
      <c r="C3150" s="68" t="s">
        <v>363</v>
      </c>
      <c r="D3150" s="68" t="s">
        <v>364</v>
      </c>
      <c r="E3150" s="75">
        <f>60*F3150*'THAM_SO_MOI'!$C$52/(2*PI()*'THAM_SO_MOI'!$C$26)</f>
        <v>2451.2922472653718</v>
      </c>
      <c r="F3150" s="75">
        <f>'HANH_TRINH'!$F$2468+('THAM_SO_MOI'!$F$52-'HANH_TRINH'!$F$2468)*681/'THAM_SO_MOI'!$C$42</f>
        <v>15.58168818151643</v>
      </c>
      <c r="G3150" s="75">
        <f>3.6*F3150</f>
        <v>56.09407745345915</v>
      </c>
      <c r="H3150" s="75">
        <f>'THAM_SO_MOI'!$D$52</f>
        <v>1.1774754878398197</v>
      </c>
      <c r="I3150" s="75">
        <f>IF(F3150&gt;'THAM_SO_MOI'!$C$14,'THAM_SO_MOI'!$C$13*(1+F3150^2/1500),'THAM_SO_MOI'!$C$13)</f>
        <v>0.015</v>
      </c>
      <c r="J3150" s="75">
        <f>'THAM_SO_MOI'!$C$40*('THAM_SO_MOI'!$C$23*(E3150/'THAM_SO_MOI'!$C$22)+'THAM_SO_MOI'!$C$24*(E3150/'THAM_SO_MOI'!$C$22)^2-'THAM_SO_MOI'!$C$25*(E3150/'THAM_SO_MOI'!$C$22)^3)</f>
        <v>109.38429849225867</v>
      </c>
      <c r="K3150" s="75">
        <f>'THAM_SO_MOI'!$C$31*J3150/E3150</f>
        <v>426.199771524214</v>
      </c>
      <c r="L3150" s="75">
        <f>K3150*'THAM_SO_MOI'!$C$52*'THAM_SO_MOI'!$C$17/'THAM_SO_MOI'!$C$26</f>
        <v>5968.172110591707</v>
      </c>
      <c r="M3150" s="75">
        <f>'THAM_SO_MOI'!$C$15*'THAM_SO_MOI'!$C$16*F3150^2</f>
        <v>710.1578442640758</v>
      </c>
      <c r="N3150" s="75">
        <f>'THAM_SO_MOI'!$C$12*I3150</f>
        <v>1130.112</v>
      </c>
      <c r="O3150" s="75">
        <f>M3150+N3150</f>
        <v>1840.2698442640758</v>
      </c>
      <c r="P3150" s="75">
        <f>(MIN(L3150,'THAM_SO_MOI'!$C$41)-O3150)/('THAM_SO_MOI'!$C$11*H3150)</f>
        <v>0.45647427892318765</v>
      </c>
      <c r="Q3150" s="75">
        <f>IF(P3150&gt;0,1/P3150,NA())</f>
        <v>2.190703937052</v>
      </c>
      <c r="R3150" s="75">
        <f>F3150-F3149</f>
        <v>0.007943393307220603</v>
      </c>
      <c r="S3150" s="75">
        <f>0.5*(Q3149+Q3150)*R3150</f>
        <v>0.01739908168338973</v>
      </c>
      <c r="T3150" s="75">
        <f>0.5*(F3149*Q3149+F3150*Q3150)*R3150</f>
        <v>0.2710379716541205</v>
      </c>
      <c r="U3150" s="76">
        <f>U3149+S3150</f>
        <v>25.218487228952707</v>
      </c>
      <c r="V3150" s="76">
        <f>V3149+T3150</f>
        <v>231.11567279753973</v>
      </c>
    </row>
    <row r="3151" spans="1:22" ht="19" customHeight="1">
      <c r="A3151" s="68" t="s">
        <v>376</v>
      </c>
      <c r="B3151" s="74">
        <v>4</v>
      </c>
      <c r="C3151" s="68" t="s">
        <v>363</v>
      </c>
      <c r="D3151" s="68" t="s">
        <v>364</v>
      </c>
      <c r="E3151" s="75">
        <f>60*F3151*'THAM_SO_MOI'!$C$52/(2*PI()*'THAM_SO_MOI'!$C$26)</f>
        <v>2452.541892246335</v>
      </c>
      <c r="F3151" s="75">
        <f>'HANH_TRINH'!$F$2468+('THAM_SO_MOI'!$F$52-'HANH_TRINH'!$F$2468)*682/'THAM_SO_MOI'!$C$42</f>
        <v>15.589631574823649</v>
      </c>
      <c r="G3151" s="75">
        <f>3.6*F3151</f>
        <v>56.122673669365135</v>
      </c>
      <c r="H3151" s="75">
        <f>'THAM_SO_MOI'!$D$52</f>
        <v>1.1774754878398197</v>
      </c>
      <c r="I3151" s="75">
        <f>IF(F3151&gt;'THAM_SO_MOI'!$C$14,'THAM_SO_MOI'!$C$13*(1+F3151^2/1500),'THAM_SO_MOI'!$C$13)</f>
        <v>0.015</v>
      </c>
      <c r="J3151" s="75">
        <f>'THAM_SO_MOI'!$C$40*('THAM_SO_MOI'!$C$23*(E3151/'THAM_SO_MOI'!$C$22)+'THAM_SO_MOI'!$C$24*(E3151/'THAM_SO_MOI'!$C$22)^2-'THAM_SO_MOI'!$C$25*(E3151/'THAM_SO_MOI'!$C$22)^3)</f>
        <v>109.43118151218874</v>
      </c>
      <c r="K3151" s="75">
        <f>'THAM_SO_MOI'!$C$31*J3151/E3151</f>
        <v>426.1651894157044</v>
      </c>
      <c r="L3151" s="75">
        <f>K3151*'THAM_SO_MOI'!$C$52*'THAM_SO_MOI'!$C$17/'THAM_SO_MOI'!$C$26</f>
        <v>5967.687849479144</v>
      </c>
      <c r="M3151" s="75">
        <f>'THAM_SO_MOI'!$C$15*'THAM_SO_MOI'!$C$16*F3151^2</f>
        <v>710.8820919683102</v>
      </c>
      <c r="N3151" s="75">
        <f>'THAM_SO_MOI'!$C$12*I3151</f>
        <v>1130.112</v>
      </c>
      <c r="O3151" s="75">
        <f>M3151+N3151</f>
        <v>1840.9940919683104</v>
      </c>
      <c r="P3151" s="75">
        <f>(MIN(L3151,'THAM_SO_MOI'!$C$41)-O3151)/('THAM_SO_MOI'!$C$11*H3151)</f>
        <v>0.45634063884279624</v>
      </c>
      <c r="Q3151" s="75">
        <f>IF(P3151&gt;0,1/P3151,NA())</f>
        <v>2.191345488177063</v>
      </c>
      <c r="R3151" s="75">
        <f>F3151-F3150</f>
        <v>0.007943393307218827</v>
      </c>
      <c r="S3151" s="75">
        <f>0.5*(Q3150+Q3151)*R3151</f>
        <v>0.017404171038133322</v>
      </c>
      <c r="T3151" s="75">
        <f>0.5*(F3150*Q3150+F3151*Q3151)*R3151</f>
        <v>0.27125550038191115</v>
      </c>
      <c r="U3151" s="76">
        <f>U3150+S3151</f>
        <v>25.23589139999084</v>
      </c>
      <c r="V3151" s="76">
        <f>V3150+T3151</f>
        <v>231.38692829792163</v>
      </c>
    </row>
    <row r="3152" spans="1:22" ht="19" customHeight="1">
      <c r="A3152" s="68" t="s">
        <v>376</v>
      </c>
      <c r="B3152" s="74">
        <v>4</v>
      </c>
      <c r="C3152" s="68" t="s">
        <v>363</v>
      </c>
      <c r="D3152" s="68" t="s">
        <v>364</v>
      </c>
      <c r="E3152" s="75">
        <f>60*F3152*'THAM_SO_MOI'!$C$52/(2*PI()*'THAM_SO_MOI'!$C$26)</f>
        <v>2453.7915372272982</v>
      </c>
      <c r="F3152" s="75">
        <f>'HANH_TRINH'!$F$2468+('THAM_SO_MOI'!$F$52-'HANH_TRINH'!$F$2468)*683/'THAM_SO_MOI'!$C$42</f>
        <v>15.597574968130868</v>
      </c>
      <c r="G3152" s="75">
        <f>3.6*F3152</f>
        <v>56.15126988527113</v>
      </c>
      <c r="H3152" s="75">
        <f>'THAM_SO_MOI'!$D$52</f>
        <v>1.1774754878398197</v>
      </c>
      <c r="I3152" s="75">
        <f>IF(F3152&gt;'THAM_SO_MOI'!$C$14,'THAM_SO_MOI'!$C$13*(1+F3152^2/1500),'THAM_SO_MOI'!$C$13)</f>
        <v>0.015</v>
      </c>
      <c r="J3152" s="75">
        <f>'THAM_SO_MOI'!$C$40*('THAM_SO_MOI'!$C$23*(E3152/'THAM_SO_MOI'!$C$22)+'THAM_SO_MOI'!$C$24*(E3152/'THAM_SO_MOI'!$C$22)^2-'THAM_SO_MOI'!$C$25*(E3152/'THAM_SO_MOI'!$C$22)^3)</f>
        <v>109.47801656072878</v>
      </c>
      <c r="K3152" s="75">
        <f>'THAM_SO_MOI'!$C$31*J3152/E3152</f>
        <v>426.1304558074674</v>
      </c>
      <c r="L3152" s="75">
        <f>K3152*'THAM_SO_MOI'!$C$52*'THAM_SO_MOI'!$C$17/'THAM_SO_MOI'!$C$26</f>
        <v>5967.201466881522</v>
      </c>
      <c r="M3152" s="75">
        <f>'THAM_SO_MOI'!$C$15*'THAM_SO_MOI'!$C$16*F3152^2</f>
        <v>711.6067087929033</v>
      </c>
      <c r="N3152" s="75">
        <f>'THAM_SO_MOI'!$C$12*I3152</f>
        <v>1130.112</v>
      </c>
      <c r="O3152" s="75">
        <f>M3152+N3152</f>
        <v>1841.7187087929033</v>
      </c>
      <c r="P3152" s="75">
        <f>(MIN(L3152,'THAM_SO_MOI'!$C$41)-O3152)/('THAM_SO_MOI'!$C$11*H3152)</f>
        <v>0.45620672334471357</v>
      </c>
      <c r="Q3152" s="75">
        <f>IF(P3152&gt;0,1/P3152,NA())</f>
        <v>2.191988738500883</v>
      </c>
      <c r="R3152" s="75">
        <f>F3152-F3151</f>
        <v>0.007943393307218827</v>
      </c>
      <c r="S3152" s="75">
        <f>0.5*(Q3151+Q3152)*R3152</f>
        <v>0.017409273879748402</v>
      </c>
      <c r="T3152" s="75">
        <f>0.5*(F3151*Q3151+F3152*Q3152)*R3152</f>
        <v>0.2714733202721597</v>
      </c>
      <c r="U3152" s="76">
        <f>U3151+S3152</f>
        <v>25.25330067387059</v>
      </c>
      <c r="V3152" s="76">
        <f>V3151+T3152</f>
        <v>231.65840161819378</v>
      </c>
    </row>
    <row r="3153" spans="1:22" ht="19" customHeight="1">
      <c r="A3153" s="68" t="s">
        <v>376</v>
      </c>
      <c r="B3153" s="74">
        <v>4</v>
      </c>
      <c r="C3153" s="68" t="s">
        <v>363</v>
      </c>
      <c r="D3153" s="68" t="s">
        <v>364</v>
      </c>
      <c r="E3153" s="75">
        <f>60*F3153*'THAM_SO_MOI'!$C$52/(2*PI()*'THAM_SO_MOI'!$C$26)</f>
        <v>2455.041182208261</v>
      </c>
      <c r="F3153" s="75">
        <f>'HANH_TRINH'!$F$2468+('THAM_SO_MOI'!$F$52-'HANH_TRINH'!$F$2468)*684/'THAM_SO_MOI'!$C$42</f>
        <v>15.605518361438087</v>
      </c>
      <c r="G3153" s="75">
        <f>3.6*F3153</f>
        <v>56.17986610117711</v>
      </c>
      <c r="H3153" s="75">
        <f>'THAM_SO_MOI'!$D$52</f>
        <v>1.1774754878398197</v>
      </c>
      <c r="I3153" s="75">
        <f>IF(F3153&gt;'THAM_SO_MOI'!$C$14,'THAM_SO_MOI'!$C$13*(1+F3153^2/1500),'THAM_SO_MOI'!$C$13)</f>
        <v>0.015</v>
      </c>
      <c r="J3153" s="75">
        <f>'THAM_SO_MOI'!$C$40*('THAM_SO_MOI'!$C$23*(E3153/'THAM_SO_MOI'!$C$22)+'THAM_SO_MOI'!$C$24*(E3153/'THAM_SO_MOI'!$C$22)^2-'THAM_SO_MOI'!$C$25*(E3153/'THAM_SO_MOI'!$C$22)^3)</f>
        <v>109.52480357841303</v>
      </c>
      <c r="K3153" s="75">
        <f>'THAM_SO_MOI'!$C$31*J3153/E3153</f>
        <v>426.0955706995029</v>
      </c>
      <c r="L3153" s="75">
        <f>K3153*'THAM_SO_MOI'!$C$52*'THAM_SO_MOI'!$C$17/'THAM_SO_MOI'!$C$26</f>
        <v>5966.712962798837</v>
      </c>
      <c r="M3153" s="75">
        <f>'THAM_SO_MOI'!$C$15*'THAM_SO_MOI'!$C$16*F3153^2</f>
        <v>712.3316947378552</v>
      </c>
      <c r="N3153" s="75">
        <f>'THAM_SO_MOI'!$C$12*I3153</f>
        <v>1130.112</v>
      </c>
      <c r="O3153" s="75">
        <f>M3153+N3153</f>
        <v>1842.4436947378554</v>
      </c>
      <c r="P3153" s="75">
        <f>(MIN(L3153,'THAM_SO_MOI'!$C$41)-O3153)/('THAM_SO_MOI'!$C$11*H3153)</f>
        <v>0.4560725324289391</v>
      </c>
      <c r="Q3153" s="75">
        <f>IF(P3153&gt;0,1/P3153,NA())</f>
        <v>2.192633690685616</v>
      </c>
      <c r="R3153" s="75">
        <f>F3153-F3152</f>
        <v>0.007943393307218827</v>
      </c>
      <c r="S3153" s="75">
        <f>0.5*(Q3152+Q3153)*R3153</f>
        <v>0.017414390229340795</v>
      </c>
      <c r="T3153" s="75">
        <f>0.5*(F3152*Q3152+F3153*Q3153)*R3153</f>
        <v>0.27169143197554446</v>
      </c>
      <c r="U3153" s="76">
        <f>U3152+S3153</f>
        <v>25.27071506409993</v>
      </c>
      <c r="V3153" s="76">
        <f>V3152+T3153</f>
        <v>231.93009305016932</v>
      </c>
    </row>
    <row r="3154" spans="1:22" ht="19" customHeight="1">
      <c r="A3154" s="68" t="s">
        <v>376</v>
      </c>
      <c r="B3154" s="74">
        <v>4</v>
      </c>
      <c r="C3154" s="68" t="s">
        <v>363</v>
      </c>
      <c r="D3154" s="68" t="s">
        <v>364</v>
      </c>
      <c r="E3154" s="75">
        <f>60*F3154*'THAM_SO_MOI'!$C$52/(2*PI()*'THAM_SO_MOI'!$C$26)</f>
        <v>2456.2908271892243</v>
      </c>
      <c r="F3154" s="75">
        <f>'HANH_TRINH'!$F$2468+('THAM_SO_MOI'!$F$52-'HANH_TRINH'!$F$2468)*685/'THAM_SO_MOI'!$C$42</f>
        <v>15.613461754745305</v>
      </c>
      <c r="G3154" s="75">
        <f>3.6*F3154</f>
        <v>56.208462317083104</v>
      </c>
      <c r="H3154" s="75">
        <f>'THAM_SO_MOI'!$D$52</f>
        <v>1.1774754878398197</v>
      </c>
      <c r="I3154" s="75">
        <f>IF(F3154&gt;'THAM_SO_MOI'!$C$14,'THAM_SO_MOI'!$C$13*(1+F3154^2/1500),'THAM_SO_MOI'!$C$13)</f>
        <v>0.015</v>
      </c>
      <c r="J3154" s="75">
        <f>'THAM_SO_MOI'!$C$40*('THAM_SO_MOI'!$C$23*(E3154/'THAM_SO_MOI'!$C$22)+'THAM_SO_MOI'!$C$24*(E3154/'THAM_SO_MOI'!$C$22)^2-'THAM_SO_MOI'!$C$25*(E3154/'THAM_SO_MOI'!$C$22)^3)</f>
        <v>109.57154250577582</v>
      </c>
      <c r="K3154" s="75">
        <f>'THAM_SO_MOI'!$C$31*J3154/E3154</f>
        <v>426.06053409181084</v>
      </c>
      <c r="L3154" s="75">
        <f>K3154*'THAM_SO_MOI'!$C$52*'THAM_SO_MOI'!$C$17/'THAM_SO_MOI'!$C$26</f>
        <v>5966.22233723109</v>
      </c>
      <c r="M3154" s="75">
        <f>'THAM_SO_MOI'!$C$15*'THAM_SO_MOI'!$C$16*F3154^2</f>
        <v>713.057049803166</v>
      </c>
      <c r="N3154" s="75">
        <f>'THAM_SO_MOI'!$C$12*I3154</f>
        <v>1130.112</v>
      </c>
      <c r="O3154" s="75">
        <f>M3154+N3154</f>
        <v>1843.1690498031662</v>
      </c>
      <c r="P3154" s="75">
        <f>(MIN(L3154,'THAM_SO_MOI'!$C$41)-O3154)/('THAM_SO_MOI'!$C$11*H3154)</f>
        <v>0.455938066095473</v>
      </c>
      <c r="Q3154" s="75">
        <f>IF(P3154&gt;0,1/P3154,NA())</f>
        <v>2.193280347402713</v>
      </c>
      <c r="R3154" s="75">
        <f>F3154-F3153</f>
        <v>0.007943393307218827</v>
      </c>
      <c r="S3154" s="75">
        <f>0.5*(Q3153+Q3154)*R3154</f>
        <v>0.017419520108093965</v>
      </c>
      <c r="T3154" s="75">
        <f>0.5*(F3153*Q3153+F3154*Q3154)*R3154</f>
        <v>0.27190983614462627</v>
      </c>
      <c r="U3154" s="76">
        <f>U3153+S3154</f>
        <v>25.288134584208027</v>
      </c>
      <c r="V3154" s="76">
        <f>V3153+T3154</f>
        <v>232.20200288631395</v>
      </c>
    </row>
    <row r="3155" spans="1:22" ht="19" customHeight="1">
      <c r="A3155" s="68" t="s">
        <v>376</v>
      </c>
      <c r="B3155" s="74">
        <v>4</v>
      </c>
      <c r="C3155" s="68" t="s">
        <v>363</v>
      </c>
      <c r="D3155" s="68" t="s">
        <v>364</v>
      </c>
      <c r="E3155" s="75">
        <f>60*F3155*'THAM_SO_MOI'!$C$52/(2*PI()*'THAM_SO_MOI'!$C$26)</f>
        <v>2457.540472170188</v>
      </c>
      <c r="F3155" s="75">
        <f>'HANH_TRINH'!$F$2468+('THAM_SO_MOI'!$F$52-'HANH_TRINH'!$F$2468)*686/'THAM_SO_MOI'!$C$42</f>
        <v>15.621405148052526</v>
      </c>
      <c r="G3155" s="75">
        <f>3.6*F3155</f>
        <v>56.237058532989096</v>
      </c>
      <c r="H3155" s="75">
        <f>'THAM_SO_MOI'!$D$52</f>
        <v>1.1774754878398197</v>
      </c>
      <c r="I3155" s="75">
        <f>IF(F3155&gt;'THAM_SO_MOI'!$C$14,'THAM_SO_MOI'!$C$13*(1+F3155^2/1500),'THAM_SO_MOI'!$C$13)</f>
        <v>0.015</v>
      </c>
      <c r="J3155" s="75">
        <f>'THAM_SO_MOI'!$C$40*('THAM_SO_MOI'!$C$23*(E3155/'THAM_SO_MOI'!$C$22)+'THAM_SO_MOI'!$C$24*(E3155/'THAM_SO_MOI'!$C$22)^2-'THAM_SO_MOI'!$C$25*(E3155/'THAM_SO_MOI'!$C$22)^3)</f>
        <v>109.61823328335154</v>
      </c>
      <c r="K3155" s="75">
        <f>'THAM_SO_MOI'!$C$31*J3155/E3155</f>
        <v>426.0253459843914</v>
      </c>
      <c r="L3155" s="75">
        <f>K3155*'THAM_SO_MOI'!$C$52*'THAM_SO_MOI'!$C$17/'THAM_SO_MOI'!$C$26</f>
        <v>5965.729590178284</v>
      </c>
      <c r="M3155" s="75">
        <f>'THAM_SO_MOI'!$C$15*'THAM_SO_MOI'!$C$16*F3155^2</f>
        <v>713.7827739888359</v>
      </c>
      <c r="N3155" s="75">
        <f>'THAM_SO_MOI'!$C$12*I3155</f>
        <v>1130.112</v>
      </c>
      <c r="O3155" s="75">
        <f>M3155+N3155</f>
        <v>1843.8947739888358</v>
      </c>
      <c r="P3155" s="75">
        <f>(MIN(L3155,'THAM_SO_MOI'!$C$41)-O3155)/('THAM_SO_MOI'!$C$11*H3155)</f>
        <v>0.4558033243443154</v>
      </c>
      <c r="Q3155" s="75">
        <f>IF(P3155&gt;0,1/P3155,NA())</f>
        <v>2.193928711332953</v>
      </c>
      <c r="R3155" s="75">
        <f>F3155-F3154</f>
        <v>0.007943393307220603</v>
      </c>
      <c r="S3155" s="75">
        <f>0.5*(Q3154+Q3155)*R3155</f>
        <v>0.017424663537269243</v>
      </c>
      <c r="T3155" s="75">
        <f>0.5*(F3154*Q3154+F3155*Q3155)*R3155</f>
        <v>0.272128533433855</v>
      </c>
      <c r="U3155" s="76">
        <f>U3154+S3155</f>
        <v>25.305559247745297</v>
      </c>
      <c r="V3155" s="76">
        <f>V3154+T3155</f>
        <v>232.4741314197478</v>
      </c>
    </row>
    <row r="3156" spans="1:22" ht="19" customHeight="1">
      <c r="A3156" s="68" t="s">
        <v>376</v>
      </c>
      <c r="B3156" s="74">
        <v>4</v>
      </c>
      <c r="C3156" s="68" t="s">
        <v>363</v>
      </c>
      <c r="D3156" s="68" t="s">
        <v>364</v>
      </c>
      <c r="E3156" s="75">
        <f>60*F3156*'THAM_SO_MOI'!$C$52/(2*PI()*'THAM_SO_MOI'!$C$26)</f>
        <v>2458.790117151151</v>
      </c>
      <c r="F3156" s="75">
        <f>'HANH_TRINH'!$F$2468+('THAM_SO_MOI'!$F$52-'HANH_TRINH'!$F$2468)*687/'THAM_SO_MOI'!$C$42</f>
        <v>15.629348541359747</v>
      </c>
      <c r="G3156" s="75">
        <f>3.6*F3156</f>
        <v>56.26565474889509</v>
      </c>
      <c r="H3156" s="75">
        <f>'THAM_SO_MOI'!$D$52</f>
        <v>1.1774754878398197</v>
      </c>
      <c r="I3156" s="75">
        <f>IF(F3156&gt;'THAM_SO_MOI'!$C$14,'THAM_SO_MOI'!$C$13*(1+F3156^2/1500),'THAM_SO_MOI'!$C$13)</f>
        <v>0.015</v>
      </c>
      <c r="J3156" s="75">
        <f>'THAM_SO_MOI'!$C$40*('THAM_SO_MOI'!$C$23*(E3156/'THAM_SO_MOI'!$C$22)+'THAM_SO_MOI'!$C$24*(E3156/'THAM_SO_MOI'!$C$22)^2-'THAM_SO_MOI'!$C$25*(E3156/'THAM_SO_MOI'!$C$22)^3)</f>
        <v>109.66487585167442</v>
      </c>
      <c r="K3156" s="75">
        <f>'THAM_SO_MOI'!$C$31*J3156/E3156</f>
        <v>425.9900063772445</v>
      </c>
      <c r="L3156" s="75">
        <f>K3156*'THAM_SO_MOI'!$C$52*'THAM_SO_MOI'!$C$17/'THAM_SO_MOI'!$C$26</f>
        <v>5965.234721640418</v>
      </c>
      <c r="M3156" s="75">
        <f>'THAM_SO_MOI'!$C$15*'THAM_SO_MOI'!$C$16*F3156^2</f>
        <v>714.5088672948643</v>
      </c>
      <c r="N3156" s="75">
        <f>'THAM_SO_MOI'!$C$12*I3156</f>
        <v>1130.112</v>
      </c>
      <c r="O3156" s="75">
        <f>M3156+N3156</f>
        <v>1844.6208672948644</v>
      </c>
      <c r="P3156" s="75">
        <f>(MIN(L3156,'THAM_SO_MOI'!$C$41)-O3156)/('THAM_SO_MOI'!$C$11*H3156)</f>
        <v>0.4556683071754666</v>
      </c>
      <c r="Q3156" s="75">
        <f>IF(P3156&gt;0,1/P3156,NA())</f>
        <v>2.1945787851664758</v>
      </c>
      <c r="R3156" s="75">
        <f>F3156-F3155</f>
        <v>0.007943393307220603</v>
      </c>
      <c r="S3156" s="75">
        <f>0.5*(Q3155+Q3156)*R3156</f>
        <v>0.017429820538190505</v>
      </c>
      <c r="T3156" s="75">
        <f>0.5*(F3155*Q3155+F3156*Q3156)*R3156</f>
        <v>0.27234752449933336</v>
      </c>
      <c r="U3156" s="76">
        <f>U3155+S3156</f>
        <v>25.322989068283487</v>
      </c>
      <c r="V3156" s="76">
        <f>V3155+T3156</f>
        <v>232.74647894424714</v>
      </c>
    </row>
    <row r="3157" spans="1:22" ht="19" customHeight="1">
      <c r="A3157" s="68" t="s">
        <v>376</v>
      </c>
      <c r="B3157" s="74">
        <v>4</v>
      </c>
      <c r="C3157" s="68" t="s">
        <v>363</v>
      </c>
      <c r="D3157" s="68" t="s">
        <v>364</v>
      </c>
      <c r="E3157" s="75">
        <f>60*F3157*'THAM_SO_MOI'!$C$52/(2*PI()*'THAM_SO_MOI'!$C$26)</f>
        <v>2460.0397621321144</v>
      </c>
      <c r="F3157" s="75">
        <f>'HANH_TRINH'!$F$2468+('THAM_SO_MOI'!$F$52-'HANH_TRINH'!$F$2468)*688/'THAM_SO_MOI'!$C$42</f>
        <v>15.637291934666965</v>
      </c>
      <c r="G3157" s="75">
        <f>3.6*F3157</f>
        <v>56.29425096480108</v>
      </c>
      <c r="H3157" s="75">
        <f>'THAM_SO_MOI'!$D$52</f>
        <v>1.1774754878398197</v>
      </c>
      <c r="I3157" s="75">
        <f>IF(F3157&gt;'THAM_SO_MOI'!$C$14,'THAM_SO_MOI'!$C$13*(1+F3157^2/1500),'THAM_SO_MOI'!$C$13)</f>
        <v>0.015</v>
      </c>
      <c r="J3157" s="75">
        <f>'THAM_SO_MOI'!$C$40*('THAM_SO_MOI'!$C$23*(E3157/'THAM_SO_MOI'!$C$22)+'THAM_SO_MOI'!$C$24*(E3157/'THAM_SO_MOI'!$C$22)^2-'THAM_SO_MOI'!$C$25*(E3157/'THAM_SO_MOI'!$C$22)^3)</f>
        <v>109.7114701512788</v>
      </c>
      <c r="K3157" s="75">
        <f>'THAM_SO_MOI'!$C$31*J3157/E3157</f>
        <v>425.95451527037017</v>
      </c>
      <c r="L3157" s="75">
        <f>K3157*'THAM_SO_MOI'!$C$52*'THAM_SO_MOI'!$C$17/'THAM_SO_MOI'!$C$26</f>
        <v>5964.73773161749</v>
      </c>
      <c r="M3157" s="75">
        <f>'THAM_SO_MOI'!$C$15*'THAM_SO_MOI'!$C$16*F3157^2</f>
        <v>715.2353297212517</v>
      </c>
      <c r="N3157" s="75">
        <f>'THAM_SO_MOI'!$C$12*I3157</f>
        <v>1130.112</v>
      </c>
      <c r="O3157" s="75">
        <f>M3157+N3157</f>
        <v>1845.3473297212518</v>
      </c>
      <c r="P3157" s="75">
        <f>(MIN(L3157,'THAM_SO_MOI'!$C$41)-O3157)/('THAM_SO_MOI'!$C$11*H3157)</f>
        <v>0.455533014588926</v>
      </c>
      <c r="Q3157" s="75">
        <f>IF(P3157&gt;0,1/P3157,NA())</f>
        <v>2.1952305716028118</v>
      </c>
      <c r="R3157" s="75">
        <f>F3157-F3156</f>
        <v>0.007943393307218827</v>
      </c>
      <c r="S3157" s="75">
        <f>0.5*(Q3156+Q3157)*R3157</f>
        <v>0.01743499113226387</v>
      </c>
      <c r="T3157" s="75">
        <f>0.5*(F3156*Q3156+F3157*Q3157)*R3157</f>
        <v>0.2725668099991274</v>
      </c>
      <c r="U3157" s="76">
        <f>U3156+S3157</f>
        <v>25.34042405941575</v>
      </c>
      <c r="V3157" s="76">
        <f>V3156+T3157</f>
        <v>233.01904575424626</v>
      </c>
    </row>
    <row r="3158" spans="1:22" ht="19" customHeight="1">
      <c r="A3158" s="68" t="s">
        <v>376</v>
      </c>
      <c r="B3158" s="74">
        <v>4</v>
      </c>
      <c r="C3158" s="68" t="s">
        <v>363</v>
      </c>
      <c r="D3158" s="68" t="s">
        <v>364</v>
      </c>
      <c r="E3158" s="75">
        <f>60*F3158*'THAM_SO_MOI'!$C$52/(2*PI()*'THAM_SO_MOI'!$C$26)</f>
        <v>2461.2894071130777</v>
      </c>
      <c r="F3158" s="75">
        <f>'HANH_TRINH'!$F$2468+('THAM_SO_MOI'!$F$52-'HANH_TRINH'!$F$2468)*689/'THAM_SO_MOI'!$C$42</f>
        <v>15.645235327974184</v>
      </c>
      <c r="G3158" s="75">
        <f>3.6*F3158</f>
        <v>56.322847180707065</v>
      </c>
      <c r="H3158" s="75">
        <f>'THAM_SO_MOI'!$D$52</f>
        <v>1.1774754878398197</v>
      </c>
      <c r="I3158" s="75">
        <f>IF(F3158&gt;'THAM_SO_MOI'!$C$14,'THAM_SO_MOI'!$C$13*(1+F3158^2/1500),'THAM_SO_MOI'!$C$13)</f>
        <v>0.015</v>
      </c>
      <c r="J3158" s="75">
        <f>'THAM_SO_MOI'!$C$40*('THAM_SO_MOI'!$C$23*(E3158/'THAM_SO_MOI'!$C$22)+'THAM_SO_MOI'!$C$24*(E3158/'THAM_SO_MOI'!$C$22)^2-'THAM_SO_MOI'!$C$25*(E3158/'THAM_SO_MOI'!$C$22)^3)</f>
        <v>109.75801612269896</v>
      </c>
      <c r="K3158" s="75">
        <f>'THAM_SO_MOI'!$C$31*J3158/E3158</f>
        <v>425.91887266376824</v>
      </c>
      <c r="L3158" s="75">
        <f>K3158*'THAM_SO_MOI'!$C$52*'THAM_SO_MOI'!$C$17/'THAM_SO_MOI'!$C$26</f>
        <v>5964.2386201095</v>
      </c>
      <c r="M3158" s="75">
        <f>'THAM_SO_MOI'!$C$15*'THAM_SO_MOI'!$C$16*F3158^2</f>
        <v>715.9621612679977</v>
      </c>
      <c r="N3158" s="75">
        <f>'THAM_SO_MOI'!$C$12*I3158</f>
        <v>1130.112</v>
      </c>
      <c r="O3158" s="75">
        <f>M3158+N3158</f>
        <v>1846.0741612679976</v>
      </c>
      <c r="P3158" s="75">
        <f>(MIN(L3158,'THAM_SO_MOI'!$C$41)-O3158)/('THAM_SO_MOI'!$C$11*H3158)</f>
        <v>0.45539744658469383</v>
      </c>
      <c r="Q3158" s="75">
        <f>IF(P3158&gt;0,1/P3158,NA())</f>
        <v>2.195884073350908</v>
      </c>
      <c r="R3158" s="75">
        <f>F3158-F3157</f>
        <v>0.007943393307218827</v>
      </c>
      <c r="S3158" s="75">
        <f>0.5*(Q3157+Q3158)*R3158</f>
        <v>0.017440175340977977</v>
      </c>
      <c r="T3158" s="75">
        <f>0.5*(F3157*Q3157+F3158*Q3158)*R3158</f>
        <v>0.2727863905932739</v>
      </c>
      <c r="U3158" s="76">
        <f>U3157+S3158</f>
        <v>25.35786423475673</v>
      </c>
      <c r="V3158" s="76">
        <f>V3157+T3158</f>
        <v>233.29183214483953</v>
      </c>
    </row>
    <row r="3159" spans="1:22" ht="19" customHeight="1">
      <c r="A3159" s="68" t="s">
        <v>376</v>
      </c>
      <c r="B3159" s="74">
        <v>4</v>
      </c>
      <c r="C3159" s="68" t="s">
        <v>363</v>
      </c>
      <c r="D3159" s="68" t="s">
        <v>364</v>
      </c>
      <c r="E3159" s="75">
        <f>60*F3159*'THAM_SO_MOI'!$C$52/(2*PI()*'THAM_SO_MOI'!$C$26)</f>
        <v>2462.539052094041</v>
      </c>
      <c r="F3159" s="75">
        <f>'HANH_TRINH'!$F$2468+('THAM_SO_MOI'!$F$52-'HANH_TRINH'!$F$2468)*690/'THAM_SO_MOI'!$C$42</f>
        <v>15.653178721281403</v>
      </c>
      <c r="G3159" s="75">
        <f>3.6*F3159</f>
        <v>56.35144339661305</v>
      </c>
      <c r="H3159" s="75">
        <f>'THAM_SO_MOI'!$D$52</f>
        <v>1.1774754878398197</v>
      </c>
      <c r="I3159" s="75">
        <f>IF(F3159&gt;'THAM_SO_MOI'!$C$14,'THAM_SO_MOI'!$C$13*(1+F3159^2/1500),'THAM_SO_MOI'!$C$13)</f>
        <v>0.015</v>
      </c>
      <c r="J3159" s="75">
        <f>'THAM_SO_MOI'!$C$40*('THAM_SO_MOI'!$C$23*(E3159/'THAM_SO_MOI'!$C$22)+'THAM_SO_MOI'!$C$24*(E3159/'THAM_SO_MOI'!$C$22)^2-'THAM_SO_MOI'!$C$25*(E3159/'THAM_SO_MOI'!$C$22)^3)</f>
        <v>109.80451370646924</v>
      </c>
      <c r="K3159" s="75">
        <f>'THAM_SO_MOI'!$C$31*J3159/E3159</f>
        <v>425.8830785574388</v>
      </c>
      <c r="L3159" s="75">
        <f>K3159*'THAM_SO_MOI'!$C$52*'THAM_SO_MOI'!$C$17/'THAM_SO_MOI'!$C$26</f>
        <v>5963.737387116449</v>
      </c>
      <c r="M3159" s="75">
        <f>'THAM_SO_MOI'!$C$15*'THAM_SO_MOI'!$C$16*F3159^2</f>
        <v>716.6893619351025</v>
      </c>
      <c r="N3159" s="75">
        <f>'THAM_SO_MOI'!$C$12*I3159</f>
        <v>1130.112</v>
      </c>
      <c r="O3159" s="75">
        <f>M3159+N3159</f>
        <v>1846.8013619351027</v>
      </c>
      <c r="P3159" s="75">
        <f>(MIN(L3159,'THAM_SO_MOI'!$C$41)-O3159)/('THAM_SO_MOI'!$C$11*H3159)</f>
        <v>0.4552616031627702</v>
      </c>
      <c r="Q3159" s="75">
        <f>IF(P3159&gt;0,1/P3159,NA())</f>
        <v>2.1965392931291614</v>
      </c>
      <c r="R3159" s="75">
        <f>F3159-F3158</f>
        <v>0.007943393307218827</v>
      </c>
      <c r="S3159" s="75">
        <f>0.5*(Q3158+Q3159)*R3159</f>
        <v>0.017445373185884686</v>
      </c>
      <c r="T3159" s="75">
        <f>0.5*(F3158*Q3158+F3159*Q3159)*R3159</f>
        <v>0.273006266943482</v>
      </c>
      <c r="U3159" s="76">
        <f>U3158+S3159</f>
        <v>25.375309607942615</v>
      </c>
      <c r="V3159" s="76">
        <f>V3158+T3159</f>
        <v>233.564838411783</v>
      </c>
    </row>
    <row r="3160" spans="1:22" ht="19" customHeight="1">
      <c r="A3160" s="68" t="s">
        <v>376</v>
      </c>
      <c r="B3160" s="74">
        <v>4</v>
      </c>
      <c r="C3160" s="68" t="s">
        <v>363</v>
      </c>
      <c r="D3160" s="68" t="s">
        <v>364</v>
      </c>
      <c r="E3160" s="75">
        <f>60*F3160*'THAM_SO_MOI'!$C$52/(2*PI()*'THAM_SO_MOI'!$C$26)</f>
        <v>2463.788697075004</v>
      </c>
      <c r="F3160" s="75">
        <f>'HANH_TRINH'!$F$2468+('THAM_SO_MOI'!$F$52-'HANH_TRINH'!$F$2468)*691/'THAM_SO_MOI'!$C$42</f>
        <v>15.661122114588622</v>
      </c>
      <c r="G3160" s="75">
        <f>3.6*F3160</f>
        <v>56.38003961251904</v>
      </c>
      <c r="H3160" s="75">
        <f>'THAM_SO_MOI'!$D$52</f>
        <v>1.1774754878398197</v>
      </c>
      <c r="I3160" s="75">
        <f>IF(F3160&gt;'THAM_SO_MOI'!$C$14,'THAM_SO_MOI'!$C$13*(1+F3160^2/1500),'THAM_SO_MOI'!$C$13)</f>
        <v>0.015</v>
      </c>
      <c r="J3160" s="75">
        <f>'THAM_SO_MOI'!$C$40*('THAM_SO_MOI'!$C$23*(E3160/'THAM_SO_MOI'!$C$22)+'THAM_SO_MOI'!$C$24*(E3160/'THAM_SO_MOI'!$C$22)^2-'THAM_SO_MOI'!$C$25*(E3160/'THAM_SO_MOI'!$C$22)^3)</f>
        <v>109.85096284312398</v>
      </c>
      <c r="K3160" s="75">
        <f>'THAM_SO_MOI'!$C$31*J3160/E3160</f>
        <v>425.847132951382</v>
      </c>
      <c r="L3160" s="75">
        <f>K3160*'THAM_SO_MOI'!$C$52*'THAM_SO_MOI'!$C$17/'THAM_SO_MOI'!$C$26</f>
        <v>5963.234032638337</v>
      </c>
      <c r="M3160" s="75">
        <f>'THAM_SO_MOI'!$C$15*'THAM_SO_MOI'!$C$16*F3160^2</f>
        <v>717.4169317225661</v>
      </c>
      <c r="N3160" s="75">
        <f>'THAM_SO_MOI'!$C$12*I3160</f>
        <v>1130.112</v>
      </c>
      <c r="O3160" s="75">
        <f>M3160+N3160</f>
        <v>1847.528931722566</v>
      </c>
      <c r="P3160" s="75">
        <f>(MIN(L3160,'THAM_SO_MOI'!$C$41)-O3160)/('THAM_SO_MOI'!$C$11*H3160)</f>
        <v>0.45512548432315497</v>
      </c>
      <c r="Q3160" s="75">
        <f>IF(P3160&gt;0,1/P3160,NA())</f>
        <v>2.19719623366545</v>
      </c>
      <c r="R3160" s="75">
        <f>F3160-F3159</f>
        <v>0.007943393307218827</v>
      </c>
      <c r="S3160" s="75">
        <f>0.5*(Q3159+Q3160)*R3160</f>
        <v>0.017450584688614948</v>
      </c>
      <c r="T3160" s="75">
        <f>0.5*(F3159*Q3159+F3160*Q3160)*R3160</f>
        <v>0.27322643971338384</v>
      </c>
      <c r="U3160" s="76">
        <f>U3159+S3160</f>
        <v>25.39276019263123</v>
      </c>
      <c r="V3160" s="76">
        <f>V3159+T3160</f>
        <v>233.8380648514964</v>
      </c>
    </row>
    <row r="3161" spans="1:22" ht="19" customHeight="1">
      <c r="A3161" s="68" t="s">
        <v>376</v>
      </c>
      <c r="B3161" s="74">
        <v>4</v>
      </c>
      <c r="C3161" s="68" t="s">
        <v>363</v>
      </c>
      <c r="D3161" s="68" t="s">
        <v>364</v>
      </c>
      <c r="E3161" s="75">
        <f>60*F3161*'THAM_SO_MOI'!$C$52/(2*PI()*'THAM_SO_MOI'!$C$26)</f>
        <v>2465.038342055967</v>
      </c>
      <c r="F3161" s="75">
        <f>'HANH_TRINH'!$F$2468+('THAM_SO_MOI'!$F$52-'HANH_TRINH'!$F$2468)*692/'THAM_SO_MOI'!$C$42</f>
        <v>15.669065507895843</v>
      </c>
      <c r="G3161" s="75">
        <f>3.6*F3161</f>
        <v>56.408635828425034</v>
      </c>
      <c r="H3161" s="75">
        <f>'THAM_SO_MOI'!$D$52</f>
        <v>1.1774754878398197</v>
      </c>
      <c r="I3161" s="75">
        <f>IF(F3161&gt;'THAM_SO_MOI'!$C$14,'THAM_SO_MOI'!$C$13*(1+F3161^2/1500),'THAM_SO_MOI'!$C$13)</f>
        <v>0.015</v>
      </c>
      <c r="J3161" s="75">
        <f>'THAM_SO_MOI'!$C$40*('THAM_SO_MOI'!$C$23*(E3161/'THAM_SO_MOI'!$C$22)+'THAM_SO_MOI'!$C$24*(E3161/'THAM_SO_MOI'!$C$22)^2-'THAM_SO_MOI'!$C$25*(E3161/'THAM_SO_MOI'!$C$22)^3)</f>
        <v>109.89736347319744</v>
      </c>
      <c r="K3161" s="75">
        <f>'THAM_SO_MOI'!$C$31*J3161/E3161</f>
        <v>425.8110358455977</v>
      </c>
      <c r="L3161" s="75">
        <f>K3161*'THAM_SO_MOI'!$C$52*'THAM_SO_MOI'!$C$17/'THAM_SO_MOI'!$C$26</f>
        <v>5962.728556675167</v>
      </c>
      <c r="M3161" s="75">
        <f>'THAM_SO_MOI'!$C$15*'THAM_SO_MOI'!$C$16*F3161^2</f>
        <v>718.1448706303888</v>
      </c>
      <c r="N3161" s="75">
        <f>'THAM_SO_MOI'!$C$12*I3161</f>
        <v>1130.112</v>
      </c>
      <c r="O3161" s="75">
        <f>M3161+N3161</f>
        <v>1848.256870630389</v>
      </c>
      <c r="P3161" s="75">
        <f>(MIN(L3161,'THAM_SO_MOI'!$C$41)-O3161)/('THAM_SO_MOI'!$C$11*H3161)</f>
        <v>0.4549890900658484</v>
      </c>
      <c r="Q3161" s="75">
        <f>IF(P3161&gt;0,1/P3161,NA())</f>
        <v>2.197854897697162</v>
      </c>
      <c r="R3161" s="75">
        <f>F3161-F3160</f>
        <v>0.007943393307220603</v>
      </c>
      <c r="S3161" s="75">
        <f>0.5*(Q3160+Q3161)*R3161</f>
        <v>0.017455809870879056</v>
      </c>
      <c r="T3161" s="75">
        <f>0.5*(F3160*Q3160+F3161*Q3161)*R3161</f>
        <v>0.27344690956854156</v>
      </c>
      <c r="U3161" s="76">
        <f>U3160+S3161</f>
        <v>25.410216002502107</v>
      </c>
      <c r="V3161" s="76">
        <f>V3160+T3161</f>
        <v>234.11151176106495</v>
      </c>
    </row>
    <row r="3162" spans="1:22" ht="19" customHeight="1">
      <c r="A3162" s="68" t="s">
        <v>376</v>
      </c>
      <c r="B3162" s="74">
        <v>4</v>
      </c>
      <c r="C3162" s="68" t="s">
        <v>363</v>
      </c>
      <c r="D3162" s="68" t="s">
        <v>364</v>
      </c>
      <c r="E3162" s="75">
        <f>60*F3162*'THAM_SO_MOI'!$C$52/(2*PI()*'THAM_SO_MOI'!$C$26)</f>
        <v>2466.2879870369306</v>
      </c>
      <c r="F3162" s="75">
        <f>'HANH_TRINH'!$F$2468+('THAM_SO_MOI'!$F$52-'HANH_TRINH'!$F$2468)*693/'THAM_SO_MOI'!$C$42</f>
        <v>15.677008901203063</v>
      </c>
      <c r="G3162" s="75">
        <f>3.6*F3162</f>
        <v>56.437232044331026</v>
      </c>
      <c r="H3162" s="75">
        <f>'THAM_SO_MOI'!$D$52</f>
        <v>1.1774754878398197</v>
      </c>
      <c r="I3162" s="75">
        <f>IF(F3162&gt;'THAM_SO_MOI'!$C$14,'THAM_SO_MOI'!$C$13*(1+F3162^2/1500),'THAM_SO_MOI'!$C$13)</f>
        <v>0.015</v>
      </c>
      <c r="J3162" s="75">
        <f>'THAM_SO_MOI'!$C$40*('THAM_SO_MOI'!$C$23*(E3162/'THAM_SO_MOI'!$C$22)+'THAM_SO_MOI'!$C$24*(E3162/'THAM_SO_MOI'!$C$22)^2-'THAM_SO_MOI'!$C$25*(E3162/'THAM_SO_MOI'!$C$22)^3)</f>
        <v>109.94371553722401</v>
      </c>
      <c r="K3162" s="75">
        <f>'THAM_SO_MOI'!$C$31*J3162/E3162</f>
        <v>425.77478724008597</v>
      </c>
      <c r="L3162" s="75">
        <f>K3162*'THAM_SO_MOI'!$C$52*'THAM_SO_MOI'!$C$17/'THAM_SO_MOI'!$C$26</f>
        <v>5962.220959226934</v>
      </c>
      <c r="M3162" s="75">
        <f>'THAM_SO_MOI'!$C$15*'THAM_SO_MOI'!$C$16*F3162^2</f>
        <v>718.8731786585703</v>
      </c>
      <c r="N3162" s="75">
        <f>'THAM_SO_MOI'!$C$12*I3162</f>
        <v>1130.112</v>
      </c>
      <c r="O3162" s="75">
        <f>M3162+N3162</f>
        <v>1848.9851786585705</v>
      </c>
      <c r="P3162" s="75">
        <f>(MIN(L3162,'THAM_SO_MOI'!$C$41)-O3162)/('THAM_SO_MOI'!$C$11*H3162)</f>
        <v>0.4548524203908501</v>
      </c>
      <c r="Q3162" s="75">
        <f>IF(P3162&gt;0,1/P3162,NA())</f>
        <v>2.198515287971228</v>
      </c>
      <c r="R3162" s="75">
        <f>F3162-F3161</f>
        <v>0.007943393307220603</v>
      </c>
      <c r="S3162" s="75">
        <f>0.5*(Q3161+Q3162)*R3162</f>
        <v>0.017461048754451244</v>
      </c>
      <c r="T3162" s="75">
        <f>0.5*(F3161*Q3161+F3162*Q3162)*R3162</f>
        <v>0.2736676771762096</v>
      </c>
      <c r="U3162" s="76">
        <f>U3161+S3162</f>
        <v>25.42767705125656</v>
      </c>
      <c r="V3162" s="76">
        <f>V3161+T3162</f>
        <v>234.38517943824115</v>
      </c>
    </row>
    <row r="3163" spans="1:22" ht="19" customHeight="1">
      <c r="A3163" s="68" t="s">
        <v>376</v>
      </c>
      <c r="B3163" s="74">
        <v>4</v>
      </c>
      <c r="C3163" s="68" t="s">
        <v>363</v>
      </c>
      <c r="D3163" s="68" t="s">
        <v>364</v>
      </c>
      <c r="E3163" s="75">
        <f>60*F3163*'THAM_SO_MOI'!$C$52/(2*PI()*'THAM_SO_MOI'!$C$26)</f>
        <v>2467.5376320178943</v>
      </c>
      <c r="F3163" s="75">
        <f>'HANH_TRINH'!$F$2468+('THAM_SO_MOI'!$F$52-'HANH_TRINH'!$F$2468)*694/'THAM_SO_MOI'!$C$42</f>
        <v>15.684952294510282</v>
      </c>
      <c r="G3163" s="75">
        <f>3.6*F3163</f>
        <v>56.46582826023702</v>
      </c>
      <c r="H3163" s="75">
        <f>'THAM_SO_MOI'!$D$52</f>
        <v>1.1774754878398197</v>
      </c>
      <c r="I3163" s="75">
        <f>IF(F3163&gt;'THAM_SO_MOI'!$C$14,'THAM_SO_MOI'!$C$13*(1+F3163^2/1500),'THAM_SO_MOI'!$C$13)</f>
        <v>0.015</v>
      </c>
      <c r="J3163" s="75">
        <f>'THAM_SO_MOI'!$C$40*('THAM_SO_MOI'!$C$23*(E3163/'THAM_SO_MOI'!$C$22)+'THAM_SO_MOI'!$C$24*(E3163/'THAM_SO_MOI'!$C$22)^2-'THAM_SO_MOI'!$C$25*(E3163/'THAM_SO_MOI'!$C$22)^3)</f>
        <v>109.99001897573791</v>
      </c>
      <c r="K3163" s="75">
        <f>'THAM_SO_MOI'!$C$31*J3163/E3163</f>
        <v>425.7383871348466</v>
      </c>
      <c r="L3163" s="75">
        <f>K3163*'THAM_SO_MOI'!$C$52*'THAM_SO_MOI'!$C$17/'THAM_SO_MOI'!$C$26</f>
        <v>5961.711240293638</v>
      </c>
      <c r="M3163" s="75">
        <f>'THAM_SO_MOI'!$C$15*'THAM_SO_MOI'!$C$16*F3163^2</f>
        <v>719.6018558071104</v>
      </c>
      <c r="N3163" s="75">
        <f>'THAM_SO_MOI'!$C$12*I3163</f>
        <v>1130.112</v>
      </c>
      <c r="O3163" s="75">
        <f>M3163+N3163</f>
        <v>1849.7138558071106</v>
      </c>
      <c r="P3163" s="75">
        <f>(MIN(L3163,'THAM_SO_MOI'!$C$41)-O3163)/('THAM_SO_MOI'!$C$11*H3163)</f>
        <v>0.45471547529816025</v>
      </c>
      <c r="Q3163" s="75">
        <f>IF(P3163&gt;0,1/P3163,NA())</f>
        <v>2.1991774072441514</v>
      </c>
      <c r="R3163" s="75">
        <f>F3163-F3162</f>
        <v>0.007943393307218827</v>
      </c>
      <c r="S3163" s="75">
        <f>0.5*(Q3162+Q3163)*R3163</f>
        <v>0.017466301361189485</v>
      </c>
      <c r="T3163" s="75">
        <f>0.5*(F3162*Q3162+F3163*Q3163)*R3163</f>
        <v>0.27388874320564716</v>
      </c>
      <c r="U3163" s="76">
        <f>U3162+S3163</f>
        <v>25.445143352617748</v>
      </c>
      <c r="V3163" s="76">
        <f>V3162+T3163</f>
        <v>234.6590681814468</v>
      </c>
    </row>
    <row r="3164" spans="1:22" ht="19" customHeight="1">
      <c r="A3164" s="68" t="s">
        <v>376</v>
      </c>
      <c r="B3164" s="74">
        <v>4</v>
      </c>
      <c r="C3164" s="68" t="s">
        <v>363</v>
      </c>
      <c r="D3164" s="68" t="s">
        <v>364</v>
      </c>
      <c r="E3164" s="75">
        <f>60*F3164*'THAM_SO_MOI'!$C$52/(2*PI()*'THAM_SO_MOI'!$C$26)</f>
        <v>2468.7872769988576</v>
      </c>
      <c r="F3164" s="75">
        <f>'HANH_TRINH'!$F$2468+('THAM_SO_MOI'!$F$52-'HANH_TRINH'!$F$2468)*695/'THAM_SO_MOI'!$C$42</f>
        <v>15.6928956878175</v>
      </c>
      <c r="G3164" s="75">
        <f>3.6*F3164</f>
        <v>56.494424476143</v>
      </c>
      <c r="H3164" s="75">
        <f>'THAM_SO_MOI'!$D$52</f>
        <v>1.1774754878398197</v>
      </c>
      <c r="I3164" s="75">
        <f>IF(F3164&gt;'THAM_SO_MOI'!$C$14,'THAM_SO_MOI'!$C$13*(1+F3164^2/1500),'THAM_SO_MOI'!$C$13)</f>
        <v>0.015</v>
      </c>
      <c r="J3164" s="75">
        <f>'THAM_SO_MOI'!$C$40*('THAM_SO_MOI'!$C$23*(E3164/'THAM_SO_MOI'!$C$22)+'THAM_SO_MOI'!$C$24*(E3164/'THAM_SO_MOI'!$C$22)^2-'THAM_SO_MOI'!$C$25*(E3164/'THAM_SO_MOI'!$C$22)^3)</f>
        <v>110.03627372927355</v>
      </c>
      <c r="K3164" s="75">
        <f>'THAM_SO_MOI'!$C$31*J3164/E3164</f>
        <v>425.70183552988</v>
      </c>
      <c r="L3164" s="75">
        <f>K3164*'THAM_SO_MOI'!$C$52*'THAM_SO_MOI'!$C$17/'THAM_SO_MOI'!$C$26</f>
        <v>5961.199399875284</v>
      </c>
      <c r="M3164" s="75">
        <f>'THAM_SO_MOI'!$C$15*'THAM_SO_MOI'!$C$16*F3164^2</f>
        <v>720.3309020760094</v>
      </c>
      <c r="N3164" s="75">
        <f>'THAM_SO_MOI'!$C$12*I3164</f>
        <v>1130.112</v>
      </c>
      <c r="O3164" s="75">
        <f>M3164+N3164</f>
        <v>1850.4429020760094</v>
      </c>
      <c r="P3164" s="75">
        <f>(MIN(L3164,'THAM_SO_MOI'!$C$41)-O3164)/('THAM_SO_MOI'!$C$11*H3164)</f>
        <v>0.45457825478777897</v>
      </c>
      <c r="Q3164" s="75">
        <f>IF(P3164&gt;0,1/P3164,NA())</f>
        <v>2.199841258282037</v>
      </c>
      <c r="R3164" s="75">
        <f>F3164-F3163</f>
        <v>0.007943393307218827</v>
      </c>
      <c r="S3164" s="75">
        <f>0.5*(Q3163+Q3164)*R3164</f>
        <v>0.01747156771303571</v>
      </c>
      <c r="T3164" s="75">
        <f>0.5*(F3163*Q3163+F3164*Q3164)*R3164</f>
        <v>0.27411010832812516</v>
      </c>
      <c r="U3164" s="76">
        <f>U3163+S3164</f>
        <v>25.462614920330783</v>
      </c>
      <c r="V3164" s="76">
        <f>V3163+T3164</f>
        <v>234.93317828977493</v>
      </c>
    </row>
    <row r="3165" spans="1:22" ht="19" customHeight="1">
      <c r="A3165" s="68" t="s">
        <v>376</v>
      </c>
      <c r="B3165" s="74">
        <v>4</v>
      </c>
      <c r="C3165" s="68" t="s">
        <v>363</v>
      </c>
      <c r="D3165" s="68" t="s">
        <v>364</v>
      </c>
      <c r="E3165" s="75">
        <f>60*F3165*'THAM_SO_MOI'!$C$52/(2*PI()*'THAM_SO_MOI'!$C$26)</f>
        <v>2470.0369219798204</v>
      </c>
      <c r="F3165" s="75">
        <f>'HANH_TRINH'!$F$2468+('THAM_SO_MOI'!$F$52-'HANH_TRINH'!$F$2468)*696/'THAM_SO_MOI'!$C$42</f>
        <v>15.70083908112472</v>
      </c>
      <c r="G3165" s="75">
        <f>3.6*F3165</f>
        <v>56.523020692048995</v>
      </c>
      <c r="H3165" s="75">
        <f>'THAM_SO_MOI'!$D$52</f>
        <v>1.1774754878398197</v>
      </c>
      <c r="I3165" s="75">
        <f>IF(F3165&gt;'THAM_SO_MOI'!$C$14,'THAM_SO_MOI'!$C$13*(1+F3165^2/1500),'THAM_SO_MOI'!$C$13)</f>
        <v>0.015</v>
      </c>
      <c r="J3165" s="75">
        <f>'THAM_SO_MOI'!$C$40*('THAM_SO_MOI'!$C$23*(E3165/'THAM_SO_MOI'!$C$22)+'THAM_SO_MOI'!$C$24*(E3165/'THAM_SO_MOI'!$C$22)^2-'THAM_SO_MOI'!$C$25*(E3165/'THAM_SO_MOI'!$C$22)^3)</f>
        <v>110.08247973836515</v>
      </c>
      <c r="K3165" s="75">
        <f>'THAM_SO_MOI'!$C$31*J3165/E3165</f>
        <v>425.6651324251858</v>
      </c>
      <c r="L3165" s="75">
        <f>K3165*'THAM_SO_MOI'!$C$52*'THAM_SO_MOI'!$C$17/'THAM_SO_MOI'!$C$26</f>
        <v>5960.685437971868</v>
      </c>
      <c r="M3165" s="75">
        <f>'THAM_SO_MOI'!$C$15*'THAM_SO_MOI'!$C$16*F3165^2</f>
        <v>721.060317465267</v>
      </c>
      <c r="N3165" s="75">
        <f>'THAM_SO_MOI'!$C$12*I3165</f>
        <v>1130.112</v>
      </c>
      <c r="O3165" s="75">
        <f>M3165+N3165</f>
        <v>1851.172317465267</v>
      </c>
      <c r="P3165" s="75">
        <f>(MIN(L3165,'THAM_SO_MOI'!$C$41)-O3165)/('THAM_SO_MOI'!$C$11*H3165)</f>
        <v>0.45444075885970614</v>
      </c>
      <c r="Q3165" s="75">
        <f>IF(P3165&gt;0,1/P3165,NA())</f>
        <v>2.2005068438606266</v>
      </c>
      <c r="R3165" s="75">
        <f>F3165-F3164</f>
        <v>0.007943393307218827</v>
      </c>
      <c r="S3165" s="75">
        <f>0.5*(Q3164+Q3165)*R3165</f>
        <v>0.017476847831996548</v>
      </c>
      <c r="T3165" s="75">
        <f>0.5*(F3164*Q3164+F3165*Q3165)*R3165</f>
        <v>0.27433177321662733</v>
      </c>
      <c r="U3165" s="76">
        <f>U3164+S3165</f>
        <v>25.48009176816278</v>
      </c>
      <c r="V3165" s="76">
        <f>V3164+T3165</f>
        <v>235.20751006299156</v>
      </c>
    </row>
    <row r="3166" spans="1:22" ht="19" customHeight="1">
      <c r="A3166" s="68" t="s">
        <v>376</v>
      </c>
      <c r="B3166" s="74">
        <v>4</v>
      </c>
      <c r="C3166" s="68" t="s">
        <v>363</v>
      </c>
      <c r="D3166" s="68" t="s">
        <v>364</v>
      </c>
      <c r="E3166" s="75">
        <f>60*F3166*'THAM_SO_MOI'!$C$52/(2*PI()*'THAM_SO_MOI'!$C$26)</f>
        <v>2471.2865669607836</v>
      </c>
      <c r="F3166" s="75">
        <f>'HANH_TRINH'!$F$2468+('THAM_SO_MOI'!$F$52-'HANH_TRINH'!$F$2468)*697/'THAM_SO_MOI'!$C$42</f>
        <v>15.708782474431938</v>
      </c>
      <c r="G3166" s="75">
        <f>3.6*F3166</f>
        <v>56.55161690795498</v>
      </c>
      <c r="H3166" s="75">
        <f>'THAM_SO_MOI'!$D$52</f>
        <v>1.1774754878398197</v>
      </c>
      <c r="I3166" s="75">
        <f>IF(F3166&gt;'THAM_SO_MOI'!$C$14,'THAM_SO_MOI'!$C$13*(1+F3166^2/1500),'THAM_SO_MOI'!$C$13)</f>
        <v>0.015</v>
      </c>
      <c r="J3166" s="75">
        <f>'THAM_SO_MOI'!$C$40*('THAM_SO_MOI'!$C$23*(E3166/'THAM_SO_MOI'!$C$22)+'THAM_SO_MOI'!$C$24*(E3166/'THAM_SO_MOI'!$C$22)^2-'THAM_SO_MOI'!$C$25*(E3166/'THAM_SO_MOI'!$C$22)^3)</f>
        <v>110.12863694354706</v>
      </c>
      <c r="K3166" s="75">
        <f>'THAM_SO_MOI'!$C$31*J3166/E3166</f>
        <v>425.6282778207641</v>
      </c>
      <c r="L3166" s="75">
        <f>K3166*'THAM_SO_MOI'!$C$52*'THAM_SO_MOI'!$C$17/'THAM_SO_MOI'!$C$26</f>
        <v>5960.169354583391</v>
      </c>
      <c r="M3166" s="75">
        <f>'THAM_SO_MOI'!$C$15*'THAM_SO_MOI'!$C$16*F3166^2</f>
        <v>721.7901019748836</v>
      </c>
      <c r="N3166" s="75">
        <f>'THAM_SO_MOI'!$C$12*I3166</f>
        <v>1130.112</v>
      </c>
      <c r="O3166" s="75">
        <f>M3166+N3166</f>
        <v>1851.9021019748836</v>
      </c>
      <c r="P3166" s="75">
        <f>(MIN(L3166,'THAM_SO_MOI'!$C$41)-O3166)/('THAM_SO_MOI'!$C$11*H3166)</f>
        <v>0.4543029875139418</v>
      </c>
      <c r="Q3166" s="75">
        <f>IF(P3166&gt;0,1/P3166,NA())</f>
        <v>2.2011741667653277</v>
      </c>
      <c r="R3166" s="75">
        <f>F3166-F3165</f>
        <v>0.007943393307218827</v>
      </c>
      <c r="S3166" s="75">
        <f>0.5*(Q3165+Q3166)*R3166</f>
        <v>0.017482141740159204</v>
      </c>
      <c r="T3166" s="75">
        <f>0.5*(F3165*Q3165+F3166*Q3166)*R3166</f>
        <v>0.27455373854610193</v>
      </c>
      <c r="U3166" s="76">
        <f>U3165+S3166</f>
        <v>25.49757390990294</v>
      </c>
      <c r="V3166" s="76">
        <f>V3165+T3166</f>
        <v>235.48206380153766</v>
      </c>
    </row>
    <row r="3167" spans="1:22" ht="19" customHeight="1">
      <c r="A3167" s="68" t="s">
        <v>376</v>
      </c>
      <c r="B3167" s="74">
        <v>4</v>
      </c>
      <c r="C3167" s="68" t="s">
        <v>363</v>
      </c>
      <c r="D3167" s="68" t="s">
        <v>364</v>
      </c>
      <c r="E3167" s="75">
        <f>60*F3167*'THAM_SO_MOI'!$C$52/(2*PI()*'THAM_SO_MOI'!$C$26)</f>
        <v>2472.536211941747</v>
      </c>
      <c r="F3167" s="75">
        <f>'HANH_TRINH'!$F$2468+('THAM_SO_MOI'!$F$52-'HANH_TRINH'!$F$2468)*698/'THAM_SO_MOI'!$C$42</f>
        <v>15.716725867739159</v>
      </c>
      <c r="G3167" s="75">
        <f>3.6*F3167</f>
        <v>56.58021312386097</v>
      </c>
      <c r="H3167" s="75">
        <f>'THAM_SO_MOI'!$D$52</f>
        <v>1.1774754878398197</v>
      </c>
      <c r="I3167" s="75">
        <f>IF(F3167&gt;'THAM_SO_MOI'!$C$14,'THAM_SO_MOI'!$C$13*(1+F3167^2/1500),'THAM_SO_MOI'!$C$13)</f>
        <v>0.015</v>
      </c>
      <c r="J3167" s="75">
        <f>'THAM_SO_MOI'!$C$40*('THAM_SO_MOI'!$C$23*(E3167/'THAM_SO_MOI'!$C$22)+'THAM_SO_MOI'!$C$24*(E3167/'THAM_SO_MOI'!$C$22)^2-'THAM_SO_MOI'!$C$25*(E3167/'THAM_SO_MOI'!$C$22)^3)</f>
        <v>110.17474528535362</v>
      </c>
      <c r="K3167" s="75">
        <f>'THAM_SO_MOI'!$C$31*J3167/E3167</f>
        <v>425.5912717166149</v>
      </c>
      <c r="L3167" s="75">
        <f>K3167*'THAM_SO_MOI'!$C$52*'THAM_SO_MOI'!$C$17/'THAM_SO_MOI'!$C$26</f>
        <v>5959.651149709853</v>
      </c>
      <c r="M3167" s="75">
        <f>'THAM_SO_MOI'!$C$15*'THAM_SO_MOI'!$C$16*F3167^2</f>
        <v>722.5202556048591</v>
      </c>
      <c r="N3167" s="75">
        <f>'THAM_SO_MOI'!$C$12*I3167</f>
        <v>1130.112</v>
      </c>
      <c r="O3167" s="75">
        <f>M3167+N3167</f>
        <v>1852.6322556048592</v>
      </c>
      <c r="P3167" s="75">
        <f>(MIN(L3167,'THAM_SO_MOI'!$C$41)-O3167)/('THAM_SO_MOI'!$C$11*H3167)</f>
        <v>0.4541649407504858</v>
      </c>
      <c r="Q3167" s="75">
        <f>IF(P3167&gt;0,1/P3167,NA())</f>
        <v>2.201843229791247</v>
      </c>
      <c r="R3167" s="75">
        <f>F3167-F3166</f>
        <v>0.007943393307220603</v>
      </c>
      <c r="S3167" s="75">
        <f>0.5*(Q3166+Q3167)*R3167</f>
        <v>0.01748744945969169</v>
      </c>
      <c r="T3167" s="75">
        <f>0.5*(F3166*Q3166+F3167*Q3167)*R3167</f>
        <v>0.274776004993469</v>
      </c>
      <c r="U3167" s="76">
        <f>U3166+S3167</f>
        <v>25.51506135936263</v>
      </c>
      <c r="V3167" s="76">
        <f>V3166+T3167</f>
        <v>235.75683980653113</v>
      </c>
    </row>
    <row r="3168" spans="1:22" ht="19" customHeight="1">
      <c r="A3168" s="68" t="s">
        <v>376</v>
      </c>
      <c r="B3168" s="74">
        <v>4</v>
      </c>
      <c r="C3168" s="68" t="s">
        <v>363</v>
      </c>
      <c r="D3168" s="68" t="s">
        <v>364</v>
      </c>
      <c r="E3168" s="75">
        <f>60*F3168*'THAM_SO_MOI'!$C$52/(2*PI()*'THAM_SO_MOI'!$C$26)</f>
        <v>2473.78585692271</v>
      </c>
      <c r="F3168" s="75">
        <f>'HANH_TRINH'!$F$2468+('THAM_SO_MOI'!$F$52-'HANH_TRINH'!$F$2468)*699/'THAM_SO_MOI'!$C$42</f>
        <v>15.724669261046378</v>
      </c>
      <c r="G3168" s="75">
        <f>3.6*F3168</f>
        <v>56.608809339766964</v>
      </c>
      <c r="H3168" s="75">
        <f>'THAM_SO_MOI'!$D$52</f>
        <v>1.1774754878398197</v>
      </c>
      <c r="I3168" s="75">
        <f>IF(F3168&gt;'THAM_SO_MOI'!$C$14,'THAM_SO_MOI'!$C$13*(1+F3168^2/1500),'THAM_SO_MOI'!$C$13)</f>
        <v>0.015</v>
      </c>
      <c r="J3168" s="75">
        <f>'THAM_SO_MOI'!$C$40*('THAM_SO_MOI'!$C$23*(E3168/'THAM_SO_MOI'!$C$22)+'THAM_SO_MOI'!$C$24*(E3168/'THAM_SO_MOI'!$C$22)^2-'THAM_SO_MOI'!$C$25*(E3168/'THAM_SO_MOI'!$C$22)^3)</f>
        <v>110.22080470431911</v>
      </c>
      <c r="K3168" s="75">
        <f>'THAM_SO_MOI'!$C$31*J3168/E3168</f>
        <v>425.5541141127383</v>
      </c>
      <c r="L3168" s="75">
        <f>K3168*'THAM_SO_MOI'!$C$52*'THAM_SO_MOI'!$C$17/'THAM_SO_MOI'!$C$26</f>
        <v>5959.130823351255</v>
      </c>
      <c r="M3168" s="75">
        <f>'THAM_SO_MOI'!$C$15*'THAM_SO_MOI'!$C$16*F3168^2</f>
        <v>723.2507783551932</v>
      </c>
      <c r="N3168" s="75">
        <f>'THAM_SO_MOI'!$C$12*I3168</f>
        <v>1130.112</v>
      </c>
      <c r="O3168" s="75">
        <f>M3168+N3168</f>
        <v>1853.3627783551933</v>
      </c>
      <c r="P3168" s="75">
        <f>(MIN(L3168,'THAM_SO_MOI'!$C$41)-O3168)/('THAM_SO_MOI'!$C$11*H3168)</f>
        <v>0.4540266185693385</v>
      </c>
      <c r="Q3168" s="75">
        <f>IF(P3168&gt;0,1/P3168,NA())</f>
        <v>2.202514035743217</v>
      </c>
      <c r="R3168" s="75">
        <f>F3168-F3167</f>
        <v>0.007943393307218827</v>
      </c>
      <c r="S3168" s="75">
        <f>0.5*(Q3167+Q3168)*R3168</f>
        <v>0.01749277101282354</v>
      </c>
      <c r="T3168" s="75">
        <f>0.5*(F3167*Q3167+F3168*Q3168)*R3168</f>
        <v>0.27499857323731963</v>
      </c>
      <c r="U3168" s="76">
        <f>U3167+S3168</f>
        <v>25.532554130375452</v>
      </c>
      <c r="V3168" s="76">
        <f>V3167+T3168</f>
        <v>236.03183837976846</v>
      </c>
    </row>
    <row r="3169" spans="1:22" ht="19" customHeight="1">
      <c r="A3169" s="68" t="s">
        <v>376</v>
      </c>
      <c r="B3169" s="74">
        <v>4</v>
      </c>
      <c r="C3169" s="68" t="s">
        <v>363</v>
      </c>
      <c r="D3169" s="68" t="s">
        <v>364</v>
      </c>
      <c r="E3169" s="75">
        <f>60*F3169*'THAM_SO_MOI'!$C$52/(2*PI()*'THAM_SO_MOI'!$C$26)</f>
        <v>2475.035501903674</v>
      </c>
      <c r="F3169" s="75">
        <f>'HANH_TRINH'!$F$2468+('THAM_SO_MOI'!$F$52-'HANH_TRINH'!$F$2468)*700/'THAM_SO_MOI'!$C$42</f>
        <v>15.732612654353598</v>
      </c>
      <c r="G3169" s="75">
        <f>3.6*F3169</f>
        <v>56.637405555672956</v>
      </c>
      <c r="H3169" s="75">
        <f>'THAM_SO_MOI'!$D$52</f>
        <v>1.1774754878398197</v>
      </c>
      <c r="I3169" s="75">
        <f>IF(F3169&gt;'THAM_SO_MOI'!$C$14,'THAM_SO_MOI'!$C$13*(1+F3169^2/1500),'THAM_SO_MOI'!$C$13)</f>
        <v>0.015</v>
      </c>
      <c r="J3169" s="75">
        <f>'THAM_SO_MOI'!$C$40*('THAM_SO_MOI'!$C$23*(E3169/'THAM_SO_MOI'!$C$22)+'THAM_SO_MOI'!$C$24*(E3169/'THAM_SO_MOI'!$C$22)^2-'THAM_SO_MOI'!$C$25*(E3169/'THAM_SO_MOI'!$C$22)^3)</f>
        <v>110.2668151409779</v>
      </c>
      <c r="K3169" s="75">
        <f>'THAM_SO_MOI'!$C$31*J3169/E3169</f>
        <v>425.51680500913426</v>
      </c>
      <c r="L3169" s="75">
        <f>K3169*'THAM_SO_MOI'!$C$52*'THAM_SO_MOI'!$C$17/'THAM_SO_MOI'!$C$26</f>
        <v>5958.608375507594</v>
      </c>
      <c r="M3169" s="75">
        <f>'THAM_SO_MOI'!$C$15*'THAM_SO_MOI'!$C$16*F3169^2</f>
        <v>723.9816702258864</v>
      </c>
      <c r="N3169" s="75">
        <f>'THAM_SO_MOI'!$C$12*I3169</f>
        <v>1130.112</v>
      </c>
      <c r="O3169" s="75">
        <f>M3169+N3169</f>
        <v>1854.0936702258864</v>
      </c>
      <c r="P3169" s="75">
        <f>(MIN(L3169,'THAM_SO_MOI'!$C$41)-O3169)/('THAM_SO_MOI'!$C$11*H3169)</f>
        <v>0.45388802097049935</v>
      </c>
      <c r="Q3169" s="75">
        <f>IF(P3169&gt;0,1/P3169,NA())</f>
        <v>2.203186587435837</v>
      </c>
      <c r="R3169" s="75">
        <f>F3169-F3168</f>
        <v>0.007943393307220603</v>
      </c>
      <c r="S3169" s="75">
        <f>0.5*(Q3168+Q3169)*R3169</f>
        <v>0.01749810642188907</v>
      </c>
      <c r="T3169" s="75">
        <f>0.5*(F3168*Q3168+F3169*Q3169)*R3169</f>
        <v>0.2752214439585997</v>
      </c>
      <c r="U3169" s="76">
        <f>U3168+S3169</f>
        <v>25.55005223679734</v>
      </c>
      <c r="V3169" s="76">
        <f>V3168+T3169</f>
        <v>236.30705982372706</v>
      </c>
    </row>
    <row r="3170" spans="1:22" ht="19" customHeight="1">
      <c r="A3170" s="68" t="s">
        <v>376</v>
      </c>
      <c r="B3170" s="74">
        <v>4</v>
      </c>
      <c r="C3170" s="68" t="s">
        <v>363</v>
      </c>
      <c r="D3170" s="68" t="s">
        <v>364</v>
      </c>
      <c r="E3170" s="75">
        <f>60*F3170*'THAM_SO_MOI'!$C$52/(2*PI()*'THAM_SO_MOI'!$C$26)</f>
        <v>2476.2851468846366</v>
      </c>
      <c r="F3170" s="75">
        <f>'HANH_TRINH'!$F$2468+('THAM_SO_MOI'!$F$52-'HANH_TRINH'!$F$2468)*701/'THAM_SO_MOI'!$C$42</f>
        <v>15.740556047660817</v>
      </c>
      <c r="G3170" s="75">
        <f>3.6*F3170</f>
        <v>56.66600177157894</v>
      </c>
      <c r="H3170" s="75">
        <f>'THAM_SO_MOI'!$D$52</f>
        <v>1.1774754878398197</v>
      </c>
      <c r="I3170" s="75">
        <f>IF(F3170&gt;'THAM_SO_MOI'!$C$14,'THAM_SO_MOI'!$C$13*(1+F3170^2/1500),'THAM_SO_MOI'!$C$13)</f>
        <v>0.015</v>
      </c>
      <c r="J3170" s="75">
        <f>'THAM_SO_MOI'!$C$40*('THAM_SO_MOI'!$C$23*(E3170/'THAM_SO_MOI'!$C$22)+'THAM_SO_MOI'!$C$24*(E3170/'THAM_SO_MOI'!$C$22)^2-'THAM_SO_MOI'!$C$25*(E3170/'THAM_SO_MOI'!$C$22)^3)</f>
        <v>110.3127765358642</v>
      </c>
      <c r="K3170" s="75">
        <f>'THAM_SO_MOI'!$C$31*J3170/E3170</f>
        <v>425.4793444058027</v>
      </c>
      <c r="L3170" s="75">
        <f>K3170*'THAM_SO_MOI'!$C$52*'THAM_SO_MOI'!$C$17/'THAM_SO_MOI'!$C$26</f>
        <v>5958.0838061788745</v>
      </c>
      <c r="M3170" s="75">
        <f>'THAM_SO_MOI'!$C$15*'THAM_SO_MOI'!$C$16*F3170^2</f>
        <v>724.7129312169383</v>
      </c>
      <c r="N3170" s="75">
        <f>'THAM_SO_MOI'!$C$12*I3170</f>
        <v>1130.112</v>
      </c>
      <c r="O3170" s="75">
        <f>M3170+N3170</f>
        <v>1854.8249312169382</v>
      </c>
      <c r="P3170" s="75">
        <f>(MIN(L3170,'THAM_SO_MOI'!$C$41)-O3170)/('THAM_SO_MOI'!$C$11*H3170)</f>
        <v>0.453749147953969</v>
      </c>
      <c r="Q3170" s="75">
        <f>IF(P3170&gt;0,1/P3170,NA())</f>
        <v>2.2038608876934926</v>
      </c>
      <c r="R3170" s="75">
        <f>F3170-F3169</f>
        <v>0.007943393307218827</v>
      </c>
      <c r="S3170" s="75">
        <f>0.5*(Q3169+Q3170)*R3170</f>
        <v>0.017503455709268975</v>
      </c>
      <c r="T3170" s="75">
        <f>0.5*(F3169*Q3169+F3170*Q3170)*R3170</f>
        <v>0.27544461783969454</v>
      </c>
      <c r="U3170" s="76">
        <f>U3169+S3170</f>
        <v>25.56755569250661</v>
      </c>
      <c r="V3170" s="76">
        <f>V3169+T3170</f>
        <v>236.58250444156675</v>
      </c>
    </row>
    <row r="3171" spans="1:22" ht="19" customHeight="1">
      <c r="A3171" s="68" t="s">
        <v>376</v>
      </c>
      <c r="B3171" s="74">
        <v>4</v>
      </c>
      <c r="C3171" s="68" t="s">
        <v>363</v>
      </c>
      <c r="D3171" s="68" t="s">
        <v>364</v>
      </c>
      <c r="E3171" s="75">
        <f>60*F3171*'THAM_SO_MOI'!$C$52/(2*PI()*'THAM_SO_MOI'!$C$26)</f>
        <v>2477.5347918656</v>
      </c>
      <c r="F3171" s="75">
        <f>'HANH_TRINH'!$F$2468+('THAM_SO_MOI'!$F$52-'HANH_TRINH'!$F$2468)*702/'THAM_SO_MOI'!$C$42</f>
        <v>15.748499440968036</v>
      </c>
      <c r="G3171" s="75">
        <f>3.6*F3171</f>
        <v>56.69459798748493</v>
      </c>
      <c r="H3171" s="75">
        <f>'THAM_SO_MOI'!$D$52</f>
        <v>1.1774754878398197</v>
      </c>
      <c r="I3171" s="75">
        <f>IF(F3171&gt;'THAM_SO_MOI'!$C$14,'THAM_SO_MOI'!$C$13*(1+F3171^2/1500),'THAM_SO_MOI'!$C$13)</f>
        <v>0.015</v>
      </c>
      <c r="J3171" s="75">
        <f>'THAM_SO_MOI'!$C$40*('THAM_SO_MOI'!$C$23*(E3171/'THAM_SO_MOI'!$C$22)+'THAM_SO_MOI'!$C$24*(E3171/'THAM_SO_MOI'!$C$22)^2-'THAM_SO_MOI'!$C$25*(E3171/'THAM_SO_MOI'!$C$22)^3)</f>
        <v>110.3586888295124</v>
      </c>
      <c r="K3171" s="75">
        <f>'THAM_SO_MOI'!$C$31*J3171/E3171</f>
        <v>425.44173230274356</v>
      </c>
      <c r="L3171" s="75">
        <f>K3171*'THAM_SO_MOI'!$C$52*'THAM_SO_MOI'!$C$17/'THAM_SO_MOI'!$C$26</f>
        <v>5957.557115365091</v>
      </c>
      <c r="M3171" s="75">
        <f>'THAM_SO_MOI'!$C$15*'THAM_SO_MOI'!$C$16*F3171^2</f>
        <v>725.4445613283489</v>
      </c>
      <c r="N3171" s="75">
        <f>'THAM_SO_MOI'!$C$12*I3171</f>
        <v>1130.112</v>
      </c>
      <c r="O3171" s="75">
        <f>M3171+N3171</f>
        <v>1855.5565613283488</v>
      </c>
      <c r="P3171" s="75">
        <f>(MIN(L3171,'THAM_SO_MOI'!$C$41)-O3171)/('THAM_SO_MOI'!$C$11*H3171)</f>
        <v>0.45360999951974673</v>
      </c>
      <c r="Q3171" s="75">
        <f>IF(P3171&gt;0,1/P3171,NA())</f>
        <v>2.2045369393504024</v>
      </c>
      <c r="R3171" s="75">
        <f>F3171-F3170</f>
        <v>0.007943393307218827</v>
      </c>
      <c r="S3171" s="75">
        <f>0.5*(Q3170+Q3171)*R3171</f>
        <v>0.01750881889744925</v>
      </c>
      <c r="T3171" s="75">
        <f>0.5*(F3170*Q3170+F3171*Q3171)*R3171</f>
        <v>0.27566809556535826</v>
      </c>
      <c r="U3171" s="76">
        <f>U3170+S3171</f>
        <v>25.58506451140406</v>
      </c>
      <c r="V3171" s="76">
        <f>V3170+T3171</f>
        <v>236.8581725371321</v>
      </c>
    </row>
    <row r="3172" spans="1:22" ht="19" customHeight="1">
      <c r="A3172" s="68" t="s">
        <v>376</v>
      </c>
      <c r="B3172" s="74">
        <v>4</v>
      </c>
      <c r="C3172" s="68" t="s">
        <v>363</v>
      </c>
      <c r="D3172" s="68" t="s">
        <v>364</v>
      </c>
      <c r="E3172" s="75">
        <f>60*F3172*'THAM_SO_MOI'!$C$52/(2*PI()*'THAM_SO_MOI'!$C$26)</f>
        <v>2478.784436846563</v>
      </c>
      <c r="F3172" s="75">
        <f>'HANH_TRINH'!$F$2468+('THAM_SO_MOI'!$F$52-'HANH_TRINH'!$F$2468)*703/'THAM_SO_MOI'!$C$42</f>
        <v>15.756442834275255</v>
      </c>
      <c r="G3172" s="75">
        <f>3.6*F3172</f>
        <v>56.72319420339092</v>
      </c>
      <c r="H3172" s="75">
        <f>'THAM_SO_MOI'!$D$52</f>
        <v>1.1774754878398197</v>
      </c>
      <c r="I3172" s="75">
        <f>IF(F3172&gt;'THAM_SO_MOI'!$C$14,'THAM_SO_MOI'!$C$13*(1+F3172^2/1500),'THAM_SO_MOI'!$C$13)</f>
        <v>0.015</v>
      </c>
      <c r="J3172" s="75">
        <f>'THAM_SO_MOI'!$C$40*('THAM_SO_MOI'!$C$23*(E3172/'THAM_SO_MOI'!$C$22)+'THAM_SO_MOI'!$C$24*(E3172/'THAM_SO_MOI'!$C$22)^2-'THAM_SO_MOI'!$C$25*(E3172/'THAM_SO_MOI'!$C$22)^3)</f>
        <v>110.40455196245681</v>
      </c>
      <c r="K3172" s="75">
        <f>'THAM_SO_MOI'!$C$31*J3172/E3172</f>
        <v>425.40396869995715</v>
      </c>
      <c r="L3172" s="75">
        <f>K3172*'THAM_SO_MOI'!$C$52*'THAM_SO_MOI'!$C$17/'THAM_SO_MOI'!$C$26</f>
        <v>5957.0283030662495</v>
      </c>
      <c r="M3172" s="75">
        <f>'THAM_SO_MOI'!$C$15*'THAM_SO_MOI'!$C$16*F3172^2</f>
        <v>726.1765605601183</v>
      </c>
      <c r="N3172" s="75">
        <f>'THAM_SO_MOI'!$C$12*I3172</f>
        <v>1130.112</v>
      </c>
      <c r="O3172" s="75">
        <f>M3172+N3172</f>
        <v>1856.2885605601184</v>
      </c>
      <c r="P3172" s="75">
        <f>(MIN(L3172,'THAM_SO_MOI'!$C$41)-O3172)/('THAM_SO_MOI'!$C$11*H3172)</f>
        <v>0.4534705756678333</v>
      </c>
      <c r="Q3172" s="75">
        <f>IF(P3172&gt;0,1/P3172,NA())</f>
        <v>2.2052147452506357</v>
      </c>
      <c r="R3172" s="75">
        <f>F3172-F3171</f>
        <v>0.007943393307218827</v>
      </c>
      <c r="S3172" s="75">
        <f>0.5*(Q3171+Q3172)*R3172</f>
        <v>0.017514196008978414</v>
      </c>
      <c r="T3172" s="75">
        <f>0.5*(F3171*Q3171+F3172*Q3172)*R3172</f>
        <v>0.27589187782204466</v>
      </c>
      <c r="U3172" s="76">
        <f>U3171+S3172</f>
        <v>25.602578707413038</v>
      </c>
      <c r="V3172" s="76">
        <f>V3171+T3172</f>
        <v>237.13406441495414</v>
      </c>
    </row>
    <row r="3173" spans="1:22" ht="19" customHeight="1">
      <c r="A3173" s="68" t="s">
        <v>376</v>
      </c>
      <c r="B3173" s="74">
        <v>4</v>
      </c>
      <c r="C3173" s="68" t="s">
        <v>363</v>
      </c>
      <c r="D3173" s="68" t="s">
        <v>364</v>
      </c>
      <c r="E3173" s="75">
        <f>60*F3173*'THAM_SO_MOI'!$C$52/(2*PI()*'THAM_SO_MOI'!$C$26)</f>
        <v>2480.0340818275267</v>
      </c>
      <c r="F3173" s="75">
        <f>'HANH_TRINH'!$F$2468+('THAM_SO_MOI'!$F$52-'HANH_TRINH'!$F$2468)*704/'THAM_SO_MOI'!$C$42</f>
        <v>15.764386227582476</v>
      </c>
      <c r="G3173" s="75">
        <f>3.6*F3173</f>
        <v>56.75179041929691</v>
      </c>
      <c r="H3173" s="75">
        <f>'THAM_SO_MOI'!$D$52</f>
        <v>1.1774754878398197</v>
      </c>
      <c r="I3173" s="75">
        <f>IF(F3173&gt;'THAM_SO_MOI'!$C$14,'THAM_SO_MOI'!$C$13*(1+F3173^2/1500),'THAM_SO_MOI'!$C$13)</f>
        <v>0.015</v>
      </c>
      <c r="J3173" s="75">
        <f>'THAM_SO_MOI'!$C$40*('THAM_SO_MOI'!$C$23*(E3173/'THAM_SO_MOI'!$C$22)+'THAM_SO_MOI'!$C$24*(E3173/'THAM_SO_MOI'!$C$22)^2-'THAM_SO_MOI'!$C$25*(E3173/'THAM_SO_MOI'!$C$22)^3)</f>
        <v>110.45036587523172</v>
      </c>
      <c r="K3173" s="75">
        <f>'THAM_SO_MOI'!$C$31*J3173/E3173</f>
        <v>425.36605359744306</v>
      </c>
      <c r="L3173" s="75">
        <f>K3173*'THAM_SO_MOI'!$C$52*'THAM_SO_MOI'!$C$17/'THAM_SO_MOI'!$C$26</f>
        <v>5956.497369282345</v>
      </c>
      <c r="M3173" s="75">
        <f>'THAM_SO_MOI'!$C$15*'THAM_SO_MOI'!$C$16*F3173^2</f>
        <v>726.9089289122468</v>
      </c>
      <c r="N3173" s="75">
        <f>'THAM_SO_MOI'!$C$12*I3173</f>
        <v>1130.112</v>
      </c>
      <c r="O3173" s="75">
        <f>M3173+N3173</f>
        <v>1857.0209289122467</v>
      </c>
      <c r="P3173" s="75">
        <f>(MIN(L3173,'THAM_SO_MOI'!$C$41)-O3173)/('THAM_SO_MOI'!$C$11*H3173)</f>
        <v>0.45333087639822806</v>
      </c>
      <c r="Q3173" s="75">
        <f>IF(P3173&gt;0,1/P3173,NA())</f>
        <v>2.205894308248157</v>
      </c>
      <c r="R3173" s="75">
        <f>F3173-F3172</f>
        <v>0.007943393307220603</v>
      </c>
      <c r="S3173" s="75">
        <f>0.5*(Q3172+Q3173)*R3173</f>
        <v>0.01751958706649126</v>
      </c>
      <c r="T3173" s="75">
        <f>0.5*(F3172*Q3172+F3173*Q3173)*R3173</f>
        <v>0.2761159652982833</v>
      </c>
      <c r="U3173" s="76">
        <f>U3172+S3173</f>
        <v>25.62009829447953</v>
      </c>
      <c r="V3173" s="76">
        <f>V3172+T3173</f>
        <v>237.41018038025243</v>
      </c>
    </row>
    <row r="3174" spans="1:22" ht="19" customHeight="1">
      <c r="A3174" s="68" t="s">
        <v>376</v>
      </c>
      <c r="B3174" s="74">
        <v>4</v>
      </c>
      <c r="C3174" s="68" t="s">
        <v>363</v>
      </c>
      <c r="D3174" s="68" t="s">
        <v>364</v>
      </c>
      <c r="E3174" s="75">
        <f>60*F3174*'THAM_SO_MOI'!$C$52/(2*PI()*'THAM_SO_MOI'!$C$26)</f>
        <v>2481.28372680849</v>
      </c>
      <c r="F3174" s="75">
        <f>'HANH_TRINH'!$F$2468+('THAM_SO_MOI'!$F$52-'HANH_TRINH'!$F$2468)*705/'THAM_SO_MOI'!$C$42</f>
        <v>15.772329620889694</v>
      </c>
      <c r="G3174" s="75">
        <f>3.6*F3174</f>
        <v>56.7803866352029</v>
      </c>
      <c r="H3174" s="75">
        <f>'THAM_SO_MOI'!$D$52</f>
        <v>1.1774754878398197</v>
      </c>
      <c r="I3174" s="75">
        <f>IF(F3174&gt;'THAM_SO_MOI'!$C$14,'THAM_SO_MOI'!$C$13*(1+F3174^2/1500),'THAM_SO_MOI'!$C$13)</f>
        <v>0.015</v>
      </c>
      <c r="J3174" s="75">
        <f>'THAM_SO_MOI'!$C$40*('THAM_SO_MOI'!$C$23*(E3174/'THAM_SO_MOI'!$C$22)+'THAM_SO_MOI'!$C$24*(E3174/'THAM_SO_MOI'!$C$22)^2-'THAM_SO_MOI'!$C$25*(E3174/'THAM_SO_MOI'!$C$22)^3)</f>
        <v>110.49613050837148</v>
      </c>
      <c r="K3174" s="75">
        <f>'THAM_SO_MOI'!$C$31*J3174/E3174</f>
        <v>425.3279869952016</v>
      </c>
      <c r="L3174" s="75">
        <f>K3174*'THAM_SO_MOI'!$C$52*'THAM_SO_MOI'!$C$17/'THAM_SO_MOI'!$C$26</f>
        <v>5955.96431401338</v>
      </c>
      <c r="M3174" s="75">
        <f>'THAM_SO_MOI'!$C$15*'THAM_SO_MOI'!$C$16*F3174^2</f>
        <v>727.6416663847338</v>
      </c>
      <c r="N3174" s="75">
        <f>'THAM_SO_MOI'!$C$12*I3174</f>
        <v>1130.112</v>
      </c>
      <c r="O3174" s="75">
        <f>M3174+N3174</f>
        <v>1857.7536663847338</v>
      </c>
      <c r="P3174" s="75">
        <f>(MIN(L3174,'THAM_SO_MOI'!$C$41)-O3174)/('THAM_SO_MOI'!$C$11*H3174)</f>
        <v>0.45319090171093135</v>
      </c>
      <c r="Q3174" s="75">
        <f>IF(P3174&gt;0,1/P3174,NA())</f>
        <v>2.2065756312068503</v>
      </c>
      <c r="R3174" s="75">
        <f>F3174-F3173</f>
        <v>0.007943393307218827</v>
      </c>
      <c r="S3174" s="75">
        <f>0.5*(Q3173+Q3174)*R3174</f>
        <v>0.017524992092685585</v>
      </c>
      <c r="T3174" s="75">
        <f>0.5*(F3173*Q3173+F3174*Q3174)*R3174</f>
        <v>0.2763403586843168</v>
      </c>
      <c r="U3174" s="76">
        <f>U3173+S3174</f>
        <v>25.637623286572214</v>
      </c>
      <c r="V3174" s="76">
        <f>V3173+T3174</f>
        <v>237.68652073893674</v>
      </c>
    </row>
    <row r="3175" spans="1:22" ht="19" customHeight="1">
      <c r="A3175" s="68" t="s">
        <v>376</v>
      </c>
      <c r="B3175" s="74">
        <v>4</v>
      </c>
      <c r="C3175" s="68" t="s">
        <v>363</v>
      </c>
      <c r="D3175" s="68" t="s">
        <v>364</v>
      </c>
      <c r="E3175" s="75">
        <f>60*F3175*'THAM_SO_MOI'!$C$52/(2*PI()*'THAM_SO_MOI'!$C$26)</f>
        <v>2482.5333717894528</v>
      </c>
      <c r="F3175" s="75">
        <f>'HANH_TRINH'!$F$2468+('THAM_SO_MOI'!$F$52-'HANH_TRINH'!$F$2468)*706/'THAM_SO_MOI'!$C$42</f>
        <v>15.780273014196915</v>
      </c>
      <c r="G3175" s="75">
        <f>3.6*F3175</f>
        <v>56.808982851108894</v>
      </c>
      <c r="H3175" s="75">
        <f>'THAM_SO_MOI'!$D$52</f>
        <v>1.1774754878398197</v>
      </c>
      <c r="I3175" s="75">
        <f>IF(F3175&gt;'THAM_SO_MOI'!$C$14,'THAM_SO_MOI'!$C$13*(1+F3175^2/1500),'THAM_SO_MOI'!$C$13)</f>
        <v>0.015</v>
      </c>
      <c r="J3175" s="75">
        <f>'THAM_SO_MOI'!$C$40*('THAM_SO_MOI'!$C$23*(E3175/'THAM_SO_MOI'!$C$22)+'THAM_SO_MOI'!$C$24*(E3175/'THAM_SO_MOI'!$C$22)^2-'THAM_SO_MOI'!$C$25*(E3175/'THAM_SO_MOI'!$C$22)^3)</f>
        <v>110.54184580241034</v>
      </c>
      <c r="K3175" s="75">
        <f>'THAM_SO_MOI'!$C$31*J3175/E3175</f>
        <v>425.28976889323263</v>
      </c>
      <c r="L3175" s="75">
        <f>K3175*'THAM_SO_MOI'!$C$52*'THAM_SO_MOI'!$C$17/'THAM_SO_MOI'!$C$26</f>
        <v>5955.429137259354</v>
      </c>
      <c r="M3175" s="75">
        <f>'THAM_SO_MOI'!$C$15*'THAM_SO_MOI'!$C$16*F3175^2</f>
        <v>728.3747729775799</v>
      </c>
      <c r="N3175" s="75">
        <f>'THAM_SO_MOI'!$C$12*I3175</f>
        <v>1130.112</v>
      </c>
      <c r="O3175" s="75">
        <f>M3175+N3175</f>
        <v>1858.4867729775801</v>
      </c>
      <c r="P3175" s="75">
        <f>(MIN(L3175,'THAM_SO_MOI'!$C$41)-O3175)/('THAM_SO_MOI'!$C$11*H3175)</f>
        <v>0.45305065160594316</v>
      </c>
      <c r="Q3175" s="75">
        <f>IF(P3175&gt;0,1/P3175,NA())</f>
        <v>2.207258717000556</v>
      </c>
      <c r="R3175" s="75">
        <f>F3175-F3174</f>
        <v>0.007943393307220603</v>
      </c>
      <c r="S3175" s="75">
        <f>0.5*(Q3174+Q3175)*R3175</f>
        <v>0.017530411110365563</v>
      </c>
      <c r="T3175" s="75">
        <f>0.5*(F3174*Q3174+F3175*Q3175)*R3175</f>
        <v>0.27656505867278697</v>
      </c>
      <c r="U3175" s="76">
        <f>U3174+S3175</f>
        <v>25.65515369768258</v>
      </c>
      <c r="V3175" s="76">
        <f>V3174+T3175</f>
        <v>237.96308579760952</v>
      </c>
    </row>
    <row r="3176" spans="1:22" ht="19" customHeight="1">
      <c r="A3176" s="68" t="s">
        <v>376</v>
      </c>
      <c r="B3176" s="74">
        <v>4</v>
      </c>
      <c r="C3176" s="68" t="s">
        <v>363</v>
      </c>
      <c r="D3176" s="68" t="s">
        <v>364</v>
      </c>
      <c r="E3176" s="75">
        <f>60*F3176*'THAM_SO_MOI'!$C$52/(2*PI()*'THAM_SO_MOI'!$C$26)</f>
        <v>2483.7830167704165</v>
      </c>
      <c r="F3176" s="75">
        <f>'HANH_TRINH'!$F$2468+('THAM_SO_MOI'!$F$52-'HANH_TRINH'!$F$2468)*707/'THAM_SO_MOI'!$C$42</f>
        <v>15.788216407504134</v>
      </c>
      <c r="G3176" s="75">
        <f>3.6*F3176</f>
        <v>56.837579067014886</v>
      </c>
      <c r="H3176" s="75">
        <f>'THAM_SO_MOI'!$D$52</f>
        <v>1.1774754878398197</v>
      </c>
      <c r="I3176" s="75">
        <f>IF(F3176&gt;'THAM_SO_MOI'!$C$14,'THAM_SO_MOI'!$C$13*(1+F3176^2/1500),'THAM_SO_MOI'!$C$13)</f>
        <v>0.015</v>
      </c>
      <c r="J3176" s="75">
        <f>'THAM_SO_MOI'!$C$40*('THAM_SO_MOI'!$C$23*(E3176/'THAM_SO_MOI'!$C$22)+'THAM_SO_MOI'!$C$24*(E3176/'THAM_SO_MOI'!$C$22)^2-'THAM_SO_MOI'!$C$25*(E3176/'THAM_SO_MOI'!$C$22)^3)</f>
        <v>110.58751169788269</v>
      </c>
      <c r="K3176" s="75">
        <f>'THAM_SO_MOI'!$C$31*J3176/E3176</f>
        <v>425.25139929153625</v>
      </c>
      <c r="L3176" s="75">
        <f>K3176*'THAM_SO_MOI'!$C$52*'THAM_SO_MOI'!$C$17/'THAM_SO_MOI'!$C$26</f>
        <v>5954.891839020268</v>
      </c>
      <c r="M3176" s="75">
        <f>'THAM_SO_MOI'!$C$15*'THAM_SO_MOI'!$C$16*F3176^2</f>
        <v>729.1082486907846</v>
      </c>
      <c r="N3176" s="75">
        <f>'THAM_SO_MOI'!$C$12*I3176</f>
        <v>1130.112</v>
      </c>
      <c r="O3176" s="75">
        <f>M3176+N3176</f>
        <v>1859.2202486907847</v>
      </c>
      <c r="P3176" s="75">
        <f>(MIN(L3176,'THAM_SO_MOI'!$C$41)-O3176)/('THAM_SO_MOI'!$C$11*H3176)</f>
        <v>0.4529101260832634</v>
      </c>
      <c r="Q3176" s="75">
        <f>IF(P3176&gt;0,1/P3176,NA())</f>
        <v>2.207943568513103</v>
      </c>
      <c r="R3176" s="75">
        <f>F3176-F3175</f>
        <v>0.007943393307218827</v>
      </c>
      <c r="S3176" s="75">
        <f>0.5*(Q3175+Q3176)*R3176</f>
        <v>0.017535844142383235</v>
      </c>
      <c r="T3176" s="75">
        <f>0.5*(F3175*Q3175+F3176*Q3176)*R3176</f>
        <v>0.2767900659578158</v>
      </c>
      <c r="U3176" s="76">
        <f>U3175+S3176</f>
        <v>25.672689541824962</v>
      </c>
      <c r="V3176" s="76">
        <f>V3175+T3176</f>
        <v>238.23987586356733</v>
      </c>
    </row>
    <row r="3177" spans="1:22" ht="19" customHeight="1">
      <c r="A3177" s="68" t="s">
        <v>376</v>
      </c>
      <c r="B3177" s="74">
        <v>4</v>
      </c>
      <c r="C3177" s="68" t="s">
        <v>363</v>
      </c>
      <c r="D3177" s="68" t="s">
        <v>364</v>
      </c>
      <c r="E3177" s="75">
        <f>60*F3177*'THAM_SO_MOI'!$C$52/(2*PI()*'THAM_SO_MOI'!$C$26)</f>
        <v>2485.0326617513797</v>
      </c>
      <c r="F3177" s="75">
        <f>'HANH_TRINH'!$F$2468+('THAM_SO_MOI'!$F$52-'HANH_TRINH'!$F$2468)*708/'THAM_SO_MOI'!$C$42</f>
        <v>15.796159800811353</v>
      </c>
      <c r="G3177" s="75">
        <f>3.6*F3177</f>
        <v>56.86617528292087</v>
      </c>
      <c r="H3177" s="75">
        <f>'THAM_SO_MOI'!$D$52</f>
        <v>1.1774754878398197</v>
      </c>
      <c r="I3177" s="75">
        <f>IF(F3177&gt;'THAM_SO_MOI'!$C$14,'THAM_SO_MOI'!$C$13*(1+F3177^2/1500),'THAM_SO_MOI'!$C$13)</f>
        <v>0.015</v>
      </c>
      <c r="J3177" s="75">
        <f>'THAM_SO_MOI'!$C$40*('THAM_SO_MOI'!$C$23*(E3177/'THAM_SO_MOI'!$C$22)+'THAM_SO_MOI'!$C$24*(E3177/'THAM_SO_MOI'!$C$22)^2-'THAM_SO_MOI'!$C$25*(E3177/'THAM_SO_MOI'!$C$22)^3)</f>
        <v>110.63312813532276</v>
      </c>
      <c r="K3177" s="75">
        <f>'THAM_SO_MOI'!$C$31*J3177/E3177</f>
        <v>425.2128781901123</v>
      </c>
      <c r="L3177" s="75">
        <f>K3177*'THAM_SO_MOI'!$C$52*'THAM_SO_MOI'!$C$17/'THAM_SO_MOI'!$C$26</f>
        <v>5954.35241929612</v>
      </c>
      <c r="M3177" s="75">
        <f>'THAM_SO_MOI'!$C$15*'THAM_SO_MOI'!$C$16*F3177^2</f>
        <v>729.842093524348</v>
      </c>
      <c r="N3177" s="75">
        <f>'THAM_SO_MOI'!$C$12*I3177</f>
        <v>1130.112</v>
      </c>
      <c r="O3177" s="75">
        <f>M3177+N3177</f>
        <v>1859.954093524348</v>
      </c>
      <c r="P3177" s="75">
        <f>(MIN(L3177,'THAM_SO_MOI'!$C$41)-O3177)/('THAM_SO_MOI'!$C$11*H3177)</f>
        <v>0.4527693251428922</v>
      </c>
      <c r="Q3177" s="75">
        <f>IF(P3177&gt;0,1/P3177,NA())</f>
        <v>2.2086301886383404</v>
      </c>
      <c r="R3177" s="75">
        <f>F3177-F3176</f>
        <v>0.007943393307218827</v>
      </c>
      <c r="S3177" s="75">
        <f>0.5*(Q3176+Q3177)*R3177</f>
        <v>0.017541291211697542</v>
      </c>
      <c r="T3177" s="75">
        <f>0.5*(F3176*Q3176+F3177*Q3177)*R3177</f>
        <v>0.27701538123593955</v>
      </c>
      <c r="U3177" s="76">
        <f>U3176+S3177</f>
        <v>25.690230833036658</v>
      </c>
      <c r="V3177" s="76">
        <f>V3176+T3177</f>
        <v>238.51689124480328</v>
      </c>
    </row>
    <row r="3178" spans="1:22" ht="19" customHeight="1">
      <c r="A3178" s="68" t="s">
        <v>376</v>
      </c>
      <c r="B3178" s="74">
        <v>4</v>
      </c>
      <c r="C3178" s="68" t="s">
        <v>363</v>
      </c>
      <c r="D3178" s="68" t="s">
        <v>364</v>
      </c>
      <c r="E3178" s="75">
        <f>60*F3178*'THAM_SO_MOI'!$C$52/(2*PI()*'THAM_SO_MOI'!$C$26)</f>
        <v>2486.282306732343</v>
      </c>
      <c r="F3178" s="75">
        <f>'HANH_TRINH'!$F$2468+('THAM_SO_MOI'!$F$52-'HANH_TRINH'!$F$2468)*709/'THAM_SO_MOI'!$C$42</f>
        <v>15.804103194118571</v>
      </c>
      <c r="G3178" s="75">
        <f>3.6*F3178</f>
        <v>56.894771498826856</v>
      </c>
      <c r="H3178" s="75">
        <f>'THAM_SO_MOI'!$D$52</f>
        <v>1.1774754878398197</v>
      </c>
      <c r="I3178" s="75">
        <f>IF(F3178&gt;'THAM_SO_MOI'!$C$14,'THAM_SO_MOI'!$C$13*(1+F3178^2/1500),'THAM_SO_MOI'!$C$13)</f>
        <v>0.015</v>
      </c>
      <c r="J3178" s="75">
        <f>'THAM_SO_MOI'!$C$40*('THAM_SO_MOI'!$C$23*(E3178/'THAM_SO_MOI'!$C$22)+'THAM_SO_MOI'!$C$24*(E3178/'THAM_SO_MOI'!$C$22)^2-'THAM_SO_MOI'!$C$25*(E3178/'THAM_SO_MOI'!$C$22)^3)</f>
        <v>110.67869505526495</v>
      </c>
      <c r="K3178" s="75">
        <f>'THAM_SO_MOI'!$C$31*J3178/E3178</f>
        <v>425.17420558896106</v>
      </c>
      <c r="L3178" s="75">
        <f>K3178*'THAM_SO_MOI'!$C$52*'THAM_SO_MOI'!$C$17/'THAM_SO_MOI'!$C$26</f>
        <v>5953.810878086913</v>
      </c>
      <c r="M3178" s="75">
        <f>'THAM_SO_MOI'!$C$15*'THAM_SO_MOI'!$C$16*F3178^2</f>
        <v>730.5763074782703</v>
      </c>
      <c r="N3178" s="75">
        <f>'THAM_SO_MOI'!$C$12*I3178</f>
        <v>1130.112</v>
      </c>
      <c r="O3178" s="75">
        <f>M3178+N3178</f>
        <v>1860.6883074782704</v>
      </c>
      <c r="P3178" s="75">
        <f>(MIN(L3178,'THAM_SO_MOI'!$C$41)-O3178)/('THAM_SO_MOI'!$C$11*H3178)</f>
        <v>0.4526282487848296</v>
      </c>
      <c r="Q3178" s="75">
        <f>IF(P3178&gt;0,1/P3178,NA())</f>
        <v>2.2093185802801716</v>
      </c>
      <c r="R3178" s="75">
        <f>F3178-F3177</f>
        <v>0.007943393307218827</v>
      </c>
      <c r="S3178" s="75">
        <f>0.5*(Q3177+Q3178)*R3178</f>
        <v>0.017546752341331483</v>
      </c>
      <c r="T3178" s="75">
        <f>0.5*(F3177*Q3177+F3178*Q3178)*R3178</f>
        <v>0.27724100520543604</v>
      </c>
      <c r="U3178" s="76">
        <f>U3177+S3178</f>
        <v>25.70777758537799</v>
      </c>
      <c r="V3178" s="76">
        <f>V3177+T3178</f>
        <v>238.79413225000872</v>
      </c>
    </row>
    <row r="3179" spans="1:22" ht="19" customHeight="1">
      <c r="A3179" s="68" t="s">
        <v>376</v>
      </c>
      <c r="B3179" s="74">
        <v>4</v>
      </c>
      <c r="C3179" s="68" t="s">
        <v>363</v>
      </c>
      <c r="D3179" s="68" t="s">
        <v>364</v>
      </c>
      <c r="E3179" s="75">
        <f>60*F3179*'THAM_SO_MOI'!$C$52/(2*PI()*'THAM_SO_MOI'!$C$26)</f>
        <v>2487.531951713306</v>
      </c>
      <c r="F3179" s="75">
        <f>'HANH_TRINH'!$F$2468+('THAM_SO_MOI'!$F$52-'HANH_TRINH'!$F$2468)*710/'THAM_SO_MOI'!$C$42</f>
        <v>15.81204658742579</v>
      </c>
      <c r="G3179" s="75">
        <f>3.6*F3179</f>
        <v>56.92336771473285</v>
      </c>
      <c r="H3179" s="75">
        <f>'THAM_SO_MOI'!$D$52</f>
        <v>1.1774754878398197</v>
      </c>
      <c r="I3179" s="75">
        <f>IF(F3179&gt;'THAM_SO_MOI'!$C$14,'THAM_SO_MOI'!$C$13*(1+F3179^2/1500),'THAM_SO_MOI'!$C$13)</f>
        <v>0.015</v>
      </c>
      <c r="J3179" s="75">
        <f>'THAM_SO_MOI'!$C$40*('THAM_SO_MOI'!$C$23*(E3179/'THAM_SO_MOI'!$C$22)+'THAM_SO_MOI'!$C$24*(E3179/'THAM_SO_MOI'!$C$22)^2-'THAM_SO_MOI'!$C$25*(E3179/'THAM_SO_MOI'!$C$22)^3)</f>
        <v>110.7242123982435</v>
      </c>
      <c r="K3179" s="75">
        <f>'THAM_SO_MOI'!$C$31*J3179/E3179</f>
        <v>425.1353814880821</v>
      </c>
      <c r="L3179" s="75">
        <f>K3179*'THAM_SO_MOI'!$C$52*'THAM_SO_MOI'!$C$17/'THAM_SO_MOI'!$C$26</f>
        <v>5953.267215392641</v>
      </c>
      <c r="M3179" s="75">
        <f>'THAM_SO_MOI'!$C$15*'THAM_SO_MOI'!$C$16*F3179^2</f>
        <v>731.3108905525515</v>
      </c>
      <c r="N3179" s="75">
        <f>'THAM_SO_MOI'!$C$12*I3179</f>
        <v>1130.112</v>
      </c>
      <c r="O3179" s="75">
        <f>M3179+N3179</f>
        <v>1861.4228905525515</v>
      </c>
      <c r="P3179" s="75">
        <f>(MIN(L3179,'THAM_SO_MOI'!$C$41)-O3179)/('THAM_SO_MOI'!$C$11*H3179)</f>
        <v>0.4524868970090749</v>
      </c>
      <c r="Q3179" s="75">
        <f>IF(P3179&gt;0,1/P3179,NA())</f>
        <v>2.210008746352592</v>
      </c>
      <c r="R3179" s="75">
        <f>F3179-F3178</f>
        <v>0.007943393307218827</v>
      </c>
      <c r="S3179" s="75">
        <f>0.5*(Q3178+Q3179)*R3179</f>
        <v>0.01755222755439198</v>
      </c>
      <c r="T3179" s="75">
        <f>0.5*(F3178*Q3178+F3179*Q3179)*R3179</f>
        <v>0.27746693856664145</v>
      </c>
      <c r="U3179" s="76">
        <f>U3178+S3179</f>
        <v>25.725329812932383</v>
      </c>
      <c r="V3179" s="76">
        <f>V3178+T3179</f>
        <v>239.07159918857536</v>
      </c>
    </row>
    <row r="3180" spans="1:22" ht="19" customHeight="1">
      <c r="A3180" s="68" t="s">
        <v>376</v>
      </c>
      <c r="B3180" s="74">
        <v>4</v>
      </c>
      <c r="C3180" s="68" t="s">
        <v>363</v>
      </c>
      <c r="D3180" s="68" t="s">
        <v>364</v>
      </c>
      <c r="E3180" s="75">
        <f>60*F3180*'THAM_SO_MOI'!$C$52/(2*PI()*'THAM_SO_MOI'!$C$26)</f>
        <v>2488.7815966942694</v>
      </c>
      <c r="F3180" s="75">
        <f>'HANH_TRINH'!$F$2468+('THAM_SO_MOI'!$F$52-'HANH_TRINH'!$F$2468)*711/'THAM_SO_MOI'!$C$42</f>
        <v>15.81998998073301</v>
      </c>
      <c r="G3180" s="75">
        <f>3.6*F3180</f>
        <v>56.95196393063884</v>
      </c>
      <c r="H3180" s="75">
        <f>'THAM_SO_MOI'!$D$52</f>
        <v>1.1774754878398197</v>
      </c>
      <c r="I3180" s="75">
        <f>IF(F3180&gt;'THAM_SO_MOI'!$C$14,'THAM_SO_MOI'!$C$13*(1+F3180^2/1500),'THAM_SO_MOI'!$C$13)</f>
        <v>0.015</v>
      </c>
      <c r="J3180" s="75">
        <f>'THAM_SO_MOI'!$C$40*('THAM_SO_MOI'!$C$23*(E3180/'THAM_SO_MOI'!$C$22)+'THAM_SO_MOI'!$C$24*(E3180/'THAM_SO_MOI'!$C$22)^2-'THAM_SO_MOI'!$C$25*(E3180/'THAM_SO_MOI'!$C$22)^3)</f>
        <v>110.76968010479274</v>
      </c>
      <c r="K3180" s="75">
        <f>'THAM_SO_MOI'!$C$31*J3180/E3180</f>
        <v>425.0964058874757</v>
      </c>
      <c r="L3180" s="75">
        <f>K3180*'THAM_SO_MOI'!$C$52*'THAM_SO_MOI'!$C$17/'THAM_SO_MOI'!$C$26</f>
        <v>5952.72143121331</v>
      </c>
      <c r="M3180" s="75">
        <f>'THAM_SO_MOI'!$C$15*'THAM_SO_MOI'!$C$16*F3180^2</f>
        <v>732.0458427471917</v>
      </c>
      <c r="N3180" s="75">
        <f>'THAM_SO_MOI'!$C$12*I3180</f>
        <v>1130.112</v>
      </c>
      <c r="O3180" s="75">
        <f>M3180+N3180</f>
        <v>1862.1578427471918</v>
      </c>
      <c r="P3180" s="75">
        <f>(MIN(L3180,'THAM_SO_MOI'!$C$41)-O3180)/('THAM_SO_MOI'!$C$11*H3180)</f>
        <v>0.4523452698156289</v>
      </c>
      <c r="Q3180" s="75">
        <f>IF(P3180&gt;0,1/P3180,NA())</f>
        <v>2.2107006897797103</v>
      </c>
      <c r="R3180" s="75">
        <f>F3180-F3179</f>
        <v>0.007943393307220603</v>
      </c>
      <c r="S3180" s="75">
        <f>0.5*(Q3179+Q3180)*R3180</f>
        <v>0.017557716874070147</v>
      </c>
      <c r="T3180" s="75">
        <f>0.5*(F3179*Q3179+F3180*Q3180)*R3180</f>
        <v>0.2776931820219575</v>
      </c>
      <c r="U3180" s="76">
        <f>U3179+S3180</f>
        <v>25.742887529806453</v>
      </c>
      <c r="V3180" s="76">
        <f>V3179+T3180</f>
        <v>239.3492923705973</v>
      </c>
    </row>
    <row r="3181" spans="1:22" ht="19" customHeight="1">
      <c r="A3181" s="68" t="s">
        <v>376</v>
      </c>
      <c r="B3181" s="74">
        <v>4</v>
      </c>
      <c r="C3181" s="68" t="s">
        <v>363</v>
      </c>
      <c r="D3181" s="68" t="s">
        <v>364</v>
      </c>
      <c r="E3181" s="75">
        <f>60*F3181*'THAM_SO_MOI'!$C$52/(2*PI()*'THAM_SO_MOI'!$C$26)</f>
        <v>2490.0312416752326</v>
      </c>
      <c r="F3181" s="75">
        <f>'HANH_TRINH'!$F$2468+('THAM_SO_MOI'!$F$52-'HANH_TRINH'!$F$2468)*712/'THAM_SO_MOI'!$C$42</f>
        <v>15.827933374040231</v>
      </c>
      <c r="G3181" s="75">
        <f>3.6*F3181</f>
        <v>56.98056014654483</v>
      </c>
      <c r="H3181" s="75">
        <f>'THAM_SO_MOI'!$D$52</f>
        <v>1.1774754878398197</v>
      </c>
      <c r="I3181" s="75">
        <f>IF(F3181&gt;'THAM_SO_MOI'!$C$14,'THAM_SO_MOI'!$C$13*(1+F3181^2/1500),'THAM_SO_MOI'!$C$13)</f>
        <v>0.015</v>
      </c>
      <c r="J3181" s="75">
        <f>'THAM_SO_MOI'!$C$40*('THAM_SO_MOI'!$C$23*(E3181/'THAM_SO_MOI'!$C$22)+'THAM_SO_MOI'!$C$24*(E3181/'THAM_SO_MOI'!$C$22)^2-'THAM_SO_MOI'!$C$25*(E3181/'THAM_SO_MOI'!$C$22)^3)</f>
        <v>110.81509811544704</v>
      </c>
      <c r="K3181" s="75">
        <f>'THAM_SO_MOI'!$C$31*J3181/E3181</f>
        <v>425.057278787142</v>
      </c>
      <c r="L3181" s="75">
        <f>K3181*'THAM_SO_MOI'!$C$52*'THAM_SO_MOI'!$C$17/'THAM_SO_MOI'!$C$26</f>
        <v>5952.17352554892</v>
      </c>
      <c r="M3181" s="75">
        <f>'THAM_SO_MOI'!$C$15*'THAM_SO_MOI'!$C$16*F3181^2</f>
        <v>732.7811640621906</v>
      </c>
      <c r="N3181" s="75">
        <f>'THAM_SO_MOI'!$C$12*I3181</f>
        <v>1130.112</v>
      </c>
      <c r="O3181" s="75">
        <f>M3181+N3181</f>
        <v>1862.8931640621906</v>
      </c>
      <c r="P3181" s="75">
        <f>(MIN(L3181,'THAM_SO_MOI'!$C$41)-O3181)/('THAM_SO_MOI'!$C$11*H3181)</f>
        <v>0.4522033672044917</v>
      </c>
      <c r="Q3181" s="75">
        <f>IF(P3181&gt;0,1/P3181,NA())</f>
        <v>2.2113944134957935</v>
      </c>
      <c r="R3181" s="75">
        <f>F3181-F3180</f>
        <v>0.007943393307220603</v>
      </c>
      <c r="S3181" s="75">
        <f>0.5*(Q3180+Q3181)*R3181</f>
        <v>0.01756322032362582</v>
      </c>
      <c r="T3181" s="75">
        <f>0.5*(F3180*Q3180+F3181*Q3181)*R3181</f>
        <v>0.2779197362756104</v>
      </c>
      <c r="U3181" s="76">
        <f>U3180+S3181</f>
        <v>25.76045075013008</v>
      </c>
      <c r="V3181" s="76">
        <f>V3180+T3181</f>
        <v>239.62721210687292</v>
      </c>
    </row>
    <row r="3182" spans="1:22" ht="19" customHeight="1">
      <c r="A3182" s="68" t="s">
        <v>376</v>
      </c>
      <c r="B3182" s="74">
        <v>4</v>
      </c>
      <c r="C3182" s="68" t="s">
        <v>363</v>
      </c>
      <c r="D3182" s="68" t="s">
        <v>364</v>
      </c>
      <c r="E3182" s="75">
        <f>60*F3182*'THAM_SO_MOI'!$C$52/(2*PI()*'THAM_SO_MOI'!$C$26)</f>
        <v>2491.280886656196</v>
      </c>
      <c r="F3182" s="75">
        <f>'HANH_TRINH'!$F$2468+('THAM_SO_MOI'!$F$52-'HANH_TRINH'!$F$2468)*713/'THAM_SO_MOI'!$C$42</f>
        <v>15.83587676734745</v>
      </c>
      <c r="G3182" s="75">
        <f>3.6*F3182</f>
        <v>57.009156362450824</v>
      </c>
      <c r="H3182" s="75">
        <f>'THAM_SO_MOI'!$D$52</f>
        <v>1.1774754878398197</v>
      </c>
      <c r="I3182" s="75">
        <f>IF(F3182&gt;'THAM_SO_MOI'!$C$14,'THAM_SO_MOI'!$C$13*(1+F3182^2/1500),'THAM_SO_MOI'!$C$13)</f>
        <v>0.015</v>
      </c>
      <c r="J3182" s="75">
        <f>'THAM_SO_MOI'!$C$40*('THAM_SO_MOI'!$C$23*(E3182/'THAM_SO_MOI'!$C$22)+'THAM_SO_MOI'!$C$24*(E3182/'THAM_SO_MOI'!$C$22)^2-'THAM_SO_MOI'!$C$25*(E3182/'THAM_SO_MOI'!$C$22)^3)</f>
        <v>110.86046637074064</v>
      </c>
      <c r="K3182" s="75">
        <f>'THAM_SO_MOI'!$C$31*J3182/E3182</f>
        <v>425.01800018708064</v>
      </c>
      <c r="L3182" s="75">
        <f>K3182*'THAM_SO_MOI'!$C$52*'THAM_SO_MOI'!$C$17/'THAM_SO_MOI'!$C$26</f>
        <v>5951.623498399466</v>
      </c>
      <c r="M3182" s="75">
        <f>'THAM_SO_MOI'!$C$15*'THAM_SO_MOI'!$C$16*F3182^2</f>
        <v>733.5168544975481</v>
      </c>
      <c r="N3182" s="75">
        <f>'THAM_SO_MOI'!$C$12*I3182</f>
        <v>1130.112</v>
      </c>
      <c r="O3182" s="75">
        <f>M3182+N3182</f>
        <v>1863.6288544975482</v>
      </c>
      <c r="P3182" s="75">
        <f>(MIN(L3182,'THAM_SO_MOI'!$C$41)-O3182)/('THAM_SO_MOI'!$C$11*H3182)</f>
        <v>0.4520611891756625</v>
      </c>
      <c r="Q3182" s="75">
        <f>IF(P3182&gt;0,1/P3182,NA())</f>
        <v>2.2120899204453024</v>
      </c>
      <c r="R3182" s="75">
        <f>F3182-F3181</f>
        <v>0.007943393307218827</v>
      </c>
      <c r="S3182" s="75">
        <f>0.5*(Q3181+Q3182)*R3182</f>
        <v>0.017568737926407514</v>
      </c>
      <c r="T3182" s="75">
        <f>0.5*(F3181*Q3181+F3182*Q3182)*R3182</f>
        <v>0.27814660203396935</v>
      </c>
      <c r="U3182" s="76">
        <f>U3181+S3182</f>
        <v>25.778019488056486</v>
      </c>
      <c r="V3182" s="76">
        <f>V3181+T3182</f>
        <v>239.90535870890687</v>
      </c>
    </row>
    <row r="3183" spans="1:22" ht="19" customHeight="1">
      <c r="A3183" s="68" t="s">
        <v>376</v>
      </c>
      <c r="B3183" s="74">
        <v>4</v>
      </c>
      <c r="C3183" s="68" t="s">
        <v>363</v>
      </c>
      <c r="D3183" s="68" t="s">
        <v>364</v>
      </c>
      <c r="E3183" s="75">
        <f>60*F3183*'THAM_SO_MOI'!$C$52/(2*PI()*'THAM_SO_MOI'!$C$26)</f>
        <v>2492.530531637159</v>
      </c>
      <c r="F3183" s="75">
        <f>'HANH_TRINH'!$F$2468+('THAM_SO_MOI'!$F$52-'HANH_TRINH'!$F$2468)*714/'THAM_SO_MOI'!$C$42</f>
        <v>15.84382016065467</v>
      </c>
      <c r="G3183" s="75">
        <f>3.6*F3183</f>
        <v>57.03775257835681</v>
      </c>
      <c r="H3183" s="75">
        <f>'THAM_SO_MOI'!$D$52</f>
        <v>1.1774754878398197</v>
      </c>
      <c r="I3183" s="75">
        <f>IF(F3183&gt;'THAM_SO_MOI'!$C$14,'THAM_SO_MOI'!$C$13*(1+F3183^2/1500),'THAM_SO_MOI'!$C$13)</f>
        <v>0.015</v>
      </c>
      <c r="J3183" s="75">
        <f>'THAM_SO_MOI'!$C$40*('THAM_SO_MOI'!$C$23*(E3183/'THAM_SO_MOI'!$C$22)+'THAM_SO_MOI'!$C$24*(E3183/'THAM_SO_MOI'!$C$22)^2-'THAM_SO_MOI'!$C$25*(E3183/'THAM_SO_MOI'!$C$22)^3)</f>
        <v>110.9057848112079</v>
      </c>
      <c r="K3183" s="75">
        <f>'THAM_SO_MOI'!$C$31*J3183/E3183</f>
        <v>424.9785700872919</v>
      </c>
      <c r="L3183" s="75">
        <f>K3183*'THAM_SO_MOI'!$C$52*'THAM_SO_MOI'!$C$17/'THAM_SO_MOI'!$C$26</f>
        <v>5951.071349764952</v>
      </c>
      <c r="M3183" s="75">
        <f>'THAM_SO_MOI'!$C$15*'THAM_SO_MOI'!$C$16*F3183^2</f>
        <v>734.2529140532646</v>
      </c>
      <c r="N3183" s="75">
        <f>'THAM_SO_MOI'!$C$12*I3183</f>
        <v>1130.112</v>
      </c>
      <c r="O3183" s="75">
        <f>M3183+N3183</f>
        <v>1864.3649140532648</v>
      </c>
      <c r="P3183" s="75">
        <f>(MIN(L3183,'THAM_SO_MOI'!$C$41)-O3183)/('THAM_SO_MOI'!$C$11*H3183)</f>
        <v>0.45191873572914204</v>
      </c>
      <c r="Q3183" s="75">
        <f>IF(P3183&gt;0,1/P3183,NA())</f>
        <v>2.2127872135829105</v>
      </c>
      <c r="R3183" s="75">
        <f>F3183-F3182</f>
        <v>0.007943393307218827</v>
      </c>
      <c r="S3183" s="75">
        <f>0.5*(Q3182+Q3183)*R3183</f>
        <v>0.017574269705852665</v>
      </c>
      <c r="T3183" s="75">
        <f>0.5*(F3182*Q3182+F3183*Q3183)*R3183</f>
        <v>0.2783737800055537</v>
      </c>
      <c r="U3183" s="76">
        <f>U3182+S3183</f>
        <v>25.79559375776234</v>
      </c>
      <c r="V3183" s="76">
        <f>V3182+T3183</f>
        <v>240.18373248891243</v>
      </c>
    </row>
    <row r="3184" spans="1:22" ht="19" customHeight="1">
      <c r="A3184" s="68" t="s">
        <v>376</v>
      </c>
      <c r="B3184" s="74">
        <v>4</v>
      </c>
      <c r="C3184" s="68" t="s">
        <v>363</v>
      </c>
      <c r="D3184" s="68" t="s">
        <v>364</v>
      </c>
      <c r="E3184" s="75">
        <f>60*F3184*'THAM_SO_MOI'!$C$52/(2*PI()*'THAM_SO_MOI'!$C$26)</f>
        <v>2493.7801766181224</v>
      </c>
      <c r="F3184" s="75">
        <f>'HANH_TRINH'!$F$2468+('THAM_SO_MOI'!$F$52-'HANH_TRINH'!$F$2468)*715/'THAM_SO_MOI'!$C$42</f>
        <v>15.851763553961888</v>
      </c>
      <c r="G3184" s="75">
        <f>3.6*F3184</f>
        <v>57.0663487942628</v>
      </c>
      <c r="H3184" s="75">
        <f>'THAM_SO_MOI'!$D$52</f>
        <v>1.1774754878398197</v>
      </c>
      <c r="I3184" s="75">
        <f>IF(F3184&gt;'THAM_SO_MOI'!$C$14,'THAM_SO_MOI'!$C$13*(1+F3184^2/1500),'THAM_SO_MOI'!$C$13)</f>
        <v>0.015</v>
      </c>
      <c r="J3184" s="75">
        <f>'THAM_SO_MOI'!$C$40*('THAM_SO_MOI'!$C$23*(E3184/'THAM_SO_MOI'!$C$22)+'THAM_SO_MOI'!$C$24*(E3184/'THAM_SO_MOI'!$C$22)^2-'THAM_SO_MOI'!$C$25*(E3184/'THAM_SO_MOI'!$C$22)^3)</f>
        <v>110.95105337738312</v>
      </c>
      <c r="K3184" s="75">
        <f>'THAM_SO_MOI'!$C$31*J3184/E3184</f>
        <v>424.9389884877757</v>
      </c>
      <c r="L3184" s="75">
        <f>K3184*'THAM_SO_MOI'!$C$52*'THAM_SO_MOI'!$C$17/'THAM_SO_MOI'!$C$26</f>
        <v>5950.5170796453785</v>
      </c>
      <c r="M3184" s="75">
        <f>'THAM_SO_MOI'!$C$15*'THAM_SO_MOI'!$C$16*F3184^2</f>
        <v>734.9893427293397</v>
      </c>
      <c r="N3184" s="75">
        <f>'THAM_SO_MOI'!$C$12*I3184</f>
        <v>1130.112</v>
      </c>
      <c r="O3184" s="75">
        <f>M3184+N3184</f>
        <v>1865.1013427293396</v>
      </c>
      <c r="P3184" s="75">
        <f>(MIN(L3184,'THAM_SO_MOI'!$C$41)-O3184)/('THAM_SO_MOI'!$C$11*H3184)</f>
        <v>0.45177600686493</v>
      </c>
      <c r="Q3184" s="75">
        <f>IF(P3184&gt;0,1/P3184,NA())</f>
        <v>2.2134862958735555</v>
      </c>
      <c r="R3184" s="75">
        <f>F3184-F3183</f>
        <v>0.007943393307218827</v>
      </c>
      <c r="S3184" s="75">
        <f>0.5*(Q3183+Q3184)*R3184</f>
        <v>0.017579815685468243</v>
      </c>
      <c r="T3184" s="75">
        <f>0.5*(F3183*Q3183+F3184*Q3184)*R3184</f>
        <v>0.27860127090072967</v>
      </c>
      <c r="U3184" s="76">
        <f>U3183+S3184</f>
        <v>25.81317357344781</v>
      </c>
      <c r="V3184" s="76">
        <f>V3183+T3184</f>
        <v>240.46233375981316</v>
      </c>
    </row>
    <row r="3185" spans="1:22" ht="19" customHeight="1">
      <c r="A3185" s="68" t="s">
        <v>376</v>
      </c>
      <c r="B3185" s="74">
        <v>4</v>
      </c>
      <c r="C3185" s="68" t="s">
        <v>363</v>
      </c>
      <c r="D3185" s="68" t="s">
        <v>364</v>
      </c>
      <c r="E3185" s="75">
        <f>60*F3185*'THAM_SO_MOI'!$C$52/(2*PI()*'THAM_SO_MOI'!$C$26)</f>
        <v>2495.029821599085</v>
      </c>
      <c r="F3185" s="75">
        <f>'HANH_TRINH'!$F$2468+('THAM_SO_MOI'!$F$52-'HANH_TRINH'!$F$2468)*716/'THAM_SO_MOI'!$C$42</f>
        <v>15.859706947269107</v>
      </c>
      <c r="G3185" s="75">
        <f>3.6*F3185</f>
        <v>57.094945010168786</v>
      </c>
      <c r="H3185" s="75">
        <f>'THAM_SO_MOI'!$D$52</f>
        <v>1.1774754878398197</v>
      </c>
      <c r="I3185" s="75">
        <f>IF(F3185&gt;'THAM_SO_MOI'!$C$14,'THAM_SO_MOI'!$C$13*(1+F3185^2/1500),'THAM_SO_MOI'!$C$13)</f>
        <v>0.015</v>
      </c>
      <c r="J3185" s="75">
        <f>'THAM_SO_MOI'!$C$40*('THAM_SO_MOI'!$C$23*(E3185/'THAM_SO_MOI'!$C$22)+'THAM_SO_MOI'!$C$24*(E3185/'THAM_SO_MOI'!$C$22)^2-'THAM_SO_MOI'!$C$25*(E3185/'THAM_SO_MOI'!$C$22)^3)</f>
        <v>110.99627200980058</v>
      </c>
      <c r="K3185" s="75">
        <f>'THAM_SO_MOI'!$C$31*J3185/E3185</f>
        <v>424.899255388532</v>
      </c>
      <c r="L3185" s="75">
        <f>K3185*'THAM_SO_MOI'!$C$52*'THAM_SO_MOI'!$C$17/'THAM_SO_MOI'!$C$26</f>
        <v>5949.960688040744</v>
      </c>
      <c r="M3185" s="75">
        <f>'THAM_SO_MOI'!$C$15*'THAM_SO_MOI'!$C$16*F3185^2</f>
        <v>735.7261405257738</v>
      </c>
      <c r="N3185" s="75">
        <f>'THAM_SO_MOI'!$C$12*I3185</f>
        <v>1130.112</v>
      </c>
      <c r="O3185" s="75">
        <f>M3185+N3185</f>
        <v>1865.8381405257737</v>
      </c>
      <c r="P3185" s="75">
        <f>(MIN(L3185,'THAM_SO_MOI'!$C$41)-O3185)/('THAM_SO_MOI'!$C$11*H3185)</f>
        <v>0.4516330025830265</v>
      </c>
      <c r="Q3185" s="75">
        <f>IF(P3185&gt;0,1/P3185,NA())</f>
        <v>2.2141871702924627</v>
      </c>
      <c r="R3185" s="75">
        <f>F3185-F3184</f>
        <v>0.007943393307218827</v>
      </c>
      <c r="S3185" s="75">
        <f>0.5*(Q3184+Q3185)*R3185</f>
        <v>0.017585375888846767</v>
      </c>
      <c r="T3185" s="75">
        <f>0.5*(F3184*Q3184+F3185*Q3185)*R3185</f>
        <v>0.27882907543196694</v>
      </c>
      <c r="U3185" s="76">
        <f>U3184+S3185</f>
        <v>25.830758949336655</v>
      </c>
      <c r="V3185" s="76">
        <f>V3184+T3185</f>
        <v>240.74116283524512</v>
      </c>
    </row>
    <row r="3186" spans="1:22" ht="19" customHeight="1">
      <c r="A3186" s="68" t="s">
        <v>376</v>
      </c>
      <c r="B3186" s="74">
        <v>4</v>
      </c>
      <c r="C3186" s="68" t="s">
        <v>363</v>
      </c>
      <c r="D3186" s="68" t="s">
        <v>364</v>
      </c>
      <c r="E3186" s="75">
        <f>60*F3186*'THAM_SO_MOI'!$C$52/(2*PI()*'THAM_SO_MOI'!$C$26)</f>
        <v>2496.279466580049</v>
      </c>
      <c r="F3186" s="75">
        <f>'HANH_TRINH'!$F$2468+('THAM_SO_MOI'!$F$52-'HANH_TRINH'!$F$2468)*717/'THAM_SO_MOI'!$C$42</f>
        <v>15.867650340576327</v>
      </c>
      <c r="G3186" s="75">
        <f>3.6*F3186</f>
        <v>57.12354122607478</v>
      </c>
      <c r="H3186" s="75">
        <f>'THAM_SO_MOI'!$D$52</f>
        <v>1.1774754878398197</v>
      </c>
      <c r="I3186" s="75">
        <f>IF(F3186&gt;'THAM_SO_MOI'!$C$14,'THAM_SO_MOI'!$C$13*(1+F3186^2/1500),'THAM_SO_MOI'!$C$13)</f>
        <v>0.015</v>
      </c>
      <c r="J3186" s="75">
        <f>'THAM_SO_MOI'!$C$40*('THAM_SO_MOI'!$C$23*(E3186/'THAM_SO_MOI'!$C$22)+'THAM_SO_MOI'!$C$24*(E3186/'THAM_SO_MOI'!$C$22)^2-'THAM_SO_MOI'!$C$25*(E3186/'THAM_SO_MOI'!$C$22)^3)</f>
        <v>111.04144064899468</v>
      </c>
      <c r="K3186" s="75">
        <f>'THAM_SO_MOI'!$C$31*J3186/E3186</f>
        <v>424.8593707895609</v>
      </c>
      <c r="L3186" s="75">
        <f>K3186*'THAM_SO_MOI'!$C$52*'THAM_SO_MOI'!$C$17/'THAM_SO_MOI'!$C$26</f>
        <v>5949.4021749510475</v>
      </c>
      <c r="M3186" s="75">
        <f>'THAM_SO_MOI'!$C$15*'THAM_SO_MOI'!$C$16*F3186^2</f>
        <v>736.4633074425668</v>
      </c>
      <c r="N3186" s="75">
        <f>'THAM_SO_MOI'!$C$12*I3186</f>
        <v>1130.112</v>
      </c>
      <c r="O3186" s="75">
        <f>M3186+N3186</f>
        <v>1866.575307442567</v>
      </c>
      <c r="P3186" s="75">
        <f>(MIN(L3186,'THAM_SO_MOI'!$C$41)-O3186)/('THAM_SO_MOI'!$C$11*H3186)</f>
        <v>0.4514897228834315</v>
      </c>
      <c r="Q3186" s="75">
        <f>IF(P3186&gt;0,1/P3186,NA())</f>
        <v>2.2148898398251835</v>
      </c>
      <c r="R3186" s="75">
        <f>F3186-F3185</f>
        <v>0.007943393307220603</v>
      </c>
      <c r="S3186" s="75">
        <f>0.5*(Q3185+Q3186)*R3186</f>
        <v>0.017590950339666577</v>
      </c>
      <c r="T3186" s="75">
        <f>0.5*(F3185*Q3185+F3186*Q3186)*R3186</f>
        <v>0.27905719431384596</v>
      </c>
      <c r="U3186" s="76">
        <f>U3185+S3186</f>
        <v>25.84834989967632</v>
      </c>
      <c r="V3186" s="76">
        <f>V3185+T3186</f>
        <v>241.02022002955897</v>
      </c>
    </row>
    <row r="3187" spans="1:22" ht="19" customHeight="1">
      <c r="A3187" s="68" t="s">
        <v>376</v>
      </c>
      <c r="B3187" s="74">
        <v>4</v>
      </c>
      <c r="C3187" s="68" t="s">
        <v>363</v>
      </c>
      <c r="D3187" s="68" t="s">
        <v>364</v>
      </c>
      <c r="E3187" s="75">
        <f>60*F3187*'THAM_SO_MOI'!$C$52/(2*PI()*'THAM_SO_MOI'!$C$26)</f>
        <v>2497.529111561012</v>
      </c>
      <c r="F3187" s="75">
        <f>'HANH_TRINH'!$F$2468+('THAM_SO_MOI'!$F$52-'HANH_TRINH'!$F$2468)*718/'THAM_SO_MOI'!$C$42</f>
        <v>15.875593733883546</v>
      </c>
      <c r="G3187" s="75">
        <f>3.6*F3187</f>
        <v>57.15213744198077</v>
      </c>
      <c r="H3187" s="75">
        <f>'THAM_SO_MOI'!$D$52</f>
        <v>1.1774754878398197</v>
      </c>
      <c r="I3187" s="75">
        <f>IF(F3187&gt;'THAM_SO_MOI'!$C$14,'THAM_SO_MOI'!$C$13*(1+F3187^2/1500),'THAM_SO_MOI'!$C$13)</f>
        <v>0.015</v>
      </c>
      <c r="J3187" s="75">
        <f>'THAM_SO_MOI'!$C$40*('THAM_SO_MOI'!$C$23*(E3187/'THAM_SO_MOI'!$C$22)+'THAM_SO_MOI'!$C$24*(E3187/'THAM_SO_MOI'!$C$22)^2-'THAM_SO_MOI'!$C$25*(E3187/'THAM_SO_MOI'!$C$22)^3)</f>
        <v>111.08655923549965</v>
      </c>
      <c r="K3187" s="75">
        <f>'THAM_SO_MOI'!$C$31*J3187/E3187</f>
        <v>424.8193346908622</v>
      </c>
      <c r="L3187" s="75">
        <f>K3187*'THAM_SO_MOI'!$C$52*'THAM_SO_MOI'!$C$17/'THAM_SO_MOI'!$C$26</f>
        <v>5948.841540376289</v>
      </c>
      <c r="M3187" s="75">
        <f>'THAM_SO_MOI'!$C$15*'THAM_SO_MOI'!$C$16*F3187^2</f>
        <v>737.2008434797184</v>
      </c>
      <c r="N3187" s="75">
        <f>'THAM_SO_MOI'!$C$12*I3187</f>
        <v>1130.112</v>
      </c>
      <c r="O3187" s="75">
        <f>M3187+N3187</f>
        <v>1867.3128434797186</v>
      </c>
      <c r="P3187" s="75">
        <f>(MIN(L3187,'THAM_SO_MOI'!$C$41)-O3187)/('THAM_SO_MOI'!$C$11*H3187)</f>
        <v>0.4513461677661448</v>
      </c>
      <c r="Q3187" s="75">
        <f>IF(P3187&gt;0,1/P3187,NA())</f>
        <v>2.2155943074676294</v>
      </c>
      <c r="R3187" s="75">
        <f>F3187-F3186</f>
        <v>0.007943393307218827</v>
      </c>
      <c r="S3187" s="75">
        <f>0.5*(Q3186+Q3187)*R3187</f>
        <v>0.01759653906167242</v>
      </c>
      <c r="T3187" s="75">
        <f>0.5*(F3186*Q3186+F3187*Q3187)*R3187</f>
        <v>0.27928562826275366</v>
      </c>
      <c r="U3187" s="76">
        <f>U3186+S3187</f>
        <v>25.865946438737993</v>
      </c>
      <c r="V3187" s="76">
        <f>V3186+T3187</f>
        <v>241.29950565782173</v>
      </c>
    </row>
    <row r="3188" spans="1:22" ht="19" customHeight="1">
      <c r="A3188" s="68" t="s">
        <v>376</v>
      </c>
      <c r="B3188" s="74">
        <v>4</v>
      </c>
      <c r="C3188" s="68" t="s">
        <v>363</v>
      </c>
      <c r="D3188" s="68" t="s">
        <v>364</v>
      </c>
      <c r="E3188" s="75">
        <f>60*F3188*'THAM_SO_MOI'!$C$52/(2*PI()*'THAM_SO_MOI'!$C$26)</f>
        <v>2498.778756541976</v>
      </c>
      <c r="F3188" s="75">
        <f>'HANH_TRINH'!$F$2468+('THAM_SO_MOI'!$F$52-'HANH_TRINH'!$F$2468)*719/'THAM_SO_MOI'!$C$42</f>
        <v>15.883537127190767</v>
      </c>
      <c r="G3188" s="75">
        <f>3.6*F3188</f>
        <v>57.18073365788676</v>
      </c>
      <c r="H3188" s="75">
        <f>'THAM_SO_MOI'!$D$52</f>
        <v>1.1774754878398197</v>
      </c>
      <c r="I3188" s="75">
        <f>IF(F3188&gt;'THAM_SO_MOI'!$C$14,'THAM_SO_MOI'!$C$13*(1+F3188^2/1500),'THAM_SO_MOI'!$C$13)</f>
        <v>0.015</v>
      </c>
      <c r="J3188" s="75">
        <f>'THAM_SO_MOI'!$C$40*('THAM_SO_MOI'!$C$23*(E3188/'THAM_SO_MOI'!$C$22)+'THAM_SO_MOI'!$C$24*(E3188/'THAM_SO_MOI'!$C$22)^2-'THAM_SO_MOI'!$C$25*(E3188/'THAM_SO_MOI'!$C$22)^3)</f>
        <v>111.13162770984985</v>
      </c>
      <c r="K3188" s="75">
        <f>'THAM_SO_MOI'!$C$31*J3188/E3188</f>
        <v>424.7791470924361</v>
      </c>
      <c r="L3188" s="75">
        <f>K3188*'THAM_SO_MOI'!$C$52*'THAM_SO_MOI'!$C$17/'THAM_SO_MOI'!$C$26</f>
        <v>5948.2787843164715</v>
      </c>
      <c r="M3188" s="75">
        <f>'THAM_SO_MOI'!$C$15*'THAM_SO_MOI'!$C$16*F3188^2</f>
        <v>737.9387486372291</v>
      </c>
      <c r="N3188" s="75">
        <f>'THAM_SO_MOI'!$C$12*I3188</f>
        <v>1130.112</v>
      </c>
      <c r="O3188" s="75">
        <f>M3188+N3188</f>
        <v>1868.0507486372292</v>
      </c>
      <c r="P3188" s="75">
        <f>(MIN(L3188,'THAM_SO_MOI'!$C$41)-O3188)/('THAM_SO_MOI'!$C$11*H3188)</f>
        <v>0.4512023372311666</v>
      </c>
      <c r="Q3188" s="75">
        <f>IF(P3188&gt;0,1/P3188,NA())</f>
        <v>2.2163005762261054</v>
      </c>
      <c r="R3188" s="75">
        <f>F3188-F3187</f>
        <v>0.007943393307220603</v>
      </c>
      <c r="S3188" s="75">
        <f>0.5*(Q3187+Q3188)*R3188</f>
        <v>0.017602142078719022</v>
      </c>
      <c r="T3188" s="75">
        <f>0.5*(F3187*Q3187+F3188*Q3188)*R3188</f>
        <v>0.2795143779975778</v>
      </c>
      <c r="U3188" s="76">
        <f>U3187+S3188</f>
        <v>25.88354858081671</v>
      </c>
      <c r="V3188" s="76">
        <f>V3187+T3188</f>
        <v>241.5790200358193</v>
      </c>
    </row>
    <row r="3189" spans="1:22" ht="19" customHeight="1">
      <c r="A3189" s="68" t="s">
        <v>376</v>
      </c>
      <c r="B3189" s="74">
        <v>4</v>
      </c>
      <c r="C3189" s="68" t="s">
        <v>363</v>
      </c>
      <c r="D3189" s="68" t="s">
        <v>364</v>
      </c>
      <c r="E3189" s="75">
        <f>60*F3189*'THAM_SO_MOI'!$C$52/(2*PI()*'THAM_SO_MOI'!$C$26)</f>
        <v>2500.0284015229386</v>
      </c>
      <c r="F3189" s="75">
        <f>'HANH_TRINH'!$F$2468+('THAM_SO_MOI'!$F$52-'HANH_TRINH'!$F$2468)*720/'THAM_SO_MOI'!$C$42</f>
        <v>15.891480520497986</v>
      </c>
      <c r="G3189" s="75">
        <f>3.6*F3189</f>
        <v>57.20932987379275</v>
      </c>
      <c r="H3189" s="75">
        <f>'THAM_SO_MOI'!$D$52</f>
        <v>1.1774754878398197</v>
      </c>
      <c r="I3189" s="75">
        <f>IF(F3189&gt;'THAM_SO_MOI'!$C$14,'THAM_SO_MOI'!$C$13*(1+F3189^2/1500),'THAM_SO_MOI'!$C$13)</f>
        <v>0.015</v>
      </c>
      <c r="J3189" s="75">
        <f>'THAM_SO_MOI'!$C$40*('THAM_SO_MOI'!$C$23*(E3189/'THAM_SO_MOI'!$C$22)+'THAM_SO_MOI'!$C$24*(E3189/'THAM_SO_MOI'!$C$22)^2-'THAM_SO_MOI'!$C$25*(E3189/'THAM_SO_MOI'!$C$22)^3)</f>
        <v>111.17664601257954</v>
      </c>
      <c r="K3189" s="75">
        <f>'THAM_SO_MOI'!$C$31*J3189/E3189</f>
        <v>424.7388079942825</v>
      </c>
      <c r="L3189" s="75">
        <f>K3189*'THAM_SO_MOI'!$C$52*'THAM_SO_MOI'!$C$17/'THAM_SO_MOI'!$C$26</f>
        <v>5947.7139067715925</v>
      </c>
      <c r="M3189" s="75">
        <f>'THAM_SO_MOI'!$C$15*'THAM_SO_MOI'!$C$16*F3189^2</f>
        <v>738.6770229150984</v>
      </c>
      <c r="N3189" s="75">
        <f>'THAM_SO_MOI'!$C$12*I3189</f>
        <v>1130.112</v>
      </c>
      <c r="O3189" s="75">
        <f>M3189+N3189</f>
        <v>1868.7890229150985</v>
      </c>
      <c r="P3189" s="75">
        <f>(MIN(L3189,'THAM_SO_MOI'!$C$41)-O3189)/('THAM_SO_MOI'!$C$11*H3189)</f>
        <v>0.45105823127849687</v>
      </c>
      <c r="Q3189" s="75">
        <f>IF(P3189&gt;0,1/P3189,NA())</f>
        <v>2.2170086491173464</v>
      </c>
      <c r="R3189" s="75">
        <f>F3189-F3188</f>
        <v>0.007943393307218827</v>
      </c>
      <c r="S3189" s="75">
        <f>0.5*(Q3188+Q3189)*R3189</f>
        <v>0.017607759414712328</v>
      </c>
      <c r="T3189" s="75">
        <f>0.5*(F3188*Q3188+F3189*Q3189)*R3189</f>
        <v>0.27974344423877784</v>
      </c>
      <c r="U3189" s="76">
        <f>U3188+S3189</f>
        <v>25.901156340231424</v>
      </c>
      <c r="V3189" s="76">
        <f>V3188+T3189</f>
        <v>241.8587634800581</v>
      </c>
    </row>
    <row r="3190" spans="1:22" ht="19" customHeight="1">
      <c r="A3190" s="68" t="s">
        <v>376</v>
      </c>
      <c r="B3190" s="74">
        <v>4</v>
      </c>
      <c r="C3190" s="68" t="s">
        <v>363</v>
      </c>
      <c r="D3190" s="68" t="s">
        <v>364</v>
      </c>
      <c r="E3190" s="75">
        <f>60*F3190*'THAM_SO_MOI'!$C$52/(2*PI()*'THAM_SO_MOI'!$C$26)</f>
        <v>2501.278046503902</v>
      </c>
      <c r="F3190" s="75">
        <f>'HANH_TRINH'!$F$2468+('THAM_SO_MOI'!$F$52-'HANH_TRINH'!$F$2468)*721/'THAM_SO_MOI'!$C$42</f>
        <v>15.899423913805204</v>
      </c>
      <c r="G3190" s="75">
        <f>3.6*F3190</f>
        <v>57.23792608969874</v>
      </c>
      <c r="H3190" s="75">
        <f>'THAM_SO_MOI'!$D$52</f>
        <v>1.1774754878398197</v>
      </c>
      <c r="I3190" s="75">
        <f>IF(F3190&gt;'THAM_SO_MOI'!$C$14,'THAM_SO_MOI'!$C$13*(1+F3190^2/1500),'THAM_SO_MOI'!$C$13)</f>
        <v>0.015</v>
      </c>
      <c r="J3190" s="75">
        <f>'THAM_SO_MOI'!$C$40*('THAM_SO_MOI'!$C$23*(E3190/'THAM_SO_MOI'!$C$22)+'THAM_SO_MOI'!$C$24*(E3190/'THAM_SO_MOI'!$C$22)^2-'THAM_SO_MOI'!$C$25*(E3190/'THAM_SO_MOI'!$C$22)^3)</f>
        <v>111.22161408422308</v>
      </c>
      <c r="K3190" s="75">
        <f>'THAM_SO_MOI'!$C$31*J3190/E3190</f>
        <v>424.6983173964014</v>
      </c>
      <c r="L3190" s="75">
        <f>K3190*'THAM_SO_MOI'!$C$52*'THAM_SO_MOI'!$C$17/'THAM_SO_MOI'!$C$26</f>
        <v>5947.146907741651</v>
      </c>
      <c r="M3190" s="75">
        <f>'THAM_SO_MOI'!$C$15*'THAM_SO_MOI'!$C$16*F3190^2</f>
        <v>739.4156663133264</v>
      </c>
      <c r="N3190" s="75">
        <f>'THAM_SO_MOI'!$C$12*I3190</f>
        <v>1130.112</v>
      </c>
      <c r="O3190" s="75">
        <f>M3190+N3190</f>
        <v>1869.5276663133263</v>
      </c>
      <c r="P3190" s="75">
        <f>(MIN(L3190,'THAM_SO_MOI'!$C$41)-O3190)/('THAM_SO_MOI'!$C$11*H3190)</f>
        <v>0.4509138499081356</v>
      </c>
      <c r="Q3190" s="75">
        <f>IF(P3190&gt;0,1/P3190,NA())</f>
        <v>2.2177185291685526</v>
      </c>
      <c r="R3190" s="75">
        <f>F3190-F3189</f>
        <v>0.007943393307218827</v>
      </c>
      <c r="S3190" s="75">
        <f>0.5*(Q3189+Q3190)*R3190</f>
        <v>0.01761339109366882</v>
      </c>
      <c r="T3190" s="75">
        <f>0.5*(F3189*Q3189+F3190*Q3190)*R3190</f>
        <v>0.2799728277093299</v>
      </c>
      <c r="U3190" s="76">
        <f>U3189+S3190</f>
        <v>25.918769731325092</v>
      </c>
      <c r="V3190" s="76">
        <f>V3189+T3190</f>
        <v>242.13873630776743</v>
      </c>
    </row>
    <row r="3191" spans="1:22" ht="19" customHeight="1">
      <c r="A3191" s="68" t="s">
        <v>376</v>
      </c>
      <c r="B3191" s="74">
        <v>4</v>
      </c>
      <c r="C3191" s="68" t="s">
        <v>363</v>
      </c>
      <c r="D3191" s="68" t="s">
        <v>364</v>
      </c>
      <c r="E3191" s="75">
        <f>60*F3191*'THAM_SO_MOI'!$C$52/(2*PI()*'THAM_SO_MOI'!$C$26)</f>
        <v>2502.527691484865</v>
      </c>
      <c r="F3191" s="75">
        <f>'HANH_TRINH'!$F$2468+('THAM_SO_MOI'!$F$52-'HANH_TRINH'!$F$2468)*722/'THAM_SO_MOI'!$C$42</f>
        <v>15.907367307112423</v>
      </c>
      <c r="G3191" s="75">
        <f>3.6*F3191</f>
        <v>57.266522305604724</v>
      </c>
      <c r="H3191" s="75">
        <f>'THAM_SO_MOI'!$D$52</f>
        <v>1.1774754878398197</v>
      </c>
      <c r="I3191" s="75">
        <f>IF(F3191&gt;'THAM_SO_MOI'!$C$14,'THAM_SO_MOI'!$C$13*(1+F3191^2/1500),'THAM_SO_MOI'!$C$13)</f>
        <v>0.015</v>
      </c>
      <c r="J3191" s="75">
        <f>'THAM_SO_MOI'!$C$40*('THAM_SO_MOI'!$C$23*(E3191/'THAM_SO_MOI'!$C$22)+'THAM_SO_MOI'!$C$24*(E3191/'THAM_SO_MOI'!$C$22)^2-'THAM_SO_MOI'!$C$25*(E3191/'THAM_SO_MOI'!$C$22)^3)</f>
        <v>111.26653186531479</v>
      </c>
      <c r="K3191" s="75">
        <f>'THAM_SO_MOI'!$C$31*J3191/E3191</f>
        <v>424.65767529879287</v>
      </c>
      <c r="L3191" s="75">
        <f>K3191*'THAM_SO_MOI'!$C$52*'THAM_SO_MOI'!$C$17/'THAM_SO_MOI'!$C$26</f>
        <v>5946.577787226651</v>
      </c>
      <c r="M3191" s="75">
        <f>'THAM_SO_MOI'!$C$15*'THAM_SO_MOI'!$C$16*F3191^2</f>
        <v>740.1546788319133</v>
      </c>
      <c r="N3191" s="75">
        <f>'THAM_SO_MOI'!$C$12*I3191</f>
        <v>1130.112</v>
      </c>
      <c r="O3191" s="75">
        <f>M3191+N3191</f>
        <v>1870.2666788319134</v>
      </c>
      <c r="P3191" s="75">
        <f>(MIN(L3191,'THAM_SO_MOI'!$C$41)-O3191)/('THAM_SO_MOI'!$C$11*H3191)</f>
        <v>0.4507691931200829</v>
      </c>
      <c r="Q3191" s="75">
        <f>IF(P3191&gt;0,1/P3191,NA())</f>
        <v>2.2184302194174226</v>
      </c>
      <c r="R3191" s="75">
        <f>F3191-F3190</f>
        <v>0.007943393307218827</v>
      </c>
      <c r="S3191" s="75">
        <f>0.5*(Q3190+Q3191)*R3191</f>
        <v>0.017619037139672503</v>
      </c>
      <c r="T3191" s="75">
        <f>0.5*(F3190*Q3190+F3191*Q3191)*R3191</f>
        <v>0.28020252913404686</v>
      </c>
      <c r="U3191" s="76">
        <f>U3190+S3191</f>
        <v>25.936388768464766</v>
      </c>
      <c r="V3191" s="76">
        <f>V3190+T3191</f>
        <v>242.41893883690148</v>
      </c>
    </row>
    <row r="3192" spans="1:22" ht="19" customHeight="1">
      <c r="A3192" s="68" t="s">
        <v>376</v>
      </c>
      <c r="B3192" s="74">
        <v>4</v>
      </c>
      <c r="C3192" s="68" t="s">
        <v>363</v>
      </c>
      <c r="D3192" s="68" t="s">
        <v>364</v>
      </c>
      <c r="E3192" s="75">
        <f>60*F3192*'THAM_SO_MOI'!$C$52/(2*PI()*'THAM_SO_MOI'!$C$26)</f>
        <v>2503.777336465829</v>
      </c>
      <c r="F3192" s="75">
        <f>'HANH_TRINH'!$F$2468+('THAM_SO_MOI'!$F$52-'HANH_TRINH'!$F$2468)*723/'THAM_SO_MOI'!$C$42</f>
        <v>15.915310700419646</v>
      </c>
      <c r="G3192" s="75">
        <f>3.6*F3192</f>
        <v>57.29511852151072</v>
      </c>
      <c r="H3192" s="75">
        <f>'THAM_SO_MOI'!$D$52</f>
        <v>1.1774754878398197</v>
      </c>
      <c r="I3192" s="75">
        <f>IF(F3192&gt;'THAM_SO_MOI'!$C$14,'THAM_SO_MOI'!$C$13*(1+F3192^2/1500),'THAM_SO_MOI'!$C$13)</f>
        <v>0.015</v>
      </c>
      <c r="J3192" s="75">
        <f>'THAM_SO_MOI'!$C$40*('THAM_SO_MOI'!$C$23*(E3192/'THAM_SO_MOI'!$C$22)+'THAM_SO_MOI'!$C$24*(E3192/'THAM_SO_MOI'!$C$22)^2-'THAM_SO_MOI'!$C$25*(E3192/'THAM_SO_MOI'!$C$22)^3)</f>
        <v>111.31139929638898</v>
      </c>
      <c r="K3192" s="75">
        <f>'THAM_SO_MOI'!$C$31*J3192/E3192</f>
        <v>424.6168817014568</v>
      </c>
      <c r="L3192" s="75">
        <f>K3192*'THAM_SO_MOI'!$C$52*'THAM_SO_MOI'!$C$17/'THAM_SO_MOI'!$C$26</f>
        <v>5946.006545226589</v>
      </c>
      <c r="M3192" s="75">
        <f>'THAM_SO_MOI'!$C$15*'THAM_SO_MOI'!$C$16*F3192^2</f>
        <v>740.8940604708594</v>
      </c>
      <c r="N3192" s="75">
        <f>'THAM_SO_MOI'!$C$12*I3192</f>
        <v>1130.112</v>
      </c>
      <c r="O3192" s="75">
        <f>M3192+N3192</f>
        <v>1871.0060604708594</v>
      </c>
      <c r="P3192" s="75">
        <f>(MIN(L3192,'THAM_SO_MOI'!$C$41)-O3192)/('THAM_SO_MOI'!$C$11*H3192)</f>
        <v>0.45062426091433855</v>
      </c>
      <c r="Q3192" s="75">
        <f>IF(P3192&gt;0,1/P3192,NA())</f>
        <v>2.2191437229121913</v>
      </c>
      <c r="R3192" s="75">
        <f>F3192-F3191</f>
        <v>0.00794339330722238</v>
      </c>
      <c r="S3192" s="75">
        <f>0.5*(Q3191+Q3192)*R3192</f>
        <v>0.017624697576902743</v>
      </c>
      <c r="T3192" s="75">
        <f>0.5*(F3191*Q3191+F3192*Q3192)*R3192</f>
        <v>0.28043254924002453</v>
      </c>
      <c r="U3192" s="76">
        <f>U3191+S3192</f>
        <v>25.95401346604167</v>
      </c>
      <c r="V3192" s="76">
        <f>V3191+T3192</f>
        <v>242.6993713861415</v>
      </c>
    </row>
    <row r="3193" spans="1:22" ht="19" customHeight="1">
      <c r="A3193" s="68" t="s">
        <v>376</v>
      </c>
      <c r="B3193" s="74">
        <v>4</v>
      </c>
      <c r="C3193" s="68" t="s">
        <v>363</v>
      </c>
      <c r="D3193" s="68" t="s">
        <v>364</v>
      </c>
      <c r="E3193" s="75">
        <f>60*F3193*'THAM_SO_MOI'!$C$52/(2*PI()*'THAM_SO_MOI'!$C$26)</f>
        <v>2505.026981446792</v>
      </c>
      <c r="F3193" s="75">
        <f>'HANH_TRINH'!$F$2468+('THAM_SO_MOI'!$F$52-'HANH_TRINH'!$F$2468)*724/'THAM_SO_MOI'!$C$42</f>
        <v>15.923254093726863</v>
      </c>
      <c r="G3193" s="75">
        <f>3.6*F3193</f>
        <v>57.32371473741671</v>
      </c>
      <c r="H3193" s="75">
        <f>'THAM_SO_MOI'!$D$52</f>
        <v>1.1774754878398197</v>
      </c>
      <c r="I3193" s="75">
        <f>IF(F3193&gt;'THAM_SO_MOI'!$C$14,'THAM_SO_MOI'!$C$13*(1+F3193^2/1500),'THAM_SO_MOI'!$C$13)</f>
        <v>0.015</v>
      </c>
      <c r="J3193" s="75">
        <f>'THAM_SO_MOI'!$C$40*('THAM_SO_MOI'!$C$23*(E3193/'THAM_SO_MOI'!$C$22)+'THAM_SO_MOI'!$C$24*(E3193/'THAM_SO_MOI'!$C$22)^2-'THAM_SO_MOI'!$C$25*(E3193/'THAM_SO_MOI'!$C$22)^3)</f>
        <v>111.35621631797991</v>
      </c>
      <c r="K3193" s="75">
        <f>'THAM_SO_MOI'!$C$31*J3193/E3193</f>
        <v>424.57593660439335</v>
      </c>
      <c r="L3193" s="75">
        <f>K3193*'THAM_SO_MOI'!$C$52*'THAM_SO_MOI'!$C$17/'THAM_SO_MOI'!$C$26</f>
        <v>5945.433181741465</v>
      </c>
      <c r="M3193" s="75">
        <f>'THAM_SO_MOI'!$C$15*'THAM_SO_MOI'!$C$16*F3193^2</f>
        <v>741.6338112301637</v>
      </c>
      <c r="N3193" s="75">
        <f>'THAM_SO_MOI'!$C$12*I3193</f>
        <v>1130.112</v>
      </c>
      <c r="O3193" s="75">
        <f>M3193+N3193</f>
        <v>1871.7458112301638</v>
      </c>
      <c r="P3193" s="75">
        <f>(MIN(L3193,'THAM_SO_MOI'!$C$41)-O3193)/('THAM_SO_MOI'!$C$11*H3193)</f>
        <v>0.45047905329090265</v>
      </c>
      <c r="Q3193" s="75">
        <f>IF(P3193&gt;0,1/P3193,NA())</f>
        <v>2.2198590427116645</v>
      </c>
      <c r="R3193" s="75">
        <f>F3193-F3192</f>
        <v>0.00794339330721705</v>
      </c>
      <c r="S3193" s="75">
        <f>0.5*(Q3192+Q3193)*R3193</f>
        <v>0.017630372429587256</v>
      </c>
      <c r="T3193" s="75">
        <f>0.5*(F3192*Q3192+F3193*Q3193)*R3193</f>
        <v>0.28066288875589634</v>
      </c>
      <c r="U3193" s="76">
        <f>U3192+S3193</f>
        <v>25.971643838471255</v>
      </c>
      <c r="V3193" s="76">
        <f>V3192+T3193</f>
        <v>242.9800342748974</v>
      </c>
    </row>
    <row r="3194" spans="1:22" ht="19" customHeight="1">
      <c r="A3194" s="68" t="s">
        <v>376</v>
      </c>
      <c r="B3194" s="74">
        <v>4</v>
      </c>
      <c r="C3194" s="68" t="s">
        <v>363</v>
      </c>
      <c r="D3194" s="68" t="s">
        <v>364</v>
      </c>
      <c r="E3194" s="75">
        <f>60*F3194*'THAM_SO_MOI'!$C$52/(2*PI()*'THAM_SO_MOI'!$C$26)</f>
        <v>2506.276626427755</v>
      </c>
      <c r="F3194" s="75">
        <f>'HANH_TRINH'!$F$2468+('THAM_SO_MOI'!$F$52-'HANH_TRINH'!$F$2468)*725/'THAM_SO_MOI'!$C$42</f>
        <v>15.931197487034083</v>
      </c>
      <c r="G3194" s="75">
        <f>3.6*F3194</f>
        <v>57.3523109533227</v>
      </c>
      <c r="H3194" s="75">
        <f>'THAM_SO_MOI'!$D$52</f>
        <v>1.1774754878398197</v>
      </c>
      <c r="I3194" s="75">
        <f>IF(F3194&gt;'THAM_SO_MOI'!$C$14,'THAM_SO_MOI'!$C$13*(1+F3194^2/1500),'THAM_SO_MOI'!$C$13)</f>
        <v>0.015</v>
      </c>
      <c r="J3194" s="75">
        <f>'THAM_SO_MOI'!$C$40*('THAM_SO_MOI'!$C$23*(E3194/'THAM_SO_MOI'!$C$22)+'THAM_SO_MOI'!$C$24*(E3194/'THAM_SO_MOI'!$C$22)^2-'THAM_SO_MOI'!$C$25*(E3194/'THAM_SO_MOI'!$C$22)^3)</f>
        <v>111.40098287062196</v>
      </c>
      <c r="K3194" s="75">
        <f>'THAM_SO_MOI'!$C$31*J3194/E3194</f>
        <v>424.53484000760244</v>
      </c>
      <c r="L3194" s="75">
        <f>K3194*'THAM_SO_MOI'!$C$52*'THAM_SO_MOI'!$C$17/'THAM_SO_MOI'!$C$26</f>
        <v>5944.857696771282</v>
      </c>
      <c r="M3194" s="75">
        <f>'THAM_SO_MOI'!$C$15*'THAM_SO_MOI'!$C$16*F3194^2</f>
        <v>742.3739311098273</v>
      </c>
      <c r="N3194" s="75">
        <f>'THAM_SO_MOI'!$C$12*I3194</f>
        <v>1130.112</v>
      </c>
      <c r="O3194" s="75">
        <f>M3194+N3194</f>
        <v>1872.4859311098273</v>
      </c>
      <c r="P3194" s="75">
        <f>(MIN(L3194,'THAM_SO_MOI'!$C$41)-O3194)/('THAM_SO_MOI'!$C$11*H3194)</f>
        <v>0.45033357024977533</v>
      </c>
      <c r="Q3194" s="75">
        <f>IF(P3194&gt;0,1/P3194,NA())</f>
        <v>2.220576181885252</v>
      </c>
      <c r="R3194" s="75">
        <f>F3194-F3193</f>
        <v>0.007943393307220603</v>
      </c>
      <c r="S3194" s="75">
        <f>0.5*(Q3193+Q3194)*R3194</f>
        <v>0.01763606172210488</v>
      </c>
      <c r="T3194" s="75">
        <f>0.5*(F3193*Q3193+F3194*Q3194)*R3194</f>
        <v>0.2808935484134725</v>
      </c>
      <c r="U3194" s="76">
        <f>U3193+S3194</f>
        <v>25.98927990019336</v>
      </c>
      <c r="V3194" s="76">
        <f>V3193+T3194</f>
        <v>243.26092782331088</v>
      </c>
    </row>
    <row r="3195" spans="1:22" ht="19" customHeight="1">
      <c r="A3195" s="68" t="s">
        <v>376</v>
      </c>
      <c r="B3195" s="74">
        <v>4</v>
      </c>
      <c r="C3195" s="68" t="s">
        <v>363</v>
      </c>
      <c r="D3195" s="68" t="s">
        <v>364</v>
      </c>
      <c r="E3195" s="75">
        <f>60*F3195*'THAM_SO_MOI'!$C$52/(2*PI()*'THAM_SO_MOI'!$C$26)</f>
        <v>2507.526271408718</v>
      </c>
      <c r="F3195" s="75">
        <f>'HANH_TRINH'!$F$2468+('THAM_SO_MOI'!$F$52-'HANH_TRINH'!$F$2468)*726/'THAM_SO_MOI'!$C$42</f>
        <v>15.939140880341302</v>
      </c>
      <c r="G3195" s="75">
        <f>3.6*F3195</f>
        <v>57.38090716922869</v>
      </c>
      <c r="H3195" s="75">
        <f>'THAM_SO_MOI'!$D$52</f>
        <v>1.1774754878398197</v>
      </c>
      <c r="I3195" s="75">
        <f>IF(F3195&gt;'THAM_SO_MOI'!$C$14,'THAM_SO_MOI'!$C$13*(1+F3195^2/1500),'THAM_SO_MOI'!$C$13)</f>
        <v>0.015</v>
      </c>
      <c r="J3195" s="75">
        <f>'THAM_SO_MOI'!$C$40*('THAM_SO_MOI'!$C$23*(E3195/'THAM_SO_MOI'!$C$22)+'THAM_SO_MOI'!$C$24*(E3195/'THAM_SO_MOI'!$C$22)^2-'THAM_SO_MOI'!$C$25*(E3195/'THAM_SO_MOI'!$C$22)^3)</f>
        <v>111.44569889484937</v>
      </c>
      <c r="K3195" s="75">
        <f>'THAM_SO_MOI'!$C$31*J3195/E3195</f>
        <v>424.4935919110839</v>
      </c>
      <c r="L3195" s="75">
        <f>K3195*'THAM_SO_MOI'!$C$52*'THAM_SO_MOI'!$C$17/'THAM_SO_MOI'!$C$26</f>
        <v>5944.280090316035</v>
      </c>
      <c r="M3195" s="75">
        <f>'THAM_SO_MOI'!$C$15*'THAM_SO_MOI'!$C$16*F3195^2</f>
        <v>743.1144201098494</v>
      </c>
      <c r="N3195" s="75">
        <f>'THAM_SO_MOI'!$C$12*I3195</f>
        <v>1130.112</v>
      </c>
      <c r="O3195" s="75">
        <f>M3195+N3195</f>
        <v>1873.2264201098496</v>
      </c>
      <c r="P3195" s="75">
        <f>(MIN(L3195,'THAM_SO_MOI'!$C$41)-O3195)/('THAM_SO_MOI'!$C$11*H3195)</f>
        <v>0.45018781179095624</v>
      </c>
      <c r="Q3195" s="75">
        <f>IF(P3195&gt;0,1/P3195,NA())</f>
        <v>2.22129514351301</v>
      </c>
      <c r="R3195" s="75">
        <f>F3195-F3194</f>
        <v>0.007943393307218827</v>
      </c>
      <c r="S3195" s="75">
        <f>0.5*(Q3194+Q3195)*R3195</f>
        <v>0.01764176547884789</v>
      </c>
      <c r="T3195" s="75">
        <f>0.5*(F3194*Q3194+F3195*Q3195)*R3195</f>
        <v>0.281124528945552</v>
      </c>
      <c r="U3195" s="76">
        <f>U3194+S3195</f>
        <v>26.00692166567221</v>
      </c>
      <c r="V3195" s="76">
        <f>V3194+T3195</f>
        <v>243.54205235225643</v>
      </c>
    </row>
    <row r="3196" spans="1:22" ht="19" customHeight="1">
      <c r="A3196" s="68" t="s">
        <v>376</v>
      </c>
      <c r="B3196" s="74">
        <v>4</v>
      </c>
      <c r="C3196" s="68" t="s">
        <v>363</v>
      </c>
      <c r="D3196" s="68" t="s">
        <v>364</v>
      </c>
      <c r="E3196" s="75">
        <f>60*F3196*'THAM_SO_MOI'!$C$52/(2*PI()*'THAM_SO_MOI'!$C$26)</f>
        <v>2508.7759163896812</v>
      </c>
      <c r="F3196" s="75">
        <f>'HANH_TRINH'!$F$2468+('THAM_SO_MOI'!$F$52-'HANH_TRINH'!$F$2468)*727/'THAM_SO_MOI'!$C$42</f>
        <v>15.947084273648521</v>
      </c>
      <c r="G3196" s="75">
        <f>3.6*F3196</f>
        <v>57.40950338513468</v>
      </c>
      <c r="H3196" s="75">
        <f>'THAM_SO_MOI'!$D$52</f>
        <v>1.1774754878398197</v>
      </c>
      <c r="I3196" s="75">
        <f>IF(F3196&gt;'THAM_SO_MOI'!$C$14,'THAM_SO_MOI'!$C$13*(1+F3196^2/1500),'THAM_SO_MOI'!$C$13)</f>
        <v>0.015</v>
      </c>
      <c r="J3196" s="75">
        <f>'THAM_SO_MOI'!$C$40*('THAM_SO_MOI'!$C$23*(E3196/'THAM_SO_MOI'!$C$22)+'THAM_SO_MOI'!$C$24*(E3196/'THAM_SO_MOI'!$C$22)^2-'THAM_SO_MOI'!$C$25*(E3196/'THAM_SO_MOI'!$C$22)^3)</f>
        <v>111.49036433119655</v>
      </c>
      <c r="K3196" s="75">
        <f>'THAM_SO_MOI'!$C$31*J3196/E3196</f>
        <v>424.45219231483804</v>
      </c>
      <c r="L3196" s="75">
        <f>K3196*'THAM_SO_MOI'!$C$52*'THAM_SO_MOI'!$C$17/'THAM_SO_MOI'!$C$26</f>
        <v>5943.700362375731</v>
      </c>
      <c r="M3196" s="75">
        <f>'THAM_SO_MOI'!$C$15*'THAM_SO_MOI'!$C$16*F3196^2</f>
        <v>743.8552782302304</v>
      </c>
      <c r="N3196" s="75">
        <f>'THAM_SO_MOI'!$C$12*I3196</f>
        <v>1130.112</v>
      </c>
      <c r="O3196" s="75">
        <f>M3196+N3196</f>
        <v>1873.9672782302305</v>
      </c>
      <c r="P3196" s="75">
        <f>(MIN(L3196,'THAM_SO_MOI'!$C$41)-O3196)/('THAM_SO_MOI'!$C$11*H3196)</f>
        <v>0.450041777914446</v>
      </c>
      <c r="Q3196" s="75">
        <f>IF(P3196&gt;0,1/P3196,NA())</f>
        <v>2.222015930685667</v>
      </c>
      <c r="R3196" s="75">
        <f>F3196-F3195</f>
        <v>0.007943393307218827</v>
      </c>
      <c r="S3196" s="75">
        <f>0.5*(Q3195+Q3196)*R3196</f>
        <v>0.017647483724340534</v>
      </c>
      <c r="T3196" s="75">
        <f>0.5*(F3195*Q3195+F3196*Q3196)*R3196</f>
        <v>0.28135583108781326</v>
      </c>
      <c r="U3196" s="76">
        <f>U3195+S3196</f>
        <v>26.024569149396548</v>
      </c>
      <c r="V3196" s="76">
        <f>V3195+T3196</f>
        <v>243.82340818334424</v>
      </c>
    </row>
    <row r="3197" spans="1:22" ht="19" customHeight="1">
      <c r="A3197" s="68" t="s">
        <v>376</v>
      </c>
      <c r="B3197" s="74">
        <v>4</v>
      </c>
      <c r="C3197" s="68" t="s">
        <v>363</v>
      </c>
      <c r="D3197" s="68" t="s">
        <v>364</v>
      </c>
      <c r="E3197" s="75">
        <f>60*F3197*'THAM_SO_MOI'!$C$52/(2*PI()*'THAM_SO_MOI'!$C$26)</f>
        <v>2510.025561370645</v>
      </c>
      <c r="F3197" s="75">
        <f>'HANH_TRINH'!$F$2468+('THAM_SO_MOI'!$F$52-'HANH_TRINH'!$F$2468)*728/'THAM_SO_MOI'!$C$42</f>
        <v>15.955027666955742</v>
      </c>
      <c r="G3197" s="75">
        <f>3.6*F3197</f>
        <v>57.43809960104067</v>
      </c>
      <c r="H3197" s="75">
        <f>'THAM_SO_MOI'!$D$52</f>
        <v>1.1774754878398197</v>
      </c>
      <c r="I3197" s="75">
        <f>IF(F3197&gt;'THAM_SO_MOI'!$C$14,'THAM_SO_MOI'!$C$13*(1+F3197^2/1500),'THAM_SO_MOI'!$C$13)</f>
        <v>0.015</v>
      </c>
      <c r="J3197" s="75">
        <f>'THAM_SO_MOI'!$C$40*('THAM_SO_MOI'!$C$23*(E3197/'THAM_SO_MOI'!$C$22)+'THAM_SO_MOI'!$C$24*(E3197/'THAM_SO_MOI'!$C$22)^2-'THAM_SO_MOI'!$C$25*(E3197/'THAM_SO_MOI'!$C$22)^3)</f>
        <v>111.53497912019778</v>
      </c>
      <c r="K3197" s="75">
        <f>'THAM_SO_MOI'!$C$31*J3197/E3197</f>
        <v>424.41064121886467</v>
      </c>
      <c r="L3197" s="75">
        <f>K3197*'THAM_SO_MOI'!$C$52*'THAM_SO_MOI'!$C$17/'THAM_SO_MOI'!$C$26</f>
        <v>5943.118512950364</v>
      </c>
      <c r="M3197" s="75">
        <f>'THAM_SO_MOI'!$C$15*'THAM_SO_MOI'!$C$16*F3197^2</f>
        <v>744.5965054709703</v>
      </c>
      <c r="N3197" s="75">
        <f>'THAM_SO_MOI'!$C$12*I3197</f>
        <v>1130.112</v>
      </c>
      <c r="O3197" s="75">
        <f>M3197+N3197</f>
        <v>1874.7085054709705</v>
      </c>
      <c r="P3197" s="75">
        <f>(MIN(L3197,'THAM_SO_MOI'!$C$41)-O3197)/('THAM_SO_MOI'!$C$11*H3197)</f>
        <v>0.44989546862024393</v>
      </c>
      <c r="Q3197" s="75">
        <f>IF(P3197&gt;0,1/P3197,NA())</f>
        <v>2.2227385465046736</v>
      </c>
      <c r="R3197" s="75">
        <f>F3197-F3196</f>
        <v>0.007943393307220603</v>
      </c>
      <c r="S3197" s="75">
        <f>0.5*(Q3196+Q3197)*R3197</f>
        <v>0.01765321648317628</v>
      </c>
      <c r="T3197" s="75">
        <f>0.5*(F3196*Q3196+F3197*Q3197)*R3197</f>
        <v>0.2815874555778174</v>
      </c>
      <c r="U3197" s="76">
        <f>U3196+S3197</f>
        <v>26.042222365879724</v>
      </c>
      <c r="V3197" s="76">
        <f>V3196+T3197</f>
        <v>244.10499563892205</v>
      </c>
    </row>
    <row r="3198" spans="1:22" ht="19" customHeight="1">
      <c r="A3198" s="68" t="s">
        <v>376</v>
      </c>
      <c r="B3198" s="74">
        <v>4</v>
      </c>
      <c r="C3198" s="68" t="s">
        <v>363</v>
      </c>
      <c r="D3198" s="68" t="s">
        <v>364</v>
      </c>
      <c r="E3198" s="75">
        <f>60*F3198*'THAM_SO_MOI'!$C$52/(2*PI()*'THAM_SO_MOI'!$C$26)</f>
        <v>2511.2752063516077</v>
      </c>
      <c r="F3198" s="75">
        <f>'HANH_TRINH'!$F$2468+('THAM_SO_MOI'!$F$52-'HANH_TRINH'!$F$2468)*729/'THAM_SO_MOI'!$C$42</f>
        <v>15.962971060262959</v>
      </c>
      <c r="G3198" s="75">
        <f>3.6*F3198</f>
        <v>57.466695816946654</v>
      </c>
      <c r="H3198" s="75">
        <f>'THAM_SO_MOI'!$D$52</f>
        <v>1.1774754878398197</v>
      </c>
      <c r="I3198" s="75">
        <f>IF(F3198&gt;'THAM_SO_MOI'!$C$14,'THAM_SO_MOI'!$C$13*(1+F3198^2/1500),'THAM_SO_MOI'!$C$13)</f>
        <v>0.015</v>
      </c>
      <c r="J3198" s="75">
        <f>'THAM_SO_MOI'!$C$40*('THAM_SO_MOI'!$C$23*(E3198/'THAM_SO_MOI'!$C$22)+'THAM_SO_MOI'!$C$24*(E3198/'THAM_SO_MOI'!$C$22)^2-'THAM_SO_MOI'!$C$25*(E3198/'THAM_SO_MOI'!$C$22)^3)</f>
        <v>111.57954320238727</v>
      </c>
      <c r="K3198" s="75">
        <f>'THAM_SO_MOI'!$C$31*J3198/E3198</f>
        <v>424.3689386231637</v>
      </c>
      <c r="L3198" s="75">
        <f>K3198*'THAM_SO_MOI'!$C$52*'THAM_SO_MOI'!$C$17/'THAM_SO_MOI'!$C$26</f>
        <v>5942.534542039934</v>
      </c>
      <c r="M3198" s="75">
        <f>'THAM_SO_MOI'!$C$15*'THAM_SO_MOI'!$C$16*F3198^2</f>
        <v>745.3381018320688</v>
      </c>
      <c r="N3198" s="75">
        <f>'THAM_SO_MOI'!$C$12*I3198</f>
        <v>1130.112</v>
      </c>
      <c r="O3198" s="75">
        <f>M3198+N3198</f>
        <v>1875.4501018320689</v>
      </c>
      <c r="P3198" s="75">
        <f>(MIN(L3198,'THAM_SO_MOI'!$C$41)-O3198)/('THAM_SO_MOI'!$C$11*H3198)</f>
        <v>0.4497488839083503</v>
      </c>
      <c r="Q3198" s="75">
        <f>IF(P3198&gt;0,1/P3198,NA())</f>
        <v>2.223462994082226</v>
      </c>
      <c r="R3198" s="75">
        <f>F3198-F3197</f>
        <v>0.00794339330721705</v>
      </c>
      <c r="S3198" s="75">
        <f>0.5*(Q3197+Q3198)*R3198</f>
        <v>0.01765896378001806</v>
      </c>
      <c r="T3198" s="75">
        <f>0.5*(F3197*Q3197+F3198*Q3198)*R3198</f>
        <v>0.281819403155016</v>
      </c>
      <c r="U3198" s="76">
        <f>U3197+S3198</f>
        <v>26.059881329659742</v>
      </c>
      <c r="V3198" s="76">
        <f>V3197+T3198</f>
        <v>244.38681504207707</v>
      </c>
    </row>
    <row r="3199" spans="1:22" ht="19" customHeight="1">
      <c r="A3199" s="68" t="s">
        <v>376</v>
      </c>
      <c r="B3199" s="74">
        <v>4</v>
      </c>
      <c r="C3199" s="68" t="s">
        <v>363</v>
      </c>
      <c r="D3199" s="68" t="s">
        <v>364</v>
      </c>
      <c r="E3199" s="75">
        <f>60*F3199*'THAM_SO_MOI'!$C$52/(2*PI()*'THAM_SO_MOI'!$C$26)</f>
        <v>2512.5248513325714</v>
      </c>
      <c r="F3199" s="75">
        <f>'HANH_TRINH'!$F$2468+('THAM_SO_MOI'!$F$52-'HANH_TRINH'!$F$2468)*730/'THAM_SO_MOI'!$C$42</f>
        <v>15.970914453570181</v>
      </c>
      <c r="G3199" s="75">
        <f>3.6*F3199</f>
        <v>57.49529203285265</v>
      </c>
      <c r="H3199" s="75">
        <f>'THAM_SO_MOI'!$D$52</f>
        <v>1.1774754878398197</v>
      </c>
      <c r="I3199" s="75">
        <f>IF(F3199&gt;'THAM_SO_MOI'!$C$14,'THAM_SO_MOI'!$C$13*(1+F3199^2/1500),'THAM_SO_MOI'!$C$13)</f>
        <v>0.015</v>
      </c>
      <c r="J3199" s="75">
        <f>'THAM_SO_MOI'!$C$40*('THAM_SO_MOI'!$C$23*(E3199/'THAM_SO_MOI'!$C$22)+'THAM_SO_MOI'!$C$24*(E3199/'THAM_SO_MOI'!$C$22)^2-'THAM_SO_MOI'!$C$25*(E3199/'THAM_SO_MOI'!$C$22)^3)</f>
        <v>111.62405651829951</v>
      </c>
      <c r="K3199" s="75">
        <f>'THAM_SO_MOI'!$C$31*J3199/E3199</f>
        <v>424.3270845277354</v>
      </c>
      <c r="L3199" s="75">
        <f>K3199*'THAM_SO_MOI'!$C$52*'THAM_SO_MOI'!$C$17/'THAM_SO_MOI'!$C$26</f>
        <v>5941.948449644446</v>
      </c>
      <c r="M3199" s="75">
        <f>'THAM_SO_MOI'!$C$15*'THAM_SO_MOI'!$C$16*F3199^2</f>
        <v>746.0800673135266</v>
      </c>
      <c r="N3199" s="75">
        <f>'THAM_SO_MOI'!$C$12*I3199</f>
        <v>1130.112</v>
      </c>
      <c r="O3199" s="75">
        <f>M3199+N3199</f>
        <v>1876.1920673135266</v>
      </c>
      <c r="P3199" s="75">
        <f>(MIN(L3199,'THAM_SO_MOI'!$C$41)-O3199)/('THAM_SO_MOI'!$C$11*H3199)</f>
        <v>0.44960202377876524</v>
      </c>
      <c r="Q3199" s="75">
        <f>IF(P3199&gt;0,1/P3199,NA())</f>
        <v>2.2241892765413085</v>
      </c>
      <c r="R3199" s="75">
        <f>F3199-F3198</f>
        <v>0.00794339330722238</v>
      </c>
      <c r="S3199" s="75">
        <f>0.5*(Q3198+Q3199)*R3199</f>
        <v>0.017664725639661698</v>
      </c>
      <c r="T3199" s="75">
        <f>0.5*(F3198*Q3198+F3199*Q3199)*R3199</f>
        <v>0.2820516745617662</v>
      </c>
      <c r="U3199" s="76">
        <f>U3198+S3199</f>
        <v>26.077546055299404</v>
      </c>
      <c r="V3199" s="76">
        <f>V3198+T3199</f>
        <v>244.66886671663883</v>
      </c>
    </row>
    <row r="3200" spans="1:22" ht="19" customHeight="1">
      <c r="A3200" s="68" t="s">
        <v>376</v>
      </c>
      <c r="B3200" s="74">
        <v>4</v>
      </c>
      <c r="C3200" s="68" t="s">
        <v>363</v>
      </c>
      <c r="D3200" s="68" t="s">
        <v>364</v>
      </c>
      <c r="E3200" s="75">
        <f>60*F3200*'THAM_SO_MOI'!$C$52/(2*PI()*'THAM_SO_MOI'!$C$26)</f>
        <v>2513.7744963135347</v>
      </c>
      <c r="F3200" s="75">
        <f>'HANH_TRINH'!$F$2468+('THAM_SO_MOI'!$F$52-'HANH_TRINH'!$F$2468)*731/'THAM_SO_MOI'!$C$42</f>
        <v>15.9788578468774</v>
      </c>
      <c r="G3200" s="75">
        <f>3.6*F3200</f>
        <v>57.52388824875864</v>
      </c>
      <c r="H3200" s="75">
        <f>'THAM_SO_MOI'!$D$52</f>
        <v>1.1774754878398197</v>
      </c>
      <c r="I3200" s="75">
        <f>IF(F3200&gt;'THAM_SO_MOI'!$C$14,'THAM_SO_MOI'!$C$13*(1+F3200^2/1500),'THAM_SO_MOI'!$C$13)</f>
        <v>0.015</v>
      </c>
      <c r="J3200" s="75">
        <f>'THAM_SO_MOI'!$C$40*('THAM_SO_MOI'!$C$23*(E3200/'THAM_SO_MOI'!$C$22)+'THAM_SO_MOI'!$C$24*(E3200/'THAM_SO_MOI'!$C$22)^2-'THAM_SO_MOI'!$C$25*(E3200/'THAM_SO_MOI'!$C$22)^3)</f>
        <v>111.66851900846868</v>
      </c>
      <c r="K3200" s="75">
        <f>'THAM_SO_MOI'!$C$31*J3200/E3200</f>
        <v>424.28507893257955</v>
      </c>
      <c r="L3200" s="75">
        <f>K3200*'THAM_SO_MOI'!$C$52*'THAM_SO_MOI'!$C$17/'THAM_SO_MOI'!$C$26</f>
        <v>5941.360235763896</v>
      </c>
      <c r="M3200" s="75">
        <f>'THAM_SO_MOI'!$C$15*'THAM_SO_MOI'!$C$16*F3200^2</f>
        <v>746.8224019153428</v>
      </c>
      <c r="N3200" s="75">
        <f>'THAM_SO_MOI'!$C$12*I3200</f>
        <v>1130.112</v>
      </c>
      <c r="O3200" s="75">
        <f>M3200+N3200</f>
        <v>1876.9344019153427</v>
      </c>
      <c r="P3200" s="75">
        <f>(MIN(L3200,'THAM_SO_MOI'!$C$41)-O3200)/('THAM_SO_MOI'!$C$11*H3200)</f>
        <v>0.44945488823148855</v>
      </c>
      <c r="Q3200" s="75">
        <f>IF(P3200&gt;0,1/P3200,NA())</f>
        <v>2.2249173970157314</v>
      </c>
      <c r="R3200" s="75">
        <f>F3200-F3199</f>
        <v>0.007943393307218827</v>
      </c>
      <c r="S3200" s="75">
        <f>0.5*(Q3199+Q3200)*R3200</f>
        <v>0.017670502086917804</v>
      </c>
      <c r="T3200" s="75">
        <f>0.5*(F3199*Q3199+F3200*Q3200)*R3200</f>
        <v>0.2822842705414487</v>
      </c>
      <c r="U3200" s="76">
        <f>U3199+S3200</f>
        <v>26.095216557386323</v>
      </c>
      <c r="V3200" s="76">
        <f>V3199+T3200</f>
        <v>244.95115098718028</v>
      </c>
    </row>
    <row r="3201" spans="1:22" ht="19" customHeight="1">
      <c r="A3201" s="68" t="s">
        <v>376</v>
      </c>
      <c r="B3201" s="74">
        <v>4</v>
      </c>
      <c r="C3201" s="68" t="s">
        <v>363</v>
      </c>
      <c r="D3201" s="68" t="s">
        <v>364</v>
      </c>
      <c r="E3201" s="75">
        <f>60*F3201*'THAM_SO_MOI'!$C$52/(2*PI()*'THAM_SO_MOI'!$C$26)</f>
        <v>2515.024141294498</v>
      </c>
      <c r="F3201" s="75">
        <f>'HANH_TRINH'!$F$2468+('THAM_SO_MOI'!$F$52-'HANH_TRINH'!$F$2468)*732/'THAM_SO_MOI'!$C$42</f>
        <v>15.986801240184619</v>
      </c>
      <c r="G3201" s="75">
        <f>3.6*F3201</f>
        <v>57.55248446466463</v>
      </c>
      <c r="H3201" s="75">
        <f>'THAM_SO_MOI'!$D$52</f>
        <v>1.1774754878398197</v>
      </c>
      <c r="I3201" s="75">
        <f>IF(F3201&gt;'THAM_SO_MOI'!$C$14,'THAM_SO_MOI'!$C$13*(1+F3201^2/1500),'THAM_SO_MOI'!$C$13)</f>
        <v>0.015</v>
      </c>
      <c r="J3201" s="75">
        <f>'THAM_SO_MOI'!$C$40*('THAM_SO_MOI'!$C$23*(E3201/'THAM_SO_MOI'!$C$22)+'THAM_SO_MOI'!$C$24*(E3201/'THAM_SO_MOI'!$C$22)^2-'THAM_SO_MOI'!$C$25*(E3201/'THAM_SO_MOI'!$C$22)^3)</f>
        <v>111.71293061342914</v>
      </c>
      <c r="K3201" s="75">
        <f>'THAM_SO_MOI'!$C$31*J3201/E3201</f>
        <v>424.24292183769626</v>
      </c>
      <c r="L3201" s="75">
        <f>K3201*'THAM_SO_MOI'!$C$52*'THAM_SO_MOI'!$C$17/'THAM_SO_MOI'!$C$26</f>
        <v>5940.769900398283</v>
      </c>
      <c r="M3201" s="75">
        <f>'THAM_SO_MOI'!$C$15*'THAM_SO_MOI'!$C$16*F3201^2</f>
        <v>747.5651056375178</v>
      </c>
      <c r="N3201" s="75">
        <f>'THAM_SO_MOI'!$C$12*I3201</f>
        <v>1130.112</v>
      </c>
      <c r="O3201" s="75">
        <f>M3201+N3201</f>
        <v>1877.6771056375178</v>
      </c>
      <c r="P3201" s="75">
        <f>(MIN(L3201,'THAM_SO_MOI'!$C$41)-O3201)/('THAM_SO_MOI'!$C$11*H3201)</f>
        <v>0.4493074772665203</v>
      </c>
      <c r="Q3201" s="75">
        <f>IF(P3201&gt;0,1/P3201,NA())</f>
        <v>2.225647358650165</v>
      </c>
      <c r="R3201" s="75">
        <f>F3201-F3200</f>
        <v>0.007943393307218827</v>
      </c>
      <c r="S3201" s="75">
        <f>0.5*(Q3200+Q3201)*R3201</f>
        <v>0.017676293146750236</v>
      </c>
      <c r="T3201" s="75">
        <f>0.5*(F3200*Q3200+F3201*Q3201)*R3201</f>
        <v>0.2825171918406824</v>
      </c>
      <c r="U3201" s="76">
        <f>U3200+S3201</f>
        <v>26.112892850533072</v>
      </c>
      <c r="V3201" s="76">
        <f>V3200+T3201</f>
        <v>245.23366817902098</v>
      </c>
    </row>
    <row r="3202" spans="1:22" ht="19" customHeight="1">
      <c r="A3202" s="68" t="s">
        <v>376</v>
      </c>
      <c r="B3202" s="74">
        <v>4</v>
      </c>
      <c r="C3202" s="68" t="s">
        <v>363</v>
      </c>
      <c r="D3202" s="68" t="s">
        <v>364</v>
      </c>
      <c r="E3202" s="75">
        <f>60*F3202*'THAM_SO_MOI'!$C$52/(2*PI()*'THAM_SO_MOI'!$C$26)</f>
        <v>2516.273786275461</v>
      </c>
      <c r="F3202" s="75">
        <f>'HANH_TRINH'!$F$2468+('THAM_SO_MOI'!$F$52-'HANH_TRINH'!$F$2468)*733/'THAM_SO_MOI'!$C$42</f>
        <v>15.994744633491838</v>
      </c>
      <c r="G3202" s="75">
        <f>3.6*F3202</f>
        <v>57.581080680570615</v>
      </c>
      <c r="H3202" s="75">
        <f>'THAM_SO_MOI'!$D$52</f>
        <v>1.1774754878398197</v>
      </c>
      <c r="I3202" s="75">
        <f>IF(F3202&gt;'THAM_SO_MOI'!$C$14,'THAM_SO_MOI'!$C$13*(1+F3202^2/1500),'THAM_SO_MOI'!$C$13)</f>
        <v>0.015</v>
      </c>
      <c r="J3202" s="75">
        <f>'THAM_SO_MOI'!$C$40*('THAM_SO_MOI'!$C$23*(E3202/'THAM_SO_MOI'!$C$22)+'THAM_SO_MOI'!$C$24*(E3202/'THAM_SO_MOI'!$C$22)^2-'THAM_SO_MOI'!$C$25*(E3202/'THAM_SO_MOI'!$C$22)^3)</f>
        <v>111.75729127371524</v>
      </c>
      <c r="K3202" s="75">
        <f>'THAM_SO_MOI'!$C$31*J3202/E3202</f>
        <v>424.2006132430856</v>
      </c>
      <c r="L3202" s="75">
        <f>K3202*'THAM_SO_MOI'!$C$52*'THAM_SO_MOI'!$C$17/'THAM_SO_MOI'!$C$26</f>
        <v>5940.1774435476145</v>
      </c>
      <c r="M3202" s="75">
        <f>'THAM_SO_MOI'!$C$15*'THAM_SO_MOI'!$C$16*F3202^2</f>
        <v>748.3081784800517</v>
      </c>
      <c r="N3202" s="75">
        <f>'THAM_SO_MOI'!$C$12*I3202</f>
        <v>1130.112</v>
      </c>
      <c r="O3202" s="75">
        <f>M3202+N3202</f>
        <v>1878.4201784800516</v>
      </c>
      <c r="P3202" s="75">
        <f>(MIN(L3202,'THAM_SO_MOI'!$C$41)-O3202)/('THAM_SO_MOI'!$C$11*H3202)</f>
        <v>0.449159790883861</v>
      </c>
      <c r="Q3202" s="75">
        <f>IF(P3202&gt;0,1/P3202,NA())</f>
        <v>2.226379164600176</v>
      </c>
      <c r="R3202" s="75">
        <f>F3202-F3201</f>
        <v>0.007943393307218827</v>
      </c>
      <c r="S3202" s="75">
        <f>0.5*(Q3201+Q3202)*R3202</f>
        <v>0.01768209884417373</v>
      </c>
      <c r="T3202" s="75">
        <f>0.5*(F3201*Q3201+F3202*Q3202)*R3202</f>
        <v>0.28275043920769277</v>
      </c>
      <c r="U3202" s="76">
        <f>U3201+S3202</f>
        <v>26.130574949377245</v>
      </c>
      <c r="V3202" s="76">
        <f>V3201+T3202</f>
        <v>245.51641861822867</v>
      </c>
    </row>
    <row r="3203" spans="1:22" ht="19" customHeight="1">
      <c r="A3203" s="68" t="s">
        <v>376</v>
      </c>
      <c r="B3203" s="74">
        <v>4</v>
      </c>
      <c r="C3203" s="68" t="s">
        <v>363</v>
      </c>
      <c r="D3203" s="68" t="s">
        <v>364</v>
      </c>
      <c r="E3203" s="75">
        <f>60*F3203*'THAM_SO_MOI'!$C$52/(2*PI()*'THAM_SO_MOI'!$C$26)</f>
        <v>2517.5234312564244</v>
      </c>
      <c r="F3203" s="75">
        <f>'HANH_TRINH'!$F$2468+('THAM_SO_MOI'!$F$52-'HANH_TRINH'!$F$2468)*734/'THAM_SO_MOI'!$C$42</f>
        <v>16.002688026799056</v>
      </c>
      <c r="G3203" s="75">
        <f>3.6*F3203</f>
        <v>57.60967689647661</v>
      </c>
      <c r="H3203" s="75">
        <f>'THAM_SO_MOI'!$D$52</f>
        <v>1.1774754878398197</v>
      </c>
      <c r="I3203" s="75">
        <f>IF(F3203&gt;'THAM_SO_MOI'!$C$14,'THAM_SO_MOI'!$C$13*(1+F3203^2/1500),'THAM_SO_MOI'!$C$13)</f>
        <v>0.015</v>
      </c>
      <c r="J3203" s="75">
        <f>'THAM_SO_MOI'!$C$40*('THAM_SO_MOI'!$C$23*(E3203/'THAM_SO_MOI'!$C$22)+'THAM_SO_MOI'!$C$24*(E3203/'THAM_SO_MOI'!$C$22)^2-'THAM_SO_MOI'!$C$25*(E3203/'THAM_SO_MOI'!$C$22)^3)</f>
        <v>111.8016009298612</v>
      </c>
      <c r="K3203" s="75">
        <f>'THAM_SO_MOI'!$C$31*J3203/E3203</f>
        <v>424.15815314874726</v>
      </c>
      <c r="L3203" s="75">
        <f>K3203*'THAM_SO_MOI'!$C$52*'THAM_SO_MOI'!$C$17/'THAM_SO_MOI'!$C$26</f>
        <v>5939.58286521188</v>
      </c>
      <c r="M3203" s="75">
        <f>'THAM_SO_MOI'!$C$15*'THAM_SO_MOI'!$C$16*F3203^2</f>
        <v>749.0516204429443</v>
      </c>
      <c r="N3203" s="75">
        <f>'THAM_SO_MOI'!$C$12*I3203</f>
        <v>1130.112</v>
      </c>
      <c r="O3203" s="75">
        <f>M3203+N3203</f>
        <v>1879.1636204429444</v>
      </c>
      <c r="P3203" s="75">
        <f>(MIN(L3203,'THAM_SO_MOI'!$C$41)-O3203)/('THAM_SO_MOI'!$C$11*H3203)</f>
        <v>0.4490118290835096</v>
      </c>
      <c r="Q3203" s="75">
        <f>IF(P3203&gt;0,1/P3203,NA())</f>
        <v>2.227112818032272</v>
      </c>
      <c r="R3203" s="75">
        <f>F3203-F3202</f>
        <v>0.007943393307218827</v>
      </c>
      <c r="S3203" s="75">
        <f>0.5*(Q3202+Q3203)*R3203</f>
        <v>0.017687919204297645</v>
      </c>
      <c r="T3203" s="75">
        <f>0.5*(F3202*Q3202+F3203*Q3203)*R3203</f>
        <v>0.2829840133930138</v>
      </c>
      <c r="U3203" s="76">
        <f>U3202+S3203</f>
        <v>26.148262868581543</v>
      </c>
      <c r="V3203" s="76">
        <f>V3202+T3203</f>
        <v>245.7994026316217</v>
      </c>
    </row>
    <row r="3204" spans="1:22" ht="19" customHeight="1">
      <c r="A3204" s="68" t="s">
        <v>376</v>
      </c>
      <c r="B3204" s="74">
        <v>4</v>
      </c>
      <c r="C3204" s="68" t="s">
        <v>363</v>
      </c>
      <c r="D3204" s="68" t="s">
        <v>364</v>
      </c>
      <c r="E3204" s="75">
        <f>60*F3204*'THAM_SO_MOI'!$C$52/(2*PI()*'THAM_SO_MOI'!$C$26)</f>
        <v>2518.7730762373876</v>
      </c>
      <c r="F3204" s="75">
        <f>'HANH_TRINH'!$F$2468+('THAM_SO_MOI'!$F$52-'HANH_TRINH'!$F$2468)*735/'THAM_SO_MOI'!$C$42</f>
        <v>16.01063142010628</v>
      </c>
      <c r="G3204" s="75">
        <f>3.6*F3204</f>
        <v>57.638273112382606</v>
      </c>
      <c r="H3204" s="75">
        <f>'THAM_SO_MOI'!$D$52</f>
        <v>1.1774754878398197</v>
      </c>
      <c r="I3204" s="75">
        <f>IF(F3204&gt;'THAM_SO_MOI'!$C$14,'THAM_SO_MOI'!$C$13*(1+F3204^2/1500),'THAM_SO_MOI'!$C$13)</f>
        <v>0.015</v>
      </c>
      <c r="J3204" s="75">
        <f>'THAM_SO_MOI'!$C$40*('THAM_SO_MOI'!$C$23*(E3204/'THAM_SO_MOI'!$C$22)+'THAM_SO_MOI'!$C$24*(E3204/'THAM_SO_MOI'!$C$22)^2-'THAM_SO_MOI'!$C$25*(E3204/'THAM_SO_MOI'!$C$22)^3)</f>
        <v>111.84585952240141</v>
      </c>
      <c r="K3204" s="75">
        <f>'THAM_SO_MOI'!$C$31*J3204/E3204</f>
        <v>424.1155415546816</v>
      </c>
      <c r="L3204" s="75">
        <f>K3204*'THAM_SO_MOI'!$C$52*'THAM_SO_MOI'!$C$17/'THAM_SO_MOI'!$C$26</f>
        <v>5938.986165391087</v>
      </c>
      <c r="M3204" s="75">
        <f>'THAM_SO_MOI'!$C$15*'THAM_SO_MOI'!$C$16*F3204^2</f>
        <v>749.7954315261961</v>
      </c>
      <c r="N3204" s="75">
        <f>'THAM_SO_MOI'!$C$12*I3204</f>
        <v>1130.112</v>
      </c>
      <c r="O3204" s="75">
        <f>M3204+N3204</f>
        <v>1879.9074315261962</v>
      </c>
      <c r="P3204" s="75">
        <f>(MIN(L3204,'THAM_SO_MOI'!$C$41)-O3204)/('THAM_SO_MOI'!$C$11*H3204)</f>
        <v>0.44886359186546687</v>
      </c>
      <c r="Q3204" s="75">
        <f>IF(P3204&gt;0,1/P3204,NA())</f>
        <v>2.2278483221239282</v>
      </c>
      <c r="R3204" s="75">
        <f>F3204-F3203</f>
        <v>0.00794339330722238</v>
      </c>
      <c r="S3204" s="75">
        <f>0.5*(Q3203+Q3204)*R3204</f>
        <v>0.01769375425232627</v>
      </c>
      <c r="T3204" s="75">
        <f>0.5*(F3203*Q3203+F3204*Q3204)*R3204</f>
        <v>0.2832179151494971</v>
      </c>
      <c r="U3204" s="76">
        <f>U3203+S3204</f>
        <v>26.16595662283387</v>
      </c>
      <c r="V3204" s="76">
        <f>V3203+T3204</f>
        <v>246.08262054677118</v>
      </c>
    </row>
    <row r="3205" spans="1:22" ht="19" customHeight="1">
      <c r="A3205" s="68" t="s">
        <v>376</v>
      </c>
      <c r="B3205" s="74">
        <v>4</v>
      </c>
      <c r="C3205" s="68" t="s">
        <v>363</v>
      </c>
      <c r="D3205" s="68" t="s">
        <v>364</v>
      </c>
      <c r="E3205" s="75">
        <f>60*F3205*'THAM_SO_MOI'!$C$52/(2*PI()*'THAM_SO_MOI'!$C$26)</f>
        <v>2520.0227212183513</v>
      </c>
      <c r="F3205" s="75">
        <f>'HANH_TRINH'!$F$2468+('THAM_SO_MOI'!$F$52-'HANH_TRINH'!$F$2468)*736/'THAM_SO_MOI'!$C$42</f>
        <v>16.018574813413498</v>
      </c>
      <c r="G3205" s="75">
        <f>3.6*F3205</f>
        <v>57.66686932828859</v>
      </c>
      <c r="H3205" s="75">
        <f>'THAM_SO_MOI'!$D$52</f>
        <v>1.1774754878398197</v>
      </c>
      <c r="I3205" s="75">
        <f>IF(F3205&gt;'THAM_SO_MOI'!$C$14,'THAM_SO_MOI'!$C$13*(1+F3205^2/1500),'THAM_SO_MOI'!$C$13)</f>
        <v>0.015</v>
      </c>
      <c r="J3205" s="75">
        <f>'THAM_SO_MOI'!$C$40*('THAM_SO_MOI'!$C$23*(E3205/'THAM_SO_MOI'!$C$22)+'THAM_SO_MOI'!$C$24*(E3205/'THAM_SO_MOI'!$C$22)^2-'THAM_SO_MOI'!$C$25*(E3205/'THAM_SO_MOI'!$C$22)^3)</f>
        <v>111.89006699187013</v>
      </c>
      <c r="K3205" s="75">
        <f>'THAM_SO_MOI'!$C$31*J3205/E3205</f>
        <v>424.07277846088823</v>
      </c>
      <c r="L3205" s="75">
        <f>K3205*'THAM_SO_MOI'!$C$52*'THAM_SO_MOI'!$C$17/'THAM_SO_MOI'!$C$26</f>
        <v>5938.387344085229</v>
      </c>
      <c r="M3205" s="75">
        <f>'THAM_SO_MOI'!$C$15*'THAM_SO_MOI'!$C$16*F3205^2</f>
        <v>750.5396117298064</v>
      </c>
      <c r="N3205" s="75">
        <f>'THAM_SO_MOI'!$C$12*I3205</f>
        <v>1130.112</v>
      </c>
      <c r="O3205" s="75">
        <f>M3205+N3205</f>
        <v>1880.6516117298065</v>
      </c>
      <c r="P3205" s="75">
        <f>(MIN(L3205,'THAM_SO_MOI'!$C$41)-O3205)/('THAM_SO_MOI'!$C$11*H3205)</f>
        <v>0.44871507922973236</v>
      </c>
      <c r="Q3205" s="75">
        <f>IF(P3205&gt;0,1/P3205,NA())</f>
        <v>2.228585680063633</v>
      </c>
      <c r="R3205" s="75">
        <f>F3205-F3204</f>
        <v>0.007943393307218827</v>
      </c>
      <c r="S3205" s="75">
        <f>0.5*(Q3204+Q3205)*R3205</f>
        <v>0.01769960401351954</v>
      </c>
      <c r="T3205" s="75">
        <f>0.5*(F3204*Q3204+F3205*Q3205)*R3205</f>
        <v>0.283452145231686</v>
      </c>
      <c r="U3205" s="76">
        <f>U3204+S3205</f>
        <v>26.18365622684739</v>
      </c>
      <c r="V3205" s="76">
        <f>V3204+T3205</f>
        <v>246.36607269200286</v>
      </c>
    </row>
    <row r="3206" spans="1:22" ht="19" customHeight="1">
      <c r="A3206" s="68" t="s">
        <v>376</v>
      </c>
      <c r="B3206" s="74">
        <v>4</v>
      </c>
      <c r="C3206" s="68" t="s">
        <v>363</v>
      </c>
      <c r="D3206" s="68" t="s">
        <v>364</v>
      </c>
      <c r="E3206" s="75">
        <f>60*F3206*'THAM_SO_MOI'!$C$52/(2*PI()*'THAM_SO_MOI'!$C$26)</f>
        <v>2521.2723661993145</v>
      </c>
      <c r="F3206" s="75">
        <f>'HANH_TRINH'!$F$2468+('THAM_SO_MOI'!$F$52-'HANH_TRINH'!$F$2468)*737/'THAM_SO_MOI'!$C$42</f>
        <v>16.026518206720716</v>
      </c>
      <c r="G3206" s="75">
        <f>3.6*F3206</f>
        <v>57.69546554419458</v>
      </c>
      <c r="H3206" s="75">
        <f>'THAM_SO_MOI'!$D$52</f>
        <v>1.1774754878398197</v>
      </c>
      <c r="I3206" s="75">
        <f>IF(F3206&gt;'THAM_SO_MOI'!$C$14,'THAM_SO_MOI'!$C$13*(1+F3206^2/1500),'THAM_SO_MOI'!$C$13)</f>
        <v>0.015</v>
      </c>
      <c r="J3206" s="75">
        <f>'THAM_SO_MOI'!$C$40*('THAM_SO_MOI'!$C$23*(E3206/'THAM_SO_MOI'!$C$22)+'THAM_SO_MOI'!$C$24*(E3206/'THAM_SO_MOI'!$C$22)^2-'THAM_SO_MOI'!$C$25*(E3206/'THAM_SO_MOI'!$C$22)^3)</f>
        <v>111.93422327880177</v>
      </c>
      <c r="K3206" s="75">
        <f>'THAM_SO_MOI'!$C$31*J3206/E3206</f>
        <v>424.0298638673677</v>
      </c>
      <c r="L3206" s="75">
        <f>K3206*'THAM_SO_MOI'!$C$52*'THAM_SO_MOI'!$C$17/'THAM_SO_MOI'!$C$26</f>
        <v>5937.786401294316</v>
      </c>
      <c r="M3206" s="75">
        <f>'THAM_SO_MOI'!$C$15*'THAM_SO_MOI'!$C$16*F3206^2</f>
        <v>751.2841610537756</v>
      </c>
      <c r="N3206" s="75">
        <f>'THAM_SO_MOI'!$C$12*I3206</f>
        <v>1130.112</v>
      </c>
      <c r="O3206" s="75">
        <f>M3206+N3206</f>
        <v>1881.3961610537758</v>
      </c>
      <c r="P3206" s="75">
        <f>(MIN(L3206,'THAM_SO_MOI'!$C$41)-O3206)/('THAM_SO_MOI'!$C$11*H3206)</f>
        <v>0.4485662911763068</v>
      </c>
      <c r="Q3206" s="75">
        <f>IF(P3206&gt;0,1/P3206,NA())</f>
        <v>2.229324895050919</v>
      </c>
      <c r="R3206" s="75">
        <f>F3206-F3205</f>
        <v>0.007943393307218827</v>
      </c>
      <c r="S3206" s="75">
        <f>0.5*(Q3205+Q3206)*R3206</f>
        <v>0.01770546851327248</v>
      </c>
      <c r="T3206" s="75">
        <f>0.5*(F3205*Q3205+F3206*Q3206)*R3206</f>
        <v>0.2836867043970909</v>
      </c>
      <c r="U3206" s="76">
        <f>U3205+S3206</f>
        <v>26.201361695360664</v>
      </c>
      <c r="V3206" s="76">
        <f>V3205+T3206</f>
        <v>246.64975939639996</v>
      </c>
    </row>
    <row r="3207" spans="1:22" ht="19" customHeight="1">
      <c r="A3207" s="68" t="s">
        <v>376</v>
      </c>
      <c r="B3207" s="74">
        <v>4</v>
      </c>
      <c r="C3207" s="68" t="s">
        <v>363</v>
      </c>
      <c r="D3207" s="68" t="s">
        <v>364</v>
      </c>
      <c r="E3207" s="75">
        <f>60*F3207*'THAM_SO_MOI'!$C$52/(2*PI()*'THAM_SO_MOI'!$C$26)</f>
        <v>2522.522011180278</v>
      </c>
      <c r="F3207" s="75">
        <f>'HANH_TRINH'!$F$2468+('THAM_SO_MOI'!$F$52-'HANH_TRINH'!$F$2468)*738/'THAM_SO_MOI'!$C$42</f>
        <v>16.034461600027935</v>
      </c>
      <c r="G3207" s="75">
        <f>3.6*F3207</f>
        <v>57.72406176010057</v>
      </c>
      <c r="H3207" s="75">
        <f>'THAM_SO_MOI'!$D$52</f>
        <v>1.1774754878398197</v>
      </c>
      <c r="I3207" s="75">
        <f>IF(F3207&gt;'THAM_SO_MOI'!$C$14,'THAM_SO_MOI'!$C$13*(1+F3207^2/1500),'THAM_SO_MOI'!$C$13)</f>
        <v>0.015</v>
      </c>
      <c r="J3207" s="75">
        <f>'THAM_SO_MOI'!$C$40*('THAM_SO_MOI'!$C$23*(E3207/'THAM_SO_MOI'!$C$22)+'THAM_SO_MOI'!$C$24*(E3207/'THAM_SO_MOI'!$C$22)^2-'THAM_SO_MOI'!$C$25*(E3207/'THAM_SO_MOI'!$C$22)^3)</f>
        <v>111.97832832373054</v>
      </c>
      <c r="K3207" s="75">
        <f>'THAM_SO_MOI'!$C$31*J3207/E3207</f>
        <v>423.9867977741195</v>
      </c>
      <c r="L3207" s="75">
        <f>K3207*'THAM_SO_MOI'!$C$52*'THAM_SO_MOI'!$C$17/'THAM_SO_MOI'!$C$26</f>
        <v>5937.1833370183385</v>
      </c>
      <c r="M3207" s="75">
        <f>'THAM_SO_MOI'!$C$15*'THAM_SO_MOI'!$C$16*F3207^2</f>
        <v>752.0290794981036</v>
      </c>
      <c r="N3207" s="75">
        <f>'THAM_SO_MOI'!$C$12*I3207</f>
        <v>1130.112</v>
      </c>
      <c r="O3207" s="75">
        <f>M3207+N3207</f>
        <v>1882.1410794981036</v>
      </c>
      <c r="P3207" s="75">
        <f>(MIN(L3207,'THAM_SO_MOI'!$C$41)-O3207)/('THAM_SO_MOI'!$C$11*H3207)</f>
        <v>0.44841722770518927</v>
      </c>
      <c r="Q3207" s="75">
        <f>IF(P3207&gt;0,1/P3207,NA())</f>
        <v>2.230065970296412</v>
      </c>
      <c r="R3207" s="75">
        <f>F3207-F3206</f>
        <v>0.007943393307218827</v>
      </c>
      <c r="S3207" s="75">
        <f>0.5*(Q3206+Q3207)*R3207</f>
        <v>0.01771134777703638</v>
      </c>
      <c r="T3207" s="75">
        <f>0.5*(F3206*Q3206+F3207*Q3207)*R3207</f>
        <v>0.2839215934049313</v>
      </c>
      <c r="U3207" s="76">
        <f>U3206+S3207</f>
        <v>26.2190730431377</v>
      </c>
      <c r="V3207" s="76">
        <f>V3206+T3207</f>
        <v>246.93368098980488</v>
      </c>
    </row>
    <row r="3208" spans="1:22" ht="19" customHeight="1">
      <c r="A3208" s="68" t="s">
        <v>376</v>
      </c>
      <c r="B3208" s="74">
        <v>4</v>
      </c>
      <c r="C3208" s="68" t="s">
        <v>363</v>
      </c>
      <c r="D3208" s="68" t="s">
        <v>364</v>
      </c>
      <c r="E3208" s="75">
        <f>60*F3208*'THAM_SO_MOI'!$C$52/(2*PI()*'THAM_SO_MOI'!$C$26)</f>
        <v>2523.7716561612406</v>
      </c>
      <c r="F3208" s="75">
        <f>'HANH_TRINH'!$F$2468+('THAM_SO_MOI'!$F$52-'HANH_TRINH'!$F$2468)*739/'THAM_SO_MOI'!$C$42</f>
        <v>16.042404993335154</v>
      </c>
      <c r="G3208" s="75">
        <f>3.6*F3208</f>
        <v>57.75265797600655</v>
      </c>
      <c r="H3208" s="75">
        <f>'THAM_SO_MOI'!$D$52</f>
        <v>1.1774754878398197</v>
      </c>
      <c r="I3208" s="75">
        <f>IF(F3208&gt;'THAM_SO_MOI'!$C$14,'THAM_SO_MOI'!$C$13*(1+F3208^2/1500),'THAM_SO_MOI'!$C$13)</f>
        <v>0.015</v>
      </c>
      <c r="J3208" s="75">
        <f>'THAM_SO_MOI'!$C$40*('THAM_SO_MOI'!$C$23*(E3208/'THAM_SO_MOI'!$C$22)+'THAM_SO_MOI'!$C$24*(E3208/'THAM_SO_MOI'!$C$22)^2-'THAM_SO_MOI'!$C$25*(E3208/'THAM_SO_MOI'!$C$22)^3)</f>
        <v>112.02238206719075</v>
      </c>
      <c r="K3208" s="75">
        <f>'THAM_SO_MOI'!$C$31*J3208/E3208</f>
        <v>423.94358018114383</v>
      </c>
      <c r="L3208" s="75">
        <f>K3208*'THAM_SO_MOI'!$C$52*'THAM_SO_MOI'!$C$17/'THAM_SO_MOI'!$C$26</f>
        <v>5936.5781512573</v>
      </c>
      <c r="M3208" s="75">
        <f>'THAM_SO_MOI'!$C$15*'THAM_SO_MOI'!$C$16*F3208^2</f>
        <v>752.7743670627902</v>
      </c>
      <c r="N3208" s="75">
        <f>'THAM_SO_MOI'!$C$12*I3208</f>
        <v>1130.112</v>
      </c>
      <c r="O3208" s="75">
        <f>M3208+N3208</f>
        <v>1882.8863670627902</v>
      </c>
      <c r="P3208" s="75">
        <f>(MIN(L3208,'THAM_SO_MOI'!$C$41)-O3208)/('THAM_SO_MOI'!$C$11*H3208)</f>
        <v>0.44826788881638036</v>
      </c>
      <c r="Q3208" s="75">
        <f>IF(P3208&gt;0,1/P3208,NA())</f>
        <v>2.2308089090218557</v>
      </c>
      <c r="R3208" s="75">
        <f>F3208-F3207</f>
        <v>0.007943393307218827</v>
      </c>
      <c r="S3208" s="75">
        <f>0.5*(Q3207+Q3208)*R3208</f>
        <v>0.01771724183035866</v>
      </c>
      <c r="T3208" s="75">
        <f>0.5*(F3207*Q3207+F3208*Q3208)*R3208</f>
        <v>0.2841568130167769</v>
      </c>
      <c r="U3208" s="76">
        <f>U3207+S3208</f>
        <v>26.23679028496806</v>
      </c>
      <c r="V3208" s="76">
        <f>V3207+T3208</f>
        <v>247.21783780282166</v>
      </c>
    </row>
    <row r="3209" spans="1:22" ht="19" customHeight="1">
      <c r="A3209" s="68" t="s">
        <v>376</v>
      </c>
      <c r="B3209" s="74">
        <v>4</v>
      </c>
      <c r="C3209" s="68" t="s">
        <v>363</v>
      </c>
      <c r="D3209" s="68" t="s">
        <v>364</v>
      </c>
      <c r="E3209" s="75">
        <f>60*F3209*'THAM_SO_MOI'!$C$52/(2*PI()*'THAM_SO_MOI'!$C$26)</f>
        <v>2525.0213011422034</v>
      </c>
      <c r="F3209" s="75">
        <f>'HANH_TRINH'!$F$2468+('THAM_SO_MOI'!$F$52-'HANH_TRINH'!$F$2468)*740/'THAM_SO_MOI'!$C$42</f>
        <v>16.050348386642373</v>
      </c>
      <c r="G3209" s="75">
        <f>3.6*F3209</f>
        <v>57.781254191912545</v>
      </c>
      <c r="H3209" s="75">
        <f>'THAM_SO_MOI'!$D$52</f>
        <v>1.1774754878398197</v>
      </c>
      <c r="I3209" s="75">
        <f>IF(F3209&gt;'THAM_SO_MOI'!$C$14,'THAM_SO_MOI'!$C$13*(1+F3209^2/1500),'THAM_SO_MOI'!$C$13)</f>
        <v>0.015</v>
      </c>
      <c r="J3209" s="75">
        <f>'THAM_SO_MOI'!$C$40*('THAM_SO_MOI'!$C$23*(E3209/'THAM_SO_MOI'!$C$22)+'THAM_SO_MOI'!$C$24*(E3209/'THAM_SO_MOI'!$C$22)^2-'THAM_SO_MOI'!$C$25*(E3209/'THAM_SO_MOI'!$C$22)^3)</f>
        <v>112.06638444971682</v>
      </c>
      <c r="K3209" s="75">
        <f>'THAM_SO_MOI'!$C$31*J3209/E3209</f>
        <v>423.9002110884409</v>
      </c>
      <c r="L3209" s="75">
        <f>K3209*'THAM_SO_MOI'!$C$52*'THAM_SO_MOI'!$C$17/'THAM_SO_MOI'!$C$26</f>
        <v>5935.970844011203</v>
      </c>
      <c r="M3209" s="75">
        <f>'THAM_SO_MOI'!$C$15*'THAM_SO_MOI'!$C$16*F3209^2</f>
        <v>753.5200237478358</v>
      </c>
      <c r="N3209" s="75">
        <f>'THAM_SO_MOI'!$C$12*I3209</f>
        <v>1130.112</v>
      </c>
      <c r="O3209" s="75">
        <f>M3209+N3209</f>
        <v>1883.6320237478358</v>
      </c>
      <c r="P3209" s="75">
        <f>(MIN(L3209,'THAM_SO_MOI'!$C$41)-O3209)/('THAM_SO_MOI'!$C$11*H3209)</f>
        <v>0.44811827450988007</v>
      </c>
      <c r="Q3209" s="75">
        <f>IF(P3209&gt;0,1/P3209,NA())</f>
        <v>2.231553714460159</v>
      </c>
      <c r="R3209" s="75">
        <f>F3209-F3208</f>
        <v>0.007943393307218827</v>
      </c>
      <c r="S3209" s="75">
        <f>0.5*(Q3208+Q3209)*R3209</f>
        <v>0.017723150698875242</v>
      </c>
      <c r="T3209" s="75">
        <f>0.5*(F3208*Q3208+F3209*Q3209)*R3209</f>
        <v>0.2843923639964295</v>
      </c>
      <c r="U3209" s="76">
        <f>U3208+S3209</f>
        <v>26.254513435666933</v>
      </c>
      <c r="V3209" s="76">
        <f>V3208+T3209</f>
        <v>247.5022301668181</v>
      </c>
    </row>
    <row r="3210" spans="1:22" ht="19" customHeight="1">
      <c r="A3210" s="68" t="s">
        <v>376</v>
      </c>
      <c r="B3210" s="74">
        <v>4</v>
      </c>
      <c r="C3210" s="68" t="s">
        <v>363</v>
      </c>
      <c r="D3210" s="68" t="s">
        <v>364</v>
      </c>
      <c r="E3210" s="75">
        <f>60*F3210*'THAM_SO_MOI'!$C$52/(2*PI()*'THAM_SO_MOI'!$C$26)</f>
        <v>2526.2709461231666</v>
      </c>
      <c r="F3210" s="75">
        <f>'HANH_TRINH'!$F$2468+('THAM_SO_MOI'!$F$52-'HANH_TRINH'!$F$2468)*741/'THAM_SO_MOI'!$C$42</f>
        <v>16.05829177994959</v>
      </c>
      <c r="G3210" s="75">
        <f>3.6*F3210</f>
        <v>57.80985040781853</v>
      </c>
      <c r="H3210" s="75">
        <f>'THAM_SO_MOI'!$D$52</f>
        <v>1.1774754878398197</v>
      </c>
      <c r="I3210" s="75">
        <f>IF(F3210&gt;'THAM_SO_MOI'!$C$14,'THAM_SO_MOI'!$C$13*(1+F3210^2/1500),'THAM_SO_MOI'!$C$13)</f>
        <v>0.015</v>
      </c>
      <c r="J3210" s="75">
        <f>'THAM_SO_MOI'!$C$40*('THAM_SO_MOI'!$C$23*(E3210/'THAM_SO_MOI'!$C$22)+'THAM_SO_MOI'!$C$24*(E3210/'THAM_SO_MOI'!$C$22)^2-'THAM_SO_MOI'!$C$25*(E3210/'THAM_SO_MOI'!$C$22)^3)</f>
        <v>112.11033541184295</v>
      </c>
      <c r="K3210" s="75">
        <f>'THAM_SO_MOI'!$C$31*J3210/E3210</f>
        <v>423.8566904960103</v>
      </c>
      <c r="L3210" s="75">
        <f>K3210*'THAM_SO_MOI'!$C$52*'THAM_SO_MOI'!$C$17/'THAM_SO_MOI'!$C$26</f>
        <v>5935.361415280043</v>
      </c>
      <c r="M3210" s="75">
        <f>'THAM_SO_MOI'!$C$15*'THAM_SO_MOI'!$C$16*F3210^2</f>
        <v>754.2660495532402</v>
      </c>
      <c r="N3210" s="75">
        <f>'THAM_SO_MOI'!$C$12*I3210</f>
        <v>1130.112</v>
      </c>
      <c r="O3210" s="75">
        <f>M3210+N3210</f>
        <v>1884.3780495532403</v>
      </c>
      <c r="P3210" s="75">
        <f>(MIN(L3210,'THAM_SO_MOI'!$C$41)-O3210)/('THAM_SO_MOI'!$C$11*H3210)</f>
        <v>0.44796838478568807</v>
      </c>
      <c r="Q3210" s="75">
        <f>IF(P3210&gt;0,1/P3210,NA())</f>
        <v>2.2323003898554328</v>
      </c>
      <c r="R3210" s="75">
        <f>F3210-F3209</f>
        <v>0.007943393307218827</v>
      </c>
      <c r="S3210" s="75">
        <f>0.5*(Q3209+Q3210)*R3210</f>
        <v>0.017729074408310883</v>
      </c>
      <c r="T3210" s="75">
        <f>0.5*(F3209*Q3209+F3210*Q3210)*R3210</f>
        <v>0.2846282471099314</v>
      </c>
      <c r="U3210" s="76">
        <f>U3209+S3210</f>
        <v>26.272242510075245</v>
      </c>
      <c r="V3210" s="76">
        <f>V3209+T3210</f>
        <v>247.78685841392803</v>
      </c>
    </row>
    <row r="3211" spans="1:22" ht="19" customHeight="1">
      <c r="A3211" s="68" t="s">
        <v>376</v>
      </c>
      <c r="B3211" s="74">
        <v>4</v>
      </c>
      <c r="C3211" s="68" t="s">
        <v>363</v>
      </c>
      <c r="D3211" s="68" t="s">
        <v>364</v>
      </c>
      <c r="E3211" s="75">
        <f>60*F3211*'THAM_SO_MOI'!$C$52/(2*PI()*'THAM_SO_MOI'!$C$26)</f>
        <v>2527.5205911041307</v>
      </c>
      <c r="F3211" s="75">
        <f>'HANH_TRINH'!$F$2468+('THAM_SO_MOI'!$F$52-'HANH_TRINH'!$F$2468)*742/'THAM_SO_MOI'!$C$42</f>
        <v>16.066235173256814</v>
      </c>
      <c r="G3211" s="75">
        <f>3.6*F3211</f>
        <v>57.83844662372453</v>
      </c>
      <c r="H3211" s="75">
        <f>'THAM_SO_MOI'!$D$52</f>
        <v>1.1774754878398197</v>
      </c>
      <c r="I3211" s="75">
        <f>IF(F3211&gt;'THAM_SO_MOI'!$C$14,'THAM_SO_MOI'!$C$13*(1+F3211^2/1500),'THAM_SO_MOI'!$C$13)</f>
        <v>0.015</v>
      </c>
      <c r="J3211" s="75">
        <f>'THAM_SO_MOI'!$C$40*('THAM_SO_MOI'!$C$23*(E3211/'THAM_SO_MOI'!$C$22)+'THAM_SO_MOI'!$C$24*(E3211/'THAM_SO_MOI'!$C$22)^2-'THAM_SO_MOI'!$C$25*(E3211/'THAM_SO_MOI'!$C$22)^3)</f>
        <v>112.15423489410358</v>
      </c>
      <c r="K3211" s="75">
        <f>'THAM_SO_MOI'!$C$31*J3211/E3211</f>
        <v>423.81301840385225</v>
      </c>
      <c r="L3211" s="75">
        <f>K3211*'THAM_SO_MOI'!$C$52*'THAM_SO_MOI'!$C$17/'THAM_SO_MOI'!$C$26</f>
        <v>5934.749865063822</v>
      </c>
      <c r="M3211" s="75">
        <f>'THAM_SO_MOI'!$C$15*'THAM_SO_MOI'!$C$16*F3211^2</f>
        <v>755.0124444790036</v>
      </c>
      <c r="N3211" s="75">
        <f>'THAM_SO_MOI'!$C$12*I3211</f>
        <v>1130.112</v>
      </c>
      <c r="O3211" s="75">
        <f>M3211+N3211</f>
        <v>1885.1244444790036</v>
      </c>
      <c r="P3211" s="75">
        <f>(MIN(L3211,'THAM_SO_MOI'!$C$41)-O3211)/('THAM_SO_MOI'!$C$11*H3211)</f>
        <v>0.4478182196438045</v>
      </c>
      <c r="Q3211" s="75">
        <f>IF(P3211&gt;0,1/P3211,NA())</f>
        <v>2.233048938463026</v>
      </c>
      <c r="R3211" s="75">
        <f>F3211-F3210</f>
        <v>0.00794339330722238</v>
      </c>
      <c r="S3211" s="75">
        <f>0.5*(Q3210+Q3211)*R3211</f>
        <v>0.017735012984487396</v>
      </c>
      <c r="T3211" s="75">
        <f>0.5*(F3210*Q3210+F3211*Q3211)*R3211</f>
        <v>0.2848644631257014</v>
      </c>
      <c r="U3211" s="76">
        <f>U3210+S3211</f>
        <v>26.289977523059733</v>
      </c>
      <c r="V3211" s="76">
        <f>V3210+T3211</f>
        <v>248.07172287705373</v>
      </c>
    </row>
    <row r="3212" spans="1:22" ht="19" customHeight="1">
      <c r="A3212" s="68" t="s">
        <v>376</v>
      </c>
      <c r="B3212" s="74">
        <v>4</v>
      </c>
      <c r="C3212" s="68" t="s">
        <v>363</v>
      </c>
      <c r="D3212" s="68" t="s">
        <v>364</v>
      </c>
      <c r="E3212" s="75">
        <f>60*F3212*'THAM_SO_MOI'!$C$52/(2*PI()*'THAM_SO_MOI'!$C$26)</f>
        <v>2528.770236085094</v>
      </c>
      <c r="F3212" s="75">
        <f>'HANH_TRINH'!$F$2468+('THAM_SO_MOI'!$F$52-'HANH_TRINH'!$F$2468)*743/'THAM_SO_MOI'!$C$42</f>
        <v>16.074178566564033</v>
      </c>
      <c r="G3212" s="75">
        <f>3.6*F3212</f>
        <v>57.86704283963052</v>
      </c>
      <c r="H3212" s="75">
        <f>'THAM_SO_MOI'!$D$52</f>
        <v>1.1774754878398197</v>
      </c>
      <c r="I3212" s="75">
        <f>IF(F3212&gt;'THAM_SO_MOI'!$C$14,'THAM_SO_MOI'!$C$13*(1+F3212^2/1500),'THAM_SO_MOI'!$C$13)</f>
        <v>0.015</v>
      </c>
      <c r="J3212" s="75">
        <f>'THAM_SO_MOI'!$C$40*('THAM_SO_MOI'!$C$23*(E3212/'THAM_SO_MOI'!$C$22)+'THAM_SO_MOI'!$C$24*(E3212/'THAM_SO_MOI'!$C$22)^2-'THAM_SO_MOI'!$C$25*(E3212/'THAM_SO_MOI'!$C$22)^3)</f>
        <v>112.19808283703289</v>
      </c>
      <c r="K3212" s="75">
        <f>'THAM_SO_MOI'!$C$31*J3212/E3212</f>
        <v>423.76919481196677</v>
      </c>
      <c r="L3212" s="75">
        <f>K3212*'THAM_SO_MOI'!$C$52*'THAM_SO_MOI'!$C$17/'THAM_SO_MOI'!$C$26</f>
        <v>5934.13619336254</v>
      </c>
      <c r="M3212" s="75">
        <f>'THAM_SO_MOI'!$C$15*'THAM_SO_MOI'!$C$16*F3212^2</f>
        <v>755.7592085251257</v>
      </c>
      <c r="N3212" s="75">
        <f>'THAM_SO_MOI'!$C$12*I3212</f>
        <v>1130.112</v>
      </c>
      <c r="O3212" s="75">
        <f>M3212+N3212</f>
        <v>1885.871208525126</v>
      </c>
      <c r="P3212" s="75">
        <f>(MIN(L3212,'THAM_SO_MOI'!$C$41)-O3212)/('THAM_SO_MOI'!$C$11*H3212)</f>
        <v>0.4476677790842295</v>
      </c>
      <c r="Q3212" s="75">
        <f>IF(P3212&gt;0,1/P3212,NA())</f>
        <v>2.2337993635495668</v>
      </c>
      <c r="R3212" s="75">
        <f>F3212-F3211</f>
        <v>0.007943393307218827</v>
      </c>
      <c r="S3212" s="75">
        <f>0.5*(Q3211+Q3212)*R3212</f>
        <v>0.017740966453284306</v>
      </c>
      <c r="T3212" s="75">
        <f>0.5*(F3211*Q3211+F3212*Q3212)*R3212</f>
        <v>0.28510101281390604</v>
      </c>
      <c r="U3212" s="76">
        <f>U3211+S3212</f>
        <v>26.307718489513018</v>
      </c>
      <c r="V3212" s="76">
        <f>V3211+T3212</f>
        <v>248.35682388986763</v>
      </c>
    </row>
    <row r="3213" spans="1:22" ht="19" customHeight="1">
      <c r="A3213" s="68" t="s">
        <v>376</v>
      </c>
      <c r="B3213" s="74">
        <v>4</v>
      </c>
      <c r="C3213" s="68" t="s">
        <v>363</v>
      </c>
      <c r="D3213" s="68" t="s">
        <v>364</v>
      </c>
      <c r="E3213" s="75">
        <f>60*F3213*'THAM_SO_MOI'!$C$52/(2*PI()*'THAM_SO_MOI'!$C$26)</f>
        <v>2530.0198810660568</v>
      </c>
      <c r="F3213" s="75">
        <f>'HANH_TRINH'!$F$2468+('THAM_SO_MOI'!$F$52-'HANH_TRINH'!$F$2468)*744/'THAM_SO_MOI'!$C$42</f>
        <v>16.08212195987125</v>
      </c>
      <c r="G3213" s="75">
        <f>3.6*F3213</f>
        <v>57.895639055536506</v>
      </c>
      <c r="H3213" s="75">
        <f>'THAM_SO_MOI'!$D$52</f>
        <v>1.1774754878398197</v>
      </c>
      <c r="I3213" s="75">
        <f>IF(F3213&gt;'THAM_SO_MOI'!$C$14,'THAM_SO_MOI'!$C$13*(1+F3213^2/1500),'THAM_SO_MOI'!$C$13)</f>
        <v>0.015</v>
      </c>
      <c r="J3213" s="75">
        <f>'THAM_SO_MOI'!$C$40*('THAM_SO_MOI'!$C$23*(E3213/'THAM_SO_MOI'!$C$22)+'THAM_SO_MOI'!$C$24*(E3213/'THAM_SO_MOI'!$C$22)^2-'THAM_SO_MOI'!$C$25*(E3213/'THAM_SO_MOI'!$C$22)^3)</f>
        <v>112.24187918116523</v>
      </c>
      <c r="K3213" s="75">
        <f>'THAM_SO_MOI'!$C$31*J3213/E3213</f>
        <v>423.72521972035383</v>
      </c>
      <c r="L3213" s="75">
        <f>K3213*'THAM_SO_MOI'!$C$52*'THAM_SO_MOI'!$C$17/'THAM_SO_MOI'!$C$26</f>
        <v>5933.5204001761995</v>
      </c>
      <c r="M3213" s="75">
        <f>'THAM_SO_MOI'!$C$15*'THAM_SO_MOI'!$C$16*F3213^2</f>
        <v>756.5063416916065</v>
      </c>
      <c r="N3213" s="75">
        <f>'THAM_SO_MOI'!$C$12*I3213</f>
        <v>1130.112</v>
      </c>
      <c r="O3213" s="75">
        <f>M3213+N3213</f>
        <v>1886.6183416916065</v>
      </c>
      <c r="P3213" s="75">
        <f>(MIN(L3213,'THAM_SO_MOI'!$C$41)-O3213)/('THAM_SO_MOI'!$C$11*H3213)</f>
        <v>0.4475170631069631</v>
      </c>
      <c r="Q3213" s="75">
        <f>IF(P3213&gt;0,1/P3213,NA())</f>
        <v>2.2345516683930002</v>
      </c>
      <c r="R3213" s="75">
        <f>F3213-F3212</f>
        <v>0.007943393307218827</v>
      </c>
      <c r="S3213" s="75">
        <f>0.5*(Q3212+Q3213)*R3213</f>
        <v>0.017746934840718463</v>
      </c>
      <c r="T3213" s="75">
        <f>0.5*(F3212*Q3212+F3213*Q3213)*R3213</f>
        <v>0.28533789694774203</v>
      </c>
      <c r="U3213" s="76">
        <f>U3212+S3213</f>
        <v>26.325465424353737</v>
      </c>
      <c r="V3213" s="76">
        <f>V3212+T3213</f>
        <v>248.64216178681536</v>
      </c>
    </row>
    <row r="3214" spans="1:22" ht="19" customHeight="1">
      <c r="A3214" s="68" t="s">
        <v>376</v>
      </c>
      <c r="B3214" s="74">
        <v>4</v>
      </c>
      <c r="C3214" s="68" t="s">
        <v>363</v>
      </c>
      <c r="D3214" s="68" t="s">
        <v>364</v>
      </c>
      <c r="E3214" s="75">
        <f>60*F3214*'THAM_SO_MOI'!$C$52/(2*PI()*'THAM_SO_MOI'!$C$26)</f>
        <v>2531.26952604702</v>
      </c>
      <c r="F3214" s="75">
        <f>'HANH_TRINH'!$F$2468+('THAM_SO_MOI'!$F$52-'HANH_TRINH'!$F$2468)*745/'THAM_SO_MOI'!$C$42</f>
        <v>16.09006535317847</v>
      </c>
      <c r="G3214" s="75">
        <f>3.6*F3214</f>
        <v>57.9242352714425</v>
      </c>
      <c r="H3214" s="75">
        <f>'THAM_SO_MOI'!$D$52</f>
        <v>1.1774754878398197</v>
      </c>
      <c r="I3214" s="75">
        <f>IF(F3214&gt;'THAM_SO_MOI'!$C$14,'THAM_SO_MOI'!$C$13*(1+F3214^2/1500),'THAM_SO_MOI'!$C$13)</f>
        <v>0.015</v>
      </c>
      <c r="J3214" s="75">
        <f>'THAM_SO_MOI'!$C$40*('THAM_SO_MOI'!$C$23*(E3214/'THAM_SO_MOI'!$C$22)+'THAM_SO_MOI'!$C$24*(E3214/'THAM_SO_MOI'!$C$22)^2-'THAM_SO_MOI'!$C$25*(E3214/'THAM_SO_MOI'!$C$22)^3)</f>
        <v>112.28562386703493</v>
      </c>
      <c r="K3214" s="75">
        <f>'THAM_SO_MOI'!$C$31*J3214/E3214</f>
        <v>423.68109312901316</v>
      </c>
      <c r="L3214" s="75">
        <f>K3214*'THAM_SO_MOI'!$C$52*'THAM_SO_MOI'!$C$17/'THAM_SO_MOI'!$C$26</f>
        <v>5932.902485504793</v>
      </c>
      <c r="M3214" s="75">
        <f>'THAM_SO_MOI'!$C$15*'THAM_SO_MOI'!$C$16*F3214^2</f>
        <v>757.2538439784461</v>
      </c>
      <c r="N3214" s="75">
        <f>'THAM_SO_MOI'!$C$12*I3214</f>
        <v>1130.112</v>
      </c>
      <c r="O3214" s="75">
        <f>M3214+N3214</f>
        <v>1887.3658439784463</v>
      </c>
      <c r="P3214" s="75">
        <f>(MIN(L3214,'THAM_SO_MOI'!$C$41)-O3214)/('THAM_SO_MOI'!$C$11*H3214)</f>
        <v>0.4473660717120047</v>
      </c>
      <c r="Q3214" s="75">
        <f>IF(P3214&gt;0,1/P3214,NA())</f>
        <v>2.235305856282632</v>
      </c>
      <c r="R3214" s="75">
        <f>F3214-F3213</f>
        <v>0.007943393307218827</v>
      </c>
      <c r="S3214" s="75">
        <f>0.5*(Q3213+Q3214)*R3214</f>
        <v>0.017752918172865062</v>
      </c>
      <c r="T3214" s="75">
        <f>0.5*(F3213*Q3213+F3214*Q3214)*R3214</f>
        <v>0.2855751163021717</v>
      </c>
      <c r="U3214" s="76">
        <f>U3213+S3214</f>
        <v>26.3432183425266</v>
      </c>
      <c r="V3214" s="76">
        <f>V3213+T3214</f>
        <v>248.92773690311753</v>
      </c>
    </row>
    <row r="3215" spans="1:22" ht="19" customHeight="1">
      <c r="A3215" s="68" t="s">
        <v>376</v>
      </c>
      <c r="B3215" s="74">
        <v>4</v>
      </c>
      <c r="C3215" s="68" t="s">
        <v>363</v>
      </c>
      <c r="D3215" s="68" t="s">
        <v>364</v>
      </c>
      <c r="E3215" s="75">
        <f>60*F3215*'THAM_SO_MOI'!$C$52/(2*PI()*'THAM_SO_MOI'!$C$26)</f>
        <v>2532.5191710279837</v>
      </c>
      <c r="F3215" s="75">
        <f>'HANH_TRINH'!$F$2468+('THAM_SO_MOI'!$F$52-'HANH_TRINH'!$F$2468)*746/'THAM_SO_MOI'!$C$42</f>
        <v>16.09800874648569</v>
      </c>
      <c r="G3215" s="75">
        <f>3.6*F3215</f>
        <v>57.95283148734848</v>
      </c>
      <c r="H3215" s="75">
        <f>'THAM_SO_MOI'!$D$52</f>
        <v>1.1774754878398197</v>
      </c>
      <c r="I3215" s="75">
        <f>IF(F3215&gt;'THAM_SO_MOI'!$C$14,'THAM_SO_MOI'!$C$13*(1+F3215^2/1500),'THAM_SO_MOI'!$C$13)</f>
        <v>0.015</v>
      </c>
      <c r="J3215" s="75">
        <f>'THAM_SO_MOI'!$C$40*('THAM_SO_MOI'!$C$23*(E3215/'THAM_SO_MOI'!$C$22)+'THAM_SO_MOI'!$C$24*(E3215/'THAM_SO_MOI'!$C$22)^2-'THAM_SO_MOI'!$C$25*(E3215/'THAM_SO_MOI'!$C$22)^3)</f>
        <v>112.32931683517637</v>
      </c>
      <c r="K3215" s="75">
        <f>'THAM_SO_MOI'!$C$31*J3215/E3215</f>
        <v>423.6368150379454</v>
      </c>
      <c r="L3215" s="75">
        <f>K3215*'THAM_SO_MOI'!$C$52*'THAM_SO_MOI'!$C$17/'THAM_SO_MOI'!$C$26</f>
        <v>5932.282449348331</v>
      </c>
      <c r="M3215" s="75">
        <f>'THAM_SO_MOI'!$C$15*'THAM_SO_MOI'!$C$16*F3215^2</f>
        <v>758.0017153856446</v>
      </c>
      <c r="N3215" s="75">
        <f>'THAM_SO_MOI'!$C$12*I3215</f>
        <v>1130.112</v>
      </c>
      <c r="O3215" s="75">
        <f>M3215+N3215</f>
        <v>1888.1137153856448</v>
      </c>
      <c r="P3215" s="75">
        <f>(MIN(L3215,'THAM_SO_MOI'!$C$41)-O3215)/('THAM_SO_MOI'!$C$11*H3215)</f>
        <v>0.44721480489935533</v>
      </c>
      <c r="Q3215" s="75">
        <f>IF(P3215&gt;0,1/P3215,NA())</f>
        <v>2.2360619305191554</v>
      </c>
      <c r="R3215" s="75">
        <f>F3215-F3214</f>
        <v>0.007943393307218827</v>
      </c>
      <c r="S3215" s="75">
        <f>0.5*(Q3214+Q3215)*R3215</f>
        <v>0.01775891647589759</v>
      </c>
      <c r="T3215" s="75">
        <f>0.5*(F3214*Q3214+F3215*Q3215)*R3215</f>
        <v>0.28581267165456714</v>
      </c>
      <c r="U3215" s="76">
        <f>U3214+S3215</f>
        <v>26.3609772590025</v>
      </c>
      <c r="V3215" s="76">
        <f>V3214+T3215</f>
        <v>249.2135495747721</v>
      </c>
    </row>
    <row r="3216" spans="1:22" ht="19" customHeight="1">
      <c r="A3216" s="68" t="s">
        <v>376</v>
      </c>
      <c r="B3216" s="74">
        <v>4</v>
      </c>
      <c r="C3216" s="68" t="s">
        <v>363</v>
      </c>
      <c r="D3216" s="68" t="s">
        <v>364</v>
      </c>
      <c r="E3216" s="75">
        <f>60*F3216*'THAM_SO_MOI'!$C$52/(2*PI()*'THAM_SO_MOI'!$C$26)</f>
        <v>2533.768816008947</v>
      </c>
      <c r="F3216" s="75">
        <f>'HANH_TRINH'!$F$2468+('THAM_SO_MOI'!$F$52-'HANH_TRINH'!$F$2468)*747/'THAM_SO_MOI'!$C$42</f>
        <v>16.10595213979291</v>
      </c>
      <c r="G3216" s="75">
        <f>3.6*F3216</f>
        <v>57.98142770325448</v>
      </c>
      <c r="H3216" s="75">
        <f>'THAM_SO_MOI'!$D$52</f>
        <v>1.1774754878398197</v>
      </c>
      <c r="I3216" s="75">
        <f>IF(F3216&gt;'THAM_SO_MOI'!$C$14,'THAM_SO_MOI'!$C$13*(1+F3216^2/1500),'THAM_SO_MOI'!$C$13)</f>
        <v>0.015</v>
      </c>
      <c r="J3216" s="75">
        <f>'THAM_SO_MOI'!$C$40*('THAM_SO_MOI'!$C$23*(E3216/'THAM_SO_MOI'!$C$22)+'THAM_SO_MOI'!$C$24*(E3216/'THAM_SO_MOI'!$C$22)^2-'THAM_SO_MOI'!$C$25*(E3216/'THAM_SO_MOI'!$C$22)^3)</f>
        <v>112.37295802612374</v>
      </c>
      <c r="K3216" s="75">
        <f>'THAM_SO_MOI'!$C$31*J3216/E3216</f>
        <v>423.59238544714987</v>
      </c>
      <c r="L3216" s="75">
        <f>K3216*'THAM_SO_MOI'!$C$52*'THAM_SO_MOI'!$C$17/'THAM_SO_MOI'!$C$26</f>
        <v>5931.660291706804</v>
      </c>
      <c r="M3216" s="75">
        <f>'THAM_SO_MOI'!$C$15*'THAM_SO_MOI'!$C$16*F3216^2</f>
        <v>758.7499559132021</v>
      </c>
      <c r="N3216" s="75">
        <f>'THAM_SO_MOI'!$C$12*I3216</f>
        <v>1130.112</v>
      </c>
      <c r="O3216" s="75">
        <f>M3216+N3216</f>
        <v>1888.861955913202</v>
      </c>
      <c r="P3216" s="75">
        <f>(MIN(L3216,'THAM_SO_MOI'!$C$41)-O3216)/('THAM_SO_MOI'!$C$11*H3216)</f>
        <v>0.4470632626690139</v>
      </c>
      <c r="Q3216" s="75">
        <f>IF(P3216&gt;0,1/P3216,NA())</f>
        <v>2.2368198944147113</v>
      </c>
      <c r="R3216" s="75">
        <f>F3216-F3215</f>
        <v>0.00794339330722238</v>
      </c>
      <c r="S3216" s="75">
        <f>0.5*(Q3215+Q3216)*R3216</f>
        <v>0.017764929776088147</v>
      </c>
      <c r="T3216" s="75">
        <f>0.5*(F3215*Q3215+F3216*Q3216)*R3216</f>
        <v>0.2860505637847206</v>
      </c>
      <c r="U3216" s="76">
        <f>U3215+S3216</f>
        <v>26.37874218877859</v>
      </c>
      <c r="V3216" s="76">
        <f>V3215+T3216</f>
        <v>249.49960013855681</v>
      </c>
    </row>
    <row r="3217" spans="1:22" ht="19" customHeight="1">
      <c r="A3217" s="68" t="s">
        <v>376</v>
      </c>
      <c r="B3217" s="74">
        <v>4</v>
      </c>
      <c r="C3217" s="68" t="s">
        <v>363</v>
      </c>
      <c r="D3217" s="68" t="s">
        <v>364</v>
      </c>
      <c r="E3217" s="75">
        <f>60*F3217*'THAM_SO_MOI'!$C$52/(2*PI()*'THAM_SO_MOI'!$C$26)</f>
        <v>2535.0184609899097</v>
      </c>
      <c r="F3217" s="75">
        <f>'HANH_TRINH'!$F$2468+('THAM_SO_MOI'!$F$52-'HANH_TRINH'!$F$2468)*748/'THAM_SO_MOI'!$C$42</f>
        <v>16.113895533100127</v>
      </c>
      <c r="G3217" s="75">
        <f>3.6*F3217</f>
        <v>58.01002391916046</v>
      </c>
      <c r="H3217" s="75">
        <f>'THAM_SO_MOI'!$D$52</f>
        <v>1.1774754878398197</v>
      </c>
      <c r="I3217" s="75">
        <f>IF(F3217&gt;'THAM_SO_MOI'!$C$14,'THAM_SO_MOI'!$C$13*(1+F3217^2/1500),'THAM_SO_MOI'!$C$13)</f>
        <v>0.015</v>
      </c>
      <c r="J3217" s="75">
        <f>'THAM_SO_MOI'!$C$40*('THAM_SO_MOI'!$C$23*(E3217/'THAM_SO_MOI'!$C$22)+'THAM_SO_MOI'!$C$24*(E3217/'THAM_SO_MOI'!$C$22)^2-'THAM_SO_MOI'!$C$25*(E3217/'THAM_SO_MOI'!$C$22)^3)</f>
        <v>112.41654738041142</v>
      </c>
      <c r="K3217" s="75">
        <f>'THAM_SO_MOI'!$C$31*J3217/E3217</f>
        <v>423.54780435662707</v>
      </c>
      <c r="L3217" s="75">
        <f>K3217*'THAM_SO_MOI'!$C$52*'THAM_SO_MOI'!$C$17/'THAM_SO_MOI'!$C$26</f>
        <v>5931.03601258022</v>
      </c>
      <c r="M3217" s="75">
        <f>'THAM_SO_MOI'!$C$15*'THAM_SO_MOI'!$C$16*F3217^2</f>
        <v>759.498565561118</v>
      </c>
      <c r="N3217" s="75">
        <f>'THAM_SO_MOI'!$C$12*I3217</f>
        <v>1130.112</v>
      </c>
      <c r="O3217" s="75">
        <f>M3217+N3217</f>
        <v>1889.6105655611182</v>
      </c>
      <c r="P3217" s="75">
        <f>(MIN(L3217,'THAM_SO_MOI'!$C$41)-O3217)/('THAM_SO_MOI'!$C$11*H3217)</f>
        <v>0.44691144502098146</v>
      </c>
      <c r="Q3217" s="75">
        <f>IF(P3217&gt;0,1/P3217,NA())</f>
        <v>2.237579751292904</v>
      </c>
      <c r="R3217" s="75">
        <f>F3217-F3216</f>
        <v>0.007943393307215274</v>
      </c>
      <c r="S3217" s="75">
        <f>0.5*(Q3216+Q3217)*R3217</f>
        <v>0.017770958099760134</v>
      </c>
      <c r="T3217" s="75">
        <f>0.5*(F3216*Q3216+F3217*Q3217)*R3217</f>
        <v>0.286288793474085</v>
      </c>
      <c r="U3217" s="76">
        <f>U3216+S3217</f>
        <v>26.39651314687835</v>
      </c>
      <c r="V3217" s="76">
        <f>V3216+T3217</f>
        <v>249.7858889320309</v>
      </c>
    </row>
    <row r="3218" spans="1:22" ht="19" customHeight="1">
      <c r="A3218" s="68" t="s">
        <v>376</v>
      </c>
      <c r="B3218" s="74">
        <v>4</v>
      </c>
      <c r="C3218" s="68" t="s">
        <v>363</v>
      </c>
      <c r="D3218" s="68" t="s">
        <v>364</v>
      </c>
      <c r="E3218" s="75">
        <f>60*F3218*'THAM_SO_MOI'!$C$52/(2*PI()*'THAM_SO_MOI'!$C$26)</f>
        <v>2536.2681059708734</v>
      </c>
      <c r="F3218" s="75">
        <f>'HANH_TRINH'!$F$2468+('THAM_SO_MOI'!$F$52-'HANH_TRINH'!$F$2468)*749/'THAM_SO_MOI'!$C$42</f>
        <v>16.12183892640735</v>
      </c>
      <c r="G3218" s="75">
        <f>3.6*F3218</f>
        <v>58.03862013506646</v>
      </c>
      <c r="H3218" s="75">
        <f>'THAM_SO_MOI'!$D$52</f>
        <v>1.1774754878398197</v>
      </c>
      <c r="I3218" s="75">
        <f>IF(F3218&gt;'THAM_SO_MOI'!$C$14,'THAM_SO_MOI'!$C$13*(1+F3218^2/1500),'THAM_SO_MOI'!$C$13)</f>
        <v>0.015</v>
      </c>
      <c r="J3218" s="75">
        <f>'THAM_SO_MOI'!$C$40*('THAM_SO_MOI'!$C$23*(E3218/'THAM_SO_MOI'!$C$22)+'THAM_SO_MOI'!$C$24*(E3218/'THAM_SO_MOI'!$C$22)^2-'THAM_SO_MOI'!$C$25*(E3218/'THAM_SO_MOI'!$C$22)^3)</f>
        <v>112.46008483857374</v>
      </c>
      <c r="K3218" s="75">
        <f>'THAM_SO_MOI'!$C$31*J3218/E3218</f>
        <v>423.50307176637665</v>
      </c>
      <c r="L3218" s="75">
        <f>K3218*'THAM_SO_MOI'!$C$52*'THAM_SO_MOI'!$C$17/'THAM_SO_MOI'!$C$26</f>
        <v>5930.409611968571</v>
      </c>
      <c r="M3218" s="75">
        <f>'THAM_SO_MOI'!$C$15*'THAM_SO_MOI'!$C$16*F3218^2</f>
        <v>760.2475443293931</v>
      </c>
      <c r="N3218" s="75">
        <f>'THAM_SO_MOI'!$C$12*I3218</f>
        <v>1130.112</v>
      </c>
      <c r="O3218" s="75">
        <f>M3218+N3218</f>
        <v>1890.3595443293932</v>
      </c>
      <c r="P3218" s="75">
        <f>(MIN(L3218,'THAM_SO_MOI'!$C$41)-O3218)/('THAM_SO_MOI'!$C$11*H3218)</f>
        <v>0.446759351955257</v>
      </c>
      <c r="Q3218" s="75">
        <f>IF(P3218&gt;0,1/P3218,NA())</f>
        <v>2.238341504488864</v>
      </c>
      <c r="R3218" s="75">
        <f>F3218-F3217</f>
        <v>0.00794339330722238</v>
      </c>
      <c r="S3218" s="75">
        <f>0.5*(Q3217+Q3218)*R3218</f>
        <v>0.017777001473415644</v>
      </c>
      <c r="T3218" s="75">
        <f>0.5*(F3217*Q3217+F3218*Q3218)*R3218</f>
        <v>0.2865273615078299</v>
      </c>
      <c r="U3218" s="76">
        <f>U3217+S3218</f>
        <v>26.414290148351764</v>
      </c>
      <c r="V3218" s="76">
        <f>V3217+T3218</f>
        <v>250.07241629353874</v>
      </c>
    </row>
    <row r="3219" spans="1:22" ht="19" customHeight="1">
      <c r="A3219" s="68" t="s">
        <v>376</v>
      </c>
      <c r="B3219" s="74">
        <v>4</v>
      </c>
      <c r="C3219" s="68" t="s">
        <v>363</v>
      </c>
      <c r="D3219" s="68" t="s">
        <v>364</v>
      </c>
      <c r="E3219" s="75">
        <f>60*F3219*'THAM_SO_MOI'!$C$52/(2*PI()*'THAM_SO_MOI'!$C$26)</f>
        <v>2537.5177509518367</v>
      </c>
      <c r="F3219" s="75">
        <f>'HANH_TRINH'!$F$2468+('THAM_SO_MOI'!$F$52-'HANH_TRINH'!$F$2468)*750/'THAM_SO_MOI'!$C$42</f>
        <v>16.129782319714568</v>
      </c>
      <c r="G3219" s="75">
        <f>3.6*F3219</f>
        <v>58.067216350972444</v>
      </c>
      <c r="H3219" s="75">
        <f>'THAM_SO_MOI'!$D$52</f>
        <v>1.1774754878398197</v>
      </c>
      <c r="I3219" s="75">
        <f>IF(F3219&gt;'THAM_SO_MOI'!$C$14,'THAM_SO_MOI'!$C$13*(1+F3219^2/1500),'THAM_SO_MOI'!$C$13)</f>
        <v>0.015</v>
      </c>
      <c r="J3219" s="75">
        <f>'THAM_SO_MOI'!$C$40*('THAM_SO_MOI'!$C$23*(E3219/'THAM_SO_MOI'!$C$22)+'THAM_SO_MOI'!$C$24*(E3219/'THAM_SO_MOI'!$C$22)^2-'THAM_SO_MOI'!$C$25*(E3219/'THAM_SO_MOI'!$C$22)^3)</f>
        <v>112.50357034114498</v>
      </c>
      <c r="K3219" s="75">
        <f>'THAM_SO_MOI'!$C$31*J3219/E3219</f>
        <v>423.4581876763989</v>
      </c>
      <c r="L3219" s="75">
        <f>K3219*'THAM_SO_MOI'!$C$52*'THAM_SO_MOI'!$C$17/'THAM_SO_MOI'!$C$26</f>
        <v>5929.7810898718635</v>
      </c>
      <c r="M3219" s="75">
        <f>'THAM_SO_MOI'!$C$15*'THAM_SO_MOI'!$C$16*F3219^2</f>
        <v>760.9968922180269</v>
      </c>
      <c r="N3219" s="75">
        <f>'THAM_SO_MOI'!$C$12*I3219</f>
        <v>1130.112</v>
      </c>
      <c r="O3219" s="75">
        <f>M3219+N3219</f>
        <v>1891.108892218027</v>
      </c>
      <c r="P3219" s="75">
        <f>(MIN(L3219,'THAM_SO_MOI'!$C$41)-O3219)/('THAM_SO_MOI'!$C$11*H3219)</f>
        <v>0.44660698347184136</v>
      </c>
      <c r="Q3219" s="75">
        <f>IF(P3219&gt;0,1/P3219,NA())</f>
        <v>2.2391051573492695</v>
      </c>
      <c r="R3219" s="75">
        <f>F3219-F3218</f>
        <v>0.007943393307218827</v>
      </c>
      <c r="S3219" s="75">
        <f>0.5*(Q3218+Q3219)*R3219</f>
        <v>0.017783059923537153</v>
      </c>
      <c r="T3219" s="75">
        <f>0.5*(F3218*Q3218+F3219*Q3219)*R3219</f>
        <v>0.2867662686716511</v>
      </c>
      <c r="U3219" s="76">
        <f>U3218+S3219</f>
        <v>26.432073208275302</v>
      </c>
      <c r="V3219" s="76">
        <f>V3218+T3219</f>
        <v>250.35918256221038</v>
      </c>
    </row>
    <row r="3220" spans="1:22" ht="19" customHeight="1">
      <c r="A3220" s="68" t="s">
        <v>376</v>
      </c>
      <c r="B3220" s="74">
        <v>4</v>
      </c>
      <c r="C3220" s="68" t="s">
        <v>363</v>
      </c>
      <c r="D3220" s="68" t="s">
        <v>364</v>
      </c>
      <c r="E3220" s="75">
        <f>60*F3220*'THAM_SO_MOI'!$C$52/(2*PI()*'THAM_SO_MOI'!$C$26)</f>
        <v>2538.7673959328</v>
      </c>
      <c r="F3220" s="75">
        <f>'HANH_TRINH'!$F$2468+('THAM_SO_MOI'!$F$52-'HANH_TRINH'!$F$2468)*751/'THAM_SO_MOI'!$C$42</f>
        <v>16.137725713021787</v>
      </c>
      <c r="G3220" s="75">
        <f>3.6*F3220</f>
        <v>58.095812566878436</v>
      </c>
      <c r="H3220" s="75">
        <f>'THAM_SO_MOI'!$D$52</f>
        <v>1.1774754878398197</v>
      </c>
      <c r="I3220" s="75">
        <f>IF(F3220&gt;'THAM_SO_MOI'!$C$14,'THAM_SO_MOI'!$C$13*(1+F3220^2/1500),'THAM_SO_MOI'!$C$13)</f>
        <v>0.015</v>
      </c>
      <c r="J3220" s="75">
        <f>'THAM_SO_MOI'!$C$40*('THAM_SO_MOI'!$C$23*(E3220/'THAM_SO_MOI'!$C$22)+'THAM_SO_MOI'!$C$24*(E3220/'THAM_SO_MOI'!$C$22)^2-'THAM_SO_MOI'!$C$25*(E3220/'THAM_SO_MOI'!$C$22)^3)</f>
        <v>112.54700382865946</v>
      </c>
      <c r="K3220" s="75">
        <f>'THAM_SO_MOI'!$C$31*J3220/E3220</f>
        <v>423.4131520866935</v>
      </c>
      <c r="L3220" s="75">
        <f>K3220*'THAM_SO_MOI'!$C$52*'THAM_SO_MOI'!$C$17/'THAM_SO_MOI'!$C$26</f>
        <v>5929.150446290093</v>
      </c>
      <c r="M3220" s="75">
        <f>'THAM_SO_MOI'!$C$15*'THAM_SO_MOI'!$C$16*F3220^2</f>
        <v>761.7466092270195</v>
      </c>
      <c r="N3220" s="75">
        <f>'THAM_SO_MOI'!$C$12*I3220</f>
        <v>1130.112</v>
      </c>
      <c r="O3220" s="75">
        <f>M3220+N3220</f>
        <v>1891.8586092270195</v>
      </c>
      <c r="P3220" s="75">
        <f>(MIN(L3220,'THAM_SO_MOI'!$C$41)-O3220)/('THAM_SO_MOI'!$C$11*H3220)</f>
        <v>0.4464543395707339</v>
      </c>
      <c r="Q3220" s="75">
        <f>IF(P3220&gt;0,1/P3220,NA())</f>
        <v>2.2398707132324005</v>
      </c>
      <c r="R3220" s="75">
        <f>F3220-F3219</f>
        <v>0.007943393307218827</v>
      </c>
      <c r="S3220" s="75">
        <f>0.5*(Q3219+Q3220)*R3220</f>
        <v>0.01778913347678653</v>
      </c>
      <c r="T3220" s="75">
        <f>0.5*(F3219*Q3219+F3220*Q3220)*R3220</f>
        <v>0.2870055157549793</v>
      </c>
      <c r="U3220" s="76">
        <f>U3219+S3220</f>
        <v>26.449862341752088</v>
      </c>
      <c r="V3220" s="76">
        <f>V3219+T3220</f>
        <v>250.64618807796535</v>
      </c>
    </row>
    <row r="3221" spans="1:22" ht="19" customHeight="1">
      <c r="A3221" s="68" t="s">
        <v>376</v>
      </c>
      <c r="B3221" s="74">
        <v>4</v>
      </c>
      <c r="C3221" s="68" t="s">
        <v>363</v>
      </c>
      <c r="D3221" s="68" t="s">
        <v>364</v>
      </c>
      <c r="E3221" s="75">
        <f>60*F3221*'THAM_SO_MOI'!$C$52/(2*PI()*'THAM_SO_MOI'!$C$26)</f>
        <v>2540.017040913763</v>
      </c>
      <c r="F3221" s="75">
        <f>'HANH_TRINH'!$F$2468+('THAM_SO_MOI'!$F$52-'HANH_TRINH'!$F$2468)*752/'THAM_SO_MOI'!$C$42</f>
        <v>16.145669106329006</v>
      </c>
      <c r="G3221" s="75">
        <f>3.6*F3221</f>
        <v>58.12440878278442</v>
      </c>
      <c r="H3221" s="75">
        <f>'THAM_SO_MOI'!$D$52</f>
        <v>1.1774754878398197</v>
      </c>
      <c r="I3221" s="75">
        <f>IF(F3221&gt;'THAM_SO_MOI'!$C$14,'THAM_SO_MOI'!$C$13*(1+F3221^2/1500),'THAM_SO_MOI'!$C$13)</f>
        <v>0.015</v>
      </c>
      <c r="J3221" s="75">
        <f>'THAM_SO_MOI'!$C$40*('THAM_SO_MOI'!$C$23*(E3221/'THAM_SO_MOI'!$C$22)+'THAM_SO_MOI'!$C$24*(E3221/'THAM_SO_MOI'!$C$22)^2-'THAM_SO_MOI'!$C$25*(E3221/'THAM_SO_MOI'!$C$22)^3)</f>
        <v>112.59038524165148</v>
      </c>
      <c r="K3221" s="75">
        <f>'THAM_SO_MOI'!$C$31*J3221/E3221</f>
        <v>423.3679649972607</v>
      </c>
      <c r="L3221" s="75">
        <f>K3221*'THAM_SO_MOI'!$C$52*'THAM_SO_MOI'!$C$17/'THAM_SO_MOI'!$C$26</f>
        <v>5928.517681223262</v>
      </c>
      <c r="M3221" s="75">
        <f>'THAM_SO_MOI'!$C$15*'THAM_SO_MOI'!$C$16*F3221^2</f>
        <v>762.4966953563707</v>
      </c>
      <c r="N3221" s="75">
        <f>'THAM_SO_MOI'!$C$12*I3221</f>
        <v>1130.112</v>
      </c>
      <c r="O3221" s="75">
        <f>M3221+N3221</f>
        <v>1892.6086953563708</v>
      </c>
      <c r="P3221" s="75">
        <f>(MIN(L3221,'THAM_SO_MOI'!$C$41)-O3221)/('THAM_SO_MOI'!$C$11*H3221)</f>
        <v>0.446301420251935</v>
      </c>
      <c r="Q3221" s="75">
        <f>IF(P3221&gt;0,1/P3221,NA())</f>
        <v>2.2406381755081686</v>
      </c>
      <c r="R3221" s="75">
        <f>F3221-F3220</f>
        <v>0.007943393307218827</v>
      </c>
      <c r="S3221" s="75">
        <f>0.5*(Q3220+Q3221)*R3221</f>
        <v>0.017795222159878152</v>
      </c>
      <c r="T3221" s="75">
        <f>0.5*(F3220*Q3220+F3221*Q3221)*R3221</f>
        <v>0.2872451035489405</v>
      </c>
      <c r="U3221" s="76">
        <f>U3220+S3221</f>
        <v>26.467657563911967</v>
      </c>
      <c r="V3221" s="76">
        <f>V3220+T3221</f>
        <v>250.9334331815143</v>
      </c>
    </row>
    <row r="3222" spans="1:22" ht="19" customHeight="1">
      <c r="A3222" s="68" t="s">
        <v>376</v>
      </c>
      <c r="B3222" s="74">
        <v>4</v>
      </c>
      <c r="C3222" s="68" t="s">
        <v>363</v>
      </c>
      <c r="D3222" s="68" t="s">
        <v>364</v>
      </c>
      <c r="E3222" s="75">
        <f>60*F3222*'THAM_SO_MOI'!$C$52/(2*PI()*'THAM_SO_MOI'!$C$26)</f>
        <v>2541.2666858947264</v>
      </c>
      <c r="F3222" s="75">
        <f>'HANH_TRINH'!$F$2468+('THAM_SO_MOI'!$F$52-'HANH_TRINH'!$F$2468)*753/'THAM_SO_MOI'!$C$42</f>
        <v>16.153612499636225</v>
      </c>
      <c r="G3222" s="75">
        <f>3.6*F3222</f>
        <v>58.15300499869041</v>
      </c>
      <c r="H3222" s="75">
        <f>'THAM_SO_MOI'!$D$52</f>
        <v>1.1774754878398197</v>
      </c>
      <c r="I3222" s="75">
        <f>IF(F3222&gt;'THAM_SO_MOI'!$C$14,'THAM_SO_MOI'!$C$13*(1+F3222^2/1500),'THAM_SO_MOI'!$C$13)</f>
        <v>0.015</v>
      </c>
      <c r="J3222" s="75">
        <f>'THAM_SO_MOI'!$C$40*('THAM_SO_MOI'!$C$23*(E3222/'THAM_SO_MOI'!$C$22)+'THAM_SO_MOI'!$C$24*(E3222/'THAM_SO_MOI'!$C$22)^2-'THAM_SO_MOI'!$C$25*(E3222/'THAM_SO_MOI'!$C$22)^3)</f>
        <v>112.63371452065537</v>
      </c>
      <c r="K3222" s="75">
        <f>'THAM_SO_MOI'!$C$31*J3222/E3222</f>
        <v>423.3226264081004</v>
      </c>
      <c r="L3222" s="75">
        <f>K3222*'THAM_SO_MOI'!$C$52*'THAM_SO_MOI'!$C$17/'THAM_SO_MOI'!$C$26</f>
        <v>5927.88279467137</v>
      </c>
      <c r="M3222" s="75">
        <f>'THAM_SO_MOI'!$C$15*'THAM_SO_MOI'!$C$16*F3222^2</f>
        <v>763.2471506060808</v>
      </c>
      <c r="N3222" s="75">
        <f>'THAM_SO_MOI'!$C$12*I3222</f>
        <v>1130.112</v>
      </c>
      <c r="O3222" s="75">
        <f>M3222+N3222</f>
        <v>1893.359150606081</v>
      </c>
      <c r="P3222" s="75">
        <f>(MIN(L3222,'THAM_SO_MOI'!$C$41)-O3222)/('THAM_SO_MOI'!$C$11*H3222)</f>
        <v>0.4461482255154445</v>
      </c>
      <c r="Q3222" s="75">
        <f>IF(P3222&gt;0,1/P3222,NA())</f>
        <v>2.241407547558166</v>
      </c>
      <c r="R3222" s="75">
        <f>F3222-F3221</f>
        <v>0.007943393307218827</v>
      </c>
      <c r="S3222" s="75">
        <f>0.5*(Q3221+Q3222)*R3222</f>
        <v>0.017801325999626947</v>
      </c>
      <c r="T3222" s="75">
        <f>0.5*(F3221*Q3221+F3222*Q3222)*R3222</f>
        <v>0.2874850328471333</v>
      </c>
      <c r="U3222" s="76">
        <f>U3221+S3222</f>
        <v>26.485458889911595</v>
      </c>
      <c r="V3222" s="76">
        <f>V3221+T3222</f>
        <v>251.22091821436143</v>
      </c>
    </row>
    <row r="3223" spans="1:22" ht="19" customHeight="1">
      <c r="A3223" s="68" t="s">
        <v>376</v>
      </c>
      <c r="B3223" s="74">
        <v>4</v>
      </c>
      <c r="C3223" s="68" t="s">
        <v>363</v>
      </c>
      <c r="D3223" s="68" t="s">
        <v>364</v>
      </c>
      <c r="E3223" s="75">
        <f>60*F3223*'THAM_SO_MOI'!$C$52/(2*PI()*'THAM_SO_MOI'!$C$26)</f>
        <v>2542.5163308756896</v>
      </c>
      <c r="F3223" s="75">
        <f>'HANH_TRINH'!$F$2468+('THAM_SO_MOI'!$F$52-'HANH_TRINH'!$F$2468)*754/'THAM_SO_MOI'!$C$42</f>
        <v>16.161555892943447</v>
      </c>
      <c r="G3223" s="75">
        <f>3.6*F3223</f>
        <v>58.18160121459641</v>
      </c>
      <c r="H3223" s="75">
        <f>'THAM_SO_MOI'!$D$52</f>
        <v>1.1774754878398197</v>
      </c>
      <c r="I3223" s="75">
        <f>IF(F3223&gt;'THAM_SO_MOI'!$C$14,'THAM_SO_MOI'!$C$13*(1+F3223^2/1500),'THAM_SO_MOI'!$C$13)</f>
        <v>0.015</v>
      </c>
      <c r="J3223" s="75">
        <f>'THAM_SO_MOI'!$C$40*('THAM_SO_MOI'!$C$23*(E3223/'THAM_SO_MOI'!$C$22)+'THAM_SO_MOI'!$C$24*(E3223/'THAM_SO_MOI'!$C$22)^2-'THAM_SO_MOI'!$C$25*(E3223/'THAM_SO_MOI'!$C$22)^3)</f>
        <v>112.67699160620545</v>
      </c>
      <c r="K3223" s="75">
        <f>'THAM_SO_MOI'!$C$31*J3223/E3223</f>
        <v>423.2771363192126</v>
      </c>
      <c r="L3223" s="75">
        <f>K3223*'THAM_SO_MOI'!$C$52*'THAM_SO_MOI'!$C$17/'THAM_SO_MOI'!$C$26</f>
        <v>5927.245786634418</v>
      </c>
      <c r="M3223" s="75">
        <f>'THAM_SO_MOI'!$C$15*'THAM_SO_MOI'!$C$16*F3223^2</f>
        <v>763.9979749761501</v>
      </c>
      <c r="N3223" s="75">
        <f>'THAM_SO_MOI'!$C$12*I3223</f>
        <v>1130.112</v>
      </c>
      <c r="O3223" s="75">
        <f>M3223+N3223</f>
        <v>1894.1099749761502</v>
      </c>
      <c r="P3223" s="75">
        <f>(MIN(L3223,'THAM_SO_MOI'!$C$41)-O3223)/('THAM_SO_MOI'!$C$11*H3223)</f>
        <v>0.44599475536126254</v>
      </c>
      <c r="Q3223" s="75">
        <f>IF(P3223&gt;0,1/P3223,NA())</f>
        <v>2.2421788327757013</v>
      </c>
      <c r="R3223" s="75">
        <f>F3223-F3222</f>
        <v>0.00794339330722238</v>
      </c>
      <c r="S3223" s="75">
        <f>0.5*(Q3222+Q3223)*R3223</f>
        <v>0.017807445022948728</v>
      </c>
      <c r="T3223" s="75">
        <f>0.5*(F3222*Q3222+F3223*Q3223)*R3223</f>
        <v>0.2877253044456382</v>
      </c>
      <c r="U3223" s="76">
        <f>U3222+S3223</f>
        <v>26.503266334934544</v>
      </c>
      <c r="V3223" s="76">
        <f>V3222+T3223</f>
        <v>251.50864351880708</v>
      </c>
    </row>
    <row r="3224" spans="1:22" ht="19" customHeight="1">
      <c r="A3224" s="68" t="s">
        <v>376</v>
      </c>
      <c r="B3224" s="74">
        <v>4</v>
      </c>
      <c r="C3224" s="68" t="s">
        <v>363</v>
      </c>
      <c r="D3224" s="68" t="s">
        <v>364</v>
      </c>
      <c r="E3224" s="75">
        <f>60*F3224*'THAM_SO_MOI'!$C$52/(2*PI()*'THAM_SO_MOI'!$C$26)</f>
        <v>2543.765975856653</v>
      </c>
      <c r="F3224" s="75">
        <f>'HANH_TRINH'!$F$2468+('THAM_SO_MOI'!$F$52-'HANH_TRINH'!$F$2468)*755/'THAM_SO_MOI'!$C$42</f>
        <v>16.169499286250666</v>
      </c>
      <c r="G3224" s="75">
        <f>3.6*F3224</f>
        <v>58.2101974305024</v>
      </c>
      <c r="H3224" s="75">
        <f>'THAM_SO_MOI'!$D$52</f>
        <v>1.1774754878398197</v>
      </c>
      <c r="I3224" s="75">
        <f>IF(F3224&gt;'THAM_SO_MOI'!$C$14,'THAM_SO_MOI'!$C$13*(1+F3224^2/1500),'THAM_SO_MOI'!$C$13)</f>
        <v>0.015</v>
      </c>
      <c r="J3224" s="75">
        <f>'THAM_SO_MOI'!$C$40*('THAM_SO_MOI'!$C$23*(E3224/'THAM_SO_MOI'!$C$22)+'THAM_SO_MOI'!$C$24*(E3224/'THAM_SO_MOI'!$C$22)^2-'THAM_SO_MOI'!$C$25*(E3224/'THAM_SO_MOI'!$C$22)^3)</f>
        <v>112.72021643883605</v>
      </c>
      <c r="K3224" s="75">
        <f>'THAM_SO_MOI'!$C$31*J3224/E3224</f>
        <v>423.23149473059743</v>
      </c>
      <c r="L3224" s="75">
        <f>K3224*'THAM_SO_MOI'!$C$52*'THAM_SO_MOI'!$C$17/'THAM_SO_MOI'!$C$26</f>
        <v>5926.606657112406</v>
      </c>
      <c r="M3224" s="75">
        <f>'THAM_SO_MOI'!$C$15*'THAM_SO_MOI'!$C$16*F3224^2</f>
        <v>764.7491684665779</v>
      </c>
      <c r="N3224" s="75">
        <f>'THAM_SO_MOI'!$C$12*I3224</f>
        <v>1130.112</v>
      </c>
      <c r="O3224" s="75">
        <f>M3224+N3224</f>
        <v>1894.861168466578</v>
      </c>
      <c r="P3224" s="75">
        <f>(MIN(L3224,'THAM_SO_MOI'!$C$41)-O3224)/('THAM_SO_MOI'!$C$11*H3224)</f>
        <v>0.44584100978938923</v>
      </c>
      <c r="Q3224" s="75">
        <f>IF(P3224&gt;0,1/P3224,NA())</f>
        <v>2.242952034565842</v>
      </c>
      <c r="R3224" s="75">
        <f>F3224-F3223</f>
        <v>0.007943393307218827</v>
      </c>
      <c r="S3224" s="75">
        <f>0.5*(Q3223+Q3224)*R3224</f>
        <v>0.017813579256820693</v>
      </c>
      <c r="T3224" s="75">
        <f>0.5*(F3223*Q3223+F3224*Q3224)*R3224</f>
        <v>0.28796591914238323</v>
      </c>
      <c r="U3224" s="76">
        <f>U3223+S3224</f>
        <v>26.521079914191365</v>
      </c>
      <c r="V3224" s="76">
        <f>V3223+T3224</f>
        <v>251.79660943794946</v>
      </c>
    </row>
    <row r="3225" spans="1:22" ht="19" customHeight="1">
      <c r="A3225" s="68" t="s">
        <v>376</v>
      </c>
      <c r="B3225" s="74">
        <v>4</v>
      </c>
      <c r="C3225" s="68" t="s">
        <v>363</v>
      </c>
      <c r="D3225" s="68" t="s">
        <v>364</v>
      </c>
      <c r="E3225" s="75">
        <f>60*F3225*'THAM_SO_MOI'!$C$52/(2*PI()*'THAM_SO_MOI'!$C$26)</f>
        <v>2545.015620837616</v>
      </c>
      <c r="F3225" s="75">
        <f>'HANH_TRINH'!$F$2468+('THAM_SO_MOI'!$F$52-'HANH_TRINH'!$F$2468)*756/'THAM_SO_MOI'!$C$42</f>
        <v>16.177442679557885</v>
      </c>
      <c r="G3225" s="75">
        <f>3.6*F3225</f>
        <v>58.23879364640839</v>
      </c>
      <c r="H3225" s="75">
        <f>'THAM_SO_MOI'!$D$52</f>
        <v>1.1774754878398197</v>
      </c>
      <c r="I3225" s="75">
        <f>IF(F3225&gt;'THAM_SO_MOI'!$C$14,'THAM_SO_MOI'!$C$13*(1+F3225^2/1500),'THAM_SO_MOI'!$C$13)</f>
        <v>0.015</v>
      </c>
      <c r="J3225" s="75">
        <f>'THAM_SO_MOI'!$C$40*('THAM_SO_MOI'!$C$23*(E3225/'THAM_SO_MOI'!$C$22)+'THAM_SO_MOI'!$C$24*(E3225/'THAM_SO_MOI'!$C$22)^2-'THAM_SO_MOI'!$C$25*(E3225/'THAM_SO_MOI'!$C$22)^3)</f>
        <v>112.76338895908144</v>
      </c>
      <c r="K3225" s="75">
        <f>'THAM_SO_MOI'!$C$31*J3225/E3225</f>
        <v>423.18570164225474</v>
      </c>
      <c r="L3225" s="75">
        <f>K3225*'THAM_SO_MOI'!$C$52*'THAM_SO_MOI'!$C$17/'THAM_SO_MOI'!$C$26</f>
        <v>5925.965406105332</v>
      </c>
      <c r="M3225" s="75">
        <f>'THAM_SO_MOI'!$C$15*'THAM_SO_MOI'!$C$16*F3225^2</f>
        <v>765.5007310773645</v>
      </c>
      <c r="N3225" s="75">
        <f>'THAM_SO_MOI'!$C$12*I3225</f>
        <v>1130.112</v>
      </c>
      <c r="O3225" s="75">
        <f>M3225+N3225</f>
        <v>1895.6127310773645</v>
      </c>
      <c r="P3225" s="75">
        <f>(MIN(L3225,'THAM_SO_MOI'!$C$41)-O3225)/('THAM_SO_MOI'!$C$11*H3225)</f>
        <v>0.4456869887998242</v>
      </c>
      <c r="Q3225" s="75">
        <f>IF(P3225&gt;0,1/P3225,NA())</f>
        <v>2.243727156345459</v>
      </c>
      <c r="R3225" s="75">
        <f>F3225-F3224</f>
        <v>0.007943393307218827</v>
      </c>
      <c r="S3225" s="75">
        <f>0.5*(Q3224+Q3225)*R3225</f>
        <v>0.017819728728361406</v>
      </c>
      <c r="T3225" s="75">
        <f>0.5*(F3224*Q3224+F3225*Q3225)*R3225</f>
        <v>0.28820687773844</v>
      </c>
      <c r="U3225" s="76">
        <f>U3224+S3225</f>
        <v>26.538899642919727</v>
      </c>
      <c r="V3225" s="76">
        <f>V3224+T3225</f>
        <v>252.0848163156879</v>
      </c>
    </row>
    <row r="3226" spans="1:22" ht="19" customHeight="1">
      <c r="A3226" s="68" t="s">
        <v>376</v>
      </c>
      <c r="B3226" s="74">
        <v>4</v>
      </c>
      <c r="C3226" s="68" t="s">
        <v>363</v>
      </c>
      <c r="D3226" s="68" t="s">
        <v>364</v>
      </c>
      <c r="E3226" s="75">
        <f>60*F3226*'THAM_SO_MOI'!$C$52/(2*PI()*'THAM_SO_MOI'!$C$26)</f>
        <v>2546.2652658185793</v>
      </c>
      <c r="F3226" s="75">
        <f>'HANH_TRINH'!$F$2468+('THAM_SO_MOI'!$F$52-'HANH_TRINH'!$F$2468)*757/'THAM_SO_MOI'!$C$42</f>
        <v>16.185386072865104</v>
      </c>
      <c r="G3226" s="75">
        <f>3.6*F3226</f>
        <v>58.267389862314374</v>
      </c>
      <c r="H3226" s="75">
        <f>'THAM_SO_MOI'!$D$52</f>
        <v>1.1774754878398197</v>
      </c>
      <c r="I3226" s="75">
        <f>IF(F3226&gt;'THAM_SO_MOI'!$C$14,'THAM_SO_MOI'!$C$13*(1+F3226^2/1500),'THAM_SO_MOI'!$C$13)</f>
        <v>0.015</v>
      </c>
      <c r="J3226" s="75">
        <f>'THAM_SO_MOI'!$C$40*('THAM_SO_MOI'!$C$23*(E3226/'THAM_SO_MOI'!$C$22)+'THAM_SO_MOI'!$C$24*(E3226/'THAM_SO_MOI'!$C$22)^2-'THAM_SO_MOI'!$C$25*(E3226/'THAM_SO_MOI'!$C$22)^3)</f>
        <v>112.80650910747597</v>
      </c>
      <c r="K3226" s="75">
        <f>'THAM_SO_MOI'!$C$31*J3226/E3226</f>
        <v>423.1397570541847</v>
      </c>
      <c r="L3226" s="75">
        <f>K3226*'THAM_SO_MOI'!$C$52*'THAM_SO_MOI'!$C$17/'THAM_SO_MOI'!$C$26</f>
        <v>5925.322033613197</v>
      </c>
      <c r="M3226" s="75">
        <f>'THAM_SO_MOI'!$C$15*'THAM_SO_MOI'!$C$16*F3226^2</f>
        <v>766.25266280851</v>
      </c>
      <c r="N3226" s="75">
        <f>'THAM_SO_MOI'!$C$12*I3226</f>
        <v>1130.112</v>
      </c>
      <c r="O3226" s="75">
        <f>M3226+N3226</f>
        <v>1896.36466280851</v>
      </c>
      <c r="P3226" s="75">
        <f>(MIN(L3226,'THAM_SO_MOI'!$C$41)-O3226)/('THAM_SO_MOI'!$C$11*H3226)</f>
        <v>0.44553269239256776</v>
      </c>
      <c r="Q3226" s="75">
        <f>IF(P3226&gt;0,1/P3226,NA())</f>
        <v>2.2445042015432617</v>
      </c>
      <c r="R3226" s="75">
        <f>F3226-F3225</f>
        <v>0.007943393307218827</v>
      </c>
      <c r="S3226" s="75">
        <f>0.5*(Q3225+Q3226)*R3226</f>
        <v>0.017825893464751465</v>
      </c>
      <c r="T3226" s="75">
        <f>0.5*(F3225*Q3225+F3226*Q3226)*R3226</f>
        <v>0.2884481810367457</v>
      </c>
      <c r="U3226" s="76">
        <f>U3225+S3226</f>
        <v>26.55672553638448</v>
      </c>
      <c r="V3226" s="76">
        <f>V3225+T3226</f>
        <v>252.37326449672466</v>
      </c>
    </row>
    <row r="3227" spans="1:22" ht="19" customHeight="1">
      <c r="A3227" s="68" t="s">
        <v>376</v>
      </c>
      <c r="B3227" s="74">
        <v>4</v>
      </c>
      <c r="C3227" s="68" t="s">
        <v>363</v>
      </c>
      <c r="D3227" s="68" t="s">
        <v>364</v>
      </c>
      <c r="E3227" s="75">
        <f>60*F3227*'THAM_SO_MOI'!$C$52/(2*PI()*'THAM_SO_MOI'!$C$26)</f>
        <v>2547.5149107995426</v>
      </c>
      <c r="F3227" s="75">
        <f>'HANH_TRINH'!$F$2468+('THAM_SO_MOI'!$F$52-'HANH_TRINH'!$F$2468)*758/'THAM_SO_MOI'!$C$42</f>
        <v>16.193329466172322</v>
      </c>
      <c r="G3227" s="75">
        <f>3.6*F3227</f>
        <v>58.29598607822036</v>
      </c>
      <c r="H3227" s="75">
        <f>'THAM_SO_MOI'!$D$52</f>
        <v>1.1774754878398197</v>
      </c>
      <c r="I3227" s="75">
        <f>IF(F3227&gt;'THAM_SO_MOI'!$C$14,'THAM_SO_MOI'!$C$13*(1+F3227^2/1500),'THAM_SO_MOI'!$C$13)</f>
        <v>0.015</v>
      </c>
      <c r="J3227" s="75">
        <f>'THAM_SO_MOI'!$C$40*('THAM_SO_MOI'!$C$23*(E3227/'THAM_SO_MOI'!$C$22)+'THAM_SO_MOI'!$C$24*(E3227/'THAM_SO_MOI'!$C$22)^2-'THAM_SO_MOI'!$C$25*(E3227/'THAM_SO_MOI'!$C$22)^3)</f>
        <v>112.84957682455392</v>
      </c>
      <c r="K3227" s="75">
        <f>'THAM_SO_MOI'!$C$31*J3227/E3227</f>
        <v>423.09366096638706</v>
      </c>
      <c r="L3227" s="75">
        <f>K3227*'THAM_SO_MOI'!$C$52*'THAM_SO_MOI'!$C$17/'THAM_SO_MOI'!$C$26</f>
        <v>5924.6765396360015</v>
      </c>
      <c r="M3227" s="75">
        <f>'THAM_SO_MOI'!$C$15*'THAM_SO_MOI'!$C$16*F3227^2</f>
        <v>767.004963660014</v>
      </c>
      <c r="N3227" s="75">
        <f>'THAM_SO_MOI'!$C$12*I3227</f>
        <v>1130.112</v>
      </c>
      <c r="O3227" s="75">
        <f>M3227+N3227</f>
        <v>1897.116963660014</v>
      </c>
      <c r="P3227" s="75">
        <f>(MIN(L3227,'THAM_SO_MOI'!$C$41)-O3227)/('THAM_SO_MOI'!$C$11*H3227)</f>
        <v>0.4453781205676197</v>
      </c>
      <c r="Q3227" s="75">
        <f>IF(P3227&gt;0,1/P3227,NA())</f>
        <v>2.2452831735998457</v>
      </c>
      <c r="R3227" s="75">
        <f>F3227-F3226</f>
        <v>0.007943393307218827</v>
      </c>
      <c r="S3227" s="75">
        <f>0.5*(Q3226+Q3227)*R3227</f>
        <v>0.017832073493273672</v>
      </c>
      <c r="T3227" s="75">
        <f>0.5*(F3226*Q3226+F3227*Q3227)*R3227</f>
        <v>0.2886898298427556</v>
      </c>
      <c r="U3227" s="76">
        <f>U3226+S3227</f>
        <v>26.574557609877754</v>
      </c>
      <c r="V3227" s="76">
        <f>V3226+T3227</f>
        <v>252.6619543265674</v>
      </c>
    </row>
    <row r="3228" spans="1:22" ht="19" customHeight="1">
      <c r="A3228" s="68" t="s">
        <v>376</v>
      </c>
      <c r="B3228" s="74">
        <v>4</v>
      </c>
      <c r="C3228" s="68" t="s">
        <v>363</v>
      </c>
      <c r="D3228" s="68" t="s">
        <v>364</v>
      </c>
      <c r="E3228" s="75">
        <f>60*F3228*'THAM_SO_MOI'!$C$52/(2*PI()*'THAM_SO_MOI'!$C$26)</f>
        <v>2548.764555780506</v>
      </c>
      <c r="F3228" s="75">
        <f>'HANH_TRINH'!$F$2468+('THAM_SO_MOI'!$F$52-'HANH_TRINH'!$F$2468)*759/'THAM_SO_MOI'!$C$42</f>
        <v>16.20127285947954</v>
      </c>
      <c r="G3228" s="75">
        <f>3.6*F3228</f>
        <v>58.32458229412635</v>
      </c>
      <c r="H3228" s="75">
        <f>'THAM_SO_MOI'!$D$52</f>
        <v>1.1774754878398197</v>
      </c>
      <c r="I3228" s="75">
        <f>IF(F3228&gt;'THAM_SO_MOI'!$C$14,'THAM_SO_MOI'!$C$13*(1+F3228^2/1500),'THAM_SO_MOI'!$C$13)</f>
        <v>0.015</v>
      </c>
      <c r="J3228" s="75">
        <f>'THAM_SO_MOI'!$C$40*('THAM_SO_MOI'!$C$23*(E3228/'THAM_SO_MOI'!$C$22)+'THAM_SO_MOI'!$C$24*(E3228/'THAM_SO_MOI'!$C$22)^2-'THAM_SO_MOI'!$C$25*(E3228/'THAM_SO_MOI'!$C$22)^3)</f>
        <v>112.89259205084961</v>
      </c>
      <c r="K3228" s="75">
        <f>'THAM_SO_MOI'!$C$31*J3228/E3228</f>
        <v>423.04741337886185</v>
      </c>
      <c r="L3228" s="75">
        <f>K3228*'THAM_SO_MOI'!$C$52*'THAM_SO_MOI'!$C$17/'THAM_SO_MOI'!$C$26</f>
        <v>5924.028924173743</v>
      </c>
      <c r="M3228" s="75">
        <f>'THAM_SO_MOI'!$C$15*'THAM_SO_MOI'!$C$16*F3228^2</f>
        <v>767.7576336318771</v>
      </c>
      <c r="N3228" s="75">
        <f>'THAM_SO_MOI'!$C$12*I3228</f>
        <v>1130.112</v>
      </c>
      <c r="O3228" s="75">
        <f>M3228+N3228</f>
        <v>1897.8696336318772</v>
      </c>
      <c r="P3228" s="75">
        <f>(MIN(L3228,'THAM_SO_MOI'!$C$41)-O3228)/('THAM_SO_MOI'!$C$11*H3228)</f>
        <v>0.4452232733249799</v>
      </c>
      <c r="Q3228" s="75">
        <f>IF(P3228&gt;0,1/P3228,NA())</f>
        <v>2.246064075967732</v>
      </c>
      <c r="R3228" s="75">
        <f>F3228-F3227</f>
        <v>0.007943393307218827</v>
      </c>
      <c r="S3228" s="75">
        <f>0.5*(Q3227+Q3228)*R3228</f>
        <v>0.017838268841305394</v>
      </c>
      <c r="T3228" s="75">
        <f>0.5*(F3227*Q3227+F3228*Q3228)*R3228</f>
        <v>0.2889318249643237</v>
      </c>
      <c r="U3228" s="76">
        <f>U3227+S3228</f>
        <v>26.59239587871906</v>
      </c>
      <c r="V3228" s="76">
        <f>V3227+T3228</f>
        <v>252.95088615153173</v>
      </c>
    </row>
    <row r="3229" spans="1:22" ht="19" customHeight="1">
      <c r="A3229" s="68" t="s">
        <v>376</v>
      </c>
      <c r="B3229" s="74">
        <v>4</v>
      </c>
      <c r="C3229" s="68" t="s">
        <v>363</v>
      </c>
      <c r="D3229" s="68" t="s">
        <v>364</v>
      </c>
      <c r="E3229" s="75">
        <f>60*F3229*'THAM_SO_MOI'!$C$52/(2*PI()*'THAM_SO_MOI'!$C$26)</f>
        <v>2550.014200761469</v>
      </c>
      <c r="F3229" s="75">
        <f>'HANH_TRINH'!$F$2468+('THAM_SO_MOI'!$F$52-'HANH_TRINH'!$F$2468)*760/'THAM_SO_MOI'!$C$42</f>
        <v>16.20921625278676</v>
      </c>
      <c r="G3229" s="75">
        <f>3.6*F3229</f>
        <v>58.353178510032336</v>
      </c>
      <c r="H3229" s="75">
        <f>'THAM_SO_MOI'!$D$52</f>
        <v>1.1774754878398197</v>
      </c>
      <c r="I3229" s="75">
        <f>IF(F3229&gt;'THAM_SO_MOI'!$C$14,'THAM_SO_MOI'!$C$13*(1+F3229^2/1500),'THAM_SO_MOI'!$C$13)</f>
        <v>0.015</v>
      </c>
      <c r="J3229" s="75">
        <f>'THAM_SO_MOI'!$C$40*('THAM_SO_MOI'!$C$23*(E3229/'THAM_SO_MOI'!$C$22)+'THAM_SO_MOI'!$C$24*(E3229/'THAM_SO_MOI'!$C$22)^2-'THAM_SO_MOI'!$C$25*(E3229/'THAM_SO_MOI'!$C$22)^3)</f>
        <v>112.9355547268974</v>
      </c>
      <c r="K3229" s="75">
        <f>'THAM_SO_MOI'!$C$31*J3229/E3229</f>
        <v>423.00101429160935</v>
      </c>
      <c r="L3229" s="75">
        <f>K3229*'THAM_SO_MOI'!$C$52*'THAM_SO_MOI'!$C$17/'THAM_SO_MOI'!$C$26</f>
        <v>5923.3791872264255</v>
      </c>
      <c r="M3229" s="75">
        <f>'THAM_SO_MOI'!$C$15*'THAM_SO_MOI'!$C$16*F3229^2</f>
        <v>768.510672724099</v>
      </c>
      <c r="N3229" s="75">
        <f>'THAM_SO_MOI'!$C$12*I3229</f>
        <v>1130.112</v>
      </c>
      <c r="O3229" s="75">
        <f>M3229+N3229</f>
        <v>1898.6226727240992</v>
      </c>
      <c r="P3229" s="75">
        <f>(MIN(L3229,'THAM_SO_MOI'!$C$41)-O3229)/('THAM_SO_MOI'!$C$11*H3229)</f>
        <v>0.44506815066464883</v>
      </c>
      <c r="Q3229" s="75">
        <f>IF(P3229&gt;0,1/P3229,NA())</f>
        <v>2.2468469121114056</v>
      </c>
      <c r="R3229" s="75">
        <f>F3229-F3228</f>
        <v>0.007943393307218827</v>
      </c>
      <c r="S3229" s="75">
        <f>0.5*(Q3228+Q3229)*R3229</f>
        <v>0.017844479536318875</v>
      </c>
      <c r="T3229" s="75">
        <f>0.5*(F3228*Q3228+F3229*Q3229)*R3229</f>
        <v>0.2891741672117112</v>
      </c>
      <c r="U3229" s="76">
        <f>U3228+S3229</f>
        <v>26.61024035825538</v>
      </c>
      <c r="V3229" s="76">
        <f>V3228+T3229</f>
        <v>253.24006031874345</v>
      </c>
    </row>
    <row r="3230" spans="1:22" ht="19" customHeight="1">
      <c r="A3230" s="68" t="s">
        <v>376</v>
      </c>
      <c r="B3230" s="74">
        <v>4</v>
      </c>
      <c r="C3230" s="68" t="s">
        <v>363</v>
      </c>
      <c r="D3230" s="68" t="s">
        <v>364</v>
      </c>
      <c r="E3230" s="75">
        <f>60*F3230*'THAM_SO_MOI'!$C$52/(2*PI()*'THAM_SO_MOI'!$C$26)</f>
        <v>2551.2638457424327</v>
      </c>
      <c r="F3230" s="75">
        <f>'HANH_TRINH'!$F$2468+('THAM_SO_MOI'!$F$52-'HANH_TRINH'!$F$2468)*761/'THAM_SO_MOI'!$C$42</f>
        <v>16.217159646093982</v>
      </c>
      <c r="G3230" s="75">
        <f>3.6*F3230</f>
        <v>58.381774725938335</v>
      </c>
      <c r="H3230" s="75">
        <f>'THAM_SO_MOI'!$D$52</f>
        <v>1.1774754878398197</v>
      </c>
      <c r="I3230" s="75">
        <f>IF(F3230&gt;'THAM_SO_MOI'!$C$14,'THAM_SO_MOI'!$C$13*(1+F3230^2/1500),'THAM_SO_MOI'!$C$13)</f>
        <v>0.015</v>
      </c>
      <c r="J3230" s="75">
        <f>'THAM_SO_MOI'!$C$40*('THAM_SO_MOI'!$C$23*(E3230/'THAM_SO_MOI'!$C$22)+'THAM_SO_MOI'!$C$24*(E3230/'THAM_SO_MOI'!$C$22)^2-'THAM_SO_MOI'!$C$25*(E3230/'THAM_SO_MOI'!$C$22)^3)</f>
        <v>112.97846479323154</v>
      </c>
      <c r="K3230" s="75">
        <f>'THAM_SO_MOI'!$C$31*J3230/E3230</f>
        <v>422.95446370462923</v>
      </c>
      <c r="L3230" s="75">
        <f>K3230*'THAM_SO_MOI'!$C$52*'THAM_SO_MOI'!$C$17/'THAM_SO_MOI'!$C$26</f>
        <v>5922.727328794045</v>
      </c>
      <c r="M3230" s="75">
        <f>'THAM_SO_MOI'!$C$15*'THAM_SO_MOI'!$C$16*F3230^2</f>
        <v>769.2640809366799</v>
      </c>
      <c r="N3230" s="75">
        <f>'THAM_SO_MOI'!$C$12*I3230</f>
        <v>1130.112</v>
      </c>
      <c r="O3230" s="75">
        <f>M3230+N3230</f>
        <v>1899.37608093668</v>
      </c>
      <c r="P3230" s="75">
        <f>(MIN(L3230,'THAM_SO_MOI'!$C$41)-O3230)/('THAM_SO_MOI'!$C$11*H3230)</f>
        <v>0.44491275258662605</v>
      </c>
      <c r="Q3230" s="75">
        <f>IF(P3230&gt;0,1/P3230,NA())</f>
        <v>2.247631685507366</v>
      </c>
      <c r="R3230" s="75">
        <f>F3230-F3229</f>
        <v>0.00794339330722238</v>
      </c>
      <c r="S3230" s="75">
        <f>0.5*(Q3229+Q3230)*R3230</f>
        <v>0.017850705605889586</v>
      </c>
      <c r="T3230" s="75">
        <f>0.5*(F3229*Q3229+F3230*Q3230)*R3230</f>
        <v>0.28941685739772605</v>
      </c>
      <c r="U3230" s="76">
        <f>U3229+S3230</f>
        <v>26.62809106386127</v>
      </c>
      <c r="V3230" s="76">
        <f>V3229+T3230</f>
        <v>253.52947717614117</v>
      </c>
    </row>
    <row r="3231" spans="1:22" ht="19" customHeight="1">
      <c r="A3231" s="68" t="s">
        <v>376</v>
      </c>
      <c r="B3231" s="74">
        <v>4</v>
      </c>
      <c r="C3231" s="68" t="s">
        <v>363</v>
      </c>
      <c r="D3231" s="68" t="s">
        <v>364</v>
      </c>
      <c r="E3231" s="75">
        <f>60*F3231*'THAM_SO_MOI'!$C$52/(2*PI()*'THAM_SO_MOI'!$C$26)</f>
        <v>2552.513490723396</v>
      </c>
      <c r="F3231" s="75">
        <f>'HANH_TRINH'!$F$2468+('THAM_SO_MOI'!$F$52-'HANH_TRINH'!$F$2468)*762/'THAM_SO_MOI'!$C$42</f>
        <v>16.2251030394012</v>
      </c>
      <c r="G3231" s="75">
        <f>3.6*F3231</f>
        <v>58.41037094184433</v>
      </c>
      <c r="H3231" s="75">
        <f>'THAM_SO_MOI'!$D$52</f>
        <v>1.1774754878398197</v>
      </c>
      <c r="I3231" s="75">
        <f>IF(F3231&gt;'THAM_SO_MOI'!$C$14,'THAM_SO_MOI'!$C$13*(1+F3231^2/1500),'THAM_SO_MOI'!$C$13)</f>
        <v>0.015</v>
      </c>
      <c r="J3231" s="75">
        <f>'THAM_SO_MOI'!$C$40*('THAM_SO_MOI'!$C$23*(E3231/'THAM_SO_MOI'!$C$22)+'THAM_SO_MOI'!$C$24*(E3231/'THAM_SO_MOI'!$C$22)^2-'THAM_SO_MOI'!$C$25*(E3231/'THAM_SO_MOI'!$C$22)^3)</f>
        <v>113.02132219038639</v>
      </c>
      <c r="K3231" s="75">
        <f>'THAM_SO_MOI'!$C$31*J3231/E3231</f>
        <v>422.9077616179217</v>
      </c>
      <c r="L3231" s="75">
        <f>K3231*'THAM_SO_MOI'!$C$52*'THAM_SO_MOI'!$C$17/'THAM_SO_MOI'!$C$26</f>
        <v>5922.073348876606</v>
      </c>
      <c r="M3231" s="75">
        <f>'THAM_SO_MOI'!$C$15*'THAM_SO_MOI'!$C$16*F3231^2</f>
        <v>770.0178582696194</v>
      </c>
      <c r="N3231" s="75">
        <f>'THAM_SO_MOI'!$C$12*I3231</f>
        <v>1130.112</v>
      </c>
      <c r="O3231" s="75">
        <f>M3231+N3231</f>
        <v>1900.1298582696195</v>
      </c>
      <c r="P3231" s="75">
        <f>(MIN(L3231,'THAM_SO_MOI'!$C$41)-O3231)/('THAM_SO_MOI'!$C$11*H3231)</f>
        <v>0.4447570790909119</v>
      </c>
      <c r="Q3231" s="75">
        <f>IF(P3231&gt;0,1/P3231,NA())</f>
        <v>2.248418399644162</v>
      </c>
      <c r="R3231" s="75">
        <f>F3231-F3230</f>
        <v>0.007943393307218827</v>
      </c>
      <c r="S3231" s="75">
        <f>0.5*(Q3230+Q3231)*R3231</f>
        <v>0.017856947077656643</v>
      </c>
      <c r="T3231" s="75">
        <f>0.5*(F3230*Q3230+F3231*Q3231)*R3231</f>
        <v>0.2896598963370844</v>
      </c>
      <c r="U3231" s="76">
        <f>U3230+S3231</f>
        <v>26.645948010938927</v>
      </c>
      <c r="V3231" s="76">
        <f>V3230+T3231</f>
        <v>253.81913707247824</v>
      </c>
    </row>
    <row r="3232" spans="1:22" ht="19" customHeight="1">
      <c r="A3232" s="68" t="s">
        <v>376</v>
      </c>
      <c r="B3232" s="74">
        <v>4</v>
      </c>
      <c r="C3232" s="68" t="s">
        <v>363</v>
      </c>
      <c r="D3232" s="68" t="s">
        <v>364</v>
      </c>
      <c r="E3232" s="75">
        <f>60*F3232*'THAM_SO_MOI'!$C$52/(2*PI()*'THAM_SO_MOI'!$C$26)</f>
        <v>2553.763135704359</v>
      </c>
      <c r="F3232" s="75">
        <f>'HANH_TRINH'!$F$2468+('THAM_SO_MOI'!$F$52-'HANH_TRINH'!$F$2468)*763/'THAM_SO_MOI'!$C$42</f>
        <v>16.23304643270842</v>
      </c>
      <c r="G3232" s="75">
        <f>3.6*F3232</f>
        <v>58.43896715775031</v>
      </c>
      <c r="H3232" s="75">
        <f>'THAM_SO_MOI'!$D$52</f>
        <v>1.1774754878398197</v>
      </c>
      <c r="I3232" s="75">
        <f>IF(F3232&gt;'THAM_SO_MOI'!$C$14,'THAM_SO_MOI'!$C$13*(1+F3232^2/1500),'THAM_SO_MOI'!$C$13)</f>
        <v>0.015</v>
      </c>
      <c r="J3232" s="75">
        <f>'THAM_SO_MOI'!$C$40*('THAM_SO_MOI'!$C$23*(E3232/'THAM_SO_MOI'!$C$22)+'THAM_SO_MOI'!$C$24*(E3232/'THAM_SO_MOI'!$C$22)^2-'THAM_SO_MOI'!$C$25*(E3232/'THAM_SO_MOI'!$C$22)^3)</f>
        <v>113.0641268588962</v>
      </c>
      <c r="K3232" s="75">
        <f>'THAM_SO_MOI'!$C$31*J3232/E3232</f>
        <v>422.8609080314867</v>
      </c>
      <c r="L3232" s="75">
        <f>K3232*'THAM_SO_MOI'!$C$52*'THAM_SO_MOI'!$C$17/'THAM_SO_MOI'!$C$26</f>
        <v>5921.417247474104</v>
      </c>
      <c r="M3232" s="75">
        <f>'THAM_SO_MOI'!$C$15*'THAM_SO_MOI'!$C$16*F3232^2</f>
        <v>770.7720047229177</v>
      </c>
      <c r="N3232" s="75">
        <f>'THAM_SO_MOI'!$C$12*I3232</f>
        <v>1130.112</v>
      </c>
      <c r="O3232" s="75">
        <f>M3232+N3232</f>
        <v>1900.8840047229178</v>
      </c>
      <c r="P3232" s="75">
        <f>(MIN(L3232,'THAM_SO_MOI'!$C$41)-O3232)/('THAM_SO_MOI'!$C$11*H3232)</f>
        <v>0.4446011301775061</v>
      </c>
      <c r="Q3232" s="75">
        <f>IF(P3232&gt;0,1/P3232,NA())</f>
        <v>2.2492070580224395</v>
      </c>
      <c r="R3232" s="75">
        <f>F3232-F3231</f>
        <v>0.007943393307218827</v>
      </c>
      <c r="S3232" s="75">
        <f>0.5*(Q3231+Q3232)*R3232</f>
        <v>0.017863203979402945</v>
      </c>
      <c r="T3232" s="75">
        <f>0.5*(F3231*Q3231+F3232*Q3232)*R3232</f>
        <v>0.2899032848477146</v>
      </c>
      <c r="U3232" s="76">
        <f>U3231+S3232</f>
        <v>26.66381121491833</v>
      </c>
      <c r="V3232" s="76">
        <f>V3231+T3232</f>
        <v>254.10904035732597</v>
      </c>
    </row>
    <row r="3233" spans="1:22" ht="19" customHeight="1">
      <c r="A3233" s="68" t="s">
        <v>376</v>
      </c>
      <c r="B3233" s="74">
        <v>4</v>
      </c>
      <c r="C3233" s="68" t="s">
        <v>363</v>
      </c>
      <c r="D3233" s="68" t="s">
        <v>364</v>
      </c>
      <c r="E3233" s="75">
        <f>60*F3233*'THAM_SO_MOI'!$C$52/(2*PI()*'THAM_SO_MOI'!$C$26)</f>
        <v>2555.012780685322</v>
      </c>
      <c r="F3233" s="75">
        <f>'HANH_TRINH'!$F$2468+('THAM_SO_MOI'!$F$52-'HANH_TRINH'!$F$2468)*764/'THAM_SO_MOI'!$C$42</f>
        <v>16.24098982601564</v>
      </c>
      <c r="G3233" s="75">
        <f>3.6*F3233</f>
        <v>58.467563373656304</v>
      </c>
      <c r="H3233" s="75">
        <f>'THAM_SO_MOI'!$D$52</f>
        <v>1.1774754878398197</v>
      </c>
      <c r="I3233" s="75">
        <f>IF(F3233&gt;'THAM_SO_MOI'!$C$14,'THAM_SO_MOI'!$C$13*(1+F3233^2/1500),'THAM_SO_MOI'!$C$13)</f>
        <v>0.015</v>
      </c>
      <c r="J3233" s="75">
        <f>'THAM_SO_MOI'!$C$40*('THAM_SO_MOI'!$C$23*(E3233/'THAM_SO_MOI'!$C$22)+'THAM_SO_MOI'!$C$24*(E3233/'THAM_SO_MOI'!$C$22)^2-'THAM_SO_MOI'!$C$25*(E3233/'THAM_SO_MOI'!$C$22)^3)</f>
        <v>113.10687873929537</v>
      </c>
      <c r="K3233" s="75">
        <f>'THAM_SO_MOI'!$C$31*J3233/E3233</f>
        <v>422.81390294532423</v>
      </c>
      <c r="L3233" s="75">
        <f>K3233*'THAM_SO_MOI'!$C$52*'THAM_SO_MOI'!$C$17/'THAM_SO_MOI'!$C$26</f>
        <v>5920.759024586543</v>
      </c>
      <c r="M3233" s="75">
        <f>'THAM_SO_MOI'!$C$15*'THAM_SO_MOI'!$C$16*F3233^2</f>
        <v>771.5265202965747</v>
      </c>
      <c r="N3233" s="75">
        <f>'THAM_SO_MOI'!$C$12*I3233</f>
        <v>1130.112</v>
      </c>
      <c r="O3233" s="75">
        <f>M3233+N3233</f>
        <v>1901.6385202965748</v>
      </c>
      <c r="P3233" s="75">
        <f>(MIN(L3233,'THAM_SO_MOI'!$C$41)-O3233)/('THAM_SO_MOI'!$C$11*H3233)</f>
        <v>0.44444490584640883</v>
      </c>
      <c r="Q3233" s="75">
        <f>IF(P3233&gt;0,1/P3233,NA())</f>
        <v>2.2499976641549804</v>
      </c>
      <c r="R3233" s="75">
        <f>F3233-F3232</f>
        <v>0.007943393307218827</v>
      </c>
      <c r="S3233" s="75">
        <f>0.5*(Q3232+Q3233)*R3233</f>
        <v>0.017869476338975728</v>
      </c>
      <c r="T3233" s="75">
        <f>0.5*(F3232*Q3232+F3233*Q3233)*R3233</f>
        <v>0.2901470237494718</v>
      </c>
      <c r="U3233" s="76">
        <f>U3232+S3233</f>
        <v>26.681680691257306</v>
      </c>
      <c r="V3233" s="76">
        <f>V3232+T3233</f>
        <v>254.39918738107545</v>
      </c>
    </row>
    <row r="3234" spans="1:22" ht="19" customHeight="1">
      <c r="A3234" s="68" t="s">
        <v>376</v>
      </c>
      <c r="B3234" s="74">
        <v>4</v>
      </c>
      <c r="C3234" s="68" t="s">
        <v>363</v>
      </c>
      <c r="D3234" s="68" t="s">
        <v>364</v>
      </c>
      <c r="E3234" s="75">
        <f>60*F3234*'THAM_SO_MOI'!$C$52/(2*PI()*'THAM_SO_MOI'!$C$26)</f>
        <v>2556.2624256662853</v>
      </c>
      <c r="F3234" s="75">
        <f>'HANH_TRINH'!$F$2468+('THAM_SO_MOI'!$F$52-'HANH_TRINH'!$F$2468)*765/'THAM_SO_MOI'!$C$42</f>
        <v>16.248933219322858</v>
      </c>
      <c r="G3234" s="75">
        <f>3.6*F3234</f>
        <v>58.49615958956229</v>
      </c>
      <c r="H3234" s="75">
        <f>'THAM_SO_MOI'!$D$52</f>
        <v>1.1774754878398197</v>
      </c>
      <c r="I3234" s="75">
        <f>IF(F3234&gt;'THAM_SO_MOI'!$C$14,'THAM_SO_MOI'!$C$13*(1+F3234^2/1500),'THAM_SO_MOI'!$C$13)</f>
        <v>0.015</v>
      </c>
      <c r="J3234" s="75">
        <f>'THAM_SO_MOI'!$C$40*('THAM_SO_MOI'!$C$23*(E3234/'THAM_SO_MOI'!$C$22)+'THAM_SO_MOI'!$C$24*(E3234/'THAM_SO_MOI'!$C$22)^2-'THAM_SO_MOI'!$C$25*(E3234/'THAM_SO_MOI'!$C$22)^3)</f>
        <v>113.14957777211816</v>
      </c>
      <c r="K3234" s="75">
        <f>'THAM_SO_MOI'!$C$31*J3234/E3234</f>
        <v>422.7667463594343</v>
      </c>
      <c r="L3234" s="75">
        <f>K3234*'THAM_SO_MOI'!$C$52*'THAM_SO_MOI'!$C$17/'THAM_SO_MOI'!$C$26</f>
        <v>5920.098680213921</v>
      </c>
      <c r="M3234" s="75">
        <f>'THAM_SO_MOI'!$C$15*'THAM_SO_MOI'!$C$16*F3234^2</f>
        <v>772.2814049905907</v>
      </c>
      <c r="N3234" s="75">
        <f>'THAM_SO_MOI'!$C$12*I3234</f>
        <v>1130.112</v>
      </c>
      <c r="O3234" s="75">
        <f>M3234+N3234</f>
        <v>1902.3934049905906</v>
      </c>
      <c r="P3234" s="75">
        <f>(MIN(L3234,'THAM_SO_MOI'!$C$41)-O3234)/('THAM_SO_MOI'!$C$11*H3234)</f>
        <v>0.4442884060976201</v>
      </c>
      <c r="Q3234" s="75">
        <f>IF(P3234&gt;0,1/P3234,NA())</f>
        <v>2.250790221566749</v>
      </c>
      <c r="R3234" s="75">
        <f>F3234-F3233</f>
        <v>0.007943393307218827</v>
      </c>
      <c r="S3234" s="75">
        <f>0.5*(Q3233+Q3234)*R3234</f>
        <v>0.017875764184326782</v>
      </c>
      <c r="T3234" s="75">
        <f>0.5*(F3233*Q3233+F3234*Q3234)*R3234</f>
        <v>0.2903911138647948</v>
      </c>
      <c r="U3234" s="76">
        <f>U3233+S3234</f>
        <v>26.699556455441634</v>
      </c>
      <c r="V3234" s="76">
        <f>V3233+T3234</f>
        <v>254.68957849494024</v>
      </c>
    </row>
    <row r="3235" spans="1:22" ht="19" customHeight="1">
      <c r="A3235" s="68" t="s">
        <v>376</v>
      </c>
      <c r="B3235" s="74">
        <v>4</v>
      </c>
      <c r="C3235" s="68" t="s">
        <v>363</v>
      </c>
      <c r="D3235" s="68" t="s">
        <v>364</v>
      </c>
      <c r="E3235" s="75">
        <f>60*F3235*'THAM_SO_MOI'!$C$52/(2*PI()*'THAM_SO_MOI'!$C$26)</f>
        <v>2557.512070647249</v>
      </c>
      <c r="F3235" s="75">
        <f>'HANH_TRINH'!$F$2468+('THAM_SO_MOI'!$F$52-'HANH_TRINH'!$F$2468)*766/'THAM_SO_MOI'!$C$42</f>
        <v>16.25687661263008</v>
      </c>
      <c r="G3235" s="75">
        <f>3.6*F3235</f>
        <v>58.52475580546829</v>
      </c>
      <c r="H3235" s="75">
        <f>'THAM_SO_MOI'!$D$52</f>
        <v>1.1774754878398197</v>
      </c>
      <c r="I3235" s="75">
        <f>IF(F3235&gt;'THAM_SO_MOI'!$C$14,'THAM_SO_MOI'!$C$13*(1+F3235^2/1500),'THAM_SO_MOI'!$C$13)</f>
        <v>0.015</v>
      </c>
      <c r="J3235" s="75">
        <f>'THAM_SO_MOI'!$C$40*('THAM_SO_MOI'!$C$23*(E3235/'THAM_SO_MOI'!$C$22)+'THAM_SO_MOI'!$C$24*(E3235/'THAM_SO_MOI'!$C$22)^2-'THAM_SO_MOI'!$C$25*(E3235/'THAM_SO_MOI'!$C$22)^3)</f>
        <v>113.1922238978989</v>
      </c>
      <c r="K3235" s="75">
        <f>'THAM_SO_MOI'!$C$31*J3235/E3235</f>
        <v>422.7194382738168</v>
      </c>
      <c r="L3235" s="75">
        <f>K3235*'THAM_SO_MOI'!$C$52*'THAM_SO_MOI'!$C$17/'THAM_SO_MOI'!$C$26</f>
        <v>5919.436214356237</v>
      </c>
      <c r="M3235" s="75">
        <f>'THAM_SO_MOI'!$C$15*'THAM_SO_MOI'!$C$16*F3235^2</f>
        <v>773.0366588049657</v>
      </c>
      <c r="N3235" s="75">
        <f>'THAM_SO_MOI'!$C$12*I3235</f>
        <v>1130.112</v>
      </c>
      <c r="O3235" s="75">
        <f>M3235+N3235</f>
        <v>1903.1486588049656</v>
      </c>
      <c r="P3235" s="75">
        <f>(MIN(L3235,'THAM_SO_MOI'!$C$41)-O3235)/('THAM_SO_MOI'!$C$11*H3235)</f>
        <v>0.44413163093113966</v>
      </c>
      <c r="Q3235" s="75">
        <f>IF(P3235&gt;0,1/P3235,NA())</f>
        <v>2.251584733794934</v>
      </c>
      <c r="R3235" s="75">
        <f>F3235-F3234</f>
        <v>0.00794339330722238</v>
      </c>
      <c r="S3235" s="75">
        <f>0.5*(Q3234+Q3235)*R3235</f>
        <v>0.017882067543512827</v>
      </c>
      <c r="T3235" s="75">
        <f>0.5*(F3234*Q3234+F3235*Q3235)*R3235</f>
        <v>0.29063555601871616</v>
      </c>
      <c r="U3235" s="76">
        <f>U3234+S3235</f>
        <v>26.717438522985148</v>
      </c>
      <c r="V3235" s="76">
        <f>V3234+T3235</f>
        <v>254.98021405095895</v>
      </c>
    </row>
    <row r="3236" spans="1:22" ht="19" customHeight="1">
      <c r="A3236" s="68" t="s">
        <v>376</v>
      </c>
      <c r="B3236" s="74">
        <v>4</v>
      </c>
      <c r="C3236" s="68" t="s">
        <v>363</v>
      </c>
      <c r="D3236" s="68" t="s">
        <v>364</v>
      </c>
      <c r="E3236" s="75">
        <f>60*F3236*'THAM_SO_MOI'!$C$52/(2*PI()*'THAM_SO_MOI'!$C$26)</f>
        <v>2558.7617156282117</v>
      </c>
      <c r="F3236" s="75">
        <f>'HANH_TRINH'!$F$2468+('THAM_SO_MOI'!$F$52-'HANH_TRINH'!$F$2468)*767/'THAM_SO_MOI'!$C$42</f>
        <v>16.264820005937295</v>
      </c>
      <c r="G3236" s="75">
        <f>3.6*F3236</f>
        <v>58.553352021374266</v>
      </c>
      <c r="H3236" s="75">
        <f>'THAM_SO_MOI'!$D$52</f>
        <v>1.1774754878398197</v>
      </c>
      <c r="I3236" s="75">
        <f>IF(F3236&gt;'THAM_SO_MOI'!$C$14,'THAM_SO_MOI'!$C$13*(1+F3236^2/1500),'THAM_SO_MOI'!$C$13)</f>
        <v>0.015</v>
      </c>
      <c r="J3236" s="75">
        <f>'THAM_SO_MOI'!$C$40*('THAM_SO_MOI'!$C$23*(E3236/'THAM_SO_MOI'!$C$22)+'THAM_SO_MOI'!$C$24*(E3236/'THAM_SO_MOI'!$C$22)^2-'THAM_SO_MOI'!$C$25*(E3236/'THAM_SO_MOI'!$C$22)^3)</f>
        <v>113.23481705717187</v>
      </c>
      <c r="K3236" s="75">
        <f>'THAM_SO_MOI'!$C$31*J3236/E3236</f>
        <v>422.6719786884719</v>
      </c>
      <c r="L3236" s="75">
        <f>K3236*'THAM_SO_MOI'!$C$52*'THAM_SO_MOI'!$C$17/'THAM_SO_MOI'!$C$26</f>
        <v>5918.7716270134915</v>
      </c>
      <c r="M3236" s="75">
        <f>'THAM_SO_MOI'!$C$15*'THAM_SO_MOI'!$C$16*F3236^2</f>
        <v>773.792281739699</v>
      </c>
      <c r="N3236" s="75">
        <f>'THAM_SO_MOI'!$C$12*I3236</f>
        <v>1130.112</v>
      </c>
      <c r="O3236" s="75">
        <f>M3236+N3236</f>
        <v>1903.904281739699</v>
      </c>
      <c r="P3236" s="75">
        <f>(MIN(L3236,'THAM_SO_MOI'!$C$41)-O3236)/('THAM_SO_MOI'!$C$11*H3236)</f>
        <v>0.44397458034696774</v>
      </c>
      <c r="Q3236" s="75">
        <f>IF(P3236&gt;0,1/P3236,NA())</f>
        <v>2.252381204388991</v>
      </c>
      <c r="R3236" s="75">
        <f>F3236-F3235</f>
        <v>0.007943393307215274</v>
      </c>
      <c r="S3236" s="75">
        <f>0.5*(Q3235+Q3236)*R3236</f>
        <v>0.017888386444647873</v>
      </c>
      <c r="T3236" s="75">
        <f>0.5*(F3235*Q3235+F3236*Q3236)*R3236</f>
        <v>0.2908803510380909</v>
      </c>
      <c r="U3236" s="76">
        <f>U3235+S3236</f>
        <v>26.735326909429794</v>
      </c>
      <c r="V3236" s="76">
        <f>V3235+T3236</f>
        <v>255.27109440199703</v>
      </c>
    </row>
    <row r="3237" spans="1:22" ht="19" customHeight="1">
      <c r="A3237" s="68" t="s">
        <v>376</v>
      </c>
      <c r="B3237" s="74">
        <v>4</v>
      </c>
      <c r="C3237" s="68" t="s">
        <v>363</v>
      </c>
      <c r="D3237" s="68" t="s">
        <v>364</v>
      </c>
      <c r="E3237" s="75">
        <f>60*F3237*'THAM_SO_MOI'!$C$52/(2*PI()*'THAM_SO_MOI'!$C$26)</f>
        <v>2560.011360609175</v>
      </c>
      <c r="F3237" s="75">
        <f>'HANH_TRINH'!$F$2468+('THAM_SO_MOI'!$F$52-'HANH_TRINH'!$F$2468)*768/'THAM_SO_MOI'!$C$42</f>
        <v>16.272763399244518</v>
      </c>
      <c r="G3237" s="75">
        <f>3.6*F3237</f>
        <v>58.581948237280265</v>
      </c>
      <c r="H3237" s="75">
        <f>'THAM_SO_MOI'!$D$52</f>
        <v>1.1774754878398197</v>
      </c>
      <c r="I3237" s="75">
        <f>IF(F3237&gt;'THAM_SO_MOI'!$C$14,'THAM_SO_MOI'!$C$13*(1+F3237^2/1500),'THAM_SO_MOI'!$C$13)</f>
        <v>0.015</v>
      </c>
      <c r="J3237" s="75">
        <f>'THAM_SO_MOI'!$C$40*('THAM_SO_MOI'!$C$23*(E3237/'THAM_SO_MOI'!$C$22)+'THAM_SO_MOI'!$C$24*(E3237/'THAM_SO_MOI'!$C$22)^2-'THAM_SO_MOI'!$C$25*(E3237/'THAM_SO_MOI'!$C$22)^3)</f>
        <v>113.27735719047146</v>
      </c>
      <c r="K3237" s="75">
        <f>'THAM_SO_MOI'!$C$31*J3237/E3237</f>
        <v>422.6243676033996</v>
      </c>
      <c r="L3237" s="75">
        <f>K3237*'THAM_SO_MOI'!$C$52*'THAM_SO_MOI'!$C$17/'THAM_SO_MOI'!$C$26</f>
        <v>5918.104918185687</v>
      </c>
      <c r="M3237" s="75">
        <f>'THAM_SO_MOI'!$C$15*'THAM_SO_MOI'!$C$16*F3237^2</f>
        <v>774.5482737947916</v>
      </c>
      <c r="N3237" s="75">
        <f>'THAM_SO_MOI'!$C$12*I3237</f>
        <v>1130.112</v>
      </c>
      <c r="O3237" s="75">
        <f>M3237+N3237</f>
        <v>1904.6602737947917</v>
      </c>
      <c r="P3237" s="75">
        <f>(MIN(L3237,'THAM_SO_MOI'!$C$41)-O3237)/('THAM_SO_MOI'!$C$11*H3237)</f>
        <v>0.4438172543451045</v>
      </c>
      <c r="Q3237" s="75">
        <f>IF(P3237&gt;0,1/P3237,NA())</f>
        <v>2.253179636910686</v>
      </c>
      <c r="R3237" s="75">
        <f>F3237-F3236</f>
        <v>0.00794339330722238</v>
      </c>
      <c r="S3237" s="75">
        <f>0.5*(Q3236+Q3237)*R3237</f>
        <v>0.01789472091603154</v>
      </c>
      <c r="T3237" s="75">
        <f>0.5*(F3236*Q3236+F3237*Q3237)*R3237</f>
        <v>0.29112549975368734</v>
      </c>
      <c r="U3237" s="76">
        <f>U3236+S3237</f>
        <v>26.753221630345827</v>
      </c>
      <c r="V3237" s="76">
        <f>V3236+T3237</f>
        <v>255.56221990175072</v>
      </c>
    </row>
    <row r="3238" spans="1:22" ht="19" customHeight="1">
      <c r="A3238" s="68" t="s">
        <v>376</v>
      </c>
      <c r="B3238" s="74">
        <v>4</v>
      </c>
      <c r="C3238" s="68" t="s">
        <v>363</v>
      </c>
      <c r="D3238" s="68" t="s">
        <v>364</v>
      </c>
      <c r="E3238" s="75">
        <f>60*F3238*'THAM_SO_MOI'!$C$52/(2*PI()*'THAM_SO_MOI'!$C$26)</f>
        <v>2561.261005590138</v>
      </c>
      <c r="F3238" s="75">
        <f>'HANH_TRINH'!$F$2468+('THAM_SO_MOI'!$F$52-'HANH_TRINH'!$F$2468)*769/'THAM_SO_MOI'!$C$42</f>
        <v>16.280706792551737</v>
      </c>
      <c r="G3238" s="75">
        <f>3.6*F3238</f>
        <v>58.61054445318625</v>
      </c>
      <c r="H3238" s="75">
        <f>'THAM_SO_MOI'!$D$52</f>
        <v>1.1774754878398197</v>
      </c>
      <c r="I3238" s="75">
        <f>IF(F3238&gt;'THAM_SO_MOI'!$C$14,'THAM_SO_MOI'!$C$13*(1+F3238^2/1500),'THAM_SO_MOI'!$C$13)</f>
        <v>0.015</v>
      </c>
      <c r="J3238" s="75">
        <f>'THAM_SO_MOI'!$C$40*('THAM_SO_MOI'!$C$23*(E3238/'THAM_SO_MOI'!$C$22)+'THAM_SO_MOI'!$C$24*(E3238/'THAM_SO_MOI'!$C$22)^2-'THAM_SO_MOI'!$C$25*(E3238/'THAM_SO_MOI'!$C$22)^3)</f>
        <v>113.31984423833188</v>
      </c>
      <c r="K3238" s="75">
        <f>'THAM_SO_MOI'!$C$31*J3238/E3238</f>
        <v>422.57660501859965</v>
      </c>
      <c r="L3238" s="75">
        <f>K3238*'THAM_SO_MOI'!$C$52*'THAM_SO_MOI'!$C$17/'THAM_SO_MOI'!$C$26</f>
        <v>5917.4360878728185</v>
      </c>
      <c r="M3238" s="75">
        <f>'THAM_SO_MOI'!$C$15*'THAM_SO_MOI'!$C$16*F3238^2</f>
        <v>775.3046349702429</v>
      </c>
      <c r="N3238" s="75">
        <f>'THAM_SO_MOI'!$C$12*I3238</f>
        <v>1130.112</v>
      </c>
      <c r="O3238" s="75">
        <f>M3238+N3238</f>
        <v>1905.416634970243</v>
      </c>
      <c r="P3238" s="75">
        <f>(MIN(L3238,'THAM_SO_MOI'!$C$41)-O3238)/('THAM_SO_MOI'!$C$11*H3238)</f>
        <v>0.4436596529255493</v>
      </c>
      <c r="Q3238" s="75">
        <f>IF(P3238&gt;0,1/P3238,NA())</f>
        <v>2.2539800349341443</v>
      </c>
      <c r="R3238" s="75">
        <f>F3238-F3237</f>
        <v>0.007943393307218827</v>
      </c>
      <c r="S3238" s="75">
        <f>0.5*(Q3237+Q3238)*R3238</f>
        <v>0.017901070985949414</v>
      </c>
      <c r="T3238" s="75">
        <f>0.5*(F3237*Q3237+F3238*Q3238)*R3238</f>
        <v>0.29137100299694446</v>
      </c>
      <c r="U3238" s="76">
        <f>U3237+S3238</f>
        <v>26.771122701331777</v>
      </c>
      <c r="V3238" s="76">
        <f>V3237+T3238</f>
        <v>255.85359090474768</v>
      </c>
    </row>
    <row r="3239" spans="1:22" ht="19" customHeight="1">
      <c r="A3239" s="68" t="s">
        <v>376</v>
      </c>
      <c r="B3239" s="74">
        <v>4</v>
      </c>
      <c r="C3239" s="68" t="s">
        <v>363</v>
      </c>
      <c r="D3239" s="68" t="s">
        <v>364</v>
      </c>
      <c r="E3239" s="75">
        <f>60*F3239*'THAM_SO_MOI'!$C$52/(2*PI()*'THAM_SO_MOI'!$C$26)</f>
        <v>2562.5106505711015</v>
      </c>
      <c r="F3239" s="75">
        <f>'HANH_TRINH'!$F$2468+('THAM_SO_MOI'!$F$52-'HANH_TRINH'!$F$2468)*770/'THAM_SO_MOI'!$C$42</f>
        <v>16.288650185858955</v>
      </c>
      <c r="G3239" s="75">
        <f>3.6*F3239</f>
        <v>58.63914066909224</v>
      </c>
      <c r="H3239" s="75">
        <f>'THAM_SO_MOI'!$D$52</f>
        <v>1.1774754878398197</v>
      </c>
      <c r="I3239" s="75">
        <f>IF(F3239&gt;'THAM_SO_MOI'!$C$14,'THAM_SO_MOI'!$C$13*(1+F3239^2/1500),'THAM_SO_MOI'!$C$13)</f>
        <v>0.015</v>
      </c>
      <c r="J3239" s="75">
        <f>'THAM_SO_MOI'!$C$40*('THAM_SO_MOI'!$C$23*(E3239/'THAM_SO_MOI'!$C$22)+'THAM_SO_MOI'!$C$24*(E3239/'THAM_SO_MOI'!$C$22)^2-'THAM_SO_MOI'!$C$25*(E3239/'THAM_SO_MOI'!$C$22)^3)</f>
        <v>113.36227814128753</v>
      </c>
      <c r="K3239" s="75">
        <f>'THAM_SO_MOI'!$C$31*J3239/E3239</f>
        <v>422.5286909340723</v>
      </c>
      <c r="L3239" s="75">
        <f>K3239*'THAM_SO_MOI'!$C$52*'THAM_SO_MOI'!$C$17/'THAM_SO_MOI'!$C$26</f>
        <v>5916.765136074891</v>
      </c>
      <c r="M3239" s="75">
        <f>'THAM_SO_MOI'!$C$15*'THAM_SO_MOI'!$C$16*F3239^2</f>
        <v>776.0613652660528</v>
      </c>
      <c r="N3239" s="75">
        <f>'THAM_SO_MOI'!$C$12*I3239</f>
        <v>1130.112</v>
      </c>
      <c r="O3239" s="75">
        <f>M3239+N3239</f>
        <v>1906.1733652660528</v>
      </c>
      <c r="P3239" s="75">
        <f>(MIN(L3239,'THAM_SO_MOI'!$C$41)-O3239)/('THAM_SO_MOI'!$C$11*H3239)</f>
        <v>0.4435017760883028</v>
      </c>
      <c r="Q3239" s="75">
        <f>IF(P3239&gt;0,1/P3239,NA())</f>
        <v>2.2547824020458855</v>
      </c>
      <c r="R3239" s="75">
        <f>F3239-F3238</f>
        <v>0.007943393307218827</v>
      </c>
      <c r="S3239" s="75">
        <f>0.5*(Q3238+Q3239)*R3239</f>
        <v>0.01790743668287341</v>
      </c>
      <c r="T3239" s="75">
        <f>0.5*(F3238*Q3238+F3239*Q3239)*R3239</f>
        <v>0.29161686160323447</v>
      </c>
      <c r="U3239" s="76">
        <f>U3238+S3239</f>
        <v>26.78903013801465</v>
      </c>
      <c r="V3239" s="76">
        <f>V3238+T3239</f>
        <v>256.1452077663509</v>
      </c>
    </row>
    <row r="3240" spans="1:22" ht="19" customHeight="1">
      <c r="A3240" s="68" t="s">
        <v>376</v>
      </c>
      <c r="B3240" s="74">
        <v>4</v>
      </c>
      <c r="C3240" s="68" t="s">
        <v>363</v>
      </c>
      <c r="D3240" s="68" t="s">
        <v>364</v>
      </c>
      <c r="E3240" s="75">
        <f>60*F3240*'THAM_SO_MOI'!$C$52/(2*PI()*'THAM_SO_MOI'!$C$26)</f>
        <v>2563.7602955520647</v>
      </c>
      <c r="F3240" s="75">
        <f>'HANH_TRINH'!$F$2468+('THAM_SO_MOI'!$F$52-'HANH_TRINH'!$F$2468)*771/'THAM_SO_MOI'!$C$42</f>
        <v>16.296593579166174</v>
      </c>
      <c r="G3240" s="75">
        <f>3.6*F3240</f>
        <v>58.66773688499823</v>
      </c>
      <c r="H3240" s="75">
        <f>'THAM_SO_MOI'!$D$52</f>
        <v>1.1774754878398197</v>
      </c>
      <c r="I3240" s="75">
        <f>IF(F3240&gt;'THAM_SO_MOI'!$C$14,'THAM_SO_MOI'!$C$13*(1+F3240^2/1500),'THAM_SO_MOI'!$C$13)</f>
        <v>0.015</v>
      </c>
      <c r="J3240" s="75">
        <f>'THAM_SO_MOI'!$C$40*('THAM_SO_MOI'!$C$23*(E3240/'THAM_SO_MOI'!$C$22)+'THAM_SO_MOI'!$C$24*(E3240/'THAM_SO_MOI'!$C$22)^2-'THAM_SO_MOI'!$C$25*(E3240/'THAM_SO_MOI'!$C$22)^3)</f>
        <v>113.4046588398727</v>
      </c>
      <c r="K3240" s="75">
        <f>'THAM_SO_MOI'!$C$31*J3240/E3240</f>
        <v>422.4806253498175</v>
      </c>
      <c r="L3240" s="75">
        <f>K3240*'THAM_SO_MOI'!$C$52*'THAM_SO_MOI'!$C$17/'THAM_SO_MOI'!$C$26</f>
        <v>5916.092062791901</v>
      </c>
      <c r="M3240" s="75">
        <f>'THAM_SO_MOI'!$C$15*'THAM_SO_MOI'!$C$16*F3240^2</f>
        <v>776.8184646822216</v>
      </c>
      <c r="N3240" s="75">
        <f>'THAM_SO_MOI'!$C$12*I3240</f>
        <v>1130.112</v>
      </c>
      <c r="O3240" s="75">
        <f>M3240+N3240</f>
        <v>1906.9304646822216</v>
      </c>
      <c r="P3240" s="75">
        <f>(MIN(L3240,'THAM_SO_MOI'!$C$41)-O3240)/('THAM_SO_MOI'!$C$11*H3240)</f>
        <v>0.4433436238333646</v>
      </c>
      <c r="Q3240" s="75">
        <f>IF(P3240&gt;0,1/P3240,NA())</f>
        <v>2.2555867418448776</v>
      </c>
      <c r="R3240" s="75">
        <f>F3240-F3239</f>
        <v>0.007943393307218827</v>
      </c>
      <c r="S3240" s="75">
        <f>0.5*(Q3239+Q3240)*R3240</f>
        <v>0.017913818035334098</v>
      </c>
      <c r="T3240" s="75">
        <f>0.5*(F3239*Q3239+F3240*Q3240)*R3240</f>
        <v>0.29186307640978965</v>
      </c>
      <c r="U3240" s="76">
        <f>U3239+S3240</f>
        <v>26.806943956049984</v>
      </c>
      <c r="V3240" s="76">
        <f>V3239+T3240</f>
        <v>256.4370708427607</v>
      </c>
    </row>
    <row r="3241" spans="1:22" ht="19" customHeight="1">
      <c r="A3241" s="68" t="s">
        <v>376</v>
      </c>
      <c r="B3241" s="74">
        <v>4</v>
      </c>
      <c r="C3241" s="68" t="s">
        <v>363</v>
      </c>
      <c r="D3241" s="68" t="s">
        <v>364</v>
      </c>
      <c r="E3241" s="75">
        <f>60*F3241*'THAM_SO_MOI'!$C$52/(2*PI()*'THAM_SO_MOI'!$C$26)</f>
        <v>2565.0099405330284</v>
      </c>
      <c r="F3241" s="75">
        <f>'HANH_TRINH'!$F$2468+('THAM_SO_MOI'!$F$52-'HANH_TRINH'!$F$2468)*772/'THAM_SO_MOI'!$C$42</f>
        <v>16.304536972473393</v>
      </c>
      <c r="G3241" s="75">
        <f>3.6*F3241</f>
        <v>58.69633310090422</v>
      </c>
      <c r="H3241" s="75">
        <f>'THAM_SO_MOI'!$D$52</f>
        <v>1.1774754878398197</v>
      </c>
      <c r="I3241" s="75">
        <f>IF(F3241&gt;'THAM_SO_MOI'!$C$14,'THAM_SO_MOI'!$C$13*(1+F3241^2/1500),'THAM_SO_MOI'!$C$13)</f>
        <v>0.015</v>
      </c>
      <c r="J3241" s="75">
        <f>'THAM_SO_MOI'!$C$40*('THAM_SO_MOI'!$C$23*(E3241/'THAM_SO_MOI'!$C$22)+'THAM_SO_MOI'!$C$24*(E3241/'THAM_SO_MOI'!$C$22)^2-'THAM_SO_MOI'!$C$25*(E3241/'THAM_SO_MOI'!$C$22)^3)</f>
        <v>113.44698627462171</v>
      </c>
      <c r="K3241" s="75">
        <f>'THAM_SO_MOI'!$C$31*J3241/E3241</f>
        <v>422.43240826583525</v>
      </c>
      <c r="L3241" s="75">
        <f>K3241*'THAM_SO_MOI'!$C$52*'THAM_SO_MOI'!$C$17/'THAM_SO_MOI'!$C$26</f>
        <v>5915.416868023854</v>
      </c>
      <c r="M3241" s="75">
        <f>'THAM_SO_MOI'!$C$15*'THAM_SO_MOI'!$C$16*F3241^2</f>
        <v>777.5759332187492</v>
      </c>
      <c r="N3241" s="75">
        <f>'THAM_SO_MOI'!$C$12*I3241</f>
        <v>1130.112</v>
      </c>
      <c r="O3241" s="75">
        <f>M3241+N3241</f>
        <v>1907.6879332187493</v>
      </c>
      <c r="P3241" s="75">
        <f>(MIN(L3241,'THAM_SO_MOI'!$C$41)-O3241)/('THAM_SO_MOI'!$C$11*H3241)</f>
        <v>0.4431851961607353</v>
      </c>
      <c r="Q3241" s="75">
        <f>IF(P3241&gt;0,1/P3241,NA())</f>
        <v>2.2563930579425717</v>
      </c>
      <c r="R3241" s="75">
        <f>F3241-F3240</f>
        <v>0.007943393307218827</v>
      </c>
      <c r="S3241" s="75">
        <f>0.5*(Q3240+Q3241)*R3241</f>
        <v>0.017920215071969083</v>
      </c>
      <c r="T3241" s="75">
        <f>0.5*(F3240*Q3240+F3241*Q3241)*R3241</f>
        <v>0.2921096482564935</v>
      </c>
      <c r="U3241" s="76">
        <f>U3240+S3241</f>
        <v>26.824864171121952</v>
      </c>
      <c r="V3241" s="76">
        <f>V3240+T3241</f>
        <v>256.7291804910172</v>
      </c>
    </row>
    <row r="3242" spans="1:22" ht="19" customHeight="1">
      <c r="A3242" s="68" t="s">
        <v>376</v>
      </c>
      <c r="B3242" s="74">
        <v>4</v>
      </c>
      <c r="C3242" s="68" t="s">
        <v>363</v>
      </c>
      <c r="D3242" s="68" t="s">
        <v>364</v>
      </c>
      <c r="E3242" s="75">
        <f>60*F3242*'THAM_SO_MOI'!$C$52/(2*PI()*'THAM_SO_MOI'!$C$26)</f>
        <v>2566.2595855139916</v>
      </c>
      <c r="F3242" s="75">
        <f>'HANH_TRINH'!$F$2468+('THAM_SO_MOI'!$F$52-'HANH_TRINH'!$F$2468)*773/'THAM_SO_MOI'!$C$42</f>
        <v>16.312480365780615</v>
      </c>
      <c r="G3242" s="75">
        <f>3.6*F3242</f>
        <v>58.72492931681022</v>
      </c>
      <c r="H3242" s="75">
        <f>'THAM_SO_MOI'!$D$52</f>
        <v>1.1774754878398197</v>
      </c>
      <c r="I3242" s="75">
        <f>IF(F3242&gt;'THAM_SO_MOI'!$C$14,'THAM_SO_MOI'!$C$13*(1+F3242^2/1500),'THAM_SO_MOI'!$C$13)</f>
        <v>0.015</v>
      </c>
      <c r="J3242" s="75">
        <f>'THAM_SO_MOI'!$C$40*('THAM_SO_MOI'!$C$23*(E3242/'THAM_SO_MOI'!$C$22)+'THAM_SO_MOI'!$C$24*(E3242/'THAM_SO_MOI'!$C$22)^2-'THAM_SO_MOI'!$C$25*(E3242/'THAM_SO_MOI'!$C$22)^3)</f>
        <v>113.48926038606882</v>
      </c>
      <c r="K3242" s="75">
        <f>'THAM_SO_MOI'!$C$31*J3242/E3242</f>
        <v>422.3840396821255</v>
      </c>
      <c r="L3242" s="75">
        <f>K3242*'THAM_SO_MOI'!$C$52*'THAM_SO_MOI'!$C$17/'THAM_SO_MOI'!$C$26</f>
        <v>5914.739551770743</v>
      </c>
      <c r="M3242" s="75">
        <f>'THAM_SO_MOI'!$C$15*'THAM_SO_MOI'!$C$16*F3242^2</f>
        <v>778.333770875636</v>
      </c>
      <c r="N3242" s="75">
        <f>'THAM_SO_MOI'!$C$12*I3242</f>
        <v>1130.112</v>
      </c>
      <c r="O3242" s="75">
        <f>M3242+N3242</f>
        <v>1908.445770875636</v>
      </c>
      <c r="P3242" s="75">
        <f>(MIN(L3242,'THAM_SO_MOI'!$C$41)-O3242)/('THAM_SO_MOI'!$C$11*H3242)</f>
        <v>0.44302649307041414</v>
      </c>
      <c r="Q3242" s="75">
        <f>IF(P3242&gt;0,1/P3242,NA())</f>
        <v>2.2572013539629583</v>
      </c>
      <c r="R3242" s="75">
        <f>F3242-F3241</f>
        <v>0.00794339330722238</v>
      </c>
      <c r="S3242" s="75">
        <f>0.5*(Q3241+Q3242)*R3242</f>
        <v>0.017926627821523357</v>
      </c>
      <c r="T3242" s="75">
        <f>0.5*(F3241*Q3241+F3242*Q3242)*R3242</f>
        <v>0.292356577985891</v>
      </c>
      <c r="U3242" s="76">
        <f>U3241+S3242</f>
        <v>26.842790798943476</v>
      </c>
      <c r="V3242" s="76">
        <f>V3241+T3242</f>
        <v>257.0215370690031</v>
      </c>
    </row>
    <row r="3243" spans="1:22" ht="19" customHeight="1">
      <c r="A3243" s="68" t="s">
        <v>376</v>
      </c>
      <c r="B3243" s="74">
        <v>4</v>
      </c>
      <c r="C3243" s="68" t="s">
        <v>363</v>
      </c>
      <c r="D3243" s="68" t="s">
        <v>364</v>
      </c>
      <c r="E3243" s="75">
        <f>60*F3243*'THAM_SO_MOI'!$C$52/(2*PI()*'THAM_SO_MOI'!$C$26)</f>
        <v>2567.509230494955</v>
      </c>
      <c r="F3243" s="75">
        <f>'HANH_TRINH'!$F$2468+('THAM_SO_MOI'!$F$52-'HANH_TRINH'!$F$2468)*774/'THAM_SO_MOI'!$C$42</f>
        <v>16.320423759087834</v>
      </c>
      <c r="G3243" s="75">
        <f>3.6*F3243</f>
        <v>58.7535255327162</v>
      </c>
      <c r="H3243" s="75">
        <f>'THAM_SO_MOI'!$D$52</f>
        <v>1.1774754878398197</v>
      </c>
      <c r="I3243" s="75">
        <f>IF(F3243&gt;'THAM_SO_MOI'!$C$14,'THAM_SO_MOI'!$C$13*(1+F3243^2/1500),'THAM_SO_MOI'!$C$13)</f>
        <v>0.015</v>
      </c>
      <c r="J3243" s="75">
        <f>'THAM_SO_MOI'!$C$40*('THAM_SO_MOI'!$C$23*(E3243/'THAM_SO_MOI'!$C$22)+'THAM_SO_MOI'!$C$24*(E3243/'THAM_SO_MOI'!$C$22)^2-'THAM_SO_MOI'!$C$25*(E3243/'THAM_SO_MOI'!$C$22)^3)</f>
        <v>113.53148111474839</v>
      </c>
      <c r="K3243" s="75">
        <f>'THAM_SO_MOI'!$C$31*J3243/E3243</f>
        <v>422.33551959868817</v>
      </c>
      <c r="L3243" s="75">
        <f>K3243*'THAM_SO_MOI'!$C$52*'THAM_SO_MOI'!$C$17/'THAM_SO_MOI'!$C$26</f>
        <v>5914.06011403257</v>
      </c>
      <c r="M3243" s="75">
        <f>'THAM_SO_MOI'!$C$15*'THAM_SO_MOI'!$C$16*F3243^2</f>
        <v>779.0919776528812</v>
      </c>
      <c r="N3243" s="75">
        <f>'THAM_SO_MOI'!$C$12*I3243</f>
        <v>1130.112</v>
      </c>
      <c r="O3243" s="75">
        <f>M3243+N3243</f>
        <v>1909.2039776528813</v>
      </c>
      <c r="P3243" s="75">
        <f>(MIN(L3243,'THAM_SO_MOI'!$C$41)-O3243)/('THAM_SO_MOI'!$C$11*H3243)</f>
        <v>0.4428675145624014</v>
      </c>
      <c r="Q3243" s="75">
        <f>IF(P3243&gt;0,1/P3243,NA())</f>
        <v>2.2580116335426017</v>
      </c>
      <c r="R3243" s="75">
        <f>F3243-F3242</f>
        <v>0.007943393307218827</v>
      </c>
      <c r="S3243" s="75">
        <f>0.5*(Q3242+Q3243)*R3243</f>
        <v>0.017933056312809594</v>
      </c>
      <c r="T3243" s="75">
        <f>0.5*(F3242*Q3242+F3243*Q3243)*R3243</f>
        <v>0.29260386644254455</v>
      </c>
      <c r="U3243" s="76">
        <f>U3242+S3243</f>
        <v>26.860723855256285</v>
      </c>
      <c r="V3243" s="76">
        <f>V3242+T3243</f>
        <v>257.31414093544566</v>
      </c>
    </row>
    <row r="3244" spans="1:22" ht="19" customHeight="1">
      <c r="A3244" s="68" t="s">
        <v>376</v>
      </c>
      <c r="B3244" s="74">
        <v>4</v>
      </c>
      <c r="C3244" s="68" t="s">
        <v>363</v>
      </c>
      <c r="D3244" s="68" t="s">
        <v>364</v>
      </c>
      <c r="E3244" s="75">
        <f>60*F3244*'THAM_SO_MOI'!$C$52/(2*PI()*'THAM_SO_MOI'!$C$26)</f>
        <v>2568.758875475918</v>
      </c>
      <c r="F3244" s="75">
        <f>'HANH_TRINH'!$F$2468+('THAM_SO_MOI'!$F$52-'HANH_TRINH'!$F$2468)*775/'THAM_SO_MOI'!$C$42</f>
        <v>16.328367152395053</v>
      </c>
      <c r="G3244" s="75">
        <f>3.6*F3244</f>
        <v>58.782121748622195</v>
      </c>
      <c r="H3244" s="75">
        <f>'THAM_SO_MOI'!$D$52</f>
        <v>1.1774754878398197</v>
      </c>
      <c r="I3244" s="75">
        <f>IF(F3244&gt;'THAM_SO_MOI'!$C$14,'THAM_SO_MOI'!$C$13*(1+F3244^2/1500),'THAM_SO_MOI'!$C$13)</f>
        <v>0.015</v>
      </c>
      <c r="J3244" s="75">
        <f>'THAM_SO_MOI'!$C$40*('THAM_SO_MOI'!$C$23*(E3244/'THAM_SO_MOI'!$C$22)+'THAM_SO_MOI'!$C$24*(E3244/'THAM_SO_MOI'!$C$22)^2-'THAM_SO_MOI'!$C$25*(E3244/'THAM_SO_MOI'!$C$22)^3)</f>
        <v>113.57364840119472</v>
      </c>
      <c r="K3244" s="75">
        <f>'THAM_SO_MOI'!$C$31*J3244/E3244</f>
        <v>422.28684801552345</v>
      </c>
      <c r="L3244" s="75">
        <f>K3244*'THAM_SO_MOI'!$C$52*'THAM_SO_MOI'!$C$17/'THAM_SO_MOI'!$C$26</f>
        <v>5913.3785548093365</v>
      </c>
      <c r="M3244" s="75">
        <f>'THAM_SO_MOI'!$C$15*'THAM_SO_MOI'!$C$16*F3244^2</f>
        <v>779.8505535504853</v>
      </c>
      <c r="N3244" s="75">
        <f>'THAM_SO_MOI'!$C$12*I3244</f>
        <v>1130.112</v>
      </c>
      <c r="O3244" s="75">
        <f>M3244+N3244</f>
        <v>1909.9625535504854</v>
      </c>
      <c r="P3244" s="75">
        <f>(MIN(L3244,'THAM_SO_MOI'!$C$41)-O3244)/('THAM_SO_MOI'!$C$11*H3244)</f>
        <v>0.44270826063669705</v>
      </c>
      <c r="Q3244" s="75">
        <f>IF(P3244&gt;0,1/P3244,NA())</f>
        <v>2.2588239003306905</v>
      </c>
      <c r="R3244" s="75">
        <f>F3244-F3243</f>
        <v>0.007943393307218827</v>
      </c>
      <c r="S3244" s="75">
        <f>0.5*(Q3243+Q3244)*R3244</f>
        <v>0.017939500574788644</v>
      </c>
      <c r="T3244" s="75">
        <f>0.5*(F3243*Q3243+F3244*Q3244)*R3244</f>
        <v>0.2928515144743511</v>
      </c>
      <c r="U3244" s="76">
        <f>U3243+S3244</f>
        <v>26.878663355831073</v>
      </c>
      <c r="V3244" s="76">
        <f>V3243+T3244</f>
        <v>257.60699244992</v>
      </c>
    </row>
    <row r="3245" spans="1:22" ht="19" customHeight="1">
      <c r="A3245" s="68" t="s">
        <v>376</v>
      </c>
      <c r="B3245" s="74">
        <v>4</v>
      </c>
      <c r="C3245" s="68" t="s">
        <v>363</v>
      </c>
      <c r="D3245" s="68" t="s">
        <v>364</v>
      </c>
      <c r="E3245" s="75">
        <f>60*F3245*'THAM_SO_MOI'!$C$52/(2*PI()*'THAM_SO_MOI'!$C$26)</f>
        <v>2570.0085204568813</v>
      </c>
      <c r="F3245" s="75">
        <f>'HANH_TRINH'!$F$2468+('THAM_SO_MOI'!$F$52-'HANH_TRINH'!$F$2468)*776/'THAM_SO_MOI'!$C$42</f>
        <v>16.336310545702272</v>
      </c>
      <c r="G3245" s="75">
        <f>3.6*F3245</f>
        <v>58.81071796452818</v>
      </c>
      <c r="H3245" s="75">
        <f>'THAM_SO_MOI'!$D$52</f>
        <v>1.1774754878398197</v>
      </c>
      <c r="I3245" s="75">
        <f>IF(F3245&gt;'THAM_SO_MOI'!$C$14,'THAM_SO_MOI'!$C$13*(1+F3245^2/1500),'THAM_SO_MOI'!$C$13)</f>
        <v>0.015</v>
      </c>
      <c r="J3245" s="75">
        <f>'THAM_SO_MOI'!$C$40*('THAM_SO_MOI'!$C$23*(E3245/'THAM_SO_MOI'!$C$22)+'THAM_SO_MOI'!$C$24*(E3245/'THAM_SO_MOI'!$C$22)^2-'THAM_SO_MOI'!$C$25*(E3245/'THAM_SO_MOI'!$C$22)^3)</f>
        <v>113.61576218594216</v>
      </c>
      <c r="K3245" s="75">
        <f>'THAM_SO_MOI'!$C$31*J3245/E3245</f>
        <v>422.23802493263133</v>
      </c>
      <c r="L3245" s="75">
        <f>K3245*'THAM_SO_MOI'!$C$52*'THAM_SO_MOI'!$C$17/'THAM_SO_MOI'!$C$26</f>
        <v>5912.694874101045</v>
      </c>
      <c r="M3245" s="75">
        <f>'THAM_SO_MOI'!$C$15*'THAM_SO_MOI'!$C$16*F3245^2</f>
        <v>780.6094985684481</v>
      </c>
      <c r="N3245" s="75">
        <f>'THAM_SO_MOI'!$C$12*I3245</f>
        <v>1130.112</v>
      </c>
      <c r="O3245" s="75">
        <f>M3245+N3245</f>
        <v>1910.7214985684482</v>
      </c>
      <c r="P3245" s="75">
        <f>(MIN(L3245,'THAM_SO_MOI'!$C$41)-O3245)/('THAM_SO_MOI'!$C$11*H3245)</f>
        <v>0.44254873129330163</v>
      </c>
      <c r="Q3245" s="75">
        <f>IF(P3245&gt;0,1/P3245,NA())</f>
        <v>2.259638157989079</v>
      </c>
      <c r="R3245" s="75">
        <f>F3245-F3244</f>
        <v>0.007943393307218827</v>
      </c>
      <c r="S3245" s="75">
        <f>0.5*(Q3244+Q3245)*R3245</f>
        <v>0.017945960636489733</v>
      </c>
      <c r="T3245" s="75">
        <f>0.5*(F3244*Q3244+F3245*Q3245)*R3245</f>
        <v>0.2930995229312444</v>
      </c>
      <c r="U3245" s="76">
        <f>U3244+S3245</f>
        <v>26.89660931646756</v>
      </c>
      <c r="V3245" s="76">
        <f>V3244+T3245</f>
        <v>257.90009197285127</v>
      </c>
    </row>
    <row r="3246" spans="1:22" ht="19" customHeight="1">
      <c r="A3246" s="68" t="s">
        <v>376</v>
      </c>
      <c r="B3246" s="74">
        <v>4</v>
      </c>
      <c r="C3246" s="68" t="s">
        <v>363</v>
      </c>
      <c r="D3246" s="68" t="s">
        <v>364</v>
      </c>
      <c r="E3246" s="75">
        <f>60*F3246*'THAM_SO_MOI'!$C$52/(2*PI()*'THAM_SO_MOI'!$C$26)</f>
        <v>2571.2581654378446</v>
      </c>
      <c r="F3246" s="75">
        <f>'HANH_TRINH'!$F$2468+('THAM_SO_MOI'!$F$52-'HANH_TRINH'!$F$2468)*777/'THAM_SO_MOI'!$C$42</f>
        <v>16.34425393900949</v>
      </c>
      <c r="G3246" s="75">
        <f>3.6*F3246</f>
        <v>58.839314180434165</v>
      </c>
      <c r="H3246" s="75">
        <f>'THAM_SO_MOI'!$D$52</f>
        <v>1.1774754878398197</v>
      </c>
      <c r="I3246" s="75">
        <f>IF(F3246&gt;'THAM_SO_MOI'!$C$14,'THAM_SO_MOI'!$C$13*(1+F3246^2/1500),'THAM_SO_MOI'!$C$13)</f>
        <v>0.015</v>
      </c>
      <c r="J3246" s="75">
        <f>'THAM_SO_MOI'!$C$40*('THAM_SO_MOI'!$C$23*(E3246/'THAM_SO_MOI'!$C$22)+'THAM_SO_MOI'!$C$24*(E3246/'THAM_SO_MOI'!$C$22)^2-'THAM_SO_MOI'!$C$25*(E3246/'THAM_SO_MOI'!$C$22)^3)</f>
        <v>113.65782240952497</v>
      </c>
      <c r="K3246" s="75">
        <f>'THAM_SO_MOI'!$C$31*J3246/E3246</f>
        <v>422.18905035001166</v>
      </c>
      <c r="L3246" s="75">
        <f>K3246*'THAM_SO_MOI'!$C$52*'THAM_SO_MOI'!$C$17/'THAM_SO_MOI'!$C$26</f>
        <v>5912.009071907689</v>
      </c>
      <c r="M3246" s="75">
        <f>'THAM_SO_MOI'!$C$15*'THAM_SO_MOI'!$C$16*F3246^2</f>
        <v>781.3688127067697</v>
      </c>
      <c r="N3246" s="75">
        <f>'THAM_SO_MOI'!$C$12*I3246</f>
        <v>1130.112</v>
      </c>
      <c r="O3246" s="75">
        <f>M3246+N3246</f>
        <v>1911.48081270677</v>
      </c>
      <c r="P3246" s="75">
        <f>(MIN(L3246,'THAM_SO_MOI'!$C$41)-O3246)/('THAM_SO_MOI'!$C$11*H3246)</f>
        <v>0.4423889265322142</v>
      </c>
      <c r="Q3246" s="75">
        <f>IF(P3246&gt;0,1/P3246,NA())</f>
        <v>2.260454410192343</v>
      </c>
      <c r="R3246" s="75">
        <f>F3246-F3245</f>
        <v>0.007943393307218827</v>
      </c>
      <c r="S3246" s="75">
        <f>0.5*(Q3245+Q3246)*R3246</f>
        <v>0.017952436527050933</v>
      </c>
      <c r="T3246" s="75">
        <f>0.5*(F3245*Q3245+F3246*Q3246)*R3246</f>
        <v>0.2933478926658592</v>
      </c>
      <c r="U3246" s="76">
        <f>U3245+S3246</f>
        <v>26.91456175299461</v>
      </c>
      <c r="V3246" s="76">
        <f>V3245+T3246</f>
        <v>258.1934398655171</v>
      </c>
    </row>
    <row r="3247" spans="1:22" ht="19" customHeight="1">
      <c r="A3247" s="68" t="s">
        <v>376</v>
      </c>
      <c r="B3247" s="74">
        <v>4</v>
      </c>
      <c r="C3247" s="68" t="s">
        <v>363</v>
      </c>
      <c r="D3247" s="68" t="s">
        <v>364</v>
      </c>
      <c r="E3247" s="75">
        <f>60*F3247*'THAM_SO_MOI'!$C$52/(2*PI()*'THAM_SO_MOI'!$C$26)</f>
        <v>2572.5078104188074</v>
      </c>
      <c r="F3247" s="75">
        <f>'HANH_TRINH'!$F$2468+('THAM_SO_MOI'!$F$52-'HANH_TRINH'!$F$2468)*778/'THAM_SO_MOI'!$C$42</f>
        <v>16.35219733231671</v>
      </c>
      <c r="G3247" s="75">
        <f>3.6*F3247</f>
        <v>58.86791039634016</v>
      </c>
      <c r="H3247" s="75">
        <f>'THAM_SO_MOI'!$D$52</f>
        <v>1.1774754878398197</v>
      </c>
      <c r="I3247" s="75">
        <f>IF(F3247&gt;'THAM_SO_MOI'!$C$14,'THAM_SO_MOI'!$C$13*(1+F3247^2/1500),'THAM_SO_MOI'!$C$13)</f>
        <v>0.015</v>
      </c>
      <c r="J3247" s="75">
        <f>'THAM_SO_MOI'!$C$40*('THAM_SO_MOI'!$C$23*(E3247/'THAM_SO_MOI'!$C$22)+'THAM_SO_MOI'!$C$24*(E3247/'THAM_SO_MOI'!$C$22)^2-'THAM_SO_MOI'!$C$25*(E3247/'THAM_SO_MOI'!$C$22)^3)</f>
        <v>113.69982901247748</v>
      </c>
      <c r="K3247" s="75">
        <f>'THAM_SO_MOI'!$C$31*J3247/E3247</f>
        <v>422.1399242676646</v>
      </c>
      <c r="L3247" s="75">
        <f>K3247*'THAM_SO_MOI'!$C$52*'THAM_SO_MOI'!$C$17/'THAM_SO_MOI'!$C$26</f>
        <v>5911.3211482292745</v>
      </c>
      <c r="M3247" s="75">
        <f>'THAM_SO_MOI'!$C$15*'THAM_SO_MOI'!$C$16*F3247^2</f>
        <v>782.1284959654503</v>
      </c>
      <c r="N3247" s="75">
        <f>'THAM_SO_MOI'!$C$12*I3247</f>
        <v>1130.112</v>
      </c>
      <c r="O3247" s="75">
        <f>M3247+N3247</f>
        <v>1912.2404959654505</v>
      </c>
      <c r="P3247" s="75">
        <f>(MIN(L3247,'THAM_SO_MOI'!$C$41)-O3247)/('THAM_SO_MOI'!$C$11*H3247)</f>
        <v>0.4422288463534355</v>
      </c>
      <c r="Q3247" s="75">
        <f>IF(P3247&gt;0,1/P3247,NA())</f>
        <v>2.2612726606278097</v>
      </c>
      <c r="R3247" s="75">
        <f>F3247-F3246</f>
        <v>0.007943393307218827</v>
      </c>
      <c r="S3247" s="75">
        <f>0.5*(Q3246+Q3247)*R3247</f>
        <v>0.017958928275711494</v>
      </c>
      <c r="T3247" s="75">
        <f>0.5*(F3246*Q3246+F3247*Q3247)*R3247</f>
        <v>0.29359662453341023</v>
      </c>
      <c r="U3247" s="76">
        <f>U3246+S3247</f>
        <v>26.932520681270322</v>
      </c>
      <c r="V3247" s="76">
        <f>V3246+T3247</f>
        <v>258.4870364900505</v>
      </c>
    </row>
    <row r="3248" spans="1:22" ht="19" customHeight="1">
      <c r="A3248" s="68" t="s">
        <v>376</v>
      </c>
      <c r="B3248" s="74">
        <v>4</v>
      </c>
      <c r="C3248" s="68" t="s">
        <v>363</v>
      </c>
      <c r="D3248" s="68" t="s">
        <v>364</v>
      </c>
      <c r="E3248" s="75">
        <f>60*F3248*'THAM_SO_MOI'!$C$52/(2*PI()*'THAM_SO_MOI'!$C$26)</f>
        <v>2573.7574553997706</v>
      </c>
      <c r="F3248" s="75">
        <f>'HANH_TRINH'!$F$2468+('THAM_SO_MOI'!$F$52-'HANH_TRINH'!$F$2468)*779/'THAM_SO_MOI'!$C$42</f>
        <v>16.36014072562393</v>
      </c>
      <c r="G3248" s="75">
        <f>3.6*F3248</f>
        <v>58.89650661224614</v>
      </c>
      <c r="H3248" s="75">
        <f>'THAM_SO_MOI'!$D$52</f>
        <v>1.1774754878398197</v>
      </c>
      <c r="I3248" s="75">
        <f>IF(F3248&gt;'THAM_SO_MOI'!$C$14,'THAM_SO_MOI'!$C$13*(1+F3248^2/1500),'THAM_SO_MOI'!$C$13)</f>
        <v>0.015</v>
      </c>
      <c r="J3248" s="75">
        <f>'THAM_SO_MOI'!$C$40*('THAM_SO_MOI'!$C$23*(E3248/'THAM_SO_MOI'!$C$22)+'THAM_SO_MOI'!$C$24*(E3248/'THAM_SO_MOI'!$C$22)^2-'THAM_SO_MOI'!$C$25*(E3248/'THAM_SO_MOI'!$C$22)^3)</f>
        <v>113.74178193533402</v>
      </c>
      <c r="K3248" s="75">
        <f>'THAM_SO_MOI'!$C$31*J3248/E3248</f>
        <v>422.09064668559</v>
      </c>
      <c r="L3248" s="75">
        <f>K3248*'THAM_SO_MOI'!$C$52*'THAM_SO_MOI'!$C$17/'THAM_SO_MOI'!$C$26</f>
        <v>5910.631103065799</v>
      </c>
      <c r="M3248" s="75">
        <f>'THAM_SO_MOI'!$C$15*'THAM_SO_MOI'!$C$16*F3248^2</f>
        <v>782.8885483444897</v>
      </c>
      <c r="N3248" s="75">
        <f>'THAM_SO_MOI'!$C$12*I3248</f>
        <v>1130.112</v>
      </c>
      <c r="O3248" s="75">
        <f>M3248+N3248</f>
        <v>1913.0005483444897</v>
      </c>
      <c r="P3248" s="75">
        <f>(MIN(L3248,'THAM_SO_MOI'!$C$41)-O3248)/('THAM_SO_MOI'!$C$11*H3248)</f>
        <v>0.4420684907569653</v>
      </c>
      <c r="Q3248" s="75">
        <f>IF(P3248&gt;0,1/P3248,NA())</f>
        <v>2.2620929129956178</v>
      </c>
      <c r="R3248" s="75">
        <f>F3248-F3247</f>
        <v>0.007943393307218827</v>
      </c>
      <c r="S3248" s="75">
        <f>0.5*(Q3247+Q3248)*R3248</f>
        <v>0.017965435911812194</v>
      </c>
      <c r="T3248" s="75">
        <f>0.5*(F3247*Q3247+F3248*Q3248)*R3248</f>
        <v>0.2938457193917016</v>
      </c>
      <c r="U3248" s="76">
        <f>U3247+S3248</f>
        <v>26.950486117182134</v>
      </c>
      <c r="V3248" s="76">
        <f>V3247+T3248</f>
        <v>258.7808822094422</v>
      </c>
    </row>
    <row r="3249" spans="1:22" ht="19" customHeight="1">
      <c r="A3249" s="68" t="s">
        <v>376</v>
      </c>
      <c r="B3249" s="74">
        <v>4</v>
      </c>
      <c r="C3249" s="68" t="s">
        <v>363</v>
      </c>
      <c r="D3249" s="68" t="s">
        <v>364</v>
      </c>
      <c r="E3249" s="75">
        <f>60*F3249*'THAM_SO_MOI'!$C$52/(2*PI()*'THAM_SO_MOI'!$C$26)</f>
        <v>2575.0071003807343</v>
      </c>
      <c r="F3249" s="75">
        <f>'HANH_TRINH'!$F$2468+('THAM_SO_MOI'!$F$52-'HANH_TRINH'!$F$2468)*780/'THAM_SO_MOI'!$C$42</f>
        <v>16.36808411893115</v>
      </c>
      <c r="G3249" s="75">
        <f>3.6*F3249</f>
        <v>58.92510282815214</v>
      </c>
      <c r="H3249" s="75">
        <f>'THAM_SO_MOI'!$D$52</f>
        <v>1.1774754878398197</v>
      </c>
      <c r="I3249" s="75">
        <f>IF(F3249&gt;'THAM_SO_MOI'!$C$14,'THAM_SO_MOI'!$C$13*(1+F3249^2/1500),'THAM_SO_MOI'!$C$13)</f>
        <v>0.015</v>
      </c>
      <c r="J3249" s="75">
        <f>'THAM_SO_MOI'!$C$40*('THAM_SO_MOI'!$C$23*(E3249/'THAM_SO_MOI'!$C$22)+'THAM_SO_MOI'!$C$24*(E3249/'THAM_SO_MOI'!$C$22)^2-'THAM_SO_MOI'!$C$25*(E3249/'THAM_SO_MOI'!$C$22)^3)</f>
        <v>113.78368111862889</v>
      </c>
      <c r="K3249" s="75">
        <f>'THAM_SO_MOI'!$C$31*J3249/E3249</f>
        <v>422.0412176037878</v>
      </c>
      <c r="L3249" s="75">
        <f>K3249*'THAM_SO_MOI'!$C$52*'THAM_SO_MOI'!$C$17/'THAM_SO_MOI'!$C$26</f>
        <v>5909.938936417259</v>
      </c>
      <c r="M3249" s="75">
        <f>'THAM_SO_MOI'!$C$15*'THAM_SO_MOI'!$C$16*F3249^2</f>
        <v>783.648969843888</v>
      </c>
      <c r="N3249" s="75">
        <f>'THAM_SO_MOI'!$C$12*I3249</f>
        <v>1130.112</v>
      </c>
      <c r="O3249" s="75">
        <f>M3249+N3249</f>
        <v>1913.7609698438882</v>
      </c>
      <c r="P3249" s="75">
        <f>(MIN(L3249,'THAM_SO_MOI'!$C$41)-O3249)/('THAM_SO_MOI'!$C$11*H3249)</f>
        <v>0.4419078597428031</v>
      </c>
      <c r="Q3249" s="75">
        <f>IF(P3249&gt;0,1/P3249,NA())</f>
        <v>2.262915171008759</v>
      </c>
      <c r="R3249" s="75">
        <f>F3249-F3248</f>
        <v>0.00794339330722238</v>
      </c>
      <c r="S3249" s="75">
        <f>0.5*(Q3248+Q3249)*R3249</f>
        <v>0.017971959464803764</v>
      </c>
      <c r="T3249" s="75">
        <f>0.5*(F3248*Q3248+F3249*Q3249)*R3249</f>
        <v>0.2940951781012694</v>
      </c>
      <c r="U3249" s="76">
        <f>U3248+S3249</f>
        <v>26.968458076646936</v>
      </c>
      <c r="V3249" s="76">
        <f>V3248+T3249</f>
        <v>259.07497738754347</v>
      </c>
    </row>
    <row r="3250" spans="1:22" ht="19" customHeight="1">
      <c r="A3250" s="68" t="s">
        <v>376</v>
      </c>
      <c r="B3250" s="74">
        <v>4</v>
      </c>
      <c r="C3250" s="68" t="s">
        <v>363</v>
      </c>
      <c r="D3250" s="68" t="s">
        <v>364</v>
      </c>
      <c r="E3250" s="75">
        <f>60*F3250*'THAM_SO_MOI'!$C$52/(2*PI()*'THAM_SO_MOI'!$C$26)</f>
        <v>2576.2567453616975</v>
      </c>
      <c r="F3250" s="75">
        <f>'HANH_TRINH'!$F$2468+('THAM_SO_MOI'!$F$52-'HANH_TRINH'!$F$2468)*781/'THAM_SO_MOI'!$C$42</f>
        <v>16.37602751223837</v>
      </c>
      <c r="G3250" s="75">
        <f>3.6*F3250</f>
        <v>58.95369904405813</v>
      </c>
      <c r="H3250" s="75">
        <f>'THAM_SO_MOI'!$D$52</f>
        <v>1.1774754878398197</v>
      </c>
      <c r="I3250" s="75">
        <f>IF(F3250&gt;'THAM_SO_MOI'!$C$14,'THAM_SO_MOI'!$C$13*(1+F3250^2/1500),'THAM_SO_MOI'!$C$13)</f>
        <v>0.015</v>
      </c>
      <c r="J3250" s="75">
        <f>'THAM_SO_MOI'!$C$40*('THAM_SO_MOI'!$C$23*(E3250/'THAM_SO_MOI'!$C$22)+'THAM_SO_MOI'!$C$24*(E3250/'THAM_SO_MOI'!$C$22)^2-'THAM_SO_MOI'!$C$25*(E3250/'THAM_SO_MOI'!$C$22)^3)</f>
        <v>113.82552650289642</v>
      </c>
      <c r="K3250" s="75">
        <f>'THAM_SO_MOI'!$C$31*J3250/E3250</f>
        <v>421.99163702225826</v>
      </c>
      <c r="L3250" s="75">
        <f>K3250*'THAM_SO_MOI'!$C$52*'THAM_SO_MOI'!$C$17/'THAM_SO_MOI'!$C$26</f>
        <v>5909.244648283661</v>
      </c>
      <c r="M3250" s="75">
        <f>'THAM_SO_MOI'!$C$15*'THAM_SO_MOI'!$C$16*F3250^2</f>
        <v>784.4097604636451</v>
      </c>
      <c r="N3250" s="75">
        <f>'THAM_SO_MOI'!$C$12*I3250</f>
        <v>1130.112</v>
      </c>
      <c r="O3250" s="75">
        <f>M3250+N3250</f>
        <v>1914.521760463645</v>
      </c>
      <c r="P3250" s="75">
        <f>(MIN(L3250,'THAM_SO_MOI'!$C$41)-O3250)/('THAM_SO_MOI'!$C$11*H3250)</f>
        <v>0.44174695331094976</v>
      </c>
      <c r="Q3250" s="75">
        <f>IF(P3250&gt;0,1/P3250,NA())</f>
        <v>2.263739438393117</v>
      </c>
      <c r="R3250" s="75">
        <f>F3250-F3249</f>
        <v>0.007943393307218827</v>
      </c>
      <c r="S3250" s="75">
        <f>0.5*(Q3249+Q3250)*R3250</f>
        <v>0.017978498964207057</v>
      </c>
      <c r="T3250" s="75">
        <f>0.5*(F3249*Q3249+F3250*Q3250)*R3250</f>
        <v>0.294345001524733</v>
      </c>
      <c r="U3250" s="76">
        <f>U3249+S3250</f>
        <v>26.986436575611144</v>
      </c>
      <c r="V3250" s="76">
        <f>V3249+T3250</f>
        <v>259.3693223890682</v>
      </c>
    </row>
    <row r="3251" spans="1:22" ht="19" customHeight="1">
      <c r="A3251" s="68" t="s">
        <v>376</v>
      </c>
      <c r="B3251" s="74">
        <v>4</v>
      </c>
      <c r="C3251" s="68" t="s">
        <v>363</v>
      </c>
      <c r="D3251" s="68" t="s">
        <v>364</v>
      </c>
      <c r="E3251" s="75">
        <f>60*F3251*'THAM_SO_MOI'!$C$52/(2*PI()*'THAM_SO_MOI'!$C$26)</f>
        <v>2577.506390342661</v>
      </c>
      <c r="F3251" s="75">
        <f>'HANH_TRINH'!$F$2468+('THAM_SO_MOI'!$F$52-'HANH_TRINH'!$F$2468)*782/'THAM_SO_MOI'!$C$42</f>
        <v>16.38397090554559</v>
      </c>
      <c r="G3251" s="75">
        <f>3.6*F3251</f>
        <v>58.98229525996412</v>
      </c>
      <c r="H3251" s="75">
        <f>'THAM_SO_MOI'!$D$52</f>
        <v>1.1774754878398197</v>
      </c>
      <c r="I3251" s="75">
        <f>IF(F3251&gt;'THAM_SO_MOI'!$C$14,'THAM_SO_MOI'!$C$13*(1+F3251^2/1500),'THAM_SO_MOI'!$C$13)</f>
        <v>0.015</v>
      </c>
      <c r="J3251" s="75">
        <f>'THAM_SO_MOI'!$C$40*('THAM_SO_MOI'!$C$23*(E3251/'THAM_SO_MOI'!$C$22)+'THAM_SO_MOI'!$C$24*(E3251/'THAM_SO_MOI'!$C$22)^2-'THAM_SO_MOI'!$C$25*(E3251/'THAM_SO_MOI'!$C$22)^3)</f>
        <v>113.86731802867091</v>
      </c>
      <c r="K3251" s="75">
        <f>'THAM_SO_MOI'!$C$31*J3251/E3251</f>
        <v>421.94190494100127</v>
      </c>
      <c r="L3251" s="75">
        <f>K3251*'THAM_SO_MOI'!$C$52*'THAM_SO_MOI'!$C$17/'THAM_SO_MOI'!$C$26</f>
        <v>5908.548238665003</v>
      </c>
      <c r="M3251" s="75">
        <f>'THAM_SO_MOI'!$C$15*'THAM_SO_MOI'!$C$16*F3251^2</f>
        <v>785.1709202037607</v>
      </c>
      <c r="N3251" s="75">
        <f>'THAM_SO_MOI'!$C$12*I3251</f>
        <v>1130.112</v>
      </c>
      <c r="O3251" s="75">
        <f>M3251+N3251</f>
        <v>1915.2829202037608</v>
      </c>
      <c r="P3251" s="75">
        <f>(MIN(L3251,'THAM_SO_MOI'!$C$41)-O3251)/('THAM_SO_MOI'!$C$11*H3251)</f>
        <v>0.44158577146140493</v>
      </c>
      <c r="Q3251" s="75">
        <f>IF(P3251&gt;0,1/P3251,NA())</f>
        <v>2.264565718887528</v>
      </c>
      <c r="R3251" s="75">
        <f>F3251-F3250</f>
        <v>0.007943393307218827</v>
      </c>
      <c r="S3251" s="75">
        <f>0.5*(Q3250+Q3251)*R3251</f>
        <v>0.017985054439693785</v>
      </c>
      <c r="T3251" s="75">
        <f>0.5*(F3250*Q3250+F3251*Q3251)*R3251</f>
        <v>0.2945951905281212</v>
      </c>
      <c r="U3251" s="76">
        <f>U3250+S3251</f>
        <v>27.00442163005084</v>
      </c>
      <c r="V3251" s="76">
        <f>V3250+T3251</f>
        <v>259.66391757959633</v>
      </c>
    </row>
    <row r="3252" spans="1:22" ht="19" customHeight="1">
      <c r="A3252" s="68" t="s">
        <v>376</v>
      </c>
      <c r="B3252" s="74">
        <v>4</v>
      </c>
      <c r="C3252" s="68" t="s">
        <v>363</v>
      </c>
      <c r="D3252" s="68" t="s">
        <v>364</v>
      </c>
      <c r="E3252" s="75">
        <f>60*F3252*'THAM_SO_MOI'!$C$52/(2*PI()*'THAM_SO_MOI'!$C$26)</f>
        <v>2578.7560353236236</v>
      </c>
      <c r="F3252" s="75">
        <f>'HANH_TRINH'!$F$2468+('THAM_SO_MOI'!$F$52-'HANH_TRINH'!$F$2468)*783/'THAM_SO_MOI'!$C$42</f>
        <v>16.391914298852807</v>
      </c>
      <c r="G3252" s="75">
        <f>3.6*F3252</f>
        <v>59.01089147587011</v>
      </c>
      <c r="H3252" s="75">
        <f>'THAM_SO_MOI'!$D$52</f>
        <v>1.1774754878398197</v>
      </c>
      <c r="I3252" s="75">
        <f>IF(F3252&gt;'THAM_SO_MOI'!$C$14,'THAM_SO_MOI'!$C$13*(1+F3252^2/1500),'THAM_SO_MOI'!$C$13)</f>
        <v>0.015</v>
      </c>
      <c r="J3252" s="75">
        <f>'THAM_SO_MOI'!$C$40*('THAM_SO_MOI'!$C$23*(E3252/'THAM_SO_MOI'!$C$22)+'THAM_SO_MOI'!$C$24*(E3252/'THAM_SO_MOI'!$C$22)^2-'THAM_SO_MOI'!$C$25*(E3252/'THAM_SO_MOI'!$C$22)^3)</f>
        <v>113.90905563648666</v>
      </c>
      <c r="K3252" s="75">
        <f>'THAM_SO_MOI'!$C$31*J3252/E3252</f>
        <v>421.8920213600168</v>
      </c>
      <c r="L3252" s="75">
        <f>K3252*'THAM_SO_MOI'!$C$52*'THAM_SO_MOI'!$C$17/'THAM_SO_MOI'!$C$26</f>
        <v>5907.849707561283</v>
      </c>
      <c r="M3252" s="75">
        <f>'THAM_SO_MOI'!$C$15*'THAM_SO_MOI'!$C$16*F3252^2</f>
        <v>785.9324490642352</v>
      </c>
      <c r="N3252" s="75">
        <f>'THAM_SO_MOI'!$C$12*I3252</f>
        <v>1130.112</v>
      </c>
      <c r="O3252" s="75">
        <f>M3252+N3252</f>
        <v>1916.0444490642353</v>
      </c>
      <c r="P3252" s="75">
        <f>(MIN(L3252,'THAM_SO_MOI'!$C$41)-O3252)/('THAM_SO_MOI'!$C$11*H3252)</f>
        <v>0.4414243141941685</v>
      </c>
      <c r="Q3252" s="75">
        <f>IF(P3252&gt;0,1/P3252,NA())</f>
        <v>2.265394016243817</v>
      </c>
      <c r="R3252" s="75">
        <f>F3252-F3251</f>
        <v>0.007943393307218827</v>
      </c>
      <c r="S3252" s="75">
        <f>0.5*(Q3251+Q3252)*R3252</f>
        <v>0.017991625921006546</v>
      </c>
      <c r="T3252" s="75">
        <f>0.5*(F3251*Q3251+F3252*Q3252)*R3252</f>
        <v>0.29484574597956714</v>
      </c>
      <c r="U3252" s="76">
        <f>U3251+S3252</f>
        <v>27.022413255971845</v>
      </c>
      <c r="V3252" s="76">
        <f>V3251+T3252</f>
        <v>259.9587633255759</v>
      </c>
    </row>
    <row r="3253" spans="1:22" ht="19" customHeight="1">
      <c r="A3253" s="68" t="s">
        <v>376</v>
      </c>
      <c r="B3253" s="74">
        <v>4</v>
      </c>
      <c r="C3253" s="68" t="s">
        <v>363</v>
      </c>
      <c r="D3253" s="68" t="s">
        <v>364</v>
      </c>
      <c r="E3253" s="75">
        <f>60*F3253*'THAM_SO_MOI'!$C$52/(2*PI()*'THAM_SO_MOI'!$C$26)</f>
        <v>2580.0056803045873</v>
      </c>
      <c r="F3253" s="75">
        <f>'HANH_TRINH'!$F$2468+('THAM_SO_MOI'!$F$52-'HANH_TRINH'!$F$2468)*784/'THAM_SO_MOI'!$C$42</f>
        <v>16.399857692160026</v>
      </c>
      <c r="G3253" s="75">
        <f>3.6*F3253</f>
        <v>59.039487691776095</v>
      </c>
      <c r="H3253" s="75">
        <f>'THAM_SO_MOI'!$D$52</f>
        <v>1.1774754878398197</v>
      </c>
      <c r="I3253" s="75">
        <f>IF(F3253&gt;'THAM_SO_MOI'!$C$14,'THAM_SO_MOI'!$C$13*(1+F3253^2/1500),'THAM_SO_MOI'!$C$13)</f>
        <v>0.015</v>
      </c>
      <c r="J3253" s="75">
        <f>'THAM_SO_MOI'!$C$40*('THAM_SO_MOI'!$C$23*(E3253/'THAM_SO_MOI'!$C$22)+'THAM_SO_MOI'!$C$24*(E3253/'THAM_SO_MOI'!$C$22)^2-'THAM_SO_MOI'!$C$25*(E3253/'THAM_SO_MOI'!$C$22)^3)</f>
        <v>113.950739266878</v>
      </c>
      <c r="K3253" s="75">
        <f>'THAM_SO_MOI'!$C$31*J3253/E3253</f>
        <v>421.8419862793048</v>
      </c>
      <c r="L3253" s="75">
        <f>K3253*'THAM_SO_MOI'!$C$52*'THAM_SO_MOI'!$C$17/'THAM_SO_MOI'!$C$26</f>
        <v>5907.1490549725</v>
      </c>
      <c r="M3253" s="75">
        <f>'THAM_SO_MOI'!$C$15*'THAM_SO_MOI'!$C$16*F3253^2</f>
        <v>786.6943470450686</v>
      </c>
      <c r="N3253" s="75">
        <f>'THAM_SO_MOI'!$C$12*I3253</f>
        <v>1130.112</v>
      </c>
      <c r="O3253" s="75">
        <f>M3253+N3253</f>
        <v>1916.8063470450688</v>
      </c>
      <c r="P3253" s="75">
        <f>(MIN(L3253,'THAM_SO_MOI'!$C$41)-O3253)/('THAM_SO_MOI'!$C$11*H3253)</f>
        <v>0.44126258150924036</v>
      </c>
      <c r="Q3253" s="75">
        <f>IF(P3253&gt;0,1/P3253,NA())</f>
        <v>2.2662243342268513</v>
      </c>
      <c r="R3253" s="75">
        <f>F3253-F3252</f>
        <v>0.007943393307218827</v>
      </c>
      <c r="S3253" s="75">
        <f>0.5*(Q3252+Q3253)*R3253</f>
        <v>0.017998213437999365</v>
      </c>
      <c r="T3253" s="75">
        <f>0.5*(F3252*Q3252+F3253*Q3253)*R3253</f>
        <v>0.2950966687499758</v>
      </c>
      <c r="U3253" s="76">
        <f>U3252+S3253</f>
        <v>27.040411469409843</v>
      </c>
      <c r="V3253" s="76">
        <f>V3252+T3253</f>
        <v>260.25385999432586</v>
      </c>
    </row>
    <row r="3254" spans="1:22" ht="19" customHeight="1">
      <c r="A3254" s="68" t="s">
        <v>376</v>
      </c>
      <c r="B3254" s="74">
        <v>4</v>
      </c>
      <c r="C3254" s="68" t="s">
        <v>363</v>
      </c>
      <c r="D3254" s="68" t="s">
        <v>364</v>
      </c>
      <c r="E3254" s="75">
        <f>60*F3254*'THAM_SO_MOI'!$C$52/(2*PI()*'THAM_SO_MOI'!$C$26)</f>
        <v>2581.255325285551</v>
      </c>
      <c r="F3254" s="75">
        <f>'HANH_TRINH'!$F$2468+('THAM_SO_MOI'!$F$52-'HANH_TRINH'!$F$2468)*785/'THAM_SO_MOI'!$C$42</f>
        <v>16.40780108546725</v>
      </c>
      <c r="G3254" s="75">
        <f>3.6*F3254</f>
        <v>59.068083907682094</v>
      </c>
      <c r="H3254" s="75">
        <f>'THAM_SO_MOI'!$D$52</f>
        <v>1.1774754878398197</v>
      </c>
      <c r="I3254" s="75">
        <f>IF(F3254&gt;'THAM_SO_MOI'!$C$14,'THAM_SO_MOI'!$C$13*(1+F3254^2/1500),'THAM_SO_MOI'!$C$13)</f>
        <v>0.015</v>
      </c>
      <c r="J3254" s="75">
        <f>'THAM_SO_MOI'!$C$40*('THAM_SO_MOI'!$C$23*(E3254/'THAM_SO_MOI'!$C$22)+'THAM_SO_MOI'!$C$24*(E3254/'THAM_SO_MOI'!$C$22)^2-'THAM_SO_MOI'!$C$25*(E3254/'THAM_SO_MOI'!$C$22)^3)</f>
        <v>113.99236886037924</v>
      </c>
      <c r="K3254" s="75">
        <f>'THAM_SO_MOI'!$C$31*J3254/E3254</f>
        <v>421.79179969886525</v>
      </c>
      <c r="L3254" s="75">
        <f>K3254*'THAM_SO_MOI'!$C$52*'THAM_SO_MOI'!$C$17/'THAM_SO_MOI'!$C$26</f>
        <v>5906.446280898657</v>
      </c>
      <c r="M3254" s="75">
        <f>'THAM_SO_MOI'!$C$15*'THAM_SO_MOI'!$C$16*F3254^2</f>
        <v>787.4566141462611</v>
      </c>
      <c r="N3254" s="75">
        <f>'THAM_SO_MOI'!$C$12*I3254</f>
        <v>1130.112</v>
      </c>
      <c r="O3254" s="75">
        <f>M3254+N3254</f>
        <v>1917.568614146261</v>
      </c>
      <c r="P3254" s="75">
        <f>(MIN(L3254,'THAM_SO_MOI'!$C$41)-O3254)/('THAM_SO_MOI'!$C$11*H3254)</f>
        <v>0.44110057340662073</v>
      </c>
      <c r="Q3254" s="75">
        <f>IF(P3254&gt;0,1/P3254,NA())</f>
        <v>2.267056676614582</v>
      </c>
      <c r="R3254" s="75">
        <f>F3254-F3253</f>
        <v>0.00794339330722238</v>
      </c>
      <c r="S3254" s="75">
        <f>0.5*(Q3253+Q3254)*R3254</f>
        <v>0.01800481702063807</v>
      </c>
      <c r="T3254" s="75">
        <f>0.5*(F3253*Q3253+F3254*Q3254)*R3254</f>
        <v>0.2953479597130352</v>
      </c>
      <c r="U3254" s="76">
        <f>U3253+S3254</f>
        <v>27.058416286430482</v>
      </c>
      <c r="V3254" s="76">
        <f>V3253+T3254</f>
        <v>260.5492079540389</v>
      </c>
    </row>
    <row r="3255" spans="1:22" ht="19" customHeight="1">
      <c r="A3255" s="68" t="s">
        <v>376</v>
      </c>
      <c r="B3255" s="74">
        <v>4</v>
      </c>
      <c r="C3255" s="68" t="s">
        <v>363</v>
      </c>
      <c r="D3255" s="68" t="s">
        <v>364</v>
      </c>
      <c r="E3255" s="75">
        <f>60*F3255*'THAM_SO_MOI'!$C$52/(2*PI()*'THAM_SO_MOI'!$C$26)</f>
        <v>2582.5049702665137</v>
      </c>
      <c r="F3255" s="75">
        <f>'HANH_TRINH'!$F$2468+('THAM_SO_MOI'!$F$52-'HANH_TRINH'!$F$2468)*786/'THAM_SO_MOI'!$C$42</f>
        <v>16.415744478774464</v>
      </c>
      <c r="G3255" s="75">
        <f>3.6*F3255</f>
        <v>59.09668012358807</v>
      </c>
      <c r="H3255" s="75">
        <f>'THAM_SO_MOI'!$D$52</f>
        <v>1.1774754878398197</v>
      </c>
      <c r="I3255" s="75">
        <f>IF(F3255&gt;'THAM_SO_MOI'!$C$14,'THAM_SO_MOI'!$C$13*(1+F3255^2/1500),'THAM_SO_MOI'!$C$13)</f>
        <v>0.015</v>
      </c>
      <c r="J3255" s="75">
        <f>'THAM_SO_MOI'!$C$40*('THAM_SO_MOI'!$C$23*(E3255/'THAM_SO_MOI'!$C$22)+'THAM_SO_MOI'!$C$24*(E3255/'THAM_SO_MOI'!$C$22)^2-'THAM_SO_MOI'!$C$25*(E3255/'THAM_SO_MOI'!$C$22)^3)</f>
        <v>114.03394435752469</v>
      </c>
      <c r="K3255" s="75">
        <f>'THAM_SO_MOI'!$C$31*J3255/E3255</f>
        <v>421.7414616186984</v>
      </c>
      <c r="L3255" s="75">
        <f>K3255*'THAM_SO_MOI'!$C$52*'THAM_SO_MOI'!$C$17/'THAM_SO_MOI'!$C$26</f>
        <v>5905.741385339755</v>
      </c>
      <c r="M3255" s="75">
        <f>'THAM_SO_MOI'!$C$15*'THAM_SO_MOI'!$C$16*F3255^2</f>
        <v>788.2192503678119</v>
      </c>
      <c r="N3255" s="75">
        <f>'THAM_SO_MOI'!$C$12*I3255</f>
        <v>1130.112</v>
      </c>
      <c r="O3255" s="75">
        <f>M3255+N3255</f>
        <v>1918.3312503678121</v>
      </c>
      <c r="P3255" s="75">
        <f>(MIN(L3255,'THAM_SO_MOI'!$C$41)-O3255)/('THAM_SO_MOI'!$C$11*H3255)</f>
        <v>0.4409382898863098</v>
      </c>
      <c r="Q3255" s="75">
        <f>IF(P3255&gt;0,1/P3255,NA())</f>
        <v>2.2678910471980944</v>
      </c>
      <c r="R3255" s="75">
        <f>F3255-F3254</f>
        <v>0.007943393307215274</v>
      </c>
      <c r="S3255" s="75">
        <f>0.5*(Q3254+Q3255)*R3255</f>
        <v>0.018011436698952377</v>
      </c>
      <c r="T3255" s="75">
        <f>0.5*(F3254*Q3254+F3255*Q3255)*R3255</f>
        <v>0.2955996197444333</v>
      </c>
      <c r="U3255" s="76">
        <f>U3254+S3255</f>
        <v>27.076427723129434</v>
      </c>
      <c r="V3255" s="76">
        <f>V3254+T3255</f>
        <v>260.8448075737833</v>
      </c>
    </row>
    <row r="3256" spans="1:22" ht="19" customHeight="1">
      <c r="A3256" s="68" t="s">
        <v>376</v>
      </c>
      <c r="B3256" s="74">
        <v>4</v>
      </c>
      <c r="C3256" s="68" t="s">
        <v>363</v>
      </c>
      <c r="D3256" s="68" t="s">
        <v>364</v>
      </c>
      <c r="E3256" s="75">
        <f>60*F3256*'THAM_SO_MOI'!$C$52/(2*PI()*'THAM_SO_MOI'!$C$26)</f>
        <v>2583.754615247477</v>
      </c>
      <c r="F3256" s="75">
        <f>'HANH_TRINH'!$F$2468+('THAM_SO_MOI'!$F$52-'HANH_TRINH'!$F$2468)*787/'THAM_SO_MOI'!$C$42</f>
        <v>16.423687872081686</v>
      </c>
      <c r="G3256" s="75">
        <f>3.6*F3256</f>
        <v>59.12527633949407</v>
      </c>
      <c r="H3256" s="75">
        <f>'THAM_SO_MOI'!$D$52</f>
        <v>1.1774754878398197</v>
      </c>
      <c r="I3256" s="75">
        <f>IF(F3256&gt;'THAM_SO_MOI'!$C$14,'THAM_SO_MOI'!$C$13*(1+F3256^2/1500),'THAM_SO_MOI'!$C$13)</f>
        <v>0.015</v>
      </c>
      <c r="J3256" s="75">
        <f>'THAM_SO_MOI'!$C$40*('THAM_SO_MOI'!$C$23*(E3256/'THAM_SO_MOI'!$C$22)+'THAM_SO_MOI'!$C$24*(E3256/'THAM_SO_MOI'!$C$22)^2-'THAM_SO_MOI'!$C$25*(E3256/'THAM_SO_MOI'!$C$22)^3)</f>
        <v>114.07546569884866</v>
      </c>
      <c r="K3256" s="75">
        <f>'THAM_SO_MOI'!$C$31*J3256/E3256</f>
        <v>421.6909720388039</v>
      </c>
      <c r="L3256" s="75">
        <f>K3256*'THAM_SO_MOI'!$C$52*'THAM_SO_MOI'!$C$17/'THAM_SO_MOI'!$C$26</f>
        <v>5905.034368295789</v>
      </c>
      <c r="M3256" s="75">
        <f>'THAM_SO_MOI'!$C$15*'THAM_SO_MOI'!$C$16*F3256^2</f>
        <v>788.982255709722</v>
      </c>
      <c r="N3256" s="75">
        <f>'THAM_SO_MOI'!$C$12*I3256</f>
        <v>1130.112</v>
      </c>
      <c r="O3256" s="75">
        <f>M3256+N3256</f>
        <v>1919.0942557097221</v>
      </c>
      <c r="P3256" s="75">
        <f>(MIN(L3256,'THAM_SO_MOI'!$C$41)-O3256)/('THAM_SO_MOI'!$C$11*H3256)</f>
        <v>0.4407757309483069</v>
      </c>
      <c r="Q3256" s="75">
        <f>IF(P3256&gt;0,1/P3256,NA())</f>
        <v>2.2687274497816614</v>
      </c>
      <c r="R3256" s="75">
        <f>F3256-F3255</f>
        <v>0.00794339330722238</v>
      </c>
      <c r="S3256" s="75">
        <f>0.5*(Q3255+Q3256)*R3256</f>
        <v>0.01801807250316512</v>
      </c>
      <c r="T3256" s="75">
        <f>0.5*(F3255*Q3255+F3256*Q3256)*R3256</f>
        <v>0.2958516497239836</v>
      </c>
      <c r="U3256" s="76">
        <f>U3255+S3256</f>
        <v>27.0944457956326</v>
      </c>
      <c r="V3256" s="76">
        <f>V3255+T3256</f>
        <v>261.1406592235073</v>
      </c>
    </row>
    <row r="3257" spans="1:22" ht="19" customHeight="1">
      <c r="A3257" s="68" t="s">
        <v>376</v>
      </c>
      <c r="B3257" s="74">
        <v>4</v>
      </c>
      <c r="C3257" s="68" t="s">
        <v>363</v>
      </c>
      <c r="D3257" s="68" t="s">
        <v>364</v>
      </c>
      <c r="E3257" s="75">
        <f>60*F3257*'THAM_SO_MOI'!$C$52/(2*PI()*'THAM_SO_MOI'!$C$26)</f>
        <v>2585.00426022844</v>
      </c>
      <c r="F3257" s="75">
        <f>'HANH_TRINH'!$F$2468+('THAM_SO_MOI'!$F$52-'HANH_TRINH'!$F$2468)*788/'THAM_SO_MOI'!$C$42</f>
        <v>16.431631265388905</v>
      </c>
      <c r="G3257" s="75">
        <f>3.6*F3257</f>
        <v>59.153872555400056</v>
      </c>
      <c r="H3257" s="75">
        <f>'THAM_SO_MOI'!$D$52</f>
        <v>1.1774754878398197</v>
      </c>
      <c r="I3257" s="75">
        <f>IF(F3257&gt;'THAM_SO_MOI'!$C$14,'THAM_SO_MOI'!$C$13*(1+F3257^2/1500),'THAM_SO_MOI'!$C$13)</f>
        <v>0.015</v>
      </c>
      <c r="J3257" s="75">
        <f>'THAM_SO_MOI'!$C$40*('THAM_SO_MOI'!$C$23*(E3257/'THAM_SO_MOI'!$C$22)+'THAM_SO_MOI'!$C$24*(E3257/'THAM_SO_MOI'!$C$22)^2-'THAM_SO_MOI'!$C$25*(E3257/'THAM_SO_MOI'!$C$22)^3)</f>
        <v>114.11693282488551</v>
      </c>
      <c r="K3257" s="75">
        <f>'THAM_SO_MOI'!$C$31*J3257/E3257</f>
        <v>421.6403309591821</v>
      </c>
      <c r="L3257" s="75">
        <f>K3257*'THAM_SO_MOI'!$C$52*'THAM_SO_MOI'!$C$17/'THAM_SO_MOI'!$C$26</f>
        <v>5904.325229766765</v>
      </c>
      <c r="M3257" s="75">
        <f>'THAM_SO_MOI'!$C$15*'THAM_SO_MOI'!$C$16*F3257^2</f>
        <v>789.7456301719907</v>
      </c>
      <c r="N3257" s="75">
        <f>'THAM_SO_MOI'!$C$12*I3257</f>
        <v>1130.112</v>
      </c>
      <c r="O3257" s="75">
        <f>M3257+N3257</f>
        <v>1919.8576301719909</v>
      </c>
      <c r="P3257" s="75">
        <f>(MIN(L3257,'THAM_SO_MOI'!$C$41)-O3257)/('THAM_SO_MOI'!$C$11*H3257)</f>
        <v>0.440612896592613</v>
      </c>
      <c r="Q3257" s="75">
        <f>IF(P3257&gt;0,1/P3257,NA())</f>
        <v>2.2695658881827776</v>
      </c>
      <c r="R3257" s="75">
        <f>F3257-F3256</f>
        <v>0.007943393307218827</v>
      </c>
      <c r="S3257" s="75">
        <f>0.5*(Q3256+Q3257)*R3257</f>
        <v>0.018024724463491258</v>
      </c>
      <c r="T3257" s="75">
        <f>0.5*(F3256*Q3256+F3257*Q3257)*R3257</f>
        <v>0.2961040505323305</v>
      </c>
      <c r="U3257" s="76">
        <f>U3256+S3257</f>
        <v>27.11247052009609</v>
      </c>
      <c r="V3257" s="76">
        <f>V3256+T3257</f>
        <v>261.43676327403966</v>
      </c>
    </row>
    <row r="3258" spans="1:22" ht="19" customHeight="1">
      <c r="A3258" s="68" t="s">
        <v>376</v>
      </c>
      <c r="B3258" s="74">
        <v>4</v>
      </c>
      <c r="C3258" s="68" t="s">
        <v>363</v>
      </c>
      <c r="D3258" s="68" t="s">
        <v>364</v>
      </c>
      <c r="E3258" s="75">
        <f>60*F3258*'THAM_SO_MOI'!$C$52/(2*PI()*'THAM_SO_MOI'!$C$26)</f>
        <v>2586.2539052094035</v>
      </c>
      <c r="F3258" s="75">
        <f>'HANH_TRINH'!$F$2468+('THAM_SO_MOI'!$F$52-'HANH_TRINH'!$F$2468)*789/'THAM_SO_MOI'!$C$42</f>
        <v>16.439574658696124</v>
      </c>
      <c r="G3258" s="75">
        <f>3.6*F3258</f>
        <v>59.18246877130605</v>
      </c>
      <c r="H3258" s="75">
        <f>'THAM_SO_MOI'!$D$52</f>
        <v>1.1774754878398197</v>
      </c>
      <c r="I3258" s="75">
        <f>IF(F3258&gt;'THAM_SO_MOI'!$C$14,'THAM_SO_MOI'!$C$13*(1+F3258^2/1500),'THAM_SO_MOI'!$C$13)</f>
        <v>0.015</v>
      </c>
      <c r="J3258" s="75">
        <f>'THAM_SO_MOI'!$C$40*('THAM_SO_MOI'!$C$23*(E3258/'THAM_SO_MOI'!$C$22)+'THAM_SO_MOI'!$C$24*(E3258/'THAM_SO_MOI'!$C$22)^2-'THAM_SO_MOI'!$C$25*(E3258/'THAM_SO_MOI'!$C$22)^3)</f>
        <v>114.15834567616946</v>
      </c>
      <c r="K3258" s="75">
        <f>'THAM_SO_MOI'!$C$31*J3258/E3258</f>
        <v>421.58953837983273</v>
      </c>
      <c r="L3258" s="75">
        <f>K3258*'THAM_SO_MOI'!$C$52*'THAM_SO_MOI'!$C$17/'THAM_SO_MOI'!$C$26</f>
        <v>5903.613969752679</v>
      </c>
      <c r="M3258" s="75">
        <f>'THAM_SO_MOI'!$C$15*'THAM_SO_MOI'!$C$16*F3258^2</f>
        <v>790.5093737546181</v>
      </c>
      <c r="N3258" s="75">
        <f>'THAM_SO_MOI'!$C$12*I3258</f>
        <v>1130.112</v>
      </c>
      <c r="O3258" s="75">
        <f>M3258+N3258</f>
        <v>1920.6213737546182</v>
      </c>
      <c r="P3258" s="75">
        <f>(MIN(L3258,'THAM_SO_MOI'!$C$41)-O3258)/('THAM_SO_MOI'!$C$11*H3258)</f>
        <v>0.4404497868192272</v>
      </c>
      <c r="Q3258" s="75">
        <f>IF(P3258&gt;0,1/P3258,NA())</f>
        <v>2.2704063662322254</v>
      </c>
      <c r="R3258" s="75">
        <f>F3258-F3257</f>
        <v>0.007943393307218827</v>
      </c>
      <c r="S3258" s="75">
        <f>0.5*(Q3257+Q3258)*R3258</f>
        <v>0.018031392610339654</v>
      </c>
      <c r="T3258" s="75">
        <f>0.5*(F3257*Q3257+F3258*Q3258)*R3258</f>
        <v>0.29635682305426525</v>
      </c>
      <c r="U3258" s="76">
        <f>U3257+S3258</f>
        <v>27.13050191270643</v>
      </c>
      <c r="V3258" s="76">
        <f>V3257+T3258</f>
        <v>261.73312009709394</v>
      </c>
    </row>
    <row r="3259" spans="1:22" ht="19" customHeight="1">
      <c r="A3259" s="68" t="s">
        <v>376</v>
      </c>
      <c r="B3259" s="74">
        <v>4</v>
      </c>
      <c r="C3259" s="68" t="s">
        <v>363</v>
      </c>
      <c r="D3259" s="68" t="s">
        <v>364</v>
      </c>
      <c r="E3259" s="75">
        <f>60*F3259*'THAM_SO_MOI'!$C$52/(2*PI()*'THAM_SO_MOI'!$C$26)</f>
        <v>2587.5035501903676</v>
      </c>
      <c r="F3259" s="75">
        <f>'HANH_TRINH'!$F$2468+('THAM_SO_MOI'!$F$52-'HANH_TRINH'!$F$2468)*790/'THAM_SO_MOI'!$C$42</f>
        <v>16.447518052003346</v>
      </c>
      <c r="G3259" s="75">
        <f>3.6*F3259</f>
        <v>59.21106498721205</v>
      </c>
      <c r="H3259" s="75">
        <f>'THAM_SO_MOI'!$D$52</f>
        <v>1.1774754878398197</v>
      </c>
      <c r="I3259" s="75">
        <f>IF(F3259&gt;'THAM_SO_MOI'!$C$14,'THAM_SO_MOI'!$C$13*(1+F3259^2/1500),'THAM_SO_MOI'!$C$13)</f>
        <v>0.015</v>
      </c>
      <c r="J3259" s="75">
        <f>'THAM_SO_MOI'!$C$40*('THAM_SO_MOI'!$C$23*(E3259/'THAM_SO_MOI'!$C$22)+'THAM_SO_MOI'!$C$24*(E3259/'THAM_SO_MOI'!$C$22)^2-'THAM_SO_MOI'!$C$25*(E3259/'THAM_SO_MOI'!$C$22)^3)</f>
        <v>114.19970419323491</v>
      </c>
      <c r="K3259" s="75">
        <f>'THAM_SO_MOI'!$C$31*J3259/E3259</f>
        <v>421.53859430075573</v>
      </c>
      <c r="L3259" s="75">
        <f>K3259*'THAM_SO_MOI'!$C$52*'THAM_SO_MOI'!$C$17/'THAM_SO_MOI'!$C$26</f>
        <v>5902.900588253529</v>
      </c>
      <c r="M3259" s="75">
        <f>'THAM_SO_MOI'!$C$15*'THAM_SO_MOI'!$C$16*F3259^2</f>
        <v>791.2734864576048</v>
      </c>
      <c r="N3259" s="75">
        <f>'THAM_SO_MOI'!$C$12*I3259</f>
        <v>1130.112</v>
      </c>
      <c r="O3259" s="75">
        <f>M3259+N3259</f>
        <v>1921.3854864576049</v>
      </c>
      <c r="P3259" s="75">
        <f>(MIN(L3259,'THAM_SO_MOI'!$C$41)-O3259)/('THAM_SO_MOI'!$C$11*H3259)</f>
        <v>0.4402864016281497</v>
      </c>
      <c r="Q3259" s="75">
        <f>IF(P3259&gt;0,1/P3259,NA())</f>
        <v>2.2712488877741097</v>
      </c>
      <c r="R3259" s="75">
        <f>F3259-F3258</f>
        <v>0.00794339330722238</v>
      </c>
      <c r="S3259" s="75">
        <f>0.5*(Q3258+Q3259)*R3259</f>
        <v>0.018038076974192636</v>
      </c>
      <c r="T3259" s="75">
        <f>0.5*(F3258*Q3258+F3259*Q3259)*R3259</f>
        <v>0.29660996817675356</v>
      </c>
      <c r="U3259" s="76">
        <f>U3258+S3259</f>
        <v>27.14853998968062</v>
      </c>
      <c r="V3259" s="76">
        <f>V3258+T3259</f>
        <v>262.0297300652707</v>
      </c>
    </row>
    <row r="3260" spans="1:22" ht="19" customHeight="1">
      <c r="A3260" s="68" t="s">
        <v>376</v>
      </c>
      <c r="B3260" s="74">
        <v>4</v>
      </c>
      <c r="C3260" s="68" t="s">
        <v>363</v>
      </c>
      <c r="D3260" s="68" t="s">
        <v>364</v>
      </c>
      <c r="E3260" s="75">
        <f>60*F3260*'THAM_SO_MOI'!$C$52/(2*PI()*'THAM_SO_MOI'!$C$26)</f>
        <v>2588.7531951713304</v>
      </c>
      <c r="F3260" s="75">
        <f>'HANH_TRINH'!$F$2468+('THAM_SO_MOI'!$F$52-'HANH_TRINH'!$F$2468)*791/'THAM_SO_MOI'!$C$42</f>
        <v>16.455461445310565</v>
      </c>
      <c r="G3260" s="75">
        <f>3.6*F3260</f>
        <v>59.23966120311803</v>
      </c>
      <c r="H3260" s="75">
        <f>'THAM_SO_MOI'!$D$52</f>
        <v>1.1774754878398197</v>
      </c>
      <c r="I3260" s="75">
        <f>IF(F3260&gt;'THAM_SO_MOI'!$C$14,'THAM_SO_MOI'!$C$13*(1+F3260^2/1500),'THAM_SO_MOI'!$C$13)</f>
        <v>0.015</v>
      </c>
      <c r="J3260" s="75">
        <f>'THAM_SO_MOI'!$C$40*('THAM_SO_MOI'!$C$23*(E3260/'THAM_SO_MOI'!$C$22)+'THAM_SO_MOI'!$C$24*(E3260/'THAM_SO_MOI'!$C$22)^2-'THAM_SO_MOI'!$C$25*(E3260/'THAM_SO_MOI'!$C$22)^3)</f>
        <v>114.24100831661616</v>
      </c>
      <c r="K3260" s="75">
        <f>'THAM_SO_MOI'!$C$31*J3260/E3260</f>
        <v>421.4874987219516</v>
      </c>
      <c r="L3260" s="75">
        <f>K3260*'THAM_SO_MOI'!$C$52*'THAM_SO_MOI'!$C$17/'THAM_SO_MOI'!$C$26</f>
        <v>5902.185085269324</v>
      </c>
      <c r="M3260" s="75">
        <f>'THAM_SO_MOI'!$C$15*'THAM_SO_MOI'!$C$16*F3260^2</f>
        <v>792.0379682809497</v>
      </c>
      <c r="N3260" s="75">
        <f>'THAM_SO_MOI'!$C$12*I3260</f>
        <v>1130.112</v>
      </c>
      <c r="O3260" s="75">
        <f>M3260+N3260</f>
        <v>1922.14996828095</v>
      </c>
      <c r="P3260" s="75">
        <f>(MIN(L3260,'THAM_SO_MOI'!$C$41)-O3260)/('THAM_SO_MOI'!$C$11*H3260)</f>
        <v>0.4401227410193813</v>
      </c>
      <c r="Q3260" s="75">
        <f>IF(P3260&gt;0,1/P3260,NA())</f>
        <v>2.2720934566659072</v>
      </c>
      <c r="R3260" s="75">
        <f>F3260-F3259</f>
        <v>0.007943393307218827</v>
      </c>
      <c r="S3260" s="75">
        <f>0.5*(Q3259+Q3260)*R3260</f>
        <v>0.01804477758561436</v>
      </c>
      <c r="T3260" s="75">
        <f>0.5*(F3259*Q3259+F3260*Q3260)*R3260</f>
        <v>0.29686348678907537</v>
      </c>
      <c r="U3260" s="76">
        <f>U3259+S3260</f>
        <v>27.166584767266237</v>
      </c>
      <c r="V3260" s="76">
        <f>V3259+T3260</f>
        <v>262.32659355205976</v>
      </c>
    </row>
    <row r="3261" spans="1:22" ht="19" customHeight="1">
      <c r="A3261" s="68" t="s">
        <v>376</v>
      </c>
      <c r="B3261" s="74">
        <v>4</v>
      </c>
      <c r="C3261" s="68" t="s">
        <v>363</v>
      </c>
      <c r="D3261" s="68" t="s">
        <v>364</v>
      </c>
      <c r="E3261" s="75">
        <f>60*F3261*'THAM_SO_MOI'!$C$52/(2*PI()*'THAM_SO_MOI'!$C$26)</f>
        <v>2590.0028401522936</v>
      </c>
      <c r="F3261" s="75">
        <f>'HANH_TRINH'!$F$2468+('THAM_SO_MOI'!$F$52-'HANH_TRINH'!$F$2468)*792/'THAM_SO_MOI'!$C$42</f>
        <v>16.463404838617784</v>
      </c>
      <c r="G3261" s="75">
        <f>3.6*F3261</f>
        <v>59.268257419024025</v>
      </c>
      <c r="H3261" s="75">
        <f>'THAM_SO_MOI'!$D$52</f>
        <v>1.1774754878398197</v>
      </c>
      <c r="I3261" s="75">
        <f>IF(F3261&gt;'THAM_SO_MOI'!$C$14,'THAM_SO_MOI'!$C$13*(1+F3261^2/1500),'THAM_SO_MOI'!$C$13)</f>
        <v>0.015</v>
      </c>
      <c r="J3261" s="75">
        <f>'THAM_SO_MOI'!$C$40*('THAM_SO_MOI'!$C$23*(E3261/'THAM_SO_MOI'!$C$22)+'THAM_SO_MOI'!$C$24*(E3261/'THAM_SO_MOI'!$C$22)^2-'THAM_SO_MOI'!$C$25*(E3261/'THAM_SO_MOI'!$C$22)^3)</f>
        <v>114.28225798684745</v>
      </c>
      <c r="K3261" s="75">
        <f>'THAM_SO_MOI'!$C$31*J3261/E3261</f>
        <v>421.43625164341967</v>
      </c>
      <c r="L3261" s="75">
        <f>K3261*'THAM_SO_MOI'!$C$52*'THAM_SO_MOI'!$C$17/'THAM_SO_MOI'!$C$26</f>
        <v>5901.467460800052</v>
      </c>
      <c r="M3261" s="75">
        <f>'THAM_SO_MOI'!$C$15*'THAM_SO_MOI'!$C$16*F3261^2</f>
        <v>792.8028192246537</v>
      </c>
      <c r="N3261" s="75">
        <f>'THAM_SO_MOI'!$C$12*I3261</f>
        <v>1130.112</v>
      </c>
      <c r="O3261" s="75">
        <f>M3261+N3261</f>
        <v>1922.914819224654</v>
      </c>
      <c r="P3261" s="75">
        <f>(MIN(L3261,'THAM_SO_MOI'!$C$41)-O3261)/('THAM_SO_MOI'!$C$11*H3261)</f>
        <v>0.43995880499292067</v>
      </c>
      <c r="Q3261" s="75">
        <f>IF(P3261&gt;0,1/P3261,NA())</f>
        <v>2.2729400767785313</v>
      </c>
      <c r="R3261" s="75">
        <f>F3261-F3260</f>
        <v>0.007943393307218827</v>
      </c>
      <c r="S3261" s="75">
        <f>0.5*(Q3260+Q3261)*R3261</f>
        <v>0.018051494475323848</v>
      </c>
      <c r="T3261" s="75">
        <f>0.5*(F3260*Q3260+F3261*Q3261)*R3261</f>
        <v>0.2971173797840311</v>
      </c>
      <c r="U3261" s="76">
        <f>U3260+S3261</f>
        <v>27.18463626174156</v>
      </c>
      <c r="V3261" s="76">
        <f>V3260+T3261</f>
        <v>262.6237109318438</v>
      </c>
    </row>
    <row r="3262" spans="1:22" ht="19" customHeight="1">
      <c r="A3262" s="68" t="s">
        <v>376</v>
      </c>
      <c r="B3262" s="74">
        <v>4</v>
      </c>
      <c r="C3262" s="68" t="s">
        <v>363</v>
      </c>
      <c r="D3262" s="68" t="s">
        <v>364</v>
      </c>
      <c r="E3262" s="75">
        <f>60*F3262*'THAM_SO_MOI'!$C$52/(2*PI()*'THAM_SO_MOI'!$C$26)</f>
        <v>2591.252485133257</v>
      </c>
      <c r="F3262" s="75">
        <f>'HANH_TRINH'!$F$2468+('THAM_SO_MOI'!$F$52-'HANH_TRINH'!$F$2468)*793/'THAM_SO_MOI'!$C$42</f>
        <v>16.471348231925003</v>
      </c>
      <c r="G3262" s="75">
        <f>3.6*F3262</f>
        <v>59.29685363493001</v>
      </c>
      <c r="H3262" s="75">
        <f>'THAM_SO_MOI'!$D$52</f>
        <v>1.1774754878398197</v>
      </c>
      <c r="I3262" s="75">
        <f>IF(F3262&gt;'THAM_SO_MOI'!$C$14,'THAM_SO_MOI'!$C$13*(1+F3262^2/1500),'THAM_SO_MOI'!$C$13)</f>
        <v>0.015</v>
      </c>
      <c r="J3262" s="75">
        <f>'THAM_SO_MOI'!$C$40*('THAM_SO_MOI'!$C$23*(E3262/'THAM_SO_MOI'!$C$22)+'THAM_SO_MOI'!$C$24*(E3262/'THAM_SO_MOI'!$C$22)^2-'THAM_SO_MOI'!$C$25*(E3262/'THAM_SO_MOI'!$C$22)^3)</f>
        <v>114.32345314446322</v>
      </c>
      <c r="K3262" s="75">
        <f>'THAM_SO_MOI'!$C$31*J3262/E3262</f>
        <v>421.38485306516054</v>
      </c>
      <c r="L3262" s="75">
        <f>K3262*'THAM_SO_MOI'!$C$52*'THAM_SO_MOI'!$C$17/'THAM_SO_MOI'!$C$26</f>
        <v>5900.747714845726</v>
      </c>
      <c r="M3262" s="75">
        <f>'THAM_SO_MOI'!$C$15*'THAM_SO_MOI'!$C$16*F3262^2</f>
        <v>793.5680392887164</v>
      </c>
      <c r="N3262" s="75">
        <f>'THAM_SO_MOI'!$C$12*I3262</f>
        <v>1130.112</v>
      </c>
      <c r="O3262" s="75">
        <f>M3262+N3262</f>
        <v>1923.6800392887164</v>
      </c>
      <c r="P3262" s="75">
        <f>(MIN(L3262,'THAM_SO_MOI'!$C$41)-O3262)/('THAM_SO_MOI'!$C$11*H3262)</f>
        <v>0.43979459354876926</v>
      </c>
      <c r="Q3262" s="75">
        <f>IF(P3262&gt;0,1/P3262,NA())</f>
        <v>2.273788751996354</v>
      </c>
      <c r="R3262" s="75">
        <f>F3262-F3261</f>
        <v>0.007943393307218827</v>
      </c>
      <c r="S3262" s="75">
        <f>0.5*(Q3261+Q3262)*R3262</f>
        <v>0.01805822767411466</v>
      </c>
      <c r="T3262" s="75">
        <f>0.5*(F3261*Q3261+F3262*Q3262)*R3262</f>
        <v>0.2973716480566248</v>
      </c>
      <c r="U3262" s="76">
        <f>U3261+S3262</f>
        <v>27.202694489415673</v>
      </c>
      <c r="V3262" s="76">
        <f>V3261+T3262</f>
        <v>262.9210825799004</v>
      </c>
    </row>
    <row r="3263" spans="1:22" ht="19" customHeight="1">
      <c r="A3263" s="68" t="s">
        <v>376</v>
      </c>
      <c r="B3263" s="74">
        <v>4</v>
      </c>
      <c r="C3263" s="68" t="s">
        <v>363</v>
      </c>
      <c r="D3263" s="68" t="s">
        <v>364</v>
      </c>
      <c r="E3263" s="75">
        <f>60*F3263*'THAM_SO_MOI'!$C$52/(2*PI()*'THAM_SO_MOI'!$C$26)</f>
        <v>2592.5021301142197</v>
      </c>
      <c r="F3263" s="75">
        <f>'HANH_TRINH'!$F$2468+('THAM_SO_MOI'!$F$52-'HANH_TRINH'!$F$2468)*794/'THAM_SO_MOI'!$C$42</f>
        <v>16.47929162523222</v>
      </c>
      <c r="G3263" s="75">
        <f>3.6*F3263</f>
        <v>59.325449850836</v>
      </c>
      <c r="H3263" s="75">
        <f>'THAM_SO_MOI'!$D$52</f>
        <v>1.1774754878398197</v>
      </c>
      <c r="I3263" s="75">
        <f>IF(F3263&gt;'THAM_SO_MOI'!$C$14,'THAM_SO_MOI'!$C$13*(1+F3263^2/1500),'THAM_SO_MOI'!$C$13)</f>
        <v>0.015</v>
      </c>
      <c r="J3263" s="75">
        <f>'THAM_SO_MOI'!$C$40*('THAM_SO_MOI'!$C$23*(E3263/'THAM_SO_MOI'!$C$22)+'THAM_SO_MOI'!$C$24*(E3263/'THAM_SO_MOI'!$C$22)^2-'THAM_SO_MOI'!$C$25*(E3263/'THAM_SO_MOI'!$C$22)^3)</f>
        <v>114.36459372999762</v>
      </c>
      <c r="K3263" s="75">
        <f>'THAM_SO_MOI'!$C$31*J3263/E3263</f>
        <v>421.33330298717374</v>
      </c>
      <c r="L3263" s="75">
        <f>K3263*'THAM_SO_MOI'!$C$52*'THAM_SO_MOI'!$C$17/'THAM_SO_MOI'!$C$26</f>
        <v>5900.025847406332</v>
      </c>
      <c r="M3263" s="75">
        <f>'THAM_SO_MOI'!$C$15*'THAM_SO_MOI'!$C$16*F3263^2</f>
        <v>794.333628473138</v>
      </c>
      <c r="N3263" s="75">
        <f>'THAM_SO_MOI'!$C$12*I3263</f>
        <v>1130.112</v>
      </c>
      <c r="O3263" s="75">
        <f>M3263+N3263</f>
        <v>1924.4456284731382</v>
      </c>
      <c r="P3263" s="75">
        <f>(MIN(L3263,'THAM_SO_MOI'!$C$41)-O3263)/('THAM_SO_MOI'!$C$11*H3263)</f>
        <v>0.43963010668692565</v>
      </c>
      <c r="Q3263" s="75">
        <f>IF(P3263&gt;0,1/P3263,NA())</f>
        <v>2.274639486217288</v>
      </c>
      <c r="R3263" s="75">
        <f>F3263-F3262</f>
        <v>0.007943393307218827</v>
      </c>
      <c r="S3263" s="75">
        <f>0.5*(Q3262+Q3263)*R3263</f>
        <v>0.018064977212895683</v>
      </c>
      <c r="T3263" s="75">
        <f>0.5*(F3262*Q3262+F3263*Q3263)*R3263</f>
        <v>0.29762629250473877</v>
      </c>
      <c r="U3263" s="76">
        <f>U3262+S3263</f>
        <v>27.220759466628568</v>
      </c>
      <c r="V3263" s="76">
        <f>V3262+T3263</f>
        <v>263.21870887240516</v>
      </c>
    </row>
    <row r="3264" spans="1:22" ht="19" customHeight="1">
      <c r="A3264" s="68" t="s">
        <v>376</v>
      </c>
      <c r="B3264" s="74">
        <v>4</v>
      </c>
      <c r="C3264" s="68" t="s">
        <v>363</v>
      </c>
      <c r="D3264" s="68" t="s">
        <v>364</v>
      </c>
      <c r="E3264" s="75">
        <f>60*F3264*'THAM_SO_MOI'!$C$52/(2*PI()*'THAM_SO_MOI'!$C$26)</f>
        <v>2593.751775095183</v>
      </c>
      <c r="F3264" s="75">
        <f>'HANH_TRINH'!$F$2468+('THAM_SO_MOI'!$F$52-'HANH_TRINH'!$F$2468)*795/'THAM_SO_MOI'!$C$42</f>
        <v>16.48723501853944</v>
      </c>
      <c r="G3264" s="75">
        <f>3.6*F3264</f>
        <v>59.35404606674199</v>
      </c>
      <c r="H3264" s="75">
        <f>'THAM_SO_MOI'!$D$52</f>
        <v>1.1774754878398197</v>
      </c>
      <c r="I3264" s="75">
        <f>IF(F3264&gt;'THAM_SO_MOI'!$C$14,'THAM_SO_MOI'!$C$13*(1+F3264^2/1500),'THAM_SO_MOI'!$C$13)</f>
        <v>0.015</v>
      </c>
      <c r="J3264" s="75">
        <f>'THAM_SO_MOI'!$C$40*('THAM_SO_MOI'!$C$23*(E3264/'THAM_SO_MOI'!$C$22)+'THAM_SO_MOI'!$C$24*(E3264/'THAM_SO_MOI'!$C$22)^2-'THAM_SO_MOI'!$C$25*(E3264/'THAM_SO_MOI'!$C$22)^3)</f>
        <v>114.4056796839851</v>
      </c>
      <c r="K3264" s="75">
        <f>'THAM_SO_MOI'!$C$31*J3264/E3264</f>
        <v>421.28160140945954</v>
      </c>
      <c r="L3264" s="75">
        <f>K3264*'THAM_SO_MOI'!$C$52*'THAM_SO_MOI'!$C$17/'THAM_SO_MOI'!$C$26</f>
        <v>5899.30185848188</v>
      </c>
      <c r="M3264" s="75">
        <f>'THAM_SO_MOI'!$C$15*'THAM_SO_MOI'!$C$16*F3264^2</f>
        <v>795.0995867779181</v>
      </c>
      <c r="N3264" s="75">
        <f>'THAM_SO_MOI'!$C$12*I3264</f>
        <v>1130.112</v>
      </c>
      <c r="O3264" s="75">
        <f>M3264+N3264</f>
        <v>1925.2115867779182</v>
      </c>
      <c r="P3264" s="75">
        <f>(MIN(L3264,'THAM_SO_MOI'!$C$41)-O3264)/('THAM_SO_MOI'!$C$11*H3264)</f>
        <v>0.43946534440739066</v>
      </c>
      <c r="Q3264" s="75">
        <f>IF(P3264&gt;0,1/P3264,NA())</f>
        <v>2.2754922833528046</v>
      </c>
      <c r="R3264" s="75">
        <f>F3264-F3263</f>
        <v>0.007943393307218827</v>
      </c>
      <c r="S3264" s="75">
        <f>0.5*(Q3263+Q3264)*R3264</f>
        <v>0.018071743122683413</v>
      </c>
      <c r="T3264" s="75">
        <f>0.5*(F3263*Q3263+F3264*Q3264)*R3264</f>
        <v>0.2978813140290113</v>
      </c>
      <c r="U3264" s="76">
        <f>U3263+S3264</f>
        <v>27.23883120975125</v>
      </c>
      <c r="V3264" s="76">
        <f>V3263+T3264</f>
        <v>263.51659018643414</v>
      </c>
    </row>
    <row r="3265" spans="1:29" ht="19" customHeight="1">
      <c r="A3265" s="68" t="s">
        <v>376</v>
      </c>
      <c r="B3265" s="74">
        <v>4</v>
      </c>
      <c r="C3265" s="68" t="s">
        <v>363</v>
      </c>
      <c r="D3265" s="68" t="s">
        <v>364</v>
      </c>
      <c r="E3265" s="75">
        <f>60*F3265*'THAM_SO_MOI'!$C$52/(2*PI()*'THAM_SO_MOI'!$C$26)</f>
        <v>2595.001420076146</v>
      </c>
      <c r="F3265" s="75">
        <f>'HANH_TRINH'!$F$2468+('THAM_SO_MOI'!$F$52-'HANH_TRINH'!$F$2468)*796/'THAM_SO_MOI'!$C$42</f>
        <v>16.49517841184666</v>
      </c>
      <c r="G3265" s="75">
        <f>3.6*F3265</f>
        <v>59.38264228264797</v>
      </c>
      <c r="H3265" s="75">
        <f>'THAM_SO_MOI'!$D$52</f>
        <v>1.1774754878398197</v>
      </c>
      <c r="I3265" s="75">
        <f>IF(F3265&gt;'THAM_SO_MOI'!$C$14,'THAM_SO_MOI'!$C$13*(1+F3265^2/1500),'THAM_SO_MOI'!$C$13)</f>
        <v>0.015</v>
      </c>
      <c r="J3265" s="75">
        <f>'THAM_SO_MOI'!$C$40*('THAM_SO_MOI'!$C$23*(E3265/'THAM_SO_MOI'!$C$22)+'THAM_SO_MOI'!$C$24*(E3265/'THAM_SO_MOI'!$C$22)^2-'THAM_SO_MOI'!$C$25*(E3265/'THAM_SO_MOI'!$C$22)^3)</f>
        <v>114.44671094695994</v>
      </c>
      <c r="K3265" s="75">
        <f>'THAM_SO_MOI'!$C$31*J3265/E3265</f>
        <v>421.2297483320179</v>
      </c>
      <c r="L3265" s="75">
        <f>K3265*'THAM_SO_MOI'!$C$52*'THAM_SO_MOI'!$C$17/'THAM_SO_MOI'!$C$26</f>
        <v>5898.575748072368</v>
      </c>
      <c r="M3265" s="75">
        <f>'THAM_SO_MOI'!$C$15*'THAM_SO_MOI'!$C$16*F3265^2</f>
        <v>795.8659142030574</v>
      </c>
      <c r="N3265" s="75">
        <f>'THAM_SO_MOI'!$C$12*I3265</f>
        <v>1130.112</v>
      </c>
      <c r="O3265" s="75">
        <f>M3265+N3265</f>
        <v>1925.9779142030575</v>
      </c>
      <c r="P3265" s="75">
        <f>(MIN(L3265,'THAM_SO_MOI'!$C$41)-O3265)/('THAM_SO_MOI'!$C$11*H3265)</f>
        <v>0.43930030671016435</v>
      </c>
      <c r="Q3265" s="75">
        <f>IF(P3265&gt;0,1/P3265,NA())</f>
        <v>2.2763471473280044</v>
      </c>
      <c r="R3265" s="75">
        <f>F3265-F3264</f>
        <v>0.007943393307218827</v>
      </c>
      <c r="S3265" s="75">
        <f>0.5*(Q3264+Q3265)*R3265</f>
        <v>0.01807852543460235</v>
      </c>
      <c r="T3265" s="75">
        <f>0.5*(F3264*Q3264+F3265*Q3265)*R3265</f>
        <v>0.2981367135328469</v>
      </c>
      <c r="U3265" s="76">
        <f>U3264+S3265</f>
        <v>27.256909735185854</v>
      </c>
      <c r="V3265" s="76">
        <f>V3264+T3265</f>
        <v>263.814726899967</v>
      </c>
    </row>
    <row r="3266" spans="1:29" ht="19" customHeight="1">
      <c r="A3266" s="68" t="s">
        <v>376</v>
      </c>
      <c r="B3266" s="74">
        <v>4</v>
      </c>
      <c r="C3266" s="68" t="s">
        <v>363</v>
      </c>
      <c r="D3266" s="68" t="s">
        <v>364</v>
      </c>
      <c r="E3266" s="75">
        <f>60*F3266*'THAM_SO_MOI'!$C$52/(2*PI()*'THAM_SO_MOI'!$C$26)</f>
        <v>2596.25106505711</v>
      </c>
      <c r="F3266" s="75">
        <f>'HANH_TRINH'!$F$2468+('THAM_SO_MOI'!$F$52-'HANH_TRINH'!$F$2468)*797/'THAM_SO_MOI'!$C$42</f>
        <v>16.50312180515388</v>
      </c>
      <c r="G3266" s="75">
        <f>3.6*F3266</f>
        <v>59.41123849855398</v>
      </c>
      <c r="H3266" s="75">
        <f>'THAM_SO_MOI'!$D$52</f>
        <v>1.1774754878398197</v>
      </c>
      <c r="I3266" s="75">
        <f>IF(F3266&gt;'THAM_SO_MOI'!$C$14,'THAM_SO_MOI'!$C$13*(1+F3266^2/1500),'THAM_SO_MOI'!$C$13)</f>
        <v>0.015</v>
      </c>
      <c r="J3266" s="75">
        <f>'THAM_SO_MOI'!$C$40*('THAM_SO_MOI'!$C$23*(E3266/'THAM_SO_MOI'!$C$22)+'THAM_SO_MOI'!$C$24*(E3266/'THAM_SO_MOI'!$C$22)^2-'THAM_SO_MOI'!$C$25*(E3266/'THAM_SO_MOI'!$C$22)^3)</f>
        <v>114.48768745945645</v>
      </c>
      <c r="K3266" s="75">
        <f>'THAM_SO_MOI'!$C$31*J3266/E3266</f>
        <v>421.17774375484873</v>
      </c>
      <c r="L3266" s="75">
        <f>K3266*'THAM_SO_MOI'!$C$52*'THAM_SO_MOI'!$C$17/'THAM_SO_MOI'!$C$26</f>
        <v>5897.847516177794</v>
      </c>
      <c r="M3266" s="75">
        <f>'THAM_SO_MOI'!$C$15*'THAM_SO_MOI'!$C$16*F3266^2</f>
        <v>796.6326107485556</v>
      </c>
      <c r="N3266" s="75">
        <f>'THAM_SO_MOI'!$C$12*I3266</f>
        <v>1130.112</v>
      </c>
      <c r="O3266" s="75">
        <f>M3266+N3266</f>
        <v>1926.7446107485557</v>
      </c>
      <c r="P3266" s="75">
        <f>(MIN(L3266,'THAM_SO_MOI'!$C$41)-O3266)/('THAM_SO_MOI'!$C$11*H3266)</f>
        <v>0.4391349935952464</v>
      </c>
      <c r="Q3266" s="75">
        <f>IF(P3266&gt;0,1/P3266,NA())</f>
        <v>2.277204082081663</v>
      </c>
      <c r="R3266" s="75">
        <f>F3266-F3265</f>
        <v>0.00794339330722238</v>
      </c>
      <c r="S3266" s="75">
        <f>0.5*(Q3265+Q3266)*R3266</f>
        <v>0.018085324179893492</v>
      </c>
      <c r="T3266" s="75">
        <f>0.5*(F3265*Q3265+F3266*Q3266)*R3266</f>
        <v>0.29839249192256184</v>
      </c>
      <c r="U3266" s="76">
        <f>U3265+S3266</f>
        <v>27.274995059365747</v>
      </c>
      <c r="V3266" s="76">
        <f>V3265+T3266</f>
        <v>264.1131193918896</v>
      </c>
    </row>
    <row r="3267" spans="1:29" ht="19" customHeight="1">
      <c r="A3267" s="68" t="s">
        <v>376</v>
      </c>
      <c r="B3267" s="74">
        <v>4</v>
      </c>
      <c r="C3267" s="68" t="s">
        <v>363</v>
      </c>
      <c r="D3267" s="68" t="s">
        <v>364</v>
      </c>
      <c r="E3267" s="75">
        <f>60*F3267*'THAM_SO_MOI'!$C$52/(2*PI()*'THAM_SO_MOI'!$C$26)</f>
        <v>2597.500710038073</v>
      </c>
      <c r="F3267" s="75">
        <f>'HANH_TRINH'!$F$2468+('THAM_SO_MOI'!$F$52-'HANH_TRINH'!$F$2468)*798/'THAM_SO_MOI'!$C$42</f>
        <v>16.5110651984611</v>
      </c>
      <c r="G3267" s="75">
        <f>3.6*F3267</f>
        <v>59.43983471445996</v>
      </c>
      <c r="H3267" s="75">
        <f>'THAM_SO_MOI'!$D$52</f>
        <v>1.1774754878398197</v>
      </c>
      <c r="I3267" s="75">
        <f>IF(F3267&gt;'THAM_SO_MOI'!$C$14,'THAM_SO_MOI'!$C$13*(1+F3267^2/1500),'THAM_SO_MOI'!$C$13)</f>
        <v>0.015</v>
      </c>
      <c r="J3267" s="75">
        <f>'THAM_SO_MOI'!$C$40*('THAM_SO_MOI'!$C$23*(E3267/'THAM_SO_MOI'!$C$22)+'THAM_SO_MOI'!$C$24*(E3267/'THAM_SO_MOI'!$C$22)^2-'THAM_SO_MOI'!$C$25*(E3267/'THAM_SO_MOI'!$C$22)^3)</f>
        <v>114.52860916200893</v>
      </c>
      <c r="K3267" s="75">
        <f>'THAM_SO_MOI'!$C$31*J3267/E3267</f>
        <v>421.12558767795207</v>
      </c>
      <c r="L3267" s="75">
        <f>K3267*'THAM_SO_MOI'!$C$52*'THAM_SO_MOI'!$C$17/'THAM_SO_MOI'!$C$26</f>
        <v>5897.1171627981585</v>
      </c>
      <c r="M3267" s="75">
        <f>'THAM_SO_MOI'!$C$15*'THAM_SO_MOI'!$C$16*F3267^2</f>
        <v>797.3996764144124</v>
      </c>
      <c r="N3267" s="75">
        <f>'THAM_SO_MOI'!$C$12*I3267</f>
        <v>1130.112</v>
      </c>
      <c r="O3267" s="75">
        <f>M3267+N3267</f>
        <v>1927.5116764144125</v>
      </c>
      <c r="P3267" s="75">
        <f>(MIN(L3267,'THAM_SO_MOI'!$C$41)-O3267)/('THAM_SO_MOI'!$C$11*H3267)</f>
        <v>0.43896940506263676</v>
      </c>
      <c r="Q3267" s="75">
        <f>IF(P3267&gt;0,1/P3267,NA())</f>
        <v>2.2780630915662776</v>
      </c>
      <c r="R3267" s="75">
        <f>F3267-F3266</f>
        <v>0.007943393307218827</v>
      </c>
      <c r="S3267" s="75">
        <f>0.5*(Q3266+Q3267)*R3267</f>
        <v>0.018092139389874338</v>
      </c>
      <c r="T3267" s="75">
        <f>0.5*(F3266*Q3266+F3267*Q3267)*R3267</f>
        <v>0.29864865010672714</v>
      </c>
      <c r="U3267" s="76">
        <f>U3266+S3267</f>
        <v>27.29308719875562</v>
      </c>
      <c r="V3267" s="76">
        <f>V3266+T3267</f>
        <v>264.4117680419963</v>
      </c>
    </row>
    <row r="3268" spans="1:29" ht="19" customHeight="1">
      <c r="A3268" s="68" t="s">
        <v>376</v>
      </c>
      <c r="B3268" s="74">
        <v>4</v>
      </c>
      <c r="C3268" s="68" t="s">
        <v>363</v>
      </c>
      <c r="D3268" s="68" t="s">
        <v>364</v>
      </c>
      <c r="E3268" s="75">
        <f>60*F3268*'THAM_SO_MOI'!$C$52/(2*PI()*'THAM_SO_MOI'!$C$26)</f>
        <v>2598.7503550190363</v>
      </c>
      <c r="F3268" s="75">
        <f>'HANH_TRINH'!$F$2468+('THAM_SO_MOI'!$F$52-'HANH_TRINH'!$F$2468)*799/'THAM_SO_MOI'!$C$42</f>
        <v>16.51900859176832</v>
      </c>
      <c r="G3268" s="75">
        <f>3.6*F3268</f>
        <v>59.46843093036595</v>
      </c>
      <c r="H3268" s="75">
        <f>'THAM_SO_MOI'!$D$52</f>
        <v>1.1774754878398197</v>
      </c>
      <c r="I3268" s="75">
        <f>IF(F3268&gt;'THAM_SO_MOI'!$C$14,'THAM_SO_MOI'!$C$13*(1+F3268^2/1500),'THAM_SO_MOI'!$C$13)</f>
        <v>0.015</v>
      </c>
      <c r="J3268" s="75">
        <f>'THAM_SO_MOI'!$C$40*('THAM_SO_MOI'!$C$23*(E3268/'THAM_SO_MOI'!$C$22)+'THAM_SO_MOI'!$C$24*(E3268/'THAM_SO_MOI'!$C$22)^2-'THAM_SO_MOI'!$C$25*(E3268/'THAM_SO_MOI'!$C$22)^3)</f>
        <v>114.56947599515169</v>
      </c>
      <c r="K3268" s="75">
        <f>'THAM_SO_MOI'!$C$31*J3268/E3268</f>
        <v>421.073280101328</v>
      </c>
      <c r="L3268" s="75">
        <f>K3268*'THAM_SO_MOI'!$C$52*'THAM_SO_MOI'!$C$17/'THAM_SO_MOI'!$C$26</f>
        <v>5896.384687933462</v>
      </c>
      <c r="M3268" s="75">
        <f>'THAM_SO_MOI'!$C$15*'THAM_SO_MOI'!$C$16*F3268^2</f>
        <v>798.167111200628</v>
      </c>
      <c r="N3268" s="75">
        <f>'THAM_SO_MOI'!$C$12*I3268</f>
        <v>1130.112</v>
      </c>
      <c r="O3268" s="75">
        <f>M3268+N3268</f>
        <v>1928.279111200628</v>
      </c>
      <c r="P3268" s="75">
        <f>(MIN(L3268,'THAM_SO_MOI'!$C$41)-O3268)/('THAM_SO_MOI'!$C$11*H3268)</f>
        <v>0.4388035411123357</v>
      </c>
      <c r="Q3268" s="75">
        <f>IF(P3268&gt;0,1/P3268,NA())</f>
        <v>2.27892417974812</v>
      </c>
      <c r="R3268" s="75">
        <f>F3268-F3267</f>
        <v>0.007943393307218827</v>
      </c>
      <c r="S3268" s="75">
        <f>0.5*(Q3267+Q3268)*R3268</f>
        <v>0.018098971096020086</v>
      </c>
      <c r="T3268" s="75">
        <f>0.5*(F3267*Q3267+F3268*Q3268)*R3268</f>
        <v>0.2989051889975137</v>
      </c>
      <c r="U3268" s="76">
        <f>U3267+S3268</f>
        <v>27.31118616985164</v>
      </c>
      <c r="V3268" s="76">
        <f>V3267+T3268</f>
        <v>264.71067323099385</v>
      </c>
    </row>
    <row r="3269" spans="1:29" ht="19" customHeight="1">
      <c r="A3269" s="68" t="s">
        <v>376</v>
      </c>
      <c r="B3269" s="74">
        <v>4</v>
      </c>
      <c r="C3269" s="68" t="s">
        <v>363</v>
      </c>
      <c r="D3269" s="68" t="s">
        <v>364</v>
      </c>
      <c r="E3269" s="75">
        <f>60*F3269*'THAM_SO_MOI'!$C$52/(2*PI()*'THAM_SO_MOI'!$C$26)</f>
        <v>2600.0</v>
      </c>
      <c r="F3269" s="75">
        <f>'HANH_TRINH'!$F$2468+('THAM_SO_MOI'!$F$52-'HANH_TRINH'!$F$2468)*800/'THAM_SO_MOI'!$C$42</f>
        <v>16.526951985075538</v>
      </c>
      <c r="G3269" s="75">
        <f>3.6*F3269</f>
        <v>59.49702714627194</v>
      </c>
      <c r="H3269" s="75">
        <f>'THAM_SO_MOI'!$D$52</f>
        <v>1.1774754878398197</v>
      </c>
      <c r="I3269" s="75">
        <f>IF(F3269&gt;'THAM_SO_MOI'!$C$14,'THAM_SO_MOI'!$C$13*(1+F3269^2/1500),'THAM_SO_MOI'!$C$13)</f>
        <v>0.015</v>
      </c>
      <c r="J3269" s="75">
        <f>'THAM_SO_MOI'!$C$40*('THAM_SO_MOI'!$C$23*(E3269/'THAM_SO_MOI'!$C$22)+'THAM_SO_MOI'!$C$24*(E3269/'THAM_SO_MOI'!$C$22)^2-'THAM_SO_MOI'!$C$25*(E3269/'THAM_SO_MOI'!$C$22)^3)</f>
        <v>114.61028789941905</v>
      </c>
      <c r="K3269" s="75">
        <f>'THAM_SO_MOI'!$C$31*J3269/E3269</f>
        <v>421.0208210249764</v>
      </c>
      <c r="L3269" s="75">
        <f>K3269*'THAM_SO_MOI'!$C$52*'THAM_SO_MOI'!$C$17/'THAM_SO_MOI'!$C$26</f>
        <v>5895.650091583706</v>
      </c>
      <c r="M3269" s="75">
        <f>'THAM_SO_MOI'!$C$15*'THAM_SO_MOI'!$C$16*F3269^2</f>
        <v>798.9349151072025</v>
      </c>
      <c r="N3269" s="75">
        <f>'THAM_SO_MOI'!$C$12*I3269</f>
        <v>1130.112</v>
      </c>
      <c r="O3269" s="75">
        <f>M3269+N3269</f>
        <v>1929.0469151072025</v>
      </c>
      <c r="P3269" s="75">
        <f>(MIN(L3269,'THAM_SO_MOI'!$C$41)-O3269)/('THAM_SO_MOI'!$C$11*H3269)</f>
        <v>0.4386374017443431</v>
      </c>
      <c r="Q3269" s="75">
        <f>IF(P3269&gt;0,1/P3269,NA())</f>
        <v>2.2797873506072865</v>
      </c>
      <c r="R3269" s="75">
        <f>F3269-F3268</f>
        <v>0.007943393307218827</v>
      </c>
      <c r="S3269" s="75">
        <f>0.5*(Q3268+Q3269)*R3269</f>
        <v>0.018105819329883217</v>
      </c>
      <c r="T3269" s="75">
        <f>0.5*(F3268*Q3268+F3269*Q3269)*R3269</f>
        <v>0.29916210950936933</v>
      </c>
      <c r="U3269" s="76">
        <f>U3268+S3269</f>
        <v>27.329291989181524</v>
      </c>
      <c r="V3269" s="76">
        <f>V3268+T3269</f>
        <v>265.00983534050323</v>
      </c>
    </row>
    <row r="3270" spans="1:29" ht="19" customHeight="1">
      <c r="A3270" s="68" t="s">
        <v>377</v>
      </c>
      <c r="B3270" s="74">
        <v>4</v>
      </c>
      <c r="C3270" s="68" t="s">
        <v>370</v>
      </c>
      <c r="D3270" s="68" t="s">
        <v>371</v>
      </c>
      <c r="F3270" s="75">
        <f>F3269+S3270*(W3270+2*Y3270+2*AA3270+AC3270)/6</f>
        <v>16.514994712219192</v>
      </c>
      <c r="G3270" s="75">
        <f>3.6*F3270</f>
        <v>59.45398096398909</v>
      </c>
      <c r="H3270" s="75">
        <f>'THAM_SO_MOI'!$C$35</f>
        <v>1.05</v>
      </c>
      <c r="I3270" s="75">
        <f>IF(F3270&gt;'THAM_SO_MOI'!$C$14,'THAM_SO_MOI'!$C$13*(1+F3270^2/1500),'THAM_SO_MOI'!$C$13)</f>
        <v>0.015</v>
      </c>
      <c r="J3270" s="75">
        <f>0</f>
        <v>0.0</v>
      </c>
      <c r="K3270" s="75">
        <f>0</f>
        <v>0.0</v>
      </c>
      <c r="L3270" s="75">
        <f>0</f>
        <v>0.0</v>
      </c>
      <c r="M3270" s="75">
        <f>'THAM_SO_MOI'!$C$15*'THAM_SO_MOI'!$C$16*F3270^2</f>
        <v>797.7792722580366</v>
      </c>
      <c r="N3270" s="75">
        <f>'THAM_SO_MOI'!$C$12*I3270</f>
        <v>1130.112</v>
      </c>
      <c r="O3270" s="75">
        <f>M3270+N3270</f>
        <v>1927.8912722580367</v>
      </c>
      <c r="P3270" s="75">
        <f>-O3270/('THAM_SO_MOI'!$C$11*H3270)</f>
        <v>-0.23907381848437956</v>
      </c>
      <c r="R3270" s="75">
        <f>F3270-F3269</f>
        <v>-0.01195727285634618</v>
      </c>
      <c r="S3270" s="75">
        <f>'THAM_SO_MOI'!$C$34/'THAM_SO_MOI'!$C$43</f>
        <v>0.05</v>
      </c>
      <c r="T3270" s="75">
        <f>S3270*(F3269+2*X3270+2*Z3270+AB3270)/6</f>
        <v>0.8260486375763502</v>
      </c>
      <c r="U3270" s="76">
        <f>U3269+S3270</f>
        <v>27.379291989181525</v>
      </c>
      <c r="V3270" s="76">
        <f>V3269+T3270</f>
        <v>265.8358839780796</v>
      </c>
      <c r="W3270" s="75">
        <f>-('THAM_SO_MOI'!$C$12*IF(F3269&gt;'THAM_SO_MOI'!$C$14,'THAM_SO_MOI'!$C$13*(1+F3269^2/1500),'THAM_SO_MOI'!$C$13)+'THAM_SO_MOI'!$C$15*'THAM_SO_MOI'!$C$16*F3269^2)/('THAM_SO_MOI'!$C$11*'THAM_SO_MOI'!$C$35)</f>
        <v>-0.23921712736944475</v>
      </c>
      <c r="X3270" s="75">
        <f>F3269+S3270*W3270/2</f>
        <v>16.5209715568913</v>
      </c>
      <c r="Y3270" s="75">
        <f>-('THAM_SO_MOI'!$C$12*IF(X3270&gt;'THAM_SO_MOI'!$C$14,'THAM_SO_MOI'!$C$13*(1+X3270^2/1500),'THAM_SO_MOI'!$C$13)+'THAM_SO_MOI'!$C$15*'THAM_SO_MOI'!$C$16*X3270^2)/('THAM_SO_MOI'!$C$11*'THAM_SO_MOI'!$C$35)</f>
        <v>-0.23914543848735903</v>
      </c>
      <c r="Z3270" s="75">
        <f>F3269+S3270*Y3270/2</f>
        <v>16.520973349113355</v>
      </c>
      <c r="AA3270" s="75">
        <f>-('THAM_SO_MOI'!$C$12*IF(Z3270&gt;'THAM_SO_MOI'!$C$14,'THAM_SO_MOI'!$C$13*(1+Z3270^2/1500),'THAM_SO_MOI'!$C$13)+'THAM_SO_MOI'!$C$15*'THAM_SO_MOI'!$C$16*Z3270^2)/('THAM_SO_MOI'!$C$11*'THAM_SO_MOI'!$C$35)</f>
        <v>-0.23914545996728456</v>
      </c>
      <c r="AB3270" s="75">
        <f>F3269+S3270*AA3270</f>
        <v>16.514994712077172</v>
      </c>
      <c r="AC3270" s="75">
        <f>-('THAM_SO_MOI'!$C$12*IF(AB3270&gt;'THAM_SO_MOI'!$C$14,'THAM_SO_MOI'!$C$13*(1+AB3270^2/1500),'THAM_SO_MOI'!$C$13)+'THAM_SO_MOI'!$C$15*'THAM_SO_MOI'!$C$16*AB3270^2)/('THAM_SO_MOI'!$C$11*'THAM_SO_MOI'!$C$35)</f>
        <v>-0.23907381848267803</v>
      </c>
    </row>
    <row r="3271" spans="1:29" ht="19" customHeight="1">
      <c r="A3271" s="68" t="s">
        <v>377</v>
      </c>
      <c r="B3271" s="74">
        <v>4</v>
      </c>
      <c r="C3271" s="68" t="s">
        <v>370</v>
      </c>
      <c r="D3271" s="68" t="s">
        <v>371</v>
      </c>
      <c r="F3271" s="75">
        <f>F3270+S3271*(W3271+2*Y3271+2*AA3271+AC3271)/6</f>
        <v>16.503044600069597</v>
      </c>
      <c r="G3271" s="75">
        <f>3.6*F3271</f>
        <v>59.41096056025055</v>
      </c>
      <c r="H3271" s="75">
        <f>'THAM_SO_MOI'!$C$35</f>
        <v>1.05</v>
      </c>
      <c r="I3271" s="75">
        <f>IF(F3271&gt;'THAM_SO_MOI'!$C$14,'THAM_SO_MOI'!$C$13*(1+F3271^2/1500),'THAM_SO_MOI'!$C$13)</f>
        <v>0.015</v>
      </c>
      <c r="J3271" s="75">
        <f>0</f>
        <v>0.0</v>
      </c>
      <c r="K3271" s="75">
        <f>0</f>
        <v>0.0</v>
      </c>
      <c r="L3271" s="75">
        <f>0</f>
        <v>0.0</v>
      </c>
      <c r="M3271" s="75">
        <f>'THAM_SO_MOI'!$C$15*'THAM_SO_MOI'!$C$16*F3271^2</f>
        <v>796.6251571352675</v>
      </c>
      <c r="N3271" s="75">
        <f>'THAM_SO_MOI'!$C$12*I3271</f>
        <v>1130.112</v>
      </c>
      <c r="O3271" s="75">
        <f>M3271+N3271</f>
        <v>1926.7371571352676</v>
      </c>
      <c r="P3271" s="75">
        <f>-O3271/('THAM_SO_MOI'!$C$11*H3271)</f>
        <v>-0.23893069904951234</v>
      </c>
      <c r="R3271" s="75">
        <f>F3271-F3270</f>
        <v>-0.011950112149595071</v>
      </c>
      <c r="S3271" s="75">
        <f>'THAM_SO_MOI'!$C$34/'THAM_SO_MOI'!$C$43</f>
        <v>0.05</v>
      </c>
      <c r="T3271" s="75">
        <f>S3271*(F3270+2*X3271+2*Z3271+AB3271)/6</f>
        <v>0.8254509529906704</v>
      </c>
      <c r="U3271" s="76">
        <f>U3270+S3271</f>
        <v>27.429291989181525</v>
      </c>
      <c r="V3271" s="76">
        <f>V3270+T3271</f>
        <v>266.66133493107026</v>
      </c>
      <c r="W3271" s="75">
        <f>-('THAM_SO_MOI'!$C$12*IF(F3270&gt;'THAM_SO_MOI'!$C$14,'THAM_SO_MOI'!$C$13*(1+F3270^2/1500),'THAM_SO_MOI'!$C$13)+'THAM_SO_MOI'!$C$15*'THAM_SO_MOI'!$C$16*F3270^2)/('THAM_SO_MOI'!$C$11*'THAM_SO_MOI'!$C$35)</f>
        <v>-0.23907381848437956</v>
      </c>
      <c r="X3271" s="75">
        <f>F3270+S3271*W3271/2</f>
        <v>16.509017866757084</v>
      </c>
      <c r="Y3271" s="75">
        <f>-('THAM_SO_MOI'!$C$12*IF(X3271&gt;'THAM_SO_MOI'!$C$14,'THAM_SO_MOI'!$C$13*(1+X3271^2/1500),'THAM_SO_MOI'!$C$13)+'THAM_SO_MOI'!$C$15*'THAM_SO_MOI'!$C$16*X3271^2)/('THAM_SO_MOI'!$C$11*'THAM_SO_MOI'!$C$35)</f>
        <v>-0.23900222438682367</v>
      </c>
      <c r="Z3271" s="75">
        <f>F3270+S3271*Y3271/2</f>
        <v>16.50901965660952</v>
      </c>
      <c r="AA3271" s="75">
        <f>-('THAM_SO_MOI'!$C$12*IF(Z3271&gt;'THAM_SO_MOI'!$C$14,'THAM_SO_MOI'!$C$13*(1+Z3271^2/1500),'THAM_SO_MOI'!$C$13)+'THAM_SO_MOI'!$C$15*'THAM_SO_MOI'!$C$16*Z3271^2)/('THAM_SO_MOI'!$C$11*'THAM_SO_MOI'!$C$35)</f>
        <v>-0.23900224582282797</v>
      </c>
      <c r="AB3271" s="75">
        <f>F3270+S3271*AA3271</f>
        <v>16.50304459992805</v>
      </c>
      <c r="AC3271" s="75">
        <f>-('THAM_SO_MOI'!$C$12*IF(AB3271&gt;'THAM_SO_MOI'!$C$14,'THAM_SO_MOI'!$C$13*(1+AB3271^2/1500),'THAM_SO_MOI'!$C$13)+'THAM_SO_MOI'!$C$15*'THAM_SO_MOI'!$C$16*AB3271^2)/('THAM_SO_MOI'!$C$11*'THAM_SO_MOI'!$C$35)</f>
        <v>-0.23893069904781775</v>
      </c>
    </row>
    <row r="3272" spans="1:29" ht="19" customHeight="1">
      <c r="A3272" s="68" t="s">
        <v>377</v>
      </c>
      <c r="B3272" s="74">
        <v>4</v>
      </c>
      <c r="C3272" s="68" t="s">
        <v>370</v>
      </c>
      <c r="D3272" s="68" t="s">
        <v>371</v>
      </c>
      <c r="F3272" s="75">
        <f>F3271+S3272*(W3272+2*Y3272+2*AA3272+AC3272)/6</f>
        <v>16.49110163916173</v>
      </c>
      <c r="G3272" s="75">
        <f>3.6*F3272</f>
        <v>59.36796590098223</v>
      </c>
      <c r="H3272" s="75">
        <f>'THAM_SO_MOI'!$C$35</f>
        <v>1.05</v>
      </c>
      <c r="I3272" s="75">
        <f>IF(F3272&gt;'THAM_SO_MOI'!$C$14,'THAM_SO_MOI'!$C$13*(1+F3272^2/1500),'THAM_SO_MOI'!$C$13)</f>
        <v>0.015</v>
      </c>
      <c r="J3272" s="75">
        <f>0</f>
        <v>0.0</v>
      </c>
      <c r="K3272" s="75">
        <f>0</f>
        <v>0.0</v>
      </c>
      <c r="L3272" s="75">
        <f>0</f>
        <v>0.0</v>
      </c>
      <c r="M3272" s="75">
        <f>'THAM_SO_MOI'!$C$15*'THAM_SO_MOI'!$C$16*F3272^2</f>
        <v>795.472567324001</v>
      </c>
      <c r="N3272" s="75">
        <f>'THAM_SO_MOI'!$C$12*I3272</f>
        <v>1130.112</v>
      </c>
      <c r="O3272" s="75">
        <f>M3272+N3272</f>
        <v>1925.584567324001</v>
      </c>
      <c r="P3272" s="75">
        <f>-O3272/('THAM_SO_MOI'!$C$11*H3272)</f>
        <v>-0.2387877687653771</v>
      </c>
      <c r="R3272" s="75">
        <f>F3272-F3271</f>
        <v>-0.011942960907866507</v>
      </c>
      <c r="S3272" s="75">
        <f>'THAM_SO_MOI'!$C$34/'THAM_SO_MOI'!$C$43</f>
        <v>0.05</v>
      </c>
      <c r="T3272" s="75">
        <f>S3272*(F3271+2*X3272+2*Z3272+AB3272)/6</f>
        <v>0.8248536262036404</v>
      </c>
      <c r="U3272" s="76">
        <f>U3271+S3272</f>
        <v>27.479291989181526</v>
      </c>
      <c r="V3272" s="76">
        <f>V3271+T3272</f>
        <v>267.4861885572739</v>
      </c>
      <c r="W3272" s="75">
        <f>-('THAM_SO_MOI'!$C$12*IF(F3271&gt;'THAM_SO_MOI'!$C$14,'THAM_SO_MOI'!$C$13*(1+F3271^2/1500),'THAM_SO_MOI'!$C$13)+'THAM_SO_MOI'!$C$15*'THAM_SO_MOI'!$C$16*F3271^2)/('THAM_SO_MOI'!$C$11*'THAM_SO_MOI'!$C$35)</f>
        <v>-0.23893069904951234</v>
      </c>
      <c r="X3272" s="75">
        <f>F3271+S3272*W3272/2</f>
        <v>16.497071332593357</v>
      </c>
      <c r="Y3272" s="75">
        <f>-('THAM_SO_MOI'!$C$12*IF(X3272&gt;'THAM_SO_MOI'!$C$14,'THAM_SO_MOI'!$C$13*(1+X3272^2/1500),'THAM_SO_MOI'!$C$13)+'THAM_SO_MOI'!$C$15*'THAM_SO_MOI'!$C$16*X3272^2)/('THAM_SO_MOI'!$C$11*'THAM_SO_MOI'!$C$35)</f>
        <v>-0.23885919958662827</v>
      </c>
      <c r="Z3272" s="75">
        <f>F3271+S3272*Y3272/2</f>
        <v>16.497073120079932</v>
      </c>
      <c r="AA3272" s="75">
        <f>-('THAM_SO_MOI'!$C$12*IF(Z3272&gt;'THAM_SO_MOI'!$C$14,'THAM_SO_MOI'!$C$13*(1+Z3272^2/1500),'THAM_SO_MOI'!$C$13)+'THAM_SO_MOI'!$C$15*'THAM_SO_MOI'!$C$16*Z3272^2)/('THAM_SO_MOI'!$C$11*'THAM_SO_MOI'!$C$35)</f>
        <v>-0.23885922097880663</v>
      </c>
      <c r="AB3272" s="75">
        <f>F3271+S3272*AA3272</f>
        <v>16.491101639020656</v>
      </c>
      <c r="AC3272" s="75">
        <f>-('THAM_SO_MOI'!$C$12*IF(AB3272&gt;'THAM_SO_MOI'!$C$14,'THAM_SO_MOI'!$C$13*(1+AB3272^2/1500),'THAM_SO_MOI'!$C$13)+'THAM_SO_MOI'!$C$15*'THAM_SO_MOI'!$C$16*AB3272^2)/('THAM_SO_MOI'!$C$11*'THAM_SO_MOI'!$C$35)</f>
        <v>-0.2387877687636894</v>
      </c>
    </row>
    <row r="3273" spans="1:29" ht="19" customHeight="1">
      <c r="A3273" s="68" t="s">
        <v>377</v>
      </c>
      <c r="B3273" s="74">
        <v>4</v>
      </c>
      <c r="C3273" s="68" t="s">
        <v>370</v>
      </c>
      <c r="D3273" s="68" t="s">
        <v>371</v>
      </c>
      <c r="F3273" s="75">
        <f>F3272+S3273*(W3273+2*Y3273+2*AA3273+AC3273)/6</f>
        <v>16.47916582004553</v>
      </c>
      <c r="G3273" s="75">
        <f>3.6*F3273</f>
        <v>59.32499695216391</v>
      </c>
      <c r="H3273" s="75">
        <f>'THAM_SO_MOI'!$C$35</f>
        <v>1.05</v>
      </c>
      <c r="I3273" s="75">
        <f>IF(F3273&gt;'THAM_SO_MOI'!$C$14,'THAM_SO_MOI'!$C$13*(1+F3273^2/1500),'THAM_SO_MOI'!$C$13)</f>
        <v>0.015</v>
      </c>
      <c r="J3273" s="75">
        <f>0</f>
        <v>0.0</v>
      </c>
      <c r="K3273" s="75">
        <f>0</f>
        <v>0.0</v>
      </c>
      <c r="L3273" s="75">
        <f>0</f>
        <v>0.0</v>
      </c>
      <c r="M3273" s="75">
        <f>'THAM_SO_MOI'!$C$15*'THAM_SO_MOI'!$C$16*F3273^2</f>
        <v>794.3215004143289</v>
      </c>
      <c r="N3273" s="75">
        <f>'THAM_SO_MOI'!$C$12*I3273</f>
        <v>1130.112</v>
      </c>
      <c r="O3273" s="75">
        <f>M3273+N3273</f>
        <v>1924.433500414329</v>
      </c>
      <c r="P3273" s="75">
        <f>-O3273/('THAM_SO_MOI'!$C$11*H3273)</f>
        <v>-0.23864502733312612</v>
      </c>
      <c r="R3273" s="75">
        <f>F3273-F3272</f>
        <v>-0.011935819116200008</v>
      </c>
      <c r="S3273" s="75">
        <f>'THAM_SO_MOI'!$C$34/'THAM_SO_MOI'!$C$43</f>
        <v>0.05</v>
      </c>
      <c r="T3273" s="75">
        <f>S3273*(F3272+2*X3273+2*Z3273+AB3273)/6</f>
        <v>0.8242566567423827</v>
      </c>
      <c r="U3273" s="76">
        <f>U3272+S3273</f>
        <v>27.529291989181527</v>
      </c>
      <c r="V3273" s="76">
        <f>V3272+T3273</f>
        <v>268.3104452140163</v>
      </c>
      <c r="W3273" s="75">
        <f>-('THAM_SO_MOI'!$C$12*IF(F3272&gt;'THAM_SO_MOI'!$C$14,'THAM_SO_MOI'!$C$13*(1+F3272^2/1500),'THAM_SO_MOI'!$C$13)+'THAM_SO_MOI'!$C$15*'THAM_SO_MOI'!$C$16*F3272^2)/('THAM_SO_MOI'!$C$11*'THAM_SO_MOI'!$C$35)</f>
        <v>-0.2387877687653771</v>
      </c>
      <c r="X3273" s="75">
        <f>F3272+S3273*W3273/2</f>
        <v>16.485131944942594</v>
      </c>
      <c r="Y3273" s="75">
        <f>-('THAM_SO_MOI'!$C$12*IF(X3273&gt;'THAM_SO_MOI'!$C$14,'THAM_SO_MOI'!$C$13*(1+X3273^2/1500),'THAM_SO_MOI'!$C$13)+'THAM_SO_MOI'!$C$15*'THAM_SO_MOI'!$C$16*X3273^2)/('THAM_SO_MOI'!$C$11*'THAM_SO_MOI'!$C$35)</f>
        <v>-0.23871636378761635</v>
      </c>
      <c r="Z3273" s="75">
        <f>F3272+S3273*Y3273/2</f>
        <v>16.48513373006704</v>
      </c>
      <c r="AA3273" s="75">
        <f>-('THAM_SO_MOI'!$C$12*IF(Z3273&gt;'THAM_SO_MOI'!$C$14,'THAM_SO_MOI'!$C$13*(1+Z3273^2/1500),'THAM_SO_MOI'!$C$13)+'THAM_SO_MOI'!$C$15*'THAM_SO_MOI'!$C$16*Z3273^2)/('THAM_SO_MOI'!$C$11*'THAM_SO_MOI'!$C$35)</f>
        <v>-0.23871638513606372</v>
      </c>
      <c r="AB3273" s="75">
        <f>F3272+S3273*AA3273</f>
        <v>16.479165819904928</v>
      </c>
      <c r="AC3273" s="75">
        <f>-('THAM_SO_MOI'!$C$12*IF(AB3273&gt;'THAM_SO_MOI'!$C$14,'THAM_SO_MOI'!$C$13*(1+AB3273^2/1500),'THAM_SO_MOI'!$C$13)+'THAM_SO_MOI'!$C$15*'THAM_SO_MOI'!$C$16*AB3273^2)/('THAM_SO_MOI'!$C$11*'THAM_SO_MOI'!$C$35)</f>
        <v>-0.23864502733144524</v>
      </c>
    </row>
    <row r="3274" spans="1:29" ht="19" customHeight="1">
      <c r="A3274" s="68" t="s">
        <v>377</v>
      </c>
      <c r="B3274" s="74">
        <v>4</v>
      </c>
      <c r="C3274" s="68" t="s">
        <v>370</v>
      </c>
      <c r="D3274" s="68" t="s">
        <v>371</v>
      </c>
      <c r="F3274" s="75">
        <f>F3273+S3274*(W3274+2*Y3274+2*AA3274+AC3274)/6</f>
        <v>16.46723713328586</v>
      </c>
      <c r="G3274" s="75">
        <f>3.6*F3274</f>
        <v>59.2820536798291</v>
      </c>
      <c r="H3274" s="75">
        <f>'THAM_SO_MOI'!$C$35</f>
        <v>1.05</v>
      </c>
      <c r="I3274" s="75">
        <f>IF(F3274&gt;'THAM_SO_MOI'!$C$14,'THAM_SO_MOI'!$C$13*(1+F3274^2/1500),'THAM_SO_MOI'!$C$13)</f>
        <v>0.015</v>
      </c>
      <c r="J3274" s="75">
        <f>0</f>
        <v>0.0</v>
      </c>
      <c r="K3274" s="75">
        <f>0</f>
        <v>0.0</v>
      </c>
      <c r="L3274" s="75">
        <f>0</f>
        <v>0.0</v>
      </c>
      <c r="M3274" s="75">
        <f>'THAM_SO_MOI'!$C$15*'THAM_SO_MOI'!$C$16*F3274^2</f>
        <v>793.1719540013161</v>
      </c>
      <c r="N3274" s="75">
        <f>'THAM_SO_MOI'!$C$12*I3274</f>
        <v>1130.112</v>
      </c>
      <c r="O3274" s="75">
        <f>M3274+N3274</f>
        <v>1923.283954001316</v>
      </c>
      <c r="P3274" s="75">
        <f>-O3274/('THAM_SO_MOI'!$C$11*H3274)</f>
        <v>-0.23850247445452827</v>
      </c>
      <c r="R3274" s="75">
        <f>F3274-F3273</f>
        <v>-0.011928686759670626</v>
      </c>
      <c r="S3274" s="75">
        <f>'THAM_SO_MOI'!$C$34/'THAM_SO_MOI'!$C$43</f>
        <v>0.05</v>
      </c>
      <c r="T3274" s="75">
        <f>S3274*(F3273+2*X3274+2*Z3274+AB3274)/6</f>
        <v>0.823660044134768</v>
      </c>
      <c r="U3274" s="76">
        <f>U3273+S3274</f>
        <v>27.579291989181527</v>
      </c>
      <c r="V3274" s="76">
        <f>V3273+T3274</f>
        <v>269.13410525815107</v>
      </c>
      <c r="W3274" s="75">
        <f>-('THAM_SO_MOI'!$C$12*IF(F3273&gt;'THAM_SO_MOI'!$C$14,'THAM_SO_MOI'!$C$13*(1+F3273^2/1500),'THAM_SO_MOI'!$C$13)+'THAM_SO_MOI'!$C$15*'THAM_SO_MOI'!$C$16*F3273^2)/('THAM_SO_MOI'!$C$11*'THAM_SO_MOI'!$C$35)</f>
        <v>-0.23864502733312612</v>
      </c>
      <c r="X3274" s="75">
        <f>F3273+S3274*W3274/2</f>
        <v>16.4731996943622</v>
      </c>
      <c r="Y3274" s="75">
        <f>-('THAM_SO_MOI'!$C$12*IF(X3274&gt;'THAM_SO_MOI'!$C$14,'THAM_SO_MOI'!$C$13*(1+X3274^2/1500),'THAM_SO_MOI'!$C$13)+'THAM_SO_MOI'!$C$15*'THAM_SO_MOI'!$C$16*X3274^2)/('THAM_SO_MOI'!$C$11*'THAM_SO_MOI'!$C$35)</f>
        <v>-0.23857371669124874</v>
      </c>
      <c r="Z3274" s="75">
        <f>F3273+S3274*Y3274/2</f>
        <v>16.47320147712825</v>
      </c>
      <c r="AA3274" s="75">
        <f>-('THAM_SO_MOI'!$C$12*IF(Z3274&gt;'THAM_SO_MOI'!$C$14,'THAM_SO_MOI'!$C$13*(1+Z3274^2/1500),'THAM_SO_MOI'!$C$13)+'THAM_SO_MOI'!$C$15*'THAM_SO_MOI'!$C$16*Z3274^2)/('THAM_SO_MOI'!$C$11*'THAM_SO_MOI'!$C$35)</f>
        <v>-0.23857373799605985</v>
      </c>
      <c r="AB3274" s="75">
        <f>F3273+S3274*AA3274</f>
        <v>16.467237133145726</v>
      </c>
      <c r="AC3274" s="75">
        <f>-('THAM_SO_MOI'!$C$12*IF(AB3274&gt;'THAM_SO_MOI'!$C$14,'THAM_SO_MOI'!$C$13*(1+AB3274^2/1500),'THAM_SO_MOI'!$C$13)+'THAM_SO_MOI'!$C$15*'THAM_SO_MOI'!$C$16*AB3274^2)/('THAM_SO_MOI'!$C$11*'THAM_SO_MOI'!$C$35)</f>
        <v>-0.23850247445285425</v>
      </c>
    </row>
    <row r="3275" spans="1:29" ht="19" customHeight="1">
      <c r="A3275" s="68" t="s">
        <v>377</v>
      </c>
      <c r="B3275" s="74">
        <v>4</v>
      </c>
      <c r="C3275" s="68" t="s">
        <v>370</v>
      </c>
      <c r="D3275" s="68" t="s">
        <v>371</v>
      </c>
      <c r="F3275" s="75">
        <f>F3274+S3275*(W3275+2*Y3275+2*AA3275+AC3275)/6</f>
        <v>16.455315569462478</v>
      </c>
      <c r="G3275" s="75">
        <f>3.6*F3275</f>
        <v>59.23913605006492</v>
      </c>
      <c r="H3275" s="75">
        <f>'THAM_SO_MOI'!$C$35</f>
        <v>1.05</v>
      </c>
      <c r="I3275" s="75">
        <f>IF(F3275&gt;'THAM_SO_MOI'!$C$14,'THAM_SO_MOI'!$C$13*(1+F3275^2/1500),'THAM_SO_MOI'!$C$13)</f>
        <v>0.015</v>
      </c>
      <c r="J3275" s="75">
        <f>0</f>
        <v>0.0</v>
      </c>
      <c r="K3275" s="75">
        <f>0</f>
        <v>0.0</v>
      </c>
      <c r="L3275" s="75">
        <f>0</f>
        <v>0.0</v>
      </c>
      <c r="M3275" s="75">
        <f>'THAM_SO_MOI'!$C$15*'THAM_SO_MOI'!$C$16*F3275^2</f>
        <v>792.0239256849882</v>
      </c>
      <c r="N3275" s="75">
        <f>'THAM_SO_MOI'!$C$12*I3275</f>
        <v>1130.112</v>
      </c>
      <c r="O3275" s="75">
        <f>M3275+N3275</f>
        <v>1922.1359256849883</v>
      </c>
      <c r="P3275" s="75">
        <f>-O3275/('THAM_SO_MOI'!$C$11*H3275)</f>
        <v>-0.2383601098319678</v>
      </c>
      <c r="R3275" s="75">
        <f>F3275-F3274</f>
        <v>-0.011921563823381831</v>
      </c>
      <c r="S3275" s="75">
        <f>'THAM_SO_MOI'!$C$34/'THAM_SO_MOI'!$C$43</f>
        <v>0.05</v>
      </c>
      <c r="T3275" s="75">
        <f>S3275*(F3274+2*X3275+2*Z3275+AB3275)/6</f>
        <v>0.8230637879094118</v>
      </c>
      <c r="U3275" s="76">
        <f>U3274+S3275</f>
        <v>27.629291989181528</v>
      </c>
      <c r="V3275" s="76">
        <f>V3274+T3275</f>
        <v>269.95716904606047</v>
      </c>
      <c r="W3275" s="75">
        <f>-('THAM_SO_MOI'!$C$12*IF(F3274&gt;'THAM_SO_MOI'!$C$14,'THAM_SO_MOI'!$C$13*(1+F3274^2/1500),'THAM_SO_MOI'!$C$13)+'THAM_SO_MOI'!$C$15*'THAM_SO_MOI'!$C$16*F3274^2)/('THAM_SO_MOI'!$C$11*'THAM_SO_MOI'!$C$35)</f>
        <v>-0.23850247445452827</v>
      </c>
      <c r="X3275" s="75">
        <f>F3274+S3275*W3275/2</f>
        <v>16.461274571424497</v>
      </c>
      <c r="Y3275" s="75">
        <f>-('THAM_SO_MOI'!$C$12*IF(X3275&gt;'THAM_SO_MOI'!$C$14,'THAM_SO_MOI'!$C$13*(1+X3275^2/1500),'THAM_SO_MOI'!$C$13)+'THAM_SO_MOI'!$C$15*'THAM_SO_MOI'!$C$16*X3275^2)/('THAM_SO_MOI'!$C$11*'THAM_SO_MOI'!$C$35)</f>
        <v>-0.23843125799960235</v>
      </c>
      <c r="Z3275" s="75">
        <f>F3274+S3275*Y3275/2</f>
        <v>16.46127635183587</v>
      </c>
      <c r="AA3275" s="75">
        <f>-('THAM_SO_MOI'!$C$12*IF(Z3275&gt;'THAM_SO_MOI'!$C$14,'THAM_SO_MOI'!$C$13*(1+Z3275^2/1500),'THAM_SO_MOI'!$C$13)+'THAM_SO_MOI'!$C$15*'THAM_SO_MOI'!$C$16*Z3275^2)/('THAM_SO_MOI'!$C$11*'THAM_SO_MOI'!$C$35)</f>
        <v>-0.2384312792608717</v>
      </c>
      <c r="AB3275" s="75">
        <f>F3274+S3275*AA3275</f>
        <v>16.455315569322817</v>
      </c>
      <c r="AC3275" s="75">
        <f>-('THAM_SO_MOI'!$C$12*IF(AB3275&gt;'THAM_SO_MOI'!$C$14,'THAM_SO_MOI'!$C$13*(1+AB3275^2/1500),'THAM_SO_MOI'!$C$13)+'THAM_SO_MOI'!$C$15*'THAM_SO_MOI'!$C$16*AB3275^2)/('THAM_SO_MOI'!$C$11*'THAM_SO_MOI'!$C$35)</f>
        <v>-0.23836010983030062</v>
      </c>
    </row>
    <row r="3276" spans="1:29" ht="19" customHeight="1">
      <c r="A3276" s="68" t="s">
        <v>377</v>
      </c>
      <c r="B3276" s="74">
        <v>4</v>
      </c>
      <c r="C3276" s="68" t="s">
        <v>370</v>
      </c>
      <c r="D3276" s="68" t="s">
        <v>371</v>
      </c>
      <c r="F3276" s="75">
        <f>F3275+S3276*(W3276+2*Y3276+2*AA3276+AC3276)/6</f>
        <v>16.443401119170012</v>
      </c>
      <c r="G3276" s="75">
        <f>3.6*F3276</f>
        <v>59.19624402901204</v>
      </c>
      <c r="H3276" s="75">
        <f>'THAM_SO_MOI'!$C$35</f>
        <v>1.05</v>
      </c>
      <c r="I3276" s="75">
        <f>IF(F3276&gt;'THAM_SO_MOI'!$C$14,'THAM_SO_MOI'!$C$13*(1+F3276^2/1500),'THAM_SO_MOI'!$C$13)</f>
        <v>0.015</v>
      </c>
      <c r="J3276" s="75">
        <f>0</f>
        <v>0.0</v>
      </c>
      <c r="K3276" s="75">
        <f>0</f>
        <v>0.0</v>
      </c>
      <c r="L3276" s="75">
        <f>0</f>
        <v>0.0</v>
      </c>
      <c r="M3276" s="75">
        <f>'THAM_SO_MOI'!$C$15*'THAM_SO_MOI'!$C$16*F3276^2</f>
        <v>790.8774130703207</v>
      </c>
      <c r="N3276" s="75">
        <f>'THAM_SO_MOI'!$C$12*I3276</f>
        <v>1130.112</v>
      </c>
      <c r="O3276" s="75">
        <f>M3276+N3276</f>
        <v>1920.9894130703208</v>
      </c>
      <c r="P3276" s="75">
        <f>-O3276/('THAM_SO_MOI'!$C$11*H3276)</f>
        <v>-0.23821793316844256</v>
      </c>
      <c r="R3276" s="75">
        <f>F3276-F3275</f>
        <v>-0.011914450292465517</v>
      </c>
      <c r="S3276" s="75">
        <f>'THAM_SO_MOI'!$C$34/'THAM_SO_MOI'!$C$43</f>
        <v>0.05</v>
      </c>
      <c r="T3276" s="75">
        <f>S3276*(F3275+2*X3276+2*Z3276+AB3276)/6</f>
        <v>0.8224678875956736</v>
      </c>
      <c r="U3276" s="76">
        <f>U3275+S3276</f>
        <v>27.67929198918153</v>
      </c>
      <c r="V3276" s="76">
        <f>V3275+T3276</f>
        <v>270.77963693365615</v>
      </c>
      <c r="W3276" s="75">
        <f>-('THAM_SO_MOI'!$C$12*IF(F3275&gt;'THAM_SO_MOI'!$C$14,'THAM_SO_MOI'!$C$13*(1+F3275^2/1500),'THAM_SO_MOI'!$C$13)+'THAM_SO_MOI'!$C$15*'THAM_SO_MOI'!$C$16*F3275^2)/('THAM_SO_MOI'!$C$11*'THAM_SO_MOI'!$C$35)</f>
        <v>-0.2383601098319678</v>
      </c>
      <c r="X3276" s="75">
        <f>F3275+S3276*W3276/2</f>
        <v>16.449356566716677</v>
      </c>
      <c r="Y3276" s="75">
        <f>-('THAM_SO_MOI'!$C$12*IF(X3276&gt;'THAM_SO_MOI'!$C$14,'THAM_SO_MOI'!$C$13*(1+X3276^2/1500),'THAM_SO_MOI'!$C$13)+'THAM_SO_MOI'!$C$15*'THAM_SO_MOI'!$C$16*X3276^2)/('THAM_SO_MOI'!$C$11*'THAM_SO_MOI'!$C$35)</f>
        <v>-0.2382889874153685</v>
      </c>
      <c r="Z3276" s="75">
        <f>F3275+S3276*Y3276/2</f>
        <v>16.449358344777092</v>
      </c>
      <c r="AA3276" s="75">
        <f>-('THAM_SO_MOI'!$C$12*IF(Z3276&gt;'THAM_SO_MOI'!$C$14,'THAM_SO_MOI'!$C$13*(1+Z3276^2/1500),'THAM_SO_MOI'!$C$13)+'THAM_SO_MOI'!$C$15*'THAM_SO_MOI'!$C$16*Z3276^2)/('THAM_SO_MOI'!$C$11*'THAM_SO_MOI'!$C$35)</f>
        <v>-0.23828900863319033</v>
      </c>
      <c r="AB3276" s="75">
        <f>F3275+S3276*AA3276</f>
        <v>16.443401119030817</v>
      </c>
      <c r="AC3276" s="75">
        <f>-('THAM_SO_MOI'!$C$12*IF(AB3276&gt;'THAM_SO_MOI'!$C$14,'THAM_SO_MOI'!$C$13*(1+AB3276^2/1500),'THAM_SO_MOI'!$C$13)+'THAM_SO_MOI'!$C$15*'THAM_SO_MOI'!$C$16*AB3276^2)/('THAM_SO_MOI'!$C$11*'THAM_SO_MOI'!$C$35)</f>
        <v>-0.23821793316678214</v>
      </c>
    </row>
    <row r="3277" spans="1:29" ht="19" customHeight="1">
      <c r="A3277" s="68" t="s">
        <v>377</v>
      </c>
      <c r="B3277" s="74">
        <v>4</v>
      </c>
      <c r="C3277" s="68" t="s">
        <v>370</v>
      </c>
      <c r="D3277" s="68" t="s">
        <v>371</v>
      </c>
      <c r="F3277" s="75">
        <f>F3276+S3277*(W3277+2*Y3277+2*AA3277+AC3277)/6</f>
        <v>16.431493773017923</v>
      </c>
      <c r="G3277" s="75">
        <f>3.6*F3277</f>
        <v>59.15337758286452</v>
      </c>
      <c r="H3277" s="75">
        <f>'THAM_SO_MOI'!$C$35</f>
        <v>1.05</v>
      </c>
      <c r="I3277" s="75">
        <f>IF(F3277&gt;'THAM_SO_MOI'!$C$14,'THAM_SO_MOI'!$C$13*(1+F3277^2/1500),'THAM_SO_MOI'!$C$13)</f>
        <v>0.015</v>
      </c>
      <c r="J3277" s="75">
        <f>0</f>
        <v>0.0</v>
      </c>
      <c r="K3277" s="75">
        <f>0</f>
        <v>0.0</v>
      </c>
      <c r="L3277" s="75">
        <f>0</f>
        <v>0.0</v>
      </c>
      <c r="M3277" s="75">
        <f>'THAM_SO_MOI'!$C$15*'THAM_SO_MOI'!$C$16*F3277^2</f>
        <v>789.7324137672259</v>
      </c>
      <c r="N3277" s="75">
        <f>'THAM_SO_MOI'!$C$12*I3277</f>
        <v>1130.112</v>
      </c>
      <c r="O3277" s="75">
        <f>M3277+N3277</f>
        <v>1919.844413767226</v>
      </c>
      <c r="P3277" s="75">
        <f>-O3277/('THAM_SO_MOI'!$C$11*H3277)</f>
        <v>-0.23807594416756273</v>
      </c>
      <c r="R3277" s="75">
        <f>F3277-F3276</f>
        <v>-0.011907346152089104</v>
      </c>
      <c r="S3277" s="75">
        <f>'THAM_SO_MOI'!$C$34/'THAM_SO_MOI'!$C$43</f>
        <v>0.05</v>
      </c>
      <c r="T3277" s="75">
        <f>S3277*(F3276+2*X3277+2*Z3277+AB3277)/6</f>
        <v>0.8218723427236564</v>
      </c>
      <c r="U3277" s="76">
        <f>U3276+S3277</f>
        <v>27.72929198918153</v>
      </c>
      <c r="V3277" s="76">
        <f>V3276+T3277</f>
        <v>271.60150927637983</v>
      </c>
      <c r="W3277" s="75">
        <f>-('THAM_SO_MOI'!$C$12*IF(F3276&gt;'THAM_SO_MOI'!$C$14,'THAM_SO_MOI'!$C$13*(1+F3276^2/1500),'THAM_SO_MOI'!$C$13)+'THAM_SO_MOI'!$C$15*'THAM_SO_MOI'!$C$16*F3276^2)/('THAM_SO_MOI'!$C$11*'THAM_SO_MOI'!$C$35)</f>
        <v>-0.23821793316844256</v>
      </c>
      <c r="X3277" s="75">
        <f>F3276+S3277*W3277/2</f>
        <v>16.437445670840802</v>
      </c>
      <c r="Y3277" s="75">
        <f>-('THAM_SO_MOI'!$C$12*IF(X3277&gt;'THAM_SO_MOI'!$C$14,'THAM_SO_MOI'!$C$13*(1+X3277^2/1500),'THAM_SO_MOI'!$C$13)+'THAM_SO_MOI'!$C$15*'THAM_SO_MOI'!$C$16*X3277^2)/('THAM_SO_MOI'!$C$11*'THAM_SO_MOI'!$C$35)</f>
        <v>-0.23814690464185156</v>
      </c>
      <c r="Z3277" s="75">
        <f>F3276+S3277*Y3277/2</f>
        <v>16.437447446553968</v>
      </c>
      <c r="AA3277" s="75">
        <f>-('THAM_SO_MOI'!$C$12*IF(Z3277&gt;'THAM_SO_MOI'!$C$14,'THAM_SO_MOI'!$C$13*(1+Z3277^2/1500),'THAM_SO_MOI'!$C$13)+'THAM_SO_MOI'!$C$15*'THAM_SO_MOI'!$C$16*Z3277^2)/('THAM_SO_MOI'!$C$11*'THAM_SO_MOI'!$C$35)</f>
        <v>-0.23814692581631997</v>
      </c>
      <c r="AB3277" s="75">
        <f>F3276+S3277*AA3277</f>
        <v>16.431493772879197</v>
      </c>
      <c r="AC3277" s="75">
        <f>-('THAM_SO_MOI'!$C$12*IF(AB3277&gt;'THAM_SO_MOI'!$C$14,'THAM_SO_MOI'!$C$13*(1+AB3277^2/1500),'THAM_SO_MOI'!$C$13)+'THAM_SO_MOI'!$C$15*'THAM_SO_MOI'!$C$16*AB3277^2)/('THAM_SO_MOI'!$C$11*'THAM_SO_MOI'!$C$35)</f>
        <v>-0.23807594416590908</v>
      </c>
    </row>
    <row r="3278" spans="1:29" ht="19" customHeight="1">
      <c r="A3278" s="68" t="s">
        <v>377</v>
      </c>
      <c r="B3278" s="74">
        <v>4</v>
      </c>
      <c r="C3278" s="68" t="s">
        <v>370</v>
      </c>
      <c r="D3278" s="68" t="s">
        <v>371</v>
      </c>
      <c r="F3278" s="75">
        <f>F3277+S3278*(W3278+2*Y3278+2*AA3278+AC3278)/6</f>
        <v>16.419593521630475</v>
      </c>
      <c r="G3278" s="75">
        <f>3.6*F3278</f>
        <v>59.11053667786971</v>
      </c>
      <c r="H3278" s="75">
        <f>'THAM_SO_MOI'!$C$35</f>
        <v>1.05</v>
      </c>
      <c r="I3278" s="75">
        <f>IF(F3278&gt;'THAM_SO_MOI'!$C$14,'THAM_SO_MOI'!$C$13*(1+F3278^2/1500),'THAM_SO_MOI'!$C$13)</f>
        <v>0.015</v>
      </c>
      <c r="J3278" s="75">
        <f>0</f>
        <v>0.0</v>
      </c>
      <c r="K3278" s="75">
        <f>0</f>
        <v>0.0</v>
      </c>
      <c r="L3278" s="75">
        <f>0</f>
        <v>0.0</v>
      </c>
      <c r="M3278" s="75">
        <f>'THAM_SO_MOI'!$C$15*'THAM_SO_MOI'!$C$16*F3278^2</f>
        <v>788.5889253905407</v>
      </c>
      <c r="N3278" s="75">
        <f>'THAM_SO_MOI'!$C$12*I3278</f>
        <v>1130.112</v>
      </c>
      <c r="O3278" s="75">
        <f>M3278+N3278</f>
        <v>1918.7009253905408</v>
      </c>
      <c r="P3278" s="75">
        <f>-O3278/('THAM_SO_MOI'!$C$11*H3278)</f>
        <v>-0.2379341425335492</v>
      </c>
      <c r="R3278" s="75">
        <f>F3278-F3277</f>
        <v>-0.011900251387448435</v>
      </c>
      <c r="S3278" s="75">
        <f>'THAM_SO_MOI'!$C$34/'THAM_SO_MOI'!$C$43</f>
        <v>0.05</v>
      </c>
      <c r="T3278" s="75">
        <f>S3278*(F3277+2*X3278+2*Z3278+AB3278)/6</f>
        <v>0.8212771528242028</v>
      </c>
      <c r="U3278" s="76">
        <f>U3277+S3278</f>
        <v>27.77929198918153</v>
      </c>
      <c r="V3278" s="76">
        <f>V3277+T3278</f>
        <v>272.42278642920405</v>
      </c>
      <c r="W3278" s="75">
        <f>-('THAM_SO_MOI'!$C$12*IF(F3277&gt;'THAM_SO_MOI'!$C$14,'THAM_SO_MOI'!$C$13*(1+F3277^2/1500),'THAM_SO_MOI'!$C$13)+'THAM_SO_MOI'!$C$15*'THAM_SO_MOI'!$C$16*F3277^2)/('THAM_SO_MOI'!$C$11*'THAM_SO_MOI'!$C$35)</f>
        <v>-0.23807594416756273</v>
      </c>
      <c r="X3278" s="75">
        <f>F3277+S3278*W3278/2</f>
        <v>16.425541874413735</v>
      </c>
      <c r="Y3278" s="75">
        <f>-('THAM_SO_MOI'!$C$12*IF(X3278&gt;'THAM_SO_MOI'!$C$14,'THAM_SO_MOI'!$C$13*(1+X3278^2/1500),'THAM_SO_MOI'!$C$13)+'THAM_SO_MOI'!$C$15*'THAM_SO_MOI'!$C$16*X3278^2)/('THAM_SO_MOI'!$C$11*'THAM_SO_MOI'!$C$35)</f>
        <v>-0.23800500938296731</v>
      </c>
      <c r="Z3278" s="75">
        <f>F3277+S3278*Y3278/2</f>
        <v>16.42554364778335</v>
      </c>
      <c r="AA3278" s="75">
        <f>-('THAM_SO_MOI'!$C$12*IF(Z3278&gt;'THAM_SO_MOI'!$C$14,'THAM_SO_MOI'!$C$13*(1+Z3278^2/1500),'THAM_SO_MOI'!$C$13)+'THAM_SO_MOI'!$C$15*'THAM_SO_MOI'!$C$16*Z3278^2)/('THAM_SO_MOI'!$C$11*'THAM_SO_MOI'!$C$35)</f>
        <v>-0.238005030514176</v>
      </c>
      <c r="AB3278" s="75">
        <f>F3277+S3278*AA3278</f>
        <v>16.419593521492214</v>
      </c>
      <c r="AC3278" s="75">
        <f>-('THAM_SO_MOI'!$C$12*IF(AB3278&gt;'THAM_SO_MOI'!$C$14,'THAM_SO_MOI'!$C$13*(1+AB3278^2/1500),'THAM_SO_MOI'!$C$13)+'THAM_SO_MOI'!$C$15*'THAM_SO_MOI'!$C$16*AB3278^2)/('THAM_SO_MOI'!$C$11*'THAM_SO_MOI'!$C$35)</f>
        <v>-0.23793414253190232</v>
      </c>
    </row>
    <row r="3279" spans="1:29" ht="19" customHeight="1">
      <c r="A3279" s="68" t="s">
        <v>377</v>
      </c>
      <c r="B3279" s="74">
        <v>4</v>
      </c>
      <c r="C3279" s="68" t="s">
        <v>370</v>
      </c>
      <c r="D3279" s="68" t="s">
        <v>371</v>
      </c>
      <c r="F3279" s="75">
        <f>F3278+S3279*(W3279+2*Y3279+2*AA3279+AC3279)/6</f>
        <v>16.407700355646707</v>
      </c>
      <c r="G3279" s="75">
        <f>3.6*F3279</f>
        <v>59.06772128032814</v>
      </c>
      <c r="H3279" s="75">
        <f>'THAM_SO_MOI'!$C$35</f>
        <v>1.05</v>
      </c>
      <c r="I3279" s="75">
        <f>IF(F3279&gt;'THAM_SO_MOI'!$C$14,'THAM_SO_MOI'!$C$13*(1+F3279^2/1500),'THAM_SO_MOI'!$C$13)</f>
        <v>0.015</v>
      </c>
      <c r="J3279" s="75">
        <f>0</f>
        <v>0.0</v>
      </c>
      <c r="K3279" s="75">
        <f>0</f>
        <v>0.0</v>
      </c>
      <c r="L3279" s="75">
        <f>0</f>
        <v>0.0</v>
      </c>
      <c r="M3279" s="75">
        <f>'THAM_SO_MOI'!$C$15*'THAM_SO_MOI'!$C$16*F3279^2</f>
        <v>787.4469455600157</v>
      </c>
      <c r="N3279" s="75">
        <f>'THAM_SO_MOI'!$C$12*I3279</f>
        <v>1130.112</v>
      </c>
      <c r="O3279" s="75">
        <f>M3279+N3279</f>
        <v>1917.5589455600157</v>
      </c>
      <c r="P3279" s="75">
        <f>-O3279/('THAM_SO_MOI'!$C$11*H3279)</f>
        <v>-0.2377925279712321</v>
      </c>
      <c r="R3279" s="75">
        <f>F3279-F3278</f>
        <v>-0.011893165983767773</v>
      </c>
      <c r="S3279" s="75">
        <f>'THAM_SO_MOI'!$C$34/'THAM_SO_MOI'!$C$43</f>
        <v>0.05</v>
      </c>
      <c r="T3279" s="75">
        <f>S3279*(F3278+2*X3279+2*Z3279+AB3279)/6</f>
        <v>0.8206823174288953</v>
      </c>
      <c r="U3279" s="76">
        <f>U3278+S3279</f>
        <v>27.82929198918153</v>
      </c>
      <c r="V3279" s="76">
        <f>V3278+T3279</f>
        <v>273.24346874663297</v>
      </c>
      <c r="W3279" s="75">
        <f>-('THAM_SO_MOI'!$C$12*IF(F3278&gt;'THAM_SO_MOI'!$C$14,'THAM_SO_MOI'!$C$13*(1+F3278^2/1500),'THAM_SO_MOI'!$C$13)+'THAM_SO_MOI'!$C$15*'THAM_SO_MOI'!$C$16*F3278^2)/('THAM_SO_MOI'!$C$11*'THAM_SO_MOI'!$C$35)</f>
        <v>-0.2379341425335492</v>
      </c>
      <c r="X3279" s="75">
        <f>F3278+S3279*W3279/2</f>
        <v>16.413645168067134</v>
      </c>
      <c r="Y3279" s="75">
        <f>-('THAM_SO_MOI'!$C$12*IF(X3279&gt;'THAM_SO_MOI'!$C$14,'THAM_SO_MOI'!$C$13*(1+X3279^2/1500),'THAM_SO_MOI'!$C$13)+'THAM_SO_MOI'!$C$15*'THAM_SO_MOI'!$C$16*X3279^2)/('THAM_SO_MOI'!$C$11*'THAM_SO_MOI'!$C$35)</f>
        <v>-0.23786330134324155</v>
      </c>
      <c r="Z3279" s="75">
        <f>F3278+S3279*Y3279/2</f>
        <v>16.413646939096893</v>
      </c>
      <c r="AA3279" s="75">
        <f>-('THAM_SO_MOI'!$C$12*IF(Z3279&gt;'THAM_SO_MOI'!$C$14,'THAM_SO_MOI'!$C$13*(1+Z3279^2/1500),'THAM_SO_MOI'!$C$13)+'THAM_SO_MOI'!$C$15*'THAM_SO_MOI'!$C$16*Z3279^2)/('THAM_SO_MOI'!$C$11*'THAM_SO_MOI'!$C$35)</f>
        <v>-0.23786332243128414</v>
      </c>
      <c r="AB3279" s="75">
        <f>F3278+S3279*AA3279</f>
        <v>16.40770035550891</v>
      </c>
      <c r="AC3279" s="75">
        <f>-('THAM_SO_MOI'!$C$12*IF(AB3279&gt;'THAM_SO_MOI'!$C$14,'THAM_SO_MOI'!$C$13*(1+AB3279^2/1500),'THAM_SO_MOI'!$C$13)+'THAM_SO_MOI'!$C$15*'THAM_SO_MOI'!$C$16*AB3279^2)/('THAM_SO_MOI'!$C$11*'THAM_SO_MOI'!$C$35)</f>
        <v>-0.23779252796959194</v>
      </c>
    </row>
    <row r="3280" spans="1:29" ht="19" customHeight="1">
      <c r="A3280" s="68" t="s">
        <v>377</v>
      </c>
      <c r="B3280" s="74">
        <v>4</v>
      </c>
      <c r="C3280" s="68" t="s">
        <v>370</v>
      </c>
      <c r="D3280" s="68" t="s">
        <v>371</v>
      </c>
      <c r="F3280" s="75">
        <f>F3279+S3280*(W3280+2*Y3280+2*AA3280+AC3280)/6</f>
        <v>16.3958142657204</v>
      </c>
      <c r="G3280" s="75">
        <f>3.6*F3280</f>
        <v>59.02493135659344</v>
      </c>
      <c r="H3280" s="75">
        <f>'THAM_SO_MOI'!$C$35</f>
        <v>1.05</v>
      </c>
      <c r="I3280" s="75">
        <f>IF(F3280&gt;'THAM_SO_MOI'!$C$14,'THAM_SO_MOI'!$C$13*(1+F3280^2/1500),'THAM_SO_MOI'!$C$13)</f>
        <v>0.015</v>
      </c>
      <c r="J3280" s="75">
        <f>0</f>
        <v>0.0</v>
      </c>
      <c r="K3280" s="75">
        <f>0</f>
        <v>0.0</v>
      </c>
      <c r="L3280" s="75">
        <f>0</f>
        <v>0.0</v>
      </c>
      <c r="M3280" s="75">
        <f>'THAM_SO_MOI'!$C$15*'THAM_SO_MOI'!$C$16*F3280^2</f>
        <v>786.3064719003017</v>
      </c>
      <c r="N3280" s="75">
        <f>'THAM_SO_MOI'!$C$12*I3280</f>
        <v>1130.112</v>
      </c>
      <c r="O3280" s="75">
        <f>M3280+N3280</f>
        <v>1916.418471900302</v>
      </c>
      <c r="P3280" s="75">
        <f>-O3280/('THAM_SO_MOI'!$C$11*H3280)</f>
        <v>-0.23765110018604935</v>
      </c>
      <c r="R3280" s="75">
        <f>F3280-F3279</f>
        <v>-0.011886089926306909</v>
      </c>
      <c r="S3280" s="75">
        <f>'THAM_SO_MOI'!$C$34/'THAM_SO_MOI'!$C$43</f>
        <v>0.05</v>
      </c>
      <c r="T3280" s="75">
        <f>S3280*(F3279+2*X3280+2*Z3280+AB3280)/6</f>
        <v>0.8200878360700555</v>
      </c>
      <c r="U3280" s="76">
        <f>U3279+S3280</f>
        <v>27.87929198918153</v>
      </c>
      <c r="V3280" s="76">
        <f>V3279+T3280</f>
        <v>274.06355658270303</v>
      </c>
      <c r="W3280" s="75">
        <f>-('THAM_SO_MOI'!$C$12*IF(F3279&gt;'THAM_SO_MOI'!$C$14,'THAM_SO_MOI'!$C$13*(1+F3279^2/1500),'THAM_SO_MOI'!$C$13)+'THAM_SO_MOI'!$C$15*'THAM_SO_MOI'!$C$16*F3279^2)/('THAM_SO_MOI'!$C$11*'THAM_SO_MOI'!$C$35)</f>
        <v>-0.2377925279712321</v>
      </c>
      <c r="X3280" s="75">
        <f>F3279+S3280*W3280/2</f>
        <v>16.401755542447425</v>
      </c>
      <c r="Y3280" s="75">
        <f>-('THAM_SO_MOI'!$C$12*IF(X3280&gt;'THAM_SO_MOI'!$C$14,'THAM_SO_MOI'!$C$13*(1+X3280^2/1500),'THAM_SO_MOI'!$C$13)+'THAM_SO_MOI'!$C$15*'THAM_SO_MOI'!$C$16*X3280^2)/('THAM_SO_MOI'!$C$11*'THAM_SO_MOI'!$C$35)</f>
        <v>-0.23772178022780868</v>
      </c>
      <c r="Z3280" s="75">
        <f>F3279+S3280*Y3280/2</f>
        <v>16.40175731114101</v>
      </c>
      <c r="AA3280" s="75">
        <f>-('THAM_SO_MOI'!$C$12*IF(Z3280&gt;'THAM_SO_MOI'!$C$14,'THAM_SO_MOI'!$C$13*(1+Z3280^2/1500),'THAM_SO_MOI'!$C$13)+'THAM_SO_MOI'!$C$15*'THAM_SO_MOI'!$C$16*Z3280^2)/('THAM_SO_MOI'!$C$11*'THAM_SO_MOI'!$C$35)</f>
        <v>-0.23772180127277845</v>
      </c>
      <c r="AB3280" s="75">
        <f>F3279+S3280*AA3280</f>
        <v>16.395814265583066</v>
      </c>
      <c r="AC3280" s="75">
        <f>-('THAM_SO_MOI'!$C$12*IF(AB3280&gt;'THAM_SO_MOI'!$C$14,'THAM_SO_MOI'!$C$13*(1+AB3280^2/1500),'THAM_SO_MOI'!$C$13)+'THAM_SO_MOI'!$C$15*'THAM_SO_MOI'!$C$16*AB3280^2)/('THAM_SO_MOI'!$C$11*'THAM_SO_MOI'!$C$35)</f>
        <v>-0.23765110018441582</v>
      </c>
    </row>
    <row r="3281" spans="1:29" ht="19" customHeight="1">
      <c r="A3281" s="68" t="s">
        <v>377</v>
      </c>
      <c r="B3281" s="74">
        <v>4</v>
      </c>
      <c r="C3281" s="68" t="s">
        <v>370</v>
      </c>
      <c r="D3281" s="68" t="s">
        <v>371</v>
      </c>
      <c r="F3281" s="75">
        <f>F3280+S3281*(W3281+2*Y3281+2*AA3281+AC3281)/6</f>
        <v>16.38393524252005</v>
      </c>
      <c r="G3281" s="75">
        <f>3.6*F3281</f>
        <v>58.98216687307218</v>
      </c>
      <c r="H3281" s="75">
        <f>'THAM_SO_MOI'!$C$35</f>
        <v>1.05</v>
      </c>
      <c r="I3281" s="75">
        <f>IF(F3281&gt;'THAM_SO_MOI'!$C$14,'THAM_SO_MOI'!$C$13*(1+F3281^2/1500),'THAM_SO_MOI'!$C$13)</f>
        <v>0.015</v>
      </c>
      <c r="J3281" s="75">
        <f>0</f>
        <v>0.0</v>
      </c>
      <c r="K3281" s="75">
        <f>0</f>
        <v>0.0</v>
      </c>
      <c r="L3281" s="75">
        <f>0</f>
        <v>0.0</v>
      </c>
      <c r="M3281" s="75">
        <f>'THAM_SO_MOI'!$C$15*'THAM_SO_MOI'!$C$16*F3281^2</f>
        <v>785.1675020409398</v>
      </c>
      <c r="N3281" s="75">
        <f>'THAM_SO_MOI'!$C$12*I3281</f>
        <v>1130.112</v>
      </c>
      <c r="O3281" s="75">
        <f>M3281+N3281</f>
        <v>1915.2795020409399</v>
      </c>
      <c r="P3281" s="75">
        <f>-O3281/('THAM_SO_MOI'!$C$11*H3281)</f>
        <v>-0.23750985888404513</v>
      </c>
      <c r="R3281" s="75">
        <f>F3281-F3280</f>
        <v>-0.011879023200350503</v>
      </c>
      <c r="S3281" s="75">
        <f>'THAM_SO_MOI'!$C$34/'THAM_SO_MOI'!$C$43</f>
        <v>0.05</v>
      </c>
      <c r="T3281" s="75">
        <f>S3281*(F3280+2*X3281+2*Z3281+AB3281)/6</f>
        <v>0.8194937082807398</v>
      </c>
      <c r="U3281" s="76">
        <f>U3280+S3281</f>
        <v>27.929291989181532</v>
      </c>
      <c r="V3281" s="76">
        <f>V3280+T3281</f>
        <v>274.88305029098376</v>
      </c>
      <c r="W3281" s="75">
        <f>-('THAM_SO_MOI'!$C$12*IF(F3280&gt;'THAM_SO_MOI'!$C$14,'THAM_SO_MOI'!$C$13*(1+F3280^2/1500),'THAM_SO_MOI'!$C$13)+'THAM_SO_MOI'!$C$15*'THAM_SO_MOI'!$C$16*F3280^2)/('THAM_SO_MOI'!$C$11*'THAM_SO_MOI'!$C$35)</f>
        <v>-0.23765110018604935</v>
      </c>
      <c r="X3281" s="75">
        <f>F3280+S3281*W3281/2</f>
        <v>16.38987298821575</v>
      </c>
      <c r="Y3281" s="75">
        <f>-('THAM_SO_MOI'!$C$12*IF(X3281&gt;'THAM_SO_MOI'!$C$14,'THAM_SO_MOI'!$C$13*(1+X3281^2/1500),'THAM_SO_MOI'!$C$13)+'THAM_SO_MOI'!$C$15*'THAM_SO_MOI'!$C$16*X3281^2)/('THAM_SO_MOI'!$C$11*'THAM_SO_MOI'!$C$35)</f>
        <v>-0.23758044574241005</v>
      </c>
      <c r="Z3281" s="75">
        <f>F3280+S3281*Y3281/2</f>
        <v>16.38987475457684</v>
      </c>
      <c r="AA3281" s="75">
        <f>-('THAM_SO_MOI'!$C$12*IF(Z3281&gt;'THAM_SO_MOI'!$C$14,'THAM_SO_MOI'!$C$13*(1+Z3281^2/1500),'THAM_SO_MOI'!$C$13)+'THAM_SO_MOI'!$C$15*'THAM_SO_MOI'!$C$16*Z3281^2)/('THAM_SO_MOI'!$C$11*'THAM_SO_MOI'!$C$35)</f>
        <v>-0.2375804667444001</v>
      </c>
      <c r="AB3281" s="75">
        <f>F3280+S3281*AA3281</f>
        <v>16.38393524238318</v>
      </c>
      <c r="AC3281" s="75">
        <f>-('THAM_SO_MOI'!$C$12*IF(AB3281&gt;'THAM_SO_MOI'!$C$14,'THAM_SO_MOI'!$C$13*(1+AB3281^2/1500),'THAM_SO_MOI'!$C$13)+'THAM_SO_MOI'!$C$15*'THAM_SO_MOI'!$C$16*AB3281^2)/('THAM_SO_MOI'!$C$11*'THAM_SO_MOI'!$C$35)</f>
        <v>-0.23750985888241835</v>
      </c>
    </row>
    <row r="3282" spans="1:29" ht="19" customHeight="1">
      <c r="A3282" s="68" t="s">
        <v>377</v>
      </c>
      <c r="B3282" s="74">
        <v>4</v>
      </c>
      <c r="C3282" s="68" t="s">
        <v>370</v>
      </c>
      <c r="D3282" s="68" t="s">
        <v>371</v>
      </c>
      <c r="F3282" s="75">
        <f>F3281+S3282*(W3282+2*Y3282+2*AA3282+AC3282)/6</f>
        <v>16.37206327672883</v>
      </c>
      <c r="G3282" s="75">
        <f>3.6*F3282</f>
        <v>58.93942779622379</v>
      </c>
      <c r="H3282" s="75">
        <f>'THAM_SO_MOI'!$C$35</f>
        <v>1.05</v>
      </c>
      <c r="I3282" s="75">
        <f>IF(F3282&gt;'THAM_SO_MOI'!$C$14,'THAM_SO_MOI'!$C$13*(1+F3282^2/1500),'THAM_SO_MOI'!$C$13)</f>
        <v>0.015</v>
      </c>
      <c r="J3282" s="75">
        <f>0</f>
        <v>0.0</v>
      </c>
      <c r="K3282" s="75">
        <f>0</f>
        <v>0.0</v>
      </c>
      <c r="L3282" s="75">
        <f>0</f>
        <v>0.0</v>
      </c>
      <c r="M3282" s="75">
        <f>'THAM_SO_MOI'!$C$15*'THAM_SO_MOI'!$C$16*F3282^2</f>
        <v>784.0300336163475</v>
      </c>
      <c r="N3282" s="75">
        <f>'THAM_SO_MOI'!$C$12*I3282</f>
        <v>1130.112</v>
      </c>
      <c r="O3282" s="75">
        <f>M3282+N3282</f>
        <v>1914.1420336163476</v>
      </c>
      <c r="P3282" s="75">
        <f>-O3282/('THAM_SO_MOI'!$C$11*H3282)</f>
        <v>-0.2373688037718685</v>
      </c>
      <c r="R3282" s="75">
        <f>F3282-F3281</f>
        <v>-0.011871965791218742</v>
      </c>
      <c r="S3282" s="75">
        <f>'THAM_SO_MOI'!$C$34/'THAM_SO_MOI'!$C$43</f>
        <v>0.05</v>
      </c>
      <c r="T3282" s="75">
        <f>S3282*(F3281+2*X3282+2*Z3282+AB3282)/6</f>
        <v>0.8188999335947401</v>
      </c>
      <c r="U3282" s="76">
        <f>U3281+S3282</f>
        <v>27.979291989181533</v>
      </c>
      <c r="V3282" s="76">
        <f>V3281+T3282</f>
        <v>275.7019502245785</v>
      </c>
      <c r="W3282" s="75">
        <f>-('THAM_SO_MOI'!$C$12*IF(F3281&gt;'THAM_SO_MOI'!$C$14,'THAM_SO_MOI'!$C$13*(1+F3281^2/1500),'THAM_SO_MOI'!$C$13)+'THAM_SO_MOI'!$C$15*'THAM_SO_MOI'!$C$16*F3281^2)/('THAM_SO_MOI'!$C$11*'THAM_SO_MOI'!$C$35)</f>
        <v>-0.23750985888404513</v>
      </c>
      <c r="X3282" s="75">
        <f>F3281+S3282*W3282/2</f>
        <v>16.37799749604795</v>
      </c>
      <c r="Y3282" s="75">
        <f>-('THAM_SO_MOI'!$C$12*IF(X3282&gt;'THAM_SO_MOI'!$C$14,'THAM_SO_MOI'!$C$13*(1+X3282^2/1500),'THAM_SO_MOI'!$C$13)+'THAM_SO_MOI'!$C$15*'THAM_SO_MOI'!$C$16*X3282^2)/('THAM_SO_MOI'!$C$11*'THAM_SO_MOI'!$C$35)</f>
        <v>-0.23743929759339252</v>
      </c>
      <c r="Z3282" s="75">
        <f>F3281+S3282*Y3282/2</f>
        <v>16.377999260080216</v>
      </c>
      <c r="AA3282" s="75">
        <f>-('THAM_SO_MOI'!$C$12*IF(Z3282&gt;'THAM_SO_MOI'!$C$14,'THAM_SO_MOI'!$C$13*(1+Z3282^2/1500),'THAM_SO_MOI'!$C$13)+'THAM_SO_MOI'!$C$15*'THAM_SO_MOI'!$C$16*Z3282^2)/('THAM_SO_MOI'!$C$11*'THAM_SO_MOI'!$C$35)</f>
        <v>-0.23743931855249573</v>
      </c>
      <c r="AB3282" s="75">
        <f>F3281+S3282*AA3282</f>
        <v>16.372063276592424</v>
      </c>
      <c r="AC3282" s="75">
        <f>-('THAM_SO_MOI'!$C$12*IF(AB3282&gt;'THAM_SO_MOI'!$C$14,'THAM_SO_MOI'!$C$13*(1+AB3282^2/1500),'THAM_SO_MOI'!$C$13)+'THAM_SO_MOI'!$C$15*'THAM_SO_MOI'!$C$16*AB3282^2)/('THAM_SO_MOI'!$C$11*'THAM_SO_MOI'!$C$35)</f>
        <v>-0.23736880377024838</v>
      </c>
    </row>
    <row r="3283" spans="1:29" ht="19" customHeight="1">
      <c r="A3283" s="68" t="s">
        <v>377</v>
      </c>
      <c r="B3283" s="74">
        <v>4</v>
      </c>
      <c r="C3283" s="68" t="s">
        <v>370</v>
      </c>
      <c r="D3283" s="68" t="s">
        <v>371</v>
      </c>
      <c r="F3283" s="75">
        <f>F3282+S3283*(W3283+2*Y3283+2*AA3283+AC3283)/6</f>
        <v>16.360198359044578</v>
      </c>
      <c r="G3283" s="75">
        <f>3.6*F3283</f>
        <v>58.89671409256048</v>
      </c>
      <c r="H3283" s="75">
        <f>'THAM_SO_MOI'!$C$35</f>
        <v>1.05</v>
      </c>
      <c r="I3283" s="75">
        <f>IF(F3283&gt;'THAM_SO_MOI'!$C$14,'THAM_SO_MOI'!$C$13*(1+F3283^2/1500),'THAM_SO_MOI'!$C$13)</f>
        <v>0.015</v>
      </c>
      <c r="J3283" s="75">
        <f>0</f>
        <v>0.0</v>
      </c>
      <c r="K3283" s="75">
        <f>0</f>
        <v>0.0</v>
      </c>
      <c r="L3283" s="75">
        <f>0</f>
        <v>0.0</v>
      </c>
      <c r="M3283" s="75">
        <f>'THAM_SO_MOI'!$C$15*'THAM_SO_MOI'!$C$16*F3283^2</f>
        <v>782.8940642658083</v>
      </c>
      <c r="N3283" s="75">
        <f>'THAM_SO_MOI'!$C$12*I3283</f>
        <v>1130.112</v>
      </c>
      <c r="O3283" s="75">
        <f>M3283+N3283</f>
        <v>1913.0060642658084</v>
      </c>
      <c r="P3283" s="75">
        <f>-O3283/('THAM_SO_MOI'!$C$11*H3283)</f>
        <v>-0.23722793455677188</v>
      </c>
      <c r="R3283" s="75">
        <f>F3283-F3282</f>
        <v>-0.011864917684253129</v>
      </c>
      <c r="S3283" s="75">
        <f>'THAM_SO_MOI'!$C$34/'THAM_SO_MOI'!$C$43</f>
        <v>0.05</v>
      </c>
      <c r="T3283" s="75">
        <f>S3283*(F3282+2*X3283+2*Z3283+AB3283)/6</f>
        <v>0.8183065115465818</v>
      </c>
      <c r="U3283" s="76">
        <f>U3282+S3283</f>
        <v>28.029291989181534</v>
      </c>
      <c r="V3283" s="76">
        <f>V3282+T3283</f>
        <v>276.52025673612513</v>
      </c>
      <c r="W3283" s="75">
        <f>-('THAM_SO_MOI'!$C$12*IF(F3282&gt;'THAM_SO_MOI'!$C$14,'THAM_SO_MOI'!$C$13*(1+F3282^2/1500),'THAM_SO_MOI'!$C$13)+'THAM_SO_MOI'!$C$15*'THAM_SO_MOI'!$C$16*F3282^2)/('THAM_SO_MOI'!$C$11*'THAM_SO_MOI'!$C$35)</f>
        <v>-0.2373688037718685</v>
      </c>
      <c r="X3283" s="75">
        <f>F3282+S3283*W3283/2</f>
        <v>16.366129056634534</v>
      </c>
      <c r="Y3283" s="75">
        <f>-('THAM_SO_MOI'!$C$12*IF(X3283&gt;'THAM_SO_MOI'!$C$14,'THAM_SO_MOI'!$C$13*(1+X3283^2/1500),'THAM_SO_MOI'!$C$13)+'THAM_SO_MOI'!$C$15*'THAM_SO_MOI'!$C$16*X3283^2)/('THAM_SO_MOI'!$C$11*'THAM_SO_MOI'!$C$35)</f>
        <v>-0.23729833548770715</v>
      </c>
      <c r="Z3283" s="75">
        <f>F3282+S3283*Y3283/2</f>
        <v>16.366130818341638</v>
      </c>
      <c r="AA3283" s="75">
        <f>-('THAM_SO_MOI'!$C$12*IF(Z3283&gt;'THAM_SO_MOI'!$C$14,'THAM_SO_MOI'!$C$13*(1+Z3283^2/1500),'THAM_SO_MOI'!$C$13)+'THAM_SO_MOI'!$C$15*'THAM_SO_MOI'!$C$16*Z3283^2)/('THAM_SO_MOI'!$C$11*'THAM_SO_MOI'!$C$35)</f>
        <v>-0.23729835640401606</v>
      </c>
      <c r="AB3283" s="75">
        <f>F3282+S3283*AA3283</f>
        <v>16.36019835890863</v>
      </c>
      <c r="AC3283" s="75">
        <f>-('THAM_SO_MOI'!$C$12*IF(AB3283&gt;'THAM_SO_MOI'!$C$14,'THAM_SO_MOI'!$C$13*(1+AB3283^2/1500),'THAM_SO_MOI'!$C$13)+'THAM_SO_MOI'!$C$15*'THAM_SO_MOI'!$C$16*AB3283^2)/('THAM_SO_MOI'!$C$11*'THAM_SO_MOI'!$C$35)</f>
        <v>-0.2372279345551584</v>
      </c>
    </row>
    <row r="3284" spans="1:29" ht="19" customHeight="1">
      <c r="A3284" s="68" t="s">
        <v>377</v>
      </c>
      <c r="B3284" s="74">
        <v>4</v>
      </c>
      <c r="C3284" s="68" t="s">
        <v>370</v>
      </c>
      <c r="D3284" s="68" t="s">
        <v>371</v>
      </c>
      <c r="F3284" s="75">
        <f>F3283+S3284*(W3284+2*Y3284+2*AA3284+AC3284)/6</f>
        <v>16.34834048017974</v>
      </c>
      <c r="G3284" s="75">
        <f>3.6*F3284</f>
        <v>58.854025728647066</v>
      </c>
      <c r="H3284" s="75">
        <f>'THAM_SO_MOI'!$C$35</f>
        <v>1.05</v>
      </c>
      <c r="I3284" s="75">
        <f>IF(F3284&gt;'THAM_SO_MOI'!$C$14,'THAM_SO_MOI'!$C$13*(1+F3284^2/1500),'THAM_SO_MOI'!$C$13)</f>
        <v>0.015</v>
      </c>
      <c r="J3284" s="75">
        <f>0</f>
        <v>0.0</v>
      </c>
      <c r="K3284" s="75">
        <f>0</f>
        <v>0.0</v>
      </c>
      <c r="L3284" s="75">
        <f>0</f>
        <v>0.0</v>
      </c>
      <c r="M3284" s="75">
        <f>'THAM_SO_MOI'!$C$15*'THAM_SO_MOI'!$C$16*F3284^2</f>
        <v>781.7595916334594</v>
      </c>
      <c r="N3284" s="75">
        <f>'THAM_SO_MOI'!$C$12*I3284</f>
        <v>1130.112</v>
      </c>
      <c r="O3284" s="75">
        <f>M3284+N3284</f>
        <v>1911.8715916334595</v>
      </c>
      <c r="P3284" s="75">
        <f>-O3284/('THAM_SO_MOI'!$C$11*H3284)</f>
        <v>-0.23708725094660957</v>
      </c>
      <c r="R3284" s="75">
        <f>F3284-F3283</f>
        <v>-0.0118578788648378</v>
      </c>
      <c r="S3284" s="75">
        <f>'THAM_SO_MOI'!$C$34/'THAM_SO_MOI'!$C$43</f>
        <v>0.05</v>
      </c>
      <c r="T3284" s="75">
        <f>S3284*(F3283+2*X3284+2*Z3284+AB3284)/6</f>
        <v>0.8177134416715224</v>
      </c>
      <c r="U3284" s="76">
        <f>U3283+S3284</f>
        <v>28.079291989181534</v>
      </c>
      <c r="V3284" s="76">
        <f>V3283+T3284</f>
        <v>277.33797017779665</v>
      </c>
      <c r="W3284" s="75">
        <f>-('THAM_SO_MOI'!$C$12*IF(F3283&gt;'THAM_SO_MOI'!$C$14,'THAM_SO_MOI'!$C$13*(1+F3283^2/1500),'THAM_SO_MOI'!$C$13)+'THAM_SO_MOI'!$C$15*'THAM_SO_MOI'!$C$16*F3283^2)/('THAM_SO_MOI'!$C$11*'THAM_SO_MOI'!$C$35)</f>
        <v>-0.23722793455677188</v>
      </c>
      <c r="X3284" s="75">
        <f>F3283+S3284*W3284/2</f>
        <v>16.35426766068066</v>
      </c>
      <c r="Y3284" s="75">
        <f>-('THAM_SO_MOI'!$C$12*IF(X3284&gt;'THAM_SO_MOI'!$C$14,'THAM_SO_MOI'!$C$13*(1+X3284^2/1500),'THAM_SO_MOI'!$C$13)+'THAM_SO_MOI'!$C$15*'THAM_SO_MOI'!$C$16*X3284^2)/('THAM_SO_MOI'!$C$11*'THAM_SO_MOI'!$C$35)</f>
        <v>-0.2371575591329076</v>
      </c>
      <c r="Z3284" s="75">
        <f>F3283+S3284*Y3284/2</f>
        <v>16.354269420066256</v>
      </c>
      <c r="AA3284" s="75">
        <f>-('THAM_SO_MOI'!$C$12*IF(Z3284&gt;'THAM_SO_MOI'!$C$14,'THAM_SO_MOI'!$C$13*(1+Z3284^2/1500),'THAM_SO_MOI'!$C$13)+'THAM_SO_MOI'!$C$15*'THAM_SO_MOI'!$C$16*Z3284^2)/('THAM_SO_MOI'!$C$11*'THAM_SO_MOI'!$C$35)</f>
        <v>-0.23715758000651468</v>
      </c>
      <c r="AB3284" s="75">
        <f>F3283+S3284*AA3284</f>
        <v>16.348340480044254</v>
      </c>
      <c r="AC3284" s="75">
        <f>-('THAM_SO_MOI'!$C$12*IF(AB3284&gt;'THAM_SO_MOI'!$C$14,'THAM_SO_MOI'!$C$13*(1+AB3284^2/1500),'THAM_SO_MOI'!$C$13)+'THAM_SO_MOI'!$C$15*'THAM_SO_MOI'!$C$16*AB3284^2)/('THAM_SO_MOI'!$C$11*'THAM_SO_MOI'!$C$35)</f>
        <v>-0.23708725094500271</v>
      </c>
    </row>
    <row r="3285" spans="1:29" ht="19" customHeight="1">
      <c r="A3285" s="68" t="s">
        <v>377</v>
      </c>
      <c r="B3285" s="74">
        <v>4</v>
      </c>
      <c r="C3285" s="68" t="s">
        <v>370</v>
      </c>
      <c r="D3285" s="68" t="s">
        <v>371</v>
      </c>
      <c r="F3285" s="75">
        <f>F3284+S3285*(W3285+2*Y3285+2*AA3285+AC3285)/6</f>
        <v>16.33648963086136</v>
      </c>
      <c r="G3285" s="75">
        <f>3.6*F3285</f>
        <v>58.8113626711009</v>
      </c>
      <c r="H3285" s="75">
        <f>'THAM_SO_MOI'!$C$35</f>
        <v>1.05</v>
      </c>
      <c r="I3285" s="75">
        <f>IF(F3285&gt;'THAM_SO_MOI'!$C$14,'THAM_SO_MOI'!$C$13*(1+F3285^2/1500),'THAM_SO_MOI'!$C$13)</f>
        <v>0.015</v>
      </c>
      <c r="J3285" s="75">
        <f>0</f>
        <v>0.0</v>
      </c>
      <c r="K3285" s="75">
        <f>0</f>
        <v>0.0</v>
      </c>
      <c r="L3285" s="75">
        <f>0</f>
        <v>0.0</v>
      </c>
      <c r="M3285" s="75">
        <f>'THAM_SO_MOI'!$C$15*'THAM_SO_MOI'!$C$16*F3285^2</f>
        <v>780.6266133682794</v>
      </c>
      <c r="N3285" s="75">
        <f>'THAM_SO_MOI'!$C$12*I3285</f>
        <v>1130.112</v>
      </c>
      <c r="O3285" s="75">
        <f>M3285+N3285</f>
        <v>1910.7386133682794</v>
      </c>
      <c r="P3285" s="75">
        <f>-O3285/('THAM_SO_MOI'!$C$11*H3285)</f>
        <v>-0.23694675264983622</v>
      </c>
      <c r="R3285" s="75">
        <f>F3285-F3284</f>
        <v>-0.01185084931837821</v>
      </c>
      <c r="S3285" s="75">
        <f>'THAM_SO_MOI'!$C$34/'THAM_SO_MOI'!$C$43</f>
        <v>0.05</v>
      </c>
      <c r="T3285" s="75">
        <f>S3285*(F3284+2*X3285+2*Z3285+AB3285)/6</f>
        <v>0.8171207235055488</v>
      </c>
      <c r="U3285" s="76">
        <f>U3284+S3285</f>
        <v>28.129291989181535</v>
      </c>
      <c r="V3285" s="76">
        <f>V3284+T3285</f>
        <v>278.1550909013022</v>
      </c>
      <c r="W3285" s="75">
        <f>-('THAM_SO_MOI'!$C$12*IF(F3284&gt;'THAM_SO_MOI'!$C$14,'THAM_SO_MOI'!$C$13*(1+F3284^2/1500),'THAM_SO_MOI'!$C$13)+'THAM_SO_MOI'!$C$15*'THAM_SO_MOI'!$C$16*F3284^2)/('THAM_SO_MOI'!$C$11*'THAM_SO_MOI'!$C$35)</f>
        <v>-0.23708725094660957</v>
      </c>
      <c r="X3285" s="75">
        <f>F3284+S3285*W3285/2</f>
        <v>16.342413298906074</v>
      </c>
      <c r="Y3285" s="75">
        <f>-('THAM_SO_MOI'!$C$12*IF(X3285&gt;'THAM_SO_MOI'!$C$14,'THAM_SO_MOI'!$C$13*(1+X3285^2/1500),'THAM_SO_MOI'!$C$13)+'THAM_SO_MOI'!$C$15*'THAM_SO_MOI'!$C$16*X3285^2)/('THAM_SO_MOI'!$C$11*'THAM_SO_MOI'!$C$35)</f>
        <v>-0.23701696823714866</v>
      </c>
      <c r="Z3285" s="75">
        <f>F3284+S3285*Y3285/2</f>
        <v>16.34241505597381</v>
      </c>
      <c r="AA3285" s="75">
        <f>-('THAM_SO_MOI'!$C$12*IF(Z3285&gt;'THAM_SO_MOI'!$C$14,'THAM_SO_MOI'!$C$13*(1+Z3285^2/1500),'THAM_SO_MOI'!$C$13)+'THAM_SO_MOI'!$C$15*'THAM_SO_MOI'!$C$16*Z3285^2)/('THAM_SO_MOI'!$C$11*'THAM_SO_MOI'!$C$35)</f>
        <v>-0.237016989068146</v>
      </c>
      <c r="AB3285" s="75">
        <f>F3284+S3285*AA3285</f>
        <v>16.336489630726334</v>
      </c>
      <c r="AC3285" s="75">
        <f>-('THAM_SO_MOI'!$C$12*IF(AB3285&gt;'THAM_SO_MOI'!$C$14,'THAM_SO_MOI'!$C$13*(1+AB3285^2/1500),'THAM_SO_MOI'!$C$13)+'THAM_SO_MOI'!$C$15*'THAM_SO_MOI'!$C$16*AB3285^2)/('THAM_SO_MOI'!$C$11*'THAM_SO_MOI'!$C$35)</f>
        <v>-0.236946752648236</v>
      </c>
    </row>
    <row r="3286" spans="1:29" ht="19" customHeight="1">
      <c r="A3286" s="68" t="s">
        <v>377</v>
      </c>
      <c r="B3286" s="74">
        <v>4</v>
      </c>
      <c r="C3286" s="68" t="s">
        <v>370</v>
      </c>
      <c r="D3286" s="68" t="s">
        <v>371</v>
      </c>
      <c r="F3286" s="75">
        <f>F3285+S3286*(W3286+2*Y3286+2*AA3286+AC3286)/6</f>
        <v>16.32464580183105</v>
      </c>
      <c r="G3286" s="75">
        <f>3.6*F3286</f>
        <v>58.768724886591784</v>
      </c>
      <c r="H3286" s="75">
        <f>'THAM_SO_MOI'!$C$35</f>
        <v>1.05</v>
      </c>
      <c r="I3286" s="75">
        <f>IF(F3286&gt;'THAM_SO_MOI'!$C$14,'THAM_SO_MOI'!$C$13*(1+F3286^2/1500),'THAM_SO_MOI'!$C$13)</f>
        <v>0.015</v>
      </c>
      <c r="J3286" s="75">
        <f>0</f>
        <v>0.0</v>
      </c>
      <c r="K3286" s="75">
        <f>0</f>
        <v>0.0</v>
      </c>
      <c r="L3286" s="75">
        <f>0</f>
        <v>0.0</v>
      </c>
      <c r="M3286" s="75">
        <f>'THAM_SO_MOI'!$C$15*'THAM_SO_MOI'!$C$16*F3286^2</f>
        <v>779.4951271240774</v>
      </c>
      <c r="N3286" s="75">
        <f>'THAM_SO_MOI'!$C$12*I3286</f>
        <v>1130.112</v>
      </c>
      <c r="O3286" s="75">
        <f>M3286+N3286</f>
        <v>1909.6071271240776</v>
      </c>
      <c r="P3286" s="75">
        <f>-O3286/('THAM_SO_MOI'!$C$11*H3286)</f>
        <v>-0.23680643937550566</v>
      </c>
      <c r="R3286" s="75">
        <f>F3286-F3285</f>
        <v>-0.011843829030311781</v>
      </c>
      <c r="S3286" s="75">
        <f>'THAM_SO_MOI'!$C$34/'THAM_SO_MOI'!$C$43</f>
        <v>0.05</v>
      </c>
      <c r="T3286" s="75">
        <f>S3286*(F3285+2*X3286+2*Z3286+AB3286)/6</f>
        <v>0.8165283565853779</v>
      </c>
      <c r="U3286" s="76">
        <f>U3285+S3286</f>
        <v>28.179291989181536</v>
      </c>
      <c r="V3286" s="76">
        <f>V3285+T3286</f>
        <v>278.97161925788754</v>
      </c>
      <c r="W3286" s="75">
        <f>-('THAM_SO_MOI'!$C$12*IF(F3285&gt;'THAM_SO_MOI'!$C$14,'THAM_SO_MOI'!$C$13*(1+F3285^2/1500),'THAM_SO_MOI'!$C$13)+'THAM_SO_MOI'!$C$15*'THAM_SO_MOI'!$C$16*F3285^2)/('THAM_SO_MOI'!$C$11*'THAM_SO_MOI'!$C$35)</f>
        <v>-0.23694675264983622</v>
      </c>
      <c r="X3286" s="75">
        <f>F3285+S3286*W3286/2</f>
        <v>16.330565962045117</v>
      </c>
      <c r="Y3286" s="75">
        <f>-('THAM_SO_MOI'!$C$12*IF(X3286&gt;'THAM_SO_MOI'!$C$14,'THAM_SO_MOI'!$C$13*(1+X3286^2/1500),'THAM_SO_MOI'!$C$13)+'THAM_SO_MOI'!$C$15*'THAM_SO_MOI'!$C$16*X3286^2)/('THAM_SO_MOI'!$C$11*'THAM_SO_MOI'!$C$35)</f>
        <v>-0.23687656250918487</v>
      </c>
      <c r="Z3286" s="75">
        <f>F3285+S3286*Y3286/2</f>
        <v>16.330567716798633</v>
      </c>
      <c r="AA3286" s="75">
        <f>-('THAM_SO_MOI'!$C$12*IF(Z3286&gt;'THAM_SO_MOI'!$C$14,'THAM_SO_MOI'!$C$13*(1+Z3286^2/1500),'THAM_SO_MOI'!$C$13)+'THAM_SO_MOI'!$C$15*'THAM_SO_MOI'!$C$16*Z3286^2)/('THAM_SO_MOI'!$C$11*'THAM_SO_MOI'!$C$35)</f>
        <v>-0.23687658329766448</v>
      </c>
      <c r="AB3286" s="75">
        <f>F3285+S3286*AA3286</f>
        <v>16.32464580169648</v>
      </c>
      <c r="AC3286" s="75">
        <f>-('THAM_SO_MOI'!$C$12*IF(AB3286&gt;'THAM_SO_MOI'!$C$14,'THAM_SO_MOI'!$C$13*(1+AB3286^2/1500),'THAM_SO_MOI'!$C$13)+'THAM_SO_MOI'!$C$15*'THAM_SO_MOI'!$C$16*AB3286^2)/('THAM_SO_MOI'!$C$11*'THAM_SO_MOI'!$C$35)</f>
        <v>-0.23680643937391196</v>
      </c>
    </row>
    <row r="3287" spans="1:29" ht="19" customHeight="1">
      <c r="A3287" s="68" t="s">
        <v>377</v>
      </c>
      <c r="B3287" s="74">
        <v>4</v>
      </c>
      <c r="C3287" s="68" t="s">
        <v>370</v>
      </c>
      <c r="D3287" s="68" t="s">
        <v>371</v>
      </c>
      <c r="F3287" s="75">
        <f>F3286+S3287*(W3287+2*Y3287+2*AA3287+AC3287)/6</f>
        <v>16.312808983844942</v>
      </c>
      <c r="G3287" s="75">
        <f>3.6*F3287</f>
        <v>58.72611234184179</v>
      </c>
      <c r="H3287" s="75">
        <f>'THAM_SO_MOI'!$C$35</f>
        <v>1.05</v>
      </c>
      <c r="I3287" s="75">
        <f>IF(F3287&gt;'THAM_SO_MOI'!$C$14,'THAM_SO_MOI'!$C$13*(1+F3287^2/1500),'THAM_SO_MOI'!$C$13)</f>
        <v>0.015</v>
      </c>
      <c r="J3287" s="75">
        <f>0</f>
        <v>0.0</v>
      </c>
      <c r="K3287" s="75">
        <f>0</f>
        <v>0.0</v>
      </c>
      <c r="L3287" s="75">
        <f>0</f>
        <v>0.0</v>
      </c>
      <c r="M3287" s="75">
        <f>'THAM_SO_MOI'!$C$15*'THAM_SO_MOI'!$C$16*F3287^2</f>
        <v>778.3651305594809</v>
      </c>
      <c r="N3287" s="75">
        <f>'THAM_SO_MOI'!$C$12*I3287</f>
        <v>1130.112</v>
      </c>
      <c r="O3287" s="75">
        <f>M3287+N3287</f>
        <v>1908.4771305594809</v>
      </c>
      <c r="P3287" s="75">
        <f>-O3287/('THAM_SO_MOI'!$C$11*H3287)</f>
        <v>-0.23666631083326897</v>
      </c>
      <c r="R3287" s="75">
        <f>F3287-F3286</f>
        <v>-0.011836817986107917</v>
      </c>
      <c r="S3287" s="75">
        <f>'THAM_SO_MOI'!$C$34/'THAM_SO_MOI'!$C$43</f>
        <v>0.05</v>
      </c>
      <c r="T3287" s="75">
        <f>S3287*(F3286+2*X3287+2*Z3287+AB3287)/6</f>
        <v>0.8159363404484532</v>
      </c>
      <c r="U3287" s="76">
        <f>U3286+S3287</f>
        <v>28.229291989181537</v>
      </c>
      <c r="V3287" s="76">
        <f>V3286+T3287</f>
        <v>279.787555598336</v>
      </c>
      <c r="W3287" s="75">
        <f>-('THAM_SO_MOI'!$C$12*IF(F3286&gt;'THAM_SO_MOI'!$C$14,'THAM_SO_MOI'!$C$13*(1+F3286^2/1500),'THAM_SO_MOI'!$C$13)+'THAM_SO_MOI'!$C$15*'THAM_SO_MOI'!$C$16*F3286^2)/('THAM_SO_MOI'!$C$11*'THAM_SO_MOI'!$C$35)</f>
        <v>-0.23680643937550566</v>
      </c>
      <c r="X3287" s="75">
        <f>F3286+S3287*W3287/2</f>
        <v>16.31872564084666</v>
      </c>
      <c r="Y3287" s="75">
        <f>-('THAM_SO_MOI'!$C$12*IF(X3287&gt;'THAM_SO_MOI'!$C$14,'THAM_SO_MOI'!$C$13*(1+X3287^2/1500),'THAM_SO_MOI'!$C$13)+'THAM_SO_MOI'!$C$15*'THAM_SO_MOI'!$C$16*X3287^2)/('THAM_SO_MOI'!$C$11*'THAM_SO_MOI'!$C$35)</f>
        <v>-0.23673634165836893</v>
      </c>
      <c r="Z3287" s="75">
        <f>F3286+S3287*Y3287/2</f>
        <v>16.318727393289592</v>
      </c>
      <c r="AA3287" s="75">
        <f>-('THAM_SO_MOI'!$C$12*IF(Z3287&gt;'THAM_SO_MOI'!$C$14,'THAM_SO_MOI'!$C$13*(1+Z3287^2/1500),'THAM_SO_MOI'!$C$13)+'THAM_SO_MOI'!$C$15*'THAM_SO_MOI'!$C$16*Z3287^2)/('THAM_SO_MOI'!$C$11*'THAM_SO_MOI'!$C$35)</f>
        <v>-0.23673636240442247</v>
      </c>
      <c r="AB3287" s="75">
        <f>F3286+S3287*AA3287</f>
        <v>16.312808983710827</v>
      </c>
      <c r="AC3287" s="75">
        <f>-('THAM_SO_MOI'!$C$12*IF(AB3287&gt;'THAM_SO_MOI'!$C$14,'THAM_SO_MOI'!$C$13*(1+AB3287^2/1500),'THAM_SO_MOI'!$C$13)+'THAM_SO_MOI'!$C$15*'THAM_SO_MOI'!$C$16*AB3287^2)/('THAM_SO_MOI'!$C$11*'THAM_SO_MOI'!$C$35)</f>
        <v>-0.23666631083168185</v>
      </c>
    </row>
    <row r="3288" spans="1:29" ht="19" customHeight="1">
      <c r="A3288" s="68" t="s">
        <v>377</v>
      </c>
      <c r="B3288" s="74">
        <v>4</v>
      </c>
      <c r="C3288" s="68" t="s">
        <v>370</v>
      </c>
      <c r="D3288" s="68" t="s">
        <v>371</v>
      </c>
      <c r="F3288" s="75">
        <f>F3287+S3288*(W3288+2*Y3288+2*AA3288+AC3288)/6</f>
        <v>16.30097916767368</v>
      </c>
      <c r="G3288" s="75">
        <f>3.6*F3288</f>
        <v>58.683525003625256</v>
      </c>
      <c r="H3288" s="75">
        <f>'THAM_SO_MOI'!$C$35</f>
        <v>1.05</v>
      </c>
      <c r="I3288" s="75">
        <f>IF(F3288&gt;'THAM_SO_MOI'!$C$14,'THAM_SO_MOI'!$C$13*(1+F3288^2/1500),'THAM_SO_MOI'!$C$13)</f>
        <v>0.015</v>
      </c>
      <c r="J3288" s="75">
        <f>0</f>
        <v>0.0</v>
      </c>
      <c r="K3288" s="75">
        <f>0</f>
        <v>0.0</v>
      </c>
      <c r="L3288" s="75">
        <f>0</f>
        <v>0.0</v>
      </c>
      <c r="M3288" s="75">
        <f>'THAM_SO_MOI'!$C$15*'THAM_SO_MOI'!$C$16*F3288^2</f>
        <v>777.2366213379242</v>
      </c>
      <c r="N3288" s="75">
        <f>'THAM_SO_MOI'!$C$12*I3288</f>
        <v>1130.112</v>
      </c>
      <c r="O3288" s="75">
        <f>M3288+N3288</f>
        <v>1907.3486213379242</v>
      </c>
      <c r="P3288" s="75">
        <f>-O3288/('THAM_SO_MOI'!$C$11*H3288)</f>
        <v>-0.23652636673337354</v>
      </c>
      <c r="R3288" s="75">
        <f>F3288-F3287</f>
        <v>-0.011829816171260887</v>
      </c>
      <c r="S3288" s="75">
        <f>'THAM_SO_MOI'!$C$34/'THAM_SO_MOI'!$C$43</f>
        <v>0.05</v>
      </c>
      <c r="T3288" s="75">
        <f>S3288*(F3287+2*X3288+2*Z3288+AB3288)/6</f>
        <v>0.8153446746329444</v>
      </c>
      <c r="U3288" s="76">
        <f>U3287+S3288</f>
        <v>28.279291989181537</v>
      </c>
      <c r="V3288" s="76">
        <f>V3287+T3288</f>
        <v>280.60290027296895</v>
      </c>
      <c r="W3288" s="75">
        <f>-('THAM_SO_MOI'!$C$12*IF(F3287&gt;'THAM_SO_MOI'!$C$14,'THAM_SO_MOI'!$C$13*(1+F3287^2/1500),'THAM_SO_MOI'!$C$13)+'THAM_SO_MOI'!$C$15*'THAM_SO_MOI'!$C$16*F3287^2)/('THAM_SO_MOI'!$C$11*'THAM_SO_MOI'!$C$35)</f>
        <v>-0.23666631083326897</v>
      </c>
      <c r="X3288" s="75">
        <f>F3287+S3288*W3288/2</f>
        <v>16.30689232607411</v>
      </c>
      <c r="Y3288" s="75">
        <f>-('THAM_SO_MOI'!$C$12*IF(X3288&gt;'THAM_SO_MOI'!$C$14,'THAM_SO_MOI'!$C$13*(1+X3288^2/1500),'THAM_SO_MOI'!$C$13)+'THAM_SO_MOI'!$C$15*'THAM_SO_MOI'!$C$16*X3288^2)/('THAM_SO_MOI'!$C$11*'THAM_SO_MOI'!$C$35)</f>
        <v>-0.23659630539465043</v>
      </c>
      <c r="Z3288" s="75">
        <f>F3287+S3288*Y3288/2</f>
        <v>16.306894076210074</v>
      </c>
      <c r="AA3288" s="75">
        <f>-('THAM_SO_MOI'!$C$12*IF(Z3288&gt;'THAM_SO_MOI'!$C$14,'THAM_SO_MOI'!$C$13*(1+Z3288^2/1500),'THAM_SO_MOI'!$C$13)+'THAM_SO_MOI'!$C$15*'THAM_SO_MOI'!$C$16*Z3288^2)/('THAM_SO_MOI'!$C$11*'THAM_SO_MOI'!$C$35)</f>
        <v>-0.23659632609836936</v>
      </c>
      <c r="AB3288" s="75">
        <f>F3287+S3288*AA3288</f>
        <v>16.300979167540024</v>
      </c>
      <c r="AC3288" s="75">
        <f>-('THAM_SO_MOI'!$C$12*IF(AB3288&gt;'THAM_SO_MOI'!$C$14,'THAM_SO_MOI'!$C$13*(1+AB3288^2/1500),'THAM_SO_MOI'!$C$13)+'THAM_SO_MOI'!$C$15*'THAM_SO_MOI'!$C$16*AB3288^2)/('THAM_SO_MOI'!$C$11*'THAM_SO_MOI'!$C$35)</f>
        <v>-0.23652636673179298</v>
      </c>
    </row>
    <row r="3289" spans="1:29" ht="19" customHeight="1">
      <c r="A3289" s="68" t="s">
        <v>377</v>
      </c>
      <c r="B3289" s="74">
        <v>4</v>
      </c>
      <c r="C3289" s="68" t="s">
        <v>370</v>
      </c>
      <c r="D3289" s="68" t="s">
        <v>371</v>
      </c>
      <c r="F3289" s="75">
        <f>F3288+S3289*(W3289+2*Y3289+2*AA3289+AC3289)/6</f>
        <v>16.289156344102384</v>
      </c>
      <c r="G3289" s="75">
        <f>3.6*F3289</f>
        <v>58.64096283876859</v>
      </c>
      <c r="H3289" s="75">
        <f>'THAM_SO_MOI'!$C$35</f>
        <v>1.05</v>
      </c>
      <c r="I3289" s="75">
        <f>IF(F3289&gt;'THAM_SO_MOI'!$C$14,'THAM_SO_MOI'!$C$13*(1+F3289^2/1500),'THAM_SO_MOI'!$C$13)</f>
        <v>0.015</v>
      </c>
      <c r="J3289" s="75">
        <f>0</f>
        <v>0.0</v>
      </c>
      <c r="K3289" s="75">
        <f>0</f>
        <v>0.0</v>
      </c>
      <c r="L3289" s="75">
        <f>0</f>
        <v>0.0</v>
      </c>
      <c r="M3289" s="75">
        <f>'THAM_SO_MOI'!$C$15*'THAM_SO_MOI'!$C$16*F3289^2</f>
        <v>776.1095971276371</v>
      </c>
      <c r="N3289" s="75">
        <f>'THAM_SO_MOI'!$C$12*I3289</f>
        <v>1130.112</v>
      </c>
      <c r="O3289" s="75">
        <f>M3289+N3289</f>
        <v>1906.2215971276373</v>
      </c>
      <c r="P3289" s="75">
        <f>-O3289/('THAM_SO_MOI'!$C$11*H3289)</f>
        <v>-0.23638660678666137</v>
      </c>
      <c r="R3289" s="75">
        <f>F3289-F3288</f>
        <v>-0.011822823571296937</v>
      </c>
      <c r="S3289" s="75">
        <f>'THAM_SO_MOI'!$C$34/'THAM_SO_MOI'!$C$43</f>
        <v>0.05</v>
      </c>
      <c r="T3289" s="75">
        <f>S3289*(F3288+2*X3289+2*Z3289+AB3289)/6</f>
        <v>0.8147533586777459</v>
      </c>
      <c r="U3289" s="76">
        <f>U3288+S3289</f>
        <v>28.329291989181538</v>
      </c>
      <c r="V3289" s="76">
        <f>V3288+T3289</f>
        <v>281.4176536316467</v>
      </c>
      <c r="W3289" s="75">
        <f>-('THAM_SO_MOI'!$C$12*IF(F3288&gt;'THAM_SO_MOI'!$C$14,'THAM_SO_MOI'!$C$13*(1+F3288^2/1500),'THAM_SO_MOI'!$C$13)+'THAM_SO_MOI'!$C$15*'THAM_SO_MOI'!$C$16*F3288^2)/('THAM_SO_MOI'!$C$11*'THAM_SO_MOI'!$C$35)</f>
        <v>-0.23652636673337354</v>
      </c>
      <c r="X3289" s="75">
        <f>F3288+S3289*W3289/2</f>
        <v>16.295066008505348</v>
      </c>
      <c r="Y3289" s="75">
        <f>-('THAM_SO_MOI'!$C$12*IF(X3289&gt;'THAM_SO_MOI'!$C$14,'THAM_SO_MOI'!$C$13*(1+X3289^2/1500),'THAM_SO_MOI'!$C$13)+'THAM_SO_MOI'!$C$15*'THAM_SO_MOI'!$C$16*X3289^2)/('THAM_SO_MOI'!$C$11*'THAM_SO_MOI'!$C$35)</f>
        <v>-0.23645645342857433</v>
      </c>
      <c r="Z3289" s="75">
        <f>F3288+S3289*Y3289/2</f>
        <v>16.295067756337968</v>
      </c>
      <c r="AA3289" s="75">
        <f>-('THAM_SO_MOI'!$C$12*IF(Z3289&gt;'THAM_SO_MOI'!$C$14,'THAM_SO_MOI'!$C$13*(1+Z3289^2/1500),'THAM_SO_MOI'!$C$13)+'THAM_SO_MOI'!$C$15*'THAM_SO_MOI'!$C$16*Z3289^2)/('THAM_SO_MOI'!$C$11*'THAM_SO_MOI'!$C$35)</f>
        <v>-0.2364564740900499</v>
      </c>
      <c r="AB3289" s="75">
        <f>F3288+S3289*AA3289</f>
        <v>16.28915634396918</v>
      </c>
      <c r="AC3289" s="75">
        <f>-('THAM_SO_MOI'!$C$12*IF(AB3289&gt;'THAM_SO_MOI'!$C$14,'THAM_SO_MOI'!$C$13*(1+AB3289^2/1500),'THAM_SO_MOI'!$C$13)+'THAM_SO_MOI'!$C$15*'THAM_SO_MOI'!$C$16*AB3289^2)/('THAM_SO_MOI'!$C$11*'THAM_SO_MOI'!$C$35)</f>
        <v>-0.2363866067850873</v>
      </c>
    </row>
    <row r="3290" spans="1:29" ht="19" customHeight="1">
      <c r="A3290" s="68" t="s">
        <v>378</v>
      </c>
      <c r="B3290" s="74">
        <v>5</v>
      </c>
      <c r="C3290" s="68" t="s">
        <v>363</v>
      </c>
      <c r="D3290" s="68" t="s">
        <v>364</v>
      </c>
      <c r="E3290" s="75">
        <f>60*F3290*'THAM_SO_MOI'!$C$53/(2*PI()*'THAM_SO_MOI'!$C$26)</f>
        <v>1604.9105619031398</v>
      </c>
      <c r="F3290" s="75">
        <f>'HANH_TRINH'!$F$3289+('THAM_SO_MOI'!$C$14-'HANH_TRINH'!$F$3289)*0/'THAM_SO_MOI'!$C$42</f>
        <v>16.289156344102384</v>
      </c>
      <c r="G3290" s="75">
        <f>3.6*F3290</f>
        <v>58.64096283876859</v>
      </c>
      <c r="H3290" s="75">
        <f>'THAM_SO_MOI'!$D$53</f>
        <v>1.1</v>
      </c>
      <c r="I3290" s="75">
        <f>IF(F3290&gt;'THAM_SO_MOI'!$C$14,'THAM_SO_MOI'!$C$13*(1+F3290^2/1500),'THAM_SO_MOI'!$C$13)</f>
        <v>0.015</v>
      </c>
      <c r="J3290" s="75">
        <f>'THAM_SO_MOI'!$C$40*('THAM_SO_MOI'!$C$23*(E3290/'THAM_SO_MOI'!$C$22)+'THAM_SO_MOI'!$C$24*(E3290/'THAM_SO_MOI'!$C$22)^2-'THAM_SO_MOI'!$C$25*(E3290/'THAM_SO_MOI'!$C$22)^3)</f>
        <v>69.70424762424949</v>
      </c>
      <c r="K3290" s="75">
        <f>'THAM_SO_MOI'!$C$31*J3290/E3290</f>
        <v>414.8219484060494</v>
      </c>
      <c r="L3290" s="75">
        <f>K3290*'THAM_SO_MOI'!$C$53*'THAM_SO_MOI'!$C$17/'THAM_SO_MOI'!$C$26</f>
        <v>3637.990110706294</v>
      </c>
      <c r="M3290" s="75">
        <f>'THAM_SO_MOI'!$C$15*'THAM_SO_MOI'!$C$16*F3290^2</f>
        <v>776.1095971276371</v>
      </c>
      <c r="N3290" s="75">
        <f>'THAM_SO_MOI'!$C$12*I3290</f>
        <v>1130.112</v>
      </c>
      <c r="O3290" s="75">
        <f>M3290+N3290</f>
        <v>1906.2215971276373</v>
      </c>
      <c r="P3290" s="75">
        <f>(MIN(L3290,'THAM_SO_MOI'!$C$41)-O3290)/('THAM_SO_MOI'!$C$11*H3290)</f>
        <v>0.2049915380656554</v>
      </c>
      <c r="Q3290" s="75">
        <f>IF(P3290&gt;0,1/P3290,NA())</f>
        <v>4.878250143572837</v>
      </c>
      <c r="R3290" s="75">
        <f>0</f>
        <v>0.0</v>
      </c>
      <c r="S3290" s="75">
        <f>0</f>
        <v>0.0</v>
      </c>
      <c r="T3290" s="75">
        <f>0</f>
        <v>0.0</v>
      </c>
      <c r="U3290" s="76">
        <f>U3289+S3290</f>
        <v>28.329291989181538</v>
      </c>
      <c r="V3290" s="76">
        <f>V3289+T3290</f>
        <v>281.4176536316467</v>
      </c>
    </row>
    <row r="3291" spans="1:29" ht="19" customHeight="1">
      <c r="A3291" s="68" t="s">
        <v>378</v>
      </c>
      <c r="B3291" s="74">
        <v>5</v>
      </c>
      <c r="C3291" s="68" t="s">
        <v>363</v>
      </c>
      <c r="D3291" s="68" t="s">
        <v>364</v>
      </c>
      <c r="E3291" s="75">
        <f>60*F3291*'THAM_SO_MOI'!$C$53/(2*PI()*'THAM_SO_MOI'!$C$26)</f>
        <v>1605.6385289639188</v>
      </c>
      <c r="F3291" s="75">
        <f>'HANH_TRINH'!$F$3289+('THAM_SO_MOI'!$C$14-'HANH_TRINH'!$F$3289)*1/'THAM_SO_MOI'!$C$42</f>
        <v>16.296544898672256</v>
      </c>
      <c r="G3291" s="75">
        <f>3.6*F3291</f>
        <v>58.667561635220125</v>
      </c>
      <c r="H3291" s="75">
        <f>'THAM_SO_MOI'!$D$53</f>
        <v>1.1</v>
      </c>
      <c r="I3291" s="75">
        <f>IF(F3291&gt;'THAM_SO_MOI'!$C$14,'THAM_SO_MOI'!$C$13*(1+F3291^2/1500),'THAM_SO_MOI'!$C$13)</f>
        <v>0.015</v>
      </c>
      <c r="J3291" s="75">
        <f>'THAM_SO_MOI'!$C$40*('THAM_SO_MOI'!$C$23*(E3291/'THAM_SO_MOI'!$C$22)+'THAM_SO_MOI'!$C$24*(E3291/'THAM_SO_MOI'!$C$22)^2-'THAM_SO_MOI'!$C$25*(E3291/'THAM_SO_MOI'!$C$22)^3)</f>
        <v>69.74252975360358</v>
      </c>
      <c r="K3291" s="75">
        <f>'THAM_SO_MOI'!$C$31*J3291/E3291</f>
        <v>414.8615959779277</v>
      </c>
      <c r="L3291" s="75">
        <f>K3291*'THAM_SO_MOI'!$C$53*'THAM_SO_MOI'!$C$17/'THAM_SO_MOI'!$C$26</f>
        <v>3638.3378200668067</v>
      </c>
      <c r="M3291" s="75">
        <f>'THAM_SO_MOI'!$C$15*'THAM_SO_MOI'!$C$16*F3291^2</f>
        <v>776.8138237307393</v>
      </c>
      <c r="N3291" s="75">
        <f>'THAM_SO_MOI'!$C$12*I3291</f>
        <v>1130.112</v>
      </c>
      <c r="O3291" s="75">
        <f>M3291+N3291</f>
        <v>1906.9258237307395</v>
      </c>
      <c r="P3291" s="75">
        <f>(MIN(L3291,'THAM_SO_MOI'!$C$41)-O3291)/('THAM_SO_MOI'!$C$11*H3291)</f>
        <v>0.20494933668750795</v>
      </c>
      <c r="Q3291" s="75">
        <f>IF(P3291&gt;0,1/P3291,NA())</f>
        <v>4.879254630253955</v>
      </c>
      <c r="R3291" s="75">
        <f>F3291-F3290</f>
        <v>0.0073885545698715305</v>
      </c>
      <c r="S3291" s="75">
        <f>0.5*(Q3290+Q3291)*R3291</f>
        <v>0.03604692824360061</v>
      </c>
      <c r="T3291" s="75">
        <f>0.5*(F3290*Q3290+F3291*Q3291)*R3291</f>
        <v>0.5873072309417697</v>
      </c>
      <c r="U3291" s="76">
        <f>U3290+S3291</f>
        <v>28.365338917425138</v>
      </c>
      <c r="V3291" s="76">
        <f>V3290+T3291</f>
        <v>282.00496086258846</v>
      </c>
    </row>
    <row r="3292" spans="1:29" ht="19" customHeight="1">
      <c r="A3292" s="68" t="s">
        <v>378</v>
      </c>
      <c r="B3292" s="74">
        <v>5</v>
      </c>
      <c r="C3292" s="68" t="s">
        <v>363</v>
      </c>
      <c r="D3292" s="68" t="s">
        <v>364</v>
      </c>
      <c r="E3292" s="75">
        <f>60*F3292*'THAM_SO_MOI'!$C$53/(2*PI()*'THAM_SO_MOI'!$C$26)</f>
        <v>1606.3664960246977</v>
      </c>
      <c r="F3292" s="75">
        <f>'HANH_TRINH'!$F$3289+('THAM_SO_MOI'!$C$14-'HANH_TRINH'!$F$3289)*2/'THAM_SO_MOI'!$C$42</f>
        <v>16.303933453242127</v>
      </c>
      <c r="G3292" s="75">
        <f>3.6*F3292</f>
        <v>58.69416043167166</v>
      </c>
      <c r="H3292" s="75">
        <f>'THAM_SO_MOI'!$D$53</f>
        <v>1.1</v>
      </c>
      <c r="I3292" s="75">
        <f>IF(F3292&gt;'THAM_SO_MOI'!$C$14,'THAM_SO_MOI'!$C$13*(1+F3292^2/1500),'THAM_SO_MOI'!$C$13)</f>
        <v>0.015</v>
      </c>
      <c r="J3292" s="75">
        <f>'THAM_SO_MOI'!$C$40*('THAM_SO_MOI'!$C$23*(E3292/'THAM_SO_MOI'!$C$22)+'THAM_SO_MOI'!$C$24*(E3292/'THAM_SO_MOI'!$C$22)^2-'THAM_SO_MOI'!$C$25*(E3292/'THAM_SO_MOI'!$C$22)^3)</f>
        <v>69.78080927992842</v>
      </c>
      <c r="K3292" s="75">
        <f>'THAM_SO_MOI'!$C$31*J3292/E3292</f>
        <v>414.9011921381008</v>
      </c>
      <c r="L3292" s="75">
        <f>K3292*'THAM_SO_MOI'!$C$53*'THAM_SO_MOI'!$C$17/'THAM_SO_MOI'!$C$26</f>
        <v>3638.685078546463</v>
      </c>
      <c r="M3292" s="75">
        <f>'THAM_SO_MOI'!$C$15*'THAM_SO_MOI'!$C$16*F3292^2</f>
        <v>777.5183696896622</v>
      </c>
      <c r="N3292" s="75">
        <f>'THAM_SO_MOI'!$C$12*I3292</f>
        <v>1130.112</v>
      </c>
      <c r="O3292" s="75">
        <f>M3292+N3292</f>
        <v>1907.6303696896623</v>
      </c>
      <c r="P3292" s="75">
        <f>(MIN(L3292,'THAM_SO_MOI'!$C$41)-O3292)/('THAM_SO_MOI'!$C$11*H3292)</f>
        <v>0.20490704413551147</v>
      </c>
      <c r="Q3292" s="75">
        <f>IF(P3292&gt;0,1/P3292,NA())</f>
        <v>4.880261702172954</v>
      </c>
      <c r="R3292" s="75">
        <f>F3292-F3291</f>
        <v>0.0073885545698715305</v>
      </c>
      <c r="S3292" s="75">
        <f>0.5*(Q3291+Q3292)*R3292</f>
        <v>0.036054359498844335</v>
      </c>
      <c r="T3292" s="75">
        <f>0.5*(F3291*Q3291+F3292*Q3292)*R3292</f>
        <v>0.5876946969113068</v>
      </c>
      <c r="U3292" s="76">
        <f>U3291+S3292</f>
        <v>28.401393276923983</v>
      </c>
      <c r="V3292" s="76">
        <f>V3291+T3292</f>
        <v>282.59265555949975</v>
      </c>
    </row>
    <row r="3293" spans="1:29" ht="19" customHeight="1">
      <c r="A3293" s="68" t="s">
        <v>378</v>
      </c>
      <c r="B3293" s="74">
        <v>5</v>
      </c>
      <c r="C3293" s="68" t="s">
        <v>363</v>
      </c>
      <c r="D3293" s="68" t="s">
        <v>364</v>
      </c>
      <c r="E3293" s="75">
        <f>60*F3293*'THAM_SO_MOI'!$C$53/(2*PI()*'THAM_SO_MOI'!$C$26)</f>
        <v>1607.0944630854765</v>
      </c>
      <c r="F3293" s="75">
        <f>'HANH_TRINH'!$F$3289+('THAM_SO_MOI'!$C$14-'HANH_TRINH'!$F$3289)*3/'THAM_SO_MOI'!$C$42</f>
        <v>16.311322007812</v>
      </c>
      <c r="G3293" s="75">
        <f>3.6*F3293</f>
        <v>58.7207592281232</v>
      </c>
      <c r="H3293" s="75">
        <f>'THAM_SO_MOI'!$D$53</f>
        <v>1.1</v>
      </c>
      <c r="I3293" s="75">
        <f>IF(F3293&gt;'THAM_SO_MOI'!$C$14,'THAM_SO_MOI'!$C$13*(1+F3293^2/1500),'THAM_SO_MOI'!$C$13)</f>
        <v>0.015</v>
      </c>
      <c r="J3293" s="75">
        <f>'THAM_SO_MOI'!$C$40*('THAM_SO_MOI'!$C$23*(E3293/'THAM_SO_MOI'!$C$22)+'THAM_SO_MOI'!$C$24*(E3293/'THAM_SO_MOI'!$C$22)^2-'THAM_SO_MOI'!$C$25*(E3293/'THAM_SO_MOI'!$C$22)^3)</f>
        <v>69.81908619146849</v>
      </c>
      <c r="K3293" s="75">
        <f>'THAM_SO_MOI'!$C$31*J3293/E3293</f>
        <v>414.9407368865683</v>
      </c>
      <c r="L3293" s="75">
        <f>K3293*'THAM_SO_MOI'!$C$53*'THAM_SO_MOI'!$C$17/'THAM_SO_MOI'!$C$26</f>
        <v>3639.0318861452606</v>
      </c>
      <c r="M3293" s="75">
        <f>'THAM_SO_MOI'!$C$15*'THAM_SO_MOI'!$C$16*F3293^2</f>
        <v>778.2232350044063</v>
      </c>
      <c r="N3293" s="75">
        <f>'THAM_SO_MOI'!$C$12*I3293</f>
        <v>1130.112</v>
      </c>
      <c r="O3293" s="75">
        <f>M3293+N3293</f>
        <v>1908.3352350044065</v>
      </c>
      <c r="P3293" s="75">
        <f>(MIN(L3293,'THAM_SO_MOI'!$C$41)-O3293)/('THAM_SO_MOI'!$C$11*H3293)</f>
        <v>0.2048646604096655</v>
      </c>
      <c r="Q3293" s="75">
        <f>IF(P3293&gt;0,1/P3293,NA())</f>
        <v>4.8812713622755215</v>
      </c>
      <c r="R3293" s="75">
        <f>F3293-F3292</f>
        <v>0.0073885545698715305</v>
      </c>
      <c r="S3293" s="75">
        <f>0.5*(Q3292+Q3293)*R3293</f>
        <v>0.036061809866141416</v>
      </c>
      <c r="T3293" s="75">
        <f>0.5*(F3292*Q3292+F3293*Q3293)*R3293</f>
        <v>0.5880825843656049</v>
      </c>
      <c r="U3293" s="76">
        <f>U3292+S3293</f>
        <v>28.437455086790123</v>
      </c>
      <c r="V3293" s="76">
        <f>V3292+T3293</f>
        <v>283.18073814386537</v>
      </c>
    </row>
    <row r="3294" spans="1:29" ht="19" customHeight="1">
      <c r="A3294" s="68" t="s">
        <v>378</v>
      </c>
      <c r="B3294" s="74">
        <v>5</v>
      </c>
      <c r="C3294" s="68" t="s">
        <v>363</v>
      </c>
      <c r="D3294" s="68" t="s">
        <v>364</v>
      </c>
      <c r="E3294" s="75">
        <f>60*F3294*'THAM_SO_MOI'!$C$53/(2*PI()*'THAM_SO_MOI'!$C$26)</f>
        <v>1607.8224301462558</v>
      </c>
      <c r="F3294" s="75">
        <f>'HANH_TRINH'!$F$3289+('THAM_SO_MOI'!$C$14-'HANH_TRINH'!$F$3289)*4/'THAM_SO_MOI'!$C$42</f>
        <v>16.318710562381874</v>
      </c>
      <c r="G3294" s="75">
        <f>3.6*F3294</f>
        <v>58.747358024574744</v>
      </c>
      <c r="H3294" s="75">
        <f>'THAM_SO_MOI'!$D$53</f>
        <v>1.1</v>
      </c>
      <c r="I3294" s="75">
        <f>IF(F3294&gt;'THAM_SO_MOI'!$C$14,'THAM_SO_MOI'!$C$13*(1+F3294^2/1500),'THAM_SO_MOI'!$C$13)</f>
        <v>0.015</v>
      </c>
      <c r="J3294" s="75">
        <f>'THAM_SO_MOI'!$C$40*('THAM_SO_MOI'!$C$23*(E3294/'THAM_SO_MOI'!$C$22)+'THAM_SO_MOI'!$C$24*(E3294/'THAM_SO_MOI'!$C$22)^2-'THAM_SO_MOI'!$C$25*(E3294/'THAM_SO_MOI'!$C$22)^3)</f>
        <v>69.8573604764683</v>
      </c>
      <c r="K3294" s="75">
        <f>'THAM_SO_MOI'!$C$31*J3294/E3294</f>
        <v>414.98023022333035</v>
      </c>
      <c r="L3294" s="75">
        <f>K3294*'THAM_SO_MOI'!$C$53*'THAM_SO_MOI'!$C$17/'THAM_SO_MOI'!$C$26</f>
        <v>3639.3782428632</v>
      </c>
      <c r="M3294" s="75">
        <f>'THAM_SO_MOI'!$C$15*'THAM_SO_MOI'!$C$16*F3294^2</f>
        <v>778.9284196749718</v>
      </c>
      <c r="N3294" s="75">
        <f>'THAM_SO_MOI'!$C$12*I3294</f>
        <v>1130.112</v>
      </c>
      <c r="O3294" s="75">
        <f>M3294+N3294</f>
        <v>1909.0404196749719</v>
      </c>
      <c r="P3294" s="75">
        <f>(MIN(L3294,'THAM_SO_MOI'!$C$41)-O3294)/('THAM_SO_MOI'!$C$11*H3294)</f>
        <v>0.20482218550997017</v>
      </c>
      <c r="Q3294" s="75">
        <f>IF(P3294&gt;0,1/P3294,NA())</f>
        <v>4.882283613516676</v>
      </c>
      <c r="R3294" s="75">
        <f>F3294-F3293</f>
        <v>0.007388554569875083</v>
      </c>
      <c r="S3294" s="75">
        <f>0.5*(Q3293+Q3294)*R3294</f>
        <v>0.03606927936730802</v>
      </c>
      <c r="T3294" s="75">
        <f>0.5*(F3293*Q3293+F3294*Q3294)*R3294</f>
        <v>0.588470894084227</v>
      </c>
      <c r="U3294" s="76">
        <f>U3293+S3294</f>
        <v>28.47352436615743</v>
      </c>
      <c r="V3294" s="76">
        <f>V3293+T3294</f>
        <v>283.7692090379496</v>
      </c>
    </row>
    <row r="3295" spans="1:29" ht="19" customHeight="1">
      <c r="A3295" s="68" t="s">
        <v>378</v>
      </c>
      <c r="B3295" s="74">
        <v>5</v>
      </c>
      <c r="C3295" s="68" t="s">
        <v>363</v>
      </c>
      <c r="D3295" s="68" t="s">
        <v>364</v>
      </c>
      <c r="E3295" s="75">
        <f>60*F3295*'THAM_SO_MOI'!$C$53/(2*PI()*'THAM_SO_MOI'!$C$26)</f>
        <v>1608.5503972070348</v>
      </c>
      <c r="F3295" s="75">
        <f>'HANH_TRINH'!$F$3289+('THAM_SO_MOI'!$C$14-'HANH_TRINH'!$F$3289)*5/'THAM_SO_MOI'!$C$42</f>
        <v>16.326099116951745</v>
      </c>
      <c r="G3295" s="75">
        <f>3.6*F3295</f>
        <v>58.77395682102628</v>
      </c>
      <c r="H3295" s="75">
        <f>'THAM_SO_MOI'!$D$53</f>
        <v>1.1</v>
      </c>
      <c r="I3295" s="75">
        <f>IF(F3295&gt;'THAM_SO_MOI'!$C$14,'THAM_SO_MOI'!$C$13*(1+F3295^2/1500),'THAM_SO_MOI'!$C$13)</f>
        <v>0.015</v>
      </c>
      <c r="J3295" s="75">
        <f>'THAM_SO_MOI'!$C$40*('THAM_SO_MOI'!$C$23*(E3295/'THAM_SO_MOI'!$C$22)+'THAM_SO_MOI'!$C$24*(E3295/'THAM_SO_MOI'!$C$22)^2-'THAM_SO_MOI'!$C$25*(E3295/'THAM_SO_MOI'!$C$22)^3)</f>
        <v>69.89563212317235</v>
      </c>
      <c r="K3295" s="75">
        <f>'THAM_SO_MOI'!$C$31*J3295/E3295</f>
        <v>415.0196721483872</v>
      </c>
      <c r="L3295" s="75">
        <f>K3295*'THAM_SO_MOI'!$C$53*'THAM_SO_MOI'!$C$17/'THAM_SO_MOI'!$C$26</f>
        <v>3639.7241487002834</v>
      </c>
      <c r="M3295" s="75">
        <f>'THAM_SO_MOI'!$C$15*'THAM_SO_MOI'!$C$16*F3295^2</f>
        <v>779.6339237013578</v>
      </c>
      <c r="N3295" s="75">
        <f>'THAM_SO_MOI'!$C$12*I3295</f>
        <v>1130.112</v>
      </c>
      <c r="O3295" s="75">
        <f>M3295+N3295</f>
        <v>1909.745923701358</v>
      </c>
      <c r="P3295" s="75">
        <f>(MIN(L3295,'THAM_SO_MOI'!$C$41)-O3295)/('THAM_SO_MOI'!$C$11*H3295)</f>
        <v>0.20477961943642586</v>
      </c>
      <c r="Q3295" s="75">
        <f>IF(P3295&gt;0,1/P3295,NA())</f>
        <v>4.883298458860803</v>
      </c>
      <c r="R3295" s="75">
        <f>F3295-F3294</f>
        <v>0.0073885545698715305</v>
      </c>
      <c r="S3295" s="75">
        <f>0.5*(Q3294+Q3295)*R3295</f>
        <v>0.03607676802416006</v>
      </c>
      <c r="T3295" s="75">
        <f>0.5*(F3294*Q3294+F3295*Q3295)*R3295</f>
        <v>0.5888596268473761</v>
      </c>
      <c r="U3295" s="76">
        <f>U3294+S3295</f>
        <v>28.50960113418159</v>
      </c>
      <c r="V3295" s="76">
        <f>V3294+T3295</f>
        <v>284.358068664797</v>
      </c>
    </row>
    <row r="3296" spans="1:29" ht="19" customHeight="1">
      <c r="A3296" s="68" t="s">
        <v>378</v>
      </c>
      <c r="B3296" s="74">
        <v>5</v>
      </c>
      <c r="C3296" s="68" t="s">
        <v>363</v>
      </c>
      <c r="D3296" s="68" t="s">
        <v>364</v>
      </c>
      <c r="E3296" s="75">
        <f>60*F3296*'THAM_SO_MOI'!$C$53/(2*PI()*'THAM_SO_MOI'!$C$26)</f>
        <v>1609.2783642678137</v>
      </c>
      <c r="F3296" s="75">
        <f>'HANH_TRINH'!$F$3289+('THAM_SO_MOI'!$C$14-'HANH_TRINH'!$F$3289)*6/'THAM_SO_MOI'!$C$42</f>
        <v>16.333487671521617</v>
      </c>
      <c r="G3296" s="75">
        <f>3.6*F3296</f>
        <v>58.80055561747782</v>
      </c>
      <c r="H3296" s="75">
        <f>'THAM_SO_MOI'!$D$53</f>
        <v>1.1</v>
      </c>
      <c r="I3296" s="75">
        <f>IF(F3296&gt;'THAM_SO_MOI'!$C$14,'THAM_SO_MOI'!$C$13*(1+F3296^2/1500),'THAM_SO_MOI'!$C$13)</f>
        <v>0.015</v>
      </c>
      <c r="J3296" s="75">
        <f>'THAM_SO_MOI'!$C$40*('THAM_SO_MOI'!$C$23*(E3296/'THAM_SO_MOI'!$C$22)+'THAM_SO_MOI'!$C$24*(E3296/'THAM_SO_MOI'!$C$22)^2-'THAM_SO_MOI'!$C$25*(E3296/'THAM_SO_MOI'!$C$22)^3)</f>
        <v>69.93390111982508</v>
      </c>
      <c r="K3296" s="75">
        <f>'THAM_SO_MOI'!$C$31*J3296/E3296</f>
        <v>415.05906266173855</v>
      </c>
      <c r="L3296" s="75">
        <f>K3296*'THAM_SO_MOI'!$C$53*'THAM_SO_MOI'!$C$17/'THAM_SO_MOI'!$C$26</f>
        <v>3640.069603656509</v>
      </c>
      <c r="M3296" s="75">
        <f>'THAM_SO_MOI'!$C$15*'THAM_SO_MOI'!$C$16*F3296^2</f>
        <v>780.3397470835649</v>
      </c>
      <c r="N3296" s="75">
        <f>'THAM_SO_MOI'!$C$12*I3296</f>
        <v>1130.112</v>
      </c>
      <c r="O3296" s="75">
        <f>M3296+N3296</f>
        <v>1910.451747083565</v>
      </c>
      <c r="P3296" s="75">
        <f>(MIN(L3296,'THAM_SO_MOI'!$C$41)-O3296)/('THAM_SO_MOI'!$C$11*H3296)</f>
        <v>0.20473696218903223</v>
      </c>
      <c r="Q3296" s="75">
        <f>IF(P3296&gt;0,1/P3296,NA())</f>
        <v>4.884315901281699</v>
      </c>
      <c r="R3296" s="75">
        <f>F3296-F3295</f>
        <v>0.0073885545698715305</v>
      </c>
      <c r="S3296" s="75">
        <f>0.5*(Q3295+Q3296)*R3296</f>
        <v>0.036084275858686836</v>
      </c>
      <c r="T3296" s="75">
        <f>0.5*(F3295*Q3295+F3296*Q3296)*R3296</f>
        <v>0.5892487834387318</v>
      </c>
      <c r="U3296" s="76">
        <f>U3295+S3296</f>
        <v>28.545685410040278</v>
      </c>
      <c r="V3296" s="76">
        <f>V3295+T3296</f>
        <v>284.9473174482357</v>
      </c>
    </row>
    <row r="3297" spans="1:22" ht="19" customHeight="1">
      <c r="A3297" s="68" t="s">
        <v>378</v>
      </c>
      <c r="B3297" s="74">
        <v>5</v>
      </c>
      <c r="C3297" s="68" t="s">
        <v>363</v>
      </c>
      <c r="D3297" s="68" t="s">
        <v>364</v>
      </c>
      <c r="E3297" s="75">
        <f>60*F3297*'THAM_SO_MOI'!$C$53/(2*PI()*'THAM_SO_MOI'!$C$26)</f>
        <v>1610.0063313285928</v>
      </c>
      <c r="F3297" s="75">
        <f>'HANH_TRINH'!$F$3289+('THAM_SO_MOI'!$C$14-'HANH_TRINH'!$F$3289)*7/'THAM_SO_MOI'!$C$42</f>
        <v>16.34087622609149</v>
      </c>
      <c r="G3297" s="75">
        <f>3.6*F3297</f>
        <v>58.82715441392936</v>
      </c>
      <c r="H3297" s="75">
        <f>'THAM_SO_MOI'!$D$53</f>
        <v>1.1</v>
      </c>
      <c r="I3297" s="75">
        <f>IF(F3297&gt;'THAM_SO_MOI'!$C$14,'THAM_SO_MOI'!$C$13*(1+F3297^2/1500),'THAM_SO_MOI'!$C$13)</f>
        <v>0.015</v>
      </c>
      <c r="J3297" s="75">
        <f>'THAM_SO_MOI'!$C$40*('THAM_SO_MOI'!$C$23*(E3297/'THAM_SO_MOI'!$C$22)+'THAM_SO_MOI'!$C$24*(E3297/'THAM_SO_MOI'!$C$22)^2-'THAM_SO_MOI'!$C$25*(E3297/'THAM_SO_MOI'!$C$22)^3)</f>
        <v>69.97216745467095</v>
      </c>
      <c r="K3297" s="75">
        <f>'THAM_SO_MOI'!$C$31*J3297/E3297</f>
        <v>415.09840176338423</v>
      </c>
      <c r="L3297" s="75">
        <f>K3297*'THAM_SO_MOI'!$C$53*'THAM_SO_MOI'!$C$17/'THAM_SO_MOI'!$C$26</f>
        <v>3640.4146077318737</v>
      </c>
      <c r="M3297" s="75">
        <f>'THAM_SO_MOI'!$C$15*'THAM_SO_MOI'!$C$16*F3297^2</f>
        <v>781.0458898215929</v>
      </c>
      <c r="N3297" s="75">
        <f>'THAM_SO_MOI'!$C$12*I3297</f>
        <v>1130.112</v>
      </c>
      <c r="O3297" s="75">
        <f>M3297+N3297</f>
        <v>1911.157889821593</v>
      </c>
      <c r="P3297" s="75">
        <f>(MIN(L3297,'THAM_SO_MOI'!$C$41)-O3297)/('THAM_SO_MOI'!$C$11*H3297)</f>
        <v>0.2046942137677889</v>
      </c>
      <c r="Q3297" s="75">
        <f>IF(P3297&gt;0,1/P3297,NA())</f>
        <v>4.885335943762579</v>
      </c>
      <c r="R3297" s="75">
        <f>F3297-F3296</f>
        <v>0.0073885545698715305</v>
      </c>
      <c r="S3297" s="75">
        <f>0.5*(Q3296+Q3297)*R3297</f>
        <v>0.03609180289287786</v>
      </c>
      <c r="T3297" s="75">
        <f>0.5*(F3296*Q3296+F3297*Q3297)*R3297</f>
        <v>0.5896383646426265</v>
      </c>
      <c r="U3297" s="76">
        <f>U3296+S3297</f>
        <v>28.581777212933154</v>
      </c>
      <c r="V3297" s="76">
        <f>V3296+T3297</f>
        <v>285.5369558128783</v>
      </c>
    </row>
    <row r="3298" spans="1:22" ht="19" customHeight="1">
      <c r="A3298" s="68" t="s">
        <v>378</v>
      </c>
      <c r="B3298" s="74">
        <v>5</v>
      </c>
      <c r="C3298" s="68" t="s">
        <v>363</v>
      </c>
      <c r="D3298" s="68" t="s">
        <v>364</v>
      </c>
      <c r="E3298" s="75">
        <f>60*F3298*'THAM_SO_MOI'!$C$53/(2*PI()*'THAM_SO_MOI'!$C$26)</f>
        <v>1610.7342983893716</v>
      </c>
      <c r="F3298" s="75">
        <f>'HANH_TRINH'!$F$3289+('THAM_SO_MOI'!$C$14-'HANH_TRINH'!$F$3289)*8/'THAM_SO_MOI'!$C$42</f>
        <v>16.34826478066136</v>
      </c>
      <c r="G3298" s="75">
        <f>3.6*F3298</f>
        <v>58.853753210380894</v>
      </c>
      <c r="H3298" s="75">
        <f>'THAM_SO_MOI'!$D$53</f>
        <v>1.1</v>
      </c>
      <c r="I3298" s="75">
        <f>IF(F3298&gt;'THAM_SO_MOI'!$C$14,'THAM_SO_MOI'!$C$13*(1+F3298^2/1500),'THAM_SO_MOI'!$C$13)</f>
        <v>0.015</v>
      </c>
      <c r="J3298" s="75">
        <f>'THAM_SO_MOI'!$C$40*('THAM_SO_MOI'!$C$23*(E3298/'THAM_SO_MOI'!$C$22)+'THAM_SO_MOI'!$C$24*(E3298/'THAM_SO_MOI'!$C$22)^2-'THAM_SO_MOI'!$C$25*(E3298/'THAM_SO_MOI'!$C$22)^3)</f>
        <v>70.01043111595453</v>
      </c>
      <c r="K3298" s="75">
        <f>'THAM_SO_MOI'!$C$31*J3298/E3298</f>
        <v>415.13768945332475</v>
      </c>
      <c r="L3298" s="75">
        <f>K3298*'THAM_SO_MOI'!$C$53*'THAM_SO_MOI'!$C$17/'THAM_SO_MOI'!$C$26</f>
        <v>3640.7591609263836</v>
      </c>
      <c r="M3298" s="75">
        <f>'THAM_SO_MOI'!$C$15*'THAM_SO_MOI'!$C$16*F3298^2</f>
        <v>781.7523519154421</v>
      </c>
      <c r="N3298" s="75">
        <f>'THAM_SO_MOI'!$C$12*I3298</f>
        <v>1130.112</v>
      </c>
      <c r="O3298" s="75">
        <f>M3298+N3298</f>
        <v>1911.864351915442</v>
      </c>
      <c r="P3298" s="75">
        <f>(MIN(L3298,'THAM_SO_MOI'!$C$41)-O3298)/('THAM_SO_MOI'!$C$11*H3298)</f>
        <v>0.2046513741726967</v>
      </c>
      <c r="Q3298" s="75">
        <f>IF(P3298&gt;0,1/P3298,NA())</f>
        <v>4.886358589296068</v>
      </c>
      <c r="R3298" s="75">
        <f>F3298-F3297</f>
        <v>0.0073885545698715305</v>
      </c>
      <c r="S3298" s="75">
        <f>0.5*(Q3297+Q3298)*R3298</f>
        <v>0.03609934914880956</v>
      </c>
      <c r="T3298" s="75">
        <f>0.5*(F3297*Q3297+F3298*Q3298)*R3298</f>
        <v>0.5900283712454633</v>
      </c>
      <c r="U3298" s="76">
        <f>U3297+S3298</f>
        <v>28.617876562081964</v>
      </c>
      <c r="V3298" s="76">
        <f>V3297+T3298</f>
        <v>286.1269841841238</v>
      </c>
    </row>
    <row r="3299" spans="1:22" ht="19" customHeight="1">
      <c r="A3299" s="68" t="s">
        <v>378</v>
      </c>
      <c r="B3299" s="74">
        <v>5</v>
      </c>
      <c r="C3299" s="68" t="s">
        <v>363</v>
      </c>
      <c r="D3299" s="68" t="s">
        <v>364</v>
      </c>
      <c r="E3299" s="75">
        <f>60*F3299*'THAM_SO_MOI'!$C$53/(2*PI()*'THAM_SO_MOI'!$C$26)</f>
        <v>1611.4622654501504</v>
      </c>
      <c r="F3299" s="75">
        <f>'HANH_TRINH'!$F$3289+('THAM_SO_MOI'!$C$14-'HANH_TRINH'!$F$3289)*9/'THAM_SO_MOI'!$C$42</f>
        <v>16.35565333523123</v>
      </c>
      <c r="G3299" s="75">
        <f>3.6*F3299</f>
        <v>58.88035200683243</v>
      </c>
      <c r="H3299" s="75">
        <f>'THAM_SO_MOI'!$D$53</f>
        <v>1.1</v>
      </c>
      <c r="I3299" s="75">
        <f>IF(F3299&gt;'THAM_SO_MOI'!$C$14,'THAM_SO_MOI'!$C$13*(1+F3299^2/1500),'THAM_SO_MOI'!$C$13)</f>
        <v>0.015</v>
      </c>
      <c r="J3299" s="75">
        <f>'THAM_SO_MOI'!$C$40*('THAM_SO_MOI'!$C$23*(E3299/'THAM_SO_MOI'!$C$22)+'THAM_SO_MOI'!$C$24*(E3299/'THAM_SO_MOI'!$C$22)^2-'THAM_SO_MOI'!$C$25*(E3299/'THAM_SO_MOI'!$C$22)^3)</f>
        <v>70.04869209192022</v>
      </c>
      <c r="K3299" s="75">
        <f>'THAM_SO_MOI'!$C$31*J3299/E3299</f>
        <v>415.1769257315596</v>
      </c>
      <c r="L3299" s="75">
        <f>K3299*'THAM_SO_MOI'!$C$53*'THAM_SO_MOI'!$C$17/'THAM_SO_MOI'!$C$26</f>
        <v>3641.103263240034</v>
      </c>
      <c r="M3299" s="75">
        <f>'THAM_SO_MOI'!$C$15*'THAM_SO_MOI'!$C$16*F3299^2</f>
        <v>782.459133365112</v>
      </c>
      <c r="N3299" s="75">
        <f>'THAM_SO_MOI'!$C$12*I3299</f>
        <v>1130.112</v>
      </c>
      <c r="O3299" s="75">
        <f>M3299+N3299</f>
        <v>1912.571133365112</v>
      </c>
      <c r="P3299" s="75">
        <f>(MIN(L3299,'THAM_SO_MOI'!$C$41)-O3299)/('THAM_SO_MOI'!$C$11*H3299)</f>
        <v>0.20460844340375495</v>
      </c>
      <c r="Q3299" s="75">
        <f>IF(P3299&gt;0,1/P3299,NA())</f>
        <v>4.887383840884292</v>
      </c>
      <c r="R3299" s="75">
        <f>F3299-F3298</f>
        <v>0.0073885545698715305</v>
      </c>
      <c r="S3299" s="75">
        <f>0.5*(Q3298+Q3299)*R3299</f>
        <v>0.03610691464862818</v>
      </c>
      <c r="T3299" s="75">
        <f>0.5*(F3298*Q3298+F3299*Q3299)*R3299</f>
        <v>0.5904188040354398</v>
      </c>
      <c r="U3299" s="76">
        <f>U3298+S3299</f>
        <v>28.65398347673059</v>
      </c>
      <c r="V3299" s="76">
        <f>V3298+T3299</f>
        <v>286.7174029881592</v>
      </c>
    </row>
    <row r="3300" spans="1:22" ht="19" customHeight="1">
      <c r="A3300" s="68" t="s">
        <v>378</v>
      </c>
      <c r="B3300" s="74">
        <v>5</v>
      </c>
      <c r="C3300" s="68" t="s">
        <v>363</v>
      </c>
      <c r="D3300" s="68" t="s">
        <v>364</v>
      </c>
      <c r="E3300" s="75">
        <f>60*F3300*'THAM_SO_MOI'!$C$53/(2*PI()*'THAM_SO_MOI'!$C$26)</f>
        <v>1612.1902325109293</v>
      </c>
      <c r="F3300" s="75">
        <f>'HANH_TRINH'!$F$3289+('THAM_SO_MOI'!$C$14-'HANH_TRINH'!$F$3289)*10/'THAM_SO_MOI'!$C$42</f>
        <v>16.363041889801103</v>
      </c>
      <c r="G3300" s="75">
        <f>3.6*F3300</f>
        <v>58.90695080328397</v>
      </c>
      <c r="H3300" s="75">
        <f>'THAM_SO_MOI'!$D$53</f>
        <v>1.1</v>
      </c>
      <c r="I3300" s="75">
        <f>IF(F3300&gt;'THAM_SO_MOI'!$C$14,'THAM_SO_MOI'!$C$13*(1+F3300^2/1500),'THAM_SO_MOI'!$C$13)</f>
        <v>0.015</v>
      </c>
      <c r="J3300" s="75">
        <f>'THAM_SO_MOI'!$C$40*('THAM_SO_MOI'!$C$23*(E3300/'THAM_SO_MOI'!$C$22)+'THAM_SO_MOI'!$C$24*(E3300/'THAM_SO_MOI'!$C$22)^2-'THAM_SO_MOI'!$C$25*(E3300/'THAM_SO_MOI'!$C$22)^3)</f>
        <v>70.08695037081256</v>
      </c>
      <c r="K3300" s="75">
        <f>'THAM_SO_MOI'!$C$31*J3300/E3300</f>
        <v>415.21611059808913</v>
      </c>
      <c r="L3300" s="75">
        <f>K3300*'THAM_SO_MOI'!$C$53*'THAM_SO_MOI'!$C$17/'THAM_SO_MOI'!$C$26</f>
        <v>3641.4469146728266</v>
      </c>
      <c r="M3300" s="75">
        <f>'THAM_SO_MOI'!$C$15*'THAM_SO_MOI'!$C$16*F3300^2</f>
        <v>783.1662341706032</v>
      </c>
      <c r="N3300" s="75">
        <f>'THAM_SO_MOI'!$C$12*I3300</f>
        <v>1130.112</v>
      </c>
      <c r="O3300" s="75">
        <f>M3300+N3300</f>
        <v>1913.2782341706034</v>
      </c>
      <c r="P3300" s="75">
        <f>(MIN(L3300,'THAM_SO_MOI'!$C$41)-O3300)/('THAM_SO_MOI'!$C$11*H3300)</f>
        <v>0.20456542146096393</v>
      </c>
      <c r="Q3300" s="75">
        <f>IF(P3300&gt;0,1/P3300,NA())</f>
        <v>4.888411701538837</v>
      </c>
      <c r="R3300" s="75">
        <f>F3300-F3299</f>
        <v>0.0073885545698715305</v>
      </c>
      <c r="S3300" s="75">
        <f>0.5*(Q3299+Q3300)*R3300</f>
        <v>0.036114499414550076</v>
      </c>
      <c r="T3300" s="75">
        <f>0.5*(F3299*Q3299+F3300*Q3300)*R3300</f>
        <v>0.5908096638025544</v>
      </c>
      <c r="U3300" s="76">
        <f>U3299+S3300</f>
        <v>28.69009797614514</v>
      </c>
      <c r="V3300" s="76">
        <f>V3299+T3300</f>
        <v>287.30821265196175</v>
      </c>
    </row>
    <row r="3301" spans="1:22" ht="19" customHeight="1">
      <c r="A3301" s="68" t="s">
        <v>378</v>
      </c>
      <c r="B3301" s="74">
        <v>5</v>
      </c>
      <c r="C3301" s="68" t="s">
        <v>363</v>
      </c>
      <c r="D3301" s="68" t="s">
        <v>364</v>
      </c>
      <c r="E3301" s="75">
        <f>60*F3301*'THAM_SO_MOI'!$C$53/(2*PI()*'THAM_SO_MOI'!$C$26)</f>
        <v>1612.9181995717088</v>
      </c>
      <c r="F3301" s="75">
        <f>'HANH_TRINH'!$F$3289+('THAM_SO_MOI'!$C$14-'HANH_TRINH'!$F$3289)*11/'THAM_SO_MOI'!$C$42</f>
        <v>16.370430444370978</v>
      </c>
      <c r="G3301" s="75">
        <f>3.6*F3301</f>
        <v>58.93354959973552</v>
      </c>
      <c r="H3301" s="75">
        <f>'THAM_SO_MOI'!$D$53</f>
        <v>1.1</v>
      </c>
      <c r="I3301" s="75">
        <f>IF(F3301&gt;'THAM_SO_MOI'!$C$14,'THAM_SO_MOI'!$C$13*(1+F3301^2/1500),'THAM_SO_MOI'!$C$13)</f>
        <v>0.015</v>
      </c>
      <c r="J3301" s="75">
        <f>'THAM_SO_MOI'!$C$40*('THAM_SO_MOI'!$C$23*(E3301/'THAM_SO_MOI'!$C$22)+'THAM_SO_MOI'!$C$24*(E3301/'THAM_SO_MOI'!$C$22)^2-'THAM_SO_MOI'!$C$25*(E3301/'THAM_SO_MOI'!$C$22)^3)</f>
        <v>70.12520594087609</v>
      </c>
      <c r="K3301" s="75">
        <f>'THAM_SO_MOI'!$C$31*J3301/E3301</f>
        <v>415.2552440529135</v>
      </c>
      <c r="L3301" s="75">
        <f>K3301*'THAM_SO_MOI'!$C$53*'THAM_SO_MOI'!$C$17/'THAM_SO_MOI'!$C$26</f>
        <v>3641.7901152247646</v>
      </c>
      <c r="M3301" s="75">
        <f>'THAM_SO_MOI'!$C$15*'THAM_SO_MOI'!$C$16*F3301^2</f>
        <v>783.8736543319155</v>
      </c>
      <c r="N3301" s="75">
        <f>'THAM_SO_MOI'!$C$12*I3301</f>
        <v>1130.112</v>
      </c>
      <c r="O3301" s="75">
        <f>M3301+N3301</f>
        <v>1913.9856543319156</v>
      </c>
      <c r="P3301" s="75">
        <f>(MIN(L3301,'THAM_SO_MOI'!$C$41)-O3301)/('THAM_SO_MOI'!$C$11*H3301)</f>
        <v>0.20452230834432397</v>
      </c>
      <c r="Q3301" s="75">
        <f>IF(P3301&gt;0,1/P3301,NA())</f>
        <v>4.889442174280802</v>
      </c>
      <c r="R3301" s="75">
        <f>F3301-F3300</f>
        <v>0.007388554569875083</v>
      </c>
      <c r="S3301" s="75">
        <f>0.5*(Q3300+Q3301)*R3301</f>
        <v>0.036122103468878994</v>
      </c>
      <c r="T3301" s="75">
        <f>0.5*(F3300*Q3300+F3301*Q3301)*R3301</f>
        <v>0.591200951338893</v>
      </c>
      <c r="U3301" s="76">
        <f>U3300+S3301</f>
        <v>28.72622007961402</v>
      </c>
      <c r="V3301" s="76">
        <f>V3300+T3301</f>
        <v>287.8994136033007</v>
      </c>
    </row>
    <row r="3302" spans="1:22" ht="19" customHeight="1">
      <c r="A3302" s="68" t="s">
        <v>378</v>
      </c>
      <c r="B3302" s="74">
        <v>5</v>
      </c>
      <c r="C3302" s="68" t="s">
        <v>363</v>
      </c>
      <c r="D3302" s="68" t="s">
        <v>364</v>
      </c>
      <c r="E3302" s="75">
        <f>60*F3302*'THAM_SO_MOI'!$C$53/(2*PI()*'THAM_SO_MOI'!$C$26)</f>
        <v>1613.6461666324876</v>
      </c>
      <c r="F3302" s="75">
        <f>'HANH_TRINH'!$F$3289+('THAM_SO_MOI'!$C$14-'HANH_TRINH'!$F$3289)*12/'THAM_SO_MOI'!$C$42</f>
        <v>16.37781899894085</v>
      </c>
      <c r="G3302" s="75">
        <f>3.6*F3302</f>
        <v>58.96014839618706</v>
      </c>
      <c r="H3302" s="75">
        <f>'THAM_SO_MOI'!$D$53</f>
        <v>1.1</v>
      </c>
      <c r="I3302" s="75">
        <f>IF(F3302&gt;'THAM_SO_MOI'!$C$14,'THAM_SO_MOI'!$C$13*(1+F3302^2/1500),'THAM_SO_MOI'!$C$13)</f>
        <v>0.015</v>
      </c>
      <c r="J3302" s="75">
        <f>'THAM_SO_MOI'!$C$40*('THAM_SO_MOI'!$C$23*(E3302/'THAM_SO_MOI'!$C$22)+'THAM_SO_MOI'!$C$24*(E3302/'THAM_SO_MOI'!$C$22)^2-'THAM_SO_MOI'!$C$25*(E3302/'THAM_SO_MOI'!$C$22)^3)</f>
        <v>70.16345879035514</v>
      </c>
      <c r="K3302" s="75">
        <f>'THAM_SO_MOI'!$C$31*J3302/E3302</f>
        <v>415.29432609603214</v>
      </c>
      <c r="L3302" s="75">
        <f>K3302*'THAM_SO_MOI'!$C$53*'THAM_SO_MOI'!$C$17/'THAM_SO_MOI'!$C$26</f>
        <v>3642.132864895842</v>
      </c>
      <c r="M3302" s="75">
        <f>'THAM_SO_MOI'!$C$15*'THAM_SO_MOI'!$C$16*F3302^2</f>
        <v>784.5813938490485</v>
      </c>
      <c r="N3302" s="75">
        <f>'THAM_SO_MOI'!$C$12*I3302</f>
        <v>1130.112</v>
      </c>
      <c r="O3302" s="75">
        <f>M3302+N3302</f>
        <v>1914.6933938490486</v>
      </c>
      <c r="P3302" s="75">
        <f>(MIN(L3302,'THAM_SO_MOI'!$C$41)-O3302)/('THAM_SO_MOI'!$C$11*H3302)</f>
        <v>0.20447910405383443</v>
      </c>
      <c r="Q3302" s="75">
        <f>IF(P3302&gt;0,1/P3302,NA())</f>
        <v>4.89047526214084</v>
      </c>
      <c r="R3302" s="75">
        <f>F3302-F3301</f>
        <v>0.0073885545698715305</v>
      </c>
      <c r="S3302" s="75">
        <f>0.5*(Q3301+Q3302)*R3302</f>
        <v>0.03612972683391969</v>
      </c>
      <c r="T3302" s="75">
        <f>0.5*(F3301*Q3301+F3302*Q3302)*R3302</f>
        <v>0.5915926674372168</v>
      </c>
      <c r="U3302" s="76">
        <f>U3301+S3302</f>
        <v>28.76234980644794</v>
      </c>
      <c r="V3302" s="76">
        <f>V3301+T3302</f>
        <v>288.4910062707379</v>
      </c>
    </row>
    <row r="3303" spans="1:22" ht="19" customHeight="1">
      <c r="A3303" s="68" t="s">
        <v>378</v>
      </c>
      <c r="B3303" s="74">
        <v>5</v>
      </c>
      <c r="C3303" s="68" t="s">
        <v>363</v>
      </c>
      <c r="D3303" s="68" t="s">
        <v>364</v>
      </c>
      <c r="E3303" s="75">
        <f>60*F3303*'THAM_SO_MOI'!$C$53/(2*PI()*'THAM_SO_MOI'!$C$26)</f>
        <v>1614.3741336932665</v>
      </c>
      <c r="F3303" s="75">
        <f>'HANH_TRINH'!$F$3289+('THAM_SO_MOI'!$C$14-'HANH_TRINH'!$F$3289)*13/'THAM_SO_MOI'!$C$42</f>
        <v>16.38520755351072</v>
      </c>
      <c r="G3303" s="75">
        <f>3.6*F3303</f>
        <v>58.986747192638596</v>
      </c>
      <c r="H3303" s="75">
        <f>'THAM_SO_MOI'!$D$53</f>
        <v>1.1</v>
      </c>
      <c r="I3303" s="75">
        <f>IF(F3303&gt;'THAM_SO_MOI'!$C$14,'THAM_SO_MOI'!$C$13*(1+F3303^2/1500),'THAM_SO_MOI'!$C$13)</f>
        <v>0.015</v>
      </c>
      <c r="J3303" s="75">
        <f>'THAM_SO_MOI'!$C$40*('THAM_SO_MOI'!$C$23*(E3303/'THAM_SO_MOI'!$C$22)+'THAM_SO_MOI'!$C$24*(E3303/'THAM_SO_MOI'!$C$22)^2-'THAM_SO_MOI'!$C$25*(E3303/'THAM_SO_MOI'!$C$22)^3)</f>
        <v>70.20170890749426</v>
      </c>
      <c r="K3303" s="75">
        <f>'THAM_SO_MOI'!$C$31*J3303/E3303</f>
        <v>415.3333567274452</v>
      </c>
      <c r="L3303" s="75">
        <f>K3303*'THAM_SO_MOI'!$C$53*'THAM_SO_MOI'!$C$17/'THAM_SO_MOI'!$C$26</f>
        <v>3642.4751636860606</v>
      </c>
      <c r="M3303" s="75">
        <f>'THAM_SO_MOI'!$C$15*'THAM_SO_MOI'!$C$16*F3303^2</f>
        <v>785.2894527220027</v>
      </c>
      <c r="N3303" s="75">
        <f>'THAM_SO_MOI'!$C$12*I3303</f>
        <v>1130.112</v>
      </c>
      <c r="O3303" s="75">
        <f>M3303+N3303</f>
        <v>1915.401452722003</v>
      </c>
      <c r="P3303" s="75">
        <f>(MIN(L3303,'THAM_SO_MOI'!$C$41)-O3303)/('THAM_SO_MOI'!$C$11*H3303)</f>
        <v>0.20443580858949548</v>
      </c>
      <c r="Q3303" s="75">
        <f>IF(P3303&gt;0,1/P3303,NA())</f>
        <v>4.8915109681591415</v>
      </c>
      <c r="R3303" s="75">
        <f>F3303-F3302</f>
        <v>0.0073885545698715305</v>
      </c>
      <c r="S3303" s="75">
        <f>0.5*(Q3302+Q3303)*R3303</f>
        <v>0.03613736953215166</v>
      </c>
      <c r="T3303" s="75">
        <f>0.5*(F3302*Q3302+F3303*Q3303)*R3303</f>
        <v>0.5919848128938087</v>
      </c>
      <c r="U3303" s="76">
        <f>U3302+S3303</f>
        <v>28.798487175980092</v>
      </c>
      <c r="V3303" s="76">
        <f>V3302+T3303</f>
        <v>289.0829910836317</v>
      </c>
    </row>
    <row r="3304" spans="1:22" ht="19" customHeight="1">
      <c r="A3304" s="68" t="s">
        <v>378</v>
      </c>
      <c r="B3304" s="74">
        <v>5</v>
      </c>
      <c r="C3304" s="68" t="s">
        <v>363</v>
      </c>
      <c r="D3304" s="68" t="s">
        <v>364</v>
      </c>
      <c r="E3304" s="75">
        <f>60*F3304*'THAM_SO_MOI'!$C$53/(2*PI()*'THAM_SO_MOI'!$C$26)</f>
        <v>1615.1021007540453</v>
      </c>
      <c r="F3304" s="75">
        <f>'HANH_TRINH'!$F$3289+('THAM_SO_MOI'!$C$14-'HANH_TRINH'!$F$3289)*14/'THAM_SO_MOI'!$C$42</f>
        <v>16.392596108080593</v>
      </c>
      <c r="G3304" s="75">
        <f>3.6*F3304</f>
        <v>59.01334598909013</v>
      </c>
      <c r="H3304" s="75">
        <f>'THAM_SO_MOI'!$D$53</f>
        <v>1.1</v>
      </c>
      <c r="I3304" s="75">
        <f>IF(F3304&gt;'THAM_SO_MOI'!$C$14,'THAM_SO_MOI'!$C$13*(1+F3304^2/1500),'THAM_SO_MOI'!$C$13)</f>
        <v>0.015</v>
      </c>
      <c r="J3304" s="75">
        <f>'THAM_SO_MOI'!$C$40*('THAM_SO_MOI'!$C$23*(E3304/'THAM_SO_MOI'!$C$22)+'THAM_SO_MOI'!$C$24*(E3304/'THAM_SO_MOI'!$C$22)^2-'THAM_SO_MOI'!$C$25*(E3304/'THAM_SO_MOI'!$C$22)^3)</f>
        <v>70.239956280538</v>
      </c>
      <c r="K3304" s="75">
        <f>'THAM_SO_MOI'!$C$31*J3304/E3304</f>
        <v>415.3723359471531</v>
      </c>
      <c r="L3304" s="75">
        <f>K3304*'THAM_SO_MOI'!$C$53*'THAM_SO_MOI'!$C$17/'THAM_SO_MOI'!$C$26</f>
        <v>3642.817011595422</v>
      </c>
      <c r="M3304" s="75">
        <f>'THAM_SO_MOI'!$C$15*'THAM_SO_MOI'!$C$16*F3304^2</f>
        <v>785.9978309507776</v>
      </c>
      <c r="N3304" s="75">
        <f>'THAM_SO_MOI'!$C$12*I3304</f>
        <v>1130.112</v>
      </c>
      <c r="O3304" s="75">
        <f>M3304+N3304</f>
        <v>1916.1098309507777</v>
      </c>
      <c r="P3304" s="75">
        <f>(MIN(L3304,'THAM_SO_MOI'!$C$41)-O3304)/('THAM_SO_MOI'!$C$11*H3304)</f>
        <v>0.20439242195130738</v>
      </c>
      <c r="Q3304" s="75">
        <f>IF(P3304&gt;0,1/P3304,NA())</f>
        <v>4.892549295385477</v>
      </c>
      <c r="R3304" s="75">
        <f>F3304-F3303</f>
        <v>0.0073885545698715305</v>
      </c>
      <c r="S3304" s="75">
        <f>0.5*(Q3303+Q3304)*R3304</f>
        <v>0.03614503158605552</v>
      </c>
      <c r="T3304" s="75">
        <f>0.5*(F3303*Q3303+F3304*Q3304)*R3304</f>
        <v>0.5923773885056347</v>
      </c>
      <c r="U3304" s="76">
        <f>U3303+S3304</f>
        <v>28.83463220756615</v>
      </c>
      <c r="V3304" s="76">
        <f>V3303+T3304</f>
        <v>289.67536847213734</v>
      </c>
    </row>
    <row r="3305" spans="1:22" ht="19" customHeight="1">
      <c r="A3305" s="68" t="s">
        <v>378</v>
      </c>
      <c r="B3305" s="74">
        <v>5</v>
      </c>
      <c r="C3305" s="68" t="s">
        <v>363</v>
      </c>
      <c r="D3305" s="68" t="s">
        <v>364</v>
      </c>
      <c r="E3305" s="75">
        <f>60*F3305*'THAM_SO_MOI'!$C$53/(2*PI()*'THAM_SO_MOI'!$C$26)</f>
        <v>1615.8300678148244</v>
      </c>
      <c r="F3305" s="75">
        <f>'HANH_TRINH'!$F$3289+('THAM_SO_MOI'!$C$14-'HANH_TRINH'!$F$3289)*15/'THAM_SO_MOI'!$C$42</f>
        <v>16.399984662650464</v>
      </c>
      <c r="G3305" s="75">
        <f>3.6*F3305</f>
        <v>59.03994478554167</v>
      </c>
      <c r="H3305" s="75">
        <f>'THAM_SO_MOI'!$D$53</f>
        <v>1.1</v>
      </c>
      <c r="I3305" s="75">
        <f>IF(F3305&gt;'THAM_SO_MOI'!$C$14,'THAM_SO_MOI'!$C$13*(1+F3305^2/1500),'THAM_SO_MOI'!$C$13)</f>
        <v>0.015</v>
      </c>
      <c r="J3305" s="75">
        <f>'THAM_SO_MOI'!$C$40*('THAM_SO_MOI'!$C$23*(E3305/'THAM_SO_MOI'!$C$22)+'THAM_SO_MOI'!$C$24*(E3305/'THAM_SO_MOI'!$C$22)^2-'THAM_SO_MOI'!$C$25*(E3305/'THAM_SO_MOI'!$C$22)^3)</f>
        <v>70.2782008977308</v>
      </c>
      <c r="K3305" s="75">
        <f>'THAM_SO_MOI'!$C$31*J3305/E3305</f>
        <v>415.4112637551556</v>
      </c>
      <c r="L3305" s="75">
        <f>K3305*'THAM_SO_MOI'!$C$53*'THAM_SO_MOI'!$C$17/'THAM_SO_MOI'!$C$26</f>
        <v>3643.1584086239277</v>
      </c>
      <c r="M3305" s="75">
        <f>'THAM_SO_MOI'!$C$15*'THAM_SO_MOI'!$C$16*F3305^2</f>
        <v>786.7065285353738</v>
      </c>
      <c r="N3305" s="75">
        <f>'THAM_SO_MOI'!$C$12*I3305</f>
        <v>1130.112</v>
      </c>
      <c r="O3305" s="75">
        <f>M3305+N3305</f>
        <v>1916.8185285353738</v>
      </c>
      <c r="P3305" s="75">
        <f>(MIN(L3305,'THAM_SO_MOI'!$C$41)-O3305)/('THAM_SO_MOI'!$C$11*H3305)</f>
        <v>0.2043489441392701</v>
      </c>
      <c r="Q3305" s="75">
        <f>IF(P3305&gt;0,1/P3305,NA())</f>
        <v>4.893590246879226</v>
      </c>
      <c r="R3305" s="75">
        <f>F3305-F3304</f>
        <v>0.0073885545698715305</v>
      </c>
      <c r="S3305" s="75">
        <f>0.5*(Q3304+Q3305)*R3305</f>
        <v>0.03615271301820018</v>
      </c>
      <c r="T3305" s="75">
        <f>0.5*(F3304*Q3304+F3305*Q3305)*R3305</f>
        <v>0.5927703950717725</v>
      </c>
      <c r="U3305" s="76">
        <f>U3304+S3305</f>
        <v>28.87078492058435</v>
      </c>
      <c r="V3305" s="76">
        <f>V3304+T3305</f>
        <v>290.26813886720913</v>
      </c>
    </row>
    <row r="3306" spans="1:22" ht="19" customHeight="1">
      <c r="A3306" s="68" t="s">
        <v>378</v>
      </c>
      <c r="B3306" s="74">
        <v>5</v>
      </c>
      <c r="C3306" s="68" t="s">
        <v>363</v>
      </c>
      <c r="D3306" s="68" t="s">
        <v>364</v>
      </c>
      <c r="E3306" s="75">
        <f>60*F3306*'THAM_SO_MOI'!$C$53/(2*PI()*'THAM_SO_MOI'!$C$26)</f>
        <v>1616.5580348756032</v>
      </c>
      <c r="F3306" s="75">
        <f>'HANH_TRINH'!$F$3289+('THAM_SO_MOI'!$C$14-'HANH_TRINH'!$F$3289)*16/'THAM_SO_MOI'!$C$42</f>
        <v>16.407373217220336</v>
      </c>
      <c r="G3306" s="75">
        <f>3.6*F3306</f>
        <v>59.06654358199321</v>
      </c>
      <c r="H3306" s="75">
        <f>'THAM_SO_MOI'!$D$53</f>
        <v>1.1</v>
      </c>
      <c r="I3306" s="75">
        <f>IF(F3306&gt;'THAM_SO_MOI'!$C$14,'THAM_SO_MOI'!$C$13*(1+F3306^2/1500),'THAM_SO_MOI'!$C$13)</f>
        <v>0.015</v>
      </c>
      <c r="J3306" s="75">
        <f>'THAM_SO_MOI'!$C$40*('THAM_SO_MOI'!$C$23*(E3306/'THAM_SO_MOI'!$C$22)+'THAM_SO_MOI'!$C$24*(E3306/'THAM_SO_MOI'!$C$22)^2-'THAM_SO_MOI'!$C$25*(E3306/'THAM_SO_MOI'!$C$22)^3)</f>
        <v>70.31644274731713</v>
      </c>
      <c r="K3306" s="75">
        <f>'THAM_SO_MOI'!$C$31*J3306/E3306</f>
        <v>415.45014015145256</v>
      </c>
      <c r="L3306" s="75">
        <f>K3306*'THAM_SO_MOI'!$C$53*'THAM_SO_MOI'!$C$17/'THAM_SO_MOI'!$C$26</f>
        <v>3643.4993547715744</v>
      </c>
      <c r="M3306" s="75">
        <f>'THAM_SO_MOI'!$C$15*'THAM_SO_MOI'!$C$16*F3306^2</f>
        <v>787.4155454757907</v>
      </c>
      <c r="N3306" s="75">
        <f>'THAM_SO_MOI'!$C$12*I3306</f>
        <v>1130.112</v>
      </c>
      <c r="O3306" s="75">
        <f>M3306+N3306</f>
        <v>1917.5275454757907</v>
      </c>
      <c r="P3306" s="75">
        <f>(MIN(L3306,'THAM_SO_MOI'!$C$41)-O3306)/('THAM_SO_MOI'!$C$11*H3306)</f>
        <v>0.20430537515338348</v>
      </c>
      <c r="Q3306" s="75">
        <f>IF(P3306&gt;0,1/P3306,NA())</f>
        <v>4.894633825709402</v>
      </c>
      <c r="R3306" s="75">
        <f>F3306-F3305</f>
        <v>0.0073885545698715305</v>
      </c>
      <c r="S3306" s="75">
        <f>0.5*(Q3305+Q3306)*R3306</f>
        <v>0.03616041385122561</v>
      </c>
      <c r="T3306" s="75">
        <f>0.5*(F3305*Q3305+F3306*Q3306)*R3306</f>
        <v>0.5931638333931327</v>
      </c>
      <c r="U3306" s="76">
        <f>U3305+S3306</f>
        <v>28.906945334435573</v>
      </c>
      <c r="V3306" s="76">
        <f>V3305+T3306</f>
        <v>290.86130270060227</v>
      </c>
    </row>
    <row r="3307" spans="1:22" ht="19" customHeight="1">
      <c r="A3307" s="68" t="s">
        <v>378</v>
      </c>
      <c r="B3307" s="74">
        <v>5</v>
      </c>
      <c r="C3307" s="68" t="s">
        <v>363</v>
      </c>
      <c r="D3307" s="68" t="s">
        <v>364</v>
      </c>
      <c r="E3307" s="75">
        <f>60*F3307*'THAM_SO_MOI'!$C$53/(2*PI()*'THAM_SO_MOI'!$C$26)</f>
        <v>1617.2860019363823</v>
      </c>
      <c r="F3307" s="75">
        <f>'HANH_TRINH'!$F$3289+('THAM_SO_MOI'!$C$14-'HANH_TRINH'!$F$3289)*17/'THAM_SO_MOI'!$C$42</f>
        <v>16.414761771790207</v>
      </c>
      <c r="G3307" s="75">
        <f>3.6*F3307</f>
        <v>59.093142378444746</v>
      </c>
      <c r="H3307" s="75">
        <f>'THAM_SO_MOI'!$D$53</f>
        <v>1.1</v>
      </c>
      <c r="I3307" s="75">
        <f>IF(F3307&gt;'THAM_SO_MOI'!$C$14,'THAM_SO_MOI'!$C$13*(1+F3307^2/1500),'THAM_SO_MOI'!$C$13)</f>
        <v>0.015</v>
      </c>
      <c r="J3307" s="75">
        <f>'THAM_SO_MOI'!$C$40*('THAM_SO_MOI'!$C$23*(E3307/'THAM_SO_MOI'!$C$22)+'THAM_SO_MOI'!$C$24*(E3307/'THAM_SO_MOI'!$C$22)^2-'THAM_SO_MOI'!$C$25*(E3307/'THAM_SO_MOI'!$C$22)^3)</f>
        <v>70.35468181754149</v>
      </c>
      <c r="K3307" s="75">
        <f>'THAM_SO_MOI'!$C$31*J3307/E3307</f>
        <v>415.48896513604416</v>
      </c>
      <c r="L3307" s="75">
        <f>K3307*'THAM_SO_MOI'!$C$53*'THAM_SO_MOI'!$C$17/'THAM_SO_MOI'!$C$26</f>
        <v>3643.8398500383637</v>
      </c>
      <c r="M3307" s="75">
        <f>'THAM_SO_MOI'!$C$15*'THAM_SO_MOI'!$C$16*F3307^2</f>
        <v>788.1248817720287</v>
      </c>
      <c r="N3307" s="75">
        <f>'THAM_SO_MOI'!$C$12*I3307</f>
        <v>1130.112</v>
      </c>
      <c r="O3307" s="75">
        <f>M3307+N3307</f>
        <v>1918.236881772029</v>
      </c>
      <c r="P3307" s="75">
        <f>(MIN(L3307,'THAM_SO_MOI'!$C$41)-O3307)/('THAM_SO_MOI'!$C$11*H3307)</f>
        <v>0.2042617149936476</v>
      </c>
      <c r="Q3307" s="75">
        <f>IF(P3307&gt;0,1/P3307,NA())</f>
        <v>4.895680034954663</v>
      </c>
      <c r="R3307" s="75">
        <f>F3307-F3306</f>
        <v>0.0073885545698715305</v>
      </c>
      <c r="S3307" s="75">
        <f>0.5*(Q3306+Q3307)*R3307</f>
        <v>0.03616813410784303</v>
      </c>
      <c r="T3307" s="75">
        <f>0.5*(F3306*Q3306+F3307*Q3307)*R3307</f>
        <v>0.593557704272464</v>
      </c>
      <c r="U3307" s="76">
        <f>U3306+S3307</f>
        <v>28.943113468543416</v>
      </c>
      <c r="V3307" s="76">
        <f>V3306+T3307</f>
        <v>291.45486040487475</v>
      </c>
    </row>
    <row r="3308" spans="1:22" ht="19" customHeight="1">
      <c r="A3308" s="68" t="s">
        <v>378</v>
      </c>
      <c r="B3308" s="74">
        <v>5</v>
      </c>
      <c r="C3308" s="68" t="s">
        <v>363</v>
      </c>
      <c r="D3308" s="68" t="s">
        <v>364</v>
      </c>
      <c r="E3308" s="75">
        <f>60*F3308*'THAM_SO_MOI'!$C$53/(2*PI()*'THAM_SO_MOI'!$C$26)</f>
        <v>1618.013968997161</v>
      </c>
      <c r="F3308" s="75">
        <f>'HANH_TRINH'!$F$3289+('THAM_SO_MOI'!$C$14-'HANH_TRINH'!$F$3289)*18/'THAM_SO_MOI'!$C$42</f>
        <v>16.42215032636008</v>
      </c>
      <c r="G3308" s="75">
        <f>3.6*F3308</f>
        <v>59.119741174896284</v>
      </c>
      <c r="H3308" s="75">
        <f>'THAM_SO_MOI'!$D$53</f>
        <v>1.1</v>
      </c>
      <c r="I3308" s="75">
        <f>IF(F3308&gt;'THAM_SO_MOI'!$C$14,'THAM_SO_MOI'!$C$13*(1+F3308^2/1500),'THAM_SO_MOI'!$C$13)</f>
        <v>0.015</v>
      </c>
      <c r="J3308" s="75">
        <f>'THAM_SO_MOI'!$C$40*('THAM_SO_MOI'!$C$23*(E3308/'THAM_SO_MOI'!$C$22)+'THAM_SO_MOI'!$C$24*(E3308/'THAM_SO_MOI'!$C$22)^2-'THAM_SO_MOI'!$C$25*(E3308/'THAM_SO_MOI'!$C$22)^3)</f>
        <v>70.39291809664834</v>
      </c>
      <c r="K3308" s="75">
        <f>'THAM_SO_MOI'!$C$31*J3308/E3308</f>
        <v>415.52773870893026</v>
      </c>
      <c r="L3308" s="75">
        <f>K3308*'THAM_SO_MOI'!$C$53*'THAM_SO_MOI'!$C$17/'THAM_SO_MOI'!$C$26</f>
        <v>3644.179894424294</v>
      </c>
      <c r="M3308" s="75">
        <f>'THAM_SO_MOI'!$C$15*'THAM_SO_MOI'!$C$16*F3308^2</f>
        <v>788.8345374240878</v>
      </c>
      <c r="N3308" s="75">
        <f>'THAM_SO_MOI'!$C$12*I3308</f>
        <v>1130.112</v>
      </c>
      <c r="O3308" s="75">
        <f>M3308+N3308</f>
        <v>1918.9465374240879</v>
      </c>
      <c r="P3308" s="75">
        <f>(MIN(L3308,'THAM_SO_MOI'!$C$41)-O3308)/('THAM_SO_MOI'!$C$11*H3308)</f>
        <v>0.2042179636600623</v>
      </c>
      <c r="Q3308" s="75">
        <f>IF(P3308&gt;0,1/P3308,NA())</f>
        <v>4.896728877703348</v>
      </c>
      <c r="R3308" s="75">
        <f>F3308-F3307</f>
        <v>0.0073885545698715305</v>
      </c>
      <c r="S3308" s="75">
        <f>0.5*(Q3307+Q3308)*R3308</f>
        <v>0.03617587381083503</v>
      </c>
      <c r="T3308" s="75">
        <f>0.5*(F3307*Q3307+F3308*Q3308)*R3308</f>
        <v>0.5939520085143585</v>
      </c>
      <c r="U3308" s="76">
        <f>U3307+S3308</f>
        <v>28.97928934235425</v>
      </c>
      <c r="V3308" s="76">
        <f>V3307+T3308</f>
        <v>292.0488124133891</v>
      </c>
    </row>
    <row r="3309" spans="1:22" ht="19" customHeight="1">
      <c r="A3309" s="68" t="s">
        <v>378</v>
      </c>
      <c r="B3309" s="74">
        <v>5</v>
      </c>
      <c r="C3309" s="68" t="s">
        <v>363</v>
      </c>
      <c r="D3309" s="68" t="s">
        <v>364</v>
      </c>
      <c r="E3309" s="75">
        <f>60*F3309*'THAM_SO_MOI'!$C$53/(2*PI()*'THAM_SO_MOI'!$C$26)</f>
        <v>1618.7419360579404</v>
      </c>
      <c r="F3309" s="75">
        <f>'HANH_TRINH'!$F$3289+('THAM_SO_MOI'!$C$14-'HANH_TRINH'!$F$3289)*19/'THAM_SO_MOI'!$C$42</f>
        <v>16.429538880929954</v>
      </c>
      <c r="G3309" s="75">
        <f>3.6*F3309</f>
        <v>59.146339971347835</v>
      </c>
      <c r="H3309" s="75">
        <f>'THAM_SO_MOI'!$D$53</f>
        <v>1.1</v>
      </c>
      <c r="I3309" s="75">
        <f>IF(F3309&gt;'THAM_SO_MOI'!$C$14,'THAM_SO_MOI'!$C$13*(1+F3309^2/1500),'THAM_SO_MOI'!$C$13)</f>
        <v>0.015</v>
      </c>
      <c r="J3309" s="75">
        <f>'THAM_SO_MOI'!$C$40*('THAM_SO_MOI'!$C$23*(E3309/'THAM_SO_MOI'!$C$22)+'THAM_SO_MOI'!$C$24*(E3309/'THAM_SO_MOI'!$C$22)^2-'THAM_SO_MOI'!$C$25*(E3309/'THAM_SO_MOI'!$C$22)^3)</f>
        <v>70.43115157288221</v>
      </c>
      <c r="K3309" s="75">
        <f>'THAM_SO_MOI'!$C$31*J3309/E3309</f>
        <v>415.5664608701109</v>
      </c>
      <c r="L3309" s="75">
        <f>K3309*'THAM_SO_MOI'!$C$53*'THAM_SO_MOI'!$C$17/'THAM_SO_MOI'!$C$26</f>
        <v>3644.519487929367</v>
      </c>
      <c r="M3309" s="75">
        <f>'THAM_SO_MOI'!$C$15*'THAM_SO_MOI'!$C$16*F3309^2</f>
        <v>789.5445124319681</v>
      </c>
      <c r="N3309" s="75">
        <f>'THAM_SO_MOI'!$C$12*I3309</f>
        <v>1130.112</v>
      </c>
      <c r="O3309" s="75">
        <f>M3309+N3309</f>
        <v>1919.6565124319682</v>
      </c>
      <c r="P3309" s="75">
        <f>(MIN(L3309,'THAM_SO_MOI'!$C$41)-O3309)/('THAM_SO_MOI'!$C$11*H3309)</f>
        <v>0.20417412115262773</v>
      </c>
      <c r="Q3309" s="75">
        <f>IF(P3309&gt;0,1/P3309,NA())</f>
        <v>4.897780357053492</v>
      </c>
      <c r="R3309" s="75">
        <f>F3309-F3308</f>
        <v>0.007388554569875083</v>
      </c>
      <c r="S3309" s="75">
        <f>0.5*(Q3308+Q3309)*R3309</f>
        <v>0.03618363298307317</v>
      </c>
      <c r="T3309" s="75">
        <f>0.5*(F3308*Q3308+F3309*Q3309)*R3309</f>
        <v>0.5943467469255429</v>
      </c>
      <c r="U3309" s="76">
        <f>U3308+S3309</f>
        <v>29.01547297533732</v>
      </c>
      <c r="V3309" s="76">
        <f>V3308+T3309</f>
        <v>292.64315916031467</v>
      </c>
    </row>
    <row r="3310" spans="1:22" ht="19" customHeight="1">
      <c r="A3310" s="68" t="s">
        <v>378</v>
      </c>
      <c r="B3310" s="74">
        <v>5</v>
      </c>
      <c r="C3310" s="68" t="s">
        <v>363</v>
      </c>
      <c r="D3310" s="68" t="s">
        <v>364</v>
      </c>
      <c r="E3310" s="75">
        <f>60*F3310*'THAM_SO_MOI'!$C$53/(2*PI()*'THAM_SO_MOI'!$C$26)</f>
        <v>1619.4699031187192</v>
      </c>
      <c r="F3310" s="75">
        <f>'HANH_TRINH'!$F$3289+('THAM_SO_MOI'!$C$14-'HANH_TRINH'!$F$3289)*20/'THAM_SO_MOI'!$C$42</f>
        <v>16.436927435499825</v>
      </c>
      <c r="G3310" s="75">
        <f>3.6*F3310</f>
        <v>59.17293876779937</v>
      </c>
      <c r="H3310" s="75">
        <f>'THAM_SO_MOI'!$D$53</f>
        <v>1.1</v>
      </c>
      <c r="I3310" s="75">
        <f>IF(F3310&gt;'THAM_SO_MOI'!$C$14,'THAM_SO_MOI'!$C$13*(1+F3310^2/1500),'THAM_SO_MOI'!$C$13)</f>
        <v>0.015</v>
      </c>
      <c r="J3310" s="75">
        <f>'THAM_SO_MOI'!$C$40*('THAM_SO_MOI'!$C$23*(E3310/'THAM_SO_MOI'!$C$22)+'THAM_SO_MOI'!$C$24*(E3310/'THAM_SO_MOI'!$C$22)^2-'THAM_SO_MOI'!$C$25*(E3310/'THAM_SO_MOI'!$C$22)^3)</f>
        <v>70.46938223448757</v>
      </c>
      <c r="K3310" s="75">
        <f>'THAM_SO_MOI'!$C$31*J3310/E3310</f>
        <v>415.60513161958625</v>
      </c>
      <c r="L3310" s="75">
        <f>K3310*'THAM_SO_MOI'!$C$53*'THAM_SO_MOI'!$C$17/'THAM_SO_MOI'!$C$26</f>
        <v>3644.858630553583</v>
      </c>
      <c r="M3310" s="75">
        <f>'THAM_SO_MOI'!$C$15*'THAM_SO_MOI'!$C$16*F3310^2</f>
        <v>790.2548067956692</v>
      </c>
      <c r="N3310" s="75">
        <f>'THAM_SO_MOI'!$C$12*I3310</f>
        <v>1130.112</v>
      </c>
      <c r="O3310" s="75">
        <f>M3310+N3310</f>
        <v>1920.3668067956692</v>
      </c>
      <c r="P3310" s="75">
        <f>(MIN(L3310,'THAM_SO_MOI'!$C$41)-O3310)/('THAM_SO_MOI'!$C$11*H3310)</f>
        <v>0.20413018747134398</v>
      </c>
      <c r="Q3310" s="75">
        <f>IF(P3310&gt;0,1/P3310,NA())</f>
        <v>4.898834476112854</v>
      </c>
      <c r="R3310" s="75">
        <f>F3310-F3309</f>
        <v>0.0073885545698715305</v>
      </c>
      <c r="S3310" s="75">
        <f>0.5*(Q3309+Q3310)*R3310</f>
        <v>0.036191411647431206</v>
      </c>
      <c r="T3310" s="75">
        <f>0.5*(F3309*Q3309+F3310*Q3310)*R3310</f>
        <v>0.5947419203134556</v>
      </c>
      <c r="U3310" s="76">
        <f>U3309+S3310</f>
        <v>29.05166438698475</v>
      </c>
      <c r="V3310" s="76">
        <f>V3309+T3310</f>
        <v>293.23790108062815</v>
      </c>
    </row>
    <row r="3311" spans="1:22" ht="19" customHeight="1">
      <c r="A3311" s="68" t="s">
        <v>378</v>
      </c>
      <c r="B3311" s="74">
        <v>5</v>
      </c>
      <c r="C3311" s="68" t="s">
        <v>363</v>
      </c>
      <c r="D3311" s="68" t="s">
        <v>364</v>
      </c>
      <c r="E3311" s="75">
        <f>60*F3311*'THAM_SO_MOI'!$C$53/(2*PI()*'THAM_SO_MOI'!$C$26)</f>
        <v>1620.1978701794983</v>
      </c>
      <c r="F3311" s="75">
        <f>'HANH_TRINH'!$F$3289+('THAM_SO_MOI'!$C$14-'HANH_TRINH'!$F$3289)*21/'THAM_SO_MOI'!$C$42</f>
        <v>16.444315990069697</v>
      </c>
      <c r="G3311" s="75">
        <f>3.6*F3311</f>
        <v>59.19953756425091</v>
      </c>
      <c r="H3311" s="75">
        <f>'THAM_SO_MOI'!$D$53</f>
        <v>1.1</v>
      </c>
      <c r="I3311" s="75">
        <f>IF(F3311&gt;'THAM_SO_MOI'!$C$14,'THAM_SO_MOI'!$C$13*(1+F3311^2/1500),'THAM_SO_MOI'!$C$13)</f>
        <v>0.015</v>
      </c>
      <c r="J3311" s="75">
        <f>'THAM_SO_MOI'!$C$40*('THAM_SO_MOI'!$C$23*(E3311/'THAM_SO_MOI'!$C$22)+'THAM_SO_MOI'!$C$24*(E3311/'THAM_SO_MOI'!$C$22)^2-'THAM_SO_MOI'!$C$25*(E3311/'THAM_SO_MOI'!$C$22)^3)</f>
        <v>70.50761006970887</v>
      </c>
      <c r="K3311" s="75">
        <f>'THAM_SO_MOI'!$C$31*J3311/E3311</f>
        <v>415.6437509573561</v>
      </c>
      <c r="L3311" s="75">
        <f>K3311*'THAM_SO_MOI'!$C$53*'THAM_SO_MOI'!$C$17/'THAM_SO_MOI'!$C$26</f>
        <v>3645.1973222969414</v>
      </c>
      <c r="M3311" s="75">
        <f>'THAM_SO_MOI'!$C$15*'THAM_SO_MOI'!$C$16*F3311^2</f>
        <v>790.9654205151912</v>
      </c>
      <c r="N3311" s="75">
        <f>'THAM_SO_MOI'!$C$12*I3311</f>
        <v>1130.112</v>
      </c>
      <c r="O3311" s="75">
        <f>M3311+N3311</f>
        <v>1921.0774205151913</v>
      </c>
      <c r="P3311" s="75">
        <f>(MIN(L3311,'THAM_SO_MOI'!$C$41)-O3311)/('THAM_SO_MOI'!$C$11*H3311)</f>
        <v>0.20408616261621093</v>
      </c>
      <c r="Q3311" s="75">
        <f>IF(P3311&gt;0,1/P3311,NA())</f>
        <v>4.899891237998946</v>
      </c>
      <c r="R3311" s="75">
        <f>F3311-F3310</f>
        <v>0.0073885545698715305</v>
      </c>
      <c r="S3311" s="75">
        <f>0.5*(Q3310+Q3311)*R3311</f>
        <v>0.036199209826959206</v>
      </c>
      <c r="T3311" s="75">
        <f>0.5*(F3310*Q3310+F3311*Q3311)*R3311</f>
        <v>0.5951375294891101</v>
      </c>
      <c r="U3311" s="76">
        <f>U3310+S3311</f>
        <v>29.087863596811708</v>
      </c>
      <c r="V3311" s="76">
        <f>V3310+T3311</f>
        <v>293.8330386101173</v>
      </c>
    </row>
    <row r="3312" spans="1:22" ht="19" customHeight="1">
      <c r="A3312" s="68" t="s">
        <v>378</v>
      </c>
      <c r="B3312" s="74">
        <v>5</v>
      </c>
      <c r="C3312" s="68" t="s">
        <v>363</v>
      </c>
      <c r="D3312" s="68" t="s">
        <v>364</v>
      </c>
      <c r="E3312" s="75">
        <f>60*F3312*'THAM_SO_MOI'!$C$53/(2*PI()*'THAM_SO_MOI'!$C$26)</f>
        <v>1620.9258372402771</v>
      </c>
      <c r="F3312" s="75">
        <f>'HANH_TRINH'!$F$3289+('THAM_SO_MOI'!$C$14-'HANH_TRINH'!$F$3289)*22/'THAM_SO_MOI'!$C$42</f>
        <v>16.45170454463957</v>
      </c>
      <c r="G3312" s="75">
        <f>3.6*F3312</f>
        <v>59.22613636070245</v>
      </c>
      <c r="H3312" s="75">
        <f>'THAM_SO_MOI'!$D$53</f>
        <v>1.1</v>
      </c>
      <c r="I3312" s="75">
        <f>IF(F3312&gt;'THAM_SO_MOI'!$C$14,'THAM_SO_MOI'!$C$13*(1+F3312^2/1500),'THAM_SO_MOI'!$C$13)</f>
        <v>0.015</v>
      </c>
      <c r="J3312" s="75">
        <f>'THAM_SO_MOI'!$C$40*('THAM_SO_MOI'!$C$23*(E3312/'THAM_SO_MOI'!$C$22)+'THAM_SO_MOI'!$C$24*(E3312/'THAM_SO_MOI'!$C$22)^2-'THAM_SO_MOI'!$C$25*(E3312/'THAM_SO_MOI'!$C$22)^3)</f>
        <v>70.5458350667906</v>
      </c>
      <c r="K3312" s="75">
        <f>'THAM_SO_MOI'!$C$31*J3312/E3312</f>
        <v>415.68231888342035</v>
      </c>
      <c r="L3312" s="75">
        <f>K3312*'THAM_SO_MOI'!$C$53*'THAM_SO_MOI'!$C$17/'THAM_SO_MOI'!$C$26</f>
        <v>3645.5355631594402</v>
      </c>
      <c r="M3312" s="75">
        <f>'THAM_SO_MOI'!$C$15*'THAM_SO_MOI'!$C$16*F3312^2</f>
        <v>791.6763535905343</v>
      </c>
      <c r="N3312" s="75">
        <f>'THAM_SO_MOI'!$C$12*I3312</f>
        <v>1130.112</v>
      </c>
      <c r="O3312" s="75">
        <f>M3312+N3312</f>
        <v>1921.7883535905344</v>
      </c>
      <c r="P3312" s="75">
        <f>(MIN(L3312,'THAM_SO_MOI'!$C$41)-O3312)/('THAM_SO_MOI'!$C$11*H3312)</f>
        <v>0.20404204658722844</v>
      </c>
      <c r="Q3312" s="75">
        <f>IF(P3312&gt;0,1/P3312,NA())</f>
        <v>4.900950645839056</v>
      </c>
      <c r="R3312" s="75">
        <f>F3312-F3311</f>
        <v>0.0073885545698715305</v>
      </c>
      <c r="S3312" s="75">
        <f>0.5*(Q3311+Q3312)*R3312</f>
        <v>0.03620702754470979</v>
      </c>
      <c r="T3312" s="75">
        <f>0.5*(F3311*Q3311+F3312*Q3312)*R3312</f>
        <v>0.5955335752642427</v>
      </c>
      <c r="U3312" s="76">
        <f>U3311+S3312</f>
        <v>29.124070624356417</v>
      </c>
      <c r="V3312" s="76">
        <f>V3311+T3312</f>
        <v>294.42857218538154</v>
      </c>
    </row>
    <row r="3313" spans="1:22" ht="19" customHeight="1">
      <c r="A3313" s="68" t="s">
        <v>378</v>
      </c>
      <c r="B3313" s="74">
        <v>5</v>
      </c>
      <c r="C3313" s="68" t="s">
        <v>363</v>
      </c>
      <c r="D3313" s="68" t="s">
        <v>364</v>
      </c>
      <c r="E3313" s="75">
        <f>60*F3313*'THAM_SO_MOI'!$C$53/(2*PI()*'THAM_SO_MOI'!$C$26)</f>
        <v>1621.6538043010562</v>
      </c>
      <c r="F3313" s="75">
        <f>'HANH_TRINH'!$F$3289+('THAM_SO_MOI'!$C$14-'HANH_TRINH'!$F$3289)*23/'THAM_SO_MOI'!$C$42</f>
        <v>16.45909309920944</v>
      </c>
      <c r="G3313" s="75">
        <f>3.6*F3313</f>
        <v>59.252735157153985</v>
      </c>
      <c r="H3313" s="75">
        <f>'THAM_SO_MOI'!$D$53</f>
        <v>1.1</v>
      </c>
      <c r="I3313" s="75">
        <f>IF(F3313&gt;'THAM_SO_MOI'!$C$14,'THAM_SO_MOI'!$C$13*(1+F3313^2/1500),'THAM_SO_MOI'!$C$13)</f>
        <v>0.015</v>
      </c>
      <c r="J3313" s="75">
        <f>'THAM_SO_MOI'!$C$40*('THAM_SO_MOI'!$C$23*(E3313/'THAM_SO_MOI'!$C$22)+'THAM_SO_MOI'!$C$24*(E3313/'THAM_SO_MOI'!$C$22)^2-'THAM_SO_MOI'!$C$25*(E3313/'THAM_SO_MOI'!$C$22)^3)</f>
        <v>70.5840572139773</v>
      </c>
      <c r="K3313" s="75">
        <f>'THAM_SO_MOI'!$C$31*J3313/E3313</f>
        <v>415.7208353977794</v>
      </c>
      <c r="L3313" s="75">
        <f>K3313*'THAM_SO_MOI'!$C$53*'THAM_SO_MOI'!$C$17/'THAM_SO_MOI'!$C$26</f>
        <v>3645.8733531410826</v>
      </c>
      <c r="M3313" s="75">
        <f>'THAM_SO_MOI'!$C$15*'THAM_SO_MOI'!$C$16*F3313^2</f>
        <v>792.3876060216982</v>
      </c>
      <c r="N3313" s="75">
        <f>'THAM_SO_MOI'!$C$12*I3313</f>
        <v>1130.112</v>
      </c>
      <c r="O3313" s="75">
        <f>M3313+N3313</f>
        <v>1922.4996060216981</v>
      </c>
      <c r="P3313" s="75">
        <f>(MIN(L3313,'THAM_SO_MOI'!$C$41)-O3313)/('THAM_SO_MOI'!$C$11*H3313)</f>
        <v>0.20399783938439683</v>
      </c>
      <c r="Q3313" s="75">
        <f>IF(P3313&gt;0,1/P3313,NA())</f>
        <v>4.902012702770257</v>
      </c>
      <c r="R3313" s="75">
        <f>F3313-F3312</f>
        <v>0.0073885545698715305</v>
      </c>
      <c r="S3313" s="75">
        <f>0.5*(Q3312+Q3313)*R3313</f>
        <v>0.03621486482382524</v>
      </c>
      <c r="T3313" s="75">
        <f>0.5*(F3312*Q3312+F3313*Q3313)*R3313</f>
        <v>0.595930058452747</v>
      </c>
      <c r="U3313" s="76">
        <f>U3312+S3313</f>
        <v>29.160285489180243</v>
      </c>
      <c r="V3313" s="76">
        <f>V3312+T3313</f>
        <v>295.02450224383426</v>
      </c>
    </row>
    <row r="3314" spans="1:22" ht="19" customHeight="1">
      <c r="A3314" s="68" t="s">
        <v>378</v>
      </c>
      <c r="B3314" s="74">
        <v>5</v>
      </c>
      <c r="C3314" s="68" t="s">
        <v>363</v>
      </c>
      <c r="D3314" s="68" t="s">
        <v>364</v>
      </c>
      <c r="E3314" s="75">
        <f>60*F3314*'THAM_SO_MOI'!$C$53/(2*PI()*'THAM_SO_MOI'!$C$26)</f>
        <v>1622.381771361835</v>
      </c>
      <c r="F3314" s="75">
        <f>'HANH_TRINH'!$F$3289+('THAM_SO_MOI'!$C$14-'HANH_TRINH'!$F$3289)*24/'THAM_SO_MOI'!$C$42</f>
        <v>16.46648165377931</v>
      </c>
      <c r="G3314" s="75">
        <f>3.6*F3314</f>
        <v>59.27933395360552</v>
      </c>
      <c r="H3314" s="75">
        <f>'THAM_SO_MOI'!$D$53</f>
        <v>1.1</v>
      </c>
      <c r="I3314" s="75">
        <f>IF(F3314&gt;'THAM_SO_MOI'!$C$14,'THAM_SO_MOI'!$C$13*(1+F3314^2/1500),'THAM_SO_MOI'!$C$13)</f>
        <v>0.015</v>
      </c>
      <c r="J3314" s="75">
        <f>'THAM_SO_MOI'!$C$40*('THAM_SO_MOI'!$C$23*(E3314/'THAM_SO_MOI'!$C$22)+'THAM_SO_MOI'!$C$24*(E3314/'THAM_SO_MOI'!$C$22)^2-'THAM_SO_MOI'!$C$25*(E3314/'THAM_SO_MOI'!$C$22)^3)</f>
        <v>70.6222764995134</v>
      </c>
      <c r="K3314" s="75">
        <f>'THAM_SO_MOI'!$C$31*J3314/E3314</f>
        <v>415.7593005004329</v>
      </c>
      <c r="L3314" s="75">
        <f>K3314*'THAM_SO_MOI'!$C$53*'THAM_SO_MOI'!$C$17/'THAM_SO_MOI'!$C$26</f>
        <v>3646.210692241867</v>
      </c>
      <c r="M3314" s="75">
        <f>'THAM_SO_MOI'!$C$15*'THAM_SO_MOI'!$C$16*F3314^2</f>
        <v>793.0991778086833</v>
      </c>
      <c r="N3314" s="75">
        <f>'THAM_SO_MOI'!$C$12*I3314</f>
        <v>1130.112</v>
      </c>
      <c r="O3314" s="75">
        <f>M3314+N3314</f>
        <v>1923.2111778086833</v>
      </c>
      <c r="P3314" s="75">
        <f>(MIN(L3314,'THAM_SO_MOI'!$C$41)-O3314)/('THAM_SO_MOI'!$C$11*H3314)</f>
        <v>0.20395354100771587</v>
      </c>
      <c r="Q3314" s="75">
        <f>IF(P3314&gt;0,1/P3314,NA())</f>
        <v>4.90307741193946</v>
      </c>
      <c r="R3314" s="75">
        <f>F3314-F3313</f>
        <v>0.0073885545698715305</v>
      </c>
      <c r="S3314" s="75">
        <f>0.5*(Q3313+Q3314)*R3314</f>
        <v>0.036222721687520325</v>
      </c>
      <c r="T3314" s="75">
        <f>0.5*(F3313*Q3313+F3314*Q3314)*R3314</f>
        <v>0.5963269798703936</v>
      </c>
      <c r="U3314" s="76">
        <f>U3313+S3314</f>
        <v>29.196508210867762</v>
      </c>
      <c r="V3314" s="76">
        <f>V3313+T3314</f>
        <v>295.6208292237047</v>
      </c>
    </row>
    <row r="3315" spans="1:22" ht="19" customHeight="1">
      <c r="A3315" s="68" t="s">
        <v>378</v>
      </c>
      <c r="B3315" s="74">
        <v>5</v>
      </c>
      <c r="C3315" s="68" t="s">
        <v>363</v>
      </c>
      <c r="D3315" s="68" t="s">
        <v>364</v>
      </c>
      <c r="E3315" s="75">
        <f>60*F3315*'THAM_SO_MOI'!$C$53/(2*PI()*'THAM_SO_MOI'!$C$26)</f>
        <v>1623.1097384226139</v>
      </c>
      <c r="F3315" s="75">
        <f>'HANH_TRINH'!$F$3289+('THAM_SO_MOI'!$C$14-'HANH_TRINH'!$F$3289)*25/'THAM_SO_MOI'!$C$42</f>
        <v>16.473870208349183</v>
      </c>
      <c r="G3315" s="75">
        <f>3.6*F3315</f>
        <v>59.30593275005706</v>
      </c>
      <c r="H3315" s="75">
        <f>'THAM_SO_MOI'!$D$53</f>
        <v>1.1</v>
      </c>
      <c r="I3315" s="75">
        <f>IF(F3315&gt;'THAM_SO_MOI'!$C$14,'THAM_SO_MOI'!$C$13*(1+F3315^2/1500),'THAM_SO_MOI'!$C$13)</f>
        <v>0.015</v>
      </c>
      <c r="J3315" s="75">
        <f>'THAM_SO_MOI'!$C$40*('THAM_SO_MOI'!$C$23*(E3315/'THAM_SO_MOI'!$C$22)+'THAM_SO_MOI'!$C$24*(E3315/'THAM_SO_MOI'!$C$22)^2-'THAM_SO_MOI'!$C$25*(E3315/'THAM_SO_MOI'!$C$22)^3)</f>
        <v>70.66049291164342</v>
      </c>
      <c r="K3315" s="75">
        <f>'THAM_SO_MOI'!$C$31*J3315/E3315</f>
        <v>415.79771419138103</v>
      </c>
      <c r="L3315" s="75">
        <f>K3315*'THAM_SO_MOI'!$C$53*'THAM_SO_MOI'!$C$17/'THAM_SO_MOI'!$C$26</f>
        <v>3646.5475804617936</v>
      </c>
      <c r="M3315" s="75">
        <f>'THAM_SO_MOI'!$C$15*'THAM_SO_MOI'!$C$16*F3315^2</f>
        <v>793.8110689514892</v>
      </c>
      <c r="N3315" s="75">
        <f>'THAM_SO_MOI'!$C$12*I3315</f>
        <v>1130.112</v>
      </c>
      <c r="O3315" s="75">
        <f>M3315+N3315</f>
        <v>1923.9230689514893</v>
      </c>
      <c r="P3315" s="75">
        <f>(MIN(L3315,'THAM_SO_MOI'!$C$41)-O3315)/('THAM_SO_MOI'!$C$11*H3315)</f>
        <v>0.20390915145718563</v>
      </c>
      <c r="Q3315" s="75">
        <f>IF(P3315&gt;0,1/P3315,NA())</f>
        <v>4.904144776503412</v>
      </c>
      <c r="R3315" s="75">
        <f>F3315-F3314</f>
        <v>0.0073885545698715305</v>
      </c>
      <c r="S3315" s="75">
        <f>0.5*(Q3314+Q3315)*R3315</f>
        <v>0.03623059815908253</v>
      </c>
      <c r="T3315" s="75">
        <f>0.5*(F3314*Q3314+F3315*Q3315)*R3315</f>
        <v>0.5967243403348367</v>
      </c>
      <c r="U3315" s="76">
        <f>U3314+S3315</f>
        <v>29.232738809026845</v>
      </c>
      <c r="V3315" s="76">
        <f>V3314+T3315</f>
        <v>296.2175535640395</v>
      </c>
    </row>
    <row r="3316" spans="1:22" ht="19" customHeight="1">
      <c r="A3316" s="68" t="s">
        <v>378</v>
      </c>
      <c r="B3316" s="74">
        <v>5</v>
      </c>
      <c r="C3316" s="68" t="s">
        <v>363</v>
      </c>
      <c r="D3316" s="68" t="s">
        <v>364</v>
      </c>
      <c r="E3316" s="75">
        <f>60*F3316*'THAM_SO_MOI'!$C$53/(2*PI()*'THAM_SO_MOI'!$C$26)</f>
        <v>1623.8377054833932</v>
      </c>
      <c r="F3316" s="75">
        <f>'HANH_TRINH'!$F$3289+('THAM_SO_MOI'!$C$14-'HANH_TRINH'!$F$3289)*26/'THAM_SO_MOI'!$C$42</f>
        <v>16.481258762919058</v>
      </c>
      <c r="G3316" s="75">
        <f>3.6*F3316</f>
        <v>59.33253154650861</v>
      </c>
      <c r="H3316" s="75">
        <f>'THAM_SO_MOI'!$D$53</f>
        <v>1.1</v>
      </c>
      <c r="I3316" s="75">
        <f>IF(F3316&gt;'THAM_SO_MOI'!$C$14,'THAM_SO_MOI'!$C$13*(1+F3316^2/1500),'THAM_SO_MOI'!$C$13)</f>
        <v>0.015</v>
      </c>
      <c r="J3316" s="75">
        <f>'THAM_SO_MOI'!$C$40*('THAM_SO_MOI'!$C$23*(E3316/'THAM_SO_MOI'!$C$22)+'THAM_SO_MOI'!$C$24*(E3316/'THAM_SO_MOI'!$C$22)^2-'THAM_SO_MOI'!$C$25*(E3316/'THAM_SO_MOI'!$C$22)^3)</f>
        <v>70.69870643861182</v>
      </c>
      <c r="K3316" s="75">
        <f>'THAM_SO_MOI'!$C$31*J3316/E3316</f>
        <v>415.8360764706237</v>
      </c>
      <c r="L3316" s="75">
        <f>K3316*'THAM_SO_MOI'!$C$53*'THAM_SO_MOI'!$C$17/'THAM_SO_MOI'!$C$26</f>
        <v>3646.8840178008627</v>
      </c>
      <c r="M3316" s="75">
        <f>'THAM_SO_MOI'!$C$15*'THAM_SO_MOI'!$C$16*F3316^2</f>
        <v>794.5232794501165</v>
      </c>
      <c r="N3316" s="75">
        <f>'THAM_SO_MOI'!$C$12*I3316</f>
        <v>1130.112</v>
      </c>
      <c r="O3316" s="75">
        <f>M3316+N3316</f>
        <v>1924.6352794501167</v>
      </c>
      <c r="P3316" s="75">
        <f>(MIN(L3316,'THAM_SO_MOI'!$C$41)-O3316)/('THAM_SO_MOI'!$C$11*H3316)</f>
        <v>0.2038646707328061</v>
      </c>
      <c r="Q3316" s="75">
        <f>IF(P3316&gt;0,1/P3316,NA())</f>
        <v>4.905214799628737</v>
      </c>
      <c r="R3316" s="75">
        <f>F3316-F3315</f>
        <v>0.007388554569875083</v>
      </c>
      <c r="S3316" s="75">
        <f>0.5*(Q3315+Q3316)*R3316</f>
        <v>0.03623849426188955</v>
      </c>
      <c r="T3316" s="75">
        <f>0.5*(F3315*Q3315+F3316*Q3316)*R3316</f>
        <v>0.5971221406659053</v>
      </c>
      <c r="U3316" s="76">
        <f>U3315+S3316</f>
        <v>29.268977303288736</v>
      </c>
      <c r="V3316" s="76">
        <f>V3315+T3316</f>
        <v>296.81467570470545</v>
      </c>
    </row>
    <row r="3317" spans="1:22" ht="19" customHeight="1">
      <c r="A3317" s="68" t="s">
        <v>378</v>
      </c>
      <c r="B3317" s="74">
        <v>5</v>
      </c>
      <c r="C3317" s="68" t="s">
        <v>363</v>
      </c>
      <c r="D3317" s="68" t="s">
        <v>364</v>
      </c>
      <c r="E3317" s="75">
        <f>60*F3317*'THAM_SO_MOI'!$C$53/(2*PI()*'THAM_SO_MOI'!$C$26)</f>
        <v>1624.5656725441722</v>
      </c>
      <c r="F3317" s="75">
        <f>'HANH_TRINH'!$F$3289+('THAM_SO_MOI'!$C$14-'HANH_TRINH'!$F$3289)*27/'THAM_SO_MOI'!$C$42</f>
        <v>16.48864731748893</v>
      </c>
      <c r="G3317" s="75">
        <f>3.6*F3317</f>
        <v>59.35913034296015</v>
      </c>
      <c r="H3317" s="75">
        <f>'THAM_SO_MOI'!$D$53</f>
        <v>1.1</v>
      </c>
      <c r="I3317" s="75">
        <f>IF(F3317&gt;'THAM_SO_MOI'!$C$14,'THAM_SO_MOI'!$C$13*(1+F3317^2/1500),'THAM_SO_MOI'!$C$13)</f>
        <v>0.015</v>
      </c>
      <c r="J3317" s="75">
        <f>'THAM_SO_MOI'!$C$40*('THAM_SO_MOI'!$C$23*(E3317/'THAM_SO_MOI'!$C$22)+'THAM_SO_MOI'!$C$24*(E3317/'THAM_SO_MOI'!$C$22)^2-'THAM_SO_MOI'!$C$25*(E3317/'THAM_SO_MOI'!$C$22)^3)</f>
        <v>70.7369170686631</v>
      </c>
      <c r="K3317" s="75">
        <f>'THAM_SO_MOI'!$C$31*J3317/E3317</f>
        <v>415.874387338161</v>
      </c>
      <c r="L3317" s="75">
        <f>K3317*'THAM_SO_MOI'!$C$53*'THAM_SO_MOI'!$C$17/'THAM_SO_MOI'!$C$26</f>
        <v>3647.220004259074</v>
      </c>
      <c r="M3317" s="75">
        <f>'THAM_SO_MOI'!$C$15*'THAM_SO_MOI'!$C$16*F3317^2</f>
        <v>795.2358093045646</v>
      </c>
      <c r="N3317" s="75">
        <f>'THAM_SO_MOI'!$C$12*I3317</f>
        <v>1130.112</v>
      </c>
      <c r="O3317" s="75">
        <f>M3317+N3317</f>
        <v>1925.3478093045646</v>
      </c>
      <c r="P3317" s="75">
        <f>(MIN(L3317,'THAM_SO_MOI'!$C$41)-O3317)/('THAM_SO_MOI'!$C$11*H3317)</f>
        <v>0.20382009883457733</v>
      </c>
      <c r="Q3317" s="75">
        <f>IF(P3317&gt;0,1/P3317,NA())</f>
        <v>4.906287484491955</v>
      </c>
      <c r="R3317" s="75">
        <f>F3317-F3316</f>
        <v>0.0073885545698715305</v>
      </c>
      <c r="S3317" s="75">
        <f>0.5*(Q3316+Q3317)*R3317</f>
        <v>0.03624641001932245</v>
      </c>
      <c r="T3317" s="75">
        <f>0.5*(F3316*Q3316+F3317*Q3317)*R3317</f>
        <v>0.5975203816841749</v>
      </c>
      <c r="U3317" s="76">
        <f>U3316+S3317</f>
        <v>29.30522371330806</v>
      </c>
      <c r="V3317" s="76">
        <f>V3316+T3317</f>
        <v>297.4121960863896</v>
      </c>
    </row>
    <row r="3318" spans="1:22" ht="19" customHeight="1">
      <c r="A3318" s="68" t="s">
        <v>378</v>
      </c>
      <c r="B3318" s="74">
        <v>5</v>
      </c>
      <c r="C3318" s="68" t="s">
        <v>363</v>
      </c>
      <c r="D3318" s="68" t="s">
        <v>364</v>
      </c>
      <c r="E3318" s="75">
        <f>60*F3318*'THAM_SO_MOI'!$C$53/(2*PI()*'THAM_SO_MOI'!$C$26)</f>
        <v>1625.293639604951</v>
      </c>
      <c r="F3318" s="75">
        <f>'HANH_TRINH'!$F$3289+('THAM_SO_MOI'!$C$14-'HANH_TRINH'!$F$3289)*28/'THAM_SO_MOI'!$C$42</f>
        <v>16.4960358720588</v>
      </c>
      <c r="G3318" s="75">
        <f>3.6*F3318</f>
        <v>59.38572913941169</v>
      </c>
      <c r="H3318" s="75">
        <f>'THAM_SO_MOI'!$D$53</f>
        <v>1.1</v>
      </c>
      <c r="I3318" s="75">
        <f>IF(F3318&gt;'THAM_SO_MOI'!$C$14,'THAM_SO_MOI'!$C$13*(1+F3318^2/1500),'THAM_SO_MOI'!$C$13)</f>
        <v>0.015</v>
      </c>
      <c r="J3318" s="75">
        <f>'THAM_SO_MOI'!$C$40*('THAM_SO_MOI'!$C$23*(E3318/'THAM_SO_MOI'!$C$22)+'THAM_SO_MOI'!$C$24*(E3318/'THAM_SO_MOI'!$C$22)^2-'THAM_SO_MOI'!$C$25*(E3318/'THAM_SO_MOI'!$C$22)^3)</f>
        <v>70.7751247900417</v>
      </c>
      <c r="K3318" s="75">
        <f>'THAM_SO_MOI'!$C$31*J3318/E3318</f>
        <v>415.9126467939927</v>
      </c>
      <c r="L3318" s="75">
        <f>K3318*'THAM_SO_MOI'!$C$53*'THAM_SO_MOI'!$C$17/'THAM_SO_MOI'!$C$26</f>
        <v>3647.555539836425</v>
      </c>
      <c r="M3318" s="75">
        <f>'THAM_SO_MOI'!$C$15*'THAM_SO_MOI'!$C$16*F3318^2</f>
        <v>795.9486585148336</v>
      </c>
      <c r="N3318" s="75">
        <f>'THAM_SO_MOI'!$C$12*I3318</f>
        <v>1130.112</v>
      </c>
      <c r="O3318" s="75">
        <f>M3318+N3318</f>
        <v>1926.0606585148337</v>
      </c>
      <c r="P3318" s="75">
        <f>(MIN(L3318,'THAM_SO_MOI'!$C$41)-O3318)/('THAM_SO_MOI'!$C$11*H3318)</f>
        <v>0.20377543576249899</v>
      </c>
      <c r="Q3318" s="75">
        <f>IF(P3318&gt;0,1/P3318,NA())</f>
        <v>4.907362834279514</v>
      </c>
      <c r="R3318" s="75">
        <f>F3318-F3317</f>
        <v>0.0073885545698715305</v>
      </c>
      <c r="S3318" s="75">
        <f>0.5*(Q3317+Q3318)*R3318</f>
        <v>0.03625434545494007</v>
      </c>
      <c r="T3318" s="75">
        <f>0.5*(F3317*Q3317+F3318*Q3318)*R3318</f>
        <v>0.5979190642138438</v>
      </c>
      <c r="U3318" s="76">
        <f>U3317+S3318</f>
        <v>29.341478058763</v>
      </c>
      <c r="V3318" s="76">
        <f>V3317+T3318</f>
        <v>298.01011515060344</v>
      </c>
    </row>
    <row r="3319" spans="1:22" ht="19" customHeight="1">
      <c r="A3319" s="68" t="s">
        <v>378</v>
      </c>
      <c r="B3319" s="74">
        <v>5</v>
      </c>
      <c r="C3319" s="68" t="s">
        <v>363</v>
      </c>
      <c r="D3319" s="68" t="s">
        <v>364</v>
      </c>
      <c r="E3319" s="75">
        <f>60*F3319*'THAM_SO_MOI'!$C$53/(2*PI()*'THAM_SO_MOI'!$C$26)</f>
        <v>1626.02160666573</v>
      </c>
      <c r="F3319" s="75">
        <f>'HANH_TRINH'!$F$3289+('THAM_SO_MOI'!$C$14-'HANH_TRINH'!$F$3289)*29/'THAM_SO_MOI'!$C$42</f>
        <v>16.503424426628673</v>
      </c>
      <c r="G3319" s="75">
        <f>3.6*F3319</f>
        <v>59.412327935863225</v>
      </c>
      <c r="H3319" s="75">
        <f>'THAM_SO_MOI'!$D$53</f>
        <v>1.1</v>
      </c>
      <c r="I3319" s="75">
        <f>IF(F3319&gt;'THAM_SO_MOI'!$C$14,'THAM_SO_MOI'!$C$13*(1+F3319^2/1500),'THAM_SO_MOI'!$C$13)</f>
        <v>0.015</v>
      </c>
      <c r="J3319" s="75">
        <f>'THAM_SO_MOI'!$C$40*('THAM_SO_MOI'!$C$23*(E3319/'THAM_SO_MOI'!$C$22)+'THAM_SO_MOI'!$C$24*(E3319/'THAM_SO_MOI'!$C$22)^2-'THAM_SO_MOI'!$C$25*(E3319/'THAM_SO_MOI'!$C$22)^3)</f>
        <v>70.8133295909922</v>
      </c>
      <c r="K3319" s="75">
        <f>'THAM_SO_MOI'!$C$31*J3319/E3319</f>
        <v>415.95085483811926</v>
      </c>
      <c r="L3319" s="75">
        <f>K3319*'THAM_SO_MOI'!$C$53*'THAM_SO_MOI'!$C$17/'THAM_SO_MOI'!$C$26</f>
        <v>3647.8906245329226</v>
      </c>
      <c r="M3319" s="75">
        <f>'THAM_SO_MOI'!$C$15*'THAM_SO_MOI'!$C$16*F3319^2</f>
        <v>796.6618270809236</v>
      </c>
      <c r="N3319" s="75">
        <f>'THAM_SO_MOI'!$C$12*I3319</f>
        <v>1130.112</v>
      </c>
      <c r="O3319" s="75">
        <f>M3319+N3319</f>
        <v>1926.7738270809236</v>
      </c>
      <c r="P3319" s="75">
        <f>(MIN(L3319,'THAM_SO_MOI'!$C$41)-O3319)/('THAM_SO_MOI'!$C$11*H3319)</f>
        <v>0.20373068151657184</v>
      </c>
      <c r="Q3319" s="75">
        <f>IF(P3319&gt;0,1/P3319,NA())</f>
        <v>4.908440852187785</v>
      </c>
      <c r="R3319" s="75">
        <f>F3319-F3318</f>
        <v>0.0073885545698715305</v>
      </c>
      <c r="S3319" s="75">
        <f>0.5*(Q3318+Q3319)*R3319</f>
        <v>0.03626230059230488</v>
      </c>
      <c r="T3319" s="75">
        <f>0.5*(F3318*Q3318+F3319*Q3319)*R3319</f>
        <v>0.5983181890798667</v>
      </c>
      <c r="U3319" s="76">
        <f>U3318+S3319</f>
        <v>29.377740359355304</v>
      </c>
      <c r="V3319" s="76">
        <f>V3318+T3319</f>
        <v>298.6084333396833</v>
      </c>
    </row>
    <row r="3320" spans="1:22" ht="19" customHeight="1">
      <c r="A3320" s="68" t="s">
        <v>378</v>
      </c>
      <c r="B3320" s="74">
        <v>5</v>
      </c>
      <c r="C3320" s="68" t="s">
        <v>363</v>
      </c>
      <c r="D3320" s="68" t="s">
        <v>364</v>
      </c>
      <c r="E3320" s="75">
        <f>60*F3320*'THAM_SO_MOI'!$C$53/(2*PI()*'THAM_SO_MOI'!$C$26)</f>
        <v>1626.7495737265087</v>
      </c>
      <c r="F3320" s="75">
        <f>'HANH_TRINH'!$F$3289+('THAM_SO_MOI'!$C$14-'HANH_TRINH'!$F$3289)*30/'THAM_SO_MOI'!$C$42</f>
        <v>16.510812981198544</v>
      </c>
      <c r="G3320" s="75">
        <f>3.6*F3320</f>
        <v>59.43892673231476</v>
      </c>
      <c r="H3320" s="75">
        <f>'THAM_SO_MOI'!$D$53</f>
        <v>1.1</v>
      </c>
      <c r="I3320" s="75">
        <f>IF(F3320&gt;'THAM_SO_MOI'!$C$14,'THAM_SO_MOI'!$C$13*(1+F3320^2/1500),'THAM_SO_MOI'!$C$13)</f>
        <v>0.015</v>
      </c>
      <c r="J3320" s="75">
        <f>'THAM_SO_MOI'!$C$40*('THAM_SO_MOI'!$C$23*(E3320/'THAM_SO_MOI'!$C$22)+'THAM_SO_MOI'!$C$24*(E3320/'THAM_SO_MOI'!$C$22)^2-'THAM_SO_MOI'!$C$25*(E3320/'THAM_SO_MOI'!$C$22)^3)</f>
        <v>70.85153145975896</v>
      </c>
      <c r="K3320" s="75">
        <f>'THAM_SO_MOI'!$C$31*J3320/E3320</f>
        <v>415.9890114705401</v>
      </c>
      <c r="L3320" s="75">
        <f>K3320*'THAM_SO_MOI'!$C$53*'THAM_SO_MOI'!$C$17/'THAM_SO_MOI'!$C$26</f>
        <v>3648.225258348559</v>
      </c>
      <c r="M3320" s="75">
        <f>'THAM_SO_MOI'!$C$15*'THAM_SO_MOI'!$C$16*F3320^2</f>
        <v>797.3753150028346</v>
      </c>
      <c r="N3320" s="75">
        <f>'THAM_SO_MOI'!$C$12*I3320</f>
        <v>1130.112</v>
      </c>
      <c r="O3320" s="75">
        <f>M3320+N3320</f>
        <v>1927.4873150028347</v>
      </c>
      <c r="P3320" s="75">
        <f>(MIN(L3320,'THAM_SO_MOI'!$C$41)-O3320)/('THAM_SO_MOI'!$C$11*H3320)</f>
        <v>0.203685836096795</v>
      </c>
      <c r="Q3320" s="75">
        <f>IF(P3320&gt;0,1/P3320,NA())</f>
        <v>4.90952154142315</v>
      </c>
      <c r="R3320" s="75">
        <f>F3320-F3319</f>
        <v>0.0073885545698715305</v>
      </c>
      <c r="S3320" s="75">
        <f>0.5*(Q3319+Q3320)*R3320</f>
        <v>0.036270275455070444</v>
      </c>
      <c r="T3320" s="75">
        <f>0.5*(F3319*Q3319+F3320*Q3320)*R3320</f>
        <v>0.598717757109398</v>
      </c>
      <c r="U3320" s="76">
        <f>U3319+S3320</f>
        <v>29.414010634810374</v>
      </c>
      <c r="V3320" s="76">
        <f>V3319+T3320</f>
        <v>299.2071510967927</v>
      </c>
    </row>
    <row r="3321" spans="1:22" ht="19" customHeight="1">
      <c r="A3321" s="68" t="s">
        <v>378</v>
      </c>
      <c r="B3321" s="74">
        <v>5</v>
      </c>
      <c r="C3321" s="68" t="s">
        <v>363</v>
      </c>
      <c r="D3321" s="68" t="s">
        <v>364</v>
      </c>
      <c r="E3321" s="75">
        <f>60*F3321*'THAM_SO_MOI'!$C$53/(2*PI()*'THAM_SO_MOI'!$C$26)</f>
        <v>1627.4775407872878</v>
      </c>
      <c r="F3321" s="75">
        <f>'HANH_TRINH'!$F$3289+('THAM_SO_MOI'!$C$14-'HANH_TRINH'!$F$3289)*31/'THAM_SO_MOI'!$C$42</f>
        <v>16.518201535768416</v>
      </c>
      <c r="G3321" s="75">
        <f>3.6*F3321</f>
        <v>59.4655255287663</v>
      </c>
      <c r="H3321" s="75">
        <f>'THAM_SO_MOI'!$D$53</f>
        <v>1.1</v>
      </c>
      <c r="I3321" s="75">
        <f>IF(F3321&gt;'THAM_SO_MOI'!$C$14,'THAM_SO_MOI'!$C$13*(1+F3321^2/1500),'THAM_SO_MOI'!$C$13)</f>
        <v>0.015</v>
      </c>
      <c r="J3321" s="75">
        <f>'THAM_SO_MOI'!$C$40*('THAM_SO_MOI'!$C$23*(E3321/'THAM_SO_MOI'!$C$22)+'THAM_SO_MOI'!$C$24*(E3321/'THAM_SO_MOI'!$C$22)^2-'THAM_SO_MOI'!$C$25*(E3321/'THAM_SO_MOI'!$C$22)^3)</f>
        <v>70.88973038458658</v>
      </c>
      <c r="K3321" s="75">
        <f>'THAM_SO_MOI'!$C$31*J3321/E3321</f>
        <v>416.02711669125574</v>
      </c>
      <c r="L3321" s="75">
        <f>K3321*'THAM_SO_MOI'!$C$53*'THAM_SO_MOI'!$C$17/'THAM_SO_MOI'!$C$26</f>
        <v>3648.5594412833393</v>
      </c>
      <c r="M3321" s="75">
        <f>'THAM_SO_MOI'!$C$15*'THAM_SO_MOI'!$C$16*F3321^2</f>
        <v>798.0891222805665</v>
      </c>
      <c r="N3321" s="75">
        <f>'THAM_SO_MOI'!$C$12*I3321</f>
        <v>1130.112</v>
      </c>
      <c r="O3321" s="75">
        <f>M3321+N3321</f>
        <v>1928.2011222805666</v>
      </c>
      <c r="P3321" s="75">
        <f>(MIN(L3321,'THAM_SO_MOI'!$C$41)-O3321)/('THAM_SO_MOI'!$C$11*H3321)</f>
        <v>0.20364089950316916</v>
      </c>
      <c r="Q3321" s="75">
        <f>IF(P3321&gt;0,1/P3321,NA())</f>
        <v>4.910604905201951</v>
      </c>
      <c r="R3321" s="75">
        <f>F3321-F3320</f>
        <v>0.0073885545698715305</v>
      </c>
      <c r="S3321" s="75">
        <f>0.5*(Q3320+Q3321)*R3321</f>
        <v>0.036278270066964075</v>
      </c>
      <c r="T3321" s="75">
        <f>0.5*(F3320*Q3320+F3321*Q3321)*R3321</f>
        <v>0.5991177691315095</v>
      </c>
      <c r="U3321" s="76">
        <f>U3320+S3321</f>
        <v>29.45028890487734</v>
      </c>
      <c r="V3321" s="76">
        <f>V3320+T3321</f>
        <v>299.8062688659242</v>
      </c>
    </row>
    <row r="3322" spans="1:22" ht="19" customHeight="1">
      <c r="A3322" s="68" t="s">
        <v>378</v>
      </c>
      <c r="B3322" s="74">
        <v>5</v>
      </c>
      <c r="C3322" s="68" t="s">
        <v>363</v>
      </c>
      <c r="D3322" s="68" t="s">
        <v>364</v>
      </c>
      <c r="E3322" s="75">
        <f>60*F3322*'THAM_SO_MOI'!$C$53/(2*PI()*'THAM_SO_MOI'!$C$26)</f>
        <v>1628.2055078480666</v>
      </c>
      <c r="F3322" s="75">
        <f>'HANH_TRINH'!$F$3289+('THAM_SO_MOI'!$C$14-'HANH_TRINH'!$F$3289)*32/'THAM_SO_MOI'!$C$42</f>
        <v>16.525590090338287</v>
      </c>
      <c r="G3322" s="75">
        <f>3.6*F3322</f>
        <v>59.49212432521784</v>
      </c>
      <c r="H3322" s="75">
        <f>'THAM_SO_MOI'!$D$53</f>
        <v>1.1</v>
      </c>
      <c r="I3322" s="75">
        <f>IF(F3322&gt;'THAM_SO_MOI'!$C$14,'THAM_SO_MOI'!$C$13*(1+F3322^2/1500),'THAM_SO_MOI'!$C$13)</f>
        <v>0.015</v>
      </c>
      <c r="J3322" s="75">
        <f>'THAM_SO_MOI'!$C$40*('THAM_SO_MOI'!$C$23*(E3322/'THAM_SO_MOI'!$C$22)+'THAM_SO_MOI'!$C$24*(E3322/'THAM_SO_MOI'!$C$22)^2-'THAM_SO_MOI'!$C$25*(E3322/'THAM_SO_MOI'!$C$22)^3)</f>
        <v>70.92792635371949</v>
      </c>
      <c r="K3322" s="75">
        <f>'THAM_SO_MOI'!$C$31*J3322/E3322</f>
        <v>416.0651705002659</v>
      </c>
      <c r="L3322" s="75">
        <f>K3322*'THAM_SO_MOI'!$C$53*'THAM_SO_MOI'!$C$17/'THAM_SO_MOI'!$C$26</f>
        <v>3648.8931733372615</v>
      </c>
      <c r="M3322" s="75">
        <f>'THAM_SO_MOI'!$C$15*'THAM_SO_MOI'!$C$16*F3322^2</f>
        <v>798.8032489141195</v>
      </c>
      <c r="N3322" s="75">
        <f>'THAM_SO_MOI'!$C$12*I3322</f>
        <v>1130.112</v>
      </c>
      <c r="O3322" s="75">
        <f>M3322+N3322</f>
        <v>1928.9152489141197</v>
      </c>
      <c r="P3322" s="75">
        <f>(MIN(L3322,'THAM_SO_MOI'!$C$41)-O3322)/('THAM_SO_MOI'!$C$11*H3322)</f>
        <v>0.20359587173569385</v>
      </c>
      <c r="Q3322" s="75">
        <f>IF(P3322&gt;0,1/P3322,NA())</f>
        <v>4.911690946750581</v>
      </c>
      <c r="R3322" s="75">
        <f>F3322-F3321</f>
        <v>0.0073885545698715305</v>
      </c>
      <c r="S3322" s="75">
        <f>0.5*(Q3321+Q3322)*R3322</f>
        <v>0.036286284451787026</v>
      </c>
      <c r="T3322" s="75">
        <f>0.5*(F3321*Q3321+F3322*Q3322)*R3322</f>
        <v>0.5995182259771956</v>
      </c>
      <c r="U3322" s="76">
        <f>U3321+S3322</f>
        <v>29.486575189329127</v>
      </c>
      <c r="V3322" s="76">
        <f>V3321+T3322</f>
        <v>300.4057870919014</v>
      </c>
    </row>
    <row r="3323" spans="1:22" ht="19" customHeight="1">
      <c r="A3323" s="68" t="s">
        <v>378</v>
      </c>
      <c r="B3323" s="74">
        <v>5</v>
      </c>
      <c r="C3323" s="68" t="s">
        <v>363</v>
      </c>
      <c r="D3323" s="68" t="s">
        <v>364</v>
      </c>
      <c r="E3323" s="75">
        <f>60*F3323*'THAM_SO_MOI'!$C$53/(2*PI()*'THAM_SO_MOI'!$C$26)</f>
        <v>1628.9334749088462</v>
      </c>
      <c r="F3323" s="75">
        <f>'HANH_TRINH'!$F$3289+('THAM_SO_MOI'!$C$14-'HANH_TRINH'!$F$3289)*33/'THAM_SO_MOI'!$C$42</f>
        <v>16.532978644908162</v>
      </c>
      <c r="G3323" s="75">
        <f>3.6*F3323</f>
        <v>59.51872312166939</v>
      </c>
      <c r="H3323" s="75">
        <f>'THAM_SO_MOI'!$D$53</f>
        <v>1.1</v>
      </c>
      <c r="I3323" s="75">
        <f>IF(F3323&gt;'THAM_SO_MOI'!$C$14,'THAM_SO_MOI'!$C$13*(1+F3323^2/1500),'THAM_SO_MOI'!$C$13)</f>
        <v>0.015</v>
      </c>
      <c r="J3323" s="75">
        <f>'THAM_SO_MOI'!$C$40*('THAM_SO_MOI'!$C$23*(E3323/'THAM_SO_MOI'!$C$22)+'THAM_SO_MOI'!$C$24*(E3323/'THAM_SO_MOI'!$C$22)^2-'THAM_SO_MOI'!$C$25*(E3323/'THAM_SO_MOI'!$C$22)^3)</f>
        <v>70.96611935540218</v>
      </c>
      <c r="K3323" s="75">
        <f>'THAM_SO_MOI'!$C$31*J3323/E3323</f>
        <v>416.1031728975706</v>
      </c>
      <c r="L3323" s="75">
        <f>K3323*'THAM_SO_MOI'!$C$53*'THAM_SO_MOI'!$C$17/'THAM_SO_MOI'!$C$26</f>
        <v>3649.2264545103258</v>
      </c>
      <c r="M3323" s="75">
        <f>'THAM_SO_MOI'!$C$15*'THAM_SO_MOI'!$C$16*F3323^2</f>
        <v>799.5176949034939</v>
      </c>
      <c r="N3323" s="75">
        <f>'THAM_SO_MOI'!$C$12*I3323</f>
        <v>1130.112</v>
      </c>
      <c r="O3323" s="75">
        <f>M3323+N3323</f>
        <v>1929.629694903494</v>
      </c>
      <c r="P3323" s="75">
        <f>(MIN(L3323,'THAM_SO_MOI'!$C$41)-O3323)/('THAM_SO_MOI'!$C$11*H3323)</f>
        <v>0.2035507527943693</v>
      </c>
      <c r="Q3323" s="75">
        <f>IF(P3323&gt;0,1/P3323,NA())</f>
        <v>4.912779669305465</v>
      </c>
      <c r="R3323" s="75">
        <f>F3323-F3322</f>
        <v>0.007388554569875083</v>
      </c>
      <c r="S3323" s="75">
        <f>0.5*(Q3322+Q3323)*R3323</f>
        <v>0.03629431863343219</v>
      </c>
      <c r="T3323" s="75">
        <f>0.5*(F3322*Q3322+F3323*Q3323)*R3323</f>
        <v>0.5999191284796691</v>
      </c>
      <c r="U3323" s="76">
        <f>U3322+S3323</f>
        <v>29.522869507962557</v>
      </c>
      <c r="V3323" s="76">
        <f>V3322+T3323</f>
        <v>301.00570622038106</v>
      </c>
    </row>
    <row r="3324" spans="1:22" ht="19" customHeight="1">
      <c r="A3324" s="68" t="s">
        <v>378</v>
      </c>
      <c r="B3324" s="74">
        <v>5</v>
      </c>
      <c r="C3324" s="68" t="s">
        <v>363</v>
      </c>
      <c r="D3324" s="68" t="s">
        <v>364</v>
      </c>
      <c r="E3324" s="75">
        <f>60*F3324*'THAM_SO_MOI'!$C$53/(2*PI()*'THAM_SO_MOI'!$C$26)</f>
        <v>1629.661441969625</v>
      </c>
      <c r="F3324" s="75">
        <f>'HANH_TRINH'!$F$3289+('THAM_SO_MOI'!$C$14-'HANH_TRINH'!$F$3289)*34/'THAM_SO_MOI'!$C$42</f>
        <v>16.540367199478034</v>
      </c>
      <c r="G3324" s="75">
        <f>3.6*F3324</f>
        <v>59.545321918120926</v>
      </c>
      <c r="H3324" s="75">
        <f>'THAM_SO_MOI'!$D$53</f>
        <v>1.1</v>
      </c>
      <c r="I3324" s="75">
        <f>IF(F3324&gt;'THAM_SO_MOI'!$C$14,'THAM_SO_MOI'!$C$13*(1+F3324^2/1500),'THAM_SO_MOI'!$C$13)</f>
        <v>0.015</v>
      </c>
      <c r="J3324" s="75">
        <f>'THAM_SO_MOI'!$C$40*('THAM_SO_MOI'!$C$23*(E3324/'THAM_SO_MOI'!$C$22)+'THAM_SO_MOI'!$C$24*(E3324/'THAM_SO_MOI'!$C$22)^2-'THAM_SO_MOI'!$C$25*(E3324/'THAM_SO_MOI'!$C$22)^3)</f>
        <v>71.0043093778791</v>
      </c>
      <c r="K3324" s="75">
        <f>'THAM_SO_MOI'!$C$31*J3324/E3324</f>
        <v>416.1411238831697</v>
      </c>
      <c r="L3324" s="75">
        <f>K3324*'THAM_SO_MOI'!$C$53*'THAM_SO_MOI'!$C$17/'THAM_SO_MOI'!$C$26</f>
        <v>3649.5592848025312</v>
      </c>
      <c r="M3324" s="75">
        <f>'THAM_SO_MOI'!$C$15*'THAM_SO_MOI'!$C$16*F3324^2</f>
        <v>800.2324602486888</v>
      </c>
      <c r="N3324" s="75">
        <f>'THAM_SO_MOI'!$C$12*I3324</f>
        <v>1130.112</v>
      </c>
      <c r="O3324" s="75">
        <f>M3324+N3324</f>
        <v>1930.3444602486888</v>
      </c>
      <c r="P3324" s="75">
        <f>(MIN(L3324,'THAM_SO_MOI'!$C$41)-O3324)/('THAM_SO_MOI'!$C$11*H3324)</f>
        <v>0.20350554267919535</v>
      </c>
      <c r="Q3324" s="75">
        <f>IF(P3324&gt;0,1/P3324,NA())</f>
        <v>4.91387107611311</v>
      </c>
      <c r="R3324" s="75">
        <f>F3324-F3323</f>
        <v>0.0073885545698715305</v>
      </c>
      <c r="S3324" s="75">
        <f>0.5*(Q3323+Q3324)*R3324</f>
        <v>0.03630237263579695</v>
      </c>
      <c r="T3324" s="75">
        <f>0.5*(F3323*Q3323+F3324*Q3324)*R3324</f>
        <v>0.6003204774729229</v>
      </c>
      <c r="U3324" s="76">
        <f>U3323+S3324</f>
        <v>29.559171880598356</v>
      </c>
      <c r="V3324" s="76">
        <f>V3323+T3324</f>
        <v>301.60602669785396</v>
      </c>
    </row>
    <row r="3325" spans="1:22" ht="19" customHeight="1">
      <c r="A3325" s="68" t="s">
        <v>378</v>
      </c>
      <c r="B3325" s="74">
        <v>5</v>
      </c>
      <c r="C3325" s="68" t="s">
        <v>363</v>
      </c>
      <c r="D3325" s="68" t="s">
        <v>364</v>
      </c>
      <c r="E3325" s="75">
        <f>60*F3325*'THAM_SO_MOI'!$C$53/(2*PI()*'THAM_SO_MOI'!$C$26)</f>
        <v>1630.3894090304038</v>
      </c>
      <c r="F3325" s="75">
        <f>'HANH_TRINH'!$F$3289+('THAM_SO_MOI'!$C$14-'HANH_TRINH'!$F$3289)*35/'THAM_SO_MOI'!$C$42</f>
        <v>16.547755754047905</v>
      </c>
      <c r="G3325" s="75">
        <f>3.6*F3325</f>
        <v>59.571920714572464</v>
      </c>
      <c r="H3325" s="75">
        <f>'THAM_SO_MOI'!$D$53</f>
        <v>1.1</v>
      </c>
      <c r="I3325" s="75">
        <f>IF(F3325&gt;'THAM_SO_MOI'!$C$14,'THAM_SO_MOI'!$C$13*(1+F3325^2/1500),'THAM_SO_MOI'!$C$13)</f>
        <v>0.015</v>
      </c>
      <c r="J3325" s="75">
        <f>'THAM_SO_MOI'!$C$40*('THAM_SO_MOI'!$C$23*(E3325/'THAM_SO_MOI'!$C$22)+'THAM_SO_MOI'!$C$24*(E3325/'THAM_SO_MOI'!$C$22)^2-'THAM_SO_MOI'!$C$25*(E3325/'THAM_SO_MOI'!$C$22)^3)</f>
        <v>71.0424964093948</v>
      </c>
      <c r="K3325" s="75">
        <f>'THAM_SO_MOI'!$C$31*J3325/E3325</f>
        <v>416.17902345706364</v>
      </c>
      <c r="L3325" s="75">
        <f>K3325*'THAM_SO_MOI'!$C$53*'THAM_SO_MOI'!$C$17/'THAM_SO_MOI'!$C$26</f>
        <v>3649.8916642138815</v>
      </c>
      <c r="M3325" s="75">
        <f>'THAM_SO_MOI'!$C$15*'THAM_SO_MOI'!$C$16*F3325^2</f>
        <v>800.9475449497048</v>
      </c>
      <c r="N3325" s="75">
        <f>'THAM_SO_MOI'!$C$12*I3325</f>
        <v>1130.112</v>
      </c>
      <c r="O3325" s="75">
        <f>M3325+N3325</f>
        <v>1931.059544949705</v>
      </c>
      <c r="P3325" s="75">
        <f>(MIN(L3325,'THAM_SO_MOI'!$C$41)-O3325)/('THAM_SO_MOI'!$C$11*H3325)</f>
        <v>0.2034602413901724</v>
      </c>
      <c r="Q3325" s="75">
        <f>IF(P3325&gt;0,1/P3325,NA())</f>
        <v>4.91496517043011</v>
      </c>
      <c r="R3325" s="75">
        <f>F3325-F3324</f>
        <v>0.0073885545698715305</v>
      </c>
      <c r="S3325" s="75">
        <f>0.5*(Q3324+Q3325)*R3325</f>
        <v>0.03631044648295792</v>
      </c>
      <c r="T3325" s="75">
        <f>0.5*(F3324*Q3324+F3325*Q3325)*R3325</f>
        <v>0.6007222737946218</v>
      </c>
      <c r="U3325" s="76">
        <f>U3324+S3325</f>
        <v>29.595482327081314</v>
      </c>
      <c r="V3325" s="76">
        <f>V3324+T3325</f>
        <v>302.2067489716486</v>
      </c>
    </row>
    <row r="3326" spans="1:22" ht="19" customHeight="1">
      <c r="A3326" s="68" t="s">
        <v>378</v>
      </c>
      <c r="B3326" s="74">
        <v>5</v>
      </c>
      <c r="C3326" s="68" t="s">
        <v>363</v>
      </c>
      <c r="D3326" s="68" t="s">
        <v>364</v>
      </c>
      <c r="E3326" s="75">
        <f>60*F3326*'THAM_SO_MOI'!$C$53/(2*PI()*'THAM_SO_MOI'!$C$26)</f>
        <v>1631.1173760911827</v>
      </c>
      <c r="F3326" s="75">
        <f>'HANH_TRINH'!$F$3289+('THAM_SO_MOI'!$C$14-'HANH_TRINH'!$F$3289)*36/'THAM_SO_MOI'!$C$42</f>
        <v>16.555144308617777</v>
      </c>
      <c r="G3326" s="75">
        <f>3.6*F3326</f>
        <v>59.598519511024</v>
      </c>
      <c r="H3326" s="75">
        <f>'THAM_SO_MOI'!$D$53</f>
        <v>1.1</v>
      </c>
      <c r="I3326" s="75">
        <f>IF(F3326&gt;'THAM_SO_MOI'!$C$14,'THAM_SO_MOI'!$C$13*(1+F3326^2/1500),'THAM_SO_MOI'!$C$13)</f>
        <v>0.015</v>
      </c>
      <c r="J3326" s="75">
        <f>'THAM_SO_MOI'!$C$40*('THAM_SO_MOI'!$C$23*(E3326/'THAM_SO_MOI'!$C$22)+'THAM_SO_MOI'!$C$24*(E3326/'THAM_SO_MOI'!$C$22)^2-'THAM_SO_MOI'!$C$25*(E3326/'THAM_SO_MOI'!$C$22)^3)</f>
        <v>71.08068043819371</v>
      </c>
      <c r="K3326" s="75">
        <f>'THAM_SO_MOI'!$C$31*J3326/E3326</f>
        <v>416.21687161925195</v>
      </c>
      <c r="L3326" s="75">
        <f>K3326*'THAM_SO_MOI'!$C$53*'THAM_SO_MOI'!$C$17/'THAM_SO_MOI'!$C$26</f>
        <v>3650.2235927443717</v>
      </c>
      <c r="M3326" s="75">
        <f>'THAM_SO_MOI'!$C$15*'THAM_SO_MOI'!$C$16*F3326^2</f>
        <v>801.6629490065418</v>
      </c>
      <c r="N3326" s="75">
        <f>'THAM_SO_MOI'!$C$12*I3326</f>
        <v>1130.112</v>
      </c>
      <c r="O3326" s="75">
        <f>M3326+N3326</f>
        <v>1931.7749490065419</v>
      </c>
      <c r="P3326" s="75">
        <f>(MIN(L3326,'THAM_SO_MOI'!$C$41)-O3326)/('THAM_SO_MOI'!$C$11*H3326)</f>
        <v>0.20341484892729997</v>
      </c>
      <c r="Q3326" s="75">
        <f>IF(P3326&gt;0,1/P3326,NA())</f>
        <v>4.916061955523207</v>
      </c>
      <c r="R3326" s="75">
        <f>F3326-F3325</f>
        <v>0.0073885545698715305</v>
      </c>
      <c r="S3326" s="75">
        <f>0.5*(Q3325+Q3326)*R3326</f>
        <v>0.03631854019899668</v>
      </c>
      <c r="T3326" s="75">
        <f>0.5*(F3325*Q3325+F3326*Q3326)*R3326</f>
        <v>0.6011245182832237</v>
      </c>
      <c r="U3326" s="76">
        <f>U3325+S3326</f>
        <v>29.63180086728031</v>
      </c>
      <c r="V3326" s="76">
        <f>V3325+T3326</f>
        <v>302.8078734899318</v>
      </c>
    </row>
    <row r="3327" spans="1:22" ht="19" customHeight="1">
      <c r="A3327" s="68" t="s">
        <v>378</v>
      </c>
      <c r="B3327" s="74">
        <v>5</v>
      </c>
      <c r="C3327" s="68" t="s">
        <v>363</v>
      </c>
      <c r="D3327" s="68" t="s">
        <v>364</v>
      </c>
      <c r="E3327" s="75">
        <f>60*F3327*'THAM_SO_MOI'!$C$53/(2*PI()*'THAM_SO_MOI'!$C$26)</f>
        <v>1631.8453431519617</v>
      </c>
      <c r="F3327" s="75">
        <f>'HANH_TRINH'!$F$3289+('THAM_SO_MOI'!$C$14-'HANH_TRINH'!$F$3289)*37/'THAM_SO_MOI'!$C$42</f>
        <v>16.56253286318765</v>
      </c>
      <c r="G3327" s="75">
        <f>3.6*F3327</f>
        <v>59.62511830747554</v>
      </c>
      <c r="H3327" s="75">
        <f>'THAM_SO_MOI'!$D$53</f>
        <v>1.1</v>
      </c>
      <c r="I3327" s="75">
        <f>IF(F3327&gt;'THAM_SO_MOI'!$C$14,'THAM_SO_MOI'!$C$13*(1+F3327^2/1500),'THAM_SO_MOI'!$C$13)</f>
        <v>0.015</v>
      </c>
      <c r="J3327" s="75">
        <f>'THAM_SO_MOI'!$C$40*('THAM_SO_MOI'!$C$23*(E3327/'THAM_SO_MOI'!$C$22)+'THAM_SO_MOI'!$C$24*(E3327/'THAM_SO_MOI'!$C$22)^2-'THAM_SO_MOI'!$C$25*(E3327/'THAM_SO_MOI'!$C$22)^3)</f>
        <v>71.11886145252035</v>
      </c>
      <c r="K3327" s="75">
        <f>'THAM_SO_MOI'!$C$31*J3327/E3327</f>
        <v>416.2546683697348</v>
      </c>
      <c r="L3327" s="75">
        <f>K3327*'THAM_SO_MOI'!$C$53*'THAM_SO_MOI'!$C$17/'THAM_SO_MOI'!$C$26</f>
        <v>3650.5550703940035</v>
      </c>
      <c r="M3327" s="75">
        <f>'THAM_SO_MOI'!$C$15*'THAM_SO_MOI'!$C$16*F3327^2</f>
        <v>802.3786724191998</v>
      </c>
      <c r="N3327" s="75">
        <f>'THAM_SO_MOI'!$C$12*I3327</f>
        <v>1130.112</v>
      </c>
      <c r="O3327" s="75">
        <f>M3327+N3327</f>
        <v>1932.4906724191999</v>
      </c>
      <c r="P3327" s="75">
        <f>(MIN(L3327,'THAM_SO_MOI'!$C$41)-O3327)/('THAM_SO_MOI'!$C$11*H3327)</f>
        <v>0.2033693652905781</v>
      </c>
      <c r="Q3327" s="75">
        <f>IF(P3327&gt;0,1/P3327,NA())</f>
        <v>4.91716143466928</v>
      </c>
      <c r="R3327" s="75">
        <f>F3327-F3326</f>
        <v>0.0073885545698715305</v>
      </c>
      <c r="S3327" s="75">
        <f>0.5*(Q3326+Q3327)*R3327</f>
        <v>0.03632665380808716</v>
      </c>
      <c r="T3327" s="75">
        <f>0.5*(F3326*Q3326+F3327*Q3327)*R3327</f>
        <v>0.6015272117794281</v>
      </c>
      <c r="U3327" s="76">
        <f>U3326+S3327</f>
        <v>29.668127521088397</v>
      </c>
      <c r="V3327" s="76">
        <f>V3326+T3327</f>
        <v>303.40940070171126</v>
      </c>
    </row>
    <row r="3328" spans="1:22" ht="19" customHeight="1">
      <c r="A3328" s="68" t="s">
        <v>378</v>
      </c>
      <c r="B3328" s="74">
        <v>5</v>
      </c>
      <c r="C3328" s="68" t="s">
        <v>363</v>
      </c>
      <c r="D3328" s="68" t="s">
        <v>364</v>
      </c>
      <c r="E3328" s="75">
        <f>60*F3328*'THAM_SO_MOI'!$C$53/(2*PI()*'THAM_SO_MOI'!$C$26)</f>
        <v>1632.5733102127406</v>
      </c>
      <c r="F3328" s="75">
        <f>'HANH_TRINH'!$F$3289+('THAM_SO_MOI'!$C$14-'HANH_TRINH'!$F$3289)*38/'THAM_SO_MOI'!$C$42</f>
        <v>16.56992141775752</v>
      </c>
      <c r="G3328" s="75">
        <f>3.6*F3328</f>
        <v>59.651717103927076</v>
      </c>
      <c r="H3328" s="75">
        <f>'THAM_SO_MOI'!$D$53</f>
        <v>1.1</v>
      </c>
      <c r="I3328" s="75">
        <f>IF(F3328&gt;'THAM_SO_MOI'!$C$14,'THAM_SO_MOI'!$C$13*(1+F3328^2/1500),'THAM_SO_MOI'!$C$13)</f>
        <v>0.015</v>
      </c>
      <c r="J3328" s="75">
        <f>'THAM_SO_MOI'!$C$40*('THAM_SO_MOI'!$C$23*(E3328/'THAM_SO_MOI'!$C$22)+'THAM_SO_MOI'!$C$24*(E3328/'THAM_SO_MOI'!$C$22)^2-'THAM_SO_MOI'!$C$25*(E3328/'THAM_SO_MOI'!$C$22)^3)</f>
        <v>71.15703944061919</v>
      </c>
      <c r="K3328" s="75">
        <f>'THAM_SO_MOI'!$C$31*J3328/E3328</f>
        <v>416.29241370851236</v>
      </c>
      <c r="L3328" s="75">
        <f>K3328*'THAM_SO_MOI'!$C$53*'THAM_SO_MOI'!$C$17/'THAM_SO_MOI'!$C$26</f>
        <v>3650.8860971627787</v>
      </c>
      <c r="M3328" s="75">
        <f>'THAM_SO_MOI'!$C$15*'THAM_SO_MOI'!$C$16*F3328^2</f>
        <v>803.0947151876787</v>
      </c>
      <c r="N3328" s="75">
        <f>'THAM_SO_MOI'!$C$12*I3328</f>
        <v>1130.112</v>
      </c>
      <c r="O3328" s="75">
        <f>M3328+N3328</f>
        <v>1933.2067151876788</v>
      </c>
      <c r="P3328" s="75">
        <f>(MIN(L3328,'THAM_SO_MOI'!$C$41)-O3328)/('THAM_SO_MOI'!$C$11*H3328)</f>
        <v>0.20332379048000712</v>
      </c>
      <c r="Q3328" s="75">
        <f>IF(P3328&gt;0,1/P3328,NA())</f>
        <v>4.918263611155382</v>
      </c>
      <c r="R3328" s="75">
        <f>F3328-F3327</f>
        <v>0.0073885545698715305</v>
      </c>
      <c r="S3328" s="75">
        <f>0.5*(Q3327+Q3328)*R3328</f>
        <v>0.036334787334478355</v>
      </c>
      <c r="T3328" s="75">
        <f>0.5*(F3327*Q3327+F3328*Q3328)*R3328</f>
        <v>0.601930355125892</v>
      </c>
      <c r="U3328" s="76">
        <f>U3327+S3328</f>
        <v>29.704462308422876</v>
      </c>
      <c r="V3328" s="76">
        <f>V3327+T3328</f>
        <v>304.01133105683715</v>
      </c>
    </row>
    <row r="3329" spans="1:22" ht="19" customHeight="1">
      <c r="A3329" s="68" t="s">
        <v>378</v>
      </c>
      <c r="B3329" s="74">
        <v>5</v>
      </c>
      <c r="C3329" s="68" t="s">
        <v>363</v>
      </c>
      <c r="D3329" s="68" t="s">
        <v>364</v>
      </c>
      <c r="E3329" s="75">
        <f>60*F3329*'THAM_SO_MOI'!$C$53/(2*PI()*'THAM_SO_MOI'!$C$26)</f>
        <v>1633.3012772735196</v>
      </c>
      <c r="F3329" s="75">
        <f>'HANH_TRINH'!$F$3289+('THAM_SO_MOI'!$C$14-'HANH_TRINH'!$F$3289)*39/'THAM_SO_MOI'!$C$42</f>
        <v>16.57730997232739</v>
      </c>
      <c r="G3329" s="75">
        <f>3.6*F3329</f>
        <v>59.678315900378614</v>
      </c>
      <c r="H3329" s="75">
        <f>'THAM_SO_MOI'!$D$53</f>
        <v>1.1</v>
      </c>
      <c r="I3329" s="75">
        <f>IF(F3329&gt;'THAM_SO_MOI'!$C$14,'THAM_SO_MOI'!$C$13*(1+F3329^2/1500),'THAM_SO_MOI'!$C$13)</f>
        <v>0.015</v>
      </c>
      <c r="J3329" s="75">
        <f>'THAM_SO_MOI'!$C$40*('THAM_SO_MOI'!$C$23*(E3329/'THAM_SO_MOI'!$C$22)+'THAM_SO_MOI'!$C$24*(E3329/'THAM_SO_MOI'!$C$22)^2-'THAM_SO_MOI'!$C$25*(E3329/'THAM_SO_MOI'!$C$22)^3)</f>
        <v>71.19521439073472</v>
      </c>
      <c r="K3329" s="75">
        <f>'THAM_SO_MOI'!$C$31*J3329/E3329</f>
        <v>416.3301076355845</v>
      </c>
      <c r="L3329" s="75">
        <f>K3329*'THAM_SO_MOI'!$C$53*'THAM_SO_MOI'!$C$17/'THAM_SO_MOI'!$C$26</f>
        <v>3651.2166730506965</v>
      </c>
      <c r="M3329" s="75">
        <f>'THAM_SO_MOI'!$C$15*'THAM_SO_MOI'!$C$16*F3329^2</f>
        <v>803.8110773119787</v>
      </c>
      <c r="N3329" s="75">
        <f>'THAM_SO_MOI'!$C$12*I3329</f>
        <v>1130.112</v>
      </c>
      <c r="O3329" s="75">
        <f>M3329+N3329</f>
        <v>1933.923077311979</v>
      </c>
      <c r="P3329" s="75">
        <f>(MIN(L3329,'THAM_SO_MOI'!$C$41)-O3329)/('THAM_SO_MOI'!$C$11*H3329)</f>
        <v>0.20327812449558683</v>
      </c>
      <c r="Q3329" s="75">
        <f>IF(P3329&gt;0,1/P3329,NA())</f>
        <v>4.919368488278777</v>
      </c>
      <c r="R3329" s="75">
        <f>F3329-F3328</f>
        <v>0.0073885545698715305</v>
      </c>
      <c r="S3329" s="75">
        <f>0.5*(Q3328+Q3329)*R3329</f>
        <v>0.03634294080249456</v>
      </c>
      <c r="T3329" s="75">
        <f>0.5*(F3328*Q3328+F3329*Q3329)*R3329</f>
        <v>0.6023339491672373</v>
      </c>
      <c r="U3329" s="76">
        <f>U3328+S3329</f>
        <v>29.74080524922537</v>
      </c>
      <c r="V3329" s="76">
        <f>V3328+T3329</f>
        <v>304.6136650060044</v>
      </c>
    </row>
    <row r="3330" spans="1:22" ht="19" customHeight="1">
      <c r="A3330" s="68" t="s">
        <v>378</v>
      </c>
      <c r="B3330" s="74">
        <v>5</v>
      </c>
      <c r="C3330" s="68" t="s">
        <v>363</v>
      </c>
      <c r="D3330" s="68" t="s">
        <v>364</v>
      </c>
      <c r="E3330" s="75">
        <f>60*F3330*'THAM_SO_MOI'!$C$53/(2*PI()*'THAM_SO_MOI'!$C$26)</f>
        <v>1634.0292443342985</v>
      </c>
      <c r="F3330" s="75">
        <f>'HANH_TRINH'!$F$3289+('THAM_SO_MOI'!$C$14-'HANH_TRINH'!$F$3289)*40/'THAM_SO_MOI'!$C$42</f>
        <v>16.584698526897263</v>
      </c>
      <c r="G3330" s="75">
        <f>3.6*F3330</f>
        <v>59.70491469683015</v>
      </c>
      <c r="H3330" s="75">
        <f>'THAM_SO_MOI'!$D$53</f>
        <v>1.1</v>
      </c>
      <c r="I3330" s="75">
        <f>IF(F3330&gt;'THAM_SO_MOI'!$C$14,'THAM_SO_MOI'!$C$13*(1+F3330^2/1500),'THAM_SO_MOI'!$C$13)</f>
        <v>0.015</v>
      </c>
      <c r="J3330" s="75">
        <f>'THAM_SO_MOI'!$C$40*('THAM_SO_MOI'!$C$23*(E3330/'THAM_SO_MOI'!$C$22)+'THAM_SO_MOI'!$C$24*(E3330/'THAM_SO_MOI'!$C$22)^2-'THAM_SO_MOI'!$C$25*(E3330/'THAM_SO_MOI'!$C$22)^3)</f>
        <v>71.23338629111143</v>
      </c>
      <c r="K3330" s="75">
        <f>'THAM_SO_MOI'!$C$31*J3330/E3330</f>
        <v>416.3677501509512</v>
      </c>
      <c r="L3330" s="75">
        <f>K3330*'THAM_SO_MOI'!$C$53*'THAM_SO_MOI'!$C$17/'THAM_SO_MOI'!$C$26</f>
        <v>3651.546798057757</v>
      </c>
      <c r="M3330" s="75">
        <f>'THAM_SO_MOI'!$C$15*'THAM_SO_MOI'!$C$16*F3330^2</f>
        <v>804.5277587920997</v>
      </c>
      <c r="N3330" s="75">
        <f>'THAM_SO_MOI'!$C$12*I3330</f>
        <v>1130.112</v>
      </c>
      <c r="O3330" s="75">
        <f>M3330+N3330</f>
        <v>1934.6397587920997</v>
      </c>
      <c r="P3330" s="75">
        <f>(MIN(L3330,'THAM_SO_MOI'!$C$41)-O3330)/('THAM_SO_MOI'!$C$11*H3330)</f>
        <v>0.20323236733731737</v>
      </c>
      <c r="Q3330" s="75">
        <f>IF(P3330&gt;0,1/P3330,NA())</f>
        <v>4.920476069346956</v>
      </c>
      <c r="R3330" s="75">
        <f>F3330-F3329</f>
        <v>0.0073885545698715305</v>
      </c>
      <c r="S3330" s="75">
        <f>0.5*(Q3329+Q3330)*R3330</f>
        <v>0.03635111423653555</v>
      </c>
      <c r="T3330" s="75">
        <f>0.5*(F3329*Q3329+F3330*Q3330)*R3330</f>
        <v>0.6027379947500564</v>
      </c>
      <c r="U3330" s="76">
        <f>U3329+S3330</f>
        <v>29.777156363461906</v>
      </c>
      <c r="V3330" s="76">
        <f>V3329+T3330</f>
        <v>305.21640300075444</v>
      </c>
    </row>
    <row r="3331" spans="1:22" ht="19" customHeight="1">
      <c r="A3331" s="68" t="s">
        <v>378</v>
      </c>
      <c r="B3331" s="74">
        <v>5</v>
      </c>
      <c r="C3331" s="68" t="s">
        <v>363</v>
      </c>
      <c r="D3331" s="68" t="s">
        <v>364</v>
      </c>
      <c r="E3331" s="75">
        <f>60*F3331*'THAM_SO_MOI'!$C$53/(2*PI()*'THAM_SO_MOI'!$C$26)</f>
        <v>1634.7572113950778</v>
      </c>
      <c r="F3331" s="75">
        <f>'HANH_TRINH'!$F$3289+('THAM_SO_MOI'!$C$14-'HANH_TRINH'!$F$3289)*41/'THAM_SO_MOI'!$C$42</f>
        <v>16.592087081467138</v>
      </c>
      <c r="G3331" s="75">
        <f>3.6*F3331</f>
        <v>59.731513493281696</v>
      </c>
      <c r="H3331" s="75">
        <f>'THAM_SO_MOI'!$D$53</f>
        <v>1.1</v>
      </c>
      <c r="I3331" s="75">
        <f>IF(F3331&gt;'THAM_SO_MOI'!$C$14,'THAM_SO_MOI'!$C$13*(1+F3331^2/1500),'THAM_SO_MOI'!$C$13)</f>
        <v>0.015</v>
      </c>
      <c r="J3331" s="75">
        <f>'THAM_SO_MOI'!$C$40*('THAM_SO_MOI'!$C$23*(E3331/'THAM_SO_MOI'!$C$22)+'THAM_SO_MOI'!$C$24*(E3331/'THAM_SO_MOI'!$C$22)^2-'THAM_SO_MOI'!$C$25*(E3331/'THAM_SO_MOI'!$C$22)^3)</f>
        <v>71.27155512999379</v>
      </c>
      <c r="K3331" s="75">
        <f>'THAM_SO_MOI'!$C$31*J3331/E3331</f>
        <v>416.4053412546123</v>
      </c>
      <c r="L3331" s="75">
        <f>K3331*'THAM_SO_MOI'!$C$53*'THAM_SO_MOI'!$C$17/'THAM_SO_MOI'!$C$26</f>
        <v>3651.8764721839575</v>
      </c>
      <c r="M3331" s="75">
        <f>'THAM_SO_MOI'!$C$15*'THAM_SO_MOI'!$C$16*F3331^2</f>
        <v>805.244759628042</v>
      </c>
      <c r="N3331" s="75">
        <f>'THAM_SO_MOI'!$C$12*I3331</f>
        <v>1130.112</v>
      </c>
      <c r="O3331" s="75">
        <f>M3331+N3331</f>
        <v>1935.356759628042</v>
      </c>
      <c r="P3331" s="75">
        <f>(MIN(L3331,'THAM_SO_MOI'!$C$41)-O3331)/('THAM_SO_MOI'!$C$11*H3331)</f>
        <v>0.2031865190051983</v>
      </c>
      <c r="Q3331" s="75">
        <f>IF(P3331&gt;0,1/P3331,NA())</f>
        <v>4.921586357677677</v>
      </c>
      <c r="R3331" s="75">
        <f>F3331-F3330</f>
        <v>0.007388554569875083</v>
      </c>
      <c r="S3331" s="75">
        <f>0.5*(Q3330+Q3331)*R3331</f>
        <v>0.03635930766109435</v>
      </c>
      <c r="T3331" s="75">
        <f>0.5*(F3330*Q3330+F3331*Q3331)*R3331</f>
        <v>0.6031424927232094</v>
      </c>
      <c r="U3331" s="76">
        <f>U3330+S3331</f>
        <v>29.813515671123</v>
      </c>
      <c r="V3331" s="76">
        <f>V3330+T3331</f>
        <v>305.8195454934777</v>
      </c>
    </row>
    <row r="3332" spans="1:22" ht="19" customHeight="1">
      <c r="A3332" s="68" t="s">
        <v>378</v>
      </c>
      <c r="B3332" s="74">
        <v>5</v>
      </c>
      <c r="C3332" s="68" t="s">
        <v>363</v>
      </c>
      <c r="D3332" s="68" t="s">
        <v>364</v>
      </c>
      <c r="E3332" s="75">
        <f>60*F3332*'THAM_SO_MOI'!$C$53/(2*PI()*'THAM_SO_MOI'!$C$26)</f>
        <v>1635.4851784558566</v>
      </c>
      <c r="F3332" s="75">
        <f>'HANH_TRINH'!$F$3289+('THAM_SO_MOI'!$C$14-'HANH_TRINH'!$F$3289)*42/'THAM_SO_MOI'!$C$42</f>
        <v>16.59947563603701</v>
      </c>
      <c r="G3332" s="75">
        <f>3.6*F3332</f>
        <v>59.75811228973323</v>
      </c>
      <c r="H3332" s="75">
        <f>'THAM_SO_MOI'!$D$53</f>
        <v>1.1</v>
      </c>
      <c r="I3332" s="75">
        <f>IF(F3332&gt;'THAM_SO_MOI'!$C$14,'THAM_SO_MOI'!$C$13*(1+F3332^2/1500),'THAM_SO_MOI'!$C$13)</f>
        <v>0.015</v>
      </c>
      <c r="J3332" s="75">
        <f>'THAM_SO_MOI'!$C$40*('THAM_SO_MOI'!$C$23*(E3332/'THAM_SO_MOI'!$C$22)+'THAM_SO_MOI'!$C$24*(E3332/'THAM_SO_MOI'!$C$22)^2-'THAM_SO_MOI'!$C$25*(E3332/'THAM_SO_MOI'!$C$22)^3)</f>
        <v>71.3097208956263</v>
      </c>
      <c r="K3332" s="75">
        <f>'THAM_SO_MOI'!$C$31*J3332/E3332</f>
        <v>416.44288094656827</v>
      </c>
      <c r="L3332" s="75">
        <f>K3332*'THAM_SO_MOI'!$C$53*'THAM_SO_MOI'!$C$17/'THAM_SO_MOI'!$C$26</f>
        <v>3652.2056954293025</v>
      </c>
      <c r="M3332" s="75">
        <f>'THAM_SO_MOI'!$C$15*'THAM_SO_MOI'!$C$16*F3332^2</f>
        <v>805.962079819805</v>
      </c>
      <c r="N3332" s="75">
        <f>'THAM_SO_MOI'!$C$12*I3332</f>
        <v>1130.112</v>
      </c>
      <c r="O3332" s="75">
        <f>M3332+N3332</f>
        <v>1936.074079819805</v>
      </c>
      <c r="P3332" s="75">
        <f>(MIN(L3332,'THAM_SO_MOI'!$C$41)-O3332)/('THAM_SO_MOI'!$C$11*H3332)</f>
        <v>0.20314057949923026</v>
      </c>
      <c r="Q3332" s="75">
        <f>IF(P3332&gt;0,1/P3332,NA())</f>
        <v>4.922699356598956</v>
      </c>
      <c r="R3332" s="75">
        <f>F3332-F3331</f>
        <v>0.0073885545698715305</v>
      </c>
      <c r="S3332" s="75">
        <f>0.5*(Q3331+Q3332)*R3332</f>
        <v>0.03636752110066982</v>
      </c>
      <c r="T3332" s="75">
        <f>0.5*(F3331*Q3331+F3332*Q3332)*R3332</f>
        <v>0.6035474439363773</v>
      </c>
      <c r="U3332" s="76">
        <f>U3331+S3332</f>
        <v>29.84988319222367</v>
      </c>
      <c r="V3332" s="76">
        <f>V3331+T3332</f>
        <v>306.423092937414</v>
      </c>
    </row>
    <row r="3333" spans="1:22" ht="19" customHeight="1">
      <c r="A3333" s="68" t="s">
        <v>378</v>
      </c>
      <c r="B3333" s="74">
        <v>5</v>
      </c>
      <c r="C3333" s="68" t="s">
        <v>363</v>
      </c>
      <c r="D3333" s="68" t="s">
        <v>364</v>
      </c>
      <c r="E3333" s="75">
        <f>60*F3333*'THAM_SO_MOI'!$C$53/(2*PI()*'THAM_SO_MOI'!$C$26)</f>
        <v>1636.2131455166357</v>
      </c>
      <c r="F3333" s="75">
        <f>'HANH_TRINH'!$F$3289+('THAM_SO_MOI'!$C$14-'HANH_TRINH'!$F$3289)*43/'THAM_SO_MOI'!$C$42</f>
        <v>16.60686419060688</v>
      </c>
      <c r="G3333" s="75">
        <f>3.6*F3333</f>
        <v>59.78471108618477</v>
      </c>
      <c r="H3333" s="75">
        <f>'THAM_SO_MOI'!$D$53</f>
        <v>1.1</v>
      </c>
      <c r="I3333" s="75">
        <f>IF(F3333&gt;'THAM_SO_MOI'!$C$14,'THAM_SO_MOI'!$C$13*(1+F3333^2/1500),'THAM_SO_MOI'!$C$13)</f>
        <v>0.015</v>
      </c>
      <c r="J3333" s="75">
        <f>'THAM_SO_MOI'!$C$40*('THAM_SO_MOI'!$C$23*(E3333/'THAM_SO_MOI'!$C$22)+'THAM_SO_MOI'!$C$24*(E3333/'THAM_SO_MOI'!$C$22)^2-'THAM_SO_MOI'!$C$25*(E3333/'THAM_SO_MOI'!$C$22)^3)</f>
        <v>71.34788357625342</v>
      </c>
      <c r="K3333" s="75">
        <f>'THAM_SO_MOI'!$C$31*J3333/E3333</f>
        <v>416.48036922681865</v>
      </c>
      <c r="L3333" s="75">
        <f>K3333*'THAM_SO_MOI'!$C$53*'THAM_SO_MOI'!$C$17/'THAM_SO_MOI'!$C$26</f>
        <v>3652.534467793789</v>
      </c>
      <c r="M3333" s="75">
        <f>'THAM_SO_MOI'!$C$15*'THAM_SO_MOI'!$C$16*F3333^2</f>
        <v>806.6797193673889</v>
      </c>
      <c r="N3333" s="75">
        <f>'THAM_SO_MOI'!$C$12*I3333</f>
        <v>1130.112</v>
      </c>
      <c r="O3333" s="75">
        <f>M3333+N3333</f>
        <v>1936.7917193673889</v>
      </c>
      <c r="P3333" s="75">
        <f>(MIN(L3333,'THAM_SO_MOI'!$C$41)-O3333)/('THAM_SO_MOI'!$C$11*H3333)</f>
        <v>0.2030945488194129</v>
      </c>
      <c r="Q3333" s="75">
        <f>IF(P3333&gt;0,1/P3333,NA())</f>
        <v>4.923815069449144</v>
      </c>
      <c r="R3333" s="75">
        <f>F3333-F3332</f>
        <v>0.0073885545698715305</v>
      </c>
      <c r="S3333" s="75">
        <f>0.5*(Q3332+Q3333)*R3333</f>
        <v>0.03637575457994181</v>
      </c>
      <c r="T3333" s="75">
        <f>0.5*(F3332*Q3332+F3333*Q3333)*R3333</f>
        <v>0.6039528492429701</v>
      </c>
      <c r="U3333" s="76">
        <f>U3332+S3333</f>
        <v>29.88625894680361</v>
      </c>
      <c r="V3333" s="76">
        <f>V3332+T3333</f>
        <v>307.02704578665697</v>
      </c>
    </row>
    <row r="3334" spans="1:22" ht="19" customHeight="1">
      <c r="A3334" s="68" t="s">
        <v>378</v>
      </c>
      <c r="B3334" s="74">
        <v>5</v>
      </c>
      <c r="C3334" s="68" t="s">
        <v>363</v>
      </c>
      <c r="D3334" s="68" t="s">
        <v>364</v>
      </c>
      <c r="E3334" s="75">
        <f>60*F3334*'THAM_SO_MOI'!$C$53/(2*PI()*'THAM_SO_MOI'!$C$26)</f>
        <v>1636.9411125774145</v>
      </c>
      <c r="F3334" s="75">
        <f>'HANH_TRINH'!$F$3289+('THAM_SO_MOI'!$C$14-'HANH_TRINH'!$F$3289)*44/'THAM_SO_MOI'!$C$42</f>
        <v>16.614252745176753</v>
      </c>
      <c r="G3334" s="75">
        <f>3.6*F3334</f>
        <v>59.81130988263631</v>
      </c>
      <c r="H3334" s="75">
        <f>'THAM_SO_MOI'!$D$53</f>
        <v>1.1</v>
      </c>
      <c r="I3334" s="75">
        <f>IF(F3334&gt;'THAM_SO_MOI'!$C$14,'THAM_SO_MOI'!$C$13*(1+F3334^2/1500),'THAM_SO_MOI'!$C$13)</f>
        <v>0.015</v>
      </c>
      <c r="J3334" s="75">
        <f>'THAM_SO_MOI'!$C$40*('THAM_SO_MOI'!$C$23*(E3334/'THAM_SO_MOI'!$C$22)+'THAM_SO_MOI'!$C$24*(E3334/'THAM_SO_MOI'!$C$22)^2-'THAM_SO_MOI'!$C$25*(E3334/'THAM_SO_MOI'!$C$22)^3)</f>
        <v>71.38604316011966</v>
      </c>
      <c r="K3334" s="75">
        <f>'THAM_SO_MOI'!$C$31*J3334/E3334</f>
        <v>416.5178060953636</v>
      </c>
      <c r="L3334" s="75">
        <f>K3334*'THAM_SO_MOI'!$C$53*'THAM_SO_MOI'!$C$17/'THAM_SO_MOI'!$C$26</f>
        <v>3652.8627892774175</v>
      </c>
      <c r="M3334" s="75">
        <f>'THAM_SO_MOI'!$C$15*'THAM_SO_MOI'!$C$16*F3334^2</f>
        <v>807.3976782707939</v>
      </c>
      <c r="N3334" s="75">
        <f>'THAM_SO_MOI'!$C$12*I3334</f>
        <v>1130.112</v>
      </c>
      <c r="O3334" s="75">
        <f>M3334+N3334</f>
        <v>1937.509678270794</v>
      </c>
      <c r="P3334" s="75">
        <f>(MIN(L3334,'THAM_SO_MOI'!$C$41)-O3334)/('THAM_SO_MOI'!$C$11*H3334)</f>
        <v>0.20304842696574613</v>
      </c>
      <c r="Q3334" s="75">
        <f>IF(P3334&gt;0,1/P3334,NA())</f>
        <v>4.924933499576916</v>
      </c>
      <c r="R3334" s="75">
        <f>F3334-F3333</f>
        <v>0.0073885545698715305</v>
      </c>
      <c r="S3334" s="75">
        <f>0.5*(Q3333+Q3334)*R3334</f>
        <v>0.0363840081235966</v>
      </c>
      <c r="T3334" s="75">
        <f>0.5*(F3333*Q3333+F3334*Q3334)*R3334</f>
        <v>0.6043587094972337</v>
      </c>
      <c r="U3334" s="76">
        <f>U3333+S3334</f>
        <v>29.92264295492721</v>
      </c>
      <c r="V3334" s="76">
        <f>V3333+T3334</f>
        <v>307.6314044961542</v>
      </c>
    </row>
    <row r="3335" spans="1:22" ht="19" customHeight="1">
      <c r="A3335" s="68" t="s">
        <v>378</v>
      </c>
      <c r="B3335" s="74">
        <v>5</v>
      </c>
      <c r="C3335" s="68" t="s">
        <v>363</v>
      </c>
      <c r="D3335" s="68" t="s">
        <v>364</v>
      </c>
      <c r="E3335" s="75">
        <f>60*F3335*'THAM_SO_MOI'!$C$53/(2*PI()*'THAM_SO_MOI'!$C$26)</f>
        <v>1637.6690796381936</v>
      </c>
      <c r="F3335" s="75">
        <f>'HANH_TRINH'!$F$3289+('THAM_SO_MOI'!$C$14-'HANH_TRINH'!$F$3289)*45/'THAM_SO_MOI'!$C$42</f>
        <v>16.621641299746624</v>
      </c>
      <c r="G3335" s="75">
        <f>3.6*F3335</f>
        <v>59.837908679087846</v>
      </c>
      <c r="H3335" s="75">
        <f>'THAM_SO_MOI'!$D$53</f>
        <v>1.1</v>
      </c>
      <c r="I3335" s="75">
        <f>IF(F3335&gt;'THAM_SO_MOI'!$C$14,'THAM_SO_MOI'!$C$13*(1+F3335^2/1500),'THAM_SO_MOI'!$C$13)</f>
        <v>0.015</v>
      </c>
      <c r="J3335" s="75">
        <f>'THAM_SO_MOI'!$C$40*('THAM_SO_MOI'!$C$23*(E3335/'THAM_SO_MOI'!$C$22)+'THAM_SO_MOI'!$C$24*(E3335/'THAM_SO_MOI'!$C$22)^2-'THAM_SO_MOI'!$C$25*(E3335/'THAM_SO_MOI'!$C$22)^3)</f>
        <v>71.42419963546948</v>
      </c>
      <c r="K3335" s="75">
        <f>'THAM_SO_MOI'!$C$31*J3335/E3335</f>
        <v>416.55519155220315</v>
      </c>
      <c r="L3335" s="75">
        <f>K3335*'THAM_SO_MOI'!$C$53*'THAM_SO_MOI'!$C$17/'THAM_SO_MOI'!$C$26</f>
        <v>3653.190659880189</v>
      </c>
      <c r="M3335" s="75">
        <f>'THAM_SO_MOI'!$C$15*'THAM_SO_MOI'!$C$16*F3335^2</f>
        <v>808.1159565300197</v>
      </c>
      <c r="N3335" s="75">
        <f>'THAM_SO_MOI'!$C$12*I3335</f>
        <v>1130.112</v>
      </c>
      <c r="O3335" s="75">
        <f>M3335+N3335</f>
        <v>1938.2279565300198</v>
      </c>
      <c r="P3335" s="75">
        <f>(MIN(L3335,'THAM_SO_MOI'!$C$41)-O3335)/('THAM_SO_MOI'!$C$11*H3335)</f>
        <v>0.20300221393823026</v>
      </c>
      <c r="Q3335" s="75">
        <f>IF(P3335&gt;0,1/P3335,NA())</f>
        <v>4.926054650341307</v>
      </c>
      <c r="R3335" s="75">
        <f>F3335-F3334</f>
        <v>0.0073885545698715305</v>
      </c>
      <c r="S3335" s="75">
        <f>0.5*(Q3334+Q3335)*R3335</f>
        <v>0.03639228175641429</v>
      </c>
      <c r="T3335" s="75">
        <f>0.5*(F3334*Q3334+F3335*Q3335)*R3335</f>
        <v>0.6047650255557038</v>
      </c>
      <c r="U3335" s="76">
        <f>U3334+S3335</f>
        <v>29.959035236683622</v>
      </c>
      <c r="V3335" s="76">
        <f>V3334+T3335</f>
        <v>308.2361695217099</v>
      </c>
    </row>
    <row r="3336" spans="1:22" ht="19" customHeight="1">
      <c r="A3336" s="68" t="s">
        <v>378</v>
      </c>
      <c r="B3336" s="74">
        <v>5</v>
      </c>
      <c r="C3336" s="68" t="s">
        <v>363</v>
      </c>
      <c r="D3336" s="68" t="s">
        <v>364</v>
      </c>
      <c r="E3336" s="75">
        <f>60*F3336*'THAM_SO_MOI'!$C$53/(2*PI()*'THAM_SO_MOI'!$C$26)</f>
        <v>1638.3970466989724</v>
      </c>
      <c r="F3336" s="75">
        <f>'HANH_TRINH'!$F$3289+('THAM_SO_MOI'!$C$14-'HANH_TRINH'!$F$3289)*46/'THAM_SO_MOI'!$C$42</f>
        <v>16.629029854316496</v>
      </c>
      <c r="G3336" s="75">
        <f>3.6*F3336</f>
        <v>59.864507475539384</v>
      </c>
      <c r="H3336" s="75">
        <f>'THAM_SO_MOI'!$D$53</f>
        <v>1.1</v>
      </c>
      <c r="I3336" s="75">
        <f>IF(F3336&gt;'THAM_SO_MOI'!$C$14,'THAM_SO_MOI'!$C$13*(1+F3336^2/1500),'THAM_SO_MOI'!$C$13)</f>
        <v>0.015</v>
      </c>
      <c r="J3336" s="75">
        <f>'THAM_SO_MOI'!$C$40*('THAM_SO_MOI'!$C$23*(E3336/'THAM_SO_MOI'!$C$22)+'THAM_SO_MOI'!$C$24*(E3336/'THAM_SO_MOI'!$C$22)^2-'THAM_SO_MOI'!$C$25*(E3336/'THAM_SO_MOI'!$C$22)^3)</f>
        <v>71.46235299054739</v>
      </c>
      <c r="K3336" s="75">
        <f>'THAM_SO_MOI'!$C$31*J3336/E3336</f>
        <v>416.59252559733727</v>
      </c>
      <c r="L3336" s="75">
        <f>K3336*'THAM_SO_MOI'!$C$53*'THAM_SO_MOI'!$C$17/'THAM_SO_MOI'!$C$26</f>
        <v>3653.518079602102</v>
      </c>
      <c r="M3336" s="75">
        <f>'THAM_SO_MOI'!$C$15*'THAM_SO_MOI'!$C$16*F3336^2</f>
        <v>808.8345541450668</v>
      </c>
      <c r="N3336" s="75">
        <f>'THAM_SO_MOI'!$C$12*I3336</f>
        <v>1130.112</v>
      </c>
      <c r="O3336" s="75">
        <f>M3336+N3336</f>
        <v>1938.9465541450668</v>
      </c>
      <c r="P3336" s="75">
        <f>(MIN(L3336,'THAM_SO_MOI'!$C$41)-O3336)/('THAM_SO_MOI'!$C$11*H3336)</f>
        <v>0.20295590973686495</v>
      </c>
      <c r="Q3336" s="75">
        <f>IF(P3336&gt;0,1/P3336,NA())</f>
        <v>4.927178525111752</v>
      </c>
      <c r="R3336" s="75">
        <f>F3336-F3335</f>
        <v>0.0073885545698715305</v>
      </c>
      <c r="S3336" s="75">
        <f>0.5*(Q3335+Q3336)*R3336</f>
        <v>0.036400575503251736</v>
      </c>
      <c r="T3336" s="75">
        <f>0.5*(F3335*Q3335+F3336*Q3336)*R3336</f>
        <v>0.605171798276923</v>
      </c>
      <c r="U3336" s="76">
        <f>U3335+S3336</f>
        <v>29.995435812186873</v>
      </c>
      <c r="V3336" s="76">
        <f>V3335+T3336</f>
        <v>308.8413413199868</v>
      </c>
    </row>
    <row r="3337" spans="1:22" ht="19" customHeight="1">
      <c r="A3337" s="68" t="s">
        <v>378</v>
      </c>
      <c r="B3337" s="74">
        <v>5</v>
      </c>
      <c r="C3337" s="68" t="s">
        <v>363</v>
      </c>
      <c r="D3337" s="68" t="s">
        <v>364</v>
      </c>
      <c r="E3337" s="75">
        <f>60*F3337*'THAM_SO_MOI'!$C$53/(2*PI()*'THAM_SO_MOI'!$C$26)</f>
        <v>1639.1250137597513</v>
      </c>
      <c r="F3337" s="75">
        <f>'HANH_TRINH'!$F$3289+('THAM_SO_MOI'!$C$14-'HANH_TRINH'!$F$3289)*47/'THAM_SO_MOI'!$C$42</f>
        <v>16.636418408886367</v>
      </c>
      <c r="G3337" s="75">
        <f>3.6*F3337</f>
        <v>59.89110627199092</v>
      </c>
      <c r="H3337" s="75">
        <f>'THAM_SO_MOI'!$D$53</f>
        <v>1.1</v>
      </c>
      <c r="I3337" s="75">
        <f>IF(F3337&gt;'THAM_SO_MOI'!$C$14,'THAM_SO_MOI'!$C$13*(1+F3337^2/1500),'THAM_SO_MOI'!$C$13)</f>
        <v>0.015</v>
      </c>
      <c r="J3337" s="75">
        <f>'THAM_SO_MOI'!$C$40*('THAM_SO_MOI'!$C$23*(E3337/'THAM_SO_MOI'!$C$22)+'THAM_SO_MOI'!$C$24*(E3337/'THAM_SO_MOI'!$C$22)^2-'THAM_SO_MOI'!$C$25*(E3337/'THAM_SO_MOI'!$C$22)^3)</f>
        <v>71.50050321359784</v>
      </c>
      <c r="K3337" s="75">
        <f>'THAM_SO_MOI'!$C$31*J3337/E3337</f>
        <v>416.62980823076583</v>
      </c>
      <c r="L3337" s="75">
        <f>K3337*'THAM_SO_MOI'!$C$53*'THAM_SO_MOI'!$C$17/'THAM_SO_MOI'!$C$26</f>
        <v>3653.845048443156</v>
      </c>
      <c r="M3337" s="75">
        <f>'THAM_SO_MOI'!$C$15*'THAM_SO_MOI'!$C$16*F3337^2</f>
        <v>809.5534711159347</v>
      </c>
      <c r="N3337" s="75">
        <f>'THAM_SO_MOI'!$C$12*I3337</f>
        <v>1130.112</v>
      </c>
      <c r="O3337" s="75">
        <f>M3337+N3337</f>
        <v>1939.665471115935</v>
      </c>
      <c r="P3337" s="75">
        <f>(MIN(L3337,'THAM_SO_MOI'!$C$41)-O3337)/('THAM_SO_MOI'!$C$11*H3337)</f>
        <v>0.20290951436165022</v>
      </c>
      <c r="Q3337" s="75">
        <f>IF(P3337&gt;0,1/P3337,NA())</f>
        <v>4.9283051272680956</v>
      </c>
      <c r="R3337" s="75">
        <f>F3337-F3336</f>
        <v>0.0073885545698715305</v>
      </c>
      <c r="S3337" s="75">
        <f>0.5*(Q3336+Q3337)*R3337</f>
        <v>0.036408889389042645</v>
      </c>
      <c r="T3337" s="75">
        <f>0.5*(F3336*Q3336+F3337*Q3337)*R3337</f>
        <v>0.6055790285214477</v>
      </c>
      <c r="U3337" s="76">
        <f>U3336+S3337</f>
        <v>30.031844701575917</v>
      </c>
      <c r="V3337" s="76">
        <f>V3336+T3337</f>
        <v>309.44692034850823</v>
      </c>
    </row>
    <row r="3338" spans="1:22" ht="19" customHeight="1">
      <c r="A3338" s="68" t="s">
        <v>378</v>
      </c>
      <c r="B3338" s="74">
        <v>5</v>
      </c>
      <c r="C3338" s="68" t="s">
        <v>363</v>
      </c>
      <c r="D3338" s="68" t="s">
        <v>364</v>
      </c>
      <c r="E3338" s="75">
        <f>60*F3338*'THAM_SO_MOI'!$C$53/(2*PI()*'THAM_SO_MOI'!$C$26)</f>
        <v>1639.8529808205303</v>
      </c>
      <c r="F3338" s="75">
        <f>'HANH_TRINH'!$F$3289+('THAM_SO_MOI'!$C$14-'HANH_TRINH'!$F$3289)*48/'THAM_SO_MOI'!$C$42</f>
        <v>16.643806963456242</v>
      </c>
      <c r="G3338" s="75">
        <f>3.6*F3338</f>
        <v>59.91770506844247</v>
      </c>
      <c r="H3338" s="75">
        <f>'THAM_SO_MOI'!$D$53</f>
        <v>1.1</v>
      </c>
      <c r="I3338" s="75">
        <f>IF(F3338&gt;'THAM_SO_MOI'!$C$14,'THAM_SO_MOI'!$C$13*(1+F3338^2/1500),'THAM_SO_MOI'!$C$13)</f>
        <v>0.015</v>
      </c>
      <c r="J3338" s="75">
        <f>'THAM_SO_MOI'!$C$40*('THAM_SO_MOI'!$C$23*(E3338/'THAM_SO_MOI'!$C$22)+'THAM_SO_MOI'!$C$24*(E3338/'THAM_SO_MOI'!$C$22)^2-'THAM_SO_MOI'!$C$25*(E3338/'THAM_SO_MOI'!$C$22)^3)</f>
        <v>71.53865029286536</v>
      </c>
      <c r="K3338" s="75">
        <f>'THAM_SO_MOI'!$C$31*J3338/E3338</f>
        <v>416.66703945248906</v>
      </c>
      <c r="L3338" s="75">
        <f>K3338*'THAM_SO_MOI'!$C$53*'THAM_SO_MOI'!$C$17/'THAM_SO_MOI'!$C$26</f>
        <v>3654.1715664033536</v>
      </c>
      <c r="M3338" s="75">
        <f>'THAM_SO_MOI'!$C$15*'THAM_SO_MOI'!$C$16*F3338^2</f>
        <v>810.272707442624</v>
      </c>
      <c r="N3338" s="75">
        <f>'THAM_SO_MOI'!$C$12*I3338</f>
        <v>1130.112</v>
      </c>
      <c r="O3338" s="75">
        <f>M3338+N3338</f>
        <v>1940.384707442624</v>
      </c>
      <c r="P3338" s="75">
        <f>(MIN(L3338,'THAM_SO_MOI'!$C$41)-O3338)/('THAM_SO_MOI'!$C$11*H3338)</f>
        <v>0.20286302781258636</v>
      </c>
      <c r="Q3338" s="75">
        <f>IF(P3338&gt;0,1/P3338,NA())</f>
        <v>4.92943446020062</v>
      </c>
      <c r="R3338" s="75">
        <f>F3338-F3337</f>
        <v>0.007388554569875083</v>
      </c>
      <c r="S3338" s="75">
        <f>0.5*(Q3337+Q3338)*R3338</f>
        <v>0.03641722343881525</v>
      </c>
      <c r="T3338" s="75">
        <f>0.5*(F3337*Q3337+F3338*Q3338)*R3338</f>
        <v>0.6059867171521444</v>
      </c>
      <c r="U3338" s="76">
        <f>U3337+S3338</f>
        <v>30.06826192501473</v>
      </c>
      <c r="V3338" s="76">
        <f>V3337+T3338</f>
        <v>310.05290706566035</v>
      </c>
    </row>
    <row r="3339" spans="1:22" ht="19" customHeight="1">
      <c r="A3339" s="68" t="s">
        <v>378</v>
      </c>
      <c r="B3339" s="74">
        <v>5</v>
      </c>
      <c r="C3339" s="68" t="s">
        <v>363</v>
      </c>
      <c r="D3339" s="68" t="s">
        <v>364</v>
      </c>
      <c r="E3339" s="75">
        <f>60*F3339*'THAM_SO_MOI'!$C$53/(2*PI()*'THAM_SO_MOI'!$C$26)</f>
        <v>1640.5809478813096</v>
      </c>
      <c r="F3339" s="75">
        <f>'HANH_TRINH'!$F$3289+('THAM_SO_MOI'!$C$14-'HANH_TRINH'!$F$3289)*49/'THAM_SO_MOI'!$C$42</f>
        <v>16.651195518026114</v>
      </c>
      <c r="G3339" s="75">
        <f>3.6*F3339</f>
        <v>59.94430386489401</v>
      </c>
      <c r="H3339" s="75">
        <f>'THAM_SO_MOI'!$D$53</f>
        <v>1.1</v>
      </c>
      <c r="I3339" s="75">
        <f>IF(F3339&gt;'THAM_SO_MOI'!$C$14,'THAM_SO_MOI'!$C$13*(1+F3339^2/1500),'THAM_SO_MOI'!$C$13)</f>
        <v>0.015</v>
      </c>
      <c r="J3339" s="75">
        <f>'THAM_SO_MOI'!$C$40*('THAM_SO_MOI'!$C$23*(E3339/'THAM_SO_MOI'!$C$22)+'THAM_SO_MOI'!$C$24*(E3339/'THAM_SO_MOI'!$C$22)^2-'THAM_SO_MOI'!$C$25*(E3339/'THAM_SO_MOI'!$C$22)^3)</f>
        <v>71.57679421659442</v>
      </c>
      <c r="K3339" s="75">
        <f>'THAM_SO_MOI'!$C$31*J3339/E3339</f>
        <v>416.70421926250685</v>
      </c>
      <c r="L3339" s="75">
        <f>K3339*'THAM_SO_MOI'!$C$53*'THAM_SO_MOI'!$C$17/'THAM_SO_MOI'!$C$26</f>
        <v>3654.4976334826924</v>
      </c>
      <c r="M3339" s="75">
        <f>'THAM_SO_MOI'!$C$15*'THAM_SO_MOI'!$C$16*F3339^2</f>
        <v>810.992263125134</v>
      </c>
      <c r="N3339" s="75">
        <f>'THAM_SO_MOI'!$C$12*I3339</f>
        <v>1130.112</v>
      </c>
      <c r="O3339" s="75">
        <f>M3339+N3339</f>
        <v>1941.104263125134</v>
      </c>
      <c r="P3339" s="75">
        <f>(MIN(L3339,'THAM_SO_MOI'!$C$41)-O3339)/('THAM_SO_MOI'!$C$11*H3339)</f>
        <v>0.2028164500896731</v>
      </c>
      <c r="Q3339" s="75">
        <f>IF(P3339&gt;0,1/P3339,NA())</f>
        <v>4.930566527310091</v>
      </c>
      <c r="R3339" s="75">
        <f>F3339-F3338</f>
        <v>0.0073885545698715305</v>
      </c>
      <c r="S3339" s="75">
        <f>0.5*(Q3338+Q3339)*R3339</f>
        <v>0.03642557767760504</v>
      </c>
      <c r="T3339" s="75">
        <f>0.5*(F3338*Q3338+F3339*Q3339)*R3339</f>
        <v>0.6063948650327389</v>
      </c>
      <c r="U3339" s="76">
        <f>U3338+S3339</f>
        <v>30.104687502692336</v>
      </c>
      <c r="V3339" s="76">
        <f>V3338+T3339</f>
        <v>310.65930193069306</v>
      </c>
    </row>
    <row r="3340" spans="1:22" ht="19" customHeight="1">
      <c r="A3340" s="68" t="s">
        <v>378</v>
      </c>
      <c r="B3340" s="74">
        <v>5</v>
      </c>
      <c r="C3340" s="68" t="s">
        <v>363</v>
      </c>
      <c r="D3340" s="68" t="s">
        <v>364</v>
      </c>
      <c r="E3340" s="75">
        <f>60*F3340*'THAM_SO_MOI'!$C$53/(2*PI()*'THAM_SO_MOI'!$C$26)</f>
        <v>1641.3089149420882</v>
      </c>
      <c r="F3340" s="75">
        <f>'HANH_TRINH'!$F$3289+('THAM_SO_MOI'!$C$14-'HANH_TRINH'!$F$3289)*50/'THAM_SO_MOI'!$C$42</f>
        <v>16.658584072595986</v>
      </c>
      <c r="G3340" s="75">
        <f>3.6*F3340</f>
        <v>59.97090266134555</v>
      </c>
      <c r="H3340" s="75">
        <f>'THAM_SO_MOI'!$D$53</f>
        <v>1.1</v>
      </c>
      <c r="I3340" s="75">
        <f>IF(F3340&gt;'THAM_SO_MOI'!$C$14,'THAM_SO_MOI'!$C$13*(1+F3340^2/1500),'THAM_SO_MOI'!$C$13)</f>
        <v>0.015</v>
      </c>
      <c r="J3340" s="75">
        <f>'THAM_SO_MOI'!$C$40*('THAM_SO_MOI'!$C$23*(E3340/'THAM_SO_MOI'!$C$22)+'THAM_SO_MOI'!$C$24*(E3340/'THAM_SO_MOI'!$C$22)^2-'THAM_SO_MOI'!$C$25*(E3340/'THAM_SO_MOI'!$C$22)^3)</f>
        <v>71.61493497302948</v>
      </c>
      <c r="K3340" s="75">
        <f>'THAM_SO_MOI'!$C$31*J3340/E3340</f>
        <v>416.74134766081926</v>
      </c>
      <c r="L3340" s="75">
        <f>K3340*'THAM_SO_MOI'!$C$53*'THAM_SO_MOI'!$C$17/'THAM_SO_MOI'!$C$26</f>
        <v>3654.8232496811747</v>
      </c>
      <c r="M3340" s="75">
        <f>'THAM_SO_MOI'!$C$15*'THAM_SO_MOI'!$C$16*F3340^2</f>
        <v>811.7121381634648</v>
      </c>
      <c r="N3340" s="75">
        <f>'THAM_SO_MOI'!$C$12*I3340</f>
        <v>1130.112</v>
      </c>
      <c r="O3340" s="75">
        <f>M3340+N3340</f>
        <v>1941.8241381634648</v>
      </c>
      <c r="P3340" s="75">
        <f>(MIN(L3340,'THAM_SO_MOI'!$C$41)-O3340)/('THAM_SO_MOI'!$C$11*H3340)</f>
        <v>0.20276978119291075</v>
      </c>
      <c r="Q3340" s="75">
        <f>IF(P3340&gt;0,1/P3340,NA())</f>
        <v>4.93170133200776</v>
      </c>
      <c r="R3340" s="75">
        <f>F3340-F3339</f>
        <v>0.0073885545698715305</v>
      </c>
      <c r="S3340" s="75">
        <f>0.5*(Q3339+Q3340)*R3340</f>
        <v>0.03643395213063001</v>
      </c>
      <c r="T3340" s="75">
        <f>0.5*(F3339*Q3339+F3340*Q3340)*R3340</f>
        <v>0.6068034730307378</v>
      </c>
      <c r="U3340" s="76">
        <f>U3339+S3340</f>
        <v>30.141121454822965</v>
      </c>
      <c r="V3340" s="76">
        <f>V3339+T3340</f>
        <v>311.2661054037238</v>
      </c>
    </row>
    <row r="3341" spans="1:22" ht="19" customHeight="1">
      <c r="A3341" s="68" t="s">
        <v>378</v>
      </c>
      <c r="B3341" s="74">
        <v>5</v>
      </c>
      <c r="C3341" s="68" t="s">
        <v>363</v>
      </c>
      <c r="D3341" s="68" t="s">
        <v>364</v>
      </c>
      <c r="E3341" s="75">
        <f>60*F3341*'THAM_SO_MOI'!$C$53/(2*PI()*'THAM_SO_MOI'!$C$26)</f>
        <v>1642.0368820028673</v>
      </c>
      <c r="F3341" s="75">
        <f>'HANH_TRINH'!$F$3289+('THAM_SO_MOI'!$C$14-'HANH_TRINH'!$F$3289)*51/'THAM_SO_MOI'!$C$42</f>
        <v>16.665972627165857</v>
      </c>
      <c r="G3341" s="75">
        <f>3.6*F3341</f>
        <v>59.997501457797085</v>
      </c>
      <c r="H3341" s="75">
        <f>'THAM_SO_MOI'!$D$53</f>
        <v>1.1</v>
      </c>
      <c r="I3341" s="75">
        <f>IF(F3341&gt;'THAM_SO_MOI'!$C$14,'THAM_SO_MOI'!$C$13*(1+F3341^2/1500),'THAM_SO_MOI'!$C$13)</f>
        <v>0.015</v>
      </c>
      <c r="J3341" s="75">
        <f>'THAM_SO_MOI'!$C$40*('THAM_SO_MOI'!$C$23*(E3341/'THAM_SO_MOI'!$C$22)+'THAM_SO_MOI'!$C$24*(E3341/'THAM_SO_MOI'!$C$22)^2-'THAM_SO_MOI'!$C$25*(E3341/'THAM_SO_MOI'!$C$22)^3)</f>
        <v>71.65307255041506</v>
      </c>
      <c r="K3341" s="75">
        <f>'THAM_SO_MOI'!$C$31*J3341/E3341</f>
        <v>416.7784246474262</v>
      </c>
      <c r="L3341" s="75">
        <f>K3341*'THAM_SO_MOI'!$C$53*'THAM_SO_MOI'!$C$17/'THAM_SO_MOI'!$C$26</f>
        <v>3655.148414998799</v>
      </c>
      <c r="M3341" s="75">
        <f>'THAM_SO_MOI'!$C$15*'THAM_SO_MOI'!$C$16*F3341^2</f>
        <v>812.4323325576169</v>
      </c>
      <c r="N3341" s="75">
        <f>'THAM_SO_MOI'!$C$12*I3341</f>
        <v>1130.112</v>
      </c>
      <c r="O3341" s="75">
        <f>M3341+N3341</f>
        <v>1942.544332557617</v>
      </c>
      <c r="P3341" s="75">
        <f>(MIN(L3341,'THAM_SO_MOI'!$C$41)-O3341)/('THAM_SO_MOI'!$C$11*H3341)</f>
        <v>0.202723021122299</v>
      </c>
      <c r="Q3341" s="75">
        <f>IF(P3341&gt;0,1/P3341,NA())</f>
        <v>4.932838877715416</v>
      </c>
      <c r="R3341" s="75">
        <f>F3341-F3340</f>
        <v>0.0073885545698715305</v>
      </c>
      <c r="S3341" s="75">
        <f>0.5*(Q3340+Q3341)*R3341</f>
        <v>0.036442346823115826</v>
      </c>
      <c r="T3341" s="75">
        <f>0.5*(F3340*Q3340+F3341*Q3341)*R3341</f>
        <v>0.6072125420145196</v>
      </c>
      <c r="U3341" s="76">
        <f>U3340+S3341</f>
        <v>30.17756380164608</v>
      </c>
      <c r="V3341" s="76">
        <f>V3340+T3341</f>
        <v>311.87331794573834</v>
      </c>
    </row>
    <row r="3342" spans="1:22" ht="19" customHeight="1">
      <c r="A3342" s="68" t="s">
        <v>378</v>
      </c>
      <c r="B3342" s="74">
        <v>5</v>
      </c>
      <c r="C3342" s="68" t="s">
        <v>363</v>
      </c>
      <c r="D3342" s="68" t="s">
        <v>364</v>
      </c>
      <c r="E3342" s="75">
        <f>60*F3342*'THAM_SO_MOI'!$C$53/(2*PI()*'THAM_SO_MOI'!$C$26)</f>
        <v>1642.7648490636461</v>
      </c>
      <c r="F3342" s="75">
        <f>'HANH_TRINH'!$F$3289+('THAM_SO_MOI'!$C$14-'HANH_TRINH'!$F$3289)*52/'THAM_SO_MOI'!$C$42</f>
        <v>16.67336118173573</v>
      </c>
      <c r="G3342" s="75">
        <f>3.6*F3342</f>
        <v>60.02410025424862</v>
      </c>
      <c r="H3342" s="75">
        <f>'THAM_SO_MOI'!$D$53</f>
        <v>1.1</v>
      </c>
      <c r="I3342" s="75">
        <f>IF(F3342&gt;'THAM_SO_MOI'!$C$14,'THAM_SO_MOI'!$C$13*(1+F3342^2/1500),'THAM_SO_MOI'!$C$13)</f>
        <v>0.015</v>
      </c>
      <c r="J3342" s="75">
        <f>'THAM_SO_MOI'!$C$40*('THAM_SO_MOI'!$C$23*(E3342/'THAM_SO_MOI'!$C$22)+'THAM_SO_MOI'!$C$24*(E3342/'THAM_SO_MOI'!$C$22)^2-'THAM_SO_MOI'!$C$25*(E3342/'THAM_SO_MOI'!$C$22)^3)</f>
        <v>71.6912069369956</v>
      </c>
      <c r="K3342" s="75">
        <f>'THAM_SO_MOI'!$C$31*J3342/E3342</f>
        <v>416.8154502223277</v>
      </c>
      <c r="L3342" s="75">
        <f>K3342*'THAM_SO_MOI'!$C$53*'THAM_SO_MOI'!$C$17/'THAM_SO_MOI'!$C$26</f>
        <v>3655.4731294355647</v>
      </c>
      <c r="M3342" s="75">
        <f>'THAM_SO_MOI'!$C$15*'THAM_SO_MOI'!$C$16*F3342^2</f>
        <v>813.1528463075897</v>
      </c>
      <c r="N3342" s="75">
        <f>'THAM_SO_MOI'!$C$12*I3342</f>
        <v>1130.112</v>
      </c>
      <c r="O3342" s="75">
        <f>M3342+N3342</f>
        <v>1943.2648463075898</v>
      </c>
      <c r="P3342" s="75">
        <f>(MIN(L3342,'THAM_SO_MOI'!$C$41)-O3342)/('THAM_SO_MOI'!$C$11*H3342)</f>
        <v>0.20267616987783793</v>
      </c>
      <c r="Q3342" s="75">
        <f>IF(P3342&gt;0,1/P3342,NA())</f>
        <v>4.9339791678653935</v>
      </c>
      <c r="R3342" s="75">
        <f>F3342-F3341</f>
        <v>0.0073885545698715305</v>
      </c>
      <c r="S3342" s="75">
        <f>0.5*(Q3341+Q3342)*R3342</f>
        <v>0.03645076178038349</v>
      </c>
      <c r="T3342" s="75">
        <f>0.5*(F3341*Q3341+F3342*Q3342)*R3342</f>
        <v>0.6076220728547989</v>
      </c>
      <c r="U3342" s="76">
        <f>U3341+S3342</f>
        <v>30.214014563426463</v>
      </c>
      <c r="V3342" s="76">
        <f>V3341+T3342</f>
        <v>312.4809400185931</v>
      </c>
    </row>
    <row r="3343" spans="1:22" ht="19" customHeight="1">
      <c r="A3343" s="68" t="s">
        <v>378</v>
      </c>
      <c r="B3343" s="74">
        <v>5</v>
      </c>
      <c r="C3343" s="68" t="s">
        <v>363</v>
      </c>
      <c r="D3343" s="68" t="s">
        <v>364</v>
      </c>
      <c r="E3343" s="75">
        <f>60*F3343*'THAM_SO_MOI'!$C$53/(2*PI()*'THAM_SO_MOI'!$C$26)</f>
        <v>1643.4928161244252</v>
      </c>
      <c r="F3343" s="75">
        <f>'HANH_TRINH'!$F$3289+('THAM_SO_MOI'!$C$14-'HANH_TRINH'!$F$3289)*53/'THAM_SO_MOI'!$C$42</f>
        <v>16.6807497363056</v>
      </c>
      <c r="G3343" s="75">
        <f>3.6*F3343</f>
        <v>60.05069905070016</v>
      </c>
      <c r="H3343" s="75">
        <f>'THAM_SO_MOI'!$D$53</f>
        <v>1.1</v>
      </c>
      <c r="I3343" s="75">
        <f>IF(F3343&gt;'THAM_SO_MOI'!$C$14,'THAM_SO_MOI'!$C$13*(1+F3343^2/1500),'THAM_SO_MOI'!$C$13)</f>
        <v>0.015</v>
      </c>
      <c r="J3343" s="75">
        <f>'THAM_SO_MOI'!$C$40*('THAM_SO_MOI'!$C$23*(E3343/'THAM_SO_MOI'!$C$22)+'THAM_SO_MOI'!$C$24*(E3343/'THAM_SO_MOI'!$C$22)^2-'THAM_SO_MOI'!$C$25*(E3343/'THAM_SO_MOI'!$C$22)^3)</f>
        <v>71.72933812101564</v>
      </c>
      <c r="K3343" s="75">
        <f>'THAM_SO_MOI'!$C$31*J3343/E3343</f>
        <v>416.8524243855238</v>
      </c>
      <c r="L3343" s="75">
        <f>K3343*'THAM_SO_MOI'!$C$53*'THAM_SO_MOI'!$C$17/'THAM_SO_MOI'!$C$26</f>
        <v>3655.7973929914733</v>
      </c>
      <c r="M3343" s="75">
        <f>'THAM_SO_MOI'!$C$15*'THAM_SO_MOI'!$C$16*F3343^2</f>
        <v>813.8736794133837</v>
      </c>
      <c r="N3343" s="75">
        <f>'THAM_SO_MOI'!$C$12*I3343</f>
        <v>1130.112</v>
      </c>
      <c r="O3343" s="75">
        <f>M3343+N3343</f>
        <v>1943.9856794133839</v>
      </c>
      <c r="P3343" s="75">
        <f>(MIN(L3343,'THAM_SO_MOI'!$C$41)-O3343)/('THAM_SO_MOI'!$C$11*H3343)</f>
        <v>0.20262922745952763</v>
      </c>
      <c r="Q3343" s="75">
        <f>IF(P3343&gt;0,1/P3343,NA())</f>
        <v>4.9351222059006075</v>
      </c>
      <c r="R3343" s="75">
        <f>F3343-F3342</f>
        <v>0.0073885545698715305</v>
      </c>
      <c r="S3343" s="75">
        <f>0.5*(Q3342+Q3343)*R3343</f>
        <v>0.03645919702783209</v>
      </c>
      <c r="T3343" s="75">
        <f>0.5*(F3342*Q3342+F3343*Q3343)*R3343</f>
        <v>0.6080320664243398</v>
      </c>
      <c r="U3343" s="76">
        <f>U3342+S3343</f>
        <v>30.250473760454295</v>
      </c>
      <c r="V3343" s="76">
        <f>V3342+T3343</f>
        <v>313.0889720850175</v>
      </c>
    </row>
    <row r="3344" spans="1:22" ht="19" customHeight="1">
      <c r="A3344" s="68" t="s">
        <v>378</v>
      </c>
      <c r="B3344" s="74">
        <v>5</v>
      </c>
      <c r="C3344" s="68" t="s">
        <v>363</v>
      </c>
      <c r="D3344" s="68" t="s">
        <v>364</v>
      </c>
      <c r="E3344" s="75">
        <f>60*F3344*'THAM_SO_MOI'!$C$53/(2*PI()*'THAM_SO_MOI'!$C$26)</f>
        <v>1644.2207831852038</v>
      </c>
      <c r="F3344" s="75">
        <f>'HANH_TRINH'!$F$3289+('THAM_SO_MOI'!$C$14-'HANH_TRINH'!$F$3289)*54/'THAM_SO_MOI'!$C$42</f>
        <v>16.68813829087547</v>
      </c>
      <c r="G3344" s="75">
        <f>3.6*F3344</f>
        <v>60.0772978471517</v>
      </c>
      <c r="H3344" s="75">
        <f>'THAM_SO_MOI'!$D$53</f>
        <v>1.1</v>
      </c>
      <c r="I3344" s="75">
        <f>IF(F3344&gt;'THAM_SO_MOI'!$C$14,'THAM_SO_MOI'!$C$13*(1+F3344^2/1500),'THAM_SO_MOI'!$C$13)</f>
        <v>0.015</v>
      </c>
      <c r="J3344" s="75">
        <f>'THAM_SO_MOI'!$C$40*('THAM_SO_MOI'!$C$23*(E3344/'THAM_SO_MOI'!$C$22)+'THAM_SO_MOI'!$C$24*(E3344/'THAM_SO_MOI'!$C$22)^2-'THAM_SO_MOI'!$C$25*(E3344/'THAM_SO_MOI'!$C$22)^3)</f>
        <v>71.7674660907196</v>
      </c>
      <c r="K3344" s="75">
        <f>'THAM_SO_MOI'!$C$31*J3344/E3344</f>
        <v>416.8893471370144</v>
      </c>
      <c r="L3344" s="75">
        <f>K3344*'THAM_SO_MOI'!$C$53*'THAM_SO_MOI'!$C$17/'THAM_SO_MOI'!$C$26</f>
        <v>3656.1212056665236</v>
      </c>
      <c r="M3344" s="75">
        <f>'THAM_SO_MOI'!$C$15*'THAM_SO_MOI'!$C$16*F3344^2</f>
        <v>814.5948318749986</v>
      </c>
      <c r="N3344" s="75">
        <f>'THAM_SO_MOI'!$C$12*I3344</f>
        <v>1130.112</v>
      </c>
      <c r="O3344" s="75">
        <f>M3344+N3344</f>
        <v>1944.7068318749987</v>
      </c>
      <c r="P3344" s="75">
        <f>(MIN(L3344,'THAM_SO_MOI'!$C$41)-O3344)/('THAM_SO_MOI'!$C$11*H3344)</f>
        <v>0.20258219386736798</v>
      </c>
      <c r="Q3344" s="75">
        <f>IF(P3344&gt;0,1/P3344,NA())</f>
        <v>4.936267995274585</v>
      </c>
      <c r="R3344" s="75">
        <f>F3344-F3343</f>
        <v>0.0073885545698715305</v>
      </c>
      <c r="S3344" s="75">
        <f>0.5*(Q3343+Q3344)*R3344</f>
        <v>0.036467652590939</v>
      </c>
      <c r="T3344" s="75">
        <f>0.5*(F3343*Q3343+F3344*Q3344)*R3344</f>
        <v>0.6084425235979638</v>
      </c>
      <c r="U3344" s="76">
        <f>U3343+S3344</f>
        <v>30.286941413045234</v>
      </c>
      <c r="V3344" s="76">
        <f>V3343+T3344</f>
        <v>313.6974146086154</v>
      </c>
    </row>
    <row r="3345" spans="1:22" ht="19" customHeight="1">
      <c r="A3345" s="68" t="s">
        <v>378</v>
      </c>
      <c r="B3345" s="74">
        <v>5</v>
      </c>
      <c r="C3345" s="68" t="s">
        <v>363</v>
      </c>
      <c r="D3345" s="68" t="s">
        <v>364</v>
      </c>
      <c r="E3345" s="75">
        <f>60*F3345*'THAM_SO_MOI'!$C$53/(2*PI()*'THAM_SO_MOI'!$C$26)</f>
        <v>1644.9487502459833</v>
      </c>
      <c r="F3345" s="75">
        <f>'HANH_TRINH'!$F$3289+('THAM_SO_MOI'!$C$14-'HANH_TRINH'!$F$3289)*55/'THAM_SO_MOI'!$C$42</f>
        <v>16.695526845445347</v>
      </c>
      <c r="G3345" s="75">
        <f>3.6*F3345</f>
        <v>60.10389664360325</v>
      </c>
      <c r="H3345" s="75">
        <f>'THAM_SO_MOI'!$D$53</f>
        <v>1.1</v>
      </c>
      <c r="I3345" s="75">
        <f>IF(F3345&gt;'THAM_SO_MOI'!$C$14,'THAM_SO_MOI'!$C$13*(1+F3345^2/1500),'THAM_SO_MOI'!$C$13)</f>
        <v>0.015</v>
      </c>
      <c r="J3345" s="75">
        <f>'THAM_SO_MOI'!$C$40*('THAM_SO_MOI'!$C$23*(E3345/'THAM_SO_MOI'!$C$22)+'THAM_SO_MOI'!$C$24*(E3345/'THAM_SO_MOI'!$C$22)^2-'THAM_SO_MOI'!$C$25*(E3345/'THAM_SO_MOI'!$C$22)^3)</f>
        <v>71.80559083435206</v>
      </c>
      <c r="K3345" s="75">
        <f>'THAM_SO_MOI'!$C$31*J3345/E3345</f>
        <v>416.92621847679976</v>
      </c>
      <c r="L3345" s="75">
        <f>K3345*'THAM_SO_MOI'!$C$53*'THAM_SO_MOI'!$C$17/'THAM_SO_MOI'!$C$26</f>
        <v>3656.4445674607173</v>
      </c>
      <c r="M3345" s="75">
        <f>'THAM_SO_MOI'!$C$15*'THAM_SO_MOI'!$C$16*F3345^2</f>
        <v>815.3163036924349</v>
      </c>
      <c r="N3345" s="75">
        <f>'THAM_SO_MOI'!$C$12*I3345</f>
        <v>1130.112</v>
      </c>
      <c r="O3345" s="75">
        <f>M3345+N3345</f>
        <v>1945.4283036924348</v>
      </c>
      <c r="P3345" s="75">
        <f>(MIN(L3345,'THAM_SO_MOI'!$C$41)-O3345)/('THAM_SO_MOI'!$C$11*H3345)</f>
        <v>0.20253506910135918</v>
      </c>
      <c r="Q3345" s="75">
        <f>IF(P3345&gt;0,1/P3345,NA())</f>
        <v>4.937416539451484</v>
      </c>
      <c r="R3345" s="75">
        <f>F3345-F3344</f>
        <v>0.007388554569875083</v>
      </c>
      <c r="S3345" s="75">
        <f>0.5*(Q3344+Q3345)*R3345</f>
        <v>0.03647612849527762</v>
      </c>
      <c r="T3345" s="75">
        <f>0.5*(F3344*Q3344+F3345*Q3345)*R3345</f>
        <v>0.6088534452528476</v>
      </c>
      <c r="U3345" s="76">
        <f>U3344+S3345</f>
        <v>30.32341754154051</v>
      </c>
      <c r="V3345" s="76">
        <f>V3344+T3345</f>
        <v>314.3062680538683</v>
      </c>
    </row>
    <row r="3346" spans="1:22" ht="19" customHeight="1">
      <c r="A3346" s="68" t="s">
        <v>378</v>
      </c>
      <c r="B3346" s="74">
        <v>5</v>
      </c>
      <c r="C3346" s="68" t="s">
        <v>363</v>
      </c>
      <c r="D3346" s="68" t="s">
        <v>364</v>
      </c>
      <c r="E3346" s="75">
        <f>60*F3346*'THAM_SO_MOI'!$C$53/(2*PI()*'THAM_SO_MOI'!$C$26)</f>
        <v>1645.6767173067622</v>
      </c>
      <c r="F3346" s="75">
        <f>'HANH_TRINH'!$F$3289+('THAM_SO_MOI'!$C$14-'HANH_TRINH'!$F$3289)*56/'THAM_SO_MOI'!$C$42</f>
        <v>16.70291540001522</v>
      </c>
      <c r="G3346" s="75">
        <f>3.6*F3346</f>
        <v>60.13049544005479</v>
      </c>
      <c r="H3346" s="75">
        <f>'THAM_SO_MOI'!$D$53</f>
        <v>1.1</v>
      </c>
      <c r="I3346" s="75">
        <f>IF(F3346&gt;'THAM_SO_MOI'!$C$14,'THAM_SO_MOI'!$C$13*(1+F3346^2/1500),'THAM_SO_MOI'!$C$13)</f>
        <v>0.015</v>
      </c>
      <c r="J3346" s="75">
        <f>'THAM_SO_MOI'!$C$40*('THAM_SO_MOI'!$C$23*(E3346/'THAM_SO_MOI'!$C$22)+'THAM_SO_MOI'!$C$24*(E3346/'THAM_SO_MOI'!$C$22)^2-'THAM_SO_MOI'!$C$25*(E3346/'THAM_SO_MOI'!$C$22)^3)</f>
        <v>71.84371234015738</v>
      </c>
      <c r="K3346" s="75">
        <f>'THAM_SO_MOI'!$C$31*J3346/E3346</f>
        <v>416.9630384048794</v>
      </c>
      <c r="L3346" s="75">
        <f>K3346*'THAM_SO_MOI'!$C$53*'THAM_SO_MOI'!$C$17/'THAM_SO_MOI'!$C$26</f>
        <v>3656.767478374051</v>
      </c>
      <c r="M3346" s="75">
        <f>'THAM_SO_MOI'!$C$15*'THAM_SO_MOI'!$C$16*F3346^2</f>
        <v>816.0380948656918</v>
      </c>
      <c r="N3346" s="75">
        <f>'THAM_SO_MOI'!$C$12*I3346</f>
        <v>1130.112</v>
      </c>
      <c r="O3346" s="75">
        <f>M3346+N3346</f>
        <v>1946.150094865692</v>
      </c>
      <c r="P3346" s="75">
        <f>(MIN(L3346,'THAM_SO_MOI'!$C$41)-O3346)/('THAM_SO_MOI'!$C$11*H3346)</f>
        <v>0.20248785316150084</v>
      </c>
      <c r="Q3346" s="75">
        <f>IF(P3346&gt;0,1/P3346,NA())</f>
        <v>4.938567841906138</v>
      </c>
      <c r="R3346" s="75">
        <f>F3346-F3345</f>
        <v>0.0073885545698715305</v>
      </c>
      <c r="S3346" s="75">
        <f>0.5*(Q3345+Q3346)*R3346</f>
        <v>0.03648462476642986</v>
      </c>
      <c r="T3346" s="75">
        <f>0.5*(F3345*Q3345+F3346*Q3346)*R3346</f>
        <v>0.6092648322670667</v>
      </c>
      <c r="U3346" s="76">
        <f>U3345+S3346</f>
        <v>30.35990216630694</v>
      </c>
      <c r="V3346" s="76">
        <f>V3345+T3346</f>
        <v>314.91553288613534</v>
      </c>
    </row>
    <row r="3347" spans="1:22" ht="19" customHeight="1">
      <c r="A3347" s="68" t="s">
        <v>378</v>
      </c>
      <c r="B3347" s="74">
        <v>5</v>
      </c>
      <c r="C3347" s="68" t="s">
        <v>363</v>
      </c>
      <c r="D3347" s="68" t="s">
        <v>364</v>
      </c>
      <c r="E3347" s="75">
        <f>60*F3347*'THAM_SO_MOI'!$C$53/(2*PI()*'THAM_SO_MOI'!$C$26)</f>
        <v>1646.404684367541</v>
      </c>
      <c r="F3347" s="75">
        <f>'HANH_TRINH'!$F$3289+('THAM_SO_MOI'!$C$14-'HANH_TRINH'!$F$3289)*57/'THAM_SO_MOI'!$C$42</f>
        <v>16.71030395458509</v>
      </c>
      <c r="G3347" s="75">
        <f>3.6*F3347</f>
        <v>60.157094236506325</v>
      </c>
      <c r="H3347" s="75">
        <f>'THAM_SO_MOI'!$D$53</f>
        <v>1.1</v>
      </c>
      <c r="I3347" s="75">
        <f>IF(F3347&gt;'THAM_SO_MOI'!$C$14,'THAM_SO_MOI'!$C$13*(1+F3347^2/1500),'THAM_SO_MOI'!$C$13)</f>
        <v>0.015</v>
      </c>
      <c r="J3347" s="75">
        <f>'THAM_SO_MOI'!$C$40*('THAM_SO_MOI'!$C$23*(E3347/'THAM_SO_MOI'!$C$22)+'THAM_SO_MOI'!$C$24*(E3347/'THAM_SO_MOI'!$C$22)^2-'THAM_SO_MOI'!$C$25*(E3347/'THAM_SO_MOI'!$C$22)^3)</f>
        <v>71.88183059638014</v>
      </c>
      <c r="K3347" s="75">
        <f>'THAM_SO_MOI'!$C$31*J3347/E3347</f>
        <v>416.9998069212538</v>
      </c>
      <c r="L3347" s="75">
        <f>K3347*'THAM_SO_MOI'!$C$53*'THAM_SO_MOI'!$C$17/'THAM_SO_MOI'!$C$26</f>
        <v>3657.089938406529</v>
      </c>
      <c r="M3347" s="75">
        <f>'THAM_SO_MOI'!$C$15*'THAM_SO_MOI'!$C$16*F3347^2</f>
        <v>816.7602053947696</v>
      </c>
      <c r="N3347" s="75">
        <f>'THAM_SO_MOI'!$C$12*I3347</f>
        <v>1130.112</v>
      </c>
      <c r="O3347" s="75">
        <f>M3347+N3347</f>
        <v>1946.8722053947697</v>
      </c>
      <c r="P3347" s="75">
        <f>(MIN(L3347,'THAM_SO_MOI'!$C$41)-O3347)/('THAM_SO_MOI'!$C$11*H3347)</f>
        <v>0.20244054604779346</v>
      </c>
      <c r="Q3347" s="75">
        <f>IF(P3347&gt;0,1/P3347,NA())</f>
        <v>4.939721906124051</v>
      </c>
      <c r="R3347" s="75">
        <f>F3347-F3346</f>
        <v>0.0073885545698715305</v>
      </c>
      <c r="S3347" s="75">
        <f>0.5*(Q3346+Q3347)*R3347</f>
        <v>0.03649314143016177</v>
      </c>
      <c r="T3347" s="75">
        <f>0.5*(F3346*Q3346+F3347*Q3347)*R3347</f>
        <v>0.6096766855225284</v>
      </c>
      <c r="U3347" s="76">
        <f>U3346+S3347</f>
        <v>30.3963953077371</v>
      </c>
      <c r="V3347" s="76">
        <f>V3346+T3347</f>
        <v>315.52520957165785</v>
      </c>
    </row>
    <row r="3348" spans="1:22" ht="19" customHeight="1">
      <c r="A3348" s="68" t="s">
        <v>378</v>
      </c>
      <c r="B3348" s="74">
        <v>5</v>
      </c>
      <c r="C3348" s="68" t="s">
        <v>363</v>
      </c>
      <c r="D3348" s="68" t="s">
        <v>364</v>
      </c>
      <c r="E3348" s="75">
        <f>60*F3348*'THAM_SO_MOI'!$C$53/(2*PI()*'THAM_SO_MOI'!$C$26)</f>
        <v>1647.1326514283198</v>
      </c>
      <c r="F3348" s="75">
        <f>'HANH_TRINH'!$F$3289+('THAM_SO_MOI'!$C$14-'HANH_TRINH'!$F$3289)*58/'THAM_SO_MOI'!$C$42</f>
        <v>16.71769250915496</v>
      </c>
      <c r="G3348" s="75">
        <f>3.6*F3348</f>
        <v>60.18369303295786</v>
      </c>
      <c r="H3348" s="75">
        <f>'THAM_SO_MOI'!$D$53</f>
        <v>1.1</v>
      </c>
      <c r="I3348" s="75">
        <f>IF(F3348&gt;'THAM_SO_MOI'!$C$14,'THAM_SO_MOI'!$C$13*(1+F3348^2/1500),'THAM_SO_MOI'!$C$13)</f>
        <v>0.015</v>
      </c>
      <c r="J3348" s="75">
        <f>'THAM_SO_MOI'!$C$40*('THAM_SO_MOI'!$C$23*(E3348/'THAM_SO_MOI'!$C$22)+'THAM_SO_MOI'!$C$24*(E3348/'THAM_SO_MOI'!$C$22)^2-'THAM_SO_MOI'!$C$25*(E3348/'THAM_SO_MOI'!$C$22)^3)</f>
        <v>71.91994559126479</v>
      </c>
      <c r="K3348" s="75">
        <f>'THAM_SO_MOI'!$C$31*J3348/E3348</f>
        <v>417.0365240259228</v>
      </c>
      <c r="L3348" s="75">
        <f>K3348*'THAM_SO_MOI'!$C$53*'THAM_SO_MOI'!$C$17/'THAM_SO_MOI'!$C$26</f>
        <v>3657.4119475581488</v>
      </c>
      <c r="M3348" s="75">
        <f>'THAM_SO_MOI'!$C$15*'THAM_SO_MOI'!$C$16*F3348^2</f>
        <v>817.4826352796687</v>
      </c>
      <c r="N3348" s="75">
        <f>'THAM_SO_MOI'!$C$12*I3348</f>
        <v>1130.112</v>
      </c>
      <c r="O3348" s="75">
        <f>M3348+N3348</f>
        <v>1947.5946352796686</v>
      </c>
      <c r="P3348" s="75">
        <f>(MIN(L3348,'THAM_SO_MOI'!$C$41)-O3348)/('THAM_SO_MOI'!$C$11*H3348)</f>
        <v>0.20239314776023676</v>
      </c>
      <c r="Q3348" s="75">
        <f>IF(P3348&gt;0,1/P3348,NA())</f>
        <v>4.940878735601469</v>
      </c>
      <c r="R3348" s="75">
        <f>F3348-F3347</f>
        <v>0.0073885545698715305</v>
      </c>
      <c r="S3348" s="75">
        <f>0.5*(Q3347+Q3348)*R3348</f>
        <v>0.03650167851224834</v>
      </c>
      <c r="T3348" s="75">
        <f>0.5*(F3347*Q3347+F3348*Q3348)*R3348</f>
        <v>0.6100890059020507</v>
      </c>
      <c r="U3348" s="76">
        <f>U3347+S3348</f>
        <v>30.43289698624935</v>
      </c>
      <c r="V3348" s="76">
        <f>V3347+T3348</f>
        <v>316.1352985775599</v>
      </c>
    </row>
    <row r="3349" spans="1:22" ht="19" customHeight="1">
      <c r="A3349" s="68" t="s">
        <v>378</v>
      </c>
      <c r="B3349" s="74">
        <v>5</v>
      </c>
      <c r="C3349" s="68" t="s">
        <v>363</v>
      </c>
      <c r="D3349" s="68" t="s">
        <v>364</v>
      </c>
      <c r="E3349" s="75">
        <f>60*F3349*'THAM_SO_MOI'!$C$53/(2*PI()*'THAM_SO_MOI'!$C$26)</f>
        <v>1647.860618489099</v>
      </c>
      <c r="F3349" s="75">
        <f>'HANH_TRINH'!$F$3289+('THAM_SO_MOI'!$C$14-'HANH_TRINH'!$F$3289)*59/'THAM_SO_MOI'!$C$42</f>
        <v>16.725081063724833</v>
      </c>
      <c r="G3349" s="75">
        <f>3.6*F3349</f>
        <v>60.2102918294094</v>
      </c>
      <c r="H3349" s="75">
        <f>'THAM_SO_MOI'!$D$53</f>
        <v>1.1</v>
      </c>
      <c r="I3349" s="75">
        <f>IF(F3349&gt;'THAM_SO_MOI'!$C$14,'THAM_SO_MOI'!$C$13*(1+F3349^2/1500),'THAM_SO_MOI'!$C$13)</f>
        <v>0.015</v>
      </c>
      <c r="J3349" s="75">
        <f>'THAM_SO_MOI'!$C$40*('THAM_SO_MOI'!$C$23*(E3349/'THAM_SO_MOI'!$C$22)+'THAM_SO_MOI'!$C$24*(E3349/'THAM_SO_MOI'!$C$22)^2-'THAM_SO_MOI'!$C$25*(E3349/'THAM_SO_MOI'!$C$22)^3)</f>
        <v>71.95805731305582</v>
      </c>
      <c r="K3349" s="75">
        <f>'THAM_SO_MOI'!$C$31*J3349/E3349</f>
        <v>417.0731897188862</v>
      </c>
      <c r="L3349" s="75">
        <f>K3349*'THAM_SO_MOI'!$C$53*'THAM_SO_MOI'!$C$17/'THAM_SO_MOI'!$C$26</f>
        <v>3657.7335058289095</v>
      </c>
      <c r="M3349" s="75">
        <f>'THAM_SO_MOI'!$C$15*'THAM_SO_MOI'!$C$16*F3349^2</f>
        <v>818.2053845203885</v>
      </c>
      <c r="N3349" s="75">
        <f>'THAM_SO_MOI'!$C$12*I3349</f>
        <v>1130.112</v>
      </c>
      <c r="O3349" s="75">
        <f>M3349+N3349</f>
        <v>1948.3173845203887</v>
      </c>
      <c r="P3349" s="75">
        <f>(MIN(L3349,'THAM_SO_MOI'!$C$41)-O3349)/('THAM_SO_MOI'!$C$11*H3349)</f>
        <v>0.20234565829883058</v>
      </c>
      <c r="Q3349" s="75">
        <f>IF(P3349&gt;0,1/P3349,NA())</f>
        <v>4.9420383338453835</v>
      </c>
      <c r="R3349" s="75">
        <f>F3349-F3348</f>
        <v>0.0073885545698715305</v>
      </c>
      <c r="S3349" s="75">
        <f>0.5*(Q3348+Q3349)*R3349</f>
        <v>0.03651023603856145</v>
      </c>
      <c r="T3349" s="75">
        <f>0.5*(F3348*Q3348+F3349*Q3349)*R3349</f>
        <v>0.6105017942908343</v>
      </c>
      <c r="U3349" s="76">
        <f>U3348+S3349</f>
        <v>30.469407222287913</v>
      </c>
      <c r="V3349" s="76">
        <f>V3348+T3349</f>
        <v>316.74580037185075</v>
      </c>
    </row>
    <row r="3350" spans="1:22" ht="19" customHeight="1">
      <c r="A3350" s="68" t="s">
        <v>378</v>
      </c>
      <c r="B3350" s="74">
        <v>5</v>
      </c>
      <c r="C3350" s="68" t="s">
        <v>363</v>
      </c>
      <c r="D3350" s="68" t="s">
        <v>364</v>
      </c>
      <c r="E3350" s="75">
        <f>60*F3350*'THAM_SO_MOI'!$C$53/(2*PI()*'THAM_SO_MOI'!$C$26)</f>
        <v>1648.5885855498777</v>
      </c>
      <c r="F3350" s="75">
        <f>'HANH_TRINH'!$F$3289+('THAM_SO_MOI'!$C$14-'HANH_TRINH'!$F$3289)*60/'THAM_SO_MOI'!$C$42</f>
        <v>16.732469618294704</v>
      </c>
      <c r="G3350" s="75">
        <f>3.6*F3350</f>
        <v>60.23689062586094</v>
      </c>
      <c r="H3350" s="75">
        <f>'THAM_SO_MOI'!$D$53</f>
        <v>1.1</v>
      </c>
      <c r="I3350" s="75">
        <f>IF(F3350&gt;'THAM_SO_MOI'!$C$14,'THAM_SO_MOI'!$C$13*(1+F3350^2/1500),'THAM_SO_MOI'!$C$13)</f>
        <v>0.015</v>
      </c>
      <c r="J3350" s="75">
        <f>'THAM_SO_MOI'!$C$40*('THAM_SO_MOI'!$C$23*(E3350/'THAM_SO_MOI'!$C$22)+'THAM_SO_MOI'!$C$24*(E3350/'THAM_SO_MOI'!$C$22)^2-'THAM_SO_MOI'!$C$25*(E3350/'THAM_SO_MOI'!$C$22)^3)</f>
        <v>71.9961657499977</v>
      </c>
      <c r="K3350" s="75">
        <f>'THAM_SO_MOI'!$C$31*J3350/E3350</f>
        <v>417.1098040001443</v>
      </c>
      <c r="L3350" s="75">
        <f>K3350*'THAM_SO_MOI'!$C$53*'THAM_SO_MOI'!$C$17/'THAM_SO_MOI'!$C$26</f>
        <v>3658.0546132188138</v>
      </c>
      <c r="M3350" s="75">
        <f>'THAM_SO_MOI'!$C$15*'THAM_SO_MOI'!$C$16*F3350^2</f>
        <v>818.9284531169294</v>
      </c>
      <c r="N3350" s="75">
        <f>'THAM_SO_MOI'!$C$12*I3350</f>
        <v>1130.112</v>
      </c>
      <c r="O3350" s="75">
        <f>M3350+N3350</f>
        <v>1949.0404531169295</v>
      </c>
      <c r="P3350" s="75">
        <f>(MIN(L3350,'THAM_SO_MOI'!$C$41)-O3350)/('THAM_SO_MOI'!$C$11*H3350)</f>
        <v>0.2022980776635753</v>
      </c>
      <c r="Q3350" s="75">
        <f>IF(P3350&gt;0,1/P3350,NA())</f>
        <v>4.943200704373547</v>
      </c>
      <c r="R3350" s="75">
        <f>F3350-F3349</f>
        <v>0.0073885545698715305</v>
      </c>
      <c r="S3350" s="75">
        <f>0.5*(Q3349+Q3350)*R3350</f>
        <v>0.036518814035052465</v>
      </c>
      <c r="T3350" s="75">
        <f>0.5*(F3349*Q3349+F3350*Q3350)*R3350</f>
        <v>0.6109150515761737</v>
      </c>
      <c r="U3350" s="76">
        <f>U3349+S3350</f>
        <v>30.505926036322965</v>
      </c>
      <c r="V3350" s="76">
        <f>V3349+T3350</f>
        <v>317.3567154234269</v>
      </c>
    </row>
    <row r="3351" spans="1:22" ht="19" customHeight="1">
      <c r="A3351" s="68" t="s">
        <v>378</v>
      </c>
      <c r="B3351" s="74">
        <v>5</v>
      </c>
      <c r="C3351" s="68" t="s">
        <v>363</v>
      </c>
      <c r="D3351" s="68" t="s">
        <v>364</v>
      </c>
      <c r="E3351" s="75">
        <f>60*F3351*'THAM_SO_MOI'!$C$53/(2*PI()*'THAM_SO_MOI'!$C$26)</f>
        <v>1649.3165526106568</v>
      </c>
      <c r="F3351" s="75">
        <f>'HANH_TRINH'!$F$3289+('THAM_SO_MOI'!$C$14-'HANH_TRINH'!$F$3289)*61/'THAM_SO_MOI'!$C$42</f>
        <v>16.739858172864576</v>
      </c>
      <c r="G3351" s="75">
        <f>3.6*F3351</f>
        <v>60.263489422312475</v>
      </c>
      <c r="H3351" s="75">
        <f>'THAM_SO_MOI'!$D$53</f>
        <v>1.1</v>
      </c>
      <c r="I3351" s="75">
        <f>IF(F3351&gt;'THAM_SO_MOI'!$C$14,'THAM_SO_MOI'!$C$13*(1+F3351^2/1500),'THAM_SO_MOI'!$C$13)</f>
        <v>0.015</v>
      </c>
      <c r="J3351" s="75">
        <f>'THAM_SO_MOI'!$C$40*('THAM_SO_MOI'!$C$23*(E3351/'THAM_SO_MOI'!$C$22)+'THAM_SO_MOI'!$C$24*(E3351/'THAM_SO_MOI'!$C$22)^2-'THAM_SO_MOI'!$C$25*(E3351/'THAM_SO_MOI'!$C$22)^3)</f>
        <v>72.03427089033494</v>
      </c>
      <c r="K3351" s="75">
        <f>'THAM_SO_MOI'!$C$31*J3351/E3351</f>
        <v>417.14636686969686</v>
      </c>
      <c r="L3351" s="75">
        <f>K3351*'THAM_SO_MOI'!$C$53*'THAM_SO_MOI'!$C$17/'THAM_SO_MOI'!$C$26</f>
        <v>3658.3752697278587</v>
      </c>
      <c r="M3351" s="75">
        <f>'THAM_SO_MOI'!$C$15*'THAM_SO_MOI'!$C$16*F3351^2</f>
        <v>819.6518410692913</v>
      </c>
      <c r="N3351" s="75">
        <f>'THAM_SO_MOI'!$C$12*I3351</f>
        <v>1130.112</v>
      </c>
      <c r="O3351" s="75">
        <f>M3351+N3351</f>
        <v>1949.7638410692914</v>
      </c>
      <c r="P3351" s="75">
        <f>(MIN(L3351,'THAM_SO_MOI'!$C$41)-O3351)/('THAM_SO_MOI'!$C$11*H3351)</f>
        <v>0.20225040585447054</v>
      </c>
      <c r="Q3351" s="75">
        <f>IF(P3351&gt;0,1/P3351,NA())</f>
        <v>4.944365850714539</v>
      </c>
      <c r="R3351" s="75">
        <f>F3351-F3350</f>
        <v>0.0073885545698715305</v>
      </c>
      <c r="S3351" s="75">
        <f>0.5*(Q3350+Q3351)*R3351</f>
        <v>0.03652741252775249</v>
      </c>
      <c r="T3351" s="75">
        <f>0.5*(F3350*Q3350+F3351*Q3351)*R3351</f>
        <v>0.6113287786474646</v>
      </c>
      <c r="U3351" s="76">
        <f>U3350+S3351</f>
        <v>30.54245344885072</v>
      </c>
      <c r="V3351" s="76">
        <f>V3350+T3351</f>
        <v>317.9680442020744</v>
      </c>
    </row>
    <row r="3352" spans="1:22" ht="19" customHeight="1">
      <c r="A3352" s="68" t="s">
        <v>378</v>
      </c>
      <c r="B3352" s="74">
        <v>5</v>
      </c>
      <c r="C3352" s="68" t="s">
        <v>363</v>
      </c>
      <c r="D3352" s="68" t="s">
        <v>364</v>
      </c>
      <c r="E3352" s="75">
        <f>60*F3352*'THAM_SO_MOI'!$C$53/(2*PI()*'THAM_SO_MOI'!$C$26)</f>
        <v>1650.0445196714359</v>
      </c>
      <c r="F3352" s="75">
        <f>'HANH_TRINH'!$F$3289+('THAM_SO_MOI'!$C$14-'HANH_TRINH'!$F$3289)*62/'THAM_SO_MOI'!$C$42</f>
        <v>16.74724672743445</v>
      </c>
      <c r="G3352" s="75">
        <f>3.6*F3352</f>
        <v>60.290088218764026</v>
      </c>
      <c r="H3352" s="75">
        <f>'THAM_SO_MOI'!$D$53</f>
        <v>1.1</v>
      </c>
      <c r="I3352" s="75">
        <f>IF(F3352&gt;'THAM_SO_MOI'!$C$14,'THAM_SO_MOI'!$C$13*(1+F3352^2/1500),'THAM_SO_MOI'!$C$13)</f>
        <v>0.015</v>
      </c>
      <c r="J3352" s="75">
        <f>'THAM_SO_MOI'!$C$40*('THAM_SO_MOI'!$C$23*(E3352/'THAM_SO_MOI'!$C$22)+'THAM_SO_MOI'!$C$24*(E3352/'THAM_SO_MOI'!$C$22)^2-'THAM_SO_MOI'!$C$25*(E3352/'THAM_SO_MOI'!$C$22)^3)</f>
        <v>72.07237272231202</v>
      </c>
      <c r="K3352" s="75">
        <f>'THAM_SO_MOI'!$C$31*J3352/E3352</f>
        <v>417.18287832754413</v>
      </c>
      <c r="L3352" s="75">
        <f>K3352*'THAM_SO_MOI'!$C$53*'THAM_SO_MOI'!$C$17/'THAM_SO_MOI'!$C$26</f>
        <v>3658.6954753560476</v>
      </c>
      <c r="M3352" s="75">
        <f>'THAM_SO_MOI'!$C$15*'THAM_SO_MOI'!$C$16*F3352^2</f>
        <v>820.3755483774745</v>
      </c>
      <c r="N3352" s="75">
        <f>'THAM_SO_MOI'!$C$12*I3352</f>
        <v>1130.112</v>
      </c>
      <c r="O3352" s="75">
        <f>M3352+N3352</f>
        <v>1950.4875483774745</v>
      </c>
      <c r="P3352" s="75">
        <f>(MIN(L3352,'THAM_SO_MOI'!$C$41)-O3352)/('THAM_SO_MOI'!$C$11*H3352)</f>
        <v>0.2022026428715167</v>
      </c>
      <c r="Q3352" s="75">
        <f>IF(P3352&gt;0,1/P3352,NA())</f>
        <v>4.945533776407752</v>
      </c>
      <c r="R3352" s="75">
        <f>F3352-F3351</f>
        <v>0.007388554569875083</v>
      </c>
      <c r="S3352" s="75">
        <f>0.5*(Q3351+Q3352)*R3352</f>
        <v>0.036536031542790136</v>
      </c>
      <c r="T3352" s="75">
        <f>0.5*(F3351*Q3351+F3352*Q3352)*R3352</f>
        <v>0.6117429763965053</v>
      </c>
      <c r="U3352" s="76">
        <f>U3351+S3352</f>
        <v>30.57898948039351</v>
      </c>
      <c r="V3352" s="76">
        <f>V3351+T3352</f>
        <v>318.5797871784709</v>
      </c>
    </row>
    <row r="3353" spans="1:22" ht="19" customHeight="1">
      <c r="A3353" s="68" t="s">
        <v>378</v>
      </c>
      <c r="B3353" s="74">
        <v>5</v>
      </c>
      <c r="C3353" s="68" t="s">
        <v>363</v>
      </c>
      <c r="D3353" s="68" t="s">
        <v>364</v>
      </c>
      <c r="E3353" s="75">
        <f>60*F3353*'THAM_SO_MOI'!$C$53/(2*PI()*'THAM_SO_MOI'!$C$26)</f>
        <v>1650.772486732215</v>
      </c>
      <c r="F3353" s="75">
        <f>'HANH_TRINH'!$F$3289+('THAM_SO_MOI'!$C$14-'HANH_TRINH'!$F$3289)*63/'THAM_SO_MOI'!$C$42</f>
        <v>16.754635282004323</v>
      </c>
      <c r="G3353" s="75">
        <f>3.6*F3353</f>
        <v>60.316687015215564</v>
      </c>
      <c r="H3353" s="75">
        <f>'THAM_SO_MOI'!$D$53</f>
        <v>1.1</v>
      </c>
      <c r="I3353" s="75">
        <f>IF(F3353&gt;'THAM_SO_MOI'!$C$14,'THAM_SO_MOI'!$C$13*(1+F3353^2/1500),'THAM_SO_MOI'!$C$13)</f>
        <v>0.015</v>
      </c>
      <c r="J3353" s="75">
        <f>'THAM_SO_MOI'!$C$40*('THAM_SO_MOI'!$C$23*(E3353/'THAM_SO_MOI'!$C$22)+'THAM_SO_MOI'!$C$24*(E3353/'THAM_SO_MOI'!$C$22)^2-'THAM_SO_MOI'!$C$25*(E3353/'THAM_SO_MOI'!$C$22)^3)</f>
        <v>72.11047123417343</v>
      </c>
      <c r="K3353" s="75">
        <f>'THAM_SO_MOI'!$C$31*J3353/E3353</f>
        <v>417.219338373686</v>
      </c>
      <c r="L3353" s="75">
        <f>K3353*'THAM_SO_MOI'!$C$53*'THAM_SO_MOI'!$C$17/'THAM_SO_MOI'!$C$26</f>
        <v>3659.015230103379</v>
      </c>
      <c r="M3353" s="75">
        <f>'THAM_SO_MOI'!$C$15*'THAM_SO_MOI'!$C$16*F3353^2</f>
        <v>821.0995750414785</v>
      </c>
      <c r="N3353" s="75">
        <f>'THAM_SO_MOI'!$C$12*I3353</f>
        <v>1130.112</v>
      </c>
      <c r="O3353" s="75">
        <f>M3353+N3353</f>
        <v>1951.2115750414787</v>
      </c>
      <c r="P3353" s="75">
        <f>(MIN(L3353,'THAM_SO_MOI'!$C$41)-O3353)/('THAM_SO_MOI'!$C$11*H3353)</f>
        <v>0.2021547887147136</v>
      </c>
      <c r="Q3353" s="75">
        <f>IF(P3353&gt;0,1/P3353,NA())</f>
        <v>4.946704485003457</v>
      </c>
      <c r="R3353" s="75">
        <f>F3353-F3352</f>
        <v>0.0073885545698715305</v>
      </c>
      <c r="S3353" s="75">
        <f>0.5*(Q3352+Q3353)*R3353</f>
        <v>0.03654467110630389</v>
      </c>
      <c r="T3353" s="75">
        <f>0.5*(F3352*Q3352+F3353*Q3353)*R3353</f>
        <v>0.6121576457160315</v>
      </c>
      <c r="U3353" s="76">
        <f>U3352+S3353</f>
        <v>30.615534151499812</v>
      </c>
      <c r="V3353" s="76">
        <f>V3352+T3353</f>
        <v>319.1919448241869</v>
      </c>
    </row>
    <row r="3354" spans="1:22" ht="19" customHeight="1">
      <c r="A3354" s="68" t="s">
        <v>378</v>
      </c>
      <c r="B3354" s="74">
        <v>5</v>
      </c>
      <c r="C3354" s="68" t="s">
        <v>363</v>
      </c>
      <c r="D3354" s="68" t="s">
        <v>364</v>
      </c>
      <c r="E3354" s="75">
        <f>60*F3354*'THAM_SO_MOI'!$C$53/(2*PI()*'THAM_SO_MOI'!$C$26)</f>
        <v>1651.5004537929938</v>
      </c>
      <c r="F3354" s="75">
        <f>'HANH_TRINH'!$F$3289+('THAM_SO_MOI'!$C$14-'HANH_TRINH'!$F$3289)*64/'THAM_SO_MOI'!$C$42</f>
        <v>16.762023836574194</v>
      </c>
      <c r="G3354" s="75">
        <f>3.6*F3354</f>
        <v>60.3432858116671</v>
      </c>
      <c r="H3354" s="75">
        <f>'THAM_SO_MOI'!$D$53</f>
        <v>1.1</v>
      </c>
      <c r="I3354" s="75">
        <f>IF(F3354&gt;'THAM_SO_MOI'!$C$14,'THAM_SO_MOI'!$C$13*(1+F3354^2/1500),'THAM_SO_MOI'!$C$13)</f>
        <v>0.015</v>
      </c>
      <c r="J3354" s="75">
        <f>'THAM_SO_MOI'!$C$40*('THAM_SO_MOI'!$C$23*(E3354/'THAM_SO_MOI'!$C$22)+'THAM_SO_MOI'!$C$24*(E3354/'THAM_SO_MOI'!$C$22)^2-'THAM_SO_MOI'!$C$25*(E3354/'THAM_SO_MOI'!$C$22)^3)</f>
        <v>72.1485664141636</v>
      </c>
      <c r="K3354" s="75">
        <f>'THAM_SO_MOI'!$C$31*J3354/E3354</f>
        <v>417.2557470081223</v>
      </c>
      <c r="L3354" s="75">
        <f>K3354*'THAM_SO_MOI'!$C$53*'THAM_SO_MOI'!$C$17/'THAM_SO_MOI'!$C$26</f>
        <v>3659.3345339698512</v>
      </c>
      <c r="M3354" s="75">
        <f>'THAM_SO_MOI'!$C$15*'THAM_SO_MOI'!$C$16*F3354^2</f>
        <v>821.8239210613033</v>
      </c>
      <c r="N3354" s="75">
        <f>'THAM_SO_MOI'!$C$12*I3354</f>
        <v>1130.112</v>
      </c>
      <c r="O3354" s="75">
        <f>M3354+N3354</f>
        <v>1951.9359210613034</v>
      </c>
      <c r="P3354" s="75">
        <f>(MIN(L3354,'THAM_SO_MOI'!$C$41)-O3354)/('THAM_SO_MOI'!$C$11*H3354)</f>
        <v>0.20210684338406107</v>
      </c>
      <c r="Q3354" s="75">
        <f>IF(P3354&gt;0,1/P3354,NA())</f>
        <v>4.947877980062816</v>
      </c>
      <c r="R3354" s="75">
        <f>F3354-F3353</f>
        <v>0.0073885545698715305</v>
      </c>
      <c r="S3354" s="75">
        <f>0.5*(Q3353+Q3354)*R3354</f>
        <v>0.03655333124461806</v>
      </c>
      <c r="T3354" s="75">
        <f>0.5*(F3353*Q3353+F3354*Q3354)*R3354</f>
        <v>0.612572787502665</v>
      </c>
      <c r="U3354" s="76">
        <f>U3353+S3354</f>
        <v>30.65208748274443</v>
      </c>
      <c r="V3354" s="76">
        <f>V3353+T3354</f>
        <v>319.80451761168956</v>
      </c>
    </row>
    <row r="3355" spans="1:22" ht="19" customHeight="1">
      <c r="A3355" s="68" t="s">
        <v>378</v>
      </c>
      <c r="B3355" s="74">
        <v>5</v>
      </c>
      <c r="C3355" s="68" t="s">
        <v>363</v>
      </c>
      <c r="D3355" s="68" t="s">
        <v>364</v>
      </c>
      <c r="E3355" s="75">
        <f>60*F3355*'THAM_SO_MOI'!$C$53/(2*PI()*'THAM_SO_MOI'!$C$26)</f>
        <v>1652.2284208537728</v>
      </c>
      <c r="F3355" s="75">
        <f>'HANH_TRINH'!$F$3289+('THAM_SO_MOI'!$C$14-'HANH_TRINH'!$F$3289)*65/'THAM_SO_MOI'!$C$42</f>
        <v>16.769412391144066</v>
      </c>
      <c r="G3355" s="75">
        <f>3.6*F3355</f>
        <v>60.36988460811864</v>
      </c>
      <c r="H3355" s="75">
        <f>'THAM_SO_MOI'!$D$53</f>
        <v>1.1</v>
      </c>
      <c r="I3355" s="75">
        <f>IF(F3355&gt;'THAM_SO_MOI'!$C$14,'THAM_SO_MOI'!$C$13*(1+F3355^2/1500),'THAM_SO_MOI'!$C$13)</f>
        <v>0.015</v>
      </c>
      <c r="J3355" s="75">
        <f>'THAM_SO_MOI'!$C$40*('THAM_SO_MOI'!$C$23*(E3355/'THAM_SO_MOI'!$C$22)+'THAM_SO_MOI'!$C$24*(E3355/'THAM_SO_MOI'!$C$22)^2-'THAM_SO_MOI'!$C$25*(E3355/'THAM_SO_MOI'!$C$22)^3)</f>
        <v>72.18665825052707</v>
      </c>
      <c r="K3355" s="75">
        <f>'THAM_SO_MOI'!$C$31*J3355/E3355</f>
        <v>417.2921042308532</v>
      </c>
      <c r="L3355" s="75">
        <f>K3355*'THAM_SO_MOI'!$C$53*'THAM_SO_MOI'!$C$17/'THAM_SO_MOI'!$C$26</f>
        <v>3659.653386955466</v>
      </c>
      <c r="M3355" s="75">
        <f>'THAM_SO_MOI'!$C$15*'THAM_SO_MOI'!$C$16*F3355^2</f>
        <v>822.5485864369492</v>
      </c>
      <c r="N3355" s="75">
        <f>'THAM_SO_MOI'!$C$12*I3355</f>
        <v>1130.112</v>
      </c>
      <c r="O3355" s="75">
        <f>M3355+N3355</f>
        <v>1952.6605864369494</v>
      </c>
      <c r="P3355" s="75">
        <f>(MIN(L3355,'THAM_SO_MOI'!$C$41)-O3355)/('THAM_SO_MOI'!$C$11*H3355)</f>
        <v>0.20205880687955924</v>
      </c>
      <c r="Q3355" s="75">
        <f>IF(P3355&gt;0,1/P3355,NA())</f>
        <v>4.949054265157905</v>
      </c>
      <c r="R3355" s="75">
        <f>F3355-F3354</f>
        <v>0.0073885545698715305</v>
      </c>
      <c r="S3355" s="75">
        <f>0.5*(Q3354+Q3355)*R3355</f>
        <v>0.036562011984067236</v>
      </c>
      <c r="T3355" s="75">
        <f>0.5*(F3354*Q3354+F3355*Q3355)*R3355</f>
        <v>0.6129884026539786</v>
      </c>
      <c r="U3355" s="76">
        <f>U3354+S3355</f>
        <v>30.688649494728498</v>
      </c>
      <c r="V3355" s="76">
        <f>V3354+T3355</f>
        <v>320.41750601434353</v>
      </c>
    </row>
    <row r="3356" spans="1:22" ht="19" customHeight="1">
      <c r="A3356" s="68" t="s">
        <v>378</v>
      </c>
      <c r="B3356" s="74">
        <v>5</v>
      </c>
      <c r="C3356" s="68" t="s">
        <v>363</v>
      </c>
      <c r="D3356" s="68" t="s">
        <v>364</v>
      </c>
      <c r="E3356" s="75">
        <f>60*F3356*'THAM_SO_MOI'!$C$53/(2*PI()*'THAM_SO_MOI'!$C$26)</f>
        <v>1652.9563879145517</v>
      </c>
      <c r="F3356" s="75">
        <f>'HANH_TRINH'!$F$3289+('THAM_SO_MOI'!$C$14-'HANH_TRINH'!$F$3289)*66/'THAM_SO_MOI'!$C$42</f>
        <v>16.776800945713937</v>
      </c>
      <c r="G3356" s="75">
        <f>3.6*F3356</f>
        <v>60.396483404570176</v>
      </c>
      <c r="H3356" s="75">
        <f>'THAM_SO_MOI'!$D$53</f>
        <v>1.1</v>
      </c>
      <c r="I3356" s="75">
        <f>IF(F3356&gt;'THAM_SO_MOI'!$C$14,'THAM_SO_MOI'!$C$13*(1+F3356^2/1500),'THAM_SO_MOI'!$C$13)</f>
        <v>0.015</v>
      </c>
      <c r="J3356" s="75">
        <f>'THAM_SO_MOI'!$C$40*('THAM_SO_MOI'!$C$23*(E3356/'THAM_SO_MOI'!$C$22)+'THAM_SO_MOI'!$C$24*(E3356/'THAM_SO_MOI'!$C$22)^2-'THAM_SO_MOI'!$C$25*(E3356/'THAM_SO_MOI'!$C$22)^3)</f>
        <v>72.22474673150832</v>
      </c>
      <c r="K3356" s="75">
        <f>'THAM_SO_MOI'!$C$31*J3356/E3356</f>
        <v>417.3284100418788</v>
      </c>
      <c r="L3356" s="75">
        <f>K3356*'THAM_SO_MOI'!$C$53*'THAM_SO_MOI'!$C$17/'THAM_SO_MOI'!$C$26</f>
        <v>3659.9717890602237</v>
      </c>
      <c r="M3356" s="75">
        <f>'THAM_SO_MOI'!$C$15*'THAM_SO_MOI'!$C$16*F3356^2</f>
        <v>823.2735711684161</v>
      </c>
      <c r="N3356" s="75">
        <f>'THAM_SO_MOI'!$C$12*I3356</f>
        <v>1130.112</v>
      </c>
      <c r="O3356" s="75">
        <f>M3356+N3356</f>
        <v>1953.3855711684162</v>
      </c>
      <c r="P3356" s="75">
        <f>(MIN(L3356,'THAM_SO_MOI'!$C$41)-O3356)/('THAM_SO_MOI'!$C$11*H3356)</f>
        <v>0.2020106792012083</v>
      </c>
      <c r="Q3356" s="75">
        <f>IF(P3356&gt;0,1/P3356,NA())</f>
        <v>4.950233343871746</v>
      </c>
      <c r="R3356" s="75">
        <f>F3356-F3355</f>
        <v>0.0073885545698715305</v>
      </c>
      <c r="S3356" s="75">
        <f>0.5*(Q3355+Q3356)*R3356</f>
        <v>0.03657071335108432</v>
      </c>
      <c r="T3356" s="75">
        <f>0.5*(F3355*Q3355+F3356*Q3356)*R3356</f>
        <v>0.6134044920699725</v>
      </c>
      <c r="U3356" s="76">
        <f>U3355+S3356</f>
        <v>30.725220208079584</v>
      </c>
      <c r="V3356" s="76">
        <f>V3355+T3356</f>
        <v>321.0309105064135</v>
      </c>
    </row>
    <row r="3357" spans="1:22" ht="19" customHeight="1">
      <c r="A3357" s="68" t="s">
        <v>378</v>
      </c>
      <c r="B3357" s="74">
        <v>5</v>
      </c>
      <c r="C3357" s="68" t="s">
        <v>363</v>
      </c>
      <c r="D3357" s="68" t="s">
        <v>364</v>
      </c>
      <c r="E3357" s="75">
        <f>60*F3357*'THAM_SO_MOI'!$C$53/(2*PI()*'THAM_SO_MOI'!$C$26)</f>
        <v>1653.6843549753307</v>
      </c>
      <c r="F3357" s="75">
        <f>'HANH_TRINH'!$F$3289+('THAM_SO_MOI'!$C$14-'HANH_TRINH'!$F$3289)*67/'THAM_SO_MOI'!$C$42</f>
        <v>16.78418950028381</v>
      </c>
      <c r="G3357" s="75">
        <f>3.6*F3357</f>
        <v>60.423082201021714</v>
      </c>
      <c r="H3357" s="75">
        <f>'THAM_SO_MOI'!$D$53</f>
        <v>1.1</v>
      </c>
      <c r="I3357" s="75">
        <f>IF(F3357&gt;'THAM_SO_MOI'!$C$14,'THAM_SO_MOI'!$C$13*(1+F3357^2/1500),'THAM_SO_MOI'!$C$13)</f>
        <v>0.015</v>
      </c>
      <c r="J3357" s="75">
        <f>'THAM_SO_MOI'!$C$40*('THAM_SO_MOI'!$C$23*(E3357/'THAM_SO_MOI'!$C$22)+'THAM_SO_MOI'!$C$24*(E3357/'THAM_SO_MOI'!$C$22)^2-'THAM_SO_MOI'!$C$25*(E3357/'THAM_SO_MOI'!$C$22)^3)</f>
        <v>72.26283184535184</v>
      </c>
      <c r="K3357" s="75">
        <f>'THAM_SO_MOI'!$C$31*J3357/E3357</f>
        <v>417.36466444119884</v>
      </c>
      <c r="L3357" s="75">
        <f>K3357*'THAM_SO_MOI'!$C$53*'THAM_SO_MOI'!$C$17/'THAM_SO_MOI'!$C$26</f>
        <v>3660.2897402841227</v>
      </c>
      <c r="M3357" s="75">
        <f>'THAM_SO_MOI'!$C$15*'THAM_SO_MOI'!$C$16*F3357^2</f>
        <v>823.9988752557041</v>
      </c>
      <c r="N3357" s="75">
        <f>'THAM_SO_MOI'!$C$12*I3357</f>
        <v>1130.112</v>
      </c>
      <c r="O3357" s="75">
        <f>M3357+N3357</f>
        <v>1954.1108752557043</v>
      </c>
      <c r="P3357" s="75">
        <f>(MIN(L3357,'THAM_SO_MOI'!$C$41)-O3357)/('THAM_SO_MOI'!$C$11*H3357)</f>
        <v>0.20196246034900786</v>
      </c>
      <c r="Q3357" s="75">
        <f>IF(P3357&gt;0,1/P3357,NA())</f>
        <v>4.951415219798358</v>
      </c>
      <c r="R3357" s="75">
        <f>F3357-F3356</f>
        <v>0.0073885545698715305</v>
      </c>
      <c r="S3357" s="75">
        <f>0.5*(Q3356+Q3357)*R3357</f>
        <v>0.03657943537218331</v>
      </c>
      <c r="T3357" s="75">
        <f>0.5*(F3356*Q3356+F3357*Q3357)*R3357</f>
        <v>0.613821056652788</v>
      </c>
      <c r="U3357" s="76">
        <f>U3356+S3357</f>
        <v>30.761799643451766</v>
      </c>
      <c r="V3357" s="76">
        <f>V3356+T3357</f>
        <v>321.6447315630663</v>
      </c>
    </row>
    <row r="3358" spans="1:22" ht="19" customHeight="1">
      <c r="A3358" s="68" t="s">
        <v>378</v>
      </c>
      <c r="B3358" s="74">
        <v>5</v>
      </c>
      <c r="C3358" s="68" t="s">
        <v>363</v>
      </c>
      <c r="D3358" s="68" t="s">
        <v>364</v>
      </c>
      <c r="E3358" s="75">
        <f>60*F3358*'THAM_SO_MOI'!$C$53/(2*PI()*'THAM_SO_MOI'!$C$26)</f>
        <v>1654.4123220361096</v>
      </c>
      <c r="F3358" s="75">
        <f>'HANH_TRINH'!$F$3289+('THAM_SO_MOI'!$C$14-'HANH_TRINH'!$F$3289)*68/'THAM_SO_MOI'!$C$42</f>
        <v>16.79157805485368</v>
      </c>
      <c r="G3358" s="75">
        <f>3.6*F3358</f>
        <v>60.44968099747325</v>
      </c>
      <c r="H3358" s="75">
        <f>'THAM_SO_MOI'!$D$53</f>
        <v>1.1</v>
      </c>
      <c r="I3358" s="75">
        <f>IF(F3358&gt;'THAM_SO_MOI'!$C$14,'THAM_SO_MOI'!$C$13*(1+F3358^2/1500),'THAM_SO_MOI'!$C$13)</f>
        <v>0.015</v>
      </c>
      <c r="J3358" s="75">
        <f>'THAM_SO_MOI'!$C$40*('THAM_SO_MOI'!$C$23*(E3358/'THAM_SO_MOI'!$C$22)+'THAM_SO_MOI'!$C$24*(E3358/'THAM_SO_MOI'!$C$22)^2-'THAM_SO_MOI'!$C$25*(E3358/'THAM_SO_MOI'!$C$22)^3)</f>
        <v>72.30091358030207</v>
      </c>
      <c r="K3358" s="75">
        <f>'THAM_SO_MOI'!$C$31*J3358/E3358</f>
        <v>417.40086742881346</v>
      </c>
      <c r="L3358" s="75">
        <f>K3358*'THAM_SO_MOI'!$C$53*'THAM_SO_MOI'!$C$17/'THAM_SO_MOI'!$C$26</f>
        <v>3660.6072406271637</v>
      </c>
      <c r="M3358" s="75">
        <f>'THAM_SO_MOI'!$C$15*'THAM_SO_MOI'!$C$16*F3358^2</f>
        <v>824.7244986988129</v>
      </c>
      <c r="N3358" s="75">
        <f>'THAM_SO_MOI'!$C$12*I3358</f>
        <v>1130.112</v>
      </c>
      <c r="O3358" s="75">
        <f>M3358+N3358</f>
        <v>1954.836498698813</v>
      </c>
      <c r="P3358" s="75">
        <f>(MIN(L3358,'THAM_SO_MOI'!$C$41)-O3358)/('THAM_SO_MOI'!$C$11*H3358)</f>
        <v>0.20191415032295817</v>
      </c>
      <c r="Q3358" s="75">
        <f>IF(P3358&gt;0,1/P3358,NA())</f>
        <v>4.9525998965427505</v>
      </c>
      <c r="R3358" s="75">
        <f>F3358-F3357</f>
        <v>0.0073885545698715305</v>
      </c>
      <c r="S3358" s="75">
        <f>0.5*(Q3357+Q3358)*R3358</f>
        <v>0.03658817807395941</v>
      </c>
      <c r="T3358" s="75">
        <f>0.5*(F3357*Q3357+F3358*Q3358)*R3358</f>
        <v>0.6142380973067142</v>
      </c>
      <c r="U3358" s="76">
        <f>U3357+S3358</f>
        <v>30.798387821525726</v>
      </c>
      <c r="V3358" s="76">
        <f>V3357+T3358</f>
        <v>322.258969660373</v>
      </c>
    </row>
    <row r="3359" spans="1:22" ht="19" customHeight="1">
      <c r="A3359" s="68" t="s">
        <v>378</v>
      </c>
      <c r="B3359" s="74">
        <v>5</v>
      </c>
      <c r="C3359" s="68" t="s">
        <v>363</v>
      </c>
      <c r="D3359" s="68" t="s">
        <v>364</v>
      </c>
      <c r="E3359" s="75">
        <f>60*F3359*'THAM_SO_MOI'!$C$53/(2*PI()*'THAM_SO_MOI'!$C$26)</f>
        <v>1655.1402890968884</v>
      </c>
      <c r="F3359" s="75">
        <f>'HANH_TRINH'!$F$3289+('THAM_SO_MOI'!$C$14-'HANH_TRINH'!$F$3289)*69/'THAM_SO_MOI'!$C$42</f>
        <v>16.79896660942355</v>
      </c>
      <c r="G3359" s="75">
        <f>3.6*F3359</f>
        <v>60.47627979392479</v>
      </c>
      <c r="H3359" s="75">
        <f>'THAM_SO_MOI'!$D$53</f>
        <v>1.1</v>
      </c>
      <c r="I3359" s="75">
        <f>IF(F3359&gt;'THAM_SO_MOI'!$C$14,'THAM_SO_MOI'!$C$13*(1+F3359^2/1500),'THAM_SO_MOI'!$C$13)</f>
        <v>0.015</v>
      </c>
      <c r="J3359" s="75">
        <f>'THAM_SO_MOI'!$C$40*('THAM_SO_MOI'!$C$23*(E3359/'THAM_SO_MOI'!$C$22)+'THAM_SO_MOI'!$C$24*(E3359/'THAM_SO_MOI'!$C$22)^2-'THAM_SO_MOI'!$C$25*(E3359/'THAM_SO_MOI'!$C$22)^3)</f>
        <v>72.33899192460353</v>
      </c>
      <c r="K3359" s="75">
        <f>'THAM_SO_MOI'!$C$31*J3359/E3359</f>
        <v>417.43701900472274</v>
      </c>
      <c r="L3359" s="75">
        <f>K3359*'THAM_SO_MOI'!$C$53*'THAM_SO_MOI'!$C$17/'THAM_SO_MOI'!$C$26</f>
        <v>3660.9242900893487</v>
      </c>
      <c r="M3359" s="75">
        <f>'THAM_SO_MOI'!$C$15*'THAM_SO_MOI'!$C$16*F3359^2</f>
        <v>825.4504414977428</v>
      </c>
      <c r="N3359" s="75">
        <f>'THAM_SO_MOI'!$C$12*I3359</f>
        <v>1130.112</v>
      </c>
      <c r="O3359" s="75">
        <f>M3359+N3359</f>
        <v>1955.5624414977428</v>
      </c>
      <c r="P3359" s="75">
        <f>(MIN(L3359,'THAM_SO_MOI'!$C$41)-O3359)/('THAM_SO_MOI'!$C$11*H3359)</f>
        <v>0.2018657491230594</v>
      </c>
      <c r="Q3359" s="75">
        <f>IF(P3359&gt;0,1/P3359,NA())</f>
        <v>4.953787377720972</v>
      </c>
      <c r="R3359" s="75">
        <f>F3359-F3358</f>
        <v>0.0073885545698715305</v>
      </c>
      <c r="S3359" s="75">
        <f>0.5*(Q3358+Q3359)*R3359</f>
        <v>0.036596941483089195</v>
      </c>
      <c r="T3359" s="75">
        <f>0.5*(F3358*Q3358+F3359*Q3359)*R3359</f>
        <v>0.6146556149381927</v>
      </c>
      <c r="U3359" s="76">
        <f>U3358+S3359</f>
        <v>30.834984763008816</v>
      </c>
      <c r="V3359" s="76">
        <f>V3358+T3359</f>
        <v>322.8736252753112</v>
      </c>
    </row>
    <row r="3360" spans="1:22" ht="19" customHeight="1">
      <c r="A3360" s="68" t="s">
        <v>378</v>
      </c>
      <c r="B3360" s="74">
        <v>5</v>
      </c>
      <c r="C3360" s="68" t="s">
        <v>363</v>
      </c>
      <c r="D3360" s="68" t="s">
        <v>364</v>
      </c>
      <c r="E3360" s="75">
        <f>60*F3360*'THAM_SO_MOI'!$C$53/(2*PI()*'THAM_SO_MOI'!$C$26)</f>
        <v>1655.8682561576677</v>
      </c>
      <c r="F3360" s="75">
        <f>'HANH_TRINH'!$F$3289+('THAM_SO_MOI'!$C$14-'HANH_TRINH'!$F$3289)*70/'THAM_SO_MOI'!$C$42</f>
        <v>16.806355163993427</v>
      </c>
      <c r="G3360" s="75">
        <f>3.6*F3360</f>
        <v>60.50287859037634</v>
      </c>
      <c r="H3360" s="75">
        <f>'THAM_SO_MOI'!$D$53</f>
        <v>1.1</v>
      </c>
      <c r="I3360" s="75">
        <f>IF(F3360&gt;'THAM_SO_MOI'!$C$14,'THAM_SO_MOI'!$C$13*(1+F3360^2/1500),'THAM_SO_MOI'!$C$13)</f>
        <v>0.015</v>
      </c>
      <c r="J3360" s="75">
        <f>'THAM_SO_MOI'!$C$40*('THAM_SO_MOI'!$C$23*(E3360/'THAM_SO_MOI'!$C$22)+'THAM_SO_MOI'!$C$24*(E3360/'THAM_SO_MOI'!$C$22)^2-'THAM_SO_MOI'!$C$25*(E3360/'THAM_SO_MOI'!$C$22)^3)</f>
        <v>72.37706686650071</v>
      </c>
      <c r="K3360" s="75">
        <f>'THAM_SO_MOI'!$C$31*J3360/E3360</f>
        <v>417.4731191689264</v>
      </c>
      <c r="L3360" s="75">
        <f>K3360*'THAM_SO_MOI'!$C$53*'THAM_SO_MOI'!$C$17/'THAM_SO_MOI'!$C$26</f>
        <v>3661.2408886706735</v>
      </c>
      <c r="M3360" s="75">
        <f>'THAM_SO_MOI'!$C$15*'THAM_SO_MOI'!$C$16*F3360^2</f>
        <v>826.176703652494</v>
      </c>
      <c r="N3360" s="75">
        <f>'THAM_SO_MOI'!$C$12*I3360</f>
        <v>1130.112</v>
      </c>
      <c r="O3360" s="75">
        <f>M3360+N3360</f>
        <v>1956.288703652494</v>
      </c>
      <c r="P3360" s="75">
        <f>(MIN(L3360,'THAM_SO_MOI'!$C$41)-O3360)/('THAM_SO_MOI'!$C$11*H3360)</f>
        <v>0.20181725674931103</v>
      </c>
      <c r="Q3360" s="75">
        <f>IF(P3360&gt;0,1/P3360,NA())</f>
        <v>4.954977666960156</v>
      </c>
      <c r="R3360" s="75">
        <f>F3360-F3359</f>
        <v>0.007388554569875083</v>
      </c>
      <c r="S3360" s="75">
        <f>0.5*(Q3359+Q3360)*R3360</f>
        <v>0.03660572562634862</v>
      </c>
      <c r="T3360" s="75">
        <f>0.5*(F3359*Q3359+F3360*Q3360)*R3360</f>
        <v>0.6150736104561226</v>
      </c>
      <c r="U3360" s="76">
        <f>U3359+S3360</f>
        <v>30.871590488635164</v>
      </c>
      <c r="V3360" s="76">
        <f>V3359+T3360</f>
        <v>323.48869888576735</v>
      </c>
    </row>
    <row r="3361" spans="1:22" ht="19" customHeight="1">
      <c r="A3361" s="68" t="s">
        <v>378</v>
      </c>
      <c r="B3361" s="74">
        <v>5</v>
      </c>
      <c r="C3361" s="68" t="s">
        <v>363</v>
      </c>
      <c r="D3361" s="68" t="s">
        <v>364</v>
      </c>
      <c r="E3361" s="75">
        <f>60*F3361*'THAM_SO_MOI'!$C$53/(2*PI()*'THAM_SO_MOI'!$C$26)</f>
        <v>1656.5962232184468</v>
      </c>
      <c r="F3361" s="75">
        <f>'HANH_TRINH'!$F$3289+('THAM_SO_MOI'!$C$14-'HANH_TRINH'!$F$3289)*71/'THAM_SO_MOI'!$C$42</f>
        <v>16.8137437185633</v>
      </c>
      <c r="G3361" s="75">
        <f>3.6*F3361</f>
        <v>60.52947738682788</v>
      </c>
      <c r="H3361" s="75">
        <f>'THAM_SO_MOI'!$D$53</f>
        <v>1.1</v>
      </c>
      <c r="I3361" s="75">
        <f>IF(F3361&gt;'THAM_SO_MOI'!$C$14,'THAM_SO_MOI'!$C$13*(1+F3361^2/1500),'THAM_SO_MOI'!$C$13)</f>
        <v>0.015</v>
      </c>
      <c r="J3361" s="75">
        <f>'THAM_SO_MOI'!$C$40*('THAM_SO_MOI'!$C$23*(E3361/'THAM_SO_MOI'!$C$22)+'THAM_SO_MOI'!$C$24*(E3361/'THAM_SO_MOI'!$C$22)^2-'THAM_SO_MOI'!$C$25*(E3361/'THAM_SO_MOI'!$C$22)^3)</f>
        <v>72.41513839423807</v>
      </c>
      <c r="K3361" s="75">
        <f>'THAM_SO_MOI'!$C$31*J3361/E3361</f>
        <v>417.50916792142476</v>
      </c>
      <c r="L3361" s="75">
        <f>K3361*'THAM_SO_MOI'!$C$53*'THAM_SO_MOI'!$C$17/'THAM_SO_MOI'!$C$26</f>
        <v>3661.5570363711417</v>
      </c>
      <c r="M3361" s="75">
        <f>'THAM_SO_MOI'!$C$15*'THAM_SO_MOI'!$C$16*F3361^2</f>
        <v>826.9032851630659</v>
      </c>
      <c r="N3361" s="75">
        <f>'THAM_SO_MOI'!$C$12*I3361</f>
        <v>1130.112</v>
      </c>
      <c r="O3361" s="75">
        <f>M3361+N3361</f>
        <v>1957.015285163066</v>
      </c>
      <c r="P3361" s="75">
        <f>(MIN(L3361,'THAM_SO_MOI'!$C$41)-O3361)/('THAM_SO_MOI'!$C$11*H3361)</f>
        <v>0.20176867320171352</v>
      </c>
      <c r="Q3361" s="75">
        <f>IF(P3361&gt;0,1/P3361,NA())</f>
        <v>4.95617076789851</v>
      </c>
      <c r="R3361" s="75">
        <f>F3361-F3360</f>
        <v>0.0073885545698715305</v>
      </c>
      <c r="S3361" s="75">
        <f>0.5*(Q3360+Q3361)*R3361</f>
        <v>0.03661453053052503</v>
      </c>
      <c r="T3361" s="75">
        <f>0.5*(F3360*Q3360+F3361*Q3361)*R3361</f>
        <v>0.6154920847703872</v>
      </c>
      <c r="U3361" s="76">
        <f>U3360+S3361</f>
        <v>30.90820501916569</v>
      </c>
      <c r="V3361" s="76">
        <f>V3360+T3361</f>
        <v>324.10419097053773</v>
      </c>
    </row>
    <row r="3362" spans="1:22" ht="19" customHeight="1">
      <c r="A3362" s="68" t="s">
        <v>378</v>
      </c>
      <c r="B3362" s="74">
        <v>5</v>
      </c>
      <c r="C3362" s="68" t="s">
        <v>363</v>
      </c>
      <c r="D3362" s="68" t="s">
        <v>364</v>
      </c>
      <c r="E3362" s="75">
        <f>60*F3362*'THAM_SO_MOI'!$C$53/(2*PI()*'THAM_SO_MOI'!$C$26)</f>
        <v>1657.3241902792258</v>
      </c>
      <c r="F3362" s="75">
        <f>'HANH_TRINH'!$F$3289+('THAM_SO_MOI'!$C$14-'HANH_TRINH'!$F$3289)*72/'THAM_SO_MOI'!$C$42</f>
        <v>16.82113227313317</v>
      </c>
      <c r="G3362" s="75">
        <f>3.6*F3362</f>
        <v>60.556076183279416</v>
      </c>
      <c r="H3362" s="75">
        <f>'THAM_SO_MOI'!$D$53</f>
        <v>1.1</v>
      </c>
      <c r="I3362" s="75">
        <f>IF(F3362&gt;'THAM_SO_MOI'!$C$14,'THAM_SO_MOI'!$C$13*(1+F3362^2/1500),'THAM_SO_MOI'!$C$13)</f>
        <v>0.015</v>
      </c>
      <c r="J3362" s="75">
        <f>'THAM_SO_MOI'!$C$40*('THAM_SO_MOI'!$C$23*(E3362/'THAM_SO_MOI'!$C$22)+'THAM_SO_MOI'!$C$24*(E3362/'THAM_SO_MOI'!$C$22)^2-'THAM_SO_MOI'!$C$25*(E3362/'THAM_SO_MOI'!$C$22)^3)</f>
        <v>72.45320649606015</v>
      </c>
      <c r="K3362" s="75">
        <f>'THAM_SO_MOI'!$C$31*J3362/E3362</f>
        <v>417.54516526221784</v>
      </c>
      <c r="L3362" s="75">
        <f>K3362*'THAM_SO_MOI'!$C$53*'THAM_SO_MOI'!$C$17/'THAM_SO_MOI'!$C$26</f>
        <v>3661.8727331907535</v>
      </c>
      <c r="M3362" s="75">
        <f>'THAM_SO_MOI'!$C$15*'THAM_SO_MOI'!$C$16*F3362^2</f>
        <v>827.6301860294587</v>
      </c>
      <c r="N3362" s="75">
        <f>'THAM_SO_MOI'!$C$12*I3362</f>
        <v>1130.112</v>
      </c>
      <c r="O3362" s="75">
        <f>M3362+N3362</f>
        <v>1957.742186029459</v>
      </c>
      <c r="P3362" s="75">
        <f>(MIN(L3362,'THAM_SO_MOI'!$C$41)-O3362)/('THAM_SO_MOI'!$C$11*H3362)</f>
        <v>0.20171999848026687</v>
      </c>
      <c r="Q3362" s="75">
        <f>IF(P3362&gt;0,1/P3362,NA())</f>
        <v>4.957366684185378</v>
      </c>
      <c r="R3362" s="75">
        <f>F3362-F3361</f>
        <v>0.0073885545698715305</v>
      </c>
      <c r="S3362" s="75">
        <f>0.5*(Q3361+Q3362)*R3362</f>
        <v>0.03662335622259349</v>
      </c>
      <c r="T3362" s="75">
        <f>0.5*(F3361*Q3361+F3362*Q3362)*R3362</f>
        <v>0.615911038794817</v>
      </c>
      <c r="U3362" s="76">
        <f>U3361+S3362</f>
        <v>30.944828375388283</v>
      </c>
      <c r="V3362" s="76">
        <f>V3361+T3362</f>
        <v>324.72010200933255</v>
      </c>
    </row>
    <row r="3363" spans="1:22" ht="19" customHeight="1">
      <c r="A3363" s="68" t="s">
        <v>378</v>
      </c>
      <c r="B3363" s="74">
        <v>5</v>
      </c>
      <c r="C3363" s="68" t="s">
        <v>363</v>
      </c>
      <c r="D3363" s="68" t="s">
        <v>364</v>
      </c>
      <c r="E3363" s="75">
        <f>60*F3363*'THAM_SO_MOI'!$C$53/(2*PI()*'THAM_SO_MOI'!$C$26)</f>
        <v>1658.0521573400044</v>
      </c>
      <c r="F3363" s="75">
        <f>'HANH_TRINH'!$F$3289+('THAM_SO_MOI'!$C$14-'HANH_TRINH'!$F$3289)*73/'THAM_SO_MOI'!$C$42</f>
        <v>16.82852082770304</v>
      </c>
      <c r="G3363" s="75">
        <f>3.6*F3363</f>
        <v>60.58267497973095</v>
      </c>
      <c r="H3363" s="75">
        <f>'THAM_SO_MOI'!$D$53</f>
        <v>1.1</v>
      </c>
      <c r="I3363" s="75">
        <f>IF(F3363&gt;'THAM_SO_MOI'!$C$14,'THAM_SO_MOI'!$C$13*(1+F3363^2/1500),'THAM_SO_MOI'!$C$13)</f>
        <v>0.015</v>
      </c>
      <c r="J3363" s="75">
        <f>'THAM_SO_MOI'!$C$40*('THAM_SO_MOI'!$C$23*(E3363/'THAM_SO_MOI'!$C$22)+'THAM_SO_MOI'!$C$24*(E3363/'THAM_SO_MOI'!$C$22)^2-'THAM_SO_MOI'!$C$25*(E3363/'THAM_SO_MOI'!$C$22)^3)</f>
        <v>72.49127116021133</v>
      </c>
      <c r="K3363" s="75">
        <f>'THAM_SO_MOI'!$C$31*J3363/E3363</f>
        <v>417.5811111913052</v>
      </c>
      <c r="L3363" s="75">
        <f>K3363*'THAM_SO_MOI'!$C$53*'THAM_SO_MOI'!$C$17/'THAM_SO_MOI'!$C$26</f>
        <v>3662.1879791295046</v>
      </c>
      <c r="M3363" s="75">
        <f>'THAM_SO_MOI'!$C$15*'THAM_SO_MOI'!$C$16*F3363^2</f>
        <v>828.3574062516726</v>
      </c>
      <c r="N3363" s="75">
        <f>'THAM_SO_MOI'!$C$12*I3363</f>
        <v>1130.112</v>
      </c>
      <c r="O3363" s="75">
        <f>M3363+N3363</f>
        <v>1958.4694062516728</v>
      </c>
      <c r="P3363" s="75">
        <f>(MIN(L3363,'THAM_SO_MOI'!$C$41)-O3363)/('THAM_SO_MOI'!$C$11*H3363)</f>
        <v>0.2016712325849706</v>
      </c>
      <c r="Q3363" s="75">
        <f>IF(P3363&gt;0,1/P3363,NA())</f>
        <v>4.958565419481272</v>
      </c>
      <c r="R3363" s="75">
        <f>F3363-F3362</f>
        <v>0.0073885545698715305</v>
      </c>
      <c r="S3363" s="75">
        <f>0.5*(Q3362+Q3363)*R3363</f>
        <v>0.03663220272954102</v>
      </c>
      <c r="T3363" s="75">
        <f>0.5*(F3362*Q3362+F3363*Q3363)*R3363</f>
        <v>0.6163304734442417</v>
      </c>
      <c r="U3363" s="76">
        <f>U3362+S3363</f>
        <v>30.981460578117826</v>
      </c>
      <c r="V3363" s="76">
        <f>V3362+T3363</f>
        <v>325.3364324827768</v>
      </c>
    </row>
    <row r="3364" spans="1:22" ht="19" customHeight="1">
      <c r="A3364" s="68" t="s">
        <v>378</v>
      </c>
      <c r="B3364" s="74">
        <v>5</v>
      </c>
      <c r="C3364" s="68" t="s">
        <v>363</v>
      </c>
      <c r="D3364" s="68" t="s">
        <v>364</v>
      </c>
      <c r="E3364" s="75">
        <f>60*F3364*'THAM_SO_MOI'!$C$53/(2*PI()*'THAM_SO_MOI'!$C$26)</f>
        <v>1658.7801244007835</v>
      </c>
      <c r="F3364" s="75">
        <f>'HANH_TRINH'!$F$3289+('THAM_SO_MOI'!$C$14-'HANH_TRINH'!$F$3289)*74/'THAM_SO_MOI'!$C$42</f>
        <v>16.835909382272913</v>
      </c>
      <c r="G3364" s="75">
        <f>3.6*F3364</f>
        <v>60.60927377618249</v>
      </c>
      <c r="H3364" s="75">
        <f>'THAM_SO_MOI'!$D$53</f>
        <v>1.1</v>
      </c>
      <c r="I3364" s="75">
        <f>IF(F3364&gt;'THAM_SO_MOI'!$C$14,'THAM_SO_MOI'!$C$13*(1+F3364^2/1500),'THAM_SO_MOI'!$C$13)</f>
        <v>0.015</v>
      </c>
      <c r="J3364" s="75">
        <f>'THAM_SO_MOI'!$C$40*('THAM_SO_MOI'!$C$23*(E3364/'THAM_SO_MOI'!$C$22)+'THAM_SO_MOI'!$C$24*(E3364/'THAM_SO_MOI'!$C$22)^2-'THAM_SO_MOI'!$C$25*(E3364/'THAM_SO_MOI'!$C$22)^3)</f>
        <v>72.52933237493617</v>
      </c>
      <c r="K3364" s="75">
        <f>'THAM_SO_MOI'!$C$31*J3364/E3364</f>
        <v>417.6170057086872</v>
      </c>
      <c r="L3364" s="75">
        <f>K3364*'THAM_SO_MOI'!$C$53*'THAM_SO_MOI'!$C$17/'THAM_SO_MOI'!$C$26</f>
        <v>3662.5027741873987</v>
      </c>
      <c r="M3364" s="75">
        <f>'THAM_SO_MOI'!$C$15*'THAM_SO_MOI'!$C$16*F3364^2</f>
        <v>829.0849458297075</v>
      </c>
      <c r="N3364" s="75">
        <f>'THAM_SO_MOI'!$C$12*I3364</f>
        <v>1130.112</v>
      </c>
      <c r="O3364" s="75">
        <f>M3364+N3364</f>
        <v>1959.1969458297076</v>
      </c>
      <c r="P3364" s="75">
        <f>(MIN(L3364,'THAM_SO_MOI'!$C$41)-O3364)/('THAM_SO_MOI'!$C$11*H3364)</f>
        <v>0.20162237551582518</v>
      </c>
      <c r="Q3364" s="75">
        <f>IF(P3364&gt;0,1/P3364,NA())</f>
        <v>4.95976697745787</v>
      </c>
      <c r="R3364" s="75">
        <f>F3364-F3363</f>
        <v>0.0073885545698715305</v>
      </c>
      <c r="S3364" s="75">
        <f>0.5*(Q3363+Q3364)*R3364</f>
        <v>0.036641070078454775</v>
      </c>
      <c r="T3364" s="75">
        <f>0.5*(F3363*Q3363+F3364*Q3364)*R3364</f>
        <v>0.6167503896359738</v>
      </c>
      <c r="U3364" s="76">
        <f>U3363+S3364</f>
        <v>31.018101648196282</v>
      </c>
      <c r="V3364" s="76">
        <f>V3363+T3364</f>
        <v>325.95318287241275</v>
      </c>
    </row>
    <row r="3365" spans="1:22" ht="19" customHeight="1">
      <c r="A3365" s="68" t="s">
        <v>378</v>
      </c>
      <c r="B3365" s="74">
        <v>5</v>
      </c>
      <c r="C3365" s="68" t="s">
        <v>363</v>
      </c>
      <c r="D3365" s="68" t="s">
        <v>364</v>
      </c>
      <c r="E3365" s="75">
        <f>60*F3365*'THAM_SO_MOI'!$C$53/(2*PI()*'THAM_SO_MOI'!$C$26)</f>
        <v>1659.5080914615623</v>
      </c>
      <c r="F3365" s="75">
        <f>'HANH_TRINH'!$F$3289+('THAM_SO_MOI'!$C$14-'HANH_TRINH'!$F$3289)*75/'THAM_SO_MOI'!$C$42</f>
        <v>16.843297936842784</v>
      </c>
      <c r="G3365" s="75">
        <f>3.6*F3365</f>
        <v>60.63587257263403</v>
      </c>
      <c r="H3365" s="75">
        <f>'THAM_SO_MOI'!$D$53</f>
        <v>1.1</v>
      </c>
      <c r="I3365" s="75">
        <f>IF(F3365&gt;'THAM_SO_MOI'!$C$14,'THAM_SO_MOI'!$C$13*(1+F3365^2/1500),'THAM_SO_MOI'!$C$13)</f>
        <v>0.015</v>
      </c>
      <c r="J3365" s="75">
        <f>'THAM_SO_MOI'!$C$40*('THAM_SO_MOI'!$C$23*(E3365/'THAM_SO_MOI'!$C$22)+'THAM_SO_MOI'!$C$24*(E3365/'THAM_SO_MOI'!$C$22)^2-'THAM_SO_MOI'!$C$25*(E3365/'THAM_SO_MOI'!$C$22)^3)</f>
        <v>72.56739012847918</v>
      </c>
      <c r="K3365" s="75">
        <f>'THAM_SO_MOI'!$C$31*J3365/E3365</f>
        <v>417.65284881436395</v>
      </c>
      <c r="L3365" s="75">
        <f>K3365*'THAM_SO_MOI'!$C$53*'THAM_SO_MOI'!$C$17/'THAM_SO_MOI'!$C$26</f>
        <v>3662.817118364437</v>
      </c>
      <c r="M3365" s="75">
        <f>'THAM_SO_MOI'!$C$15*'THAM_SO_MOI'!$C$16*F3365^2</f>
        <v>829.8128047635633</v>
      </c>
      <c r="N3365" s="75">
        <f>'THAM_SO_MOI'!$C$12*I3365</f>
        <v>1130.112</v>
      </c>
      <c r="O3365" s="75">
        <f>M3365+N3365</f>
        <v>1959.9248047635633</v>
      </c>
      <c r="P3365" s="75">
        <f>(MIN(L3365,'THAM_SO_MOI'!$C$41)-O3365)/('THAM_SO_MOI'!$C$11*H3365)</f>
        <v>0.2015734272728307</v>
      </c>
      <c r="Q3365" s="75">
        <f>IF(P3365&gt;0,1/P3365,NA())</f>
        <v>4.960971361798074</v>
      </c>
      <c r="R3365" s="75">
        <f>F3365-F3364</f>
        <v>0.0073885545698715305</v>
      </c>
      <c r="S3365" s="75">
        <f>0.5*(Q3364+Q3365)*R3365</f>
        <v>0.0366499582965046</v>
      </c>
      <c r="T3365" s="75">
        <f>0.5*(F3364*Q3364+F3365*Q3365)*R3365</f>
        <v>0.6171707882895191</v>
      </c>
      <c r="U3365" s="76">
        <f>U3364+S3365</f>
        <v>31.054751606492786</v>
      </c>
      <c r="V3365" s="76">
        <f>V3364+T3365</f>
        <v>326.57035366070227</v>
      </c>
    </row>
    <row r="3366" spans="1:22" ht="19" customHeight="1">
      <c r="A3366" s="68" t="s">
        <v>378</v>
      </c>
      <c r="B3366" s="74">
        <v>5</v>
      </c>
      <c r="C3366" s="68" t="s">
        <v>363</v>
      </c>
      <c r="D3366" s="68" t="s">
        <v>364</v>
      </c>
      <c r="E3366" s="75">
        <f>60*F3366*'THAM_SO_MOI'!$C$53/(2*PI()*'THAM_SO_MOI'!$C$26)</f>
        <v>1660.2360585223414</v>
      </c>
      <c r="F3366" s="75">
        <f>'HANH_TRINH'!$F$3289+('THAM_SO_MOI'!$C$14-'HANH_TRINH'!$F$3289)*76/'THAM_SO_MOI'!$C$42</f>
        <v>16.850686491412656</v>
      </c>
      <c r="G3366" s="75">
        <f>3.6*F3366</f>
        <v>60.662471369085566</v>
      </c>
      <c r="H3366" s="75">
        <f>'THAM_SO_MOI'!$D$53</f>
        <v>1.1</v>
      </c>
      <c r="I3366" s="75">
        <f>IF(F3366&gt;'THAM_SO_MOI'!$C$14,'THAM_SO_MOI'!$C$13*(1+F3366^2/1500),'THAM_SO_MOI'!$C$13)</f>
        <v>0.015</v>
      </c>
      <c r="J3366" s="75">
        <f>'THAM_SO_MOI'!$C$40*('THAM_SO_MOI'!$C$23*(E3366/'THAM_SO_MOI'!$C$22)+'THAM_SO_MOI'!$C$24*(E3366/'THAM_SO_MOI'!$C$22)^2-'THAM_SO_MOI'!$C$25*(E3366/'THAM_SO_MOI'!$C$22)^3)</f>
        <v>72.60544440908477</v>
      </c>
      <c r="K3366" s="75">
        <f>'THAM_SO_MOI'!$C$31*J3366/E3366</f>
        <v>417.6886405083351</v>
      </c>
      <c r="L3366" s="75">
        <f>K3366*'THAM_SO_MOI'!$C$53*'THAM_SO_MOI'!$C$17/'THAM_SO_MOI'!$C$26</f>
        <v>3663.1310116606155</v>
      </c>
      <c r="M3366" s="75">
        <f>'THAM_SO_MOI'!$C$15*'THAM_SO_MOI'!$C$16*F3366^2</f>
        <v>830.5409830532402</v>
      </c>
      <c r="N3366" s="75">
        <f>'THAM_SO_MOI'!$C$12*I3366</f>
        <v>1130.112</v>
      </c>
      <c r="O3366" s="75">
        <f>M3366+N3366</f>
        <v>1960.6529830532404</v>
      </c>
      <c r="P3366" s="75">
        <f>(MIN(L3366,'THAM_SO_MOI'!$C$41)-O3366)/('THAM_SO_MOI'!$C$11*H3366)</f>
        <v>0.20152438785598664</v>
      </c>
      <c r="Q3366" s="75">
        <f>IF(P3366&gt;0,1/P3366,NA())</f>
        <v>4.962178576196048</v>
      </c>
      <c r="R3366" s="75">
        <f>F3366-F3365</f>
        <v>0.0073885545698715305</v>
      </c>
      <c r="S3366" s="75">
        <f>0.5*(Q3365+Q3366)*R3366</f>
        <v>0.03665886741094343</v>
      </c>
      <c r="T3366" s="75">
        <f>0.5*(F3365*Q3365+F3366*Q3366)*R3366</f>
        <v>0.6175916703265859</v>
      </c>
      <c r="U3366" s="76">
        <f>U3365+S3366</f>
        <v>31.09141047390373</v>
      </c>
      <c r="V3366" s="76">
        <f>V3365+T3366</f>
        <v>327.18794533102886</v>
      </c>
    </row>
    <row r="3367" spans="1:22" ht="19" customHeight="1">
      <c r="A3367" s="68" t="s">
        <v>378</v>
      </c>
      <c r="B3367" s="74">
        <v>5</v>
      </c>
      <c r="C3367" s="68" t="s">
        <v>363</v>
      </c>
      <c r="D3367" s="68" t="s">
        <v>364</v>
      </c>
      <c r="E3367" s="75">
        <f>60*F3367*'THAM_SO_MOI'!$C$53/(2*PI()*'THAM_SO_MOI'!$C$26)</f>
        <v>1660.9640255831207</v>
      </c>
      <c r="F3367" s="75">
        <f>'HANH_TRINH'!$F$3289+('THAM_SO_MOI'!$C$14-'HANH_TRINH'!$F$3289)*77/'THAM_SO_MOI'!$C$42</f>
        <v>16.85807504598253</v>
      </c>
      <c r="G3367" s="75">
        <f>3.6*F3367</f>
        <v>60.68907016553711</v>
      </c>
      <c r="H3367" s="75">
        <f>'THAM_SO_MOI'!$D$53</f>
        <v>1.1</v>
      </c>
      <c r="I3367" s="75">
        <f>IF(F3367&gt;'THAM_SO_MOI'!$C$14,'THAM_SO_MOI'!$C$13*(1+F3367^2/1500),'THAM_SO_MOI'!$C$13)</f>
        <v>0.015</v>
      </c>
      <c r="J3367" s="75">
        <f>'THAM_SO_MOI'!$C$40*('THAM_SO_MOI'!$C$23*(E3367/'THAM_SO_MOI'!$C$22)+'THAM_SO_MOI'!$C$24*(E3367/'THAM_SO_MOI'!$C$22)^2-'THAM_SO_MOI'!$C$25*(E3367/'THAM_SO_MOI'!$C$22)^3)</f>
        <v>72.64349520499749</v>
      </c>
      <c r="K3367" s="75">
        <f>'THAM_SO_MOI'!$C$31*J3367/E3367</f>
        <v>417.7243807906009</v>
      </c>
      <c r="L3367" s="75">
        <f>K3367*'THAM_SO_MOI'!$C$53*'THAM_SO_MOI'!$C$17/'THAM_SO_MOI'!$C$26</f>
        <v>3663.4444540759378</v>
      </c>
      <c r="M3367" s="75">
        <f>'THAM_SO_MOI'!$C$15*'THAM_SO_MOI'!$C$16*F3367^2</f>
        <v>831.2694806987384</v>
      </c>
      <c r="N3367" s="75">
        <f>'THAM_SO_MOI'!$C$12*I3367</f>
        <v>1130.112</v>
      </c>
      <c r="O3367" s="75">
        <f>M3367+N3367</f>
        <v>1961.3814806987384</v>
      </c>
      <c r="P3367" s="75">
        <f>(MIN(L3367,'THAM_SO_MOI'!$C$41)-O3367)/('THAM_SO_MOI'!$C$11*H3367)</f>
        <v>0.20147525726529347</v>
      </c>
      <c r="Q3367" s="75">
        <f>IF(P3367&gt;0,1/P3367,NA())</f>
        <v>4.9633886243572105</v>
      </c>
      <c r="R3367" s="75">
        <f>F3367-F3366</f>
        <v>0.007388554569875083</v>
      </c>
      <c r="S3367" s="75">
        <f>0.5*(Q3366+Q3367)*R3367</f>
        <v>0.03666779744912501</v>
      </c>
      <c r="T3367" s="75">
        <f>0.5*(F3366*Q3366+F3367*Q3367)*R3367</f>
        <v>0.6180130366713869</v>
      </c>
      <c r="U3367" s="76">
        <f>U3366+S3367</f>
        <v>31.128078271352855</v>
      </c>
      <c r="V3367" s="76">
        <f>V3366+T3367</f>
        <v>327.80595836770027</v>
      </c>
    </row>
    <row r="3368" spans="1:22" ht="19" customHeight="1">
      <c r="A3368" s="68" t="s">
        <v>378</v>
      </c>
      <c r="B3368" s="74">
        <v>5</v>
      </c>
      <c r="C3368" s="68" t="s">
        <v>363</v>
      </c>
      <c r="D3368" s="68" t="s">
        <v>364</v>
      </c>
      <c r="E3368" s="75">
        <f>60*F3368*'THAM_SO_MOI'!$C$53/(2*PI()*'THAM_SO_MOI'!$C$26)</f>
        <v>1661.6919926438995</v>
      </c>
      <c r="F3368" s="75">
        <f>'HANH_TRINH'!$F$3289+('THAM_SO_MOI'!$C$14-'HANH_TRINH'!$F$3289)*78/'THAM_SO_MOI'!$C$42</f>
        <v>16.865463600552403</v>
      </c>
      <c r="G3368" s="75">
        <f>3.6*F3368</f>
        <v>60.71566896198865</v>
      </c>
      <c r="H3368" s="75">
        <f>'THAM_SO_MOI'!$D$53</f>
        <v>1.1</v>
      </c>
      <c r="I3368" s="75">
        <f>IF(F3368&gt;'THAM_SO_MOI'!$C$14,'THAM_SO_MOI'!$C$13*(1+F3368^2/1500),'THAM_SO_MOI'!$C$13)</f>
        <v>0.015</v>
      </c>
      <c r="J3368" s="75">
        <f>'THAM_SO_MOI'!$C$40*('THAM_SO_MOI'!$C$23*(E3368/'THAM_SO_MOI'!$C$22)+'THAM_SO_MOI'!$C$24*(E3368/'THAM_SO_MOI'!$C$22)^2-'THAM_SO_MOI'!$C$25*(E3368/'THAM_SO_MOI'!$C$22)^3)</f>
        <v>72.68154250446177</v>
      </c>
      <c r="K3368" s="75">
        <f>'THAM_SO_MOI'!$C$31*J3368/E3368</f>
        <v>417.76006966116125</v>
      </c>
      <c r="L3368" s="75">
        <f>K3368*'THAM_SO_MOI'!$C$53*'THAM_SO_MOI'!$C$17/'THAM_SO_MOI'!$C$26</f>
        <v>3663.7574456104007</v>
      </c>
      <c r="M3368" s="75">
        <f>'THAM_SO_MOI'!$C$15*'THAM_SO_MOI'!$C$16*F3368^2</f>
        <v>831.9982977000573</v>
      </c>
      <c r="N3368" s="75">
        <f>'THAM_SO_MOI'!$C$12*I3368</f>
        <v>1130.112</v>
      </c>
      <c r="O3368" s="75">
        <f>M3368+N3368</f>
        <v>1962.1102977000573</v>
      </c>
      <c r="P3368" s="75">
        <f>(MIN(L3368,'THAM_SO_MOI'!$C$41)-O3368)/('THAM_SO_MOI'!$C$11*H3368)</f>
        <v>0.2014260355007509</v>
      </c>
      <c r="Q3368" s="75">
        <f>IF(P3368&gt;0,1/P3368,NA())</f>
        <v>4.964601509998305</v>
      </c>
      <c r="R3368" s="75">
        <f>F3368-F3367</f>
        <v>0.0073885545698715305</v>
      </c>
      <c r="S3368" s="75">
        <f>0.5*(Q3367+Q3368)*R3368</f>
        <v>0.03667674843841595</v>
      </c>
      <c r="T3368" s="75">
        <f>0.5*(F3367*Q3367+F3368*Q3368)*R3368</f>
        <v>0.6184348882491608</v>
      </c>
      <c r="U3368" s="76">
        <f>U3367+S3368</f>
        <v>31.164755019791272</v>
      </c>
      <c r="V3368" s="76">
        <f>V3367+T3368</f>
        <v>328.42439325594944</v>
      </c>
    </row>
    <row r="3369" spans="1:22" ht="19" customHeight="1">
      <c r="A3369" s="68" t="s">
        <v>378</v>
      </c>
      <c r="B3369" s="74">
        <v>5</v>
      </c>
      <c r="C3369" s="68" t="s">
        <v>363</v>
      </c>
      <c r="D3369" s="68" t="s">
        <v>364</v>
      </c>
      <c r="E3369" s="75">
        <f>60*F3369*'THAM_SO_MOI'!$C$53/(2*PI()*'THAM_SO_MOI'!$C$26)</f>
        <v>1662.4199597046784</v>
      </c>
      <c r="F3369" s="75">
        <f>'HANH_TRINH'!$F$3289+('THAM_SO_MOI'!$C$14-'HANH_TRINH'!$F$3289)*79/'THAM_SO_MOI'!$C$42</f>
        <v>16.872852155122274</v>
      </c>
      <c r="G3369" s="75">
        <f>3.6*F3369</f>
        <v>60.742267758440185</v>
      </c>
      <c r="H3369" s="75">
        <f>'THAM_SO_MOI'!$D$53</f>
        <v>1.1</v>
      </c>
      <c r="I3369" s="75">
        <f>IF(F3369&gt;'THAM_SO_MOI'!$C$14,'THAM_SO_MOI'!$C$13*(1+F3369^2/1500),'THAM_SO_MOI'!$C$13)</f>
        <v>0.015</v>
      </c>
      <c r="J3369" s="75">
        <f>'THAM_SO_MOI'!$C$40*('THAM_SO_MOI'!$C$23*(E3369/'THAM_SO_MOI'!$C$22)+'THAM_SO_MOI'!$C$24*(E3369/'THAM_SO_MOI'!$C$22)^2-'THAM_SO_MOI'!$C$25*(E3369/'THAM_SO_MOI'!$C$22)^3)</f>
        <v>72.71958629572212</v>
      </c>
      <c r="K3369" s="75">
        <f>'THAM_SO_MOI'!$C$31*J3369/E3369</f>
        <v>417.7957071200161</v>
      </c>
      <c r="L3369" s="75">
        <f>K3369*'THAM_SO_MOI'!$C$53*'THAM_SO_MOI'!$C$17/'THAM_SO_MOI'!$C$26</f>
        <v>3664.0699862640063</v>
      </c>
      <c r="M3369" s="75">
        <f>'THAM_SO_MOI'!$C$15*'THAM_SO_MOI'!$C$16*F3369^2</f>
        <v>832.7274340571971</v>
      </c>
      <c r="N3369" s="75">
        <f>'THAM_SO_MOI'!$C$12*I3369</f>
        <v>1130.112</v>
      </c>
      <c r="O3369" s="75">
        <f>M3369+N3369</f>
        <v>1962.8394340571972</v>
      </c>
      <c r="P3369" s="75">
        <f>(MIN(L3369,'THAM_SO_MOI'!$C$41)-O3369)/('THAM_SO_MOI'!$C$11*H3369)</f>
        <v>0.20137672256235903</v>
      </c>
      <c r="Q3369" s="75">
        <f>IF(P3369&gt;0,1/P3369,NA())</f>
        <v>4.965817236847404</v>
      </c>
      <c r="R3369" s="75">
        <f>F3369-F3368</f>
        <v>0.0073885545698715305</v>
      </c>
      <c r="S3369" s="75">
        <f>0.5*(Q3368+Q3369)*R3369</f>
        <v>0.03668572040637239</v>
      </c>
      <c r="T3369" s="75">
        <f>0.5*(F3368*Q3368+F3369*Q3369)*R3369</f>
        <v>0.6188572259891515</v>
      </c>
      <c r="U3369" s="76">
        <f>U3368+S3369</f>
        <v>31.201440740197643</v>
      </c>
      <c r="V3369" s="76">
        <f>V3368+T3369</f>
        <v>329.04325048193857</v>
      </c>
    </row>
    <row r="3370" spans="1:22" ht="19" customHeight="1">
      <c r="A3370" s="68" t="s">
        <v>378</v>
      </c>
      <c r="B3370" s="74">
        <v>5</v>
      </c>
      <c r="C3370" s="68" t="s">
        <v>363</v>
      </c>
      <c r="D3370" s="68" t="s">
        <v>364</v>
      </c>
      <c r="E3370" s="75">
        <f>60*F3370*'THAM_SO_MOI'!$C$53/(2*PI()*'THAM_SO_MOI'!$C$26)</f>
        <v>1663.1479267654574</v>
      </c>
      <c r="F3370" s="75">
        <f>'HANH_TRINH'!$F$3289+('THAM_SO_MOI'!$C$14-'HANH_TRINH'!$F$3289)*80/'THAM_SO_MOI'!$C$42</f>
        <v>16.880240709692146</v>
      </c>
      <c r="G3370" s="75">
        <f>3.6*F3370</f>
        <v>60.76886655489172</v>
      </c>
      <c r="H3370" s="75">
        <f>'THAM_SO_MOI'!$D$53</f>
        <v>1.1</v>
      </c>
      <c r="I3370" s="75">
        <f>IF(F3370&gt;'THAM_SO_MOI'!$C$14,'THAM_SO_MOI'!$C$13*(1+F3370^2/1500),'THAM_SO_MOI'!$C$13)</f>
        <v>0.015</v>
      </c>
      <c r="J3370" s="75">
        <f>'THAM_SO_MOI'!$C$40*('THAM_SO_MOI'!$C$23*(E3370/'THAM_SO_MOI'!$C$22)+'THAM_SO_MOI'!$C$24*(E3370/'THAM_SO_MOI'!$C$22)^2-'THAM_SO_MOI'!$C$25*(E3370/'THAM_SO_MOI'!$C$22)^3)</f>
        <v>72.75762656702305</v>
      </c>
      <c r="K3370" s="75">
        <f>'THAM_SO_MOI'!$C$31*J3370/E3370</f>
        <v>417.8312931671657</v>
      </c>
      <c r="L3370" s="75">
        <f>K3370*'THAM_SO_MOI'!$C$53*'THAM_SO_MOI'!$C$17/'THAM_SO_MOI'!$C$26</f>
        <v>3664.382076036756</v>
      </c>
      <c r="M3370" s="75">
        <f>'THAM_SO_MOI'!$C$15*'THAM_SO_MOI'!$C$16*F3370^2</f>
        <v>833.4568897701579</v>
      </c>
      <c r="N3370" s="75">
        <f>'THAM_SO_MOI'!$C$12*I3370</f>
        <v>1130.112</v>
      </c>
      <c r="O3370" s="75">
        <f>M3370+N3370</f>
        <v>1963.568889770158</v>
      </c>
      <c r="P3370" s="75">
        <f>(MIN(L3370,'THAM_SO_MOI'!$C$41)-O3370)/('THAM_SO_MOI'!$C$11*H3370)</f>
        <v>0.20132731845011817</v>
      </c>
      <c r="Q3370" s="75">
        <f>IF(P3370&gt;0,1/P3370,NA())</f>
        <v>4.967035808643947</v>
      </c>
      <c r="R3370" s="75">
        <f>F3370-F3369</f>
        <v>0.0073885545698715305</v>
      </c>
      <c r="S3370" s="75">
        <f>0.5*(Q3369+Q3370)*R3370</f>
        <v>0.03669471338056374</v>
      </c>
      <c r="T3370" s="75">
        <f>0.5*(F3369*Q3369+F3370*Q3370)*R3370</f>
        <v>0.6192800508216416</v>
      </c>
      <c r="U3370" s="76">
        <f>U3369+S3370</f>
        <v>31.238135453578206</v>
      </c>
      <c r="V3370" s="76">
        <f>V3369+T3370</f>
        <v>329.66253053276023</v>
      </c>
    </row>
    <row r="3371" spans="1:22" ht="19" customHeight="1">
      <c r="A3371" s="68" t="s">
        <v>378</v>
      </c>
      <c r="B3371" s="74">
        <v>5</v>
      </c>
      <c r="C3371" s="68" t="s">
        <v>363</v>
      </c>
      <c r="D3371" s="68" t="s">
        <v>364</v>
      </c>
      <c r="E3371" s="75">
        <f>60*F3371*'THAM_SO_MOI'!$C$53/(2*PI()*'THAM_SO_MOI'!$C$26)</f>
        <v>1663.8758938262363</v>
      </c>
      <c r="F3371" s="75">
        <f>'HANH_TRINH'!$F$3289+('THAM_SO_MOI'!$C$14-'HANH_TRINH'!$F$3289)*81/'THAM_SO_MOI'!$C$42</f>
        <v>16.887629264262017</v>
      </c>
      <c r="G3371" s="75">
        <f>3.6*F3371</f>
        <v>60.79546535134326</v>
      </c>
      <c r="H3371" s="75">
        <f>'THAM_SO_MOI'!$D$53</f>
        <v>1.1</v>
      </c>
      <c r="I3371" s="75">
        <f>IF(F3371&gt;'THAM_SO_MOI'!$C$14,'THAM_SO_MOI'!$C$13*(1+F3371^2/1500),'THAM_SO_MOI'!$C$13)</f>
        <v>0.015</v>
      </c>
      <c r="J3371" s="75">
        <f>'THAM_SO_MOI'!$C$40*('THAM_SO_MOI'!$C$23*(E3371/'THAM_SO_MOI'!$C$22)+'THAM_SO_MOI'!$C$24*(E3371/'THAM_SO_MOI'!$C$22)^2-'THAM_SO_MOI'!$C$25*(E3371/'THAM_SO_MOI'!$C$22)^3)</f>
        <v>72.795663306609</v>
      </c>
      <c r="K3371" s="75">
        <f>'THAM_SO_MOI'!$C$31*J3371/E3371</f>
        <v>417.86682780260975</v>
      </c>
      <c r="L3371" s="75">
        <f>K3371*'THAM_SO_MOI'!$C$53*'THAM_SO_MOI'!$C$17/'THAM_SO_MOI'!$C$26</f>
        <v>3664.693714928646</v>
      </c>
      <c r="M3371" s="75">
        <f>'THAM_SO_MOI'!$C$15*'THAM_SO_MOI'!$C$16*F3371^2</f>
        <v>834.1866648389398</v>
      </c>
      <c r="N3371" s="75">
        <f>'THAM_SO_MOI'!$C$12*I3371</f>
        <v>1130.112</v>
      </c>
      <c r="O3371" s="75">
        <f>M3371+N3371</f>
        <v>1964.2986648389399</v>
      </c>
      <c r="P3371" s="75">
        <f>(MIN(L3371,'THAM_SO_MOI'!$C$41)-O3371)/('THAM_SO_MOI'!$C$11*H3371)</f>
        <v>0.20127782316402773</v>
      </c>
      <c r="Q3371" s="75">
        <f>IF(P3371&gt;0,1/P3371,NA())</f>
        <v>4.968257229138791</v>
      </c>
      <c r="R3371" s="75">
        <f>F3371-F3370</f>
        <v>0.0073885545698715305</v>
      </c>
      <c r="S3371" s="75">
        <f>0.5*(Q3370+Q3371)*R3371</f>
        <v>0.03670372738866123</v>
      </c>
      <c r="T3371" s="75">
        <f>0.5*(F3370*Q3370+F3371*Q3371)*R3371</f>
        <v>0.619703363679448</v>
      </c>
      <c r="U3371" s="76">
        <f>U3370+S3371</f>
        <v>31.274839180966868</v>
      </c>
      <c r="V3371" s="76">
        <f>V3370+T3371</f>
        <v>330.28223389643966</v>
      </c>
    </row>
    <row r="3372" spans="1:22" ht="19" customHeight="1">
      <c r="A3372" s="68" t="s">
        <v>378</v>
      </c>
      <c r="B3372" s="74">
        <v>5</v>
      </c>
      <c r="C3372" s="68" t="s">
        <v>363</v>
      </c>
      <c r="D3372" s="68" t="s">
        <v>364</v>
      </c>
      <c r="E3372" s="75">
        <f>60*F3372*'THAM_SO_MOI'!$C$53/(2*PI()*'THAM_SO_MOI'!$C$26)</f>
        <v>1664.6038608870151</v>
      </c>
      <c r="F3372" s="75">
        <f>'HANH_TRINH'!$F$3289+('THAM_SO_MOI'!$C$14-'HANH_TRINH'!$F$3289)*82/'THAM_SO_MOI'!$C$42</f>
        <v>16.89501781883189</v>
      </c>
      <c r="G3372" s="75">
        <f>3.6*F3372</f>
        <v>60.8220641477948</v>
      </c>
      <c r="H3372" s="75">
        <f>'THAM_SO_MOI'!$D$53</f>
        <v>1.1</v>
      </c>
      <c r="I3372" s="75">
        <f>IF(F3372&gt;'THAM_SO_MOI'!$C$14,'THAM_SO_MOI'!$C$13*(1+F3372^2/1500),'THAM_SO_MOI'!$C$13)</f>
        <v>0.015</v>
      </c>
      <c r="J3372" s="75">
        <f>'THAM_SO_MOI'!$C$40*('THAM_SO_MOI'!$C$23*(E3372/'THAM_SO_MOI'!$C$22)+'THAM_SO_MOI'!$C$24*(E3372/'THAM_SO_MOI'!$C$22)^2-'THAM_SO_MOI'!$C$25*(E3372/'THAM_SO_MOI'!$C$22)^3)</f>
        <v>72.83369650272445</v>
      </c>
      <c r="K3372" s="75">
        <f>'THAM_SO_MOI'!$C$31*J3372/E3372</f>
        <v>417.9023110263483</v>
      </c>
      <c r="L3372" s="75">
        <f>K3372*'THAM_SO_MOI'!$C$53*'THAM_SO_MOI'!$C$17/'THAM_SO_MOI'!$C$26</f>
        <v>3665.0049029396773</v>
      </c>
      <c r="M3372" s="75">
        <f>'THAM_SO_MOI'!$C$15*'THAM_SO_MOI'!$C$16*F3372^2</f>
        <v>834.9167592635426</v>
      </c>
      <c r="N3372" s="75">
        <f>'THAM_SO_MOI'!$C$12*I3372</f>
        <v>1130.112</v>
      </c>
      <c r="O3372" s="75">
        <f>M3372+N3372</f>
        <v>1965.0287592635427</v>
      </c>
      <c r="P3372" s="75">
        <f>(MIN(L3372,'THAM_SO_MOI'!$C$41)-O3372)/('THAM_SO_MOI'!$C$11*H3372)</f>
        <v>0.2012282367040879</v>
      </c>
      <c r="Q3372" s="75">
        <f>IF(P3372&gt;0,1/P3372,NA())</f>
        <v>4.96948150209421</v>
      </c>
      <c r="R3372" s="75">
        <f>F3372-F3371</f>
        <v>0.0073885545698715305</v>
      </c>
      <c r="S3372" s="75">
        <f>0.5*(Q3371+Q3372)*R3372</f>
        <v>0.03671276245842044</v>
      </c>
      <c r="T3372" s="75">
        <f>0.5*(F3371*Q3371+F3372*Q3372)*R3372</f>
        <v>0.6201271654976297</v>
      </c>
      <c r="U3372" s="76">
        <f>U3371+S3372</f>
        <v>31.31155194342529</v>
      </c>
      <c r="V3372" s="76">
        <f>V3371+T3372</f>
        <v>330.9023610619373</v>
      </c>
    </row>
    <row r="3373" spans="1:22" ht="19" customHeight="1">
      <c r="A3373" s="68" t="s">
        <v>378</v>
      </c>
      <c r="B3373" s="74">
        <v>5</v>
      </c>
      <c r="C3373" s="68" t="s">
        <v>363</v>
      </c>
      <c r="D3373" s="68" t="s">
        <v>364</v>
      </c>
      <c r="E3373" s="75">
        <f>60*F3373*'THAM_SO_MOI'!$C$53/(2*PI()*'THAM_SO_MOI'!$C$26)</f>
        <v>1665.3318279477944</v>
      </c>
      <c r="F3373" s="75">
        <f>'HANH_TRINH'!$F$3289+('THAM_SO_MOI'!$C$14-'HANH_TRINH'!$F$3289)*83/'THAM_SO_MOI'!$C$42</f>
        <v>16.90240637340176</v>
      </c>
      <c r="G3373" s="75">
        <f>3.6*F3373</f>
        <v>60.848662944246335</v>
      </c>
      <c r="H3373" s="75">
        <f>'THAM_SO_MOI'!$D$53</f>
        <v>1.1</v>
      </c>
      <c r="I3373" s="75">
        <f>IF(F3373&gt;'THAM_SO_MOI'!$C$14,'THAM_SO_MOI'!$C$13*(1+F3373^2/1500),'THAM_SO_MOI'!$C$13)</f>
        <v>0.015</v>
      </c>
      <c r="J3373" s="75">
        <f>'THAM_SO_MOI'!$C$40*('THAM_SO_MOI'!$C$23*(E3373/'THAM_SO_MOI'!$C$22)+'THAM_SO_MOI'!$C$24*(E3373/'THAM_SO_MOI'!$C$22)^2-'THAM_SO_MOI'!$C$25*(E3373/'THAM_SO_MOI'!$C$22)^3)</f>
        <v>72.87172614361396</v>
      </c>
      <c r="K3373" s="75">
        <f>'THAM_SO_MOI'!$C$31*J3373/E3373</f>
        <v>417.9377428383815</v>
      </c>
      <c r="L3373" s="75">
        <f>K3373*'THAM_SO_MOI'!$C$53*'THAM_SO_MOI'!$C$17/'THAM_SO_MOI'!$C$26</f>
        <v>3665.3156400698517</v>
      </c>
      <c r="M3373" s="75">
        <f>'THAM_SO_MOI'!$C$15*'THAM_SO_MOI'!$C$16*F3373^2</f>
        <v>835.6471730439665</v>
      </c>
      <c r="N3373" s="75">
        <f>'THAM_SO_MOI'!$C$12*I3373</f>
        <v>1130.112</v>
      </c>
      <c r="O3373" s="75">
        <f>M3373+N3373</f>
        <v>1965.7591730439667</v>
      </c>
      <c r="P3373" s="75">
        <f>(MIN(L3373,'THAM_SO_MOI'!$C$41)-O3373)/('THAM_SO_MOI'!$C$11*H3373)</f>
        <v>0.20117855907029888</v>
      </c>
      <c r="Q3373" s="75">
        <f>IF(P3373&gt;0,1/P3373,NA())</f>
        <v>4.970708631283937</v>
      </c>
      <c r="R3373" s="75">
        <f>F3373-F3372</f>
        <v>0.0073885545698715305</v>
      </c>
      <c r="S3373" s="75">
        <f>0.5*(Q3372+Q3373)*R3373</f>
        <v>0.036721818617681506</v>
      </c>
      <c r="T3373" s="75">
        <f>0.5*(F3372*Q3372+F3373*Q3373)*R3373</f>
        <v>0.6205514572134947</v>
      </c>
      <c r="U3373" s="76">
        <f>U3372+S3373</f>
        <v>31.34827376204297</v>
      </c>
      <c r="V3373" s="76">
        <f>V3372+T3373</f>
        <v>331.5229125191508</v>
      </c>
    </row>
    <row r="3374" spans="1:22" ht="19" customHeight="1">
      <c r="A3374" s="68" t="s">
        <v>378</v>
      </c>
      <c r="B3374" s="74">
        <v>5</v>
      </c>
      <c r="C3374" s="68" t="s">
        <v>363</v>
      </c>
      <c r="D3374" s="68" t="s">
        <v>364</v>
      </c>
      <c r="E3374" s="75">
        <f>60*F3374*'THAM_SO_MOI'!$C$53/(2*PI()*'THAM_SO_MOI'!$C$26)</f>
        <v>1666.0597950085735</v>
      </c>
      <c r="F3374" s="75">
        <f>'HANH_TRINH'!$F$3289+('THAM_SO_MOI'!$C$14-'HANH_TRINH'!$F$3289)*84/'THAM_SO_MOI'!$C$42</f>
        <v>16.909794927971635</v>
      </c>
      <c r="G3374" s="75">
        <f>3.6*F3374</f>
        <v>60.87526174069789</v>
      </c>
      <c r="H3374" s="75">
        <f>'THAM_SO_MOI'!$D$53</f>
        <v>1.1</v>
      </c>
      <c r="I3374" s="75">
        <f>IF(F3374&gt;'THAM_SO_MOI'!$C$14,'THAM_SO_MOI'!$C$13*(1+F3374^2/1500),'THAM_SO_MOI'!$C$13)</f>
        <v>0.015</v>
      </c>
      <c r="J3374" s="75">
        <f>'THAM_SO_MOI'!$C$40*('THAM_SO_MOI'!$C$23*(E3374/'THAM_SO_MOI'!$C$22)+'THAM_SO_MOI'!$C$24*(E3374/'THAM_SO_MOI'!$C$22)^2-'THAM_SO_MOI'!$C$25*(E3374/'THAM_SO_MOI'!$C$22)^3)</f>
        <v>72.90975221752194</v>
      </c>
      <c r="K3374" s="75">
        <f>'THAM_SO_MOI'!$C$31*J3374/E3374</f>
        <v>417.97312323870926</v>
      </c>
      <c r="L3374" s="75">
        <f>K3374*'THAM_SO_MOI'!$C$53*'THAM_SO_MOI'!$C$17/'THAM_SO_MOI'!$C$26</f>
        <v>3665.625926319169</v>
      </c>
      <c r="M3374" s="75">
        <f>'THAM_SO_MOI'!$C$15*'THAM_SO_MOI'!$C$16*F3374^2</f>
        <v>836.3779061802117</v>
      </c>
      <c r="N3374" s="75">
        <f>'THAM_SO_MOI'!$C$12*I3374</f>
        <v>1130.112</v>
      </c>
      <c r="O3374" s="75">
        <f>M3374+N3374</f>
        <v>1966.4899061802116</v>
      </c>
      <c r="P3374" s="75">
        <f>(MIN(L3374,'THAM_SO_MOI'!$C$41)-O3374)/('THAM_SO_MOI'!$C$11*H3374)</f>
        <v>0.2011287902626607</v>
      </c>
      <c r="Q3374" s="75">
        <f>IF(P3374&gt;0,1/P3374,NA())</f>
        <v>4.971938620493203</v>
      </c>
      <c r="R3374" s="75">
        <f>F3374-F3373</f>
        <v>0.007388554569875083</v>
      </c>
      <c r="S3374" s="75">
        <f>0.5*(Q3373+Q3374)*R3374</f>
        <v>0.03673089589438697</v>
      </c>
      <c r="T3374" s="75">
        <f>0.5*(F3373*Q3373+F3374*Q3374)*R3374</f>
        <v>0.6209762397669057</v>
      </c>
      <c r="U3374" s="76">
        <f>U3373+S3374</f>
        <v>31.38500465793736</v>
      </c>
      <c r="V3374" s="76">
        <f>V3373+T3374</f>
        <v>332.1438887589177</v>
      </c>
    </row>
    <row r="3375" spans="1:22" ht="19" customHeight="1">
      <c r="A3375" s="68" t="s">
        <v>378</v>
      </c>
      <c r="B3375" s="74">
        <v>5</v>
      </c>
      <c r="C3375" s="68" t="s">
        <v>363</v>
      </c>
      <c r="D3375" s="68" t="s">
        <v>364</v>
      </c>
      <c r="E3375" s="75">
        <f>60*F3375*'THAM_SO_MOI'!$C$53/(2*PI()*'THAM_SO_MOI'!$C$26)</f>
        <v>1666.7877620693523</v>
      </c>
      <c r="F3375" s="75">
        <f>'HANH_TRINH'!$F$3289+('THAM_SO_MOI'!$C$14-'HANH_TRINH'!$F$3289)*85/'THAM_SO_MOI'!$C$42</f>
        <v>16.917183482541507</v>
      </c>
      <c r="G3375" s="75">
        <f>3.6*F3375</f>
        <v>60.901860537149425</v>
      </c>
      <c r="H3375" s="75">
        <f>'THAM_SO_MOI'!$D$53</f>
        <v>1.1</v>
      </c>
      <c r="I3375" s="75">
        <f>IF(F3375&gt;'THAM_SO_MOI'!$C$14,'THAM_SO_MOI'!$C$13*(1+F3375^2/1500),'THAM_SO_MOI'!$C$13)</f>
        <v>0.015</v>
      </c>
      <c r="J3375" s="75">
        <f>'THAM_SO_MOI'!$C$40*('THAM_SO_MOI'!$C$23*(E3375/'THAM_SO_MOI'!$C$22)+'THAM_SO_MOI'!$C$24*(E3375/'THAM_SO_MOI'!$C$22)^2-'THAM_SO_MOI'!$C$25*(E3375/'THAM_SO_MOI'!$C$22)^3)</f>
        <v>72.94777471269289</v>
      </c>
      <c r="K3375" s="75">
        <f>'THAM_SO_MOI'!$C$31*J3375/E3375</f>
        <v>418.00845222733165</v>
      </c>
      <c r="L3375" s="75">
        <f>K3375*'THAM_SO_MOI'!$C$53*'THAM_SO_MOI'!$C$17/'THAM_SO_MOI'!$C$26</f>
        <v>3665.9357616876287</v>
      </c>
      <c r="M3375" s="75">
        <f>'THAM_SO_MOI'!$C$15*'THAM_SO_MOI'!$C$16*F3375^2</f>
        <v>837.1089586722775</v>
      </c>
      <c r="N3375" s="75">
        <f>'THAM_SO_MOI'!$C$12*I3375</f>
        <v>1130.112</v>
      </c>
      <c r="O3375" s="75">
        <f>M3375+N3375</f>
        <v>1967.2209586722774</v>
      </c>
      <c r="P3375" s="75">
        <f>(MIN(L3375,'THAM_SO_MOI'!$C$41)-O3375)/('THAM_SO_MOI'!$C$11*H3375)</f>
        <v>0.2010789302811732</v>
      </c>
      <c r="Q3375" s="75">
        <f>IF(P3375&gt;0,1/P3375,NA())</f>
        <v>4.973171473518769</v>
      </c>
      <c r="R3375" s="75">
        <f>F3375-F3374</f>
        <v>0.0073885545698715305</v>
      </c>
      <c r="S3375" s="75">
        <f>0.5*(Q3374+Q3375)*R3375</f>
        <v>0.03673999431649382</v>
      </c>
      <c r="T3375" s="75">
        <f>0.5*(F3374*Q3374+F3375*Q3375)*R3375</f>
        <v>0.6214015140987954</v>
      </c>
      <c r="U3375" s="76">
        <f>U3374+S3375</f>
        <v>31.421744652253853</v>
      </c>
      <c r="V3375" s="76">
        <f>V3374+T3375</f>
        <v>332.7652902730165</v>
      </c>
    </row>
    <row r="3376" spans="1:22" ht="19" customHeight="1">
      <c r="A3376" s="68" t="s">
        <v>378</v>
      </c>
      <c r="B3376" s="74">
        <v>5</v>
      </c>
      <c r="C3376" s="68" t="s">
        <v>363</v>
      </c>
      <c r="D3376" s="68" t="s">
        <v>364</v>
      </c>
      <c r="E3376" s="75">
        <f>60*F3376*'THAM_SO_MOI'!$C$53/(2*PI()*'THAM_SO_MOI'!$C$26)</f>
        <v>1667.5157291301311</v>
      </c>
      <c r="F3376" s="75">
        <f>'HANH_TRINH'!$F$3289+('THAM_SO_MOI'!$C$14-'HANH_TRINH'!$F$3289)*86/'THAM_SO_MOI'!$C$42</f>
        <v>16.92457203711138</v>
      </c>
      <c r="G3376" s="75">
        <f>3.6*F3376</f>
        <v>60.92845933360096</v>
      </c>
      <c r="H3376" s="75">
        <f>'THAM_SO_MOI'!$D$53</f>
        <v>1.1</v>
      </c>
      <c r="I3376" s="75">
        <f>IF(F3376&gt;'THAM_SO_MOI'!$C$14,'THAM_SO_MOI'!$C$13*(1+F3376^2/1500),'THAM_SO_MOI'!$C$13)</f>
        <v>0.015</v>
      </c>
      <c r="J3376" s="75">
        <f>'THAM_SO_MOI'!$C$40*('THAM_SO_MOI'!$C$23*(E3376/'THAM_SO_MOI'!$C$22)+'THAM_SO_MOI'!$C$24*(E3376/'THAM_SO_MOI'!$C$22)^2-'THAM_SO_MOI'!$C$25*(E3376/'THAM_SO_MOI'!$C$22)^3)</f>
        <v>72.9857936173713</v>
      </c>
      <c r="K3376" s="75">
        <f>'THAM_SO_MOI'!$C$31*J3376/E3376</f>
        <v>418.04372980424847</v>
      </c>
      <c r="L3376" s="75">
        <f>K3376*'THAM_SO_MOI'!$C$53*'THAM_SO_MOI'!$C$17/'THAM_SO_MOI'!$C$26</f>
        <v>3666.24514617523</v>
      </c>
      <c r="M3376" s="75">
        <f>'THAM_SO_MOI'!$C$15*'THAM_SO_MOI'!$C$16*F3376^2</f>
        <v>837.8403305201643</v>
      </c>
      <c r="N3376" s="75">
        <f>'THAM_SO_MOI'!$C$12*I3376</f>
        <v>1130.112</v>
      </c>
      <c r="O3376" s="75">
        <f>M3376+N3376</f>
        <v>1967.9523305201644</v>
      </c>
      <c r="P3376" s="75">
        <f>(MIN(L3376,'THAM_SO_MOI'!$C$41)-O3376)/('THAM_SO_MOI'!$C$11*H3376)</f>
        <v>0.2010289791258363</v>
      </c>
      <c r="Q3376" s="75">
        <f>IF(P3376&gt;0,1/P3376,NA())</f>
        <v>4.9744071941689505</v>
      </c>
      <c r="R3376" s="75">
        <f>F3376-F3375</f>
        <v>0.0073885545698715305</v>
      </c>
      <c r="S3376" s="75">
        <f>0.5*(Q3375+Q3376)*R3376</f>
        <v>0.03674911391215032</v>
      </c>
      <c r="T3376" s="75">
        <f>0.5*(F3375*Q3375+F3376*Q3376)*R3376</f>
        <v>0.6218272811541586</v>
      </c>
      <c r="U3376" s="76">
        <f>U3375+S3376</f>
        <v>31.458493766166004</v>
      </c>
      <c r="V3376" s="76">
        <f>V3375+T3376</f>
        <v>333.38711755417063</v>
      </c>
    </row>
    <row r="3377" spans="1:22" ht="19" customHeight="1">
      <c r="A3377" s="68" t="s">
        <v>378</v>
      </c>
      <c r="B3377" s="74">
        <v>5</v>
      </c>
      <c r="C3377" s="68" t="s">
        <v>363</v>
      </c>
      <c r="D3377" s="68" t="s">
        <v>364</v>
      </c>
      <c r="E3377" s="75">
        <f>60*F3377*'THAM_SO_MOI'!$C$53/(2*PI()*'THAM_SO_MOI'!$C$26)</f>
        <v>1668.2436961909104</v>
      </c>
      <c r="F3377" s="75">
        <f>'HANH_TRINH'!$F$3289+('THAM_SO_MOI'!$C$14-'HANH_TRINH'!$F$3289)*87/'THAM_SO_MOI'!$C$42</f>
        <v>16.93196059168125</v>
      </c>
      <c r="G3377" s="75">
        <f>3.6*F3377</f>
        <v>60.9550581300525</v>
      </c>
      <c r="H3377" s="75">
        <f>'THAM_SO_MOI'!$D$53</f>
        <v>1.1</v>
      </c>
      <c r="I3377" s="75">
        <f>IF(F3377&gt;'THAM_SO_MOI'!$C$14,'THAM_SO_MOI'!$C$13*(1+F3377^2/1500),'THAM_SO_MOI'!$C$13)</f>
        <v>0.015</v>
      </c>
      <c r="J3377" s="75">
        <f>'THAM_SO_MOI'!$C$40*('THAM_SO_MOI'!$C$23*(E3377/'THAM_SO_MOI'!$C$22)+'THAM_SO_MOI'!$C$24*(E3377/'THAM_SO_MOI'!$C$22)^2-'THAM_SO_MOI'!$C$25*(E3377/'THAM_SO_MOI'!$C$22)^3)</f>
        <v>73.02380891980168</v>
      </c>
      <c r="K3377" s="75">
        <f>'THAM_SO_MOI'!$C$31*J3377/E3377</f>
        <v>418.07895596946</v>
      </c>
      <c r="L3377" s="75">
        <f>K3377*'THAM_SO_MOI'!$C$53*'THAM_SO_MOI'!$C$17/'THAM_SO_MOI'!$C$26</f>
        <v>3666.554079781974</v>
      </c>
      <c r="M3377" s="75">
        <f>'THAM_SO_MOI'!$C$15*'THAM_SO_MOI'!$C$16*F3377^2</f>
        <v>838.5720217238721</v>
      </c>
      <c r="N3377" s="75">
        <f>'THAM_SO_MOI'!$C$12*I3377</f>
        <v>1130.112</v>
      </c>
      <c r="O3377" s="75">
        <f>M3377+N3377</f>
        <v>1968.6840217238723</v>
      </c>
      <c r="P3377" s="75">
        <f>(MIN(L3377,'THAM_SO_MOI'!$C$41)-O3377)/('THAM_SO_MOI'!$C$11*H3377)</f>
        <v>0.2009789367966503</v>
      </c>
      <c r="Q3377" s="75">
        <f>IF(P3377&gt;0,1/P3377,NA())</f>
        <v>4.975645786263643</v>
      </c>
      <c r="R3377" s="75">
        <f>F3377-F3376</f>
        <v>0.0073885545698715305</v>
      </c>
      <c r="S3377" s="75">
        <f>0.5*(Q3376+Q3377)*R3377</f>
        <v>0.03675825470951954</v>
      </c>
      <c r="T3377" s="75">
        <f>0.5*(F3376*Q3376+F3377*Q3377)*R3377</f>
        <v>0.6222535418790736</v>
      </c>
      <c r="U3377" s="76">
        <f>U3376+S3377</f>
        <v>31.495252020875522</v>
      </c>
      <c r="V3377" s="76">
        <f>V3376+T3377</f>
        <v>334.0093710960497</v>
      </c>
    </row>
    <row r="3378" spans="1:22" ht="19" customHeight="1">
      <c r="A3378" s="68" t="s">
        <v>378</v>
      </c>
      <c r="B3378" s="74">
        <v>5</v>
      </c>
      <c r="C3378" s="68" t="s">
        <v>363</v>
      </c>
      <c r="D3378" s="68" t="s">
        <v>364</v>
      </c>
      <c r="E3378" s="75">
        <f>60*F3378*'THAM_SO_MOI'!$C$53/(2*PI()*'THAM_SO_MOI'!$C$26)</f>
        <v>1668.9716632516893</v>
      </c>
      <c r="F3378" s="75">
        <f>'HANH_TRINH'!$F$3289+('THAM_SO_MOI'!$C$14-'HANH_TRINH'!$F$3289)*88/'THAM_SO_MOI'!$C$42</f>
        <v>16.93934914625112</v>
      </c>
      <c r="G3378" s="75">
        <f>3.6*F3378</f>
        <v>60.98165692650404</v>
      </c>
      <c r="H3378" s="75">
        <f>'THAM_SO_MOI'!$D$53</f>
        <v>1.1</v>
      </c>
      <c r="I3378" s="75">
        <f>IF(F3378&gt;'THAM_SO_MOI'!$C$14,'THAM_SO_MOI'!$C$13*(1+F3378^2/1500),'THAM_SO_MOI'!$C$13)</f>
        <v>0.015</v>
      </c>
      <c r="J3378" s="75">
        <f>'THAM_SO_MOI'!$C$40*('THAM_SO_MOI'!$C$23*(E3378/'THAM_SO_MOI'!$C$22)+'THAM_SO_MOI'!$C$24*(E3378/'THAM_SO_MOI'!$C$22)^2-'THAM_SO_MOI'!$C$25*(E3378/'THAM_SO_MOI'!$C$22)^3)</f>
        <v>73.06182060822847</v>
      </c>
      <c r="K3378" s="75">
        <f>'THAM_SO_MOI'!$C$31*J3378/E3378</f>
        <v>418.114130722966</v>
      </c>
      <c r="L3378" s="75">
        <f>K3378*'THAM_SO_MOI'!$C$53*'THAM_SO_MOI'!$C$17/'THAM_SO_MOI'!$C$26</f>
        <v>3666.862562507859</v>
      </c>
      <c r="M3378" s="75">
        <f>'THAM_SO_MOI'!$C$15*'THAM_SO_MOI'!$C$16*F3378^2</f>
        <v>839.304032283401</v>
      </c>
      <c r="N3378" s="75">
        <f>'THAM_SO_MOI'!$C$12*I3378</f>
        <v>1130.112</v>
      </c>
      <c r="O3378" s="75">
        <f>M3378+N3378</f>
        <v>1969.4160322834011</v>
      </c>
      <c r="P3378" s="75">
        <f>(MIN(L3378,'THAM_SO_MOI'!$C$41)-O3378)/('THAM_SO_MOI'!$C$11*H3378)</f>
        <v>0.20092880329361482</v>
      </c>
      <c r="Q3378" s="75">
        <f>IF(P3378&gt;0,1/P3378,NA())</f>
        <v>4.976887253634374</v>
      </c>
      <c r="R3378" s="75">
        <f>F3378-F3377</f>
        <v>0.0073885545698715305</v>
      </c>
      <c r="S3378" s="75">
        <f>0.5*(Q3377+Q3378)*R3378</f>
        <v>0.03676741673686794</v>
      </c>
      <c r="T3378" s="75">
        <f>0.5*(F3377*Q3377+F3378*Q3378)*R3378</f>
        <v>0.6226802972222015</v>
      </c>
      <c r="U3378" s="76">
        <f>U3377+S3378</f>
        <v>31.53201943761239</v>
      </c>
      <c r="V3378" s="76">
        <f>V3377+T3378</f>
        <v>334.63205139327187</v>
      </c>
    </row>
    <row r="3379" spans="1:22" ht="19" customHeight="1">
      <c r="A3379" s="68" t="s">
        <v>378</v>
      </c>
      <c r="B3379" s="74">
        <v>5</v>
      </c>
      <c r="C3379" s="68" t="s">
        <v>363</v>
      </c>
      <c r="D3379" s="68" t="s">
        <v>364</v>
      </c>
      <c r="E3379" s="75">
        <f>60*F3379*'THAM_SO_MOI'!$C$53/(2*PI()*'THAM_SO_MOI'!$C$26)</f>
        <v>1669.6996303124681</v>
      </c>
      <c r="F3379" s="75">
        <f>'HANH_TRINH'!$F$3289+('THAM_SO_MOI'!$C$14-'HANH_TRINH'!$F$3289)*89/'THAM_SO_MOI'!$C$42</f>
        <v>16.946737700820993</v>
      </c>
      <c r="G3379" s="75">
        <f>3.6*F3379</f>
        <v>61.008255722955575</v>
      </c>
      <c r="H3379" s="75">
        <f>'THAM_SO_MOI'!$D$53</f>
        <v>1.1</v>
      </c>
      <c r="I3379" s="75">
        <f>IF(F3379&gt;'THAM_SO_MOI'!$C$14,'THAM_SO_MOI'!$C$13*(1+F3379^2/1500),'THAM_SO_MOI'!$C$13)</f>
        <v>0.015</v>
      </c>
      <c r="J3379" s="75">
        <f>'THAM_SO_MOI'!$C$40*('THAM_SO_MOI'!$C$23*(E3379/'THAM_SO_MOI'!$C$22)+'THAM_SO_MOI'!$C$24*(E3379/'THAM_SO_MOI'!$C$22)^2-'THAM_SO_MOI'!$C$25*(E3379/'THAM_SO_MOI'!$C$22)^3)</f>
        <v>73.09982867089616</v>
      </c>
      <c r="K3379" s="75">
        <f>'THAM_SO_MOI'!$C$31*J3379/E3379</f>
        <v>418.1492540647666</v>
      </c>
      <c r="L3379" s="75">
        <f>K3379*'THAM_SO_MOI'!$C$53*'THAM_SO_MOI'!$C$17/'THAM_SO_MOI'!$C$26</f>
        <v>3667.1705943528864</v>
      </c>
      <c r="M3379" s="75">
        <f>'THAM_SO_MOI'!$C$15*'THAM_SO_MOI'!$C$16*F3379^2</f>
        <v>840.0363621987508</v>
      </c>
      <c r="N3379" s="75">
        <f>'THAM_SO_MOI'!$C$12*I3379</f>
        <v>1130.112</v>
      </c>
      <c r="O3379" s="75">
        <f>M3379+N3379</f>
        <v>1970.1483621987509</v>
      </c>
      <c r="P3379" s="75">
        <f>(MIN(L3379,'THAM_SO_MOI'!$C$41)-O3379)/('THAM_SO_MOI'!$C$11*H3379)</f>
        <v>0.20087857861673006</v>
      </c>
      <c r="Q3379" s="75">
        <f>IF(P3379&gt;0,1/P3379,NA())</f>
        <v>4.978131600124313</v>
      </c>
      <c r="R3379" s="75">
        <f>F3379-F3378</f>
        <v>0.0073885545698715305</v>
      </c>
      <c r="S3379" s="75">
        <f>0.5*(Q3378+Q3379)*R3379</f>
        <v>0.036776600022548</v>
      </c>
      <c r="T3379" s="75">
        <f>0.5*(F3378*Q3378+F3379*Q3379)*R3379</f>
        <v>0.6231075481344963</v>
      </c>
      <c r="U3379" s="76">
        <f>U3378+S3379</f>
        <v>31.56879603763494</v>
      </c>
      <c r="V3379" s="76">
        <f>V3378+T3379</f>
        <v>335.25515894140636</v>
      </c>
    </row>
    <row r="3380" spans="1:22" ht="19" customHeight="1">
      <c r="A3380" s="68" t="s">
        <v>378</v>
      </c>
      <c r="B3380" s="74">
        <v>5</v>
      </c>
      <c r="C3380" s="68" t="s">
        <v>363</v>
      </c>
      <c r="D3380" s="68" t="s">
        <v>364</v>
      </c>
      <c r="E3380" s="75">
        <f>60*F3380*'THAM_SO_MOI'!$C$53/(2*PI()*'THAM_SO_MOI'!$C$26)</f>
        <v>1670.427597373247</v>
      </c>
      <c r="F3380" s="75">
        <f>'HANH_TRINH'!$F$3289+('THAM_SO_MOI'!$C$14-'HANH_TRINH'!$F$3289)*90/'THAM_SO_MOI'!$C$42</f>
        <v>16.954126255390864</v>
      </c>
      <c r="G3380" s="75">
        <f>3.6*F3380</f>
        <v>61.03485451940711</v>
      </c>
      <c r="H3380" s="75">
        <f>'THAM_SO_MOI'!$D$53</f>
        <v>1.1</v>
      </c>
      <c r="I3380" s="75">
        <f>IF(F3380&gt;'THAM_SO_MOI'!$C$14,'THAM_SO_MOI'!$C$13*(1+F3380^2/1500),'THAM_SO_MOI'!$C$13)</f>
        <v>0.015</v>
      </c>
      <c r="J3380" s="75">
        <f>'THAM_SO_MOI'!$C$40*('THAM_SO_MOI'!$C$23*(E3380/'THAM_SO_MOI'!$C$22)+'THAM_SO_MOI'!$C$24*(E3380/'THAM_SO_MOI'!$C$22)^2-'THAM_SO_MOI'!$C$25*(E3380/'THAM_SO_MOI'!$C$22)^3)</f>
        <v>73.13783309604926</v>
      </c>
      <c r="K3380" s="75">
        <f>'THAM_SO_MOI'!$C$31*J3380/E3380</f>
        <v>418.1843259948618</v>
      </c>
      <c r="L3380" s="75">
        <f>K3380*'THAM_SO_MOI'!$C$53*'THAM_SO_MOI'!$C$17/'THAM_SO_MOI'!$C$26</f>
        <v>3667.478175317057</v>
      </c>
      <c r="M3380" s="75">
        <f>'THAM_SO_MOI'!$C$15*'THAM_SO_MOI'!$C$16*F3380^2</f>
        <v>840.7690114699217</v>
      </c>
      <c r="N3380" s="75">
        <f>'THAM_SO_MOI'!$C$12*I3380</f>
        <v>1130.112</v>
      </c>
      <c r="O3380" s="75">
        <f>M3380+N3380</f>
        <v>1970.8810114699218</v>
      </c>
      <c r="P3380" s="75">
        <f>(MIN(L3380,'THAM_SO_MOI'!$C$41)-O3380)/('THAM_SO_MOI'!$C$11*H3380)</f>
        <v>0.2008282627659961</v>
      </c>
      <c r="Q3380" s="75">
        <f>IF(P3380&gt;0,1/P3380,NA())</f>
        <v>4.979378829588313</v>
      </c>
      <c r="R3380" s="75">
        <f>F3380-F3379</f>
        <v>0.0073885545698715305</v>
      </c>
      <c r="S3380" s="75">
        <f>0.5*(Q3379+Q3380)*R3380</f>
        <v>0.03678580459499833</v>
      </c>
      <c r="T3380" s="75">
        <f>0.5*(F3379*Q3379+F3380*Q3380)*R3380</f>
        <v>0.6235352955692101</v>
      </c>
      <c r="U3380" s="76">
        <f>U3379+S3380</f>
        <v>31.605581842229938</v>
      </c>
      <c r="V3380" s="76">
        <f>V3379+T3380</f>
        <v>335.87869423697555</v>
      </c>
    </row>
    <row r="3381" spans="1:22" ht="19" customHeight="1">
      <c r="A3381" s="68" t="s">
        <v>378</v>
      </c>
      <c r="B3381" s="74">
        <v>5</v>
      </c>
      <c r="C3381" s="68" t="s">
        <v>363</v>
      </c>
      <c r="D3381" s="68" t="s">
        <v>364</v>
      </c>
      <c r="E3381" s="75">
        <f>60*F3381*'THAM_SO_MOI'!$C$53/(2*PI()*'THAM_SO_MOI'!$C$26)</f>
        <v>1671.1555644340265</v>
      </c>
      <c r="F3381" s="75">
        <f>'HANH_TRINH'!$F$3289+('THAM_SO_MOI'!$C$14-'HANH_TRINH'!$F$3289)*91/'THAM_SO_MOI'!$C$42</f>
        <v>16.96151480996074</v>
      </c>
      <c r="G3381" s="75">
        <f>3.6*F3381</f>
        <v>61.061453315858664</v>
      </c>
      <c r="H3381" s="75">
        <f>'THAM_SO_MOI'!$D$53</f>
        <v>1.1</v>
      </c>
      <c r="I3381" s="75">
        <f>IF(F3381&gt;'THAM_SO_MOI'!$C$14,'THAM_SO_MOI'!$C$13*(1+F3381^2/1500),'THAM_SO_MOI'!$C$13)</f>
        <v>0.015</v>
      </c>
      <c r="J3381" s="75">
        <f>'THAM_SO_MOI'!$C$40*('THAM_SO_MOI'!$C$23*(E3381/'THAM_SO_MOI'!$C$22)+'THAM_SO_MOI'!$C$24*(E3381/'THAM_SO_MOI'!$C$22)^2-'THAM_SO_MOI'!$C$25*(E3381/'THAM_SO_MOI'!$C$22)^3)</f>
        <v>73.17583387193231</v>
      </c>
      <c r="K3381" s="75">
        <f>'THAM_SO_MOI'!$C$31*J3381/E3381</f>
        <v>418.21934651325165</v>
      </c>
      <c r="L3381" s="75">
        <f>K3381*'THAM_SO_MOI'!$C$53*'THAM_SO_MOI'!$C$17/'THAM_SO_MOI'!$C$26</f>
        <v>3667.78530540037</v>
      </c>
      <c r="M3381" s="75">
        <f>'THAM_SO_MOI'!$C$15*'THAM_SO_MOI'!$C$16*F3381^2</f>
        <v>841.5019800969138</v>
      </c>
      <c r="N3381" s="75">
        <f>'THAM_SO_MOI'!$C$12*I3381</f>
        <v>1130.112</v>
      </c>
      <c r="O3381" s="75">
        <f>M3381+N3381</f>
        <v>1971.613980096914</v>
      </c>
      <c r="P3381" s="75">
        <f>(MIN(L3381,'THAM_SO_MOI'!$C$41)-O3381)/('THAM_SO_MOI'!$C$11*H3381)</f>
        <v>0.20077785574141285</v>
      </c>
      <c r="Q3381" s="75">
        <f>IF(P3381&gt;0,1/P3381,NA())</f>
        <v>4.980628945892951</v>
      </c>
      <c r="R3381" s="75">
        <f>F3381-F3380</f>
        <v>0.007388554569875083</v>
      </c>
      <c r="S3381" s="75">
        <f>0.5*(Q3380+Q3381)*R3381</f>
        <v>0.036795030482761726</v>
      </c>
      <c r="T3381" s="75">
        <f>0.5*(F3380*Q3380+F3381*Q3381)*R3381</f>
        <v>0.6239635404822019</v>
      </c>
      <c r="U3381" s="76">
        <f>U3380+S3381</f>
        <v>31.6423768727127</v>
      </c>
      <c r="V3381" s="76">
        <f>V3380+T3381</f>
        <v>336.5026577774577</v>
      </c>
    </row>
    <row r="3382" spans="1:22" ht="19" customHeight="1">
      <c r="A3382" s="68" t="s">
        <v>378</v>
      </c>
      <c r="B3382" s="74">
        <v>5</v>
      </c>
      <c r="C3382" s="68" t="s">
        <v>363</v>
      </c>
      <c r="D3382" s="68" t="s">
        <v>364</v>
      </c>
      <c r="E3382" s="75">
        <f>60*F3382*'THAM_SO_MOI'!$C$53/(2*PI()*'THAM_SO_MOI'!$C$26)</f>
        <v>1671.8835314948053</v>
      </c>
      <c r="F3382" s="75">
        <f>'HANH_TRINH'!$F$3289+('THAM_SO_MOI'!$C$14-'HANH_TRINH'!$F$3289)*92/'THAM_SO_MOI'!$C$42</f>
        <v>16.96890336453061</v>
      </c>
      <c r="G3382" s="75">
        <f>3.6*F3382</f>
        <v>61.0880521123102</v>
      </c>
      <c r="H3382" s="75">
        <f>'THAM_SO_MOI'!$D$53</f>
        <v>1.1</v>
      </c>
      <c r="I3382" s="75">
        <f>IF(F3382&gt;'THAM_SO_MOI'!$C$14,'THAM_SO_MOI'!$C$13*(1+F3382^2/1500),'THAM_SO_MOI'!$C$13)</f>
        <v>0.015</v>
      </c>
      <c r="J3382" s="75">
        <f>'THAM_SO_MOI'!$C$40*('THAM_SO_MOI'!$C$23*(E3382/'THAM_SO_MOI'!$C$22)+'THAM_SO_MOI'!$C$24*(E3382/'THAM_SO_MOI'!$C$22)^2-'THAM_SO_MOI'!$C$25*(E3382/'THAM_SO_MOI'!$C$22)^3)</f>
        <v>73.21383098678965</v>
      </c>
      <c r="K3382" s="75">
        <f>'THAM_SO_MOI'!$C$31*J3382/E3382</f>
        <v>418.2543156199359</v>
      </c>
      <c r="L3382" s="75">
        <f>K3382*'THAM_SO_MOI'!$C$53*'THAM_SO_MOI'!$C$17/'THAM_SO_MOI'!$C$26</f>
        <v>3668.0919846028237</v>
      </c>
      <c r="M3382" s="75">
        <f>'THAM_SO_MOI'!$C$15*'THAM_SO_MOI'!$C$16*F3382^2</f>
        <v>842.2352680797266</v>
      </c>
      <c r="N3382" s="75">
        <f>'THAM_SO_MOI'!$C$12*I3382</f>
        <v>1130.112</v>
      </c>
      <c r="O3382" s="75">
        <f>M3382+N3382</f>
        <v>1972.3472680797267</v>
      </c>
      <c r="P3382" s="75">
        <f>(MIN(L3382,'THAM_SO_MOI'!$C$41)-O3382)/('THAM_SO_MOI'!$C$11*H3382)</f>
        <v>0.2007273575429802</v>
      </c>
      <c r="Q3382" s="75">
        <f>IF(P3382&gt;0,1/P3382,NA())</f>
        <v>4.981881952916546</v>
      </c>
      <c r="R3382" s="75">
        <f>F3382-F3381</f>
        <v>0.0073885545698715305</v>
      </c>
      <c r="S3382" s="75">
        <f>0.5*(Q3381+Q3382)*R3382</f>
        <v>0.03680427771439692</v>
      </c>
      <c r="T3382" s="75">
        <f>0.5*(F3381*Q3381+F3382*Q3382)*R3382</f>
        <v>0.6243922838304448</v>
      </c>
      <c r="U3382" s="76">
        <f>U3381+S3382</f>
        <v>31.679181150427095</v>
      </c>
      <c r="V3382" s="76">
        <f>V3381+T3382</f>
        <v>337.1270500612882</v>
      </c>
    </row>
    <row r="3383" spans="1:22" ht="19" customHeight="1">
      <c r="A3383" s="68" t="s">
        <v>378</v>
      </c>
      <c r="B3383" s="74">
        <v>5</v>
      </c>
      <c r="C3383" s="68" t="s">
        <v>363</v>
      </c>
      <c r="D3383" s="68" t="s">
        <v>364</v>
      </c>
      <c r="E3383" s="75">
        <f>60*F3383*'THAM_SO_MOI'!$C$53/(2*PI()*'THAM_SO_MOI'!$C$26)</f>
        <v>1672.6114985555841</v>
      </c>
      <c r="F3383" s="75">
        <f>'HANH_TRINH'!$F$3289+('THAM_SO_MOI'!$C$14-'HANH_TRINH'!$F$3289)*93/'THAM_SO_MOI'!$C$42</f>
        <v>16.976291919100483</v>
      </c>
      <c r="G3383" s="75">
        <f>3.6*F3383</f>
        <v>61.11465090876174</v>
      </c>
      <c r="H3383" s="75">
        <f>'THAM_SO_MOI'!$D$53</f>
        <v>1.1</v>
      </c>
      <c r="I3383" s="75">
        <f>IF(F3383&gt;'THAM_SO_MOI'!$C$14,'THAM_SO_MOI'!$C$13*(1+F3383^2/1500),'THAM_SO_MOI'!$C$13)</f>
        <v>0.015</v>
      </c>
      <c r="J3383" s="75">
        <f>'THAM_SO_MOI'!$C$40*('THAM_SO_MOI'!$C$23*(E3383/'THAM_SO_MOI'!$C$22)+'THAM_SO_MOI'!$C$24*(E3383/'THAM_SO_MOI'!$C$22)^2-'THAM_SO_MOI'!$C$25*(E3383/'THAM_SO_MOI'!$C$22)^3)</f>
        <v>73.25182442886587</v>
      </c>
      <c r="K3383" s="75">
        <f>'THAM_SO_MOI'!$C$31*J3383/E3383</f>
        <v>418.28923331491484</v>
      </c>
      <c r="L3383" s="75">
        <f>K3383*'THAM_SO_MOI'!$C$53*'THAM_SO_MOI'!$C$17/'THAM_SO_MOI'!$C$26</f>
        <v>3668.398212924421</v>
      </c>
      <c r="M3383" s="75">
        <f>'THAM_SO_MOI'!$C$15*'THAM_SO_MOI'!$C$16*F3383^2</f>
        <v>842.9688754183604</v>
      </c>
      <c r="N3383" s="75">
        <f>'THAM_SO_MOI'!$C$12*I3383</f>
        <v>1130.112</v>
      </c>
      <c r="O3383" s="75">
        <f>M3383+N3383</f>
        <v>1973.0808754183604</v>
      </c>
      <c r="P3383" s="75">
        <f>(MIN(L3383,'THAM_SO_MOI'!$C$41)-O3383)/('THAM_SO_MOI'!$C$11*H3383)</f>
        <v>0.20067676817069846</v>
      </c>
      <c r="Q3383" s="75">
        <f>IF(P3383&gt;0,1/P3383,NA())</f>
        <v>4.9831378545491924</v>
      </c>
      <c r="R3383" s="75">
        <f>F3383-F3382</f>
        <v>0.0073885545698715305</v>
      </c>
      <c r="S3383" s="75">
        <f>0.5*(Q3382+Q3383)*R3383</f>
        <v>0.03681354631865565</v>
      </c>
      <c r="T3383" s="75">
        <f>0.5*(F3382*Q3382+F3383*Q3383)*R3383</f>
        <v>0.6248215265750316</v>
      </c>
      <c r="U3383" s="76">
        <f>U3382+S3383</f>
        <v>31.71599469674575</v>
      </c>
      <c r="V3383" s="76">
        <f>V3382+T3383</f>
        <v>337.7518715878632</v>
      </c>
    </row>
    <row r="3384" spans="1:22" ht="19" customHeight="1">
      <c r="A3384" s="68" t="s">
        <v>378</v>
      </c>
      <c r="B3384" s="74">
        <v>5</v>
      </c>
      <c r="C3384" s="68" t="s">
        <v>363</v>
      </c>
      <c r="D3384" s="68" t="s">
        <v>364</v>
      </c>
      <c r="E3384" s="75">
        <f>60*F3384*'THAM_SO_MOI'!$C$53/(2*PI()*'THAM_SO_MOI'!$C$26)</f>
        <v>1673.339465616363</v>
      </c>
      <c r="F3384" s="75">
        <f>'HANH_TRINH'!$F$3289+('THAM_SO_MOI'!$C$14-'HANH_TRINH'!$F$3289)*94/'THAM_SO_MOI'!$C$42</f>
        <v>16.983680473670354</v>
      </c>
      <c r="G3384" s="75">
        <f>3.6*F3384</f>
        <v>61.141249705213276</v>
      </c>
      <c r="H3384" s="75">
        <f>'THAM_SO_MOI'!$D$53</f>
        <v>1.1</v>
      </c>
      <c r="I3384" s="75">
        <f>IF(F3384&gt;'THAM_SO_MOI'!$C$14,'THAM_SO_MOI'!$C$13*(1+F3384^2/1500),'THAM_SO_MOI'!$C$13)</f>
        <v>0.015</v>
      </c>
      <c r="J3384" s="75">
        <f>'THAM_SO_MOI'!$C$40*('THAM_SO_MOI'!$C$23*(E3384/'THAM_SO_MOI'!$C$22)+'THAM_SO_MOI'!$C$24*(E3384/'THAM_SO_MOI'!$C$22)^2-'THAM_SO_MOI'!$C$25*(E3384/'THAM_SO_MOI'!$C$22)^3)</f>
        <v>73.28981418640541</v>
      </c>
      <c r="K3384" s="75">
        <f>'THAM_SO_MOI'!$C$31*J3384/E3384</f>
        <v>418.3240995981882</v>
      </c>
      <c r="L3384" s="75">
        <f>K3384*'THAM_SO_MOI'!$C$53*'THAM_SO_MOI'!$C$17/'THAM_SO_MOI'!$C$26</f>
        <v>3668.703990365159</v>
      </c>
      <c r="M3384" s="75">
        <f>'THAM_SO_MOI'!$C$15*'THAM_SO_MOI'!$C$16*F3384^2</f>
        <v>843.7028021128152</v>
      </c>
      <c r="N3384" s="75">
        <f>'THAM_SO_MOI'!$C$12*I3384</f>
        <v>1130.112</v>
      </c>
      <c r="O3384" s="75">
        <f>M3384+N3384</f>
        <v>1973.8148021128154</v>
      </c>
      <c r="P3384" s="75">
        <f>(MIN(L3384,'THAM_SO_MOI'!$C$41)-O3384)/('THAM_SO_MOI'!$C$11*H3384)</f>
        <v>0.20062608762456718</v>
      </c>
      <c r="Q3384" s="75">
        <f>IF(P3384&gt;0,1/P3384,NA())</f>
        <v>4.984396654692814</v>
      </c>
      <c r="R3384" s="75">
        <f>F3384-F3383</f>
        <v>0.0073885545698715305</v>
      </c>
      <c r="S3384" s="75">
        <f>0.5*(Q3383+Q3384)*R3384</f>
        <v>0.03682283632430611</v>
      </c>
      <c r="T3384" s="75">
        <f>0.5*(F3383*Q3383+F3384*Q3384)*R3384</f>
        <v>0.6252512696781847</v>
      </c>
      <c r="U3384" s="76">
        <f>U3383+S3384</f>
        <v>31.752817533070054</v>
      </c>
      <c r="V3384" s="76">
        <f>V3383+T3384</f>
        <v>338.3771228575414</v>
      </c>
    </row>
    <row r="3385" spans="1:22" ht="19" customHeight="1">
      <c r="A3385" s="68" t="s">
        <v>378</v>
      </c>
      <c r="B3385" s="74">
        <v>5</v>
      </c>
      <c r="C3385" s="68" t="s">
        <v>363</v>
      </c>
      <c r="D3385" s="68" t="s">
        <v>364</v>
      </c>
      <c r="E3385" s="75">
        <f>60*F3385*'THAM_SO_MOI'!$C$53/(2*PI()*'THAM_SO_MOI'!$C$26)</f>
        <v>1674.067432677142</v>
      </c>
      <c r="F3385" s="75">
        <f>'HANH_TRINH'!$F$3289+('THAM_SO_MOI'!$C$14-'HANH_TRINH'!$F$3289)*95/'THAM_SO_MOI'!$C$42</f>
        <v>16.991069028240226</v>
      </c>
      <c r="G3385" s="75">
        <f>3.6*F3385</f>
        <v>61.167848501664814</v>
      </c>
      <c r="H3385" s="75">
        <f>'THAM_SO_MOI'!$D$53</f>
        <v>1.1</v>
      </c>
      <c r="I3385" s="75">
        <f>IF(F3385&gt;'THAM_SO_MOI'!$C$14,'THAM_SO_MOI'!$C$13*(1+F3385^2/1500),'THAM_SO_MOI'!$C$13)</f>
        <v>0.015</v>
      </c>
      <c r="J3385" s="75">
        <f>'THAM_SO_MOI'!$C$40*('THAM_SO_MOI'!$C$23*(E3385/'THAM_SO_MOI'!$C$22)+'THAM_SO_MOI'!$C$24*(E3385/'THAM_SO_MOI'!$C$22)^2-'THAM_SO_MOI'!$C$25*(E3385/'THAM_SO_MOI'!$C$22)^3)</f>
        <v>73.3278002476528</v>
      </c>
      <c r="K3385" s="75">
        <f>'THAM_SO_MOI'!$C$31*J3385/E3385</f>
        <v>418.35891446975637</v>
      </c>
      <c r="L3385" s="75">
        <f>K3385*'THAM_SO_MOI'!$C$53*'THAM_SO_MOI'!$C$17/'THAM_SO_MOI'!$C$26</f>
        <v>3669.0093169250413</v>
      </c>
      <c r="M3385" s="75">
        <f>'THAM_SO_MOI'!$C$15*'THAM_SO_MOI'!$C$16*F3385^2</f>
        <v>844.437048163091</v>
      </c>
      <c r="N3385" s="75">
        <f>'THAM_SO_MOI'!$C$12*I3385</f>
        <v>1130.112</v>
      </c>
      <c r="O3385" s="75">
        <f>M3385+N3385</f>
        <v>1974.5490481630911</v>
      </c>
      <c r="P3385" s="75">
        <f>(MIN(L3385,'THAM_SO_MOI'!$C$41)-O3385)/('THAM_SO_MOI'!$C$11*H3385)</f>
        <v>0.20057531590458688</v>
      </c>
      <c r="Q3385" s="75">
        <f>IF(P3385&gt;0,1/P3385,NA())</f>
        <v>4.985658357261156</v>
      </c>
      <c r="R3385" s="75">
        <f>F3385-F3384</f>
        <v>0.0073885545698715305</v>
      </c>
      <c r="S3385" s="75">
        <f>0.5*(Q3384+Q3385)*R3385</f>
        <v>0.036832147760221534</v>
      </c>
      <c r="T3385" s="75">
        <f>0.5*(F3384*Q3384+F3385*Q3385)*R3385</f>
        <v>0.6256815141047604</v>
      </c>
      <c r="U3385" s="76">
        <f>U3384+S3385</f>
        <v>31.789649680830276</v>
      </c>
      <c r="V3385" s="76">
        <f>V3384+T3385</f>
        <v>339.00280437164616</v>
      </c>
    </row>
    <row r="3386" spans="1:22" ht="19" customHeight="1">
      <c r="A3386" s="68" t="s">
        <v>378</v>
      </c>
      <c r="B3386" s="74">
        <v>5</v>
      </c>
      <c r="C3386" s="68" t="s">
        <v>363</v>
      </c>
      <c r="D3386" s="68" t="s">
        <v>364</v>
      </c>
      <c r="E3386" s="75">
        <f>60*F3386*'THAM_SO_MOI'!$C$53/(2*PI()*'THAM_SO_MOI'!$C$26)</f>
        <v>1674.795399737921</v>
      </c>
      <c r="F3386" s="75">
        <f>'HANH_TRINH'!$F$3289+('THAM_SO_MOI'!$C$14-'HANH_TRINH'!$F$3289)*96/'THAM_SO_MOI'!$C$42</f>
        <v>16.998457582810097</v>
      </c>
      <c r="G3386" s="75">
        <f>3.6*F3386</f>
        <v>61.19444729811635</v>
      </c>
      <c r="H3386" s="75">
        <f>'THAM_SO_MOI'!$D$53</f>
        <v>1.1</v>
      </c>
      <c r="I3386" s="75">
        <f>IF(F3386&gt;'THAM_SO_MOI'!$C$14,'THAM_SO_MOI'!$C$13*(1+F3386^2/1500),'THAM_SO_MOI'!$C$13)</f>
        <v>0.015</v>
      </c>
      <c r="J3386" s="75">
        <f>'THAM_SO_MOI'!$C$40*('THAM_SO_MOI'!$C$23*(E3386/'THAM_SO_MOI'!$C$22)+'THAM_SO_MOI'!$C$24*(E3386/'THAM_SO_MOI'!$C$22)^2-'THAM_SO_MOI'!$C$25*(E3386/'THAM_SO_MOI'!$C$22)^3)</f>
        <v>73.36578260085248</v>
      </c>
      <c r="K3386" s="75">
        <f>'THAM_SO_MOI'!$C$31*J3386/E3386</f>
        <v>418.39367792961895</v>
      </c>
      <c r="L3386" s="75">
        <f>K3386*'THAM_SO_MOI'!$C$53*'THAM_SO_MOI'!$C$17/'THAM_SO_MOI'!$C$26</f>
        <v>3669.314192604064</v>
      </c>
      <c r="M3386" s="75">
        <f>'THAM_SO_MOI'!$C$15*'THAM_SO_MOI'!$C$16*F3386^2</f>
        <v>845.1716135691878</v>
      </c>
      <c r="N3386" s="75">
        <f>'THAM_SO_MOI'!$C$12*I3386</f>
        <v>1130.112</v>
      </c>
      <c r="O3386" s="75">
        <f>M3386+N3386</f>
        <v>1975.2836135691878</v>
      </c>
      <c r="P3386" s="75">
        <f>(MIN(L3386,'THAM_SO_MOI'!$C$41)-O3386)/('THAM_SO_MOI'!$C$11*H3386)</f>
        <v>0.2005244530107571</v>
      </c>
      <c r="Q3386" s="75">
        <f>IF(P3386&gt;0,1/P3386,NA())</f>
        <v>4.986922966179866</v>
      </c>
      <c r="R3386" s="75">
        <f>F3386-F3385</f>
        <v>0.0073885545698715305</v>
      </c>
      <c r="S3386" s="75">
        <f>0.5*(Q3385+Q3386)*R3386</f>
        <v>0.036841480655362815</v>
      </c>
      <c r="T3386" s="75">
        <f>0.5*(F3385*Q3385+F3386*Q3386)*R3386</f>
        <v>0.6261122608219588</v>
      </c>
      <c r="U3386" s="76">
        <f>U3385+S3386</f>
        <v>31.826491161485638</v>
      </c>
      <c r="V3386" s="76">
        <f>V3385+T3386</f>
        <v>339.62891663246813</v>
      </c>
    </row>
    <row r="3387" spans="1:22" ht="19" customHeight="1">
      <c r="A3387" s="68" t="s">
        <v>378</v>
      </c>
      <c r="B3387" s="74">
        <v>5</v>
      </c>
      <c r="C3387" s="68" t="s">
        <v>363</v>
      </c>
      <c r="D3387" s="68" t="s">
        <v>364</v>
      </c>
      <c r="E3387" s="75">
        <f>60*F3387*'THAM_SO_MOI'!$C$53/(2*PI()*'THAM_SO_MOI'!$C$26)</f>
        <v>1675.5233667986997</v>
      </c>
      <c r="F3387" s="75">
        <f>'HANH_TRINH'!$F$3289+('THAM_SO_MOI'!$C$14-'HANH_TRINH'!$F$3289)*97/'THAM_SO_MOI'!$C$42</f>
        <v>17.00584613737997</v>
      </c>
      <c r="G3387" s="75">
        <f>3.6*F3387</f>
        <v>61.22104609456789</v>
      </c>
      <c r="H3387" s="75">
        <f>'THAM_SO_MOI'!$D$53</f>
        <v>1.1</v>
      </c>
      <c r="I3387" s="75">
        <f>IF(F3387&gt;'THAM_SO_MOI'!$C$14,'THAM_SO_MOI'!$C$13*(1+F3387^2/1500),'THAM_SO_MOI'!$C$13)</f>
        <v>0.015</v>
      </c>
      <c r="J3387" s="75">
        <f>'THAM_SO_MOI'!$C$40*('THAM_SO_MOI'!$C$23*(E3387/'THAM_SO_MOI'!$C$22)+'THAM_SO_MOI'!$C$24*(E3387/'THAM_SO_MOI'!$C$22)^2-'THAM_SO_MOI'!$C$25*(E3387/'THAM_SO_MOI'!$C$22)^3)</f>
        <v>73.40376123424895</v>
      </c>
      <c r="K3387" s="75">
        <f>'THAM_SO_MOI'!$C$31*J3387/E3387</f>
        <v>418.428389977776</v>
      </c>
      <c r="L3387" s="75">
        <f>K3387*'THAM_SO_MOI'!$C$53*'THAM_SO_MOI'!$C$17/'THAM_SO_MOI'!$C$26</f>
        <v>3669.6186174022296</v>
      </c>
      <c r="M3387" s="75">
        <f>'THAM_SO_MOI'!$C$15*'THAM_SO_MOI'!$C$16*F3387^2</f>
        <v>845.9064983311056</v>
      </c>
      <c r="N3387" s="75">
        <f>'THAM_SO_MOI'!$C$12*I3387</f>
        <v>1130.112</v>
      </c>
      <c r="O3387" s="75">
        <f>M3387+N3387</f>
        <v>1976.0184983311055</v>
      </c>
      <c r="P3387" s="75">
        <f>(MIN(L3387,'THAM_SO_MOI'!$C$41)-O3387)/('THAM_SO_MOI'!$C$11*H3387)</f>
        <v>0.20047349894307812</v>
      </c>
      <c r="Q3387" s="75">
        <f>IF(P3387&gt;0,1/P3387,NA())</f>
        <v>4.988190485386486</v>
      </c>
      <c r="R3387" s="75">
        <f>F3387-F3386</f>
        <v>0.0073885545698715305</v>
      </c>
      <c r="S3387" s="75">
        <f>0.5*(Q3386+Q3387)*R3387</f>
        <v>0.03685083503877877</v>
      </c>
      <c r="T3387" s="75">
        <f>0.5*(F3386*Q3386+F3387*Q3387)*R3387</f>
        <v>0.6265435107993301</v>
      </c>
      <c r="U3387" s="76">
        <f>U3386+S3387</f>
        <v>31.863341996524415</v>
      </c>
      <c r="V3387" s="76">
        <f>V3386+T3387</f>
        <v>340.25546014326744</v>
      </c>
    </row>
    <row r="3388" spans="1:22" ht="19" customHeight="1">
      <c r="A3388" s="68" t="s">
        <v>378</v>
      </c>
      <c r="B3388" s="74">
        <v>5</v>
      </c>
      <c r="C3388" s="68" t="s">
        <v>363</v>
      </c>
      <c r="D3388" s="68" t="s">
        <v>364</v>
      </c>
      <c r="E3388" s="75">
        <f>60*F3388*'THAM_SO_MOI'!$C$53/(2*PI()*'THAM_SO_MOI'!$C$26)</f>
        <v>1676.2513338594786</v>
      </c>
      <c r="F3388" s="75">
        <f>'HANH_TRINH'!$F$3289+('THAM_SO_MOI'!$C$14-'HANH_TRINH'!$F$3289)*98/'THAM_SO_MOI'!$C$42</f>
        <v>17.01323469194984</v>
      </c>
      <c r="G3388" s="75">
        <f>3.6*F3388</f>
        <v>61.247644891019426</v>
      </c>
      <c r="H3388" s="75">
        <f>'THAM_SO_MOI'!$D$53</f>
        <v>1.1</v>
      </c>
      <c r="I3388" s="75">
        <f>IF(F3388&gt;'THAM_SO_MOI'!$C$14,'THAM_SO_MOI'!$C$13*(1+F3388^2/1500),'THAM_SO_MOI'!$C$13)</f>
        <v>0.015</v>
      </c>
      <c r="J3388" s="75">
        <f>'THAM_SO_MOI'!$C$40*('THAM_SO_MOI'!$C$23*(E3388/'THAM_SO_MOI'!$C$22)+'THAM_SO_MOI'!$C$24*(E3388/'THAM_SO_MOI'!$C$22)^2-'THAM_SO_MOI'!$C$25*(E3388/'THAM_SO_MOI'!$C$22)^3)</f>
        <v>73.44173613608672</v>
      </c>
      <c r="K3388" s="75">
        <f>'THAM_SO_MOI'!$C$31*J3388/E3388</f>
        <v>418.4630506142279</v>
      </c>
      <c r="L3388" s="75">
        <f>K3388*'THAM_SO_MOI'!$C$53*'THAM_SO_MOI'!$C$17/'THAM_SO_MOI'!$C$26</f>
        <v>3669.9225913195382</v>
      </c>
      <c r="M3388" s="75">
        <f>'THAM_SO_MOI'!$C$15*'THAM_SO_MOI'!$C$16*F3388^2</f>
        <v>846.6417024488444</v>
      </c>
      <c r="N3388" s="75">
        <f>'THAM_SO_MOI'!$C$12*I3388</f>
        <v>1130.112</v>
      </c>
      <c r="O3388" s="75">
        <f>M3388+N3388</f>
        <v>1976.7537024488445</v>
      </c>
      <c r="P3388" s="75">
        <f>(MIN(L3388,'THAM_SO_MOI'!$C$41)-O3388)/('THAM_SO_MOI'!$C$11*H3388)</f>
        <v>0.20042245370154996</v>
      </c>
      <c r="Q3388" s="75">
        <f>IF(P3388&gt;0,1/P3388,NA())</f>
        <v>4.989460918830506</v>
      </c>
      <c r="R3388" s="75">
        <f>F3388-F3387</f>
        <v>0.0073885545698715305</v>
      </c>
      <c r="S3388" s="75">
        <f>0.5*(Q3387+Q3388)*R3388</f>
        <v>0.03686021093960627</v>
      </c>
      <c r="T3388" s="75">
        <f>0.5*(F3387*Q3387+F3388*Q3388)*R3388</f>
        <v>0.6269752650087814</v>
      </c>
      <c r="U3388" s="76">
        <f>U3387+S3388</f>
        <v>31.900202207464023</v>
      </c>
      <c r="V3388" s="76">
        <f>V3387+T3388</f>
        <v>340.88243540827625</v>
      </c>
    </row>
    <row r="3389" spans="1:22" ht="19" customHeight="1">
      <c r="A3389" s="68" t="s">
        <v>378</v>
      </c>
      <c r="B3389" s="74">
        <v>5</v>
      </c>
      <c r="C3389" s="68" t="s">
        <v>363</v>
      </c>
      <c r="D3389" s="68" t="s">
        <v>364</v>
      </c>
      <c r="E3389" s="75">
        <f>60*F3389*'THAM_SO_MOI'!$C$53/(2*PI()*'THAM_SO_MOI'!$C$26)</f>
        <v>1676.979300920258</v>
      </c>
      <c r="F3389" s="75">
        <f>'HANH_TRINH'!$F$3289+('THAM_SO_MOI'!$C$14-'HANH_TRINH'!$F$3289)*99/'THAM_SO_MOI'!$C$42</f>
        <v>17.020623246519715</v>
      </c>
      <c r="G3389" s="75">
        <f>3.6*F3389</f>
        <v>61.27424368747098</v>
      </c>
      <c r="H3389" s="75">
        <f>'THAM_SO_MOI'!$D$53</f>
        <v>1.1</v>
      </c>
      <c r="I3389" s="75">
        <f>IF(F3389&gt;'THAM_SO_MOI'!$C$14,'THAM_SO_MOI'!$C$13*(1+F3389^2/1500),'THAM_SO_MOI'!$C$13)</f>
        <v>0.015</v>
      </c>
      <c r="J3389" s="75">
        <f>'THAM_SO_MOI'!$C$40*('THAM_SO_MOI'!$C$23*(E3389/'THAM_SO_MOI'!$C$22)+'THAM_SO_MOI'!$C$24*(E3389/'THAM_SO_MOI'!$C$22)^2-'THAM_SO_MOI'!$C$25*(E3389/'THAM_SO_MOI'!$C$22)^3)</f>
        <v>73.47970729461026</v>
      </c>
      <c r="K3389" s="75">
        <f>'THAM_SO_MOI'!$C$31*J3389/E3389</f>
        <v>418.49765983897424</v>
      </c>
      <c r="L3389" s="75">
        <f>K3389*'THAM_SO_MOI'!$C$53*'THAM_SO_MOI'!$C$17/'THAM_SO_MOI'!$C$26</f>
        <v>3670.226114355988</v>
      </c>
      <c r="M3389" s="75">
        <f>'THAM_SO_MOI'!$C$15*'THAM_SO_MOI'!$C$16*F3389^2</f>
        <v>847.3772259224045</v>
      </c>
      <c r="N3389" s="75">
        <f>'THAM_SO_MOI'!$C$12*I3389</f>
        <v>1130.112</v>
      </c>
      <c r="O3389" s="75">
        <f>M3389+N3389</f>
        <v>1977.4892259224046</v>
      </c>
      <c r="P3389" s="75">
        <f>(MIN(L3389,'THAM_SO_MOI'!$C$41)-O3389)/('THAM_SO_MOI'!$C$11*H3389)</f>
        <v>0.20037131728617233</v>
      </c>
      <c r="Q3389" s="75">
        <f>IF(P3389&gt;0,1/P3389,NA())</f>
        <v>4.990734270473403</v>
      </c>
      <c r="R3389" s="75">
        <f>F3389-F3388</f>
        <v>0.007388554569875083</v>
      </c>
      <c r="S3389" s="75">
        <f>0.5*(Q3388+Q3389)*R3389</f>
        <v>0.03686960838708836</v>
      </c>
      <c r="T3389" s="75">
        <f>0.5*(F3388*Q3388+F3389*Q3389)*R3389</f>
        <v>0.6274075244248871</v>
      </c>
      <c r="U3389" s="76">
        <f>U3388+S3389</f>
        <v>31.937071815851112</v>
      </c>
      <c r="V3389" s="76">
        <f>V3388+T3389</f>
        <v>341.50984293270113</v>
      </c>
    </row>
    <row r="3390" spans="1:22" ht="19" customHeight="1">
      <c r="A3390" s="68" t="s">
        <v>378</v>
      </c>
      <c r="B3390" s="74">
        <v>5</v>
      </c>
      <c r="C3390" s="68" t="s">
        <v>363</v>
      </c>
      <c r="D3390" s="68" t="s">
        <v>364</v>
      </c>
      <c r="E3390" s="75">
        <f>60*F3390*'THAM_SO_MOI'!$C$53/(2*PI()*'THAM_SO_MOI'!$C$26)</f>
        <v>1677.707267981037</v>
      </c>
      <c r="F3390" s="75">
        <f>'HANH_TRINH'!$F$3289+('THAM_SO_MOI'!$C$14-'HANH_TRINH'!$F$3289)*100/'THAM_SO_MOI'!$C$42</f>
        <v>17.028011801089587</v>
      </c>
      <c r="G3390" s="75">
        <f>3.6*F3390</f>
        <v>61.300842483922516</v>
      </c>
      <c r="H3390" s="75">
        <f>'THAM_SO_MOI'!$D$53</f>
        <v>1.1</v>
      </c>
      <c r="I3390" s="75">
        <f>IF(F3390&gt;'THAM_SO_MOI'!$C$14,'THAM_SO_MOI'!$C$13*(1+F3390^2/1500),'THAM_SO_MOI'!$C$13)</f>
        <v>0.015</v>
      </c>
      <c r="J3390" s="75">
        <f>'THAM_SO_MOI'!$C$40*('THAM_SO_MOI'!$C$23*(E3390/'THAM_SO_MOI'!$C$22)+'THAM_SO_MOI'!$C$24*(E3390/'THAM_SO_MOI'!$C$22)^2-'THAM_SO_MOI'!$C$25*(E3390/'THAM_SO_MOI'!$C$22)^3)</f>
        <v>73.51767469806401</v>
      </c>
      <c r="K3390" s="75">
        <f>'THAM_SO_MOI'!$C$31*J3390/E3390</f>
        <v>418.53221765201505</v>
      </c>
      <c r="L3390" s="75">
        <f>K3390*'THAM_SO_MOI'!$C$53*'THAM_SO_MOI'!$C$17/'THAM_SO_MOI'!$C$26</f>
        <v>3670.5291865115796</v>
      </c>
      <c r="M3390" s="75">
        <f>'THAM_SO_MOI'!$C$15*'THAM_SO_MOI'!$C$16*F3390^2</f>
        <v>848.1130687517854</v>
      </c>
      <c r="N3390" s="75">
        <f>'THAM_SO_MOI'!$C$12*I3390</f>
        <v>1130.112</v>
      </c>
      <c r="O3390" s="75">
        <f>M3390+N3390</f>
        <v>1978.2250687517853</v>
      </c>
      <c r="P3390" s="75">
        <f>(MIN(L3390,'THAM_SO_MOI'!$C$41)-O3390)/('THAM_SO_MOI'!$C$11*H3390)</f>
        <v>0.20032008969694534</v>
      </c>
      <c r="Q3390" s="75">
        <f>IF(P3390&gt;0,1/P3390,NA())</f>
        <v>4.992010544288654</v>
      </c>
      <c r="R3390" s="75">
        <f>F3390-F3389</f>
        <v>0.0073885545698715305</v>
      </c>
      <c r="S3390" s="75">
        <f>0.5*(Q3389+Q3390)*R3390</f>
        <v>0.03687902741048576</v>
      </c>
      <c r="T3390" s="75">
        <f>0.5*(F3389*Q3389+F3390*Q3390)*R3390</f>
        <v>0.6278402900233874</v>
      </c>
      <c r="U3390" s="76">
        <f>U3389+S3390</f>
        <v>31.973950843261598</v>
      </c>
      <c r="V3390" s="76">
        <f>V3389+T3390</f>
        <v>342.13768322272455</v>
      </c>
    </row>
    <row r="3391" spans="1:22" ht="19" customHeight="1">
      <c r="A3391" s="68" t="s">
        <v>378</v>
      </c>
      <c r="B3391" s="74">
        <v>5</v>
      </c>
      <c r="C3391" s="68" t="s">
        <v>363</v>
      </c>
      <c r="D3391" s="68" t="s">
        <v>364</v>
      </c>
      <c r="E3391" s="75">
        <f>60*F3391*'THAM_SO_MOI'!$C$53/(2*PI()*'THAM_SO_MOI'!$C$26)</f>
        <v>1678.4352350418158</v>
      </c>
      <c r="F3391" s="75">
        <f>'HANH_TRINH'!$F$3289+('THAM_SO_MOI'!$C$14-'HANH_TRINH'!$F$3289)*101/'THAM_SO_MOI'!$C$42</f>
        <v>17.03540035565946</v>
      </c>
      <c r="G3391" s="75">
        <f>3.6*F3391</f>
        <v>61.32744128037405</v>
      </c>
      <c r="H3391" s="75">
        <f>'THAM_SO_MOI'!$D$53</f>
        <v>1.1</v>
      </c>
      <c r="I3391" s="75">
        <f>IF(F3391&gt;'THAM_SO_MOI'!$C$14,'THAM_SO_MOI'!$C$13*(1+F3391^2/1500),'THAM_SO_MOI'!$C$13)</f>
        <v>0.015</v>
      </c>
      <c r="J3391" s="75">
        <f>'THAM_SO_MOI'!$C$40*('THAM_SO_MOI'!$C$23*(E3391/'THAM_SO_MOI'!$C$22)+'THAM_SO_MOI'!$C$24*(E3391/'THAM_SO_MOI'!$C$22)^2-'THAM_SO_MOI'!$C$25*(E3391/'THAM_SO_MOI'!$C$22)^3)</f>
        <v>73.55563833469252</v>
      </c>
      <c r="K3391" s="75">
        <f>'THAM_SO_MOI'!$C$31*J3391/E3391</f>
        <v>418.56672405335064</v>
      </c>
      <c r="L3391" s="75">
        <f>K3391*'THAM_SO_MOI'!$C$53*'THAM_SO_MOI'!$C$17/'THAM_SO_MOI'!$C$26</f>
        <v>3670.831807786315</v>
      </c>
      <c r="M3391" s="75">
        <f>'THAM_SO_MOI'!$C$15*'THAM_SO_MOI'!$C$16*F3391^2</f>
        <v>848.849230936987</v>
      </c>
      <c r="N3391" s="75">
        <f>'THAM_SO_MOI'!$C$12*I3391</f>
        <v>1130.112</v>
      </c>
      <c r="O3391" s="75">
        <f>M3391+N3391</f>
        <v>1978.9612309369872</v>
      </c>
      <c r="P3391" s="75">
        <f>(MIN(L3391,'THAM_SO_MOI'!$C$41)-O3391)/('THAM_SO_MOI'!$C$11*H3391)</f>
        <v>0.2002687709338693</v>
      </c>
      <c r="Q3391" s="75">
        <f>IF(P3391&gt;0,1/P3391,NA())</f>
        <v>4.993289744261774</v>
      </c>
      <c r="R3391" s="75">
        <f>F3391-F3390</f>
        <v>0.0073885545698715305</v>
      </c>
      <c r="S3391" s="75">
        <f>0.5*(Q3390+Q3391)*R3391</f>
        <v>0.036888468039254385</v>
      </c>
      <c r="T3391" s="75">
        <f>0.5*(F3390*Q3390+F3391*Q3391)*R3391</f>
        <v>0.6282735627842111</v>
      </c>
      <c r="U3391" s="76">
        <f>U3390+S3391</f>
        <v>32.01083931130085</v>
      </c>
      <c r="V3391" s="76">
        <f>V3390+T3391</f>
        <v>342.76595678550876</v>
      </c>
    </row>
    <row r="3392" spans="1:22" ht="19" customHeight="1">
      <c r="A3392" s="68" t="s">
        <v>378</v>
      </c>
      <c r="B3392" s="74">
        <v>5</v>
      </c>
      <c r="C3392" s="68" t="s">
        <v>363</v>
      </c>
      <c r="D3392" s="68" t="s">
        <v>364</v>
      </c>
      <c r="E3392" s="75">
        <f>60*F3392*'THAM_SO_MOI'!$C$53/(2*PI()*'THAM_SO_MOI'!$C$26)</f>
        <v>1679.1632021025946</v>
      </c>
      <c r="F3392" s="75">
        <f>'HANH_TRINH'!$F$3289+('THAM_SO_MOI'!$C$14-'HANH_TRINH'!$F$3289)*102/'THAM_SO_MOI'!$C$42</f>
        <v>17.04278891022933</v>
      </c>
      <c r="G3392" s="75">
        <f>3.6*F3392</f>
        <v>61.35404007682559</v>
      </c>
      <c r="H3392" s="75">
        <f>'THAM_SO_MOI'!$D$53</f>
        <v>1.1</v>
      </c>
      <c r="I3392" s="75">
        <f>IF(F3392&gt;'THAM_SO_MOI'!$C$14,'THAM_SO_MOI'!$C$13*(1+F3392^2/1500),'THAM_SO_MOI'!$C$13)</f>
        <v>0.015</v>
      </c>
      <c r="J3392" s="75">
        <f>'THAM_SO_MOI'!$C$40*('THAM_SO_MOI'!$C$23*(E3392/'THAM_SO_MOI'!$C$22)+'THAM_SO_MOI'!$C$24*(E3392/'THAM_SO_MOI'!$C$22)^2-'THAM_SO_MOI'!$C$25*(E3392/'THAM_SO_MOI'!$C$22)^3)</f>
        <v>73.5935981927402</v>
      </c>
      <c r="K3392" s="75">
        <f>'THAM_SO_MOI'!$C$31*J3392/E3392</f>
        <v>418.6011790429805</v>
      </c>
      <c r="L3392" s="75">
        <f>K3392*'THAM_SO_MOI'!$C$53*'THAM_SO_MOI'!$C$17/'THAM_SO_MOI'!$C$26</f>
        <v>3671.1339781801908</v>
      </c>
      <c r="M3392" s="75">
        <f>'THAM_SO_MOI'!$C$15*'THAM_SO_MOI'!$C$16*F3392^2</f>
        <v>849.5857124780099</v>
      </c>
      <c r="N3392" s="75">
        <f>'THAM_SO_MOI'!$C$12*I3392</f>
        <v>1130.112</v>
      </c>
      <c r="O3392" s="75">
        <f>M3392+N3392</f>
        <v>1979.69771247801</v>
      </c>
      <c r="P3392" s="75">
        <f>(MIN(L3392,'THAM_SO_MOI'!$C$41)-O3392)/('THAM_SO_MOI'!$C$11*H3392)</f>
        <v>0.20021736099694373</v>
      </c>
      <c r="Q3392" s="75">
        <f>IF(P3392&gt;0,1/P3392,NA())</f>
        <v>4.994571874390377</v>
      </c>
      <c r="R3392" s="75">
        <f>F3392-F3391</f>
        <v>0.0073885545698715305</v>
      </c>
      <c r="S3392" s="75">
        <f>0.5*(Q3391+Q3392)*R3392</f>
        <v>0.036897930302868406</v>
      </c>
      <c r="T3392" s="75">
        <f>0.5*(F3391*Q3391+F3392*Q3392)*R3392</f>
        <v>0.628707343688469</v>
      </c>
      <c r="U3392" s="76">
        <f>U3391+S3392</f>
        <v>32.04773724160372</v>
      </c>
      <c r="V3392" s="76">
        <f>V3391+T3392</f>
        <v>343.3946641291972</v>
      </c>
    </row>
    <row r="3393" spans="1:22" ht="19" customHeight="1">
      <c r="A3393" s="68" t="s">
        <v>378</v>
      </c>
      <c r="B3393" s="74">
        <v>5</v>
      </c>
      <c r="C3393" s="68" t="s">
        <v>363</v>
      </c>
      <c r="D3393" s="68" t="s">
        <v>364</v>
      </c>
      <c r="E3393" s="75">
        <f>60*F3393*'THAM_SO_MOI'!$C$53/(2*PI()*'THAM_SO_MOI'!$C$26)</f>
        <v>1679.891169163374</v>
      </c>
      <c r="F3393" s="75">
        <f>'HANH_TRINH'!$F$3289+('THAM_SO_MOI'!$C$14-'HANH_TRINH'!$F$3289)*103/'THAM_SO_MOI'!$C$42</f>
        <v>17.0501774647992</v>
      </c>
      <c r="G3393" s="75">
        <f>3.6*F3393</f>
        <v>61.38063887327713</v>
      </c>
      <c r="H3393" s="75">
        <f>'THAM_SO_MOI'!$D$53</f>
        <v>1.1</v>
      </c>
      <c r="I3393" s="75">
        <f>IF(F3393&gt;'THAM_SO_MOI'!$C$14,'THAM_SO_MOI'!$C$13*(1+F3393^2/1500),'THAM_SO_MOI'!$C$13)</f>
        <v>0.015</v>
      </c>
      <c r="J3393" s="75">
        <f>'THAM_SO_MOI'!$C$40*('THAM_SO_MOI'!$C$23*(E3393/'THAM_SO_MOI'!$C$22)+'THAM_SO_MOI'!$C$24*(E3393/'THAM_SO_MOI'!$C$22)^2-'THAM_SO_MOI'!$C$25*(E3393/'THAM_SO_MOI'!$C$22)^3)</f>
        <v>73.63155426045164</v>
      </c>
      <c r="K3393" s="75">
        <f>'THAM_SO_MOI'!$C$31*J3393/E3393</f>
        <v>418.6355826209052</v>
      </c>
      <c r="L3393" s="75">
        <f>K3393*'THAM_SO_MOI'!$C$53*'THAM_SO_MOI'!$C$17/'THAM_SO_MOI'!$C$26</f>
        <v>3671.4356976932104</v>
      </c>
      <c r="M3393" s="75">
        <f>'THAM_SO_MOI'!$C$15*'THAM_SO_MOI'!$C$16*F3393^2</f>
        <v>850.3225133748537</v>
      </c>
      <c r="N3393" s="75">
        <f>'THAM_SO_MOI'!$C$12*I3393</f>
        <v>1130.112</v>
      </c>
      <c r="O3393" s="75">
        <f>M3393+N3393</f>
        <v>1980.4345133748539</v>
      </c>
      <c r="P3393" s="75">
        <f>(MIN(L3393,'THAM_SO_MOI'!$C$41)-O3393)/('THAM_SO_MOI'!$C$11*H3393)</f>
        <v>0.20016585988616908</v>
      </c>
      <c r="Q3393" s="75">
        <f>IF(P3393&gt;0,1/P3393,NA())</f>
        <v>4.995856938684164</v>
      </c>
      <c r="R3393" s="75">
        <f>F3393-F3392</f>
        <v>0.0073885545698715305</v>
      </c>
      <c r="S3393" s="75">
        <f>0.5*(Q3392+Q3393)*R3393</f>
        <v>0.036907414230909055</v>
      </c>
      <c r="T3393" s="75">
        <f>0.5*(F3392*Q3392+F3393*Q3393)*R3393</f>
        <v>0.6291416337199682</v>
      </c>
      <c r="U3393" s="76">
        <f>U3392+S3393</f>
        <v>32.08464465583463</v>
      </c>
      <c r="V3393" s="76">
        <f>V3392+T3393</f>
        <v>344.0238057629172</v>
      </c>
    </row>
    <row r="3394" spans="1:22" ht="19" customHeight="1">
      <c r="A3394" s="68" t="s">
        <v>378</v>
      </c>
      <c r="B3394" s="74">
        <v>5</v>
      </c>
      <c r="C3394" s="68" t="s">
        <v>363</v>
      </c>
      <c r="D3394" s="68" t="s">
        <v>364</v>
      </c>
      <c r="E3394" s="75">
        <f>60*F3394*'THAM_SO_MOI'!$C$53/(2*PI()*'THAM_SO_MOI'!$C$26)</f>
        <v>1680.6191362241527</v>
      </c>
      <c r="F3394" s="75">
        <f>'HANH_TRINH'!$F$3289+('THAM_SO_MOI'!$C$14-'HANH_TRINH'!$F$3289)*104/'THAM_SO_MOI'!$C$42</f>
        <v>17.057566019369073</v>
      </c>
      <c r="G3394" s="75">
        <f>3.6*F3394</f>
        <v>61.407237669728666</v>
      </c>
      <c r="H3394" s="75">
        <f>'THAM_SO_MOI'!$D$53</f>
        <v>1.1</v>
      </c>
      <c r="I3394" s="75">
        <f>IF(F3394&gt;'THAM_SO_MOI'!$C$14,'THAM_SO_MOI'!$C$13*(1+F3394^2/1500),'THAM_SO_MOI'!$C$13)</f>
        <v>0.015</v>
      </c>
      <c r="J3394" s="75">
        <f>'THAM_SO_MOI'!$C$40*('THAM_SO_MOI'!$C$23*(E3394/'THAM_SO_MOI'!$C$22)+'THAM_SO_MOI'!$C$24*(E3394/'THAM_SO_MOI'!$C$22)^2-'THAM_SO_MOI'!$C$25*(E3394/'THAM_SO_MOI'!$C$22)^3)</f>
        <v>73.66950652607123</v>
      </c>
      <c r="K3394" s="75">
        <f>'THAM_SO_MOI'!$C$31*J3394/E3394</f>
        <v>418.66993478712436</v>
      </c>
      <c r="L3394" s="75">
        <f>K3394*'THAM_SO_MOI'!$C$53*'THAM_SO_MOI'!$C$17/'THAM_SO_MOI'!$C$26</f>
        <v>3671.7369663253717</v>
      </c>
      <c r="M3394" s="75">
        <f>'THAM_SO_MOI'!$C$15*'THAM_SO_MOI'!$C$16*F3394^2</f>
        <v>851.0596336275185</v>
      </c>
      <c r="N3394" s="75">
        <f>'THAM_SO_MOI'!$C$12*I3394</f>
        <v>1130.112</v>
      </c>
      <c r="O3394" s="75">
        <f>M3394+N3394</f>
        <v>1981.1716336275185</v>
      </c>
      <c r="P3394" s="75">
        <f>(MIN(L3394,'THAM_SO_MOI'!$C$41)-O3394)/('THAM_SO_MOI'!$C$11*H3394)</f>
        <v>0.2001142676015451</v>
      </c>
      <c r="Q3394" s="75">
        <f>IF(P3394&gt;0,1/P3394,NA())</f>
        <v>4.997144941164999</v>
      </c>
      <c r="R3394" s="75">
        <f>F3394-F3393</f>
        <v>0.0073885545698715305</v>
      </c>
      <c r="S3394" s="75">
        <f>0.5*(Q3393+Q3394)*R3394</f>
        <v>0.03691691985304717</v>
      </c>
      <c r="T3394" s="75">
        <f>0.5*(F3393*Q3393+F3394*Q3394)*R3394</f>
        <v>0.6295764338649176</v>
      </c>
      <c r="U3394" s="76">
        <f>U3393+S3394</f>
        <v>32.12156157568768</v>
      </c>
      <c r="V3394" s="76">
        <f>V3393+T3394</f>
        <v>344.65338219678216</v>
      </c>
    </row>
    <row r="3395" spans="1:22" ht="19" customHeight="1">
      <c r="A3395" s="68" t="s">
        <v>378</v>
      </c>
      <c r="B3395" s="74">
        <v>5</v>
      </c>
      <c r="C3395" s="68" t="s">
        <v>363</v>
      </c>
      <c r="D3395" s="68" t="s">
        <v>364</v>
      </c>
      <c r="E3395" s="75">
        <f>60*F3395*'THAM_SO_MOI'!$C$53/(2*PI()*'THAM_SO_MOI'!$C$26)</f>
        <v>1681.3471032849316</v>
      </c>
      <c r="F3395" s="75">
        <f>'HANH_TRINH'!$F$3289+('THAM_SO_MOI'!$C$14-'HANH_TRINH'!$F$3289)*105/'THAM_SO_MOI'!$C$42</f>
        <v>17.064954573938945</v>
      </c>
      <c r="G3395" s="75">
        <f>3.6*F3395</f>
        <v>61.4338364661802</v>
      </c>
      <c r="H3395" s="75">
        <f>'THAM_SO_MOI'!$D$53</f>
        <v>1.1</v>
      </c>
      <c r="I3395" s="75">
        <f>IF(F3395&gt;'THAM_SO_MOI'!$C$14,'THAM_SO_MOI'!$C$13*(1+F3395^2/1500),'THAM_SO_MOI'!$C$13)</f>
        <v>0.015</v>
      </c>
      <c r="J3395" s="75">
        <f>'THAM_SO_MOI'!$C$40*('THAM_SO_MOI'!$C$23*(E3395/'THAM_SO_MOI'!$C$22)+'THAM_SO_MOI'!$C$24*(E3395/'THAM_SO_MOI'!$C$22)^2-'THAM_SO_MOI'!$C$25*(E3395/'THAM_SO_MOI'!$C$22)^3)</f>
        <v>73.70745497784347</v>
      </c>
      <c r="K3395" s="75">
        <f>'THAM_SO_MOI'!$C$31*J3395/E3395</f>
        <v>418.704235541638</v>
      </c>
      <c r="L3395" s="75">
        <f>K3395*'THAM_SO_MOI'!$C$53*'THAM_SO_MOI'!$C$17/'THAM_SO_MOI'!$C$26</f>
        <v>3672.0377840766737</v>
      </c>
      <c r="M3395" s="75">
        <f>'THAM_SO_MOI'!$C$15*'THAM_SO_MOI'!$C$16*F3395^2</f>
        <v>851.7970732360042</v>
      </c>
      <c r="N3395" s="75">
        <f>'THAM_SO_MOI'!$C$12*I3395</f>
        <v>1130.112</v>
      </c>
      <c r="O3395" s="75">
        <f>M3395+N3395</f>
        <v>1981.9090732360041</v>
      </c>
      <c r="P3395" s="75">
        <f>(MIN(L3395,'THAM_SO_MOI'!$C$41)-O3395)/('THAM_SO_MOI'!$C$11*H3395)</f>
        <v>0.20006258414307168</v>
      </c>
      <c r="Q3395" s="75">
        <f>IF(P3395&gt;0,1/P3395,NA())</f>
        <v>4.998435885866922</v>
      </c>
      <c r="R3395" s="75">
        <f>F3395-F3394</f>
        <v>0.0073885545698715305</v>
      </c>
      <c r="S3395" s="75">
        <f>0.5*(Q3394+Q3395)*R3395</f>
        <v>0.03692644719904348</v>
      </c>
      <c r="T3395" s="75">
        <f>0.5*(F3394*Q3394+F3395*Q3395)*R3395</f>
        <v>0.6300117451119372</v>
      </c>
      <c r="U3395" s="76">
        <f>U3394+S3395</f>
        <v>32.15848802288672</v>
      </c>
      <c r="V3395" s="76">
        <f>V3394+T3395</f>
        <v>345.2833939418941</v>
      </c>
    </row>
    <row r="3396" spans="1:22" ht="19" customHeight="1">
      <c r="A3396" s="68" t="s">
        <v>378</v>
      </c>
      <c r="B3396" s="74">
        <v>5</v>
      </c>
      <c r="C3396" s="68" t="s">
        <v>363</v>
      </c>
      <c r="D3396" s="68" t="s">
        <v>364</v>
      </c>
      <c r="E3396" s="75">
        <f>60*F3396*'THAM_SO_MOI'!$C$53/(2*PI()*'THAM_SO_MOI'!$C$26)</f>
        <v>1682.0750703457106</v>
      </c>
      <c r="F3396" s="75">
        <f>'HANH_TRINH'!$F$3289+('THAM_SO_MOI'!$C$14-'HANH_TRINH'!$F$3289)*106/'THAM_SO_MOI'!$C$42</f>
        <v>17.07234312850882</v>
      </c>
      <c r="G3396" s="75">
        <f>3.6*F3396</f>
        <v>61.460435262631755</v>
      </c>
      <c r="H3396" s="75">
        <f>'THAM_SO_MOI'!$D$53</f>
        <v>1.1</v>
      </c>
      <c r="I3396" s="75">
        <f>IF(F3396&gt;'THAM_SO_MOI'!$C$14,'THAM_SO_MOI'!$C$13*(1+F3396^2/1500),'THAM_SO_MOI'!$C$13)</f>
        <v>0.015</v>
      </c>
      <c r="J3396" s="75">
        <f>'THAM_SO_MOI'!$C$40*('THAM_SO_MOI'!$C$23*(E3396/'THAM_SO_MOI'!$C$22)+'THAM_SO_MOI'!$C$24*(E3396/'THAM_SO_MOI'!$C$22)^2-'THAM_SO_MOI'!$C$25*(E3396/'THAM_SO_MOI'!$C$22)^3)</f>
        <v>73.7453996040129</v>
      </c>
      <c r="K3396" s="75">
        <f>'THAM_SO_MOI'!$C$31*J3396/E3396</f>
        <v>418.73848488444634</v>
      </c>
      <c r="L3396" s="75">
        <f>K3396*'THAM_SO_MOI'!$C$53*'THAM_SO_MOI'!$C$17/'THAM_SO_MOI'!$C$26</f>
        <v>3672.338150947119</v>
      </c>
      <c r="M3396" s="75">
        <f>'THAM_SO_MOI'!$C$15*'THAM_SO_MOI'!$C$16*F3396^2</f>
        <v>852.5348322003114</v>
      </c>
      <c r="N3396" s="75">
        <f>'THAM_SO_MOI'!$C$12*I3396</f>
        <v>1130.112</v>
      </c>
      <c r="O3396" s="75">
        <f>M3396+N3396</f>
        <v>1982.6468322003116</v>
      </c>
      <c r="P3396" s="75">
        <f>(MIN(L3396,'THAM_SO_MOI'!$C$41)-O3396)/('THAM_SO_MOI'!$C$11*H3396)</f>
        <v>0.200010809510749</v>
      </c>
      <c r="Q3396" s="75">
        <f>IF(P3396&gt;0,1/P3396,NA())</f>
        <v>4.999729776836176</v>
      </c>
      <c r="R3396" s="75">
        <f>F3396-F3395</f>
        <v>0.007388554569875083</v>
      </c>
      <c r="S3396" s="75">
        <f>0.5*(Q3395+Q3396)*R3396</f>
        <v>0.03693599629876656</v>
      </c>
      <c r="T3396" s="75">
        <f>0.5*(F3395*Q3395+F3396*Q3396)*R3396</f>
        <v>0.6304475684523673</v>
      </c>
      <c r="U3396" s="76">
        <f>U3395+S3396</f>
        <v>32.19542401918549</v>
      </c>
      <c r="V3396" s="76">
        <f>V3395+T3396</f>
        <v>345.91384151034646</v>
      </c>
    </row>
    <row r="3397" spans="1:22" ht="19" customHeight="1">
      <c r="A3397" s="68" t="s">
        <v>378</v>
      </c>
      <c r="B3397" s="74">
        <v>5</v>
      </c>
      <c r="C3397" s="68" t="s">
        <v>363</v>
      </c>
      <c r="D3397" s="68" t="s">
        <v>364</v>
      </c>
      <c r="E3397" s="75">
        <f>60*F3397*'THAM_SO_MOI'!$C$53/(2*PI()*'THAM_SO_MOI'!$C$26)</f>
        <v>1682.8030374064895</v>
      </c>
      <c r="F3397" s="75">
        <f>'HANH_TRINH'!$F$3289+('THAM_SO_MOI'!$C$14-'HANH_TRINH'!$F$3289)*107/'THAM_SO_MOI'!$C$42</f>
        <v>17.07973168307869</v>
      </c>
      <c r="G3397" s="75">
        <f>3.6*F3397</f>
        <v>61.48703405908329</v>
      </c>
      <c r="H3397" s="75">
        <f>'THAM_SO_MOI'!$D$53</f>
        <v>1.1</v>
      </c>
      <c r="I3397" s="75">
        <f>IF(F3397&gt;'THAM_SO_MOI'!$C$14,'THAM_SO_MOI'!$C$13*(1+F3397^2/1500),'THAM_SO_MOI'!$C$13)</f>
        <v>0.015</v>
      </c>
      <c r="J3397" s="75">
        <f>'THAM_SO_MOI'!$C$40*('THAM_SO_MOI'!$C$23*(E3397/'THAM_SO_MOI'!$C$22)+'THAM_SO_MOI'!$C$24*(E3397/'THAM_SO_MOI'!$C$22)^2-'THAM_SO_MOI'!$C$25*(E3397/'THAM_SO_MOI'!$C$22)^3)</f>
        <v>73.78334039282396</v>
      </c>
      <c r="K3397" s="75">
        <f>'THAM_SO_MOI'!$C$31*J3397/E3397</f>
        <v>418.77268281554933</v>
      </c>
      <c r="L3397" s="75">
        <f>K3397*'THAM_SO_MOI'!$C$53*'THAM_SO_MOI'!$C$17/'THAM_SO_MOI'!$C$26</f>
        <v>3672.638066936708</v>
      </c>
      <c r="M3397" s="75">
        <f>'THAM_SO_MOI'!$C$15*'THAM_SO_MOI'!$C$16*F3397^2</f>
        <v>853.2729105204392</v>
      </c>
      <c r="N3397" s="75">
        <f>'THAM_SO_MOI'!$C$12*I3397</f>
        <v>1130.112</v>
      </c>
      <c r="O3397" s="75">
        <f>M3397+N3397</f>
        <v>1983.3849105204392</v>
      </c>
      <c r="P3397" s="75">
        <f>(MIN(L3397,'THAM_SO_MOI'!$C$41)-O3397)/('THAM_SO_MOI'!$C$11*H3397)</f>
        <v>0.1999589437045773</v>
      </c>
      <c r="Q3397" s="75">
        <f>IF(P3397&gt;0,1/P3397,NA())</f>
        <v>5.001026618131253</v>
      </c>
      <c r="R3397" s="75">
        <f>F3397-F3396</f>
        <v>0.0073885545698715305</v>
      </c>
      <c r="S3397" s="75">
        <f>0.5*(Q3396+Q3397)*R3397</f>
        <v>0.03694556718210426</v>
      </c>
      <c r="T3397" s="75">
        <f>0.5*(F3396*Q3396+F3397*Q3397)*R3397</f>
        <v>0.6308839048787598</v>
      </c>
      <c r="U3397" s="76">
        <f>U3396+S3397</f>
        <v>32.23236958636759</v>
      </c>
      <c r="V3397" s="76">
        <f>V3396+T3397</f>
        <v>346.54472541522523</v>
      </c>
    </row>
    <row r="3398" spans="1:22" ht="19" customHeight="1">
      <c r="A3398" s="68" t="s">
        <v>378</v>
      </c>
      <c r="B3398" s="74">
        <v>5</v>
      </c>
      <c r="C3398" s="68" t="s">
        <v>363</v>
      </c>
      <c r="D3398" s="68" t="s">
        <v>364</v>
      </c>
      <c r="E3398" s="75">
        <f>60*F3398*'THAM_SO_MOI'!$C$53/(2*PI()*'THAM_SO_MOI'!$C$26)</f>
        <v>1683.5310044672688</v>
      </c>
      <c r="F3398" s="75">
        <f>'HANH_TRINH'!$F$3289+('THAM_SO_MOI'!$C$14-'HANH_TRINH'!$F$3289)*108/'THAM_SO_MOI'!$C$42</f>
        <v>17.087120237648563</v>
      </c>
      <c r="G3398" s="75">
        <f>3.6*F3398</f>
        <v>61.51363285553483</v>
      </c>
      <c r="H3398" s="75">
        <f>'THAM_SO_MOI'!$D$53</f>
        <v>1.1</v>
      </c>
      <c r="I3398" s="75">
        <f>IF(F3398&gt;'THAM_SO_MOI'!$C$14,'THAM_SO_MOI'!$C$13*(1+F3398^2/1500),'THAM_SO_MOI'!$C$13)</f>
        <v>0.015</v>
      </c>
      <c r="J3398" s="75">
        <f>'THAM_SO_MOI'!$C$40*('THAM_SO_MOI'!$C$23*(E3398/'THAM_SO_MOI'!$C$22)+'THAM_SO_MOI'!$C$24*(E3398/'THAM_SO_MOI'!$C$22)^2-'THAM_SO_MOI'!$C$25*(E3398/'THAM_SO_MOI'!$C$22)^3)</f>
        <v>73.82127733252113</v>
      </c>
      <c r="K3398" s="75">
        <f>'THAM_SO_MOI'!$C$31*J3398/E3398</f>
        <v>418.80682933494666</v>
      </c>
      <c r="L3398" s="75">
        <f>K3398*'THAM_SO_MOI'!$C$53*'THAM_SO_MOI'!$C$17/'THAM_SO_MOI'!$C$26</f>
        <v>3672.937532045437</v>
      </c>
      <c r="M3398" s="75">
        <f>'THAM_SO_MOI'!$C$15*'THAM_SO_MOI'!$C$16*F3398^2</f>
        <v>854.0113081963879</v>
      </c>
      <c r="N3398" s="75">
        <f>'THAM_SO_MOI'!$C$12*I3398</f>
        <v>1130.112</v>
      </c>
      <c r="O3398" s="75">
        <f>M3398+N3398</f>
        <v>1984.1233081963878</v>
      </c>
      <c r="P3398" s="75">
        <f>(MIN(L3398,'THAM_SO_MOI'!$C$41)-O3398)/('THAM_SO_MOI'!$C$11*H3398)</f>
        <v>0.199906986724556</v>
      </c>
      <c r="Q3398" s="75">
        <f>IF(P3398&gt;0,1/P3398,NA())</f>
        <v>5.002326413822948</v>
      </c>
      <c r="R3398" s="75">
        <f>F3398-F3397</f>
        <v>0.0073885545698715305</v>
      </c>
      <c r="S3398" s="75">
        <f>0.5*(Q3397+Q3398)*R3398</f>
        <v>0.036955159879141726</v>
      </c>
      <c r="T3398" s="75">
        <f>0.5*(F3397*Q3397+F3398*Q3398)*R3398</f>
        <v>0.6313207553879198</v>
      </c>
      <c r="U3398" s="76">
        <f>U3397+S3398</f>
        <v>32.26932474624673</v>
      </c>
      <c r="V3398" s="76">
        <f>V3397+T3398</f>
        <v>347.1760461706132</v>
      </c>
    </row>
    <row r="3399" spans="1:22" ht="19" customHeight="1">
      <c r="A3399" s="68" t="s">
        <v>378</v>
      </c>
      <c r="B3399" s="74">
        <v>5</v>
      </c>
      <c r="C3399" s="68" t="s">
        <v>363</v>
      </c>
      <c r="D3399" s="68" t="s">
        <v>364</v>
      </c>
      <c r="E3399" s="75">
        <f>60*F3399*'THAM_SO_MOI'!$C$53/(2*PI()*'THAM_SO_MOI'!$C$26)</f>
        <v>1684.2589715280476</v>
      </c>
      <c r="F3399" s="75">
        <f>'HANH_TRINH'!$F$3289+('THAM_SO_MOI'!$C$14-'HANH_TRINH'!$F$3289)*109/'THAM_SO_MOI'!$C$42</f>
        <v>17.094508792218434</v>
      </c>
      <c r="G3399" s="75">
        <f>3.6*F3399</f>
        <v>61.54023165198637</v>
      </c>
      <c r="H3399" s="75">
        <f>'THAM_SO_MOI'!$D$53</f>
        <v>1.1</v>
      </c>
      <c r="I3399" s="75">
        <f>IF(F3399&gt;'THAM_SO_MOI'!$C$14,'THAM_SO_MOI'!$C$13*(1+F3399^2/1500),'THAM_SO_MOI'!$C$13)</f>
        <v>0.015</v>
      </c>
      <c r="J3399" s="75">
        <f>'THAM_SO_MOI'!$C$40*('THAM_SO_MOI'!$C$23*(E3399/'THAM_SO_MOI'!$C$22)+'THAM_SO_MOI'!$C$24*(E3399/'THAM_SO_MOI'!$C$22)^2-'THAM_SO_MOI'!$C$25*(E3399/'THAM_SO_MOI'!$C$22)^3)</f>
        <v>73.85921041134893</v>
      </c>
      <c r="K3399" s="75">
        <f>'THAM_SO_MOI'!$C$31*J3399/E3399</f>
        <v>418.84092444263877</v>
      </c>
      <c r="L3399" s="75">
        <f>K3399*'THAM_SO_MOI'!$C$53*'THAM_SO_MOI'!$C$17/'THAM_SO_MOI'!$C$26</f>
        <v>3673.2365462733096</v>
      </c>
      <c r="M3399" s="75">
        <f>'THAM_SO_MOI'!$C$15*'THAM_SO_MOI'!$C$16*F3399^2</f>
        <v>854.7500252281577</v>
      </c>
      <c r="N3399" s="75">
        <f>'THAM_SO_MOI'!$C$12*I3399</f>
        <v>1130.112</v>
      </c>
      <c r="O3399" s="75">
        <f>M3399+N3399</f>
        <v>1984.8620252281578</v>
      </c>
      <c r="P3399" s="75">
        <f>(MIN(L3399,'THAM_SO_MOI'!$C$41)-O3399)/('THAM_SO_MOI'!$C$11*H3399)</f>
        <v>0.19985493857068556</v>
      </c>
      <c r="Q3399" s="75">
        <f>IF(P3399&gt;0,1/P3399,NA())</f>
        <v>5.003629167994343</v>
      </c>
      <c r="R3399" s="75">
        <f>F3399-F3398</f>
        <v>0.0073885545698715305</v>
      </c>
      <c r="S3399" s="75">
        <f>0.5*(Q3398+Q3399)*R3399</f>
        <v>0.036964774419983845</v>
      </c>
      <c r="T3399" s="75">
        <f>0.5*(F3398*Q3398+F3399*Q3399)*R3399</f>
        <v>0.6317581209778805</v>
      </c>
      <c r="U3399" s="76">
        <f>U3398+S3399</f>
        <v>32.306289520666716</v>
      </c>
      <c r="V3399" s="76">
        <f>V3398+T3399</f>
        <v>347.8078042915911</v>
      </c>
    </row>
    <row r="3400" spans="1:22" ht="19" customHeight="1">
      <c r="A3400" s="68" t="s">
        <v>378</v>
      </c>
      <c r="B3400" s="74">
        <v>5</v>
      </c>
      <c r="C3400" s="68" t="s">
        <v>363</v>
      </c>
      <c r="D3400" s="68" t="s">
        <v>364</v>
      </c>
      <c r="E3400" s="75">
        <f>60*F3400*'THAM_SO_MOI'!$C$53/(2*PI()*'THAM_SO_MOI'!$C$26)</f>
        <v>1684.9869385888264</v>
      </c>
      <c r="F3400" s="75">
        <f>'HANH_TRINH'!$F$3289+('THAM_SO_MOI'!$C$14-'HANH_TRINH'!$F$3289)*110/'THAM_SO_MOI'!$C$42</f>
        <v>17.101897346788306</v>
      </c>
      <c r="G3400" s="75">
        <f>3.6*F3400</f>
        <v>61.566830448437905</v>
      </c>
      <c r="H3400" s="75">
        <f>'THAM_SO_MOI'!$D$53</f>
        <v>1.1</v>
      </c>
      <c r="I3400" s="75">
        <f>IF(F3400&gt;'THAM_SO_MOI'!$C$14,'THAM_SO_MOI'!$C$13*(1+F3400^2/1500),'THAM_SO_MOI'!$C$13)</f>
        <v>0.015</v>
      </c>
      <c r="J3400" s="75">
        <f>'THAM_SO_MOI'!$C$40*('THAM_SO_MOI'!$C$23*(E3400/'THAM_SO_MOI'!$C$22)+'THAM_SO_MOI'!$C$24*(E3400/'THAM_SO_MOI'!$C$22)^2-'THAM_SO_MOI'!$C$25*(E3400/'THAM_SO_MOI'!$C$22)^3)</f>
        <v>73.8971396175518</v>
      </c>
      <c r="K3400" s="75">
        <f>'THAM_SO_MOI'!$C$31*J3400/E3400</f>
        <v>418.8749681386253</v>
      </c>
      <c r="L3400" s="75">
        <f>K3400*'THAM_SO_MOI'!$C$53*'THAM_SO_MOI'!$C$17/'THAM_SO_MOI'!$C$26</f>
        <v>3673.535109620324</v>
      </c>
      <c r="M3400" s="75">
        <f>'THAM_SO_MOI'!$C$15*'THAM_SO_MOI'!$C$16*F3400^2</f>
        <v>855.4890616157484</v>
      </c>
      <c r="N3400" s="75">
        <f>'THAM_SO_MOI'!$C$12*I3400</f>
        <v>1130.112</v>
      </c>
      <c r="O3400" s="75">
        <f>M3400+N3400</f>
        <v>1985.6010616157484</v>
      </c>
      <c r="P3400" s="75">
        <f>(MIN(L3400,'THAM_SO_MOI'!$C$41)-O3400)/('THAM_SO_MOI'!$C$11*H3400)</f>
        <v>0.19980279924296587</v>
      </c>
      <c r="Q3400" s="75">
        <f>IF(P3400&gt;0,1/P3400,NA())</f>
        <v>5.004934884740887</v>
      </c>
      <c r="R3400" s="75">
        <f>F3400-F3399</f>
        <v>0.0073885545698715305</v>
      </c>
      <c r="S3400" s="75">
        <f>0.5*(Q3399+Q3400)*R3400</f>
        <v>0.03697441083484441</v>
      </c>
      <c r="T3400" s="75">
        <f>0.5*(F3399*Q3399+F3400*Q3400)*R3400</f>
        <v>0.6321960026494258</v>
      </c>
      <c r="U3400" s="76">
        <f>U3399+S3400</f>
        <v>32.34326393150156</v>
      </c>
      <c r="V3400" s="76">
        <f>V3399+T3400</f>
        <v>348.4400002942405</v>
      </c>
    </row>
    <row r="3401" spans="1:22" ht="19" customHeight="1">
      <c r="A3401" s="68" t="s">
        <v>378</v>
      </c>
      <c r="B3401" s="74">
        <v>5</v>
      </c>
      <c r="C3401" s="68" t="s">
        <v>363</v>
      </c>
      <c r="D3401" s="68" t="s">
        <v>364</v>
      </c>
      <c r="E3401" s="75">
        <f>60*F3401*'THAM_SO_MOI'!$C$53/(2*PI()*'THAM_SO_MOI'!$C$26)</f>
        <v>1685.7149056496053</v>
      </c>
      <c r="F3401" s="75">
        <f>'HANH_TRINH'!$F$3289+('THAM_SO_MOI'!$C$14-'HANH_TRINH'!$F$3289)*111/'THAM_SO_MOI'!$C$42</f>
        <v>17.109285901358177</v>
      </c>
      <c r="G3401" s="75">
        <f>3.6*F3401</f>
        <v>61.59342924488944</v>
      </c>
      <c r="H3401" s="75">
        <f>'THAM_SO_MOI'!$D$53</f>
        <v>1.1</v>
      </c>
      <c r="I3401" s="75">
        <f>IF(F3401&gt;'THAM_SO_MOI'!$C$14,'THAM_SO_MOI'!$C$13*(1+F3401^2/1500),'THAM_SO_MOI'!$C$13)</f>
        <v>0.015</v>
      </c>
      <c r="J3401" s="75">
        <f>'THAM_SO_MOI'!$C$40*('THAM_SO_MOI'!$C$23*(E3401/'THAM_SO_MOI'!$C$22)+'THAM_SO_MOI'!$C$24*(E3401/'THAM_SO_MOI'!$C$22)^2-'THAM_SO_MOI'!$C$25*(E3401/'THAM_SO_MOI'!$C$22)^3)</f>
        <v>73.93506493937423</v>
      </c>
      <c r="K3401" s="75">
        <f>'THAM_SO_MOI'!$C$31*J3401/E3401</f>
        <v>418.90896042290643</v>
      </c>
      <c r="L3401" s="75">
        <f>K3401*'THAM_SO_MOI'!$C$53*'THAM_SO_MOI'!$C$17/'THAM_SO_MOI'!$C$26</f>
        <v>3673.8332220864795</v>
      </c>
      <c r="M3401" s="75">
        <f>'THAM_SO_MOI'!$C$15*'THAM_SO_MOI'!$C$16*F3401^2</f>
        <v>856.2284173591602</v>
      </c>
      <c r="N3401" s="75">
        <f>'THAM_SO_MOI'!$C$12*I3401</f>
        <v>1130.112</v>
      </c>
      <c r="O3401" s="75">
        <f>M3401+N3401</f>
        <v>1986.3404173591603</v>
      </c>
      <c r="P3401" s="75">
        <f>(MIN(L3401,'THAM_SO_MOI'!$C$41)-O3401)/('THAM_SO_MOI'!$C$11*H3401)</f>
        <v>0.19975056874139668</v>
      </c>
      <c r="Q3401" s="75">
        <f>IF(P3401&gt;0,1/P3401,NA())</f>
        <v>5.006243568170418</v>
      </c>
      <c r="R3401" s="75">
        <f>F3401-F3400</f>
        <v>0.0073885545698715305</v>
      </c>
      <c r="S3401" s="75">
        <f>0.5*(Q3400+Q3401)*R3401</f>
        <v>0.03698406915402861</v>
      </c>
      <c r="T3401" s="75">
        <f>0.5*(F3400*Q3400+F3401*Q3401)*R3401</f>
        <v>0.632634401405796</v>
      </c>
      <c r="U3401" s="76">
        <f>U3400+S3401</f>
        <v>32.38024800065559</v>
      </c>
      <c r="V3401" s="76">
        <f>V3400+T3401</f>
        <v>349.07263469564634</v>
      </c>
    </row>
    <row r="3402" spans="1:22" ht="19" customHeight="1">
      <c r="A3402" s="68" t="s">
        <v>378</v>
      </c>
      <c r="B3402" s="74">
        <v>5</v>
      </c>
      <c r="C3402" s="68" t="s">
        <v>363</v>
      </c>
      <c r="D3402" s="68" t="s">
        <v>364</v>
      </c>
      <c r="E3402" s="75">
        <f>60*F3402*'THAM_SO_MOI'!$C$53/(2*PI()*'THAM_SO_MOI'!$C$26)</f>
        <v>1686.4428727103843</v>
      </c>
      <c r="F3402" s="75">
        <f>'HANH_TRINH'!$F$3289+('THAM_SO_MOI'!$C$14-'HANH_TRINH'!$F$3289)*112/'THAM_SO_MOI'!$C$42</f>
        <v>17.11667445592805</v>
      </c>
      <c r="G3402" s="75">
        <f>3.6*F3402</f>
        <v>61.62002804134098</v>
      </c>
      <c r="H3402" s="75">
        <f>'THAM_SO_MOI'!$D$53</f>
        <v>1.1</v>
      </c>
      <c r="I3402" s="75">
        <f>IF(F3402&gt;'THAM_SO_MOI'!$C$14,'THAM_SO_MOI'!$C$13*(1+F3402^2/1500),'THAM_SO_MOI'!$C$13)</f>
        <v>0.015</v>
      </c>
      <c r="J3402" s="75">
        <f>'THAM_SO_MOI'!$C$40*('THAM_SO_MOI'!$C$23*(E3402/'THAM_SO_MOI'!$C$22)+'THAM_SO_MOI'!$C$24*(E3402/'THAM_SO_MOI'!$C$22)^2-'THAM_SO_MOI'!$C$25*(E3402/'THAM_SO_MOI'!$C$22)^3)</f>
        <v>73.97298636506075</v>
      </c>
      <c r="K3402" s="75">
        <f>'THAM_SO_MOI'!$C$31*J3402/E3402</f>
        <v>418.9429012954821</v>
      </c>
      <c r="L3402" s="75">
        <f>K3402*'THAM_SO_MOI'!$C$53*'THAM_SO_MOI'!$C$17/'THAM_SO_MOI'!$C$26</f>
        <v>3674.130883671778</v>
      </c>
      <c r="M3402" s="75">
        <f>'THAM_SO_MOI'!$C$15*'THAM_SO_MOI'!$C$16*F3402^2</f>
        <v>856.9680924583929</v>
      </c>
      <c r="N3402" s="75">
        <f>'THAM_SO_MOI'!$C$12*I3402</f>
        <v>1130.112</v>
      </c>
      <c r="O3402" s="75">
        <f>M3402+N3402</f>
        <v>1987.080092458393</v>
      </c>
      <c r="P3402" s="75">
        <f>(MIN(L3402,'THAM_SO_MOI'!$C$41)-O3402)/('THAM_SO_MOI'!$C$11*H3402)</f>
        <v>0.19969824706597838</v>
      </c>
      <c r="Q3402" s="75">
        <f>IF(P3402&gt;0,1/P3402,NA())</f>
        <v>5.007555222403177</v>
      </c>
      <c r="R3402" s="75">
        <f>F3402-F3401</f>
        <v>0.0073885545698715305</v>
      </c>
      <c r="S3402" s="75">
        <f>0.5*(Q3401+Q3402)*R3402</f>
        <v>0.03699374940793327</v>
      </c>
      <c r="T3402" s="75">
        <f>0.5*(F3401*Q3401+F3402*Q3402)*R3402</f>
        <v>0.6330733182526957</v>
      </c>
      <c r="U3402" s="76">
        <f>U3401+S3402</f>
        <v>32.417241750063525</v>
      </c>
      <c r="V3402" s="76">
        <f>V3401+T3402</f>
        <v>349.705708013899</v>
      </c>
    </row>
    <row r="3403" spans="1:22" ht="19" customHeight="1">
      <c r="A3403" s="68" t="s">
        <v>378</v>
      </c>
      <c r="B3403" s="74">
        <v>5</v>
      </c>
      <c r="C3403" s="68" t="s">
        <v>363</v>
      </c>
      <c r="D3403" s="68" t="s">
        <v>364</v>
      </c>
      <c r="E3403" s="75">
        <f>60*F3403*'THAM_SO_MOI'!$C$53/(2*PI()*'THAM_SO_MOI'!$C$26)</f>
        <v>1687.1708397711636</v>
      </c>
      <c r="F3403" s="75">
        <f>'HANH_TRINH'!$F$3289+('THAM_SO_MOI'!$C$14-'HANH_TRINH'!$F$3289)*113/'THAM_SO_MOI'!$C$42</f>
        <v>17.124063010497924</v>
      </c>
      <c r="G3403" s="75">
        <f>3.6*F3403</f>
        <v>61.646626837792525</v>
      </c>
      <c r="H3403" s="75">
        <f>'THAM_SO_MOI'!$D$53</f>
        <v>1.1</v>
      </c>
      <c r="I3403" s="75">
        <f>IF(F3403&gt;'THAM_SO_MOI'!$C$14,'THAM_SO_MOI'!$C$13*(1+F3403^2/1500),'THAM_SO_MOI'!$C$13)</f>
        <v>0.015</v>
      </c>
      <c r="J3403" s="75">
        <f>'THAM_SO_MOI'!$C$40*('THAM_SO_MOI'!$C$23*(E3403/'THAM_SO_MOI'!$C$22)+'THAM_SO_MOI'!$C$24*(E3403/'THAM_SO_MOI'!$C$22)^2-'THAM_SO_MOI'!$C$25*(E3403/'THAM_SO_MOI'!$C$22)^3)</f>
        <v>74.01090388285581</v>
      </c>
      <c r="K3403" s="75">
        <f>'THAM_SO_MOI'!$C$31*J3403/E3403</f>
        <v>418.9767907563524</v>
      </c>
      <c r="L3403" s="75">
        <f>K3403*'THAM_SO_MOI'!$C$53*'THAM_SO_MOI'!$C$17/'THAM_SO_MOI'!$C$26</f>
        <v>3674.4280943762187</v>
      </c>
      <c r="M3403" s="75">
        <f>'THAM_SO_MOI'!$C$15*'THAM_SO_MOI'!$C$16*F3403^2</f>
        <v>857.708086913447</v>
      </c>
      <c r="N3403" s="75">
        <f>'THAM_SO_MOI'!$C$12*I3403</f>
        <v>1130.112</v>
      </c>
      <c r="O3403" s="75">
        <f>M3403+N3403</f>
        <v>1987.820086913447</v>
      </c>
      <c r="P3403" s="75">
        <f>(MIN(L3403,'THAM_SO_MOI'!$C$41)-O3403)/('THAM_SO_MOI'!$C$11*H3403)</f>
        <v>0.19964583421671067</v>
      </c>
      <c r="Q3403" s="75">
        <f>IF(P3403&gt;0,1/P3403,NA())</f>
        <v>5.008869851571881</v>
      </c>
      <c r="R3403" s="75">
        <f>F3403-F3402</f>
        <v>0.007388554569875083</v>
      </c>
      <c r="S3403" s="75">
        <f>0.5*(Q3402+Q3403)*R3403</f>
        <v>0.037003451627064886</v>
      </c>
      <c r="T3403" s="75">
        <f>0.5*(F3402*Q3402+F3403*Q3403)*R3403</f>
        <v>0.6335127541986053</v>
      </c>
      <c r="U3403" s="76">
        <f>U3402+S3403</f>
        <v>32.45424520169059</v>
      </c>
      <c r="V3403" s="76">
        <f>V3402+T3403</f>
        <v>350.3392207680976</v>
      </c>
    </row>
    <row r="3404" spans="1:22" ht="19" customHeight="1">
      <c r="A3404" s="68" t="s">
        <v>378</v>
      </c>
      <c r="B3404" s="74">
        <v>5</v>
      </c>
      <c r="C3404" s="68" t="s">
        <v>363</v>
      </c>
      <c r="D3404" s="68" t="s">
        <v>364</v>
      </c>
      <c r="E3404" s="75">
        <f>60*F3404*'THAM_SO_MOI'!$C$53/(2*PI()*'THAM_SO_MOI'!$C$26)</f>
        <v>1687.8988068319425</v>
      </c>
      <c r="F3404" s="75">
        <f>'HANH_TRINH'!$F$3289+('THAM_SO_MOI'!$C$14-'HANH_TRINH'!$F$3289)*114/'THAM_SO_MOI'!$C$42</f>
        <v>17.131451565067795</v>
      </c>
      <c r="G3404" s="75">
        <f>3.6*F3404</f>
        <v>61.67322563424406</v>
      </c>
      <c r="H3404" s="75">
        <f>'THAM_SO_MOI'!$D$53</f>
        <v>1.1</v>
      </c>
      <c r="I3404" s="75">
        <f>IF(F3404&gt;'THAM_SO_MOI'!$C$14,'THAM_SO_MOI'!$C$13*(1+F3404^2/1500),'THAM_SO_MOI'!$C$13)</f>
        <v>0.015</v>
      </c>
      <c r="J3404" s="75">
        <f>'THAM_SO_MOI'!$C$40*('THAM_SO_MOI'!$C$23*(E3404/'THAM_SO_MOI'!$C$22)+'THAM_SO_MOI'!$C$24*(E3404/'THAM_SO_MOI'!$C$22)^2-'THAM_SO_MOI'!$C$25*(E3404/'THAM_SO_MOI'!$C$22)^3)</f>
        <v>74.04881748100392</v>
      </c>
      <c r="K3404" s="75">
        <f>'THAM_SO_MOI'!$C$31*J3404/E3404</f>
        <v>419.01062880551746</v>
      </c>
      <c r="L3404" s="75">
        <f>K3404*'THAM_SO_MOI'!$C$53*'THAM_SO_MOI'!$C$17/'THAM_SO_MOI'!$C$26</f>
        <v>3674.7248541998038</v>
      </c>
      <c r="M3404" s="75">
        <f>'THAM_SO_MOI'!$C$15*'THAM_SO_MOI'!$C$16*F3404^2</f>
        <v>858.4484007243218</v>
      </c>
      <c r="N3404" s="75">
        <f>'THAM_SO_MOI'!$C$12*I3404</f>
        <v>1130.112</v>
      </c>
      <c r="O3404" s="75">
        <f>M3404+N3404</f>
        <v>1988.5604007243219</v>
      </c>
      <c r="P3404" s="75">
        <f>(MIN(L3404,'THAM_SO_MOI'!$C$41)-O3404)/('THAM_SO_MOI'!$C$11*H3404)</f>
        <v>0.19959333019359396</v>
      </c>
      <c r="Q3404" s="75">
        <f>IF(P3404&gt;0,1/P3404,NA())</f>
        <v>5.010187459821719</v>
      </c>
      <c r="R3404" s="75">
        <f>F3404-F3403</f>
        <v>0.0073885545698715305</v>
      </c>
      <c r="S3404" s="75">
        <f>0.5*(Q3403+Q3404)*R3404</f>
        <v>0.03701317584195097</v>
      </c>
      <c r="T3404" s="75">
        <f>0.5*(F3403*Q3403+F3404*Q3404)*R3404</f>
        <v>0.6339527102532662</v>
      </c>
      <c r="U3404" s="76">
        <f>U3403+S3404</f>
        <v>32.49125837753254</v>
      </c>
      <c r="V3404" s="76">
        <f>V3403+T3404</f>
        <v>350.9731734783509</v>
      </c>
    </row>
    <row r="3405" spans="1:22" ht="19" customHeight="1">
      <c r="A3405" s="68" t="s">
        <v>378</v>
      </c>
      <c r="B3405" s="74">
        <v>5</v>
      </c>
      <c r="C3405" s="68" t="s">
        <v>363</v>
      </c>
      <c r="D3405" s="68" t="s">
        <v>364</v>
      </c>
      <c r="E3405" s="75">
        <f>60*F3405*'THAM_SO_MOI'!$C$53/(2*PI()*'THAM_SO_MOI'!$C$26)</f>
        <v>1688.6267738927213</v>
      </c>
      <c r="F3405" s="75">
        <f>'HANH_TRINH'!$F$3289+('THAM_SO_MOI'!$C$14-'HANH_TRINH'!$F$3289)*115/'THAM_SO_MOI'!$C$42</f>
        <v>17.138840119637667</v>
      </c>
      <c r="G3405" s="75">
        <f>3.6*F3405</f>
        <v>61.6998244306956</v>
      </c>
      <c r="H3405" s="75">
        <f>'THAM_SO_MOI'!$D$53</f>
        <v>1.1</v>
      </c>
      <c r="I3405" s="75">
        <f>IF(F3405&gt;'THAM_SO_MOI'!$C$14,'THAM_SO_MOI'!$C$13*(1+F3405^2/1500),'THAM_SO_MOI'!$C$13)</f>
        <v>0.015</v>
      </c>
      <c r="J3405" s="75">
        <f>'THAM_SO_MOI'!$C$40*('THAM_SO_MOI'!$C$23*(E3405/'THAM_SO_MOI'!$C$22)+'THAM_SO_MOI'!$C$24*(E3405/'THAM_SO_MOI'!$C$22)^2-'THAM_SO_MOI'!$C$25*(E3405/'THAM_SO_MOI'!$C$22)^3)</f>
        <v>74.08672714774951</v>
      </c>
      <c r="K3405" s="75">
        <f>'THAM_SO_MOI'!$C$31*J3405/E3405</f>
        <v>419.04441544297686</v>
      </c>
      <c r="L3405" s="75">
        <f>K3405*'THAM_SO_MOI'!$C$53*'THAM_SO_MOI'!$C$17/'THAM_SO_MOI'!$C$26</f>
        <v>3675.0211631425286</v>
      </c>
      <c r="M3405" s="75">
        <f>'THAM_SO_MOI'!$C$15*'THAM_SO_MOI'!$C$16*F3405^2</f>
        <v>859.1890338910175</v>
      </c>
      <c r="N3405" s="75">
        <f>'THAM_SO_MOI'!$C$12*I3405</f>
        <v>1130.112</v>
      </c>
      <c r="O3405" s="75">
        <f>M3405+N3405</f>
        <v>1989.3010338910176</v>
      </c>
      <c r="P3405" s="75">
        <f>(MIN(L3405,'THAM_SO_MOI'!$C$41)-O3405)/('THAM_SO_MOI'!$C$11*H3405)</f>
        <v>0.19954073499662772</v>
      </c>
      <c r="Q3405" s="75">
        <f>IF(P3405&gt;0,1/P3405,NA())</f>
        <v>5.011508051310426</v>
      </c>
      <c r="R3405" s="75">
        <f>F3405-F3404</f>
        <v>0.0073885545698715305</v>
      </c>
      <c r="S3405" s="75">
        <f>0.5*(Q3404+Q3405)*R3405</f>
        <v>0.037022922083318206</v>
      </c>
      <c r="T3405" s="75">
        <f>0.5*(F3404*Q3404+F3405*Q3405)*R3405</f>
        <v>0.6343931874307353</v>
      </c>
      <c r="U3405" s="76">
        <f>U3404+S3405</f>
        <v>32.528281299615855</v>
      </c>
      <c r="V3405" s="76">
        <f>V3404+T3405</f>
        <v>351.60756666578163</v>
      </c>
    </row>
    <row r="3406" spans="1:22" ht="19" customHeight="1">
      <c r="A3406" s="68" t="s">
        <v>378</v>
      </c>
      <c r="B3406" s="74">
        <v>5</v>
      </c>
      <c r="C3406" s="68" t="s">
        <v>363</v>
      </c>
      <c r="D3406" s="68" t="s">
        <v>364</v>
      </c>
      <c r="E3406" s="75">
        <f>60*F3406*'THAM_SO_MOI'!$C$53/(2*PI()*'THAM_SO_MOI'!$C$26)</f>
        <v>1689.3547409535004</v>
      </c>
      <c r="F3406" s="75">
        <f>'HANH_TRINH'!$F$3289+('THAM_SO_MOI'!$C$14-'HANH_TRINH'!$F$3289)*116/'THAM_SO_MOI'!$C$42</f>
        <v>17.14622867420754</v>
      </c>
      <c r="G3406" s="75">
        <f>3.6*F3406</f>
        <v>61.72642322714714</v>
      </c>
      <c r="H3406" s="75">
        <f>'THAM_SO_MOI'!$D$53</f>
        <v>1.1</v>
      </c>
      <c r="I3406" s="75">
        <f>IF(F3406&gt;'THAM_SO_MOI'!$C$14,'THAM_SO_MOI'!$C$13*(1+F3406^2/1500),'THAM_SO_MOI'!$C$13)</f>
        <v>0.015</v>
      </c>
      <c r="J3406" s="75">
        <f>'THAM_SO_MOI'!$C$40*('THAM_SO_MOI'!$C$23*(E3406/'THAM_SO_MOI'!$C$22)+'THAM_SO_MOI'!$C$24*(E3406/'THAM_SO_MOI'!$C$22)^2-'THAM_SO_MOI'!$C$25*(E3406/'THAM_SO_MOI'!$C$22)^3)</f>
        <v>74.12463287133713</v>
      </c>
      <c r="K3406" s="75">
        <f>'THAM_SO_MOI'!$C$31*J3406/E3406</f>
        <v>419.07815066873087</v>
      </c>
      <c r="L3406" s="75">
        <f>K3406*'THAM_SO_MOI'!$C$53*'THAM_SO_MOI'!$C$17/'THAM_SO_MOI'!$C$26</f>
        <v>3675.3170212043965</v>
      </c>
      <c r="M3406" s="75">
        <f>'THAM_SO_MOI'!$C$15*'THAM_SO_MOI'!$C$16*F3406^2</f>
        <v>859.9299864135343</v>
      </c>
      <c r="N3406" s="75">
        <f>'THAM_SO_MOI'!$C$12*I3406</f>
        <v>1130.112</v>
      </c>
      <c r="O3406" s="75">
        <f>M3406+N3406</f>
        <v>1990.0419864135342</v>
      </c>
      <c r="P3406" s="75">
        <f>(MIN(L3406,'THAM_SO_MOI'!$C$41)-O3406)/('THAM_SO_MOI'!$C$11*H3406)</f>
        <v>0.1994880486258123</v>
      </c>
      <c r="Q3406" s="75">
        <f>IF(P3406&gt;0,1/P3406,NA())</f>
        <v>5.012831630208284</v>
      </c>
      <c r="R3406" s="75">
        <f>F3406-F3405</f>
        <v>0.0073885545698715305</v>
      </c>
      <c r="S3406" s="75">
        <f>0.5*(Q3405+Q3406)*R3406</f>
        <v>0.0370326903819148</v>
      </c>
      <c r="T3406" s="75">
        <f>0.5*(F3405*Q3405+F3406*Q3406)*R3406</f>
        <v>0.6348341867463466</v>
      </c>
      <c r="U3406" s="76">
        <f>U3405+S3406</f>
        <v>32.56531398999777</v>
      </c>
      <c r="V3406" s="76">
        <f>V3405+T3406</f>
        <v>352.24240085252796</v>
      </c>
    </row>
    <row r="3407" spans="1:22" ht="19" customHeight="1">
      <c r="A3407" s="68" t="s">
        <v>378</v>
      </c>
      <c r="B3407" s="74">
        <v>5</v>
      </c>
      <c r="C3407" s="68" t="s">
        <v>363</v>
      </c>
      <c r="D3407" s="68" t="s">
        <v>364</v>
      </c>
      <c r="E3407" s="75">
        <f>60*F3407*'THAM_SO_MOI'!$C$53/(2*PI()*'THAM_SO_MOI'!$C$26)</f>
        <v>1690.0827080142792</v>
      </c>
      <c r="F3407" s="75">
        <f>'HANH_TRINH'!$F$3289+('THAM_SO_MOI'!$C$14-'HANH_TRINH'!$F$3289)*117/'THAM_SO_MOI'!$C$42</f>
        <v>17.15361722877741</v>
      </c>
      <c r="G3407" s="75">
        <f>3.6*F3407</f>
        <v>61.753022023598675</v>
      </c>
      <c r="H3407" s="75">
        <f>'THAM_SO_MOI'!$D$53</f>
        <v>1.1</v>
      </c>
      <c r="I3407" s="75">
        <f>IF(F3407&gt;'THAM_SO_MOI'!$C$14,'THAM_SO_MOI'!$C$13*(1+F3407^2/1500),'THAM_SO_MOI'!$C$13)</f>
        <v>0.015</v>
      </c>
      <c r="J3407" s="75">
        <f>'THAM_SO_MOI'!$C$40*('THAM_SO_MOI'!$C$23*(E3407/'THAM_SO_MOI'!$C$22)+'THAM_SO_MOI'!$C$24*(E3407/'THAM_SO_MOI'!$C$22)^2-'THAM_SO_MOI'!$C$25*(E3407/'THAM_SO_MOI'!$C$22)^3)</f>
        <v>74.1625346400112</v>
      </c>
      <c r="K3407" s="75">
        <f>'THAM_SO_MOI'!$C$31*J3407/E3407</f>
        <v>419.1118344827794</v>
      </c>
      <c r="L3407" s="75">
        <f>K3407*'THAM_SO_MOI'!$C$53*'THAM_SO_MOI'!$C$17/'THAM_SO_MOI'!$C$26</f>
        <v>3675.6124283854056</v>
      </c>
      <c r="M3407" s="75">
        <f>'THAM_SO_MOI'!$C$15*'THAM_SO_MOI'!$C$16*F3407^2</f>
        <v>860.6712582918719</v>
      </c>
      <c r="N3407" s="75">
        <f>'THAM_SO_MOI'!$C$12*I3407</f>
        <v>1130.112</v>
      </c>
      <c r="O3407" s="75">
        <f>M3407+N3407</f>
        <v>1990.783258291872</v>
      </c>
      <c r="P3407" s="75">
        <f>(MIN(L3407,'THAM_SO_MOI'!$C$41)-O3407)/('THAM_SO_MOI'!$C$11*H3407)</f>
        <v>0.19943527108114742</v>
      </c>
      <c r="Q3407" s="75">
        <f>IF(P3407&gt;0,1/P3407,NA())</f>
        <v>5.014158200698181</v>
      </c>
      <c r="R3407" s="75">
        <f>F3407-F3406</f>
        <v>0.0073885545698715305</v>
      </c>
      <c r="S3407" s="75">
        <f>0.5*(Q3406+Q3407)*R3407</f>
        <v>0.037042480768599666</v>
      </c>
      <c r="T3407" s="75">
        <f>0.5*(F3406*Q3406+F3407*Q3407)*R3407</f>
        <v>0.6352757092182416</v>
      </c>
      <c r="U3407" s="76">
        <f>U3406+S3407</f>
        <v>32.60235647076637</v>
      </c>
      <c r="V3407" s="76">
        <f>V3406+T3407</f>
        <v>352.8776765617462</v>
      </c>
    </row>
    <row r="3408" spans="1:22" ht="19" customHeight="1">
      <c r="A3408" s="68" t="s">
        <v>378</v>
      </c>
      <c r="B3408" s="74">
        <v>5</v>
      </c>
      <c r="C3408" s="68" t="s">
        <v>363</v>
      </c>
      <c r="D3408" s="68" t="s">
        <v>364</v>
      </c>
      <c r="E3408" s="75">
        <f>60*F3408*'THAM_SO_MOI'!$C$53/(2*PI()*'THAM_SO_MOI'!$C$26)</f>
        <v>1690.810675075058</v>
      </c>
      <c r="F3408" s="75">
        <f>'HANH_TRINH'!$F$3289+('THAM_SO_MOI'!$C$14-'HANH_TRINH'!$F$3289)*118/'THAM_SO_MOI'!$C$42</f>
        <v>17.16100578334728</v>
      </c>
      <c r="G3408" s="75">
        <f>3.6*F3408</f>
        <v>61.77962082005021</v>
      </c>
      <c r="H3408" s="75">
        <f>'THAM_SO_MOI'!$D$53</f>
        <v>1.1</v>
      </c>
      <c r="I3408" s="75">
        <f>IF(F3408&gt;'THAM_SO_MOI'!$C$14,'THAM_SO_MOI'!$C$13*(1+F3408^2/1500),'THAM_SO_MOI'!$C$13)</f>
        <v>0.015</v>
      </c>
      <c r="J3408" s="75">
        <f>'THAM_SO_MOI'!$C$40*('THAM_SO_MOI'!$C$23*(E3408/'THAM_SO_MOI'!$C$22)+'THAM_SO_MOI'!$C$24*(E3408/'THAM_SO_MOI'!$C$22)^2-'THAM_SO_MOI'!$C$25*(E3408/'THAM_SO_MOI'!$C$22)^3)</f>
        <v>74.20043244201626</v>
      </c>
      <c r="K3408" s="75">
        <f>'THAM_SO_MOI'!$C$31*J3408/E3408</f>
        <v>419.14546688512263</v>
      </c>
      <c r="L3408" s="75">
        <f>K3408*'THAM_SO_MOI'!$C$53*'THAM_SO_MOI'!$C$17/'THAM_SO_MOI'!$C$26</f>
        <v>3675.907384685558</v>
      </c>
      <c r="M3408" s="75">
        <f>'THAM_SO_MOI'!$C$15*'THAM_SO_MOI'!$C$16*F3408^2</f>
        <v>861.4128495260308</v>
      </c>
      <c r="N3408" s="75">
        <f>'THAM_SO_MOI'!$C$12*I3408</f>
        <v>1130.112</v>
      </c>
      <c r="O3408" s="75">
        <f>M3408+N3408</f>
        <v>1991.5248495260307</v>
      </c>
      <c r="P3408" s="75">
        <f>(MIN(L3408,'THAM_SO_MOI'!$C$41)-O3408)/('THAM_SO_MOI'!$C$11*H3408)</f>
        <v>0.19938240236263344</v>
      </c>
      <c r="Q3408" s="75">
        <f>IF(P3408&gt;0,1/P3408,NA())</f>
        <v>5.0154877669756255</v>
      </c>
      <c r="R3408" s="75">
        <f>F3408-F3407</f>
        <v>0.0073885545698715305</v>
      </c>
      <c r="S3408" s="75">
        <f>0.5*(Q3407+Q3408)*R3408</f>
        <v>0.03705229327432494</v>
      </c>
      <c r="T3408" s="75">
        <f>0.5*(F3407*Q3407+F3408*Q3408)*R3408</f>
        <v>0.635717755867073</v>
      </c>
      <c r="U3408" s="76">
        <f>U3407+S3408</f>
        <v>32.639408764040695</v>
      </c>
      <c r="V3408" s="76">
        <f>V3407+T3408</f>
        <v>353.5133943176133</v>
      </c>
    </row>
    <row r="3409" spans="1:22" ht="19" customHeight="1">
      <c r="A3409" s="68" t="s">
        <v>378</v>
      </c>
      <c r="B3409" s="74">
        <v>5</v>
      </c>
      <c r="C3409" s="68" t="s">
        <v>363</v>
      </c>
      <c r="D3409" s="68" t="s">
        <v>364</v>
      </c>
      <c r="E3409" s="75">
        <f>60*F3409*'THAM_SO_MOI'!$C$53/(2*PI()*'THAM_SO_MOI'!$C$26)</f>
        <v>1691.5386421358369</v>
      </c>
      <c r="F3409" s="75">
        <f>'HANH_TRINH'!$F$3289+('THAM_SO_MOI'!$C$14-'HANH_TRINH'!$F$3289)*119/'THAM_SO_MOI'!$C$42</f>
        <v>17.168394337917153</v>
      </c>
      <c r="G3409" s="75">
        <f>3.6*F3409</f>
        <v>61.80621961650175</v>
      </c>
      <c r="H3409" s="75">
        <f>'THAM_SO_MOI'!$D$53</f>
        <v>1.1</v>
      </c>
      <c r="I3409" s="75">
        <f>IF(F3409&gt;'THAM_SO_MOI'!$C$14,'THAM_SO_MOI'!$C$13*(1+F3409^2/1500),'THAM_SO_MOI'!$C$13)</f>
        <v>0.015</v>
      </c>
      <c r="J3409" s="75">
        <f>'THAM_SO_MOI'!$C$40*('THAM_SO_MOI'!$C$23*(E3409/'THAM_SO_MOI'!$C$22)+'THAM_SO_MOI'!$C$24*(E3409/'THAM_SO_MOI'!$C$22)^2-'THAM_SO_MOI'!$C$25*(E3409/'THAM_SO_MOI'!$C$22)^3)</f>
        <v>74.23832626559675</v>
      </c>
      <c r="K3409" s="75">
        <f>'THAM_SO_MOI'!$C$31*J3409/E3409</f>
        <v>419.17904787576026</v>
      </c>
      <c r="L3409" s="75">
        <f>K3409*'THAM_SO_MOI'!$C$53*'THAM_SO_MOI'!$C$17/'THAM_SO_MOI'!$C$26</f>
        <v>3676.2018901048514</v>
      </c>
      <c r="M3409" s="75">
        <f>'THAM_SO_MOI'!$C$15*'THAM_SO_MOI'!$C$16*F3409^2</f>
        <v>862.1547601160104</v>
      </c>
      <c r="N3409" s="75">
        <f>'THAM_SO_MOI'!$C$12*I3409</f>
        <v>1130.112</v>
      </c>
      <c r="O3409" s="75">
        <f>M3409+N3409</f>
        <v>1992.2667601160106</v>
      </c>
      <c r="P3409" s="75">
        <f>(MIN(L3409,'THAM_SO_MOI'!$C$41)-O3409)/('THAM_SO_MOI'!$C$11*H3409)</f>
        <v>0.19932944247026999</v>
      </c>
      <c r="Q3409" s="75">
        <f>IF(P3409&gt;0,1/P3409,NA())</f>
        <v>5.0168203332488135</v>
      </c>
      <c r="R3409" s="75">
        <f>F3409-F3408</f>
        <v>0.0073885545698715305</v>
      </c>
      <c r="S3409" s="75">
        <f>0.5*(Q3408+Q3409)*R3409</f>
        <v>0.037062127930136225</v>
      </c>
      <c r="T3409" s="75">
        <f>0.5*(F3408*Q3408+F3409*Q3409)*R3409</f>
        <v>0.6361603277160125</v>
      </c>
      <c r="U3409" s="76">
        <f>U3408+S3409</f>
        <v>32.67647089197083</v>
      </c>
      <c r="V3409" s="76">
        <f>V3408+T3409</f>
        <v>354.1495546453293</v>
      </c>
    </row>
    <row r="3410" spans="1:22" ht="19" customHeight="1">
      <c r="A3410" s="68" t="s">
        <v>378</v>
      </c>
      <c r="B3410" s="74">
        <v>5</v>
      </c>
      <c r="C3410" s="68" t="s">
        <v>363</v>
      </c>
      <c r="D3410" s="68" t="s">
        <v>364</v>
      </c>
      <c r="E3410" s="75">
        <f>60*F3410*'THAM_SO_MOI'!$C$53/(2*PI()*'THAM_SO_MOI'!$C$26)</f>
        <v>1692.2666091966162</v>
      </c>
      <c r="F3410" s="75">
        <f>'HANH_TRINH'!$F$3289+('THAM_SO_MOI'!$C$14-'HANH_TRINH'!$F$3289)*120/'THAM_SO_MOI'!$C$42</f>
        <v>17.175782892487025</v>
      </c>
      <c r="G3410" s="75">
        <f>3.6*F3410</f>
        <v>61.83281841295329</v>
      </c>
      <c r="H3410" s="75">
        <f>'THAM_SO_MOI'!$D$53</f>
        <v>1.1</v>
      </c>
      <c r="I3410" s="75">
        <f>IF(F3410&gt;'THAM_SO_MOI'!$C$14,'THAM_SO_MOI'!$C$13*(1+F3410^2/1500),'THAM_SO_MOI'!$C$13)</f>
        <v>0.015</v>
      </c>
      <c r="J3410" s="75">
        <f>'THAM_SO_MOI'!$C$40*('THAM_SO_MOI'!$C$23*(E3410/'THAM_SO_MOI'!$C$22)+'THAM_SO_MOI'!$C$24*(E3410/'THAM_SO_MOI'!$C$22)^2-'THAM_SO_MOI'!$C$25*(E3410/'THAM_SO_MOI'!$C$22)^3)</f>
        <v>74.27621609899722</v>
      </c>
      <c r="K3410" s="75">
        <f>'THAM_SO_MOI'!$C$31*J3410/E3410</f>
        <v>419.21257745469256</v>
      </c>
      <c r="L3410" s="75">
        <f>K3410*'THAM_SO_MOI'!$C$53*'THAM_SO_MOI'!$C$17/'THAM_SO_MOI'!$C$26</f>
        <v>3676.4959446432877</v>
      </c>
      <c r="M3410" s="75">
        <f>'THAM_SO_MOI'!$C$15*'THAM_SO_MOI'!$C$16*F3410^2</f>
        <v>862.8969900618113</v>
      </c>
      <c r="N3410" s="75">
        <f>'THAM_SO_MOI'!$C$12*I3410</f>
        <v>1130.112</v>
      </c>
      <c r="O3410" s="75">
        <f>M3410+N3410</f>
        <v>1993.0089900618113</v>
      </c>
      <c r="P3410" s="75">
        <f>(MIN(L3410,'THAM_SO_MOI'!$C$41)-O3410)/('THAM_SO_MOI'!$C$11*H3410)</f>
        <v>0.19927639140405734</v>
      </c>
      <c r="Q3410" s="75">
        <f>IF(P3410&gt;0,1/P3410,NA())</f>
        <v>5.018155903738628</v>
      </c>
      <c r="R3410" s="75">
        <f>F3410-F3409</f>
        <v>0.0073885545698715305</v>
      </c>
      <c r="S3410" s="75">
        <f>0.5*(Q3409+Q3410)*R3410</f>
        <v>0.03707198476717289</v>
      </c>
      <c r="T3410" s="75">
        <f>0.5*(F3409*Q3409+F3410*Q3410)*R3410</f>
        <v>0.6366034257907597</v>
      </c>
      <c r="U3410" s="76">
        <f>U3409+S3410</f>
        <v>32.713542876738</v>
      </c>
      <c r="V3410" s="76">
        <f>V3409+T3410</f>
        <v>354.7861580711201</v>
      </c>
    </row>
    <row r="3411" spans="1:22" ht="19" customHeight="1">
      <c r="A3411" s="68" t="s">
        <v>378</v>
      </c>
      <c r="B3411" s="74">
        <v>5</v>
      </c>
      <c r="C3411" s="68" t="s">
        <v>363</v>
      </c>
      <c r="D3411" s="68" t="s">
        <v>364</v>
      </c>
      <c r="E3411" s="75">
        <f>60*F3411*'THAM_SO_MOI'!$C$53/(2*PI()*'THAM_SO_MOI'!$C$26)</f>
        <v>1692.9945762573952</v>
      </c>
      <c r="F3411" s="75">
        <f>'HANH_TRINH'!$F$3289+('THAM_SO_MOI'!$C$14-'HANH_TRINH'!$F$3289)*121/'THAM_SO_MOI'!$C$42</f>
        <v>17.1831714470569</v>
      </c>
      <c r="G3411" s="75">
        <f>3.6*F3411</f>
        <v>61.85941720940484</v>
      </c>
      <c r="H3411" s="75">
        <f>'THAM_SO_MOI'!$D$53</f>
        <v>1.1</v>
      </c>
      <c r="I3411" s="75">
        <f>IF(F3411&gt;'THAM_SO_MOI'!$C$14,'THAM_SO_MOI'!$C$13*(1+F3411^2/1500),'THAM_SO_MOI'!$C$13)</f>
        <v>0.015</v>
      </c>
      <c r="J3411" s="75">
        <f>'THAM_SO_MOI'!$C$40*('THAM_SO_MOI'!$C$23*(E3411/'THAM_SO_MOI'!$C$22)+'THAM_SO_MOI'!$C$24*(E3411/'THAM_SO_MOI'!$C$22)^2-'THAM_SO_MOI'!$C$25*(E3411/'THAM_SO_MOI'!$C$22)^3)</f>
        <v>74.31410193046209</v>
      </c>
      <c r="K3411" s="75">
        <f>'THAM_SO_MOI'!$C$31*J3411/E3411</f>
        <v>419.2460556219194</v>
      </c>
      <c r="L3411" s="75">
        <f>K3411*'THAM_SO_MOI'!$C$53*'THAM_SO_MOI'!$C$17/'THAM_SO_MOI'!$C$26</f>
        <v>3676.789548300867</v>
      </c>
      <c r="M3411" s="75">
        <f>'THAM_SO_MOI'!$C$15*'THAM_SO_MOI'!$C$16*F3411^2</f>
        <v>863.6395393634333</v>
      </c>
      <c r="N3411" s="75">
        <f>'THAM_SO_MOI'!$C$12*I3411</f>
        <v>1130.112</v>
      </c>
      <c r="O3411" s="75">
        <f>M3411+N3411</f>
        <v>1993.7515393634335</v>
      </c>
      <c r="P3411" s="75">
        <f>(MIN(L3411,'THAM_SO_MOI'!$C$41)-O3411)/('THAM_SO_MOI'!$C$11*H3411)</f>
        <v>0.19922324916399545</v>
      </c>
      <c r="Q3411" s="75">
        <f>IF(P3411&gt;0,1/P3411,NA())</f>
        <v>5.019494482678705</v>
      </c>
      <c r="R3411" s="75">
        <f>F3411-F3410</f>
        <v>0.007388554569875083</v>
      </c>
      <c r="S3411" s="75">
        <f>0.5*(Q3410+Q3411)*R3411</f>
        <v>0.03708186381668609</v>
      </c>
      <c r="T3411" s="75">
        <f>0.5*(F3410*Q3410+F3411*Q3411)*R3411</f>
        <v>0.637047051119855</v>
      </c>
      <c r="U3411" s="76">
        <f>U3410+S3411</f>
        <v>32.75062474055469</v>
      </c>
      <c r="V3411" s="76">
        <f>V3410+T3411</f>
        <v>355.42320512223995</v>
      </c>
    </row>
    <row r="3412" spans="1:22" ht="19" customHeight="1">
      <c r="A3412" s="68" t="s">
        <v>378</v>
      </c>
      <c r="B3412" s="74">
        <v>5</v>
      </c>
      <c r="C3412" s="68" t="s">
        <v>363</v>
      </c>
      <c r="D3412" s="68" t="s">
        <v>364</v>
      </c>
      <c r="E3412" s="75">
        <f>60*F3412*'THAM_SO_MOI'!$C$53/(2*PI()*'THAM_SO_MOI'!$C$26)</f>
        <v>1693.722543318174</v>
      </c>
      <c r="F3412" s="75">
        <f>'HANH_TRINH'!$F$3289+('THAM_SO_MOI'!$C$14-'HANH_TRINH'!$F$3289)*122/'THAM_SO_MOI'!$C$42</f>
        <v>17.19056000162677</v>
      </c>
      <c r="G3412" s="75">
        <f>3.6*F3412</f>
        <v>61.886016005856376</v>
      </c>
      <c r="H3412" s="75">
        <f>'THAM_SO_MOI'!$D$53</f>
        <v>1.1</v>
      </c>
      <c r="I3412" s="75">
        <f>IF(F3412&gt;'THAM_SO_MOI'!$C$14,'THAM_SO_MOI'!$C$13*(1+F3412^2/1500),'THAM_SO_MOI'!$C$13)</f>
        <v>0.015</v>
      </c>
      <c r="J3412" s="75">
        <f>'THAM_SO_MOI'!$C$40*('THAM_SO_MOI'!$C$23*(E3412/'THAM_SO_MOI'!$C$22)+'THAM_SO_MOI'!$C$24*(E3412/'THAM_SO_MOI'!$C$22)^2-'THAM_SO_MOI'!$C$25*(E3412/'THAM_SO_MOI'!$C$22)^3)</f>
        <v>74.35198374823585</v>
      </c>
      <c r="K3412" s="75">
        <f>'THAM_SO_MOI'!$C$31*J3412/E3412</f>
        <v>419.27948237744084</v>
      </c>
      <c r="L3412" s="75">
        <f>K3412*'THAM_SO_MOI'!$C$53*'THAM_SO_MOI'!$C$17/'THAM_SO_MOI'!$C$26</f>
        <v>3677.0827010775874</v>
      </c>
      <c r="M3412" s="75">
        <f>'THAM_SO_MOI'!$C$15*'THAM_SO_MOI'!$C$16*F3412^2</f>
        <v>864.3824080208759</v>
      </c>
      <c r="N3412" s="75">
        <f>'THAM_SO_MOI'!$C$12*I3412</f>
        <v>1130.112</v>
      </c>
      <c r="O3412" s="75">
        <f>M3412+N3412</f>
        <v>1994.494408020876</v>
      </c>
      <c r="P3412" s="75">
        <f>(MIN(L3412,'THAM_SO_MOI'!$C$41)-O3412)/('THAM_SO_MOI'!$C$11*H3412)</f>
        <v>0.1991700157500842</v>
      </c>
      <c r="Q3412" s="75">
        <f>IF(P3412&gt;0,1/P3412,NA())</f>
        <v>5.020836074315454</v>
      </c>
      <c r="R3412" s="75">
        <f>F3412-F3411</f>
        <v>0.0073885545698715305</v>
      </c>
      <c r="S3412" s="75">
        <f>0.5*(Q3411+Q3412)*R3412</f>
        <v>0.037091765109949985</v>
      </c>
      <c r="T3412" s="75">
        <f>0.5*(F3411*Q3411+F3412*Q3412)*R3412</f>
        <v>0.6374912047331573</v>
      </c>
      <c r="U3412" s="76">
        <f>U3411+S3412</f>
        <v>32.78771650566464</v>
      </c>
      <c r="V3412" s="76">
        <f>V3411+T3412</f>
        <v>356.06069632697313</v>
      </c>
    </row>
    <row r="3413" spans="1:22" ht="19" customHeight="1">
      <c r="A3413" s="68" t="s">
        <v>378</v>
      </c>
      <c r="B3413" s="74">
        <v>5</v>
      </c>
      <c r="C3413" s="68" t="s">
        <v>363</v>
      </c>
      <c r="D3413" s="68" t="s">
        <v>364</v>
      </c>
      <c r="E3413" s="75">
        <f>60*F3413*'THAM_SO_MOI'!$C$53/(2*PI()*'THAM_SO_MOI'!$C$26)</f>
        <v>1694.450510378953</v>
      </c>
      <c r="F3413" s="75">
        <f>'HANH_TRINH'!$F$3289+('THAM_SO_MOI'!$C$14-'HANH_TRINH'!$F$3289)*123/'THAM_SO_MOI'!$C$42</f>
        <v>17.197948556196643</v>
      </c>
      <c r="G3413" s="75">
        <f>3.6*F3413</f>
        <v>61.912614802307914</v>
      </c>
      <c r="H3413" s="75">
        <f>'THAM_SO_MOI'!$D$53</f>
        <v>1.1</v>
      </c>
      <c r="I3413" s="75">
        <f>IF(F3413&gt;'THAM_SO_MOI'!$C$14,'THAM_SO_MOI'!$C$13*(1+F3413^2/1500),'THAM_SO_MOI'!$C$13)</f>
        <v>0.015</v>
      </c>
      <c r="J3413" s="75">
        <f>'THAM_SO_MOI'!$C$40*('THAM_SO_MOI'!$C$23*(E3413/'THAM_SO_MOI'!$C$22)+'THAM_SO_MOI'!$C$24*(E3413/'THAM_SO_MOI'!$C$22)^2-'THAM_SO_MOI'!$C$25*(E3413/'THAM_SO_MOI'!$C$22)^3)</f>
        <v>74.38986154056303</v>
      </c>
      <c r="K3413" s="75">
        <f>'THAM_SO_MOI'!$C$31*J3413/E3413</f>
        <v>419.31285772125693</v>
      </c>
      <c r="L3413" s="75">
        <f>K3413*'THAM_SO_MOI'!$C$53*'THAM_SO_MOI'!$C$17/'THAM_SO_MOI'!$C$26</f>
        <v>3677.3754029734514</v>
      </c>
      <c r="M3413" s="75">
        <f>'THAM_SO_MOI'!$C$15*'THAM_SO_MOI'!$C$16*F3413^2</f>
        <v>865.1255960341398</v>
      </c>
      <c r="N3413" s="75">
        <f>'THAM_SO_MOI'!$C$12*I3413</f>
        <v>1130.112</v>
      </c>
      <c r="O3413" s="75">
        <f>M3413+N3413</f>
        <v>1995.2375960341399</v>
      </c>
      <c r="P3413" s="75">
        <f>(MIN(L3413,'THAM_SO_MOI'!$C$41)-O3413)/('THAM_SO_MOI'!$C$11*H3413)</f>
        <v>0.19911669116232378</v>
      </c>
      <c r="Q3413" s="75">
        <f>IF(P3413&gt;0,1/P3413,NA())</f>
        <v>5.022180682908098</v>
      </c>
      <c r="R3413" s="75">
        <f>F3413-F3412</f>
        <v>0.0073885545698715305</v>
      </c>
      <c r="S3413" s="75">
        <f>0.5*(Q3412+Q3413)*R3413</f>
        <v>0.037101688678440214</v>
      </c>
      <c r="T3413" s="75">
        <f>0.5*(F3412*Q3412+F3413*Q3413)*R3413</f>
        <v>0.6379358876649147</v>
      </c>
      <c r="U3413" s="76">
        <f>U3412+S3413</f>
        <v>32.82481819434308</v>
      </c>
      <c r="V3413" s="76">
        <f>V3412+T3413</f>
        <v>356.69863221463805</v>
      </c>
    </row>
    <row r="3414" spans="1:22" ht="19" customHeight="1">
      <c r="A3414" s="68" t="s">
        <v>378</v>
      </c>
      <c r="B3414" s="74">
        <v>5</v>
      </c>
      <c r="C3414" s="68" t="s">
        <v>363</v>
      </c>
      <c r="D3414" s="68" t="s">
        <v>364</v>
      </c>
      <c r="E3414" s="75">
        <f>60*F3414*'THAM_SO_MOI'!$C$53/(2*PI()*'THAM_SO_MOI'!$C$26)</f>
        <v>1695.1784774397322</v>
      </c>
      <c r="F3414" s="75">
        <f>'HANH_TRINH'!$F$3289+('THAM_SO_MOI'!$C$14-'HANH_TRINH'!$F$3289)*124/'THAM_SO_MOI'!$C$42</f>
        <v>17.205337110766514</v>
      </c>
      <c r="G3414" s="75">
        <f>3.6*F3414</f>
        <v>61.93921359875945</v>
      </c>
      <c r="H3414" s="75">
        <f>'THAM_SO_MOI'!$D$53</f>
        <v>1.1</v>
      </c>
      <c r="I3414" s="75">
        <f>IF(F3414&gt;'THAM_SO_MOI'!$C$14,'THAM_SO_MOI'!$C$13*(1+F3414^2/1500),'THAM_SO_MOI'!$C$13)</f>
        <v>0.015</v>
      </c>
      <c r="J3414" s="75">
        <f>'THAM_SO_MOI'!$C$40*('THAM_SO_MOI'!$C$23*(E3414/'THAM_SO_MOI'!$C$22)+'THAM_SO_MOI'!$C$24*(E3414/'THAM_SO_MOI'!$C$22)^2-'THAM_SO_MOI'!$C$25*(E3414/'THAM_SO_MOI'!$C$22)^3)</f>
        <v>74.4277352956881</v>
      </c>
      <c r="K3414" s="75">
        <f>'THAM_SO_MOI'!$C$31*J3414/E3414</f>
        <v>419.3461816533676</v>
      </c>
      <c r="L3414" s="75">
        <f>K3414*'THAM_SO_MOI'!$C$53*'THAM_SO_MOI'!$C$17/'THAM_SO_MOI'!$C$26</f>
        <v>3677.6676539884575</v>
      </c>
      <c r="M3414" s="75">
        <f>'THAM_SO_MOI'!$C$15*'THAM_SO_MOI'!$C$16*F3414^2</f>
        <v>865.8691034032244</v>
      </c>
      <c r="N3414" s="75">
        <f>'THAM_SO_MOI'!$C$12*I3414</f>
        <v>1130.112</v>
      </c>
      <c r="O3414" s="75">
        <f>M3414+N3414</f>
        <v>1995.9811034032246</v>
      </c>
      <c r="P3414" s="75">
        <f>(MIN(L3414,'THAM_SO_MOI'!$C$41)-O3414)/('THAM_SO_MOI'!$C$11*H3414)</f>
        <v>0.1990632754007141</v>
      </c>
      <c r="Q3414" s="75">
        <f>IF(P3414&gt;0,1/P3414,NA())</f>
        <v>5.02352831272871</v>
      </c>
      <c r="R3414" s="75">
        <f>F3414-F3413</f>
        <v>0.0073885545698715305</v>
      </c>
      <c r="S3414" s="75">
        <f>0.5*(Q3413+Q3414)*R3414</f>
        <v>0.03711163455365594</v>
      </c>
      <c r="T3414" s="75">
        <f>0.5*(F3413*Q3413+F3414*Q3414)*R3414</f>
        <v>0.6383811009507099</v>
      </c>
      <c r="U3414" s="76">
        <f>U3413+S3414</f>
        <v>32.861929828896734</v>
      </c>
      <c r="V3414" s="76">
        <f>V3413+T3414</f>
        <v>357.33701331558876</v>
      </c>
    </row>
    <row r="3415" spans="1:22" ht="19" customHeight="1">
      <c r="A3415" s="68" t="s">
        <v>378</v>
      </c>
      <c r="B3415" s="74">
        <v>5</v>
      </c>
      <c r="C3415" s="68" t="s">
        <v>363</v>
      </c>
      <c r="D3415" s="68" t="s">
        <v>364</v>
      </c>
      <c r="E3415" s="75">
        <f>60*F3415*'THAM_SO_MOI'!$C$53/(2*PI()*'THAM_SO_MOI'!$C$26)</f>
        <v>1695.906444500511</v>
      </c>
      <c r="F3415" s="75">
        <f>'HANH_TRINH'!$F$3289+('THAM_SO_MOI'!$C$14-'HANH_TRINH'!$F$3289)*125/'THAM_SO_MOI'!$C$42</f>
        <v>17.212725665336386</v>
      </c>
      <c r="G3415" s="75">
        <f>3.6*F3415</f>
        <v>61.96581239521099</v>
      </c>
      <c r="H3415" s="75">
        <f>'THAM_SO_MOI'!$D$53</f>
        <v>1.1</v>
      </c>
      <c r="I3415" s="75">
        <f>IF(F3415&gt;'THAM_SO_MOI'!$C$14,'THAM_SO_MOI'!$C$13*(1+F3415^2/1500),'THAM_SO_MOI'!$C$13)</f>
        <v>0.015</v>
      </c>
      <c r="J3415" s="75">
        <f>'THAM_SO_MOI'!$C$40*('THAM_SO_MOI'!$C$23*(E3415/'THAM_SO_MOI'!$C$22)+'THAM_SO_MOI'!$C$24*(E3415/'THAM_SO_MOI'!$C$22)^2-'THAM_SO_MOI'!$C$25*(E3415/'THAM_SO_MOI'!$C$22)^3)</f>
        <v>74.4656050018555</v>
      </c>
      <c r="K3415" s="75">
        <f>'THAM_SO_MOI'!$C$31*J3415/E3415</f>
        <v>419.37945417377273</v>
      </c>
      <c r="L3415" s="75">
        <f>K3415*'THAM_SO_MOI'!$C$53*'THAM_SO_MOI'!$C$17/'THAM_SO_MOI'!$C$26</f>
        <v>3677.9594541226043</v>
      </c>
      <c r="M3415" s="75">
        <f>'THAM_SO_MOI'!$C$15*'THAM_SO_MOI'!$C$16*F3415^2</f>
        <v>866.6129301281302</v>
      </c>
      <c r="N3415" s="75">
        <f>'THAM_SO_MOI'!$C$12*I3415</f>
        <v>1130.112</v>
      </c>
      <c r="O3415" s="75">
        <f>M3415+N3415</f>
        <v>1996.7249301281304</v>
      </c>
      <c r="P3415" s="75">
        <f>(MIN(L3415,'THAM_SO_MOI'!$C$41)-O3415)/('THAM_SO_MOI'!$C$11*H3415)</f>
        <v>0.19900976846525495</v>
      </c>
      <c r="Q3415" s="75">
        <f>IF(P3415&gt;0,1/P3415,NA())</f>
        <v>5.0248789680622625</v>
      </c>
      <c r="R3415" s="75">
        <f>F3415-F3414</f>
        <v>0.0073885545698715305</v>
      </c>
      <c r="S3415" s="75">
        <f>0.5*(Q3414+Q3415)*R3415</f>
        <v>0.037121602767209244</v>
      </c>
      <c r="T3415" s="75">
        <f>0.5*(F3414*Q3414+F3415*Q3415)*R3415</f>
        <v>0.6388268456289996</v>
      </c>
      <c r="U3415" s="76">
        <f>U3414+S3415</f>
        <v>32.89905143166394</v>
      </c>
      <c r="V3415" s="76">
        <f>V3414+T3415</f>
        <v>357.9758401612178</v>
      </c>
    </row>
    <row r="3416" spans="1:22" ht="19" customHeight="1">
      <c r="A3416" s="68" t="s">
        <v>378</v>
      </c>
      <c r="B3416" s="74">
        <v>5</v>
      </c>
      <c r="C3416" s="68" t="s">
        <v>363</v>
      </c>
      <c r="D3416" s="68" t="s">
        <v>364</v>
      </c>
      <c r="E3416" s="75">
        <f>60*F3416*'THAM_SO_MOI'!$C$53/(2*PI()*'THAM_SO_MOI'!$C$26)</f>
        <v>1696.6344115612899</v>
      </c>
      <c r="F3416" s="75">
        <f>'HANH_TRINH'!$F$3289+('THAM_SO_MOI'!$C$14-'HANH_TRINH'!$F$3289)*126/'THAM_SO_MOI'!$C$42</f>
        <v>17.220114219906257</v>
      </c>
      <c r="G3416" s="75">
        <f>3.6*F3416</f>
        <v>61.99241119166253</v>
      </c>
      <c r="H3416" s="75">
        <f>'THAM_SO_MOI'!$D$53</f>
        <v>1.1</v>
      </c>
      <c r="I3416" s="75">
        <f>IF(F3416&gt;'THAM_SO_MOI'!$C$14,'THAM_SO_MOI'!$C$13*(1+F3416^2/1500),'THAM_SO_MOI'!$C$13)</f>
        <v>0.015</v>
      </c>
      <c r="J3416" s="75">
        <f>'THAM_SO_MOI'!$C$40*('THAM_SO_MOI'!$C$23*(E3416/'THAM_SO_MOI'!$C$22)+'THAM_SO_MOI'!$C$24*(E3416/'THAM_SO_MOI'!$C$22)^2-'THAM_SO_MOI'!$C$25*(E3416/'THAM_SO_MOI'!$C$22)^3)</f>
        <v>74.50347064730974</v>
      </c>
      <c r="K3416" s="75">
        <f>'THAM_SO_MOI'!$C$31*J3416/E3416</f>
        <v>419.41267528247243</v>
      </c>
      <c r="L3416" s="75">
        <f>K3416*'THAM_SO_MOI'!$C$53*'THAM_SO_MOI'!$C$17/'THAM_SO_MOI'!$C$26</f>
        <v>3678.250803375894</v>
      </c>
      <c r="M3416" s="75">
        <f>'THAM_SO_MOI'!$C$15*'THAM_SO_MOI'!$C$16*F3416^2</f>
        <v>867.3570762088568</v>
      </c>
      <c r="N3416" s="75">
        <f>'THAM_SO_MOI'!$C$12*I3416</f>
        <v>1130.112</v>
      </c>
      <c r="O3416" s="75">
        <f>M3416+N3416</f>
        <v>1997.469076208857</v>
      </c>
      <c r="P3416" s="75">
        <f>(MIN(L3416,'THAM_SO_MOI'!$C$41)-O3416)/('THAM_SO_MOI'!$C$11*H3416)</f>
        <v>0.19895617035594665</v>
      </c>
      <c r="Q3416" s="75">
        <f>IF(P3416&gt;0,1/P3416,NA())</f>
        <v>5.02623265320663</v>
      </c>
      <c r="R3416" s="75">
        <f>F3416-F3415</f>
        <v>0.0073885545698715305</v>
      </c>
      <c r="S3416" s="75">
        <f>0.5*(Q3415+Q3416)*R3416</f>
        <v>0.03713159335080756</v>
      </c>
      <c r="T3416" s="75">
        <f>0.5*(F3415*Q3415+F3416*Q3416)*R3416</f>
        <v>0.6392731227408165</v>
      </c>
      <c r="U3416" s="76">
        <f>U3415+S3416</f>
        <v>32.93618302501475</v>
      </c>
      <c r="V3416" s="76">
        <f>V3415+T3416</f>
        <v>358.6151132839586</v>
      </c>
    </row>
    <row r="3417" spans="1:22" ht="19" customHeight="1">
      <c r="A3417" s="68" t="s">
        <v>378</v>
      </c>
      <c r="B3417" s="74">
        <v>5</v>
      </c>
      <c r="C3417" s="68" t="s">
        <v>363</v>
      </c>
      <c r="D3417" s="68" t="s">
        <v>364</v>
      </c>
      <c r="E3417" s="75">
        <f>60*F3417*'THAM_SO_MOI'!$C$53/(2*PI()*'THAM_SO_MOI'!$C$26)</f>
        <v>1697.3623786220687</v>
      </c>
      <c r="F3417" s="75">
        <f>'HANH_TRINH'!$F$3289+('THAM_SO_MOI'!$C$14-'HANH_TRINH'!$F$3289)*127/'THAM_SO_MOI'!$C$42</f>
        <v>17.22750277447613</v>
      </c>
      <c r="G3417" s="75">
        <f>3.6*F3417</f>
        <v>62.019009988114064</v>
      </c>
      <c r="H3417" s="75">
        <f>'THAM_SO_MOI'!$D$53</f>
        <v>1.1</v>
      </c>
      <c r="I3417" s="75">
        <f>IF(F3417&gt;'THAM_SO_MOI'!$C$14,'THAM_SO_MOI'!$C$13*(1+F3417^2/1500),'THAM_SO_MOI'!$C$13)</f>
        <v>0.015</v>
      </c>
      <c r="J3417" s="75">
        <f>'THAM_SO_MOI'!$C$40*('THAM_SO_MOI'!$C$23*(E3417/'THAM_SO_MOI'!$C$22)+'THAM_SO_MOI'!$C$24*(E3417/'THAM_SO_MOI'!$C$22)^2-'THAM_SO_MOI'!$C$25*(E3417/'THAM_SO_MOI'!$C$22)^3)</f>
        <v>74.54133222029527</v>
      </c>
      <c r="K3417" s="75">
        <f>'THAM_SO_MOI'!$C$31*J3417/E3417</f>
        <v>419.4458449794665</v>
      </c>
      <c r="L3417" s="75">
        <f>K3417*'THAM_SO_MOI'!$C$53*'THAM_SO_MOI'!$C$17/'THAM_SO_MOI'!$C$26</f>
        <v>3678.5417017483237</v>
      </c>
      <c r="M3417" s="75">
        <f>'THAM_SO_MOI'!$C$15*'THAM_SO_MOI'!$C$16*F3417^2</f>
        <v>868.1015416454046</v>
      </c>
      <c r="N3417" s="75">
        <f>'THAM_SO_MOI'!$C$12*I3417</f>
        <v>1130.112</v>
      </c>
      <c r="O3417" s="75">
        <f>M3417+N3417</f>
        <v>1998.2135416454048</v>
      </c>
      <c r="P3417" s="75">
        <f>(MIN(L3417,'THAM_SO_MOI'!$C$41)-O3417)/('THAM_SO_MOI'!$C$11*H3417)</f>
        <v>0.19890248107278868</v>
      </c>
      <c r="Q3417" s="75">
        <f>IF(P3417&gt;0,1/P3417,NA())</f>
        <v>5.027589372472677</v>
      </c>
      <c r="R3417" s="75">
        <f>F3417-F3416</f>
        <v>0.0073885545698715305</v>
      </c>
      <c r="S3417" s="75">
        <f>0.5*(Q3416+Q3417)*R3417</f>
        <v>0.03714160633625394</v>
      </c>
      <c r="T3417" s="75">
        <f>0.5*(F3416*Q3416+F3417*Q3417)*R3417</f>
        <v>0.6397199333297776</v>
      </c>
      <c r="U3417" s="76">
        <f>U3416+S3417</f>
        <v>32.973324631351005</v>
      </c>
      <c r="V3417" s="76">
        <f>V3416+T3417</f>
        <v>359.25483321728836</v>
      </c>
    </row>
    <row r="3418" spans="1:22" ht="19" customHeight="1">
      <c r="A3418" s="68" t="s">
        <v>378</v>
      </c>
      <c r="B3418" s="74">
        <v>5</v>
      </c>
      <c r="C3418" s="68" t="s">
        <v>363</v>
      </c>
      <c r="D3418" s="68" t="s">
        <v>364</v>
      </c>
      <c r="E3418" s="75">
        <f>60*F3418*'THAM_SO_MOI'!$C$53/(2*PI()*'THAM_SO_MOI'!$C$26)</f>
        <v>1698.0903456828482</v>
      </c>
      <c r="F3418" s="75">
        <f>'HANH_TRINH'!$F$3289+('THAM_SO_MOI'!$C$14-'HANH_TRINH'!$F$3289)*128/'THAM_SO_MOI'!$C$42</f>
        <v>17.234891329046004</v>
      </c>
      <c r="G3418" s="75">
        <f>3.6*F3418</f>
        <v>62.045608784565616</v>
      </c>
      <c r="H3418" s="75">
        <f>'THAM_SO_MOI'!$D$53</f>
        <v>1.1</v>
      </c>
      <c r="I3418" s="75">
        <f>IF(F3418&gt;'THAM_SO_MOI'!$C$14,'THAM_SO_MOI'!$C$13*(1+F3418^2/1500),'THAM_SO_MOI'!$C$13)</f>
        <v>0.015</v>
      </c>
      <c r="J3418" s="75">
        <f>'THAM_SO_MOI'!$C$40*('THAM_SO_MOI'!$C$23*(E3418/'THAM_SO_MOI'!$C$22)+'THAM_SO_MOI'!$C$24*(E3418/'THAM_SO_MOI'!$C$22)^2-'THAM_SO_MOI'!$C$25*(E3418/'THAM_SO_MOI'!$C$22)^3)</f>
        <v>74.5791897090567</v>
      </c>
      <c r="K3418" s="75">
        <f>'THAM_SO_MOI'!$C$31*J3418/E3418</f>
        <v>419.47896326475546</v>
      </c>
      <c r="L3418" s="75">
        <f>K3418*'THAM_SO_MOI'!$C$53*'THAM_SO_MOI'!$C$17/'THAM_SO_MOI'!$C$26</f>
        <v>3678.832149239899</v>
      </c>
      <c r="M3418" s="75">
        <f>'THAM_SO_MOI'!$C$15*'THAM_SO_MOI'!$C$16*F3418^2</f>
        <v>868.8463264377735</v>
      </c>
      <c r="N3418" s="75">
        <f>'THAM_SO_MOI'!$C$12*I3418</f>
        <v>1130.112</v>
      </c>
      <c r="O3418" s="75">
        <f>M3418+N3418</f>
        <v>1998.9583264377736</v>
      </c>
      <c r="P3418" s="75">
        <f>(MIN(L3418,'THAM_SO_MOI'!$C$41)-O3418)/('THAM_SO_MOI'!$C$11*H3418)</f>
        <v>0.19884870061578191</v>
      </c>
      <c r="Q3418" s="75">
        <f>IF(P3418&gt;0,1/P3418,NA())</f>
        <v>5.028949130184226</v>
      </c>
      <c r="R3418" s="75">
        <f>F3418-F3417</f>
        <v>0.007388554569875083</v>
      </c>
      <c r="S3418" s="75">
        <f>0.5*(Q3417+Q3418)*R3418</f>
        <v>0.03715164175546519</v>
      </c>
      <c r="T3418" s="75">
        <f>0.5*(F3417*Q3417+F3418*Q3418)*R3418</f>
        <v>0.6401672784423996</v>
      </c>
      <c r="U3418" s="76">
        <f>U3417+S3418</f>
        <v>33.01047627310647</v>
      </c>
      <c r="V3418" s="76">
        <f>V3417+T3418</f>
        <v>359.89500049573076</v>
      </c>
    </row>
    <row r="3419" spans="1:22" ht="19" customHeight="1">
      <c r="A3419" s="68" t="s">
        <v>378</v>
      </c>
      <c r="B3419" s="74">
        <v>5</v>
      </c>
      <c r="C3419" s="68" t="s">
        <v>363</v>
      </c>
      <c r="D3419" s="68" t="s">
        <v>364</v>
      </c>
      <c r="E3419" s="75">
        <f>60*F3419*'THAM_SO_MOI'!$C$53/(2*PI()*'THAM_SO_MOI'!$C$26)</f>
        <v>1698.818312743627</v>
      </c>
      <c r="F3419" s="75">
        <f>'HANH_TRINH'!$F$3289+('THAM_SO_MOI'!$C$14-'HANH_TRINH'!$F$3289)*129/'THAM_SO_MOI'!$C$42</f>
        <v>17.242279883615875</v>
      </c>
      <c r="G3419" s="75">
        <f>3.6*F3419</f>
        <v>62.07220758101715</v>
      </c>
      <c r="H3419" s="75">
        <f>'THAM_SO_MOI'!$D$53</f>
        <v>1.1</v>
      </c>
      <c r="I3419" s="75">
        <f>IF(F3419&gt;'THAM_SO_MOI'!$C$14,'THAM_SO_MOI'!$C$13*(1+F3419^2/1500),'THAM_SO_MOI'!$C$13)</f>
        <v>0.015</v>
      </c>
      <c r="J3419" s="75">
        <f>'THAM_SO_MOI'!$C$40*('THAM_SO_MOI'!$C$23*(E3419/'THAM_SO_MOI'!$C$22)+'THAM_SO_MOI'!$C$24*(E3419/'THAM_SO_MOI'!$C$22)^2-'THAM_SO_MOI'!$C$25*(E3419/'THAM_SO_MOI'!$C$22)^3)</f>
        <v>74.61704310183842</v>
      </c>
      <c r="K3419" s="75">
        <f>'THAM_SO_MOI'!$C$31*J3419/E3419</f>
        <v>419.512030138339</v>
      </c>
      <c r="L3419" s="75">
        <f>K3419*'THAM_SO_MOI'!$C$53*'THAM_SO_MOI'!$C$17/'THAM_SO_MOI'!$C$26</f>
        <v>3679.122145850616</v>
      </c>
      <c r="M3419" s="75">
        <f>'THAM_SO_MOI'!$C$15*'THAM_SO_MOI'!$C$16*F3419^2</f>
        <v>869.5914305859633</v>
      </c>
      <c r="N3419" s="75">
        <f>'THAM_SO_MOI'!$C$12*I3419</f>
        <v>1130.112</v>
      </c>
      <c r="O3419" s="75">
        <f>M3419+N3419</f>
        <v>1999.7034305859634</v>
      </c>
      <c r="P3419" s="75">
        <f>(MIN(L3419,'THAM_SO_MOI'!$C$41)-O3419)/('THAM_SO_MOI'!$C$11*H3419)</f>
        <v>0.19879482898492576</v>
      </c>
      <c r="Q3419" s="75">
        <f>IF(P3419&gt;0,1/P3419,NA())</f>
        <v>5.030311930678177</v>
      </c>
      <c r="R3419" s="75">
        <f>F3419-F3418</f>
        <v>0.0073885545698715305</v>
      </c>
      <c r="S3419" s="75">
        <f>0.5*(Q3418+Q3419)*R3419</f>
        <v>0.03716169964038283</v>
      </c>
      <c r="T3419" s="75">
        <f>0.5*(F3418*Q3418+F3419*Q3419)*R3419</f>
        <v>0.6406151591265684</v>
      </c>
      <c r="U3419" s="76">
        <f>U3418+S3419</f>
        <v>33.047637972746855</v>
      </c>
      <c r="V3419" s="76">
        <f>V3418+T3419</f>
        <v>360.53561565485734</v>
      </c>
    </row>
    <row r="3420" spans="1:22" ht="19" customHeight="1">
      <c r="A3420" s="68" t="s">
        <v>378</v>
      </c>
      <c r="B3420" s="74">
        <v>5</v>
      </c>
      <c r="C3420" s="68" t="s">
        <v>363</v>
      </c>
      <c r="D3420" s="68" t="s">
        <v>364</v>
      </c>
      <c r="E3420" s="75">
        <f>60*F3420*'THAM_SO_MOI'!$C$53/(2*PI()*'THAM_SO_MOI'!$C$26)</f>
        <v>1699.546279804406</v>
      </c>
      <c r="F3420" s="75">
        <f>'HANH_TRINH'!$F$3289+('THAM_SO_MOI'!$C$14-'HANH_TRINH'!$F$3289)*130/'THAM_SO_MOI'!$C$42</f>
        <v>17.249668438185747</v>
      </c>
      <c r="G3420" s="75">
        <f>3.6*F3420</f>
        <v>62.09880637746869</v>
      </c>
      <c r="H3420" s="75">
        <f>'THAM_SO_MOI'!$D$53</f>
        <v>1.1</v>
      </c>
      <c r="I3420" s="75">
        <f>IF(F3420&gt;'THAM_SO_MOI'!$C$14,'THAM_SO_MOI'!$C$13*(1+F3420^2/1500),'THAM_SO_MOI'!$C$13)</f>
        <v>0.015</v>
      </c>
      <c r="J3420" s="75">
        <f>'THAM_SO_MOI'!$C$40*('THAM_SO_MOI'!$C$23*(E3420/'THAM_SO_MOI'!$C$22)+'THAM_SO_MOI'!$C$24*(E3420/'THAM_SO_MOI'!$C$22)^2-'THAM_SO_MOI'!$C$25*(E3420/'THAM_SO_MOI'!$C$22)^3)</f>
        <v>74.6548923868849</v>
      </c>
      <c r="K3420" s="75">
        <f>'THAM_SO_MOI'!$C$31*J3420/E3420</f>
        <v>419.54504560021707</v>
      </c>
      <c r="L3420" s="75">
        <f>K3420*'THAM_SO_MOI'!$C$53*'THAM_SO_MOI'!$C$17/'THAM_SO_MOI'!$C$26</f>
        <v>3679.4116915804757</v>
      </c>
      <c r="M3420" s="75">
        <f>'THAM_SO_MOI'!$C$15*'THAM_SO_MOI'!$C$16*F3420^2</f>
        <v>870.3368540899739</v>
      </c>
      <c r="N3420" s="75">
        <f>'THAM_SO_MOI'!$C$12*I3420</f>
        <v>1130.112</v>
      </c>
      <c r="O3420" s="75">
        <f>M3420+N3420</f>
        <v>2000.448854089974</v>
      </c>
      <c r="P3420" s="75">
        <f>(MIN(L3420,'THAM_SO_MOI'!$C$41)-O3420)/('THAM_SO_MOI'!$C$11*H3420)</f>
        <v>0.19874086618022035</v>
      </c>
      <c r="Q3420" s="75">
        <f>IF(P3420&gt;0,1/P3420,NA())</f>
        <v>5.031677778304484</v>
      </c>
      <c r="R3420" s="75">
        <f>F3420-F3419</f>
        <v>0.0073885545698715305</v>
      </c>
      <c r="S3420" s="75">
        <f>0.5*(Q3419+Q3420)*R3420</f>
        <v>0.03717178002315208</v>
      </c>
      <c r="T3420" s="75">
        <f>0.5*(F3419*Q3419+F3420*Q3420)*R3420</f>
        <v>0.6410635764346273</v>
      </c>
      <c r="U3420" s="76">
        <f>U3419+S3420</f>
        <v>33.084809752770006</v>
      </c>
      <c r="V3420" s="76">
        <f>V3419+T3420</f>
        <v>361.176679231292</v>
      </c>
    </row>
    <row r="3421" spans="1:22" ht="19" customHeight="1">
      <c r="A3421" s="68" t="s">
        <v>378</v>
      </c>
      <c r="B3421" s="74">
        <v>5</v>
      </c>
      <c r="C3421" s="68" t="s">
        <v>363</v>
      </c>
      <c r="D3421" s="68" t="s">
        <v>364</v>
      </c>
      <c r="E3421" s="75">
        <f>60*F3421*'THAM_SO_MOI'!$C$53/(2*PI()*'THAM_SO_MOI'!$C$26)</f>
        <v>1700.2742468651848</v>
      </c>
      <c r="F3421" s="75">
        <f>'HANH_TRINH'!$F$3289+('THAM_SO_MOI'!$C$14-'HANH_TRINH'!$F$3289)*131/'THAM_SO_MOI'!$C$42</f>
        <v>17.25705699275562</v>
      </c>
      <c r="G3421" s="75">
        <f>3.6*F3421</f>
        <v>62.12540517392023</v>
      </c>
      <c r="H3421" s="75">
        <f>'THAM_SO_MOI'!$D$53</f>
        <v>1.1</v>
      </c>
      <c r="I3421" s="75">
        <f>IF(F3421&gt;'THAM_SO_MOI'!$C$14,'THAM_SO_MOI'!$C$13*(1+F3421^2/1500),'THAM_SO_MOI'!$C$13)</f>
        <v>0.015</v>
      </c>
      <c r="J3421" s="75">
        <f>'THAM_SO_MOI'!$C$40*('THAM_SO_MOI'!$C$23*(E3421/'THAM_SO_MOI'!$C$22)+'THAM_SO_MOI'!$C$24*(E3421/'THAM_SO_MOI'!$C$22)^2-'THAM_SO_MOI'!$C$25*(E3421/'THAM_SO_MOI'!$C$22)^3)</f>
        <v>74.6927375524406</v>
      </c>
      <c r="K3421" s="75">
        <f>'THAM_SO_MOI'!$C$31*J3421/E3421</f>
        <v>419.57800965038945</v>
      </c>
      <c r="L3421" s="75">
        <f>K3421*'THAM_SO_MOI'!$C$53*'THAM_SO_MOI'!$C$17/'THAM_SO_MOI'!$C$26</f>
        <v>3679.7007864294746</v>
      </c>
      <c r="M3421" s="75">
        <f>'THAM_SO_MOI'!$C$15*'THAM_SO_MOI'!$C$16*F3421^2</f>
        <v>871.0825969498056</v>
      </c>
      <c r="N3421" s="75">
        <f>'THAM_SO_MOI'!$C$12*I3421</f>
        <v>1130.112</v>
      </c>
      <c r="O3421" s="75">
        <f>M3421+N3421</f>
        <v>2001.1945969498056</v>
      </c>
      <c r="P3421" s="75">
        <f>(MIN(L3421,'THAM_SO_MOI'!$C$41)-O3421)/('THAM_SO_MOI'!$C$11*H3421)</f>
        <v>0.19868681220166537</v>
      </c>
      <c r="Q3421" s="75">
        <f>IF(P3421&gt;0,1/P3421,NA())</f>
        <v>5.033046677426224</v>
      </c>
      <c r="R3421" s="75">
        <f>F3421-F3420</f>
        <v>0.0073885545698715305</v>
      </c>
      <c r="S3421" s="75">
        <f>0.5*(Q3420+Q3421)*R3421</f>
        <v>0.03718188293594344</v>
      </c>
      <c r="T3421" s="75">
        <f>0.5*(F3420*Q3420+F3421*Q3421)*R3421</f>
        <v>0.6415125314203056</v>
      </c>
      <c r="U3421" s="76">
        <f>U3420+S3421</f>
        <v>33.12199163570595</v>
      </c>
      <c r="V3421" s="76">
        <f>V3420+T3421</f>
        <v>361.8181917627123</v>
      </c>
    </row>
    <row r="3422" spans="1:22" ht="19" customHeight="1">
      <c r="A3422" s="68" t="s">
        <v>378</v>
      </c>
      <c r="B3422" s="74">
        <v>5</v>
      </c>
      <c r="C3422" s="68" t="s">
        <v>363</v>
      </c>
      <c r="D3422" s="68" t="s">
        <v>364</v>
      </c>
      <c r="E3422" s="75">
        <f>60*F3422*'THAM_SO_MOI'!$C$53/(2*PI()*'THAM_SO_MOI'!$C$26)</f>
        <v>1701.0022139259638</v>
      </c>
      <c r="F3422" s="75">
        <f>'HANH_TRINH'!$F$3289+('THAM_SO_MOI'!$C$14-'HANH_TRINH'!$F$3289)*132/'THAM_SO_MOI'!$C$42</f>
        <v>17.26444554732549</v>
      </c>
      <c r="G3422" s="75">
        <f>3.6*F3422</f>
        <v>62.152003970371766</v>
      </c>
      <c r="H3422" s="75">
        <f>'THAM_SO_MOI'!$D$53</f>
        <v>1.1</v>
      </c>
      <c r="I3422" s="75">
        <f>IF(F3422&gt;'THAM_SO_MOI'!$C$14,'THAM_SO_MOI'!$C$13*(1+F3422^2/1500),'THAM_SO_MOI'!$C$13)</f>
        <v>0.015</v>
      </c>
      <c r="J3422" s="75">
        <f>'THAM_SO_MOI'!$C$40*('THAM_SO_MOI'!$C$23*(E3422/'THAM_SO_MOI'!$C$22)+'THAM_SO_MOI'!$C$24*(E3422/'THAM_SO_MOI'!$C$22)^2-'THAM_SO_MOI'!$C$25*(E3422/'THAM_SO_MOI'!$C$22)^3)</f>
        <v>74.73057858675011</v>
      </c>
      <c r="K3422" s="75">
        <f>'THAM_SO_MOI'!$C$31*J3422/E3422</f>
        <v>419.61092228885667</v>
      </c>
      <c r="L3422" s="75">
        <f>K3422*'THAM_SO_MOI'!$C$53*'THAM_SO_MOI'!$C$17/'THAM_SO_MOI'!$C$26</f>
        <v>3679.9894303976184</v>
      </c>
      <c r="M3422" s="75">
        <f>'THAM_SO_MOI'!$C$15*'THAM_SO_MOI'!$C$16*F3422^2</f>
        <v>871.8286591654584</v>
      </c>
      <c r="N3422" s="75">
        <f>'THAM_SO_MOI'!$C$12*I3422</f>
        <v>1130.112</v>
      </c>
      <c r="O3422" s="75">
        <f>M3422+N3422</f>
        <v>2001.9406591654583</v>
      </c>
      <c r="P3422" s="75">
        <f>(MIN(L3422,'THAM_SO_MOI'!$C$41)-O3422)/('THAM_SO_MOI'!$C$11*H3422)</f>
        <v>0.19863266704926139</v>
      </c>
      <c r="Q3422" s="75">
        <f>IF(P3422&gt;0,1/P3422,NA())</f>
        <v>5.034418632419599</v>
      </c>
      <c r="R3422" s="75">
        <f>F3422-F3421</f>
        <v>0.0073885545698715305</v>
      </c>
      <c r="S3422" s="75">
        <f>0.5*(Q3421+Q3422)*R3422</f>
        <v>0.03719200841104223</v>
      </c>
      <c r="T3422" s="75">
        <f>0.5*(F3421*Q3421+F3422*Q3422)*R3422</f>
        <v>0.6419620251402652</v>
      </c>
      <c r="U3422" s="76">
        <f>U3421+S3422</f>
        <v>33.15918364411699</v>
      </c>
      <c r="V3422" s="76">
        <f>V3421+T3422</f>
        <v>362.46015378785256</v>
      </c>
    </row>
    <row r="3423" spans="1:22" ht="19" customHeight="1">
      <c r="A3423" s="68" t="s">
        <v>378</v>
      </c>
      <c r="B3423" s="74">
        <v>5</v>
      </c>
      <c r="C3423" s="68" t="s">
        <v>363</v>
      </c>
      <c r="D3423" s="68" t="s">
        <v>364</v>
      </c>
      <c r="E3423" s="75">
        <f>60*F3423*'THAM_SO_MOI'!$C$53/(2*PI()*'THAM_SO_MOI'!$C$26)</f>
        <v>1701.7301809867427</v>
      </c>
      <c r="F3423" s="75">
        <f>'HANH_TRINH'!$F$3289+('THAM_SO_MOI'!$C$14-'HANH_TRINH'!$F$3289)*133/'THAM_SO_MOI'!$C$42</f>
        <v>17.27183410189536</v>
      </c>
      <c r="G3423" s="75">
        <f>3.6*F3423</f>
        <v>62.1786027668233</v>
      </c>
      <c r="H3423" s="75">
        <f>'THAM_SO_MOI'!$D$53</f>
        <v>1.1</v>
      </c>
      <c r="I3423" s="75">
        <f>IF(F3423&gt;'THAM_SO_MOI'!$C$14,'THAM_SO_MOI'!$C$13*(1+F3423^2/1500),'THAM_SO_MOI'!$C$13)</f>
        <v>0.015</v>
      </c>
      <c r="J3423" s="75">
        <f>'THAM_SO_MOI'!$C$40*('THAM_SO_MOI'!$C$23*(E3423/'THAM_SO_MOI'!$C$22)+'THAM_SO_MOI'!$C$24*(E3423/'THAM_SO_MOI'!$C$22)^2-'THAM_SO_MOI'!$C$25*(E3423/'THAM_SO_MOI'!$C$22)^3)</f>
        <v>74.76841547805783</v>
      </c>
      <c r="K3423" s="75">
        <f>'THAM_SO_MOI'!$C$31*J3423/E3423</f>
        <v>419.64378351561834</v>
      </c>
      <c r="L3423" s="75">
        <f>K3423*'THAM_SO_MOI'!$C$53*'THAM_SO_MOI'!$C$17/'THAM_SO_MOI'!$C$26</f>
        <v>3680.277623484903</v>
      </c>
      <c r="M3423" s="75">
        <f>'THAM_SO_MOI'!$C$15*'THAM_SO_MOI'!$C$16*F3423^2</f>
        <v>872.5750407369321</v>
      </c>
      <c r="N3423" s="75">
        <f>'THAM_SO_MOI'!$C$12*I3423</f>
        <v>1130.112</v>
      </c>
      <c r="O3423" s="75">
        <f>M3423+N3423</f>
        <v>2002.6870407369322</v>
      </c>
      <c r="P3423" s="75">
        <f>(MIN(L3423,'THAM_SO_MOI'!$C$41)-O3423)/('THAM_SO_MOI'!$C$11*H3423)</f>
        <v>0.19857843072300793</v>
      </c>
      <c r="Q3423" s="75">
        <f>IF(P3423&gt;0,1/P3423,NA())</f>
        <v>5.035793647674026</v>
      </c>
      <c r="R3423" s="75">
        <f>F3423-F3422</f>
        <v>0.0073885545698715305</v>
      </c>
      <c r="S3423" s="75">
        <f>0.5*(Q3422+Q3423)*R3423</f>
        <v>0.037202156480831076</v>
      </c>
      <c r="T3423" s="75">
        <f>0.5*(F3422*Q3422+F3423*Q3423)*R3423</f>
        <v>0.6424120586538026</v>
      </c>
      <c r="U3423" s="76">
        <f>U3422+S3423</f>
        <v>33.196385800597824</v>
      </c>
      <c r="V3423" s="76">
        <f>V3422+T3423</f>
        <v>363.10256584650637</v>
      </c>
    </row>
    <row r="3424" spans="1:22" ht="19" customHeight="1">
      <c r="A3424" s="68" t="s">
        <v>378</v>
      </c>
      <c r="B3424" s="74">
        <v>5</v>
      </c>
      <c r="C3424" s="68" t="s">
        <v>363</v>
      </c>
      <c r="D3424" s="68" t="s">
        <v>364</v>
      </c>
      <c r="E3424" s="75">
        <f>60*F3424*'THAM_SO_MOI'!$C$53/(2*PI()*'THAM_SO_MOI'!$C$26)</f>
        <v>1702.4581480475215</v>
      </c>
      <c r="F3424" s="75">
        <f>'HANH_TRINH'!$F$3289+('THAM_SO_MOI'!$C$14-'HANH_TRINH'!$F$3289)*134/'THAM_SO_MOI'!$C$42</f>
        <v>17.279222656465233</v>
      </c>
      <c r="G3424" s="75">
        <f>3.6*F3424</f>
        <v>62.20520156327484</v>
      </c>
      <c r="H3424" s="75">
        <f>'THAM_SO_MOI'!$D$53</f>
        <v>1.1</v>
      </c>
      <c r="I3424" s="75">
        <f>IF(F3424&gt;'THAM_SO_MOI'!$C$14,'THAM_SO_MOI'!$C$13*(1+F3424^2/1500),'THAM_SO_MOI'!$C$13)</f>
        <v>0.015</v>
      </c>
      <c r="J3424" s="75">
        <f>'THAM_SO_MOI'!$C$40*('THAM_SO_MOI'!$C$23*(E3424/'THAM_SO_MOI'!$C$22)+'THAM_SO_MOI'!$C$24*(E3424/'THAM_SO_MOI'!$C$22)^2-'THAM_SO_MOI'!$C$25*(E3424/'THAM_SO_MOI'!$C$22)^3)</f>
        <v>74.80624821460829</v>
      </c>
      <c r="K3424" s="75">
        <f>'THAM_SO_MOI'!$C$31*J3424/E3424</f>
        <v>419.6765933306747</v>
      </c>
      <c r="L3424" s="75">
        <f>K3424*'THAM_SO_MOI'!$C$53*'THAM_SO_MOI'!$C$17/'THAM_SO_MOI'!$C$26</f>
        <v>3680.5653656913305</v>
      </c>
      <c r="M3424" s="75">
        <f>'THAM_SO_MOI'!$C$15*'THAM_SO_MOI'!$C$16*F3424^2</f>
        <v>873.3217416642267</v>
      </c>
      <c r="N3424" s="75">
        <f>'THAM_SO_MOI'!$C$12*I3424</f>
        <v>1130.112</v>
      </c>
      <c r="O3424" s="75">
        <f>M3424+N3424</f>
        <v>2003.4337416642268</v>
      </c>
      <c r="P3424" s="75">
        <f>(MIN(L3424,'THAM_SO_MOI'!$C$41)-O3424)/('THAM_SO_MOI'!$C$11*H3424)</f>
        <v>0.19852410322290526</v>
      </c>
      <c r="Q3424" s="75">
        <f>IF(P3424&gt;0,1/P3424,NA())</f>
        <v>5.0371717275921295</v>
      </c>
      <c r="R3424" s="75">
        <f>F3424-F3423</f>
        <v>0.0073885545698715305</v>
      </c>
      <c r="S3424" s="75">
        <f>0.5*(Q3423+Q3424)*R3424</f>
        <v>0.03721232717779022</v>
      </c>
      <c r="T3424" s="75">
        <f>0.5*(F3423*Q3423+F3424*Q3424)*R3424</f>
        <v>0.6428626330228575</v>
      </c>
      <c r="U3424" s="76">
        <f>U3423+S3424</f>
        <v>33.233598127775615</v>
      </c>
      <c r="V3424" s="76">
        <f>V3423+T3424</f>
        <v>363.7454284795292</v>
      </c>
    </row>
    <row r="3425" spans="1:22" ht="19" customHeight="1">
      <c r="A3425" s="68" t="s">
        <v>378</v>
      </c>
      <c r="B3425" s="74">
        <v>5</v>
      </c>
      <c r="C3425" s="68" t="s">
        <v>363</v>
      </c>
      <c r="D3425" s="68" t="s">
        <v>364</v>
      </c>
      <c r="E3425" s="75">
        <f>60*F3425*'THAM_SO_MOI'!$C$53/(2*PI()*'THAM_SO_MOI'!$C$26)</f>
        <v>1703.1861151083008</v>
      </c>
      <c r="F3425" s="75">
        <f>'HANH_TRINH'!$F$3289+('THAM_SO_MOI'!$C$14-'HANH_TRINH'!$F$3289)*135/'THAM_SO_MOI'!$C$42</f>
        <v>17.28661121103511</v>
      </c>
      <c r="G3425" s="75">
        <f>3.6*F3425</f>
        <v>62.23180035972639</v>
      </c>
      <c r="H3425" s="75">
        <f>'THAM_SO_MOI'!$D$53</f>
        <v>1.1</v>
      </c>
      <c r="I3425" s="75">
        <f>IF(F3425&gt;'THAM_SO_MOI'!$C$14,'THAM_SO_MOI'!$C$13*(1+F3425^2/1500),'THAM_SO_MOI'!$C$13)</f>
        <v>0.015</v>
      </c>
      <c r="J3425" s="75">
        <f>'THAM_SO_MOI'!$C$40*('THAM_SO_MOI'!$C$23*(E3425/'THAM_SO_MOI'!$C$22)+'THAM_SO_MOI'!$C$24*(E3425/'THAM_SO_MOI'!$C$22)^2-'THAM_SO_MOI'!$C$25*(E3425/'THAM_SO_MOI'!$C$22)^3)</f>
        <v>74.84407678464598</v>
      </c>
      <c r="K3425" s="75">
        <f>'THAM_SO_MOI'!$C$31*J3425/E3425</f>
        <v>419.70935173402563</v>
      </c>
      <c r="L3425" s="75">
        <f>K3425*'THAM_SO_MOI'!$C$53*'THAM_SO_MOI'!$C$17/'THAM_SO_MOI'!$C$26</f>
        <v>3680.852657016901</v>
      </c>
      <c r="M3425" s="75">
        <f>'THAM_SO_MOI'!$C$15*'THAM_SO_MOI'!$C$16*F3425^2</f>
        <v>874.0687619473428</v>
      </c>
      <c r="N3425" s="75">
        <f>'THAM_SO_MOI'!$C$12*I3425</f>
        <v>1130.112</v>
      </c>
      <c r="O3425" s="75">
        <f>M3425+N3425</f>
        <v>2004.180761947343</v>
      </c>
      <c r="P3425" s="75">
        <f>(MIN(L3425,'THAM_SO_MOI'!$C$41)-O3425)/('THAM_SO_MOI'!$C$11*H3425)</f>
        <v>0.19846968454895336</v>
      </c>
      <c r="Q3425" s="75">
        <f>IF(P3425&gt;0,1/P3425,NA())</f>
        <v>5.038552876589804</v>
      </c>
      <c r="R3425" s="75">
        <f>F3425-F3424</f>
        <v>0.007388554569875083</v>
      </c>
      <c r="S3425" s="75">
        <f>0.5*(Q3424+Q3425)*R3425</f>
        <v>0.03722252053451562</v>
      </c>
      <c r="T3425" s="75">
        <f>0.5*(F3424*Q3424+F3425*Q3425)*R3425</f>
        <v>0.6433137493123295</v>
      </c>
      <c r="U3425" s="76">
        <f>U3424+S3425</f>
        <v>33.27082064831013</v>
      </c>
      <c r="V3425" s="76">
        <f>V3424+T3425</f>
        <v>364.3887422288415</v>
      </c>
    </row>
    <row r="3426" spans="1:22" ht="19" customHeight="1">
      <c r="A3426" s="68" t="s">
        <v>378</v>
      </c>
      <c r="B3426" s="74">
        <v>5</v>
      </c>
      <c r="C3426" s="68" t="s">
        <v>363</v>
      </c>
      <c r="D3426" s="68" t="s">
        <v>364</v>
      </c>
      <c r="E3426" s="75">
        <f>60*F3426*'THAM_SO_MOI'!$C$53/(2*PI()*'THAM_SO_MOI'!$C$26)</f>
        <v>1703.9140821690796</v>
      </c>
      <c r="F3426" s="75">
        <f>'HANH_TRINH'!$F$3289+('THAM_SO_MOI'!$C$14-'HANH_TRINH'!$F$3289)*136/'THAM_SO_MOI'!$C$42</f>
        <v>17.29399976560498</v>
      </c>
      <c r="G3426" s="75">
        <f>3.6*F3426</f>
        <v>62.25839915617793</v>
      </c>
      <c r="H3426" s="75">
        <f>'THAM_SO_MOI'!$D$53</f>
        <v>1.1</v>
      </c>
      <c r="I3426" s="75">
        <f>IF(F3426&gt;'THAM_SO_MOI'!$C$14,'THAM_SO_MOI'!$C$13*(1+F3426^2/1500),'THAM_SO_MOI'!$C$13)</f>
        <v>0.015</v>
      </c>
      <c r="J3426" s="75">
        <f>'THAM_SO_MOI'!$C$40*('THAM_SO_MOI'!$C$23*(E3426/'THAM_SO_MOI'!$C$22)+'THAM_SO_MOI'!$C$24*(E3426/'THAM_SO_MOI'!$C$22)^2-'THAM_SO_MOI'!$C$25*(E3426/'THAM_SO_MOI'!$C$22)^3)</f>
        <v>74.8819011764153</v>
      </c>
      <c r="K3426" s="75">
        <f>'THAM_SO_MOI'!$C$31*J3426/E3426</f>
        <v>419.7420587256709</v>
      </c>
      <c r="L3426" s="75">
        <f>K3426*'THAM_SO_MOI'!$C$53*'THAM_SO_MOI'!$C$17/'THAM_SO_MOI'!$C$26</f>
        <v>3681.139497461612</v>
      </c>
      <c r="M3426" s="75">
        <f>'THAM_SO_MOI'!$C$15*'THAM_SO_MOI'!$C$16*F3426^2</f>
        <v>874.8161015862795</v>
      </c>
      <c r="N3426" s="75">
        <f>'THAM_SO_MOI'!$C$12*I3426</f>
        <v>1130.112</v>
      </c>
      <c r="O3426" s="75">
        <f>M3426+N3426</f>
        <v>2004.9281015862796</v>
      </c>
      <c r="P3426" s="75">
        <f>(MIN(L3426,'THAM_SO_MOI'!$C$41)-O3426)/('THAM_SO_MOI'!$C$11*H3426)</f>
        <v>0.19841517470115205</v>
      </c>
      <c r="Q3426" s="75">
        <f>IF(P3426&gt;0,1/P3426,NA())</f>
        <v>5.03993709909625</v>
      </c>
      <c r="R3426" s="75">
        <f>F3426-F3425</f>
        <v>0.0073885545698715305</v>
      </c>
      <c r="S3426" s="75">
        <f>0.5*(Q3425+Q3426)*R3426</f>
        <v>0.0372327365836298</v>
      </c>
      <c r="T3426" s="75">
        <f>0.5*(F3425*Q3425+F3426*Q3426)*R3426</f>
        <v>0.6437654085885413</v>
      </c>
      <c r="U3426" s="76">
        <f>U3425+S3426</f>
        <v>33.30805338489376</v>
      </c>
      <c r="V3426" s="76">
        <f>V3425+T3426</f>
        <v>365.03250763743006</v>
      </c>
    </row>
    <row r="3427" spans="1:22" ht="19" customHeight="1">
      <c r="A3427" s="68" t="s">
        <v>378</v>
      </c>
      <c r="B3427" s="74">
        <v>5</v>
      </c>
      <c r="C3427" s="68" t="s">
        <v>363</v>
      </c>
      <c r="D3427" s="68" t="s">
        <v>364</v>
      </c>
      <c r="E3427" s="75">
        <f>60*F3427*'THAM_SO_MOI'!$C$53/(2*PI()*'THAM_SO_MOI'!$C$26)</f>
        <v>1704.6420492298587</v>
      </c>
      <c r="F3427" s="75">
        <f>'HANH_TRINH'!$F$3289+('THAM_SO_MOI'!$C$14-'HANH_TRINH'!$F$3289)*137/'THAM_SO_MOI'!$C$42</f>
        <v>17.30138832017485</v>
      </c>
      <c r="G3427" s="75">
        <f>3.6*F3427</f>
        <v>62.28499795262947</v>
      </c>
      <c r="H3427" s="75">
        <f>'THAM_SO_MOI'!$D$53</f>
        <v>1.1</v>
      </c>
      <c r="I3427" s="75">
        <f>IF(F3427&gt;'THAM_SO_MOI'!$C$14,'THAM_SO_MOI'!$C$13*(1+F3427^2/1500),'THAM_SO_MOI'!$C$13)</f>
        <v>0.015</v>
      </c>
      <c r="J3427" s="75">
        <f>'THAM_SO_MOI'!$C$40*('THAM_SO_MOI'!$C$23*(E3427/'THAM_SO_MOI'!$C$22)+'THAM_SO_MOI'!$C$24*(E3427/'THAM_SO_MOI'!$C$22)^2-'THAM_SO_MOI'!$C$25*(E3427/'THAM_SO_MOI'!$C$22)^3)</f>
        <v>74.91972137816083</v>
      </c>
      <c r="K3427" s="75">
        <f>'THAM_SO_MOI'!$C$31*J3427/E3427</f>
        <v>419.77471430561087</v>
      </c>
      <c r="L3427" s="75">
        <f>K3427*'THAM_SO_MOI'!$C$53*'THAM_SO_MOI'!$C$17/'THAM_SO_MOI'!$C$26</f>
        <v>3681.4258870254653</v>
      </c>
      <c r="M3427" s="75">
        <f>'THAM_SO_MOI'!$C$15*'THAM_SO_MOI'!$C$16*F3427^2</f>
        <v>875.5637605810371</v>
      </c>
      <c r="N3427" s="75">
        <f>'THAM_SO_MOI'!$C$12*I3427</f>
        <v>1130.112</v>
      </c>
      <c r="O3427" s="75">
        <f>M3427+N3427</f>
        <v>2005.6757605810371</v>
      </c>
      <c r="P3427" s="75">
        <f>(MIN(L3427,'THAM_SO_MOI'!$C$41)-O3427)/('THAM_SO_MOI'!$C$11*H3427)</f>
        <v>0.19836057367950144</v>
      </c>
      <c r="Q3427" s="75">
        <f>IF(P3427&gt;0,1/P3427,NA())</f>
        <v>5.041324399554002</v>
      </c>
      <c r="R3427" s="75">
        <f>F3427-F3426</f>
        <v>0.0073885545698715305</v>
      </c>
      <c r="S3427" s="75">
        <f>0.5*(Q3426+Q3427)*R3427</f>
        <v>0.037242975357961124</v>
      </c>
      <c r="T3427" s="75">
        <f>0.5*(F3426*Q3426+F3427*Q3427)*R3427</f>
        <v>0.6442176119223391</v>
      </c>
      <c r="U3427" s="76">
        <f>U3426+S3427</f>
        <v>33.34529636025172</v>
      </c>
      <c r="V3427" s="76">
        <f>V3426+T3427</f>
        <v>365.6767252493524</v>
      </c>
    </row>
    <row r="3428" spans="1:22" ht="19" customHeight="1">
      <c r="A3428" s="68" t="s">
        <v>378</v>
      </c>
      <c r="B3428" s="74">
        <v>5</v>
      </c>
      <c r="C3428" s="68" t="s">
        <v>363</v>
      </c>
      <c r="D3428" s="68" t="s">
        <v>364</v>
      </c>
      <c r="E3428" s="75">
        <f>60*F3428*'THAM_SO_MOI'!$C$53/(2*PI()*'THAM_SO_MOI'!$C$26)</f>
        <v>1705.3700162906375</v>
      </c>
      <c r="F3428" s="75">
        <f>'HANH_TRINH'!$F$3289+('THAM_SO_MOI'!$C$14-'HANH_TRINH'!$F$3289)*138/'THAM_SO_MOI'!$C$42</f>
        <v>17.308776874744723</v>
      </c>
      <c r="G3428" s="75">
        <f>3.6*F3428</f>
        <v>62.311596749081005</v>
      </c>
      <c r="H3428" s="75">
        <f>'THAM_SO_MOI'!$D$53</f>
        <v>1.1</v>
      </c>
      <c r="I3428" s="75">
        <f>IF(F3428&gt;'THAM_SO_MOI'!$C$14,'THAM_SO_MOI'!$C$13*(1+F3428^2/1500),'THAM_SO_MOI'!$C$13)</f>
        <v>0.015</v>
      </c>
      <c r="J3428" s="75">
        <f>'THAM_SO_MOI'!$C$40*('THAM_SO_MOI'!$C$23*(E3428/'THAM_SO_MOI'!$C$22)+'THAM_SO_MOI'!$C$24*(E3428/'THAM_SO_MOI'!$C$22)^2-'THAM_SO_MOI'!$C$25*(E3428/'THAM_SO_MOI'!$C$22)^3)</f>
        <v>74.957537378127</v>
      </c>
      <c r="K3428" s="75">
        <f>'THAM_SO_MOI'!$C$31*J3428/E3428</f>
        <v>419.8073184738454</v>
      </c>
      <c r="L3428" s="75">
        <f>K3428*'THAM_SO_MOI'!$C$53*'THAM_SO_MOI'!$C$17/'THAM_SO_MOI'!$C$26</f>
        <v>3681.7118257084608</v>
      </c>
      <c r="M3428" s="75">
        <f>'THAM_SO_MOI'!$C$15*'THAM_SO_MOI'!$C$16*F3428^2</f>
        <v>876.3117389316159</v>
      </c>
      <c r="N3428" s="75">
        <f>'THAM_SO_MOI'!$C$12*I3428</f>
        <v>1130.112</v>
      </c>
      <c r="O3428" s="75">
        <f>M3428+N3428</f>
        <v>2006.4237389316158</v>
      </c>
      <c r="P3428" s="75">
        <f>(MIN(L3428,'THAM_SO_MOI'!$C$41)-O3428)/('THAM_SO_MOI'!$C$11*H3428)</f>
        <v>0.19830588148400152</v>
      </c>
      <c r="Q3428" s="75">
        <f>IF(P3428&gt;0,1/P3428,NA())</f>
        <v>5.042714782418976</v>
      </c>
      <c r="R3428" s="75">
        <f>F3428-F3427</f>
        <v>0.0073885545698715305</v>
      </c>
      <c r="S3428" s="75">
        <f>0.5*(Q3427+Q3428)*R3428</f>
        <v>0.037253236890365006</v>
      </c>
      <c r="T3428" s="75">
        <f>0.5*(F3427*Q3427+F3428*Q3428)*R3428</f>
        <v>0.6446703603860092</v>
      </c>
      <c r="U3428" s="76">
        <f>U3427+S3428</f>
        <v>33.38254959714209</v>
      </c>
      <c r="V3428" s="76">
        <f>V3427+T3428</f>
        <v>366.3213956097384</v>
      </c>
    </row>
    <row r="3429" spans="1:22" ht="19" customHeight="1">
      <c r="A3429" s="68" t="s">
        <v>378</v>
      </c>
      <c r="B3429" s="74">
        <v>5</v>
      </c>
      <c r="C3429" s="68" t="s">
        <v>363</v>
      </c>
      <c r="D3429" s="68" t="s">
        <v>364</v>
      </c>
      <c r="E3429" s="75">
        <f>60*F3429*'THAM_SO_MOI'!$C$53/(2*PI()*'THAM_SO_MOI'!$C$26)</f>
        <v>1706.0979833514164</v>
      </c>
      <c r="F3429" s="75">
        <f>'HANH_TRINH'!$F$3289+('THAM_SO_MOI'!$C$14-'HANH_TRINH'!$F$3289)*139/'THAM_SO_MOI'!$C$42</f>
        <v>17.316165429314594</v>
      </c>
      <c r="G3429" s="75">
        <f>3.6*F3429</f>
        <v>62.33819554553254</v>
      </c>
      <c r="H3429" s="75">
        <f>'THAM_SO_MOI'!$D$53</f>
        <v>1.1</v>
      </c>
      <c r="I3429" s="75">
        <f>IF(F3429&gt;'THAM_SO_MOI'!$C$14,'THAM_SO_MOI'!$C$13*(1+F3429^2/1500),'THAM_SO_MOI'!$C$13)</f>
        <v>0.015</v>
      </c>
      <c r="J3429" s="75">
        <f>'THAM_SO_MOI'!$C$40*('THAM_SO_MOI'!$C$23*(E3429/'THAM_SO_MOI'!$C$22)+'THAM_SO_MOI'!$C$24*(E3429/'THAM_SO_MOI'!$C$22)^2-'THAM_SO_MOI'!$C$25*(E3429/'THAM_SO_MOI'!$C$22)^3)</f>
        <v>74.99534916455835</v>
      </c>
      <c r="K3429" s="75">
        <f>'THAM_SO_MOI'!$C$31*J3429/E3429</f>
        <v>419.8398712303747</v>
      </c>
      <c r="L3429" s="75">
        <f>K3429*'THAM_SO_MOI'!$C$53*'THAM_SO_MOI'!$C$17/'THAM_SO_MOI'!$C$26</f>
        <v>3681.997313510601</v>
      </c>
      <c r="M3429" s="75">
        <f>'THAM_SO_MOI'!$C$15*'THAM_SO_MOI'!$C$16*F3429^2</f>
        <v>877.0600366380155</v>
      </c>
      <c r="N3429" s="75">
        <f>'THAM_SO_MOI'!$C$12*I3429</f>
        <v>1130.112</v>
      </c>
      <c r="O3429" s="75">
        <f>M3429+N3429</f>
        <v>2007.1720366380155</v>
      </c>
      <c r="P3429" s="75">
        <f>(MIN(L3429,'THAM_SO_MOI'!$C$41)-O3429)/('THAM_SO_MOI'!$C$11*H3429)</f>
        <v>0.19825109811465266</v>
      </c>
      <c r="Q3429" s="75">
        <f>IF(P3429&gt;0,1/P3429,NA())</f>
        <v>5.044108252160497</v>
      </c>
      <c r="R3429" s="75">
        <f>F3429-F3428</f>
        <v>0.0073885545698715305</v>
      </c>
      <c r="S3429" s="75">
        <f>0.5*(Q3428+Q3429)*R3429</f>
        <v>0.037263521213813794</v>
      </c>
      <c r="T3429" s="75">
        <f>0.5*(F3428*Q3428+F3429*Q3429)*R3429</f>
        <v>0.6451236550548322</v>
      </c>
      <c r="U3429" s="76">
        <f>U3428+S3429</f>
        <v>33.419813118355904</v>
      </c>
      <c r="V3429" s="76">
        <f>V3428+T3429</f>
        <v>366.9665192647932</v>
      </c>
    </row>
    <row r="3430" spans="1:22" ht="19" customHeight="1">
      <c r="A3430" s="68" t="s">
        <v>378</v>
      </c>
      <c r="B3430" s="74">
        <v>5</v>
      </c>
      <c r="C3430" s="68" t="s">
        <v>363</v>
      </c>
      <c r="D3430" s="68" t="s">
        <v>364</v>
      </c>
      <c r="E3430" s="75">
        <f>60*F3430*'THAM_SO_MOI'!$C$53/(2*PI()*'THAM_SO_MOI'!$C$26)</f>
        <v>1706.8259504121952</v>
      </c>
      <c r="F3430" s="75">
        <f>'HANH_TRINH'!$F$3289+('THAM_SO_MOI'!$C$14-'HANH_TRINH'!$F$3289)*140/'THAM_SO_MOI'!$C$42</f>
        <v>17.323553983884466</v>
      </c>
      <c r="G3430" s="75">
        <f>3.6*F3430</f>
        <v>62.36479434198408</v>
      </c>
      <c r="H3430" s="75">
        <f>'THAM_SO_MOI'!$D$53</f>
        <v>1.1</v>
      </c>
      <c r="I3430" s="75">
        <f>IF(F3430&gt;'THAM_SO_MOI'!$C$14,'THAM_SO_MOI'!$C$13*(1+F3430^2/1500),'THAM_SO_MOI'!$C$13)</f>
        <v>0.015</v>
      </c>
      <c r="J3430" s="75">
        <f>'THAM_SO_MOI'!$C$40*('THAM_SO_MOI'!$C$23*(E3430/'THAM_SO_MOI'!$C$22)+'THAM_SO_MOI'!$C$24*(E3430/'THAM_SO_MOI'!$C$22)^2-'THAM_SO_MOI'!$C$25*(E3430/'THAM_SO_MOI'!$C$22)^3)</f>
        <v>75.0331567256993</v>
      </c>
      <c r="K3430" s="75">
        <f>'THAM_SO_MOI'!$C$31*J3430/E3430</f>
        <v>419.87237257519837</v>
      </c>
      <c r="L3430" s="75">
        <f>K3430*'THAM_SO_MOI'!$C$53*'THAM_SO_MOI'!$C$17/'THAM_SO_MOI'!$C$26</f>
        <v>3682.2823504318817</v>
      </c>
      <c r="M3430" s="75">
        <f>'THAM_SO_MOI'!$C$15*'THAM_SO_MOI'!$C$16*F3430^2</f>
        <v>877.8086537002362</v>
      </c>
      <c r="N3430" s="75">
        <f>'THAM_SO_MOI'!$C$12*I3430</f>
        <v>1130.112</v>
      </c>
      <c r="O3430" s="75">
        <f>M3430+N3430</f>
        <v>2007.9206537002362</v>
      </c>
      <c r="P3430" s="75">
        <f>(MIN(L3430,'THAM_SO_MOI'!$C$41)-O3430)/('THAM_SO_MOI'!$C$11*H3430)</f>
        <v>0.19819622357145428</v>
      </c>
      <c r="Q3430" s="75">
        <f>IF(P3430&gt;0,1/P3430,NA())</f>
        <v>5.045504813261374</v>
      </c>
      <c r="R3430" s="75">
        <f>F3430-F3429</f>
        <v>0.0073885545698715305</v>
      </c>
      <c r="S3430" s="75">
        <f>0.5*(Q3429+Q3430)*R3430</f>
        <v>0.03727382836137914</v>
      </c>
      <c r="T3430" s="75">
        <f>0.5*(F3429*Q3429+F3430*Q3430)*R3430</f>
        <v>0.6455774970067828</v>
      </c>
      <c r="U3430" s="76">
        <f>U3429+S3430</f>
        <v>33.45708694671728</v>
      </c>
      <c r="V3430" s="76">
        <f>V3429+T3430</f>
        <v>367.6120967618</v>
      </c>
    </row>
    <row r="3431" spans="1:22" ht="19" customHeight="1">
      <c r="A3431" s="68" t="s">
        <v>378</v>
      </c>
      <c r="B3431" s="74">
        <v>5</v>
      </c>
      <c r="C3431" s="68" t="s">
        <v>363</v>
      </c>
      <c r="D3431" s="68" t="s">
        <v>364</v>
      </c>
      <c r="E3431" s="75">
        <f>60*F3431*'THAM_SO_MOI'!$C$53/(2*PI()*'THAM_SO_MOI'!$C$26)</f>
        <v>1707.5539174729745</v>
      </c>
      <c r="F3431" s="75">
        <f>'HANH_TRINH'!$F$3289+('THAM_SO_MOI'!$C$14-'HANH_TRINH'!$F$3289)*141/'THAM_SO_MOI'!$C$42</f>
        <v>17.330942538454337</v>
      </c>
      <c r="G3431" s="75">
        <f>3.6*F3431</f>
        <v>62.39139313843562</v>
      </c>
      <c r="H3431" s="75">
        <f>'THAM_SO_MOI'!$D$53</f>
        <v>1.1</v>
      </c>
      <c r="I3431" s="75">
        <f>IF(F3431&gt;'THAM_SO_MOI'!$C$14,'THAM_SO_MOI'!$C$13*(1+F3431^2/1500),'THAM_SO_MOI'!$C$13)</f>
        <v>0.015</v>
      </c>
      <c r="J3431" s="75">
        <f>'THAM_SO_MOI'!$C$40*('THAM_SO_MOI'!$C$23*(E3431/'THAM_SO_MOI'!$C$22)+'THAM_SO_MOI'!$C$24*(E3431/'THAM_SO_MOI'!$C$22)^2-'THAM_SO_MOI'!$C$25*(E3431/'THAM_SO_MOI'!$C$22)^3)</f>
        <v>75.0709600497944</v>
      </c>
      <c r="K3431" s="75">
        <f>'THAM_SO_MOI'!$C$31*J3431/E3431</f>
        <v>419.90482250831667</v>
      </c>
      <c r="L3431" s="75">
        <f>K3431*'THAM_SO_MOI'!$C$53*'THAM_SO_MOI'!$C$17/'THAM_SO_MOI'!$C$26</f>
        <v>3682.5669364723044</v>
      </c>
      <c r="M3431" s="75">
        <f>'THAM_SO_MOI'!$C$15*'THAM_SO_MOI'!$C$16*F3431^2</f>
        <v>878.5575901182777</v>
      </c>
      <c r="N3431" s="75">
        <f>'THAM_SO_MOI'!$C$12*I3431</f>
        <v>1130.112</v>
      </c>
      <c r="O3431" s="75">
        <f>M3431+N3431</f>
        <v>2008.669590118278</v>
      </c>
      <c r="P3431" s="75">
        <f>(MIN(L3431,'THAM_SO_MOI'!$C$41)-O3431)/('THAM_SO_MOI'!$C$11*H3431)</f>
        <v>0.19814125785440653</v>
      </c>
      <c r="Q3431" s="75">
        <f>IF(P3431&gt;0,1/P3431,NA())</f>
        <v>5.04690447021789</v>
      </c>
      <c r="R3431" s="75">
        <f>F3431-F3430</f>
        <v>0.0073885545698715305</v>
      </c>
      <c r="S3431" s="75">
        <f>0.5*(Q3430+Q3431)*R3431</f>
        <v>0.037284158366232285</v>
      </c>
      <c r="T3431" s="75">
        <f>0.5*(F3430*Q3430+F3431*Q3431)*R3431</f>
        <v>0.6460318873225398</v>
      </c>
      <c r="U3431" s="76">
        <f>U3430+S3431</f>
        <v>33.494371105083516</v>
      </c>
      <c r="V3431" s="76">
        <f>V3430+T3431</f>
        <v>368.2581286491225</v>
      </c>
    </row>
    <row r="3432" spans="1:22" ht="19" customHeight="1">
      <c r="A3432" s="68" t="s">
        <v>378</v>
      </c>
      <c r="B3432" s="74">
        <v>5</v>
      </c>
      <c r="C3432" s="68" t="s">
        <v>363</v>
      </c>
      <c r="D3432" s="68" t="s">
        <v>364</v>
      </c>
      <c r="E3432" s="75">
        <f>60*F3432*'THAM_SO_MOI'!$C$53/(2*PI()*'THAM_SO_MOI'!$C$26)</f>
        <v>1708.2818845337533</v>
      </c>
      <c r="F3432" s="75">
        <f>'HANH_TRINH'!$F$3289+('THAM_SO_MOI'!$C$14-'HANH_TRINH'!$F$3289)*142/'THAM_SO_MOI'!$C$42</f>
        <v>17.33833109302421</v>
      </c>
      <c r="G3432" s="75">
        <f>3.6*F3432</f>
        <v>62.417991934887155</v>
      </c>
      <c r="H3432" s="75">
        <f>'THAM_SO_MOI'!$D$53</f>
        <v>1.1</v>
      </c>
      <c r="I3432" s="75">
        <f>IF(F3432&gt;'THAM_SO_MOI'!$C$14,'THAM_SO_MOI'!$C$13*(1+F3432^2/1500),'THAM_SO_MOI'!$C$13)</f>
        <v>0.015</v>
      </c>
      <c r="J3432" s="75">
        <f>'THAM_SO_MOI'!$C$40*('THAM_SO_MOI'!$C$23*(E3432/'THAM_SO_MOI'!$C$22)+'THAM_SO_MOI'!$C$24*(E3432/'THAM_SO_MOI'!$C$22)^2-'THAM_SO_MOI'!$C$25*(E3432/'THAM_SO_MOI'!$C$22)^3)</f>
        <v>75.10875912508804</v>
      </c>
      <c r="K3432" s="75">
        <f>'THAM_SO_MOI'!$C$31*J3432/E3432</f>
        <v>419.9372210297294</v>
      </c>
      <c r="L3432" s="75">
        <f>K3432*'THAM_SO_MOI'!$C$53*'THAM_SO_MOI'!$C$17/'THAM_SO_MOI'!$C$26</f>
        <v>3682.8510716318683</v>
      </c>
      <c r="M3432" s="75">
        <f>'THAM_SO_MOI'!$C$15*'THAM_SO_MOI'!$C$16*F3432^2</f>
        <v>879.3068458921405</v>
      </c>
      <c r="N3432" s="75">
        <f>'THAM_SO_MOI'!$C$12*I3432</f>
        <v>1130.112</v>
      </c>
      <c r="O3432" s="75">
        <f>M3432+N3432</f>
        <v>2009.4188458921406</v>
      </c>
      <c r="P3432" s="75">
        <f>(MIN(L3432,'THAM_SO_MOI'!$C$41)-O3432)/('THAM_SO_MOI'!$C$11*H3432)</f>
        <v>0.19808620096350946</v>
      </c>
      <c r="Q3432" s="75">
        <f>IF(P3432&gt;0,1/P3432,NA())</f>
        <v>5.04830722753987</v>
      </c>
      <c r="R3432" s="75">
        <f>F3432-F3431</f>
        <v>0.0073885545698715305</v>
      </c>
      <c r="S3432" s="75">
        <f>0.5*(Q3431+Q3432)*R3432</f>
        <v>0.03729451126164431</v>
      </c>
      <c r="T3432" s="75">
        <f>0.5*(F3431*Q3431+F3432*Q3432)*R3432</f>
        <v>0.6464868270854921</v>
      </c>
      <c r="U3432" s="76">
        <f>U3431+S3432</f>
        <v>33.53166561634516</v>
      </c>
      <c r="V3432" s="76">
        <f>V3431+T3432</f>
        <v>368.904615476208</v>
      </c>
    </row>
    <row r="3433" spans="1:22" ht="19" customHeight="1">
      <c r="A3433" s="68" t="s">
        <v>378</v>
      </c>
      <c r="B3433" s="74">
        <v>5</v>
      </c>
      <c r="C3433" s="68" t="s">
        <v>363</v>
      </c>
      <c r="D3433" s="68" t="s">
        <v>364</v>
      </c>
      <c r="E3433" s="75">
        <f>60*F3433*'THAM_SO_MOI'!$C$53/(2*PI()*'THAM_SO_MOI'!$C$26)</f>
        <v>1709.0098515945326</v>
      </c>
      <c r="F3433" s="75">
        <f>'HANH_TRINH'!$F$3289+('THAM_SO_MOI'!$C$14-'HANH_TRINH'!$F$3289)*143/'THAM_SO_MOI'!$C$42</f>
        <v>17.345719647594084</v>
      </c>
      <c r="G3433" s="75">
        <f>3.6*F3433</f>
        <v>62.44459073133871</v>
      </c>
      <c r="H3433" s="75">
        <f>'THAM_SO_MOI'!$D$53</f>
        <v>1.1</v>
      </c>
      <c r="I3433" s="75">
        <f>IF(F3433&gt;'THAM_SO_MOI'!$C$14,'THAM_SO_MOI'!$C$13*(1+F3433^2/1500),'THAM_SO_MOI'!$C$13)</f>
        <v>0.015</v>
      </c>
      <c r="J3433" s="75">
        <f>'THAM_SO_MOI'!$C$40*('THAM_SO_MOI'!$C$23*(E3433/'THAM_SO_MOI'!$C$22)+'THAM_SO_MOI'!$C$24*(E3433/'THAM_SO_MOI'!$C$22)^2-'THAM_SO_MOI'!$C$25*(E3433/'THAM_SO_MOI'!$C$22)^3)</f>
        <v>75.14655393982481</v>
      </c>
      <c r="K3433" s="75">
        <f>'THAM_SO_MOI'!$C$31*J3433/E3433</f>
        <v>419.96956813943683</v>
      </c>
      <c r="L3433" s="75">
        <f>K3433*'THAM_SO_MOI'!$C$53*'THAM_SO_MOI'!$C$17/'THAM_SO_MOI'!$C$26</f>
        <v>3683.1347559105757</v>
      </c>
      <c r="M3433" s="75">
        <f>'THAM_SO_MOI'!$C$15*'THAM_SO_MOI'!$C$16*F3433^2</f>
        <v>880.0564210218246</v>
      </c>
      <c r="N3433" s="75">
        <f>'THAM_SO_MOI'!$C$12*I3433</f>
        <v>1130.112</v>
      </c>
      <c r="O3433" s="75">
        <f>M3433+N3433</f>
        <v>2010.1684210218245</v>
      </c>
      <c r="P3433" s="75">
        <f>(MIN(L3433,'THAM_SO_MOI'!$C$41)-O3433)/('THAM_SO_MOI'!$C$11*H3433)</f>
        <v>0.19803105289876316</v>
      </c>
      <c r="Q3433" s="75">
        <f>IF(P3433&gt;0,1/P3433,NA())</f>
        <v>5.049713089750712</v>
      </c>
      <c r="R3433" s="75">
        <f>F3433-F3432</f>
        <v>0.007388554569875083</v>
      </c>
      <c r="S3433" s="75">
        <f>0.5*(Q3432+Q3433)*R3433</f>
        <v>0.037304887081004386</v>
      </c>
      <c r="T3433" s="75">
        <f>0.5*(F3432*Q3432+F3433*Q3433)*R3433</f>
        <v>0.6469423173820601</v>
      </c>
      <c r="U3433" s="76">
        <f>U3432+S3433</f>
        <v>33.568970503426165</v>
      </c>
      <c r="V3433" s="76">
        <f>V3432+T3433</f>
        <v>369.55155779359006</v>
      </c>
    </row>
    <row r="3434" spans="1:22" ht="19" customHeight="1">
      <c r="A3434" s="68" t="s">
        <v>378</v>
      </c>
      <c r="B3434" s="74">
        <v>5</v>
      </c>
      <c r="C3434" s="68" t="s">
        <v>363</v>
      </c>
      <c r="D3434" s="68" t="s">
        <v>364</v>
      </c>
      <c r="E3434" s="75">
        <f>60*F3434*'THAM_SO_MOI'!$C$53/(2*PI()*'THAM_SO_MOI'!$C$26)</f>
        <v>1709.7378186553112</v>
      </c>
      <c r="F3434" s="75">
        <f>'HANH_TRINH'!$F$3289+('THAM_SO_MOI'!$C$14-'HANH_TRINH'!$F$3289)*144/'THAM_SO_MOI'!$C$42</f>
        <v>17.353108202163956</v>
      </c>
      <c r="G3434" s="75">
        <f>3.6*F3434</f>
        <v>62.471189527790244</v>
      </c>
      <c r="H3434" s="75">
        <f>'THAM_SO_MOI'!$D$53</f>
        <v>1.1</v>
      </c>
      <c r="I3434" s="75">
        <f>IF(F3434&gt;'THAM_SO_MOI'!$C$14,'THAM_SO_MOI'!$C$13*(1+F3434^2/1500),'THAM_SO_MOI'!$C$13)</f>
        <v>0.015</v>
      </c>
      <c r="J3434" s="75">
        <f>'THAM_SO_MOI'!$C$40*('THAM_SO_MOI'!$C$23*(E3434/'THAM_SO_MOI'!$C$22)+'THAM_SO_MOI'!$C$24*(E3434/'THAM_SO_MOI'!$C$22)^2-'THAM_SO_MOI'!$C$25*(E3434/'THAM_SO_MOI'!$C$22)^3)</f>
        <v>75.18434448224912</v>
      </c>
      <c r="K3434" s="75">
        <f>'THAM_SO_MOI'!$C$31*J3434/E3434</f>
        <v>420.0018638374388</v>
      </c>
      <c r="L3434" s="75">
        <f>K3434*'THAM_SO_MOI'!$C$53*'THAM_SO_MOI'!$C$17/'THAM_SO_MOI'!$C$26</f>
        <v>3683.4179893084256</v>
      </c>
      <c r="M3434" s="75">
        <f>'THAM_SO_MOI'!$C$15*'THAM_SO_MOI'!$C$16*F3434^2</f>
        <v>880.8063155073291</v>
      </c>
      <c r="N3434" s="75">
        <f>'THAM_SO_MOI'!$C$12*I3434</f>
        <v>1130.112</v>
      </c>
      <c r="O3434" s="75">
        <f>M3434+N3434</f>
        <v>2010.9183155073292</v>
      </c>
      <c r="P3434" s="75">
        <f>(MIN(L3434,'THAM_SO_MOI'!$C$41)-O3434)/('THAM_SO_MOI'!$C$11*H3434)</f>
        <v>0.19797581366016767</v>
      </c>
      <c r="Q3434" s="75">
        <f>IF(P3434&gt;0,1/P3434,NA())</f>
        <v>5.051122061387431</v>
      </c>
      <c r="R3434" s="75">
        <f>F3434-F3433</f>
        <v>0.0073885545698715305</v>
      </c>
      <c r="S3434" s="75">
        <f>0.5*(Q3433+Q3434)*R3434</f>
        <v>0.037315285857730356</v>
      </c>
      <c r="T3434" s="75">
        <f>0.5*(F3433*Q3433+F3434*Q3434)*R3434</f>
        <v>0.6473983593001488</v>
      </c>
      <c r="U3434" s="76">
        <f>U3433+S3434</f>
        <v>33.606285789283895</v>
      </c>
      <c r="V3434" s="76">
        <f>V3433+T3434</f>
        <v>370.1989561528902</v>
      </c>
    </row>
    <row r="3435" spans="1:22" ht="19" customHeight="1">
      <c r="A3435" s="68" t="s">
        <v>378</v>
      </c>
      <c r="B3435" s="74">
        <v>5</v>
      </c>
      <c r="C3435" s="68" t="s">
        <v>363</v>
      </c>
      <c r="D3435" s="68" t="s">
        <v>364</v>
      </c>
      <c r="E3435" s="75">
        <f>60*F3435*'THAM_SO_MOI'!$C$53/(2*PI()*'THAM_SO_MOI'!$C$26)</f>
        <v>1710.4657857160905</v>
      </c>
      <c r="F3435" s="75">
        <f>'HANH_TRINH'!$F$3289+('THAM_SO_MOI'!$C$14-'HANH_TRINH'!$F$3289)*145/'THAM_SO_MOI'!$C$42</f>
        <v>17.360496756733827</v>
      </c>
      <c r="G3435" s="75">
        <f>3.6*F3435</f>
        <v>62.49778832424178</v>
      </c>
      <c r="H3435" s="75">
        <f>'THAM_SO_MOI'!$D$53</f>
        <v>1.1</v>
      </c>
      <c r="I3435" s="75">
        <f>IF(F3435&gt;'THAM_SO_MOI'!$C$14,'THAM_SO_MOI'!$C$13*(1+F3435^2/1500),'THAM_SO_MOI'!$C$13)</f>
        <v>0.015</v>
      </c>
      <c r="J3435" s="75">
        <f>'THAM_SO_MOI'!$C$40*('THAM_SO_MOI'!$C$23*(E3435/'THAM_SO_MOI'!$C$22)+'THAM_SO_MOI'!$C$24*(E3435/'THAM_SO_MOI'!$C$22)^2-'THAM_SO_MOI'!$C$25*(E3435/'THAM_SO_MOI'!$C$22)^3)</f>
        <v>75.22213074060551</v>
      </c>
      <c r="K3435" s="75">
        <f>'THAM_SO_MOI'!$C$31*J3435/E3435</f>
        <v>420.03410812373534</v>
      </c>
      <c r="L3435" s="75">
        <f>K3435*'THAM_SO_MOI'!$C$53*'THAM_SO_MOI'!$C$17/'THAM_SO_MOI'!$C$26</f>
        <v>3683.700771825417</v>
      </c>
      <c r="M3435" s="75">
        <f>'THAM_SO_MOI'!$C$15*'THAM_SO_MOI'!$C$16*F3435^2</f>
        <v>881.5565293486549</v>
      </c>
      <c r="N3435" s="75">
        <f>'THAM_SO_MOI'!$C$12*I3435</f>
        <v>1130.112</v>
      </c>
      <c r="O3435" s="75">
        <f>M3435+N3435</f>
        <v>2011.6685293486548</v>
      </c>
      <c r="P3435" s="75">
        <f>(MIN(L3435,'THAM_SO_MOI'!$C$41)-O3435)/('THAM_SO_MOI'!$C$11*H3435)</f>
        <v>0.19792048324772282</v>
      </c>
      <c r="Q3435" s="75">
        <f>IF(P3435&gt;0,1/P3435,NA())</f>
        <v>5.052534147000702</v>
      </c>
      <c r="R3435" s="75">
        <f>F3435-F3434</f>
        <v>0.0073885545698715305</v>
      </c>
      <c r="S3435" s="75">
        <f>0.5*(Q3434+Q3435)*R3435</f>
        <v>0.0373257076254485</v>
      </c>
      <c r="T3435" s="75">
        <f>0.5*(F3434*Q3434+F3435*Q3435)*R3435</f>
        <v>0.647854953932268</v>
      </c>
      <c r="U3435" s="76">
        <f>U3434+S3435</f>
        <v>33.643611496909344</v>
      </c>
      <c r="V3435" s="76">
        <f>V3434+T3435</f>
        <v>370.8468111068225</v>
      </c>
    </row>
    <row r="3436" spans="1:22" ht="19" customHeight="1">
      <c r="A3436" s="68" t="s">
        <v>378</v>
      </c>
      <c r="B3436" s="74">
        <v>5</v>
      </c>
      <c r="C3436" s="68" t="s">
        <v>363</v>
      </c>
      <c r="D3436" s="68" t="s">
        <v>364</v>
      </c>
      <c r="E3436" s="75">
        <f>60*F3436*'THAM_SO_MOI'!$C$53/(2*PI()*'THAM_SO_MOI'!$C$26)</f>
        <v>1711.193752776869</v>
      </c>
      <c r="F3436" s="75">
        <f>'HANH_TRINH'!$F$3289+('THAM_SO_MOI'!$C$14-'HANH_TRINH'!$F$3289)*146/'THAM_SO_MOI'!$C$42</f>
        <v>17.3678853113037</v>
      </c>
      <c r="G3436" s="75">
        <f>3.6*F3436</f>
        <v>62.52438712069332</v>
      </c>
      <c r="H3436" s="75">
        <f>'THAM_SO_MOI'!$D$53</f>
        <v>1.1</v>
      </c>
      <c r="I3436" s="75">
        <f>IF(F3436&gt;'THAM_SO_MOI'!$C$14,'THAM_SO_MOI'!$C$13*(1+F3436^2/1500),'THAM_SO_MOI'!$C$13)</f>
        <v>0.015</v>
      </c>
      <c r="J3436" s="75">
        <f>'THAM_SO_MOI'!$C$40*('THAM_SO_MOI'!$C$23*(E3436/'THAM_SO_MOI'!$C$22)+'THAM_SO_MOI'!$C$24*(E3436/'THAM_SO_MOI'!$C$22)^2-'THAM_SO_MOI'!$C$25*(E3436/'THAM_SO_MOI'!$C$22)^3)</f>
        <v>75.2599127031384</v>
      </c>
      <c r="K3436" s="75">
        <f>'THAM_SO_MOI'!$C$31*J3436/E3436</f>
        <v>420.0663009983265</v>
      </c>
      <c r="L3436" s="75">
        <f>K3436*'THAM_SO_MOI'!$C$53*'THAM_SO_MOI'!$C$17/'THAM_SO_MOI'!$C$26</f>
        <v>3683.983103461551</v>
      </c>
      <c r="M3436" s="75">
        <f>'THAM_SO_MOI'!$C$15*'THAM_SO_MOI'!$C$16*F3436^2</f>
        <v>882.3070625458014</v>
      </c>
      <c r="N3436" s="75">
        <f>'THAM_SO_MOI'!$C$12*I3436</f>
        <v>1130.112</v>
      </c>
      <c r="O3436" s="75">
        <f>M3436+N3436</f>
        <v>2012.4190625458014</v>
      </c>
      <c r="P3436" s="75">
        <f>(MIN(L3436,'THAM_SO_MOI'!$C$41)-O3436)/('THAM_SO_MOI'!$C$11*H3436)</f>
        <v>0.19786506166142867</v>
      </c>
      <c r="Q3436" s="75">
        <f>IF(P3436&gt;0,1/P3436,NA())</f>
        <v>5.053949351154891</v>
      </c>
      <c r="R3436" s="75">
        <f>F3436-F3435</f>
        <v>0.0073885545698715305</v>
      </c>
      <c r="S3436" s="75">
        <f>0.5*(Q3435+Q3436)*R3436</f>
        <v>0.037336152417814364</v>
      </c>
      <c r="T3436" s="75">
        <f>0.5*(F3435*Q3435+F3436*Q3436)*R3436</f>
        <v>0.6483121023724301</v>
      </c>
      <c r="U3436" s="76">
        <f>U3435+S3436</f>
        <v>33.68094764932716</v>
      </c>
      <c r="V3436" s="76">
        <f>V3435+T3436</f>
        <v>371.4951232091949</v>
      </c>
    </row>
    <row r="3437" spans="1:22" ht="19" customHeight="1">
      <c r="A3437" s="68" t="s">
        <v>378</v>
      </c>
      <c r="B3437" s="74">
        <v>5</v>
      </c>
      <c r="C3437" s="68" t="s">
        <v>363</v>
      </c>
      <c r="D3437" s="68" t="s">
        <v>364</v>
      </c>
      <c r="E3437" s="75">
        <f>60*F3437*'THAM_SO_MOI'!$C$53/(2*PI()*'THAM_SO_MOI'!$C$26)</f>
        <v>1711.9217198376482</v>
      </c>
      <c r="F3437" s="75">
        <f>'HANH_TRINH'!$F$3289+('THAM_SO_MOI'!$C$14-'HANH_TRINH'!$F$3289)*147/'THAM_SO_MOI'!$C$42</f>
        <v>17.37527386587357</v>
      </c>
      <c r="G3437" s="75">
        <f>3.6*F3437</f>
        <v>62.55098591714486</v>
      </c>
      <c r="H3437" s="75">
        <f>'THAM_SO_MOI'!$D$53</f>
        <v>1.1</v>
      </c>
      <c r="I3437" s="75">
        <f>IF(F3437&gt;'THAM_SO_MOI'!$C$14,'THAM_SO_MOI'!$C$13*(1+F3437^2/1500),'THAM_SO_MOI'!$C$13)</f>
        <v>0.015</v>
      </c>
      <c r="J3437" s="75">
        <f>'THAM_SO_MOI'!$C$40*('THAM_SO_MOI'!$C$23*(E3437/'THAM_SO_MOI'!$C$22)+'THAM_SO_MOI'!$C$24*(E3437/'THAM_SO_MOI'!$C$22)^2-'THAM_SO_MOI'!$C$25*(E3437/'THAM_SO_MOI'!$C$22)^3)</f>
        <v>75.29769035809234</v>
      </c>
      <c r="K3437" s="75">
        <f>'THAM_SO_MOI'!$C$31*J3437/E3437</f>
        <v>420.0984424612122</v>
      </c>
      <c r="L3437" s="75">
        <f>K3437*'THAM_SO_MOI'!$C$53*'THAM_SO_MOI'!$C$17/'THAM_SO_MOI'!$C$26</f>
        <v>3684.2649842168266</v>
      </c>
      <c r="M3437" s="75">
        <f>'THAM_SO_MOI'!$C$15*'THAM_SO_MOI'!$C$16*F3437^2</f>
        <v>883.0579150987692</v>
      </c>
      <c r="N3437" s="75">
        <f>'THAM_SO_MOI'!$C$12*I3437</f>
        <v>1130.112</v>
      </c>
      <c r="O3437" s="75">
        <f>M3437+N3437</f>
        <v>2013.1699150987693</v>
      </c>
      <c r="P3437" s="75">
        <f>(MIN(L3437,'THAM_SO_MOI'!$C$41)-O3437)/('THAM_SO_MOI'!$C$11*H3437)</f>
        <v>0.19780954890128521</v>
      </c>
      <c r="Q3437" s="75">
        <f>IF(P3437&gt;0,1/P3437,NA())</f>
        <v>5.0553676784281</v>
      </c>
      <c r="R3437" s="75">
        <f>F3437-F3436</f>
        <v>0.0073885545698715305</v>
      </c>
      <c r="S3437" s="75">
        <f>0.5*(Q3436+Q3437)*R3437</f>
        <v>0.03734662026860275</v>
      </c>
      <c r="T3437" s="75">
        <f>0.5*(F3436*Q3436+F3437*Q3437)*R3437</f>
        <v>0.6487698057177135</v>
      </c>
      <c r="U3437" s="76">
        <f>U3436+S3437</f>
        <v>33.71829426959576</v>
      </c>
      <c r="V3437" s="76">
        <f>V3436+T3437</f>
        <v>372.14389301491263</v>
      </c>
    </row>
    <row r="3438" spans="1:22" ht="19" customHeight="1">
      <c r="A3438" s="68" t="s">
        <v>378</v>
      </c>
      <c r="B3438" s="74">
        <v>5</v>
      </c>
      <c r="C3438" s="68" t="s">
        <v>363</v>
      </c>
      <c r="D3438" s="68" t="s">
        <v>364</v>
      </c>
      <c r="E3438" s="75">
        <f>60*F3438*'THAM_SO_MOI'!$C$53/(2*PI()*'THAM_SO_MOI'!$C$26)</f>
        <v>1712.649686898427</v>
      </c>
      <c r="F3438" s="75">
        <f>'HANH_TRINH'!$F$3289+('THAM_SO_MOI'!$C$14-'HANH_TRINH'!$F$3289)*148/'THAM_SO_MOI'!$C$42</f>
        <v>17.38266242044344</v>
      </c>
      <c r="G3438" s="75">
        <f>3.6*F3438</f>
        <v>62.577584713596394</v>
      </c>
      <c r="H3438" s="75">
        <f>'THAM_SO_MOI'!$D$53</f>
        <v>1.1</v>
      </c>
      <c r="I3438" s="75">
        <f>IF(F3438&gt;'THAM_SO_MOI'!$C$14,'THAM_SO_MOI'!$C$13*(1+F3438^2/1500),'THAM_SO_MOI'!$C$13)</f>
        <v>0.015</v>
      </c>
      <c r="J3438" s="75">
        <f>'THAM_SO_MOI'!$C$40*('THAM_SO_MOI'!$C$23*(E3438/'THAM_SO_MOI'!$C$22)+'THAM_SO_MOI'!$C$24*(E3438/'THAM_SO_MOI'!$C$22)^2-'THAM_SO_MOI'!$C$25*(E3438/'THAM_SO_MOI'!$C$22)^3)</f>
        <v>75.3354636937118</v>
      </c>
      <c r="K3438" s="75">
        <f>'THAM_SO_MOI'!$C$31*J3438/E3438</f>
        <v>420.1305325123926</v>
      </c>
      <c r="L3438" s="75">
        <f>K3438*'THAM_SO_MOI'!$C$53*'THAM_SO_MOI'!$C$17/'THAM_SO_MOI'!$C$26</f>
        <v>3684.5464140912472</v>
      </c>
      <c r="M3438" s="75">
        <f>'THAM_SO_MOI'!$C$15*'THAM_SO_MOI'!$C$16*F3438^2</f>
        <v>883.8090870075578</v>
      </c>
      <c r="N3438" s="75">
        <f>'THAM_SO_MOI'!$C$12*I3438</f>
        <v>1130.112</v>
      </c>
      <c r="O3438" s="75">
        <f>M3438+N3438</f>
        <v>2013.9210870075578</v>
      </c>
      <c r="P3438" s="75">
        <f>(MIN(L3438,'THAM_SO_MOI'!$C$41)-O3438)/('THAM_SO_MOI'!$C$11*H3438)</f>
        <v>0.19775394496729282</v>
      </c>
      <c r="Q3438" s="75">
        <f>IF(P3438&gt;0,1/P3438,NA())</f>
        <v>5.056789133412197</v>
      </c>
      <c r="R3438" s="75">
        <f>F3438-F3437</f>
        <v>0.0073885545698715305</v>
      </c>
      <c r="S3438" s="75">
        <f>0.5*(Q3437+Q3438)*R3438</f>
        <v>0.037357111211690074</v>
      </c>
      <c r="T3438" s="75">
        <f>0.5*(F3437*Q3437+F3438*Q3438)*R3438</f>
        <v>0.6492280650679606</v>
      </c>
      <c r="U3438" s="76">
        <f>U3437+S3438</f>
        <v>33.75565138080745</v>
      </c>
      <c r="V3438" s="76">
        <f>V3437+T3438</f>
        <v>372.7931210799806</v>
      </c>
    </row>
    <row r="3439" spans="1:22" ht="19" customHeight="1">
      <c r="A3439" s="68" t="s">
        <v>378</v>
      </c>
      <c r="B3439" s="74">
        <v>5</v>
      </c>
      <c r="C3439" s="68" t="s">
        <v>363</v>
      </c>
      <c r="D3439" s="68" t="s">
        <v>364</v>
      </c>
      <c r="E3439" s="75">
        <f>60*F3439*'THAM_SO_MOI'!$C$53/(2*PI()*'THAM_SO_MOI'!$C$26)</f>
        <v>1713.3776539592066</v>
      </c>
      <c r="F3439" s="75">
        <f>'HANH_TRINH'!$F$3289+('THAM_SO_MOI'!$C$14-'HANH_TRINH'!$F$3289)*149/'THAM_SO_MOI'!$C$42</f>
        <v>17.390050975013317</v>
      </c>
      <c r="G3439" s="75">
        <f>3.6*F3439</f>
        <v>62.60418351004794</v>
      </c>
      <c r="H3439" s="75">
        <f>'THAM_SO_MOI'!$D$53</f>
        <v>1.1</v>
      </c>
      <c r="I3439" s="75">
        <f>IF(F3439&gt;'THAM_SO_MOI'!$C$14,'THAM_SO_MOI'!$C$13*(1+F3439^2/1500),'THAM_SO_MOI'!$C$13)</f>
        <v>0.015</v>
      </c>
      <c r="J3439" s="75">
        <f>'THAM_SO_MOI'!$C$40*('THAM_SO_MOI'!$C$23*(E3439/'THAM_SO_MOI'!$C$22)+'THAM_SO_MOI'!$C$24*(E3439/'THAM_SO_MOI'!$C$22)^2-'THAM_SO_MOI'!$C$25*(E3439/'THAM_SO_MOI'!$C$22)^3)</f>
        <v>75.37323269824122</v>
      </c>
      <c r="K3439" s="75">
        <f>'THAM_SO_MOI'!$C$31*J3439/E3439</f>
        <v>420.1625711518673</v>
      </c>
      <c r="L3439" s="75">
        <f>K3439*'THAM_SO_MOI'!$C$53*'THAM_SO_MOI'!$C$17/'THAM_SO_MOI'!$C$26</f>
        <v>3684.8273930848063</v>
      </c>
      <c r="M3439" s="75">
        <f>'THAM_SO_MOI'!$C$15*'THAM_SO_MOI'!$C$16*F3439^2</f>
        <v>884.5605782721677</v>
      </c>
      <c r="N3439" s="75">
        <f>'THAM_SO_MOI'!$C$12*I3439</f>
        <v>1130.112</v>
      </c>
      <c r="O3439" s="75">
        <f>M3439+N3439</f>
        <v>2014.6725782721678</v>
      </c>
      <c r="P3439" s="75">
        <f>(MIN(L3439,'THAM_SO_MOI'!$C$41)-O3439)/('THAM_SO_MOI'!$C$11*H3439)</f>
        <v>0.1976982498594506</v>
      </c>
      <c r="Q3439" s="75">
        <f>IF(P3439&gt;0,1/P3439,NA())</f>
        <v>5.058213720712899</v>
      </c>
      <c r="R3439" s="75">
        <f>F3439-F3438</f>
        <v>0.007388554569875083</v>
      </c>
      <c r="S3439" s="75">
        <f>0.5*(Q3438+Q3439)*R3439</f>
        <v>0.03736762528107274</v>
      </c>
      <c r="T3439" s="75">
        <f>0.5*(F3438*Q3438+F3439*Q3439)*R3439</f>
        <v>0.6496868815261017</v>
      </c>
      <c r="U3439" s="76">
        <f>U3438+S3439</f>
        <v>33.79301900608852</v>
      </c>
      <c r="V3439" s="76">
        <f>V3438+T3439</f>
        <v>373.44280796150673</v>
      </c>
    </row>
    <row r="3440" spans="1:22" ht="19" customHeight="1">
      <c r="A3440" s="68" t="s">
        <v>378</v>
      </c>
      <c r="B3440" s="74">
        <v>5</v>
      </c>
      <c r="C3440" s="68" t="s">
        <v>363</v>
      </c>
      <c r="D3440" s="68" t="s">
        <v>364</v>
      </c>
      <c r="E3440" s="75">
        <f>60*F3440*'THAM_SO_MOI'!$C$53/(2*PI()*'THAM_SO_MOI'!$C$26)</f>
        <v>1714.105621019985</v>
      </c>
      <c r="F3440" s="75">
        <f>'HANH_TRINH'!$F$3289+('THAM_SO_MOI'!$C$14-'HANH_TRINH'!$F$3289)*150/'THAM_SO_MOI'!$C$42</f>
        <v>17.39743952958319</v>
      </c>
      <c r="G3440" s="75">
        <f>3.6*F3440</f>
        <v>62.630782306499476</v>
      </c>
      <c r="H3440" s="75">
        <f>'THAM_SO_MOI'!$D$53</f>
        <v>1.1</v>
      </c>
      <c r="I3440" s="75">
        <f>IF(F3440&gt;'THAM_SO_MOI'!$C$14,'THAM_SO_MOI'!$C$13*(1+F3440^2/1500),'THAM_SO_MOI'!$C$13)</f>
        <v>0.015</v>
      </c>
      <c r="J3440" s="75">
        <f>'THAM_SO_MOI'!$C$40*('THAM_SO_MOI'!$C$23*(E3440/'THAM_SO_MOI'!$C$22)+'THAM_SO_MOI'!$C$24*(E3440/'THAM_SO_MOI'!$C$22)^2-'THAM_SO_MOI'!$C$25*(E3440/'THAM_SO_MOI'!$C$22)^3)</f>
        <v>75.41099735992512</v>
      </c>
      <c r="K3440" s="75">
        <f>'THAM_SO_MOI'!$C$31*J3440/E3440</f>
        <v>420.1945583796368</v>
      </c>
      <c r="L3440" s="75">
        <f>K3440*'THAM_SO_MOI'!$C$53*'THAM_SO_MOI'!$C$17/'THAM_SO_MOI'!$C$26</f>
        <v>3685.1079211975098</v>
      </c>
      <c r="M3440" s="75">
        <f>'THAM_SO_MOI'!$C$15*'THAM_SO_MOI'!$C$16*F3440^2</f>
        <v>885.3123888925984</v>
      </c>
      <c r="N3440" s="75">
        <f>'THAM_SO_MOI'!$C$12*I3440</f>
        <v>1130.112</v>
      </c>
      <c r="O3440" s="75">
        <f>M3440+N3440</f>
        <v>2015.4243888925985</v>
      </c>
      <c r="P3440" s="75">
        <f>(MIN(L3440,'THAM_SO_MOI'!$C$41)-O3440)/('THAM_SO_MOI'!$C$11*H3440)</f>
        <v>0.1976424635777594</v>
      </c>
      <c r="Q3440" s="75">
        <f>IF(P3440&gt;0,1/P3440,NA())</f>
        <v>5.059641444949736</v>
      </c>
      <c r="R3440" s="75">
        <f>F3440-F3439</f>
        <v>0.0073885545698715305</v>
      </c>
      <c r="S3440" s="75">
        <f>0.5*(Q3439+Q3440)*R3440</f>
        <v>0.03737816251077747</v>
      </c>
      <c r="T3440" s="75">
        <f>0.5*(F3439*Q3439+F3440*Q3440)*R3440</f>
        <v>0.6501462561965983</v>
      </c>
      <c r="U3440" s="76">
        <f>U3439+S3440</f>
        <v>33.8303971685993</v>
      </c>
      <c r="V3440" s="76">
        <f>V3439+T3440</f>
        <v>374.0929542177033</v>
      </c>
    </row>
    <row r="3441" spans="1:22" ht="19" customHeight="1">
      <c r="A3441" s="68" t="s">
        <v>378</v>
      </c>
      <c r="B3441" s="74">
        <v>5</v>
      </c>
      <c r="C3441" s="68" t="s">
        <v>363</v>
      </c>
      <c r="D3441" s="68" t="s">
        <v>364</v>
      </c>
      <c r="E3441" s="75">
        <f>60*F3441*'THAM_SO_MOI'!$C$53/(2*PI()*'THAM_SO_MOI'!$C$26)</f>
        <v>1714.8335880807642</v>
      </c>
      <c r="F3441" s="75">
        <f>'HANH_TRINH'!$F$3289+('THAM_SO_MOI'!$C$14-'HANH_TRINH'!$F$3289)*151/'THAM_SO_MOI'!$C$42</f>
        <v>17.40482808415306</v>
      </c>
      <c r="G3441" s="75">
        <f>3.6*F3441</f>
        <v>62.657381102951014</v>
      </c>
      <c r="H3441" s="75">
        <f>'THAM_SO_MOI'!$D$53</f>
        <v>1.1</v>
      </c>
      <c r="I3441" s="75">
        <f>IF(F3441&gt;'THAM_SO_MOI'!$C$14,'THAM_SO_MOI'!$C$13*(1+F3441^2/1500),'THAM_SO_MOI'!$C$13)</f>
        <v>0.015</v>
      </c>
      <c r="J3441" s="75">
        <f>'THAM_SO_MOI'!$C$40*('THAM_SO_MOI'!$C$23*(E3441/'THAM_SO_MOI'!$C$22)+'THAM_SO_MOI'!$C$24*(E3441/'THAM_SO_MOI'!$C$22)^2-'THAM_SO_MOI'!$C$25*(E3441/'THAM_SO_MOI'!$C$22)^3)</f>
        <v>75.448757667008</v>
      </c>
      <c r="K3441" s="75">
        <f>'THAM_SO_MOI'!$C$31*J3441/E3441</f>
        <v>420.22649419570075</v>
      </c>
      <c r="L3441" s="75">
        <f>K3441*'THAM_SO_MOI'!$C$53*'THAM_SO_MOI'!$C$17/'THAM_SO_MOI'!$C$26</f>
        <v>3685.387998429354</v>
      </c>
      <c r="M3441" s="75">
        <f>'THAM_SO_MOI'!$C$15*'THAM_SO_MOI'!$C$16*F3441^2</f>
        <v>886.06451886885</v>
      </c>
      <c r="N3441" s="75">
        <f>'THAM_SO_MOI'!$C$12*I3441</f>
        <v>1130.112</v>
      </c>
      <c r="O3441" s="75">
        <f>M3441+N3441</f>
        <v>2016.17651886885</v>
      </c>
      <c r="P3441" s="75">
        <f>(MIN(L3441,'THAM_SO_MOI'!$C$41)-O3441)/('THAM_SO_MOI'!$C$11*H3441)</f>
        <v>0.19758658612221874</v>
      </c>
      <c r="Q3441" s="75">
        <f>IF(P3441&gt;0,1/P3441,NA())</f>
        <v>5.061072310756167</v>
      </c>
      <c r="R3441" s="75">
        <f>F3441-F3440</f>
        <v>0.0073885545698715305</v>
      </c>
      <c r="S3441" s="75">
        <f>0.5*(Q3440+Q3441)*R3441</f>
        <v>0.03738872293504126</v>
      </c>
      <c r="T3441" s="75">
        <f>0.5*(F3440*Q3440+F3441*Q3441)*R3441</f>
        <v>0.6506061901885772</v>
      </c>
      <c r="U3441" s="76">
        <f>U3440+S3441</f>
        <v>33.86778589153434</v>
      </c>
      <c r="V3441" s="76">
        <f>V3440+T3441</f>
        <v>374.7435604078919</v>
      </c>
    </row>
    <row r="3442" spans="1:22" ht="19" customHeight="1">
      <c r="A3442" s="68" t="s">
        <v>378</v>
      </c>
      <c r="B3442" s="74">
        <v>5</v>
      </c>
      <c r="C3442" s="68" t="s">
        <v>363</v>
      </c>
      <c r="D3442" s="68" t="s">
        <v>364</v>
      </c>
      <c r="E3442" s="75">
        <f>60*F3442*'THAM_SO_MOI'!$C$53/(2*PI()*'THAM_SO_MOI'!$C$26)</f>
        <v>1715.561555141543</v>
      </c>
      <c r="F3442" s="75">
        <f>'HANH_TRINH'!$F$3289+('THAM_SO_MOI'!$C$14-'HANH_TRINH'!$F$3289)*152/'THAM_SO_MOI'!$C$42</f>
        <v>17.41221663872293</v>
      </c>
      <c r="G3442" s="75">
        <f>3.6*F3442</f>
        <v>62.68397989940255</v>
      </c>
      <c r="H3442" s="75">
        <f>'THAM_SO_MOI'!$D$53</f>
        <v>1.1</v>
      </c>
      <c r="I3442" s="75">
        <f>IF(F3442&gt;'THAM_SO_MOI'!$C$14,'THAM_SO_MOI'!$C$13*(1+F3442^2/1500),'THAM_SO_MOI'!$C$13)</f>
        <v>0.015</v>
      </c>
      <c r="J3442" s="75">
        <f>'THAM_SO_MOI'!$C$40*('THAM_SO_MOI'!$C$23*(E3442/'THAM_SO_MOI'!$C$22)+'THAM_SO_MOI'!$C$24*(E3442/'THAM_SO_MOI'!$C$22)^2-'THAM_SO_MOI'!$C$25*(E3442/'THAM_SO_MOI'!$C$22)^3)</f>
        <v>75.4865136077343</v>
      </c>
      <c r="K3442" s="75">
        <f>'THAM_SO_MOI'!$C$31*J3442/E3442</f>
        <v>420.2583786000593</v>
      </c>
      <c r="L3442" s="75">
        <f>K3442*'THAM_SO_MOI'!$C$53*'THAM_SO_MOI'!$C$17/'THAM_SO_MOI'!$C$26</f>
        <v>3685.6676247803416</v>
      </c>
      <c r="M3442" s="75">
        <f>'THAM_SO_MOI'!$C$15*'THAM_SO_MOI'!$C$16*F3442^2</f>
        <v>886.8169682009227</v>
      </c>
      <c r="N3442" s="75">
        <f>'THAM_SO_MOI'!$C$12*I3442</f>
        <v>1130.112</v>
      </c>
      <c r="O3442" s="75">
        <f>M3442+N3442</f>
        <v>2016.9289682009228</v>
      </c>
      <c r="P3442" s="75">
        <f>(MIN(L3442,'THAM_SO_MOI'!$C$41)-O3442)/('THAM_SO_MOI'!$C$11*H3442)</f>
        <v>0.1975306174928289</v>
      </c>
      <c r="Q3442" s="75">
        <f>IF(P3442&gt;0,1/P3442,NA())</f>
        <v>5.062506322779575</v>
      </c>
      <c r="R3442" s="75">
        <f>F3442-F3441</f>
        <v>0.0073885545698715305</v>
      </c>
      <c r="S3442" s="75">
        <f>0.5*(Q3441+Q3442)*R3442</f>
        <v>0.03739930658813214</v>
      </c>
      <c r="T3442" s="75">
        <f>0.5*(F3441*Q3441+F3442*Q3442)*R3442</f>
        <v>0.6510666846127177</v>
      </c>
      <c r="U3442" s="76">
        <f>U3441+S3442</f>
        <v>33.905185198122474</v>
      </c>
      <c r="V3442" s="76">
        <f>V3441+T3442</f>
        <v>375.3946270925046</v>
      </c>
    </row>
    <row r="3443" spans="1:22" ht="19" customHeight="1">
      <c r="A3443" s="68" t="s">
        <v>378</v>
      </c>
      <c r="B3443" s="74">
        <v>5</v>
      </c>
      <c r="C3443" s="68" t="s">
        <v>363</v>
      </c>
      <c r="D3443" s="68" t="s">
        <v>364</v>
      </c>
      <c r="E3443" s="75">
        <f>60*F3443*'THAM_SO_MOI'!$C$53/(2*PI()*'THAM_SO_MOI'!$C$26)</f>
        <v>1716.2895222023224</v>
      </c>
      <c r="F3443" s="75">
        <f>'HANH_TRINH'!$F$3289+('THAM_SO_MOI'!$C$14-'HANH_TRINH'!$F$3289)*153/'THAM_SO_MOI'!$C$42</f>
        <v>17.419605193292803</v>
      </c>
      <c r="G3443" s="75">
        <f>3.6*F3443</f>
        <v>62.71057869585409</v>
      </c>
      <c r="H3443" s="75">
        <f>'THAM_SO_MOI'!$D$53</f>
        <v>1.1</v>
      </c>
      <c r="I3443" s="75">
        <f>IF(F3443&gt;'THAM_SO_MOI'!$C$14,'THAM_SO_MOI'!$C$13*(1+F3443^2/1500),'THAM_SO_MOI'!$C$13)</f>
        <v>0.015</v>
      </c>
      <c r="J3443" s="75">
        <f>'THAM_SO_MOI'!$C$40*('THAM_SO_MOI'!$C$23*(E3443/'THAM_SO_MOI'!$C$22)+'THAM_SO_MOI'!$C$24*(E3443/'THAM_SO_MOI'!$C$22)^2-'THAM_SO_MOI'!$C$25*(E3443/'THAM_SO_MOI'!$C$22)^3)</f>
        <v>75.52426517034854</v>
      </c>
      <c r="K3443" s="75">
        <f>'THAM_SO_MOI'!$C$31*J3443/E3443</f>
        <v>420.2902115927124</v>
      </c>
      <c r="L3443" s="75">
        <f>K3443*'THAM_SO_MOI'!$C$53*'THAM_SO_MOI'!$C$17/'THAM_SO_MOI'!$C$26</f>
        <v>3685.946800250471</v>
      </c>
      <c r="M3443" s="75">
        <f>'THAM_SO_MOI'!$C$15*'THAM_SO_MOI'!$C$16*F3443^2</f>
        <v>887.5697368888162</v>
      </c>
      <c r="N3443" s="75">
        <f>'THAM_SO_MOI'!$C$12*I3443</f>
        <v>1130.112</v>
      </c>
      <c r="O3443" s="75">
        <f>M3443+N3443</f>
        <v>2017.6817368888164</v>
      </c>
      <c r="P3443" s="75">
        <f>(MIN(L3443,'THAM_SO_MOI'!$C$41)-O3443)/('THAM_SO_MOI'!$C$11*H3443)</f>
        <v>0.19747455768958977</v>
      </c>
      <c r="Q3443" s="75">
        <f>IF(P3443&gt;0,1/P3443,NA())</f>
        <v>5.06394348568133</v>
      </c>
      <c r="R3443" s="75">
        <f>F3443-F3442</f>
        <v>0.0073885545698715305</v>
      </c>
      <c r="S3443" s="75">
        <f>0.5*(Q3442+Q3443)*R3443</f>
        <v>0.03740991350443925</v>
      </c>
      <c r="T3443" s="75">
        <f>0.5*(F3442*Q3442+F3443*Q3443)*R3443</f>
        <v>0.6515277405828197</v>
      </c>
      <c r="U3443" s="76">
        <f>U3442+S3443</f>
        <v>33.942595111626915</v>
      </c>
      <c r="V3443" s="76">
        <f>V3442+T3443</f>
        <v>376.0461548330874</v>
      </c>
    </row>
    <row r="3444" spans="1:22" ht="19" customHeight="1">
      <c r="A3444" s="68" t="s">
        <v>378</v>
      </c>
      <c r="B3444" s="74">
        <v>5</v>
      </c>
      <c r="C3444" s="68" t="s">
        <v>363</v>
      </c>
      <c r="D3444" s="68" t="s">
        <v>364</v>
      </c>
      <c r="E3444" s="75">
        <f>60*F3444*'THAM_SO_MOI'!$C$53/(2*PI()*'THAM_SO_MOI'!$C$26)</f>
        <v>1717.0174892631007</v>
      </c>
      <c r="F3444" s="75">
        <f>'HANH_TRINH'!$F$3289+('THAM_SO_MOI'!$C$14-'HANH_TRINH'!$F$3289)*154/'THAM_SO_MOI'!$C$42</f>
        <v>17.426993747862674</v>
      </c>
      <c r="G3444" s="75">
        <f>3.6*F3444</f>
        <v>62.73717749230563</v>
      </c>
      <c r="H3444" s="75">
        <f>'THAM_SO_MOI'!$D$53</f>
        <v>1.1</v>
      </c>
      <c r="I3444" s="75">
        <f>IF(F3444&gt;'THAM_SO_MOI'!$C$14,'THAM_SO_MOI'!$C$13*(1+F3444^2/1500),'THAM_SO_MOI'!$C$13)</f>
        <v>0.015</v>
      </c>
      <c r="J3444" s="75">
        <f>'THAM_SO_MOI'!$C$40*('THAM_SO_MOI'!$C$23*(E3444/'THAM_SO_MOI'!$C$22)+'THAM_SO_MOI'!$C$24*(E3444/'THAM_SO_MOI'!$C$22)^2-'THAM_SO_MOI'!$C$25*(E3444/'THAM_SO_MOI'!$C$22)^3)</f>
        <v>75.56201234309515</v>
      </c>
      <c r="K3444" s="75">
        <f>'THAM_SO_MOI'!$C$31*J3444/E3444</f>
        <v>420.32199317366</v>
      </c>
      <c r="L3444" s="75">
        <f>K3444*'THAM_SO_MOI'!$C$53*'THAM_SO_MOI'!$C$17/'THAM_SO_MOI'!$C$26</f>
        <v>3686.225524839742</v>
      </c>
      <c r="M3444" s="75">
        <f>'THAM_SO_MOI'!$C$15*'THAM_SO_MOI'!$C$16*F3444^2</f>
        <v>888.3228249325309</v>
      </c>
      <c r="N3444" s="75">
        <f>'THAM_SO_MOI'!$C$12*I3444</f>
        <v>1130.112</v>
      </c>
      <c r="O3444" s="75">
        <f>M3444+N3444</f>
        <v>2018.434824932531</v>
      </c>
      <c r="P3444" s="75">
        <f>(MIN(L3444,'THAM_SO_MOI'!$C$41)-O3444)/('THAM_SO_MOI'!$C$11*H3444)</f>
        <v>0.19741840671250133</v>
      </c>
      <c r="Q3444" s="75">
        <f>IF(P3444&gt;0,1/P3444,NA())</f>
        <v>5.065383804136821</v>
      </c>
      <c r="R3444" s="75">
        <f>F3444-F3443</f>
        <v>0.0073885545698715305</v>
      </c>
      <c r="S3444" s="75">
        <f>0.5*(Q3443+Q3444)*R3444</f>
        <v>0.03742054371845515</v>
      </c>
      <c r="T3444" s="75">
        <f>0.5*(F3443*Q3443+F3444*Q3444)*R3444</f>
        <v>0.6519893592155028</v>
      </c>
      <c r="U3444" s="76">
        <f>U3443+S3444</f>
        <v>33.98001565534537</v>
      </c>
      <c r="V3444" s="76">
        <f>V3443+T3444</f>
        <v>376.69814419230295</v>
      </c>
    </row>
    <row r="3445" spans="1:22" ht="19" customHeight="1">
      <c r="A3445" s="68" t="s">
        <v>378</v>
      </c>
      <c r="B3445" s="74">
        <v>5</v>
      </c>
      <c r="C3445" s="68" t="s">
        <v>363</v>
      </c>
      <c r="D3445" s="68" t="s">
        <v>364</v>
      </c>
      <c r="E3445" s="75">
        <f>60*F3445*'THAM_SO_MOI'!$C$53/(2*PI()*'THAM_SO_MOI'!$C$26)</f>
        <v>1717.74545632388</v>
      </c>
      <c r="F3445" s="75">
        <f>'HANH_TRINH'!$F$3289+('THAM_SO_MOI'!$C$14-'HANH_TRINH'!$F$3289)*155/'THAM_SO_MOI'!$C$42</f>
        <v>17.434382302432546</v>
      </c>
      <c r="G3445" s="75">
        <f>3.6*F3445</f>
        <v>62.763776288757164</v>
      </c>
      <c r="H3445" s="75">
        <f>'THAM_SO_MOI'!$D$53</f>
        <v>1.1</v>
      </c>
      <c r="I3445" s="75">
        <f>IF(F3445&gt;'THAM_SO_MOI'!$C$14,'THAM_SO_MOI'!$C$13*(1+F3445^2/1500),'THAM_SO_MOI'!$C$13)</f>
        <v>0.015</v>
      </c>
      <c r="J3445" s="75">
        <f>'THAM_SO_MOI'!$C$40*('THAM_SO_MOI'!$C$23*(E3445/'THAM_SO_MOI'!$C$22)+'THAM_SO_MOI'!$C$24*(E3445/'THAM_SO_MOI'!$C$22)^2-'THAM_SO_MOI'!$C$25*(E3445/'THAM_SO_MOI'!$C$22)^3)</f>
        <v>75.59975511421871</v>
      </c>
      <c r="K3445" s="75">
        <f>'THAM_SO_MOI'!$C$31*J3445/E3445</f>
        <v>420.35372334290224</v>
      </c>
      <c r="L3445" s="75">
        <f>K3445*'THAM_SO_MOI'!$C$53*'THAM_SO_MOI'!$C$17/'THAM_SO_MOI'!$C$26</f>
        <v>3686.503798548155</v>
      </c>
      <c r="M3445" s="75">
        <f>'THAM_SO_MOI'!$C$15*'THAM_SO_MOI'!$C$16*F3445^2</f>
        <v>889.0762323320665</v>
      </c>
      <c r="N3445" s="75">
        <f>'THAM_SO_MOI'!$C$12*I3445</f>
        <v>1130.112</v>
      </c>
      <c r="O3445" s="75">
        <f>M3445+N3445</f>
        <v>2019.1882323320665</v>
      </c>
      <c r="P3445" s="75">
        <f>(MIN(L3445,'THAM_SO_MOI'!$C$41)-O3445)/('THAM_SO_MOI'!$C$11*H3445)</f>
        <v>0.1973621645615635</v>
      </c>
      <c r="Q3445" s="75">
        <f>IF(P3445&gt;0,1/P3445,NA())</f>
        <v>5.0668272828355025</v>
      </c>
      <c r="R3445" s="75">
        <f>F3445-F3444</f>
        <v>0.0073885545698715305</v>
      </c>
      <c r="S3445" s="75">
        <f>0.5*(Q3444+Q3445)*R3445</f>
        <v>0.03743119726477617</v>
      </c>
      <c r="T3445" s="75">
        <f>0.5*(F3444*Q3444+F3445*Q3445)*R3445</f>
        <v>0.6524515416302141</v>
      </c>
      <c r="U3445" s="76">
        <f>U3444+S3445</f>
        <v>34.01744685261014</v>
      </c>
      <c r="V3445" s="76">
        <f>V3444+T3445</f>
        <v>377.3505957339332</v>
      </c>
    </row>
    <row r="3446" spans="1:22" ht="19" customHeight="1">
      <c r="A3446" s="68" t="s">
        <v>378</v>
      </c>
      <c r="B3446" s="74">
        <v>5</v>
      </c>
      <c r="C3446" s="68" t="s">
        <v>363</v>
      </c>
      <c r="D3446" s="68" t="s">
        <v>364</v>
      </c>
      <c r="E3446" s="75">
        <f>60*F3446*'THAM_SO_MOI'!$C$53/(2*PI()*'THAM_SO_MOI'!$C$26)</f>
        <v>1718.4734233846586</v>
      </c>
      <c r="F3446" s="75">
        <f>'HANH_TRINH'!$F$3289+('THAM_SO_MOI'!$C$14-'HANH_TRINH'!$F$3289)*156/'THAM_SO_MOI'!$C$42</f>
        <v>17.441770857002417</v>
      </c>
      <c r="G3446" s="75">
        <f>3.6*F3446</f>
        <v>62.7903750852087</v>
      </c>
      <c r="H3446" s="75">
        <f>'THAM_SO_MOI'!$D$53</f>
        <v>1.1</v>
      </c>
      <c r="I3446" s="75">
        <f>IF(F3446&gt;'THAM_SO_MOI'!$C$14,'THAM_SO_MOI'!$C$13*(1+F3446^2/1500),'THAM_SO_MOI'!$C$13)</f>
        <v>0.015</v>
      </c>
      <c r="J3446" s="75">
        <f>'THAM_SO_MOI'!$C$40*('THAM_SO_MOI'!$C$23*(E3446/'THAM_SO_MOI'!$C$22)+'THAM_SO_MOI'!$C$24*(E3446/'THAM_SO_MOI'!$C$22)^2-'THAM_SO_MOI'!$C$25*(E3446/'THAM_SO_MOI'!$C$22)^3)</f>
        <v>75.63749347196362</v>
      </c>
      <c r="K3446" s="75">
        <f>'THAM_SO_MOI'!$C$31*J3446/E3446</f>
        <v>420.38540210043914</v>
      </c>
      <c r="L3446" s="75">
        <f>K3446*'THAM_SO_MOI'!$C$53*'THAM_SO_MOI'!$C$17/'THAM_SO_MOI'!$C$26</f>
        <v>3686.7816213757114</v>
      </c>
      <c r="M3446" s="75">
        <f>'THAM_SO_MOI'!$C$15*'THAM_SO_MOI'!$C$16*F3446^2</f>
        <v>889.8299590874232</v>
      </c>
      <c r="N3446" s="75">
        <f>'THAM_SO_MOI'!$C$12*I3446</f>
        <v>1130.112</v>
      </c>
      <c r="O3446" s="75">
        <f>M3446+N3446</f>
        <v>2019.9419590874231</v>
      </c>
      <c r="P3446" s="75">
        <f>(MIN(L3446,'THAM_SO_MOI'!$C$41)-O3446)/('THAM_SO_MOI'!$C$11*H3446)</f>
        <v>0.19730583123677656</v>
      </c>
      <c r="Q3446" s="75">
        <f>IF(P3446&gt;0,1/P3446,NA())</f>
        <v>5.068273926480924</v>
      </c>
      <c r="R3446" s="75">
        <f>F3446-F3445</f>
        <v>0.0073885545698715305</v>
      </c>
      <c r="S3446" s="75">
        <f>0.5*(Q3445+Q3446)*R3446</f>
        <v>0.03744187417810268</v>
      </c>
      <c r="T3446" s="75">
        <f>0.5*(F3445*Q3445+F3446*Q3446)*R3446</f>
        <v>0.6529142889492373</v>
      </c>
      <c r="U3446" s="76">
        <f>U3445+S3446</f>
        <v>34.05488872678824</v>
      </c>
      <c r="V3446" s="76">
        <f>V3445+T3446</f>
        <v>378.00351002288244</v>
      </c>
    </row>
    <row r="3447" spans="1:22" ht="19" customHeight="1">
      <c r="A3447" s="68" t="s">
        <v>378</v>
      </c>
      <c r="B3447" s="74">
        <v>5</v>
      </c>
      <c r="C3447" s="68" t="s">
        <v>363</v>
      </c>
      <c r="D3447" s="68" t="s">
        <v>364</v>
      </c>
      <c r="E3447" s="75">
        <f>60*F3447*'THAM_SO_MOI'!$C$53/(2*PI()*'THAM_SO_MOI'!$C$26)</f>
        <v>1719.2013904454384</v>
      </c>
      <c r="F3447" s="75">
        <f>'HANH_TRINH'!$F$3289+('THAM_SO_MOI'!$C$14-'HANH_TRINH'!$F$3289)*157/'THAM_SO_MOI'!$C$42</f>
        <v>17.449159411572293</v>
      </c>
      <c r="G3447" s="75">
        <f>3.6*F3447</f>
        <v>62.81697388166025</v>
      </c>
      <c r="H3447" s="75">
        <f>'THAM_SO_MOI'!$D$53</f>
        <v>1.1</v>
      </c>
      <c r="I3447" s="75">
        <f>IF(F3447&gt;'THAM_SO_MOI'!$C$14,'THAM_SO_MOI'!$C$13*(1+F3447^2/1500),'THAM_SO_MOI'!$C$13)</f>
        <v>0.015</v>
      </c>
      <c r="J3447" s="75">
        <f>'THAM_SO_MOI'!$C$40*('THAM_SO_MOI'!$C$23*(E3447/'THAM_SO_MOI'!$C$22)+'THAM_SO_MOI'!$C$24*(E3447/'THAM_SO_MOI'!$C$22)^2-'THAM_SO_MOI'!$C$25*(E3447/'THAM_SO_MOI'!$C$22)^3)</f>
        <v>75.67522740457449</v>
      </c>
      <c r="K3447" s="75">
        <f>'THAM_SO_MOI'!$C$31*J3447/E3447</f>
        <v>420.4170294462707</v>
      </c>
      <c r="L3447" s="75">
        <f>K3447*'THAM_SO_MOI'!$C$53*'THAM_SO_MOI'!$C$17/'THAM_SO_MOI'!$C$26</f>
        <v>3687.0589933224114</v>
      </c>
      <c r="M3447" s="75">
        <f>'THAM_SO_MOI'!$C$15*'THAM_SO_MOI'!$C$16*F3447^2</f>
        <v>890.5840051986012</v>
      </c>
      <c r="N3447" s="75">
        <f>'THAM_SO_MOI'!$C$12*I3447</f>
        <v>1130.112</v>
      </c>
      <c r="O3447" s="75">
        <f>M3447+N3447</f>
        <v>2020.6960051986011</v>
      </c>
      <c r="P3447" s="75">
        <f>(MIN(L3447,'THAM_SO_MOI'!$C$41)-O3447)/('THAM_SO_MOI'!$C$11*H3447)</f>
        <v>0.19724940673814043</v>
      </c>
      <c r="Q3447" s="75">
        <f>IF(P3447&gt;0,1/P3447,NA())</f>
        <v>5.06972373979079</v>
      </c>
      <c r="R3447" s="75">
        <f>F3447-F3446</f>
        <v>0.007388554569875083</v>
      </c>
      <c r="S3447" s="75">
        <f>0.5*(Q3446+Q3447)*R3447</f>
        <v>0.0374525744932574</v>
      </c>
      <c r="T3447" s="75">
        <f>0.5*(F3446*Q3446+F3447*Q3447)*R3447</f>
        <v>0.6533776022980168</v>
      </c>
      <c r="U3447" s="76">
        <f>U3446+S3447</f>
        <v>34.0923413012815</v>
      </c>
      <c r="V3447" s="76">
        <f>V3446+T3447</f>
        <v>378.65688762518045</v>
      </c>
    </row>
    <row r="3448" spans="1:22" ht="19" customHeight="1">
      <c r="A3448" s="68" t="s">
        <v>378</v>
      </c>
      <c r="B3448" s="74">
        <v>5</v>
      </c>
      <c r="C3448" s="68" t="s">
        <v>363</v>
      </c>
      <c r="D3448" s="68" t="s">
        <v>364</v>
      </c>
      <c r="E3448" s="75">
        <f>60*F3448*'THAM_SO_MOI'!$C$53/(2*PI()*'THAM_SO_MOI'!$C$26)</f>
        <v>1719.9293575062168</v>
      </c>
      <c r="F3448" s="75">
        <f>'HANH_TRINH'!$F$3289+('THAM_SO_MOI'!$C$14-'HANH_TRINH'!$F$3289)*158/'THAM_SO_MOI'!$C$42</f>
        <v>17.456547966142164</v>
      </c>
      <c r="G3448" s="75">
        <f>3.6*F3448</f>
        <v>62.84357267811179</v>
      </c>
      <c r="H3448" s="75">
        <f>'THAM_SO_MOI'!$D$53</f>
        <v>1.1</v>
      </c>
      <c r="I3448" s="75">
        <f>IF(F3448&gt;'THAM_SO_MOI'!$C$14,'THAM_SO_MOI'!$C$13*(1+F3448^2/1500),'THAM_SO_MOI'!$C$13)</f>
        <v>0.015</v>
      </c>
      <c r="J3448" s="75">
        <f>'THAM_SO_MOI'!$C$40*('THAM_SO_MOI'!$C$23*(E3448/'THAM_SO_MOI'!$C$22)+'THAM_SO_MOI'!$C$24*(E3448/'THAM_SO_MOI'!$C$22)^2-'THAM_SO_MOI'!$C$25*(E3448/'THAM_SO_MOI'!$C$22)^3)</f>
        <v>75.7129569002956</v>
      </c>
      <c r="K3448" s="75">
        <f>'THAM_SO_MOI'!$C$31*J3448/E3448</f>
        <v>420.4486053803966</v>
      </c>
      <c r="L3448" s="75">
        <f>K3448*'THAM_SO_MOI'!$C$53*'THAM_SO_MOI'!$C$17/'THAM_SO_MOI'!$C$26</f>
        <v>3687.335914388251</v>
      </c>
      <c r="M3448" s="75">
        <f>'THAM_SO_MOI'!$C$15*'THAM_SO_MOI'!$C$16*F3448^2</f>
        <v>891.3383706655998</v>
      </c>
      <c r="N3448" s="75">
        <f>'THAM_SO_MOI'!$C$12*I3448</f>
        <v>1130.112</v>
      </c>
      <c r="O3448" s="75">
        <f>M3448+N3448</f>
        <v>2021.4503706655998</v>
      </c>
      <c r="P3448" s="75">
        <f>(MIN(L3448,'THAM_SO_MOI'!$C$41)-O3448)/('THAM_SO_MOI'!$C$11*H3448)</f>
        <v>0.19719289106565474</v>
      </c>
      <c r="Q3448" s="75">
        <f>IF(P3448&gt;0,1/P3448,NA())</f>
        <v>5.0711767274970025</v>
      </c>
      <c r="R3448" s="75">
        <f>F3448-F3447</f>
        <v>0.0073885545698715305</v>
      </c>
      <c r="S3448" s="75">
        <f>0.5*(Q3447+Q3448)*R3448</f>
        <v>0.03746329824509578</v>
      </c>
      <c r="T3448" s="75">
        <f>0.5*(F3447*Q3447+F3448*Q3448)*R3448</f>
        <v>0.6538414828035964</v>
      </c>
      <c r="U3448" s="76">
        <f>U3447+S3448</f>
        <v>34.129804599526594</v>
      </c>
      <c r="V3448" s="76">
        <f>V3447+T3448</f>
        <v>379.31072910798406</v>
      </c>
    </row>
    <row r="3449" spans="1:22" ht="19" customHeight="1">
      <c r="A3449" s="68" t="s">
        <v>378</v>
      </c>
      <c r="B3449" s="74">
        <v>5</v>
      </c>
      <c r="C3449" s="68" t="s">
        <v>363</v>
      </c>
      <c r="D3449" s="68" t="s">
        <v>364</v>
      </c>
      <c r="E3449" s="75">
        <f>60*F3449*'THAM_SO_MOI'!$C$53/(2*PI()*'THAM_SO_MOI'!$C$26)</f>
        <v>1720.657324566996</v>
      </c>
      <c r="F3449" s="75">
        <f>'HANH_TRINH'!$F$3289+('THAM_SO_MOI'!$C$14-'HANH_TRINH'!$F$3289)*159/'THAM_SO_MOI'!$C$42</f>
        <v>17.463936520712036</v>
      </c>
      <c r="G3449" s="75">
        <f>3.6*F3449</f>
        <v>62.87017147456333</v>
      </c>
      <c r="H3449" s="75">
        <f>'THAM_SO_MOI'!$D$53</f>
        <v>1.1</v>
      </c>
      <c r="I3449" s="75">
        <f>IF(F3449&gt;'THAM_SO_MOI'!$C$14,'THAM_SO_MOI'!$C$13*(1+F3449^2/1500),'THAM_SO_MOI'!$C$13)</f>
        <v>0.015</v>
      </c>
      <c r="J3449" s="75">
        <f>'THAM_SO_MOI'!$C$40*('THAM_SO_MOI'!$C$23*(E3449/'THAM_SO_MOI'!$C$22)+'THAM_SO_MOI'!$C$24*(E3449/'THAM_SO_MOI'!$C$22)^2-'THAM_SO_MOI'!$C$25*(E3449/'THAM_SO_MOI'!$C$22)^3)</f>
        <v>75.75068194737158</v>
      </c>
      <c r="K3449" s="75">
        <f>'THAM_SO_MOI'!$C$31*J3449/E3449</f>
        <v>420.48012990281705</v>
      </c>
      <c r="L3449" s="75">
        <f>K3449*'THAM_SO_MOI'!$C$53*'THAM_SO_MOI'!$C$17/'THAM_SO_MOI'!$C$26</f>
        <v>3687.612384573233</v>
      </c>
      <c r="M3449" s="75">
        <f>'THAM_SO_MOI'!$C$15*'THAM_SO_MOI'!$C$16*F3449^2</f>
        <v>892.0930554884194</v>
      </c>
      <c r="N3449" s="75">
        <f>'THAM_SO_MOI'!$C$12*I3449</f>
        <v>1130.112</v>
      </c>
      <c r="O3449" s="75">
        <f>M3449+N3449</f>
        <v>2022.2050554884195</v>
      </c>
      <c r="P3449" s="75">
        <f>(MIN(L3449,'THAM_SO_MOI'!$C$41)-O3449)/('THAM_SO_MOI'!$C$11*H3449)</f>
        <v>0.1971362842193198</v>
      </c>
      <c r="Q3449" s="75">
        <f>IF(P3449&gt;0,1/P3449,NA())</f>
        <v>5.072632894345675</v>
      </c>
      <c r="R3449" s="75">
        <f>F3449-F3448</f>
        <v>0.0073885545698715305</v>
      </c>
      <c r="S3449" s="75">
        <f>0.5*(Q3448+Q3449)*R3449</f>
        <v>0.03747404546868626</v>
      </c>
      <c r="T3449" s="75">
        <f>0.5*(F3448*Q3448+F3449*Q3449)*R3449</f>
        <v>0.6543059315977696</v>
      </c>
      <c r="U3449" s="76">
        <f>U3448+S3449</f>
        <v>34.16727864499528</v>
      </c>
      <c r="V3449" s="76">
        <f>V3448+T3449</f>
        <v>379.96503503958184</v>
      </c>
    </row>
    <row r="3450" spans="1:22" ht="19" customHeight="1">
      <c r="A3450" s="68" t="s">
        <v>378</v>
      </c>
      <c r="B3450" s="74">
        <v>5</v>
      </c>
      <c r="C3450" s="68" t="s">
        <v>363</v>
      </c>
      <c r="D3450" s="68" t="s">
        <v>364</v>
      </c>
      <c r="E3450" s="75">
        <f>60*F3450*'THAM_SO_MOI'!$C$53/(2*PI()*'THAM_SO_MOI'!$C$26)</f>
        <v>1721.385291627775</v>
      </c>
      <c r="F3450" s="75">
        <f>'HANH_TRINH'!$F$3289+('THAM_SO_MOI'!$C$14-'HANH_TRINH'!$F$3289)*160/'THAM_SO_MOI'!$C$42</f>
        <v>17.471325075281907</v>
      </c>
      <c r="G3450" s="75">
        <f>3.6*F3450</f>
        <v>62.896770271014866</v>
      </c>
      <c r="H3450" s="75">
        <f>'THAM_SO_MOI'!$D$53</f>
        <v>1.1</v>
      </c>
      <c r="I3450" s="75">
        <f>IF(F3450&gt;'THAM_SO_MOI'!$C$14,'THAM_SO_MOI'!$C$13*(1+F3450^2/1500),'THAM_SO_MOI'!$C$13)</f>
        <v>0.015</v>
      </c>
      <c r="J3450" s="75">
        <f>'THAM_SO_MOI'!$C$40*('THAM_SO_MOI'!$C$23*(E3450/'THAM_SO_MOI'!$C$22)+'THAM_SO_MOI'!$C$24*(E3450/'THAM_SO_MOI'!$C$22)^2-'THAM_SO_MOI'!$C$25*(E3450/'THAM_SO_MOI'!$C$22)^3)</f>
        <v>75.78840253404687</v>
      </c>
      <c r="K3450" s="75">
        <f>'THAM_SO_MOI'!$C$31*J3450/E3450</f>
        <v>420.51160301353207</v>
      </c>
      <c r="L3450" s="75">
        <f>K3450*'THAM_SO_MOI'!$C$53*'THAM_SO_MOI'!$C$17/'THAM_SO_MOI'!$C$26</f>
        <v>3687.8884038773567</v>
      </c>
      <c r="M3450" s="75">
        <f>'THAM_SO_MOI'!$C$15*'THAM_SO_MOI'!$C$16*F3450^2</f>
        <v>892.8480596670599</v>
      </c>
      <c r="N3450" s="75">
        <f>'THAM_SO_MOI'!$C$12*I3450</f>
        <v>1130.112</v>
      </c>
      <c r="O3450" s="75">
        <f>M3450+N3450</f>
        <v>2022.96005966706</v>
      </c>
      <c r="P3450" s="75">
        <f>(MIN(L3450,'THAM_SO_MOI'!$C$41)-O3450)/('THAM_SO_MOI'!$C$11*H3450)</f>
        <v>0.19707958619913551</v>
      </c>
      <c r="Q3450" s="75">
        <f>IF(P3450&gt;0,1/P3450,NA())</f>
        <v>5.074092245097207</v>
      </c>
      <c r="R3450" s="75">
        <f>F3450-F3449</f>
        <v>0.0073885545698715305</v>
      </c>
      <c r="S3450" s="75">
        <f>0.5*(Q3449+Q3450)*R3450</f>
        <v>0.03748481619913052</v>
      </c>
      <c r="T3450" s="75">
        <f>0.5*(F3449*Q3449+F3450*Q3450)*R3450</f>
        <v>0.6547709498139469</v>
      </c>
      <c r="U3450" s="76">
        <f>U3449+S3450</f>
        <v>34.20476346119441</v>
      </c>
      <c r="V3450" s="76">
        <f>V3449+T3450</f>
        <v>380.6198059893958</v>
      </c>
    </row>
    <row r="3451" spans="1:22" ht="19" customHeight="1">
      <c r="A3451" s="68" t="s">
        <v>378</v>
      </c>
      <c r="B3451" s="74">
        <v>5</v>
      </c>
      <c r="C3451" s="68" t="s">
        <v>363</v>
      </c>
      <c r="D3451" s="68" t="s">
        <v>364</v>
      </c>
      <c r="E3451" s="75">
        <f>60*F3451*'THAM_SO_MOI'!$C$53/(2*PI()*'THAM_SO_MOI'!$C$26)</f>
        <v>1722.113258688554</v>
      </c>
      <c r="F3451" s="75">
        <f>'HANH_TRINH'!$F$3289+('THAM_SO_MOI'!$C$14-'HANH_TRINH'!$F$3289)*161/'THAM_SO_MOI'!$C$42</f>
        <v>17.47871362985178</v>
      </c>
      <c r="G3451" s="75">
        <f>3.6*F3451</f>
        <v>62.9233690674664</v>
      </c>
      <c r="H3451" s="75">
        <f>'THAM_SO_MOI'!$D$53</f>
        <v>1.1</v>
      </c>
      <c r="I3451" s="75">
        <f>IF(F3451&gt;'THAM_SO_MOI'!$C$14,'THAM_SO_MOI'!$C$13*(1+F3451^2/1500),'THAM_SO_MOI'!$C$13)</f>
        <v>0.015</v>
      </c>
      <c r="J3451" s="75">
        <f>'THAM_SO_MOI'!$C$40*('THAM_SO_MOI'!$C$23*(E3451/'THAM_SO_MOI'!$C$22)+'THAM_SO_MOI'!$C$24*(E3451/'THAM_SO_MOI'!$C$22)^2-'THAM_SO_MOI'!$C$25*(E3451/'THAM_SO_MOI'!$C$22)^3)</f>
        <v>75.826118648566</v>
      </c>
      <c r="K3451" s="75">
        <f>'THAM_SO_MOI'!$C$31*J3451/E3451</f>
        <v>420.54302471254186</v>
      </c>
      <c r="L3451" s="75">
        <f>K3451*'THAM_SO_MOI'!$C$53*'THAM_SO_MOI'!$C$17/'THAM_SO_MOI'!$C$26</f>
        <v>3688.1639723006247</v>
      </c>
      <c r="M3451" s="75">
        <f>'THAM_SO_MOI'!$C$15*'THAM_SO_MOI'!$C$16*F3451^2</f>
        <v>893.6033832015216</v>
      </c>
      <c r="N3451" s="75">
        <f>'THAM_SO_MOI'!$C$12*I3451</f>
        <v>1130.112</v>
      </c>
      <c r="O3451" s="75">
        <f>M3451+N3451</f>
        <v>2023.7153832015217</v>
      </c>
      <c r="P3451" s="75">
        <f>(MIN(L3451,'THAM_SO_MOI'!$C$41)-O3451)/('THAM_SO_MOI'!$C$11*H3451)</f>
        <v>0.1970227970051021</v>
      </c>
      <c r="Q3451" s="75">
        <f>IF(P3451&gt;0,1/P3451,NA())</f>
        <v>5.0755547845263</v>
      </c>
      <c r="R3451" s="75">
        <f>F3451-F3450</f>
        <v>0.0073885545698715305</v>
      </c>
      <c r="S3451" s="75">
        <f>0.5*(Q3450+Q3451)*R3451</f>
        <v>0.03749561047165388</v>
      </c>
      <c r="T3451" s="75">
        <f>0.5*(F3450*Q3450+F3451*Q3451)*R3451</f>
        <v>0.6552365385887364</v>
      </c>
      <c r="U3451" s="76">
        <f>U3450+S3451</f>
        <v>34.24225907166606</v>
      </c>
      <c r="V3451" s="76">
        <f>V3450+T3451</f>
        <v>381.2750425279845</v>
      </c>
    </row>
    <row r="3452" spans="1:22" ht="19" customHeight="1">
      <c r="A3452" s="68" t="s">
        <v>378</v>
      </c>
      <c r="B3452" s="74">
        <v>5</v>
      </c>
      <c r="C3452" s="68" t="s">
        <v>363</v>
      </c>
      <c r="D3452" s="68" t="s">
        <v>364</v>
      </c>
      <c r="E3452" s="75">
        <f>60*F3452*'THAM_SO_MOI'!$C$53/(2*PI()*'THAM_SO_MOI'!$C$26)</f>
        <v>1722.8412257493324</v>
      </c>
      <c r="F3452" s="75">
        <f>'HANH_TRINH'!$F$3289+('THAM_SO_MOI'!$C$14-'HANH_TRINH'!$F$3289)*162/'THAM_SO_MOI'!$C$42</f>
        <v>17.48610218442165</v>
      </c>
      <c r="G3452" s="75">
        <f>3.6*F3452</f>
        <v>62.94996786391794</v>
      </c>
      <c r="H3452" s="75">
        <f>'THAM_SO_MOI'!$D$53</f>
        <v>1.1</v>
      </c>
      <c r="I3452" s="75">
        <f>IF(F3452&gt;'THAM_SO_MOI'!$C$14,'THAM_SO_MOI'!$C$13*(1+F3452^2/1500),'THAM_SO_MOI'!$C$13)</f>
        <v>0.015</v>
      </c>
      <c r="J3452" s="75">
        <f>'THAM_SO_MOI'!$C$40*('THAM_SO_MOI'!$C$23*(E3452/'THAM_SO_MOI'!$C$22)+'THAM_SO_MOI'!$C$24*(E3452/'THAM_SO_MOI'!$C$22)^2-'THAM_SO_MOI'!$C$25*(E3452/'THAM_SO_MOI'!$C$22)^3)</f>
        <v>75.86383027917336</v>
      </c>
      <c r="K3452" s="75">
        <f>'THAM_SO_MOI'!$C$31*J3452/E3452</f>
        <v>420.5743949998461</v>
      </c>
      <c r="L3452" s="75">
        <f>K3452*'THAM_SO_MOI'!$C$53*'THAM_SO_MOI'!$C$17/'THAM_SO_MOI'!$C$26</f>
        <v>3688.4390898430343</v>
      </c>
      <c r="M3452" s="75">
        <f>'THAM_SO_MOI'!$C$15*'THAM_SO_MOI'!$C$16*F3452^2</f>
        <v>894.3590260918041</v>
      </c>
      <c r="N3452" s="75">
        <f>'THAM_SO_MOI'!$C$12*I3452</f>
        <v>1130.112</v>
      </c>
      <c r="O3452" s="75">
        <f>M3452+N3452</f>
        <v>2024.471026091804</v>
      </c>
      <c r="P3452" s="75">
        <f>(MIN(L3452,'THAM_SO_MOI'!$C$41)-O3452)/('THAM_SO_MOI'!$C$11*H3452)</f>
        <v>0.1969659166372195</v>
      </c>
      <c r="Q3452" s="75">
        <f>IF(P3452&gt;0,1/P3452,NA())</f>
        <v>5.077020517422027</v>
      </c>
      <c r="R3452" s="75">
        <f>F3452-F3451</f>
        <v>0.0073885545698715305</v>
      </c>
      <c r="S3452" s="75">
        <f>0.5*(Q3451+Q3452)*R3452</f>
        <v>0.03750642832158758</v>
      </c>
      <c r="T3452" s="75">
        <f>0.5*(F3451*Q3451+F3452*Q3452)*R3452</f>
        <v>0.6557026990616394</v>
      </c>
      <c r="U3452" s="76">
        <f>U3451+S3452</f>
        <v>34.27976549998765</v>
      </c>
      <c r="V3452" s="76">
        <f>V3451+T3452</f>
        <v>381.93074522704615</v>
      </c>
    </row>
    <row r="3453" spans="1:22" ht="19" customHeight="1">
      <c r="A3453" s="68" t="s">
        <v>378</v>
      </c>
      <c r="B3453" s="74">
        <v>5</v>
      </c>
      <c r="C3453" s="68" t="s">
        <v>363</v>
      </c>
      <c r="D3453" s="68" t="s">
        <v>364</v>
      </c>
      <c r="E3453" s="75">
        <f>60*F3453*'THAM_SO_MOI'!$C$53/(2*PI()*'THAM_SO_MOI'!$C$26)</f>
        <v>1723.5691928101116</v>
      </c>
      <c r="F3453" s="75">
        <f>'HANH_TRINH'!$F$3289+('THAM_SO_MOI'!$C$14-'HANH_TRINH'!$F$3289)*163/'THAM_SO_MOI'!$C$42</f>
        <v>17.49349073899152</v>
      </c>
      <c r="G3453" s="75">
        <f>3.6*F3453</f>
        <v>62.97656666036948</v>
      </c>
      <c r="H3453" s="75">
        <f>'THAM_SO_MOI'!$D$53</f>
        <v>1.1</v>
      </c>
      <c r="I3453" s="75">
        <f>IF(F3453&gt;'THAM_SO_MOI'!$C$14,'THAM_SO_MOI'!$C$13*(1+F3453^2/1500),'THAM_SO_MOI'!$C$13)</f>
        <v>0.015</v>
      </c>
      <c r="J3453" s="75">
        <f>'THAM_SO_MOI'!$C$40*('THAM_SO_MOI'!$C$23*(E3453/'THAM_SO_MOI'!$C$22)+'THAM_SO_MOI'!$C$24*(E3453/'THAM_SO_MOI'!$C$22)^2-'THAM_SO_MOI'!$C$25*(E3453/'THAM_SO_MOI'!$C$22)^3)</f>
        <v>75.90153741411353</v>
      </c>
      <c r="K3453" s="75">
        <f>'THAM_SO_MOI'!$C$31*J3453/E3453</f>
        <v>420.60571387544485</v>
      </c>
      <c r="L3453" s="75">
        <f>K3453*'THAM_SO_MOI'!$C$53*'THAM_SO_MOI'!$C$17/'THAM_SO_MOI'!$C$26</f>
        <v>3688.713756504585</v>
      </c>
      <c r="M3453" s="75">
        <f>'THAM_SO_MOI'!$C$15*'THAM_SO_MOI'!$C$16*F3453^2</f>
        <v>895.1149883379079</v>
      </c>
      <c r="N3453" s="75">
        <f>'THAM_SO_MOI'!$C$12*I3453</f>
        <v>1130.112</v>
      </c>
      <c r="O3453" s="75">
        <f>M3453+N3453</f>
        <v>2025.226988337908</v>
      </c>
      <c r="P3453" s="75">
        <f>(MIN(L3453,'THAM_SO_MOI'!$C$41)-O3453)/('THAM_SO_MOI'!$C$11*H3453)</f>
        <v>0.19690894509548731</v>
      </c>
      <c r="Q3453" s="75">
        <f>IF(P3453&gt;0,1/P3453,NA())</f>
        <v>5.0784894485878675</v>
      </c>
      <c r="R3453" s="75">
        <f>F3453-F3452</f>
        <v>0.0073885545698715305</v>
      </c>
      <c r="S3453" s="75">
        <f>0.5*(Q3452+Q3453)*R3453</f>
        <v>0.03751726978436914</v>
      </c>
      <c r="T3453" s="75">
        <f>0.5*(F3452*Q3452+F3453*Q3453)*R3453</f>
        <v>0.6561694323750601</v>
      </c>
      <c r="U3453" s="76">
        <f>U3452+S3453</f>
        <v>34.317282769772014</v>
      </c>
      <c r="V3453" s="76">
        <f>V3452+T3453</f>
        <v>382.5869146594212</v>
      </c>
    </row>
    <row r="3454" spans="1:22" ht="19" customHeight="1">
      <c r="A3454" s="68" t="s">
        <v>378</v>
      </c>
      <c r="B3454" s="74">
        <v>5</v>
      </c>
      <c r="C3454" s="68" t="s">
        <v>363</v>
      </c>
      <c r="D3454" s="68" t="s">
        <v>364</v>
      </c>
      <c r="E3454" s="75">
        <f>60*F3454*'THAM_SO_MOI'!$C$53/(2*PI()*'THAM_SO_MOI'!$C$26)</f>
        <v>1724.297159870891</v>
      </c>
      <c r="F3454" s="75">
        <f>'HANH_TRINH'!$F$3289+('THAM_SO_MOI'!$C$14-'HANH_TRINH'!$F$3289)*164/'THAM_SO_MOI'!$C$42</f>
        <v>17.500879293561397</v>
      </c>
      <c r="G3454" s="75">
        <f>3.6*F3454</f>
        <v>63.00316545682103</v>
      </c>
      <c r="H3454" s="75">
        <f>'THAM_SO_MOI'!$D$53</f>
        <v>1.1</v>
      </c>
      <c r="I3454" s="75">
        <f>IF(F3454&gt;'THAM_SO_MOI'!$C$14,'THAM_SO_MOI'!$C$13*(1+F3454^2/1500),'THAM_SO_MOI'!$C$13)</f>
        <v>0.015</v>
      </c>
      <c r="J3454" s="75">
        <f>'THAM_SO_MOI'!$C$40*('THAM_SO_MOI'!$C$23*(E3454/'THAM_SO_MOI'!$C$22)+'THAM_SO_MOI'!$C$24*(E3454/'THAM_SO_MOI'!$C$22)^2-'THAM_SO_MOI'!$C$25*(E3454/'THAM_SO_MOI'!$C$22)^3)</f>
        <v>75.93924004163102</v>
      </c>
      <c r="K3454" s="75">
        <f>'THAM_SO_MOI'!$C$31*J3454/E3454</f>
        <v>420.6369813393385</v>
      </c>
      <c r="L3454" s="75">
        <f>K3454*'THAM_SO_MOI'!$C$53*'THAM_SO_MOI'!$C$17/'THAM_SO_MOI'!$C$26</f>
        <v>3688.98797228528</v>
      </c>
      <c r="M3454" s="75">
        <f>'THAM_SO_MOI'!$C$15*'THAM_SO_MOI'!$C$16*F3454^2</f>
        <v>895.8712699398328</v>
      </c>
      <c r="N3454" s="75">
        <f>'THAM_SO_MOI'!$C$12*I3454</f>
        <v>1130.112</v>
      </c>
      <c r="O3454" s="75">
        <f>M3454+N3454</f>
        <v>2025.983269939833</v>
      </c>
      <c r="P3454" s="75">
        <f>(MIN(L3454,'THAM_SO_MOI'!$C$41)-O3454)/('THAM_SO_MOI'!$C$11*H3454)</f>
        <v>0.19685188237990614</v>
      </c>
      <c r="Q3454" s="75">
        <f>IF(P3454&gt;0,1/P3454,NA())</f>
        <v>5.07996158284172</v>
      </c>
      <c r="R3454" s="75">
        <f>F3454-F3453</f>
        <v>0.007388554569875083</v>
      </c>
      <c r="S3454" s="75">
        <f>0.5*(Q3453+Q3454)*R3454</f>
        <v>0.037528134895560665</v>
      </c>
      <c r="T3454" s="75">
        <f>0.5*(F3453*Q3453+F3454*Q3454)*R3454</f>
        <v>0.6566367396746299</v>
      </c>
      <c r="U3454" s="76">
        <f>U3453+S3454</f>
        <v>34.35481090466757</v>
      </c>
      <c r="V3454" s="76">
        <f>V3453+T3454</f>
        <v>383.24355139909585</v>
      </c>
    </row>
    <row r="3455" spans="1:22" ht="19" customHeight="1">
      <c r="A3455" s="68" t="s">
        <v>378</v>
      </c>
      <c r="B3455" s="74">
        <v>5</v>
      </c>
      <c r="C3455" s="68" t="s">
        <v>363</v>
      </c>
      <c r="D3455" s="68" t="s">
        <v>364</v>
      </c>
      <c r="E3455" s="75">
        <f>60*F3455*'THAM_SO_MOI'!$C$53/(2*PI()*'THAM_SO_MOI'!$C$26)</f>
        <v>1725.02512693167</v>
      </c>
      <c r="F3455" s="75">
        <f>'HANH_TRINH'!$F$3289+('THAM_SO_MOI'!$C$14-'HANH_TRINH'!$F$3289)*165/'THAM_SO_MOI'!$C$42</f>
        <v>17.50826784813127</v>
      </c>
      <c r="G3455" s="75">
        <f>3.6*F3455</f>
        <v>63.02976425327257</v>
      </c>
      <c r="H3455" s="75">
        <f>'THAM_SO_MOI'!$D$53</f>
        <v>1.1</v>
      </c>
      <c r="I3455" s="75">
        <f>IF(F3455&gt;'THAM_SO_MOI'!$C$14,'THAM_SO_MOI'!$C$13*(1+F3455^2/1500),'THAM_SO_MOI'!$C$13)</f>
        <v>0.015</v>
      </c>
      <c r="J3455" s="75">
        <f>'THAM_SO_MOI'!$C$40*('THAM_SO_MOI'!$C$23*(E3455/'THAM_SO_MOI'!$C$22)+'THAM_SO_MOI'!$C$24*(E3455/'THAM_SO_MOI'!$C$22)^2-'THAM_SO_MOI'!$C$25*(E3455/'THAM_SO_MOI'!$C$22)^3)</f>
        <v>75.97693814997018</v>
      </c>
      <c r="K3455" s="75">
        <f>'THAM_SO_MOI'!$C$31*J3455/E3455</f>
        <v>420.6681973915263</v>
      </c>
      <c r="L3455" s="75">
        <f>K3455*'THAM_SO_MOI'!$C$53*'THAM_SO_MOI'!$C$17/'THAM_SO_MOI'!$C$26</f>
        <v>3689.261737185115</v>
      </c>
      <c r="M3455" s="75">
        <f>'THAM_SO_MOI'!$C$15*'THAM_SO_MOI'!$C$16*F3455^2</f>
        <v>896.6278708975783</v>
      </c>
      <c r="N3455" s="75">
        <f>'THAM_SO_MOI'!$C$12*I3455</f>
        <v>1130.112</v>
      </c>
      <c r="O3455" s="75">
        <f>M3455+N3455</f>
        <v>2026.7398708975784</v>
      </c>
      <c r="P3455" s="75">
        <f>(MIN(L3455,'THAM_SO_MOI'!$C$41)-O3455)/('THAM_SO_MOI'!$C$11*H3455)</f>
        <v>0.19679472849047547</v>
      </c>
      <c r="Q3455" s="75">
        <f>IF(P3455&gt;0,1/P3455,NA())</f>
        <v>5.081436925015999</v>
      </c>
      <c r="R3455" s="75">
        <f>F3455-F3454</f>
        <v>0.0073885545698715305</v>
      </c>
      <c r="S3455" s="75">
        <f>0.5*(Q3454+Q3455)*R3455</f>
        <v>0.03753902369075895</v>
      </c>
      <c r="T3455" s="75">
        <f>0.5*(F3454*Q3454+F3455*Q3455)*R3455</f>
        <v>0.6571046221076382</v>
      </c>
      <c r="U3455" s="76">
        <f>U3454+S3455</f>
        <v>34.392349928358335</v>
      </c>
      <c r="V3455" s="76">
        <f>V3454+T3455</f>
        <v>383.9006560212035</v>
      </c>
    </row>
    <row r="3456" spans="1:22" ht="19" customHeight="1">
      <c r="A3456" s="68" t="s">
        <v>378</v>
      </c>
      <c r="B3456" s="74">
        <v>5</v>
      </c>
      <c r="C3456" s="68" t="s">
        <v>363</v>
      </c>
      <c r="D3456" s="68" t="s">
        <v>364</v>
      </c>
      <c r="E3456" s="75">
        <f>60*F3456*'THAM_SO_MOI'!$C$53/(2*PI()*'THAM_SO_MOI'!$C$26)</f>
        <v>1725.7530939924488</v>
      </c>
      <c r="F3456" s="75">
        <f>'HANH_TRINH'!$F$3289+('THAM_SO_MOI'!$C$14-'HANH_TRINH'!$F$3289)*166/'THAM_SO_MOI'!$C$42</f>
        <v>17.51565640270114</v>
      </c>
      <c r="G3456" s="75">
        <f>3.6*F3456</f>
        <v>63.056363049724105</v>
      </c>
      <c r="H3456" s="75">
        <f>'THAM_SO_MOI'!$D$53</f>
        <v>1.1</v>
      </c>
      <c r="I3456" s="75">
        <f>IF(F3456&gt;'THAM_SO_MOI'!$C$14,'THAM_SO_MOI'!$C$13*(1+F3456^2/1500),'THAM_SO_MOI'!$C$13)</f>
        <v>0.015</v>
      </c>
      <c r="J3456" s="75">
        <f>'THAM_SO_MOI'!$C$40*('THAM_SO_MOI'!$C$23*(E3456/'THAM_SO_MOI'!$C$22)+'THAM_SO_MOI'!$C$24*(E3456/'THAM_SO_MOI'!$C$22)^2-'THAM_SO_MOI'!$C$25*(E3456/'THAM_SO_MOI'!$C$22)^3)</f>
        <v>76.0146317273756</v>
      </c>
      <c r="K3456" s="75">
        <f>'THAM_SO_MOI'!$C$31*J3456/E3456</f>
        <v>420.699362032009</v>
      </c>
      <c r="L3456" s="75">
        <f>K3456*'THAM_SO_MOI'!$C$53*'THAM_SO_MOI'!$C$17/'THAM_SO_MOI'!$C$26</f>
        <v>3689.5350512040945</v>
      </c>
      <c r="M3456" s="75">
        <f>'THAM_SO_MOI'!$C$15*'THAM_SO_MOI'!$C$16*F3456^2</f>
        <v>897.3847912111451</v>
      </c>
      <c r="N3456" s="75">
        <f>'THAM_SO_MOI'!$C$12*I3456</f>
        <v>1130.112</v>
      </c>
      <c r="O3456" s="75">
        <f>M3456+N3456</f>
        <v>2027.4967912111451</v>
      </c>
      <c r="P3456" s="75">
        <f>(MIN(L3456,'THAM_SO_MOI'!$C$41)-O3456)/('THAM_SO_MOI'!$C$11*H3456)</f>
        <v>0.19673748342719571</v>
      </c>
      <c r="Q3456" s="75">
        <f>IF(P3456&gt;0,1/P3456,NA())</f>
        <v>5.082915479957626</v>
      </c>
      <c r="R3456" s="75">
        <f>F3456-F3455</f>
        <v>0.0073885545698715305</v>
      </c>
      <c r="S3456" s="75">
        <f>0.5*(Q3455+Q3456)*R3456</f>
        <v>0.03754993620577628</v>
      </c>
      <c r="T3456" s="75">
        <f>0.5*(F3455*Q3455+F3456*Q3456)*R3456</f>
        <v>0.6575730808262005</v>
      </c>
      <c r="U3456" s="76">
        <f>U3455+S3456</f>
        <v>34.42989986456411</v>
      </c>
      <c r="V3456" s="76">
        <f>V3455+T3456</f>
        <v>384.55822910202966</v>
      </c>
    </row>
    <row r="3457" spans="1:22" ht="19" customHeight="1">
      <c r="A3457" s="68" t="s">
        <v>378</v>
      </c>
      <c r="B3457" s="74">
        <v>5</v>
      </c>
      <c r="C3457" s="68" t="s">
        <v>363</v>
      </c>
      <c r="D3457" s="68" t="s">
        <v>364</v>
      </c>
      <c r="E3457" s="75">
        <f>60*F3457*'THAM_SO_MOI'!$C$53/(2*PI()*'THAM_SO_MOI'!$C$26)</f>
        <v>1726.4810610532277</v>
      </c>
      <c r="F3457" s="75">
        <f>'HANH_TRINH'!$F$3289+('THAM_SO_MOI'!$C$14-'HANH_TRINH'!$F$3289)*167/'THAM_SO_MOI'!$C$42</f>
        <v>17.52304495727101</v>
      </c>
      <c r="G3457" s="75">
        <f>3.6*F3457</f>
        <v>63.08296184617564</v>
      </c>
      <c r="H3457" s="75">
        <f>'THAM_SO_MOI'!$D$53</f>
        <v>1.1</v>
      </c>
      <c r="I3457" s="75">
        <f>IF(F3457&gt;'THAM_SO_MOI'!$C$14,'THAM_SO_MOI'!$C$13*(1+F3457^2/1500),'THAM_SO_MOI'!$C$13)</f>
        <v>0.015</v>
      </c>
      <c r="J3457" s="75">
        <f>'THAM_SO_MOI'!$C$40*('THAM_SO_MOI'!$C$23*(E3457/'THAM_SO_MOI'!$C$22)+'THAM_SO_MOI'!$C$24*(E3457/'THAM_SO_MOI'!$C$22)^2-'THAM_SO_MOI'!$C$25*(E3457/'THAM_SO_MOI'!$C$22)^3)</f>
        <v>76.05232076209168</v>
      </c>
      <c r="K3457" s="75">
        <f>'THAM_SO_MOI'!$C$31*J3457/E3457</f>
        <v>420.7304752607859</v>
      </c>
      <c r="L3457" s="75">
        <f>K3457*'THAM_SO_MOI'!$C$53*'THAM_SO_MOI'!$C$17/'THAM_SO_MOI'!$C$26</f>
        <v>3689.807914342213</v>
      </c>
      <c r="M3457" s="75">
        <f>'THAM_SO_MOI'!$C$15*'THAM_SO_MOI'!$C$16*F3457^2</f>
        <v>898.1420308805325</v>
      </c>
      <c r="N3457" s="75">
        <f>'THAM_SO_MOI'!$C$12*I3457</f>
        <v>1130.112</v>
      </c>
      <c r="O3457" s="75">
        <f>M3457+N3457</f>
        <v>2028.2540308805326</v>
      </c>
      <c r="P3457" s="75">
        <f>(MIN(L3457,'THAM_SO_MOI'!$C$41)-O3457)/('THAM_SO_MOI'!$C$11*H3457)</f>
        <v>0.1966801471900663</v>
      </c>
      <c r="Q3457" s="75">
        <f>IF(P3457&gt;0,1/P3457,NA())</f>
        <v>5.084397252528124</v>
      </c>
      <c r="R3457" s="75">
        <f>F3457-F3456</f>
        <v>0.0073885545698715305</v>
      </c>
      <c r="S3457" s="75">
        <f>0.5*(Q3456+Q3457)*R3457</f>
        <v>0.0375608724764603</v>
      </c>
      <c r="T3457" s="75">
        <f>0.5*(F3456*Q3456+F3457*Q3457)*R3457</f>
        <v>0.6580421169841096</v>
      </c>
      <c r="U3457" s="76">
        <f>U3456+S3457</f>
        <v>34.467460737040575</v>
      </c>
      <c r="V3457" s="76">
        <f>V3456+T3457</f>
        <v>385.2162712190138</v>
      </c>
    </row>
    <row r="3458" spans="1:22" ht="19" customHeight="1">
      <c r="A3458" s="68" t="s">
        <v>378</v>
      </c>
      <c r="B3458" s="74">
        <v>5</v>
      </c>
      <c r="C3458" s="68" t="s">
        <v>363</v>
      </c>
      <c r="D3458" s="68" t="s">
        <v>364</v>
      </c>
      <c r="E3458" s="75">
        <f>60*F3458*'THAM_SO_MOI'!$C$53/(2*PI()*'THAM_SO_MOI'!$C$26)</f>
        <v>1727.2090281140065</v>
      </c>
      <c r="F3458" s="75">
        <f>'HANH_TRINH'!$F$3289+('THAM_SO_MOI'!$C$14-'HANH_TRINH'!$F$3289)*168/'THAM_SO_MOI'!$C$42</f>
        <v>17.530433511840883</v>
      </c>
      <c r="G3458" s="75">
        <f>3.6*F3458</f>
        <v>63.10956064262718</v>
      </c>
      <c r="H3458" s="75">
        <f>'THAM_SO_MOI'!$D$53</f>
        <v>1.1</v>
      </c>
      <c r="I3458" s="75">
        <f>IF(F3458&gt;'THAM_SO_MOI'!$C$14,'THAM_SO_MOI'!$C$13*(1+F3458^2/1500),'THAM_SO_MOI'!$C$13)</f>
        <v>0.015</v>
      </c>
      <c r="J3458" s="75">
        <f>'THAM_SO_MOI'!$C$40*('THAM_SO_MOI'!$C$23*(E3458/'THAM_SO_MOI'!$C$22)+'THAM_SO_MOI'!$C$24*(E3458/'THAM_SO_MOI'!$C$22)^2-'THAM_SO_MOI'!$C$25*(E3458/'THAM_SO_MOI'!$C$22)^3)</f>
        <v>76.09000524236299</v>
      </c>
      <c r="K3458" s="75">
        <f>'THAM_SO_MOI'!$C$31*J3458/E3458</f>
        <v>420.76153707785755</v>
      </c>
      <c r="L3458" s="75">
        <f>K3458*'THAM_SO_MOI'!$C$53*'THAM_SO_MOI'!$C$17/'THAM_SO_MOI'!$C$26</f>
        <v>3690.080326599476</v>
      </c>
      <c r="M3458" s="75">
        <f>'THAM_SO_MOI'!$C$15*'THAM_SO_MOI'!$C$16*F3458^2</f>
        <v>898.8995899057412</v>
      </c>
      <c r="N3458" s="75">
        <f>'THAM_SO_MOI'!$C$12*I3458</f>
        <v>1130.112</v>
      </c>
      <c r="O3458" s="75">
        <f>M3458+N3458</f>
        <v>2029.0115899057414</v>
      </c>
      <c r="P3458" s="75">
        <f>(MIN(L3458,'THAM_SO_MOI'!$C$41)-O3458)/('THAM_SO_MOI'!$C$11*H3458)</f>
        <v>0.1966227197790879</v>
      </c>
      <c r="Q3458" s="75">
        <f>IF(P3458&gt;0,1/P3458,NA())</f>
        <v>5.085882247603598</v>
      </c>
      <c r="R3458" s="75">
        <f>F3458-F3457</f>
        <v>0.0073885545698715305</v>
      </c>
      <c r="S3458" s="75">
        <f>0.5*(Q3457+Q3458)*R3458</f>
        <v>0.03757183253878449</v>
      </c>
      <c r="T3458" s="75">
        <f>0.5*(F3457*Q3457+F3458*Q3458)*R3458</f>
        <v>0.6585117317384244</v>
      </c>
      <c r="U3458" s="76">
        <f>U3457+S3458</f>
        <v>34.50503256957936</v>
      </c>
      <c r="V3458" s="76">
        <f>V3457+T3458</f>
        <v>385.8747829507522</v>
      </c>
    </row>
    <row r="3459" spans="1:22" ht="19" customHeight="1">
      <c r="A3459" s="68" t="s">
        <v>378</v>
      </c>
      <c r="B3459" s="74">
        <v>5</v>
      </c>
      <c r="C3459" s="68" t="s">
        <v>363</v>
      </c>
      <c r="D3459" s="68" t="s">
        <v>364</v>
      </c>
      <c r="E3459" s="75">
        <f>60*F3459*'THAM_SO_MOI'!$C$53/(2*PI()*'THAM_SO_MOI'!$C$26)</f>
        <v>1727.9369951747858</v>
      </c>
      <c r="F3459" s="75">
        <f>'HANH_TRINH'!$F$3289+('THAM_SO_MOI'!$C$14-'HANH_TRINH'!$F$3289)*169/'THAM_SO_MOI'!$C$42</f>
        <v>17.537822066410754</v>
      </c>
      <c r="G3459" s="75">
        <f>3.6*F3459</f>
        <v>63.13615943907872</v>
      </c>
      <c r="H3459" s="75">
        <f>'THAM_SO_MOI'!$D$53</f>
        <v>1.1</v>
      </c>
      <c r="I3459" s="75">
        <f>IF(F3459&gt;'THAM_SO_MOI'!$C$14,'THAM_SO_MOI'!$C$13*(1+F3459^2/1500),'THAM_SO_MOI'!$C$13)</f>
        <v>0.015</v>
      </c>
      <c r="J3459" s="75">
        <f>'THAM_SO_MOI'!$C$40*('THAM_SO_MOI'!$C$23*(E3459/'THAM_SO_MOI'!$C$22)+'THAM_SO_MOI'!$C$24*(E3459/'THAM_SO_MOI'!$C$22)^2-'THAM_SO_MOI'!$C$25*(E3459/'THAM_SO_MOI'!$C$22)^3)</f>
        <v>76.12768515643403</v>
      </c>
      <c r="K3459" s="75">
        <f>'THAM_SO_MOI'!$C$31*J3459/E3459</f>
        <v>420.7925474832239</v>
      </c>
      <c r="L3459" s="75">
        <f>K3459*'THAM_SO_MOI'!$C$53*'THAM_SO_MOI'!$C$17/'THAM_SO_MOI'!$C$26</f>
        <v>3690.3522879758816</v>
      </c>
      <c r="M3459" s="75">
        <f>'THAM_SO_MOI'!$C$15*'THAM_SO_MOI'!$C$16*F3459^2</f>
        <v>899.6574682867707</v>
      </c>
      <c r="N3459" s="75">
        <f>'THAM_SO_MOI'!$C$12*I3459</f>
        <v>1130.112</v>
      </c>
      <c r="O3459" s="75">
        <f>M3459+N3459</f>
        <v>2029.769468286771</v>
      </c>
      <c r="P3459" s="75">
        <f>(MIN(L3459,'THAM_SO_MOI'!$C$41)-O3459)/('THAM_SO_MOI'!$C$11*H3459)</f>
        <v>0.19656520119426027</v>
      </c>
      <c r="Q3459" s="75">
        <f>IF(P3459&gt;0,1/P3459,NA())</f>
        <v>5.087370470074843</v>
      </c>
      <c r="R3459" s="75">
        <f>F3459-F3458</f>
        <v>0.0073885545698715305</v>
      </c>
      <c r="S3459" s="75">
        <f>0.5*(Q3458+Q3459)*R3459</f>
        <v>0.037582816428830504</v>
      </c>
      <c r="T3459" s="75">
        <f>0.5*(F3458*Q3458+F3459*Q3459)*R3459</f>
        <v>0.6589819262491624</v>
      </c>
      <c r="U3459" s="76">
        <f>U3458+S3459</f>
        <v>34.542615386008194</v>
      </c>
      <c r="V3459" s="76">
        <f>V3458+T3459</f>
        <v>386.5337648770014</v>
      </c>
    </row>
    <row r="3460" spans="1:22" ht="19" customHeight="1">
      <c r="A3460" s="68" t="s">
        <v>378</v>
      </c>
      <c r="B3460" s="74">
        <v>5</v>
      </c>
      <c r="C3460" s="68" t="s">
        <v>363</v>
      </c>
      <c r="D3460" s="68" t="s">
        <v>364</v>
      </c>
      <c r="E3460" s="75">
        <f>60*F3460*'THAM_SO_MOI'!$C$53/(2*PI()*'THAM_SO_MOI'!$C$26)</f>
        <v>1728.6649622355646</v>
      </c>
      <c r="F3460" s="75">
        <f>'HANH_TRINH'!$F$3289+('THAM_SO_MOI'!$C$14-'HANH_TRINH'!$F$3289)*170/'THAM_SO_MOI'!$C$42</f>
        <v>17.545210620980626</v>
      </c>
      <c r="G3460" s="75">
        <f>3.6*F3460</f>
        <v>63.162758235530255</v>
      </c>
      <c r="H3460" s="75">
        <f>'THAM_SO_MOI'!$D$53</f>
        <v>1.1</v>
      </c>
      <c r="I3460" s="75">
        <f>IF(F3460&gt;'THAM_SO_MOI'!$C$14,'THAM_SO_MOI'!$C$13*(1+F3460^2/1500),'THAM_SO_MOI'!$C$13)</f>
        <v>0.015</v>
      </c>
      <c r="J3460" s="75">
        <f>'THAM_SO_MOI'!$C$40*('THAM_SO_MOI'!$C$23*(E3460/'THAM_SO_MOI'!$C$22)+'THAM_SO_MOI'!$C$24*(E3460/'THAM_SO_MOI'!$C$22)^2-'THAM_SO_MOI'!$C$25*(E3460/'THAM_SO_MOI'!$C$22)^3)</f>
        <v>76.16536049254917</v>
      </c>
      <c r="K3460" s="75">
        <f>'THAM_SO_MOI'!$C$31*J3460/E3460</f>
        <v>420.82350647688475</v>
      </c>
      <c r="L3460" s="75">
        <f>K3460*'THAM_SO_MOI'!$C$53*'THAM_SO_MOI'!$C$17/'THAM_SO_MOI'!$C$26</f>
        <v>3690.6237984714285</v>
      </c>
      <c r="M3460" s="75">
        <f>'THAM_SO_MOI'!$C$15*'THAM_SO_MOI'!$C$16*F3460^2</f>
        <v>900.4156660236214</v>
      </c>
      <c r="N3460" s="75">
        <f>'THAM_SO_MOI'!$C$12*I3460</f>
        <v>1130.112</v>
      </c>
      <c r="O3460" s="75">
        <f>M3460+N3460</f>
        <v>2030.5276660236214</v>
      </c>
      <c r="P3460" s="75">
        <f>(MIN(L3460,'THAM_SO_MOI'!$C$41)-O3460)/('THAM_SO_MOI'!$C$11*H3460)</f>
        <v>0.19650759143558322</v>
      </c>
      <c r="Q3460" s="75">
        <f>IF(P3460&gt;0,1/P3460,NA())</f>
        <v>5.0888619248473566</v>
      </c>
      <c r="R3460" s="75">
        <f>F3460-F3459</f>
        <v>0.0073885545698715305</v>
      </c>
      <c r="S3460" s="75">
        <f>0.5*(Q3459+Q3460)*R3460</f>
        <v>0.03759382418278856</v>
      </c>
      <c r="T3460" s="75">
        <f>0.5*(F3459*Q3459+F3460*Q3460)*R3460</f>
        <v>0.6594527016793122</v>
      </c>
      <c r="U3460" s="76">
        <f>U3459+S3460</f>
        <v>34.58020921019098</v>
      </c>
      <c r="V3460" s="76">
        <f>V3459+T3460</f>
        <v>387.1932175786807</v>
      </c>
    </row>
    <row r="3461" spans="1:22" ht="19" customHeight="1">
      <c r="A3461" s="68" t="s">
        <v>378</v>
      </c>
      <c r="B3461" s="74">
        <v>5</v>
      </c>
      <c r="C3461" s="68" t="s">
        <v>363</v>
      </c>
      <c r="D3461" s="68" t="s">
        <v>364</v>
      </c>
      <c r="E3461" s="75">
        <f>60*F3461*'THAM_SO_MOI'!$C$53/(2*PI()*'THAM_SO_MOI'!$C$26)</f>
        <v>1729.3929292963435</v>
      </c>
      <c r="F3461" s="75">
        <f>'HANH_TRINH'!$F$3289+('THAM_SO_MOI'!$C$14-'HANH_TRINH'!$F$3289)*171/'THAM_SO_MOI'!$C$42</f>
        <v>17.552599175550498</v>
      </c>
      <c r="G3461" s="75">
        <f>3.6*F3461</f>
        <v>63.18935703198179</v>
      </c>
      <c r="H3461" s="75">
        <f>'THAM_SO_MOI'!$D$53</f>
        <v>1.1</v>
      </c>
      <c r="I3461" s="75">
        <f>IF(F3461&gt;'THAM_SO_MOI'!$C$14,'THAM_SO_MOI'!$C$13*(1+F3461^2/1500),'THAM_SO_MOI'!$C$13)</f>
        <v>0.015</v>
      </c>
      <c r="J3461" s="75">
        <f>'THAM_SO_MOI'!$C$40*('THAM_SO_MOI'!$C$23*(E3461/'THAM_SO_MOI'!$C$22)+'THAM_SO_MOI'!$C$24*(E3461/'THAM_SO_MOI'!$C$22)^2-'THAM_SO_MOI'!$C$25*(E3461/'THAM_SO_MOI'!$C$22)^3)</f>
        <v>76.20303123895297</v>
      </c>
      <c r="K3461" s="75">
        <f>'THAM_SO_MOI'!$C$31*J3461/E3461</f>
        <v>420.85441405884006</v>
      </c>
      <c r="L3461" s="75">
        <f>K3461*'THAM_SO_MOI'!$C$53*'THAM_SO_MOI'!$C$17/'THAM_SO_MOI'!$C$26</f>
        <v>3690.8948580861165</v>
      </c>
      <c r="M3461" s="75">
        <f>'THAM_SO_MOI'!$C$15*'THAM_SO_MOI'!$C$16*F3461^2</f>
        <v>901.1741831162929</v>
      </c>
      <c r="N3461" s="75">
        <f>'THAM_SO_MOI'!$C$12*I3461</f>
        <v>1130.112</v>
      </c>
      <c r="O3461" s="75">
        <f>M3461+N3461</f>
        <v>2031.286183116293</v>
      </c>
      <c r="P3461" s="75">
        <f>(MIN(L3461,'THAM_SO_MOI'!$C$41)-O3461)/('THAM_SO_MOI'!$C$11*H3461)</f>
        <v>0.19644989050305675</v>
      </c>
      <c r="Q3461" s="75">
        <f>IF(P3461&gt;0,1/P3461,NA())</f>
        <v>5.090356616841382</v>
      </c>
      <c r="R3461" s="75">
        <f>F3461-F3460</f>
        <v>0.0073885545698715305</v>
      </c>
      <c r="S3461" s="75">
        <f>0.5*(Q3460+Q3461)*R3461</f>
        <v>0.037604855836957676</v>
      </c>
      <c r="T3461" s="75">
        <f>0.5*(F3460*Q3460+F3461*Q3461)*R3461</f>
        <v>0.6599240591948419</v>
      </c>
      <c r="U3461" s="76">
        <f>U3460+S3461</f>
        <v>34.61781406602794</v>
      </c>
      <c r="V3461" s="76">
        <f>V3460+T3461</f>
        <v>387.8531416378755</v>
      </c>
    </row>
    <row r="3462" spans="1:22" ht="19" customHeight="1">
      <c r="A3462" s="68" t="s">
        <v>378</v>
      </c>
      <c r="B3462" s="74">
        <v>5</v>
      </c>
      <c r="C3462" s="68" t="s">
        <v>363</v>
      </c>
      <c r="D3462" s="68" t="s">
        <v>364</v>
      </c>
      <c r="E3462" s="75">
        <f>60*F3462*'THAM_SO_MOI'!$C$53/(2*PI()*'THAM_SO_MOI'!$C$26)</f>
        <v>1730.1208963571225</v>
      </c>
      <c r="F3462" s="75">
        <f>'HANH_TRINH'!$F$3289+('THAM_SO_MOI'!$C$14-'HANH_TRINH'!$F$3289)*172/'THAM_SO_MOI'!$C$42</f>
        <v>17.559987730120373</v>
      </c>
      <c r="G3462" s="75">
        <f>3.6*F3462</f>
        <v>63.215955828433344</v>
      </c>
      <c r="H3462" s="75">
        <f>'THAM_SO_MOI'!$D$53</f>
        <v>1.1</v>
      </c>
      <c r="I3462" s="75">
        <f>IF(F3462&gt;'THAM_SO_MOI'!$C$14,'THAM_SO_MOI'!$C$13*(1+F3462^2/1500),'THAM_SO_MOI'!$C$13)</f>
        <v>0.015</v>
      </c>
      <c r="J3462" s="75">
        <f>'THAM_SO_MOI'!$C$40*('THAM_SO_MOI'!$C$23*(E3462/'THAM_SO_MOI'!$C$22)+'THAM_SO_MOI'!$C$24*(E3462/'THAM_SO_MOI'!$C$22)^2-'THAM_SO_MOI'!$C$25*(E3462/'THAM_SO_MOI'!$C$22)^3)</f>
        <v>76.24069738388991</v>
      </c>
      <c r="K3462" s="75">
        <f>'THAM_SO_MOI'!$C$31*J3462/E3462</f>
        <v>420.88527022908994</v>
      </c>
      <c r="L3462" s="75">
        <f>K3462*'THAM_SO_MOI'!$C$53*'THAM_SO_MOI'!$C$17/'THAM_SO_MOI'!$C$26</f>
        <v>3691.165466819947</v>
      </c>
      <c r="M3462" s="75">
        <f>'THAM_SO_MOI'!$C$15*'THAM_SO_MOI'!$C$16*F3462^2</f>
        <v>901.9330195647858</v>
      </c>
      <c r="N3462" s="75">
        <f>'THAM_SO_MOI'!$C$12*I3462</f>
        <v>1130.112</v>
      </c>
      <c r="O3462" s="75">
        <f>M3462+N3462</f>
        <v>2032.045019564786</v>
      </c>
      <c r="P3462" s="75">
        <f>(MIN(L3462,'THAM_SO_MOI'!$C$41)-O3462)/('THAM_SO_MOI'!$C$11*H3462)</f>
        <v>0.196392098396681</v>
      </c>
      <c r="Q3462" s="75">
        <f>IF(P3462&gt;0,1/P3462,NA())</f>
        <v>5.091854550991955</v>
      </c>
      <c r="R3462" s="75">
        <f>F3462-F3461</f>
        <v>0.007388554569875083</v>
      </c>
      <c r="S3462" s="75">
        <f>0.5*(Q3461+Q3462)*R3462</f>
        <v>0.037615911427764055</v>
      </c>
      <c r="T3462" s="75">
        <f>0.5*(F3461*Q3461+F3462*Q3462)*R3462</f>
        <v>0.6603959999650246</v>
      </c>
      <c r="U3462" s="76">
        <f>U3461+S3462</f>
        <v>34.655429977455704</v>
      </c>
      <c r="V3462" s="76">
        <f>V3461+T3462</f>
        <v>388.51353763784056</v>
      </c>
    </row>
    <row r="3463" spans="1:22" ht="19" customHeight="1">
      <c r="A3463" s="68" t="s">
        <v>378</v>
      </c>
      <c r="B3463" s="74">
        <v>5</v>
      </c>
      <c r="C3463" s="68" t="s">
        <v>363</v>
      </c>
      <c r="D3463" s="68" t="s">
        <v>364</v>
      </c>
      <c r="E3463" s="75">
        <f>60*F3463*'THAM_SO_MOI'!$C$53/(2*PI()*'THAM_SO_MOI'!$C$26)</f>
        <v>1730.8488634179018</v>
      </c>
      <c r="F3463" s="75">
        <f>'HANH_TRINH'!$F$3289+('THAM_SO_MOI'!$C$14-'HANH_TRINH'!$F$3289)*173/'THAM_SO_MOI'!$C$42</f>
        <v>17.567376284690244</v>
      </c>
      <c r="G3463" s="75">
        <f>3.6*F3463</f>
        <v>63.24255462488488</v>
      </c>
      <c r="H3463" s="75">
        <f>'THAM_SO_MOI'!$D$53</f>
        <v>1.1</v>
      </c>
      <c r="I3463" s="75">
        <f>IF(F3463&gt;'THAM_SO_MOI'!$C$14,'THAM_SO_MOI'!$C$13*(1+F3463^2/1500),'THAM_SO_MOI'!$C$13)</f>
        <v>0.015</v>
      </c>
      <c r="J3463" s="75">
        <f>'THAM_SO_MOI'!$C$40*('THAM_SO_MOI'!$C$23*(E3463/'THAM_SO_MOI'!$C$22)+'THAM_SO_MOI'!$C$24*(E3463/'THAM_SO_MOI'!$C$22)^2-'THAM_SO_MOI'!$C$25*(E3463/'THAM_SO_MOI'!$C$22)^3)</f>
        <v>76.27835891560451</v>
      </c>
      <c r="K3463" s="75">
        <f>'THAM_SO_MOI'!$C$31*J3463/E3463</f>
        <v>420.9160749876346</v>
      </c>
      <c r="L3463" s="75">
        <f>K3463*'THAM_SO_MOI'!$C$53*'THAM_SO_MOI'!$C$17/'THAM_SO_MOI'!$C$26</f>
        <v>3691.435624672922</v>
      </c>
      <c r="M3463" s="75">
        <f>'THAM_SO_MOI'!$C$15*'THAM_SO_MOI'!$C$16*F3463^2</f>
        <v>902.6921753690995</v>
      </c>
      <c r="N3463" s="75">
        <f>'THAM_SO_MOI'!$C$12*I3463</f>
        <v>1130.112</v>
      </c>
      <c r="O3463" s="75">
        <f>M3463+N3463</f>
        <v>2032.8041753690995</v>
      </c>
      <c r="P3463" s="75">
        <f>(MIN(L3463,'THAM_SO_MOI'!$C$41)-O3463)/('THAM_SO_MOI'!$C$11*H3463)</f>
        <v>0.19633421511645627</v>
      </c>
      <c r="Q3463" s="75">
        <f>IF(P3463&gt;0,1/P3463,NA())</f>
        <v>5.093355732248945</v>
      </c>
      <c r="R3463" s="75">
        <f>F3463-F3462</f>
        <v>0.0073885545698715305</v>
      </c>
      <c r="S3463" s="75">
        <f>0.5*(Q3462+Q3463)*R3463</f>
        <v>0.03762699099167102</v>
      </c>
      <c r="T3463" s="75">
        <f>0.5*(F3462*Q3462+F3463*Q3463)*R3463</f>
        <v>0.6608685251608624</v>
      </c>
      <c r="U3463" s="76">
        <f>U3462+S3463</f>
        <v>34.69305696844737</v>
      </c>
      <c r="V3463" s="76">
        <f>V3462+T3463</f>
        <v>389.17440616300144</v>
      </c>
    </row>
    <row r="3464" spans="1:22" ht="19" customHeight="1">
      <c r="A3464" s="68" t="s">
        <v>378</v>
      </c>
      <c r="B3464" s="74">
        <v>5</v>
      </c>
      <c r="C3464" s="68" t="s">
        <v>363</v>
      </c>
      <c r="D3464" s="68" t="s">
        <v>364</v>
      </c>
      <c r="E3464" s="75">
        <f>60*F3464*'THAM_SO_MOI'!$C$53/(2*PI()*'THAM_SO_MOI'!$C$26)</f>
        <v>1731.5768304786807</v>
      </c>
      <c r="F3464" s="75">
        <f>'HANH_TRINH'!$F$3289+('THAM_SO_MOI'!$C$14-'HANH_TRINH'!$F$3289)*174/'THAM_SO_MOI'!$C$42</f>
        <v>17.574764839260116</v>
      </c>
      <c r="G3464" s="75">
        <f>3.6*F3464</f>
        <v>63.26915342133642</v>
      </c>
      <c r="H3464" s="75">
        <f>'THAM_SO_MOI'!$D$53</f>
        <v>1.1</v>
      </c>
      <c r="I3464" s="75">
        <f>IF(F3464&gt;'THAM_SO_MOI'!$C$14,'THAM_SO_MOI'!$C$13*(1+F3464^2/1500),'THAM_SO_MOI'!$C$13)</f>
        <v>0.015</v>
      </c>
      <c r="J3464" s="75">
        <f>'THAM_SO_MOI'!$C$40*('THAM_SO_MOI'!$C$23*(E3464/'THAM_SO_MOI'!$C$22)+'THAM_SO_MOI'!$C$24*(E3464/'THAM_SO_MOI'!$C$22)^2-'THAM_SO_MOI'!$C$25*(E3464/'THAM_SO_MOI'!$C$22)^3)</f>
        <v>76.31601582234116</v>
      </c>
      <c r="K3464" s="75">
        <f>'THAM_SO_MOI'!$C$31*J3464/E3464</f>
        <v>420.94682833447354</v>
      </c>
      <c r="L3464" s="75">
        <f>K3464*'THAM_SO_MOI'!$C$53*'THAM_SO_MOI'!$C$17/'THAM_SO_MOI'!$C$26</f>
        <v>3691.7053316450365</v>
      </c>
      <c r="M3464" s="75">
        <f>'THAM_SO_MOI'!$C$15*'THAM_SO_MOI'!$C$16*F3464^2</f>
        <v>903.4516505292339</v>
      </c>
      <c r="N3464" s="75">
        <f>'THAM_SO_MOI'!$C$12*I3464</f>
        <v>1130.112</v>
      </c>
      <c r="O3464" s="75">
        <f>M3464+N3464</f>
        <v>2033.563650529234</v>
      </c>
      <c r="P3464" s="75">
        <f>(MIN(L3464,'THAM_SO_MOI'!$C$41)-O3464)/('THAM_SO_MOI'!$C$11*H3464)</f>
        <v>0.19627624066238192</v>
      </c>
      <c r="Q3464" s="75">
        <f>IF(P3464&gt;0,1/P3464,NA())</f>
        <v>5.094860165577131</v>
      </c>
      <c r="R3464" s="75">
        <f>F3464-F3463</f>
        <v>0.0073885545698715305</v>
      </c>
      <c r="S3464" s="75">
        <f>0.5*(Q3463+Q3464)*R3464</f>
        <v>0.03763809456536032</v>
      </c>
      <c r="T3464" s="75">
        <f>0.5*(F3463*Q3463+F3464*Q3464)*R3464</f>
        <v>0.6613416359582723</v>
      </c>
      <c r="U3464" s="76">
        <f>U3463+S3464</f>
        <v>34.73069506301273</v>
      </c>
      <c r="V3464" s="76">
        <f>V3463+T3464</f>
        <v>389.8357477989597</v>
      </c>
    </row>
    <row r="3465" spans="1:22" ht="19" customHeight="1">
      <c r="A3465" s="68" t="s">
        <v>378</v>
      </c>
      <c r="B3465" s="74">
        <v>5</v>
      </c>
      <c r="C3465" s="68" t="s">
        <v>363</v>
      </c>
      <c r="D3465" s="68" t="s">
        <v>364</v>
      </c>
      <c r="E3465" s="75">
        <f>60*F3465*'THAM_SO_MOI'!$C$53/(2*PI()*'THAM_SO_MOI'!$C$26)</f>
        <v>1732.3047975394595</v>
      </c>
      <c r="F3465" s="75">
        <f>'HANH_TRINH'!$F$3289+('THAM_SO_MOI'!$C$14-'HANH_TRINH'!$F$3289)*175/'THAM_SO_MOI'!$C$42</f>
        <v>17.582153393829987</v>
      </c>
      <c r="G3465" s="75">
        <f>3.6*F3465</f>
        <v>63.29575221778796</v>
      </c>
      <c r="H3465" s="75">
        <f>'THAM_SO_MOI'!$D$53</f>
        <v>1.1</v>
      </c>
      <c r="I3465" s="75">
        <f>IF(F3465&gt;'THAM_SO_MOI'!$C$14,'THAM_SO_MOI'!$C$13*(1+F3465^2/1500),'THAM_SO_MOI'!$C$13)</f>
        <v>0.015</v>
      </c>
      <c r="J3465" s="75">
        <f>'THAM_SO_MOI'!$C$40*('THAM_SO_MOI'!$C$23*(E3465/'THAM_SO_MOI'!$C$22)+'THAM_SO_MOI'!$C$24*(E3465/'THAM_SO_MOI'!$C$22)^2-'THAM_SO_MOI'!$C$25*(E3465/'THAM_SO_MOI'!$C$22)^3)</f>
        <v>76.35366809234444</v>
      </c>
      <c r="K3465" s="75">
        <f>'THAM_SO_MOI'!$C$31*J3465/E3465</f>
        <v>420.97753026960737</v>
      </c>
      <c r="L3465" s="75">
        <f>K3465*'THAM_SO_MOI'!$C$53*'THAM_SO_MOI'!$C$17/'THAM_SO_MOI'!$C$26</f>
        <v>3691.974587736296</v>
      </c>
      <c r="M3465" s="75">
        <f>'THAM_SO_MOI'!$C$15*'THAM_SO_MOI'!$C$16*F3465^2</f>
        <v>904.2114450451895</v>
      </c>
      <c r="N3465" s="75">
        <f>'THAM_SO_MOI'!$C$12*I3465</f>
        <v>1130.112</v>
      </c>
      <c r="O3465" s="75">
        <f>M3465+N3465</f>
        <v>2034.3234450451896</v>
      </c>
      <c r="P3465" s="75">
        <f>(MIN(L3465,'THAM_SO_MOI'!$C$41)-O3465)/('THAM_SO_MOI'!$C$11*H3465)</f>
        <v>0.19621817503445863</v>
      </c>
      <c r="Q3465" s="75">
        <f>IF(P3465&gt;0,1/P3465,NA())</f>
        <v>5.0963678559561885</v>
      </c>
      <c r="R3465" s="75">
        <f>F3465-F3464</f>
        <v>0.0073885545698715305</v>
      </c>
      <c r="S3465" s="75">
        <f>0.5*(Q3464+Q3465)*R3465</f>
        <v>0.037649222185551404</v>
      </c>
      <c r="T3465" s="75">
        <f>0.5*(F3464*Q3464+F3465*Q3465)*R3465</f>
        <v>0.6618153335349191</v>
      </c>
      <c r="U3465" s="76">
        <f>U3464+S3465</f>
        <v>34.76834428519828</v>
      </c>
      <c r="V3465" s="76">
        <f>V3464+T3465</f>
        <v>390.49756313249463</v>
      </c>
    </row>
    <row r="3466" spans="1:22" ht="19" customHeight="1">
      <c r="A3466" s="68" t="s">
        <v>378</v>
      </c>
      <c r="B3466" s="74">
        <v>5</v>
      </c>
      <c r="C3466" s="68" t="s">
        <v>363</v>
      </c>
      <c r="D3466" s="68" t="s">
        <v>364</v>
      </c>
      <c r="E3466" s="75">
        <f>60*F3466*'THAM_SO_MOI'!$C$53/(2*PI()*'THAM_SO_MOI'!$C$26)</f>
        <v>1733.0327646002384</v>
      </c>
      <c r="F3466" s="75">
        <f>'HANH_TRINH'!$F$3289+('THAM_SO_MOI'!$C$14-'HANH_TRINH'!$F$3289)*176/'THAM_SO_MOI'!$C$42</f>
        <v>17.58954194839986</v>
      </c>
      <c r="G3466" s="75">
        <f>3.6*F3466</f>
        <v>63.322351014239494</v>
      </c>
      <c r="H3466" s="75">
        <f>'THAM_SO_MOI'!$D$53</f>
        <v>1.1</v>
      </c>
      <c r="I3466" s="75">
        <f>IF(F3466&gt;'THAM_SO_MOI'!$C$14,'THAM_SO_MOI'!$C$13*(1+F3466^2/1500),'THAM_SO_MOI'!$C$13)</f>
        <v>0.015</v>
      </c>
      <c r="J3466" s="75">
        <f>'THAM_SO_MOI'!$C$40*('THAM_SO_MOI'!$C$23*(E3466/'THAM_SO_MOI'!$C$22)+'THAM_SO_MOI'!$C$24*(E3466/'THAM_SO_MOI'!$C$22)^2-'THAM_SO_MOI'!$C$25*(E3466/'THAM_SO_MOI'!$C$22)^3)</f>
        <v>76.39131571385875</v>
      </c>
      <c r="K3466" s="75">
        <f>'THAM_SO_MOI'!$C$31*J3466/E3466</f>
        <v>421.0081807930354</v>
      </c>
      <c r="L3466" s="75">
        <f>K3466*'THAM_SO_MOI'!$C$53*'THAM_SO_MOI'!$C$17/'THAM_SO_MOI'!$C$26</f>
        <v>3692.2433929466943</v>
      </c>
      <c r="M3466" s="75">
        <f>'THAM_SO_MOI'!$C$15*'THAM_SO_MOI'!$C$16*F3466^2</f>
        <v>904.971558916966</v>
      </c>
      <c r="N3466" s="75">
        <f>'THAM_SO_MOI'!$C$12*I3466</f>
        <v>1130.112</v>
      </c>
      <c r="O3466" s="75">
        <f>M3466+N3466</f>
        <v>2035.083558916966</v>
      </c>
      <c r="P3466" s="75">
        <f>(MIN(L3466,'THAM_SO_MOI'!$C$41)-O3466)/('THAM_SO_MOI'!$C$11*H3466)</f>
        <v>0.19616001823268564</v>
      </c>
      <c r="Q3466" s="75">
        <f>IF(P3466&gt;0,1/P3466,NA())</f>
        <v>5.097878808380803</v>
      </c>
      <c r="R3466" s="75">
        <f>F3466-F3465</f>
        <v>0.0073885545698715305</v>
      </c>
      <c r="S3466" s="75">
        <f>0.5*(Q3465+Q3466)*R3466</f>
        <v>0.03766037388909234</v>
      </c>
      <c r="T3466" s="75">
        <f>0.5*(F3465*Q3465+F3466*Q3466)*R3466</f>
        <v>0.6622896190718139</v>
      </c>
      <c r="U3466" s="76">
        <f>U3465+S3466</f>
        <v>34.80600465908737</v>
      </c>
      <c r="V3466" s="76">
        <f>V3465+T3466</f>
        <v>391.15985275156646</v>
      </c>
    </row>
    <row r="3467" spans="1:22" ht="19" customHeight="1">
      <c r="A3467" s="68" t="s">
        <v>378</v>
      </c>
      <c r="B3467" s="74">
        <v>5</v>
      </c>
      <c r="C3467" s="68" t="s">
        <v>363</v>
      </c>
      <c r="D3467" s="68" t="s">
        <v>364</v>
      </c>
      <c r="E3467" s="75">
        <f>60*F3467*'THAM_SO_MOI'!$C$53/(2*PI()*'THAM_SO_MOI'!$C$26)</f>
        <v>1733.7607316610174</v>
      </c>
      <c r="F3467" s="75">
        <f>'HANH_TRINH'!$F$3289+('THAM_SO_MOI'!$C$14-'HANH_TRINH'!$F$3289)*177/'THAM_SO_MOI'!$C$42</f>
        <v>17.59693050296973</v>
      </c>
      <c r="G3467" s="75">
        <f>3.6*F3467</f>
        <v>63.34894981069103</v>
      </c>
      <c r="H3467" s="75">
        <f>'THAM_SO_MOI'!$D$53</f>
        <v>1.1</v>
      </c>
      <c r="I3467" s="75">
        <f>IF(F3467&gt;'THAM_SO_MOI'!$C$14,'THAM_SO_MOI'!$C$13*(1+F3467^2/1500),'THAM_SO_MOI'!$C$13)</f>
        <v>0.015</v>
      </c>
      <c r="J3467" s="75">
        <f>'THAM_SO_MOI'!$C$40*('THAM_SO_MOI'!$C$23*(E3467/'THAM_SO_MOI'!$C$22)+'THAM_SO_MOI'!$C$24*(E3467/'THAM_SO_MOI'!$C$22)^2-'THAM_SO_MOI'!$C$25*(E3467/'THAM_SO_MOI'!$C$22)^3)</f>
        <v>76.42895867512867</v>
      </c>
      <c r="K3467" s="75">
        <f>'THAM_SO_MOI'!$C$31*J3467/E3467</f>
        <v>421.03877990475837</v>
      </c>
      <c r="L3467" s="75">
        <f>K3467*'THAM_SO_MOI'!$C$53*'THAM_SO_MOI'!$C$17/'THAM_SO_MOI'!$C$26</f>
        <v>3692.511747276238</v>
      </c>
      <c r="M3467" s="75">
        <f>'THAM_SO_MOI'!$C$15*'THAM_SO_MOI'!$C$16*F3467^2</f>
        <v>905.7319921445637</v>
      </c>
      <c r="N3467" s="75">
        <f>'THAM_SO_MOI'!$C$12*I3467</f>
        <v>1130.112</v>
      </c>
      <c r="O3467" s="75">
        <f>M3467+N3467</f>
        <v>2035.8439921445638</v>
      </c>
      <c r="P3467" s="75">
        <f>(MIN(L3467,'THAM_SO_MOI'!$C$41)-O3467)/('THAM_SO_MOI'!$C$11*H3467)</f>
        <v>0.1961017702570637</v>
      </c>
      <c r="Q3467" s="75">
        <f>IF(P3467&gt;0,1/P3467,NA())</f>
        <v>5.099393027860642</v>
      </c>
      <c r="R3467" s="75">
        <f>F3467-F3466</f>
        <v>0.0073885545698715305</v>
      </c>
      <c r="S3467" s="75">
        <f>0.5*(Q3466+Q3467)*R3467</f>
        <v>0.03767154971294199</v>
      </c>
      <c r="T3467" s="75">
        <f>0.5*(F3466*Q3466+F3467*Q3467)*R3467</f>
        <v>0.6627644937530065</v>
      </c>
      <c r="U3467" s="76">
        <f>U3466+S3467</f>
        <v>34.84367620880031</v>
      </c>
      <c r="V3467" s="76">
        <f>V3466+T3467</f>
        <v>391.82261724531946</v>
      </c>
    </row>
    <row r="3468" spans="1:22" ht="19" customHeight="1">
      <c r="A3468" s="68" t="s">
        <v>378</v>
      </c>
      <c r="B3468" s="74">
        <v>5</v>
      </c>
      <c r="C3468" s="68" t="s">
        <v>363</v>
      </c>
      <c r="D3468" s="68" t="s">
        <v>364</v>
      </c>
      <c r="E3468" s="75">
        <f>60*F3468*'THAM_SO_MOI'!$C$53/(2*PI()*'THAM_SO_MOI'!$C$26)</f>
        <v>1734.4886987217967</v>
      </c>
      <c r="F3468" s="75">
        <f>'HANH_TRINH'!$F$3289+('THAM_SO_MOI'!$C$14-'HANH_TRINH'!$F$3289)*178/'THAM_SO_MOI'!$C$42</f>
        <v>17.604319057539605</v>
      </c>
      <c r="G3468" s="75">
        <f>3.6*F3468</f>
        <v>63.37554860714258</v>
      </c>
      <c r="H3468" s="75">
        <f>'THAM_SO_MOI'!$D$53</f>
        <v>1.1</v>
      </c>
      <c r="I3468" s="75">
        <f>IF(F3468&gt;'THAM_SO_MOI'!$C$14,'THAM_SO_MOI'!$C$13*(1+F3468^2/1500),'THAM_SO_MOI'!$C$13)</f>
        <v>0.015</v>
      </c>
      <c r="J3468" s="75">
        <f>'THAM_SO_MOI'!$C$40*('THAM_SO_MOI'!$C$23*(E3468/'THAM_SO_MOI'!$C$22)+'THAM_SO_MOI'!$C$24*(E3468/'THAM_SO_MOI'!$C$22)^2-'THAM_SO_MOI'!$C$25*(E3468/'THAM_SO_MOI'!$C$22)^3)</f>
        <v>76.46659696439863</v>
      </c>
      <c r="K3468" s="75">
        <f>'THAM_SO_MOI'!$C$31*J3468/E3468</f>
        <v>421.0693276047758</v>
      </c>
      <c r="L3468" s="75">
        <f>K3468*'THAM_SO_MOI'!$C$53*'THAM_SO_MOI'!$C$17/'THAM_SO_MOI'!$C$26</f>
        <v>3692.7796507249236</v>
      </c>
      <c r="M3468" s="75">
        <f>'THAM_SO_MOI'!$C$15*'THAM_SO_MOI'!$C$16*F3468^2</f>
        <v>906.4927447279827</v>
      </c>
      <c r="N3468" s="75">
        <f>'THAM_SO_MOI'!$C$12*I3468</f>
        <v>1130.112</v>
      </c>
      <c r="O3468" s="75">
        <f>M3468+N3468</f>
        <v>2036.6047447279827</v>
      </c>
      <c r="P3468" s="75">
        <f>(MIN(L3468,'THAM_SO_MOI'!$C$41)-O3468)/('THAM_SO_MOI'!$C$11*H3468)</f>
        <v>0.1960434311075924</v>
      </c>
      <c r="Q3468" s="75">
        <f>IF(P3468&gt;0,1/P3468,NA())</f>
        <v>5.100910519420468</v>
      </c>
      <c r="R3468" s="75">
        <f>F3468-F3467</f>
        <v>0.007388554569875083</v>
      </c>
      <c r="S3468" s="75">
        <f>0.5*(Q3467+Q3468)*R3468</f>
        <v>0.03768274969418843</v>
      </c>
      <c r="T3468" s="75">
        <f>0.5*(F3467*Q3467+F3468*Q3468)*R3468</f>
        <v>0.6632399587659132</v>
      </c>
      <c r="U3468" s="76">
        <f>U3467+S3468</f>
        <v>34.8813589584945</v>
      </c>
      <c r="V3468" s="76">
        <f>V3467+T3468</f>
        <v>392.4858572040854</v>
      </c>
    </row>
    <row r="3469" spans="1:22" ht="19" customHeight="1">
      <c r="A3469" s="68" t="s">
        <v>378</v>
      </c>
      <c r="B3469" s="74">
        <v>5</v>
      </c>
      <c r="C3469" s="68" t="s">
        <v>363</v>
      </c>
      <c r="D3469" s="68" t="s">
        <v>364</v>
      </c>
      <c r="E3469" s="75">
        <f>60*F3469*'THAM_SO_MOI'!$C$53/(2*PI()*'THAM_SO_MOI'!$C$26)</f>
        <v>1735.2166657825755</v>
      </c>
      <c r="F3469" s="75">
        <f>'HANH_TRINH'!$F$3289+('THAM_SO_MOI'!$C$14-'HANH_TRINH'!$F$3289)*179/'THAM_SO_MOI'!$C$42</f>
        <v>17.611707612109477</v>
      </c>
      <c r="G3469" s="75">
        <f>3.6*F3469</f>
        <v>63.40214740359412</v>
      </c>
      <c r="H3469" s="75">
        <f>'THAM_SO_MOI'!$D$53</f>
        <v>1.1</v>
      </c>
      <c r="I3469" s="75">
        <f>IF(F3469&gt;'THAM_SO_MOI'!$C$14,'THAM_SO_MOI'!$C$13*(1+F3469^2/1500),'THAM_SO_MOI'!$C$13)</f>
        <v>0.015</v>
      </c>
      <c r="J3469" s="75">
        <f>'THAM_SO_MOI'!$C$40*('THAM_SO_MOI'!$C$23*(E3469/'THAM_SO_MOI'!$C$22)+'THAM_SO_MOI'!$C$24*(E3469/'THAM_SO_MOI'!$C$22)^2-'THAM_SO_MOI'!$C$25*(E3469/'THAM_SO_MOI'!$C$22)^3)</f>
        <v>76.50423056991306</v>
      </c>
      <c r="K3469" s="75">
        <f>'THAM_SO_MOI'!$C$31*J3469/E3469</f>
        <v>421.0998238930876</v>
      </c>
      <c r="L3469" s="75">
        <f>K3469*'THAM_SO_MOI'!$C$53*'THAM_SO_MOI'!$C$17/'THAM_SO_MOI'!$C$26</f>
        <v>3693.047103292749</v>
      </c>
      <c r="M3469" s="75">
        <f>'THAM_SO_MOI'!$C$15*'THAM_SO_MOI'!$C$16*F3469^2</f>
        <v>907.2538166672222</v>
      </c>
      <c r="N3469" s="75">
        <f>'THAM_SO_MOI'!$C$12*I3469</f>
        <v>1130.112</v>
      </c>
      <c r="O3469" s="75">
        <f>M3469+N3469</f>
        <v>2037.3658166672221</v>
      </c>
      <c r="P3469" s="75">
        <f>(MIN(L3469,'THAM_SO_MOI'!$C$41)-O3469)/('THAM_SO_MOI'!$C$11*H3469)</f>
        <v>0.19598500078427164</v>
      </c>
      <c r="Q3469" s="75">
        <f>IF(P3469&gt;0,1/P3469,NA())</f>
        <v>5.10243128810015</v>
      </c>
      <c r="R3469" s="75">
        <f>F3469-F3468</f>
        <v>0.0073885545698715305</v>
      </c>
      <c r="S3469" s="75">
        <f>0.5*(Q3468+Q3469)*R3469</f>
        <v>0.037693973869958854</v>
      </c>
      <c r="T3469" s="75">
        <f>0.5*(F3468*Q3468+F3469*Q3469)*R3469</f>
        <v>0.6637160152997347</v>
      </c>
      <c r="U3469" s="76">
        <f>U3468+S3469</f>
        <v>34.91905293236446</v>
      </c>
      <c r="V3469" s="76">
        <f>V3468+T3469</f>
        <v>393.1495732193851</v>
      </c>
    </row>
    <row r="3470" spans="1:22" ht="19" customHeight="1">
      <c r="A3470" s="68" t="s">
        <v>378</v>
      </c>
      <c r="B3470" s="74">
        <v>5</v>
      </c>
      <c r="C3470" s="68" t="s">
        <v>363</v>
      </c>
      <c r="D3470" s="68" t="s">
        <v>364</v>
      </c>
      <c r="E3470" s="75">
        <f>60*F3470*'THAM_SO_MOI'!$C$53/(2*PI()*'THAM_SO_MOI'!$C$26)</f>
        <v>1735.9446328433544</v>
      </c>
      <c r="F3470" s="75">
        <f>'HANH_TRINH'!$F$3289+('THAM_SO_MOI'!$C$14-'HANH_TRINH'!$F$3289)*180/'THAM_SO_MOI'!$C$42</f>
        <v>17.61909616667935</v>
      </c>
      <c r="G3470" s="75">
        <f>3.6*F3470</f>
        <v>63.42874620004566</v>
      </c>
      <c r="H3470" s="75">
        <f>'THAM_SO_MOI'!$D$53</f>
        <v>1.1</v>
      </c>
      <c r="I3470" s="75">
        <f>IF(F3470&gt;'THAM_SO_MOI'!$C$14,'THAM_SO_MOI'!$C$13*(1+F3470^2/1500),'THAM_SO_MOI'!$C$13)</f>
        <v>0.015</v>
      </c>
      <c r="J3470" s="75">
        <f>'THAM_SO_MOI'!$C$40*('THAM_SO_MOI'!$C$23*(E3470/'THAM_SO_MOI'!$C$22)+'THAM_SO_MOI'!$C$24*(E3470/'THAM_SO_MOI'!$C$22)^2-'THAM_SO_MOI'!$C$25*(E3470/'THAM_SO_MOI'!$C$22)^3)</f>
        <v>76.54185947991654</v>
      </c>
      <c r="K3470" s="75">
        <f>'THAM_SO_MOI'!$C$31*J3470/E3470</f>
        <v>421.13026876969417</v>
      </c>
      <c r="L3470" s="75">
        <f>K3470*'THAM_SO_MOI'!$C$53*'THAM_SO_MOI'!$C$17/'THAM_SO_MOI'!$C$26</f>
        <v>3693.3141049797177</v>
      </c>
      <c r="M3470" s="75">
        <f>'THAM_SO_MOI'!$C$15*'THAM_SO_MOI'!$C$16*F3470^2</f>
        <v>908.0152079622827</v>
      </c>
      <c r="N3470" s="75">
        <f>'THAM_SO_MOI'!$C$12*I3470</f>
        <v>1130.112</v>
      </c>
      <c r="O3470" s="75">
        <f>M3470+N3470</f>
        <v>2038.1272079622827</v>
      </c>
      <c r="P3470" s="75">
        <f>(MIN(L3470,'THAM_SO_MOI'!$C$41)-O3470)/('THAM_SO_MOI'!$C$11*H3470)</f>
        <v>0.1959264792871017</v>
      </c>
      <c r="Q3470" s="75">
        <f>IF(P3470&gt;0,1/P3470,NA())</f>
        <v>5.103955338954699</v>
      </c>
      <c r="R3470" s="75">
        <f>F3470-F3469</f>
        <v>0.0073885545698715305</v>
      </c>
      <c r="S3470" s="75">
        <f>0.5*(Q3469+Q3470)*R3470</f>
        <v>0.03770522227760089</v>
      </c>
      <c r="T3470" s="75">
        <f>0.5*(F3469*Q3469+F3470*Q3470)*R3470</f>
        <v>0.6641926645486524</v>
      </c>
      <c r="U3470" s="76">
        <f>U3469+S3470</f>
        <v>34.95675815464206</v>
      </c>
      <c r="V3470" s="76">
        <f>V3469+T3470</f>
        <v>393.81376588393374</v>
      </c>
    </row>
    <row r="3471" spans="1:22" ht="19" customHeight="1">
      <c r="A3471" s="68" t="s">
        <v>378</v>
      </c>
      <c r="B3471" s="74">
        <v>5</v>
      </c>
      <c r="C3471" s="68" t="s">
        <v>363</v>
      </c>
      <c r="D3471" s="68" t="s">
        <v>364</v>
      </c>
      <c r="E3471" s="75">
        <f>60*F3471*'THAM_SO_MOI'!$C$53/(2*PI()*'THAM_SO_MOI'!$C$26)</f>
        <v>1736.6725999041334</v>
      </c>
      <c r="F3471" s="75">
        <f>'HANH_TRINH'!$F$3289+('THAM_SO_MOI'!$C$14-'HANH_TRINH'!$F$3289)*181/'THAM_SO_MOI'!$C$42</f>
        <v>17.62648472124922</v>
      </c>
      <c r="G3471" s="75">
        <f>3.6*F3471</f>
        <v>63.455344996497196</v>
      </c>
      <c r="H3471" s="75">
        <f>'THAM_SO_MOI'!$D$53</f>
        <v>1.1</v>
      </c>
      <c r="I3471" s="75">
        <f>IF(F3471&gt;'THAM_SO_MOI'!$C$14,'THAM_SO_MOI'!$C$13*(1+F3471^2/1500),'THAM_SO_MOI'!$C$13)</f>
        <v>0.015</v>
      </c>
      <c r="J3471" s="75">
        <f>'THAM_SO_MOI'!$C$40*('THAM_SO_MOI'!$C$23*(E3471/'THAM_SO_MOI'!$C$22)+'THAM_SO_MOI'!$C$24*(E3471/'THAM_SO_MOI'!$C$22)^2-'THAM_SO_MOI'!$C$25*(E3471/'THAM_SO_MOI'!$C$22)^3)</f>
        <v>76.57948368265353</v>
      </c>
      <c r="K3471" s="75">
        <f>'THAM_SO_MOI'!$C$31*J3471/E3471</f>
        <v>421.1606622345953</v>
      </c>
      <c r="L3471" s="75">
        <f>K3471*'THAM_SO_MOI'!$C$53*'THAM_SO_MOI'!$C$17/'THAM_SO_MOI'!$C$26</f>
        <v>3693.5806557858295</v>
      </c>
      <c r="M3471" s="75">
        <f>'THAM_SO_MOI'!$C$15*'THAM_SO_MOI'!$C$16*F3471^2</f>
        <v>908.7769186131642</v>
      </c>
      <c r="N3471" s="75">
        <f>'THAM_SO_MOI'!$C$12*I3471</f>
        <v>1130.112</v>
      </c>
      <c r="O3471" s="75">
        <f>M3471+N3471</f>
        <v>2038.8889186131642</v>
      </c>
      <c r="P3471" s="75">
        <f>(MIN(L3471,'THAM_SO_MOI'!$C$41)-O3471)/('THAM_SO_MOI'!$C$11*H3471)</f>
        <v>0.19586786661608255</v>
      </c>
      <c r="Q3471" s="75">
        <f>IF(P3471&gt;0,1/P3471,NA())</f>
        <v>5.105482677054343</v>
      </c>
      <c r="R3471" s="75">
        <f>F3471-F3470</f>
        <v>0.0073885545698715305</v>
      </c>
      <c r="S3471" s="75">
        <f>0.5*(Q3470+Q3471)*R3471</f>
        <v>0.03771649495450187</v>
      </c>
      <c r="T3471" s="75">
        <f>0.5*(F3470*Q3470+F3471*Q3471)*R3471</f>
        <v>0.6646699077086513</v>
      </c>
      <c r="U3471" s="76">
        <f>U3470+S3471</f>
        <v>34.99447464959656</v>
      </c>
      <c r="V3471" s="76">
        <f>V3470+T3471</f>
        <v>394.47843579164237</v>
      </c>
    </row>
    <row r="3472" spans="1:22" ht="19" customHeight="1">
      <c r="A3472" s="68" t="s">
        <v>378</v>
      </c>
      <c r="B3472" s="74">
        <v>5</v>
      </c>
      <c r="C3472" s="68" t="s">
        <v>363</v>
      </c>
      <c r="D3472" s="68" t="s">
        <v>364</v>
      </c>
      <c r="E3472" s="75">
        <f>60*F3472*'THAM_SO_MOI'!$C$53/(2*PI()*'THAM_SO_MOI'!$C$26)</f>
        <v>1737.4005669649123</v>
      </c>
      <c r="F3472" s="75">
        <f>'HANH_TRINH'!$F$3289+('THAM_SO_MOI'!$C$14-'HANH_TRINH'!$F$3289)*182/'THAM_SO_MOI'!$C$42</f>
        <v>17.63387327581909</v>
      </c>
      <c r="G3472" s="75">
        <f>3.6*F3472</f>
        <v>63.481943792948734</v>
      </c>
      <c r="H3472" s="75">
        <f>'THAM_SO_MOI'!$D$53</f>
        <v>1.1</v>
      </c>
      <c r="I3472" s="75">
        <f>IF(F3472&gt;'THAM_SO_MOI'!$C$14,'THAM_SO_MOI'!$C$13*(1+F3472^2/1500),'THAM_SO_MOI'!$C$13)</f>
        <v>0.015</v>
      </c>
      <c r="J3472" s="75">
        <f>'THAM_SO_MOI'!$C$40*('THAM_SO_MOI'!$C$23*(E3472/'THAM_SO_MOI'!$C$22)+'THAM_SO_MOI'!$C$24*(E3472/'THAM_SO_MOI'!$C$22)^2-'THAM_SO_MOI'!$C$25*(E3472/'THAM_SO_MOI'!$C$22)^3)</f>
        <v>76.61710316636848</v>
      </c>
      <c r="K3472" s="75">
        <f>'THAM_SO_MOI'!$C$31*J3472/E3472</f>
        <v>421.191004287791</v>
      </c>
      <c r="L3472" s="75">
        <f>K3472*'THAM_SO_MOI'!$C$53*'THAM_SO_MOI'!$C$17/'THAM_SO_MOI'!$C$26</f>
        <v>3693.8467557110835</v>
      </c>
      <c r="M3472" s="75">
        <f>'THAM_SO_MOI'!$C$15*'THAM_SO_MOI'!$C$16*F3472^2</f>
        <v>909.5389486198668</v>
      </c>
      <c r="N3472" s="75">
        <f>'THAM_SO_MOI'!$C$12*I3472</f>
        <v>1130.112</v>
      </c>
      <c r="O3472" s="75">
        <f>M3472+N3472</f>
        <v>2039.650948619867</v>
      </c>
      <c r="P3472" s="75">
        <f>(MIN(L3472,'THAM_SO_MOI'!$C$41)-O3472)/('THAM_SO_MOI'!$C$11*H3472)</f>
        <v>0.19580916277121407</v>
      </c>
      <c r="Q3472" s="75">
        <f>IF(P3472&gt;0,1/P3472,NA())</f>
        <v>5.107013307484557</v>
      </c>
      <c r="R3472" s="75">
        <f>F3472-F3471</f>
        <v>0.0073885545698715305</v>
      </c>
      <c r="S3472" s="75">
        <f>0.5*(Q3471+Q3472)*R3472</f>
        <v>0.037727791938179774</v>
      </c>
      <c r="T3472" s="75">
        <f>0.5*(F3471*Q3471+F3472*Q3472)*R3472</f>
        <v>0.6651477459791247</v>
      </c>
      <c r="U3472" s="76">
        <f>U3471+S3472</f>
        <v>35.03220244153474</v>
      </c>
      <c r="V3472" s="76">
        <f>V3471+T3472</f>
        <v>395.1435835376215</v>
      </c>
    </row>
    <row r="3473" spans="1:22" ht="19" customHeight="1">
      <c r="A3473" s="68" t="s">
        <v>378</v>
      </c>
      <c r="B3473" s="74">
        <v>5</v>
      </c>
      <c r="C3473" s="68" t="s">
        <v>363</v>
      </c>
      <c r="D3473" s="68" t="s">
        <v>364</v>
      </c>
      <c r="E3473" s="75">
        <f>60*F3473*'THAM_SO_MOI'!$C$53/(2*PI()*'THAM_SO_MOI'!$C$26)</f>
        <v>1738.1285340256911</v>
      </c>
      <c r="F3473" s="75">
        <f>'HANH_TRINH'!$F$3289+('THAM_SO_MOI'!$C$14-'HANH_TRINH'!$F$3289)*183/'THAM_SO_MOI'!$C$42</f>
        <v>17.641261830388963</v>
      </c>
      <c r="G3473" s="75">
        <f>3.6*F3473</f>
        <v>63.50854258940027</v>
      </c>
      <c r="H3473" s="75">
        <f>'THAM_SO_MOI'!$D$53</f>
        <v>1.1</v>
      </c>
      <c r="I3473" s="75">
        <f>IF(F3473&gt;'THAM_SO_MOI'!$C$14,'THAM_SO_MOI'!$C$13*(1+F3473^2/1500),'THAM_SO_MOI'!$C$13)</f>
        <v>0.015</v>
      </c>
      <c r="J3473" s="75">
        <f>'THAM_SO_MOI'!$C$40*('THAM_SO_MOI'!$C$23*(E3473/'THAM_SO_MOI'!$C$22)+'THAM_SO_MOI'!$C$24*(E3473/'THAM_SO_MOI'!$C$22)^2-'THAM_SO_MOI'!$C$25*(E3473/'THAM_SO_MOI'!$C$22)^3)</f>
        <v>76.65471791930588</v>
      </c>
      <c r="K3473" s="75">
        <f>'THAM_SO_MOI'!$C$31*J3473/E3473</f>
        <v>421.2212949292811</v>
      </c>
      <c r="L3473" s="75">
        <f>K3473*'THAM_SO_MOI'!$C$53*'THAM_SO_MOI'!$C$17/'THAM_SO_MOI'!$C$26</f>
        <v>3694.112404755478</v>
      </c>
      <c r="M3473" s="75">
        <f>'THAM_SO_MOI'!$C$15*'THAM_SO_MOI'!$C$16*F3473^2</f>
        <v>910.3012979823903</v>
      </c>
      <c r="N3473" s="75">
        <f>'THAM_SO_MOI'!$C$12*I3473</f>
        <v>1130.112</v>
      </c>
      <c r="O3473" s="75">
        <f>M3473+N3473</f>
        <v>2040.4132979823903</v>
      </c>
      <c r="P3473" s="75">
        <f>(MIN(L3473,'THAM_SO_MOI'!$C$41)-O3473)/('THAM_SO_MOI'!$C$11*H3473)</f>
        <v>0.19575036775249618</v>
      </c>
      <c r="Q3473" s="75">
        <f>IF(P3473&gt;0,1/P3473,NA())</f>
        <v>5.1085472353461165</v>
      </c>
      <c r="R3473" s="75">
        <f>F3473-F3472</f>
        <v>0.0073885545698715305</v>
      </c>
      <c r="S3473" s="75">
        <f>0.5*(Q3472+Q3473)*R3473</f>
        <v>0.03773911326626543</v>
      </c>
      <c r="T3473" s="75">
        <f>0.5*(F3472*Q3472+F3473*Q3473)*R3473</f>
        <v>0.6656261805625647</v>
      </c>
      <c r="U3473" s="76">
        <f>U3472+S3473</f>
        <v>35.069941554801005</v>
      </c>
      <c r="V3473" s="76">
        <f>V3472+T3473</f>
        <v>395.8092097181841</v>
      </c>
    </row>
    <row r="3474" spans="1:22" ht="19" customHeight="1">
      <c r="A3474" s="68" t="s">
        <v>378</v>
      </c>
      <c r="B3474" s="74">
        <v>5</v>
      </c>
      <c r="C3474" s="68" t="s">
        <v>363</v>
      </c>
      <c r="D3474" s="68" t="s">
        <v>364</v>
      </c>
      <c r="E3474" s="75">
        <f>60*F3474*'THAM_SO_MOI'!$C$53/(2*PI()*'THAM_SO_MOI'!$C$26)</f>
        <v>1738.85650108647</v>
      </c>
      <c r="F3474" s="75">
        <f>'HANH_TRINH'!$F$3289+('THAM_SO_MOI'!$C$14-'HANH_TRINH'!$F$3289)*184/'THAM_SO_MOI'!$C$42</f>
        <v>17.648650384958835</v>
      </c>
      <c r="G3474" s="75">
        <f>3.6*F3474</f>
        <v>63.53514138585181</v>
      </c>
      <c r="H3474" s="75">
        <f>'THAM_SO_MOI'!$D$53</f>
        <v>1.1</v>
      </c>
      <c r="I3474" s="75">
        <f>IF(F3474&gt;'THAM_SO_MOI'!$C$14,'THAM_SO_MOI'!$C$13*(1+F3474^2/1500),'THAM_SO_MOI'!$C$13)</f>
        <v>0.015</v>
      </c>
      <c r="J3474" s="75">
        <f>'THAM_SO_MOI'!$C$40*('THAM_SO_MOI'!$C$23*(E3474/'THAM_SO_MOI'!$C$22)+'THAM_SO_MOI'!$C$24*(E3474/'THAM_SO_MOI'!$C$22)^2-'THAM_SO_MOI'!$C$25*(E3474/'THAM_SO_MOI'!$C$22)^3)</f>
        <v>76.69232792971027</v>
      </c>
      <c r="K3474" s="75">
        <f>'THAM_SO_MOI'!$C$31*J3474/E3474</f>
        <v>421.25153415906607</v>
      </c>
      <c r="L3474" s="75">
        <f>K3474*'THAM_SO_MOI'!$C$53*'THAM_SO_MOI'!$C$17/'THAM_SO_MOI'!$C$26</f>
        <v>3694.3776029190176</v>
      </c>
      <c r="M3474" s="75">
        <f>'THAM_SO_MOI'!$C$15*'THAM_SO_MOI'!$C$16*F3474^2</f>
        <v>911.0639667007349</v>
      </c>
      <c r="N3474" s="75">
        <f>'THAM_SO_MOI'!$C$12*I3474</f>
        <v>1130.112</v>
      </c>
      <c r="O3474" s="75">
        <f>M3474+N3474</f>
        <v>2041.175966700735</v>
      </c>
      <c r="P3474" s="75">
        <f>(MIN(L3474,'THAM_SO_MOI'!$C$41)-O3474)/('THAM_SO_MOI'!$C$11*H3474)</f>
        <v>0.1956914815599293</v>
      </c>
      <c r="Q3474" s="75">
        <f>IF(P3474&gt;0,1/P3474,NA())</f>
        <v>5.110084465755124</v>
      </c>
      <c r="R3474" s="75">
        <f>F3474-F3473</f>
        <v>0.0073885545698715305</v>
      </c>
      <c r="S3474" s="75">
        <f>0.5*(Q3473+Q3474)*R3474</f>
        <v>0.03775045897650283</v>
      </c>
      <c r="T3474" s="75">
        <f>0.5*(F3473*Q3473+F3474*Q3474)*R3474</f>
        <v>0.6661052126645726</v>
      </c>
      <c r="U3474" s="76">
        <f>U3473+S3474</f>
        <v>35.10769201377751</v>
      </c>
      <c r="V3474" s="76">
        <f>V3473+T3474</f>
        <v>396.47531493084864</v>
      </c>
    </row>
    <row r="3475" spans="1:22" ht="19" customHeight="1">
      <c r="A3475" s="68" t="s">
        <v>378</v>
      </c>
      <c r="B3475" s="74">
        <v>5</v>
      </c>
      <c r="C3475" s="68" t="s">
        <v>363</v>
      </c>
      <c r="D3475" s="68" t="s">
        <v>364</v>
      </c>
      <c r="E3475" s="75">
        <f>60*F3475*'THAM_SO_MOI'!$C$53/(2*PI()*'THAM_SO_MOI'!$C$26)</f>
        <v>1739.5844681472493</v>
      </c>
      <c r="F3475" s="75">
        <f>'HANH_TRINH'!$F$3289+('THAM_SO_MOI'!$C$14-'HANH_TRINH'!$F$3289)*185/'THAM_SO_MOI'!$C$42</f>
        <v>17.656038939528706</v>
      </c>
      <c r="G3475" s="75">
        <f>3.6*F3475</f>
        <v>63.561740182303346</v>
      </c>
      <c r="H3475" s="75">
        <f>'THAM_SO_MOI'!$D$53</f>
        <v>1.1</v>
      </c>
      <c r="I3475" s="75">
        <f>IF(F3475&gt;'THAM_SO_MOI'!$C$14,'THAM_SO_MOI'!$C$13*(1+F3475^2/1500),'THAM_SO_MOI'!$C$13)</f>
        <v>0.015</v>
      </c>
      <c r="J3475" s="75">
        <f>'THAM_SO_MOI'!$C$40*('THAM_SO_MOI'!$C$23*(E3475/'THAM_SO_MOI'!$C$22)+'THAM_SO_MOI'!$C$24*(E3475/'THAM_SO_MOI'!$C$22)^2-'THAM_SO_MOI'!$C$25*(E3475/'THAM_SO_MOI'!$C$22)^3)</f>
        <v>76.72993318582608</v>
      </c>
      <c r="K3475" s="75">
        <f>'THAM_SO_MOI'!$C$31*J3475/E3475</f>
        <v>421.28172197714537</v>
      </c>
      <c r="L3475" s="75">
        <f>K3475*'THAM_SO_MOI'!$C$53*'THAM_SO_MOI'!$C$17/'THAM_SO_MOI'!$C$26</f>
        <v>3694.6423502016964</v>
      </c>
      <c r="M3475" s="75">
        <f>'THAM_SO_MOI'!$C$15*'THAM_SO_MOI'!$C$16*F3475^2</f>
        <v>911.8269547749004</v>
      </c>
      <c r="N3475" s="75">
        <f>'THAM_SO_MOI'!$C$12*I3475</f>
        <v>1130.112</v>
      </c>
      <c r="O3475" s="75">
        <f>M3475+N3475</f>
        <v>2041.9389547749006</v>
      </c>
      <c r="P3475" s="75">
        <f>(MIN(L3475,'THAM_SO_MOI'!$C$41)-O3475)/('THAM_SO_MOI'!$C$11*H3475)</f>
        <v>0.19563250419351277</v>
      </c>
      <c r="Q3475" s="75">
        <f>IF(P3475&gt;0,1/P3475,NA())</f>
        <v>5.1116250038431</v>
      </c>
      <c r="R3475" s="75">
        <f>F3475-F3474</f>
        <v>0.0073885545698715305</v>
      </c>
      <c r="S3475" s="75">
        <f>0.5*(Q3474+Q3475)*R3475</f>
        <v>0.03776182910674953</v>
      </c>
      <c r="T3475" s="75">
        <f>0.5*(F3474*Q3474+F3475*Q3475)*R3475</f>
        <v>0.6665848434938695</v>
      </c>
      <c r="U3475" s="76">
        <f>U3474+S3475</f>
        <v>35.14545384288426</v>
      </c>
      <c r="V3475" s="76">
        <f>V3474+T3475</f>
        <v>397.1418997743425</v>
      </c>
    </row>
    <row r="3476" spans="1:22" ht="19" customHeight="1">
      <c r="A3476" s="68" t="s">
        <v>378</v>
      </c>
      <c r="B3476" s="74">
        <v>5</v>
      </c>
      <c r="C3476" s="68" t="s">
        <v>363</v>
      </c>
      <c r="D3476" s="68" t="s">
        <v>364</v>
      </c>
      <c r="E3476" s="75">
        <f>60*F3476*'THAM_SO_MOI'!$C$53/(2*PI()*'THAM_SO_MOI'!$C$26)</f>
        <v>1740.3124352080283</v>
      </c>
      <c r="F3476" s="75">
        <f>'HANH_TRINH'!$F$3289+('THAM_SO_MOI'!$C$14-'HANH_TRINH'!$F$3289)*186/'THAM_SO_MOI'!$C$42</f>
        <v>17.66342749409858</v>
      </c>
      <c r="G3476" s="75">
        <f>3.6*F3476</f>
        <v>63.58833897875489</v>
      </c>
      <c r="H3476" s="75">
        <f>'THAM_SO_MOI'!$D$53</f>
        <v>1.1</v>
      </c>
      <c r="I3476" s="75">
        <f>IF(F3476&gt;'THAM_SO_MOI'!$C$14,'THAM_SO_MOI'!$C$13*(1+F3476^2/1500),'THAM_SO_MOI'!$C$13)</f>
        <v>0.015</v>
      </c>
      <c r="J3476" s="75">
        <f>'THAM_SO_MOI'!$C$40*('THAM_SO_MOI'!$C$23*(E3476/'THAM_SO_MOI'!$C$22)+'THAM_SO_MOI'!$C$24*(E3476/'THAM_SO_MOI'!$C$22)^2-'THAM_SO_MOI'!$C$25*(E3476/'THAM_SO_MOI'!$C$22)^3)</f>
        <v>76.76753367589782</v>
      </c>
      <c r="K3476" s="75">
        <f>'THAM_SO_MOI'!$C$31*J3476/E3476</f>
        <v>421.3118583835194</v>
      </c>
      <c r="L3476" s="75">
        <f>K3476*'THAM_SO_MOI'!$C$53*'THAM_SO_MOI'!$C$17/'THAM_SO_MOI'!$C$26</f>
        <v>3694.9066466035197</v>
      </c>
      <c r="M3476" s="75">
        <f>'THAM_SO_MOI'!$C$15*'THAM_SO_MOI'!$C$16*F3476^2</f>
        <v>912.5902622048873</v>
      </c>
      <c r="N3476" s="75">
        <f>'THAM_SO_MOI'!$C$12*I3476</f>
        <v>1130.112</v>
      </c>
      <c r="O3476" s="75">
        <f>M3476+N3476</f>
        <v>2042.7022622048873</v>
      </c>
      <c r="P3476" s="75">
        <f>(MIN(L3476,'THAM_SO_MOI'!$C$41)-O3476)/('THAM_SO_MOI'!$C$11*H3476)</f>
        <v>0.19557343565324717</v>
      </c>
      <c r="Q3476" s="75">
        <f>IF(P3476&gt;0,1/P3476,NA())</f>
        <v>5.113168854756971</v>
      </c>
      <c r="R3476" s="75">
        <f>F3476-F3475</f>
        <v>0.007388554569875083</v>
      </c>
      <c r="S3476" s="75">
        <f>0.5*(Q3475+Q3476)*R3476</f>
        <v>0.03777322369499512</v>
      </c>
      <c r="T3476" s="75">
        <f>0.5*(F3475*Q3475+F3476*Q3476)*R3476</f>
        <v>0.667065074262628</v>
      </c>
      <c r="U3476" s="76">
        <f>U3475+S3476</f>
        <v>35.183227066579256</v>
      </c>
      <c r="V3476" s="76">
        <f>V3475+T3476</f>
        <v>397.8089648486051</v>
      </c>
    </row>
    <row r="3477" spans="1:22" ht="19" customHeight="1">
      <c r="A3477" s="68" t="s">
        <v>378</v>
      </c>
      <c r="B3477" s="74">
        <v>5</v>
      </c>
      <c r="C3477" s="68" t="s">
        <v>363</v>
      </c>
      <c r="D3477" s="68" t="s">
        <v>364</v>
      </c>
      <c r="E3477" s="75">
        <f>60*F3477*'THAM_SO_MOI'!$C$53/(2*PI()*'THAM_SO_MOI'!$C$26)</f>
        <v>1741.0404022688072</v>
      </c>
      <c r="F3477" s="75">
        <f>'HANH_TRINH'!$F$3289+('THAM_SO_MOI'!$C$14-'HANH_TRINH'!$F$3289)*187/'THAM_SO_MOI'!$C$42</f>
        <v>17.670816048668453</v>
      </c>
      <c r="G3477" s="75">
        <f>3.6*F3477</f>
        <v>63.61493777520643</v>
      </c>
      <c r="H3477" s="75">
        <f>'THAM_SO_MOI'!$D$53</f>
        <v>1.1</v>
      </c>
      <c r="I3477" s="75">
        <f>IF(F3477&gt;'THAM_SO_MOI'!$C$14,'THAM_SO_MOI'!$C$13*(1+F3477^2/1500),'THAM_SO_MOI'!$C$13)</f>
        <v>0.015</v>
      </c>
      <c r="J3477" s="75">
        <f>'THAM_SO_MOI'!$C$40*('THAM_SO_MOI'!$C$23*(E3477/'THAM_SO_MOI'!$C$22)+'THAM_SO_MOI'!$C$24*(E3477/'THAM_SO_MOI'!$C$22)^2-'THAM_SO_MOI'!$C$25*(E3477/'THAM_SO_MOI'!$C$22)^3)</f>
        <v>76.80512938816993</v>
      </c>
      <c r="K3477" s="75">
        <f>'THAM_SO_MOI'!$C$31*J3477/E3477</f>
        <v>421.34194337818775</v>
      </c>
      <c r="L3477" s="75">
        <f>K3477*'THAM_SO_MOI'!$C$53*'THAM_SO_MOI'!$C$17/'THAM_SO_MOI'!$C$26</f>
        <v>3695.1704921244827</v>
      </c>
      <c r="M3477" s="75">
        <f>'THAM_SO_MOI'!$C$15*'THAM_SO_MOI'!$C$16*F3477^2</f>
        <v>913.3538889906948</v>
      </c>
      <c r="N3477" s="75">
        <f>'THAM_SO_MOI'!$C$12*I3477</f>
        <v>1130.112</v>
      </c>
      <c r="O3477" s="75">
        <f>M3477+N3477</f>
        <v>2043.465888990695</v>
      </c>
      <c r="P3477" s="75">
        <f>(MIN(L3477,'THAM_SO_MOI'!$C$41)-O3477)/('THAM_SO_MOI'!$C$11*H3477)</f>
        <v>0.19551427593913207</v>
      </c>
      <c r="Q3477" s="75">
        <f>IF(P3477&gt;0,1/P3477,NA())</f>
        <v>5.114716023659174</v>
      </c>
      <c r="R3477" s="75">
        <f>F3477-F3476</f>
        <v>0.0073885545698715305</v>
      </c>
      <c r="S3477" s="75">
        <f>0.5*(Q3476+Q3477)*R3477</f>
        <v>0.037784642779270766</v>
      </c>
      <c r="T3477" s="75">
        <f>0.5*(F3476*Q3476+F3477*Q3477)*R3477</f>
        <v>0.6675459061848769</v>
      </c>
      <c r="U3477" s="76">
        <f>U3476+S3477</f>
        <v>35.22101170935853</v>
      </c>
      <c r="V3477" s="76">
        <f>V3476+T3477</f>
        <v>398.47651075479</v>
      </c>
    </row>
    <row r="3478" spans="1:22" ht="19" customHeight="1">
      <c r="A3478" s="68" t="s">
        <v>378</v>
      </c>
      <c r="B3478" s="74">
        <v>5</v>
      </c>
      <c r="C3478" s="68" t="s">
        <v>363</v>
      </c>
      <c r="D3478" s="68" t="s">
        <v>364</v>
      </c>
      <c r="E3478" s="75">
        <f>60*F3478*'THAM_SO_MOI'!$C$53/(2*PI()*'THAM_SO_MOI'!$C$26)</f>
        <v>1741.768369329586</v>
      </c>
      <c r="F3478" s="75">
        <f>'HANH_TRINH'!$F$3289+('THAM_SO_MOI'!$C$14-'HANH_TRINH'!$F$3289)*188/'THAM_SO_MOI'!$C$42</f>
        <v>17.678204603238324</v>
      </c>
      <c r="G3478" s="75">
        <f>3.6*F3478</f>
        <v>63.641536571657966</v>
      </c>
      <c r="H3478" s="75">
        <f>'THAM_SO_MOI'!$D$53</f>
        <v>1.1</v>
      </c>
      <c r="I3478" s="75">
        <f>IF(F3478&gt;'THAM_SO_MOI'!$C$14,'THAM_SO_MOI'!$C$13*(1+F3478^2/1500),'THAM_SO_MOI'!$C$13)</f>
        <v>0.015</v>
      </c>
      <c r="J3478" s="75">
        <f>'THAM_SO_MOI'!$C$40*('THAM_SO_MOI'!$C$23*(E3478/'THAM_SO_MOI'!$C$22)+'THAM_SO_MOI'!$C$24*(E3478/'THAM_SO_MOI'!$C$22)^2-'THAM_SO_MOI'!$C$25*(E3478/'THAM_SO_MOI'!$C$22)^3)</f>
        <v>76.84272031088696</v>
      </c>
      <c r="K3478" s="75">
        <f>'THAM_SO_MOI'!$C$31*J3478/E3478</f>
        <v>421.3719769611509</v>
      </c>
      <c r="L3478" s="75">
        <f>K3478*'THAM_SO_MOI'!$C$53*'THAM_SO_MOI'!$C$17/'THAM_SO_MOI'!$C$26</f>
        <v>3695.4338867645897</v>
      </c>
      <c r="M3478" s="75">
        <f>'THAM_SO_MOI'!$C$15*'THAM_SO_MOI'!$C$16*F3478^2</f>
        <v>914.1178351323233</v>
      </c>
      <c r="N3478" s="75">
        <f>'THAM_SO_MOI'!$C$12*I3478</f>
        <v>1130.112</v>
      </c>
      <c r="O3478" s="75">
        <f>M3478+N3478</f>
        <v>2044.2298351323234</v>
      </c>
      <c r="P3478" s="75">
        <f>(MIN(L3478,'THAM_SO_MOI'!$C$41)-O3478)/('THAM_SO_MOI'!$C$11*H3478)</f>
        <v>0.19545502505116788</v>
      </c>
      <c r="Q3478" s="75">
        <f>IF(P3478&gt;0,1/P3478,NA())</f>
        <v>5.116266515727654</v>
      </c>
      <c r="R3478" s="75">
        <f>F3478-F3477</f>
        <v>0.0073885545698715305</v>
      </c>
      <c r="S3478" s="75">
        <f>0.5*(Q3477+Q3478)*R3478</f>
        <v>0.03779608639783119</v>
      </c>
      <c r="T3478" s="75">
        <f>0.5*(F3477*Q3477+F3478*Q3478)*R3478</f>
        <v>0.6680273404797207</v>
      </c>
      <c r="U3478" s="76">
        <f>U3477+S3478</f>
        <v>35.25880779575636</v>
      </c>
      <c r="V3478" s="76">
        <f>V3477+T3478</f>
        <v>399.14453809526975</v>
      </c>
    </row>
    <row r="3479" spans="1:22" ht="19" customHeight="1">
      <c r="A3479" s="68" t="s">
        <v>378</v>
      </c>
      <c r="B3479" s="74">
        <v>5</v>
      </c>
      <c r="C3479" s="68" t="s">
        <v>363</v>
      </c>
      <c r="D3479" s="68" t="s">
        <v>364</v>
      </c>
      <c r="E3479" s="75">
        <f>60*F3479*'THAM_SO_MOI'!$C$53/(2*PI()*'THAM_SO_MOI'!$C$26)</f>
        <v>1742.4963363903653</v>
      </c>
      <c r="F3479" s="75">
        <f>'HANH_TRINH'!$F$3289+('THAM_SO_MOI'!$C$14-'HANH_TRINH'!$F$3289)*189/'THAM_SO_MOI'!$C$42</f>
        <v>17.685593157808196</v>
      </c>
      <c r="G3479" s="75">
        <f>3.6*F3479</f>
        <v>63.6681353681095</v>
      </c>
      <c r="H3479" s="75">
        <f>'THAM_SO_MOI'!$D$53</f>
        <v>1.1</v>
      </c>
      <c r="I3479" s="75">
        <f>IF(F3479&gt;'THAM_SO_MOI'!$C$14,'THAM_SO_MOI'!$C$13*(1+F3479^2/1500),'THAM_SO_MOI'!$C$13)</f>
        <v>0.015</v>
      </c>
      <c r="J3479" s="75">
        <f>'THAM_SO_MOI'!$C$40*('THAM_SO_MOI'!$C$23*(E3479/'THAM_SO_MOI'!$C$22)+'THAM_SO_MOI'!$C$24*(E3479/'THAM_SO_MOI'!$C$22)^2-'THAM_SO_MOI'!$C$25*(E3479/'THAM_SO_MOI'!$C$22)^3)</f>
        <v>76.88030643229337</v>
      </c>
      <c r="K3479" s="75">
        <f>'THAM_SO_MOI'!$C$31*J3479/E3479</f>
        <v>421.40195913240854</v>
      </c>
      <c r="L3479" s="75">
        <f>K3479*'THAM_SO_MOI'!$C$53*'THAM_SO_MOI'!$C$17/'THAM_SO_MOI'!$C$26</f>
        <v>3695.696830523839</v>
      </c>
      <c r="M3479" s="75">
        <f>'THAM_SO_MOI'!$C$15*'THAM_SO_MOI'!$C$16*F3479^2</f>
        <v>914.8821006297729</v>
      </c>
      <c r="N3479" s="75">
        <f>'THAM_SO_MOI'!$C$12*I3479</f>
        <v>1130.112</v>
      </c>
      <c r="O3479" s="75">
        <f>M3479+N3479</f>
        <v>2044.9941006297731</v>
      </c>
      <c r="P3479" s="75">
        <f>(MIN(L3479,'THAM_SO_MOI'!$C$41)-O3479)/('THAM_SO_MOI'!$C$11*H3479)</f>
        <v>0.19539568298935436</v>
      </c>
      <c r="Q3479" s="75">
        <f>IF(P3479&gt;0,1/P3479,NA())</f>
        <v>5.1178203361559556</v>
      </c>
      <c r="R3479" s="75">
        <f>F3479-F3478</f>
        <v>0.0073885545698715305</v>
      </c>
      <c r="S3479" s="75">
        <f>0.5*(Q3478+Q3479)*R3479</f>
        <v>0.0378075545889734</v>
      </c>
      <c r="T3479" s="75">
        <f>0.5*(F3478*Q3478+F3479*Q3479)*R3479</f>
        <v>0.668509378368142</v>
      </c>
      <c r="U3479" s="76">
        <f>U3478+S3479</f>
        <v>35.296615350345334</v>
      </c>
      <c r="V3479" s="76">
        <f>V3478+T3479</f>
        <v>399.8130474736379</v>
      </c>
    </row>
    <row r="3480" spans="1:22" ht="19" customHeight="1">
      <c r="A3480" s="68" t="s">
        <v>378</v>
      </c>
      <c r="B3480" s="74">
        <v>5</v>
      </c>
      <c r="C3480" s="68" t="s">
        <v>363</v>
      </c>
      <c r="D3480" s="68" t="s">
        <v>364</v>
      </c>
      <c r="E3480" s="75">
        <f>60*F3480*'THAM_SO_MOI'!$C$53/(2*PI()*'THAM_SO_MOI'!$C$26)</f>
        <v>1743.2243034511441</v>
      </c>
      <c r="F3480" s="75">
        <f>'HANH_TRINH'!$F$3289+('THAM_SO_MOI'!$C$14-'HANH_TRINH'!$F$3289)*190/'THAM_SO_MOI'!$C$42</f>
        <v>17.692981712378067</v>
      </c>
      <c r="G3480" s="75">
        <f>3.6*F3480</f>
        <v>63.69473416456104</v>
      </c>
      <c r="H3480" s="75">
        <f>'THAM_SO_MOI'!$D$53</f>
        <v>1.1</v>
      </c>
      <c r="I3480" s="75">
        <f>IF(F3480&gt;'THAM_SO_MOI'!$C$14,'THAM_SO_MOI'!$C$13*(1+F3480^2/1500),'THAM_SO_MOI'!$C$13)</f>
        <v>0.015</v>
      </c>
      <c r="J3480" s="75">
        <f>'THAM_SO_MOI'!$C$40*('THAM_SO_MOI'!$C$23*(E3480/'THAM_SO_MOI'!$C$22)+'THAM_SO_MOI'!$C$24*(E3480/'THAM_SO_MOI'!$C$22)^2-'THAM_SO_MOI'!$C$25*(E3480/'THAM_SO_MOI'!$C$22)^3)</f>
        <v>76.91788774063362</v>
      </c>
      <c r="K3480" s="75">
        <f>'THAM_SO_MOI'!$C$31*J3480/E3480</f>
        <v>421.4318898919608</v>
      </c>
      <c r="L3480" s="75">
        <f>K3480*'THAM_SO_MOI'!$C$53*'THAM_SO_MOI'!$C$17/'THAM_SO_MOI'!$C$26</f>
        <v>3695.9593234022304</v>
      </c>
      <c r="M3480" s="75">
        <f>'THAM_SO_MOI'!$C$15*'THAM_SO_MOI'!$C$16*F3480^2</f>
        <v>915.6466854830434</v>
      </c>
      <c r="N3480" s="75">
        <f>'THAM_SO_MOI'!$C$12*I3480</f>
        <v>1130.112</v>
      </c>
      <c r="O3480" s="75">
        <f>M3480+N3480</f>
        <v>2045.7586854830433</v>
      </c>
      <c r="P3480" s="75">
        <f>(MIN(L3480,'THAM_SO_MOI'!$C$41)-O3480)/('THAM_SO_MOI'!$C$11*H3480)</f>
        <v>0.19533624975369165</v>
      </c>
      <c r="Q3480" s="75">
        <f>IF(P3480&gt;0,1/P3480,NA())</f>
        <v>5.119377490153238</v>
      </c>
      <c r="R3480" s="75">
        <f>F3480-F3479</f>
        <v>0.0073885545698715305</v>
      </c>
      <c r="S3480" s="75">
        <f>0.5*(Q3479+Q3480)*R3480</f>
        <v>0.03781904739112785</v>
      </c>
      <c r="T3480" s="75">
        <f>0.5*(F3479*Q3479+F3480*Q3480)*R3480</f>
        <v>0.6689920210746162</v>
      </c>
      <c r="U3480" s="76">
        <f>U3479+S3480</f>
        <v>35.33443439773646</v>
      </c>
      <c r="V3480" s="76">
        <f>V3479+T3480</f>
        <v>400.4820394947125</v>
      </c>
    </row>
    <row r="3481" spans="1:22" ht="19" customHeight="1">
      <c r="A3481" s="68" t="s">
        <v>378</v>
      </c>
      <c r="B3481" s="74">
        <v>5</v>
      </c>
      <c r="C3481" s="68" t="s">
        <v>363</v>
      </c>
      <c r="D3481" s="68" t="s">
        <v>364</v>
      </c>
      <c r="E3481" s="75">
        <f>60*F3481*'THAM_SO_MOI'!$C$53/(2*PI()*'THAM_SO_MOI'!$C$26)</f>
        <v>1743.952270511923</v>
      </c>
      <c r="F3481" s="75">
        <f>'HANH_TRINH'!$F$3289+('THAM_SO_MOI'!$C$14-'HANH_TRINH'!$F$3289)*191/'THAM_SO_MOI'!$C$42</f>
        <v>17.70037026694794</v>
      </c>
      <c r="G3481" s="75">
        <f>3.6*F3481</f>
        <v>63.72133296101258</v>
      </c>
      <c r="H3481" s="75">
        <f>'THAM_SO_MOI'!$D$53</f>
        <v>1.1</v>
      </c>
      <c r="I3481" s="75">
        <f>IF(F3481&gt;'THAM_SO_MOI'!$C$14,'THAM_SO_MOI'!$C$13*(1+F3481^2/1500),'THAM_SO_MOI'!$C$13)</f>
        <v>0.015</v>
      </c>
      <c r="J3481" s="75">
        <f>'THAM_SO_MOI'!$C$40*('THAM_SO_MOI'!$C$23*(E3481/'THAM_SO_MOI'!$C$22)+'THAM_SO_MOI'!$C$24*(E3481/'THAM_SO_MOI'!$C$22)^2-'THAM_SO_MOI'!$C$25*(E3481/'THAM_SO_MOI'!$C$22)^3)</f>
        <v>76.95546422415218</v>
      </c>
      <c r="K3481" s="75">
        <f>'THAM_SO_MOI'!$C$31*J3481/E3481</f>
        <v>421.4617692398075</v>
      </c>
      <c r="L3481" s="75">
        <f>K3481*'THAM_SO_MOI'!$C$53*'THAM_SO_MOI'!$C$17/'THAM_SO_MOI'!$C$26</f>
        <v>3696.221365399763</v>
      </c>
      <c r="M3481" s="75">
        <f>'THAM_SO_MOI'!$C$15*'THAM_SO_MOI'!$C$16*F3481^2</f>
        <v>916.411589692135</v>
      </c>
      <c r="N3481" s="75">
        <f>'THAM_SO_MOI'!$C$12*I3481</f>
        <v>1130.112</v>
      </c>
      <c r="O3481" s="75">
        <f>M3481+N3481</f>
        <v>2046.523589692135</v>
      </c>
      <c r="P3481" s="75">
        <f>(MIN(L3481,'THAM_SO_MOI'!$C$41)-O3481)/('THAM_SO_MOI'!$C$11*H3481)</f>
        <v>0.19527672534417945</v>
      </c>
      <c r="Q3481" s="75">
        <f>IF(P3481&gt;0,1/P3481,NA())</f>
        <v>5.1209379829443495</v>
      </c>
      <c r="R3481" s="75">
        <f>F3481-F3480</f>
        <v>0.0073885545698715305</v>
      </c>
      <c r="S3481" s="75">
        <f>0.5*(Q3480+Q3481)*R3481</f>
        <v>0.03783056484284066</v>
      </c>
      <c r="T3481" s="75">
        <f>0.5*(F3480*Q3480+F3481*Q3481)*R3481</f>
        <v>0.6694752698268012</v>
      </c>
      <c r="U3481" s="76">
        <f>U3480+S3481</f>
        <v>35.3722649625793</v>
      </c>
      <c r="V3481" s="76">
        <f>V3480+T3481</f>
        <v>401.15151476453934</v>
      </c>
    </row>
    <row r="3482" spans="1:22" ht="19" customHeight="1">
      <c r="A3482" s="68" t="s">
        <v>378</v>
      </c>
      <c r="B3482" s="74">
        <v>5</v>
      </c>
      <c r="C3482" s="68" t="s">
        <v>363</v>
      </c>
      <c r="D3482" s="68" t="s">
        <v>364</v>
      </c>
      <c r="E3482" s="75">
        <f>60*F3482*'THAM_SO_MOI'!$C$53/(2*PI()*'THAM_SO_MOI'!$C$26)</f>
        <v>1744.6802375727018</v>
      </c>
      <c r="F3482" s="75">
        <f>'HANH_TRINH'!$F$3289+('THAM_SO_MOI'!$C$14-'HANH_TRINH'!$F$3289)*192/'THAM_SO_MOI'!$C$42</f>
        <v>17.70775882151781</v>
      </c>
      <c r="G3482" s="75">
        <f>3.6*F3482</f>
        <v>63.747931757464116</v>
      </c>
      <c r="H3482" s="75">
        <f>'THAM_SO_MOI'!$D$53</f>
        <v>1.1</v>
      </c>
      <c r="I3482" s="75">
        <f>IF(F3482&gt;'THAM_SO_MOI'!$C$14,'THAM_SO_MOI'!$C$13*(1+F3482^2/1500),'THAM_SO_MOI'!$C$13)</f>
        <v>0.015</v>
      </c>
      <c r="J3482" s="75">
        <f>'THAM_SO_MOI'!$C$40*('THAM_SO_MOI'!$C$23*(E3482/'THAM_SO_MOI'!$C$22)+'THAM_SO_MOI'!$C$24*(E3482/'THAM_SO_MOI'!$C$22)^2-'THAM_SO_MOI'!$C$25*(E3482/'THAM_SO_MOI'!$C$22)^3)</f>
        <v>76.99303587109362</v>
      </c>
      <c r="K3482" s="75">
        <f>'THAM_SO_MOI'!$C$31*J3482/E3482</f>
        <v>421.491597175949</v>
      </c>
      <c r="L3482" s="75">
        <f>K3482*'THAM_SO_MOI'!$C$53*'THAM_SO_MOI'!$C$17/'THAM_SO_MOI'!$C$26</f>
        <v>3696.4829565164396</v>
      </c>
      <c r="M3482" s="75">
        <f>'THAM_SO_MOI'!$C$15*'THAM_SO_MOI'!$C$16*F3482^2</f>
        <v>917.1768132570475</v>
      </c>
      <c r="N3482" s="75">
        <f>'THAM_SO_MOI'!$C$12*I3482</f>
        <v>1130.112</v>
      </c>
      <c r="O3482" s="75">
        <f>M3482+N3482</f>
        <v>2047.2888132570474</v>
      </c>
      <c r="P3482" s="75">
        <f>(MIN(L3482,'THAM_SO_MOI'!$C$41)-O3482)/('THAM_SO_MOI'!$C$11*H3482)</f>
        <v>0.19521710976081819</v>
      </c>
      <c r="Q3482" s="75">
        <f>IF(P3482&gt;0,1/P3482,NA())</f>
        <v>5.122501819769841</v>
      </c>
      <c r="R3482" s="75">
        <f>F3482-F3481</f>
        <v>0.0073885545698715305</v>
      </c>
      <c r="S3482" s="75">
        <f>0.5*(Q3481+Q3482)*R3482</f>
        <v>0.03784210698277393</v>
      </c>
      <c r="T3482" s="75">
        <f>0.5*(F3481*Q3481+F3482*Q3482)*R3482</f>
        <v>0.6699591258555471</v>
      </c>
      <c r="U3482" s="76">
        <f>U3481+S3482</f>
        <v>35.41010706956207</v>
      </c>
      <c r="V3482" s="76">
        <f>V3481+T3482</f>
        <v>401.8214738903949</v>
      </c>
    </row>
    <row r="3483" spans="1:22" ht="19" customHeight="1">
      <c r="A3483" s="68" t="s">
        <v>378</v>
      </c>
      <c r="B3483" s="74">
        <v>5</v>
      </c>
      <c r="C3483" s="68" t="s">
        <v>363</v>
      </c>
      <c r="D3483" s="68" t="s">
        <v>364</v>
      </c>
      <c r="E3483" s="75">
        <f>60*F3483*'THAM_SO_MOI'!$C$53/(2*PI()*'THAM_SO_MOI'!$C$26)</f>
        <v>1745.4082046334813</v>
      </c>
      <c r="F3483" s="75">
        <f>'HANH_TRINH'!$F$3289+('THAM_SO_MOI'!$C$14-'HANH_TRINH'!$F$3289)*193/'THAM_SO_MOI'!$C$42</f>
        <v>17.715147376087685</v>
      </c>
      <c r="G3483" s="75">
        <f>3.6*F3483</f>
        <v>63.77453055391567</v>
      </c>
      <c r="H3483" s="75">
        <f>'THAM_SO_MOI'!$D$53</f>
        <v>1.1</v>
      </c>
      <c r="I3483" s="75">
        <f>IF(F3483&gt;'THAM_SO_MOI'!$C$14,'THAM_SO_MOI'!$C$13*(1+F3483^2/1500),'THAM_SO_MOI'!$C$13)</f>
        <v>0.015</v>
      </c>
      <c r="J3483" s="75">
        <f>'THAM_SO_MOI'!$C$40*('THAM_SO_MOI'!$C$23*(E3483/'THAM_SO_MOI'!$C$22)+'THAM_SO_MOI'!$C$24*(E3483/'THAM_SO_MOI'!$C$22)^2-'THAM_SO_MOI'!$C$25*(E3483/'THAM_SO_MOI'!$C$22)^3)</f>
        <v>77.03060266970239</v>
      </c>
      <c r="K3483" s="75">
        <f>'THAM_SO_MOI'!$C$31*J3483/E3483</f>
        <v>421.52137370038497</v>
      </c>
      <c r="L3483" s="75">
        <f>K3483*'THAM_SO_MOI'!$C$53*'THAM_SO_MOI'!$C$17/'THAM_SO_MOI'!$C$26</f>
        <v>3696.7440967522575</v>
      </c>
      <c r="M3483" s="75">
        <f>'THAM_SO_MOI'!$C$15*'THAM_SO_MOI'!$C$16*F3483^2</f>
        <v>917.9423561777813</v>
      </c>
      <c r="N3483" s="75">
        <f>'THAM_SO_MOI'!$C$12*I3483</f>
        <v>1130.112</v>
      </c>
      <c r="O3483" s="75">
        <f>M3483+N3483</f>
        <v>2048.0543561777813</v>
      </c>
      <c r="P3483" s="75">
        <f>(MIN(L3483,'THAM_SO_MOI'!$C$41)-O3483)/('THAM_SO_MOI'!$C$11*H3483)</f>
        <v>0.1951574030036075</v>
      </c>
      <c r="Q3483" s="75">
        <f>IF(P3483&gt;0,1/P3483,NA())</f>
        <v>5.124069005886058</v>
      </c>
      <c r="R3483" s="75">
        <f>F3483-F3482</f>
        <v>0.007388554569875083</v>
      </c>
      <c r="S3483" s="75">
        <f>0.5*(Q3482+Q3483)*R3483</f>
        <v>0.0378536738497243</v>
      </c>
      <c r="T3483" s="75">
        <f>0.5*(F3482*Q3482+F3483*Q3483)*R3483</f>
        <v>0.6704435903952299</v>
      </c>
      <c r="U3483" s="76">
        <f>U3482+S3483</f>
        <v>35.4479607434118</v>
      </c>
      <c r="V3483" s="76">
        <f>V3482+T3483</f>
        <v>402.4919174807901</v>
      </c>
    </row>
    <row r="3484" spans="1:22" ht="19" customHeight="1">
      <c r="A3484" s="68" t="s">
        <v>378</v>
      </c>
      <c r="B3484" s="74">
        <v>5</v>
      </c>
      <c r="C3484" s="68" t="s">
        <v>363</v>
      </c>
      <c r="D3484" s="68" t="s">
        <v>364</v>
      </c>
      <c r="E3484" s="75">
        <f>60*F3484*'THAM_SO_MOI'!$C$53/(2*PI()*'THAM_SO_MOI'!$C$26)</f>
        <v>1746.1361716942602</v>
      </c>
      <c r="F3484" s="75">
        <f>'HANH_TRINH'!$F$3289+('THAM_SO_MOI'!$C$14-'HANH_TRINH'!$F$3289)*194/'THAM_SO_MOI'!$C$42</f>
        <v>17.722535930657557</v>
      </c>
      <c r="G3484" s="75">
        <f>3.6*F3484</f>
        <v>63.801129350367205</v>
      </c>
      <c r="H3484" s="75">
        <f>'THAM_SO_MOI'!$D$53</f>
        <v>1.1</v>
      </c>
      <c r="I3484" s="75">
        <f>IF(F3484&gt;'THAM_SO_MOI'!$C$14,'THAM_SO_MOI'!$C$13*(1+F3484^2/1500),'THAM_SO_MOI'!$C$13)</f>
        <v>0.015</v>
      </c>
      <c r="J3484" s="75">
        <f>'THAM_SO_MOI'!$C$40*('THAM_SO_MOI'!$C$23*(E3484/'THAM_SO_MOI'!$C$22)+'THAM_SO_MOI'!$C$24*(E3484/'THAM_SO_MOI'!$C$22)^2-'THAM_SO_MOI'!$C$25*(E3484/'THAM_SO_MOI'!$C$22)^3)</f>
        <v>77.06816460822289</v>
      </c>
      <c r="K3484" s="75">
        <f>'THAM_SO_MOI'!$C$31*J3484/E3484</f>
        <v>421.5510988131153</v>
      </c>
      <c r="L3484" s="75">
        <f>K3484*'THAM_SO_MOI'!$C$53*'THAM_SO_MOI'!$C$17/'THAM_SO_MOI'!$C$26</f>
        <v>3697.004786107216</v>
      </c>
      <c r="M3484" s="75">
        <f>'THAM_SO_MOI'!$C$15*'THAM_SO_MOI'!$C$16*F3484^2</f>
        <v>918.7082184543359</v>
      </c>
      <c r="N3484" s="75">
        <f>'THAM_SO_MOI'!$C$12*I3484</f>
        <v>1130.112</v>
      </c>
      <c r="O3484" s="75">
        <f>M3484+N3484</f>
        <v>2048.820218454336</v>
      </c>
      <c r="P3484" s="75">
        <f>(MIN(L3484,'THAM_SO_MOI'!$C$41)-O3484)/('THAM_SO_MOI'!$C$11*H3484)</f>
        <v>0.19509760507254736</v>
      </c>
      <c r="Q3484" s="75">
        <f>IF(P3484&gt;0,1/P3484,NA())</f>
        <v>5.125639546565158</v>
      </c>
      <c r="R3484" s="75">
        <f>F3484-F3483</f>
        <v>0.0073885545698715305</v>
      </c>
      <c r="S3484" s="75">
        <f>0.5*(Q3483+Q3484)*R3484</f>
        <v>0.03786526548253238</v>
      </c>
      <c r="T3484" s="75">
        <f>0.5*(F3483*Q3483+F3484*Q3484)*R3484</f>
        <v>0.6709286646821511</v>
      </c>
      <c r="U3484" s="76">
        <f>U3483+S3484</f>
        <v>35.48582600889433</v>
      </c>
      <c r="V3484" s="76">
        <f>V3483+T3484</f>
        <v>403.16284614547226</v>
      </c>
    </row>
    <row r="3485" spans="1:22" ht="19" customHeight="1">
      <c r="A3485" s="68" t="s">
        <v>378</v>
      </c>
      <c r="B3485" s="74">
        <v>5</v>
      </c>
      <c r="C3485" s="68" t="s">
        <v>363</v>
      </c>
      <c r="D3485" s="68" t="s">
        <v>364</v>
      </c>
      <c r="E3485" s="75">
        <f>60*F3485*'THAM_SO_MOI'!$C$53/(2*PI()*'THAM_SO_MOI'!$C$26)</f>
        <v>1746.8641387550385</v>
      </c>
      <c r="F3485" s="75">
        <f>'HANH_TRINH'!$F$3289+('THAM_SO_MOI'!$C$14-'HANH_TRINH'!$F$3289)*195/'THAM_SO_MOI'!$C$42</f>
        <v>17.72992448522743</v>
      </c>
      <c r="G3485" s="75">
        <f>3.6*F3485</f>
        <v>63.82772814681874</v>
      </c>
      <c r="H3485" s="75">
        <f>'THAM_SO_MOI'!$D$53</f>
        <v>1.1</v>
      </c>
      <c r="I3485" s="75">
        <f>IF(F3485&gt;'THAM_SO_MOI'!$C$14,'THAM_SO_MOI'!$C$13*(1+F3485^2/1500),'THAM_SO_MOI'!$C$13)</f>
        <v>0.015</v>
      </c>
      <c r="J3485" s="75">
        <f>'THAM_SO_MOI'!$C$40*('THAM_SO_MOI'!$C$23*(E3485/'THAM_SO_MOI'!$C$22)+'THAM_SO_MOI'!$C$24*(E3485/'THAM_SO_MOI'!$C$22)^2-'THAM_SO_MOI'!$C$25*(E3485/'THAM_SO_MOI'!$C$22)^3)</f>
        <v>77.10572167489968</v>
      </c>
      <c r="K3485" s="75">
        <f>'THAM_SO_MOI'!$C$31*J3485/E3485</f>
        <v>421.58077251414045</v>
      </c>
      <c r="L3485" s="75">
        <f>K3485*'THAM_SO_MOI'!$C$53*'THAM_SO_MOI'!$C$17/'THAM_SO_MOI'!$C$26</f>
        <v>3697.265024581319</v>
      </c>
      <c r="M3485" s="75">
        <f>'THAM_SO_MOI'!$C$15*'THAM_SO_MOI'!$C$16*F3485^2</f>
        <v>919.4744000867113</v>
      </c>
      <c r="N3485" s="75">
        <f>'THAM_SO_MOI'!$C$12*I3485</f>
        <v>1130.112</v>
      </c>
      <c r="O3485" s="75">
        <f>M3485+N3485</f>
        <v>2049.5864000867114</v>
      </c>
      <c r="P3485" s="75">
        <f>(MIN(L3485,'THAM_SO_MOI'!$C$41)-O3485)/('THAM_SO_MOI'!$C$11*H3485)</f>
        <v>0.1950377159676382</v>
      </c>
      <c r="Q3485" s="75">
        <f>IF(P3485&gt;0,1/P3485,NA())</f>
        <v>5.127213447095155</v>
      </c>
      <c r="R3485" s="75">
        <f>F3485-F3484</f>
        <v>0.0073885545698715305</v>
      </c>
      <c r="S3485" s="75">
        <f>0.5*(Q3484+Q3485)*R3485</f>
        <v>0.03787688192026495</v>
      </c>
      <c r="T3485" s="75">
        <f>0.5*(F3484*Q3484+F3485*Q3485)*R3485</f>
        <v>0.6714143499577696</v>
      </c>
      <c r="U3485" s="76">
        <f>U3484+S3485</f>
        <v>35.52370289081459</v>
      </c>
      <c r="V3485" s="76">
        <f>V3484+T3485</f>
        <v>403.83426049543004</v>
      </c>
    </row>
    <row r="3486" spans="1:22" ht="19" customHeight="1">
      <c r="A3486" s="68" t="s">
        <v>378</v>
      </c>
      <c r="B3486" s="74">
        <v>5</v>
      </c>
      <c r="C3486" s="68" t="s">
        <v>363</v>
      </c>
      <c r="D3486" s="68" t="s">
        <v>364</v>
      </c>
      <c r="E3486" s="75">
        <f>60*F3486*'THAM_SO_MOI'!$C$53/(2*PI()*'THAM_SO_MOI'!$C$26)</f>
        <v>1747.5921058158178</v>
      </c>
      <c r="F3486" s="75">
        <f>'HANH_TRINH'!$F$3289+('THAM_SO_MOI'!$C$14-'HANH_TRINH'!$F$3289)*196/'THAM_SO_MOI'!$C$42</f>
        <v>17.7373130397973</v>
      </c>
      <c r="G3486" s="75">
        <f>3.6*F3486</f>
        <v>63.85432694327028</v>
      </c>
      <c r="H3486" s="75">
        <f>'THAM_SO_MOI'!$D$53</f>
        <v>1.1</v>
      </c>
      <c r="I3486" s="75">
        <f>IF(F3486&gt;'THAM_SO_MOI'!$C$14,'THAM_SO_MOI'!$C$13*(1+F3486^2/1500),'THAM_SO_MOI'!$C$13)</f>
        <v>0.015</v>
      </c>
      <c r="J3486" s="75">
        <f>'THAM_SO_MOI'!$C$40*('THAM_SO_MOI'!$C$23*(E3486/'THAM_SO_MOI'!$C$22)+'THAM_SO_MOI'!$C$24*(E3486/'THAM_SO_MOI'!$C$22)^2-'THAM_SO_MOI'!$C$25*(E3486/'THAM_SO_MOI'!$C$22)^3)</f>
        <v>77.14327385797726</v>
      </c>
      <c r="K3486" s="75">
        <f>'THAM_SO_MOI'!$C$31*J3486/E3486</f>
        <v>421.61039480346005</v>
      </c>
      <c r="L3486" s="75">
        <f>K3486*'THAM_SO_MOI'!$C$53*'THAM_SO_MOI'!$C$17/'THAM_SO_MOI'!$C$26</f>
        <v>3697.5248121745635</v>
      </c>
      <c r="M3486" s="75">
        <f>'THAM_SO_MOI'!$C$15*'THAM_SO_MOI'!$C$16*F3486^2</f>
        <v>920.2409010749079</v>
      </c>
      <c r="N3486" s="75">
        <f>'THAM_SO_MOI'!$C$12*I3486</f>
        <v>1130.112</v>
      </c>
      <c r="O3486" s="75">
        <f>M3486+N3486</f>
        <v>2050.352901074908</v>
      </c>
      <c r="P3486" s="75">
        <f>(MIN(L3486,'THAM_SO_MOI'!$C$41)-O3486)/('THAM_SO_MOI'!$C$11*H3486)</f>
        <v>0.1949777356888797</v>
      </c>
      <c r="Q3486" s="75">
        <f>IF(P3486&gt;0,1/P3486,NA())</f>
        <v>5.128790712780002</v>
      </c>
      <c r="R3486" s="75">
        <f>F3486-F3485</f>
        <v>0.0073885545698715305</v>
      </c>
      <c r="S3486" s="75">
        <f>0.5*(Q3485+Q3486)*R3486</f>
        <v>0.03788852320203351</v>
      </c>
      <c r="T3486" s="75">
        <f>0.5*(F3485*Q3485+F3486*Q3486)*R3486</f>
        <v>0.6719006474654912</v>
      </c>
      <c r="U3486" s="76">
        <f>U3485+S3486</f>
        <v>35.561591414016625</v>
      </c>
      <c r="V3486" s="76">
        <f>V3485+T3486</f>
        <v>404.5061611428955</v>
      </c>
    </row>
    <row r="3487" spans="1:22" ht="19" customHeight="1">
      <c r="A3487" s="68" t="s">
        <v>378</v>
      </c>
      <c r="B3487" s="74">
        <v>5</v>
      </c>
      <c r="C3487" s="68" t="s">
        <v>363</v>
      </c>
      <c r="D3487" s="68" t="s">
        <v>364</v>
      </c>
      <c r="E3487" s="75">
        <f>60*F3487*'THAM_SO_MOI'!$C$53/(2*PI()*'THAM_SO_MOI'!$C$26)</f>
        <v>1748.320072876597</v>
      </c>
      <c r="F3487" s="75">
        <f>'HANH_TRINH'!$F$3289+('THAM_SO_MOI'!$C$14-'HANH_TRINH'!$F$3289)*197/'THAM_SO_MOI'!$C$42</f>
        <v>17.74470159436717</v>
      </c>
      <c r="G3487" s="75">
        <f>3.6*F3487</f>
        <v>63.88092573972182</v>
      </c>
      <c r="H3487" s="75">
        <f>'THAM_SO_MOI'!$D$53</f>
        <v>1.1</v>
      </c>
      <c r="I3487" s="75">
        <f>IF(F3487&gt;'THAM_SO_MOI'!$C$14,'THAM_SO_MOI'!$C$13*(1+F3487^2/1500),'THAM_SO_MOI'!$C$13)</f>
        <v>0.015</v>
      </c>
      <c r="J3487" s="75">
        <f>'THAM_SO_MOI'!$C$40*('THAM_SO_MOI'!$C$23*(E3487/'THAM_SO_MOI'!$C$22)+'THAM_SO_MOI'!$C$24*(E3487/'THAM_SO_MOI'!$C$22)^2-'THAM_SO_MOI'!$C$25*(E3487/'THAM_SO_MOI'!$C$22)^3)</f>
        <v>77.18082114570008</v>
      </c>
      <c r="K3487" s="75">
        <f>'THAM_SO_MOI'!$C$31*J3487/E3487</f>
        <v>421.6399656810742</v>
      </c>
      <c r="L3487" s="75">
        <f>K3487*'THAM_SO_MOI'!$C$53*'THAM_SO_MOI'!$C$17/'THAM_SO_MOI'!$C$26</f>
        <v>3697.784148886949</v>
      </c>
      <c r="M3487" s="75">
        <f>'THAM_SO_MOI'!$C$15*'THAM_SO_MOI'!$C$16*F3487^2</f>
        <v>921.0077214189254</v>
      </c>
      <c r="N3487" s="75">
        <f>'THAM_SO_MOI'!$C$12*I3487</f>
        <v>1130.112</v>
      </c>
      <c r="O3487" s="75">
        <f>M3487+N3487</f>
        <v>2051.1197214189256</v>
      </c>
      <c r="P3487" s="75">
        <f>(MIN(L3487,'THAM_SO_MOI'!$C$41)-O3487)/('THAM_SO_MOI'!$C$11*H3487)</f>
        <v>0.19491766423627171</v>
      </c>
      <c r="Q3487" s="75">
        <f>IF(P3487&gt;0,1/P3487,NA())</f>
        <v>5.130371348939613</v>
      </c>
      <c r="R3487" s="75">
        <f>F3487-F3486</f>
        <v>0.0073885545698715305</v>
      </c>
      <c r="S3487" s="75">
        <f>0.5*(Q3486+Q3487)*R3487</f>
        <v>0.03790018936708554</v>
      </c>
      <c r="T3487" s="75">
        <f>0.5*(F3486*Q3486+F3487*Q3487)*R3487</f>
        <v>0.6723875584522909</v>
      </c>
      <c r="U3487" s="76">
        <f>U3486+S3487</f>
        <v>35.59949160338371</v>
      </c>
      <c r="V3487" s="76">
        <f>V3486+T3487</f>
        <v>405.1785487013478</v>
      </c>
    </row>
    <row r="3488" spans="1:22" ht="19" customHeight="1">
      <c r="A3488" s="68" t="s">
        <v>378</v>
      </c>
      <c r="B3488" s="74">
        <v>5</v>
      </c>
      <c r="C3488" s="68" t="s">
        <v>363</v>
      </c>
      <c r="D3488" s="68" t="s">
        <v>364</v>
      </c>
      <c r="E3488" s="75">
        <f>60*F3488*'THAM_SO_MOI'!$C$53/(2*PI()*'THAM_SO_MOI'!$C$26)</f>
        <v>1749.0480399373757</v>
      </c>
      <c r="F3488" s="75">
        <f>'HANH_TRINH'!$F$3289+('THAM_SO_MOI'!$C$14-'HANH_TRINH'!$F$3289)*198/'THAM_SO_MOI'!$C$42</f>
        <v>17.752090148937043</v>
      </c>
      <c r="G3488" s="75">
        <f>3.6*F3488</f>
        <v>63.907524536173355</v>
      </c>
      <c r="H3488" s="75">
        <f>'THAM_SO_MOI'!$D$53</f>
        <v>1.1</v>
      </c>
      <c r="I3488" s="75">
        <f>IF(F3488&gt;'THAM_SO_MOI'!$C$14,'THAM_SO_MOI'!$C$13*(1+F3488^2/1500),'THAM_SO_MOI'!$C$13)</f>
        <v>0.015</v>
      </c>
      <c r="J3488" s="75">
        <f>'THAM_SO_MOI'!$C$40*('THAM_SO_MOI'!$C$23*(E3488/'THAM_SO_MOI'!$C$22)+'THAM_SO_MOI'!$C$24*(E3488/'THAM_SO_MOI'!$C$22)^2-'THAM_SO_MOI'!$C$25*(E3488/'THAM_SO_MOI'!$C$22)^3)</f>
        <v>77.21836352631266</v>
      </c>
      <c r="K3488" s="75">
        <f>'THAM_SO_MOI'!$C$31*J3488/E3488</f>
        <v>421.66948514698316</v>
      </c>
      <c r="L3488" s="75">
        <f>K3488*'THAM_SO_MOI'!$C$53*'THAM_SO_MOI'!$C$17/'THAM_SO_MOI'!$C$26</f>
        <v>3698.043034718479</v>
      </c>
      <c r="M3488" s="75">
        <f>'THAM_SO_MOI'!$C$15*'THAM_SO_MOI'!$C$16*F3488^2</f>
        <v>921.7748611187639</v>
      </c>
      <c r="N3488" s="75">
        <f>'THAM_SO_MOI'!$C$12*I3488</f>
        <v>1130.112</v>
      </c>
      <c r="O3488" s="75">
        <f>M3488+N3488</f>
        <v>2051.886861118764</v>
      </c>
      <c r="P3488" s="75">
        <f>(MIN(L3488,'THAM_SO_MOI'!$C$41)-O3488)/('THAM_SO_MOI'!$C$11*H3488)</f>
        <v>0.19485750160981472</v>
      </c>
      <c r="Q3488" s="75">
        <f>IF(P3488&gt;0,1/P3488,NA())</f>
        <v>5.13195536090991</v>
      </c>
      <c r="R3488" s="75">
        <f>F3488-F3487</f>
        <v>0.0073885545698715305</v>
      </c>
      <c r="S3488" s="75">
        <f>0.5*(Q3487+Q3488)*R3488</f>
        <v>0.03791188045478668</v>
      </c>
      <c r="T3488" s="75">
        <f>0.5*(F3487*Q3487+F3488*Q3488)*R3488</f>
        <v>0.6728750841684</v>
      </c>
      <c r="U3488" s="76">
        <f>U3487+S3488</f>
        <v>35.6374034838385</v>
      </c>
      <c r="V3488" s="76">
        <f>V3487+T3488</f>
        <v>405.8514237855162</v>
      </c>
    </row>
    <row r="3489" spans="1:22" ht="19" customHeight="1">
      <c r="A3489" s="68" t="s">
        <v>378</v>
      </c>
      <c r="B3489" s="74">
        <v>5</v>
      </c>
      <c r="C3489" s="68" t="s">
        <v>363</v>
      </c>
      <c r="D3489" s="68" t="s">
        <v>364</v>
      </c>
      <c r="E3489" s="75">
        <f>60*F3489*'THAM_SO_MOI'!$C$53/(2*PI()*'THAM_SO_MOI'!$C$26)</f>
        <v>1749.7760069981543</v>
      </c>
      <c r="F3489" s="75">
        <f>'HANH_TRINH'!$F$3289+('THAM_SO_MOI'!$C$14-'HANH_TRINH'!$F$3289)*199/'THAM_SO_MOI'!$C$42</f>
        <v>17.759478703506915</v>
      </c>
      <c r="G3489" s="75">
        <f>3.6*F3489</f>
        <v>63.93412333262489</v>
      </c>
      <c r="H3489" s="75">
        <f>'THAM_SO_MOI'!$D$53</f>
        <v>1.1</v>
      </c>
      <c r="I3489" s="75">
        <f>IF(F3489&gt;'THAM_SO_MOI'!$C$14,'THAM_SO_MOI'!$C$13*(1+F3489^2/1500),'THAM_SO_MOI'!$C$13)</f>
        <v>0.015</v>
      </c>
      <c r="J3489" s="75">
        <f>'THAM_SO_MOI'!$C$40*('THAM_SO_MOI'!$C$23*(E3489/'THAM_SO_MOI'!$C$22)+'THAM_SO_MOI'!$C$24*(E3489/'THAM_SO_MOI'!$C$22)^2-'THAM_SO_MOI'!$C$25*(E3489/'THAM_SO_MOI'!$C$22)^3)</f>
        <v>77.25590098805938</v>
      </c>
      <c r="K3489" s="75">
        <f>'THAM_SO_MOI'!$C$31*J3489/E3489</f>
        <v>421.69895320118627</v>
      </c>
      <c r="L3489" s="75">
        <f>K3489*'THAM_SO_MOI'!$C$53*'THAM_SO_MOI'!$C$17/'THAM_SO_MOI'!$C$26</f>
        <v>3698.301469669148</v>
      </c>
      <c r="M3489" s="75">
        <f>'THAM_SO_MOI'!$C$15*'THAM_SO_MOI'!$C$16*F3489^2</f>
        <v>922.5423201744234</v>
      </c>
      <c r="N3489" s="75">
        <f>'THAM_SO_MOI'!$C$12*I3489</f>
        <v>1130.112</v>
      </c>
      <c r="O3489" s="75">
        <f>M3489+N3489</f>
        <v>2052.6543201744234</v>
      </c>
      <c r="P3489" s="75">
        <f>(MIN(L3489,'THAM_SO_MOI'!$C$41)-O3489)/('THAM_SO_MOI'!$C$11*H3489)</f>
        <v>0.1947972478095081</v>
      </c>
      <c r="Q3489" s="75">
        <f>IF(P3489&gt;0,1/P3489,NA())</f>
        <v>5.133542754042902</v>
      </c>
      <c r="R3489" s="75">
        <f>F3489-F3488</f>
        <v>0.0073885545698715305</v>
      </c>
      <c r="S3489" s="75">
        <f>0.5*(Q3488+Q3489)*R3489</f>
        <v>0.03792359650462109</v>
      </c>
      <c r="T3489" s="75">
        <f>0.5*(F3488*Q3488+F3489*Q3489)*R3489</f>
        <v>0.6733632258673183</v>
      </c>
      <c r="U3489" s="76">
        <f>U3488+S3489</f>
        <v>35.675327080343116</v>
      </c>
      <c r="V3489" s="76">
        <f>V3488+T3489</f>
        <v>406.5247870113835</v>
      </c>
    </row>
    <row r="3490" spans="1:22" ht="19" customHeight="1">
      <c r="A3490" s="68" t="s">
        <v>378</v>
      </c>
      <c r="B3490" s="74">
        <v>5</v>
      </c>
      <c r="C3490" s="68" t="s">
        <v>363</v>
      </c>
      <c r="D3490" s="68" t="s">
        <v>364</v>
      </c>
      <c r="E3490" s="75">
        <f>60*F3490*'THAM_SO_MOI'!$C$53/(2*PI()*'THAM_SO_MOI'!$C$26)</f>
        <v>1750.5039740589334</v>
      </c>
      <c r="F3490" s="75">
        <f>'HANH_TRINH'!$F$3289+('THAM_SO_MOI'!$C$14-'HANH_TRINH'!$F$3289)*200/'THAM_SO_MOI'!$C$42</f>
        <v>17.766867258076786</v>
      </c>
      <c r="G3490" s="75">
        <f>3.6*F3490</f>
        <v>63.96072212907643</v>
      </c>
      <c r="H3490" s="75">
        <f>'THAM_SO_MOI'!$D$53</f>
        <v>1.1</v>
      </c>
      <c r="I3490" s="75">
        <f>IF(F3490&gt;'THAM_SO_MOI'!$C$14,'THAM_SO_MOI'!$C$13*(1+F3490^2/1500),'THAM_SO_MOI'!$C$13)</f>
        <v>0.015</v>
      </c>
      <c r="J3490" s="75">
        <f>'THAM_SO_MOI'!$C$40*('THAM_SO_MOI'!$C$23*(E3490/'THAM_SO_MOI'!$C$22)+'THAM_SO_MOI'!$C$24*(E3490/'THAM_SO_MOI'!$C$22)^2-'THAM_SO_MOI'!$C$25*(E3490/'THAM_SO_MOI'!$C$22)^3)</f>
        <v>77.29343351918487</v>
      </c>
      <c r="K3490" s="75">
        <f>'THAM_SO_MOI'!$C$31*J3490/E3490</f>
        <v>421.7283698436842</v>
      </c>
      <c r="L3490" s="75">
        <f>K3490*'THAM_SO_MOI'!$C$53*'THAM_SO_MOI'!$C$17/'THAM_SO_MOI'!$C$26</f>
        <v>3698.5594537389616</v>
      </c>
      <c r="M3490" s="75">
        <f>'THAM_SO_MOI'!$C$15*'THAM_SO_MOI'!$C$16*F3490^2</f>
        <v>923.3100985859039</v>
      </c>
      <c r="N3490" s="75">
        <f>'THAM_SO_MOI'!$C$12*I3490</f>
        <v>1130.112</v>
      </c>
      <c r="O3490" s="75">
        <f>M3490+N3490</f>
        <v>2053.4220985859038</v>
      </c>
      <c r="P3490" s="75">
        <f>(MIN(L3490,'THAM_SO_MOI'!$C$41)-O3490)/('THAM_SO_MOI'!$C$11*H3490)</f>
        <v>0.1947369028353525</v>
      </c>
      <c r="Q3490" s="75">
        <f>IF(P3490&gt;0,1/P3490,NA())</f>
        <v>5.13513353370669</v>
      </c>
      <c r="R3490" s="75">
        <f>F3490-F3489</f>
        <v>0.0073885545698715305</v>
      </c>
      <c r="S3490" s="75">
        <f>0.5*(Q3489+Q3490)*R3490</f>
        <v>0.037935337556191835</v>
      </c>
      <c r="T3490" s="75">
        <f>0.5*(F3489*Q3489+F3490*Q3490)*R3490</f>
        <v>0.6738519848058244</v>
      </c>
      <c r="U3490" s="76">
        <f>U3489+S3490</f>
        <v>35.71326241789931</v>
      </c>
      <c r="V3490" s="76">
        <f>V3489+T3490</f>
        <v>407.19863899618935</v>
      </c>
    </row>
    <row r="3491" spans="1:22" ht="19" customHeight="1">
      <c r="A3491" s="68" t="s">
        <v>378</v>
      </c>
      <c r="B3491" s="74">
        <v>5</v>
      </c>
      <c r="C3491" s="68" t="s">
        <v>363</v>
      </c>
      <c r="D3491" s="68" t="s">
        <v>364</v>
      </c>
      <c r="E3491" s="75">
        <f>60*F3491*'THAM_SO_MOI'!$C$53/(2*PI()*'THAM_SO_MOI'!$C$26)</f>
        <v>1751.2319411197127</v>
      </c>
      <c r="F3491" s="75">
        <f>'HANH_TRINH'!$F$3289+('THAM_SO_MOI'!$C$14-'HANH_TRINH'!$F$3289)*201/'THAM_SO_MOI'!$C$42</f>
        <v>17.77425581264666</v>
      </c>
      <c r="G3491" s="75">
        <f>3.6*F3491</f>
        <v>63.98732092552798</v>
      </c>
      <c r="H3491" s="75">
        <f>'THAM_SO_MOI'!$D$53</f>
        <v>1.1</v>
      </c>
      <c r="I3491" s="75">
        <f>IF(F3491&gt;'THAM_SO_MOI'!$C$14,'THAM_SO_MOI'!$C$13*(1+F3491^2/1500),'THAM_SO_MOI'!$C$13)</f>
        <v>0.015</v>
      </c>
      <c r="J3491" s="75">
        <f>'THAM_SO_MOI'!$C$40*('THAM_SO_MOI'!$C$23*(E3491/'THAM_SO_MOI'!$C$22)+'THAM_SO_MOI'!$C$24*(E3491/'THAM_SO_MOI'!$C$22)^2-'THAM_SO_MOI'!$C$25*(E3491/'THAM_SO_MOI'!$C$22)^3)</f>
        <v>77.33096110793356</v>
      </c>
      <c r="K3491" s="75">
        <f>'THAM_SO_MOI'!$C$31*J3491/E3491</f>
        <v>421.7577350744767</v>
      </c>
      <c r="L3491" s="75">
        <f>K3491*'THAM_SO_MOI'!$C$53*'THAM_SO_MOI'!$C$17/'THAM_SO_MOI'!$C$26</f>
        <v>3698.8169869279172</v>
      </c>
      <c r="M3491" s="75">
        <f>'THAM_SO_MOI'!$C$15*'THAM_SO_MOI'!$C$16*F3491^2</f>
        <v>924.0781963532057</v>
      </c>
      <c r="N3491" s="75">
        <f>'THAM_SO_MOI'!$C$12*I3491</f>
        <v>1130.112</v>
      </c>
      <c r="O3491" s="75">
        <f>M3491+N3491</f>
        <v>2054.190196353206</v>
      </c>
      <c r="P3491" s="75">
        <f>(MIN(L3491,'THAM_SO_MOI'!$C$41)-O3491)/('THAM_SO_MOI'!$C$11*H3491)</f>
        <v>0.19467646668734745</v>
      </c>
      <c r="Q3491" s="75">
        <f>IF(P3491&gt;0,1/P3491,NA())</f>
        <v>5.136727705285565</v>
      </c>
      <c r="R3491" s="75">
        <f>F3491-F3490</f>
        <v>0.007388554569875083</v>
      </c>
      <c r="S3491" s="75">
        <f>0.5*(Q3490+Q3491)*R3491</f>
        <v>0.03794710364923948</v>
      </c>
      <c r="T3491" s="75">
        <f>0.5*(F3490*Q3490+F3491*Q3491)*R3491</f>
        <v>0.6743413622443106</v>
      </c>
      <c r="U3491" s="76">
        <f>U3490+S3491</f>
        <v>35.751209521548546</v>
      </c>
      <c r="V3491" s="76">
        <f>V3490+T3491</f>
        <v>407.87298035843367</v>
      </c>
    </row>
    <row r="3492" spans="1:22" ht="19" customHeight="1">
      <c r="A3492" s="68" t="s">
        <v>378</v>
      </c>
      <c r="B3492" s="74">
        <v>5</v>
      </c>
      <c r="C3492" s="68" t="s">
        <v>363</v>
      </c>
      <c r="D3492" s="68" t="s">
        <v>364</v>
      </c>
      <c r="E3492" s="75">
        <f>60*F3492*'THAM_SO_MOI'!$C$53/(2*PI()*'THAM_SO_MOI'!$C$26)</f>
        <v>1751.9599081804918</v>
      </c>
      <c r="F3492" s="75">
        <f>'HANH_TRINH'!$F$3289+('THAM_SO_MOI'!$C$14-'HANH_TRINH'!$F$3289)*202/'THAM_SO_MOI'!$C$42</f>
        <v>17.781644367216533</v>
      </c>
      <c r="G3492" s="75">
        <f>3.6*F3492</f>
        <v>64.01391972197952</v>
      </c>
      <c r="H3492" s="75">
        <f>'THAM_SO_MOI'!$D$53</f>
        <v>1.1</v>
      </c>
      <c r="I3492" s="75">
        <f>IF(F3492&gt;'THAM_SO_MOI'!$C$14,'THAM_SO_MOI'!$C$13*(1+F3492^2/1500),'THAM_SO_MOI'!$C$13)</f>
        <v>0.015</v>
      </c>
      <c r="J3492" s="75">
        <f>'THAM_SO_MOI'!$C$40*('THAM_SO_MOI'!$C$23*(E3492/'THAM_SO_MOI'!$C$22)+'THAM_SO_MOI'!$C$24*(E3492/'THAM_SO_MOI'!$C$22)^2-'THAM_SO_MOI'!$C$25*(E3492/'THAM_SO_MOI'!$C$22)^3)</f>
        <v>77.36848374254993</v>
      </c>
      <c r="K3492" s="75">
        <f>'THAM_SO_MOI'!$C$31*J3492/E3492</f>
        <v>421.7870488935639</v>
      </c>
      <c r="L3492" s="75">
        <f>K3492*'THAM_SO_MOI'!$C$53*'THAM_SO_MOI'!$C$17/'THAM_SO_MOI'!$C$26</f>
        <v>3699.0740692360155</v>
      </c>
      <c r="M3492" s="75">
        <f>'THAM_SO_MOI'!$C$15*'THAM_SO_MOI'!$C$16*F3492^2</f>
        <v>924.8466134763281</v>
      </c>
      <c r="N3492" s="75">
        <f>'THAM_SO_MOI'!$C$12*I3492</f>
        <v>1130.112</v>
      </c>
      <c r="O3492" s="75">
        <f>M3492+N3492</f>
        <v>2054.958613476328</v>
      </c>
      <c r="P3492" s="75">
        <f>(MIN(L3492,'THAM_SO_MOI'!$C$41)-O3492)/('THAM_SO_MOI'!$C$11*H3492)</f>
        <v>0.1946159393654933</v>
      </c>
      <c r="Q3492" s="75">
        <f>IF(P3492&gt;0,1/P3492,NA())</f>
        <v>5.138325274180017</v>
      </c>
      <c r="R3492" s="75">
        <f>F3492-F3491</f>
        <v>0.0073885545698715305</v>
      </c>
      <c r="S3492" s="75">
        <f>0.5*(Q3491+Q3492)*R3492</f>
        <v>0.037958894823551255</v>
      </c>
      <c r="T3492" s="75">
        <f>0.5*(F3491*Q3491+F3492*Q3492)*R3492</f>
        <v>0.6748313594451736</v>
      </c>
      <c r="U3492" s="76">
        <f>U3491+S3492</f>
        <v>35.7891684163721</v>
      </c>
      <c r="V3492" s="76">
        <f>V3491+T3492</f>
        <v>408.54781171787886</v>
      </c>
    </row>
    <row r="3493" spans="1:22" ht="19" customHeight="1">
      <c r="A3493" s="68" t="s">
        <v>378</v>
      </c>
      <c r="B3493" s="74">
        <v>5</v>
      </c>
      <c r="C3493" s="68" t="s">
        <v>363</v>
      </c>
      <c r="D3493" s="68" t="s">
        <v>364</v>
      </c>
      <c r="E3493" s="75">
        <f>60*F3493*'THAM_SO_MOI'!$C$53/(2*PI()*'THAM_SO_MOI'!$C$26)</f>
        <v>1752.6878752412704</v>
      </c>
      <c r="F3493" s="75">
        <f>'HANH_TRINH'!$F$3289+('THAM_SO_MOI'!$C$14-'HANH_TRINH'!$F$3289)*203/'THAM_SO_MOI'!$C$42</f>
        <v>17.789032921786404</v>
      </c>
      <c r="G3493" s="75">
        <f>3.6*F3493</f>
        <v>64.04051851843106</v>
      </c>
      <c r="H3493" s="75">
        <f>'THAM_SO_MOI'!$D$53</f>
        <v>1.1</v>
      </c>
      <c r="I3493" s="75">
        <f>IF(F3493&gt;'THAM_SO_MOI'!$C$14,'THAM_SO_MOI'!$C$13*(1+F3493^2/1500),'THAM_SO_MOI'!$C$13)</f>
        <v>0.015</v>
      </c>
      <c r="J3493" s="75">
        <f>'THAM_SO_MOI'!$C$40*('THAM_SO_MOI'!$C$23*(E3493/'THAM_SO_MOI'!$C$22)+'THAM_SO_MOI'!$C$24*(E3493/'THAM_SO_MOI'!$C$22)^2-'THAM_SO_MOI'!$C$25*(E3493/'THAM_SO_MOI'!$C$22)^3)</f>
        <v>77.40600141127841</v>
      </c>
      <c r="K3493" s="75">
        <f>'THAM_SO_MOI'!$C$31*J3493/E3493</f>
        <v>421.81631130094553</v>
      </c>
      <c r="L3493" s="75">
        <f>K3493*'THAM_SO_MOI'!$C$53*'THAM_SO_MOI'!$C$17/'THAM_SO_MOI'!$C$26</f>
        <v>3699.3307006632554</v>
      </c>
      <c r="M3493" s="75">
        <f>'THAM_SO_MOI'!$C$15*'THAM_SO_MOI'!$C$16*F3493^2</f>
        <v>925.6153499552717</v>
      </c>
      <c r="N3493" s="75">
        <f>'THAM_SO_MOI'!$C$12*I3493</f>
        <v>1130.112</v>
      </c>
      <c r="O3493" s="75">
        <f>M3493+N3493</f>
        <v>2055.7273499552716</v>
      </c>
      <c r="P3493" s="75">
        <f>(MIN(L3493,'THAM_SO_MOI'!$C$41)-O3493)/('THAM_SO_MOI'!$C$11*H3493)</f>
        <v>0.19455532086978974</v>
      </c>
      <c r="Q3493" s="75">
        <f>IF(P3493&gt;0,1/P3493,NA())</f>
        <v>5.139926245806822</v>
      </c>
      <c r="R3493" s="75">
        <f>F3493-F3492</f>
        <v>0.0073885545698715305</v>
      </c>
      <c r="S3493" s="75">
        <f>0.5*(Q3492+Q3493)*R3493</f>
        <v>0.03797071111914388</v>
      </c>
      <c r="T3493" s="75">
        <f>0.5*(F3492*Q3492+F3493*Q3493)*R3493</f>
        <v>0.6753219776760673</v>
      </c>
      <c r="U3493" s="76">
        <f>U3492+S3493</f>
        <v>35.82713912749124</v>
      </c>
      <c r="V3493" s="76">
        <f>V3492+T3493</f>
        <v>409.2231336955549</v>
      </c>
    </row>
    <row r="3494" spans="1:22" ht="19" customHeight="1">
      <c r="A3494" s="68" t="s">
        <v>378</v>
      </c>
      <c r="B3494" s="74">
        <v>5</v>
      </c>
      <c r="C3494" s="68" t="s">
        <v>363</v>
      </c>
      <c r="D3494" s="68" t="s">
        <v>364</v>
      </c>
      <c r="E3494" s="75">
        <f>60*F3494*'THAM_SO_MOI'!$C$53/(2*PI()*'THAM_SO_MOI'!$C$26)</f>
        <v>1753.4158423020494</v>
      </c>
      <c r="F3494" s="75">
        <f>'HANH_TRINH'!$F$3289+('THAM_SO_MOI'!$C$14-'HANH_TRINH'!$F$3289)*204/'THAM_SO_MOI'!$C$42</f>
        <v>17.796421476356276</v>
      </c>
      <c r="G3494" s="75">
        <f>3.6*F3494</f>
        <v>64.0671173148826</v>
      </c>
      <c r="H3494" s="75">
        <f>'THAM_SO_MOI'!$D$53</f>
        <v>1.1</v>
      </c>
      <c r="I3494" s="75">
        <f>IF(F3494&gt;'THAM_SO_MOI'!$C$14,'THAM_SO_MOI'!$C$13*(1+F3494^2/1500),'THAM_SO_MOI'!$C$13)</f>
        <v>0.015</v>
      </c>
      <c r="J3494" s="75">
        <f>'THAM_SO_MOI'!$C$40*('THAM_SO_MOI'!$C$23*(E3494/'THAM_SO_MOI'!$C$22)+'THAM_SO_MOI'!$C$24*(E3494/'THAM_SO_MOI'!$C$22)^2-'THAM_SO_MOI'!$C$25*(E3494/'THAM_SO_MOI'!$C$22)^3)</f>
        <v>77.44351410236357</v>
      </c>
      <c r="K3494" s="75">
        <f>'THAM_SO_MOI'!$C$31*J3494/E3494</f>
        <v>421.84552229662177</v>
      </c>
      <c r="L3494" s="75">
        <f>K3494*'THAM_SO_MOI'!$C$53*'THAM_SO_MOI'!$C$17/'THAM_SO_MOI'!$C$26</f>
        <v>3699.5868812096382</v>
      </c>
      <c r="M3494" s="75">
        <f>'THAM_SO_MOI'!$C$15*'THAM_SO_MOI'!$C$16*F3494^2</f>
        <v>926.3844057900361</v>
      </c>
      <c r="N3494" s="75">
        <f>'THAM_SO_MOI'!$C$12*I3494</f>
        <v>1130.112</v>
      </c>
      <c r="O3494" s="75">
        <f>M3494+N3494</f>
        <v>2056.496405790036</v>
      </c>
      <c r="P3494" s="75">
        <f>(MIN(L3494,'THAM_SO_MOI'!$C$41)-O3494)/('THAM_SO_MOI'!$C$11*H3494)</f>
        <v>0.194494611200237</v>
      </c>
      <c r="Q3494" s="75">
        <f>IF(P3494&gt;0,1/P3494,NA())</f>
        <v>5.141530625599057</v>
      </c>
      <c r="R3494" s="75">
        <f>F3494-F3493</f>
        <v>0.0073885545698715305</v>
      </c>
      <c r="S3494" s="75">
        <f>0.5*(Q3493+Q3494)*R3494</f>
        <v>0.03798255257608148</v>
      </c>
      <c r="T3494" s="75">
        <f>0.5*(F3493*Q3493+F3494*Q3494)*R3494</f>
        <v>0.6758132182066716</v>
      </c>
      <c r="U3494" s="76">
        <f>U3493+S3494</f>
        <v>35.865121680067325</v>
      </c>
      <c r="V3494" s="76">
        <f>V3493+T3494</f>
        <v>409.89894691376156</v>
      </c>
    </row>
    <row r="3495" spans="1:22" ht="19" customHeight="1">
      <c r="A3495" s="68" t="s">
        <v>378</v>
      </c>
      <c r="B3495" s="74">
        <v>5</v>
      </c>
      <c r="C3495" s="68" t="s">
        <v>363</v>
      </c>
      <c r="D3495" s="68" t="s">
        <v>364</v>
      </c>
      <c r="E3495" s="75">
        <f>60*F3495*'THAM_SO_MOI'!$C$53/(2*PI()*'THAM_SO_MOI'!$C$26)</f>
        <v>1754.1438093628283</v>
      </c>
      <c r="F3495" s="75">
        <f>'HANH_TRINH'!$F$3289+('THAM_SO_MOI'!$C$14-'HANH_TRINH'!$F$3289)*205/'THAM_SO_MOI'!$C$42</f>
        <v>17.803810030926147</v>
      </c>
      <c r="G3495" s="75">
        <f>3.6*F3495</f>
        <v>64.09371611133413</v>
      </c>
      <c r="H3495" s="75">
        <f>'THAM_SO_MOI'!$D$53</f>
        <v>1.1</v>
      </c>
      <c r="I3495" s="75">
        <f>IF(F3495&gt;'THAM_SO_MOI'!$C$14,'THAM_SO_MOI'!$C$13*(1+F3495^2/1500),'THAM_SO_MOI'!$C$13)</f>
        <v>0.015</v>
      </c>
      <c r="J3495" s="75">
        <f>'THAM_SO_MOI'!$C$40*('THAM_SO_MOI'!$C$23*(E3495/'THAM_SO_MOI'!$C$22)+'THAM_SO_MOI'!$C$24*(E3495/'THAM_SO_MOI'!$C$22)^2-'THAM_SO_MOI'!$C$25*(E3495/'THAM_SO_MOI'!$C$22)^3)</f>
        <v>77.48102180404983</v>
      </c>
      <c r="K3495" s="75">
        <f>'THAM_SO_MOI'!$C$31*J3495/E3495</f>
        <v>421.8746818805925</v>
      </c>
      <c r="L3495" s="75">
        <f>K3495*'THAM_SO_MOI'!$C$53*'THAM_SO_MOI'!$C$17/'THAM_SO_MOI'!$C$26</f>
        <v>3699.8426108751614</v>
      </c>
      <c r="M3495" s="75">
        <f>'THAM_SO_MOI'!$C$15*'THAM_SO_MOI'!$C$16*F3495^2</f>
        <v>927.1537809806216</v>
      </c>
      <c r="N3495" s="75">
        <f>'THAM_SO_MOI'!$C$12*I3495</f>
        <v>1130.112</v>
      </c>
      <c r="O3495" s="75">
        <f>M3495+N3495</f>
        <v>2057.2657809806215</v>
      </c>
      <c r="P3495" s="75">
        <f>(MIN(L3495,'THAM_SO_MOI'!$C$41)-O3495)/('THAM_SO_MOI'!$C$11*H3495)</f>
        <v>0.19443381035683469</v>
      </c>
      <c r="Q3495" s="75">
        <f>IF(P3495&gt;0,1/P3495,NA())</f>
        <v>5.143138419006189</v>
      </c>
      <c r="R3495" s="75">
        <f>F3495-F3494</f>
        <v>0.0073885545698715305</v>
      </c>
      <c r="S3495" s="75">
        <f>0.5*(Q3494+Q3495)*R3495</f>
        <v>0.03799441923456718</v>
      </c>
      <c r="T3495" s="75">
        <f>0.5*(F3494*Q3494+F3495*Q3495)*R3495</f>
        <v>0.6763050823103254</v>
      </c>
      <c r="U3495" s="76">
        <f>U3494+S3495</f>
        <v>35.90311609930189</v>
      </c>
      <c r="V3495" s="76">
        <f>V3494+T3495</f>
        <v>410.57525199607187</v>
      </c>
    </row>
    <row r="3496" spans="1:22" ht="19" customHeight="1">
      <c r="A3496" s="68" t="s">
        <v>378</v>
      </c>
      <c r="B3496" s="74">
        <v>5</v>
      </c>
      <c r="C3496" s="68" t="s">
        <v>363</v>
      </c>
      <c r="D3496" s="68" t="s">
        <v>364</v>
      </c>
      <c r="E3496" s="75">
        <f>60*F3496*'THAM_SO_MOI'!$C$53/(2*PI()*'THAM_SO_MOI'!$C$26)</f>
        <v>1754.8717764236076</v>
      </c>
      <c r="F3496" s="75">
        <f>'HANH_TRINH'!$F$3289+('THAM_SO_MOI'!$C$14-'HANH_TRINH'!$F$3289)*206/'THAM_SO_MOI'!$C$42</f>
        <v>17.81119858549602</v>
      </c>
      <c r="G3496" s="75">
        <f>3.6*F3496</f>
        <v>64.12031490778567</v>
      </c>
      <c r="H3496" s="75">
        <f>'THAM_SO_MOI'!$D$53</f>
        <v>1.1</v>
      </c>
      <c r="I3496" s="75">
        <f>IF(F3496&gt;'THAM_SO_MOI'!$C$14,'THAM_SO_MOI'!$C$13*(1+F3496^2/1500),'THAM_SO_MOI'!$C$13)</f>
        <v>0.015</v>
      </c>
      <c r="J3496" s="75">
        <f>'THAM_SO_MOI'!$C$40*('THAM_SO_MOI'!$C$23*(E3496/'THAM_SO_MOI'!$C$22)+'THAM_SO_MOI'!$C$24*(E3496/'THAM_SO_MOI'!$C$22)^2-'THAM_SO_MOI'!$C$25*(E3496/'THAM_SO_MOI'!$C$22)^3)</f>
        <v>77.5185245045817</v>
      </c>
      <c r="K3496" s="75">
        <f>'THAM_SO_MOI'!$C$31*J3496/E3496</f>
        <v>421.9037900528578</v>
      </c>
      <c r="L3496" s="75">
        <f>K3496*'THAM_SO_MOI'!$C$53*'THAM_SO_MOI'!$C$17/'THAM_SO_MOI'!$C$26</f>
        <v>3700.0978896598276</v>
      </c>
      <c r="M3496" s="75">
        <f>'THAM_SO_MOI'!$C$15*'THAM_SO_MOI'!$C$16*F3496^2</f>
        <v>927.923475527028</v>
      </c>
      <c r="N3496" s="75">
        <f>'THAM_SO_MOI'!$C$12*I3496</f>
        <v>1130.112</v>
      </c>
      <c r="O3496" s="75">
        <f>M3496+N3496</f>
        <v>2058.035475527028</v>
      </c>
      <c r="P3496" s="75">
        <f>(MIN(L3496,'THAM_SO_MOI'!$C$41)-O3496)/('THAM_SO_MOI'!$C$11*H3496)</f>
        <v>0.19437291833958326</v>
      </c>
      <c r="Q3496" s="75">
        <f>IF(P3496&gt;0,1/P3496,NA())</f>
        <v>5.144749631494081</v>
      </c>
      <c r="R3496" s="75">
        <f>F3496-F3495</f>
        <v>0.0073885545698715305</v>
      </c>
      <c r="S3496" s="75">
        <f>0.5*(Q3495+Q3496)*R3496</f>
        <v>0.038006311134925246</v>
      </c>
      <c r="T3496" s="75">
        <f>0.5*(F3495*Q3495+F3496*Q3496)*R3496</f>
        <v>0.676797571263712</v>
      </c>
      <c r="U3496" s="76">
        <f>U3495+S3496</f>
        <v>35.94112241043682</v>
      </c>
      <c r="V3496" s="76">
        <f>V3495+T3496</f>
        <v>411.2520495673356</v>
      </c>
    </row>
    <row r="3497" spans="1:22" ht="19" customHeight="1">
      <c r="A3497" s="68" t="s">
        <v>378</v>
      </c>
      <c r="B3497" s="74">
        <v>5</v>
      </c>
      <c r="C3497" s="68" t="s">
        <v>363</v>
      </c>
      <c r="D3497" s="68" t="s">
        <v>364</v>
      </c>
      <c r="E3497" s="75">
        <f>60*F3497*'THAM_SO_MOI'!$C$53/(2*PI()*'THAM_SO_MOI'!$C$26)</f>
        <v>1755.5997434843864</v>
      </c>
      <c r="F3497" s="75">
        <f>'HANH_TRINH'!$F$3289+('THAM_SO_MOI'!$C$14-'HANH_TRINH'!$F$3289)*207/'THAM_SO_MOI'!$C$42</f>
        <v>17.818587140065894</v>
      </c>
      <c r="G3497" s="75">
        <f>3.6*F3497</f>
        <v>64.14691370423722</v>
      </c>
      <c r="H3497" s="75">
        <f>'THAM_SO_MOI'!$D$53</f>
        <v>1.1</v>
      </c>
      <c r="I3497" s="75">
        <f>IF(F3497&gt;'THAM_SO_MOI'!$C$14,'THAM_SO_MOI'!$C$13*(1+F3497^2/1500),'THAM_SO_MOI'!$C$13)</f>
        <v>0.015</v>
      </c>
      <c r="J3497" s="75">
        <f>'THAM_SO_MOI'!$C$40*('THAM_SO_MOI'!$C$23*(E3497/'THAM_SO_MOI'!$C$22)+'THAM_SO_MOI'!$C$24*(E3497/'THAM_SO_MOI'!$C$22)^2-'THAM_SO_MOI'!$C$25*(E3497/'THAM_SO_MOI'!$C$22)^3)</f>
        <v>77.55602219220371</v>
      </c>
      <c r="K3497" s="75">
        <f>'THAM_SO_MOI'!$C$31*J3497/E3497</f>
        <v>421.9328468134179</v>
      </c>
      <c r="L3497" s="75">
        <f>K3497*'THAM_SO_MOI'!$C$53*'THAM_SO_MOI'!$C$17/'THAM_SO_MOI'!$C$26</f>
        <v>3700.3527175636377</v>
      </c>
      <c r="M3497" s="75">
        <f>'THAM_SO_MOI'!$C$15*'THAM_SO_MOI'!$C$16*F3497^2</f>
        <v>928.6934894292559</v>
      </c>
      <c r="N3497" s="75">
        <f>'THAM_SO_MOI'!$C$12*I3497</f>
        <v>1130.112</v>
      </c>
      <c r="O3497" s="75">
        <f>M3497+N3497</f>
        <v>2058.805489429256</v>
      </c>
      <c r="P3497" s="75">
        <f>(MIN(L3497,'THAM_SO_MOI'!$C$41)-O3497)/('THAM_SO_MOI'!$C$11*H3497)</f>
        <v>0.1943119351484827</v>
      </c>
      <c r="Q3497" s="75">
        <f>IF(P3497&gt;0,1/P3497,NA())</f>
        <v>5.14636426854508</v>
      </c>
      <c r="R3497" s="75">
        <f>F3497-F3496</f>
        <v>0.007388554569875083</v>
      </c>
      <c r="S3497" s="75">
        <f>0.5*(Q3496+Q3497)*R3497</f>
        <v>0.03801822831761967</v>
      </c>
      <c r="T3497" s="75">
        <f>0.5*(F3496*Q3496+F3497*Q3497)*R3497</f>
        <v>0.6772906863471967</v>
      </c>
      <c r="U3497" s="76">
        <f>U3496+S3497</f>
        <v>35.97914063875444</v>
      </c>
      <c r="V3497" s="76">
        <f>V3496+T3497</f>
        <v>411.92934025368277</v>
      </c>
    </row>
    <row r="3498" spans="1:22" ht="19" customHeight="1">
      <c r="A3498" s="68" t="s">
        <v>378</v>
      </c>
      <c r="B3498" s="74">
        <v>5</v>
      </c>
      <c r="C3498" s="68" t="s">
        <v>363</v>
      </c>
      <c r="D3498" s="68" t="s">
        <v>364</v>
      </c>
      <c r="E3498" s="75">
        <f>60*F3498*'THAM_SO_MOI'!$C$53/(2*PI()*'THAM_SO_MOI'!$C$26)</f>
        <v>1756.3277105451655</v>
      </c>
      <c r="F3498" s="75">
        <f>'HANH_TRINH'!$F$3289+('THAM_SO_MOI'!$C$14-'HANH_TRINH'!$F$3289)*208/'THAM_SO_MOI'!$C$42</f>
        <v>17.825975694635765</v>
      </c>
      <c r="G3498" s="75">
        <f>3.6*F3498</f>
        <v>64.17351250068876</v>
      </c>
      <c r="H3498" s="75">
        <f>'THAM_SO_MOI'!$D$53</f>
        <v>1.1</v>
      </c>
      <c r="I3498" s="75">
        <f>IF(F3498&gt;'THAM_SO_MOI'!$C$14,'THAM_SO_MOI'!$C$13*(1+F3498^2/1500),'THAM_SO_MOI'!$C$13)</f>
        <v>0.015</v>
      </c>
      <c r="J3498" s="75">
        <f>'THAM_SO_MOI'!$C$40*('THAM_SO_MOI'!$C$23*(E3498/'THAM_SO_MOI'!$C$22)+'THAM_SO_MOI'!$C$24*(E3498/'THAM_SO_MOI'!$C$22)^2-'THAM_SO_MOI'!$C$25*(E3498/'THAM_SO_MOI'!$C$22)^3)</f>
        <v>77.59351485516027</v>
      </c>
      <c r="K3498" s="75">
        <f>'THAM_SO_MOI'!$C$31*J3498/E3498</f>
        <v>421.96185216227235</v>
      </c>
      <c r="L3498" s="75">
        <f>K3498*'THAM_SO_MOI'!$C$53*'THAM_SO_MOI'!$C$17/'THAM_SO_MOI'!$C$26</f>
        <v>3700.607094586588</v>
      </c>
      <c r="M3498" s="75">
        <f>'THAM_SO_MOI'!$C$15*'THAM_SO_MOI'!$C$16*F3498^2</f>
        <v>929.4638226873044</v>
      </c>
      <c r="N3498" s="75">
        <f>'THAM_SO_MOI'!$C$12*I3498</f>
        <v>1130.112</v>
      </c>
      <c r="O3498" s="75">
        <f>M3498+N3498</f>
        <v>2059.5758226873045</v>
      </c>
      <c r="P3498" s="75">
        <f>(MIN(L3498,'THAM_SO_MOI'!$C$41)-O3498)/('THAM_SO_MOI'!$C$11*H3498)</f>
        <v>0.19425086078353263</v>
      </c>
      <c r="Q3498" s="75">
        <f>IF(P3498&gt;0,1/P3498,NA())</f>
        <v>5.147982335658066</v>
      </c>
      <c r="R3498" s="75">
        <f>F3498-F3497</f>
        <v>0.0073885545698715305</v>
      </c>
      <c r="S3498" s="75">
        <f>0.5*(Q3497+Q3498)*R3498</f>
        <v>0.03803017082316331</v>
      </c>
      <c r="T3498" s="75">
        <f>0.5*(F3497*Q3497+F3498*Q3498)*R3498</f>
        <v>0.6777844288432109</v>
      </c>
      <c r="U3498" s="76">
        <f>U3497+S3498</f>
        <v>36.0171708095776</v>
      </c>
      <c r="V3498" s="76">
        <f>V3497+T3498</f>
        <v>412.607124682526</v>
      </c>
    </row>
    <row r="3499" spans="1:22" ht="19" customHeight="1">
      <c r="A3499" s="68" t="s">
        <v>378</v>
      </c>
      <c r="B3499" s="74">
        <v>5</v>
      </c>
      <c r="C3499" s="68" t="s">
        <v>363</v>
      </c>
      <c r="D3499" s="68" t="s">
        <v>364</v>
      </c>
      <c r="E3499" s="75">
        <f>60*F3499*'THAM_SO_MOI'!$C$53/(2*PI()*'THAM_SO_MOI'!$C$26)</f>
        <v>1757.0556776059443</v>
      </c>
      <c r="F3499" s="75">
        <f>'HANH_TRINH'!$F$3289+('THAM_SO_MOI'!$C$14-'HANH_TRINH'!$F$3289)*209/'THAM_SO_MOI'!$C$42</f>
        <v>17.833364249205637</v>
      </c>
      <c r="G3499" s="75">
        <f>3.6*F3499</f>
        <v>64.2001112971403</v>
      </c>
      <c r="H3499" s="75">
        <f>'THAM_SO_MOI'!$D$53</f>
        <v>1.1</v>
      </c>
      <c r="I3499" s="75">
        <f>IF(F3499&gt;'THAM_SO_MOI'!$C$14,'THAM_SO_MOI'!$C$13*(1+F3499^2/1500),'THAM_SO_MOI'!$C$13)</f>
        <v>0.015</v>
      </c>
      <c r="J3499" s="75">
        <f>'THAM_SO_MOI'!$C$40*('THAM_SO_MOI'!$C$23*(E3499/'THAM_SO_MOI'!$C$22)+'THAM_SO_MOI'!$C$24*(E3499/'THAM_SO_MOI'!$C$22)^2-'THAM_SO_MOI'!$C$25*(E3499/'THAM_SO_MOI'!$C$22)^3)</f>
        <v>77.63100248169589</v>
      </c>
      <c r="K3499" s="75">
        <f>'THAM_SO_MOI'!$C$31*J3499/E3499</f>
        <v>421.99080609942143</v>
      </c>
      <c r="L3499" s="75">
        <f>K3499*'THAM_SO_MOI'!$C$53*'THAM_SO_MOI'!$C$17/'THAM_SO_MOI'!$C$26</f>
        <v>3700.8610207286815</v>
      </c>
      <c r="M3499" s="75">
        <f>'THAM_SO_MOI'!$C$15*'THAM_SO_MOI'!$C$16*F3499^2</f>
        <v>930.2344753011738</v>
      </c>
      <c r="N3499" s="75">
        <f>'THAM_SO_MOI'!$C$12*I3499</f>
        <v>1130.112</v>
      </c>
      <c r="O3499" s="75">
        <f>M3499+N3499</f>
        <v>2060.346475301174</v>
      </c>
      <c r="P3499" s="75">
        <f>(MIN(L3499,'THAM_SO_MOI'!$C$41)-O3499)/('THAM_SO_MOI'!$C$11*H3499)</f>
        <v>0.19418969524473337</v>
      </c>
      <c r="Q3499" s="75">
        <f>IF(P3499&gt;0,1/P3499,NA())</f>
        <v>5.149603838348478</v>
      </c>
      <c r="R3499" s="75">
        <f>F3499-F3498</f>
        <v>0.0073885545698715305</v>
      </c>
      <c r="S3499" s="75">
        <f>0.5*(Q3498+Q3499)*R3499</f>
        <v>0.03804213869230097</v>
      </c>
      <c r="T3499" s="75">
        <f>0.5*(F3498*Q3498+F3499*Q3499)*R3499</f>
        <v>0.6782788000395186</v>
      </c>
      <c r="U3499" s="76">
        <f>U3498+S3499</f>
        <v>36.0552129482699</v>
      </c>
      <c r="V3499" s="76">
        <f>V3498+T3499</f>
        <v>413.28540348256547</v>
      </c>
    </row>
    <row r="3500" spans="1:22" ht="19" customHeight="1">
      <c r="A3500" s="68" t="s">
        <v>378</v>
      </c>
      <c r="B3500" s="74">
        <v>5</v>
      </c>
      <c r="C3500" s="68" t="s">
        <v>363</v>
      </c>
      <c r="D3500" s="68" t="s">
        <v>364</v>
      </c>
      <c r="E3500" s="75">
        <f>60*F3500*'THAM_SO_MOI'!$C$53/(2*PI()*'THAM_SO_MOI'!$C$26)</f>
        <v>1757.7836446667236</v>
      </c>
      <c r="F3500" s="75">
        <f>'HANH_TRINH'!$F$3289+('THAM_SO_MOI'!$C$14-'HANH_TRINH'!$F$3289)*210/'THAM_SO_MOI'!$C$42</f>
        <v>17.84075280377551</v>
      </c>
      <c r="G3500" s="75">
        <f>3.6*F3500</f>
        <v>64.22671009359183</v>
      </c>
      <c r="H3500" s="75">
        <f>'THAM_SO_MOI'!$D$53</f>
        <v>1.1</v>
      </c>
      <c r="I3500" s="75">
        <f>IF(F3500&gt;'THAM_SO_MOI'!$C$14,'THAM_SO_MOI'!$C$13*(1+F3500^2/1500),'THAM_SO_MOI'!$C$13)</f>
        <v>0.015</v>
      </c>
      <c r="J3500" s="75">
        <f>'THAM_SO_MOI'!$C$40*('THAM_SO_MOI'!$C$23*(E3500/'THAM_SO_MOI'!$C$22)+'THAM_SO_MOI'!$C$24*(E3500/'THAM_SO_MOI'!$C$22)^2-'THAM_SO_MOI'!$C$25*(E3500/'THAM_SO_MOI'!$C$22)^3)</f>
        <v>77.66848506005508</v>
      </c>
      <c r="K3500" s="75">
        <f>'THAM_SO_MOI'!$C$31*J3500/E3500</f>
        <v>422.0197086248651</v>
      </c>
      <c r="L3500" s="75">
        <f>K3500*'THAM_SO_MOI'!$C$53*'THAM_SO_MOI'!$C$17/'THAM_SO_MOI'!$C$26</f>
        <v>3701.114495989917</v>
      </c>
      <c r="M3500" s="75">
        <f>'THAM_SO_MOI'!$C$15*'THAM_SO_MOI'!$C$16*F3500^2</f>
        <v>931.0054472708644</v>
      </c>
      <c r="N3500" s="75">
        <f>'THAM_SO_MOI'!$C$12*I3500</f>
        <v>1130.112</v>
      </c>
      <c r="O3500" s="75">
        <f>M3500+N3500</f>
        <v>2061.1174472708644</v>
      </c>
      <c r="P3500" s="75">
        <f>(MIN(L3500,'THAM_SO_MOI'!$C$41)-O3500)/('THAM_SO_MOI'!$C$11*H3500)</f>
        <v>0.19412843853208483</v>
      </c>
      <c r="Q3500" s="75">
        <f>IF(P3500&gt;0,1/P3500,NA())</f>
        <v>5.15122878214839</v>
      </c>
      <c r="R3500" s="75">
        <f>F3500-F3499</f>
        <v>0.0073885545698715305</v>
      </c>
      <c r="S3500" s="75">
        <f>0.5*(Q3499+Q3500)*R3500</f>
        <v>0.03805413196582693</v>
      </c>
      <c r="T3500" s="75">
        <f>0.5*(F3499*Q3499+F3500*Q3500)*R3500</f>
        <v>0.6787738012259713</v>
      </c>
      <c r="U3500" s="76">
        <f>U3499+S3500</f>
        <v>36.09326708023573</v>
      </c>
      <c r="V3500" s="76">
        <f>V3499+T3500</f>
        <v>413.96417728379146</v>
      </c>
    </row>
    <row r="3501" spans="1:22" ht="19" customHeight="1">
      <c r="A3501" s="68" t="s">
        <v>378</v>
      </c>
      <c r="B3501" s="74">
        <v>5</v>
      </c>
      <c r="C3501" s="68" t="s">
        <v>363</v>
      </c>
      <c r="D3501" s="68" t="s">
        <v>364</v>
      </c>
      <c r="E3501" s="75">
        <f>60*F3501*'THAM_SO_MOI'!$C$53/(2*PI()*'THAM_SO_MOI'!$C$26)</f>
        <v>1758.511611727502</v>
      </c>
      <c r="F3501" s="75">
        <f>'HANH_TRINH'!$F$3289+('THAM_SO_MOI'!$C$14-'HANH_TRINH'!$F$3289)*211/'THAM_SO_MOI'!$C$42</f>
        <v>17.84814135834538</v>
      </c>
      <c r="G3501" s="75">
        <f>3.6*F3501</f>
        <v>64.25330889004337</v>
      </c>
      <c r="H3501" s="75">
        <f>'THAM_SO_MOI'!$D$53</f>
        <v>1.1</v>
      </c>
      <c r="I3501" s="75">
        <f>IF(F3501&gt;'THAM_SO_MOI'!$C$14,'THAM_SO_MOI'!$C$13*(1+F3501^2/1500),'THAM_SO_MOI'!$C$13)</f>
        <v>0.015</v>
      </c>
      <c r="J3501" s="75">
        <f>'THAM_SO_MOI'!$C$40*('THAM_SO_MOI'!$C$23*(E3501/'THAM_SO_MOI'!$C$22)+'THAM_SO_MOI'!$C$24*(E3501/'THAM_SO_MOI'!$C$22)^2-'THAM_SO_MOI'!$C$25*(E3501/'THAM_SO_MOI'!$C$22)^3)</f>
        <v>77.70596257848223</v>
      </c>
      <c r="K3501" s="75">
        <f>'THAM_SO_MOI'!$C$31*J3501/E3501</f>
        <v>422.04855973860316</v>
      </c>
      <c r="L3501" s="75">
        <f>K3501*'THAM_SO_MOI'!$C$53*'THAM_SO_MOI'!$C$17/'THAM_SO_MOI'!$C$26</f>
        <v>3701.3675203702937</v>
      </c>
      <c r="M3501" s="75">
        <f>'THAM_SO_MOI'!$C$15*'THAM_SO_MOI'!$C$16*F3501^2</f>
        <v>931.7767385963757</v>
      </c>
      <c r="N3501" s="75">
        <f>'THAM_SO_MOI'!$C$12*I3501</f>
        <v>1130.112</v>
      </c>
      <c r="O3501" s="75">
        <f>M3501+N3501</f>
        <v>2061.888738596376</v>
      </c>
      <c r="P3501" s="75">
        <f>(MIN(L3501,'THAM_SO_MOI'!$C$41)-O3501)/('THAM_SO_MOI'!$C$11*H3501)</f>
        <v>0.1940670906455869</v>
      </c>
      <c r="Q3501" s="75">
        <f>IF(P3501&gt;0,1/P3501,NA())</f>
        <v>5.152857172606561</v>
      </c>
      <c r="R3501" s="75">
        <f>F3501-F3500</f>
        <v>0.0073885545698715305</v>
      </c>
      <c r="S3501" s="75">
        <f>0.5*(Q3500+Q3501)*R3501</f>
        <v>0.03806615068467687</v>
      </c>
      <c r="T3501" s="75">
        <f>0.5*(F3500*Q3500+F3501*Q3501)*R3501</f>
        <v>0.6792694336961487</v>
      </c>
      <c r="U3501" s="76">
        <f>U3500+S3501</f>
        <v>36.131333230920404</v>
      </c>
      <c r="V3501" s="76">
        <f>V3500+T3501</f>
        <v>414.6434467174876</v>
      </c>
    </row>
    <row r="3502" spans="1:22" ht="19" customHeight="1">
      <c r="A3502" s="68" t="s">
        <v>378</v>
      </c>
      <c r="B3502" s="74">
        <v>5</v>
      </c>
      <c r="C3502" s="68" t="s">
        <v>363</v>
      </c>
      <c r="D3502" s="68" t="s">
        <v>364</v>
      </c>
      <c r="E3502" s="75">
        <f>60*F3502*'THAM_SO_MOI'!$C$53/(2*PI()*'THAM_SO_MOI'!$C$26)</f>
        <v>1759.2395787882813</v>
      </c>
      <c r="F3502" s="75">
        <f>'HANH_TRINH'!$F$3289+('THAM_SO_MOI'!$C$14-'HANH_TRINH'!$F$3289)*212/'THAM_SO_MOI'!$C$42</f>
        <v>17.85552991291525</v>
      </c>
      <c r="G3502" s="75">
        <f>3.6*F3502</f>
        <v>64.27990768649491</v>
      </c>
      <c r="H3502" s="75">
        <f>'THAM_SO_MOI'!$D$53</f>
        <v>1.1</v>
      </c>
      <c r="I3502" s="75">
        <f>IF(F3502&gt;'THAM_SO_MOI'!$C$14,'THAM_SO_MOI'!$C$13*(1+F3502^2/1500),'THAM_SO_MOI'!$C$13)</f>
        <v>0.015</v>
      </c>
      <c r="J3502" s="75">
        <f>'THAM_SO_MOI'!$C$40*('THAM_SO_MOI'!$C$23*(E3502/'THAM_SO_MOI'!$C$22)+'THAM_SO_MOI'!$C$24*(E3502/'THAM_SO_MOI'!$C$22)^2-'THAM_SO_MOI'!$C$25*(E3502/'THAM_SO_MOI'!$C$22)^3)</f>
        <v>77.74343502522196</v>
      </c>
      <c r="K3502" s="75">
        <f>'THAM_SO_MOI'!$C$31*J3502/E3502</f>
        <v>422.0773594406358</v>
      </c>
      <c r="L3502" s="75">
        <f>K3502*'THAM_SO_MOI'!$C$53*'THAM_SO_MOI'!$C$17/'THAM_SO_MOI'!$C$26</f>
        <v>3701.620093869812</v>
      </c>
      <c r="M3502" s="75">
        <f>'THAM_SO_MOI'!$C$15*'THAM_SO_MOI'!$C$16*F3502^2</f>
        <v>932.5483492777083</v>
      </c>
      <c r="N3502" s="75">
        <f>'THAM_SO_MOI'!$C$12*I3502</f>
        <v>1130.112</v>
      </c>
      <c r="O3502" s="75">
        <f>M3502+N3502</f>
        <v>2062.6603492777085</v>
      </c>
      <c r="P3502" s="75">
        <f>(MIN(L3502,'THAM_SO_MOI'!$C$41)-O3502)/('THAM_SO_MOI'!$C$11*H3502)</f>
        <v>0.19400565158523952</v>
      </c>
      <c r="Q3502" s="75">
        <f>IF(P3502&gt;0,1/P3502,NA())</f>
        <v>5.1544890152884735</v>
      </c>
      <c r="R3502" s="75">
        <f>F3502-F3501</f>
        <v>0.0073885545698715305</v>
      </c>
      <c r="S3502" s="75">
        <f>0.5*(Q3501+Q3502)*R3502</f>
        <v>0.038078194889909885</v>
      </c>
      <c r="T3502" s="75">
        <f>0.5*(F3501*Q3501+F3502*Q3502)*R3502</f>
        <v>0.6797656987470436</v>
      </c>
      <c r="U3502" s="76">
        <f>U3501+S3502</f>
        <v>36.16941142581032</v>
      </c>
      <c r="V3502" s="76">
        <f>V3501+T3502</f>
        <v>415.32321241623464</v>
      </c>
    </row>
    <row r="3503" spans="1:22" ht="19" customHeight="1">
      <c r="A3503" s="68" t="s">
        <v>378</v>
      </c>
      <c r="B3503" s="74">
        <v>5</v>
      </c>
      <c r="C3503" s="68" t="s">
        <v>363</v>
      </c>
      <c r="D3503" s="68" t="s">
        <v>364</v>
      </c>
      <c r="E3503" s="75">
        <f>60*F3503*'THAM_SO_MOI'!$C$53/(2*PI()*'THAM_SO_MOI'!$C$26)</f>
        <v>1759.9675458490601</v>
      </c>
      <c r="F3503" s="75">
        <f>'HANH_TRINH'!$F$3289+('THAM_SO_MOI'!$C$14-'HANH_TRINH'!$F$3289)*213/'THAM_SO_MOI'!$C$42</f>
        <v>17.862918467485123</v>
      </c>
      <c r="G3503" s="75">
        <f>3.6*F3503</f>
        <v>64.30650648294645</v>
      </c>
      <c r="H3503" s="75">
        <f>'THAM_SO_MOI'!$D$53</f>
        <v>1.1</v>
      </c>
      <c r="I3503" s="75">
        <f>IF(F3503&gt;'THAM_SO_MOI'!$C$14,'THAM_SO_MOI'!$C$13*(1+F3503^2/1500),'THAM_SO_MOI'!$C$13)</f>
        <v>0.015</v>
      </c>
      <c r="J3503" s="75">
        <f>'THAM_SO_MOI'!$C$40*('THAM_SO_MOI'!$C$23*(E3503/'THAM_SO_MOI'!$C$22)+'THAM_SO_MOI'!$C$24*(E3503/'THAM_SO_MOI'!$C$22)^2-'THAM_SO_MOI'!$C$25*(E3503/'THAM_SO_MOI'!$C$22)^3)</f>
        <v>77.78090238851868</v>
      </c>
      <c r="K3503" s="75">
        <f>'THAM_SO_MOI'!$C$31*J3503/E3503</f>
        <v>422.1061077309632</v>
      </c>
      <c r="L3503" s="75">
        <f>K3503*'THAM_SO_MOI'!$C$53*'THAM_SO_MOI'!$C$17/'THAM_SO_MOI'!$C$26</f>
        <v>3701.8722164884744</v>
      </c>
      <c r="M3503" s="75">
        <f>'THAM_SO_MOI'!$C$15*'THAM_SO_MOI'!$C$16*F3503^2</f>
        <v>933.3202793148616</v>
      </c>
      <c r="N3503" s="75">
        <f>'THAM_SO_MOI'!$C$12*I3503</f>
        <v>1130.112</v>
      </c>
      <c r="O3503" s="75">
        <f>M3503+N3503</f>
        <v>2063.4322793148617</v>
      </c>
      <c r="P3503" s="75">
        <f>(MIN(L3503,'THAM_SO_MOI'!$C$41)-O3503)/('THAM_SO_MOI'!$C$11*H3503)</f>
        <v>0.19394412135104316</v>
      </c>
      <c r="Q3503" s="75">
        <f>IF(P3503&gt;0,1/P3503,NA())</f>
        <v>5.156124315776387</v>
      </c>
      <c r="R3503" s="75">
        <f>F3503-F3502</f>
        <v>0.0073885545698715305</v>
      </c>
      <c r="S3503" s="75">
        <f>0.5*(Q3502+Q3503)*R3503</f>
        <v>0.0380902646227088</v>
      </c>
      <c r="T3503" s="75">
        <f>0.5*(F3502*Q3502+F3503*Q3503)*R3503</f>
        <v>0.6802625976790728</v>
      </c>
      <c r="U3503" s="76">
        <f>U3502+S3503</f>
        <v>36.20750169043303</v>
      </c>
      <c r="V3503" s="76">
        <f>V3502+T3503</f>
        <v>416.0034750139137</v>
      </c>
    </row>
    <row r="3504" spans="1:22" ht="19" customHeight="1">
      <c r="A3504" s="68" t="s">
        <v>378</v>
      </c>
      <c r="B3504" s="74">
        <v>5</v>
      </c>
      <c r="C3504" s="68" t="s">
        <v>363</v>
      </c>
      <c r="D3504" s="68" t="s">
        <v>364</v>
      </c>
      <c r="E3504" s="75">
        <f>60*F3504*'THAM_SO_MOI'!$C$53/(2*PI()*'THAM_SO_MOI'!$C$26)</f>
        <v>1760.6955129098392</v>
      </c>
      <c r="F3504" s="75">
        <f>'HANH_TRINH'!$F$3289+('THAM_SO_MOI'!$C$14-'HANH_TRINH'!$F$3289)*214/'THAM_SO_MOI'!$C$42</f>
        <v>17.870307022054995</v>
      </c>
      <c r="G3504" s="75">
        <f>3.6*F3504</f>
        <v>64.33310527939798</v>
      </c>
      <c r="H3504" s="75">
        <f>'THAM_SO_MOI'!$D$53</f>
        <v>1.1</v>
      </c>
      <c r="I3504" s="75">
        <f>IF(F3504&gt;'THAM_SO_MOI'!$C$14,'THAM_SO_MOI'!$C$13*(1+F3504^2/1500),'THAM_SO_MOI'!$C$13)</f>
        <v>0.015</v>
      </c>
      <c r="J3504" s="75">
        <f>'THAM_SO_MOI'!$C$40*('THAM_SO_MOI'!$C$23*(E3504/'THAM_SO_MOI'!$C$22)+'THAM_SO_MOI'!$C$24*(E3504/'THAM_SO_MOI'!$C$22)^2-'THAM_SO_MOI'!$C$25*(E3504/'THAM_SO_MOI'!$C$22)^3)</f>
        <v>77.81836465661692</v>
      </c>
      <c r="K3504" s="75">
        <f>'THAM_SO_MOI'!$C$31*J3504/E3504</f>
        <v>422.1348046095852</v>
      </c>
      <c r="L3504" s="75">
        <f>K3504*'THAM_SO_MOI'!$C$53*'THAM_SO_MOI'!$C$17/'THAM_SO_MOI'!$C$26</f>
        <v>3702.1238882262796</v>
      </c>
      <c r="M3504" s="75">
        <f>'THAM_SO_MOI'!$C$15*'THAM_SO_MOI'!$C$16*F3504^2</f>
        <v>934.0925287078362</v>
      </c>
      <c r="N3504" s="75">
        <f>'THAM_SO_MOI'!$C$12*I3504</f>
        <v>1130.112</v>
      </c>
      <c r="O3504" s="75">
        <f>M3504+N3504</f>
        <v>2064.2045287078363</v>
      </c>
      <c r="P3504" s="75">
        <f>(MIN(L3504,'THAM_SO_MOI'!$C$41)-O3504)/('THAM_SO_MOI'!$C$11*H3504)</f>
        <v>0.19388249994299755</v>
      </c>
      <c r="Q3504" s="75">
        <f>IF(P3504&gt;0,1/P3504,NA())</f>
        <v>5.157763079669413</v>
      </c>
      <c r="R3504" s="75">
        <f>F3504-F3503</f>
        <v>0.0073885545698715305</v>
      </c>
      <c r="S3504" s="75">
        <f>0.5*(Q3503+Q3504)*R3504</f>
        <v>0.03810235992438072</v>
      </c>
      <c r="T3504" s="75">
        <f>0.5*(F3503*Q3503+F3504*Q3504)*R3504</f>
        <v>0.6807601317960895</v>
      </c>
      <c r="U3504" s="76">
        <f>U3503+S3504</f>
        <v>36.24560405035741</v>
      </c>
      <c r="V3504" s="76">
        <f>V3503+T3504</f>
        <v>416.6842351457098</v>
      </c>
    </row>
    <row r="3505" spans="1:22" ht="19" customHeight="1">
      <c r="A3505" s="68" t="s">
        <v>378</v>
      </c>
      <c r="B3505" s="74">
        <v>5</v>
      </c>
      <c r="C3505" s="68" t="s">
        <v>363</v>
      </c>
      <c r="D3505" s="68" t="s">
        <v>364</v>
      </c>
      <c r="E3505" s="75">
        <f>60*F3505*'THAM_SO_MOI'!$C$53/(2*PI()*'THAM_SO_MOI'!$C$26)</f>
        <v>1761.423479970618</v>
      </c>
      <c r="F3505" s="75">
        <f>'HANH_TRINH'!$F$3289+('THAM_SO_MOI'!$C$14-'HANH_TRINH'!$F$3289)*215/'THAM_SO_MOI'!$C$42</f>
        <v>17.87769557662487</v>
      </c>
      <c r="G3505" s="75">
        <f>3.6*F3505</f>
        <v>64.35970407584954</v>
      </c>
      <c r="H3505" s="75">
        <f>'THAM_SO_MOI'!$D$53</f>
        <v>1.1</v>
      </c>
      <c r="I3505" s="75">
        <f>IF(F3505&gt;'THAM_SO_MOI'!$C$14,'THAM_SO_MOI'!$C$13*(1+F3505^2/1500),'THAM_SO_MOI'!$C$13)</f>
        <v>0.015</v>
      </c>
      <c r="J3505" s="75">
        <f>'THAM_SO_MOI'!$C$40*('THAM_SO_MOI'!$C$23*(E3505/'THAM_SO_MOI'!$C$22)+'THAM_SO_MOI'!$C$24*(E3505/'THAM_SO_MOI'!$C$22)^2-'THAM_SO_MOI'!$C$25*(E3505/'THAM_SO_MOI'!$C$22)^3)</f>
        <v>77.8558218177611</v>
      </c>
      <c r="K3505" s="75">
        <f>'THAM_SO_MOI'!$C$31*J3505/E3505</f>
        <v>422.16345007650165</v>
      </c>
      <c r="L3505" s="75">
        <f>K3505*'THAM_SO_MOI'!$C$53*'THAM_SO_MOI'!$C$17/'THAM_SO_MOI'!$C$26</f>
        <v>3702.3751090832257</v>
      </c>
      <c r="M3505" s="75">
        <f>'THAM_SO_MOI'!$C$15*'THAM_SO_MOI'!$C$16*F3505^2</f>
        <v>934.865097456632</v>
      </c>
      <c r="N3505" s="75">
        <f>'THAM_SO_MOI'!$C$12*I3505</f>
        <v>1130.112</v>
      </c>
      <c r="O3505" s="75">
        <f>M3505+N3505</f>
        <v>2064.9770974566322</v>
      </c>
      <c r="P3505" s="75">
        <f>(MIN(L3505,'THAM_SO_MOI'!$C$41)-O3505)/('THAM_SO_MOI'!$C$11*H3505)</f>
        <v>0.19382078736110245</v>
      </c>
      <c r="Q3505" s="75">
        <f>IF(P3505&gt;0,1/P3505,NA())</f>
        <v>5.159405312583558</v>
      </c>
      <c r="R3505" s="75">
        <f>F3505-F3504</f>
        <v>0.007388554569875083</v>
      </c>
      <c r="S3505" s="75">
        <f>0.5*(Q3504+Q3505)*R3505</f>
        <v>0.038114480836375725</v>
      </c>
      <c r="T3505" s="75">
        <f>0.5*(F3504*Q3504+F3505*Q3505)*R3505</f>
        <v>0.6812583024057236</v>
      </c>
      <c r="U3505" s="76">
        <f>U3504+S3505</f>
        <v>36.283718531193784</v>
      </c>
      <c r="V3505" s="76">
        <f>V3504+T3505</f>
        <v>417.36549344811556</v>
      </c>
    </row>
    <row r="3506" spans="1:22" ht="19" customHeight="1">
      <c r="A3506" s="68" t="s">
        <v>378</v>
      </c>
      <c r="B3506" s="74">
        <v>5</v>
      </c>
      <c r="C3506" s="68" t="s">
        <v>363</v>
      </c>
      <c r="D3506" s="68" t="s">
        <v>364</v>
      </c>
      <c r="E3506" s="75">
        <f>60*F3506*'THAM_SO_MOI'!$C$53/(2*PI()*'THAM_SO_MOI'!$C$26)</f>
        <v>1762.1514470313973</v>
      </c>
      <c r="F3506" s="75">
        <f>'HANH_TRINH'!$F$3289+('THAM_SO_MOI'!$C$14-'HANH_TRINH'!$F$3289)*216/'THAM_SO_MOI'!$C$42</f>
        <v>17.88508413119474</v>
      </c>
      <c r="G3506" s="75">
        <f>3.6*F3506</f>
        <v>64.38630287230107</v>
      </c>
      <c r="H3506" s="75">
        <f>'THAM_SO_MOI'!$D$53</f>
        <v>1.1</v>
      </c>
      <c r="I3506" s="75">
        <f>IF(F3506&gt;'THAM_SO_MOI'!$C$14,'THAM_SO_MOI'!$C$13*(1+F3506^2/1500),'THAM_SO_MOI'!$C$13)</f>
        <v>0.015</v>
      </c>
      <c r="J3506" s="75">
        <f>'THAM_SO_MOI'!$C$40*('THAM_SO_MOI'!$C$23*(E3506/'THAM_SO_MOI'!$C$22)+'THAM_SO_MOI'!$C$24*(E3506/'THAM_SO_MOI'!$C$22)^2-'THAM_SO_MOI'!$C$25*(E3506/'THAM_SO_MOI'!$C$22)^3)</f>
        <v>77.89327386019576</v>
      </c>
      <c r="K3506" s="75">
        <f>'THAM_SO_MOI'!$C$31*J3506/E3506</f>
        <v>422.1920441317128</v>
      </c>
      <c r="L3506" s="75">
        <f>K3506*'THAM_SO_MOI'!$C$53*'THAM_SO_MOI'!$C$17/'THAM_SO_MOI'!$C$26</f>
        <v>3702.625879059315</v>
      </c>
      <c r="M3506" s="75">
        <f>'THAM_SO_MOI'!$C$15*'THAM_SO_MOI'!$C$16*F3506^2</f>
        <v>935.6379855612483</v>
      </c>
      <c r="N3506" s="75">
        <f>'THAM_SO_MOI'!$C$12*I3506</f>
        <v>1130.112</v>
      </c>
      <c r="O3506" s="75">
        <f>M3506+N3506</f>
        <v>2065.7499855612486</v>
      </c>
      <c r="P3506" s="75">
        <f>(MIN(L3506,'THAM_SO_MOI'!$C$41)-O3506)/('THAM_SO_MOI'!$C$11*H3506)</f>
        <v>0.19375898360535831</v>
      </c>
      <c r="Q3506" s="75">
        <f>IF(P3506&gt;0,1/P3506,NA())</f>
        <v>5.1610510201517465</v>
      </c>
      <c r="R3506" s="75">
        <f>F3506-F3505</f>
        <v>0.0073885545698715305</v>
      </c>
      <c r="S3506" s="75">
        <f>0.5*(Q3505+Q3506)*R3506</f>
        <v>0.038126627400195505</v>
      </c>
      <c r="T3506" s="75">
        <f>0.5*(F3505*Q3505+F3506*Q3506)*R3506</f>
        <v>0.6817571108177535</v>
      </c>
      <c r="U3506" s="76">
        <f>U3505+S3506</f>
        <v>36.32184515859398</v>
      </c>
      <c r="V3506" s="76">
        <f>V3505+T3506</f>
        <v>418.0472505589333</v>
      </c>
    </row>
    <row r="3507" spans="1:22" ht="19" customHeight="1">
      <c r="A3507" s="68" t="s">
        <v>378</v>
      </c>
      <c r="B3507" s="74">
        <v>5</v>
      </c>
      <c r="C3507" s="68" t="s">
        <v>363</v>
      </c>
      <c r="D3507" s="68" t="s">
        <v>364</v>
      </c>
      <c r="E3507" s="75">
        <f>60*F3507*'THAM_SO_MOI'!$C$53/(2*PI()*'THAM_SO_MOI'!$C$26)</f>
        <v>1762.8794140921761</v>
      </c>
      <c r="F3507" s="75">
        <f>'HANH_TRINH'!$F$3289+('THAM_SO_MOI'!$C$14-'HANH_TRINH'!$F$3289)*217/'THAM_SO_MOI'!$C$42</f>
        <v>17.892472685764613</v>
      </c>
      <c r="G3507" s="75">
        <f>3.6*F3507</f>
        <v>64.41290166875261</v>
      </c>
      <c r="H3507" s="75">
        <f>'THAM_SO_MOI'!$D$53</f>
        <v>1.1</v>
      </c>
      <c r="I3507" s="75">
        <f>IF(F3507&gt;'THAM_SO_MOI'!$C$14,'THAM_SO_MOI'!$C$13*(1+F3507^2/1500),'THAM_SO_MOI'!$C$13)</f>
        <v>0.015</v>
      </c>
      <c r="J3507" s="75">
        <f>'THAM_SO_MOI'!$C$40*('THAM_SO_MOI'!$C$23*(E3507/'THAM_SO_MOI'!$C$22)+'THAM_SO_MOI'!$C$24*(E3507/'THAM_SO_MOI'!$C$22)^2-'THAM_SO_MOI'!$C$25*(E3507/'THAM_SO_MOI'!$C$22)^3)</f>
        <v>77.93072077216533</v>
      </c>
      <c r="K3507" s="75">
        <f>'THAM_SO_MOI'!$C$31*J3507/E3507</f>
        <v>422.22058677521835</v>
      </c>
      <c r="L3507" s="75">
        <f>K3507*'THAM_SO_MOI'!$C$53*'THAM_SO_MOI'!$C$17/'THAM_SO_MOI'!$C$26</f>
        <v>3702.8761981545454</v>
      </c>
      <c r="M3507" s="75">
        <f>'THAM_SO_MOI'!$C$15*'THAM_SO_MOI'!$C$16*F3507^2</f>
        <v>936.4111930216859</v>
      </c>
      <c r="N3507" s="75">
        <f>'THAM_SO_MOI'!$C$12*I3507</f>
        <v>1130.112</v>
      </c>
      <c r="O3507" s="75">
        <f>M3507+N3507</f>
        <v>2066.523193021686</v>
      </c>
      <c r="P3507" s="75">
        <f>(MIN(L3507,'THAM_SO_MOI'!$C$41)-O3507)/('THAM_SO_MOI'!$C$11*H3507)</f>
        <v>0.1936970886757646</v>
      </c>
      <c r="Q3507" s="75">
        <f>IF(P3507&gt;0,1/P3507,NA())</f>
        <v>5.162700208023932</v>
      </c>
      <c r="R3507" s="75">
        <f>F3507-F3506</f>
        <v>0.0073885545698715305</v>
      </c>
      <c r="S3507" s="75">
        <f>0.5*(Q3506+Q3507)*R3507</f>
        <v>0.03813879965757712</v>
      </c>
      <c r="T3507" s="75">
        <f>0.5*(F3506*Q3506+F3507*Q3507)*R3507</f>
        <v>0.6822565583473937</v>
      </c>
      <c r="U3507" s="76">
        <f>U3506+S3507</f>
        <v>36.359983958251554</v>
      </c>
      <c r="V3507" s="76">
        <f>V3506+T3507</f>
        <v>418.72950711728066</v>
      </c>
    </row>
    <row r="3508" spans="1:22" ht="19" customHeight="1">
      <c r="A3508" s="68" t="s">
        <v>378</v>
      </c>
      <c r="B3508" s="74">
        <v>5</v>
      </c>
      <c r="C3508" s="68" t="s">
        <v>363</v>
      </c>
      <c r="D3508" s="68" t="s">
        <v>364</v>
      </c>
      <c r="E3508" s="75">
        <f>60*F3508*'THAM_SO_MOI'!$C$53/(2*PI()*'THAM_SO_MOI'!$C$26)</f>
        <v>1763.6073811529554</v>
      </c>
      <c r="F3508" s="75">
        <f>'HANH_TRINH'!$F$3289+('THAM_SO_MOI'!$C$14-'HANH_TRINH'!$F$3289)*218/'THAM_SO_MOI'!$C$42</f>
        <v>17.899861240334484</v>
      </c>
      <c r="G3508" s="75">
        <f>3.6*F3508</f>
        <v>64.43950046520415</v>
      </c>
      <c r="H3508" s="75">
        <f>'THAM_SO_MOI'!$D$53</f>
        <v>1.1</v>
      </c>
      <c r="I3508" s="75">
        <f>IF(F3508&gt;'THAM_SO_MOI'!$C$14,'THAM_SO_MOI'!$C$13*(1+F3508^2/1500),'THAM_SO_MOI'!$C$13)</f>
        <v>0.015</v>
      </c>
      <c r="J3508" s="75">
        <f>'THAM_SO_MOI'!$C$40*('THAM_SO_MOI'!$C$23*(E3508/'THAM_SO_MOI'!$C$22)+'THAM_SO_MOI'!$C$24*(E3508/'THAM_SO_MOI'!$C$22)^2-'THAM_SO_MOI'!$C$25*(E3508/'THAM_SO_MOI'!$C$22)^3)</f>
        <v>77.96816254191438</v>
      </c>
      <c r="K3508" s="75">
        <f>'THAM_SO_MOI'!$C$31*J3508/E3508</f>
        <v>422.2490780070186</v>
      </c>
      <c r="L3508" s="75">
        <f>K3508*'THAM_SO_MOI'!$C$53*'THAM_SO_MOI'!$C$17/'THAM_SO_MOI'!$C$26</f>
        <v>3703.126066368919</v>
      </c>
      <c r="M3508" s="75">
        <f>'THAM_SO_MOI'!$C$15*'THAM_SO_MOI'!$C$16*F3508^2</f>
        <v>937.1847198379443</v>
      </c>
      <c r="N3508" s="75">
        <f>'THAM_SO_MOI'!$C$12*I3508</f>
        <v>1130.112</v>
      </c>
      <c r="O3508" s="75">
        <f>M3508+N3508</f>
        <v>2067.2967198379442</v>
      </c>
      <c r="P3508" s="75">
        <f>(MIN(L3508,'THAM_SO_MOI'!$C$41)-O3508)/('THAM_SO_MOI'!$C$11*H3508)</f>
        <v>0.19363510257232183</v>
      </c>
      <c r="Q3508" s="75">
        <f>IF(P3508&gt;0,1/P3508,NA())</f>
        <v>5.1643528818670905</v>
      </c>
      <c r="R3508" s="75">
        <f>F3508-F3507</f>
        <v>0.0073885545698715305</v>
      </c>
      <c r="S3508" s="75">
        <f>0.5*(Q3507+Q3508)*R3508</f>
        <v>0.03815099765031012</v>
      </c>
      <c r="T3508" s="75">
        <f>0.5*(F3507*Q3507+F3508*Q3508)*R3508</f>
        <v>0.6827566463120323</v>
      </c>
      <c r="U3508" s="76">
        <f>U3507+S3508</f>
        <v>36.39813495590187</v>
      </c>
      <c r="V3508" s="76">
        <f>V3507+T3508</f>
        <v>419.4122637635927</v>
      </c>
    </row>
    <row r="3509" spans="1:22" ht="19" customHeight="1">
      <c r="A3509" s="68" t="s">
        <v>378</v>
      </c>
      <c r="B3509" s="74">
        <v>5</v>
      </c>
      <c r="C3509" s="68" t="s">
        <v>363</v>
      </c>
      <c r="D3509" s="68" t="s">
        <v>364</v>
      </c>
      <c r="E3509" s="75">
        <f>60*F3509*'THAM_SO_MOI'!$C$53/(2*PI()*'THAM_SO_MOI'!$C$26)</f>
        <v>1764.3353482137338</v>
      </c>
      <c r="F3509" s="75">
        <f>'HANH_TRINH'!$F$3289+('THAM_SO_MOI'!$C$14-'HANH_TRINH'!$F$3289)*219/'THAM_SO_MOI'!$C$42</f>
        <v>17.907249794904356</v>
      </c>
      <c r="G3509" s="75">
        <f>3.6*F3509</f>
        <v>64.46609926165569</v>
      </c>
      <c r="H3509" s="75">
        <f>'THAM_SO_MOI'!$D$53</f>
        <v>1.1</v>
      </c>
      <c r="I3509" s="75">
        <f>IF(F3509&gt;'THAM_SO_MOI'!$C$14,'THAM_SO_MOI'!$C$13*(1+F3509^2/1500),'THAM_SO_MOI'!$C$13)</f>
        <v>0.015</v>
      </c>
      <c r="J3509" s="75">
        <f>'THAM_SO_MOI'!$C$40*('THAM_SO_MOI'!$C$23*(E3509/'THAM_SO_MOI'!$C$22)+'THAM_SO_MOI'!$C$24*(E3509/'THAM_SO_MOI'!$C$22)^2-'THAM_SO_MOI'!$C$25*(E3509/'THAM_SO_MOI'!$C$22)^3)</f>
        <v>78.00559915768724</v>
      </c>
      <c r="K3509" s="75">
        <f>'THAM_SO_MOI'!$C$31*J3509/E3509</f>
        <v>422.2775178271132</v>
      </c>
      <c r="L3509" s="75">
        <f>K3509*'THAM_SO_MOI'!$C$53*'THAM_SO_MOI'!$C$17/'THAM_SO_MOI'!$C$26</f>
        <v>3703.3754837024326</v>
      </c>
      <c r="M3509" s="75">
        <f>'THAM_SO_MOI'!$C$15*'THAM_SO_MOI'!$C$16*F3509^2</f>
        <v>937.9585660100238</v>
      </c>
      <c r="N3509" s="75">
        <f>'THAM_SO_MOI'!$C$12*I3509</f>
        <v>1130.112</v>
      </c>
      <c r="O3509" s="75">
        <f>M3509+N3509</f>
        <v>2068.070566010024</v>
      </c>
      <c r="P3509" s="75">
        <f>(MIN(L3509,'THAM_SO_MOI'!$C$41)-O3509)/('THAM_SO_MOI'!$C$11*H3509)</f>
        <v>0.19357302529502943</v>
      </c>
      <c r="Q3509" s="75">
        <f>IF(P3509&gt;0,1/P3509,NA())</f>
        <v>5.16600904736533</v>
      </c>
      <c r="R3509" s="75">
        <f>F3509-F3508</f>
        <v>0.0073885545698715305</v>
      </c>
      <c r="S3509" s="75">
        <f>0.5*(Q3508+Q3509)*R3509</f>
        <v>0.03816322142032854</v>
      </c>
      <c r="T3509" s="75">
        <f>0.5*(F3508*Q3508+F3509*Q3509)*R3509</f>
        <v>0.6832573760328792</v>
      </c>
      <c r="U3509" s="76">
        <f>U3508+S3509</f>
        <v>36.43629817732219</v>
      </c>
      <c r="V3509" s="76">
        <f>V3508+T3509</f>
        <v>420.0955211396256</v>
      </c>
    </row>
    <row r="3510" spans="1:22" ht="19" customHeight="1">
      <c r="A3510" s="68" t="s">
        <v>378</v>
      </c>
      <c r="B3510" s="74">
        <v>5</v>
      </c>
      <c r="C3510" s="68" t="s">
        <v>363</v>
      </c>
      <c r="D3510" s="68" t="s">
        <v>364</v>
      </c>
      <c r="E3510" s="75">
        <f>60*F3510*'THAM_SO_MOI'!$C$53/(2*PI()*'THAM_SO_MOI'!$C$26)</f>
        <v>1765.063315274513</v>
      </c>
      <c r="F3510" s="75">
        <f>'HANH_TRINH'!$F$3289+('THAM_SO_MOI'!$C$14-'HANH_TRINH'!$F$3289)*220/'THAM_SO_MOI'!$C$42</f>
        <v>17.914638349474227</v>
      </c>
      <c r="G3510" s="75">
        <f>3.6*F3510</f>
        <v>64.49269805810722</v>
      </c>
      <c r="H3510" s="75">
        <f>'THAM_SO_MOI'!$D$53</f>
        <v>1.1</v>
      </c>
      <c r="I3510" s="75">
        <f>IF(F3510&gt;'THAM_SO_MOI'!$C$14,'THAM_SO_MOI'!$C$13*(1+F3510^2/1500),'THAM_SO_MOI'!$C$13)</f>
        <v>0.015</v>
      </c>
      <c r="J3510" s="75">
        <f>'THAM_SO_MOI'!$C$40*('THAM_SO_MOI'!$C$23*(E3510/'THAM_SO_MOI'!$C$22)+'THAM_SO_MOI'!$C$24*(E3510/'THAM_SO_MOI'!$C$22)^2-'THAM_SO_MOI'!$C$25*(E3510/'THAM_SO_MOI'!$C$22)^3)</f>
        <v>78.04303060772858</v>
      </c>
      <c r="K3510" s="75">
        <f>'THAM_SO_MOI'!$C$31*J3510/E3510</f>
        <v>422.3059062355026</v>
      </c>
      <c r="L3510" s="75">
        <f>K3510*'THAM_SO_MOI'!$C$53*'THAM_SO_MOI'!$C$17/'THAM_SO_MOI'!$C$26</f>
        <v>3703.6244501550905</v>
      </c>
      <c r="M3510" s="75">
        <f>'THAM_SO_MOI'!$C$15*'THAM_SO_MOI'!$C$16*F3510^2</f>
        <v>938.7327315379241</v>
      </c>
      <c r="N3510" s="75">
        <f>'THAM_SO_MOI'!$C$12*I3510</f>
        <v>1130.112</v>
      </c>
      <c r="O3510" s="75">
        <f>M3510+N3510</f>
        <v>2068.8447315379244</v>
      </c>
      <c r="P3510" s="75">
        <f>(MIN(L3510,'THAM_SO_MOI'!$C$41)-O3510)/('THAM_SO_MOI'!$C$11*H3510)</f>
        <v>0.19351085684388808</v>
      </c>
      <c r="Q3510" s="75">
        <f>IF(P3510&gt;0,1/P3510,NA())</f>
        <v>5.1676687102198855</v>
      </c>
      <c r="R3510" s="75">
        <f>F3510-F3509</f>
        <v>0.0073885545698715305</v>
      </c>
      <c r="S3510" s="75">
        <f>0.5*(Q3509+Q3510)*R3510</f>
        <v>0.03817547100969302</v>
      </c>
      <c r="T3510" s="75">
        <f>0.5*(F3509*Q3509+F3510*Q3510)*R3510</f>
        <v>0.6837587488346506</v>
      </c>
      <c r="U3510" s="76">
        <f>U3509+S3510</f>
        <v>36.47447364833189</v>
      </c>
      <c r="V3510" s="76">
        <f>V3509+T3510</f>
        <v>420.7792798884602</v>
      </c>
    </row>
    <row r="3511" spans="1:22" ht="19" customHeight="1">
      <c r="A3511" s="68" t="s">
        <v>378</v>
      </c>
      <c r="B3511" s="74">
        <v>5</v>
      </c>
      <c r="C3511" s="68" t="s">
        <v>363</v>
      </c>
      <c r="D3511" s="68" t="s">
        <v>364</v>
      </c>
      <c r="E3511" s="75">
        <f>60*F3511*'THAM_SO_MOI'!$C$53/(2*PI()*'THAM_SO_MOI'!$C$26)</f>
        <v>1765.7912823352917</v>
      </c>
      <c r="F3511" s="75">
        <f>'HANH_TRINH'!$F$3289+('THAM_SO_MOI'!$C$14-'HANH_TRINH'!$F$3289)*221/'THAM_SO_MOI'!$C$42</f>
        <v>17.9220269040441</v>
      </c>
      <c r="G3511" s="75">
        <f>3.6*F3511</f>
        <v>64.51929685455876</v>
      </c>
      <c r="H3511" s="75">
        <f>'THAM_SO_MOI'!$D$53</f>
        <v>1.1</v>
      </c>
      <c r="I3511" s="75">
        <f>IF(F3511&gt;'THAM_SO_MOI'!$C$14,'THAM_SO_MOI'!$C$13*(1+F3511^2/1500),'THAM_SO_MOI'!$C$13)</f>
        <v>0.015</v>
      </c>
      <c r="J3511" s="75">
        <f>'THAM_SO_MOI'!$C$40*('THAM_SO_MOI'!$C$23*(E3511/'THAM_SO_MOI'!$C$22)+'THAM_SO_MOI'!$C$24*(E3511/'THAM_SO_MOI'!$C$22)^2-'THAM_SO_MOI'!$C$25*(E3511/'THAM_SO_MOI'!$C$22)^3)</f>
        <v>78.08045688028277</v>
      </c>
      <c r="K3511" s="75">
        <f>'THAM_SO_MOI'!$C$31*J3511/E3511</f>
        <v>422.3342432321865</v>
      </c>
      <c r="L3511" s="75">
        <f>K3511*'THAM_SO_MOI'!$C$53*'THAM_SO_MOI'!$C$17/'THAM_SO_MOI'!$C$26</f>
        <v>3703.8729657268896</v>
      </c>
      <c r="M3511" s="75">
        <f>'THAM_SO_MOI'!$C$15*'THAM_SO_MOI'!$C$16*F3511^2</f>
        <v>939.5072164216456</v>
      </c>
      <c r="N3511" s="75">
        <f>'THAM_SO_MOI'!$C$12*I3511</f>
        <v>1130.112</v>
      </c>
      <c r="O3511" s="75">
        <f>M3511+N3511</f>
        <v>2069.6192164216454</v>
      </c>
      <c r="P3511" s="75">
        <f>(MIN(L3511,'THAM_SO_MOI'!$C$41)-O3511)/('THAM_SO_MOI'!$C$11*H3511)</f>
        <v>0.19344859721889726</v>
      </c>
      <c r="Q3511" s="75">
        <f>IF(P3511&gt;0,1/P3511,NA())</f>
        <v>5.1693318761492355</v>
      </c>
      <c r="R3511" s="75">
        <f>F3511-F3510</f>
        <v>0.0073885545698715305</v>
      </c>
      <c r="S3511" s="75">
        <f>0.5*(Q3510+Q3511)*R3511</f>
        <v>0.038187746460591136</v>
      </c>
      <c r="T3511" s="75">
        <f>0.5*(F3510*Q3510+F3511*Q3511)*R3511</f>
        <v>0.684260766045581</v>
      </c>
      <c r="U3511" s="76">
        <f>U3510+S3511</f>
        <v>36.51266139479248</v>
      </c>
      <c r="V3511" s="76">
        <f>V3510+T3511</f>
        <v>421.4635406545058</v>
      </c>
    </row>
    <row r="3512" spans="1:22" ht="19" customHeight="1">
      <c r="A3512" s="68" t="s">
        <v>378</v>
      </c>
      <c r="B3512" s="74">
        <v>5</v>
      </c>
      <c r="C3512" s="68" t="s">
        <v>363</v>
      </c>
      <c r="D3512" s="68" t="s">
        <v>364</v>
      </c>
      <c r="E3512" s="75">
        <f>60*F3512*'THAM_SO_MOI'!$C$53/(2*PI()*'THAM_SO_MOI'!$C$26)</f>
        <v>1766.5192493960715</v>
      </c>
      <c r="F3512" s="75">
        <f>'HANH_TRINH'!$F$3289+('THAM_SO_MOI'!$C$14-'HANH_TRINH'!$F$3289)*222/'THAM_SO_MOI'!$C$42</f>
        <v>17.929415458613974</v>
      </c>
      <c r="G3512" s="75">
        <f>3.6*F3512</f>
        <v>64.54589565101031</v>
      </c>
      <c r="H3512" s="75">
        <f>'THAM_SO_MOI'!$D$53</f>
        <v>1.1</v>
      </c>
      <c r="I3512" s="75">
        <f>IF(F3512&gt;'THAM_SO_MOI'!$C$14,'THAM_SO_MOI'!$C$13*(1+F3512^2/1500),'THAM_SO_MOI'!$C$13)</f>
        <v>0.015</v>
      </c>
      <c r="J3512" s="75">
        <f>'THAM_SO_MOI'!$C$40*('THAM_SO_MOI'!$C$23*(E3512/'THAM_SO_MOI'!$C$22)+'THAM_SO_MOI'!$C$24*(E3512/'THAM_SO_MOI'!$C$22)^2-'THAM_SO_MOI'!$C$25*(E3512/'THAM_SO_MOI'!$C$22)^3)</f>
        <v>78.11787796359437</v>
      </c>
      <c r="K3512" s="75">
        <f>'THAM_SO_MOI'!$C$31*J3512/E3512</f>
        <v>422.362528817165</v>
      </c>
      <c r="L3512" s="75">
        <f>K3512*'THAM_SO_MOI'!$C$53*'THAM_SO_MOI'!$C$17/'THAM_SO_MOI'!$C$26</f>
        <v>3704.121030417832</v>
      </c>
      <c r="M3512" s="75">
        <f>'THAM_SO_MOI'!$C$15*'THAM_SO_MOI'!$C$16*F3512^2</f>
        <v>940.2820206611884</v>
      </c>
      <c r="N3512" s="75">
        <f>'THAM_SO_MOI'!$C$12*I3512</f>
        <v>1130.112</v>
      </c>
      <c r="O3512" s="75">
        <f>M3512+N3512</f>
        <v>2070.3940206611887</v>
      </c>
      <c r="P3512" s="75">
        <f>(MIN(L3512,'THAM_SO_MOI'!$C$41)-O3512)/('THAM_SO_MOI'!$C$11*H3512)</f>
        <v>0.19338624642005722</v>
      </c>
      <c r="Q3512" s="75">
        <f>IF(P3512&gt;0,1/P3512,NA())</f>
        <v>5.1709985508891085</v>
      </c>
      <c r="R3512" s="75">
        <f>F3512-F3511</f>
        <v>0.007388554569875083</v>
      </c>
      <c r="S3512" s="75">
        <f>0.5*(Q3511+Q3512)*R3512</f>
        <v>0.03820004781535626</v>
      </c>
      <c r="T3512" s="75">
        <f>0.5*(F3511*Q3511+F3512*Q3512)*R3512</f>
        <v>0.6847634289977651</v>
      </c>
      <c r="U3512" s="76">
        <f>U3511+S3512</f>
        <v>36.55086144260784</v>
      </c>
      <c r="V3512" s="76">
        <f>V3511+T3512</f>
        <v>422.14830408350355</v>
      </c>
    </row>
    <row r="3513" spans="1:22" ht="19" customHeight="1">
      <c r="A3513" s="68" t="s">
        <v>378</v>
      </c>
      <c r="B3513" s="74">
        <v>5</v>
      </c>
      <c r="C3513" s="68" t="s">
        <v>363</v>
      </c>
      <c r="D3513" s="68" t="s">
        <v>364</v>
      </c>
      <c r="E3513" s="75">
        <f>60*F3513*'THAM_SO_MOI'!$C$53/(2*PI()*'THAM_SO_MOI'!$C$26)</f>
        <v>1767.2472164568499</v>
      </c>
      <c r="F3513" s="75">
        <f>'HANH_TRINH'!$F$3289+('THAM_SO_MOI'!$C$14-'HANH_TRINH'!$F$3289)*223/'THAM_SO_MOI'!$C$42</f>
        <v>17.936804013183846</v>
      </c>
      <c r="G3513" s="75">
        <f>3.6*F3513</f>
        <v>64.57249444746185</v>
      </c>
      <c r="H3513" s="75">
        <f>'THAM_SO_MOI'!$D$53</f>
        <v>1.1</v>
      </c>
      <c r="I3513" s="75">
        <f>IF(F3513&gt;'THAM_SO_MOI'!$C$14,'THAM_SO_MOI'!$C$13*(1+F3513^2/1500),'THAM_SO_MOI'!$C$13)</f>
        <v>0.015</v>
      </c>
      <c r="J3513" s="75">
        <f>'THAM_SO_MOI'!$C$40*('THAM_SO_MOI'!$C$23*(E3513/'THAM_SO_MOI'!$C$22)+'THAM_SO_MOI'!$C$24*(E3513/'THAM_SO_MOI'!$C$22)^2-'THAM_SO_MOI'!$C$25*(E3513/'THAM_SO_MOI'!$C$22)^3)</f>
        <v>78.15529384590775</v>
      </c>
      <c r="K3513" s="75">
        <f>'THAM_SO_MOI'!$C$31*J3513/E3513</f>
        <v>422.390762990438</v>
      </c>
      <c r="L3513" s="75">
        <f>K3513*'THAM_SO_MOI'!$C$53*'THAM_SO_MOI'!$C$17/'THAM_SO_MOI'!$C$26</f>
        <v>3704.368644227916</v>
      </c>
      <c r="M3513" s="75">
        <f>'THAM_SO_MOI'!$C$15*'THAM_SO_MOI'!$C$16*F3513^2</f>
        <v>941.0571442565519</v>
      </c>
      <c r="N3513" s="75">
        <f>'THAM_SO_MOI'!$C$12*I3513</f>
        <v>1130.112</v>
      </c>
      <c r="O3513" s="75">
        <f>M3513+N3513</f>
        <v>2071.169144256552</v>
      </c>
      <c r="P3513" s="75">
        <f>(MIN(L3513,'THAM_SO_MOI'!$C$41)-O3513)/('THAM_SO_MOI'!$C$11*H3513)</f>
        <v>0.19332380444736788</v>
      </c>
      <c r="Q3513" s="75">
        <f>IF(P3513&gt;0,1/P3513,NA())</f>
        <v>5.172668740192564</v>
      </c>
      <c r="R3513" s="75">
        <f>F3513-F3512</f>
        <v>0.0073885545698715305</v>
      </c>
      <c r="S3513" s="75">
        <f>0.5*(Q3512+Q3513)*R3513</f>
        <v>0.03821237511637608</v>
      </c>
      <c r="T3513" s="75">
        <f>0.5*(F3512*Q3512+F3513*Q3513)*R3513</f>
        <v>0.685266739025522</v>
      </c>
      <c r="U3513" s="76">
        <f>U3512+S3513</f>
        <v>36.58907381772421</v>
      </c>
      <c r="V3513" s="76">
        <f>V3512+T3513</f>
        <v>422.83357082252905</v>
      </c>
    </row>
    <row r="3514" spans="1:22" ht="19" customHeight="1">
      <c r="A3514" s="68" t="s">
        <v>378</v>
      </c>
      <c r="B3514" s="74">
        <v>5</v>
      </c>
      <c r="C3514" s="68" t="s">
        <v>363</v>
      </c>
      <c r="D3514" s="68" t="s">
        <v>364</v>
      </c>
      <c r="E3514" s="75">
        <f>60*F3514*'THAM_SO_MOI'!$C$53/(2*PI()*'THAM_SO_MOI'!$C$26)</f>
        <v>1767.9751835176291</v>
      </c>
      <c r="F3514" s="75">
        <f>'HANH_TRINH'!$F$3289+('THAM_SO_MOI'!$C$14-'HANH_TRINH'!$F$3289)*224/'THAM_SO_MOI'!$C$42</f>
        <v>17.944192567753717</v>
      </c>
      <c r="G3514" s="75">
        <f>3.6*F3514</f>
        <v>64.59909324391339</v>
      </c>
      <c r="H3514" s="75">
        <f>'THAM_SO_MOI'!$D$53</f>
        <v>1.1</v>
      </c>
      <c r="I3514" s="75">
        <f>IF(F3514&gt;'THAM_SO_MOI'!$C$14,'THAM_SO_MOI'!$C$13*(1+F3514^2/1500),'THAM_SO_MOI'!$C$13)</f>
        <v>0.015</v>
      </c>
      <c r="J3514" s="75">
        <f>'THAM_SO_MOI'!$C$40*('THAM_SO_MOI'!$C$23*(E3514/'THAM_SO_MOI'!$C$22)+'THAM_SO_MOI'!$C$24*(E3514/'THAM_SO_MOI'!$C$22)^2-'THAM_SO_MOI'!$C$25*(E3514/'THAM_SO_MOI'!$C$22)^3)</f>
        <v>78.19270451546751</v>
      </c>
      <c r="K3514" s="75">
        <f>'THAM_SO_MOI'!$C$31*J3514/E3514</f>
        <v>422.41894575200564</v>
      </c>
      <c r="L3514" s="75">
        <f>K3514*'THAM_SO_MOI'!$C$53*'THAM_SO_MOI'!$C$17/'THAM_SO_MOI'!$C$26</f>
        <v>3704.615807157142</v>
      </c>
      <c r="M3514" s="75">
        <f>'THAM_SO_MOI'!$C$15*'THAM_SO_MOI'!$C$16*F3514^2</f>
        <v>941.8325872077363</v>
      </c>
      <c r="N3514" s="75">
        <f>'THAM_SO_MOI'!$C$12*I3514</f>
        <v>1130.112</v>
      </c>
      <c r="O3514" s="75">
        <f>M3514+N3514</f>
        <v>2071.9445872077363</v>
      </c>
      <c r="P3514" s="75">
        <f>(MIN(L3514,'THAM_SO_MOI'!$C$41)-O3514)/('THAM_SO_MOI'!$C$11*H3514)</f>
        <v>0.1932612713008293</v>
      </c>
      <c r="Q3514" s="75">
        <f>IF(P3514&gt;0,1/P3514,NA())</f>
        <v>5.174342449830035</v>
      </c>
      <c r="R3514" s="75">
        <f>F3514-F3513</f>
        <v>0.0073885545698715305</v>
      </c>
      <c r="S3514" s="75">
        <f>0.5*(Q3513+Q3514)*R3514</f>
        <v>0.038224728406276665</v>
      </c>
      <c r="T3514" s="75">
        <f>0.5*(F3513*Q3513+F3514*Q3514)*R3514</f>
        <v>0.6857706974687013</v>
      </c>
      <c r="U3514" s="76">
        <f>U3513+S3514</f>
        <v>36.62729854613049</v>
      </c>
      <c r="V3514" s="76">
        <f>V3513+T3514</f>
        <v>423.51934151999774</v>
      </c>
    </row>
    <row r="3515" spans="1:22" ht="19" customHeight="1">
      <c r="A3515" s="68" t="s">
        <v>378</v>
      </c>
      <c r="B3515" s="74">
        <v>5</v>
      </c>
      <c r="C3515" s="68" t="s">
        <v>363</v>
      </c>
      <c r="D3515" s="68" t="s">
        <v>364</v>
      </c>
      <c r="E3515" s="75">
        <f>60*F3515*'THAM_SO_MOI'!$C$53/(2*PI()*'THAM_SO_MOI'!$C$26)</f>
        <v>1768.703150578408</v>
      </c>
      <c r="F3515" s="75">
        <f>'HANH_TRINH'!$F$3289+('THAM_SO_MOI'!$C$14-'HANH_TRINH'!$F$3289)*225/'THAM_SO_MOI'!$C$42</f>
        <v>17.95158112232359</v>
      </c>
      <c r="G3515" s="75">
        <f>3.6*F3515</f>
        <v>64.62569204036492</v>
      </c>
      <c r="H3515" s="75">
        <f>'THAM_SO_MOI'!$D$53</f>
        <v>1.1</v>
      </c>
      <c r="I3515" s="75">
        <f>IF(F3515&gt;'THAM_SO_MOI'!$C$14,'THAM_SO_MOI'!$C$13*(1+F3515^2/1500),'THAM_SO_MOI'!$C$13)</f>
        <v>0.015</v>
      </c>
      <c r="J3515" s="75">
        <f>'THAM_SO_MOI'!$C$40*('THAM_SO_MOI'!$C$23*(E3515/'THAM_SO_MOI'!$C$22)+'THAM_SO_MOI'!$C$24*(E3515/'THAM_SO_MOI'!$C$22)^2-'THAM_SO_MOI'!$C$25*(E3515/'THAM_SO_MOI'!$C$22)^3)</f>
        <v>78.23010996051808</v>
      </c>
      <c r="K3515" s="75">
        <f>'THAM_SO_MOI'!$C$31*J3515/E3515</f>
        <v>422.4470771018679</v>
      </c>
      <c r="L3515" s="75">
        <f>K3515*'THAM_SO_MOI'!$C$53*'THAM_SO_MOI'!$C$17/'THAM_SO_MOI'!$C$26</f>
        <v>3704.8625192055115</v>
      </c>
      <c r="M3515" s="75">
        <f>'THAM_SO_MOI'!$C$15*'THAM_SO_MOI'!$C$16*F3515^2</f>
        <v>942.6083495147417</v>
      </c>
      <c r="N3515" s="75">
        <f>'THAM_SO_MOI'!$C$12*I3515</f>
        <v>1130.112</v>
      </c>
      <c r="O3515" s="75">
        <f>M3515+N3515</f>
        <v>2072.720349514742</v>
      </c>
      <c r="P3515" s="75">
        <f>(MIN(L3515,'THAM_SO_MOI'!$C$41)-O3515)/('THAM_SO_MOI'!$C$11*H3515)</f>
        <v>0.19319864698044148</v>
      </c>
      <c r="Q3515" s="75">
        <f>IF(P3515&gt;0,1/P3515,NA())</f>
        <v>5.176019685589389</v>
      </c>
      <c r="R3515" s="75">
        <f>F3515-F3514</f>
        <v>0.0073885545698715305</v>
      </c>
      <c r="S3515" s="75">
        <f>0.5*(Q3514+Q3515)*R3515</f>
        <v>0.038237107727739215</v>
      </c>
      <c r="T3515" s="75">
        <f>0.5*(F3514*Q3514+F3515*Q3515)*R3515</f>
        <v>0.6862753056694012</v>
      </c>
      <c r="U3515" s="76">
        <f>U3514+S3515</f>
        <v>36.66553565385823</v>
      </c>
      <c r="V3515" s="76">
        <f>V3514+T3515</f>
        <v>424.20561682566716</v>
      </c>
    </row>
    <row r="3516" spans="1:22" ht="19" customHeight="1">
      <c r="A3516" s="68" t="s">
        <v>378</v>
      </c>
      <c r="B3516" s="74">
        <v>5</v>
      </c>
      <c r="C3516" s="68" t="s">
        <v>363</v>
      </c>
      <c r="D3516" s="68" t="s">
        <v>364</v>
      </c>
      <c r="E3516" s="75">
        <f>60*F3516*'THAM_SO_MOI'!$C$53/(2*PI()*'THAM_SO_MOI'!$C$26)</f>
        <v>1769.431117639187</v>
      </c>
      <c r="F3516" s="75">
        <f>'HANH_TRINH'!$F$3289+('THAM_SO_MOI'!$C$14-'HANH_TRINH'!$F$3289)*226/'THAM_SO_MOI'!$C$42</f>
        <v>17.95896967689346</v>
      </c>
      <c r="G3516" s="75">
        <f>3.6*F3516</f>
        <v>64.65229083681646</v>
      </c>
      <c r="H3516" s="75">
        <f>'THAM_SO_MOI'!$D$53</f>
        <v>1.1</v>
      </c>
      <c r="I3516" s="75">
        <f>IF(F3516&gt;'THAM_SO_MOI'!$C$14,'THAM_SO_MOI'!$C$13*(1+F3516^2/1500),'THAM_SO_MOI'!$C$13)</f>
        <v>0.015</v>
      </c>
      <c r="J3516" s="75">
        <f>'THAM_SO_MOI'!$C$40*('THAM_SO_MOI'!$C$23*(E3516/'THAM_SO_MOI'!$C$22)+'THAM_SO_MOI'!$C$24*(E3516/'THAM_SO_MOI'!$C$22)^2-'THAM_SO_MOI'!$C$25*(E3516/'THAM_SO_MOI'!$C$22)^3)</f>
        <v>78.26751016930395</v>
      </c>
      <c r="K3516" s="75">
        <f>'THAM_SO_MOI'!$C$31*J3516/E3516</f>
        <v>422.4751570400246</v>
      </c>
      <c r="L3516" s="75">
        <f>K3516*'THAM_SO_MOI'!$C$53*'THAM_SO_MOI'!$C$17/'THAM_SO_MOI'!$C$26</f>
        <v>3705.1087803730215</v>
      </c>
      <c r="M3516" s="75">
        <f>'THAM_SO_MOI'!$C$15*'THAM_SO_MOI'!$C$16*F3516^2</f>
        <v>943.3844311775681</v>
      </c>
      <c r="N3516" s="75">
        <f>'THAM_SO_MOI'!$C$12*I3516</f>
        <v>1130.112</v>
      </c>
      <c r="O3516" s="75">
        <f>M3516+N3516</f>
        <v>2073.4964311775684</v>
      </c>
      <c r="P3516" s="75">
        <f>(MIN(L3516,'THAM_SO_MOI'!$C$41)-O3516)/('THAM_SO_MOI'!$C$11*H3516)</f>
        <v>0.1931359314862042</v>
      </c>
      <c r="Q3516" s="75">
        <f>IF(P3516&gt;0,1/P3516,NA())</f>
        <v>5.17770045327599</v>
      </c>
      <c r="R3516" s="75">
        <f>F3516-F3515</f>
        <v>0.0073885545698715305</v>
      </c>
      <c r="S3516" s="75">
        <f>0.5*(Q3515+Q3516)*R3516</f>
        <v>0.038249513123592344</v>
      </c>
      <c r="T3516" s="75">
        <f>0.5*(F3515*Q3515+F3516*Q3516)*R3516</f>
        <v>0.6867805649736284</v>
      </c>
      <c r="U3516" s="76">
        <f>U3515+S3516</f>
        <v>36.703785166981824</v>
      </c>
      <c r="V3516" s="76">
        <f>V3515+T3516</f>
        <v>424.8923973906408</v>
      </c>
    </row>
    <row r="3517" spans="1:22" ht="19" customHeight="1">
      <c r="A3517" s="68" t="s">
        <v>378</v>
      </c>
      <c r="B3517" s="74">
        <v>5</v>
      </c>
      <c r="C3517" s="68" t="s">
        <v>363</v>
      </c>
      <c r="D3517" s="68" t="s">
        <v>364</v>
      </c>
      <c r="E3517" s="75">
        <f>60*F3517*'THAM_SO_MOI'!$C$53/(2*PI()*'THAM_SO_MOI'!$C$26)</f>
        <v>1770.1590846999654</v>
      </c>
      <c r="F3517" s="75">
        <f>'HANH_TRINH'!$F$3289+('THAM_SO_MOI'!$C$14-'HANH_TRINH'!$F$3289)*227/'THAM_SO_MOI'!$C$42</f>
        <v>17.96635823146333</v>
      </c>
      <c r="G3517" s="75">
        <f>3.6*F3517</f>
        <v>64.678889633268</v>
      </c>
      <c r="H3517" s="75">
        <f>'THAM_SO_MOI'!$D$53</f>
        <v>1.1</v>
      </c>
      <c r="I3517" s="75">
        <f>IF(F3517&gt;'THAM_SO_MOI'!$C$14,'THAM_SO_MOI'!$C$13*(1+F3517^2/1500),'THAM_SO_MOI'!$C$13)</f>
        <v>0.015</v>
      </c>
      <c r="J3517" s="75">
        <f>'THAM_SO_MOI'!$C$40*('THAM_SO_MOI'!$C$23*(E3517/'THAM_SO_MOI'!$C$22)+'THAM_SO_MOI'!$C$24*(E3517/'THAM_SO_MOI'!$C$22)^2-'THAM_SO_MOI'!$C$25*(E3517/'THAM_SO_MOI'!$C$22)^3)</f>
        <v>78.30490513006959</v>
      </c>
      <c r="K3517" s="75">
        <f>'THAM_SO_MOI'!$C$31*J3517/E3517</f>
        <v>422.503185566476</v>
      </c>
      <c r="L3517" s="75">
        <f>K3517*'THAM_SO_MOI'!$C$53*'THAM_SO_MOI'!$C$17/'THAM_SO_MOI'!$C$26</f>
        <v>3705.354590659675</v>
      </c>
      <c r="M3517" s="75">
        <f>'THAM_SO_MOI'!$C$15*'THAM_SO_MOI'!$C$16*F3517^2</f>
        <v>944.1608321962154</v>
      </c>
      <c r="N3517" s="75">
        <f>'THAM_SO_MOI'!$C$12*I3517</f>
        <v>1130.112</v>
      </c>
      <c r="O3517" s="75">
        <f>M3517+N3517</f>
        <v>2074.2728321962154</v>
      </c>
      <c r="P3517" s="75">
        <f>(MIN(L3517,'THAM_SO_MOI'!$C$41)-O3517)/('THAM_SO_MOI'!$C$11*H3517)</f>
        <v>0.19307312481811786</v>
      </c>
      <c r="Q3517" s="75">
        <f>IF(P3517&gt;0,1/P3517,NA())</f>
        <v>5.179384758712729</v>
      </c>
      <c r="R3517" s="75">
        <f>F3517-F3516</f>
        <v>0.0073885545698715305</v>
      </c>
      <c r="S3517" s="75">
        <f>0.5*(Q3516+Q3517)*R3517</f>
        <v>0.03826194463679405</v>
      </c>
      <c r="T3517" s="75">
        <f>0.5*(F3516*Q3516+F3517*Q3517)*R3517</f>
        <v>0.6872864767309793</v>
      </c>
      <c r="U3517" s="76">
        <f>U3516+S3517</f>
        <v>36.74204711161862</v>
      </c>
      <c r="V3517" s="76">
        <f>V3516+T3517</f>
        <v>425.5796838673718</v>
      </c>
    </row>
    <row r="3518" spans="1:22" ht="19" customHeight="1">
      <c r="A3518" s="68" t="s">
        <v>378</v>
      </c>
      <c r="B3518" s="74">
        <v>5</v>
      </c>
      <c r="C3518" s="68" t="s">
        <v>363</v>
      </c>
      <c r="D3518" s="68" t="s">
        <v>364</v>
      </c>
      <c r="E3518" s="75">
        <f>60*F3518*'THAM_SO_MOI'!$C$53/(2*PI()*'THAM_SO_MOI'!$C$26)</f>
        <v>1770.8870517607447</v>
      </c>
      <c r="F3518" s="75">
        <f>'HANH_TRINH'!$F$3289+('THAM_SO_MOI'!$C$14-'HANH_TRINH'!$F$3289)*228/'THAM_SO_MOI'!$C$42</f>
        <v>17.973746786033203</v>
      </c>
      <c r="G3518" s="75">
        <f>3.6*F3518</f>
        <v>64.70548842971954</v>
      </c>
      <c r="H3518" s="75">
        <f>'THAM_SO_MOI'!$D$53</f>
        <v>1.1</v>
      </c>
      <c r="I3518" s="75">
        <f>IF(F3518&gt;'THAM_SO_MOI'!$C$14,'THAM_SO_MOI'!$C$13*(1+F3518^2/1500),'THAM_SO_MOI'!$C$13)</f>
        <v>0.015</v>
      </c>
      <c r="J3518" s="75">
        <f>'THAM_SO_MOI'!$C$40*('THAM_SO_MOI'!$C$23*(E3518/'THAM_SO_MOI'!$C$22)+'THAM_SO_MOI'!$C$24*(E3518/'THAM_SO_MOI'!$C$22)^2-'THAM_SO_MOI'!$C$25*(E3518/'THAM_SO_MOI'!$C$22)^3)</f>
        <v>78.3422948310595</v>
      </c>
      <c r="K3518" s="75">
        <f>'THAM_SO_MOI'!$C$31*J3518/E3518</f>
        <v>422.5311626812218</v>
      </c>
      <c r="L3518" s="75">
        <f>K3518*'THAM_SO_MOI'!$C$53*'THAM_SO_MOI'!$C$17/'THAM_SO_MOI'!$C$26</f>
        <v>3705.5999500654693</v>
      </c>
      <c r="M3518" s="75">
        <f>'THAM_SO_MOI'!$C$15*'THAM_SO_MOI'!$C$16*F3518^2</f>
        <v>944.9375525706839</v>
      </c>
      <c r="N3518" s="75">
        <f>'THAM_SO_MOI'!$C$12*I3518</f>
        <v>1130.112</v>
      </c>
      <c r="O3518" s="75">
        <f>M3518+N3518</f>
        <v>2075.0495525706838</v>
      </c>
      <c r="P3518" s="75">
        <f>(MIN(L3518,'THAM_SO_MOI'!$C$41)-O3518)/('THAM_SO_MOI'!$C$11*H3518)</f>
        <v>0.19301022697618195</v>
      </c>
      <c r="Q3518" s="75">
        <f>IF(P3518&gt;0,1/P3518,NA())</f>
        <v>5.181072607740123</v>
      </c>
      <c r="R3518" s="75">
        <f>F3518-F3517</f>
        <v>0.0073885545698715305</v>
      </c>
      <c r="S3518" s="75">
        <f>0.5*(Q3517+Q3518)*R3518</f>
        <v>0.03827440231043219</v>
      </c>
      <c r="T3518" s="75">
        <f>0.5*(F3517*Q3517+F3518*Q3518)*R3518</f>
        <v>0.6877930422946537</v>
      </c>
      <c r="U3518" s="76">
        <f>U3517+S3518</f>
        <v>36.78032151392905</v>
      </c>
      <c r="V3518" s="76">
        <f>V3517+T3518</f>
        <v>426.2674769096664</v>
      </c>
    </row>
    <row r="3519" spans="1:22" ht="19" customHeight="1">
      <c r="A3519" s="68" t="s">
        <v>378</v>
      </c>
      <c r="B3519" s="74">
        <v>5</v>
      </c>
      <c r="C3519" s="68" t="s">
        <v>363</v>
      </c>
      <c r="D3519" s="68" t="s">
        <v>364</v>
      </c>
      <c r="E3519" s="75">
        <f>60*F3519*'THAM_SO_MOI'!$C$53/(2*PI()*'THAM_SO_MOI'!$C$26)</f>
        <v>1771.6150188215236</v>
      </c>
      <c r="F3519" s="75">
        <f>'HANH_TRINH'!$F$3289+('THAM_SO_MOI'!$C$14-'HANH_TRINH'!$F$3289)*229/'THAM_SO_MOI'!$C$42</f>
        <v>17.981135340603075</v>
      </c>
      <c r="G3519" s="75">
        <f>3.6*F3519</f>
        <v>64.73208722617107</v>
      </c>
      <c r="H3519" s="75">
        <f>'THAM_SO_MOI'!$D$53</f>
        <v>1.1</v>
      </c>
      <c r="I3519" s="75">
        <f>IF(F3519&gt;'THAM_SO_MOI'!$C$14,'THAM_SO_MOI'!$C$13*(1+F3519^2/1500),'THAM_SO_MOI'!$C$13)</f>
        <v>0.015</v>
      </c>
      <c r="J3519" s="75">
        <f>'THAM_SO_MOI'!$C$40*('THAM_SO_MOI'!$C$23*(E3519/'THAM_SO_MOI'!$C$22)+'THAM_SO_MOI'!$C$24*(E3519/'THAM_SO_MOI'!$C$22)^2-'THAM_SO_MOI'!$C$25*(E3519/'THAM_SO_MOI'!$C$22)^3)</f>
        <v>78.3796792605182</v>
      </c>
      <c r="K3519" s="75">
        <f>'THAM_SO_MOI'!$C$31*J3519/E3519</f>
        <v>422.55908838426234</v>
      </c>
      <c r="L3519" s="75">
        <f>K3519*'THAM_SO_MOI'!$C$53*'THAM_SO_MOI'!$C$17/'THAM_SO_MOI'!$C$26</f>
        <v>3705.8448585904075</v>
      </c>
      <c r="M3519" s="75">
        <f>'THAM_SO_MOI'!$C$15*'THAM_SO_MOI'!$C$16*F3519^2</f>
        <v>945.7145923009733</v>
      </c>
      <c r="N3519" s="75">
        <f>'THAM_SO_MOI'!$C$12*I3519</f>
        <v>1130.112</v>
      </c>
      <c r="O3519" s="75">
        <f>M3519+N3519</f>
        <v>2075.8265923009735</v>
      </c>
      <c r="P3519" s="75">
        <f>(MIN(L3519,'THAM_SO_MOI'!$C$41)-O3519)/('THAM_SO_MOI'!$C$11*H3519)</f>
        <v>0.192947237960397</v>
      </c>
      <c r="Q3519" s="75">
        <f>IF(P3519&gt;0,1/P3519,NA())</f>
        <v>5.182764006216316</v>
      </c>
      <c r="R3519" s="75">
        <f>F3519-F3518</f>
        <v>0.0073885545698715305</v>
      </c>
      <c r="S3519" s="75">
        <f>0.5*(Q3518+Q3519)*R3519</f>
        <v>0.03828688618772487</v>
      </c>
      <c r="T3519" s="75">
        <f>0.5*(F3518*Q3518+F3519*Q3519)*R3519</f>
        <v>0.6883002630214661</v>
      </c>
      <c r="U3519" s="76">
        <f>U3518+S3519</f>
        <v>36.81860840011678</v>
      </c>
      <c r="V3519" s="76">
        <f>V3518+T3519</f>
        <v>426.9557771726879</v>
      </c>
    </row>
    <row r="3520" spans="1:22" ht="19" customHeight="1">
      <c r="A3520" s="68" t="s">
        <v>378</v>
      </c>
      <c r="B3520" s="74">
        <v>5</v>
      </c>
      <c r="C3520" s="68" t="s">
        <v>363</v>
      </c>
      <c r="D3520" s="68" t="s">
        <v>364</v>
      </c>
      <c r="E3520" s="75">
        <f>60*F3520*'THAM_SO_MOI'!$C$53/(2*PI()*'THAM_SO_MOI'!$C$26)</f>
        <v>1772.342985882303</v>
      </c>
      <c r="F3520" s="75">
        <f>'HANH_TRINH'!$F$3289+('THAM_SO_MOI'!$C$14-'HANH_TRINH'!$F$3289)*230/'THAM_SO_MOI'!$C$42</f>
        <v>17.98852389517295</v>
      </c>
      <c r="G3520" s="75">
        <f>3.6*F3520</f>
        <v>64.75868602262263</v>
      </c>
      <c r="H3520" s="75">
        <f>'THAM_SO_MOI'!$D$53</f>
        <v>1.1</v>
      </c>
      <c r="I3520" s="75">
        <f>IF(F3520&gt;'THAM_SO_MOI'!$C$14,'THAM_SO_MOI'!$C$13*(1+F3520^2/1500),'THAM_SO_MOI'!$C$13)</f>
        <v>0.015</v>
      </c>
      <c r="J3520" s="75">
        <f>'THAM_SO_MOI'!$C$40*('THAM_SO_MOI'!$C$23*(E3520/'THAM_SO_MOI'!$C$22)+'THAM_SO_MOI'!$C$24*(E3520/'THAM_SO_MOI'!$C$22)^2-'THAM_SO_MOI'!$C$25*(E3520/'THAM_SO_MOI'!$C$22)^3)</f>
        <v>78.41705840669015</v>
      </c>
      <c r="K3520" s="75">
        <f>'THAM_SO_MOI'!$C$31*J3520/E3520</f>
        <v>422.5869626755974</v>
      </c>
      <c r="L3520" s="75">
        <f>K3520*'THAM_SO_MOI'!$C$53*'THAM_SO_MOI'!$C$17/'THAM_SO_MOI'!$C$26</f>
        <v>3706.0893162344873</v>
      </c>
      <c r="M3520" s="75">
        <f>'THAM_SO_MOI'!$C$15*'THAM_SO_MOI'!$C$16*F3520^2</f>
        <v>946.4919513870841</v>
      </c>
      <c r="N3520" s="75">
        <f>'THAM_SO_MOI'!$C$12*I3520</f>
        <v>1130.112</v>
      </c>
      <c r="O3520" s="75">
        <f>M3520+N3520</f>
        <v>2076.603951387084</v>
      </c>
      <c r="P3520" s="75">
        <f>(MIN(L3520,'THAM_SO_MOI'!$C$41)-O3520)/('THAM_SO_MOI'!$C$11*H3520)</f>
        <v>0.19288415777076268</v>
      </c>
      <c r="Q3520" s="75">
        <f>IF(P3520&gt;0,1/P3520,NA())</f>
        <v>5.18445896001719</v>
      </c>
      <c r="R3520" s="75">
        <f>F3520-F3519</f>
        <v>0.007388554569875083</v>
      </c>
      <c r="S3520" s="75">
        <f>0.5*(Q3519+Q3520)*R3520</f>
        <v>0.03829939631203924</v>
      </c>
      <c r="T3520" s="75">
        <f>0.5*(F3519*Q3519+F3520*Q3520)*R3520</f>
        <v>0.6888081402721894</v>
      </c>
      <c r="U3520" s="76">
        <f>U3519+S3520</f>
        <v>36.85690779642882</v>
      </c>
      <c r="V3520" s="76">
        <f>V3519+T3520</f>
        <v>427.6445853129601</v>
      </c>
    </row>
    <row r="3521" spans="1:22" ht="19" customHeight="1">
      <c r="A3521" s="68" t="s">
        <v>378</v>
      </c>
      <c r="B3521" s="74">
        <v>5</v>
      </c>
      <c r="C3521" s="68" t="s">
        <v>363</v>
      </c>
      <c r="D3521" s="68" t="s">
        <v>364</v>
      </c>
      <c r="E3521" s="75">
        <f>60*F3521*'THAM_SO_MOI'!$C$53/(2*PI()*'THAM_SO_MOI'!$C$26)</f>
        <v>1773.0709529430817</v>
      </c>
      <c r="F3521" s="75">
        <f>'HANH_TRINH'!$F$3289+('THAM_SO_MOI'!$C$14-'HANH_TRINH'!$F$3289)*231/'THAM_SO_MOI'!$C$42</f>
        <v>17.99591244974282</v>
      </c>
      <c r="G3521" s="75">
        <f>3.6*F3521</f>
        <v>64.78528481907416</v>
      </c>
      <c r="H3521" s="75">
        <f>'THAM_SO_MOI'!$D$53</f>
        <v>1.1</v>
      </c>
      <c r="I3521" s="75">
        <f>IF(F3521&gt;'THAM_SO_MOI'!$C$14,'THAM_SO_MOI'!$C$13*(1+F3521^2/1500),'THAM_SO_MOI'!$C$13)</f>
        <v>0.015</v>
      </c>
      <c r="J3521" s="75">
        <f>'THAM_SO_MOI'!$C$40*('THAM_SO_MOI'!$C$23*(E3521/'THAM_SO_MOI'!$C$22)+'THAM_SO_MOI'!$C$24*(E3521/'THAM_SO_MOI'!$C$22)^2-'THAM_SO_MOI'!$C$25*(E3521/'THAM_SO_MOI'!$C$22)^3)</f>
        <v>78.45443225781978</v>
      </c>
      <c r="K3521" s="75">
        <f>'THAM_SO_MOI'!$C$31*J3521/E3521</f>
        <v>422.614785555227</v>
      </c>
      <c r="L3521" s="75">
        <f>K3521*'THAM_SO_MOI'!$C$53*'THAM_SO_MOI'!$C$17/'THAM_SO_MOI'!$C$26</f>
        <v>3706.3333229977084</v>
      </c>
      <c r="M3521" s="75">
        <f>'THAM_SO_MOI'!$C$15*'THAM_SO_MOI'!$C$16*F3521^2</f>
        <v>947.2696298290153</v>
      </c>
      <c r="N3521" s="75">
        <f>'THAM_SO_MOI'!$C$12*I3521</f>
        <v>1130.112</v>
      </c>
      <c r="O3521" s="75">
        <f>M3521+N3521</f>
        <v>2077.3816298290153</v>
      </c>
      <c r="P3521" s="75">
        <f>(MIN(L3521,'THAM_SO_MOI'!$C$41)-O3521)/('THAM_SO_MOI'!$C$11*H3521)</f>
        <v>0.19282098640727902</v>
      </c>
      <c r="Q3521" s="75">
        <f>IF(P3521&gt;0,1/P3521,NA())</f>
        <v>5.186157475036389</v>
      </c>
      <c r="R3521" s="75">
        <f>F3521-F3520</f>
        <v>0.0073885545698715305</v>
      </c>
      <c r="S3521" s="75">
        <f>0.5*(Q3520+Q3521)*R3521</f>
        <v>0.03831193272679996</v>
      </c>
      <c r="T3521" s="75">
        <f>0.5*(F3520*Q3520+F3521*Q3521)*R3521</f>
        <v>0.6893166754099117</v>
      </c>
      <c r="U3521" s="76">
        <f>U3520+S3521</f>
        <v>36.89521972915562</v>
      </c>
      <c r="V3521" s="76">
        <f>V3520+T3521</f>
        <v>428.33390198837</v>
      </c>
    </row>
    <row r="3522" spans="1:22" ht="19" customHeight="1">
      <c r="A3522" s="68" t="s">
        <v>378</v>
      </c>
      <c r="B3522" s="74">
        <v>5</v>
      </c>
      <c r="C3522" s="68" t="s">
        <v>363</v>
      </c>
      <c r="D3522" s="68" t="s">
        <v>364</v>
      </c>
      <c r="E3522" s="75">
        <f>60*F3522*'THAM_SO_MOI'!$C$53/(2*PI()*'THAM_SO_MOI'!$C$26)</f>
        <v>1773.7989200038608</v>
      </c>
      <c r="F3522" s="75">
        <f>'HANH_TRINH'!$F$3289+('THAM_SO_MOI'!$C$14-'HANH_TRINH'!$F$3289)*232/'THAM_SO_MOI'!$C$42</f>
        <v>18.003301004312693</v>
      </c>
      <c r="G3522" s="75">
        <f>3.6*F3522</f>
        <v>64.8118836155257</v>
      </c>
      <c r="H3522" s="75">
        <f>'THAM_SO_MOI'!$D$53</f>
        <v>1.1</v>
      </c>
      <c r="I3522" s="75">
        <f>IF(F3522&gt;'THAM_SO_MOI'!$C$14,'THAM_SO_MOI'!$C$13*(1+F3522^2/1500),'THAM_SO_MOI'!$C$13)</f>
        <v>0.015</v>
      </c>
      <c r="J3522" s="75">
        <f>'THAM_SO_MOI'!$C$40*('THAM_SO_MOI'!$C$23*(E3522/'THAM_SO_MOI'!$C$22)+'THAM_SO_MOI'!$C$24*(E3522/'THAM_SO_MOI'!$C$22)^2-'THAM_SO_MOI'!$C$25*(E3522/'THAM_SO_MOI'!$C$22)^3)</f>
        <v>78.49180080215164</v>
      </c>
      <c r="K3522" s="75">
        <f>'THAM_SO_MOI'!$C$31*J3522/E3522</f>
        <v>422.64255702315126</v>
      </c>
      <c r="L3522" s="75">
        <f>K3522*'THAM_SO_MOI'!$C$53*'THAM_SO_MOI'!$C$17/'THAM_SO_MOI'!$C$26</f>
        <v>3706.576878880073</v>
      </c>
      <c r="M3522" s="75">
        <f>'THAM_SO_MOI'!$C$15*'THAM_SO_MOI'!$C$16*F3522^2</f>
        <v>948.0476276267678</v>
      </c>
      <c r="N3522" s="75">
        <f>'THAM_SO_MOI'!$C$12*I3522</f>
        <v>1130.112</v>
      </c>
      <c r="O3522" s="75">
        <f>M3522+N3522</f>
        <v>2078.159627626768</v>
      </c>
      <c r="P3522" s="75">
        <f>(MIN(L3522,'THAM_SO_MOI'!$C$41)-O3522)/('THAM_SO_MOI'!$C$11*H3522)</f>
        <v>0.19275772386994613</v>
      </c>
      <c r="Q3522" s="75">
        <f>IF(P3522&gt;0,1/P3522,NA())</f>
        <v>5.187859557185377</v>
      </c>
      <c r="R3522" s="75">
        <f>F3522-F3521</f>
        <v>0.0073885545698715305</v>
      </c>
      <c r="S3522" s="75">
        <f>0.5*(Q3521+Q3522)*R3522</f>
        <v>0.038324495475673605</v>
      </c>
      <c r="T3522" s="75">
        <f>0.5*(F3521*Q3521+F3522*Q3522)*R3522</f>
        <v>0.68982586980336</v>
      </c>
      <c r="U3522" s="76">
        <f>U3521+S3522</f>
        <v>36.93354422463129</v>
      </c>
      <c r="V3522" s="76">
        <f>V3521+T3522</f>
        <v>429.02372785817334</v>
      </c>
    </row>
    <row r="3523" spans="1:22" ht="19" customHeight="1">
      <c r="A3523" s="68" t="s">
        <v>378</v>
      </c>
      <c r="B3523" s="74">
        <v>5</v>
      </c>
      <c r="C3523" s="68" t="s">
        <v>363</v>
      </c>
      <c r="D3523" s="68" t="s">
        <v>364</v>
      </c>
      <c r="E3523" s="75">
        <f>60*F3523*'THAM_SO_MOI'!$C$53/(2*PI()*'THAM_SO_MOI'!$C$26)</f>
        <v>1774.5268870646396</v>
      </c>
      <c r="F3523" s="75">
        <f>'HANH_TRINH'!$F$3289+('THAM_SO_MOI'!$C$14-'HANH_TRINH'!$F$3289)*233/'THAM_SO_MOI'!$C$42</f>
        <v>18.010689558882564</v>
      </c>
      <c r="G3523" s="75">
        <f>3.6*F3523</f>
        <v>64.83848241197724</v>
      </c>
      <c r="H3523" s="75">
        <f>'THAM_SO_MOI'!$D$53</f>
        <v>1.1</v>
      </c>
      <c r="I3523" s="75">
        <f>IF(F3523&gt;'THAM_SO_MOI'!$C$14,'THAM_SO_MOI'!$C$13*(1+F3523^2/1500),'THAM_SO_MOI'!$C$13)</f>
        <v>0.015</v>
      </c>
      <c r="J3523" s="75">
        <f>'THAM_SO_MOI'!$C$40*('THAM_SO_MOI'!$C$23*(E3523/'THAM_SO_MOI'!$C$22)+'THAM_SO_MOI'!$C$24*(E3523/'THAM_SO_MOI'!$C$22)^2-'THAM_SO_MOI'!$C$25*(E3523/'THAM_SO_MOI'!$C$22)^3)</f>
        <v>78.52916402793018</v>
      </c>
      <c r="K3523" s="75">
        <f>'THAM_SO_MOI'!$C$31*J3523/E3523</f>
        <v>422.6702770793699</v>
      </c>
      <c r="L3523" s="75">
        <f>K3523*'THAM_SO_MOI'!$C$53*'THAM_SO_MOI'!$C$17/'THAM_SO_MOI'!$C$26</f>
        <v>3706.8199838815785</v>
      </c>
      <c r="M3523" s="75">
        <f>'THAM_SO_MOI'!$C$15*'THAM_SO_MOI'!$C$16*F3523^2</f>
        <v>948.8259447803412</v>
      </c>
      <c r="N3523" s="75">
        <f>'THAM_SO_MOI'!$C$12*I3523</f>
        <v>1130.112</v>
      </c>
      <c r="O3523" s="75">
        <f>M3523+N3523</f>
        <v>2078.9379447803412</v>
      </c>
      <c r="P3523" s="75">
        <f>(MIN(L3523,'THAM_SO_MOI'!$C$41)-O3523)/('THAM_SO_MOI'!$C$11*H3523)</f>
        <v>0.1926943701587639</v>
      </c>
      <c r="Q3523" s="75">
        <f>IF(P3523&gt;0,1/P3523,NA())</f>
        <v>5.189565212393514</v>
      </c>
      <c r="R3523" s="75">
        <f>F3523-F3522</f>
        <v>0.0073885545698715305</v>
      </c>
      <c r="S3523" s="75">
        <f>0.5*(Q3522+Q3523)*R3523</f>
        <v>0.038337084602385066</v>
      </c>
      <c r="T3523" s="75">
        <f>0.5*(F3522*Q3522+F3523*Q3523)*R3523</f>
        <v>0.6903357248236014</v>
      </c>
      <c r="U3523" s="76">
        <f>U3522+S3523</f>
        <v>36.97188130923367</v>
      </c>
      <c r="V3523" s="76">
        <f>V3522+T3523</f>
        <v>429.71406358299697</v>
      </c>
    </row>
    <row r="3524" spans="1:22" ht="19" customHeight="1">
      <c r="A3524" s="68" t="s">
        <v>378</v>
      </c>
      <c r="B3524" s="74">
        <v>5</v>
      </c>
      <c r="C3524" s="68" t="s">
        <v>363</v>
      </c>
      <c r="D3524" s="68" t="s">
        <v>364</v>
      </c>
      <c r="E3524" s="75">
        <f>60*F3524*'THAM_SO_MOI'!$C$53/(2*PI()*'THAM_SO_MOI'!$C$26)</f>
        <v>1775.254854125419</v>
      </c>
      <c r="F3524" s="75">
        <f>'HANH_TRINH'!$F$3289+('THAM_SO_MOI'!$C$14-'HANH_TRINH'!$F$3289)*234/'THAM_SO_MOI'!$C$42</f>
        <v>18.018078113452436</v>
      </c>
      <c r="G3524" s="75">
        <f>3.6*F3524</f>
        <v>64.86508120842878</v>
      </c>
      <c r="H3524" s="75">
        <f>'THAM_SO_MOI'!$D$53</f>
        <v>1.1</v>
      </c>
      <c r="I3524" s="75">
        <f>IF(F3524&gt;'THAM_SO_MOI'!$C$14,'THAM_SO_MOI'!$C$13*(1+F3524^2/1500),'THAM_SO_MOI'!$C$13)</f>
        <v>0.015</v>
      </c>
      <c r="J3524" s="75">
        <f>'THAM_SO_MOI'!$C$40*('THAM_SO_MOI'!$C$23*(E3524/'THAM_SO_MOI'!$C$22)+'THAM_SO_MOI'!$C$24*(E3524/'THAM_SO_MOI'!$C$22)^2-'THAM_SO_MOI'!$C$25*(E3524/'THAM_SO_MOI'!$C$22)^3)</f>
        <v>78.5665219233999</v>
      </c>
      <c r="K3524" s="75">
        <f>'THAM_SO_MOI'!$C$31*J3524/E3524</f>
        <v>422.6979457238831</v>
      </c>
      <c r="L3524" s="75">
        <f>K3524*'THAM_SO_MOI'!$C$53*'THAM_SO_MOI'!$C$17/'THAM_SO_MOI'!$C$26</f>
        <v>3707.0626380022254</v>
      </c>
      <c r="M3524" s="75">
        <f>'THAM_SO_MOI'!$C$15*'THAM_SO_MOI'!$C$16*F3524^2</f>
        <v>949.6045812897356</v>
      </c>
      <c r="N3524" s="75">
        <f>'THAM_SO_MOI'!$C$12*I3524</f>
        <v>1130.112</v>
      </c>
      <c r="O3524" s="75">
        <f>M3524+N3524</f>
        <v>2079.7165812897356</v>
      </c>
      <c r="P3524" s="75">
        <f>(MIN(L3524,'THAM_SO_MOI'!$C$41)-O3524)/('THAM_SO_MOI'!$C$11*H3524)</f>
        <v>0.1926309252737322</v>
      </c>
      <c r="Q3524" s="75">
        <f>IF(P3524&gt;0,1/P3524,NA())</f>
        <v>5.191274446608098</v>
      </c>
      <c r="R3524" s="75">
        <f>F3524-F3523</f>
        <v>0.0073885545698715305</v>
      </c>
      <c r="S3524" s="75">
        <f>0.5*(Q3523+Q3524)*R3524</f>
        <v>0.03834970015080999</v>
      </c>
      <c r="T3524" s="75">
        <f>0.5*(F3523*Q3523+F3524*Q3524)*R3524</f>
        <v>0.6908462418457114</v>
      </c>
      <c r="U3524" s="76">
        <f>U3523+S3524</f>
        <v>37.01023100938448</v>
      </c>
      <c r="V3524" s="76">
        <f>V3523+T3524</f>
        <v>430.40490982484266</v>
      </c>
    </row>
    <row r="3525" spans="1:22" ht="19" customHeight="1">
      <c r="A3525" s="68" t="s">
        <v>378</v>
      </c>
      <c r="B3525" s="74">
        <v>5</v>
      </c>
      <c r="C3525" s="68" t="s">
        <v>363</v>
      </c>
      <c r="D3525" s="68" t="s">
        <v>364</v>
      </c>
      <c r="E3525" s="75">
        <f>60*F3525*'THAM_SO_MOI'!$C$53/(2*PI()*'THAM_SO_MOI'!$C$26)</f>
        <v>1775.9828211861973</v>
      </c>
      <c r="F3525" s="75">
        <f>'HANH_TRINH'!$F$3289+('THAM_SO_MOI'!$C$14-'HANH_TRINH'!$F$3289)*235/'THAM_SO_MOI'!$C$42</f>
        <v>18.025466668022307</v>
      </c>
      <c r="G3525" s="75">
        <f>3.6*F3525</f>
        <v>64.89168000488031</v>
      </c>
      <c r="H3525" s="75">
        <f>'THAM_SO_MOI'!$D$53</f>
        <v>1.1</v>
      </c>
      <c r="I3525" s="75">
        <f>IF(F3525&gt;'THAM_SO_MOI'!$C$14,'THAM_SO_MOI'!$C$13*(1+F3525^2/1500),'THAM_SO_MOI'!$C$13)</f>
        <v>0.015</v>
      </c>
      <c r="J3525" s="75">
        <f>'THAM_SO_MOI'!$C$40*('THAM_SO_MOI'!$C$23*(E3525/'THAM_SO_MOI'!$C$22)+'THAM_SO_MOI'!$C$24*(E3525/'THAM_SO_MOI'!$C$22)^2-'THAM_SO_MOI'!$C$25*(E3525/'THAM_SO_MOI'!$C$22)^3)</f>
        <v>78.60387447680527</v>
      </c>
      <c r="K3525" s="75">
        <f>'THAM_SO_MOI'!$C$31*J3525/E3525</f>
        <v>422.72556295669096</v>
      </c>
      <c r="L3525" s="75">
        <f>K3525*'THAM_SO_MOI'!$C$53*'THAM_SO_MOI'!$C$17/'THAM_SO_MOI'!$C$26</f>
        <v>3707.3048412420158</v>
      </c>
      <c r="M3525" s="75">
        <f>'THAM_SO_MOI'!$C$15*'THAM_SO_MOI'!$C$16*F3525^2</f>
        <v>950.383537154951</v>
      </c>
      <c r="N3525" s="75">
        <f>'THAM_SO_MOI'!$C$12*I3525</f>
        <v>1130.112</v>
      </c>
      <c r="O3525" s="75">
        <f>M3525+N3525</f>
        <v>2080.4955371549513</v>
      </c>
      <c r="P3525" s="75">
        <f>(MIN(L3525,'THAM_SO_MOI'!$C$41)-O3525)/('THAM_SO_MOI'!$C$11*H3525)</f>
        <v>0.1925673892148514</v>
      </c>
      <c r="Q3525" s="75">
        <f>IF(P3525&gt;0,1/P3525,NA())</f>
        <v>5.1929872657944145</v>
      </c>
      <c r="R3525" s="75">
        <f>F3525-F3524</f>
        <v>0.0073885545698715305</v>
      </c>
      <c r="S3525" s="75">
        <f>0.5*(Q3524+Q3525)*R3525</f>
        <v>0.03836234216495677</v>
      </c>
      <c r="T3525" s="75">
        <f>0.5*(F3524*Q3524+F3525*Q3525)*R3525</f>
        <v>0.6913574222484542</v>
      </c>
      <c r="U3525" s="76">
        <f>U3524+S3525</f>
        <v>37.04859335154944</v>
      </c>
      <c r="V3525" s="76">
        <f>V3524+T3525</f>
        <v>431.09626724709113</v>
      </c>
    </row>
    <row r="3526" spans="1:22" ht="19" customHeight="1">
      <c r="A3526" s="68" t="s">
        <v>378</v>
      </c>
      <c r="B3526" s="74">
        <v>5</v>
      </c>
      <c r="C3526" s="68" t="s">
        <v>363</v>
      </c>
      <c r="D3526" s="68" t="s">
        <v>364</v>
      </c>
      <c r="E3526" s="75">
        <f>60*F3526*'THAM_SO_MOI'!$C$53/(2*PI()*'THAM_SO_MOI'!$C$26)</f>
        <v>1776.7107882469768</v>
      </c>
      <c r="F3526" s="75">
        <f>'HANH_TRINH'!$F$3289+('THAM_SO_MOI'!$C$14-'HANH_TRINH'!$F$3289)*236/'THAM_SO_MOI'!$C$42</f>
        <v>18.032855222592183</v>
      </c>
      <c r="G3526" s="75">
        <f>3.6*F3526</f>
        <v>64.91827880133187</v>
      </c>
      <c r="H3526" s="75">
        <f>'THAM_SO_MOI'!$D$53</f>
        <v>1.1</v>
      </c>
      <c r="I3526" s="75">
        <f>IF(F3526&gt;'THAM_SO_MOI'!$C$14,'THAM_SO_MOI'!$C$13*(1+F3526^2/1500),'THAM_SO_MOI'!$C$13)</f>
        <v>0.015</v>
      </c>
      <c r="J3526" s="75">
        <f>'THAM_SO_MOI'!$C$40*('THAM_SO_MOI'!$C$23*(E3526/'THAM_SO_MOI'!$C$22)+'THAM_SO_MOI'!$C$24*(E3526/'THAM_SO_MOI'!$C$22)^2-'THAM_SO_MOI'!$C$25*(E3526/'THAM_SO_MOI'!$C$22)^3)</f>
        <v>78.64122167639084</v>
      </c>
      <c r="K3526" s="75">
        <f>'THAM_SO_MOI'!$C$31*J3526/E3526</f>
        <v>422.75312877779345</v>
      </c>
      <c r="L3526" s="75">
        <f>K3526*'THAM_SO_MOI'!$C$53*'THAM_SO_MOI'!$C$17/'THAM_SO_MOI'!$C$26</f>
        <v>3707.546593600949</v>
      </c>
      <c r="M3526" s="75">
        <f>'THAM_SO_MOI'!$C$15*'THAM_SO_MOI'!$C$16*F3526^2</f>
        <v>951.1628123759878</v>
      </c>
      <c r="N3526" s="75">
        <f>'THAM_SO_MOI'!$C$12*I3526</f>
        <v>1130.112</v>
      </c>
      <c r="O3526" s="75">
        <f>M3526+N3526</f>
        <v>2081.274812375988</v>
      </c>
      <c r="P3526" s="75">
        <f>(MIN(L3526,'THAM_SO_MOI'!$C$41)-O3526)/('THAM_SO_MOI'!$C$11*H3526)</f>
        <v>0.19250376198212135</v>
      </c>
      <c r="Q3526" s="75">
        <f>IF(P3526&gt;0,1/P3526,NA())</f>
        <v>5.194703675935821</v>
      </c>
      <c r="R3526" s="75">
        <f>F3526-F3525</f>
        <v>0.007388554569875083</v>
      </c>
      <c r="S3526" s="75">
        <f>0.5*(Q3525+Q3526)*R3526</f>
        <v>0.03837501068898547</v>
      </c>
      <c r="T3526" s="75">
        <f>0.5*(F3525*Q3525+F3526*Q3526)*R3526</f>
        <v>0.6918692674146292</v>
      </c>
      <c r="U3526" s="76">
        <f>U3525+S3526</f>
        <v>37.08696836223843</v>
      </c>
      <c r="V3526" s="76">
        <f>V3525+T3526</f>
        <v>431.78813651450577</v>
      </c>
    </row>
    <row r="3527" spans="1:22" ht="19" customHeight="1">
      <c r="A3527" s="68" t="s">
        <v>378</v>
      </c>
      <c r="B3527" s="74">
        <v>5</v>
      </c>
      <c r="C3527" s="68" t="s">
        <v>363</v>
      </c>
      <c r="D3527" s="68" t="s">
        <v>364</v>
      </c>
      <c r="E3527" s="75">
        <f>60*F3527*'THAM_SO_MOI'!$C$53/(2*PI()*'THAM_SO_MOI'!$C$26)</f>
        <v>1777.4387553077556</v>
      </c>
      <c r="F3527" s="75">
        <f>'HANH_TRINH'!$F$3289+('THAM_SO_MOI'!$C$14-'HANH_TRINH'!$F$3289)*237/'THAM_SO_MOI'!$C$42</f>
        <v>18.040243777162054</v>
      </c>
      <c r="G3527" s="75">
        <f>3.6*F3527</f>
        <v>64.9448775977834</v>
      </c>
      <c r="H3527" s="75">
        <f>'THAM_SO_MOI'!$D$53</f>
        <v>1.1</v>
      </c>
      <c r="I3527" s="75">
        <f>IF(F3527&gt;'THAM_SO_MOI'!$C$14,'THAM_SO_MOI'!$C$13*(1+F3527^2/1500),'THAM_SO_MOI'!$C$13)</f>
        <v>0.015</v>
      </c>
      <c r="J3527" s="75">
        <f>'THAM_SO_MOI'!$C$40*('THAM_SO_MOI'!$C$23*(E3527/'THAM_SO_MOI'!$C$22)+'THAM_SO_MOI'!$C$24*(E3527/'THAM_SO_MOI'!$C$22)^2-'THAM_SO_MOI'!$C$25*(E3527/'THAM_SO_MOI'!$C$22)^3)</f>
        <v>78.67856351040105</v>
      </c>
      <c r="K3527" s="75">
        <f>'THAM_SO_MOI'!$C$31*J3527/E3527</f>
        <v>422.78064318719066</v>
      </c>
      <c r="L3527" s="75">
        <f>K3527*'THAM_SO_MOI'!$C$53*'THAM_SO_MOI'!$C$17/'THAM_SO_MOI'!$C$26</f>
        <v>3707.787895079025</v>
      </c>
      <c r="M3527" s="75">
        <f>'THAM_SO_MOI'!$C$15*'THAM_SO_MOI'!$C$16*F3527^2</f>
        <v>951.9424069528452</v>
      </c>
      <c r="N3527" s="75">
        <f>'THAM_SO_MOI'!$C$12*I3527</f>
        <v>1130.112</v>
      </c>
      <c r="O3527" s="75">
        <f>M3527+N3527</f>
        <v>2082.054406952845</v>
      </c>
      <c r="P3527" s="75">
        <f>(MIN(L3527,'THAM_SO_MOI'!$C$41)-O3527)/('THAM_SO_MOI'!$C$11*H3527)</f>
        <v>0.1924400435755421</v>
      </c>
      <c r="Q3527" s="75">
        <f>IF(P3527&gt;0,1/P3527,NA())</f>
        <v>5.196423683033783</v>
      </c>
      <c r="R3527" s="75">
        <f>F3527-F3526</f>
        <v>0.0073885545698715305</v>
      </c>
      <c r="S3527" s="75">
        <f>0.5*(Q3526+Q3527)*R3527</f>
        <v>0.038387705767115976</v>
      </c>
      <c r="T3527" s="75">
        <f>0.5*(F3526*Q3526+F3527*Q3527)*R3527</f>
        <v>0.6923817787294202</v>
      </c>
      <c r="U3527" s="76">
        <f>U3526+S3527</f>
        <v>37.125356068005544</v>
      </c>
      <c r="V3527" s="76">
        <f>V3526+T3527</f>
        <v>432.4805182932352</v>
      </c>
    </row>
    <row r="3528" spans="1:22" ht="19" customHeight="1">
      <c r="A3528" s="68" t="s">
        <v>378</v>
      </c>
      <c r="B3528" s="74">
        <v>5</v>
      </c>
      <c r="C3528" s="68" t="s">
        <v>363</v>
      </c>
      <c r="D3528" s="68" t="s">
        <v>364</v>
      </c>
      <c r="E3528" s="75">
        <f>60*F3528*'THAM_SO_MOI'!$C$53/(2*PI()*'THAM_SO_MOI'!$C$26)</f>
        <v>1778.166722368535</v>
      </c>
      <c r="F3528" s="75">
        <f>'HANH_TRINH'!$F$3289+('THAM_SO_MOI'!$C$14-'HANH_TRINH'!$F$3289)*238/'THAM_SO_MOI'!$C$42</f>
        <v>18.047632331731926</v>
      </c>
      <c r="G3528" s="75">
        <f>3.6*F3528</f>
        <v>64.97147639423494</v>
      </c>
      <c r="H3528" s="75">
        <f>'THAM_SO_MOI'!$D$53</f>
        <v>1.1</v>
      </c>
      <c r="I3528" s="75">
        <f>IF(F3528&gt;'THAM_SO_MOI'!$C$14,'THAM_SO_MOI'!$C$13*(1+F3528^2/1500),'THAM_SO_MOI'!$C$13)</f>
        <v>0.015</v>
      </c>
      <c r="J3528" s="75">
        <f>'THAM_SO_MOI'!$C$40*('THAM_SO_MOI'!$C$23*(E3528/'THAM_SO_MOI'!$C$22)+'THAM_SO_MOI'!$C$24*(E3528/'THAM_SO_MOI'!$C$22)^2-'THAM_SO_MOI'!$C$25*(E3528/'THAM_SO_MOI'!$C$22)^3)</f>
        <v>78.71589996708035</v>
      </c>
      <c r="K3528" s="75">
        <f>'THAM_SO_MOI'!$C$31*J3528/E3528</f>
        <v>422.8081061848822</v>
      </c>
      <c r="L3528" s="75">
        <f>K3528*'THAM_SO_MOI'!$C$53*'THAM_SO_MOI'!$C$17/'THAM_SO_MOI'!$C$26</f>
        <v>3708.028745676242</v>
      </c>
      <c r="M3528" s="75">
        <f>'THAM_SO_MOI'!$C$15*'THAM_SO_MOI'!$C$16*F3528^2</f>
        <v>952.7223208855235</v>
      </c>
      <c r="N3528" s="75">
        <f>'THAM_SO_MOI'!$C$12*I3528</f>
        <v>1130.112</v>
      </c>
      <c r="O3528" s="75">
        <f>M3528+N3528</f>
        <v>2082.8343208855235</v>
      </c>
      <c r="P3528" s="75">
        <f>(MIN(L3528,'THAM_SO_MOI'!$C$41)-O3528)/('THAM_SO_MOI'!$C$11*H3528)</f>
        <v>0.19237623399511347</v>
      </c>
      <c r="Q3528" s="75">
        <f>IF(P3528&gt;0,1/P3528,NA())</f>
        <v>5.198147293107946</v>
      </c>
      <c r="R3528" s="75">
        <f>F3528-F3527</f>
        <v>0.0073885545698715305</v>
      </c>
      <c r="S3528" s="75">
        <f>0.5*(Q3527+Q3528)*R3528</f>
        <v>0.03840042744381297</v>
      </c>
      <c r="T3528" s="75">
        <f>0.5*(F3527*Q3527+F3528*Q3528)*R3528</f>
        <v>0.6928949575837342</v>
      </c>
      <c r="U3528" s="76">
        <f>U3527+S3528</f>
        <v>37.163756495449356</v>
      </c>
      <c r="V3528" s="76">
        <f>V3527+T3528</f>
        <v>433.17341325081895</v>
      </c>
    </row>
    <row r="3529" spans="1:22" ht="19" customHeight="1">
      <c r="A3529" s="68" t="s">
        <v>378</v>
      </c>
      <c r="B3529" s="74">
        <v>5</v>
      </c>
      <c r="C3529" s="68" t="s">
        <v>363</v>
      </c>
      <c r="D3529" s="68" t="s">
        <v>364</v>
      </c>
      <c r="E3529" s="75">
        <f>60*F3529*'THAM_SO_MOI'!$C$53/(2*PI()*'THAM_SO_MOI'!$C$26)</f>
        <v>1778.8946894293133</v>
      </c>
      <c r="F3529" s="75">
        <f>'HANH_TRINH'!$F$3289+('THAM_SO_MOI'!$C$14-'HANH_TRINH'!$F$3289)*239/'THAM_SO_MOI'!$C$42</f>
        <v>18.055020886301797</v>
      </c>
      <c r="G3529" s="75">
        <f>3.6*F3529</f>
        <v>64.99807519068648</v>
      </c>
      <c r="H3529" s="75">
        <f>'THAM_SO_MOI'!$D$53</f>
        <v>1.1</v>
      </c>
      <c r="I3529" s="75">
        <f>IF(F3529&gt;'THAM_SO_MOI'!$C$14,'THAM_SO_MOI'!$C$13*(1+F3529^2/1500),'THAM_SO_MOI'!$C$13)</f>
        <v>0.015</v>
      </c>
      <c r="J3529" s="75">
        <f>'THAM_SO_MOI'!$C$40*('THAM_SO_MOI'!$C$23*(E3529/'THAM_SO_MOI'!$C$22)+'THAM_SO_MOI'!$C$24*(E3529/'THAM_SO_MOI'!$C$22)^2-'THAM_SO_MOI'!$C$25*(E3529/'THAM_SO_MOI'!$C$22)^3)</f>
        <v>78.7532310346732</v>
      </c>
      <c r="K3529" s="75">
        <f>'THAM_SO_MOI'!$C$31*J3529/E3529</f>
        <v>422.83551777086825</v>
      </c>
      <c r="L3529" s="75">
        <f>K3529*'THAM_SO_MOI'!$C$53*'THAM_SO_MOI'!$C$17/'THAM_SO_MOI'!$C$26</f>
        <v>3708.269145392601</v>
      </c>
      <c r="M3529" s="75">
        <f>'THAM_SO_MOI'!$C$15*'THAM_SO_MOI'!$C$16*F3529^2</f>
        <v>953.502554174023</v>
      </c>
      <c r="N3529" s="75">
        <f>'THAM_SO_MOI'!$C$12*I3529</f>
        <v>1130.112</v>
      </c>
      <c r="O3529" s="75">
        <f>M3529+N3529</f>
        <v>2083.614554174023</v>
      </c>
      <c r="P3529" s="75">
        <f>(MIN(L3529,'THAM_SO_MOI'!$C$41)-O3529)/('THAM_SO_MOI'!$C$11*H3529)</f>
        <v>0.19231233324083546</v>
      </c>
      <c r="Q3529" s="75">
        <f>IF(P3529&gt;0,1/P3529,NA())</f>
        <v>5.199874512196188</v>
      </c>
      <c r="R3529" s="75">
        <f>F3529-F3528</f>
        <v>0.0073885545698715305</v>
      </c>
      <c r="S3529" s="75">
        <f>0.5*(Q3528+Q3529)*R3529</f>
        <v>0.03841317576360184</v>
      </c>
      <c r="T3529" s="75">
        <f>0.5*(F3528*Q3528+F3529*Q3529)*R3529</f>
        <v>0.6934088053708889</v>
      </c>
      <c r="U3529" s="76">
        <f>U3528+S3529</f>
        <v>37.20216967121296</v>
      </c>
      <c r="V3529" s="76">
        <f>V3528+T3529</f>
        <v>433.86682205618985</v>
      </c>
    </row>
    <row r="3530" spans="1:22" ht="19" customHeight="1">
      <c r="A3530" s="68" t="s">
        <v>378</v>
      </c>
      <c r="B3530" s="74">
        <v>5</v>
      </c>
      <c r="C3530" s="68" t="s">
        <v>363</v>
      </c>
      <c r="D3530" s="68" t="s">
        <v>364</v>
      </c>
      <c r="E3530" s="75">
        <f>60*F3530*'THAM_SO_MOI'!$C$53/(2*PI()*'THAM_SO_MOI'!$C$26)</f>
        <v>1779.6226564900926</v>
      </c>
      <c r="F3530" s="75">
        <f>'HANH_TRINH'!$F$3289+('THAM_SO_MOI'!$C$14-'HANH_TRINH'!$F$3289)*240/'THAM_SO_MOI'!$C$42</f>
        <v>18.06240944087167</v>
      </c>
      <c r="G3530" s="75">
        <f>3.6*F3530</f>
        <v>65.02467398713802</v>
      </c>
      <c r="H3530" s="75">
        <f>'THAM_SO_MOI'!$D$53</f>
        <v>1.1</v>
      </c>
      <c r="I3530" s="75">
        <f>IF(F3530&gt;'THAM_SO_MOI'!$C$14,'THAM_SO_MOI'!$C$13*(1+F3530^2/1500),'THAM_SO_MOI'!$C$13)</f>
        <v>0.015</v>
      </c>
      <c r="J3530" s="75">
        <f>'THAM_SO_MOI'!$C$40*('THAM_SO_MOI'!$C$23*(E3530/'THAM_SO_MOI'!$C$22)+'THAM_SO_MOI'!$C$24*(E3530/'THAM_SO_MOI'!$C$22)^2-'THAM_SO_MOI'!$C$25*(E3530/'THAM_SO_MOI'!$C$22)^3)</f>
        <v>78.79055670142422</v>
      </c>
      <c r="K3530" s="75">
        <f>'THAM_SO_MOI'!$C$31*J3530/E3530</f>
        <v>422.86287794514914</v>
      </c>
      <c r="L3530" s="75">
        <f>K3530*'THAM_SO_MOI'!$C$53*'THAM_SO_MOI'!$C$17/'THAM_SO_MOI'!$C$26</f>
        <v>3708.5090942281035</v>
      </c>
      <c r="M3530" s="75">
        <f>'THAM_SO_MOI'!$C$15*'THAM_SO_MOI'!$C$16*F3530^2</f>
        <v>954.2831068183432</v>
      </c>
      <c r="N3530" s="75">
        <f>'THAM_SO_MOI'!$C$12*I3530</f>
        <v>1130.112</v>
      </c>
      <c r="O3530" s="75">
        <f>M3530+N3530</f>
        <v>2084.3951068183433</v>
      </c>
      <c r="P3530" s="75">
        <f>(MIN(L3530,'THAM_SO_MOI'!$C$41)-O3530)/('THAM_SO_MOI'!$C$11*H3530)</f>
        <v>0.19224834131270838</v>
      </c>
      <c r="Q3530" s="75">
        <f>IF(P3530&gt;0,1/P3530,NA())</f>
        <v>5.201605346354663</v>
      </c>
      <c r="R3530" s="75">
        <f>F3530-F3529</f>
        <v>0.0073885545698715305</v>
      </c>
      <c r="S3530" s="75">
        <f>0.5*(Q3529+Q3530)*R3530</f>
        <v>0.03842595077116128</v>
      </c>
      <c r="T3530" s="75">
        <f>0.5*(F3529*Q3529+F3530*Q3530)*R3530</f>
        <v>0.6939233234882864</v>
      </c>
      <c r="U3530" s="76">
        <f>U3529+S3530</f>
        <v>37.24059562198412</v>
      </c>
      <c r="V3530" s="76">
        <f>V3529+T3530</f>
        <v>434.5607453796781</v>
      </c>
    </row>
    <row r="3531" spans="1:22" ht="19" customHeight="1">
      <c r="A3531" s="68" t="s">
        <v>378</v>
      </c>
      <c r="B3531" s="74">
        <v>5</v>
      </c>
      <c r="C3531" s="68" t="s">
        <v>363</v>
      </c>
      <c r="D3531" s="68" t="s">
        <v>364</v>
      </c>
      <c r="E3531" s="75">
        <f>60*F3531*'THAM_SO_MOI'!$C$53/(2*PI()*'THAM_SO_MOI'!$C$26)</f>
        <v>1780.3506235508714</v>
      </c>
      <c r="F3531" s="75">
        <f>'HANH_TRINH'!$F$3289+('THAM_SO_MOI'!$C$14-'HANH_TRINH'!$F$3289)*241/'THAM_SO_MOI'!$C$42</f>
        <v>18.06979799544154</v>
      </c>
      <c r="G3531" s="75">
        <f>3.6*F3531</f>
        <v>65.05127278358955</v>
      </c>
      <c r="H3531" s="75">
        <f>'THAM_SO_MOI'!$D$53</f>
        <v>1.1</v>
      </c>
      <c r="I3531" s="75">
        <f>IF(F3531&gt;'THAM_SO_MOI'!$C$14,'THAM_SO_MOI'!$C$13*(1+F3531^2/1500),'THAM_SO_MOI'!$C$13)</f>
        <v>0.015</v>
      </c>
      <c r="J3531" s="75">
        <f>'THAM_SO_MOI'!$C$40*('THAM_SO_MOI'!$C$23*(E3531/'THAM_SO_MOI'!$C$22)+'THAM_SO_MOI'!$C$24*(E3531/'THAM_SO_MOI'!$C$22)^2-'THAM_SO_MOI'!$C$25*(E3531/'THAM_SO_MOI'!$C$22)^3)</f>
        <v>78.82787695557778</v>
      </c>
      <c r="K3531" s="75">
        <f>'THAM_SO_MOI'!$C$31*J3531/E3531</f>
        <v>422.89018670772447</v>
      </c>
      <c r="L3531" s="75">
        <f>K3531*'THAM_SO_MOI'!$C$53*'THAM_SO_MOI'!$C$17/'THAM_SO_MOI'!$C$26</f>
        <v>3708.7485921827474</v>
      </c>
      <c r="M3531" s="75">
        <f>'THAM_SO_MOI'!$C$15*'THAM_SO_MOI'!$C$16*F3531^2</f>
        <v>955.0639788184847</v>
      </c>
      <c r="N3531" s="75">
        <f>'THAM_SO_MOI'!$C$12*I3531</f>
        <v>1130.112</v>
      </c>
      <c r="O3531" s="75">
        <f>M3531+N3531</f>
        <v>2085.1759788184845</v>
      </c>
      <c r="P3531" s="75">
        <f>(MIN(L3531,'THAM_SO_MOI'!$C$41)-O3531)/('THAM_SO_MOI'!$C$11*H3531)</f>
        <v>0.19218425821073187</v>
      </c>
      <c r="Q3531" s="75">
        <f>IF(P3531&gt;0,1/P3531,NA())</f>
        <v>5.203339801657899</v>
      </c>
      <c r="R3531" s="75">
        <f>F3531-F3530</f>
        <v>0.0073885545698715305</v>
      </c>
      <c r="S3531" s="75">
        <f>0.5*(Q3530+Q3531)*R3531</f>
        <v>0.038438752511305414</v>
      </c>
      <c r="T3531" s="75">
        <f>0.5*(F3530*Q3530+F3531*Q3531)*R3531</f>
        <v>0.6944385133370952</v>
      </c>
      <c r="U3531" s="76">
        <f>U3530+S3531</f>
        <v>37.279034374495424</v>
      </c>
      <c r="V3531" s="76">
        <f>V3530+T3531</f>
        <v>435.2551838930152</v>
      </c>
    </row>
    <row r="3532" spans="1:22" ht="19" customHeight="1">
      <c r="A3532" s="68" t="s">
        <v>378</v>
      </c>
      <c r="B3532" s="74">
        <v>5</v>
      </c>
      <c r="C3532" s="68" t="s">
        <v>363</v>
      </c>
      <c r="D3532" s="68" t="s">
        <v>364</v>
      </c>
      <c r="E3532" s="75">
        <f>60*F3532*'THAM_SO_MOI'!$C$53/(2*PI()*'THAM_SO_MOI'!$C$26)</f>
        <v>1781.0785906116505</v>
      </c>
      <c r="F3532" s="75">
        <f>'HANH_TRINH'!$F$3289+('THAM_SO_MOI'!$C$14-'HANH_TRINH'!$F$3289)*242/'THAM_SO_MOI'!$C$42</f>
        <v>18.07718655001141</v>
      </c>
      <c r="G3532" s="75">
        <f>3.6*F3532</f>
        <v>65.07787158004109</v>
      </c>
      <c r="H3532" s="75">
        <f>'THAM_SO_MOI'!$D$53</f>
        <v>1.1</v>
      </c>
      <c r="I3532" s="75">
        <f>IF(F3532&gt;'THAM_SO_MOI'!$C$14,'THAM_SO_MOI'!$C$13*(1+F3532^2/1500),'THAM_SO_MOI'!$C$13)</f>
        <v>0.015</v>
      </c>
      <c r="J3532" s="75">
        <f>'THAM_SO_MOI'!$C$40*('THAM_SO_MOI'!$C$23*(E3532/'THAM_SO_MOI'!$C$22)+'THAM_SO_MOI'!$C$24*(E3532/'THAM_SO_MOI'!$C$22)^2-'THAM_SO_MOI'!$C$25*(E3532/'THAM_SO_MOI'!$C$22)^3)</f>
        <v>78.86519178537837</v>
      </c>
      <c r="K3532" s="75">
        <f>'THAM_SO_MOI'!$C$31*J3532/E3532</f>
        <v>422.91744405859424</v>
      </c>
      <c r="L3532" s="75">
        <f>K3532*'THAM_SO_MOI'!$C$53*'THAM_SO_MOI'!$C$17/'THAM_SO_MOI'!$C$26</f>
        <v>3708.987639256532</v>
      </c>
      <c r="M3532" s="75">
        <f>'THAM_SO_MOI'!$C$15*'THAM_SO_MOI'!$C$16*F3532^2</f>
        <v>955.8451701744469</v>
      </c>
      <c r="N3532" s="75">
        <f>'THAM_SO_MOI'!$C$12*I3532</f>
        <v>1130.112</v>
      </c>
      <c r="O3532" s="75">
        <f>M3532+N3532</f>
        <v>2085.957170174447</v>
      </c>
      <c r="P3532" s="75">
        <f>(MIN(L3532,'THAM_SO_MOI'!$C$41)-O3532)/('THAM_SO_MOI'!$C$11*H3532)</f>
        <v>0.19212008393490587</v>
      </c>
      <c r="Q3532" s="75">
        <f>IF(P3532&gt;0,1/P3532,NA())</f>
        <v>5.205077884198822</v>
      </c>
      <c r="R3532" s="75">
        <f>F3532-F3531</f>
        <v>0.0073885545698715305</v>
      </c>
      <c r="S3532" s="75">
        <f>0.5*(Q3531+Q3532)*R3532</f>
        <v>0.03845158102898417</v>
      </c>
      <c r="T3532" s="75">
        <f>0.5*(F3531*Q3531+F3532*Q3532)*R3532</f>
        <v>0.6949543763222638</v>
      </c>
      <c r="U3532" s="76">
        <f>U3531+S3532</f>
        <v>37.31748595552441</v>
      </c>
      <c r="V3532" s="76">
        <f>V3531+T3532</f>
        <v>435.95013826933746</v>
      </c>
    </row>
    <row r="3533" spans="1:22" ht="19" customHeight="1">
      <c r="A3533" s="68" t="s">
        <v>378</v>
      </c>
      <c r="B3533" s="74">
        <v>5</v>
      </c>
      <c r="C3533" s="68" t="s">
        <v>363</v>
      </c>
      <c r="D3533" s="68" t="s">
        <v>364</v>
      </c>
      <c r="E3533" s="75">
        <f>60*F3533*'THAM_SO_MOI'!$C$53/(2*PI()*'THAM_SO_MOI'!$C$26)</f>
        <v>1781.806557672429</v>
      </c>
      <c r="F3533" s="75">
        <f>'HANH_TRINH'!$F$3289+('THAM_SO_MOI'!$C$14-'HANH_TRINH'!$F$3289)*243/'THAM_SO_MOI'!$C$42</f>
        <v>18.084575104581283</v>
      </c>
      <c r="G3533" s="75">
        <f>3.6*F3533</f>
        <v>65.10447037649263</v>
      </c>
      <c r="H3533" s="75">
        <f>'THAM_SO_MOI'!$D$53</f>
        <v>1.1</v>
      </c>
      <c r="I3533" s="75">
        <f>IF(F3533&gt;'THAM_SO_MOI'!$C$14,'THAM_SO_MOI'!$C$13*(1+F3533^2/1500),'THAM_SO_MOI'!$C$13)</f>
        <v>0.015</v>
      </c>
      <c r="J3533" s="75">
        <f>'THAM_SO_MOI'!$C$40*('THAM_SO_MOI'!$C$23*(E3533/'THAM_SO_MOI'!$C$22)+'THAM_SO_MOI'!$C$24*(E3533/'THAM_SO_MOI'!$C$22)^2-'THAM_SO_MOI'!$C$25*(E3533/'THAM_SO_MOI'!$C$22)^3)</f>
        <v>78.9025011790705</v>
      </c>
      <c r="K3533" s="75">
        <f>'THAM_SO_MOI'!$C$31*J3533/E3533</f>
        <v>422.94464999775863</v>
      </c>
      <c r="L3533" s="75">
        <f>K3533*'THAM_SO_MOI'!$C$53*'THAM_SO_MOI'!$C$17/'THAM_SO_MOI'!$C$26</f>
        <v>3709.22623544946</v>
      </c>
      <c r="M3533" s="75">
        <f>'THAM_SO_MOI'!$C$15*'THAM_SO_MOI'!$C$16*F3533^2</f>
        <v>956.6266808862304</v>
      </c>
      <c r="N3533" s="75">
        <f>'THAM_SO_MOI'!$C$12*I3533</f>
        <v>1130.112</v>
      </c>
      <c r="O3533" s="75">
        <f>M3533+N3533</f>
        <v>2086.73868088623</v>
      </c>
      <c r="P3533" s="75">
        <f>(MIN(L3533,'THAM_SO_MOI'!$C$41)-O3533)/('THAM_SO_MOI'!$C$11*H3533)</f>
        <v>0.19205581848523076</v>
      </c>
      <c r="Q3533" s="75">
        <f>IF(P3533&gt;0,1/P3533,NA())</f>
        <v>5.206819600088819</v>
      </c>
      <c r="R3533" s="75">
        <f>F3533-F3532</f>
        <v>0.0073885545698715305</v>
      </c>
      <c r="S3533" s="75">
        <f>0.5*(Q3532+Q3533)*R3533</f>
        <v>0.03846443636928367</v>
      </c>
      <c r="T3533" s="75">
        <f>0.5*(F3532*Q3532+F3533*Q3533)*R3533</f>
        <v>0.6954709138525307</v>
      </c>
      <c r="U3533" s="76">
        <f>U3532+S3533</f>
        <v>37.35595039189369</v>
      </c>
      <c r="V3533" s="76">
        <f>V3532+T3533</f>
        <v>436.64560918319</v>
      </c>
    </row>
    <row r="3534" spans="1:22" ht="19" customHeight="1">
      <c r="A3534" s="68" t="s">
        <v>378</v>
      </c>
      <c r="B3534" s="74">
        <v>5</v>
      </c>
      <c r="C3534" s="68" t="s">
        <v>363</v>
      </c>
      <c r="D3534" s="68" t="s">
        <v>364</v>
      </c>
      <c r="E3534" s="75">
        <f>60*F3534*'THAM_SO_MOI'!$C$53/(2*PI()*'THAM_SO_MOI'!$C$26)</f>
        <v>1782.5345247332082</v>
      </c>
      <c r="F3534" s="75">
        <f>'HANH_TRINH'!$F$3289+('THAM_SO_MOI'!$C$14-'HANH_TRINH'!$F$3289)*244/'THAM_SO_MOI'!$C$42</f>
        <v>18.091963659151155</v>
      </c>
      <c r="G3534" s="75">
        <f>3.6*F3534</f>
        <v>65.13106917294417</v>
      </c>
      <c r="H3534" s="75">
        <f>'THAM_SO_MOI'!$D$53</f>
        <v>1.1</v>
      </c>
      <c r="I3534" s="75">
        <f>IF(F3534&gt;'THAM_SO_MOI'!$C$14,'THAM_SO_MOI'!$C$13*(1+F3534^2/1500),'THAM_SO_MOI'!$C$13)</f>
        <v>0.015</v>
      </c>
      <c r="J3534" s="75">
        <f>'THAM_SO_MOI'!$C$40*('THAM_SO_MOI'!$C$23*(E3534/'THAM_SO_MOI'!$C$22)+'THAM_SO_MOI'!$C$24*(E3534/'THAM_SO_MOI'!$C$22)^2-'THAM_SO_MOI'!$C$25*(E3534/'THAM_SO_MOI'!$C$22)^3)</f>
        <v>78.9398051248987</v>
      </c>
      <c r="K3534" s="75">
        <f>'THAM_SO_MOI'!$C$31*J3534/E3534</f>
        <v>422.97180452521775</v>
      </c>
      <c r="L3534" s="75">
        <f>K3534*'THAM_SO_MOI'!$C$53*'THAM_SO_MOI'!$C$17/'THAM_SO_MOI'!$C$26</f>
        <v>3709.4643807615316</v>
      </c>
      <c r="M3534" s="75">
        <f>'THAM_SO_MOI'!$C$15*'THAM_SO_MOI'!$C$16*F3534^2</f>
        <v>957.4085109538347</v>
      </c>
      <c r="N3534" s="75">
        <f>'THAM_SO_MOI'!$C$12*I3534</f>
        <v>1130.112</v>
      </c>
      <c r="O3534" s="75">
        <f>M3534+N3534</f>
        <v>2087.5205109538347</v>
      </c>
      <c r="P3534" s="75">
        <f>(MIN(L3534,'THAM_SO_MOI'!$C$41)-O3534)/('THAM_SO_MOI'!$C$11*H3534)</f>
        <v>0.19199146186170654</v>
      </c>
      <c r="Q3534" s="75">
        <f>IF(P3534&gt;0,1/P3534,NA())</f>
        <v>5.208564955457813</v>
      </c>
      <c r="R3534" s="75">
        <f>F3534-F3533</f>
        <v>0.0073885545698715305</v>
      </c>
      <c r="S3534" s="75">
        <f>0.5*(Q3533+Q3534)*R3534</f>
        <v>0.038477318577426714</v>
      </c>
      <c r="T3534" s="75">
        <f>0.5*(F3533*Q3533+F3534*Q3534)*R3534</f>
        <v>0.6959881273404396</v>
      </c>
      <c r="U3534" s="76">
        <f>U3533+S3534</f>
        <v>37.39442771047112</v>
      </c>
      <c r="V3534" s="76">
        <f>V3533+T3534</f>
        <v>437.34159731053046</v>
      </c>
    </row>
    <row r="3535" spans="1:22" ht="19" customHeight="1">
      <c r="A3535" s="68" t="s">
        <v>378</v>
      </c>
      <c r="B3535" s="74">
        <v>5</v>
      </c>
      <c r="C3535" s="68" t="s">
        <v>363</v>
      </c>
      <c r="D3535" s="68" t="s">
        <v>364</v>
      </c>
      <c r="E3535" s="75">
        <f>60*F3535*'THAM_SO_MOI'!$C$53/(2*PI()*'THAM_SO_MOI'!$C$26)</f>
        <v>1783.2624917939875</v>
      </c>
      <c r="F3535" s="75">
        <f>'HANH_TRINH'!$F$3289+('THAM_SO_MOI'!$C$14-'HANH_TRINH'!$F$3289)*245/'THAM_SO_MOI'!$C$42</f>
        <v>18.09935221372103</v>
      </c>
      <c r="G3535" s="75">
        <f>3.6*F3535</f>
        <v>65.1576679693957</v>
      </c>
      <c r="H3535" s="75">
        <f>'THAM_SO_MOI'!$D$53</f>
        <v>1.1</v>
      </c>
      <c r="I3535" s="75">
        <f>IF(F3535&gt;'THAM_SO_MOI'!$C$14,'THAM_SO_MOI'!$C$13*(1+F3535^2/1500),'THAM_SO_MOI'!$C$13)</f>
        <v>0.015</v>
      </c>
      <c r="J3535" s="75">
        <f>'THAM_SO_MOI'!$C$40*('THAM_SO_MOI'!$C$23*(E3535/'THAM_SO_MOI'!$C$22)+'THAM_SO_MOI'!$C$24*(E3535/'THAM_SO_MOI'!$C$22)^2-'THAM_SO_MOI'!$C$25*(E3535/'THAM_SO_MOI'!$C$22)^3)</f>
        <v>78.97710361110741</v>
      </c>
      <c r="K3535" s="75">
        <f>'THAM_SO_MOI'!$C$31*J3535/E3535</f>
        <v>422.99890764097137</v>
      </c>
      <c r="L3535" s="75">
        <f>K3535*'THAM_SO_MOI'!$C$53*'THAM_SO_MOI'!$C$17/'THAM_SO_MOI'!$C$26</f>
        <v>3709.702075192744</v>
      </c>
      <c r="M3535" s="75">
        <f>'THAM_SO_MOI'!$C$15*'THAM_SO_MOI'!$C$16*F3535^2</f>
        <v>958.1906603772604</v>
      </c>
      <c r="N3535" s="75">
        <f>'THAM_SO_MOI'!$C$12*I3535</f>
        <v>1130.112</v>
      </c>
      <c r="O3535" s="75">
        <f>M3535+N3535</f>
        <v>2088.3026603772605</v>
      </c>
      <c r="P3535" s="75">
        <f>(MIN(L3535,'THAM_SO_MOI'!$C$41)-O3535)/('THAM_SO_MOI'!$C$11*H3535)</f>
        <v>0.1919270140643328</v>
      </c>
      <c r="Q3535" s="75">
        <f>IF(P3535&gt;0,1/P3535,NA())</f>
        <v>5.210313956454332</v>
      </c>
      <c r="R3535" s="75">
        <f>F3535-F3534</f>
        <v>0.007388554569875083</v>
      </c>
      <c r="S3535" s="75">
        <f>0.5*(Q3534+Q3535)*R3535</f>
        <v>0.038490227698791804</v>
      </c>
      <c r="T3535" s="75">
        <f>0.5*(F3534*Q3534+F3535*Q3535)*R3535</f>
        <v>0.6965060182026883</v>
      </c>
      <c r="U3535" s="76">
        <f>U3534+S3535</f>
        <v>37.432917938169915</v>
      </c>
      <c r="V3535" s="76">
        <f>V3534+T3535</f>
        <v>438.03810332873314</v>
      </c>
    </row>
    <row r="3536" spans="1:22" ht="19" customHeight="1">
      <c r="A3536" s="68" t="s">
        <v>378</v>
      </c>
      <c r="B3536" s="74">
        <v>5</v>
      </c>
      <c r="C3536" s="68" t="s">
        <v>363</v>
      </c>
      <c r="D3536" s="68" t="s">
        <v>364</v>
      </c>
      <c r="E3536" s="75">
        <f>60*F3536*'THAM_SO_MOI'!$C$53/(2*PI()*'THAM_SO_MOI'!$C$26)</f>
        <v>1783.9904588547665</v>
      </c>
      <c r="F3536" s="75">
        <f>'HANH_TRINH'!$F$3289+('THAM_SO_MOI'!$C$14-'HANH_TRINH'!$F$3289)*246/'THAM_SO_MOI'!$C$42</f>
        <v>18.1067407682909</v>
      </c>
      <c r="G3536" s="75">
        <f>3.6*F3536</f>
        <v>65.18426676584724</v>
      </c>
      <c r="H3536" s="75">
        <f>'THAM_SO_MOI'!$D$53</f>
        <v>1.1</v>
      </c>
      <c r="I3536" s="75">
        <f>IF(F3536&gt;'THAM_SO_MOI'!$C$14,'THAM_SO_MOI'!$C$13*(1+F3536^2/1500),'THAM_SO_MOI'!$C$13)</f>
        <v>0.015</v>
      </c>
      <c r="J3536" s="75">
        <f>'THAM_SO_MOI'!$C$40*('THAM_SO_MOI'!$C$23*(E3536/'THAM_SO_MOI'!$C$22)+'THAM_SO_MOI'!$C$24*(E3536/'THAM_SO_MOI'!$C$22)^2-'THAM_SO_MOI'!$C$25*(E3536/'THAM_SO_MOI'!$C$22)^3)</f>
        <v>79.01439662594107</v>
      </c>
      <c r="K3536" s="75">
        <f>'THAM_SO_MOI'!$C$31*J3536/E3536</f>
        <v>423.0259593450195</v>
      </c>
      <c r="L3536" s="75">
        <f>K3536*'THAM_SO_MOI'!$C$53*'THAM_SO_MOI'!$C$17/'THAM_SO_MOI'!$C$26</f>
        <v>3709.9393187430983</v>
      </c>
      <c r="M3536" s="75">
        <f>'THAM_SO_MOI'!$C$15*'THAM_SO_MOI'!$C$16*F3536^2</f>
        <v>958.9731291565068</v>
      </c>
      <c r="N3536" s="75">
        <f>'THAM_SO_MOI'!$C$12*I3536</f>
        <v>1130.112</v>
      </c>
      <c r="O3536" s="75">
        <f>M3536+N3536</f>
        <v>2089.085129156507</v>
      </c>
      <c r="P3536" s="75">
        <f>(MIN(L3536,'THAM_SO_MOI'!$C$41)-O3536)/('THAM_SO_MOI'!$C$11*H3536)</f>
        <v>0.19186247509310977</v>
      </c>
      <c r="Q3536" s="75">
        <f>IF(P3536&gt;0,1/P3536,NA())</f>
        <v>5.212066609245532</v>
      </c>
      <c r="R3536" s="75">
        <f>F3536-F3535</f>
        <v>0.0073885545698715305</v>
      </c>
      <c r="S3536" s="75">
        <f>0.5*(Q3535+Q3536)*R3536</f>
        <v>0.03850316377882098</v>
      </c>
      <c r="T3536" s="75">
        <f>0.5*(F3535*Q3535+F3536*Q3536)*R3536</f>
        <v>0.6970245878584657</v>
      </c>
      <c r="U3536" s="76">
        <f>U3535+S3536</f>
        <v>37.471421101948735</v>
      </c>
      <c r="V3536" s="76">
        <f>V3535+T3536</f>
        <v>438.73512791659164</v>
      </c>
    </row>
    <row r="3537" spans="1:22" ht="19" customHeight="1">
      <c r="A3537" s="68" t="s">
        <v>378</v>
      </c>
      <c r="B3537" s="74">
        <v>5</v>
      </c>
      <c r="C3537" s="68" t="s">
        <v>363</v>
      </c>
      <c r="D3537" s="68" t="s">
        <v>364</v>
      </c>
      <c r="E3537" s="75">
        <f>60*F3537*'THAM_SO_MOI'!$C$53/(2*PI()*'THAM_SO_MOI'!$C$26)</f>
        <v>1784.7184259155451</v>
      </c>
      <c r="F3537" s="75">
        <f>'HANH_TRINH'!$F$3289+('THAM_SO_MOI'!$C$14-'HANH_TRINH'!$F$3289)*247/'THAM_SO_MOI'!$C$42</f>
        <v>18.114129322860773</v>
      </c>
      <c r="G3537" s="75">
        <f>3.6*F3537</f>
        <v>65.21086556229878</v>
      </c>
      <c r="H3537" s="75">
        <f>'THAM_SO_MOI'!$D$53</f>
        <v>1.1</v>
      </c>
      <c r="I3537" s="75">
        <f>IF(F3537&gt;'THAM_SO_MOI'!$C$14,'THAM_SO_MOI'!$C$13*(1+F3537^2/1500),'THAM_SO_MOI'!$C$13)</f>
        <v>0.015</v>
      </c>
      <c r="J3537" s="75">
        <f>'THAM_SO_MOI'!$C$40*('THAM_SO_MOI'!$C$23*(E3537/'THAM_SO_MOI'!$C$22)+'THAM_SO_MOI'!$C$24*(E3537/'THAM_SO_MOI'!$C$22)^2-'THAM_SO_MOI'!$C$25*(E3537/'THAM_SO_MOI'!$C$22)^3)</f>
        <v>79.05168415764422</v>
      </c>
      <c r="K3537" s="75">
        <f>'THAM_SO_MOI'!$C$31*J3537/E3537</f>
        <v>423.0529596373622</v>
      </c>
      <c r="L3537" s="75">
        <f>K3537*'THAM_SO_MOI'!$C$53*'THAM_SO_MOI'!$C$17/'THAM_SO_MOI'!$C$26</f>
        <v>3710.176111412596</v>
      </c>
      <c r="M3537" s="75">
        <f>'THAM_SO_MOI'!$C$15*'THAM_SO_MOI'!$C$16*F3537^2</f>
        <v>959.7559172915742</v>
      </c>
      <c r="N3537" s="75">
        <f>'THAM_SO_MOI'!$C$12*I3537</f>
        <v>1130.112</v>
      </c>
      <c r="O3537" s="75">
        <f>M3537+N3537</f>
        <v>2089.8679172915745</v>
      </c>
      <c r="P3537" s="75">
        <f>(MIN(L3537,'THAM_SO_MOI'!$C$41)-O3537)/('THAM_SO_MOI'!$C$11*H3537)</f>
        <v>0.19179784494803764</v>
      </c>
      <c r="Q3537" s="75">
        <f>IF(P3537&gt;0,1/P3537,NA())</f>
        <v>5.213822920017284</v>
      </c>
      <c r="R3537" s="75">
        <f>F3537-F3536</f>
        <v>0.0073885545698715305</v>
      </c>
      <c r="S3537" s="75">
        <f>0.5*(Q3536+Q3537)*R3537</f>
        <v>0.03851612686320526</v>
      </c>
      <c r="T3537" s="75">
        <f>0.5*(F3536*Q3536+F3537*Q3537)*R3537</f>
        <v>0.6975438377328131</v>
      </c>
      <c r="U3537" s="76">
        <f>U3536+S3537</f>
        <v>37.50993722881194</v>
      </c>
      <c r="V3537" s="76">
        <f>V3536+T3537</f>
        <v>439.4326717543245</v>
      </c>
    </row>
    <row r="3538" spans="1:22" ht="19" customHeight="1">
      <c r="A3538" s="68" t="s">
        <v>378</v>
      </c>
      <c r="B3538" s="74">
        <v>5</v>
      </c>
      <c r="C3538" s="68" t="s">
        <v>363</v>
      </c>
      <c r="D3538" s="68" t="s">
        <v>364</v>
      </c>
      <c r="E3538" s="75">
        <f>60*F3538*'THAM_SO_MOI'!$C$53/(2*PI()*'THAM_SO_MOI'!$C$26)</f>
        <v>1785.4463929763242</v>
      </c>
      <c r="F3538" s="75">
        <f>'HANH_TRINH'!$F$3289+('THAM_SO_MOI'!$C$14-'HANH_TRINH'!$F$3289)*248/'THAM_SO_MOI'!$C$42</f>
        <v>18.121517877430644</v>
      </c>
      <c r="G3538" s="75">
        <f>3.6*F3538</f>
        <v>65.23746435875032</v>
      </c>
      <c r="H3538" s="75">
        <f>'THAM_SO_MOI'!$D$53</f>
        <v>1.1</v>
      </c>
      <c r="I3538" s="75">
        <f>IF(F3538&gt;'THAM_SO_MOI'!$C$14,'THAM_SO_MOI'!$C$13*(1+F3538^2/1500),'THAM_SO_MOI'!$C$13)</f>
        <v>0.015</v>
      </c>
      <c r="J3538" s="75">
        <f>'THAM_SO_MOI'!$C$40*('THAM_SO_MOI'!$C$23*(E3538/'THAM_SO_MOI'!$C$22)+'THAM_SO_MOI'!$C$24*(E3538/'THAM_SO_MOI'!$C$22)^2-'THAM_SO_MOI'!$C$25*(E3538/'THAM_SO_MOI'!$C$22)^3)</f>
        <v>79.08896619446136</v>
      </c>
      <c r="K3538" s="75">
        <f>'THAM_SO_MOI'!$C$31*J3538/E3538</f>
        <v>423.07990851799957</v>
      </c>
      <c r="L3538" s="75">
        <f>K3538*'THAM_SO_MOI'!$C$53*'THAM_SO_MOI'!$C$17/'THAM_SO_MOI'!$C$26</f>
        <v>3710.412453201235</v>
      </c>
      <c r="M3538" s="75">
        <f>'THAM_SO_MOI'!$C$15*'THAM_SO_MOI'!$C$16*F3538^2</f>
        <v>960.5390247824625</v>
      </c>
      <c r="N3538" s="75">
        <f>'THAM_SO_MOI'!$C$12*I3538</f>
        <v>1130.112</v>
      </c>
      <c r="O3538" s="75">
        <f>M3538+N3538</f>
        <v>2090.6510247824626</v>
      </c>
      <c r="P3538" s="75">
        <f>(MIN(L3538,'THAM_SO_MOI'!$C$41)-O3538)/('THAM_SO_MOI'!$C$11*H3538)</f>
        <v>0.19173312362911607</v>
      </c>
      <c r="Q3538" s="75">
        <f>IF(P3538&gt;0,1/P3538,NA())</f>
        <v>5.215582894974245</v>
      </c>
      <c r="R3538" s="75">
        <f>F3538-F3537</f>
        <v>0.0073885545698715305</v>
      </c>
      <c r="S3538" s="75">
        <f>0.5*(Q3537+Q3538)*R3538</f>
        <v>0.03852911699770019</v>
      </c>
      <c r="T3538" s="75">
        <f>0.5*(F3537*Q3537+F3538*Q3538)*R3538</f>
        <v>0.6980637692532908</v>
      </c>
      <c r="U3538" s="76">
        <f>U3537+S3538</f>
        <v>37.54846634580964</v>
      </c>
      <c r="V3538" s="76">
        <f>V3537+T3538</f>
        <v>440.13073552357775</v>
      </c>
    </row>
    <row r="3539" spans="1:22" ht="19" customHeight="1">
      <c r="A3539" s="68" t="s">
        <v>378</v>
      </c>
      <c r="B3539" s="74">
        <v>5</v>
      </c>
      <c r="C3539" s="68" t="s">
        <v>363</v>
      </c>
      <c r="D3539" s="68" t="s">
        <v>364</v>
      </c>
      <c r="E3539" s="75">
        <f>60*F3539*'THAM_SO_MOI'!$C$53/(2*PI()*'THAM_SO_MOI'!$C$26)</f>
        <v>1786.174360037103</v>
      </c>
      <c r="F3539" s="75">
        <f>'HANH_TRINH'!$F$3289+('THAM_SO_MOI'!$C$14-'HANH_TRINH'!$F$3289)*249/'THAM_SO_MOI'!$C$42</f>
        <v>18.128906432000516</v>
      </c>
      <c r="G3539" s="75">
        <f>3.6*F3539</f>
        <v>65.26406315520185</v>
      </c>
      <c r="H3539" s="75">
        <f>'THAM_SO_MOI'!$D$53</f>
        <v>1.1</v>
      </c>
      <c r="I3539" s="75">
        <f>IF(F3539&gt;'THAM_SO_MOI'!$C$14,'THAM_SO_MOI'!$C$13*(1+F3539^2/1500),'THAM_SO_MOI'!$C$13)</f>
        <v>0.015</v>
      </c>
      <c r="J3539" s="75">
        <f>'THAM_SO_MOI'!$C$40*('THAM_SO_MOI'!$C$23*(E3539/'THAM_SO_MOI'!$C$22)+'THAM_SO_MOI'!$C$24*(E3539/'THAM_SO_MOI'!$C$22)^2-'THAM_SO_MOI'!$C$25*(E3539/'THAM_SO_MOI'!$C$22)^3)</f>
        <v>79.12624272463692</v>
      </c>
      <c r="K3539" s="75">
        <f>'THAM_SO_MOI'!$C$31*J3539/E3539</f>
        <v>423.1068059869314</v>
      </c>
      <c r="L3539" s="75">
        <f>K3539*'THAM_SO_MOI'!$C$53*'THAM_SO_MOI'!$C$17/'THAM_SO_MOI'!$C$26</f>
        <v>3710.6483441090168</v>
      </c>
      <c r="M3539" s="75">
        <f>'THAM_SO_MOI'!$C$15*'THAM_SO_MOI'!$C$16*F3539^2</f>
        <v>961.3224516291718</v>
      </c>
      <c r="N3539" s="75">
        <f>'THAM_SO_MOI'!$C$12*I3539</f>
        <v>1130.112</v>
      </c>
      <c r="O3539" s="75">
        <f>M3539+N3539</f>
        <v>2091.434451629172</v>
      </c>
      <c r="P3539" s="75">
        <f>(MIN(L3539,'THAM_SO_MOI'!$C$41)-O3539)/('THAM_SO_MOI'!$C$11*H3539)</f>
        <v>0.19166831113634525</v>
      </c>
      <c r="Q3539" s="75">
        <f>IF(P3539&gt;0,1/P3539,NA())</f>
        <v>5.2173465403398875</v>
      </c>
      <c r="R3539" s="75">
        <f>F3539-F3538</f>
        <v>0.0073885545698715305</v>
      </c>
      <c r="S3539" s="75">
        <f>0.5*(Q3538+Q3539)*R3539</f>
        <v>0.03854213422821872</v>
      </c>
      <c r="T3539" s="75">
        <f>0.5*(F3538*Q3538+F3539*Q3539)*R3539</f>
        <v>0.6985843838516651</v>
      </c>
      <c r="U3539" s="76">
        <f>U3538+S3539</f>
        <v>37.58700848003786</v>
      </c>
      <c r="V3539" s="76">
        <f>V3538+T3539</f>
        <v>440.8293199074294</v>
      </c>
    </row>
    <row r="3540" spans="1:22" ht="19" customHeight="1">
      <c r="A3540" s="68" t="s">
        <v>378</v>
      </c>
      <c r="B3540" s="74">
        <v>5</v>
      </c>
      <c r="C3540" s="68" t="s">
        <v>363</v>
      </c>
      <c r="D3540" s="68" t="s">
        <v>364</v>
      </c>
      <c r="E3540" s="75">
        <f>60*F3540*'THAM_SO_MOI'!$C$53/(2*PI()*'THAM_SO_MOI'!$C$26)</f>
        <v>1786.9023270978823</v>
      </c>
      <c r="F3540" s="75">
        <f>'HANH_TRINH'!$F$3289+('THAM_SO_MOI'!$C$14-'HANH_TRINH'!$F$3289)*250/'THAM_SO_MOI'!$C$42</f>
        <v>18.136294986570388</v>
      </c>
      <c r="G3540" s="75">
        <f>3.6*F3540</f>
        <v>65.29066195165339</v>
      </c>
      <c r="H3540" s="75">
        <f>'THAM_SO_MOI'!$D$53</f>
        <v>1.1</v>
      </c>
      <c r="I3540" s="75">
        <f>IF(F3540&gt;'THAM_SO_MOI'!$C$14,'THAM_SO_MOI'!$C$13*(1+F3540^2/1500),'THAM_SO_MOI'!$C$13)</f>
        <v>0.015</v>
      </c>
      <c r="J3540" s="75">
        <f>'THAM_SO_MOI'!$C$40*('THAM_SO_MOI'!$C$23*(E3540/'THAM_SO_MOI'!$C$22)+'THAM_SO_MOI'!$C$24*(E3540/'THAM_SO_MOI'!$C$22)^2-'THAM_SO_MOI'!$C$25*(E3540/'THAM_SO_MOI'!$C$22)^3)</f>
        <v>79.16351373641544</v>
      </c>
      <c r="K3540" s="75">
        <f>'THAM_SO_MOI'!$C$31*J3540/E3540</f>
        <v>423.1336520441579</v>
      </c>
      <c r="L3540" s="75">
        <f>K3540*'THAM_SO_MOI'!$C$53*'THAM_SO_MOI'!$C$17/'THAM_SO_MOI'!$C$26</f>
        <v>3710.8837841359405</v>
      </c>
      <c r="M3540" s="75">
        <f>'THAM_SO_MOI'!$C$15*'THAM_SO_MOI'!$C$16*F3540^2</f>
        <v>962.1061978317023</v>
      </c>
      <c r="N3540" s="75">
        <f>'THAM_SO_MOI'!$C$12*I3540</f>
        <v>1130.112</v>
      </c>
      <c r="O3540" s="75">
        <f>M3540+N3540</f>
        <v>2092.218197831702</v>
      </c>
      <c r="P3540" s="75">
        <f>(MIN(L3540,'THAM_SO_MOI'!$C$41)-O3540)/('THAM_SO_MOI'!$C$11*H3540)</f>
        <v>0.19160340746972512</v>
      </c>
      <c r="Q3540" s="75">
        <f>IF(P3540&gt;0,1/P3540,NA())</f>
        <v>5.219113862356587</v>
      </c>
      <c r="R3540" s="75">
        <f>F3540-F3539</f>
        <v>0.0073885545698715305</v>
      </c>
      <c r="S3540" s="75">
        <f>0.5*(Q3539+Q3540)*R3540</f>
        <v>0.03855517860081316</v>
      </c>
      <c r="T3540" s="75">
        <f>0.5*(F3539*Q3539+F3540*Q3540)*R3540</f>
        <v>0.6991056829635854</v>
      </c>
      <c r="U3540" s="76">
        <f>U3539+S3540</f>
        <v>37.625563658638676</v>
      </c>
      <c r="V3540" s="76">
        <f>V3539+T3540</f>
        <v>441.528425590393</v>
      </c>
    </row>
    <row r="3541" spans="1:22" ht="19" customHeight="1">
      <c r="A3541" s="68" t="s">
        <v>378</v>
      </c>
      <c r="B3541" s="74">
        <v>5</v>
      </c>
      <c r="C3541" s="68" t="s">
        <v>363</v>
      </c>
      <c r="D3541" s="68" t="s">
        <v>364</v>
      </c>
      <c r="E3541" s="75">
        <f>60*F3541*'THAM_SO_MOI'!$C$53/(2*PI()*'THAM_SO_MOI'!$C$26)</f>
        <v>1787.6302941586614</v>
      </c>
      <c r="F3541" s="75">
        <f>'HANH_TRINH'!$F$3289+('THAM_SO_MOI'!$C$14-'HANH_TRINH'!$F$3289)*251/'THAM_SO_MOI'!$C$42</f>
        <v>18.143683541140263</v>
      </c>
      <c r="G3541" s="75">
        <f>3.6*F3541</f>
        <v>65.31726074810494</v>
      </c>
      <c r="H3541" s="75">
        <f>'THAM_SO_MOI'!$D$53</f>
        <v>1.1</v>
      </c>
      <c r="I3541" s="75">
        <f>IF(F3541&gt;'THAM_SO_MOI'!$C$14,'THAM_SO_MOI'!$C$13*(1+F3541^2/1500),'THAM_SO_MOI'!$C$13)</f>
        <v>0.015</v>
      </c>
      <c r="J3541" s="75">
        <f>'THAM_SO_MOI'!$C$40*('THAM_SO_MOI'!$C$23*(E3541/'THAM_SO_MOI'!$C$22)+'THAM_SO_MOI'!$C$24*(E3541/'THAM_SO_MOI'!$C$22)^2-'THAM_SO_MOI'!$C$25*(E3541/'THAM_SO_MOI'!$C$22)^3)</f>
        <v>79.20077921804136</v>
      </c>
      <c r="K3541" s="75">
        <f>'THAM_SO_MOI'!$C$31*J3541/E3541</f>
        <v>423.16044668967885</v>
      </c>
      <c r="L3541" s="75">
        <f>K3541*'THAM_SO_MOI'!$C$53*'THAM_SO_MOI'!$C$17/'THAM_SO_MOI'!$C$26</f>
        <v>3711.1187732820063</v>
      </c>
      <c r="M3541" s="75">
        <f>'THAM_SO_MOI'!$C$15*'THAM_SO_MOI'!$C$16*F3541^2</f>
        <v>962.890263390054</v>
      </c>
      <c r="N3541" s="75">
        <f>'THAM_SO_MOI'!$C$12*I3541</f>
        <v>1130.112</v>
      </c>
      <c r="O3541" s="75">
        <f>M3541+N3541</f>
        <v>2093.002263390054</v>
      </c>
      <c r="P3541" s="75">
        <f>(MIN(L3541,'THAM_SO_MOI'!$C$41)-O3541)/('THAM_SO_MOI'!$C$11*H3541)</f>
        <v>0.19153841262925572</v>
      </c>
      <c r="Q3541" s="75">
        <f>IF(P3541&gt;0,1/P3541,NA())</f>
        <v>5.220884867285672</v>
      </c>
      <c r="R3541" s="75">
        <f>F3541-F3540</f>
        <v>0.007388554569875083</v>
      </c>
      <c r="S3541" s="75">
        <f>0.5*(Q3540+Q3541)*R3541</f>
        <v>0.038568250161694184</v>
      </c>
      <c r="T3541" s="75">
        <f>0.5*(F3540*Q3540+F3541*Q3541)*R3541</f>
        <v>0.6996276680289357</v>
      </c>
      <c r="U3541" s="76">
        <f>U3540+S3541</f>
        <v>37.66413190880037</v>
      </c>
      <c r="V3541" s="76">
        <f>V3540+T3541</f>
        <v>442.22805325842194</v>
      </c>
    </row>
    <row r="3542" spans="1:22" ht="19" customHeight="1">
      <c r="A3542" s="68" t="s">
        <v>378</v>
      </c>
      <c r="B3542" s="74">
        <v>5</v>
      </c>
      <c r="C3542" s="68" t="s">
        <v>363</v>
      </c>
      <c r="D3542" s="68" t="s">
        <v>364</v>
      </c>
      <c r="E3542" s="75">
        <f>60*F3542*'THAM_SO_MOI'!$C$53/(2*PI()*'THAM_SO_MOI'!$C$26)</f>
        <v>1788.3582612194402</v>
      </c>
      <c r="F3542" s="75">
        <f>'HANH_TRINH'!$F$3289+('THAM_SO_MOI'!$C$14-'HANH_TRINH'!$F$3289)*252/'THAM_SO_MOI'!$C$42</f>
        <v>18.151072095710134</v>
      </c>
      <c r="G3542" s="75">
        <f>3.6*F3542</f>
        <v>65.34385954455648</v>
      </c>
      <c r="H3542" s="75">
        <f>'THAM_SO_MOI'!$D$53</f>
        <v>1.1</v>
      </c>
      <c r="I3542" s="75">
        <f>IF(F3542&gt;'THAM_SO_MOI'!$C$14,'THAM_SO_MOI'!$C$13*(1+F3542^2/1500),'THAM_SO_MOI'!$C$13)</f>
        <v>0.015</v>
      </c>
      <c r="J3542" s="75">
        <f>'THAM_SO_MOI'!$C$40*('THAM_SO_MOI'!$C$23*(E3542/'THAM_SO_MOI'!$C$22)+'THAM_SO_MOI'!$C$24*(E3542/'THAM_SO_MOI'!$C$22)^2-'THAM_SO_MOI'!$C$25*(E3542/'THAM_SO_MOI'!$C$22)^3)</f>
        <v>79.23803915775918</v>
      </c>
      <c r="K3542" s="75">
        <f>'THAM_SO_MOI'!$C$31*J3542/E3542</f>
        <v>423.18718992349443</v>
      </c>
      <c r="L3542" s="75">
        <f>K3542*'THAM_SO_MOI'!$C$53*'THAM_SO_MOI'!$C$17/'THAM_SO_MOI'!$C$26</f>
        <v>3711.3533115472146</v>
      </c>
      <c r="M3542" s="75">
        <f>'THAM_SO_MOI'!$C$15*'THAM_SO_MOI'!$C$16*F3542^2</f>
        <v>963.6746483042263</v>
      </c>
      <c r="N3542" s="75">
        <f>'THAM_SO_MOI'!$C$12*I3542</f>
        <v>1130.112</v>
      </c>
      <c r="O3542" s="75">
        <f>M3542+N3542</f>
        <v>2093.786648304226</v>
      </c>
      <c r="P3542" s="75">
        <f>(MIN(L3542,'THAM_SO_MOI'!$C$41)-O3542)/('THAM_SO_MOI'!$C$11*H3542)</f>
        <v>0.19147332661493707</v>
      </c>
      <c r="Q3542" s="75">
        <f>IF(P3542&gt;0,1/P3542,NA())</f>
        <v>5.222659561407489</v>
      </c>
      <c r="R3542" s="75">
        <f>F3542-F3541</f>
        <v>0.0073885545698715305</v>
      </c>
      <c r="S3542" s="75">
        <f>0.5*(Q3541+Q3542)*R3542</f>
        <v>0.038581348957138606</v>
      </c>
      <c r="T3542" s="75">
        <f>0.5*(F3541*Q3541+F3542*Q3542)*R3542</f>
        <v>0.7001503404901651</v>
      </c>
      <c r="U3542" s="76">
        <f>U3541+S3542</f>
        <v>37.70271325775751</v>
      </c>
      <c r="V3542" s="76">
        <f>V3541+T3542</f>
        <v>442.9282035989121</v>
      </c>
    </row>
    <row r="3543" spans="1:22" ht="19" customHeight="1">
      <c r="A3543" s="68" t="s">
        <v>378</v>
      </c>
      <c r="B3543" s="74">
        <v>5</v>
      </c>
      <c r="C3543" s="68" t="s">
        <v>363</v>
      </c>
      <c r="D3543" s="68" t="s">
        <v>364</v>
      </c>
      <c r="E3543" s="75">
        <f>60*F3543*'THAM_SO_MOI'!$C$53/(2*PI()*'THAM_SO_MOI'!$C$26)</f>
        <v>1789.086228280219</v>
      </c>
      <c r="F3543" s="75">
        <f>'HANH_TRINH'!$F$3289+('THAM_SO_MOI'!$C$14-'HANH_TRINH'!$F$3289)*253/'THAM_SO_MOI'!$C$42</f>
        <v>18.158460650280006</v>
      </c>
      <c r="G3543" s="75">
        <f>3.6*F3543</f>
        <v>65.37045834100802</v>
      </c>
      <c r="H3543" s="75">
        <f>'THAM_SO_MOI'!$D$53</f>
        <v>1.1</v>
      </c>
      <c r="I3543" s="75">
        <f>IF(F3543&gt;'THAM_SO_MOI'!$C$14,'THAM_SO_MOI'!$C$13*(1+F3543^2/1500),'THAM_SO_MOI'!$C$13)</f>
        <v>0.015</v>
      </c>
      <c r="J3543" s="75">
        <f>'THAM_SO_MOI'!$C$40*('THAM_SO_MOI'!$C$23*(E3543/'THAM_SO_MOI'!$C$22)+'THAM_SO_MOI'!$C$24*(E3543/'THAM_SO_MOI'!$C$22)^2-'THAM_SO_MOI'!$C$25*(E3543/'THAM_SO_MOI'!$C$22)^3)</f>
        <v>79.27529354381338</v>
      </c>
      <c r="K3543" s="75">
        <f>'THAM_SO_MOI'!$C$31*J3543/E3543</f>
        <v>423.2138817456046</v>
      </c>
      <c r="L3543" s="75">
        <f>K3543*'THAM_SO_MOI'!$C$53*'THAM_SO_MOI'!$C$17/'THAM_SO_MOI'!$C$26</f>
        <v>3711.5873989315646</v>
      </c>
      <c r="M3543" s="75">
        <f>'THAM_SO_MOI'!$C$15*'THAM_SO_MOI'!$C$16*F3543^2</f>
        <v>964.4593525742197</v>
      </c>
      <c r="N3543" s="75">
        <f>'THAM_SO_MOI'!$C$12*I3543</f>
        <v>1130.112</v>
      </c>
      <c r="O3543" s="75">
        <f>M3543+N3543</f>
        <v>2094.57135257422</v>
      </c>
      <c r="P3543" s="75">
        <f>(MIN(L3543,'THAM_SO_MOI'!$C$41)-O3543)/('THAM_SO_MOI'!$C$11*H3543)</f>
        <v>0.19140814942676904</v>
      </c>
      <c r="Q3543" s="75">
        <f>IF(P3543&gt;0,1/P3543,NA())</f>
        <v>5.224437951021467</v>
      </c>
      <c r="R3543" s="75">
        <f>F3543-F3542</f>
        <v>0.0073885545698715305</v>
      </c>
      <c r="S3543" s="75">
        <f>0.5*(Q3542+Q3543)*R3543</f>
        <v>0.03859447503367523</v>
      </c>
      <c r="T3543" s="75">
        <f>0.5*(F3542*Q3542+F3543*Q3543)*R3543</f>
        <v>0.7006737017956655</v>
      </c>
      <c r="U3543" s="76">
        <f>U3542+S3543</f>
        <v>37.741307732791185</v>
      </c>
      <c r="V3543" s="76">
        <f>V3542+T3543</f>
        <v>443.62887730070776</v>
      </c>
    </row>
    <row r="3544" spans="1:22" ht="19" customHeight="1">
      <c r="A3544" s="68" t="s">
        <v>378</v>
      </c>
      <c r="B3544" s="74">
        <v>5</v>
      </c>
      <c r="C3544" s="68" t="s">
        <v>363</v>
      </c>
      <c r="D3544" s="68" t="s">
        <v>364</v>
      </c>
      <c r="E3544" s="75">
        <f>60*F3544*'THAM_SO_MOI'!$C$53/(2*PI()*'THAM_SO_MOI'!$C$26)</f>
        <v>1789.814195340998</v>
      </c>
      <c r="F3544" s="75">
        <f>'HANH_TRINH'!$F$3289+('THAM_SO_MOI'!$C$14-'HANH_TRINH'!$F$3289)*254/'THAM_SO_MOI'!$C$42</f>
        <v>18.165849204849877</v>
      </c>
      <c r="G3544" s="75">
        <f>3.6*F3544</f>
        <v>65.39705713745956</v>
      </c>
      <c r="H3544" s="75">
        <f>'THAM_SO_MOI'!$D$53</f>
        <v>1.1</v>
      </c>
      <c r="I3544" s="75">
        <f>IF(F3544&gt;'THAM_SO_MOI'!$C$14,'THAM_SO_MOI'!$C$13*(1+F3544^2/1500),'THAM_SO_MOI'!$C$13)</f>
        <v>0.015</v>
      </c>
      <c r="J3544" s="75">
        <f>'THAM_SO_MOI'!$C$40*('THAM_SO_MOI'!$C$23*(E3544/'THAM_SO_MOI'!$C$22)+'THAM_SO_MOI'!$C$24*(E3544/'THAM_SO_MOI'!$C$22)^2-'THAM_SO_MOI'!$C$25*(E3544/'THAM_SO_MOI'!$C$22)^3)</f>
        <v>79.31254236444843</v>
      </c>
      <c r="K3544" s="75">
        <f>'THAM_SO_MOI'!$C$31*J3544/E3544</f>
        <v>423.2405221560092</v>
      </c>
      <c r="L3544" s="75">
        <f>K3544*'THAM_SO_MOI'!$C$53*'THAM_SO_MOI'!$C$17/'THAM_SO_MOI'!$C$26</f>
        <v>3711.8210354350563</v>
      </c>
      <c r="M3544" s="75">
        <f>'THAM_SO_MOI'!$C$15*'THAM_SO_MOI'!$C$16*F3544^2</f>
        <v>965.2443762000339</v>
      </c>
      <c r="N3544" s="75">
        <f>'THAM_SO_MOI'!$C$12*I3544</f>
        <v>1130.112</v>
      </c>
      <c r="O3544" s="75">
        <f>M3544+N3544</f>
        <v>2095.356376200034</v>
      </c>
      <c r="P3544" s="75">
        <f>(MIN(L3544,'THAM_SO_MOI'!$C$41)-O3544)/('THAM_SO_MOI'!$C$11*H3544)</f>
        <v>0.1913428810647517</v>
      </c>
      <c r="Q3544" s="75">
        <f>IF(P3544&gt;0,1/P3544,NA())</f>
        <v>5.226220042446175</v>
      </c>
      <c r="R3544" s="75">
        <f>F3544-F3543</f>
        <v>0.0073885545698715305</v>
      </c>
      <c r="S3544" s="75">
        <f>0.5*(Q3543+Q3544)*R3544</f>
        <v>0.038607628437899895</v>
      </c>
      <c r="T3544" s="75">
        <f>0.5*(F3543*Q3543+F3544*Q3544)*R3544</f>
        <v>0.7011977533964218</v>
      </c>
      <c r="U3544" s="76">
        <f>U3543+S3544</f>
        <v>37.77991536122909</v>
      </c>
      <c r="V3544" s="76">
        <f>V3543+T3544</f>
        <v>444.33007505410416</v>
      </c>
    </row>
    <row r="3545" spans="1:22" ht="19" customHeight="1">
      <c r="A3545" s="68" t="s">
        <v>378</v>
      </c>
      <c r="B3545" s="74">
        <v>5</v>
      </c>
      <c r="C3545" s="68" t="s">
        <v>363</v>
      </c>
      <c r="D3545" s="68" t="s">
        <v>364</v>
      </c>
      <c r="E3545" s="75">
        <f>60*F3545*'THAM_SO_MOI'!$C$53/(2*PI()*'THAM_SO_MOI'!$C$26)</f>
        <v>1790.5421624017772</v>
      </c>
      <c r="F3545" s="75">
        <f>'HANH_TRINH'!$F$3289+('THAM_SO_MOI'!$C$14-'HANH_TRINH'!$F$3289)*255/'THAM_SO_MOI'!$C$42</f>
        <v>18.17323775941975</v>
      </c>
      <c r="G3545" s="75">
        <f>3.6*F3545</f>
        <v>65.42365593391109</v>
      </c>
      <c r="H3545" s="75">
        <f>'THAM_SO_MOI'!$D$53</f>
        <v>1.1</v>
      </c>
      <c r="I3545" s="75">
        <f>IF(F3545&gt;'THAM_SO_MOI'!$C$14,'THAM_SO_MOI'!$C$13*(1+F3545^2/1500),'THAM_SO_MOI'!$C$13)</f>
        <v>0.015</v>
      </c>
      <c r="J3545" s="75">
        <f>'THAM_SO_MOI'!$C$40*('THAM_SO_MOI'!$C$23*(E3545/'THAM_SO_MOI'!$C$22)+'THAM_SO_MOI'!$C$24*(E3545/'THAM_SO_MOI'!$C$22)^2-'THAM_SO_MOI'!$C$25*(E3545/'THAM_SO_MOI'!$C$22)^3)</f>
        <v>79.3497856079089</v>
      </c>
      <c r="K3545" s="75">
        <f>'THAM_SO_MOI'!$C$31*J3545/E3545</f>
        <v>423.2671111547086</v>
      </c>
      <c r="L3545" s="75">
        <f>K3545*'THAM_SO_MOI'!$C$53*'THAM_SO_MOI'!$C$17/'THAM_SO_MOI'!$C$26</f>
        <v>3712.054221057692</v>
      </c>
      <c r="M3545" s="75">
        <f>'THAM_SO_MOI'!$C$15*'THAM_SO_MOI'!$C$16*F3545^2</f>
        <v>966.0297191816693</v>
      </c>
      <c r="N3545" s="75">
        <f>'THAM_SO_MOI'!$C$12*I3545</f>
        <v>1130.112</v>
      </c>
      <c r="O3545" s="75">
        <f>M3545+N3545</f>
        <v>2096.1417191816695</v>
      </c>
      <c r="P3545" s="75">
        <f>(MIN(L3545,'THAM_SO_MOI'!$C$41)-O3545)/('THAM_SO_MOI'!$C$11*H3545)</f>
        <v>0.19127752152888522</v>
      </c>
      <c r="Q3545" s="75">
        <f>IF(P3545&gt;0,1/P3545,NA())</f>
        <v>5.228005842019382</v>
      </c>
      <c r="R3545" s="75">
        <f>F3545-F3544</f>
        <v>0.0073885545698715305</v>
      </c>
      <c r="S3545" s="75">
        <f>0.5*(Q3544+Q3545)*R3545</f>
        <v>0.03862080921656862</v>
      </c>
      <c r="T3545" s="75">
        <f>0.5*(F3544*Q3544+F3545*Q3545)*R3545</f>
        <v>0.7017224967477059</v>
      </c>
      <c r="U3545" s="76">
        <f>U3544+S3545</f>
        <v>37.818536170445654</v>
      </c>
      <c r="V3545" s="76">
        <f>V3544+T3545</f>
        <v>445.0317975508519</v>
      </c>
    </row>
    <row r="3546" spans="1:22" ht="19" customHeight="1">
      <c r="A3546" s="68" t="s">
        <v>378</v>
      </c>
      <c r="B3546" s="74">
        <v>5</v>
      </c>
      <c r="C3546" s="68" t="s">
        <v>363</v>
      </c>
      <c r="D3546" s="68" t="s">
        <v>364</v>
      </c>
      <c r="E3546" s="75">
        <f>60*F3546*'THAM_SO_MOI'!$C$53/(2*PI()*'THAM_SO_MOI'!$C$26)</f>
        <v>1791.270129462556</v>
      </c>
      <c r="F3546" s="75">
        <f>'HANH_TRINH'!$F$3289+('THAM_SO_MOI'!$C$14-'HANH_TRINH'!$F$3289)*256/'THAM_SO_MOI'!$C$42</f>
        <v>18.18062631398962</v>
      </c>
      <c r="G3546" s="75">
        <f>3.6*F3546</f>
        <v>65.45025473036263</v>
      </c>
      <c r="H3546" s="75">
        <f>'THAM_SO_MOI'!$D$53</f>
        <v>1.1</v>
      </c>
      <c r="I3546" s="75">
        <f>IF(F3546&gt;'THAM_SO_MOI'!$C$14,'THAM_SO_MOI'!$C$13*(1+F3546^2/1500),'THAM_SO_MOI'!$C$13)</f>
        <v>0.015</v>
      </c>
      <c r="J3546" s="75">
        <f>'THAM_SO_MOI'!$C$40*('THAM_SO_MOI'!$C$23*(E3546/'THAM_SO_MOI'!$C$22)+'THAM_SO_MOI'!$C$24*(E3546/'THAM_SO_MOI'!$C$22)^2-'THAM_SO_MOI'!$C$25*(E3546/'THAM_SO_MOI'!$C$22)^3)</f>
        <v>79.38702326243919</v>
      </c>
      <c r="K3546" s="75">
        <f>'THAM_SO_MOI'!$C$31*J3546/E3546</f>
        <v>423.2936487417026</v>
      </c>
      <c r="L3546" s="75">
        <f>K3546*'THAM_SO_MOI'!$C$53*'THAM_SO_MOI'!$C$17/'THAM_SO_MOI'!$C$26</f>
        <v>3712.28695579947</v>
      </c>
      <c r="M3546" s="75">
        <f>'THAM_SO_MOI'!$C$15*'THAM_SO_MOI'!$C$16*F3546^2</f>
        <v>966.8153815191256</v>
      </c>
      <c r="N3546" s="75">
        <f>'THAM_SO_MOI'!$C$12*I3546</f>
        <v>1130.112</v>
      </c>
      <c r="O3546" s="75">
        <f>M3546+N3546</f>
        <v>2096.9273815191254</v>
      </c>
      <c r="P3546" s="75">
        <f>(MIN(L3546,'THAM_SO_MOI'!$C$41)-O3546)/('THAM_SO_MOI'!$C$11*H3546)</f>
        <v>0.19121207081916958</v>
      </c>
      <c r="Q3546" s="75">
        <f>IF(P3546&gt;0,1/P3546,NA())</f>
        <v>5.229795356098131</v>
      </c>
      <c r="R3546" s="75">
        <f>F3546-F3545</f>
        <v>0.0073885545698715305</v>
      </c>
      <c r="S3546" s="75">
        <f>0.5*(Q3545+Q3546)*R3546</f>
        <v>0.038634017416579555</v>
      </c>
      <c r="T3546" s="75">
        <f>0.5*(F3545*Q3545+F3546*Q3546)*R3546</f>
        <v>0.7022479333087556</v>
      </c>
      <c r="U3546" s="76">
        <f>U3545+S3546</f>
        <v>37.85717018786223</v>
      </c>
      <c r="V3546" s="76">
        <f>V3545+T3546</f>
        <v>445.7340454841606</v>
      </c>
    </row>
    <row r="3547" spans="1:22" ht="19" customHeight="1">
      <c r="A3547" s="68" t="s">
        <v>378</v>
      </c>
      <c r="B3547" s="74">
        <v>5</v>
      </c>
      <c r="C3547" s="68" t="s">
        <v>363</v>
      </c>
      <c r="D3547" s="68" t="s">
        <v>364</v>
      </c>
      <c r="E3547" s="75">
        <f>60*F3547*'THAM_SO_MOI'!$C$53/(2*PI()*'THAM_SO_MOI'!$C$26)</f>
        <v>1791.9980965233349</v>
      </c>
      <c r="F3547" s="75">
        <f>'HANH_TRINH'!$F$3289+('THAM_SO_MOI'!$C$14-'HANH_TRINH'!$F$3289)*257/'THAM_SO_MOI'!$C$42</f>
        <v>18.188014868559492</v>
      </c>
      <c r="G3547" s="75">
        <f>3.6*F3547</f>
        <v>65.47685352681417</v>
      </c>
      <c r="H3547" s="75">
        <f>'THAM_SO_MOI'!$D$53</f>
        <v>1.1</v>
      </c>
      <c r="I3547" s="75">
        <f>IF(F3547&gt;'THAM_SO_MOI'!$C$14,'THAM_SO_MOI'!$C$13*(1+F3547^2/1500),'THAM_SO_MOI'!$C$13)</f>
        <v>0.015</v>
      </c>
      <c r="J3547" s="75">
        <f>'THAM_SO_MOI'!$C$40*('THAM_SO_MOI'!$C$23*(E3547/'THAM_SO_MOI'!$C$22)+'THAM_SO_MOI'!$C$24*(E3547/'THAM_SO_MOI'!$C$22)^2-'THAM_SO_MOI'!$C$25*(E3547/'THAM_SO_MOI'!$C$22)^3)</f>
        <v>79.42425531628376</v>
      </c>
      <c r="K3547" s="75">
        <f>'THAM_SO_MOI'!$C$31*J3547/E3547</f>
        <v>423.32013491699087</v>
      </c>
      <c r="L3547" s="75">
        <f>K3547*'THAM_SO_MOI'!$C$53*'THAM_SO_MOI'!$C$17/'THAM_SO_MOI'!$C$26</f>
        <v>3712.519239660387</v>
      </c>
      <c r="M3547" s="75">
        <f>'THAM_SO_MOI'!$C$15*'THAM_SO_MOI'!$C$16*F3547^2</f>
        <v>967.6013632124029</v>
      </c>
      <c r="N3547" s="75">
        <f>'THAM_SO_MOI'!$C$12*I3547</f>
        <v>1130.112</v>
      </c>
      <c r="O3547" s="75">
        <f>M3547+N3547</f>
        <v>2097.7133632124032</v>
      </c>
      <c r="P3547" s="75">
        <f>(MIN(L3547,'THAM_SO_MOI'!$C$41)-O3547)/('THAM_SO_MOI'!$C$11*H3547)</f>
        <v>0.19114652893560413</v>
      </c>
      <c r="Q3547" s="75">
        <f>IF(P3547&gt;0,1/P3547,NA())</f>
        <v>5.231588591058814</v>
      </c>
      <c r="R3547" s="75">
        <f>F3547-F3546</f>
        <v>0.0073885545698715305</v>
      </c>
      <c r="S3547" s="75">
        <f>0.5*(Q3546+Q3547)*R3547</f>
        <v>0.038647253084973555</v>
      </c>
      <c r="T3547" s="75">
        <f>0.5*(F3546*Q3546+F3547*Q3547)*R3547</f>
        <v>0.7027740645427891</v>
      </c>
      <c r="U3547" s="76">
        <f>U3546+S3547</f>
        <v>37.895817440947205</v>
      </c>
      <c r="V3547" s="76">
        <f>V3546+T3547</f>
        <v>446.4368195487034</v>
      </c>
    </row>
    <row r="3548" spans="1:22" ht="19" customHeight="1">
      <c r="A3548" s="68" t="s">
        <v>378</v>
      </c>
      <c r="B3548" s="74">
        <v>5</v>
      </c>
      <c r="C3548" s="68" t="s">
        <v>363</v>
      </c>
      <c r="D3548" s="68" t="s">
        <v>364</v>
      </c>
      <c r="E3548" s="75">
        <f>60*F3548*'THAM_SO_MOI'!$C$53/(2*PI()*'THAM_SO_MOI'!$C$26)</f>
        <v>1792.7260635841137</v>
      </c>
      <c r="F3548" s="75">
        <f>'HANH_TRINH'!$F$3289+('THAM_SO_MOI'!$C$14-'HANH_TRINH'!$F$3289)*258/'THAM_SO_MOI'!$C$42</f>
        <v>18.195403423129363</v>
      </c>
      <c r="G3548" s="75">
        <f>3.6*F3548</f>
        <v>65.5034523232657</v>
      </c>
      <c r="H3548" s="75">
        <f>'THAM_SO_MOI'!$D$53</f>
        <v>1.1</v>
      </c>
      <c r="I3548" s="75">
        <f>IF(F3548&gt;'THAM_SO_MOI'!$C$14,'THAM_SO_MOI'!$C$13*(1+F3548^2/1500),'THAM_SO_MOI'!$C$13)</f>
        <v>0.015</v>
      </c>
      <c r="J3548" s="75">
        <f>'THAM_SO_MOI'!$C$40*('THAM_SO_MOI'!$C$23*(E3548/'THAM_SO_MOI'!$C$22)+'THAM_SO_MOI'!$C$24*(E3548/'THAM_SO_MOI'!$C$22)^2-'THAM_SO_MOI'!$C$25*(E3548/'THAM_SO_MOI'!$C$22)^3)</f>
        <v>79.46148175768715</v>
      </c>
      <c r="K3548" s="75">
        <f>'THAM_SO_MOI'!$C$31*J3548/E3548</f>
        <v>423.34656968057385</v>
      </c>
      <c r="L3548" s="75">
        <f>K3548*'THAM_SO_MOI'!$C$53*'THAM_SO_MOI'!$C$17/'THAM_SO_MOI'!$C$26</f>
        <v>3712.7510726404485</v>
      </c>
      <c r="M3548" s="75">
        <f>'THAM_SO_MOI'!$C$15*'THAM_SO_MOI'!$C$16*F3548^2</f>
        <v>968.3876642615012</v>
      </c>
      <c r="N3548" s="75">
        <f>'THAM_SO_MOI'!$C$12*I3548</f>
        <v>1130.112</v>
      </c>
      <c r="O3548" s="75">
        <f>M3548+N3548</f>
        <v>2098.4996642615015</v>
      </c>
      <c r="P3548" s="75">
        <f>(MIN(L3548,'THAM_SO_MOI'!$C$41)-O3548)/('THAM_SO_MOI'!$C$11*H3548)</f>
        <v>0.1910808958781898</v>
      </c>
      <c r="Q3548" s="75">
        <f>IF(P3548&gt;0,1/P3548,NA())</f>
        <v>5.233385553297174</v>
      </c>
      <c r="R3548" s="75">
        <f>F3548-F3547</f>
        <v>0.0073885545698715305</v>
      </c>
      <c r="S3548" s="75">
        <f>0.5*(Q3547+Q3548)*R3548</f>
        <v>0.03866051626893442</v>
      </c>
      <c r="T3548" s="75">
        <f>0.5*(F3547*Q3547+F3548*Q3548)*R3548</f>
        <v>0.7033008919170155</v>
      </c>
      <c r="U3548" s="76">
        <f>U3547+S3548</f>
        <v>37.93447795721614</v>
      </c>
      <c r="V3548" s="76">
        <f>V3547+T3548</f>
        <v>447.1401204406204</v>
      </c>
    </row>
    <row r="3549" spans="1:22" ht="19" customHeight="1">
      <c r="A3549" s="68" t="s">
        <v>378</v>
      </c>
      <c r="B3549" s="74">
        <v>5</v>
      </c>
      <c r="C3549" s="68" t="s">
        <v>363</v>
      </c>
      <c r="D3549" s="68" t="s">
        <v>364</v>
      </c>
      <c r="E3549" s="75">
        <f>60*F3549*'THAM_SO_MOI'!$C$53/(2*PI()*'THAM_SO_MOI'!$C$26)</f>
        <v>1793.4540306448932</v>
      </c>
      <c r="F3549" s="75">
        <f>'HANH_TRINH'!$F$3289+('THAM_SO_MOI'!$C$14-'HANH_TRINH'!$F$3289)*259/'THAM_SO_MOI'!$C$42</f>
        <v>18.20279197769924</v>
      </c>
      <c r="G3549" s="75">
        <f>3.6*F3549</f>
        <v>65.53005111971726</v>
      </c>
      <c r="H3549" s="75">
        <f>'THAM_SO_MOI'!$D$53</f>
        <v>1.1</v>
      </c>
      <c r="I3549" s="75">
        <f>IF(F3549&gt;'THAM_SO_MOI'!$C$14,'THAM_SO_MOI'!$C$13*(1+F3549^2/1500),'THAM_SO_MOI'!$C$13)</f>
        <v>0.015</v>
      </c>
      <c r="J3549" s="75">
        <f>'THAM_SO_MOI'!$C$40*('THAM_SO_MOI'!$C$23*(E3549/'THAM_SO_MOI'!$C$22)+'THAM_SO_MOI'!$C$24*(E3549/'THAM_SO_MOI'!$C$22)^2-'THAM_SO_MOI'!$C$25*(E3549/'THAM_SO_MOI'!$C$22)^3)</f>
        <v>79.4987025748939</v>
      </c>
      <c r="K3549" s="75">
        <f>'THAM_SO_MOI'!$C$31*J3549/E3549</f>
        <v>423.37295303245156</v>
      </c>
      <c r="L3549" s="75">
        <f>K3549*'THAM_SO_MOI'!$C$53*'THAM_SO_MOI'!$C$17/'THAM_SO_MOI'!$C$26</f>
        <v>3712.982454739653</v>
      </c>
      <c r="M3549" s="75">
        <f>'THAM_SO_MOI'!$C$15*'THAM_SO_MOI'!$C$16*F3549^2</f>
        <v>969.1742846664209</v>
      </c>
      <c r="N3549" s="75">
        <f>'THAM_SO_MOI'!$C$12*I3549</f>
        <v>1130.112</v>
      </c>
      <c r="O3549" s="75">
        <f>M3549+N3549</f>
        <v>2099.286284666421</v>
      </c>
      <c r="P3549" s="75">
        <f>(MIN(L3549,'THAM_SO_MOI'!$C$41)-O3549)/('THAM_SO_MOI'!$C$11*H3549)</f>
        <v>0.1910151716469261</v>
      </c>
      <c r="Q3549" s="75">
        <f>IF(P3549&gt;0,1/P3549,NA())</f>
        <v>5.235186249228452</v>
      </c>
      <c r="R3549" s="75">
        <f>F3549-F3548</f>
        <v>0.007388554569875083</v>
      </c>
      <c r="S3549" s="75">
        <f>0.5*(Q3548+Q3549)*R3549</f>
        <v>0.038673807015808075</v>
      </c>
      <c r="T3549" s="75">
        <f>0.5*(F3548*Q3548+F3549*Q3549)*R3549</f>
        <v>0.7038284169029894</v>
      </c>
      <c r="U3549" s="76">
        <f>U3548+S3549</f>
        <v>37.97315176423194</v>
      </c>
      <c r="V3549" s="76">
        <f>V3548+T3549</f>
        <v>447.8439488575234</v>
      </c>
    </row>
    <row r="3550" spans="1:22" ht="19" customHeight="1">
      <c r="A3550" s="68" t="s">
        <v>378</v>
      </c>
      <c r="B3550" s="74">
        <v>5</v>
      </c>
      <c r="C3550" s="68" t="s">
        <v>363</v>
      </c>
      <c r="D3550" s="68" t="s">
        <v>364</v>
      </c>
      <c r="E3550" s="75">
        <f>60*F3550*'THAM_SO_MOI'!$C$53/(2*PI()*'THAM_SO_MOI'!$C$26)</f>
        <v>1794.1819977056716</v>
      </c>
      <c r="F3550" s="75">
        <f>'HANH_TRINH'!$F$3289+('THAM_SO_MOI'!$C$14-'HANH_TRINH'!$F$3289)*260/'THAM_SO_MOI'!$C$42</f>
        <v>18.21018053226911</v>
      </c>
      <c r="G3550" s="75">
        <f>3.6*F3550</f>
        <v>65.5566499161688</v>
      </c>
      <c r="H3550" s="75">
        <f>'THAM_SO_MOI'!$D$53</f>
        <v>1.1</v>
      </c>
      <c r="I3550" s="75">
        <f>IF(F3550&gt;'THAM_SO_MOI'!$C$14,'THAM_SO_MOI'!$C$13*(1+F3550^2/1500),'THAM_SO_MOI'!$C$13)</f>
        <v>0.015</v>
      </c>
      <c r="J3550" s="75">
        <f>'THAM_SO_MOI'!$C$40*('THAM_SO_MOI'!$C$23*(E3550/'THAM_SO_MOI'!$C$22)+'THAM_SO_MOI'!$C$24*(E3550/'THAM_SO_MOI'!$C$22)^2-'THAM_SO_MOI'!$C$25*(E3550/'THAM_SO_MOI'!$C$22)^3)</f>
        <v>79.53591775614834</v>
      </c>
      <c r="K3550" s="75">
        <f>'THAM_SO_MOI'!$C$31*J3550/E3550</f>
        <v>423.39928497262355</v>
      </c>
      <c r="L3550" s="75">
        <f>K3550*'THAM_SO_MOI'!$C$53*'THAM_SO_MOI'!$C$17/'THAM_SO_MOI'!$C$26</f>
        <v>3713.2133859579976</v>
      </c>
      <c r="M3550" s="75">
        <f>'THAM_SO_MOI'!$C$15*'THAM_SO_MOI'!$C$16*F3550^2</f>
        <v>969.9612244271613</v>
      </c>
      <c r="N3550" s="75">
        <f>'THAM_SO_MOI'!$C$12*I3550</f>
        <v>1130.112</v>
      </c>
      <c r="O3550" s="75">
        <f>M3550+N3550</f>
        <v>2100.073224427161</v>
      </c>
      <c r="P3550" s="75">
        <f>(MIN(L3550,'THAM_SO_MOI'!$C$41)-O3550)/('THAM_SO_MOI'!$C$11*H3550)</f>
        <v>0.19094935624181303</v>
      </c>
      <c r="Q3550" s="75">
        <f>IF(P3550&gt;0,1/P3550,NA())</f>
        <v>5.236990685287399</v>
      </c>
      <c r="R3550" s="75">
        <f>F3550-F3549</f>
        <v>0.0073885545698715305</v>
      </c>
      <c r="S3550" s="75">
        <f>0.5*(Q3549+Q3550)*R3550</f>
        <v>0.03868712537301016</v>
      </c>
      <c r="T3550" s="75">
        <f>0.5*(F3549*Q3549+F3550*Q3550)*R3550</f>
        <v>0.7043566409749333</v>
      </c>
      <c r="U3550" s="76">
        <f>U3549+S3550</f>
        <v>38.01183888960495</v>
      </c>
      <c r="V3550" s="76">
        <f>V3549+T3550</f>
        <v>448.54830549849834</v>
      </c>
    </row>
    <row r="3551" spans="1:22" ht="19" customHeight="1">
      <c r="A3551" s="68" t="s">
        <v>378</v>
      </c>
      <c r="B3551" s="74">
        <v>5</v>
      </c>
      <c r="C3551" s="68" t="s">
        <v>363</v>
      </c>
      <c r="D3551" s="68" t="s">
        <v>364</v>
      </c>
      <c r="E3551" s="75">
        <f>60*F3551*'THAM_SO_MOI'!$C$53/(2*PI()*'THAM_SO_MOI'!$C$26)</f>
        <v>1794.909964766451</v>
      </c>
      <c r="F3551" s="75">
        <f>'HANH_TRINH'!$F$3289+('THAM_SO_MOI'!$C$14-'HANH_TRINH'!$F$3289)*261/'THAM_SO_MOI'!$C$42</f>
        <v>18.21756908683898</v>
      </c>
      <c r="G3551" s="75">
        <f>3.6*F3551</f>
        <v>65.58324871262033</v>
      </c>
      <c r="H3551" s="75">
        <f>'THAM_SO_MOI'!$D$53</f>
        <v>1.1</v>
      </c>
      <c r="I3551" s="75">
        <f>IF(F3551&gt;'THAM_SO_MOI'!$C$14,'THAM_SO_MOI'!$C$13*(1+F3551^2/1500),'THAM_SO_MOI'!$C$13)</f>
        <v>0.015</v>
      </c>
      <c r="J3551" s="75">
        <f>'THAM_SO_MOI'!$C$40*('THAM_SO_MOI'!$C$23*(E3551/'THAM_SO_MOI'!$C$22)+'THAM_SO_MOI'!$C$24*(E3551/'THAM_SO_MOI'!$C$22)^2-'THAM_SO_MOI'!$C$25*(E3551/'THAM_SO_MOI'!$C$22)^3)</f>
        <v>79.5731272896951</v>
      </c>
      <c r="K3551" s="75">
        <f>'THAM_SO_MOI'!$C$31*J3551/E3551</f>
        <v>423.4255655010903</v>
      </c>
      <c r="L3551" s="75">
        <f>K3551*'THAM_SO_MOI'!$C$53*'THAM_SO_MOI'!$C$17/'THAM_SO_MOI'!$C$26</f>
        <v>3713.4438662954867</v>
      </c>
      <c r="M3551" s="75">
        <f>'THAM_SO_MOI'!$C$15*'THAM_SO_MOI'!$C$16*F3551^2</f>
        <v>970.7484835437225</v>
      </c>
      <c r="N3551" s="75">
        <f>'THAM_SO_MOI'!$C$12*I3551</f>
        <v>1130.112</v>
      </c>
      <c r="O3551" s="75">
        <f>M3551+N3551</f>
        <v>2100.8604835437227</v>
      </c>
      <c r="P3551" s="75">
        <f>(MIN(L3551,'THAM_SO_MOI'!$C$41)-O3551)/('THAM_SO_MOI'!$C$11*H3551)</f>
        <v>0.19088344966285087</v>
      </c>
      <c r="Q3551" s="75">
        <f>IF(P3551&gt;0,1/P3551,NA())</f>
        <v>5.2387988679283435</v>
      </c>
      <c r="R3551" s="75">
        <f>F3551-F3550</f>
        <v>0.0073885545698715305</v>
      </c>
      <c r="S3551" s="75">
        <f>0.5*(Q3550+Q3551)*R3551</f>
        <v>0.0387004713882123</v>
      </c>
      <c r="T3551" s="75">
        <f>0.5*(F3550*Q3550+F3551*Q3551)*R3551</f>
        <v>0.7048855656131336</v>
      </c>
      <c r="U3551" s="76">
        <f>U3550+S3551</f>
        <v>38.05053936099316</v>
      </c>
      <c r="V3551" s="76">
        <f>V3550+T3551</f>
        <v>449.2531910641115</v>
      </c>
    </row>
    <row r="3552" spans="1:22" ht="19" customHeight="1">
      <c r="A3552" s="68" t="s">
        <v>378</v>
      </c>
      <c r="B3552" s="74">
        <v>5</v>
      </c>
      <c r="C3552" s="68" t="s">
        <v>363</v>
      </c>
      <c r="D3552" s="68" t="s">
        <v>364</v>
      </c>
      <c r="E3552" s="75">
        <f>60*F3552*'THAM_SO_MOI'!$C$53/(2*PI()*'THAM_SO_MOI'!$C$26)</f>
        <v>1795.6379318272297</v>
      </c>
      <c r="F3552" s="75">
        <f>'HANH_TRINH'!$F$3289+('THAM_SO_MOI'!$C$14-'HANH_TRINH'!$F$3289)*262/'THAM_SO_MOI'!$C$42</f>
        <v>18.224957641408853</v>
      </c>
      <c r="G3552" s="75">
        <f>3.6*F3552</f>
        <v>65.60984750907187</v>
      </c>
      <c r="H3552" s="75">
        <f>'THAM_SO_MOI'!$D$53</f>
        <v>1.1</v>
      </c>
      <c r="I3552" s="75">
        <f>IF(F3552&gt;'THAM_SO_MOI'!$C$14,'THAM_SO_MOI'!$C$13*(1+F3552^2/1500),'THAM_SO_MOI'!$C$13)</f>
        <v>0.015</v>
      </c>
      <c r="J3552" s="75">
        <f>'THAM_SO_MOI'!$C$40*('THAM_SO_MOI'!$C$23*(E3552/'THAM_SO_MOI'!$C$22)+'THAM_SO_MOI'!$C$24*(E3552/'THAM_SO_MOI'!$C$22)^2-'THAM_SO_MOI'!$C$25*(E3552/'THAM_SO_MOI'!$C$22)^3)</f>
        <v>79.61033116377858</v>
      </c>
      <c r="K3552" s="75">
        <f>'THAM_SO_MOI'!$C$31*J3552/E3552</f>
        <v>423.4517946178516</v>
      </c>
      <c r="L3552" s="75">
        <f>K3552*'THAM_SO_MOI'!$C$53*'THAM_SO_MOI'!$C$17/'THAM_SO_MOI'!$C$26</f>
        <v>3713.673895752116</v>
      </c>
      <c r="M3552" s="75">
        <f>'THAM_SO_MOI'!$C$15*'THAM_SO_MOI'!$C$16*F3552^2</f>
        <v>971.5360620161049</v>
      </c>
      <c r="N3552" s="75">
        <f>'THAM_SO_MOI'!$C$12*I3552</f>
        <v>1130.112</v>
      </c>
      <c r="O3552" s="75">
        <f>M3552+N3552</f>
        <v>2101.648062016105</v>
      </c>
      <c r="P3552" s="75">
        <f>(MIN(L3552,'THAM_SO_MOI'!$C$41)-O3552)/('THAM_SO_MOI'!$C$11*H3552)</f>
        <v>0.19081745191003918</v>
      </c>
      <c r="Q3552" s="75">
        <f>IF(P3552&gt;0,1/P3552,NA())</f>
        <v>5.240610803625287</v>
      </c>
      <c r="R3552" s="75">
        <f>F3552-F3551</f>
        <v>0.0073885545698715305</v>
      </c>
      <c r="S3552" s="75">
        <f>0.5*(Q3551+Q3552)*R3552</f>
        <v>0.03871384510915675</v>
      </c>
      <c r="T3552" s="75">
        <f>0.5*(F3551*Q3551+F3552*Q3552)*R3552</f>
        <v>0.7054151923005728</v>
      </c>
      <c r="U3552" s="76">
        <f>U3551+S3552</f>
        <v>38.08925320610232</v>
      </c>
      <c r="V3552" s="76">
        <f>V3551+T3552</f>
        <v>449.95860625641205</v>
      </c>
    </row>
    <row r="3553" spans="1:22" ht="19" customHeight="1">
      <c r="A3553" s="68" t="s">
        <v>378</v>
      </c>
      <c r="B3553" s="74">
        <v>5</v>
      </c>
      <c r="C3553" s="68" t="s">
        <v>363</v>
      </c>
      <c r="D3553" s="68" t="s">
        <v>364</v>
      </c>
      <c r="E3553" s="75">
        <f>60*F3553*'THAM_SO_MOI'!$C$53/(2*PI()*'THAM_SO_MOI'!$C$26)</f>
        <v>1796.3658988880088</v>
      </c>
      <c r="F3553" s="75">
        <f>'HANH_TRINH'!$F$3289+('THAM_SO_MOI'!$C$14-'HANH_TRINH'!$F$3289)*263/'THAM_SO_MOI'!$C$42</f>
        <v>18.232346195978725</v>
      </c>
      <c r="G3553" s="75">
        <f>3.6*F3553</f>
        <v>65.6364463055234</v>
      </c>
      <c r="H3553" s="75">
        <f>'THAM_SO_MOI'!$D$53</f>
        <v>1.1</v>
      </c>
      <c r="I3553" s="75">
        <f>IF(F3553&gt;'THAM_SO_MOI'!$C$14,'THAM_SO_MOI'!$C$13*(1+F3553^2/1500),'THAM_SO_MOI'!$C$13)</f>
        <v>0.015</v>
      </c>
      <c r="J3553" s="75">
        <f>'THAM_SO_MOI'!$C$40*('THAM_SO_MOI'!$C$23*(E3553/'THAM_SO_MOI'!$C$22)+'THAM_SO_MOI'!$C$24*(E3553/'THAM_SO_MOI'!$C$22)^2-'THAM_SO_MOI'!$C$25*(E3553/'THAM_SO_MOI'!$C$22)^3)</f>
        <v>79.6475293666433</v>
      </c>
      <c r="K3553" s="75">
        <f>'THAM_SO_MOI'!$C$31*J3553/E3553</f>
        <v>423.47797232290736</v>
      </c>
      <c r="L3553" s="75">
        <f>K3553*'THAM_SO_MOI'!$C$53*'THAM_SO_MOI'!$C$17/'THAM_SO_MOI'!$C$26</f>
        <v>3713.9034743278885</v>
      </c>
      <c r="M3553" s="75">
        <f>'THAM_SO_MOI'!$C$15*'THAM_SO_MOI'!$C$16*F3553^2</f>
        <v>972.3239598443082</v>
      </c>
      <c r="N3553" s="75">
        <f>'THAM_SO_MOI'!$C$12*I3553</f>
        <v>1130.112</v>
      </c>
      <c r="O3553" s="75">
        <f>M3553+N3553</f>
        <v>2102.4359598443084</v>
      </c>
      <c r="P3553" s="75">
        <f>(MIN(L3553,'THAM_SO_MOI'!$C$41)-O3553)/('THAM_SO_MOI'!$C$11*H3553)</f>
        <v>0.19075136298337833</v>
      </c>
      <c r="Q3553" s="75">
        <f>IF(P3553&gt;0,1/P3553,NA())</f>
        <v>5.242426498871926</v>
      </c>
      <c r="R3553" s="75">
        <f>F3553-F3552</f>
        <v>0.0073885545698715305</v>
      </c>
      <c r="S3553" s="75">
        <f>0.5*(Q3552+Q3553)*R3553</f>
        <v>0.03872724658374975</v>
      </c>
      <c r="T3553" s="75">
        <f>0.5*(F3552*Q3552+F3553*Q3553)*R3553</f>
        <v>0.7059455225246336</v>
      </c>
      <c r="U3553" s="76">
        <f>U3552+S3553</f>
        <v>38.12798045268607</v>
      </c>
      <c r="V3553" s="76">
        <f>V3552+T3553</f>
        <v>450.6645517789367</v>
      </c>
    </row>
    <row r="3554" spans="1:22" ht="19" customHeight="1">
      <c r="A3554" s="68" t="s">
        <v>378</v>
      </c>
      <c r="B3554" s="74">
        <v>5</v>
      </c>
      <c r="C3554" s="68" t="s">
        <v>363</v>
      </c>
      <c r="D3554" s="68" t="s">
        <v>364</v>
      </c>
      <c r="E3554" s="75">
        <f>60*F3554*'THAM_SO_MOI'!$C$53/(2*PI()*'THAM_SO_MOI'!$C$26)</f>
        <v>1797.0938659487874</v>
      </c>
      <c r="F3554" s="75">
        <f>'HANH_TRINH'!$F$3289+('THAM_SO_MOI'!$C$14-'HANH_TRINH'!$F$3289)*264/'THAM_SO_MOI'!$C$42</f>
        <v>18.239734750548596</v>
      </c>
      <c r="G3554" s="75">
        <f>3.6*F3554</f>
        <v>65.66304510197494</v>
      </c>
      <c r="H3554" s="75">
        <f>'THAM_SO_MOI'!$D$53</f>
        <v>1.1</v>
      </c>
      <c r="I3554" s="75">
        <f>IF(F3554&gt;'THAM_SO_MOI'!$C$14,'THAM_SO_MOI'!$C$13*(1+F3554^2/1500),'THAM_SO_MOI'!$C$13)</f>
        <v>0.015</v>
      </c>
      <c r="J3554" s="75">
        <f>'THAM_SO_MOI'!$C$40*('THAM_SO_MOI'!$C$23*(E3554/'THAM_SO_MOI'!$C$22)+'THAM_SO_MOI'!$C$24*(E3554/'THAM_SO_MOI'!$C$22)^2-'THAM_SO_MOI'!$C$25*(E3554/'THAM_SO_MOI'!$C$22)^3)</f>
        <v>79.68472188653374</v>
      </c>
      <c r="K3554" s="75">
        <f>'THAM_SO_MOI'!$C$31*J3554/E3554</f>
        <v>423.5040986162579</v>
      </c>
      <c r="L3554" s="75">
        <f>K3554*'THAM_SO_MOI'!$C$53*'THAM_SO_MOI'!$C$17/'THAM_SO_MOI'!$C$26</f>
        <v>3714.1326020228034</v>
      </c>
      <c r="M3554" s="75">
        <f>'THAM_SO_MOI'!$C$15*'THAM_SO_MOI'!$C$16*F3554^2</f>
        <v>973.1121770283326</v>
      </c>
      <c r="N3554" s="75">
        <f>'THAM_SO_MOI'!$C$12*I3554</f>
        <v>1130.112</v>
      </c>
      <c r="O3554" s="75">
        <f>M3554+N3554</f>
        <v>2103.2241770283326</v>
      </c>
      <c r="P3554" s="75">
        <f>(MIN(L3554,'THAM_SO_MOI'!$C$41)-O3554)/('THAM_SO_MOI'!$C$11*H3554)</f>
        <v>0.19068518288286823</v>
      </c>
      <c r="Q3554" s="75">
        <f>IF(P3554&gt;0,1/P3554,NA())</f>
        <v>5.24424596018175</v>
      </c>
      <c r="R3554" s="75">
        <f>F3554-F3553</f>
        <v>0.0073885545698715305</v>
      </c>
      <c r="S3554" s="75">
        <f>0.5*(Q3553+Q3554)*R3554</f>
        <v>0.038740675860043476</v>
      </c>
      <c r="T3554" s="75">
        <f>0.5*(F3553*Q3553+F3554*Q3554)*R3554</f>
        <v>0.7064765577767756</v>
      </c>
      <c r="U3554" s="76">
        <f>U3553+S3554</f>
        <v>38.16672112854611</v>
      </c>
      <c r="V3554" s="76">
        <f>V3553+T3554</f>
        <v>451.3710283367135</v>
      </c>
    </row>
    <row r="3555" spans="1:22" ht="19" customHeight="1">
      <c r="A3555" s="68" t="s">
        <v>378</v>
      </c>
      <c r="B3555" s="74">
        <v>5</v>
      </c>
      <c r="C3555" s="68" t="s">
        <v>363</v>
      </c>
      <c r="D3555" s="68" t="s">
        <v>364</v>
      </c>
      <c r="E3555" s="75">
        <f>60*F3555*'THAM_SO_MOI'!$C$53/(2*PI()*'THAM_SO_MOI'!$C$26)</f>
        <v>1797.8218330095665</v>
      </c>
      <c r="F3555" s="75">
        <f>'HANH_TRINH'!$F$3289+('THAM_SO_MOI'!$C$14-'HANH_TRINH'!$F$3289)*265/'THAM_SO_MOI'!$C$42</f>
        <v>18.247123305118468</v>
      </c>
      <c r="G3555" s="75">
        <f>3.6*F3555</f>
        <v>65.68964389842648</v>
      </c>
      <c r="H3555" s="75">
        <f>'THAM_SO_MOI'!$D$53</f>
        <v>1.1</v>
      </c>
      <c r="I3555" s="75">
        <f>IF(F3555&gt;'THAM_SO_MOI'!$C$14,'THAM_SO_MOI'!$C$13*(1+F3555^2/1500),'THAM_SO_MOI'!$C$13)</f>
        <v>0.015</v>
      </c>
      <c r="J3555" s="75">
        <f>'THAM_SO_MOI'!$C$40*('THAM_SO_MOI'!$C$23*(E3555/'THAM_SO_MOI'!$C$22)+'THAM_SO_MOI'!$C$24*(E3555/'THAM_SO_MOI'!$C$22)^2-'THAM_SO_MOI'!$C$25*(E3555/'THAM_SO_MOI'!$C$22)^3)</f>
        <v>79.72190871169438</v>
      </c>
      <c r="K3555" s="75">
        <f>'THAM_SO_MOI'!$C$31*J3555/E3555</f>
        <v>423.53017349790287</v>
      </c>
      <c r="L3555" s="75">
        <f>K3555*'THAM_SO_MOI'!$C$53*'THAM_SO_MOI'!$C$17/'THAM_SO_MOI'!$C$26</f>
        <v>3714.36127883686</v>
      </c>
      <c r="M3555" s="75">
        <f>'THAM_SO_MOI'!$C$15*'THAM_SO_MOI'!$C$16*F3555^2</f>
        <v>973.9007135681777</v>
      </c>
      <c r="N3555" s="75">
        <f>'THAM_SO_MOI'!$C$12*I3555</f>
        <v>1130.112</v>
      </c>
      <c r="O3555" s="75">
        <f>M3555+N3555</f>
        <v>2104.012713568178</v>
      </c>
      <c r="P3555" s="75">
        <f>(MIN(L3555,'THAM_SO_MOI'!$C$41)-O3555)/('THAM_SO_MOI'!$C$11*H3555)</f>
        <v>0.1906189116085088</v>
      </c>
      <c r="Q3555" s="75">
        <f>IF(P3555&gt;0,1/P3555,NA())</f>
        <v>5.246069194088097</v>
      </c>
      <c r="R3555" s="75">
        <f>F3555-F3554</f>
        <v>0.0073885545698715305</v>
      </c>
      <c r="S3555" s="75">
        <f>0.5*(Q3554+Q3555)*R3555</f>
        <v>0.03875413298623653</v>
      </c>
      <c r="T3555" s="75">
        <f>0.5*(F3554*Q3554+F3555*Q3555)*R3555</f>
        <v>0.7070082995525497</v>
      </c>
      <c r="U3555" s="76">
        <f>U3554+S3555</f>
        <v>38.20547526153234</v>
      </c>
      <c r="V3555" s="76">
        <f>V3554+T3555</f>
        <v>452.07803663626606</v>
      </c>
    </row>
    <row r="3556" spans="1:22" ht="19" customHeight="1">
      <c r="A3556" s="68" t="s">
        <v>378</v>
      </c>
      <c r="B3556" s="74">
        <v>5</v>
      </c>
      <c r="C3556" s="68" t="s">
        <v>363</v>
      </c>
      <c r="D3556" s="68" t="s">
        <v>364</v>
      </c>
      <c r="E3556" s="75">
        <f>60*F3556*'THAM_SO_MOI'!$C$53/(2*PI()*'THAM_SO_MOI'!$C$26)</f>
        <v>1798.5498000703458</v>
      </c>
      <c r="F3556" s="75">
        <f>'HANH_TRINH'!$F$3289+('THAM_SO_MOI'!$C$14-'HANH_TRINH'!$F$3289)*266/'THAM_SO_MOI'!$C$42</f>
        <v>18.254511859688343</v>
      </c>
      <c r="G3556" s="75">
        <f>3.6*F3556</f>
        <v>65.71624269487803</v>
      </c>
      <c r="H3556" s="75">
        <f>'THAM_SO_MOI'!$D$53</f>
        <v>1.1</v>
      </c>
      <c r="I3556" s="75">
        <f>IF(F3556&gt;'THAM_SO_MOI'!$C$14,'THAM_SO_MOI'!$C$13*(1+F3556^2/1500),'THAM_SO_MOI'!$C$13)</f>
        <v>0.015</v>
      </c>
      <c r="J3556" s="75">
        <f>'THAM_SO_MOI'!$C$40*('THAM_SO_MOI'!$C$23*(E3556/'THAM_SO_MOI'!$C$22)+'THAM_SO_MOI'!$C$24*(E3556/'THAM_SO_MOI'!$C$22)^2-'THAM_SO_MOI'!$C$25*(E3556/'THAM_SO_MOI'!$C$22)^3)</f>
        <v>79.75908983036973</v>
      </c>
      <c r="K3556" s="75">
        <f>'THAM_SO_MOI'!$C$31*J3556/E3556</f>
        <v>423.55619696784254</v>
      </c>
      <c r="L3556" s="75">
        <f>K3556*'THAM_SO_MOI'!$C$53*'THAM_SO_MOI'!$C$17/'THAM_SO_MOI'!$C$26</f>
        <v>3714.58950477006</v>
      </c>
      <c r="M3556" s="75">
        <f>'THAM_SO_MOI'!$C$15*'THAM_SO_MOI'!$C$16*F3556^2</f>
        <v>974.6895694638445</v>
      </c>
      <c r="N3556" s="75">
        <f>'THAM_SO_MOI'!$C$12*I3556</f>
        <v>1130.112</v>
      </c>
      <c r="O3556" s="75">
        <f>M3556+N3556</f>
        <v>2104.8015694638443</v>
      </c>
      <c r="P3556" s="75">
        <f>(MIN(L3556,'THAM_SO_MOI'!$C$41)-O3556)/('THAM_SO_MOI'!$C$11*H3556)</f>
        <v>0.19055254916030012</v>
      </c>
      <c r="Q3556" s="75">
        <f>IF(P3556&gt;0,1/P3556,NA())</f>
        <v>5.247896207144212</v>
      </c>
      <c r="R3556" s="75">
        <f>F3556-F3555</f>
        <v>0.007388554569875083</v>
      </c>
      <c r="S3556" s="75">
        <f>0.5*(Q3555+Q3556)*R3556</f>
        <v>0.03876761801069299</v>
      </c>
      <c r="T3556" s="75">
        <f>0.5*(F3555*Q3555+F3556*Q3556)*R3556</f>
        <v>0.7075407493519528</v>
      </c>
      <c r="U3556" s="76">
        <f>U3555+S3556</f>
        <v>38.24424287954304</v>
      </c>
      <c r="V3556" s="76">
        <f>V3555+T3556</f>
        <v>452.785577385618</v>
      </c>
    </row>
    <row r="3557" spans="1:22" ht="19" customHeight="1">
      <c r="A3557" s="68" t="s">
        <v>378</v>
      </c>
      <c r="B3557" s="74">
        <v>5</v>
      </c>
      <c r="C3557" s="68" t="s">
        <v>363</v>
      </c>
      <c r="D3557" s="68" t="s">
        <v>364</v>
      </c>
      <c r="E3557" s="75">
        <f>60*F3557*'THAM_SO_MOI'!$C$53/(2*PI()*'THAM_SO_MOI'!$C$26)</f>
        <v>1799.2777671311248</v>
      </c>
      <c r="F3557" s="75">
        <f>'HANH_TRINH'!$F$3289+('THAM_SO_MOI'!$C$14-'HANH_TRINH'!$F$3289)*267/'THAM_SO_MOI'!$C$42</f>
        <v>18.261900414258214</v>
      </c>
      <c r="G3557" s="75">
        <f>3.6*F3557</f>
        <v>65.74284149132957</v>
      </c>
      <c r="H3557" s="75">
        <f>'THAM_SO_MOI'!$D$53</f>
        <v>1.1</v>
      </c>
      <c r="I3557" s="75">
        <f>IF(F3557&gt;'THAM_SO_MOI'!$C$14,'THAM_SO_MOI'!$C$13*(1+F3557^2/1500),'THAM_SO_MOI'!$C$13)</f>
        <v>0.015</v>
      </c>
      <c r="J3557" s="75">
        <f>'THAM_SO_MOI'!$C$40*('THAM_SO_MOI'!$C$23*(E3557/'THAM_SO_MOI'!$C$22)+'THAM_SO_MOI'!$C$24*(E3557/'THAM_SO_MOI'!$C$22)^2-'THAM_SO_MOI'!$C$25*(E3557/'THAM_SO_MOI'!$C$22)^3)</f>
        <v>79.79626523080422</v>
      </c>
      <c r="K3557" s="75">
        <f>'THAM_SO_MOI'!$C$31*J3557/E3557</f>
        <v>423.58216902607666</v>
      </c>
      <c r="L3557" s="75">
        <f>K3557*'THAM_SO_MOI'!$C$53*'THAM_SO_MOI'!$C$17/'THAM_SO_MOI'!$C$26</f>
        <v>3714.817279822401</v>
      </c>
      <c r="M3557" s="75">
        <f>'THAM_SO_MOI'!$C$15*'THAM_SO_MOI'!$C$16*F3557^2</f>
        <v>975.4787447153318</v>
      </c>
      <c r="N3557" s="75">
        <f>'THAM_SO_MOI'!$C$12*I3557</f>
        <v>1130.112</v>
      </c>
      <c r="O3557" s="75">
        <f>M3557+N3557</f>
        <v>2105.5907447153318</v>
      </c>
      <c r="P3557" s="75">
        <f>(MIN(L3557,'THAM_SO_MOI'!$C$41)-O3557)/('THAM_SO_MOI'!$C$11*H3557)</f>
        <v>0.19048609553824208</v>
      </c>
      <c r="Q3557" s="75">
        <f>IF(P3557&gt;0,1/P3557,NA())</f>
        <v>5.249727005923325</v>
      </c>
      <c r="R3557" s="75">
        <f>F3557-F3556</f>
        <v>0.0073885545698715305</v>
      </c>
      <c r="S3557" s="75">
        <f>0.5*(Q3556+Q3557)*R3557</f>
        <v>0.03878113098184981</v>
      </c>
      <c r="T3557" s="75">
        <f>0.5*(F3556*Q3556+F3557*Q3557)*R3557</f>
        <v>0.7080739086777391</v>
      </c>
      <c r="U3557" s="76">
        <f>U3556+S3557</f>
        <v>38.28302401052489</v>
      </c>
      <c r="V3557" s="76">
        <f>V3556+T3557</f>
        <v>453.4936512942958</v>
      </c>
    </row>
    <row r="3558" spans="1:22" ht="19" customHeight="1">
      <c r="A3558" s="68" t="s">
        <v>378</v>
      </c>
      <c r="B3558" s="74">
        <v>5</v>
      </c>
      <c r="C3558" s="68" t="s">
        <v>363</v>
      </c>
      <c r="D3558" s="68" t="s">
        <v>364</v>
      </c>
      <c r="E3558" s="75">
        <f>60*F3558*'THAM_SO_MOI'!$C$53/(2*PI()*'THAM_SO_MOI'!$C$26)</f>
        <v>1800.0057341919035</v>
      </c>
      <c r="F3558" s="75">
        <f>'HANH_TRINH'!$F$3289+('THAM_SO_MOI'!$C$14-'HANH_TRINH'!$F$3289)*268/'THAM_SO_MOI'!$C$42</f>
        <v>18.269288968828086</v>
      </c>
      <c r="G3558" s="75">
        <f>3.6*F3558</f>
        <v>65.76944028778111</v>
      </c>
      <c r="H3558" s="75">
        <f>'THAM_SO_MOI'!$D$53</f>
        <v>1.1</v>
      </c>
      <c r="I3558" s="75">
        <f>IF(F3558&gt;'THAM_SO_MOI'!$C$14,'THAM_SO_MOI'!$C$13*(1+F3558^2/1500),'THAM_SO_MOI'!$C$13)</f>
        <v>0.015</v>
      </c>
      <c r="J3558" s="75">
        <f>'THAM_SO_MOI'!$C$40*('THAM_SO_MOI'!$C$23*(E3558/'THAM_SO_MOI'!$C$22)+'THAM_SO_MOI'!$C$24*(E3558/'THAM_SO_MOI'!$C$22)^2-'THAM_SO_MOI'!$C$25*(E3558/'THAM_SO_MOI'!$C$22)^3)</f>
        <v>79.83343490124236</v>
      </c>
      <c r="K3558" s="75">
        <f>'THAM_SO_MOI'!$C$31*J3558/E3558</f>
        <v>423.6080896726053</v>
      </c>
      <c r="L3558" s="75">
        <f>K3558*'THAM_SO_MOI'!$C$53*'THAM_SO_MOI'!$C$17/'THAM_SO_MOI'!$C$26</f>
        <v>3715.044603993884</v>
      </c>
      <c r="M3558" s="75">
        <f>'THAM_SO_MOI'!$C$15*'THAM_SO_MOI'!$C$16*F3558^2</f>
        <v>976.26823932264</v>
      </c>
      <c r="N3558" s="75">
        <f>'THAM_SO_MOI'!$C$12*I3558</f>
        <v>1130.112</v>
      </c>
      <c r="O3558" s="75">
        <f>M3558+N3558</f>
        <v>2106.38023932264</v>
      </c>
      <c r="P3558" s="75">
        <f>(MIN(L3558,'THAM_SO_MOI'!$C$41)-O3558)/('THAM_SO_MOI'!$C$11*H3558)</f>
        <v>0.19041955074233471</v>
      </c>
      <c r="Q3558" s="75">
        <f>IF(P3558&gt;0,1/P3558,NA())</f>
        <v>5.251561597018707</v>
      </c>
      <c r="R3558" s="75">
        <f>F3558-F3557</f>
        <v>0.0073885545698715305</v>
      </c>
      <c r="S3558" s="75">
        <f>0.5*(Q3557+Q3558)*R3558</f>
        <v>0.03879467194840359</v>
      </c>
      <c r="T3558" s="75">
        <f>0.5*(F3557*Q3557+F3558*Q3558)*R3558</f>
        <v>0.7086077790388393</v>
      </c>
      <c r="U3558" s="76">
        <f>U3557+S3558</f>
        <v>38.32181868247329</v>
      </c>
      <c r="V3558" s="76">
        <f>V3557+T3558</f>
        <v>454.20225907333463</v>
      </c>
    </row>
    <row r="3559" spans="1:22" ht="19" customHeight="1">
      <c r="A3559" s="68" t="s">
        <v>378</v>
      </c>
      <c r="B3559" s="74">
        <v>5</v>
      </c>
      <c r="C3559" s="68" t="s">
        <v>363</v>
      </c>
      <c r="D3559" s="68" t="s">
        <v>364</v>
      </c>
      <c r="E3559" s="75">
        <f>60*F3559*'THAM_SO_MOI'!$C$53/(2*PI()*'THAM_SO_MOI'!$C$26)</f>
        <v>1800.7337012526825</v>
      </c>
      <c r="F3559" s="75">
        <f>'HANH_TRINH'!$F$3289+('THAM_SO_MOI'!$C$14-'HANH_TRINH'!$F$3289)*269/'THAM_SO_MOI'!$C$42</f>
        <v>18.276677523397957</v>
      </c>
      <c r="G3559" s="75">
        <f>3.6*F3559</f>
        <v>65.79603908423265</v>
      </c>
      <c r="H3559" s="75">
        <f>'THAM_SO_MOI'!$D$53</f>
        <v>1.1</v>
      </c>
      <c r="I3559" s="75">
        <f>IF(F3559&gt;'THAM_SO_MOI'!$C$14,'THAM_SO_MOI'!$C$13*(1+F3559^2/1500),'THAM_SO_MOI'!$C$13)</f>
        <v>0.015</v>
      </c>
      <c r="J3559" s="75">
        <f>'THAM_SO_MOI'!$C$40*('THAM_SO_MOI'!$C$23*(E3559/'THAM_SO_MOI'!$C$22)+'THAM_SO_MOI'!$C$24*(E3559/'THAM_SO_MOI'!$C$22)^2-'THAM_SO_MOI'!$C$25*(E3559/'THAM_SO_MOI'!$C$22)^3)</f>
        <v>79.87059882992865</v>
      </c>
      <c r="K3559" s="75">
        <f>'THAM_SO_MOI'!$C$31*J3559/E3559</f>
        <v>423.6339589074286</v>
      </c>
      <c r="L3559" s="75">
        <f>K3559*'THAM_SO_MOI'!$C$53*'THAM_SO_MOI'!$C$17/'THAM_SO_MOI'!$C$26</f>
        <v>3715.2714772845097</v>
      </c>
      <c r="M3559" s="75">
        <f>'THAM_SO_MOI'!$C$15*'THAM_SO_MOI'!$C$16*F3559^2</f>
        <v>977.0580532857693</v>
      </c>
      <c r="N3559" s="75">
        <f>'THAM_SO_MOI'!$C$12*I3559</f>
        <v>1130.112</v>
      </c>
      <c r="O3559" s="75">
        <f>M3559+N3559</f>
        <v>2107.1700532857694</v>
      </c>
      <c r="P3559" s="75">
        <f>(MIN(L3559,'THAM_SO_MOI'!$C$41)-O3559)/('THAM_SO_MOI'!$C$11*H3559)</f>
        <v>0.19035291477257815</v>
      </c>
      <c r="Q3559" s="75">
        <f>IF(P3559&gt;0,1/P3559,NA())</f>
        <v>5.253399987043739</v>
      </c>
      <c r="R3559" s="75">
        <f>F3559-F3558</f>
        <v>0.0073885545698715305</v>
      </c>
      <c r="S3559" s="75">
        <f>0.5*(Q3558+Q3559)*R3559</f>
        <v>0.03880824095912473</v>
      </c>
      <c r="T3559" s="75">
        <f>0.5*(F3558*Q3558+F3559*Q3559)*R3559</f>
        <v>0.7091423619469707</v>
      </c>
      <c r="U3559" s="76">
        <f>U3558+S3559</f>
        <v>38.36062692343242</v>
      </c>
      <c r="V3559" s="76">
        <f>V3558+T3559</f>
        <v>454.9114014352816</v>
      </c>
    </row>
    <row r="3560" spans="1:22" ht="19" customHeight="1">
      <c r="A3560" s="68" t="s">
        <v>378</v>
      </c>
      <c r="B3560" s="74">
        <v>5</v>
      </c>
      <c r="C3560" s="68" t="s">
        <v>363</v>
      </c>
      <c r="D3560" s="68" t="s">
        <v>364</v>
      </c>
      <c r="E3560" s="75">
        <f>60*F3560*'THAM_SO_MOI'!$C$53/(2*PI()*'THAM_SO_MOI'!$C$26)</f>
        <v>1801.4616683134614</v>
      </c>
      <c r="F3560" s="75">
        <f>'HANH_TRINH'!$F$3289+('THAM_SO_MOI'!$C$14-'HANH_TRINH'!$F$3289)*270/'THAM_SO_MOI'!$C$42</f>
        <v>18.28406607796783</v>
      </c>
      <c r="G3560" s="75">
        <f>3.6*F3560</f>
        <v>65.82263788068418</v>
      </c>
      <c r="H3560" s="75">
        <f>'THAM_SO_MOI'!$D$53</f>
        <v>1.1</v>
      </c>
      <c r="I3560" s="75">
        <f>IF(F3560&gt;'THAM_SO_MOI'!$C$14,'THAM_SO_MOI'!$C$13*(1+F3560^2/1500),'THAM_SO_MOI'!$C$13)</f>
        <v>0.015</v>
      </c>
      <c r="J3560" s="75">
        <f>'THAM_SO_MOI'!$C$40*('THAM_SO_MOI'!$C$23*(E3560/'THAM_SO_MOI'!$C$22)+'THAM_SO_MOI'!$C$24*(E3560/'THAM_SO_MOI'!$C$22)^2-'THAM_SO_MOI'!$C$25*(E3560/'THAM_SO_MOI'!$C$22)^3)</f>
        <v>79.90775700510756</v>
      </c>
      <c r="K3560" s="75">
        <f>'THAM_SO_MOI'!$C$31*J3560/E3560</f>
        <v>423.6597767305464</v>
      </c>
      <c r="L3560" s="75">
        <f>K3560*'THAM_SO_MOI'!$C$53*'THAM_SO_MOI'!$C$17/'THAM_SO_MOI'!$C$26</f>
        <v>3715.4978996942773</v>
      </c>
      <c r="M3560" s="75">
        <f>'THAM_SO_MOI'!$C$15*'THAM_SO_MOI'!$C$16*F3560^2</f>
        <v>977.8481866047196</v>
      </c>
      <c r="N3560" s="75">
        <f>'THAM_SO_MOI'!$C$12*I3560</f>
        <v>1130.112</v>
      </c>
      <c r="O3560" s="75">
        <f>M3560+N3560</f>
        <v>2107.9601866047196</v>
      </c>
      <c r="P3560" s="75">
        <f>(MIN(L3560,'THAM_SO_MOI'!$C$41)-O3560)/('THAM_SO_MOI'!$C$11*H3560)</f>
        <v>0.19028618762897226</v>
      </c>
      <c r="Q3560" s="75">
        <f>IF(P3560&gt;0,1/P3560,NA())</f>
        <v>5.255242182631987</v>
      </c>
      <c r="R3560" s="75">
        <f>F3560-F3559</f>
        <v>0.0073885545698715305</v>
      </c>
      <c r="S3560" s="75">
        <f>0.5*(Q3559+Q3560)*R3560</f>
        <v>0.03882183806295113</v>
      </c>
      <c r="T3560" s="75">
        <f>0.5*(F3559*Q3559+F3560*Q3560)*R3560</f>
        <v>0.7096776589183541</v>
      </c>
      <c r="U3560" s="76">
        <f>U3559+S3560</f>
        <v>38.39944876149537</v>
      </c>
      <c r="V3560" s="76">
        <f>V3559+T3560</f>
        <v>455.62107909419996</v>
      </c>
    </row>
    <row r="3561" spans="1:22" ht="19" customHeight="1">
      <c r="A3561" s="68" t="s">
        <v>378</v>
      </c>
      <c r="B3561" s="74">
        <v>5</v>
      </c>
      <c r="C3561" s="68" t="s">
        <v>363</v>
      </c>
      <c r="D3561" s="68" t="s">
        <v>364</v>
      </c>
      <c r="E3561" s="75">
        <f>60*F3561*'THAM_SO_MOI'!$C$53/(2*PI()*'THAM_SO_MOI'!$C$26)</f>
        <v>1802.1896353742407</v>
      </c>
      <c r="F3561" s="75">
        <f>'HANH_TRINH'!$F$3289+('THAM_SO_MOI'!$C$14-'HANH_TRINH'!$F$3289)*271/'THAM_SO_MOI'!$C$42</f>
        <v>18.2914546325377</v>
      </c>
      <c r="G3561" s="75">
        <f>3.6*F3561</f>
        <v>65.84923667713572</v>
      </c>
      <c r="H3561" s="75">
        <f>'THAM_SO_MOI'!$D$53</f>
        <v>1.1</v>
      </c>
      <c r="I3561" s="75">
        <f>IF(F3561&gt;'THAM_SO_MOI'!$C$14,'THAM_SO_MOI'!$C$13*(1+F3561^2/1500),'THAM_SO_MOI'!$C$13)</f>
        <v>0.015</v>
      </c>
      <c r="J3561" s="75">
        <f>'THAM_SO_MOI'!$C$40*('THAM_SO_MOI'!$C$23*(E3561/'THAM_SO_MOI'!$C$22)+'THAM_SO_MOI'!$C$24*(E3561/'THAM_SO_MOI'!$C$22)^2-'THAM_SO_MOI'!$C$25*(E3561/'THAM_SO_MOI'!$C$22)^3)</f>
        <v>79.94490941502362</v>
      </c>
      <c r="K3561" s="75">
        <f>'THAM_SO_MOI'!$C$31*J3561/E3561</f>
        <v>423.68554314195893</v>
      </c>
      <c r="L3561" s="75">
        <f>K3561*'THAM_SO_MOI'!$C$53*'THAM_SO_MOI'!$C$17/'THAM_SO_MOI'!$C$26</f>
        <v>3715.7238712231883</v>
      </c>
      <c r="M3561" s="75">
        <f>'THAM_SO_MOI'!$C$15*'THAM_SO_MOI'!$C$16*F3561^2</f>
        <v>978.6386392794909</v>
      </c>
      <c r="N3561" s="75">
        <f>'THAM_SO_MOI'!$C$12*I3561</f>
        <v>1130.112</v>
      </c>
      <c r="O3561" s="75">
        <f>M3561+N3561</f>
        <v>2108.750639279491</v>
      </c>
      <c r="P3561" s="75">
        <f>(MIN(L3561,'THAM_SO_MOI'!$C$41)-O3561)/('THAM_SO_MOI'!$C$11*H3561)</f>
        <v>0.19021936931151717</v>
      </c>
      <c r="Q3561" s="75">
        <f>IF(P3561&gt;0,1/P3561,NA())</f>
        <v>5.257088190437257</v>
      </c>
      <c r="R3561" s="75">
        <f>F3561-F3560</f>
        <v>0.0073885545698715305</v>
      </c>
      <c r="S3561" s="75">
        <f>0.5*(Q3560+Q3561)*R3561</f>
        <v>0.038835463308970024</v>
      </c>
      <c r="T3561" s="75">
        <f>0.5*(F3560*Q3560+F3561*Q3561)*R3561</f>
        <v>0.7102136714733878</v>
      </c>
      <c r="U3561" s="76">
        <f>U3560+S3561</f>
        <v>38.43828422480434</v>
      </c>
      <c r="V3561" s="76">
        <f>V3560+T3561</f>
        <v>456.33129276567337</v>
      </c>
    </row>
    <row r="3562" spans="1:22" ht="19" customHeight="1">
      <c r="A3562" s="68" t="s">
        <v>378</v>
      </c>
      <c r="B3562" s="74">
        <v>5</v>
      </c>
      <c r="C3562" s="68" t="s">
        <v>363</v>
      </c>
      <c r="D3562" s="68" t="s">
        <v>364</v>
      </c>
      <c r="E3562" s="75">
        <f>60*F3562*'THAM_SO_MOI'!$C$53/(2*PI()*'THAM_SO_MOI'!$C$26)</f>
        <v>1802.917602435019</v>
      </c>
      <c r="F3562" s="75">
        <f>'HANH_TRINH'!$F$3289+('THAM_SO_MOI'!$C$14-'HANH_TRINH'!$F$3289)*272/'THAM_SO_MOI'!$C$42</f>
        <v>18.298843187107572</v>
      </c>
      <c r="G3562" s="75">
        <f>3.6*F3562</f>
        <v>65.87583547358726</v>
      </c>
      <c r="H3562" s="75">
        <f>'THAM_SO_MOI'!$D$53</f>
        <v>1.1</v>
      </c>
      <c r="I3562" s="75">
        <f>IF(F3562&gt;'THAM_SO_MOI'!$C$14,'THAM_SO_MOI'!$C$13*(1+F3562^2/1500),'THAM_SO_MOI'!$C$13)</f>
        <v>0.015</v>
      </c>
      <c r="J3562" s="75">
        <f>'THAM_SO_MOI'!$C$40*('THAM_SO_MOI'!$C$23*(E3562/'THAM_SO_MOI'!$C$22)+'THAM_SO_MOI'!$C$24*(E3562/'THAM_SO_MOI'!$C$22)^2-'THAM_SO_MOI'!$C$25*(E3562/'THAM_SO_MOI'!$C$22)^3)</f>
        <v>79.98205604792119</v>
      </c>
      <c r="K3562" s="75">
        <f>'THAM_SO_MOI'!$C$31*J3562/E3562</f>
        <v>423.71125814166584</v>
      </c>
      <c r="L3562" s="75">
        <f>K3562*'THAM_SO_MOI'!$C$53*'THAM_SO_MOI'!$C$17/'THAM_SO_MOI'!$C$26</f>
        <v>3715.9493918712396</v>
      </c>
      <c r="M3562" s="75">
        <f>'THAM_SO_MOI'!$C$15*'THAM_SO_MOI'!$C$16*F3562^2</f>
        <v>979.4294113100832</v>
      </c>
      <c r="N3562" s="75">
        <f>'THAM_SO_MOI'!$C$12*I3562</f>
        <v>1130.112</v>
      </c>
      <c r="O3562" s="75">
        <f>M3562+N3562</f>
        <v>2109.5414113100833</v>
      </c>
      <c r="P3562" s="75">
        <f>(MIN(L3562,'THAM_SO_MOI'!$C$41)-O3562)/('THAM_SO_MOI'!$C$11*H3562)</f>
        <v>0.19015245982021264</v>
      </c>
      <c r="Q3562" s="75">
        <f>IF(P3562&gt;0,1/P3562,NA())</f>
        <v>5.2589380171336755</v>
      </c>
      <c r="R3562" s="75">
        <f>F3562-F3561</f>
        <v>0.0073885545698715305</v>
      </c>
      <c r="S3562" s="75">
        <f>0.5*(Q3561+Q3562)*R3562</f>
        <v>0.03884911674641849</v>
      </c>
      <c r="T3562" s="75">
        <f>0.5*(F3561*Q3561+F3562*Q3562)*R3562</f>
        <v>0.710750401136662</v>
      </c>
      <c r="U3562" s="76">
        <f>U3561+S3562</f>
        <v>38.47713334155076</v>
      </c>
      <c r="V3562" s="76">
        <f>V3561+T3562</f>
        <v>457.04204316681</v>
      </c>
    </row>
    <row r="3563" spans="1:22" ht="19" customHeight="1">
      <c r="A3563" s="68" t="s">
        <v>378</v>
      </c>
      <c r="B3563" s="74">
        <v>5</v>
      </c>
      <c r="C3563" s="68" t="s">
        <v>363</v>
      </c>
      <c r="D3563" s="68" t="s">
        <v>364</v>
      </c>
      <c r="E3563" s="75">
        <f>60*F3563*'THAM_SO_MOI'!$C$53/(2*PI()*'THAM_SO_MOI'!$C$26)</f>
        <v>1803.6455694957983</v>
      </c>
      <c r="F3563" s="75">
        <f>'HANH_TRINH'!$F$3289+('THAM_SO_MOI'!$C$14-'HANH_TRINH'!$F$3289)*273/'THAM_SO_MOI'!$C$42</f>
        <v>18.306231741677443</v>
      </c>
      <c r="G3563" s="75">
        <f>3.6*F3563</f>
        <v>65.9024342700388</v>
      </c>
      <c r="H3563" s="75">
        <f>'THAM_SO_MOI'!$D$53</f>
        <v>1.1</v>
      </c>
      <c r="I3563" s="75">
        <f>IF(F3563&gt;'THAM_SO_MOI'!$C$14,'THAM_SO_MOI'!$C$13*(1+F3563^2/1500),'THAM_SO_MOI'!$C$13)</f>
        <v>0.015</v>
      </c>
      <c r="J3563" s="75">
        <f>'THAM_SO_MOI'!$C$40*('THAM_SO_MOI'!$C$23*(E3563/'THAM_SO_MOI'!$C$22)+'THAM_SO_MOI'!$C$24*(E3563/'THAM_SO_MOI'!$C$22)^2-'THAM_SO_MOI'!$C$25*(E3563/'THAM_SO_MOI'!$C$22)^3)</f>
        <v>80.01919689204493</v>
      </c>
      <c r="K3563" s="75">
        <f>'THAM_SO_MOI'!$C$31*J3563/E3563</f>
        <v>423.73692172966753</v>
      </c>
      <c r="L3563" s="75">
        <f>K3563*'THAM_SO_MOI'!$C$53*'THAM_SO_MOI'!$C$17/'THAM_SO_MOI'!$C$26</f>
        <v>3716.174461638435</v>
      </c>
      <c r="M3563" s="75">
        <f>'THAM_SO_MOI'!$C$15*'THAM_SO_MOI'!$C$16*F3563^2</f>
        <v>980.2205026964965</v>
      </c>
      <c r="N3563" s="75">
        <f>'THAM_SO_MOI'!$C$12*I3563</f>
        <v>1130.112</v>
      </c>
      <c r="O3563" s="75">
        <f>M3563+N3563</f>
        <v>2110.3325026964967</v>
      </c>
      <c r="P3563" s="75">
        <f>(MIN(L3563,'THAM_SO_MOI'!$C$41)-O3563)/('THAM_SO_MOI'!$C$11*H3563)</f>
        <v>0.19008545915505898</v>
      </c>
      <c r="Q3563" s="75">
        <f>IF(P3563&gt;0,1/P3563,NA())</f>
        <v>5.260791669415739</v>
      </c>
      <c r="R3563" s="75">
        <f>F3563-F3562</f>
        <v>0.0073885545698715305</v>
      </c>
      <c r="S3563" s="75">
        <f>0.5*(Q3562+Q3563)*R3563</f>
        <v>0.03886279842468394</v>
      </c>
      <c r="T3563" s="75">
        <f>0.5*(F3562*Q3562+F3563*Q3563)*R3563</f>
        <v>0.7112878494369738</v>
      </c>
      <c r="U3563" s="76">
        <f>U3562+S3563</f>
        <v>38.51599613997544</v>
      </c>
      <c r="V3563" s="76">
        <f>V3562+T3563</f>
        <v>457.753331016247</v>
      </c>
    </row>
    <row r="3564" spans="1:22" ht="19" customHeight="1">
      <c r="A3564" s="68" t="s">
        <v>378</v>
      </c>
      <c r="B3564" s="74">
        <v>5</v>
      </c>
      <c r="C3564" s="68" t="s">
        <v>363</v>
      </c>
      <c r="D3564" s="68" t="s">
        <v>364</v>
      </c>
      <c r="E3564" s="75">
        <f>60*F3564*'THAM_SO_MOI'!$C$53/(2*PI()*'THAM_SO_MOI'!$C$26)</f>
        <v>1804.3735365565774</v>
      </c>
      <c r="F3564" s="75">
        <f>'HANH_TRINH'!$F$3289+('THAM_SO_MOI'!$C$14-'HANH_TRINH'!$F$3289)*274/'THAM_SO_MOI'!$C$42</f>
        <v>18.31362029624732</v>
      </c>
      <c r="G3564" s="75">
        <f>3.6*F3564</f>
        <v>65.92903306649035</v>
      </c>
      <c r="H3564" s="75">
        <f>'THAM_SO_MOI'!$D$53</f>
        <v>1.1</v>
      </c>
      <c r="I3564" s="75">
        <f>IF(F3564&gt;'THAM_SO_MOI'!$C$14,'THAM_SO_MOI'!$C$13*(1+F3564^2/1500),'THAM_SO_MOI'!$C$13)</f>
        <v>0.015</v>
      </c>
      <c r="J3564" s="75">
        <f>'THAM_SO_MOI'!$C$40*('THAM_SO_MOI'!$C$23*(E3564/'THAM_SO_MOI'!$C$22)+'THAM_SO_MOI'!$C$24*(E3564/'THAM_SO_MOI'!$C$22)^2-'THAM_SO_MOI'!$C$25*(E3564/'THAM_SO_MOI'!$C$22)^3)</f>
        <v>80.05633193563916</v>
      </c>
      <c r="K3564" s="75">
        <f>'THAM_SO_MOI'!$C$31*J3564/E3564</f>
        <v>423.7625339059635</v>
      </c>
      <c r="L3564" s="75">
        <f>K3564*'THAM_SO_MOI'!$C$53*'THAM_SO_MOI'!$C$17/'THAM_SO_MOI'!$C$26</f>
        <v>3716.3990805247704</v>
      </c>
      <c r="M3564" s="75">
        <f>'THAM_SO_MOI'!$C$15*'THAM_SO_MOI'!$C$16*F3564^2</f>
        <v>981.0119134387312</v>
      </c>
      <c r="N3564" s="75">
        <f>'THAM_SO_MOI'!$C$12*I3564</f>
        <v>1130.112</v>
      </c>
      <c r="O3564" s="75">
        <f>M3564+N3564</f>
        <v>2111.1239134387315</v>
      </c>
      <c r="P3564" s="75">
        <f>(MIN(L3564,'THAM_SO_MOI'!$C$41)-O3564)/('THAM_SO_MOI'!$C$11*H3564)</f>
        <v>0.19001836731605573</v>
      </c>
      <c r="Q3564" s="75">
        <f>IF(P3564&gt;0,1/P3564,NA())</f>
        <v>5.262649153998411</v>
      </c>
      <c r="R3564" s="75">
        <f>F3564-F3563</f>
        <v>0.007388554569875083</v>
      </c>
      <c r="S3564" s="75">
        <f>0.5*(Q3563+Q3564)*R3564</f>
        <v>0.038876508393323315</v>
      </c>
      <c r="T3564" s="75">
        <f>0.5*(F3563*Q3563+F3564*Q3564)*R3564</f>
        <v>0.7118260179076839</v>
      </c>
      <c r="U3564" s="76">
        <f>U3563+S3564</f>
        <v>38.554872648368764</v>
      </c>
      <c r="V3564" s="76">
        <f>V3563+T3564</f>
        <v>458.4651570341547</v>
      </c>
    </row>
    <row r="3565" spans="1:22" ht="19" customHeight="1">
      <c r="A3565" s="68" t="s">
        <v>378</v>
      </c>
      <c r="B3565" s="74">
        <v>5</v>
      </c>
      <c r="C3565" s="68" t="s">
        <v>363</v>
      </c>
      <c r="D3565" s="68" t="s">
        <v>364</v>
      </c>
      <c r="E3565" s="75">
        <f>60*F3565*'THAM_SO_MOI'!$C$53/(2*PI()*'THAM_SO_MOI'!$C$26)</f>
        <v>1805.1015036173567</v>
      </c>
      <c r="F3565" s="75">
        <f>'HANH_TRINH'!$F$3289+('THAM_SO_MOI'!$C$14-'HANH_TRINH'!$F$3289)*275/'THAM_SO_MOI'!$C$42</f>
        <v>18.32100885081719</v>
      </c>
      <c r="G3565" s="75">
        <f>3.6*F3565</f>
        <v>65.95563186294189</v>
      </c>
      <c r="H3565" s="75">
        <f>'THAM_SO_MOI'!$D$53</f>
        <v>1.1</v>
      </c>
      <c r="I3565" s="75">
        <f>IF(F3565&gt;'THAM_SO_MOI'!$C$14,'THAM_SO_MOI'!$C$13*(1+F3565^2/1500),'THAM_SO_MOI'!$C$13)</f>
        <v>0.015</v>
      </c>
      <c r="J3565" s="75">
        <f>'THAM_SO_MOI'!$C$40*('THAM_SO_MOI'!$C$23*(E3565/'THAM_SO_MOI'!$C$22)+'THAM_SO_MOI'!$C$24*(E3565/'THAM_SO_MOI'!$C$22)^2-'THAM_SO_MOI'!$C$25*(E3565/'THAM_SO_MOI'!$C$22)^3)</f>
        <v>80.0934611669485</v>
      </c>
      <c r="K3565" s="75">
        <f>'THAM_SO_MOI'!$C$31*J3565/E3565</f>
        <v>423.78809467055436</v>
      </c>
      <c r="L3565" s="75">
        <f>K3565*'THAM_SO_MOI'!$C$53*'THAM_SO_MOI'!$C$17/'THAM_SO_MOI'!$C$26</f>
        <v>3716.623248530251</v>
      </c>
      <c r="M3565" s="75">
        <f>'THAM_SO_MOI'!$C$15*'THAM_SO_MOI'!$C$16*F3565^2</f>
        <v>981.8036435367864</v>
      </c>
      <c r="N3565" s="75">
        <f>'THAM_SO_MOI'!$C$12*I3565</f>
        <v>1130.112</v>
      </c>
      <c r="O3565" s="75">
        <f>M3565+N3565</f>
        <v>2111.9156435367863</v>
      </c>
      <c r="P3565" s="75">
        <f>(MIN(L3565,'THAM_SO_MOI'!$C$41)-O3565)/('THAM_SO_MOI'!$C$11*H3565)</f>
        <v>0.1899511843032037</v>
      </c>
      <c r="Q3565" s="75">
        <f>IF(P3565&gt;0,1/P3565,NA())</f>
        <v>5.264510477617138</v>
      </c>
      <c r="R3565" s="75">
        <f>F3565-F3564</f>
        <v>0.0073885545698715305</v>
      </c>
      <c r="S3565" s="75">
        <f>0.5*(Q3564+Q3565)*R3565</f>
        <v>0.03889024670197008</v>
      </c>
      <c r="T3565" s="75">
        <f>0.5*(F3564*Q3564+F3565*Q3565)*R3565</f>
        <v>0.7123649080850192</v>
      </c>
      <c r="U3565" s="76">
        <f>U3564+S3565</f>
        <v>38.59376289507073</v>
      </c>
      <c r="V3565" s="76">
        <f>V3564+T3565</f>
        <v>459.1775219422397</v>
      </c>
    </row>
    <row r="3566" spans="1:22" ht="19" customHeight="1">
      <c r="A3566" s="68" t="s">
        <v>378</v>
      </c>
      <c r="B3566" s="74">
        <v>5</v>
      </c>
      <c r="C3566" s="68" t="s">
        <v>363</v>
      </c>
      <c r="D3566" s="68" t="s">
        <v>364</v>
      </c>
      <c r="E3566" s="75">
        <f>60*F3566*'THAM_SO_MOI'!$C$53/(2*PI()*'THAM_SO_MOI'!$C$26)</f>
        <v>1805.829470678135</v>
      </c>
      <c r="F3566" s="75">
        <f>'HANH_TRINH'!$F$3289+('THAM_SO_MOI'!$C$14-'HANH_TRINH'!$F$3289)*276/'THAM_SO_MOI'!$C$42</f>
        <v>18.32839740538706</v>
      </c>
      <c r="G3566" s="75">
        <f>3.6*F3566</f>
        <v>65.98223065939342</v>
      </c>
      <c r="H3566" s="75">
        <f>'THAM_SO_MOI'!$D$53</f>
        <v>1.1</v>
      </c>
      <c r="I3566" s="75">
        <f>IF(F3566&gt;'THAM_SO_MOI'!$C$14,'THAM_SO_MOI'!$C$13*(1+F3566^2/1500),'THAM_SO_MOI'!$C$13)</f>
        <v>0.015</v>
      </c>
      <c r="J3566" s="75">
        <f>'THAM_SO_MOI'!$C$40*('THAM_SO_MOI'!$C$23*(E3566/'THAM_SO_MOI'!$C$22)+'THAM_SO_MOI'!$C$24*(E3566/'THAM_SO_MOI'!$C$22)^2-'THAM_SO_MOI'!$C$25*(E3566/'THAM_SO_MOI'!$C$22)^3)</f>
        <v>80.13058457421731</v>
      </c>
      <c r="K3566" s="75">
        <f>'THAM_SO_MOI'!$C$31*J3566/E3566</f>
        <v>423.8136040234396</v>
      </c>
      <c r="L3566" s="75">
        <f>K3566*'THAM_SO_MOI'!$C$53*'THAM_SO_MOI'!$C$17/'THAM_SO_MOI'!$C$26</f>
        <v>3716.8469656548723</v>
      </c>
      <c r="M3566" s="75">
        <f>'THAM_SO_MOI'!$C$15*'THAM_SO_MOI'!$C$16*F3566^2</f>
        <v>982.5956929906627</v>
      </c>
      <c r="N3566" s="75">
        <f>'THAM_SO_MOI'!$C$12*I3566</f>
        <v>1130.112</v>
      </c>
      <c r="O3566" s="75">
        <f>M3566+N3566</f>
        <v>2112.7076929906625</v>
      </c>
      <c r="P3566" s="75">
        <f>(MIN(L3566,'THAM_SO_MOI'!$C$41)-O3566)/('THAM_SO_MOI'!$C$11*H3566)</f>
        <v>0.1898839101165021</v>
      </c>
      <c r="Q3566" s="75">
        <f>IF(P3566&gt;0,1/P3566,NA())</f>
        <v>5.266375647027998</v>
      </c>
      <c r="R3566" s="75">
        <f>F3566-F3565</f>
        <v>0.0073885545698715305</v>
      </c>
      <c r="S3566" s="75">
        <f>0.5*(Q3565+Q3566)*R3566</f>
        <v>0.038904013400521756</v>
      </c>
      <c r="T3566" s="75">
        <f>0.5*(F3565*Q3565+F3566*Q3566)*R3566</f>
        <v>0.7129045215115121</v>
      </c>
      <c r="U3566" s="76">
        <f>U3565+S3566</f>
        <v>38.63266690847125</v>
      </c>
      <c r="V3566" s="76">
        <f>V3565+T3566</f>
        <v>459.8904264637512</v>
      </c>
    </row>
    <row r="3567" spans="1:22" ht="19" customHeight="1">
      <c r="A3567" s="68" t="s">
        <v>378</v>
      </c>
      <c r="B3567" s="74">
        <v>5</v>
      </c>
      <c r="C3567" s="68" t="s">
        <v>363</v>
      </c>
      <c r="D3567" s="68" t="s">
        <v>364</v>
      </c>
      <c r="E3567" s="75">
        <f>60*F3567*'THAM_SO_MOI'!$C$53/(2*PI()*'THAM_SO_MOI'!$C$26)</f>
        <v>1806.5574377389144</v>
      </c>
      <c r="F3567" s="75">
        <f>'HANH_TRINH'!$F$3289+('THAM_SO_MOI'!$C$14-'HANH_TRINH'!$F$3289)*277/'THAM_SO_MOI'!$C$42</f>
        <v>18.335785959956933</v>
      </c>
      <c r="G3567" s="75">
        <f>3.6*F3567</f>
        <v>66.00882945584496</v>
      </c>
      <c r="H3567" s="75">
        <f>'THAM_SO_MOI'!$D$53</f>
        <v>1.1</v>
      </c>
      <c r="I3567" s="75">
        <f>IF(F3567&gt;'THAM_SO_MOI'!$C$14,'THAM_SO_MOI'!$C$13*(1+F3567^2/1500),'THAM_SO_MOI'!$C$13)</f>
        <v>0.015</v>
      </c>
      <c r="J3567" s="75">
        <f>'THAM_SO_MOI'!$C$40*('THAM_SO_MOI'!$C$23*(E3567/'THAM_SO_MOI'!$C$22)+'THAM_SO_MOI'!$C$24*(E3567/'THAM_SO_MOI'!$C$22)^2-'THAM_SO_MOI'!$C$25*(E3567/'THAM_SO_MOI'!$C$22)^3)</f>
        <v>80.16770214569016</v>
      </c>
      <c r="K3567" s="75">
        <f>'THAM_SO_MOI'!$C$31*J3567/E3567</f>
        <v>423.83906196461936</v>
      </c>
      <c r="L3567" s="75">
        <f>K3567*'THAM_SO_MOI'!$C$53*'THAM_SO_MOI'!$C$17/'THAM_SO_MOI'!$C$26</f>
        <v>3717.0702318986346</v>
      </c>
      <c r="M3567" s="75">
        <f>'THAM_SO_MOI'!$C$15*'THAM_SO_MOI'!$C$16*F3567^2</f>
        <v>983.3880618003599</v>
      </c>
      <c r="N3567" s="75">
        <f>'THAM_SO_MOI'!$C$12*I3567</f>
        <v>1130.112</v>
      </c>
      <c r="O3567" s="75">
        <f>M3567+N3567</f>
        <v>2113.50006180036</v>
      </c>
      <c r="P3567" s="75">
        <f>(MIN(L3567,'THAM_SO_MOI'!$C$41)-O3567)/('THAM_SO_MOI'!$C$11*H3567)</f>
        <v>0.18981654475595106</v>
      </c>
      <c r="Q3567" s="75">
        <f>IF(P3567&gt;0,1/P3567,NA())</f>
        <v>5.2682446690076965</v>
      </c>
      <c r="R3567" s="75">
        <f>F3567-F3566</f>
        <v>0.0073885545698715305</v>
      </c>
      <c r="S3567" s="75">
        <f>0.5*(Q3566+Q3567)*R3567</f>
        <v>0.038917808538953505</v>
      </c>
      <c r="T3567" s="75">
        <f>0.5*(F3566*Q3566+F3567*Q3567)*R3567</f>
        <v>0.7134448597325933</v>
      </c>
      <c r="U3567" s="76">
        <f>U3566+S3567</f>
        <v>38.671584717010205</v>
      </c>
      <c r="V3567" s="76">
        <f>V3566+T3567</f>
        <v>460.6038713234838</v>
      </c>
    </row>
    <row r="3568" spans="1:22" ht="19" customHeight="1">
      <c r="A3568" s="68" t="s">
        <v>378</v>
      </c>
      <c r="B3568" s="74">
        <v>5</v>
      </c>
      <c r="C3568" s="68" t="s">
        <v>363</v>
      </c>
      <c r="D3568" s="68" t="s">
        <v>364</v>
      </c>
      <c r="E3568" s="75">
        <f>60*F3568*'THAM_SO_MOI'!$C$53/(2*PI()*'THAM_SO_MOI'!$C$26)</f>
        <v>1807.2854047996932</v>
      </c>
      <c r="F3568" s="75">
        <f>'HANH_TRINH'!$F$3289+('THAM_SO_MOI'!$C$14-'HANH_TRINH'!$F$3289)*278/'THAM_SO_MOI'!$C$42</f>
        <v>18.343174514526805</v>
      </c>
      <c r="G3568" s="75">
        <f>3.6*F3568</f>
        <v>66.0354282522965</v>
      </c>
      <c r="H3568" s="75">
        <f>'THAM_SO_MOI'!$D$53</f>
        <v>1.1</v>
      </c>
      <c r="I3568" s="75">
        <f>IF(F3568&gt;'THAM_SO_MOI'!$C$14,'THAM_SO_MOI'!$C$13*(1+F3568^2/1500),'THAM_SO_MOI'!$C$13)</f>
        <v>0.015</v>
      </c>
      <c r="J3568" s="75">
        <f>'THAM_SO_MOI'!$C$40*('THAM_SO_MOI'!$C$23*(E3568/'THAM_SO_MOI'!$C$22)+'THAM_SO_MOI'!$C$24*(E3568/'THAM_SO_MOI'!$C$22)^2-'THAM_SO_MOI'!$C$25*(E3568/'THAM_SO_MOI'!$C$22)^3)</f>
        <v>80.20481386961151</v>
      </c>
      <c r="K3568" s="75">
        <f>'THAM_SO_MOI'!$C$31*J3568/E3568</f>
        <v>423.8644684940938</v>
      </c>
      <c r="L3568" s="75">
        <f>K3568*'THAM_SO_MOI'!$C$53*'THAM_SO_MOI'!$C$17/'THAM_SO_MOI'!$C$26</f>
        <v>3717.29304726154</v>
      </c>
      <c r="M3568" s="75">
        <f>'THAM_SO_MOI'!$C$15*'THAM_SO_MOI'!$C$16*F3568^2</f>
        <v>984.1807499658782</v>
      </c>
      <c r="N3568" s="75">
        <f>'THAM_SO_MOI'!$C$12*I3568</f>
        <v>1130.112</v>
      </c>
      <c r="O3568" s="75">
        <f>M3568+N3568</f>
        <v>2114.292749965878</v>
      </c>
      <c r="P3568" s="75">
        <f>(MIN(L3568,'THAM_SO_MOI'!$C$41)-O3568)/('THAM_SO_MOI'!$C$11*H3568)</f>
        <v>0.18974908822155087</v>
      </c>
      <c r="Q3568" s="75">
        <f>IF(P3568&gt;0,1/P3568,NA())</f>
        <v>5.270117550353659</v>
      </c>
      <c r="R3568" s="75">
        <f>F3568-F3567</f>
        <v>0.0073885545698715305</v>
      </c>
      <c r="S3568" s="75">
        <f>0.5*(Q3567+Q3568)*R3568</f>
        <v>0.03893163216741191</v>
      </c>
      <c r="T3568" s="75">
        <f>0.5*(F3567*Q3567+F3568*Q3568)*R3568</f>
        <v>0.7139859242983146</v>
      </c>
      <c r="U3568" s="76">
        <f>U3567+S3568</f>
        <v>38.71051634917762</v>
      </c>
      <c r="V3568" s="76">
        <f>V3567+T3568</f>
        <v>461.3178572477821</v>
      </c>
    </row>
    <row r="3569" spans="1:22" ht="19" customHeight="1">
      <c r="A3569" s="68" t="s">
        <v>378</v>
      </c>
      <c r="B3569" s="74">
        <v>5</v>
      </c>
      <c r="C3569" s="68" t="s">
        <v>363</v>
      </c>
      <c r="D3569" s="68" t="s">
        <v>364</v>
      </c>
      <c r="E3569" s="75">
        <f>60*F3569*'THAM_SO_MOI'!$C$53/(2*PI()*'THAM_SO_MOI'!$C$26)</f>
        <v>1808.0133718604723</v>
      </c>
      <c r="F3569" s="75">
        <f>'HANH_TRINH'!$F$3289+('THAM_SO_MOI'!$C$14-'HANH_TRINH'!$F$3289)*279/'THAM_SO_MOI'!$C$42</f>
        <v>18.350563069096676</v>
      </c>
      <c r="G3569" s="75">
        <f>3.6*F3569</f>
        <v>66.06202704874804</v>
      </c>
      <c r="H3569" s="75">
        <f>'THAM_SO_MOI'!$D$53</f>
        <v>1.1</v>
      </c>
      <c r="I3569" s="75">
        <f>IF(F3569&gt;'THAM_SO_MOI'!$C$14,'THAM_SO_MOI'!$C$13*(1+F3569^2/1500),'THAM_SO_MOI'!$C$13)</f>
        <v>0.015</v>
      </c>
      <c r="J3569" s="75">
        <f>'THAM_SO_MOI'!$C$40*('THAM_SO_MOI'!$C$23*(E3569/'THAM_SO_MOI'!$C$22)+'THAM_SO_MOI'!$C$24*(E3569/'THAM_SO_MOI'!$C$22)^2-'THAM_SO_MOI'!$C$25*(E3569/'THAM_SO_MOI'!$C$22)^3)</f>
        <v>80.24191973422586</v>
      </c>
      <c r="K3569" s="75">
        <f>'THAM_SO_MOI'!$C$31*J3569/E3569</f>
        <v>423.8898236118628</v>
      </c>
      <c r="L3569" s="75">
        <f>K3569*'THAM_SO_MOI'!$C$53*'THAM_SO_MOI'!$C$17/'THAM_SO_MOI'!$C$26</f>
        <v>3717.515411743589</v>
      </c>
      <c r="M3569" s="75">
        <f>'THAM_SO_MOI'!$C$15*'THAM_SO_MOI'!$C$16*F3569^2</f>
        <v>984.9737574872174</v>
      </c>
      <c r="N3569" s="75">
        <f>'THAM_SO_MOI'!$C$12*I3569</f>
        <v>1130.112</v>
      </c>
      <c r="O3569" s="75">
        <f>M3569+N3569</f>
        <v>2115.0857574872175</v>
      </c>
      <c r="P3569" s="75">
        <f>(MIN(L3569,'THAM_SO_MOI'!$C$41)-O3569)/('THAM_SO_MOI'!$C$11*H3569)</f>
        <v>0.18968154051330155</v>
      </c>
      <c r="Q3569" s="75">
        <f>IF(P3569&gt;0,1/P3569,NA())</f>
        <v>5.271994297884112</v>
      </c>
      <c r="R3569" s="75">
        <f>F3569-F3568</f>
        <v>0.0073885545698715305</v>
      </c>
      <c r="S3569" s="75">
        <f>0.5*(Q3568+Q3569)*R3569</f>
        <v>0.03894548433619699</v>
      </c>
      <c r="T3569" s="75">
        <f>0.5*(F3568*Q3568+F3569*Q3569)*R3569</f>
        <v>0.7145277167630241</v>
      </c>
      <c r="U3569" s="76">
        <f>U3568+S3569</f>
        <v>38.74946183351381</v>
      </c>
      <c r="V3569" s="76">
        <f>V3568+T3569</f>
        <v>462.03238496454514</v>
      </c>
    </row>
    <row r="3570" spans="1:22" ht="19" customHeight="1">
      <c r="A3570" s="68" t="s">
        <v>378</v>
      </c>
      <c r="B3570" s="74">
        <v>5</v>
      </c>
      <c r="C3570" s="68" t="s">
        <v>363</v>
      </c>
      <c r="D3570" s="68" t="s">
        <v>364</v>
      </c>
      <c r="E3570" s="75">
        <f>60*F3570*'THAM_SO_MOI'!$C$53/(2*PI()*'THAM_SO_MOI'!$C$26)</f>
        <v>1808.741338921251</v>
      </c>
      <c r="F3570" s="75">
        <f>'HANH_TRINH'!$F$3289+('THAM_SO_MOI'!$C$14-'HANH_TRINH'!$F$3289)*280/'THAM_SO_MOI'!$C$42</f>
        <v>18.35795162366655</v>
      </c>
      <c r="G3570" s="75">
        <f>3.6*F3570</f>
        <v>66.08862584519959</v>
      </c>
      <c r="H3570" s="75">
        <f>'THAM_SO_MOI'!$D$53</f>
        <v>1.1</v>
      </c>
      <c r="I3570" s="75">
        <f>IF(F3570&gt;'THAM_SO_MOI'!$C$14,'THAM_SO_MOI'!$C$13*(1+F3570^2/1500),'THAM_SO_MOI'!$C$13)</f>
        <v>0.015</v>
      </c>
      <c r="J3570" s="75">
        <f>'THAM_SO_MOI'!$C$40*('THAM_SO_MOI'!$C$23*(E3570/'THAM_SO_MOI'!$C$22)+'THAM_SO_MOI'!$C$24*(E3570/'THAM_SO_MOI'!$C$22)^2-'THAM_SO_MOI'!$C$25*(E3570/'THAM_SO_MOI'!$C$22)^3)</f>
        <v>80.27901972777767</v>
      </c>
      <c r="K3570" s="75">
        <f>'THAM_SO_MOI'!$C$31*J3570/E3570</f>
        <v>423.9151273179264</v>
      </c>
      <c r="L3570" s="75">
        <f>K3570*'THAM_SO_MOI'!$C$53*'THAM_SO_MOI'!$C$17/'THAM_SO_MOI'!$C$26</f>
        <v>3717.737325344779</v>
      </c>
      <c r="M3570" s="75">
        <f>'THAM_SO_MOI'!$C$15*'THAM_SO_MOI'!$C$16*F3570^2</f>
        <v>985.7670843643781</v>
      </c>
      <c r="N3570" s="75">
        <f>'THAM_SO_MOI'!$C$12*I3570</f>
        <v>1130.112</v>
      </c>
      <c r="O3570" s="75">
        <f>M3570+N3570</f>
        <v>2115.8790843643783</v>
      </c>
      <c r="P3570" s="75">
        <f>(MIN(L3570,'THAM_SO_MOI'!$C$41)-O3570)/('THAM_SO_MOI'!$C$11*H3570)</f>
        <v>0.18961390163120273</v>
      </c>
      <c r="Q3570" s="75">
        <f>IF(P3570&gt;0,1/P3570,NA())</f>
        <v>5.273874918438157</v>
      </c>
      <c r="R3570" s="75">
        <f>F3570-F3569</f>
        <v>0.007388554569875083</v>
      </c>
      <c r="S3570" s="75">
        <f>0.5*(Q3569+Q3570)*R3570</f>
        <v>0.038959365095781434</v>
      </c>
      <c r="T3570" s="75">
        <f>0.5*(F3569*Q3569+F3570*Q3570)*R3570</f>
        <v>0.7150702386857261</v>
      </c>
      <c r="U3570" s="76">
        <f>U3569+S3570</f>
        <v>38.7884211986096</v>
      </c>
      <c r="V3570" s="76">
        <f>V3569+T3570</f>
        <v>462.74745520323086</v>
      </c>
    </row>
    <row r="3571" spans="1:22" ht="19" customHeight="1">
      <c r="A3571" s="68" t="s">
        <v>378</v>
      </c>
      <c r="B3571" s="74">
        <v>5</v>
      </c>
      <c r="C3571" s="68" t="s">
        <v>363</v>
      </c>
      <c r="D3571" s="68" t="s">
        <v>364</v>
      </c>
      <c r="E3571" s="75">
        <f>60*F3571*'THAM_SO_MOI'!$C$53/(2*PI()*'THAM_SO_MOI'!$C$26)</f>
        <v>1809.4693059820304</v>
      </c>
      <c r="F3571" s="75">
        <f>'HANH_TRINH'!$F$3289+('THAM_SO_MOI'!$C$14-'HANH_TRINH'!$F$3289)*281/'THAM_SO_MOI'!$C$42</f>
        <v>18.365340178236423</v>
      </c>
      <c r="G3571" s="75">
        <f>3.6*F3571</f>
        <v>66.11522464165112</v>
      </c>
      <c r="H3571" s="75">
        <f>'THAM_SO_MOI'!$D$53</f>
        <v>1.1</v>
      </c>
      <c r="I3571" s="75">
        <f>IF(F3571&gt;'THAM_SO_MOI'!$C$14,'THAM_SO_MOI'!$C$13*(1+F3571^2/1500),'THAM_SO_MOI'!$C$13)</f>
        <v>0.015</v>
      </c>
      <c r="J3571" s="75">
        <f>'THAM_SO_MOI'!$C$40*('THAM_SO_MOI'!$C$23*(E3571/'THAM_SO_MOI'!$C$22)+'THAM_SO_MOI'!$C$24*(E3571/'THAM_SO_MOI'!$C$22)^2-'THAM_SO_MOI'!$C$25*(E3571/'THAM_SO_MOI'!$C$22)^3)</f>
        <v>80.31611383851144</v>
      </c>
      <c r="K3571" s="75">
        <f>'THAM_SO_MOI'!$C$31*J3571/E3571</f>
        <v>423.9403796122845</v>
      </c>
      <c r="L3571" s="75">
        <f>K3571*'THAM_SO_MOI'!$C$53*'THAM_SO_MOI'!$C$17/'THAM_SO_MOI'!$C$26</f>
        <v>3717.958788065111</v>
      </c>
      <c r="M3571" s="75">
        <f>'THAM_SO_MOI'!$C$15*'THAM_SO_MOI'!$C$16*F3571^2</f>
        <v>986.5607305973593</v>
      </c>
      <c r="N3571" s="75">
        <f>'THAM_SO_MOI'!$C$12*I3571</f>
        <v>1130.112</v>
      </c>
      <c r="O3571" s="75">
        <f>M3571+N3571</f>
        <v>2116.6727305973595</v>
      </c>
      <c r="P3571" s="75">
        <f>(MIN(L3571,'THAM_SO_MOI'!$C$41)-O3571)/('THAM_SO_MOI'!$C$11*H3571)</f>
        <v>0.1895461715752547</v>
      </c>
      <c r="Q3571" s="75">
        <f>IF(P3571&gt;0,1/P3571,NA())</f>
        <v>5.275759418875809</v>
      </c>
      <c r="R3571" s="75">
        <f>F3571-F3570</f>
        <v>0.0073885545698715305</v>
      </c>
      <c r="S3571" s="75">
        <f>0.5*(Q3570+Q3571)*R3571</f>
        <v>0.03897327449671736</v>
      </c>
      <c r="T3571" s="75">
        <f>0.5*(F3570*Q3570+F3571*Q3571)*R3571</f>
        <v>0.7156134916283752</v>
      </c>
      <c r="U3571" s="76">
        <f>U3570+S3571</f>
        <v>38.82739447310632</v>
      </c>
      <c r="V3571" s="76">
        <f>V3570+T3571</f>
        <v>463.46306869485926</v>
      </c>
    </row>
    <row r="3572" spans="1:22" ht="19" customHeight="1">
      <c r="A3572" s="68" t="s">
        <v>378</v>
      </c>
      <c r="B3572" s="74">
        <v>5</v>
      </c>
      <c r="C3572" s="68" t="s">
        <v>363</v>
      </c>
      <c r="D3572" s="68" t="s">
        <v>364</v>
      </c>
      <c r="E3572" s="75">
        <f>60*F3572*'THAM_SO_MOI'!$C$53/(2*PI()*'THAM_SO_MOI'!$C$26)</f>
        <v>1810.1972730428092</v>
      </c>
      <c r="F3572" s="75">
        <f>'HANH_TRINH'!$F$3289+('THAM_SO_MOI'!$C$14-'HANH_TRINH'!$F$3289)*282/'THAM_SO_MOI'!$C$42</f>
        <v>18.372728732806294</v>
      </c>
      <c r="G3572" s="75">
        <f>3.6*F3572</f>
        <v>66.14182343810266</v>
      </c>
      <c r="H3572" s="75">
        <f>'THAM_SO_MOI'!$D$53</f>
        <v>1.1</v>
      </c>
      <c r="I3572" s="75">
        <f>IF(F3572&gt;'THAM_SO_MOI'!$C$14,'THAM_SO_MOI'!$C$13*(1+F3572^2/1500),'THAM_SO_MOI'!$C$13)</f>
        <v>0.015</v>
      </c>
      <c r="J3572" s="75">
        <f>'THAM_SO_MOI'!$C$40*('THAM_SO_MOI'!$C$23*(E3572/'THAM_SO_MOI'!$C$22)+'THAM_SO_MOI'!$C$24*(E3572/'THAM_SO_MOI'!$C$22)^2-'THAM_SO_MOI'!$C$25*(E3572/'THAM_SO_MOI'!$C$22)^3)</f>
        <v>80.35320205467164</v>
      </c>
      <c r="K3572" s="75">
        <f>'THAM_SO_MOI'!$C$31*J3572/E3572</f>
        <v>423.9655804949372</v>
      </c>
      <c r="L3572" s="75">
        <f>K3572*'THAM_SO_MOI'!$C$53*'THAM_SO_MOI'!$C$17/'THAM_SO_MOI'!$C$26</f>
        <v>3718.1797999045857</v>
      </c>
      <c r="M3572" s="75">
        <f>'THAM_SO_MOI'!$C$15*'THAM_SO_MOI'!$C$16*F3572^2</f>
        <v>987.3546961861615</v>
      </c>
      <c r="N3572" s="75">
        <f>'THAM_SO_MOI'!$C$12*I3572</f>
        <v>1130.112</v>
      </c>
      <c r="O3572" s="75">
        <f>M3572+N3572</f>
        <v>2117.4666961861617</v>
      </c>
      <c r="P3572" s="75">
        <f>(MIN(L3572,'THAM_SO_MOI'!$C$41)-O3572)/('THAM_SO_MOI'!$C$11*H3572)</f>
        <v>0.18947835034545737</v>
      </c>
      <c r="Q3572" s="75">
        <f>IF(P3572&gt;0,1/P3572,NA())</f>
        <v>5.277647806078096</v>
      </c>
      <c r="R3572" s="75">
        <f>F3572-F3571</f>
        <v>0.0073885545698715305</v>
      </c>
      <c r="S3572" s="75">
        <f>0.5*(Q3571+Q3572)*R3572</f>
        <v>0.0389872125898242</v>
      </c>
      <c r="T3572" s="75">
        <f>0.5*(F3571*Q3571+F3572*Q3572)*R3572</f>
        <v>0.7161574771593299</v>
      </c>
      <c r="U3572" s="76">
        <f>U3571+S3572</f>
        <v>38.86638168569614</v>
      </c>
      <c r="V3572" s="76">
        <f>V3571+T3572</f>
        <v>464.1792261720186</v>
      </c>
    </row>
    <row r="3573" spans="1:22" ht="19" customHeight="1">
      <c r="A3573" s="68" t="s">
        <v>378</v>
      </c>
      <c r="B3573" s="74">
        <v>5</v>
      </c>
      <c r="C3573" s="68" t="s">
        <v>363</v>
      </c>
      <c r="D3573" s="68" t="s">
        <v>364</v>
      </c>
      <c r="E3573" s="75">
        <f>60*F3573*'THAM_SO_MOI'!$C$53/(2*PI()*'THAM_SO_MOI'!$C$26)</f>
        <v>1810.9252401035885</v>
      </c>
      <c r="F3573" s="75">
        <f>'HANH_TRINH'!$F$3289+('THAM_SO_MOI'!$C$14-'HANH_TRINH'!$F$3289)*283/'THAM_SO_MOI'!$C$42</f>
        <v>18.380117287376166</v>
      </c>
      <c r="G3573" s="75">
        <f>3.6*F3573</f>
        <v>66.1684222345542</v>
      </c>
      <c r="H3573" s="75">
        <f>'THAM_SO_MOI'!$D$53</f>
        <v>1.1</v>
      </c>
      <c r="I3573" s="75">
        <f>IF(F3573&gt;'THAM_SO_MOI'!$C$14,'THAM_SO_MOI'!$C$13*(1+F3573^2/1500),'THAM_SO_MOI'!$C$13)</f>
        <v>0.015</v>
      </c>
      <c r="J3573" s="75">
        <f>'THAM_SO_MOI'!$C$40*('THAM_SO_MOI'!$C$23*(E3573/'THAM_SO_MOI'!$C$22)+'THAM_SO_MOI'!$C$24*(E3573/'THAM_SO_MOI'!$C$22)^2-'THAM_SO_MOI'!$C$25*(E3573/'THAM_SO_MOI'!$C$22)^3)</f>
        <v>80.39028436450276</v>
      </c>
      <c r="K3573" s="75">
        <f>'THAM_SO_MOI'!$C$31*J3573/E3573</f>
        <v>423.9907299658844</v>
      </c>
      <c r="L3573" s="75">
        <f>K3573*'THAM_SO_MOI'!$C$53*'THAM_SO_MOI'!$C$17/'THAM_SO_MOI'!$C$26</f>
        <v>3718.400360863201</v>
      </c>
      <c r="M3573" s="75">
        <f>'THAM_SO_MOI'!$C$15*'THAM_SO_MOI'!$C$16*F3573^2</f>
        <v>988.1489811307848</v>
      </c>
      <c r="N3573" s="75">
        <f>'THAM_SO_MOI'!$C$12*I3573</f>
        <v>1130.112</v>
      </c>
      <c r="O3573" s="75">
        <f>M3573+N3573</f>
        <v>2118.260981130785</v>
      </c>
      <c r="P3573" s="75">
        <f>(MIN(L3573,'THAM_SO_MOI'!$C$41)-O3573)/('THAM_SO_MOI'!$C$11*H3573)</f>
        <v>0.18941043794181064</v>
      </c>
      <c r="Q3573" s="75">
        <f>IF(P3573&gt;0,1/P3573,NA())</f>
        <v>5.279540086947125</v>
      </c>
      <c r="R3573" s="75">
        <f>F3573-F3572</f>
        <v>0.0073885545698715305</v>
      </c>
      <c r="S3573" s="75">
        <f>0.5*(Q3572+Q3573)*R3573</f>
        <v>0.039001179426001946</v>
      </c>
      <c r="T3573" s="75">
        <f>0.5*(F3572*Q3572+F3573*Q3573)*R3573</f>
        <v>0.7167021968499314</v>
      </c>
      <c r="U3573" s="76">
        <f>U3572+S3573</f>
        <v>38.90538286512214</v>
      </c>
      <c r="V3573" s="76">
        <f>V3572+T3573</f>
        <v>464.89592836886857</v>
      </c>
    </row>
    <row r="3574" spans="1:22" ht="19" customHeight="1">
      <c r="A3574" s="68" t="s">
        <v>378</v>
      </c>
      <c r="B3574" s="74">
        <v>5</v>
      </c>
      <c r="C3574" s="68" t="s">
        <v>363</v>
      </c>
      <c r="D3574" s="68" t="s">
        <v>364</v>
      </c>
      <c r="E3574" s="75">
        <f>60*F3574*'THAM_SO_MOI'!$C$53/(2*PI()*'THAM_SO_MOI'!$C$26)</f>
        <v>1811.653207164367</v>
      </c>
      <c r="F3574" s="75">
        <f>'HANH_TRINH'!$F$3289+('THAM_SO_MOI'!$C$14-'HANH_TRINH'!$F$3289)*284/'THAM_SO_MOI'!$C$42</f>
        <v>18.387505841946037</v>
      </c>
      <c r="G3574" s="75">
        <f>3.6*F3574</f>
        <v>66.19502103100574</v>
      </c>
      <c r="H3574" s="75">
        <f>'THAM_SO_MOI'!$D$53</f>
        <v>1.1</v>
      </c>
      <c r="I3574" s="75">
        <f>IF(F3574&gt;'THAM_SO_MOI'!$C$14,'THAM_SO_MOI'!$C$13*(1+F3574^2/1500),'THAM_SO_MOI'!$C$13)</f>
        <v>0.015</v>
      </c>
      <c r="J3574" s="75">
        <f>'THAM_SO_MOI'!$C$40*('THAM_SO_MOI'!$C$23*(E3574/'THAM_SO_MOI'!$C$22)+'THAM_SO_MOI'!$C$24*(E3574/'THAM_SO_MOI'!$C$22)^2-'THAM_SO_MOI'!$C$25*(E3574/'THAM_SO_MOI'!$C$22)^3)</f>
        <v>80.42736075624927</v>
      </c>
      <c r="K3574" s="75">
        <f>'THAM_SO_MOI'!$C$31*J3574/E3574</f>
        <v>424.0158280251262</v>
      </c>
      <c r="L3574" s="75">
        <f>K3574*'THAM_SO_MOI'!$C$53*'THAM_SO_MOI'!$C$17/'THAM_SO_MOI'!$C$26</f>
        <v>3718.6204709409594</v>
      </c>
      <c r="M3574" s="75">
        <f>'THAM_SO_MOI'!$C$15*'THAM_SO_MOI'!$C$16*F3574^2</f>
        <v>988.943585431229</v>
      </c>
      <c r="N3574" s="75">
        <f>'THAM_SO_MOI'!$C$12*I3574</f>
        <v>1130.112</v>
      </c>
      <c r="O3574" s="75">
        <f>M3574+N3574</f>
        <v>2119.0555854312292</v>
      </c>
      <c r="P3574" s="75">
        <f>(MIN(L3574,'THAM_SO_MOI'!$C$41)-O3574)/('THAM_SO_MOI'!$C$11*H3574)</f>
        <v>0.18934243436431464</v>
      </c>
      <c r="Q3574" s="75">
        <f>IF(P3574&gt;0,1/P3574,NA())</f>
        <v>5.281436268406138</v>
      </c>
      <c r="R3574" s="75">
        <f>F3574-F3573</f>
        <v>0.0073885545698715305</v>
      </c>
      <c r="S3574" s="75">
        <f>0.5*(Q3573+Q3574)*R3574</f>
        <v>0.03901517505632526</v>
      </c>
      <c r="T3574" s="75">
        <f>0.5*(F3573*Q3573+F3574*Q3574)*R3574</f>
        <v>0.7172476522762363</v>
      </c>
      <c r="U3574" s="76">
        <f>U3573+S3574</f>
        <v>38.94439804017847</v>
      </c>
      <c r="V3574" s="76">
        <f>V3573+T3574</f>
        <v>465.6131760211448</v>
      </c>
    </row>
    <row r="3575" spans="1:22" ht="19" customHeight="1">
      <c r="A3575" s="68" t="s">
        <v>378</v>
      </c>
      <c r="B3575" s="74">
        <v>5</v>
      </c>
      <c r="C3575" s="68" t="s">
        <v>363</v>
      </c>
      <c r="D3575" s="68" t="s">
        <v>364</v>
      </c>
      <c r="E3575" s="75">
        <f>60*F3575*'THAM_SO_MOI'!$C$53/(2*PI()*'THAM_SO_MOI'!$C$26)</f>
        <v>1812.381174225146</v>
      </c>
      <c r="F3575" s="75">
        <f>'HANH_TRINH'!$F$3289+('THAM_SO_MOI'!$C$14-'HANH_TRINH'!$F$3289)*285/'THAM_SO_MOI'!$C$42</f>
        <v>18.39489439651591</v>
      </c>
      <c r="G3575" s="75">
        <f>3.6*F3575</f>
        <v>66.22161982745727</v>
      </c>
      <c r="H3575" s="75">
        <f>'THAM_SO_MOI'!$D$53</f>
        <v>1.1</v>
      </c>
      <c r="I3575" s="75">
        <f>IF(F3575&gt;'THAM_SO_MOI'!$C$14,'THAM_SO_MOI'!$C$13*(1+F3575^2/1500),'THAM_SO_MOI'!$C$13)</f>
        <v>0.015</v>
      </c>
      <c r="J3575" s="75">
        <f>'THAM_SO_MOI'!$C$40*('THAM_SO_MOI'!$C$23*(E3575/'THAM_SO_MOI'!$C$22)+'THAM_SO_MOI'!$C$24*(E3575/'THAM_SO_MOI'!$C$22)^2-'THAM_SO_MOI'!$C$25*(E3575/'THAM_SO_MOI'!$C$22)^3)</f>
        <v>80.46443121815571</v>
      </c>
      <c r="K3575" s="75">
        <f>'THAM_SO_MOI'!$C$31*J3575/E3575</f>
        <v>424.0408746726627</v>
      </c>
      <c r="L3575" s="75">
        <f>K3575*'THAM_SO_MOI'!$C$53*'THAM_SO_MOI'!$C$17/'THAM_SO_MOI'!$C$26</f>
        <v>3718.8401301378613</v>
      </c>
      <c r="M3575" s="75">
        <f>'THAM_SO_MOI'!$C$15*'THAM_SO_MOI'!$C$16*F3575^2</f>
        <v>989.7385090874943</v>
      </c>
      <c r="N3575" s="75">
        <f>'THAM_SO_MOI'!$C$12*I3575</f>
        <v>1130.112</v>
      </c>
      <c r="O3575" s="75">
        <f>M3575+N3575</f>
        <v>2119.850509087494</v>
      </c>
      <c r="P3575" s="75">
        <f>(MIN(L3575,'THAM_SO_MOI'!$C$41)-O3575)/('THAM_SO_MOI'!$C$11*H3575)</f>
        <v>0.18927433961296952</v>
      </c>
      <c r="Q3575" s="75">
        <f>IF(P3575&gt;0,1/P3575,NA())</f>
        <v>5.283336357399594</v>
      </c>
      <c r="R3575" s="75">
        <f>F3575-F3574</f>
        <v>0.0073885545698715305</v>
      </c>
      <c r="S3575" s="75">
        <f>0.5*(Q3574+Q3575)*R3575</f>
        <v>0.03902919953202529</v>
      </c>
      <c r="T3575" s="75">
        <f>0.5*(F3574*Q3574+F3575*Q3575)*R3575</f>
        <v>0.7177938450186885</v>
      </c>
      <c r="U3575" s="76">
        <f>U3574+S3575</f>
        <v>38.983427239710494</v>
      </c>
      <c r="V3575" s="76">
        <f>V3574+T3575</f>
        <v>466.33096986616346</v>
      </c>
    </row>
    <row r="3576" spans="1:22" ht="19" customHeight="1">
      <c r="A3576" s="68" t="s">
        <v>378</v>
      </c>
      <c r="B3576" s="74">
        <v>5</v>
      </c>
      <c r="C3576" s="68" t="s">
        <v>363</v>
      </c>
      <c r="D3576" s="68" t="s">
        <v>364</v>
      </c>
      <c r="E3576" s="75">
        <f>60*F3576*'THAM_SO_MOI'!$C$53/(2*PI()*'THAM_SO_MOI'!$C$26)</f>
        <v>1813.1091412859248</v>
      </c>
      <c r="F3576" s="75">
        <f>'HANH_TRINH'!$F$3289+('THAM_SO_MOI'!$C$14-'HANH_TRINH'!$F$3289)*286/'THAM_SO_MOI'!$C$42</f>
        <v>18.40228295108578</v>
      </c>
      <c r="G3576" s="75">
        <f>3.6*F3576</f>
        <v>66.24821862390881</v>
      </c>
      <c r="H3576" s="75">
        <f>'THAM_SO_MOI'!$D$53</f>
        <v>1.1</v>
      </c>
      <c r="I3576" s="75">
        <f>IF(F3576&gt;'THAM_SO_MOI'!$C$14,'THAM_SO_MOI'!$C$13*(1+F3576^2/1500),'THAM_SO_MOI'!$C$13)</f>
        <v>0.015</v>
      </c>
      <c r="J3576" s="75">
        <f>'THAM_SO_MOI'!$C$40*('THAM_SO_MOI'!$C$23*(E3576/'THAM_SO_MOI'!$C$22)+'THAM_SO_MOI'!$C$24*(E3576/'THAM_SO_MOI'!$C$22)^2-'THAM_SO_MOI'!$C$25*(E3576/'THAM_SO_MOI'!$C$22)^3)</f>
        <v>80.5014957384665</v>
      </c>
      <c r="K3576" s="75">
        <f>'THAM_SO_MOI'!$C$31*J3576/E3576</f>
        <v>424.06586990849365</v>
      </c>
      <c r="L3576" s="75">
        <f>K3576*'THAM_SO_MOI'!$C$53*'THAM_SO_MOI'!$C$17/'THAM_SO_MOI'!$C$26</f>
        <v>3719.0593384539043</v>
      </c>
      <c r="M3576" s="75">
        <f>'THAM_SO_MOI'!$C$15*'THAM_SO_MOI'!$C$16*F3576^2</f>
        <v>990.5337520995805</v>
      </c>
      <c r="N3576" s="75">
        <f>'THAM_SO_MOI'!$C$12*I3576</f>
        <v>1130.112</v>
      </c>
      <c r="O3576" s="75">
        <f>M3576+N3576</f>
        <v>2120.6457520995805</v>
      </c>
      <c r="P3576" s="75">
        <f>(MIN(L3576,'THAM_SO_MOI'!$C$41)-O3576)/('THAM_SO_MOI'!$C$11*H3576)</f>
        <v>0.18920615368777507</v>
      </c>
      <c r="Q3576" s="75">
        <f>IF(P3576&gt;0,1/P3576,NA())</f>
        <v>5.2852403608932494</v>
      </c>
      <c r="R3576" s="75">
        <f>F3576-F3575</f>
        <v>0.0073885545698715305</v>
      </c>
      <c r="S3576" s="75">
        <f>0.5*(Q3575+Q3576)*R3576</f>
        <v>0.03904325290449022</v>
      </c>
      <c r="T3576" s="75">
        <f>0.5*(F3575*Q3575+F3576*Q3576)*R3576</f>
        <v>0.718340776662135</v>
      </c>
      <c r="U3576" s="76">
        <f>U3575+S3576</f>
        <v>39.022470492614985</v>
      </c>
      <c r="V3576" s="76">
        <f>V3575+T3576</f>
        <v>467.0493106428256</v>
      </c>
    </row>
    <row r="3577" spans="1:22" ht="19" customHeight="1">
      <c r="A3577" s="68" t="s">
        <v>378</v>
      </c>
      <c r="B3577" s="74">
        <v>5</v>
      </c>
      <c r="C3577" s="68" t="s">
        <v>363</v>
      </c>
      <c r="D3577" s="68" t="s">
        <v>364</v>
      </c>
      <c r="E3577" s="75">
        <f>60*F3577*'THAM_SO_MOI'!$C$53/(2*PI()*'THAM_SO_MOI'!$C$26)</f>
        <v>1813.837108346704</v>
      </c>
      <c r="F3577" s="75">
        <f>'HANH_TRINH'!$F$3289+('THAM_SO_MOI'!$C$14-'HANH_TRINH'!$F$3289)*287/'THAM_SO_MOI'!$C$42</f>
        <v>18.409671505655652</v>
      </c>
      <c r="G3577" s="75">
        <f>3.6*F3577</f>
        <v>66.27481742036035</v>
      </c>
      <c r="H3577" s="75">
        <f>'THAM_SO_MOI'!$D$53</f>
        <v>1.1</v>
      </c>
      <c r="I3577" s="75">
        <f>IF(F3577&gt;'THAM_SO_MOI'!$C$14,'THAM_SO_MOI'!$C$13*(1+F3577^2/1500),'THAM_SO_MOI'!$C$13)</f>
        <v>0.015</v>
      </c>
      <c r="J3577" s="75">
        <f>'THAM_SO_MOI'!$C$40*('THAM_SO_MOI'!$C$23*(E3577/'THAM_SO_MOI'!$C$22)+'THAM_SO_MOI'!$C$24*(E3577/'THAM_SO_MOI'!$C$22)^2-'THAM_SO_MOI'!$C$25*(E3577/'THAM_SO_MOI'!$C$22)^3)</f>
        <v>80.53855430542617</v>
      </c>
      <c r="K3577" s="75">
        <f>'THAM_SO_MOI'!$C$31*J3577/E3577</f>
        <v>424.09081373261915</v>
      </c>
      <c r="L3577" s="75">
        <f>K3577*'THAM_SO_MOI'!$C$53*'THAM_SO_MOI'!$C$17/'THAM_SO_MOI'!$C$26</f>
        <v>3719.2780958890894</v>
      </c>
      <c r="M3577" s="75">
        <f>'THAM_SO_MOI'!$C$15*'THAM_SO_MOI'!$C$16*F3577^2</f>
        <v>991.3293144674878</v>
      </c>
      <c r="N3577" s="75">
        <f>'THAM_SO_MOI'!$C$12*I3577</f>
        <v>1130.112</v>
      </c>
      <c r="O3577" s="75">
        <f>M3577+N3577</f>
        <v>2121.441314467488</v>
      </c>
      <c r="P3577" s="75">
        <f>(MIN(L3577,'THAM_SO_MOI'!$C$41)-O3577)/('THAM_SO_MOI'!$C$11*H3577)</f>
        <v>0.18913787658873127</v>
      </c>
      <c r="Q3577" s="75">
        <f>IF(P3577&gt;0,1/P3577,NA())</f>
        <v>5.287148285874219</v>
      </c>
      <c r="R3577" s="75">
        <f>F3577-F3576</f>
        <v>0.0073885545698715305</v>
      </c>
      <c r="S3577" s="75">
        <f>0.5*(Q3576+Q3577)*R3577</f>
        <v>0.03905733522526583</v>
      </c>
      <c r="T3577" s="75">
        <f>0.5*(F3576*Q3576+F3577*Q3577)*R3577</f>
        <v>0.7188884487958428</v>
      </c>
      <c r="U3577" s="76">
        <f>U3576+S3577</f>
        <v>39.06152782784025</v>
      </c>
      <c r="V3577" s="76">
        <f>V3576+T3577</f>
        <v>467.76819909162145</v>
      </c>
    </row>
    <row r="3578" spans="1:22" ht="19" customHeight="1">
      <c r="A3578" s="68" t="s">
        <v>378</v>
      </c>
      <c r="B3578" s="74">
        <v>5</v>
      </c>
      <c r="C3578" s="68" t="s">
        <v>363</v>
      </c>
      <c r="D3578" s="68" t="s">
        <v>364</v>
      </c>
      <c r="E3578" s="75">
        <f>60*F3578*'THAM_SO_MOI'!$C$53/(2*PI()*'THAM_SO_MOI'!$C$26)</f>
        <v>1814.565075407483</v>
      </c>
      <c r="F3578" s="75">
        <f>'HANH_TRINH'!$F$3289+('THAM_SO_MOI'!$C$14-'HANH_TRINH'!$F$3289)*288/'THAM_SO_MOI'!$C$42</f>
        <v>18.417060060225527</v>
      </c>
      <c r="G3578" s="75">
        <f>3.6*F3578</f>
        <v>66.3014162168119</v>
      </c>
      <c r="H3578" s="75">
        <f>'THAM_SO_MOI'!$D$53</f>
        <v>1.1</v>
      </c>
      <c r="I3578" s="75">
        <f>IF(F3578&gt;'THAM_SO_MOI'!$C$14,'THAM_SO_MOI'!$C$13*(1+F3578^2/1500),'THAM_SO_MOI'!$C$13)</f>
        <v>0.015</v>
      </c>
      <c r="J3578" s="75">
        <f>'THAM_SO_MOI'!$C$40*('THAM_SO_MOI'!$C$23*(E3578/'THAM_SO_MOI'!$C$22)+'THAM_SO_MOI'!$C$24*(E3578/'THAM_SO_MOI'!$C$22)^2-'THAM_SO_MOI'!$C$25*(E3578/'THAM_SO_MOI'!$C$22)^3)</f>
        <v>80.57560690727921</v>
      </c>
      <c r="K3578" s="75">
        <f>'THAM_SO_MOI'!$C$31*J3578/E3578</f>
        <v>424.1157061450394</v>
      </c>
      <c r="L3578" s="75">
        <f>K3578*'THAM_SO_MOI'!$C$53*'THAM_SO_MOI'!$C$17/'THAM_SO_MOI'!$C$26</f>
        <v>3719.496402443418</v>
      </c>
      <c r="M3578" s="75">
        <f>'THAM_SO_MOI'!$C$15*'THAM_SO_MOI'!$C$16*F3578^2</f>
        <v>992.1251961912164</v>
      </c>
      <c r="N3578" s="75">
        <f>'THAM_SO_MOI'!$C$12*I3578</f>
        <v>1130.112</v>
      </c>
      <c r="O3578" s="75">
        <f>M3578+N3578</f>
        <v>2122.2371961912168</v>
      </c>
      <c r="P3578" s="75">
        <f>(MIN(L3578,'THAM_SO_MOI'!$C$41)-O3578)/('THAM_SO_MOI'!$C$11*H3578)</f>
        <v>0.18906950831583827</v>
      </c>
      <c r="Q3578" s="75">
        <f>IF(P3578&gt;0,1/P3578,NA())</f>
        <v>5.289060139351039</v>
      </c>
      <c r="R3578" s="75">
        <f>F3578-F3577</f>
        <v>0.007388554569875083</v>
      </c>
      <c r="S3578" s="75">
        <f>0.5*(Q3577+Q3578)*R3578</f>
        <v>0.039071446546074716</v>
      </c>
      <c r="T3578" s="75">
        <f>0.5*(F3577*Q3577+F3578*Q3578)*R3578</f>
        <v>0.7194368630138578</v>
      </c>
      <c r="U3578" s="76">
        <f>U3577+S3578</f>
        <v>39.100599274386326</v>
      </c>
      <c r="V3578" s="76">
        <f>V3577+T3578</f>
        <v>468.4876359546353</v>
      </c>
    </row>
    <row r="3579" spans="1:22" ht="19" customHeight="1">
      <c r="A3579" s="68" t="s">
        <v>378</v>
      </c>
      <c r="B3579" s="74">
        <v>5</v>
      </c>
      <c r="C3579" s="68" t="s">
        <v>363</v>
      </c>
      <c r="D3579" s="68" t="s">
        <v>364</v>
      </c>
      <c r="E3579" s="75">
        <f>60*F3579*'THAM_SO_MOI'!$C$53/(2*PI()*'THAM_SO_MOI'!$C$26)</f>
        <v>1815.2930424682622</v>
      </c>
      <c r="F3579" s="75">
        <f>'HANH_TRINH'!$F$3289+('THAM_SO_MOI'!$C$14-'HANH_TRINH'!$F$3289)*289/'THAM_SO_MOI'!$C$42</f>
        <v>18.4244486147954</v>
      </c>
      <c r="G3579" s="75">
        <f>3.6*F3579</f>
        <v>66.32801501326344</v>
      </c>
      <c r="H3579" s="75">
        <f>'THAM_SO_MOI'!$D$53</f>
        <v>1.1</v>
      </c>
      <c r="I3579" s="75">
        <f>IF(F3579&gt;'THAM_SO_MOI'!$C$14,'THAM_SO_MOI'!$C$13*(1+F3579^2/1500),'THAM_SO_MOI'!$C$13)</f>
        <v>0.015</v>
      </c>
      <c r="J3579" s="75">
        <f>'THAM_SO_MOI'!$C$40*('THAM_SO_MOI'!$C$23*(E3579/'THAM_SO_MOI'!$C$22)+'THAM_SO_MOI'!$C$24*(E3579/'THAM_SO_MOI'!$C$22)^2-'THAM_SO_MOI'!$C$25*(E3579/'THAM_SO_MOI'!$C$22)^3)</f>
        <v>80.61265353227003</v>
      </c>
      <c r="K3579" s="75">
        <f>'THAM_SO_MOI'!$C$31*J3579/E3579</f>
        <v>424.1405471457539</v>
      </c>
      <c r="L3579" s="75">
        <f>K3579*'THAM_SO_MOI'!$C$53*'THAM_SO_MOI'!$C$17/'THAM_SO_MOI'!$C$26</f>
        <v>3719.714258116886</v>
      </c>
      <c r="M3579" s="75">
        <f>'THAM_SO_MOI'!$C$15*'THAM_SO_MOI'!$C$16*F3579^2</f>
        <v>992.9213972707656</v>
      </c>
      <c r="N3579" s="75">
        <f>'THAM_SO_MOI'!$C$12*I3579</f>
        <v>1130.112</v>
      </c>
      <c r="O3579" s="75">
        <f>M3579+N3579</f>
        <v>2123.033397270766</v>
      </c>
      <c r="P3579" s="75">
        <f>(MIN(L3579,'THAM_SO_MOI'!$C$41)-O3579)/('THAM_SO_MOI'!$C$11*H3579)</f>
        <v>0.18900104886909566</v>
      </c>
      <c r="Q3579" s="75">
        <f>IF(P3579&gt;0,1/P3579,NA())</f>
        <v>5.290975928353772</v>
      </c>
      <c r="R3579" s="75">
        <f>F3579-F3578</f>
        <v>0.0073885545698715305</v>
      </c>
      <c r="S3579" s="75">
        <f>0.5*(Q3578+Q3579)*R3579</f>
        <v>0.039085586918723</v>
      </c>
      <c r="T3579" s="75">
        <f>0.5*(F3578*Q3578+F3579*Q3579)*R3579</f>
        <v>0.7199860209132931</v>
      </c>
      <c r="U3579" s="76">
        <f>U3578+S3579</f>
        <v>39.13968486130505</v>
      </c>
      <c r="V3579" s="76">
        <f>V3578+T3579</f>
        <v>469.2076219755486</v>
      </c>
    </row>
    <row r="3580" spans="1:22" ht="19" customHeight="1">
      <c r="A3580" s="68" t="s">
        <v>378</v>
      </c>
      <c r="B3580" s="74">
        <v>5</v>
      </c>
      <c r="C3580" s="68" t="s">
        <v>363</v>
      </c>
      <c r="D3580" s="68" t="s">
        <v>364</v>
      </c>
      <c r="E3580" s="75">
        <f>60*F3580*'THAM_SO_MOI'!$C$53/(2*PI()*'THAM_SO_MOI'!$C$26)</f>
        <v>1816.0210095290408</v>
      </c>
      <c r="F3580" s="75">
        <f>'HANH_TRINH'!$F$3289+('THAM_SO_MOI'!$C$14-'HANH_TRINH'!$F$3289)*290/'THAM_SO_MOI'!$C$42</f>
        <v>18.43183716936527</v>
      </c>
      <c r="G3580" s="75">
        <f>3.6*F3580</f>
        <v>66.35461380971498</v>
      </c>
      <c r="H3580" s="75">
        <f>'THAM_SO_MOI'!$D$53</f>
        <v>1.1</v>
      </c>
      <c r="I3580" s="75">
        <f>IF(F3580&gt;'THAM_SO_MOI'!$C$14,'THAM_SO_MOI'!$C$13*(1+F3580^2/1500),'THAM_SO_MOI'!$C$13)</f>
        <v>0.015</v>
      </c>
      <c r="J3580" s="75">
        <f>'THAM_SO_MOI'!$C$40*('THAM_SO_MOI'!$C$23*(E3580/'THAM_SO_MOI'!$C$22)+'THAM_SO_MOI'!$C$24*(E3580/'THAM_SO_MOI'!$C$22)^2-'THAM_SO_MOI'!$C$25*(E3580/'THAM_SO_MOI'!$C$22)^3)</f>
        <v>80.64969416864318</v>
      </c>
      <c r="K3580" s="75">
        <f>'THAM_SO_MOI'!$C$31*J3580/E3580</f>
        <v>424.16533673476323</v>
      </c>
      <c r="L3580" s="75">
        <f>K3580*'THAM_SO_MOI'!$C$53*'THAM_SO_MOI'!$C$17/'THAM_SO_MOI'!$C$26</f>
        <v>3719.931662909499</v>
      </c>
      <c r="M3580" s="75">
        <f>'THAM_SO_MOI'!$C$15*'THAM_SO_MOI'!$C$16*F3580^2</f>
        <v>993.7179177061358</v>
      </c>
      <c r="N3580" s="75">
        <f>'THAM_SO_MOI'!$C$12*I3580</f>
        <v>1130.112</v>
      </c>
      <c r="O3580" s="75">
        <f>M3580+N3580</f>
        <v>2123.829917706136</v>
      </c>
      <c r="P3580" s="75">
        <f>(MIN(L3580,'THAM_SO_MOI'!$C$41)-O3580)/('THAM_SO_MOI'!$C$11*H3580)</f>
        <v>0.1889324982485042</v>
      </c>
      <c r="Q3580" s="75">
        <f>IF(P3580&gt;0,1/P3580,NA())</f>
        <v>5.292895659934022</v>
      </c>
      <c r="R3580" s="75">
        <f>F3580-F3579</f>
        <v>0.0073885545698715305</v>
      </c>
      <c r="S3580" s="75">
        <f>0.5*(Q3579+Q3580)*R3580</f>
        <v>0.039099756395288614</v>
      </c>
      <c r="T3580" s="75">
        <f>0.5*(F3579*Q3579+F3580*Q3580)*R3580</f>
        <v>0.7205359240978018</v>
      </c>
      <c r="U3580" s="76">
        <f>U3579+S3580</f>
        <v>39.17878461770034</v>
      </c>
      <c r="V3580" s="76">
        <f>V3579+T3580</f>
        <v>469.9281578996464</v>
      </c>
    </row>
    <row r="3581" spans="1:22" ht="19" customHeight="1">
      <c r="A3581" s="68" t="s">
        <v>378</v>
      </c>
      <c r="B3581" s="74">
        <v>5</v>
      </c>
      <c r="C3581" s="68" t="s">
        <v>363</v>
      </c>
      <c r="D3581" s="68" t="s">
        <v>364</v>
      </c>
      <c r="E3581" s="75">
        <f>60*F3581*'THAM_SO_MOI'!$C$53/(2*PI()*'THAM_SO_MOI'!$C$26)</f>
        <v>1816.7489765898201</v>
      </c>
      <c r="F3581" s="75">
        <f>'HANH_TRINH'!$F$3289+('THAM_SO_MOI'!$C$14-'HANH_TRINH'!$F$3289)*291/'THAM_SO_MOI'!$C$42</f>
        <v>18.43922572393514</v>
      </c>
      <c r="G3581" s="75">
        <f>3.6*F3581</f>
        <v>66.38121260616651</v>
      </c>
      <c r="H3581" s="75">
        <f>'THAM_SO_MOI'!$D$53</f>
        <v>1.1</v>
      </c>
      <c r="I3581" s="75">
        <f>IF(F3581&gt;'THAM_SO_MOI'!$C$14,'THAM_SO_MOI'!$C$13*(1+F3581^2/1500),'THAM_SO_MOI'!$C$13)</f>
        <v>0.015</v>
      </c>
      <c r="J3581" s="75">
        <f>'THAM_SO_MOI'!$C$40*('THAM_SO_MOI'!$C$23*(E3581/'THAM_SO_MOI'!$C$22)+'THAM_SO_MOI'!$C$24*(E3581/'THAM_SO_MOI'!$C$22)^2-'THAM_SO_MOI'!$C$25*(E3581/'THAM_SO_MOI'!$C$22)^3)</f>
        <v>80.68672880464317</v>
      </c>
      <c r="K3581" s="75">
        <f>'THAM_SO_MOI'!$C$31*J3581/E3581</f>
        <v>424.19007491206713</v>
      </c>
      <c r="L3581" s="75">
        <f>K3581*'THAM_SO_MOI'!$C$53*'THAM_SO_MOI'!$C$17/'THAM_SO_MOI'!$C$26</f>
        <v>3720.1486168212546</v>
      </c>
      <c r="M3581" s="75">
        <f>'THAM_SO_MOI'!$C$15*'THAM_SO_MOI'!$C$16*F3581^2</f>
        <v>994.5147574973271</v>
      </c>
      <c r="N3581" s="75">
        <f>'THAM_SO_MOI'!$C$12*I3581</f>
        <v>1130.112</v>
      </c>
      <c r="O3581" s="75">
        <f>M3581+N3581</f>
        <v>2124.626757497327</v>
      </c>
      <c r="P3581" s="75">
        <f>(MIN(L3581,'THAM_SO_MOI'!$C$41)-O3581)/('THAM_SO_MOI'!$C$11*H3581)</f>
        <v>0.18886385645406337</v>
      </c>
      <c r="Q3581" s="75">
        <f>IF(P3581&gt;0,1/P3581,NA())</f>
        <v>5.29481934116508</v>
      </c>
      <c r="R3581" s="75">
        <f>F3581-F3580</f>
        <v>0.0073885545698715305</v>
      </c>
      <c r="S3581" s="75">
        <f>0.5*(Q3580+Q3581)*R3581</f>
        <v>0.039113955027934064</v>
      </c>
      <c r="T3581" s="75">
        <f>0.5*(F3580*Q3580+F3581*Q3581)*R3581</f>
        <v>0.7210865741741352</v>
      </c>
      <c r="U3581" s="76">
        <f>U3580+S3581</f>
        <v>39.217898572728274</v>
      </c>
      <c r="V3581" s="76">
        <f>V3580+T3581</f>
        <v>470.64924447382054</v>
      </c>
    </row>
    <row r="3582" spans="1:22" ht="19" customHeight="1">
      <c r="A3582" s="68" t="s">
        <v>378</v>
      </c>
      <c r="B3582" s="74">
        <v>5</v>
      </c>
      <c r="C3582" s="68" t="s">
        <v>363</v>
      </c>
      <c r="D3582" s="68" t="s">
        <v>364</v>
      </c>
      <c r="E3582" s="75">
        <f>60*F3582*'THAM_SO_MOI'!$C$53/(2*PI()*'THAM_SO_MOI'!$C$26)</f>
        <v>1817.4769436505985</v>
      </c>
      <c r="F3582" s="75">
        <f>'HANH_TRINH'!$F$3289+('THAM_SO_MOI'!$C$14-'HANH_TRINH'!$F$3289)*292/'THAM_SO_MOI'!$C$42</f>
        <v>18.446614278505013</v>
      </c>
      <c r="G3582" s="75">
        <f>3.6*F3582</f>
        <v>66.40781140261805</v>
      </c>
      <c r="H3582" s="75">
        <f>'THAM_SO_MOI'!$D$53</f>
        <v>1.1</v>
      </c>
      <c r="I3582" s="75">
        <f>IF(F3582&gt;'THAM_SO_MOI'!$C$14,'THAM_SO_MOI'!$C$13*(1+F3582^2/1500),'THAM_SO_MOI'!$C$13)</f>
        <v>0.015</v>
      </c>
      <c r="J3582" s="75">
        <f>'THAM_SO_MOI'!$C$40*('THAM_SO_MOI'!$C$23*(E3582/'THAM_SO_MOI'!$C$22)+'THAM_SO_MOI'!$C$24*(E3582/'THAM_SO_MOI'!$C$22)^2-'THAM_SO_MOI'!$C$25*(E3582/'THAM_SO_MOI'!$C$22)^3)</f>
        <v>80.72375742851438</v>
      </c>
      <c r="K3582" s="75">
        <f>'THAM_SO_MOI'!$C$31*J3582/E3582</f>
        <v>424.2147616776655</v>
      </c>
      <c r="L3582" s="75">
        <f>K3582*'THAM_SO_MOI'!$C$53*'THAM_SO_MOI'!$C$17/'THAM_SO_MOI'!$C$26</f>
        <v>3720.3651198521497</v>
      </c>
      <c r="M3582" s="75">
        <f>'THAM_SO_MOI'!$C$15*'THAM_SO_MOI'!$C$16*F3582^2</f>
        <v>995.3119166443394</v>
      </c>
      <c r="N3582" s="75">
        <f>'THAM_SO_MOI'!$C$12*I3582</f>
        <v>1130.112</v>
      </c>
      <c r="O3582" s="75">
        <f>M3582+N3582</f>
        <v>2125.4239166443394</v>
      </c>
      <c r="P3582" s="75">
        <f>(MIN(L3582,'THAM_SO_MOI'!$C$41)-O3582)/('THAM_SO_MOI'!$C$11*H3582)</f>
        <v>0.188795123485773</v>
      </c>
      <c r="Q3582" s="75">
        <f>IF(P3582&gt;0,1/P3582,NA())</f>
        <v>5.296746979141953</v>
      </c>
      <c r="R3582" s="75">
        <f>F3582-F3581</f>
        <v>0.0073885545698715305</v>
      </c>
      <c r="S3582" s="75">
        <f>0.5*(Q3581+Q3582)*R3582</f>
        <v>0.03912818286900096</v>
      </c>
      <c r="T3582" s="75">
        <f>0.5*(F3581*Q3581+F3582*Q3582)*R3582</f>
        <v>0.7216379727538897</v>
      </c>
      <c r="U3582" s="76">
        <f>U3581+S3582</f>
        <v>39.25702675559727</v>
      </c>
      <c r="V3582" s="76">
        <f>V3581+T3582</f>
        <v>471.37088244657446</v>
      </c>
    </row>
    <row r="3583" spans="1:22" ht="19" customHeight="1">
      <c r="A3583" s="68" t="s">
        <v>378</v>
      </c>
      <c r="B3583" s="74">
        <v>5</v>
      </c>
      <c r="C3583" s="68" t="s">
        <v>363</v>
      </c>
      <c r="D3583" s="68" t="s">
        <v>364</v>
      </c>
      <c r="E3583" s="75">
        <f>60*F3583*'THAM_SO_MOI'!$C$53/(2*PI()*'THAM_SO_MOI'!$C$26)</f>
        <v>1818.2049107113778</v>
      </c>
      <c r="F3583" s="75">
        <f>'HANH_TRINH'!$F$3289+('THAM_SO_MOI'!$C$14-'HANH_TRINH'!$F$3289)*293/'THAM_SO_MOI'!$C$42</f>
        <v>18.454002833074885</v>
      </c>
      <c r="G3583" s="75">
        <f>3.6*F3583</f>
        <v>66.43441019906959</v>
      </c>
      <c r="H3583" s="75">
        <f>'THAM_SO_MOI'!$D$53</f>
        <v>1.1</v>
      </c>
      <c r="I3583" s="75">
        <f>IF(F3583&gt;'THAM_SO_MOI'!$C$14,'THAM_SO_MOI'!$C$13*(1+F3583^2/1500),'THAM_SO_MOI'!$C$13)</f>
        <v>0.015</v>
      </c>
      <c r="J3583" s="75">
        <f>'THAM_SO_MOI'!$C$40*('THAM_SO_MOI'!$C$23*(E3583/'THAM_SO_MOI'!$C$22)+'THAM_SO_MOI'!$C$24*(E3583/'THAM_SO_MOI'!$C$22)^2-'THAM_SO_MOI'!$C$25*(E3583/'THAM_SO_MOI'!$C$22)^3)</f>
        <v>80.76078002850142</v>
      </c>
      <c r="K3583" s="75">
        <f>'THAM_SO_MOI'!$C$31*J3583/E3583</f>
        <v>424.23939703155855</v>
      </c>
      <c r="L3583" s="75">
        <f>K3583*'THAM_SO_MOI'!$C$53*'THAM_SO_MOI'!$C$17/'THAM_SO_MOI'!$C$26</f>
        <v>3720.5811720021898</v>
      </c>
      <c r="M3583" s="75">
        <f>'THAM_SO_MOI'!$C$15*'THAM_SO_MOI'!$C$16*F3583^2</f>
        <v>996.1093951471724</v>
      </c>
      <c r="N3583" s="75">
        <f>'THAM_SO_MOI'!$C$12*I3583</f>
        <v>1130.112</v>
      </c>
      <c r="O3583" s="75">
        <f>M3583+N3583</f>
        <v>2126.2213951471726</v>
      </c>
      <c r="P3583" s="75">
        <f>(MIN(L3583,'THAM_SO_MOI'!$C$41)-O3583)/('THAM_SO_MOI'!$C$11*H3583)</f>
        <v>0.18872629934363366</v>
      </c>
      <c r="Q3583" s="75">
        <f>IF(P3583&gt;0,1/P3583,NA())</f>
        <v>5.298678580981423</v>
      </c>
      <c r="R3583" s="75">
        <f>F3583-F3582</f>
        <v>0.0073885545698715305</v>
      </c>
      <c r="S3583" s="75">
        <f>0.5*(Q3582+Q3583)*R3583</f>
        <v>0.039142439970991594</v>
      </c>
      <c r="T3583" s="75">
        <f>0.5*(F3582*Q3582+F3583*Q3583)*R3583</f>
        <v>0.7221901214531735</v>
      </c>
      <c r="U3583" s="76">
        <f>U3582+S3583</f>
        <v>39.29616919556827</v>
      </c>
      <c r="V3583" s="76">
        <f>V3582+T3583</f>
        <v>472.09307256802765</v>
      </c>
    </row>
    <row r="3584" spans="1:22" ht="19" customHeight="1">
      <c r="A3584" s="68" t="s">
        <v>378</v>
      </c>
      <c r="B3584" s="74">
        <v>5</v>
      </c>
      <c r="C3584" s="68" t="s">
        <v>363</v>
      </c>
      <c r="D3584" s="68" t="s">
        <v>364</v>
      </c>
      <c r="E3584" s="75">
        <f>60*F3584*'THAM_SO_MOI'!$C$53/(2*PI()*'THAM_SO_MOI'!$C$26)</f>
        <v>1818.9328777721566</v>
      </c>
      <c r="F3584" s="75">
        <f>'HANH_TRINH'!$F$3289+('THAM_SO_MOI'!$C$14-'HANH_TRINH'!$F$3289)*294/'THAM_SO_MOI'!$C$42</f>
        <v>18.461391387644756</v>
      </c>
      <c r="G3584" s="75">
        <f>3.6*F3584</f>
        <v>66.46100899552113</v>
      </c>
      <c r="H3584" s="75">
        <f>'THAM_SO_MOI'!$D$53</f>
        <v>1.1</v>
      </c>
      <c r="I3584" s="75">
        <f>IF(F3584&gt;'THAM_SO_MOI'!$C$14,'THAM_SO_MOI'!$C$13*(1+F3584^2/1500),'THAM_SO_MOI'!$C$13)</f>
        <v>0.015</v>
      </c>
      <c r="J3584" s="75">
        <f>'THAM_SO_MOI'!$C$40*('THAM_SO_MOI'!$C$23*(E3584/'THAM_SO_MOI'!$C$22)+'THAM_SO_MOI'!$C$24*(E3584/'THAM_SO_MOI'!$C$22)^2-'THAM_SO_MOI'!$C$25*(E3584/'THAM_SO_MOI'!$C$22)^3)</f>
        <v>80.79779659284867</v>
      </c>
      <c r="K3584" s="75">
        <f>'THAM_SO_MOI'!$C$31*J3584/E3584</f>
        <v>424.2639809737461</v>
      </c>
      <c r="L3584" s="75">
        <f>K3584*'THAM_SO_MOI'!$C$53*'THAM_SO_MOI'!$C$17/'THAM_SO_MOI'!$C$26</f>
        <v>3720.79677327137</v>
      </c>
      <c r="M3584" s="75">
        <f>'THAM_SO_MOI'!$C$15*'THAM_SO_MOI'!$C$16*F3584^2</f>
        <v>996.9071930058268</v>
      </c>
      <c r="N3584" s="75">
        <f>'THAM_SO_MOI'!$C$12*I3584</f>
        <v>1130.112</v>
      </c>
      <c r="O3584" s="75">
        <f>M3584+N3584</f>
        <v>2127.0191930058268</v>
      </c>
      <c r="P3584" s="75">
        <f>(MIN(L3584,'THAM_SO_MOI'!$C$41)-O3584)/('THAM_SO_MOI'!$C$11*H3584)</f>
        <v>0.18865738402764481</v>
      </c>
      <c r="Q3584" s="75">
        <f>IF(P3584&gt;0,1/P3584,NA())</f>
        <v>5.300614153822177</v>
      </c>
      <c r="R3584" s="75">
        <f>F3584-F3583</f>
        <v>0.0073885545698715305</v>
      </c>
      <c r="S3584" s="75">
        <f>0.5*(Q3583+Q3584)*R3584</f>
        <v>0.039156726386569626</v>
      </c>
      <c r="T3584" s="75">
        <f>0.5*(F3583*Q3583+F3584*Q3584)*R3584</f>
        <v>0.7227430218926241</v>
      </c>
      <c r="U3584" s="76">
        <f>U3583+S3584</f>
        <v>39.33532592195484</v>
      </c>
      <c r="V3584" s="76">
        <f>V3583+T3584</f>
        <v>472.81581558992025</v>
      </c>
    </row>
    <row r="3585" spans="1:22" ht="19" customHeight="1">
      <c r="A3585" s="68" t="s">
        <v>378</v>
      </c>
      <c r="B3585" s="74">
        <v>5</v>
      </c>
      <c r="C3585" s="68" t="s">
        <v>363</v>
      </c>
      <c r="D3585" s="68" t="s">
        <v>364</v>
      </c>
      <c r="E3585" s="75">
        <f>60*F3585*'THAM_SO_MOI'!$C$53/(2*PI()*'THAM_SO_MOI'!$C$26)</f>
        <v>1819.6608448329362</v>
      </c>
      <c r="F3585" s="75">
        <f>'HANH_TRINH'!$F$3289+('THAM_SO_MOI'!$C$14-'HANH_TRINH'!$F$3289)*295/'THAM_SO_MOI'!$C$42</f>
        <v>18.46877994221463</v>
      </c>
      <c r="G3585" s="75">
        <f>3.6*F3585</f>
        <v>66.48760779197268</v>
      </c>
      <c r="H3585" s="75">
        <f>'THAM_SO_MOI'!$D$53</f>
        <v>1.1</v>
      </c>
      <c r="I3585" s="75">
        <f>IF(F3585&gt;'THAM_SO_MOI'!$C$14,'THAM_SO_MOI'!$C$13*(1+F3585^2/1500),'THAM_SO_MOI'!$C$13)</f>
        <v>0.015</v>
      </c>
      <c r="J3585" s="75">
        <f>'THAM_SO_MOI'!$C$40*('THAM_SO_MOI'!$C$23*(E3585/'THAM_SO_MOI'!$C$22)+'THAM_SO_MOI'!$C$24*(E3585/'THAM_SO_MOI'!$C$22)^2-'THAM_SO_MOI'!$C$25*(E3585/'THAM_SO_MOI'!$C$22)^3)</f>
        <v>80.8348071098007</v>
      </c>
      <c r="K3585" s="75">
        <f>'THAM_SO_MOI'!$C$31*J3585/E3585</f>
        <v>424.28851350422815</v>
      </c>
      <c r="L3585" s="75">
        <f>K3585*'THAM_SO_MOI'!$C$53*'THAM_SO_MOI'!$C$17/'THAM_SO_MOI'!$C$26</f>
        <v>3721.0119236596934</v>
      </c>
      <c r="M3585" s="75">
        <f>'THAM_SO_MOI'!$C$15*'THAM_SO_MOI'!$C$16*F3585^2</f>
        <v>997.7053102203024</v>
      </c>
      <c r="N3585" s="75">
        <f>'THAM_SO_MOI'!$C$12*I3585</f>
        <v>1130.112</v>
      </c>
      <c r="O3585" s="75">
        <f>M3585+N3585</f>
        <v>2127.8173102203027</v>
      </c>
      <c r="P3585" s="75">
        <f>(MIN(L3585,'THAM_SO_MOI'!$C$41)-O3585)/('THAM_SO_MOI'!$C$11*H3585)</f>
        <v>0.18858837753780672</v>
      </c>
      <c r="Q3585" s="75">
        <f>IF(P3585&gt;0,1/P3585,NA())</f>
        <v>5.302553704824826</v>
      </c>
      <c r="R3585" s="75">
        <f>F3585-F3584</f>
        <v>0.007388554569875083</v>
      </c>
      <c r="S3585" s="75">
        <f>0.5*(Q3584+Q3585)*R3585</f>
        <v>0.03917104216857945</v>
      </c>
      <c r="T3585" s="75">
        <f>0.5*(F3584*Q3584+F3585*Q3585)*R3585</f>
        <v>0.7232966756977735</v>
      </c>
      <c r="U3585" s="76">
        <f>U3584+S3585</f>
        <v>39.37449696412342</v>
      </c>
      <c r="V3585" s="76">
        <f>V3584+T3585</f>
        <v>473.53911226561803</v>
      </c>
    </row>
    <row r="3586" spans="1:22" ht="19" customHeight="1">
      <c r="A3586" s="68" t="s">
        <v>378</v>
      </c>
      <c r="B3586" s="74">
        <v>5</v>
      </c>
      <c r="C3586" s="68" t="s">
        <v>363</v>
      </c>
      <c r="D3586" s="68" t="s">
        <v>364</v>
      </c>
      <c r="E3586" s="75">
        <f>60*F3586*'THAM_SO_MOI'!$C$53/(2*PI()*'THAM_SO_MOI'!$C$26)</f>
        <v>1820.3888118937148</v>
      </c>
      <c r="F3586" s="75">
        <f>'HANH_TRINH'!$F$3289+('THAM_SO_MOI'!$C$14-'HANH_TRINH'!$F$3289)*296/'THAM_SO_MOI'!$C$42</f>
        <v>18.476168496784503</v>
      </c>
      <c r="G3586" s="75">
        <f>3.6*F3586</f>
        <v>66.51420658842422</v>
      </c>
      <c r="H3586" s="75">
        <f>'THAM_SO_MOI'!$D$53</f>
        <v>1.1</v>
      </c>
      <c r="I3586" s="75">
        <f>IF(F3586&gt;'THAM_SO_MOI'!$C$14,'THAM_SO_MOI'!$C$13*(1+F3586^2/1500),'THAM_SO_MOI'!$C$13)</f>
        <v>0.015</v>
      </c>
      <c r="J3586" s="75">
        <f>'THAM_SO_MOI'!$C$40*('THAM_SO_MOI'!$C$23*(E3586/'THAM_SO_MOI'!$C$22)+'THAM_SO_MOI'!$C$24*(E3586/'THAM_SO_MOI'!$C$22)^2-'THAM_SO_MOI'!$C$25*(E3586/'THAM_SO_MOI'!$C$22)^3)</f>
        <v>80.87181156760191</v>
      </c>
      <c r="K3586" s="75">
        <f>'THAM_SO_MOI'!$C$31*J3586/E3586</f>
        <v>424.3129946230048</v>
      </c>
      <c r="L3586" s="75">
        <f>K3586*'THAM_SO_MOI'!$C$53*'THAM_SO_MOI'!$C$17/'THAM_SO_MOI'!$C$26</f>
        <v>3721.2266231671583</v>
      </c>
      <c r="M3586" s="75">
        <f>'THAM_SO_MOI'!$C$15*'THAM_SO_MOI'!$C$16*F3586^2</f>
        <v>998.5037467905985</v>
      </c>
      <c r="N3586" s="75">
        <f>'THAM_SO_MOI'!$C$12*I3586</f>
        <v>1130.112</v>
      </c>
      <c r="O3586" s="75">
        <f>M3586+N3586</f>
        <v>2128.6157467905987</v>
      </c>
      <c r="P3586" s="75">
        <f>(MIN(L3586,'THAM_SO_MOI'!$C$41)-O3586)/('THAM_SO_MOI'!$C$11*H3586)</f>
        <v>0.1885192798741193</v>
      </c>
      <c r="Q3586" s="75">
        <f>IF(P3586&gt;0,1/P3586,NA())</f>
        <v>5.304497241172011</v>
      </c>
      <c r="R3586" s="75">
        <f>F3586-F3585</f>
        <v>0.0073885545698715305</v>
      </c>
      <c r="S3586" s="75">
        <f>0.5*(Q3585+Q3586)*R3586</f>
        <v>0.03918538736995253</v>
      </c>
      <c r="T3586" s="75">
        <f>0.5*(F3585*Q3585+F3586*Q3586)*R3586</f>
        <v>0.7238510844973233</v>
      </c>
      <c r="U3586" s="76">
        <f>U3585+S3586</f>
        <v>39.41368235149338</v>
      </c>
      <c r="V3586" s="76">
        <f>V3585+T3586</f>
        <v>474.26296335011534</v>
      </c>
    </row>
    <row r="3587" spans="1:22" ht="19" customHeight="1">
      <c r="A3587" s="68" t="s">
        <v>378</v>
      </c>
      <c r="B3587" s="74">
        <v>5</v>
      </c>
      <c r="C3587" s="68" t="s">
        <v>363</v>
      </c>
      <c r="D3587" s="68" t="s">
        <v>364</v>
      </c>
      <c r="E3587" s="75">
        <f>60*F3587*'THAM_SO_MOI'!$C$53/(2*PI()*'THAM_SO_MOI'!$C$26)</f>
        <v>1821.1167789544938</v>
      </c>
      <c r="F3587" s="75">
        <f>'HANH_TRINH'!$F$3289+('THAM_SO_MOI'!$C$14-'HANH_TRINH'!$F$3289)*297/'THAM_SO_MOI'!$C$42</f>
        <v>18.483557051354374</v>
      </c>
      <c r="G3587" s="75">
        <f>3.6*F3587</f>
        <v>66.54080538487575</v>
      </c>
      <c r="H3587" s="75">
        <f>'THAM_SO_MOI'!$D$53</f>
        <v>1.1</v>
      </c>
      <c r="I3587" s="75">
        <f>IF(F3587&gt;'THAM_SO_MOI'!$C$14,'THAM_SO_MOI'!$C$13*(1+F3587^2/1500),'THAM_SO_MOI'!$C$13)</f>
        <v>0.015</v>
      </c>
      <c r="J3587" s="75">
        <f>'THAM_SO_MOI'!$C$40*('THAM_SO_MOI'!$C$23*(E3587/'THAM_SO_MOI'!$C$22)+'THAM_SO_MOI'!$C$24*(E3587/'THAM_SO_MOI'!$C$22)^2-'THAM_SO_MOI'!$C$25*(E3587/'THAM_SO_MOI'!$C$22)^3)</f>
        <v>80.90880995449683</v>
      </c>
      <c r="K3587" s="75">
        <f>'THAM_SO_MOI'!$C$31*J3587/E3587</f>
        <v>424.3374243300759</v>
      </c>
      <c r="L3587" s="75">
        <f>K3587*'THAM_SO_MOI'!$C$53*'THAM_SO_MOI'!$C$17/'THAM_SO_MOI'!$C$26</f>
        <v>3721.440871793765</v>
      </c>
      <c r="M3587" s="75">
        <f>'THAM_SO_MOI'!$C$15*'THAM_SO_MOI'!$C$16*F3587^2</f>
        <v>999.3025027167158</v>
      </c>
      <c r="N3587" s="75">
        <f>'THAM_SO_MOI'!$C$12*I3587</f>
        <v>1130.112</v>
      </c>
      <c r="O3587" s="75">
        <f>M3587+N3587</f>
        <v>2129.414502716716</v>
      </c>
      <c r="P3587" s="75">
        <f>(MIN(L3587,'THAM_SO_MOI'!$C$41)-O3587)/('THAM_SO_MOI'!$C$11*H3587)</f>
        <v>0.1884500910365825</v>
      </c>
      <c r="Q3587" s="75">
        <f>IF(P3587&gt;0,1/P3587,NA())</f>
        <v>5.3064447700684685</v>
      </c>
      <c r="R3587" s="75">
        <f>F3587-F3586</f>
        <v>0.0073885545698715305</v>
      </c>
      <c r="S3587" s="75">
        <f>0.5*(Q3586+Q3587)*R3587</f>
        <v>0.03919976204389632</v>
      </c>
      <c r="T3587" s="75">
        <f>0.5*(F3586*Q3586+F3587*Q3587)*R3587</f>
        <v>0.7244062499266402</v>
      </c>
      <c r="U3587" s="76">
        <f>U3586+S3587</f>
        <v>39.45288211353727</v>
      </c>
      <c r="V3587" s="76">
        <f>V3586+T3587</f>
        <v>474.987369600042</v>
      </c>
    </row>
    <row r="3588" spans="1:22" ht="19" customHeight="1">
      <c r="A3588" s="68" t="s">
        <v>378</v>
      </c>
      <c r="B3588" s="74">
        <v>5</v>
      </c>
      <c r="C3588" s="68" t="s">
        <v>363</v>
      </c>
      <c r="D3588" s="68" t="s">
        <v>364</v>
      </c>
      <c r="E3588" s="75">
        <f>60*F3588*'THAM_SO_MOI'!$C$53/(2*PI()*'THAM_SO_MOI'!$C$26)</f>
        <v>1821.8447460152727</v>
      </c>
      <c r="F3588" s="75">
        <f>'HANH_TRINH'!$F$3289+('THAM_SO_MOI'!$C$14-'HANH_TRINH'!$F$3289)*298/'THAM_SO_MOI'!$C$42</f>
        <v>18.490945605924246</v>
      </c>
      <c r="G3588" s="75">
        <f>3.6*F3588</f>
        <v>66.56740418132729</v>
      </c>
      <c r="H3588" s="75">
        <f>'THAM_SO_MOI'!$D$53</f>
        <v>1.1</v>
      </c>
      <c r="I3588" s="75">
        <f>IF(F3588&gt;'THAM_SO_MOI'!$C$14,'THAM_SO_MOI'!$C$13*(1+F3588^2/1500),'THAM_SO_MOI'!$C$13)</f>
        <v>0.015</v>
      </c>
      <c r="J3588" s="75">
        <f>'THAM_SO_MOI'!$C$40*('THAM_SO_MOI'!$C$23*(E3588/'THAM_SO_MOI'!$C$22)+'THAM_SO_MOI'!$C$24*(E3588/'THAM_SO_MOI'!$C$22)^2-'THAM_SO_MOI'!$C$25*(E3588/'THAM_SO_MOI'!$C$22)^3)</f>
        <v>80.94580225872998</v>
      </c>
      <c r="K3588" s="75">
        <f>'THAM_SO_MOI'!$C$31*J3588/E3588</f>
        <v>424.36180262544195</v>
      </c>
      <c r="L3588" s="75">
        <f>K3588*'THAM_SO_MOI'!$C$53*'THAM_SO_MOI'!$C$17/'THAM_SO_MOI'!$C$26</f>
        <v>3721.6546695395164</v>
      </c>
      <c r="M3588" s="75">
        <f>'THAM_SO_MOI'!$C$15*'THAM_SO_MOI'!$C$16*F3588^2</f>
        <v>1000.1015779986539</v>
      </c>
      <c r="N3588" s="75">
        <f>'THAM_SO_MOI'!$C$12*I3588</f>
        <v>1130.112</v>
      </c>
      <c r="O3588" s="75">
        <f>M3588+N3588</f>
        <v>2130.213577998654</v>
      </c>
      <c r="P3588" s="75">
        <f>(MIN(L3588,'THAM_SO_MOI'!$C$41)-O3588)/('THAM_SO_MOI'!$C$11*H3588)</f>
        <v>0.1883808110251968</v>
      </c>
      <c r="Q3588" s="75">
        <f>IF(P3588&gt;0,1/P3588,NA())</f>
        <v>5.308396298741093</v>
      </c>
      <c r="R3588" s="75">
        <f>F3588-F3587</f>
        <v>0.0073885545698715305</v>
      </c>
      <c r="S3588" s="75">
        <f>0.5*(Q3587+Q3588)*R3588</f>
        <v>0.03921416624370644</v>
      </c>
      <c r="T3588" s="75">
        <f>0.5*(F3587*Q3587+F3588*Q3588)*R3588</f>
        <v>0.7249621736242927</v>
      </c>
      <c r="U3588" s="76">
        <f>U3587+S3588</f>
        <v>39.49209627978098</v>
      </c>
      <c r="V3588" s="76">
        <f>V3587+T3588</f>
        <v>475.7123317736663</v>
      </c>
    </row>
    <row r="3589" spans="1:22" ht="19" customHeight="1">
      <c r="A3589" s="68" t="s">
        <v>378</v>
      </c>
      <c r="B3589" s="74">
        <v>5</v>
      </c>
      <c r="C3589" s="68" t="s">
        <v>363</v>
      </c>
      <c r="D3589" s="68" t="s">
        <v>364</v>
      </c>
      <c r="E3589" s="75">
        <f>60*F3589*'THAM_SO_MOI'!$C$53/(2*PI()*'THAM_SO_MOI'!$C$26)</f>
        <v>1822.572713076052</v>
      </c>
      <c r="F3589" s="75">
        <f>'HANH_TRINH'!$F$3289+('THAM_SO_MOI'!$C$14-'HANH_TRINH'!$F$3289)*299/'THAM_SO_MOI'!$C$42</f>
        <v>18.498334160494117</v>
      </c>
      <c r="G3589" s="75">
        <f>3.6*F3589</f>
        <v>66.59400297777883</v>
      </c>
      <c r="H3589" s="75">
        <f>'THAM_SO_MOI'!$D$53</f>
        <v>1.1</v>
      </c>
      <c r="I3589" s="75">
        <f>IF(F3589&gt;'THAM_SO_MOI'!$C$14,'THAM_SO_MOI'!$C$13*(1+F3589^2/1500),'THAM_SO_MOI'!$C$13)</f>
        <v>0.015</v>
      </c>
      <c r="J3589" s="75">
        <f>'THAM_SO_MOI'!$C$40*('THAM_SO_MOI'!$C$23*(E3589/'THAM_SO_MOI'!$C$22)+'THAM_SO_MOI'!$C$24*(E3589/'THAM_SO_MOI'!$C$22)^2-'THAM_SO_MOI'!$C$25*(E3589/'THAM_SO_MOI'!$C$22)^3)</f>
        <v>80.98278846854578</v>
      </c>
      <c r="K3589" s="75">
        <f>'THAM_SO_MOI'!$C$31*J3589/E3589</f>
        <v>424.3861295091022</v>
      </c>
      <c r="L3589" s="75">
        <f>K3589*'THAM_SO_MOI'!$C$53*'THAM_SO_MOI'!$C$17/'THAM_SO_MOI'!$C$26</f>
        <v>3721.868016404407</v>
      </c>
      <c r="M3589" s="75">
        <f>'THAM_SO_MOI'!$C$15*'THAM_SO_MOI'!$C$16*F3589^2</f>
        <v>1000.9009726364131</v>
      </c>
      <c r="N3589" s="75">
        <f>'THAM_SO_MOI'!$C$12*I3589</f>
        <v>1130.112</v>
      </c>
      <c r="O3589" s="75">
        <f>M3589+N3589</f>
        <v>2131.012972636413</v>
      </c>
      <c r="P3589" s="75">
        <f>(MIN(L3589,'THAM_SO_MOI'!$C$41)-O3589)/('THAM_SO_MOI'!$C$11*H3589)</f>
        <v>0.18831143983996143</v>
      </c>
      <c r="Q3589" s="75">
        <f>IF(P3589&gt;0,1/P3589,NA())</f>
        <v>5.310351834439061</v>
      </c>
      <c r="R3589" s="75">
        <f>F3589-F3588</f>
        <v>0.0073885545698715305</v>
      </c>
      <c r="S3589" s="75">
        <f>0.5*(Q3588+Q3589)*R3589</f>
        <v>0.03922860002286151</v>
      </c>
      <c r="T3589" s="75">
        <f>0.5*(F3588*Q3588+F3589*Q3589)*R3589</f>
        <v>0.7255188572338096</v>
      </c>
      <c r="U3589" s="76">
        <f>U3588+S3589</f>
        <v>39.53132487980384</v>
      </c>
      <c r="V3589" s="76">
        <f>V3588+T3589</f>
        <v>476.4378506309001</v>
      </c>
    </row>
    <row r="3590" spans="1:22" ht="19" customHeight="1">
      <c r="A3590" s="68" t="s">
        <v>378</v>
      </c>
      <c r="B3590" s="74">
        <v>5</v>
      </c>
      <c r="C3590" s="68" t="s">
        <v>363</v>
      </c>
      <c r="D3590" s="68" t="s">
        <v>364</v>
      </c>
      <c r="E3590" s="75">
        <f>60*F3590*'THAM_SO_MOI'!$C$53/(2*PI()*'THAM_SO_MOI'!$C$26)</f>
        <v>1823.3006801368304</v>
      </c>
      <c r="F3590" s="75">
        <f>'HANH_TRINH'!$F$3289+('THAM_SO_MOI'!$C$14-'HANH_TRINH'!$F$3289)*300/'THAM_SO_MOI'!$C$42</f>
        <v>18.50572271506399</v>
      </c>
      <c r="G3590" s="75">
        <f>3.6*F3590</f>
        <v>66.62060177423037</v>
      </c>
      <c r="H3590" s="75">
        <f>'THAM_SO_MOI'!$D$53</f>
        <v>1.1</v>
      </c>
      <c r="I3590" s="75">
        <f>IF(F3590&gt;'THAM_SO_MOI'!$C$14,'THAM_SO_MOI'!$C$13*(1+F3590^2/1500),'THAM_SO_MOI'!$C$13)</f>
        <v>0.015</v>
      </c>
      <c r="J3590" s="75">
        <f>'THAM_SO_MOI'!$C$40*('THAM_SO_MOI'!$C$23*(E3590/'THAM_SO_MOI'!$C$22)+'THAM_SO_MOI'!$C$24*(E3590/'THAM_SO_MOI'!$C$22)^2-'THAM_SO_MOI'!$C$25*(E3590/'THAM_SO_MOI'!$C$22)^3)</f>
        <v>81.01976857218874</v>
      </c>
      <c r="K3590" s="75">
        <f>'THAM_SO_MOI'!$C$31*J3590/E3590</f>
        <v>424.41040498105724</v>
      </c>
      <c r="L3590" s="75">
        <f>K3590*'THAM_SO_MOI'!$C$53*'THAM_SO_MOI'!$C$17/'THAM_SO_MOI'!$C$26</f>
        <v>3722.080912388442</v>
      </c>
      <c r="M3590" s="75">
        <f>'THAM_SO_MOI'!$C$15*'THAM_SO_MOI'!$C$16*F3590^2</f>
        <v>1001.7006866299934</v>
      </c>
      <c r="N3590" s="75">
        <f>'THAM_SO_MOI'!$C$12*I3590</f>
        <v>1130.112</v>
      </c>
      <c r="O3590" s="75">
        <f>M3590+N3590</f>
        <v>2131.8126866299936</v>
      </c>
      <c r="P3590" s="75">
        <f>(MIN(L3590,'THAM_SO_MOI'!$C$41)-O3590)/('THAM_SO_MOI'!$C$11*H3590)</f>
        <v>0.18824197748087693</v>
      </c>
      <c r="Q3590" s="75">
        <f>IF(P3590&gt;0,1/P3590,NA())</f>
        <v>5.312311384433834</v>
      </c>
      <c r="R3590" s="75">
        <f>F3590-F3589</f>
        <v>0.0073885545698715305</v>
      </c>
      <c r="S3590" s="75">
        <f>0.5*(Q3589+Q3590)*R3590</f>
        <v>0.03924306343500477</v>
      </c>
      <c r="T3590" s="75">
        <f>0.5*(F3589*Q3589+F3590*Q3590)*R3590</f>
        <v>0.7260763024033461</v>
      </c>
      <c r="U3590" s="76">
        <f>U3589+S3590</f>
        <v>39.57056794323884</v>
      </c>
      <c r="V3590" s="76">
        <f>V3589+T3590</f>
        <v>477.1639269333034</v>
      </c>
    </row>
    <row r="3591" spans="1:22" ht="19" customHeight="1">
      <c r="A3591" s="68" t="s">
        <v>378</v>
      </c>
      <c r="B3591" s="74">
        <v>5</v>
      </c>
      <c r="C3591" s="68" t="s">
        <v>363</v>
      </c>
      <c r="D3591" s="68" t="s">
        <v>364</v>
      </c>
      <c r="E3591" s="75">
        <f>60*F3591*'THAM_SO_MOI'!$C$53/(2*PI()*'THAM_SO_MOI'!$C$26)</f>
        <v>1824.0286471976096</v>
      </c>
      <c r="F3591" s="75">
        <f>'HANH_TRINH'!$F$3289+('THAM_SO_MOI'!$C$14-'HANH_TRINH'!$F$3289)*301/'THAM_SO_MOI'!$C$42</f>
        <v>18.51311126963386</v>
      </c>
      <c r="G3591" s="75">
        <f>3.6*F3591</f>
        <v>66.6472005706819</v>
      </c>
      <c r="H3591" s="75">
        <f>'THAM_SO_MOI'!$D$53</f>
        <v>1.1</v>
      </c>
      <c r="I3591" s="75">
        <f>IF(F3591&gt;'THAM_SO_MOI'!$C$14,'THAM_SO_MOI'!$C$13*(1+F3591^2/1500),'THAM_SO_MOI'!$C$13)</f>
        <v>0.015</v>
      </c>
      <c r="J3591" s="75">
        <f>'THAM_SO_MOI'!$C$40*('THAM_SO_MOI'!$C$23*(E3591/'THAM_SO_MOI'!$C$22)+'THAM_SO_MOI'!$C$24*(E3591/'THAM_SO_MOI'!$C$22)^2-'THAM_SO_MOI'!$C$25*(E3591/'THAM_SO_MOI'!$C$22)^3)</f>
        <v>81.05674255790336</v>
      </c>
      <c r="K3591" s="75">
        <f>'THAM_SO_MOI'!$C$31*J3591/E3591</f>
        <v>424.43462904130683</v>
      </c>
      <c r="L3591" s="75">
        <f>K3591*'THAM_SO_MOI'!$C$53*'THAM_SO_MOI'!$C$17/'THAM_SO_MOI'!$C$26</f>
        <v>3722.293357491619</v>
      </c>
      <c r="M3591" s="75">
        <f>'THAM_SO_MOI'!$C$15*'THAM_SO_MOI'!$C$16*F3591^2</f>
        <v>1002.5007199793946</v>
      </c>
      <c r="N3591" s="75">
        <f>'THAM_SO_MOI'!$C$12*I3591</f>
        <v>1130.112</v>
      </c>
      <c r="O3591" s="75">
        <f>M3591+N3591</f>
        <v>2132.6127199793946</v>
      </c>
      <c r="P3591" s="75">
        <f>(MIN(L3591,'THAM_SO_MOI'!$C$41)-O3591)/('THAM_SO_MOI'!$C$11*H3591)</f>
        <v>0.18817242394794326</v>
      </c>
      <c r="Q3591" s="75">
        <f>IF(P3591&gt;0,1/P3591,NA())</f>
        <v>5.314274956019293</v>
      </c>
      <c r="R3591" s="75">
        <f>F3591-F3590</f>
        <v>0.0073885545698715305</v>
      </c>
      <c r="S3591" s="75">
        <f>0.5*(Q3590+Q3591)*R3591</f>
        <v>0.039257556533944665</v>
      </c>
      <c r="T3591" s="75">
        <f>0.5*(F3590*Q3590+F3591*Q3591)*R3591</f>
        <v>0.7266345107856997</v>
      </c>
      <c r="U3591" s="76">
        <f>U3590+S3591</f>
        <v>39.60982549977279</v>
      </c>
      <c r="V3591" s="76">
        <f>V3590+T3591</f>
        <v>477.8905614440891</v>
      </c>
    </row>
    <row r="3592" spans="1:22" ht="19" customHeight="1">
      <c r="A3592" s="68" t="s">
        <v>378</v>
      </c>
      <c r="B3592" s="74">
        <v>5</v>
      </c>
      <c r="C3592" s="68" t="s">
        <v>363</v>
      </c>
      <c r="D3592" s="68" t="s">
        <v>364</v>
      </c>
      <c r="E3592" s="75">
        <f>60*F3592*'THAM_SO_MOI'!$C$53/(2*PI()*'THAM_SO_MOI'!$C$26)</f>
        <v>1824.7566142583885</v>
      </c>
      <c r="F3592" s="75">
        <f>'HANH_TRINH'!$F$3289+('THAM_SO_MOI'!$C$14-'HANH_TRINH'!$F$3289)*302/'THAM_SO_MOI'!$C$42</f>
        <v>18.520499824203732</v>
      </c>
      <c r="G3592" s="75">
        <f>3.6*F3592</f>
        <v>66.67379936713344</v>
      </c>
      <c r="H3592" s="75">
        <f>'THAM_SO_MOI'!$D$53</f>
        <v>1.1</v>
      </c>
      <c r="I3592" s="75">
        <f>IF(F3592&gt;'THAM_SO_MOI'!$C$14,'THAM_SO_MOI'!$C$13*(1+F3592^2/1500),'THAM_SO_MOI'!$C$13)</f>
        <v>0.015</v>
      </c>
      <c r="J3592" s="75">
        <f>'THAM_SO_MOI'!$C$40*('THAM_SO_MOI'!$C$23*(E3592/'THAM_SO_MOI'!$C$22)+'THAM_SO_MOI'!$C$24*(E3592/'THAM_SO_MOI'!$C$22)^2-'THAM_SO_MOI'!$C$25*(E3592/'THAM_SO_MOI'!$C$22)^3)</f>
        <v>81.09371041393408</v>
      </c>
      <c r="K3592" s="75">
        <f>'THAM_SO_MOI'!$C$31*J3592/E3592</f>
        <v>424.4588016898508</v>
      </c>
      <c r="L3592" s="75">
        <f>K3592*'THAM_SO_MOI'!$C$53*'THAM_SO_MOI'!$C$17/'THAM_SO_MOI'!$C$26</f>
        <v>3722.5053517139368</v>
      </c>
      <c r="M3592" s="75">
        <f>'THAM_SO_MOI'!$C$15*'THAM_SO_MOI'!$C$16*F3592^2</f>
        <v>1003.3010726846167</v>
      </c>
      <c r="N3592" s="75">
        <f>'THAM_SO_MOI'!$C$12*I3592</f>
        <v>1130.112</v>
      </c>
      <c r="O3592" s="75">
        <f>M3592+N3592</f>
        <v>2133.413072684617</v>
      </c>
      <c r="P3592" s="75">
        <f>(MIN(L3592,'THAM_SO_MOI'!$C$41)-O3592)/('THAM_SO_MOI'!$C$11*H3592)</f>
        <v>0.18810277924116</v>
      </c>
      <c r="Q3592" s="75">
        <f>IF(P3592&gt;0,1/P3592,NA())</f>
        <v>5.3162425565118046</v>
      </c>
      <c r="R3592" s="75">
        <f>F3592-F3591</f>
        <v>0.0073885545698715305</v>
      </c>
      <c r="S3592" s="75">
        <f>0.5*(Q3591+Q3592)*R3592</f>
        <v>0.03927207937365549</v>
      </c>
      <c r="T3592" s="75">
        <f>0.5*(F3591*Q3591+F3592*Q3592)*R3592</f>
        <v>0.7271934840383302</v>
      </c>
      <c r="U3592" s="76">
        <f>U3591+S3592</f>
        <v>39.64909757914644</v>
      </c>
      <c r="V3592" s="76">
        <f>V3591+T3592</f>
        <v>478.6177549281274</v>
      </c>
    </row>
    <row r="3593" spans="1:22" ht="19" customHeight="1">
      <c r="A3593" s="68" t="s">
        <v>378</v>
      </c>
      <c r="B3593" s="74">
        <v>5</v>
      </c>
      <c r="C3593" s="68" t="s">
        <v>363</v>
      </c>
      <c r="D3593" s="68" t="s">
        <v>364</v>
      </c>
      <c r="E3593" s="75">
        <f>60*F3593*'THAM_SO_MOI'!$C$53/(2*PI()*'THAM_SO_MOI'!$C$26)</f>
        <v>1825.484581319168</v>
      </c>
      <c r="F3593" s="75">
        <f>'HANH_TRINH'!$F$3289+('THAM_SO_MOI'!$C$14-'HANH_TRINH'!$F$3289)*303/'THAM_SO_MOI'!$C$42</f>
        <v>18.527888378773607</v>
      </c>
      <c r="G3593" s="75">
        <f>3.6*F3593</f>
        <v>66.70039816358499</v>
      </c>
      <c r="H3593" s="75">
        <f>'THAM_SO_MOI'!$D$53</f>
        <v>1.1</v>
      </c>
      <c r="I3593" s="75">
        <f>IF(F3593&gt;'THAM_SO_MOI'!$C$14,'THAM_SO_MOI'!$C$13*(1+F3593^2/1500),'THAM_SO_MOI'!$C$13)</f>
        <v>0.015</v>
      </c>
      <c r="J3593" s="75">
        <f>'THAM_SO_MOI'!$C$40*('THAM_SO_MOI'!$C$23*(E3593/'THAM_SO_MOI'!$C$22)+'THAM_SO_MOI'!$C$24*(E3593/'THAM_SO_MOI'!$C$22)^2-'THAM_SO_MOI'!$C$25*(E3593/'THAM_SO_MOI'!$C$22)^3)</f>
        <v>81.13067212852548</v>
      </c>
      <c r="K3593" s="75">
        <f>'THAM_SO_MOI'!$C$31*J3593/E3593</f>
        <v>424.4829229266895</v>
      </c>
      <c r="L3593" s="75">
        <f>K3593*'THAM_SO_MOI'!$C$53*'THAM_SO_MOI'!$C$17/'THAM_SO_MOI'!$C$26</f>
        <v>3722.7168950553983</v>
      </c>
      <c r="M3593" s="75">
        <f>'THAM_SO_MOI'!$C$15*'THAM_SO_MOI'!$C$16*F3593^2</f>
        <v>1004.1017447456603</v>
      </c>
      <c r="N3593" s="75">
        <f>'THAM_SO_MOI'!$C$12*I3593</f>
        <v>1130.112</v>
      </c>
      <c r="O3593" s="75">
        <f>M3593+N3593</f>
        <v>2134.2137447456603</v>
      </c>
      <c r="P3593" s="75">
        <f>(MIN(L3593,'THAM_SO_MOI'!$C$41)-O3593)/('THAM_SO_MOI'!$C$11*H3593)</f>
        <v>0.1880330433605277</v>
      </c>
      <c r="Q3593" s="75">
        <f>IF(P3593&gt;0,1/P3593,NA())</f>
        <v>5.3182141932502605</v>
      </c>
      <c r="R3593" s="75">
        <f>F3593-F3592</f>
        <v>0.007388554569875083</v>
      </c>
      <c r="S3593" s="75">
        <f>0.5*(Q3592+Q3593)*R3593</f>
        <v>0.03928663200829672</v>
      </c>
      <c r="T3593" s="75">
        <f>0.5*(F3592*Q3592+F3593*Q3593)*R3593</f>
        <v>0.7277532238237224</v>
      </c>
      <c r="U3593" s="76">
        <f>U3592+S3593</f>
        <v>39.68838421115474</v>
      </c>
      <c r="V3593" s="76">
        <f>V3592+T3593</f>
        <v>479.3455081519511</v>
      </c>
    </row>
    <row r="3594" spans="1:22" ht="19" customHeight="1">
      <c r="A3594" s="68" t="s">
        <v>378</v>
      </c>
      <c r="B3594" s="74">
        <v>5</v>
      </c>
      <c r="C3594" s="68" t="s">
        <v>363</v>
      </c>
      <c r="D3594" s="68" t="s">
        <v>364</v>
      </c>
      <c r="E3594" s="75">
        <f>60*F3594*'THAM_SO_MOI'!$C$53/(2*PI()*'THAM_SO_MOI'!$C$26)</f>
        <v>1826.2125483799464</v>
      </c>
      <c r="F3594" s="75">
        <f>'HANH_TRINH'!$F$3289+('THAM_SO_MOI'!$C$14-'HANH_TRINH'!$F$3289)*304/'THAM_SO_MOI'!$C$42</f>
        <v>18.53527693334348</v>
      </c>
      <c r="G3594" s="75">
        <f>3.6*F3594</f>
        <v>66.72699696003653</v>
      </c>
      <c r="H3594" s="75">
        <f>'THAM_SO_MOI'!$D$53</f>
        <v>1.1</v>
      </c>
      <c r="I3594" s="75">
        <f>IF(F3594&gt;'THAM_SO_MOI'!$C$14,'THAM_SO_MOI'!$C$13*(1+F3594^2/1500),'THAM_SO_MOI'!$C$13)</f>
        <v>0.015</v>
      </c>
      <c r="J3594" s="75">
        <f>'THAM_SO_MOI'!$C$40*('THAM_SO_MOI'!$C$23*(E3594/'THAM_SO_MOI'!$C$22)+'THAM_SO_MOI'!$C$24*(E3594/'THAM_SO_MOI'!$C$22)^2-'THAM_SO_MOI'!$C$25*(E3594/'THAM_SO_MOI'!$C$22)^3)</f>
        <v>81.16762768992191</v>
      </c>
      <c r="K3594" s="75">
        <f>'THAM_SO_MOI'!$C$31*J3594/E3594</f>
        <v>424.5069927518228</v>
      </c>
      <c r="L3594" s="75">
        <f>K3594*'THAM_SO_MOI'!$C$53*'THAM_SO_MOI'!$C$17/'THAM_SO_MOI'!$C$26</f>
        <v>3722.9279875160005</v>
      </c>
      <c r="M3594" s="75">
        <f>'THAM_SO_MOI'!$C$15*'THAM_SO_MOI'!$C$16*F3594^2</f>
        <v>1004.9027361625245</v>
      </c>
      <c r="N3594" s="75">
        <f>'THAM_SO_MOI'!$C$12*I3594</f>
        <v>1130.112</v>
      </c>
      <c r="O3594" s="75">
        <f>M3594+N3594</f>
        <v>2135.0147361625245</v>
      </c>
      <c r="P3594" s="75">
        <f>(MIN(L3594,'THAM_SO_MOI'!$C$41)-O3594)/('THAM_SO_MOI'!$C$11*H3594)</f>
        <v>0.18796321630604593</v>
      </c>
      <c r="Q3594" s="75">
        <f>IF(P3594&gt;0,1/P3594,NA())</f>
        <v>5.320189873596212</v>
      </c>
      <c r="R3594" s="75">
        <f>F3594-F3593</f>
        <v>0.0073885545698715305</v>
      </c>
      <c r="S3594" s="75">
        <f>0.5*(Q3593+Q3594)*R3594</f>
        <v>0.039301214492119194</v>
      </c>
      <c r="T3594" s="75">
        <f>0.5*(F3593*Q3593+F3594*Q3594)*R3594</f>
        <v>0.728313731807655</v>
      </c>
      <c r="U3594" s="76">
        <f>U3593+S3594</f>
        <v>39.72768542564686</v>
      </c>
      <c r="V3594" s="76">
        <f>V3593+T3594</f>
        <v>480.07382188375874</v>
      </c>
    </row>
    <row r="3595" spans="1:22" ht="19" customHeight="1">
      <c r="A3595" s="68" t="s">
        <v>378</v>
      </c>
      <c r="B3595" s="74">
        <v>5</v>
      </c>
      <c r="C3595" s="68" t="s">
        <v>363</v>
      </c>
      <c r="D3595" s="68" t="s">
        <v>364</v>
      </c>
      <c r="E3595" s="75">
        <f>60*F3595*'THAM_SO_MOI'!$C$53/(2*PI()*'THAM_SO_MOI'!$C$26)</f>
        <v>1826.9405154407257</v>
      </c>
      <c r="F3595" s="75">
        <f>'HANH_TRINH'!$F$3289+('THAM_SO_MOI'!$C$14-'HANH_TRINH'!$F$3289)*305/'THAM_SO_MOI'!$C$42</f>
        <v>18.54266548791335</v>
      </c>
      <c r="G3595" s="75">
        <f>3.6*F3595</f>
        <v>66.75359575648807</v>
      </c>
      <c r="H3595" s="75">
        <f>'THAM_SO_MOI'!$D$53</f>
        <v>1.1</v>
      </c>
      <c r="I3595" s="75">
        <f>IF(F3595&gt;'THAM_SO_MOI'!$C$14,'THAM_SO_MOI'!$C$13*(1+F3595^2/1500),'THAM_SO_MOI'!$C$13)</f>
        <v>0.015</v>
      </c>
      <c r="J3595" s="75">
        <f>'THAM_SO_MOI'!$C$40*('THAM_SO_MOI'!$C$23*(E3595/'THAM_SO_MOI'!$C$22)+'THAM_SO_MOI'!$C$24*(E3595/'THAM_SO_MOI'!$C$22)^2-'THAM_SO_MOI'!$C$25*(E3595/'THAM_SO_MOI'!$C$22)^3)</f>
        <v>81.20457708636796</v>
      </c>
      <c r="K3595" s="75">
        <f>'THAM_SO_MOI'!$C$31*J3595/E3595</f>
        <v>424.5310111652506</v>
      </c>
      <c r="L3595" s="75">
        <f>K3595*'THAM_SO_MOI'!$C$53*'THAM_SO_MOI'!$C$17/'THAM_SO_MOI'!$C$26</f>
        <v>3723.138629095746</v>
      </c>
      <c r="M3595" s="75">
        <f>'THAM_SO_MOI'!$C$15*'THAM_SO_MOI'!$C$16*F3595^2</f>
        <v>1005.7040469352096</v>
      </c>
      <c r="N3595" s="75">
        <f>'THAM_SO_MOI'!$C$12*I3595</f>
        <v>1130.112</v>
      </c>
      <c r="O3595" s="75">
        <f>M3595+N3595</f>
        <v>2135.8160469352097</v>
      </c>
      <c r="P3595" s="75">
        <f>(MIN(L3595,'THAM_SO_MOI'!$C$41)-O3595)/('THAM_SO_MOI'!$C$11*H3595)</f>
        <v>0.18789329807771502</v>
      </c>
      <c r="Q3595" s="75">
        <f>IF(P3595&gt;0,1/P3595,NA())</f>
        <v>5.3221696049339</v>
      </c>
      <c r="R3595" s="75">
        <f>F3595-F3594</f>
        <v>0.0073885545698715305</v>
      </c>
      <c r="S3595" s="75">
        <f>0.5*(Q3594+Q3595)*R3595</f>
        <v>0.03931582687965463</v>
      </c>
      <c r="T3595" s="75">
        <f>0.5*(F3594*Q3594+F3595*Q3595)*R3595</f>
        <v>0.728875009662717</v>
      </c>
      <c r="U3595" s="76">
        <f>U3594+S3595</f>
        <v>39.76700125252651</v>
      </c>
      <c r="V3595" s="76">
        <f>V3594+T3595</f>
        <v>480.80269689342146</v>
      </c>
    </row>
    <row r="3596" spans="1:22" ht="19" customHeight="1">
      <c r="A3596" s="68" t="s">
        <v>378</v>
      </c>
      <c r="B3596" s="74">
        <v>5</v>
      </c>
      <c r="C3596" s="68" t="s">
        <v>363</v>
      </c>
      <c r="D3596" s="68" t="s">
        <v>364</v>
      </c>
      <c r="E3596" s="75">
        <f>60*F3596*'THAM_SO_MOI'!$C$53/(2*PI()*'THAM_SO_MOI'!$C$26)</f>
        <v>1827.6684825015045</v>
      </c>
      <c r="F3596" s="75">
        <f>'HANH_TRINH'!$F$3289+('THAM_SO_MOI'!$C$14-'HANH_TRINH'!$F$3289)*306/'THAM_SO_MOI'!$C$42</f>
        <v>18.55005404248322</v>
      </c>
      <c r="G3596" s="75">
        <f>3.6*F3596</f>
        <v>66.7801945529396</v>
      </c>
      <c r="H3596" s="75">
        <f>'THAM_SO_MOI'!$D$53</f>
        <v>1.1</v>
      </c>
      <c r="I3596" s="75">
        <f>IF(F3596&gt;'THAM_SO_MOI'!$C$14,'THAM_SO_MOI'!$C$13*(1+F3596^2/1500),'THAM_SO_MOI'!$C$13)</f>
        <v>0.015</v>
      </c>
      <c r="J3596" s="75">
        <f>'THAM_SO_MOI'!$C$40*('THAM_SO_MOI'!$C$23*(E3596/'THAM_SO_MOI'!$C$22)+'THAM_SO_MOI'!$C$24*(E3596/'THAM_SO_MOI'!$C$22)^2-'THAM_SO_MOI'!$C$25*(E3596/'THAM_SO_MOI'!$C$22)^3)</f>
        <v>81.24152030610807</v>
      </c>
      <c r="K3596" s="75">
        <f>'THAM_SO_MOI'!$C$31*J3596/E3596</f>
        <v>424.55497816697306</v>
      </c>
      <c r="L3596" s="75">
        <f>K3596*'THAM_SO_MOI'!$C$53*'THAM_SO_MOI'!$C$17/'THAM_SO_MOI'!$C$26</f>
        <v>3723.348819794634</v>
      </c>
      <c r="M3596" s="75">
        <f>'THAM_SO_MOI'!$C$15*'THAM_SO_MOI'!$C$16*F3596^2</f>
        <v>1006.5056770637159</v>
      </c>
      <c r="N3596" s="75">
        <f>'THAM_SO_MOI'!$C$12*I3596</f>
        <v>1130.112</v>
      </c>
      <c r="O3596" s="75">
        <f>M3596+N3596</f>
        <v>2136.6176770637157</v>
      </c>
      <c r="P3596" s="75">
        <f>(MIN(L3596,'THAM_SO_MOI'!$C$41)-O3596)/('THAM_SO_MOI'!$C$11*H3596)</f>
        <v>0.18782328867553477</v>
      </c>
      <c r="Q3596" s="75">
        <f>IF(P3596&gt;0,1/P3596,NA())</f>
        <v>5.324153394670363</v>
      </c>
      <c r="R3596" s="75">
        <f>F3596-F3595</f>
        <v>0.0073885545698715305</v>
      </c>
      <c r="S3596" s="75">
        <f>0.5*(Q3595+Q3596)*R3596</f>
        <v>0.03933046922552723</v>
      </c>
      <c r="T3596" s="75">
        <f>0.5*(F3595*Q3595+F3596*Q3596)*R3596</f>
        <v>0.7294370590648244</v>
      </c>
      <c r="U3596" s="76">
        <f>U3595+S3596</f>
        <v>39.80633172175204</v>
      </c>
      <c r="V3596" s="76">
        <f>V3595+T3596</f>
        <v>481.5321339524863</v>
      </c>
    </row>
    <row r="3597" spans="1:22" ht="19" customHeight="1">
      <c r="A3597" s="68" t="s">
        <v>378</v>
      </c>
      <c r="B3597" s="74">
        <v>5</v>
      </c>
      <c r="C3597" s="68" t="s">
        <v>363</v>
      </c>
      <c r="D3597" s="68" t="s">
        <v>364</v>
      </c>
      <c r="E3597" s="75">
        <f>60*F3597*'THAM_SO_MOI'!$C$53/(2*PI()*'THAM_SO_MOI'!$C$26)</f>
        <v>1828.3964495622836</v>
      </c>
      <c r="F3597" s="75">
        <f>'HANH_TRINH'!$F$3289+('THAM_SO_MOI'!$C$14-'HANH_TRINH'!$F$3289)*307/'THAM_SO_MOI'!$C$42</f>
        <v>18.557442597053093</v>
      </c>
      <c r="G3597" s="75">
        <f>3.6*F3597</f>
        <v>66.80679334939114</v>
      </c>
      <c r="H3597" s="75">
        <f>'THAM_SO_MOI'!$D$53</f>
        <v>1.1</v>
      </c>
      <c r="I3597" s="75">
        <f>IF(F3597&gt;'THAM_SO_MOI'!$C$14,'THAM_SO_MOI'!$C$13*(1+F3597^2/1500),'THAM_SO_MOI'!$C$13)</f>
        <v>0.015</v>
      </c>
      <c r="J3597" s="75">
        <f>'THAM_SO_MOI'!$C$40*('THAM_SO_MOI'!$C$23*(E3597/'THAM_SO_MOI'!$C$22)+'THAM_SO_MOI'!$C$24*(E3597/'THAM_SO_MOI'!$C$22)^2-'THAM_SO_MOI'!$C$25*(E3597/'THAM_SO_MOI'!$C$22)^3)</f>
        <v>81.27845733738674</v>
      </c>
      <c r="K3597" s="75">
        <f>'THAM_SO_MOI'!$C$31*J3597/E3597</f>
        <v>424.57889375699</v>
      </c>
      <c r="L3597" s="75">
        <f>K3597*'THAM_SO_MOI'!$C$53*'THAM_SO_MOI'!$C$17/'THAM_SO_MOI'!$C$26</f>
        <v>3723.5585596126634</v>
      </c>
      <c r="M3597" s="75">
        <f>'THAM_SO_MOI'!$C$15*'THAM_SO_MOI'!$C$16*F3597^2</f>
        <v>1007.307626548043</v>
      </c>
      <c r="N3597" s="75">
        <f>'THAM_SO_MOI'!$C$12*I3597</f>
        <v>1130.112</v>
      </c>
      <c r="O3597" s="75">
        <f>M3597+N3597</f>
        <v>2137.419626548043</v>
      </c>
      <c r="P3597" s="75">
        <f>(MIN(L3597,'THAM_SO_MOI'!$C$41)-O3597)/('THAM_SO_MOI'!$C$11*H3597)</f>
        <v>0.18775318809950522</v>
      </c>
      <c r="Q3597" s="75">
        <f>IF(P3597&gt;0,1/P3597,NA())</f>
        <v>5.3261412502355014</v>
      </c>
      <c r="R3597" s="75">
        <f>F3597-F3596</f>
        <v>0.0073885545698715305</v>
      </c>
      <c r="S3597" s="75">
        <f>0.5*(Q3596+Q3597)*R3597</f>
        <v>0.03934514158454876</v>
      </c>
      <c r="T3597" s="75">
        <f>0.5*(F3596*Q3596+F3597*Q3597)*R3597</f>
        <v>0.7299998816949876</v>
      </c>
      <c r="U3597" s="76">
        <f>U3596+S3597</f>
        <v>39.845676863336585</v>
      </c>
      <c r="V3597" s="76">
        <f>V3596+T3597</f>
        <v>482.26213383418127</v>
      </c>
    </row>
    <row r="3598" spans="1:22" ht="19" customHeight="1">
      <c r="A3598" s="68" t="s">
        <v>378</v>
      </c>
      <c r="B3598" s="74">
        <v>5</v>
      </c>
      <c r="C3598" s="68" t="s">
        <v>363</v>
      </c>
      <c r="D3598" s="68" t="s">
        <v>364</v>
      </c>
      <c r="E3598" s="75">
        <f>60*F3598*'THAM_SO_MOI'!$C$53/(2*PI()*'THAM_SO_MOI'!$C$26)</f>
        <v>1829.1244166230622</v>
      </c>
      <c r="F3598" s="75">
        <f>'HANH_TRINH'!$F$3289+('THAM_SO_MOI'!$C$14-'HANH_TRINH'!$F$3289)*308/'THAM_SO_MOI'!$C$42</f>
        <v>18.564831151622965</v>
      </c>
      <c r="G3598" s="75">
        <f>3.6*F3598</f>
        <v>66.83339214584268</v>
      </c>
      <c r="H3598" s="75">
        <f>'THAM_SO_MOI'!$D$53</f>
        <v>1.1</v>
      </c>
      <c r="I3598" s="75">
        <f>IF(F3598&gt;'THAM_SO_MOI'!$C$14,'THAM_SO_MOI'!$C$13*(1+F3598^2/1500),'THAM_SO_MOI'!$C$13)</f>
        <v>0.015</v>
      </c>
      <c r="J3598" s="75">
        <f>'THAM_SO_MOI'!$C$40*('THAM_SO_MOI'!$C$23*(E3598/'THAM_SO_MOI'!$C$22)+'THAM_SO_MOI'!$C$24*(E3598/'THAM_SO_MOI'!$C$22)^2-'THAM_SO_MOI'!$C$25*(E3598/'THAM_SO_MOI'!$C$22)^3)</f>
        <v>81.31538816844842</v>
      </c>
      <c r="K3598" s="75">
        <f>'THAM_SO_MOI'!$C$31*J3598/E3598</f>
        <v>424.60275793530144</v>
      </c>
      <c r="L3598" s="75">
        <f>K3598*'THAM_SO_MOI'!$C$53*'THAM_SO_MOI'!$C$17/'THAM_SO_MOI'!$C$26</f>
        <v>3723.767848549835</v>
      </c>
      <c r="M3598" s="75">
        <f>'THAM_SO_MOI'!$C$15*'THAM_SO_MOI'!$C$16*F3598^2</f>
        <v>1008.1098953881913</v>
      </c>
      <c r="N3598" s="75">
        <f>'THAM_SO_MOI'!$C$12*I3598</f>
        <v>1130.112</v>
      </c>
      <c r="O3598" s="75">
        <f>M3598+N3598</f>
        <v>2138.221895388191</v>
      </c>
      <c r="P3598" s="75">
        <f>(MIN(L3598,'THAM_SO_MOI'!$C$41)-O3598)/('THAM_SO_MOI'!$C$11*H3598)</f>
        <v>0.18768299634962635</v>
      </c>
      <c r="Q3598" s="75">
        <f>IF(P3598&gt;0,1/P3598,NA())</f>
        <v>5.32813317908216</v>
      </c>
      <c r="R3598" s="75">
        <f>F3598-F3597</f>
        <v>0.0073885545698715305</v>
      </c>
      <c r="S3598" s="75">
        <f>0.5*(Q3597+Q3598)*R3598</f>
        <v>0.0393598440117002</v>
      </c>
      <c r="T3598" s="75">
        <f>0.5*(F3597*Q3597+F3598*Q3598)*R3598</f>
        <v>0.7305634792389782</v>
      </c>
      <c r="U3598" s="76">
        <f>U3597+S3598</f>
        <v>39.885036707348284</v>
      </c>
      <c r="V3598" s="76">
        <f>V3597+T3598</f>
        <v>482.99269731342025</v>
      </c>
    </row>
    <row r="3599" spans="1:22" ht="19" customHeight="1">
      <c r="A3599" s="68" t="s">
        <v>378</v>
      </c>
      <c r="B3599" s="74">
        <v>5</v>
      </c>
      <c r="C3599" s="68" t="s">
        <v>363</v>
      </c>
      <c r="D3599" s="68" t="s">
        <v>364</v>
      </c>
      <c r="E3599" s="75">
        <f>60*F3599*'THAM_SO_MOI'!$C$53/(2*PI()*'THAM_SO_MOI'!$C$26)</f>
        <v>1829.8523836838413</v>
      </c>
      <c r="F3599" s="75">
        <f>'HANH_TRINH'!$F$3289+('THAM_SO_MOI'!$C$14-'HANH_TRINH'!$F$3289)*309/'THAM_SO_MOI'!$C$42</f>
        <v>18.57221970619284</v>
      </c>
      <c r="G3599" s="75">
        <f>3.6*F3599</f>
        <v>66.85999094229423</v>
      </c>
      <c r="H3599" s="75">
        <f>'THAM_SO_MOI'!$D$53</f>
        <v>1.1</v>
      </c>
      <c r="I3599" s="75">
        <f>IF(F3599&gt;'THAM_SO_MOI'!$C$14,'THAM_SO_MOI'!$C$13*(1+F3599^2/1500),'THAM_SO_MOI'!$C$13)</f>
        <v>0.015</v>
      </c>
      <c r="J3599" s="75">
        <f>'THAM_SO_MOI'!$C$40*('THAM_SO_MOI'!$C$23*(E3599/'THAM_SO_MOI'!$C$22)+'THAM_SO_MOI'!$C$24*(E3599/'THAM_SO_MOI'!$C$22)^2-'THAM_SO_MOI'!$C$25*(E3599/'THAM_SO_MOI'!$C$22)^3)</f>
        <v>81.35231278753764</v>
      </c>
      <c r="K3599" s="75">
        <f>'THAM_SO_MOI'!$C$31*J3599/E3599</f>
        <v>424.62657070190755</v>
      </c>
      <c r="L3599" s="75">
        <f>K3599*'THAM_SO_MOI'!$C$53*'THAM_SO_MOI'!$C$17/'THAM_SO_MOI'!$C$26</f>
        <v>3723.9766866061486</v>
      </c>
      <c r="M3599" s="75">
        <f>'THAM_SO_MOI'!$C$15*'THAM_SO_MOI'!$C$16*F3599^2</f>
        <v>1008.9124835841608</v>
      </c>
      <c r="N3599" s="75">
        <f>'THAM_SO_MOI'!$C$12*I3599</f>
        <v>1130.112</v>
      </c>
      <c r="O3599" s="75">
        <f>M3599+N3599</f>
        <v>2139.024483584161</v>
      </c>
      <c r="P3599" s="75">
        <f>(MIN(L3599,'THAM_SO_MOI'!$C$41)-O3599)/('THAM_SO_MOI'!$C$11*H3599)</f>
        <v>0.18761271342589816</v>
      </c>
      <c r="Q3599" s="75">
        <f>IF(P3599&gt;0,1/P3599,NA())</f>
        <v>5.330129188686205</v>
      </c>
      <c r="R3599" s="75">
        <f>F3599-F3598</f>
        <v>0.007388554569875083</v>
      </c>
      <c r="S3599" s="75">
        <f>0.5*(Q3598+Q3599)*R3599</f>
        <v>0.03937457656215129</v>
      </c>
      <c r="T3599" s="75">
        <f>0.5*(F3598*Q3598+F3599*Q3599)*R3599</f>
        <v>0.7311278533876969</v>
      </c>
      <c r="U3599" s="76">
        <f>U3598+S3599</f>
        <v>39.92441128391044</v>
      </c>
      <c r="V3599" s="76">
        <f>V3598+T3599</f>
        <v>483.72382516680796</v>
      </c>
    </row>
    <row r="3600" spans="1:22" ht="19" customHeight="1">
      <c r="A3600" s="68" t="s">
        <v>378</v>
      </c>
      <c r="B3600" s="74">
        <v>5</v>
      </c>
      <c r="C3600" s="68" t="s">
        <v>363</v>
      </c>
      <c r="D3600" s="68" t="s">
        <v>364</v>
      </c>
      <c r="E3600" s="75">
        <f>60*F3600*'THAM_SO_MOI'!$C$53/(2*PI()*'THAM_SO_MOI'!$C$26)</f>
        <v>1830.5803507446205</v>
      </c>
      <c r="F3600" s="75">
        <f>'HANH_TRINH'!$F$3289+('THAM_SO_MOI'!$C$14-'HANH_TRINH'!$F$3289)*310/'THAM_SO_MOI'!$C$42</f>
        <v>18.57960826076271</v>
      </c>
      <c r="G3600" s="75">
        <f>3.6*F3600</f>
        <v>66.88658973874577</v>
      </c>
      <c r="H3600" s="75">
        <f>'THAM_SO_MOI'!$D$53</f>
        <v>1.1</v>
      </c>
      <c r="I3600" s="75">
        <f>IF(F3600&gt;'THAM_SO_MOI'!$C$14,'THAM_SO_MOI'!$C$13*(1+F3600^2/1500),'THAM_SO_MOI'!$C$13)</f>
        <v>0.015</v>
      </c>
      <c r="J3600" s="75">
        <f>'THAM_SO_MOI'!$C$40*('THAM_SO_MOI'!$C$23*(E3600/'THAM_SO_MOI'!$C$22)+'THAM_SO_MOI'!$C$24*(E3600/'THAM_SO_MOI'!$C$22)^2-'THAM_SO_MOI'!$C$25*(E3600/'THAM_SO_MOI'!$C$22)^3)</f>
        <v>81.38923118289888</v>
      </c>
      <c r="K3600" s="75">
        <f>'THAM_SO_MOI'!$C$31*J3600/E3600</f>
        <v>424.65033205680817</v>
      </c>
      <c r="L3600" s="75">
        <f>K3600*'THAM_SO_MOI'!$C$53*'THAM_SO_MOI'!$C$17/'THAM_SO_MOI'!$C$26</f>
        <v>3724.185073781605</v>
      </c>
      <c r="M3600" s="75">
        <f>'THAM_SO_MOI'!$C$15*'THAM_SO_MOI'!$C$16*F3600^2</f>
        <v>1009.7153911359509</v>
      </c>
      <c r="N3600" s="75">
        <f>'THAM_SO_MOI'!$C$12*I3600</f>
        <v>1130.112</v>
      </c>
      <c r="O3600" s="75">
        <f>M3600+N3600</f>
        <v>2139.827391135951</v>
      </c>
      <c r="P3600" s="75">
        <f>(MIN(L3600,'THAM_SO_MOI'!$C$41)-O3600)/('THAM_SO_MOI'!$C$11*H3600)</f>
        <v>0.18754233932832076</v>
      </c>
      <c r="Q3600" s="75">
        <f>IF(P3600&gt;0,1/P3600,NA())</f>
        <v>5.3321292865466035</v>
      </c>
      <c r="R3600" s="75">
        <f>F3600-F3599</f>
        <v>0.0073885545698715305</v>
      </c>
      <c r="S3600" s="75">
        <f>0.5*(Q3599+Q3600)*R3600</f>
        <v>0.039389339291166406</v>
      </c>
      <c r="T3600" s="75">
        <f>0.5*(F3599*Q3599+F3600*Q3600)*R3600</f>
        <v>0.7316930058354336</v>
      </c>
      <c r="U3600" s="76">
        <f>U3599+S3600</f>
        <v>39.96380062320161</v>
      </c>
      <c r="V3600" s="76">
        <f>V3599+T3600</f>
        <v>484.4555181726434</v>
      </c>
    </row>
    <row r="3601" spans="1:22" ht="19" customHeight="1">
      <c r="A3601" s="68" t="s">
        <v>378</v>
      </c>
      <c r="B3601" s="74">
        <v>5</v>
      </c>
      <c r="C3601" s="68" t="s">
        <v>363</v>
      </c>
      <c r="D3601" s="68" t="s">
        <v>364</v>
      </c>
      <c r="E3601" s="75">
        <f>60*F3601*'THAM_SO_MOI'!$C$53/(2*PI()*'THAM_SO_MOI'!$C$26)</f>
        <v>1831.3083178053996</v>
      </c>
      <c r="F3601" s="75">
        <f>'HANH_TRINH'!$F$3289+('THAM_SO_MOI'!$C$14-'HANH_TRINH'!$F$3289)*311/'THAM_SO_MOI'!$C$42</f>
        <v>18.586996815332583</v>
      </c>
      <c r="G3601" s="75">
        <f>3.6*F3601</f>
        <v>66.9131885351973</v>
      </c>
      <c r="H3601" s="75">
        <f>'THAM_SO_MOI'!$D$53</f>
        <v>1.1</v>
      </c>
      <c r="I3601" s="75">
        <f>IF(F3601&gt;'THAM_SO_MOI'!$C$14,'THAM_SO_MOI'!$C$13*(1+F3601^2/1500),'THAM_SO_MOI'!$C$13)</f>
        <v>0.015</v>
      </c>
      <c r="J3601" s="75">
        <f>'THAM_SO_MOI'!$C$40*('THAM_SO_MOI'!$C$23*(E3601/'THAM_SO_MOI'!$C$22)+'THAM_SO_MOI'!$C$24*(E3601/'THAM_SO_MOI'!$C$22)^2-'THAM_SO_MOI'!$C$25*(E3601/'THAM_SO_MOI'!$C$22)^3)</f>
        <v>81.42614334277664</v>
      </c>
      <c r="K3601" s="75">
        <f>'THAM_SO_MOI'!$C$31*J3601/E3601</f>
        <v>424.67404200000357</v>
      </c>
      <c r="L3601" s="75">
        <f>K3601*'THAM_SO_MOI'!$C$53*'THAM_SO_MOI'!$C$17/'THAM_SO_MOI'!$C$26</f>
        <v>3724.3930100762045</v>
      </c>
      <c r="M3601" s="75">
        <f>'THAM_SO_MOI'!$C$15*'THAM_SO_MOI'!$C$16*F3601^2</f>
        <v>1010.5186180435621</v>
      </c>
      <c r="N3601" s="75">
        <f>'THAM_SO_MOI'!$C$12*I3601</f>
        <v>1130.112</v>
      </c>
      <c r="O3601" s="75">
        <f>M3601+N3601</f>
        <v>2140.630618043562</v>
      </c>
      <c r="P3601" s="75">
        <f>(MIN(L3601,'THAM_SO_MOI'!$C$41)-O3601)/('THAM_SO_MOI'!$C$11*H3601)</f>
        <v>0.18747187405689422</v>
      </c>
      <c r="Q3601" s="75">
        <f>IF(P3601&gt;0,1/P3601,NA())</f>
        <v>5.334133480185506</v>
      </c>
      <c r="R3601" s="75">
        <f>F3601-F3600</f>
        <v>0.0073885545698715305</v>
      </c>
      <c r="S3601" s="75">
        <f>0.5*(Q3600+Q3601)*R3601</f>
        <v>0.039404132254294545</v>
      </c>
      <c r="T3601" s="75">
        <f>0.5*(F3600*Q3600+F3601*Q3601)*R3601</f>
        <v>0.7322589382833996</v>
      </c>
      <c r="U3601" s="76">
        <f>U3600+S3601</f>
        <v>40.003204755455904</v>
      </c>
      <c r="V3601" s="76">
        <f>V3600+T3601</f>
        <v>485.1877771109268</v>
      </c>
    </row>
    <row r="3602" spans="1:22" ht="19" customHeight="1">
      <c r="A3602" s="68" t="s">
        <v>378</v>
      </c>
      <c r="B3602" s="74">
        <v>5</v>
      </c>
      <c r="C3602" s="68" t="s">
        <v>363</v>
      </c>
      <c r="D3602" s="68" t="s">
        <v>364</v>
      </c>
      <c r="E3602" s="75">
        <f>60*F3602*'THAM_SO_MOI'!$C$53/(2*PI()*'THAM_SO_MOI'!$C$26)</f>
        <v>1832.0362848661782</v>
      </c>
      <c r="F3602" s="75">
        <f>'HANH_TRINH'!$F$3289+('THAM_SO_MOI'!$C$14-'HANH_TRINH'!$F$3289)*312/'THAM_SO_MOI'!$C$42</f>
        <v>18.594385369902454</v>
      </c>
      <c r="G3602" s="75">
        <f>3.6*F3602</f>
        <v>66.93978733164884</v>
      </c>
      <c r="H3602" s="75">
        <f>'THAM_SO_MOI'!$D$53</f>
        <v>1.1</v>
      </c>
      <c r="I3602" s="75">
        <f>IF(F3602&gt;'THAM_SO_MOI'!$C$14,'THAM_SO_MOI'!$C$13*(1+F3602^2/1500),'THAM_SO_MOI'!$C$13)</f>
        <v>0.015</v>
      </c>
      <c r="J3602" s="75">
        <f>'THAM_SO_MOI'!$C$40*('THAM_SO_MOI'!$C$23*(E3602/'THAM_SO_MOI'!$C$22)+'THAM_SO_MOI'!$C$24*(E3602/'THAM_SO_MOI'!$C$22)^2-'THAM_SO_MOI'!$C$25*(E3602/'THAM_SO_MOI'!$C$22)^3)</f>
        <v>81.4630492554153</v>
      </c>
      <c r="K3602" s="75">
        <f>'THAM_SO_MOI'!$C$31*J3602/E3602</f>
        <v>424.69770053149324</v>
      </c>
      <c r="L3602" s="75">
        <f>K3602*'THAM_SO_MOI'!$C$53*'THAM_SO_MOI'!$C$17/'THAM_SO_MOI'!$C$26</f>
        <v>3724.600495489944</v>
      </c>
      <c r="M3602" s="75">
        <f>'THAM_SO_MOI'!$C$15*'THAM_SO_MOI'!$C$16*F3602^2</f>
        <v>1011.3221643069942</v>
      </c>
      <c r="N3602" s="75">
        <f>'THAM_SO_MOI'!$C$12*I3602</f>
        <v>1130.112</v>
      </c>
      <c r="O3602" s="75">
        <f>M3602+N3602</f>
        <v>2141.4341643069943</v>
      </c>
      <c r="P3602" s="75">
        <f>(MIN(L3602,'THAM_SO_MOI'!$C$41)-O3602)/('THAM_SO_MOI'!$C$11*H3602)</f>
        <v>0.1874013176116181</v>
      </c>
      <c r="Q3602" s="75">
        <f>IF(P3602&gt;0,1/P3602,NA())</f>
        <v>5.336141777148338</v>
      </c>
      <c r="R3602" s="75">
        <f>F3602-F3601</f>
        <v>0.0073885545698715305</v>
      </c>
      <c r="S3602" s="75">
        <f>0.5*(Q3601+Q3602)*R3602</f>
        <v>0.03941895550718055</v>
      </c>
      <c r="T3602" s="75">
        <f>0.5*(F3601*Q3601+F3602*Q3602)*R3602</f>
        <v>0.7328256524362313</v>
      </c>
      <c r="U3602" s="76">
        <f>U3601+S3602</f>
        <v>40.042623710963085</v>
      </c>
      <c r="V3602" s="76">
        <f>V3601+T3602</f>
        <v>485.92060276336304</v>
      </c>
    </row>
    <row r="3603" spans="1:22" ht="19" customHeight="1">
      <c r="A3603" s="68" t="s">
        <v>378</v>
      </c>
      <c r="B3603" s="74">
        <v>5</v>
      </c>
      <c r="C3603" s="68" t="s">
        <v>363</v>
      </c>
      <c r="D3603" s="68" t="s">
        <v>364</v>
      </c>
      <c r="E3603" s="75">
        <f>60*F3603*'THAM_SO_MOI'!$C$53/(2*PI()*'THAM_SO_MOI'!$C$26)</f>
        <v>1832.764251926957</v>
      </c>
      <c r="F3603" s="75">
        <f>'HANH_TRINH'!$F$3289+('THAM_SO_MOI'!$C$14-'HANH_TRINH'!$F$3289)*313/'THAM_SO_MOI'!$C$42</f>
        <v>18.601773924472326</v>
      </c>
      <c r="G3603" s="75">
        <f>3.6*F3603</f>
        <v>66.96638612810038</v>
      </c>
      <c r="H3603" s="75">
        <f>'THAM_SO_MOI'!$D$53</f>
        <v>1.1</v>
      </c>
      <c r="I3603" s="75">
        <f>IF(F3603&gt;'THAM_SO_MOI'!$C$14,'THAM_SO_MOI'!$C$13*(1+F3603^2/1500),'THAM_SO_MOI'!$C$13)</f>
        <v>0.015</v>
      </c>
      <c r="J3603" s="75">
        <f>'THAM_SO_MOI'!$C$40*('THAM_SO_MOI'!$C$23*(E3603/'THAM_SO_MOI'!$C$22)+'THAM_SO_MOI'!$C$24*(E3603/'THAM_SO_MOI'!$C$22)^2-'THAM_SO_MOI'!$C$25*(E3603/'THAM_SO_MOI'!$C$22)^3)</f>
        <v>81.49994890905944</v>
      </c>
      <c r="K3603" s="75">
        <f>'THAM_SO_MOI'!$C$31*J3603/E3603</f>
        <v>424.7213076512775</v>
      </c>
      <c r="L3603" s="75">
        <f>K3603*'THAM_SO_MOI'!$C$53*'THAM_SO_MOI'!$C$17/'THAM_SO_MOI'!$C$26</f>
        <v>3724.807530022826</v>
      </c>
      <c r="M3603" s="75">
        <f>'THAM_SO_MOI'!$C$15*'THAM_SO_MOI'!$C$16*F3603^2</f>
        <v>1012.1260299262474</v>
      </c>
      <c r="N3603" s="75">
        <f>'THAM_SO_MOI'!$C$12*I3603</f>
        <v>1130.112</v>
      </c>
      <c r="O3603" s="75">
        <f>M3603+N3603</f>
        <v>2142.2380299262477</v>
      </c>
      <c r="P3603" s="75">
        <f>(MIN(L3603,'THAM_SO_MOI'!$C$41)-O3603)/('THAM_SO_MOI'!$C$11*H3603)</f>
        <v>0.18733066999249276</v>
      </c>
      <c r="Q3603" s="75">
        <f>IF(P3603&gt;0,1/P3603,NA())</f>
        <v>5.338154185003848</v>
      </c>
      <c r="R3603" s="75">
        <f>F3603-F3602</f>
        <v>0.0073885545698715305</v>
      </c>
      <c r="S3603" s="75">
        <f>0.5*(Q3602+Q3603)*R3603</f>
        <v>0.03943380910566038</v>
      </c>
      <c r="T3603" s="75">
        <f>0.5*(F3602*Q3602+F3603*Q3603)*R3603</f>
        <v>0.7333931500037629</v>
      </c>
      <c r="U3603" s="76">
        <f>U3602+S3603</f>
        <v>40.082057520068744</v>
      </c>
      <c r="V3603" s="76">
        <f>V3602+T3603</f>
        <v>486.65399591336677</v>
      </c>
    </row>
    <row r="3604" spans="1:22" ht="19" customHeight="1">
      <c r="A3604" s="68" t="s">
        <v>378</v>
      </c>
      <c r="B3604" s="74">
        <v>5</v>
      </c>
      <c r="C3604" s="68" t="s">
        <v>363</v>
      </c>
      <c r="D3604" s="68" t="s">
        <v>364</v>
      </c>
      <c r="E3604" s="75">
        <f>60*F3604*'THAM_SO_MOI'!$C$53/(2*PI()*'THAM_SO_MOI'!$C$26)</f>
        <v>1833.4922189877361</v>
      </c>
      <c r="F3604" s="75">
        <f>'HANH_TRINH'!$F$3289+('THAM_SO_MOI'!$C$14-'HANH_TRINH'!$F$3289)*314/'THAM_SO_MOI'!$C$42</f>
        <v>18.609162479042197</v>
      </c>
      <c r="G3604" s="75">
        <f>3.6*F3604</f>
        <v>66.99298492455192</v>
      </c>
      <c r="H3604" s="75">
        <f>'THAM_SO_MOI'!$D$53</f>
        <v>1.1</v>
      </c>
      <c r="I3604" s="75">
        <f>IF(F3604&gt;'THAM_SO_MOI'!$C$14,'THAM_SO_MOI'!$C$13*(1+F3604^2/1500),'THAM_SO_MOI'!$C$13)</f>
        <v>0.015</v>
      </c>
      <c r="J3604" s="75">
        <f>'THAM_SO_MOI'!$C$40*('THAM_SO_MOI'!$C$23*(E3604/'THAM_SO_MOI'!$C$22)+'THAM_SO_MOI'!$C$24*(E3604/'THAM_SO_MOI'!$C$22)^2-'THAM_SO_MOI'!$C$25*(E3604/'THAM_SO_MOI'!$C$22)^3)</f>
        <v>81.53684229195356</v>
      </c>
      <c r="K3604" s="75">
        <f>'THAM_SO_MOI'!$C$31*J3604/E3604</f>
        <v>424.74486335935654</v>
      </c>
      <c r="L3604" s="75">
        <f>K3604*'THAM_SO_MOI'!$C$53*'THAM_SO_MOI'!$C$17/'THAM_SO_MOI'!$C$26</f>
        <v>3725.0141136748525</v>
      </c>
      <c r="M3604" s="75">
        <f>'THAM_SO_MOI'!$C$15*'THAM_SO_MOI'!$C$16*F3604^2</f>
        <v>1012.9302149013215</v>
      </c>
      <c r="N3604" s="75">
        <f>'THAM_SO_MOI'!$C$12*I3604</f>
        <v>1130.112</v>
      </c>
      <c r="O3604" s="75">
        <f>M3604+N3604</f>
        <v>2143.0422149013216</v>
      </c>
      <c r="P3604" s="75">
        <f>(MIN(L3604,'THAM_SO_MOI'!$C$41)-O3604)/('THAM_SO_MOI'!$C$11*H3604)</f>
        <v>0.18725993119951834</v>
      </c>
      <c r="Q3604" s="75">
        <f>IF(P3604&gt;0,1/P3604,NA())</f>
        <v>5.340170711344212</v>
      </c>
      <c r="R3604" s="75">
        <f>F3604-F3603</f>
        <v>0.0073885545698715305</v>
      </c>
      <c r="S3604" s="75">
        <f>0.5*(Q3603+Q3604)*R3604</f>
        <v>0.03944869310574269</v>
      </c>
      <c r="T3604" s="75">
        <f>0.5*(F3603*Q3603+F3604*Q3604)*R3604</f>
        <v>0.7339614327006923</v>
      </c>
      <c r="U3604" s="76">
        <f>U3603+S3604</f>
        <v>40.121506213174484</v>
      </c>
      <c r="V3604" s="76">
        <f>V3603+T3604</f>
        <v>487.3879573460675</v>
      </c>
    </row>
    <row r="3605" spans="1:22" ht="19" customHeight="1">
      <c r="A3605" s="68" t="s">
        <v>378</v>
      </c>
      <c r="B3605" s="74">
        <v>5</v>
      </c>
      <c r="C3605" s="68" t="s">
        <v>363</v>
      </c>
      <c r="D3605" s="68" t="s">
        <v>364</v>
      </c>
      <c r="E3605" s="75">
        <f>60*F3605*'THAM_SO_MOI'!$C$53/(2*PI()*'THAM_SO_MOI'!$C$26)</f>
        <v>1834.2201860485154</v>
      </c>
      <c r="F3605" s="75">
        <f>'HANH_TRINH'!$F$3289+('THAM_SO_MOI'!$C$14-'HANH_TRINH'!$F$3289)*315/'THAM_SO_MOI'!$C$42</f>
        <v>18.61655103361207</v>
      </c>
      <c r="G3605" s="75">
        <f>3.6*F3605</f>
        <v>67.01958372100346</v>
      </c>
      <c r="H3605" s="75">
        <f>'THAM_SO_MOI'!$D$53</f>
        <v>1.1</v>
      </c>
      <c r="I3605" s="75">
        <f>IF(F3605&gt;'THAM_SO_MOI'!$C$14,'THAM_SO_MOI'!$C$13*(1+F3605^2/1500),'THAM_SO_MOI'!$C$13)</f>
        <v>0.015</v>
      </c>
      <c r="J3605" s="75">
        <f>'THAM_SO_MOI'!$C$40*('THAM_SO_MOI'!$C$23*(E3605/'THAM_SO_MOI'!$C$22)+'THAM_SO_MOI'!$C$24*(E3605/'THAM_SO_MOI'!$C$22)^2-'THAM_SO_MOI'!$C$25*(E3605/'THAM_SO_MOI'!$C$22)^3)</f>
        <v>81.57372939234213</v>
      </c>
      <c r="K3605" s="75">
        <f>'THAM_SO_MOI'!$C$31*J3605/E3605</f>
        <v>424.7683676557302</v>
      </c>
      <c r="L3605" s="75">
        <f>K3605*'THAM_SO_MOI'!$C$53*'THAM_SO_MOI'!$C$17/'THAM_SO_MOI'!$C$26</f>
        <v>3725.2202464460206</v>
      </c>
      <c r="M3605" s="75">
        <f>'THAM_SO_MOI'!$C$15*'THAM_SO_MOI'!$C$16*F3605^2</f>
        <v>1013.7347192322168</v>
      </c>
      <c r="N3605" s="75">
        <f>'THAM_SO_MOI'!$C$12*I3605</f>
        <v>1130.112</v>
      </c>
      <c r="O3605" s="75">
        <f>M3605+N3605</f>
        <v>2143.846719232217</v>
      </c>
      <c r="P3605" s="75">
        <f>(MIN(L3605,'THAM_SO_MOI'!$C$41)-O3605)/('THAM_SO_MOI'!$C$11*H3605)</f>
        <v>0.18718910123269458</v>
      </c>
      <c r="Q3605" s="75">
        <f>IF(P3605&gt;0,1/P3605,NA())</f>
        <v>5.342191363785123</v>
      </c>
      <c r="R3605" s="75">
        <f>F3605-F3604</f>
        <v>0.0073885545698715305</v>
      </c>
      <c r="S3605" s="75">
        <f>0.5*(Q3604+Q3605)*R3605</f>
        <v>0.03946360756360958</v>
      </c>
      <c r="T3605" s="75">
        <f>0.5*(F3604*Q3604+F3605*Q3605)*R3605</f>
        <v>0.7345305022466005</v>
      </c>
      <c r="U3605" s="76">
        <f>U3604+S3605</f>
        <v>40.160969820738096</v>
      </c>
      <c r="V3605" s="76">
        <f>V3604+T3605</f>
        <v>488.1224878483141</v>
      </c>
    </row>
    <row r="3606" spans="1:22" ht="19" customHeight="1">
      <c r="A3606" s="68" t="s">
        <v>378</v>
      </c>
      <c r="B3606" s="74">
        <v>5</v>
      </c>
      <c r="C3606" s="68" t="s">
        <v>363</v>
      </c>
      <c r="D3606" s="68" t="s">
        <v>364</v>
      </c>
      <c r="E3606" s="75">
        <f>60*F3606*'THAM_SO_MOI'!$C$53/(2*PI()*'THAM_SO_MOI'!$C$26)</f>
        <v>1834.9481531092938</v>
      </c>
      <c r="F3606" s="75">
        <f>'HANH_TRINH'!$F$3289+('THAM_SO_MOI'!$C$14-'HANH_TRINH'!$F$3289)*316/'THAM_SO_MOI'!$C$42</f>
        <v>18.62393958818194</v>
      </c>
      <c r="G3606" s="75">
        <f>3.6*F3606</f>
        <v>67.046182517455</v>
      </c>
      <c r="H3606" s="75">
        <f>'THAM_SO_MOI'!$D$53</f>
        <v>1.1</v>
      </c>
      <c r="I3606" s="75">
        <f>IF(F3606&gt;'THAM_SO_MOI'!$C$14,'THAM_SO_MOI'!$C$13*(1+F3606^2/1500),'THAM_SO_MOI'!$C$13)</f>
        <v>0.015</v>
      </c>
      <c r="J3606" s="75">
        <f>'THAM_SO_MOI'!$C$40*('THAM_SO_MOI'!$C$23*(E3606/'THAM_SO_MOI'!$C$22)+'THAM_SO_MOI'!$C$24*(E3606/'THAM_SO_MOI'!$C$22)^2-'THAM_SO_MOI'!$C$25*(E3606/'THAM_SO_MOI'!$C$22)^3)</f>
        <v>81.61061019846953</v>
      </c>
      <c r="K3606" s="75">
        <f>'THAM_SO_MOI'!$C$31*J3606/E3606</f>
        <v>424.79182054039813</v>
      </c>
      <c r="L3606" s="75">
        <f>K3606*'THAM_SO_MOI'!$C$53*'THAM_SO_MOI'!$C$17/'THAM_SO_MOI'!$C$26</f>
        <v>3725.4259283363285</v>
      </c>
      <c r="M3606" s="75">
        <f>'THAM_SO_MOI'!$C$15*'THAM_SO_MOI'!$C$16*F3606^2</f>
        <v>1014.5395429189329</v>
      </c>
      <c r="N3606" s="75">
        <f>'THAM_SO_MOI'!$C$12*I3606</f>
        <v>1130.112</v>
      </c>
      <c r="O3606" s="75">
        <f>M3606+N3606</f>
        <v>2144.651542918933</v>
      </c>
      <c r="P3606" s="75">
        <f>(MIN(L3606,'THAM_SO_MOI'!$C$41)-O3606)/('THAM_SO_MOI'!$C$11*H3606)</f>
        <v>0.18711818009202125</v>
      </c>
      <c r="Q3606" s="75">
        <f>IF(P3606&gt;0,1/P3606,NA())</f>
        <v>5.344216149965859</v>
      </c>
      <c r="R3606" s="75">
        <f>F3606-F3605</f>
        <v>0.0073885545698715305</v>
      </c>
      <c r="S3606" s="75">
        <f>0.5*(Q3605+Q3606)*R3606</f>
        <v>0.03947855253561714</v>
      </c>
      <c r="T3606" s="75">
        <f>0.5*(F3605*Q3605+F3606*Q3606)*R3606</f>
        <v>0.7351003603659694</v>
      </c>
      <c r="U3606" s="76">
        <f>U3605+S3606</f>
        <v>40.200448373273716</v>
      </c>
      <c r="V3606" s="76">
        <f>V3605+T3606</f>
        <v>488.85758820868006</v>
      </c>
    </row>
    <row r="3607" spans="1:22" ht="19" customHeight="1">
      <c r="A3607" s="68" t="s">
        <v>378</v>
      </c>
      <c r="B3607" s="74">
        <v>5</v>
      </c>
      <c r="C3607" s="68" t="s">
        <v>363</v>
      </c>
      <c r="D3607" s="68" t="s">
        <v>364</v>
      </c>
      <c r="E3607" s="75">
        <f>60*F3607*'THAM_SO_MOI'!$C$53/(2*PI()*'THAM_SO_MOI'!$C$26)</f>
        <v>1835.676120170073</v>
      </c>
      <c r="F3607" s="75">
        <f>'HANH_TRINH'!$F$3289+('THAM_SO_MOI'!$C$14-'HANH_TRINH'!$F$3289)*317/'THAM_SO_MOI'!$C$42</f>
        <v>18.631328142751816</v>
      </c>
      <c r="G3607" s="75">
        <f>3.6*F3607</f>
        <v>67.07278131390653</v>
      </c>
      <c r="H3607" s="75">
        <f>'THAM_SO_MOI'!$D$53</f>
        <v>1.1</v>
      </c>
      <c r="I3607" s="75">
        <f>IF(F3607&gt;'THAM_SO_MOI'!$C$14,'THAM_SO_MOI'!$C$13*(1+F3607^2/1500),'THAM_SO_MOI'!$C$13)</f>
        <v>0.015</v>
      </c>
      <c r="J3607" s="75">
        <f>'THAM_SO_MOI'!$C$40*('THAM_SO_MOI'!$C$23*(E3607/'THAM_SO_MOI'!$C$22)+'THAM_SO_MOI'!$C$24*(E3607/'THAM_SO_MOI'!$C$22)^2-'THAM_SO_MOI'!$C$25*(E3607/'THAM_SO_MOI'!$C$22)^3)</f>
        <v>81.64748469858041</v>
      </c>
      <c r="K3607" s="75">
        <f>'THAM_SO_MOI'!$C$31*J3607/E3607</f>
        <v>424.8152220133609</v>
      </c>
      <c r="L3607" s="75">
        <f>K3607*'THAM_SO_MOI'!$C$53*'THAM_SO_MOI'!$C$17/'THAM_SO_MOI'!$C$26</f>
        <v>3725.6311593457813</v>
      </c>
      <c r="M3607" s="75">
        <f>'THAM_SO_MOI'!$C$15*'THAM_SO_MOI'!$C$16*F3607^2</f>
        <v>1015.3446859614703</v>
      </c>
      <c r="N3607" s="75">
        <f>'THAM_SO_MOI'!$C$12*I3607</f>
        <v>1130.112</v>
      </c>
      <c r="O3607" s="75">
        <f>M3607+N3607</f>
        <v>2145.4566859614706</v>
      </c>
      <c r="P3607" s="75">
        <f>(MIN(L3607,'THAM_SO_MOI'!$C$41)-O3607)/('THAM_SO_MOI'!$C$11*H3607)</f>
        <v>0.18704716777749889</v>
      </c>
      <c r="Q3607" s="75">
        <f>IF(P3607&gt;0,1/P3607,NA())</f>
        <v>5.346245077549345</v>
      </c>
      <c r="R3607" s="75">
        <f>F3607-F3606</f>
        <v>0.007388554569875083</v>
      </c>
      <c r="S3607" s="75">
        <f>0.5*(Q3606+Q3607)*R3607</f>
        <v>0.039493528078314924</v>
      </c>
      <c r="T3607" s="75">
        <f>0.5*(F3606*Q3606+F3607*Q3607)*R3607</f>
        <v>0.7356710087885501</v>
      </c>
      <c r="U3607" s="76">
        <f>U3606+S3607</f>
        <v>40.23994190135203</v>
      </c>
      <c r="V3607" s="76">
        <f>V3606+T3607</f>
        <v>489.5932592174686</v>
      </c>
    </row>
    <row r="3608" spans="1:22" ht="19" customHeight="1">
      <c r="A3608" s="68" t="s">
        <v>378</v>
      </c>
      <c r="B3608" s="74">
        <v>5</v>
      </c>
      <c r="C3608" s="68" t="s">
        <v>363</v>
      </c>
      <c r="D3608" s="68" t="s">
        <v>364</v>
      </c>
      <c r="E3608" s="75">
        <f>60*F3608*'THAM_SO_MOI'!$C$53/(2*PI()*'THAM_SO_MOI'!$C$26)</f>
        <v>1836.4040872308522</v>
      </c>
      <c r="F3608" s="75">
        <f>'HANH_TRINH'!$F$3289+('THAM_SO_MOI'!$C$14-'HANH_TRINH'!$F$3289)*318/'THAM_SO_MOI'!$C$42</f>
        <v>18.638716697321687</v>
      </c>
      <c r="G3608" s="75">
        <f>3.6*F3608</f>
        <v>67.09938011035807</v>
      </c>
      <c r="H3608" s="75">
        <f>'THAM_SO_MOI'!$D$53</f>
        <v>1.1</v>
      </c>
      <c r="I3608" s="75">
        <f>IF(F3608&gt;'THAM_SO_MOI'!$C$14,'THAM_SO_MOI'!$C$13*(1+F3608^2/1500),'THAM_SO_MOI'!$C$13)</f>
        <v>0.015</v>
      </c>
      <c r="J3608" s="75">
        <f>'THAM_SO_MOI'!$C$40*('THAM_SO_MOI'!$C$23*(E3608/'THAM_SO_MOI'!$C$22)+'THAM_SO_MOI'!$C$24*(E3608/'THAM_SO_MOI'!$C$22)^2-'THAM_SO_MOI'!$C$25*(E3608/'THAM_SO_MOI'!$C$22)^3)</f>
        <v>81.68435288091916</v>
      </c>
      <c r="K3608" s="75">
        <f>'THAM_SO_MOI'!$C$31*J3608/E3608</f>
        <v>424.8385720746182</v>
      </c>
      <c r="L3608" s="75">
        <f>K3608*'THAM_SO_MOI'!$C$53*'THAM_SO_MOI'!$C$17/'THAM_SO_MOI'!$C$26</f>
        <v>3725.8359394743757</v>
      </c>
      <c r="M3608" s="75">
        <f>'THAM_SO_MOI'!$C$15*'THAM_SO_MOI'!$C$16*F3608^2</f>
        <v>1016.1501483598286</v>
      </c>
      <c r="N3608" s="75">
        <f>'THAM_SO_MOI'!$C$12*I3608</f>
        <v>1130.112</v>
      </c>
      <c r="O3608" s="75">
        <f>M3608+N3608</f>
        <v>2146.2621483598286</v>
      </c>
      <c r="P3608" s="75">
        <f>(MIN(L3608,'THAM_SO_MOI'!$C$41)-O3608)/('THAM_SO_MOI'!$C$11*H3608)</f>
        <v>0.18697606428912725</v>
      </c>
      <c r="Q3608" s="75">
        <f>IF(P3608&gt;0,1/P3608,NA())</f>
        <v>5.348278154222281</v>
      </c>
      <c r="R3608" s="75">
        <f>F3608-F3607</f>
        <v>0.0073885545698715305</v>
      </c>
      <c r="S3608" s="75">
        <f>0.5*(Q3607+Q3608)*R3608</f>
        <v>0.03950853424835175</v>
      </c>
      <c r="T3608" s="75">
        <f>0.5*(F3607*Q3607+F3608*Q3608)*R3608</f>
        <v>0.7362424492476141</v>
      </c>
      <c r="U3608" s="76">
        <f>U3607+S3608</f>
        <v>40.27945043560038</v>
      </c>
      <c r="V3608" s="76">
        <f>V3607+T3608</f>
        <v>490.3295016667162</v>
      </c>
    </row>
    <row r="3609" spans="1:22" ht="19" customHeight="1">
      <c r="A3609" s="68" t="s">
        <v>378</v>
      </c>
      <c r="B3609" s="74">
        <v>5</v>
      </c>
      <c r="C3609" s="68" t="s">
        <v>363</v>
      </c>
      <c r="D3609" s="68" t="s">
        <v>364</v>
      </c>
      <c r="E3609" s="75">
        <f>60*F3609*'THAM_SO_MOI'!$C$53/(2*PI()*'THAM_SO_MOI'!$C$26)</f>
        <v>1837.132054291631</v>
      </c>
      <c r="F3609" s="75">
        <f>'HANH_TRINH'!$F$3289+('THAM_SO_MOI'!$C$14-'HANH_TRINH'!$F$3289)*319/'THAM_SO_MOI'!$C$42</f>
        <v>18.64610525189156</v>
      </c>
      <c r="G3609" s="75">
        <f>3.6*F3609</f>
        <v>67.1259789068096</v>
      </c>
      <c r="H3609" s="75">
        <f>'THAM_SO_MOI'!$D$53</f>
        <v>1.1</v>
      </c>
      <c r="I3609" s="75">
        <f>IF(F3609&gt;'THAM_SO_MOI'!$C$14,'THAM_SO_MOI'!$C$13*(1+F3609^2/1500),'THAM_SO_MOI'!$C$13)</f>
        <v>0.015</v>
      </c>
      <c r="J3609" s="75">
        <f>'THAM_SO_MOI'!$C$40*('THAM_SO_MOI'!$C$23*(E3609/'THAM_SO_MOI'!$C$22)+'THAM_SO_MOI'!$C$24*(E3609/'THAM_SO_MOI'!$C$22)^2-'THAM_SO_MOI'!$C$25*(E3609/'THAM_SO_MOI'!$C$22)^3)</f>
        <v>81.72121473373024</v>
      </c>
      <c r="K3609" s="75">
        <f>'THAM_SO_MOI'!$C$31*J3609/E3609</f>
        <v>424.8618707241699</v>
      </c>
      <c r="L3609" s="75">
        <f>K3609*'THAM_SO_MOI'!$C$53*'THAM_SO_MOI'!$C$17/'THAM_SO_MOI'!$C$26</f>
        <v>3726.0402687221113</v>
      </c>
      <c r="M3609" s="75">
        <f>'THAM_SO_MOI'!$C$15*'THAM_SO_MOI'!$C$16*F3609^2</f>
        <v>1016.9559301140076</v>
      </c>
      <c r="N3609" s="75">
        <f>'THAM_SO_MOI'!$C$12*I3609</f>
        <v>1130.112</v>
      </c>
      <c r="O3609" s="75">
        <f>M3609+N3609</f>
        <v>2147.0679301140076</v>
      </c>
      <c r="P3609" s="75">
        <f>(MIN(L3609,'THAM_SO_MOI'!$C$41)-O3609)/('THAM_SO_MOI'!$C$11*H3609)</f>
        <v>0.18690486962690622</v>
      </c>
      <c r="Q3609" s="75">
        <f>IF(P3609&gt;0,1/P3609,NA())</f>
        <v>5.350315387695192</v>
      </c>
      <c r="R3609" s="75">
        <f>F3609-F3608</f>
        <v>0.0073885545698715305</v>
      </c>
      <c r="S3609" s="75">
        <f>0.5*(Q3608+Q3609)*R3609</f>
        <v>0.03952357110266619</v>
      </c>
      <c r="T3609" s="75">
        <f>0.5*(F3608*Q3608+F3609*Q3609)*R3609</f>
        <v>0.7368146834835094</v>
      </c>
      <c r="U3609" s="76">
        <f>U3608+S3609</f>
        <v>40.318974006703044</v>
      </c>
      <c r="V3609" s="76">
        <f>V3608+T3609</f>
        <v>491.0663163501997</v>
      </c>
    </row>
    <row r="3610" spans="1:22" ht="19" customHeight="1">
      <c r="A3610" s="68" t="s">
        <v>378</v>
      </c>
      <c r="B3610" s="74">
        <v>5</v>
      </c>
      <c r="C3610" s="68" t="s">
        <v>363</v>
      </c>
      <c r="D3610" s="68" t="s">
        <v>364</v>
      </c>
      <c r="E3610" s="75">
        <f>60*F3610*'THAM_SO_MOI'!$C$53/(2*PI()*'THAM_SO_MOI'!$C$26)</f>
        <v>1837.8600213524098</v>
      </c>
      <c r="F3610" s="75">
        <f>'HANH_TRINH'!$F$3289+('THAM_SO_MOI'!$C$14-'HANH_TRINH'!$F$3289)*320/'THAM_SO_MOI'!$C$42</f>
        <v>18.65349380646143</v>
      </c>
      <c r="G3610" s="75">
        <f>3.6*F3610</f>
        <v>67.15257770326114</v>
      </c>
      <c r="H3610" s="75">
        <f>'THAM_SO_MOI'!$D$53</f>
        <v>1.1</v>
      </c>
      <c r="I3610" s="75">
        <f>IF(F3610&gt;'THAM_SO_MOI'!$C$14,'THAM_SO_MOI'!$C$13*(1+F3610^2/1500),'THAM_SO_MOI'!$C$13)</f>
        <v>0.015</v>
      </c>
      <c r="J3610" s="75">
        <f>'THAM_SO_MOI'!$C$40*('THAM_SO_MOI'!$C$23*(E3610/'THAM_SO_MOI'!$C$22)+'THAM_SO_MOI'!$C$24*(E3610/'THAM_SO_MOI'!$C$22)^2-'THAM_SO_MOI'!$C$25*(E3610/'THAM_SO_MOI'!$C$22)^3)</f>
        <v>81.7580702452582</v>
      </c>
      <c r="K3610" s="75">
        <f>'THAM_SO_MOI'!$C$31*J3610/E3610</f>
        <v>424.8851179620163</v>
      </c>
      <c r="L3610" s="75">
        <f>K3610*'THAM_SO_MOI'!$C$53*'THAM_SO_MOI'!$C$17/'THAM_SO_MOI'!$C$26</f>
        <v>3726.2441470889894</v>
      </c>
      <c r="M3610" s="75">
        <f>'THAM_SO_MOI'!$C$15*'THAM_SO_MOI'!$C$16*F3610^2</f>
        <v>1017.7620312240078</v>
      </c>
      <c r="N3610" s="75">
        <f>'THAM_SO_MOI'!$C$12*I3610</f>
        <v>1130.112</v>
      </c>
      <c r="O3610" s="75">
        <f>M3610+N3610</f>
        <v>2147.874031224008</v>
      </c>
      <c r="P3610" s="75">
        <f>(MIN(L3610,'THAM_SO_MOI'!$C$41)-O3610)/('THAM_SO_MOI'!$C$11*H3610)</f>
        <v>0.18683358379083587</v>
      </c>
      <c r="Q3610" s="75">
        <f>IF(P3610&gt;0,1/P3610,NA())</f>
        <v>5.352356785702516</v>
      </c>
      <c r="R3610" s="75">
        <f>F3610-F3609</f>
        <v>0.0073885545698715305</v>
      </c>
      <c r="S3610" s="75">
        <f>0.5*(Q3609+Q3610)*R3610</f>
        <v>0.039538638698297254</v>
      </c>
      <c r="T3610" s="75">
        <f>0.5*(F3609*Q3609+F3610*Q3610)*R3610</f>
        <v>0.7373877132401399</v>
      </c>
      <c r="U3610" s="76">
        <f>U3609+S3610</f>
        <v>40.35851264540134</v>
      </c>
      <c r="V3610" s="76">
        <f>V3609+T3610</f>
        <v>491.80370406343985</v>
      </c>
    </row>
    <row r="3611" spans="1:22" ht="19" customHeight="1">
      <c r="A3611" s="68" t="s">
        <v>378</v>
      </c>
      <c r="B3611" s="74">
        <v>5</v>
      </c>
      <c r="C3611" s="68" t="s">
        <v>363</v>
      </c>
      <c r="D3611" s="68" t="s">
        <v>364</v>
      </c>
      <c r="E3611" s="75">
        <f>60*F3611*'THAM_SO_MOI'!$C$53/(2*PI()*'THAM_SO_MOI'!$C$26)</f>
        <v>1838.5879884131887</v>
      </c>
      <c r="F3611" s="75">
        <f>'HANH_TRINH'!$F$3289+('THAM_SO_MOI'!$C$14-'HANH_TRINH'!$F$3289)*321/'THAM_SO_MOI'!$C$42</f>
        <v>18.6608823610313</v>
      </c>
      <c r="G3611" s="75">
        <f>3.6*F3611</f>
        <v>67.17917649971268</v>
      </c>
      <c r="H3611" s="75">
        <f>'THAM_SO_MOI'!$D$53</f>
        <v>1.1</v>
      </c>
      <c r="I3611" s="75">
        <f>IF(F3611&gt;'THAM_SO_MOI'!$C$14,'THAM_SO_MOI'!$C$13*(1+F3611^2/1500),'THAM_SO_MOI'!$C$13)</f>
        <v>0.015</v>
      </c>
      <c r="J3611" s="75">
        <f>'THAM_SO_MOI'!$C$40*('THAM_SO_MOI'!$C$23*(E3611/'THAM_SO_MOI'!$C$22)+'THAM_SO_MOI'!$C$24*(E3611/'THAM_SO_MOI'!$C$22)^2-'THAM_SO_MOI'!$C$25*(E3611/'THAM_SO_MOI'!$C$22)^3)</f>
        <v>81.79491940374747</v>
      </c>
      <c r="K3611" s="75">
        <f>'THAM_SO_MOI'!$C$31*J3611/E3611</f>
        <v>424.90831378815716</v>
      </c>
      <c r="L3611" s="75">
        <f>K3611*'THAM_SO_MOI'!$C$53*'THAM_SO_MOI'!$C$17/'THAM_SO_MOI'!$C$26</f>
        <v>3726.4475745750096</v>
      </c>
      <c r="M3611" s="75">
        <f>'THAM_SO_MOI'!$C$15*'THAM_SO_MOI'!$C$16*F3611^2</f>
        <v>1018.5684516898289</v>
      </c>
      <c r="N3611" s="75">
        <f>'THAM_SO_MOI'!$C$12*I3611</f>
        <v>1130.112</v>
      </c>
      <c r="O3611" s="75">
        <f>M3611+N3611</f>
        <v>2148.680451689829</v>
      </c>
      <c r="P3611" s="75">
        <f>(MIN(L3611,'THAM_SO_MOI'!$C$41)-O3611)/('THAM_SO_MOI'!$C$11*H3611)</f>
        <v>0.18676220678091626</v>
      </c>
      <c r="Q3611" s="75">
        <f>IF(P3611&gt;0,1/P3611,NA())</f>
        <v>5.3544023560026925</v>
      </c>
      <c r="R3611" s="75">
        <f>F3611-F3610</f>
        <v>0.0073885545698715305</v>
      </c>
      <c r="S3611" s="75">
        <f>0.5*(Q3610+Q3611)*R3611</f>
        <v>0.039553737092479904</v>
      </c>
      <c r="T3611" s="75">
        <f>0.5*(F3610*Q3610+F3611*Q3611)*R3611</f>
        <v>0.7379615402667511</v>
      </c>
      <c r="U3611" s="76">
        <f>U3610+S3611</f>
        <v>40.39806638249382</v>
      </c>
      <c r="V3611" s="76">
        <f>V3610+T3611</f>
        <v>492.5416656037066</v>
      </c>
    </row>
    <row r="3612" spans="1:22" ht="19" customHeight="1">
      <c r="A3612" s="68" t="s">
        <v>378</v>
      </c>
      <c r="B3612" s="74">
        <v>5</v>
      </c>
      <c r="C3612" s="68" t="s">
        <v>363</v>
      </c>
      <c r="D3612" s="68" t="s">
        <v>364</v>
      </c>
      <c r="E3612" s="75">
        <f>60*F3612*'THAM_SO_MOI'!$C$53/(2*PI()*'THAM_SO_MOI'!$C$26)</f>
        <v>1839.315955473968</v>
      </c>
      <c r="F3612" s="75">
        <f>'HANH_TRINH'!$F$3289+('THAM_SO_MOI'!$C$14-'HANH_TRINH'!$F$3289)*322/'THAM_SO_MOI'!$C$42</f>
        <v>18.668270915601173</v>
      </c>
      <c r="G3612" s="75">
        <f>3.6*F3612</f>
        <v>67.20577529616422</v>
      </c>
      <c r="H3612" s="75">
        <f>'THAM_SO_MOI'!$D$53</f>
        <v>1.1</v>
      </c>
      <c r="I3612" s="75">
        <f>IF(F3612&gt;'THAM_SO_MOI'!$C$14,'THAM_SO_MOI'!$C$13*(1+F3612^2/1500),'THAM_SO_MOI'!$C$13)</f>
        <v>0.015</v>
      </c>
      <c r="J3612" s="75">
        <f>'THAM_SO_MOI'!$C$40*('THAM_SO_MOI'!$C$23*(E3612/'THAM_SO_MOI'!$C$22)+'THAM_SO_MOI'!$C$24*(E3612/'THAM_SO_MOI'!$C$22)^2-'THAM_SO_MOI'!$C$25*(E3612/'THAM_SO_MOI'!$C$22)^3)</f>
        <v>81.83176219744261</v>
      </c>
      <c r="K3612" s="75">
        <f>'THAM_SO_MOI'!$C$31*J3612/E3612</f>
        <v>424.93145820259275</v>
      </c>
      <c r="L3612" s="75">
        <f>K3612*'THAM_SO_MOI'!$C$53*'THAM_SO_MOI'!$C$17/'THAM_SO_MOI'!$C$26</f>
        <v>3726.6505511801734</v>
      </c>
      <c r="M3612" s="75">
        <f>'THAM_SO_MOI'!$C$15*'THAM_SO_MOI'!$C$16*F3612^2</f>
        <v>1019.3751915114711</v>
      </c>
      <c r="N3612" s="75">
        <f>'THAM_SO_MOI'!$C$12*I3612</f>
        <v>1130.112</v>
      </c>
      <c r="O3612" s="75">
        <f>M3612+N3612</f>
        <v>2149.4871915114713</v>
      </c>
      <c r="P3612" s="75">
        <f>(MIN(L3612,'THAM_SO_MOI'!$C$41)-O3612)/('THAM_SO_MOI'!$C$11*H3612)</f>
        <v>0.1866907385971475</v>
      </c>
      <c r="Q3612" s="75">
        <f>IF(P3612&gt;0,1/P3612,NA())</f>
        <v>5.3564521063782395</v>
      </c>
      <c r="R3612" s="75">
        <f>F3612-F3611</f>
        <v>0.0073885545698715305</v>
      </c>
      <c r="S3612" s="75">
        <f>0.5*(Q3611+Q3612)*R3612</f>
        <v>0.03956886634262676</v>
      </c>
      <c r="T3612" s="75">
        <f>0.5*(F3611*Q3611+F3612*Q3612)*R3612</f>
        <v>0.7385361663175958</v>
      </c>
      <c r="U3612" s="76">
        <f>U3611+S3612</f>
        <v>40.43763524883645</v>
      </c>
      <c r="V3612" s="76">
        <f>V3611+T3612</f>
        <v>493.2802017700242</v>
      </c>
    </row>
    <row r="3613" spans="1:22" ht="19" customHeight="1">
      <c r="A3613" s="68" t="s">
        <v>378</v>
      </c>
      <c r="B3613" s="74">
        <v>5</v>
      </c>
      <c r="C3613" s="68" t="s">
        <v>363</v>
      </c>
      <c r="D3613" s="68" t="s">
        <v>364</v>
      </c>
      <c r="E3613" s="75">
        <f>60*F3613*'THAM_SO_MOI'!$C$53/(2*PI()*'THAM_SO_MOI'!$C$26)</f>
        <v>1840.0439225347468</v>
      </c>
      <c r="F3613" s="75">
        <f>'HANH_TRINH'!$F$3289+('THAM_SO_MOI'!$C$14-'HANH_TRINH'!$F$3289)*323/'THAM_SO_MOI'!$C$42</f>
        <v>18.675659470171045</v>
      </c>
      <c r="G3613" s="75">
        <f>3.6*F3613</f>
        <v>67.23237409261576</v>
      </c>
      <c r="H3613" s="75">
        <f>'THAM_SO_MOI'!$D$53</f>
        <v>1.1</v>
      </c>
      <c r="I3613" s="75">
        <f>IF(F3613&gt;'THAM_SO_MOI'!$C$14,'THAM_SO_MOI'!$C$13*(1+F3613^2/1500),'THAM_SO_MOI'!$C$13)</f>
        <v>0.015</v>
      </c>
      <c r="J3613" s="75">
        <f>'THAM_SO_MOI'!$C$40*('THAM_SO_MOI'!$C$23*(E3613/'THAM_SO_MOI'!$C$22)+'THAM_SO_MOI'!$C$24*(E3613/'THAM_SO_MOI'!$C$22)^2-'THAM_SO_MOI'!$C$25*(E3613/'THAM_SO_MOI'!$C$22)^3)</f>
        <v>81.86859861458802</v>
      </c>
      <c r="K3613" s="75">
        <f>'THAM_SO_MOI'!$C$31*J3613/E3613</f>
        <v>424.9545512053228</v>
      </c>
      <c r="L3613" s="75">
        <f>K3613*'THAM_SO_MOI'!$C$53*'THAM_SO_MOI'!$C$17/'THAM_SO_MOI'!$C$26</f>
        <v>3726.8530769044783</v>
      </c>
      <c r="M3613" s="75">
        <f>'THAM_SO_MOI'!$C$15*'THAM_SO_MOI'!$C$16*F3613^2</f>
        <v>1020.1822506889341</v>
      </c>
      <c r="N3613" s="75">
        <f>'THAM_SO_MOI'!$C$12*I3613</f>
        <v>1130.112</v>
      </c>
      <c r="O3613" s="75">
        <f>M3613+N3613</f>
        <v>2150.294250688934</v>
      </c>
      <c r="P3613" s="75">
        <f>(MIN(L3613,'THAM_SO_MOI'!$C$41)-O3613)/('THAM_SO_MOI'!$C$11*H3613)</f>
        <v>0.1866191792395294</v>
      </c>
      <c r="Q3613" s="75">
        <f>IF(P3613&gt;0,1/P3613,NA())</f>
        <v>5.3585060446358534</v>
      </c>
      <c r="R3613" s="75">
        <f>F3613-F3612</f>
        <v>0.0073885545698715305</v>
      </c>
      <c r="S3613" s="75">
        <f>0.5*(Q3612+Q3613)*R3613</f>
        <v>0.03958402650632869</v>
      </c>
      <c r="T3613" s="75">
        <f>0.5*(F3612*Q3612+F3613*Q3613)*R3613</f>
        <v>0.7391115931519521</v>
      </c>
      <c r="U3613" s="76">
        <f>U3612+S3613</f>
        <v>40.477219275342776</v>
      </c>
      <c r="V3613" s="76">
        <f>V3612+T3613</f>
        <v>494.01931336317614</v>
      </c>
    </row>
    <row r="3614" spans="1:22" ht="19" customHeight="1">
      <c r="A3614" s="68" t="s">
        <v>378</v>
      </c>
      <c r="B3614" s="74">
        <v>5</v>
      </c>
      <c r="C3614" s="68" t="s">
        <v>363</v>
      </c>
      <c r="D3614" s="68" t="s">
        <v>364</v>
      </c>
      <c r="E3614" s="75">
        <f>60*F3614*'THAM_SO_MOI'!$C$53/(2*PI()*'THAM_SO_MOI'!$C$26)</f>
        <v>1840.7718895955259</v>
      </c>
      <c r="F3614" s="75">
        <f>'HANH_TRINH'!$F$3289+('THAM_SO_MOI'!$C$14-'HANH_TRINH'!$F$3289)*324/'THAM_SO_MOI'!$C$42</f>
        <v>18.68304802474092</v>
      </c>
      <c r="G3614" s="75">
        <f>3.6*F3614</f>
        <v>67.25897288906731</v>
      </c>
      <c r="H3614" s="75">
        <f>'THAM_SO_MOI'!$D$53</f>
        <v>1.1</v>
      </c>
      <c r="I3614" s="75">
        <f>IF(F3614&gt;'THAM_SO_MOI'!$C$14,'THAM_SO_MOI'!$C$13*(1+F3614^2/1500),'THAM_SO_MOI'!$C$13)</f>
        <v>0.015</v>
      </c>
      <c r="J3614" s="75">
        <f>'THAM_SO_MOI'!$C$40*('THAM_SO_MOI'!$C$23*(E3614/'THAM_SO_MOI'!$C$22)+'THAM_SO_MOI'!$C$24*(E3614/'THAM_SO_MOI'!$C$22)^2-'THAM_SO_MOI'!$C$25*(E3614/'THAM_SO_MOI'!$C$22)^3)</f>
        <v>81.90542864342822</v>
      </c>
      <c r="K3614" s="75">
        <f>'THAM_SO_MOI'!$C$31*J3614/E3614</f>
        <v>424.9775927963474</v>
      </c>
      <c r="L3614" s="75">
        <f>K3614*'THAM_SO_MOI'!$C$53*'THAM_SO_MOI'!$C$17/'THAM_SO_MOI'!$C$26</f>
        <v>3727.0551517479244</v>
      </c>
      <c r="M3614" s="75">
        <f>'THAM_SO_MOI'!$C$15*'THAM_SO_MOI'!$C$16*F3614^2</f>
        <v>1020.9896292222187</v>
      </c>
      <c r="N3614" s="75">
        <f>'THAM_SO_MOI'!$C$12*I3614</f>
        <v>1130.112</v>
      </c>
      <c r="O3614" s="75">
        <f>M3614+N3614</f>
        <v>2151.101629222219</v>
      </c>
      <c r="P3614" s="75">
        <f>(MIN(L3614,'THAM_SO_MOI'!$C$41)-O3614)/('THAM_SO_MOI'!$C$11*H3614)</f>
        <v>0.18654752870806174</v>
      </c>
      <c r="Q3614" s="75">
        <f>IF(P3614&gt;0,1/P3614,NA())</f>
        <v>5.360564178606482</v>
      </c>
      <c r="R3614" s="75">
        <f>F3614-F3613</f>
        <v>0.007388554569875083</v>
      </c>
      <c r="S3614" s="75">
        <f>0.5*(Q3613+Q3614)*R3614</f>
        <v>0.03959921764137454</v>
      </c>
      <c r="T3614" s="75">
        <f>0.5*(F3613*Q3613+F3614*Q3614)*R3614</f>
        <v>0.7396878225344979</v>
      </c>
      <c r="U3614" s="76">
        <f>U3613+S3614</f>
        <v>40.51681849298415</v>
      </c>
      <c r="V3614" s="76">
        <f>V3613+T3614</f>
        <v>494.75900118571064</v>
      </c>
    </row>
    <row r="3615" spans="1:22" ht="19" customHeight="1">
      <c r="A3615" s="68" t="s">
        <v>378</v>
      </c>
      <c r="B3615" s="74">
        <v>5</v>
      </c>
      <c r="C3615" s="68" t="s">
        <v>363</v>
      </c>
      <c r="D3615" s="68" t="s">
        <v>364</v>
      </c>
      <c r="E3615" s="75">
        <f>60*F3615*'THAM_SO_MOI'!$C$53/(2*PI()*'THAM_SO_MOI'!$C$26)</f>
        <v>1841.4998566563047</v>
      </c>
      <c r="F3615" s="75">
        <f>'HANH_TRINH'!$F$3289+('THAM_SO_MOI'!$C$14-'HANH_TRINH'!$F$3289)*325/'THAM_SO_MOI'!$C$42</f>
        <v>18.69043657931079</v>
      </c>
      <c r="G3615" s="75">
        <f>3.6*F3615</f>
        <v>67.28557168551885</v>
      </c>
      <c r="H3615" s="75">
        <f>'THAM_SO_MOI'!$D$53</f>
        <v>1.1</v>
      </c>
      <c r="I3615" s="75">
        <f>IF(F3615&gt;'THAM_SO_MOI'!$C$14,'THAM_SO_MOI'!$C$13*(1+F3615^2/1500),'THAM_SO_MOI'!$C$13)</f>
        <v>0.015</v>
      </c>
      <c r="J3615" s="75">
        <f>'THAM_SO_MOI'!$C$40*('THAM_SO_MOI'!$C$23*(E3615/'THAM_SO_MOI'!$C$22)+'THAM_SO_MOI'!$C$24*(E3615/'THAM_SO_MOI'!$C$22)^2-'THAM_SO_MOI'!$C$25*(E3615/'THAM_SO_MOI'!$C$22)^3)</f>
        <v>81.94225227220771</v>
      </c>
      <c r="K3615" s="75">
        <f>'THAM_SO_MOI'!$C$31*J3615/E3615</f>
        <v>425.0005829756666</v>
      </c>
      <c r="L3615" s="75">
        <f>K3615*'THAM_SO_MOI'!$C$53*'THAM_SO_MOI'!$C$17/'THAM_SO_MOI'!$C$26</f>
        <v>3727.256775710514</v>
      </c>
      <c r="M3615" s="75">
        <f>'THAM_SO_MOI'!$C$15*'THAM_SO_MOI'!$C$16*F3615^2</f>
        <v>1021.7973271113239</v>
      </c>
      <c r="N3615" s="75">
        <f>'THAM_SO_MOI'!$C$12*I3615</f>
        <v>1130.112</v>
      </c>
      <c r="O3615" s="75">
        <f>M3615+N3615</f>
        <v>2151.909327111324</v>
      </c>
      <c r="P3615" s="75">
        <f>(MIN(L3615,'THAM_SO_MOI'!$C$41)-O3615)/('THAM_SO_MOI'!$C$11*H3615)</f>
        <v>0.18647578700274503</v>
      </c>
      <c r="Q3615" s="75">
        <f>IF(P3615&gt;0,1/P3615,NA())</f>
        <v>5.362626516145388</v>
      </c>
      <c r="R3615" s="75">
        <f>F3615-F3614</f>
        <v>0.0073885545698715305</v>
      </c>
      <c r="S3615" s="75">
        <f>0.5*(Q3614+Q3615)*R3615</f>
        <v>0.039614439805656404</v>
      </c>
      <c r="T3615" s="75">
        <f>0.5*(F3614*Q3614+F3615*Q3615)*R3615</f>
        <v>0.7402648562335488</v>
      </c>
      <c r="U3615" s="76">
        <f>U3614+S3615</f>
        <v>40.556432932789804</v>
      </c>
      <c r="V3615" s="76">
        <f>V3614+T3615</f>
        <v>495.49926604194417</v>
      </c>
    </row>
    <row r="3616" spans="1:22" ht="19" customHeight="1">
      <c r="A3616" s="68" t="s">
        <v>378</v>
      </c>
      <c r="B3616" s="74">
        <v>5</v>
      </c>
      <c r="C3616" s="68" t="s">
        <v>363</v>
      </c>
      <c r="D3616" s="68" t="s">
        <v>364</v>
      </c>
      <c r="E3616" s="75">
        <f>60*F3616*'THAM_SO_MOI'!$C$53/(2*PI()*'THAM_SO_MOI'!$C$26)</f>
        <v>1842.227823717084</v>
      </c>
      <c r="F3616" s="75">
        <f>'HANH_TRINH'!$F$3289+('THAM_SO_MOI'!$C$14-'HANH_TRINH'!$F$3289)*326/'THAM_SO_MOI'!$C$42</f>
        <v>18.697825133880663</v>
      </c>
      <c r="G3616" s="75">
        <f>3.6*F3616</f>
        <v>67.31217048197038</v>
      </c>
      <c r="H3616" s="75">
        <f>'THAM_SO_MOI'!$D$53</f>
        <v>1.1</v>
      </c>
      <c r="I3616" s="75">
        <f>IF(F3616&gt;'THAM_SO_MOI'!$C$14,'THAM_SO_MOI'!$C$13*(1+F3616^2/1500),'THAM_SO_MOI'!$C$13)</f>
        <v>0.015</v>
      </c>
      <c r="J3616" s="75">
        <f>'THAM_SO_MOI'!$C$40*('THAM_SO_MOI'!$C$23*(E3616/'THAM_SO_MOI'!$C$22)+'THAM_SO_MOI'!$C$24*(E3616/'THAM_SO_MOI'!$C$22)^2-'THAM_SO_MOI'!$C$25*(E3616/'THAM_SO_MOI'!$C$22)^3)</f>
        <v>81.979069489171</v>
      </c>
      <c r="K3616" s="75">
        <f>'THAM_SO_MOI'!$C$31*J3616/E3616</f>
        <v>425.0235217432805</v>
      </c>
      <c r="L3616" s="75">
        <f>K3616*'THAM_SO_MOI'!$C$53*'THAM_SO_MOI'!$C$17/'THAM_SO_MOI'!$C$26</f>
        <v>3727.457948792247</v>
      </c>
      <c r="M3616" s="75">
        <f>'THAM_SO_MOI'!$C$15*'THAM_SO_MOI'!$C$16*F3616^2</f>
        <v>1022.6053443562499</v>
      </c>
      <c r="N3616" s="75">
        <f>'THAM_SO_MOI'!$C$12*I3616</f>
        <v>1130.112</v>
      </c>
      <c r="O3616" s="75">
        <f>M3616+N3616</f>
        <v>2152.71734435625</v>
      </c>
      <c r="P3616" s="75">
        <f>(MIN(L3616,'THAM_SO_MOI'!$C$41)-O3616)/('THAM_SO_MOI'!$C$11*H3616)</f>
        <v>0.18640395412357916</v>
      </c>
      <c r="Q3616" s="75">
        <f>IF(P3616&gt;0,1/P3616,NA())</f>
        <v>5.3646930651322755</v>
      </c>
      <c r="R3616" s="75">
        <f>F3616-F3615</f>
        <v>0.0073885545698715305</v>
      </c>
      <c r="S3616" s="75">
        <f>0.5*(Q3615+Q3616)*R3616</f>
        <v>0.03962969305736072</v>
      </c>
      <c r="T3616" s="75">
        <f>0.5*(F3615*Q3615+F3616*Q3616)*R3616</f>
        <v>0.7408426960246334</v>
      </c>
      <c r="U3616" s="76">
        <f>U3615+S3616</f>
        <v>40.59606262584717</v>
      </c>
      <c r="V3616" s="76">
        <f>V3615+T3616</f>
        <v>496.2401087379688</v>
      </c>
    </row>
    <row r="3617" spans="1:22" ht="19" customHeight="1">
      <c r="A3617" s="68" t="s">
        <v>378</v>
      </c>
      <c r="B3617" s="74">
        <v>5</v>
      </c>
      <c r="C3617" s="68" t="s">
        <v>363</v>
      </c>
      <c r="D3617" s="68" t="s">
        <v>364</v>
      </c>
      <c r="E3617" s="75">
        <f>60*F3617*'THAM_SO_MOI'!$C$53/(2*PI()*'THAM_SO_MOI'!$C$26)</f>
        <v>1842.9557907778628</v>
      </c>
      <c r="F3617" s="75">
        <f>'HANH_TRINH'!$F$3289+('THAM_SO_MOI'!$C$14-'HANH_TRINH'!$F$3289)*327/'THAM_SO_MOI'!$C$42</f>
        <v>18.705213688450534</v>
      </c>
      <c r="G3617" s="75">
        <f>3.6*F3617</f>
        <v>67.33876927842192</v>
      </c>
      <c r="H3617" s="75">
        <f>'THAM_SO_MOI'!$D$53</f>
        <v>1.1</v>
      </c>
      <c r="I3617" s="75">
        <f>IF(F3617&gt;'THAM_SO_MOI'!$C$14,'THAM_SO_MOI'!$C$13*(1+F3617^2/1500),'THAM_SO_MOI'!$C$13)</f>
        <v>0.015</v>
      </c>
      <c r="J3617" s="75">
        <f>'THAM_SO_MOI'!$C$40*('THAM_SO_MOI'!$C$23*(E3617/'THAM_SO_MOI'!$C$22)+'THAM_SO_MOI'!$C$24*(E3617/'THAM_SO_MOI'!$C$22)^2-'THAM_SO_MOI'!$C$25*(E3617/'THAM_SO_MOI'!$C$22)^3)</f>
        <v>82.01588028256245</v>
      </c>
      <c r="K3617" s="75">
        <f>'THAM_SO_MOI'!$C$31*J3617/E3617</f>
        <v>425.0464090991887</v>
      </c>
      <c r="L3617" s="75">
        <f>K3617*'THAM_SO_MOI'!$C$53*'THAM_SO_MOI'!$C$17/'THAM_SO_MOI'!$C$26</f>
        <v>3727.6586709931194</v>
      </c>
      <c r="M3617" s="75">
        <f>'THAM_SO_MOI'!$C$15*'THAM_SO_MOI'!$C$16*F3617^2</f>
        <v>1023.4136809569972</v>
      </c>
      <c r="N3617" s="75">
        <f>'THAM_SO_MOI'!$C$12*I3617</f>
        <v>1130.112</v>
      </c>
      <c r="O3617" s="75">
        <f>M3617+N3617</f>
        <v>2153.5256809569973</v>
      </c>
      <c r="P3617" s="75">
        <f>(MIN(L3617,'THAM_SO_MOI'!$C$41)-O3617)/('THAM_SO_MOI'!$C$11*H3617)</f>
        <v>0.18633203007056368</v>
      </c>
      <c r="Q3617" s="75">
        <f>IF(P3617&gt;0,1/P3617,NA())</f>
        <v>5.366763833471365</v>
      </c>
      <c r="R3617" s="75">
        <f>F3617-F3616</f>
        <v>0.0073885545698715305</v>
      </c>
      <c r="S3617" s="75">
        <f>0.5*(Q3616+Q3617)*R3617</f>
        <v>0.03964497745477864</v>
      </c>
      <c r="T3617" s="75">
        <f>0.5*(F3616*Q3616+F3617*Q3617)*R3617</f>
        <v>0.7414213436869588</v>
      </c>
      <c r="U3617" s="76">
        <f>U3616+S3617</f>
        <v>40.635707603301945</v>
      </c>
      <c r="V3617" s="76">
        <f>V3616+T3617</f>
        <v>496.98153008165576</v>
      </c>
    </row>
    <row r="3618" spans="1:22" ht="19" customHeight="1">
      <c r="A3618" s="68" t="s">
        <v>378</v>
      </c>
      <c r="B3618" s="74">
        <v>5</v>
      </c>
      <c r="C3618" s="68" t="s">
        <v>363</v>
      </c>
      <c r="D3618" s="68" t="s">
        <v>364</v>
      </c>
      <c r="E3618" s="75">
        <f>60*F3618*'THAM_SO_MOI'!$C$53/(2*PI()*'THAM_SO_MOI'!$C$26)</f>
        <v>1843.6837578386417</v>
      </c>
      <c r="F3618" s="75">
        <f>'HANH_TRINH'!$F$3289+('THAM_SO_MOI'!$C$14-'HANH_TRINH'!$F$3289)*328/'THAM_SO_MOI'!$C$42</f>
        <v>18.712602243020406</v>
      </c>
      <c r="G3618" s="75">
        <f>3.6*F3618</f>
        <v>67.36536807487346</v>
      </c>
      <c r="H3618" s="75">
        <f>'THAM_SO_MOI'!$D$53</f>
        <v>1.1</v>
      </c>
      <c r="I3618" s="75">
        <f>IF(F3618&gt;'THAM_SO_MOI'!$C$14,'THAM_SO_MOI'!$C$13*(1+F3618^2/1500),'THAM_SO_MOI'!$C$13)</f>
        <v>0.015</v>
      </c>
      <c r="J3618" s="75">
        <f>'THAM_SO_MOI'!$C$40*('THAM_SO_MOI'!$C$23*(E3618/'THAM_SO_MOI'!$C$22)+'THAM_SO_MOI'!$C$24*(E3618/'THAM_SO_MOI'!$C$22)^2-'THAM_SO_MOI'!$C$25*(E3618/'THAM_SO_MOI'!$C$22)^3)</f>
        <v>82.05268464062668</v>
      </c>
      <c r="K3618" s="75">
        <f>'THAM_SO_MOI'!$C$31*J3618/E3618</f>
        <v>425.0692450433917</v>
      </c>
      <c r="L3618" s="75">
        <f>K3618*'THAM_SO_MOI'!$C$53*'THAM_SO_MOI'!$C$17/'THAM_SO_MOI'!$C$26</f>
        <v>3727.8589423131357</v>
      </c>
      <c r="M3618" s="75">
        <f>'THAM_SO_MOI'!$C$15*'THAM_SO_MOI'!$C$16*F3618^2</f>
        <v>1024.2223369135652</v>
      </c>
      <c r="N3618" s="75">
        <f>'THAM_SO_MOI'!$C$12*I3618</f>
        <v>1130.112</v>
      </c>
      <c r="O3618" s="75">
        <f>M3618+N3618</f>
        <v>2154.3343369135655</v>
      </c>
      <c r="P3618" s="75">
        <f>(MIN(L3618,'THAM_SO_MOI'!$C$41)-O3618)/('THAM_SO_MOI'!$C$11*H3618)</f>
        <v>0.18626001484369917</v>
      </c>
      <c r="Q3618" s="75">
        <f>IF(P3618&gt;0,1/P3618,NA())</f>
        <v>5.368838829091439</v>
      </c>
      <c r="R3618" s="75">
        <f>F3618-F3617</f>
        <v>0.0073885545698715305</v>
      </c>
      <c r="S3618" s="75">
        <f>0.5*(Q3617+Q3618)*R3618</f>
        <v>0.03966029305640169</v>
      </c>
      <c r="T3618" s="75">
        <f>0.5*(F3617*Q3617+F3618*Q3618)*R3618</f>
        <v>0.7420008010052026</v>
      </c>
      <c r="U3618" s="76">
        <f>U3617+S3618</f>
        <v>40.675367896358345</v>
      </c>
      <c r="V3618" s="76">
        <f>V3617+T3618</f>
        <v>497.72353088266095</v>
      </c>
    </row>
    <row r="3619" spans="1:22" ht="19" customHeight="1">
      <c r="A3619" s="68" t="s">
        <v>378</v>
      </c>
      <c r="B3619" s="74">
        <v>5</v>
      </c>
      <c r="C3619" s="68" t="s">
        <v>363</v>
      </c>
      <c r="D3619" s="68" t="s">
        <v>364</v>
      </c>
      <c r="E3619" s="75">
        <f>60*F3619*'THAM_SO_MOI'!$C$53/(2*PI()*'THAM_SO_MOI'!$C$26)</f>
        <v>1844.4117248994205</v>
      </c>
      <c r="F3619" s="75">
        <f>'HANH_TRINH'!$F$3289+('THAM_SO_MOI'!$C$14-'HANH_TRINH'!$F$3289)*329/'THAM_SO_MOI'!$C$42</f>
        <v>18.719990797590278</v>
      </c>
      <c r="G3619" s="75">
        <f>3.6*F3619</f>
        <v>67.391966871325</v>
      </c>
      <c r="H3619" s="75">
        <f>'THAM_SO_MOI'!$D$53</f>
        <v>1.1</v>
      </c>
      <c r="I3619" s="75">
        <f>IF(F3619&gt;'THAM_SO_MOI'!$C$14,'THAM_SO_MOI'!$C$13*(1+F3619^2/1500),'THAM_SO_MOI'!$C$13)</f>
        <v>0.015</v>
      </c>
      <c r="J3619" s="75">
        <f>'THAM_SO_MOI'!$C$40*('THAM_SO_MOI'!$C$23*(E3619/'THAM_SO_MOI'!$C$22)+'THAM_SO_MOI'!$C$24*(E3619/'THAM_SO_MOI'!$C$22)^2-'THAM_SO_MOI'!$C$25*(E3619/'THAM_SO_MOI'!$C$22)^3)</f>
        <v>82.0894825516081</v>
      </c>
      <c r="K3619" s="75">
        <f>'THAM_SO_MOI'!$C$31*J3619/E3619</f>
        <v>425.0920295758891</v>
      </c>
      <c r="L3619" s="75">
        <f>K3619*'THAM_SO_MOI'!$C$53*'THAM_SO_MOI'!$C$17/'THAM_SO_MOI'!$C$26</f>
        <v>3728.058762752293</v>
      </c>
      <c r="M3619" s="75">
        <f>'THAM_SO_MOI'!$C$15*'THAM_SO_MOI'!$C$16*F3619^2</f>
        <v>1025.0313122259543</v>
      </c>
      <c r="N3619" s="75">
        <f>'THAM_SO_MOI'!$C$12*I3619</f>
        <v>1130.112</v>
      </c>
      <c r="O3619" s="75">
        <f>M3619+N3619</f>
        <v>2155.143312225954</v>
      </c>
      <c r="P3619" s="75">
        <f>(MIN(L3619,'THAM_SO_MOI'!$C$41)-O3619)/('THAM_SO_MOI'!$C$11*H3619)</f>
        <v>0.18618790844298516</v>
      </c>
      <c r="Q3619" s="75">
        <f>IF(P3619&gt;0,1/P3619,NA())</f>
        <v>5.370918059945993</v>
      </c>
      <c r="R3619" s="75">
        <f>F3619-F3618</f>
        <v>0.0073885545698715305</v>
      </c>
      <c r="S3619" s="75">
        <f>0.5*(Q3618+Q3619)*R3619</f>
        <v>0.03967563992090339</v>
      </c>
      <c r="T3619" s="75">
        <f>0.5*(F3618*Q3618+F3619*Q3619)*R3619</f>
        <v>0.7425810697691788</v>
      </c>
      <c r="U3619" s="76">
        <f>U3618+S3619</f>
        <v>40.715043536279246</v>
      </c>
      <c r="V3619" s="76">
        <f>V3618+T3619</f>
        <v>498.46611195243014</v>
      </c>
    </row>
    <row r="3620" spans="1:22" ht="19" customHeight="1">
      <c r="A3620" s="68" t="s">
        <v>378</v>
      </c>
      <c r="B3620" s="74">
        <v>5</v>
      </c>
      <c r="C3620" s="68" t="s">
        <v>363</v>
      </c>
      <c r="D3620" s="68" t="s">
        <v>364</v>
      </c>
      <c r="E3620" s="75">
        <f>60*F3620*'THAM_SO_MOI'!$C$53/(2*PI()*'THAM_SO_MOI'!$C$26)</f>
        <v>1845.1396919601996</v>
      </c>
      <c r="F3620" s="75">
        <f>'HANH_TRINH'!$F$3289+('THAM_SO_MOI'!$C$14-'HANH_TRINH'!$F$3289)*330/'THAM_SO_MOI'!$C$42</f>
        <v>18.72737935216015</v>
      </c>
      <c r="G3620" s="75">
        <f>3.6*F3620</f>
        <v>67.41856566777653</v>
      </c>
      <c r="H3620" s="75">
        <f>'THAM_SO_MOI'!$D$53</f>
        <v>1.1</v>
      </c>
      <c r="I3620" s="75">
        <f>IF(F3620&gt;'THAM_SO_MOI'!$C$14,'THAM_SO_MOI'!$C$13*(1+F3620^2/1500),'THAM_SO_MOI'!$C$13)</f>
        <v>0.015</v>
      </c>
      <c r="J3620" s="75">
        <f>'THAM_SO_MOI'!$C$40*('THAM_SO_MOI'!$C$23*(E3620/'THAM_SO_MOI'!$C$22)+'THAM_SO_MOI'!$C$24*(E3620/'THAM_SO_MOI'!$C$22)^2-'THAM_SO_MOI'!$C$25*(E3620/'THAM_SO_MOI'!$C$22)^3)</f>
        <v>82.12627400375123</v>
      </c>
      <c r="K3620" s="75">
        <f>'THAM_SO_MOI'!$C$31*J3620/E3620</f>
        <v>425.1147626966812</v>
      </c>
      <c r="L3620" s="75">
        <f>K3620*'THAM_SO_MOI'!$C$53*'THAM_SO_MOI'!$C$17/'THAM_SO_MOI'!$C$26</f>
        <v>3728.258132310594</v>
      </c>
      <c r="M3620" s="75">
        <f>'THAM_SO_MOI'!$C$15*'THAM_SO_MOI'!$C$16*F3620^2</f>
        <v>1025.8406068941645</v>
      </c>
      <c r="N3620" s="75">
        <f>'THAM_SO_MOI'!$C$12*I3620</f>
        <v>1130.112</v>
      </c>
      <c r="O3620" s="75">
        <f>M3620+N3620</f>
        <v>2155.9526068941645</v>
      </c>
      <c r="P3620" s="75">
        <f>(MIN(L3620,'THAM_SO_MOI'!$C$41)-O3620)/('THAM_SO_MOI'!$C$11*H3620)</f>
        <v>0.18611571086842207</v>
      </c>
      <c r="Q3620" s="75">
        <f>IF(P3620&gt;0,1/P3620,NA())</f>
        <v>5.373001534013259</v>
      </c>
      <c r="R3620" s="75">
        <f>F3620-F3619</f>
        <v>0.0073885545698715305</v>
      </c>
      <c r="S3620" s="75">
        <f>0.5*(Q3619+Q3620)*R3620</f>
        <v>0.03969101810713995</v>
      </c>
      <c r="T3620" s="75">
        <f>0.5*(F3619*Q3619+F3620*Q3620)*R3620</f>
        <v>0.7431621517738553</v>
      </c>
      <c r="U3620" s="76">
        <f>U3619+S3620</f>
        <v>40.75473455438639</v>
      </c>
      <c r="V3620" s="76">
        <f>V3619+T3620</f>
        <v>499.209274104204</v>
      </c>
    </row>
    <row r="3621" spans="1:22" ht="19" customHeight="1">
      <c r="A3621" s="68" t="s">
        <v>378</v>
      </c>
      <c r="B3621" s="74">
        <v>5</v>
      </c>
      <c r="C3621" s="68" t="s">
        <v>363</v>
      </c>
      <c r="D3621" s="68" t="s">
        <v>364</v>
      </c>
      <c r="E3621" s="75">
        <f>60*F3621*'THAM_SO_MOI'!$C$53/(2*PI()*'THAM_SO_MOI'!$C$26)</f>
        <v>1845.8676590209784</v>
      </c>
      <c r="F3621" s="75">
        <f>'HANH_TRINH'!$F$3289+('THAM_SO_MOI'!$C$14-'HANH_TRINH'!$F$3289)*331/'THAM_SO_MOI'!$C$42</f>
        <v>18.73476790673002</v>
      </c>
      <c r="G3621" s="75">
        <f>3.6*F3621</f>
        <v>67.44516446422807</v>
      </c>
      <c r="H3621" s="75">
        <f>'THAM_SO_MOI'!$D$53</f>
        <v>1.1</v>
      </c>
      <c r="I3621" s="75">
        <f>IF(F3621&gt;'THAM_SO_MOI'!$C$14,'THAM_SO_MOI'!$C$13*(1+F3621^2/1500),'THAM_SO_MOI'!$C$13)</f>
        <v>0.015</v>
      </c>
      <c r="J3621" s="75">
        <f>'THAM_SO_MOI'!$C$40*('THAM_SO_MOI'!$C$23*(E3621/'THAM_SO_MOI'!$C$22)+'THAM_SO_MOI'!$C$24*(E3621/'THAM_SO_MOI'!$C$22)^2-'THAM_SO_MOI'!$C$25*(E3621/'THAM_SO_MOI'!$C$22)^3)</f>
        <v>82.16305898530057</v>
      </c>
      <c r="K3621" s="75">
        <f>'THAM_SO_MOI'!$C$31*J3621/E3621</f>
        <v>425.137444405768</v>
      </c>
      <c r="L3621" s="75">
        <f>K3621*'THAM_SO_MOI'!$C$53*'THAM_SO_MOI'!$C$17/'THAM_SO_MOI'!$C$26</f>
        <v>3728.457050988038</v>
      </c>
      <c r="M3621" s="75">
        <f>'THAM_SO_MOI'!$C$15*'THAM_SO_MOI'!$C$16*F3621^2</f>
        <v>1026.6502209181956</v>
      </c>
      <c r="N3621" s="75">
        <f>'THAM_SO_MOI'!$C$12*I3621</f>
        <v>1130.112</v>
      </c>
      <c r="O3621" s="75">
        <f>M3621+N3621</f>
        <v>2156.7622209181955</v>
      </c>
      <c r="P3621" s="75">
        <f>(MIN(L3621,'THAM_SO_MOI'!$C$41)-O3621)/('THAM_SO_MOI'!$C$11*H3621)</f>
        <v>0.18604342212000974</v>
      </c>
      <c r="Q3621" s="75">
        <f>IF(P3621&gt;0,1/P3621,NA())</f>
        <v>5.375089259296343</v>
      </c>
      <c r="R3621" s="75">
        <f>F3621-F3620</f>
        <v>0.0073885545698715305</v>
      </c>
      <c r="S3621" s="75">
        <f>0.5*(Q3620+Q3621)*R3621</f>
        <v>0.03970642767415088</v>
      </c>
      <c r="T3621" s="75">
        <f>0.5*(F3620*Q3620+F3621*Q3621)*R3621</f>
        <v>0.7437440488193726</v>
      </c>
      <c r="U3621" s="76">
        <f>U3620+S3621</f>
        <v>40.794440982060536</v>
      </c>
      <c r="V3621" s="76">
        <f>V3620+T3621</f>
        <v>499.9530181530234</v>
      </c>
    </row>
    <row r="3622" spans="1:22" ht="19" customHeight="1">
      <c r="A3622" s="68" t="s">
        <v>378</v>
      </c>
      <c r="B3622" s="74">
        <v>5</v>
      </c>
      <c r="C3622" s="68" t="s">
        <v>363</v>
      </c>
      <c r="D3622" s="68" t="s">
        <v>364</v>
      </c>
      <c r="E3622" s="75">
        <f>60*F3622*'THAM_SO_MOI'!$C$53/(2*PI()*'THAM_SO_MOI'!$C$26)</f>
        <v>1846.5956260817577</v>
      </c>
      <c r="F3622" s="75">
        <f>'HANH_TRINH'!$F$3289+('THAM_SO_MOI'!$C$14-'HANH_TRINH'!$F$3289)*332/'THAM_SO_MOI'!$C$42</f>
        <v>18.742156461299896</v>
      </c>
      <c r="G3622" s="75">
        <f>3.6*F3622</f>
        <v>67.47176326067962</v>
      </c>
      <c r="H3622" s="75">
        <f>'THAM_SO_MOI'!$D$53</f>
        <v>1.1</v>
      </c>
      <c r="I3622" s="75">
        <f>IF(F3622&gt;'THAM_SO_MOI'!$C$14,'THAM_SO_MOI'!$C$13*(1+F3622^2/1500),'THAM_SO_MOI'!$C$13)</f>
        <v>0.015</v>
      </c>
      <c r="J3622" s="75">
        <f>'THAM_SO_MOI'!$C$40*('THAM_SO_MOI'!$C$23*(E3622/'THAM_SO_MOI'!$C$22)+'THAM_SO_MOI'!$C$24*(E3622/'THAM_SO_MOI'!$C$22)^2-'THAM_SO_MOI'!$C$25*(E3622/'THAM_SO_MOI'!$C$22)^3)</f>
        <v>82.19983748450058</v>
      </c>
      <c r="K3622" s="75">
        <f>'THAM_SO_MOI'!$C$31*J3622/E3622</f>
        <v>425.16007470314923</v>
      </c>
      <c r="L3622" s="75">
        <f>K3622*'THAM_SO_MOI'!$C$53*'THAM_SO_MOI'!$C$17/'THAM_SO_MOI'!$C$26</f>
        <v>3728.6555187846234</v>
      </c>
      <c r="M3622" s="75">
        <f>'THAM_SO_MOI'!$C$15*'THAM_SO_MOI'!$C$16*F3622^2</f>
        <v>1027.4601542980479</v>
      </c>
      <c r="N3622" s="75">
        <f>'THAM_SO_MOI'!$C$12*I3622</f>
        <v>1130.112</v>
      </c>
      <c r="O3622" s="75">
        <f>M3622+N3622</f>
        <v>2157.572154298048</v>
      </c>
      <c r="P3622" s="75">
        <f>(MIN(L3622,'THAM_SO_MOI'!$C$41)-O3622)/('THAM_SO_MOI'!$C$11*H3622)</f>
        <v>0.18597104219774802</v>
      </c>
      <c r="Q3622" s="75">
        <f>IF(P3622&gt;0,1/P3622,NA())</f>
        <v>5.377181243823289</v>
      </c>
      <c r="R3622" s="75">
        <f>F3622-F3621</f>
        <v>0.007388554569875083</v>
      </c>
      <c r="S3622" s="75">
        <f>0.5*(Q3621+Q3622)*R3622</f>
        <v>0.03972186868117881</v>
      </c>
      <c r="T3622" s="75">
        <f>0.5*(F3621*Q3621+F3622*Q3622)*R3622</f>
        <v>0.7443267627114224</v>
      </c>
      <c r="U3622" s="76">
        <f>U3621+S3622</f>
        <v>40.83416285074171</v>
      </c>
      <c r="V3622" s="76">
        <f>V3621+T3622</f>
        <v>500.6973449157348</v>
      </c>
    </row>
    <row r="3623" spans="1:22" ht="19" customHeight="1">
      <c r="A3623" s="68" t="s">
        <v>378</v>
      </c>
      <c r="B3623" s="74">
        <v>5</v>
      </c>
      <c r="C3623" s="68" t="s">
        <v>363</v>
      </c>
      <c r="D3623" s="68" t="s">
        <v>364</v>
      </c>
      <c r="E3623" s="75">
        <f>60*F3623*'THAM_SO_MOI'!$C$53/(2*PI()*'THAM_SO_MOI'!$C$26)</f>
        <v>1847.3235931425365</v>
      </c>
      <c r="F3623" s="75">
        <f>'HANH_TRINH'!$F$3289+('THAM_SO_MOI'!$C$14-'HANH_TRINH'!$F$3289)*333/'THAM_SO_MOI'!$C$42</f>
        <v>18.749545015869767</v>
      </c>
      <c r="G3623" s="75">
        <f>3.6*F3623</f>
        <v>67.49836205713116</v>
      </c>
      <c r="H3623" s="75">
        <f>'THAM_SO_MOI'!$D$53</f>
        <v>1.1</v>
      </c>
      <c r="I3623" s="75">
        <f>IF(F3623&gt;'THAM_SO_MOI'!$C$14,'THAM_SO_MOI'!$C$13*(1+F3623^2/1500),'THAM_SO_MOI'!$C$13)</f>
        <v>0.015</v>
      </c>
      <c r="J3623" s="75">
        <f>'THAM_SO_MOI'!$C$40*('THAM_SO_MOI'!$C$23*(E3623/'THAM_SO_MOI'!$C$22)+'THAM_SO_MOI'!$C$24*(E3623/'THAM_SO_MOI'!$C$22)^2-'THAM_SO_MOI'!$C$25*(E3623/'THAM_SO_MOI'!$C$22)^3)</f>
        <v>82.2366094895957</v>
      </c>
      <c r="K3623" s="75">
        <f>'THAM_SO_MOI'!$C$31*J3623/E3623</f>
        <v>425.1826535888249</v>
      </c>
      <c r="L3623" s="75">
        <f>K3623*'THAM_SO_MOI'!$C$53*'THAM_SO_MOI'!$C$17/'THAM_SO_MOI'!$C$26</f>
        <v>3728.8535357003493</v>
      </c>
      <c r="M3623" s="75">
        <f>'THAM_SO_MOI'!$C$15*'THAM_SO_MOI'!$C$16*F3623^2</f>
        <v>1028.270407033721</v>
      </c>
      <c r="N3623" s="75">
        <f>'THAM_SO_MOI'!$C$12*I3623</f>
        <v>1130.112</v>
      </c>
      <c r="O3623" s="75">
        <f>M3623+N3623</f>
        <v>2158.3824070337214</v>
      </c>
      <c r="P3623" s="75">
        <f>(MIN(L3623,'THAM_SO_MOI'!$C$41)-O3623)/('THAM_SO_MOI'!$C$11*H3623)</f>
        <v>0.18589857110163682</v>
      </c>
      <c r="Q3623" s="75">
        <f>IF(P3623&gt;0,1/P3623,NA())</f>
        <v>5.379277495647169</v>
      </c>
      <c r="R3623" s="75">
        <f>F3623-F3622</f>
        <v>0.0073885545698715305</v>
      </c>
      <c r="S3623" s="75">
        <f>0.5*(Q3622+Q3623)*R3623</f>
        <v>0.0397373411875745</v>
      </c>
      <c r="T3623" s="75">
        <f>0.5*(F3622*Q3622+F3623*Q3623)*R3623</f>
        <v>0.7449102952594748</v>
      </c>
      <c r="U3623" s="76">
        <f>U3622+S3623</f>
        <v>40.87390019192929</v>
      </c>
      <c r="V3623" s="76">
        <f>V3622+T3623</f>
        <v>501.4422552109943</v>
      </c>
    </row>
    <row r="3624" spans="1:22" ht="19" customHeight="1">
      <c r="A3624" s="68" t="s">
        <v>378</v>
      </c>
      <c r="B3624" s="74">
        <v>5</v>
      </c>
      <c r="C3624" s="68" t="s">
        <v>363</v>
      </c>
      <c r="D3624" s="68" t="s">
        <v>364</v>
      </c>
      <c r="E3624" s="75">
        <f>60*F3624*'THAM_SO_MOI'!$C$53/(2*PI()*'THAM_SO_MOI'!$C$26)</f>
        <v>1848.0515602033156</v>
      </c>
      <c r="F3624" s="75">
        <f>'HANH_TRINH'!$F$3289+('THAM_SO_MOI'!$C$14-'HANH_TRINH'!$F$3289)*334/'THAM_SO_MOI'!$C$42</f>
        <v>18.75693357043964</v>
      </c>
      <c r="G3624" s="75">
        <f>3.6*F3624</f>
        <v>67.5249608535827</v>
      </c>
      <c r="H3624" s="75">
        <f>'THAM_SO_MOI'!$D$53</f>
        <v>1.1</v>
      </c>
      <c r="I3624" s="75">
        <f>IF(F3624&gt;'THAM_SO_MOI'!$C$14,'THAM_SO_MOI'!$C$13*(1+F3624^2/1500),'THAM_SO_MOI'!$C$13)</f>
        <v>0.015</v>
      </c>
      <c r="J3624" s="75">
        <f>'THAM_SO_MOI'!$C$40*('THAM_SO_MOI'!$C$23*(E3624/'THAM_SO_MOI'!$C$22)+'THAM_SO_MOI'!$C$24*(E3624/'THAM_SO_MOI'!$C$22)^2-'THAM_SO_MOI'!$C$25*(E3624/'THAM_SO_MOI'!$C$22)^3)</f>
        <v>82.27337498883047</v>
      </c>
      <c r="K3624" s="75">
        <f>'THAM_SO_MOI'!$C$31*J3624/E3624</f>
        <v>425.20518106279525</v>
      </c>
      <c r="L3624" s="75">
        <f>K3624*'THAM_SO_MOI'!$C$53*'THAM_SO_MOI'!$C$17/'THAM_SO_MOI'!$C$26</f>
        <v>3729.0511017352183</v>
      </c>
      <c r="M3624" s="75">
        <f>'THAM_SO_MOI'!$C$15*'THAM_SO_MOI'!$C$16*F3624^2</f>
        <v>1029.0809791252152</v>
      </c>
      <c r="N3624" s="75">
        <f>'THAM_SO_MOI'!$C$12*I3624</f>
        <v>1130.112</v>
      </c>
      <c r="O3624" s="75">
        <f>M3624+N3624</f>
        <v>2159.192979125215</v>
      </c>
      <c r="P3624" s="75">
        <f>(MIN(L3624,'THAM_SO_MOI'!$C$41)-O3624)/('THAM_SO_MOI'!$C$11*H3624)</f>
        <v>0.18582600883167652</v>
      </c>
      <c r="Q3624" s="75">
        <f>IF(P3624&gt;0,1/P3624,NA())</f>
        <v>5.381378022846158</v>
      </c>
      <c r="R3624" s="75">
        <f>F3624-F3623</f>
        <v>0.0073885545698715305</v>
      </c>
      <c r="S3624" s="75">
        <f>0.5*(Q3623+Q3624)*R3624</f>
        <v>0.03975284525298858</v>
      </c>
      <c r="T3624" s="75">
        <f>0.5*(F3623*Q3623+F3624*Q3624)*R3624</f>
        <v>0.7454946482803767</v>
      </c>
      <c r="U3624" s="76">
        <f>U3623+S3624</f>
        <v>40.91365303718228</v>
      </c>
      <c r="V3624" s="76">
        <f>V3623+T3624</f>
        <v>502.1877498592747</v>
      </c>
    </row>
    <row r="3625" spans="1:22" ht="19" customHeight="1">
      <c r="A3625" s="68" t="s">
        <v>378</v>
      </c>
      <c r="B3625" s="74">
        <v>5</v>
      </c>
      <c r="C3625" s="68" t="s">
        <v>363</v>
      </c>
      <c r="D3625" s="68" t="s">
        <v>364</v>
      </c>
      <c r="E3625" s="75">
        <f>60*F3625*'THAM_SO_MOI'!$C$53/(2*PI()*'THAM_SO_MOI'!$C$26)</f>
        <v>1848.7795272640944</v>
      </c>
      <c r="F3625" s="75">
        <f>'HANH_TRINH'!$F$3289+('THAM_SO_MOI'!$C$14-'HANH_TRINH'!$F$3289)*335/'THAM_SO_MOI'!$C$42</f>
        <v>18.76432212500951</v>
      </c>
      <c r="G3625" s="75">
        <f>3.6*F3625</f>
        <v>67.55155965003424</v>
      </c>
      <c r="H3625" s="75">
        <f>'THAM_SO_MOI'!$D$53</f>
        <v>1.1</v>
      </c>
      <c r="I3625" s="75">
        <f>IF(F3625&gt;'THAM_SO_MOI'!$C$14,'THAM_SO_MOI'!$C$13*(1+F3625^2/1500),'THAM_SO_MOI'!$C$13)</f>
        <v>0.015</v>
      </c>
      <c r="J3625" s="75">
        <f>'THAM_SO_MOI'!$C$40*('THAM_SO_MOI'!$C$23*(E3625/'THAM_SO_MOI'!$C$22)+'THAM_SO_MOI'!$C$24*(E3625/'THAM_SO_MOI'!$C$22)^2-'THAM_SO_MOI'!$C$25*(E3625/'THAM_SO_MOI'!$C$22)^3)</f>
        <v>82.31013397044936</v>
      </c>
      <c r="K3625" s="75">
        <f>'THAM_SO_MOI'!$C$31*J3625/E3625</f>
        <v>425.2276571250602</v>
      </c>
      <c r="L3625" s="75">
        <f>K3625*'THAM_SO_MOI'!$C$53*'THAM_SO_MOI'!$C$17/'THAM_SO_MOI'!$C$26</f>
        <v>3729.24821688923</v>
      </c>
      <c r="M3625" s="75">
        <f>'THAM_SO_MOI'!$C$15*'THAM_SO_MOI'!$C$16*F3625^2</f>
        <v>1029.8918705725303</v>
      </c>
      <c r="N3625" s="75">
        <f>'THAM_SO_MOI'!$C$12*I3625</f>
        <v>1130.112</v>
      </c>
      <c r="O3625" s="75">
        <f>M3625+N3625</f>
        <v>2160.00387057253</v>
      </c>
      <c r="P3625" s="75">
        <f>(MIN(L3625,'THAM_SO_MOI'!$C$41)-O3625)/('THAM_SO_MOI'!$C$11*H3625)</f>
        <v>0.18575335538786697</v>
      </c>
      <c r="Q3625" s="75">
        <f>IF(P3625&gt;0,1/P3625,NA())</f>
        <v>5.383482833523652</v>
      </c>
      <c r="R3625" s="75">
        <f>F3625-F3624</f>
        <v>0.0073885545698715305</v>
      </c>
      <c r="S3625" s="75">
        <f>0.5*(Q3624+Q3625)*R3625</f>
        <v>0.03976838093718116</v>
      </c>
      <c r="T3625" s="75">
        <f>0.5*(F3624*Q3624+F3625*Q3625)*R3625</f>
        <v>0.7460798235947922</v>
      </c>
      <c r="U3625" s="76">
        <f>U3624+S3625</f>
        <v>40.95342141811946</v>
      </c>
      <c r="V3625" s="76">
        <f>V3624+T3625</f>
        <v>502.9338296828695</v>
      </c>
    </row>
    <row r="3626" spans="1:22" ht="19" customHeight="1">
      <c r="A3626" s="68" t="s">
        <v>378</v>
      </c>
      <c r="B3626" s="74">
        <v>5</v>
      </c>
      <c r="C3626" s="68" t="s">
        <v>363</v>
      </c>
      <c r="D3626" s="68" t="s">
        <v>364</v>
      </c>
      <c r="E3626" s="75">
        <f>60*F3626*'THAM_SO_MOI'!$C$53/(2*PI()*'THAM_SO_MOI'!$C$26)</f>
        <v>1849.5074943248733</v>
      </c>
      <c r="F3626" s="75">
        <f>'HANH_TRINH'!$F$3289+('THAM_SO_MOI'!$C$14-'HANH_TRINH'!$F$3289)*336/'THAM_SO_MOI'!$C$42</f>
        <v>18.77171067957938</v>
      </c>
      <c r="G3626" s="75">
        <f>3.6*F3626</f>
        <v>67.57815844648577</v>
      </c>
      <c r="H3626" s="75">
        <f>'THAM_SO_MOI'!$D$53</f>
        <v>1.1</v>
      </c>
      <c r="I3626" s="75">
        <f>IF(F3626&gt;'THAM_SO_MOI'!$C$14,'THAM_SO_MOI'!$C$13*(1+F3626^2/1500),'THAM_SO_MOI'!$C$13)</f>
        <v>0.015</v>
      </c>
      <c r="J3626" s="75">
        <f>'THAM_SO_MOI'!$C$40*('THAM_SO_MOI'!$C$23*(E3626/'THAM_SO_MOI'!$C$22)+'THAM_SO_MOI'!$C$24*(E3626/'THAM_SO_MOI'!$C$22)^2-'THAM_SO_MOI'!$C$25*(E3626/'THAM_SO_MOI'!$C$22)^3)</f>
        <v>82.34688642269688</v>
      </c>
      <c r="K3626" s="75">
        <f>'THAM_SO_MOI'!$C$31*J3626/E3626</f>
        <v>425.25008177561983</v>
      </c>
      <c r="L3626" s="75">
        <f>K3626*'THAM_SO_MOI'!$C$53*'THAM_SO_MOI'!$C$17/'THAM_SO_MOI'!$C$26</f>
        <v>3729.4448811623847</v>
      </c>
      <c r="M3626" s="75">
        <f>'THAM_SO_MOI'!$C$15*'THAM_SO_MOI'!$C$16*F3626^2</f>
        <v>1030.7030813756662</v>
      </c>
      <c r="N3626" s="75">
        <f>'THAM_SO_MOI'!$C$12*I3626</f>
        <v>1130.112</v>
      </c>
      <c r="O3626" s="75">
        <f>M3626+N3626</f>
        <v>2160.8150813756665</v>
      </c>
      <c r="P3626" s="75">
        <f>(MIN(L3626,'THAM_SO_MOI'!$C$41)-O3626)/('THAM_SO_MOI'!$C$11*H3626)</f>
        <v>0.18568061077020817</v>
      </c>
      <c r="Q3626" s="75">
        <f>IF(P3626&gt;0,1/P3626,NA())</f>
        <v>5.385591935808338</v>
      </c>
      <c r="R3626" s="75">
        <f>F3626-F3625</f>
        <v>0.0073885545698715305</v>
      </c>
      <c r="S3626" s="75">
        <f>0.5*(Q3625+Q3626)*R3626</f>
        <v>0.039783948300118034</v>
      </c>
      <c r="T3626" s="75">
        <f>0.5*(F3625*Q3625+F3626*Q3626)*R3626</f>
        <v>0.7466658230290124</v>
      </c>
      <c r="U3626" s="76">
        <f>U3625+S3626</f>
        <v>40.99320536641958</v>
      </c>
      <c r="V3626" s="76">
        <f>V3625+T3626</f>
        <v>503.6804955058985</v>
      </c>
    </row>
    <row r="3627" spans="1:22" ht="19" customHeight="1">
      <c r="A3627" s="68" t="s">
        <v>378</v>
      </c>
      <c r="B3627" s="74">
        <v>5</v>
      </c>
      <c r="C3627" s="68" t="s">
        <v>363</v>
      </c>
      <c r="D3627" s="68" t="s">
        <v>364</v>
      </c>
      <c r="E3627" s="75">
        <f>60*F3627*'THAM_SO_MOI'!$C$53/(2*PI()*'THAM_SO_MOI'!$C$26)</f>
        <v>1850.2354613856521</v>
      </c>
      <c r="F3627" s="75">
        <f>'HANH_TRINH'!$F$3289+('THAM_SO_MOI'!$C$14-'HANH_TRINH'!$F$3289)*337/'THAM_SO_MOI'!$C$42</f>
        <v>18.779099234149253</v>
      </c>
      <c r="G3627" s="75">
        <f>3.6*F3627</f>
        <v>67.60475724293731</v>
      </c>
      <c r="H3627" s="75">
        <f>'THAM_SO_MOI'!$D$53</f>
        <v>1.1</v>
      </c>
      <c r="I3627" s="75">
        <f>IF(F3627&gt;'THAM_SO_MOI'!$C$14,'THAM_SO_MOI'!$C$13*(1+F3627^2/1500),'THAM_SO_MOI'!$C$13)</f>
        <v>0.015</v>
      </c>
      <c r="J3627" s="75">
        <f>'THAM_SO_MOI'!$C$40*('THAM_SO_MOI'!$C$23*(E3627/'THAM_SO_MOI'!$C$22)+'THAM_SO_MOI'!$C$24*(E3627/'THAM_SO_MOI'!$C$22)^2-'THAM_SO_MOI'!$C$25*(E3627/'THAM_SO_MOI'!$C$22)^3)</f>
        <v>82.38363233381745</v>
      </c>
      <c r="K3627" s="75">
        <f>'THAM_SO_MOI'!$C$31*J3627/E3627</f>
        <v>425.27245501447373</v>
      </c>
      <c r="L3627" s="75">
        <f>K3627*'THAM_SO_MOI'!$C$53*'THAM_SO_MOI'!$C$17/'THAM_SO_MOI'!$C$26</f>
        <v>3729.6410945546795</v>
      </c>
      <c r="M3627" s="75">
        <f>'THAM_SO_MOI'!$C$15*'THAM_SO_MOI'!$C$16*F3627^2</f>
        <v>1031.5146115346233</v>
      </c>
      <c r="N3627" s="75">
        <f>'THAM_SO_MOI'!$C$12*I3627</f>
        <v>1130.112</v>
      </c>
      <c r="O3627" s="75">
        <f>M3627+N3627</f>
        <v>2161.6266115346234</v>
      </c>
      <c r="P3627" s="75">
        <f>(MIN(L3627,'THAM_SO_MOI'!$C$41)-O3627)/('THAM_SO_MOI'!$C$11*H3627)</f>
        <v>0.18560777497869982</v>
      </c>
      <c r="Q3627" s="75">
        <f>IF(P3627&gt;0,1/P3627,NA())</f>
        <v>5.387705337854296</v>
      </c>
      <c r="R3627" s="75">
        <f>F3627-F3626</f>
        <v>0.0073885545698715305</v>
      </c>
      <c r="S3627" s="75">
        <f>0.5*(Q3626+Q3627)*R3627</f>
        <v>0.03979954740195228</v>
      </c>
      <c r="T3627" s="75">
        <f>0.5*(F3626*Q3626+F3627*Q3627)*R3627</f>
        <v>0.7472526484146159</v>
      </c>
      <c r="U3627" s="76">
        <f>U3626+S3627</f>
        <v>41.033004913821536</v>
      </c>
      <c r="V3627" s="76">
        <f>V3626+T3627</f>
        <v>504.4277481543131</v>
      </c>
    </row>
    <row r="3628" spans="1:22" ht="19" customHeight="1">
      <c r="A3628" s="68" t="s">
        <v>378</v>
      </c>
      <c r="B3628" s="74">
        <v>5</v>
      </c>
      <c r="C3628" s="68" t="s">
        <v>363</v>
      </c>
      <c r="D3628" s="68" t="s">
        <v>364</v>
      </c>
      <c r="E3628" s="75">
        <f>60*F3628*'THAM_SO_MOI'!$C$53/(2*PI()*'THAM_SO_MOI'!$C$26)</f>
        <v>1850.9634284464316</v>
      </c>
      <c r="F3628" s="75">
        <f>'HANH_TRINH'!$F$3289+('THAM_SO_MOI'!$C$14-'HANH_TRINH'!$F$3289)*338/'THAM_SO_MOI'!$C$42</f>
        <v>18.78648778871913</v>
      </c>
      <c r="G3628" s="75">
        <f>3.6*F3628</f>
        <v>67.63135603938886</v>
      </c>
      <c r="H3628" s="75">
        <f>'THAM_SO_MOI'!$D$53</f>
        <v>1.1</v>
      </c>
      <c r="I3628" s="75">
        <f>IF(F3628&gt;'THAM_SO_MOI'!$C$14,'THAM_SO_MOI'!$C$13*(1+F3628^2/1500),'THAM_SO_MOI'!$C$13)</f>
        <v>0.015</v>
      </c>
      <c r="J3628" s="75">
        <f>'THAM_SO_MOI'!$C$40*('THAM_SO_MOI'!$C$23*(E3628/'THAM_SO_MOI'!$C$22)+'THAM_SO_MOI'!$C$24*(E3628/'THAM_SO_MOI'!$C$22)^2-'THAM_SO_MOI'!$C$25*(E3628/'THAM_SO_MOI'!$C$22)^3)</f>
        <v>82.42037169205565</v>
      </c>
      <c r="K3628" s="75">
        <f>'THAM_SO_MOI'!$C$31*J3628/E3628</f>
        <v>425.2947768416224</v>
      </c>
      <c r="L3628" s="75">
        <f>K3628*'THAM_SO_MOI'!$C$53*'THAM_SO_MOI'!$C$17/'THAM_SO_MOI'!$C$26</f>
        <v>3729.8368570661182</v>
      </c>
      <c r="M3628" s="75">
        <f>'THAM_SO_MOI'!$C$15*'THAM_SO_MOI'!$C$16*F3628^2</f>
        <v>1032.3264610494018</v>
      </c>
      <c r="N3628" s="75">
        <f>'THAM_SO_MOI'!$C$12*I3628</f>
        <v>1130.112</v>
      </c>
      <c r="O3628" s="75">
        <f>M3628+N3628</f>
        <v>2162.4384610494017</v>
      </c>
      <c r="P3628" s="75">
        <f>(MIN(L3628,'THAM_SO_MOI'!$C$41)-O3628)/('THAM_SO_MOI'!$C$11*H3628)</f>
        <v>0.18553484801334233</v>
      </c>
      <c r="Q3628" s="75">
        <f>IF(P3628&gt;0,1/P3628,NA())</f>
        <v>5.389823047841057</v>
      </c>
      <c r="R3628" s="75">
        <f>F3628-F3627</f>
        <v>0.007388554569875083</v>
      </c>
      <c r="S3628" s="75">
        <f>0.5*(Q3627+Q3628)*R3628</f>
        <v>0.039815178303043916</v>
      </c>
      <c r="T3628" s="75">
        <f>0.5*(F3627*Q3627+F3628*Q3628)*R3628</f>
        <v>0.7478403015888467</v>
      </c>
      <c r="U3628" s="76">
        <f>U3627+S3628</f>
        <v>41.07282009212458</v>
      </c>
      <c r="V3628" s="76">
        <f>V3627+T3628</f>
        <v>505.17558845590196</v>
      </c>
    </row>
    <row r="3629" spans="1:22" ht="19" customHeight="1">
      <c r="A3629" s="68" t="s">
        <v>378</v>
      </c>
      <c r="B3629" s="74">
        <v>5</v>
      </c>
      <c r="C3629" s="68" t="s">
        <v>363</v>
      </c>
      <c r="D3629" s="68" t="s">
        <v>364</v>
      </c>
      <c r="E3629" s="75">
        <f>60*F3629*'THAM_SO_MOI'!$C$53/(2*PI()*'THAM_SO_MOI'!$C$26)</f>
        <v>1851.6913955072105</v>
      </c>
      <c r="F3629" s="75">
        <f>'HANH_TRINH'!$F$3289+('THAM_SO_MOI'!$C$14-'HANH_TRINH'!$F$3289)*339/'THAM_SO_MOI'!$C$42</f>
        <v>18.793876343289</v>
      </c>
      <c r="G3629" s="75">
        <f>3.6*F3629</f>
        <v>67.6579548358404</v>
      </c>
      <c r="H3629" s="75">
        <f>'THAM_SO_MOI'!$D$53</f>
        <v>1.1</v>
      </c>
      <c r="I3629" s="75">
        <f>IF(F3629&gt;'THAM_SO_MOI'!$C$14,'THAM_SO_MOI'!$C$13*(1+F3629^2/1500),'THAM_SO_MOI'!$C$13)</f>
        <v>0.015</v>
      </c>
      <c r="J3629" s="75">
        <f>'THAM_SO_MOI'!$C$40*('THAM_SO_MOI'!$C$23*(E3629/'THAM_SO_MOI'!$C$22)+'THAM_SO_MOI'!$C$24*(E3629/'THAM_SO_MOI'!$C$22)^2-'THAM_SO_MOI'!$C$25*(E3629/'THAM_SO_MOI'!$C$22)^3)</f>
        <v>82.45710448565586</v>
      </c>
      <c r="K3629" s="75">
        <f>'THAM_SO_MOI'!$C$31*J3629/E3629</f>
        <v>425.31704725706555</v>
      </c>
      <c r="L3629" s="75">
        <f>K3629*'THAM_SO_MOI'!$C$53*'THAM_SO_MOI'!$C$17/'THAM_SO_MOI'!$C$26</f>
        <v>3730.032168696698</v>
      </c>
      <c r="M3629" s="75">
        <f>'THAM_SO_MOI'!$C$15*'THAM_SO_MOI'!$C$16*F3629^2</f>
        <v>1033.138629920001</v>
      </c>
      <c r="N3629" s="75">
        <f>'THAM_SO_MOI'!$C$12*I3629</f>
        <v>1130.112</v>
      </c>
      <c r="O3629" s="75">
        <f>M3629+N3629</f>
        <v>2163.2506299200013</v>
      </c>
      <c r="P3629" s="75">
        <f>(MIN(L3629,'THAM_SO_MOI'!$C$41)-O3629)/('THAM_SO_MOI'!$C$11*H3629)</f>
        <v>0.1854618298741355</v>
      </c>
      <c r="Q3629" s="75">
        <f>IF(P3629&gt;0,1/P3629,NA())</f>
        <v>5.391945073973736</v>
      </c>
      <c r="R3629" s="75">
        <f>F3629-F3628</f>
        <v>0.0073885545698715305</v>
      </c>
      <c r="S3629" s="75">
        <f>0.5*(Q3628+Q3629)*R3629</f>
        <v>0.03983084106386494</v>
      </c>
      <c r="T3629" s="75">
        <f>0.5*(F3628*Q3628+F3629*Q3629)*R3629</f>
        <v>0.7484287843928368</v>
      </c>
      <c r="U3629" s="76">
        <f>U3628+S3629</f>
        <v>41.11265093318845</v>
      </c>
      <c r="V3629" s="76">
        <f>V3628+T3629</f>
        <v>505.9240172402948</v>
      </c>
    </row>
    <row r="3630" spans="1:22" ht="19" customHeight="1">
      <c r="A3630" s="68" t="s">
        <v>378</v>
      </c>
      <c r="B3630" s="74">
        <v>5</v>
      </c>
      <c r="C3630" s="68" t="s">
        <v>363</v>
      </c>
      <c r="D3630" s="68" t="s">
        <v>364</v>
      </c>
      <c r="E3630" s="75">
        <f>60*F3630*'THAM_SO_MOI'!$C$53/(2*PI()*'THAM_SO_MOI'!$C$26)</f>
        <v>1852.4193625679898</v>
      </c>
      <c r="F3630" s="75">
        <f>'HANH_TRINH'!$F$3289+('THAM_SO_MOI'!$C$14-'HANH_TRINH'!$F$3289)*340/'THAM_SO_MOI'!$C$42</f>
        <v>18.80126489785887</v>
      </c>
      <c r="G3630" s="75">
        <f>3.6*F3630</f>
        <v>67.68455363229194</v>
      </c>
      <c r="H3630" s="75">
        <f>'THAM_SO_MOI'!$D$53</f>
        <v>1.1</v>
      </c>
      <c r="I3630" s="75">
        <f>IF(F3630&gt;'THAM_SO_MOI'!$C$14,'THAM_SO_MOI'!$C$13*(1+F3630^2/1500),'THAM_SO_MOI'!$C$13)</f>
        <v>0.015</v>
      </c>
      <c r="J3630" s="75">
        <f>'THAM_SO_MOI'!$C$40*('THAM_SO_MOI'!$C$23*(E3630/'THAM_SO_MOI'!$C$22)+'THAM_SO_MOI'!$C$24*(E3630/'THAM_SO_MOI'!$C$22)^2-'THAM_SO_MOI'!$C$25*(E3630/'THAM_SO_MOI'!$C$22)^3)</f>
        <v>82.49383070286267</v>
      </c>
      <c r="K3630" s="75">
        <f>'THAM_SO_MOI'!$C$31*J3630/E3630</f>
        <v>425.33926626080347</v>
      </c>
      <c r="L3630" s="75">
        <f>K3630*'THAM_SO_MOI'!$C$53*'THAM_SO_MOI'!$C$17/'THAM_SO_MOI'!$C$26</f>
        <v>3730.2270294464215</v>
      </c>
      <c r="M3630" s="75">
        <f>'THAM_SO_MOI'!$C$15*'THAM_SO_MOI'!$C$16*F3630^2</f>
        <v>1033.951118146421</v>
      </c>
      <c r="N3630" s="75">
        <f>'THAM_SO_MOI'!$C$12*I3630</f>
        <v>1130.112</v>
      </c>
      <c r="O3630" s="75">
        <f>M3630+N3630</f>
        <v>2164.0631181464214</v>
      </c>
      <c r="P3630" s="75">
        <f>(MIN(L3630,'THAM_SO_MOI'!$C$41)-O3630)/('THAM_SO_MOI'!$C$11*H3630)</f>
        <v>0.18538872056107955</v>
      </c>
      <c r="Q3630" s="75">
        <f>IF(P3630&gt;0,1/P3630,NA())</f>
        <v>5.394071424483091</v>
      </c>
      <c r="R3630" s="75">
        <f>F3630-F3629</f>
        <v>0.0073885545698715305</v>
      </c>
      <c r="S3630" s="75">
        <f>0.5*(Q3629+Q3630)*R3630</f>
        <v>0.03984653574519146</v>
      </c>
      <c r="T3630" s="75">
        <f>0.5*(F3629*Q3629+F3630*Q3630)*R3630</f>
        <v>0.7490180986752213</v>
      </c>
      <c r="U3630" s="76">
        <f>U3629+S3630</f>
        <v>41.15249746893364</v>
      </c>
      <c r="V3630" s="76">
        <f>V3629+T3630</f>
        <v>506.67303533897</v>
      </c>
    </row>
    <row r="3631" spans="1:22" ht="19" customHeight="1">
      <c r="A3631" s="68" t="s">
        <v>378</v>
      </c>
      <c r="B3631" s="74">
        <v>5</v>
      </c>
      <c r="C3631" s="68" t="s">
        <v>363</v>
      </c>
      <c r="D3631" s="68" t="s">
        <v>364</v>
      </c>
      <c r="E3631" s="75">
        <f>60*F3631*'THAM_SO_MOI'!$C$53/(2*PI()*'THAM_SO_MOI'!$C$26)</f>
        <v>1853.1473296287681</v>
      </c>
      <c r="F3631" s="75">
        <f>'HANH_TRINH'!$F$3289+('THAM_SO_MOI'!$C$14-'HANH_TRINH'!$F$3289)*341/'THAM_SO_MOI'!$C$42</f>
        <v>18.808653452428743</v>
      </c>
      <c r="G3631" s="75">
        <f>3.6*F3631</f>
        <v>67.71115242874347</v>
      </c>
      <c r="H3631" s="75">
        <f>'THAM_SO_MOI'!$D$53</f>
        <v>1.1</v>
      </c>
      <c r="I3631" s="75">
        <f>IF(F3631&gt;'THAM_SO_MOI'!$C$14,'THAM_SO_MOI'!$C$13*(1+F3631^2/1500),'THAM_SO_MOI'!$C$13)</f>
        <v>0.015</v>
      </c>
      <c r="J3631" s="75">
        <f>'THAM_SO_MOI'!$C$40*('THAM_SO_MOI'!$C$23*(E3631/'THAM_SO_MOI'!$C$22)+'THAM_SO_MOI'!$C$24*(E3631/'THAM_SO_MOI'!$C$22)^2-'THAM_SO_MOI'!$C$25*(E3631/'THAM_SO_MOI'!$C$22)^3)</f>
        <v>82.53055033192041</v>
      </c>
      <c r="K3631" s="75">
        <f>'THAM_SO_MOI'!$C$31*J3631/E3631</f>
        <v>425.3614338528356</v>
      </c>
      <c r="L3631" s="75">
        <f>K3631*'THAM_SO_MOI'!$C$53*'THAM_SO_MOI'!$C$17/'THAM_SO_MOI'!$C$26</f>
        <v>3730.4214393152843</v>
      </c>
      <c r="M3631" s="75">
        <f>'THAM_SO_MOI'!$C$15*'THAM_SO_MOI'!$C$16*F3631^2</f>
        <v>1034.7639257286621</v>
      </c>
      <c r="N3631" s="75">
        <f>'THAM_SO_MOI'!$C$12*I3631</f>
        <v>1130.112</v>
      </c>
      <c r="O3631" s="75">
        <f>M3631+N3631</f>
        <v>2164.875925728662</v>
      </c>
      <c r="P3631" s="75">
        <f>(MIN(L3631,'THAM_SO_MOI'!$C$41)-O3631)/('THAM_SO_MOI'!$C$11*H3631)</f>
        <v>0.18531552007417404</v>
      </c>
      <c r="Q3631" s="75">
        <f>IF(P3631&gt;0,1/P3631,NA())</f>
        <v>5.396202107625642</v>
      </c>
      <c r="R3631" s="75">
        <f>F3631-F3630</f>
        <v>0.0073885545698715305</v>
      </c>
      <c r="S3631" s="75">
        <f>0.5*(Q3630+Q3631)*R3631</f>
        <v>0.0398622624079129</v>
      </c>
      <c r="T3631" s="75">
        <f>0.5*(F3630*Q3630+F3631*Q3631)*R3631</f>
        <v>0.7496082462885634</v>
      </c>
      <c r="U3631" s="76">
        <f>U3630+S3631</f>
        <v>41.192359731341554</v>
      </c>
      <c r="V3631" s="76">
        <f>V3630+T3631</f>
        <v>507.4226435852586</v>
      </c>
    </row>
    <row r="3632" spans="1:22" ht="19" customHeight="1">
      <c r="A3632" s="68" t="s">
        <v>378</v>
      </c>
      <c r="B3632" s="74">
        <v>5</v>
      </c>
      <c r="C3632" s="68" t="s">
        <v>363</v>
      </c>
      <c r="D3632" s="68" t="s">
        <v>364</v>
      </c>
      <c r="E3632" s="75">
        <f>60*F3632*'THAM_SO_MOI'!$C$53/(2*PI()*'THAM_SO_MOI'!$C$26)</f>
        <v>1853.8752966895474</v>
      </c>
      <c r="F3632" s="75">
        <f>'HANH_TRINH'!$F$3289+('THAM_SO_MOI'!$C$14-'HANH_TRINH'!$F$3289)*342/'THAM_SO_MOI'!$C$42</f>
        <v>18.816042006998615</v>
      </c>
      <c r="G3632" s="75">
        <f>3.6*F3632</f>
        <v>67.73775122519501</v>
      </c>
      <c r="H3632" s="75">
        <f>'THAM_SO_MOI'!$D$53</f>
        <v>1.1</v>
      </c>
      <c r="I3632" s="75">
        <f>IF(F3632&gt;'THAM_SO_MOI'!$C$14,'THAM_SO_MOI'!$C$13*(1+F3632^2/1500),'THAM_SO_MOI'!$C$13)</f>
        <v>0.015</v>
      </c>
      <c r="J3632" s="75">
        <f>'THAM_SO_MOI'!$C$40*('THAM_SO_MOI'!$C$23*(E3632/'THAM_SO_MOI'!$C$22)+'THAM_SO_MOI'!$C$24*(E3632/'THAM_SO_MOI'!$C$22)^2-'THAM_SO_MOI'!$C$25*(E3632/'THAM_SO_MOI'!$C$22)^3)</f>
        <v>82.56726336107376</v>
      </c>
      <c r="K3632" s="75">
        <f>'THAM_SO_MOI'!$C$31*J3632/E3632</f>
        <v>425.38355003316263</v>
      </c>
      <c r="L3632" s="75">
        <f>K3632*'THAM_SO_MOI'!$C$53*'THAM_SO_MOI'!$C$17/'THAM_SO_MOI'!$C$26</f>
        <v>3730.6153983032927</v>
      </c>
      <c r="M3632" s="75">
        <f>'THAM_SO_MOI'!$C$15*'THAM_SO_MOI'!$C$16*F3632^2</f>
        <v>1035.5770526667243</v>
      </c>
      <c r="N3632" s="75">
        <f>'THAM_SO_MOI'!$C$12*I3632</f>
        <v>1130.112</v>
      </c>
      <c r="O3632" s="75">
        <f>M3632+N3632</f>
        <v>2165.6890526667244</v>
      </c>
      <c r="P3632" s="75">
        <f>(MIN(L3632,'THAM_SO_MOI'!$C$41)-O3632)/('THAM_SO_MOI'!$C$11*H3632)</f>
        <v>0.18524222841341956</v>
      </c>
      <c r="Q3632" s="75">
        <f>IF(P3632&gt;0,1/P3632,NA())</f>
        <v>5.3983371316837205</v>
      </c>
      <c r="R3632" s="75">
        <f>F3632-F3631</f>
        <v>0.0073885545698715305</v>
      </c>
      <c r="S3632" s="75">
        <f>0.5*(Q3631+Q3632)*R3632</f>
        <v>0.03987802111312837</v>
      </c>
      <c r="T3632" s="75">
        <f>0.5*(F3631*Q3631+F3632*Q3632)*R3632</f>
        <v>0.7501992290911698</v>
      </c>
      <c r="U3632" s="76">
        <f>U3631+S3632</f>
        <v>41.23223775245468</v>
      </c>
      <c r="V3632" s="76">
        <f>V3631+T3632</f>
        <v>508.17284281434974</v>
      </c>
    </row>
    <row r="3633" spans="1:22" ht="19" customHeight="1">
      <c r="A3633" s="68" t="s">
        <v>378</v>
      </c>
      <c r="B3633" s="74">
        <v>5</v>
      </c>
      <c r="C3633" s="68" t="s">
        <v>363</v>
      </c>
      <c r="D3633" s="68" t="s">
        <v>364</v>
      </c>
      <c r="E3633" s="75">
        <f>60*F3633*'THAM_SO_MOI'!$C$53/(2*PI()*'THAM_SO_MOI'!$C$26)</f>
        <v>1854.6032637503263</v>
      </c>
      <c r="F3633" s="75">
        <f>'HANH_TRINH'!$F$3289+('THAM_SO_MOI'!$C$14-'HANH_TRINH'!$F$3289)*343/'THAM_SO_MOI'!$C$42</f>
        <v>18.823430561568486</v>
      </c>
      <c r="G3633" s="75">
        <f>3.6*F3633</f>
        <v>67.76435002164655</v>
      </c>
      <c r="H3633" s="75">
        <f>'THAM_SO_MOI'!$D$53</f>
        <v>1.1</v>
      </c>
      <c r="I3633" s="75">
        <f>IF(F3633&gt;'THAM_SO_MOI'!$C$14,'THAM_SO_MOI'!$C$13*(1+F3633^2/1500),'THAM_SO_MOI'!$C$13)</f>
        <v>0.015</v>
      </c>
      <c r="J3633" s="75">
        <f>'THAM_SO_MOI'!$C$40*('THAM_SO_MOI'!$C$23*(E3633/'THAM_SO_MOI'!$C$22)+'THAM_SO_MOI'!$C$24*(E3633/'THAM_SO_MOI'!$C$22)^2-'THAM_SO_MOI'!$C$25*(E3633/'THAM_SO_MOI'!$C$22)^3)</f>
        <v>82.60396977856706</v>
      </c>
      <c r="K3633" s="75">
        <f>'THAM_SO_MOI'!$C$31*J3633/E3633</f>
        <v>425.4056148017841</v>
      </c>
      <c r="L3633" s="75">
        <f>K3633*'THAM_SO_MOI'!$C$53*'THAM_SO_MOI'!$C$17/'THAM_SO_MOI'!$C$26</f>
        <v>3730.8089064104415</v>
      </c>
      <c r="M3633" s="75">
        <f>'THAM_SO_MOI'!$C$15*'THAM_SO_MOI'!$C$16*F3633^2</f>
        <v>1036.3904989606071</v>
      </c>
      <c r="N3633" s="75">
        <f>'THAM_SO_MOI'!$C$12*I3633</f>
        <v>1130.112</v>
      </c>
      <c r="O3633" s="75">
        <f>M3633+N3633</f>
        <v>2166.502498960607</v>
      </c>
      <c r="P3633" s="75">
        <f>(MIN(L3633,'THAM_SO_MOI'!$C$41)-O3633)/('THAM_SO_MOI'!$C$11*H3633)</f>
        <v>0.1851688455788156</v>
      </c>
      <c r="Q3633" s="75">
        <f>IF(P3633&gt;0,1/P3633,NA())</f>
        <v>5.400476504965616</v>
      </c>
      <c r="R3633" s="75">
        <f>F3633-F3632</f>
        <v>0.0073885545698715305</v>
      </c>
      <c r="S3633" s="75">
        <f>0.5*(Q3632+Q3633)*R3633</f>
        <v>0.03989381192212823</v>
      </c>
      <c r="T3633" s="75">
        <f>0.5*(F3632*Q3632+F3633*Q3633)*R3633</f>
        <v>0.7507910489467523</v>
      </c>
      <c r="U3633" s="76">
        <f>U3632+S3633</f>
        <v>41.27213156437681</v>
      </c>
      <c r="V3633" s="76">
        <f>V3632+T3633</f>
        <v>508.9236338632965</v>
      </c>
    </row>
    <row r="3634" spans="1:22" ht="19" customHeight="1">
      <c r="A3634" s="68" t="s">
        <v>378</v>
      </c>
      <c r="B3634" s="74">
        <v>5</v>
      </c>
      <c r="C3634" s="68" t="s">
        <v>363</v>
      </c>
      <c r="D3634" s="68" t="s">
        <v>364</v>
      </c>
      <c r="E3634" s="75">
        <f>60*F3634*'THAM_SO_MOI'!$C$53/(2*PI()*'THAM_SO_MOI'!$C$26)</f>
        <v>1855.3312308111053</v>
      </c>
      <c r="F3634" s="75">
        <f>'HANH_TRINH'!$F$3289+('THAM_SO_MOI'!$C$14-'HANH_TRINH'!$F$3289)*344/'THAM_SO_MOI'!$C$42</f>
        <v>18.830819116138358</v>
      </c>
      <c r="G3634" s="75">
        <f>3.6*F3634</f>
        <v>67.79094881809809</v>
      </c>
      <c r="H3634" s="75">
        <f>'THAM_SO_MOI'!$D$53</f>
        <v>1.1</v>
      </c>
      <c r="I3634" s="75">
        <f>IF(F3634&gt;'THAM_SO_MOI'!$C$14,'THAM_SO_MOI'!$C$13*(1+F3634^2/1500),'THAM_SO_MOI'!$C$13)</f>
        <v>0.015</v>
      </c>
      <c r="J3634" s="75">
        <f>'THAM_SO_MOI'!$C$40*('THAM_SO_MOI'!$C$23*(E3634/'THAM_SO_MOI'!$C$22)+'THAM_SO_MOI'!$C$24*(E3634/'THAM_SO_MOI'!$C$22)^2-'THAM_SO_MOI'!$C$25*(E3634/'THAM_SO_MOI'!$C$22)^3)</f>
        <v>82.64066957264488</v>
      </c>
      <c r="K3634" s="75">
        <f>'THAM_SO_MOI'!$C$31*J3634/E3634</f>
        <v>425.42762815870026</v>
      </c>
      <c r="L3634" s="75">
        <f>K3634*'THAM_SO_MOI'!$C$53*'THAM_SO_MOI'!$C$17/'THAM_SO_MOI'!$C$26</f>
        <v>3731.0019636367338</v>
      </c>
      <c r="M3634" s="75">
        <f>'THAM_SO_MOI'!$C$15*'THAM_SO_MOI'!$C$16*F3634^2</f>
        <v>1037.2042646103114</v>
      </c>
      <c r="N3634" s="75">
        <f>'THAM_SO_MOI'!$C$12*I3634</f>
        <v>1130.112</v>
      </c>
      <c r="O3634" s="75">
        <f>M3634+N3634</f>
        <v>2167.3162646103115</v>
      </c>
      <c r="P3634" s="75">
        <f>(MIN(L3634,'THAM_SO_MOI'!$C$41)-O3634)/('THAM_SO_MOI'!$C$11*H3634)</f>
        <v>0.1850953715703625</v>
      </c>
      <c r="Q3634" s="75">
        <f>IF(P3634&gt;0,1/P3634,NA())</f>
        <v>5.402620235805617</v>
      </c>
      <c r="R3634" s="75">
        <f>F3634-F3633</f>
        <v>0.0073885545698715305</v>
      </c>
      <c r="S3634" s="75">
        <f>0.5*(Q3633+Q3634)*R3634</f>
        <v>0.03990963489639476</v>
      </c>
      <c r="T3634" s="75">
        <f>0.5*(F3633*Q3633+F3634*Q3634)*R3634</f>
        <v>0.7513837077244477</v>
      </c>
      <c r="U3634" s="76">
        <f>U3633+S3634</f>
        <v>41.3120411992732</v>
      </c>
      <c r="V3634" s="76">
        <f>V3633+T3634</f>
        <v>509.675017571021</v>
      </c>
    </row>
    <row r="3635" spans="1:22" ht="19" customHeight="1">
      <c r="A3635" s="68" t="s">
        <v>378</v>
      </c>
      <c r="B3635" s="74">
        <v>5</v>
      </c>
      <c r="C3635" s="68" t="s">
        <v>363</v>
      </c>
      <c r="D3635" s="68" t="s">
        <v>364</v>
      </c>
      <c r="E3635" s="75">
        <f>60*F3635*'THAM_SO_MOI'!$C$53/(2*PI()*'THAM_SO_MOI'!$C$26)</f>
        <v>1856.059197871884</v>
      </c>
      <c r="F3635" s="75">
        <f>'HANH_TRINH'!$F$3289+('THAM_SO_MOI'!$C$14-'HANH_TRINH'!$F$3289)*345/'THAM_SO_MOI'!$C$42</f>
        <v>18.83820767070823</v>
      </c>
      <c r="G3635" s="75">
        <f>3.6*F3635</f>
        <v>67.81754761454962</v>
      </c>
      <c r="H3635" s="75">
        <f>'THAM_SO_MOI'!$D$53</f>
        <v>1.1</v>
      </c>
      <c r="I3635" s="75">
        <f>IF(F3635&gt;'THAM_SO_MOI'!$C$14,'THAM_SO_MOI'!$C$13*(1+F3635^2/1500),'THAM_SO_MOI'!$C$13)</f>
        <v>0.015</v>
      </c>
      <c r="J3635" s="75">
        <f>'THAM_SO_MOI'!$C$40*('THAM_SO_MOI'!$C$23*(E3635/'THAM_SO_MOI'!$C$22)+'THAM_SO_MOI'!$C$24*(E3635/'THAM_SO_MOI'!$C$22)^2-'THAM_SO_MOI'!$C$25*(E3635/'THAM_SO_MOI'!$C$22)^3)</f>
        <v>82.67736273155163</v>
      </c>
      <c r="K3635" s="75">
        <f>'THAM_SO_MOI'!$C$31*J3635/E3635</f>
        <v>425.4495901039108</v>
      </c>
      <c r="L3635" s="75">
        <f>K3635*'THAM_SO_MOI'!$C$53*'THAM_SO_MOI'!$C$17/'THAM_SO_MOI'!$C$26</f>
        <v>3731.1945699821667</v>
      </c>
      <c r="M3635" s="75">
        <f>'THAM_SO_MOI'!$C$15*'THAM_SO_MOI'!$C$16*F3635^2</f>
        <v>1038.0183496158363</v>
      </c>
      <c r="N3635" s="75">
        <f>'THAM_SO_MOI'!$C$12*I3635</f>
        <v>1130.112</v>
      </c>
      <c r="O3635" s="75">
        <f>M3635+N3635</f>
        <v>2168.130349615836</v>
      </c>
      <c r="P3635" s="75">
        <f>(MIN(L3635,'THAM_SO_MOI'!$C$41)-O3635)/('THAM_SO_MOI'!$C$11*H3635)</f>
        <v>0.1850218063880599</v>
      </c>
      <c r="Q3635" s="75">
        <f>IF(P3635&gt;0,1/P3635,NA())</f>
        <v>5.404768332564142</v>
      </c>
      <c r="R3635" s="75">
        <f>F3635-F3634</f>
        <v>0.0073885545698715305</v>
      </c>
      <c r="S3635" s="75">
        <f>0.5*(Q3634+Q3635)*R3635</f>
        <v>0.039925490097602864</v>
      </c>
      <c r="T3635" s="75">
        <f>0.5*(F3634*Q3634+F3635*Q3635)*R3635</f>
        <v>0.7519772072988373</v>
      </c>
      <c r="U3635" s="76">
        <f>U3634+S3635</f>
        <v>41.351966689370805</v>
      </c>
      <c r="V3635" s="76">
        <f>V3634+T3635</f>
        <v>510.42699477831985</v>
      </c>
    </row>
    <row r="3636" spans="1:22" ht="19" customHeight="1">
      <c r="A3636" s="68" t="s">
        <v>378</v>
      </c>
      <c r="B3636" s="74">
        <v>5</v>
      </c>
      <c r="C3636" s="68" t="s">
        <v>363</v>
      </c>
      <c r="D3636" s="68" t="s">
        <v>364</v>
      </c>
      <c r="E3636" s="75">
        <f>60*F3636*'THAM_SO_MOI'!$C$53/(2*PI()*'THAM_SO_MOI'!$C$26)</f>
        <v>1856.7871649326635</v>
      </c>
      <c r="F3636" s="75">
        <f>'HANH_TRINH'!$F$3289+('THAM_SO_MOI'!$C$14-'HANH_TRINH'!$F$3289)*346/'THAM_SO_MOI'!$C$42</f>
        <v>18.845596225278104</v>
      </c>
      <c r="G3636" s="75">
        <f>3.6*F3636</f>
        <v>67.84414641100118</v>
      </c>
      <c r="H3636" s="75">
        <f>'THAM_SO_MOI'!$D$53</f>
        <v>1.1</v>
      </c>
      <c r="I3636" s="75">
        <f>IF(F3636&gt;'THAM_SO_MOI'!$C$14,'THAM_SO_MOI'!$C$13*(1+F3636^2/1500),'THAM_SO_MOI'!$C$13)</f>
        <v>0.015</v>
      </c>
      <c r="J3636" s="75">
        <f>'THAM_SO_MOI'!$C$40*('THAM_SO_MOI'!$C$23*(E3636/'THAM_SO_MOI'!$C$22)+'THAM_SO_MOI'!$C$24*(E3636/'THAM_SO_MOI'!$C$22)^2-'THAM_SO_MOI'!$C$25*(E3636/'THAM_SO_MOI'!$C$22)^3)</f>
        <v>82.71404924353185</v>
      </c>
      <c r="K3636" s="75">
        <f>'THAM_SO_MOI'!$C$31*J3636/E3636</f>
        <v>425.47150063741594</v>
      </c>
      <c r="L3636" s="75">
        <f>K3636*'THAM_SO_MOI'!$C$53*'THAM_SO_MOI'!$C$17/'THAM_SO_MOI'!$C$26</f>
        <v>3731.386725446742</v>
      </c>
      <c r="M3636" s="75">
        <f>'THAM_SO_MOI'!$C$15*'THAM_SO_MOI'!$C$16*F3636^2</f>
        <v>1038.8327539771828</v>
      </c>
      <c r="N3636" s="75">
        <f>'THAM_SO_MOI'!$C$12*I3636</f>
        <v>1130.112</v>
      </c>
      <c r="O3636" s="75">
        <f>M3636+N3636</f>
        <v>2168.9447539771827</v>
      </c>
      <c r="P3636" s="75">
        <f>(MIN(L3636,'THAM_SO_MOI'!$C$41)-O3636)/('THAM_SO_MOI'!$C$11*H3636)</f>
        <v>0.18494815003190798</v>
      </c>
      <c r="Q3636" s="75">
        <f>IF(P3636&gt;0,1/P3636,NA())</f>
        <v>5.4069208036278065</v>
      </c>
      <c r="R3636" s="75">
        <f>F3636-F3635</f>
        <v>0.007388554569875083</v>
      </c>
      <c r="S3636" s="75">
        <f>0.5*(Q3635+Q3636)*R3636</f>
        <v>0.0399413775876399</v>
      </c>
      <c r="T3636" s="75">
        <f>0.5*(F3635*Q3635+F3636*Q3636)*R3636</f>
        <v>0.7525715495503293</v>
      </c>
      <c r="U3636" s="76">
        <f>U3635+S3636</f>
        <v>41.39190806695844</v>
      </c>
      <c r="V3636" s="76">
        <f>V3635+T3636</f>
        <v>511.1795663278702</v>
      </c>
    </row>
    <row r="3637" spans="1:22" ht="19" customHeight="1">
      <c r="A3637" s="68" t="s">
        <v>378</v>
      </c>
      <c r="B3637" s="74">
        <v>5</v>
      </c>
      <c r="C3637" s="68" t="s">
        <v>363</v>
      </c>
      <c r="D3637" s="68" t="s">
        <v>364</v>
      </c>
      <c r="E3637" s="75">
        <f>60*F3637*'THAM_SO_MOI'!$C$53/(2*PI()*'THAM_SO_MOI'!$C$26)</f>
        <v>1857.5151319934423</v>
      </c>
      <c r="F3637" s="75">
        <f>'HANH_TRINH'!$F$3289+('THAM_SO_MOI'!$C$14-'HANH_TRINH'!$F$3289)*347/'THAM_SO_MOI'!$C$42</f>
        <v>18.852984779847976</v>
      </c>
      <c r="G3637" s="75">
        <f>3.6*F3637</f>
        <v>67.87074520745271</v>
      </c>
      <c r="H3637" s="75">
        <f>'THAM_SO_MOI'!$D$53</f>
        <v>1.1</v>
      </c>
      <c r="I3637" s="75">
        <f>IF(F3637&gt;'THAM_SO_MOI'!$C$14,'THAM_SO_MOI'!$C$13*(1+F3637^2/1500),'THAM_SO_MOI'!$C$13)</f>
        <v>0.015</v>
      </c>
      <c r="J3637" s="75">
        <f>'THAM_SO_MOI'!$C$40*('THAM_SO_MOI'!$C$23*(E3637/'THAM_SO_MOI'!$C$22)+'THAM_SO_MOI'!$C$24*(E3637/'THAM_SO_MOI'!$C$22)^2-'THAM_SO_MOI'!$C$25*(E3637/'THAM_SO_MOI'!$C$22)^3)</f>
        <v>82.75072909683001</v>
      </c>
      <c r="K3637" s="75">
        <f>'THAM_SO_MOI'!$C$31*J3637/E3637</f>
        <v>425.4933597592158</v>
      </c>
      <c r="L3637" s="75">
        <f>K3637*'THAM_SO_MOI'!$C$53*'THAM_SO_MOI'!$C$17/'THAM_SO_MOI'!$C$26</f>
        <v>3731.5784300304604</v>
      </c>
      <c r="M3637" s="75">
        <f>'THAM_SO_MOI'!$C$15*'THAM_SO_MOI'!$C$16*F3637^2</f>
        <v>1039.6474776943498</v>
      </c>
      <c r="N3637" s="75">
        <f>'THAM_SO_MOI'!$C$12*I3637</f>
        <v>1130.112</v>
      </c>
      <c r="O3637" s="75">
        <f>M3637+N3637</f>
        <v>2169.7594776943497</v>
      </c>
      <c r="P3637" s="75">
        <f>(MIN(L3637,'THAM_SO_MOI'!$C$41)-O3637)/('THAM_SO_MOI'!$C$11*H3637)</f>
        <v>0.18487440250190704</v>
      </c>
      <c r="Q3637" s="75">
        <f>IF(P3637&gt;0,1/P3637,NA())</f>
        <v>5.40907765740952</v>
      </c>
      <c r="R3637" s="75">
        <f>F3637-F3636</f>
        <v>0.0073885545698715305</v>
      </c>
      <c r="S3637" s="75">
        <f>0.5*(Q3636+Q3637)*R3637</f>
        <v>0.03995729742851039</v>
      </c>
      <c r="T3637" s="75">
        <f>0.5*(F3636*Q3636+F3637*Q3637)*R3637</f>
        <v>0.7531667363633676</v>
      </c>
      <c r="U3637" s="76">
        <f>U3636+S3637</f>
        <v>41.43186536438695</v>
      </c>
      <c r="V3637" s="76">
        <f>V3636+T3637</f>
        <v>511.93273306423356</v>
      </c>
    </row>
    <row r="3638" spans="1:22" ht="19" customHeight="1">
      <c r="A3638" s="68" t="s">
        <v>378</v>
      </c>
      <c r="B3638" s="74">
        <v>5</v>
      </c>
      <c r="C3638" s="68" t="s">
        <v>363</v>
      </c>
      <c r="D3638" s="68" t="s">
        <v>364</v>
      </c>
      <c r="E3638" s="75">
        <f>60*F3638*'THAM_SO_MOI'!$C$53/(2*PI()*'THAM_SO_MOI'!$C$26)</f>
        <v>1858.2430990542216</v>
      </c>
      <c r="F3638" s="75">
        <f>'HANH_TRINH'!$F$3289+('THAM_SO_MOI'!$C$14-'HANH_TRINH'!$F$3289)*348/'THAM_SO_MOI'!$C$42</f>
        <v>18.860373334417847</v>
      </c>
      <c r="G3638" s="75">
        <f>3.6*F3638</f>
        <v>67.89734400390425</v>
      </c>
      <c r="H3638" s="75">
        <f>'THAM_SO_MOI'!$D$53</f>
        <v>1.1</v>
      </c>
      <c r="I3638" s="75">
        <f>IF(F3638&gt;'THAM_SO_MOI'!$C$14,'THAM_SO_MOI'!$C$13*(1+F3638^2/1500),'THAM_SO_MOI'!$C$13)</f>
        <v>0.015</v>
      </c>
      <c r="J3638" s="75">
        <f>'THAM_SO_MOI'!$C$40*('THAM_SO_MOI'!$C$23*(E3638/'THAM_SO_MOI'!$C$22)+'THAM_SO_MOI'!$C$24*(E3638/'THAM_SO_MOI'!$C$22)^2-'THAM_SO_MOI'!$C$25*(E3638/'THAM_SO_MOI'!$C$22)^3)</f>
        <v>82.7874022796906</v>
      </c>
      <c r="K3638" s="75">
        <f>'THAM_SO_MOI'!$C$31*J3638/E3638</f>
        <v>425.51516746931014</v>
      </c>
      <c r="L3638" s="75">
        <f>K3638*'THAM_SO_MOI'!$C$53*'THAM_SO_MOI'!$C$17/'THAM_SO_MOI'!$C$26</f>
        <v>3731.7696837333206</v>
      </c>
      <c r="M3638" s="75">
        <f>'THAM_SO_MOI'!$C$15*'THAM_SO_MOI'!$C$16*F3638^2</f>
        <v>1040.462520767338</v>
      </c>
      <c r="N3638" s="75">
        <f>'THAM_SO_MOI'!$C$12*I3638</f>
        <v>1130.112</v>
      </c>
      <c r="O3638" s="75">
        <f>M3638+N3638</f>
        <v>2170.574520767338</v>
      </c>
      <c r="P3638" s="75">
        <f>(MIN(L3638,'THAM_SO_MOI'!$C$41)-O3638)/('THAM_SO_MOI'!$C$11*H3638)</f>
        <v>0.18480056379805665</v>
      </c>
      <c r="Q3638" s="75">
        <f>IF(P3638&gt;0,1/P3638,NA())</f>
        <v>5.411238902348608</v>
      </c>
      <c r="R3638" s="75">
        <f>F3638-F3637</f>
        <v>0.0073885545698715305</v>
      </c>
      <c r="S3638" s="75">
        <f>0.5*(Q3637+Q3638)*R3638</f>
        <v>0.03997324968252876</v>
      </c>
      <c r="T3638" s="75">
        <f>0.5*(F3637*Q3637+F3638*Q3638)*R3638</f>
        <v>0.7537627696300742</v>
      </c>
      <c r="U3638" s="76">
        <f>U3637+S3638</f>
        <v>41.47183861406948</v>
      </c>
      <c r="V3638" s="76">
        <f>V3637+T3638</f>
        <v>512.6864958338637</v>
      </c>
    </row>
    <row r="3639" spans="1:22" ht="19" customHeight="1">
      <c r="A3639" s="68" t="s">
        <v>378</v>
      </c>
      <c r="B3639" s="74">
        <v>5</v>
      </c>
      <c r="C3639" s="68" t="s">
        <v>363</v>
      </c>
      <c r="D3639" s="68" t="s">
        <v>364</v>
      </c>
      <c r="E3639" s="75">
        <f>60*F3639*'THAM_SO_MOI'!$C$53/(2*PI()*'THAM_SO_MOI'!$C$26)</f>
        <v>1858.971066115</v>
      </c>
      <c r="F3639" s="75">
        <f>'HANH_TRINH'!$F$3289+('THAM_SO_MOI'!$C$14-'HANH_TRINH'!$F$3289)*349/'THAM_SO_MOI'!$C$42</f>
        <v>18.86776188898772</v>
      </c>
      <c r="G3639" s="75">
        <f>3.6*F3639</f>
        <v>67.92394280035579</v>
      </c>
      <c r="H3639" s="75">
        <f>'THAM_SO_MOI'!$D$53</f>
        <v>1.1</v>
      </c>
      <c r="I3639" s="75">
        <f>IF(F3639&gt;'THAM_SO_MOI'!$C$14,'THAM_SO_MOI'!$C$13*(1+F3639^2/1500),'THAM_SO_MOI'!$C$13)</f>
        <v>0.015</v>
      </c>
      <c r="J3639" s="75">
        <f>'THAM_SO_MOI'!$C$40*('THAM_SO_MOI'!$C$23*(E3639/'THAM_SO_MOI'!$C$22)+'THAM_SO_MOI'!$C$24*(E3639/'THAM_SO_MOI'!$C$22)^2-'THAM_SO_MOI'!$C$25*(E3639/'THAM_SO_MOI'!$C$22)^3)</f>
        <v>82.82406878035805</v>
      </c>
      <c r="K3639" s="75">
        <f>'THAM_SO_MOI'!$C$31*J3639/E3639</f>
        <v>425.536923767699</v>
      </c>
      <c r="L3639" s="75">
        <f>K3639*'THAM_SO_MOI'!$C$53*'THAM_SO_MOI'!$C$17/'THAM_SO_MOI'!$C$26</f>
        <v>3731.960486555323</v>
      </c>
      <c r="M3639" s="75">
        <f>'THAM_SO_MOI'!$C$15*'THAM_SO_MOI'!$C$16*F3639^2</f>
        <v>1041.277883196147</v>
      </c>
      <c r="N3639" s="75">
        <f>'THAM_SO_MOI'!$C$12*I3639</f>
        <v>1130.112</v>
      </c>
      <c r="O3639" s="75">
        <f>M3639+N3639</f>
        <v>2171.389883196147</v>
      </c>
      <c r="P3639" s="75">
        <f>(MIN(L3639,'THAM_SO_MOI'!$C$41)-O3639)/('THAM_SO_MOI'!$C$11*H3639)</f>
        <v>0.18472663392035701</v>
      </c>
      <c r="Q3639" s="75">
        <f>IF(P3639&gt;0,1/P3639,NA())</f>
        <v>5.413404546910868</v>
      </c>
      <c r="R3639" s="75">
        <f>F3639-F3638</f>
        <v>0.0073885545698715305</v>
      </c>
      <c r="S3639" s="75">
        <f>0.5*(Q3638+Q3639)*R3639</f>
        <v>0.03998923441212801</v>
      </c>
      <c r="T3639" s="75">
        <f>0.5*(F3638*Q3638+F3639*Q3639)*R3639</f>
        <v>0.7543596512466486</v>
      </c>
      <c r="U3639" s="76">
        <f>U3638+S3639</f>
        <v>41.51182784848161</v>
      </c>
      <c r="V3639" s="76">
        <f>V3638+T3639</f>
        <v>513.4408554851103</v>
      </c>
    </row>
    <row r="3640" spans="1:22" ht="19" customHeight="1">
      <c r="A3640" s="68" t="s">
        <v>378</v>
      </c>
      <c r="B3640" s="74">
        <v>5</v>
      </c>
      <c r="C3640" s="68" t="s">
        <v>363</v>
      </c>
      <c r="D3640" s="68" t="s">
        <v>364</v>
      </c>
      <c r="E3640" s="75">
        <f>60*F3640*'THAM_SO_MOI'!$C$53/(2*PI()*'THAM_SO_MOI'!$C$26)</f>
        <v>1859.699033175779</v>
      </c>
      <c r="F3640" s="75">
        <f>'HANH_TRINH'!$F$3289+('THAM_SO_MOI'!$C$14-'HANH_TRINH'!$F$3289)*350/'THAM_SO_MOI'!$C$42</f>
        <v>18.87515044355759</v>
      </c>
      <c r="G3640" s="75">
        <f>3.6*F3640</f>
        <v>67.95054159680733</v>
      </c>
      <c r="H3640" s="75">
        <f>'THAM_SO_MOI'!$D$53</f>
        <v>1.1</v>
      </c>
      <c r="I3640" s="75">
        <f>IF(F3640&gt;'THAM_SO_MOI'!$C$14,'THAM_SO_MOI'!$C$13*(1+F3640^2/1500),'THAM_SO_MOI'!$C$13)</f>
        <v>0.015</v>
      </c>
      <c r="J3640" s="75">
        <f>'THAM_SO_MOI'!$C$40*('THAM_SO_MOI'!$C$23*(E3640/'THAM_SO_MOI'!$C$22)+'THAM_SO_MOI'!$C$24*(E3640/'THAM_SO_MOI'!$C$22)^2-'THAM_SO_MOI'!$C$25*(E3640/'THAM_SO_MOI'!$C$22)^3)</f>
        <v>82.8607285870769</v>
      </c>
      <c r="K3640" s="75">
        <f>'THAM_SO_MOI'!$C$31*J3640/E3640</f>
        <v>425.5586286543824</v>
      </c>
      <c r="L3640" s="75">
        <f>K3640*'THAM_SO_MOI'!$C$53*'THAM_SO_MOI'!$C$17/'THAM_SO_MOI'!$C$26</f>
        <v>3732.1508384964663</v>
      </c>
      <c r="M3640" s="75">
        <f>'THAM_SO_MOI'!$C$15*'THAM_SO_MOI'!$C$16*F3640^2</f>
        <v>1042.093564980777</v>
      </c>
      <c r="N3640" s="75">
        <f>'THAM_SO_MOI'!$C$12*I3640</f>
        <v>1130.112</v>
      </c>
      <c r="O3640" s="75">
        <f>M3640+N3640</f>
        <v>2172.205564980777</v>
      </c>
      <c r="P3640" s="75">
        <f>(MIN(L3640,'THAM_SO_MOI'!$C$41)-O3640)/('THAM_SO_MOI'!$C$11*H3640)</f>
        <v>0.1846526128688079</v>
      </c>
      <c r="Q3640" s="75">
        <f>IF(P3640&gt;0,1/P3640,NA())</f>
        <v>5.415574599588691</v>
      </c>
      <c r="R3640" s="75">
        <f>F3640-F3639</f>
        <v>0.0073885545698715305</v>
      </c>
      <c r="S3640" s="75">
        <f>0.5*(Q3639+Q3640)*R3640</f>
        <v>0.040005251679956416</v>
      </c>
      <c r="T3640" s="75">
        <f>0.5*(F3639*Q3639+F3640*Q3640)*R3640</f>
        <v>0.7549573831151974</v>
      </c>
      <c r="U3640" s="76">
        <f>U3639+S3640</f>
        <v>41.551833100161566</v>
      </c>
      <c r="V3640" s="76">
        <f>V3639+T3640</f>
        <v>514.1958128682255</v>
      </c>
    </row>
    <row r="3641" spans="1:22" ht="19" customHeight="1">
      <c r="A3641" s="68" t="s">
        <v>378</v>
      </c>
      <c r="B3641" s="74">
        <v>5</v>
      </c>
      <c r="C3641" s="68" t="s">
        <v>363</v>
      </c>
      <c r="D3641" s="68" t="s">
        <v>364</v>
      </c>
      <c r="E3641" s="75">
        <f>60*F3641*'THAM_SO_MOI'!$C$53/(2*PI()*'THAM_SO_MOI'!$C$26)</f>
        <v>1860.427000236558</v>
      </c>
      <c r="F3641" s="75">
        <f>'HANH_TRINH'!$F$3289+('THAM_SO_MOI'!$C$14-'HANH_TRINH'!$F$3289)*351/'THAM_SO_MOI'!$C$42</f>
        <v>18.882538998127462</v>
      </c>
      <c r="G3641" s="75">
        <f>3.6*F3641</f>
        <v>67.97714039325886</v>
      </c>
      <c r="H3641" s="75">
        <f>'THAM_SO_MOI'!$D$53</f>
        <v>1.1</v>
      </c>
      <c r="I3641" s="75">
        <f>IF(F3641&gt;'THAM_SO_MOI'!$C$14,'THAM_SO_MOI'!$C$13*(1+F3641^2/1500),'THAM_SO_MOI'!$C$13)</f>
        <v>0.015</v>
      </c>
      <c r="J3641" s="75">
        <f>'THAM_SO_MOI'!$C$40*('THAM_SO_MOI'!$C$23*(E3641/'THAM_SO_MOI'!$C$22)+'THAM_SO_MOI'!$C$24*(E3641/'THAM_SO_MOI'!$C$22)^2-'THAM_SO_MOI'!$C$25*(E3641/'THAM_SO_MOI'!$C$22)^3)</f>
        <v>82.89738168809167</v>
      </c>
      <c r="K3641" s="75">
        <f>'THAM_SO_MOI'!$C$31*J3641/E3641</f>
        <v>425.5802821293606</v>
      </c>
      <c r="L3641" s="75">
        <f>K3641*'THAM_SO_MOI'!$C$53*'THAM_SO_MOI'!$C$17/'THAM_SO_MOI'!$C$26</f>
        <v>3732.3407395567556</v>
      </c>
      <c r="M3641" s="75">
        <f>'THAM_SO_MOI'!$C$15*'THAM_SO_MOI'!$C$16*F3641^2</f>
        <v>1042.9095661212282</v>
      </c>
      <c r="N3641" s="75">
        <f>'THAM_SO_MOI'!$C$12*I3641</f>
        <v>1130.112</v>
      </c>
      <c r="O3641" s="75">
        <f>M3641+N3641</f>
        <v>2173.0215661212283</v>
      </c>
      <c r="P3641" s="75">
        <f>(MIN(L3641,'THAM_SO_MOI'!$C$41)-O3641)/('THAM_SO_MOI'!$C$11*H3641)</f>
        <v>0.18457850064340997</v>
      </c>
      <c r="Q3641" s="75">
        <f>IF(P3641&gt;0,1/P3641,NA())</f>
        <v>5.4177490689011245</v>
      </c>
      <c r="R3641" s="75">
        <f>F3641-F3640</f>
        <v>0.0073885545698715305</v>
      </c>
      <c r="S3641" s="75">
        <f>0.5*(Q3640+Q3641)*R3641</f>
        <v>0.04002130154885892</v>
      </c>
      <c r="T3641" s="75">
        <f>0.5*(F3640*Q3640+F3641*Q3641)*R3641</f>
        <v>0.7555559671433936</v>
      </c>
      <c r="U3641" s="76">
        <f>U3640+S3641</f>
        <v>41.59185440171043</v>
      </c>
      <c r="V3641" s="76">
        <f>V3640+T3641</f>
        <v>514.951368835369</v>
      </c>
    </row>
    <row r="3642" spans="1:22" ht="19" customHeight="1">
      <c r="A3642" s="68" t="s">
        <v>378</v>
      </c>
      <c r="B3642" s="74">
        <v>5</v>
      </c>
      <c r="C3642" s="68" t="s">
        <v>363</v>
      </c>
      <c r="D3642" s="68" t="s">
        <v>364</v>
      </c>
      <c r="E3642" s="75">
        <f>60*F3642*'THAM_SO_MOI'!$C$53/(2*PI()*'THAM_SO_MOI'!$C$26)</f>
        <v>1861.1549672973372</v>
      </c>
      <c r="F3642" s="75">
        <f>'HANH_TRINH'!$F$3289+('THAM_SO_MOI'!$C$14-'HANH_TRINH'!$F$3289)*352/'THAM_SO_MOI'!$C$42</f>
        <v>18.889927552697333</v>
      </c>
      <c r="G3642" s="75">
        <f>3.6*F3642</f>
        <v>68.0037391897104</v>
      </c>
      <c r="H3642" s="75">
        <f>'THAM_SO_MOI'!$D$53</f>
        <v>1.1</v>
      </c>
      <c r="I3642" s="75">
        <f>IF(F3642&gt;'THAM_SO_MOI'!$C$14,'THAM_SO_MOI'!$C$13*(1+F3642^2/1500),'THAM_SO_MOI'!$C$13)</f>
        <v>0.015</v>
      </c>
      <c r="J3642" s="75">
        <f>'THAM_SO_MOI'!$C$40*('THAM_SO_MOI'!$C$23*(E3642/'THAM_SO_MOI'!$C$22)+'THAM_SO_MOI'!$C$24*(E3642/'THAM_SO_MOI'!$C$22)^2-'THAM_SO_MOI'!$C$25*(E3642/'THAM_SO_MOI'!$C$22)^3)</f>
        <v>82.93402807164678</v>
      </c>
      <c r="K3642" s="75">
        <f>'THAM_SO_MOI'!$C$31*J3642/E3642</f>
        <v>425.6018841926332</v>
      </c>
      <c r="L3642" s="75">
        <f>K3642*'THAM_SO_MOI'!$C$53*'THAM_SO_MOI'!$C$17/'THAM_SO_MOI'!$C$26</f>
        <v>3732.530189736184</v>
      </c>
      <c r="M3642" s="75">
        <f>'THAM_SO_MOI'!$C$15*'THAM_SO_MOI'!$C$16*F3642^2</f>
        <v>1043.7258866175</v>
      </c>
      <c r="N3642" s="75">
        <f>'THAM_SO_MOI'!$C$12*I3642</f>
        <v>1130.112</v>
      </c>
      <c r="O3642" s="75">
        <f>M3642+N3642</f>
        <v>2173.8378866175</v>
      </c>
      <c r="P3642" s="75">
        <f>(MIN(L3642,'THAM_SO_MOI'!$C$41)-O3642)/('THAM_SO_MOI'!$C$11*H3642)</f>
        <v>0.18450429724416245</v>
      </c>
      <c r="Q3642" s="75">
        <f>IF(P3642&gt;0,1/P3642,NA())</f>
        <v>5.419927963394029</v>
      </c>
      <c r="R3642" s="75">
        <f>F3642-F3641</f>
        <v>0.0073885545698715305</v>
      </c>
      <c r="S3642" s="75">
        <f>0.5*(Q3641+Q3642)*R3642</f>
        <v>0.04003738408187804</v>
      </c>
      <c r="T3642" s="75">
        <f>0.5*(F3641*Q3641+F3642*Q3642)*R3642</f>
        <v>0.7561554052444966</v>
      </c>
      <c r="U3642" s="76">
        <f>U3641+S3642</f>
        <v>41.631891785792305</v>
      </c>
      <c r="V3642" s="76">
        <f>V3641+T3642</f>
        <v>515.7075242406135</v>
      </c>
    </row>
    <row r="3643" spans="1:22" ht="19" customHeight="1">
      <c r="A3643" s="68" t="s">
        <v>378</v>
      </c>
      <c r="B3643" s="74">
        <v>5</v>
      </c>
      <c r="C3643" s="68" t="s">
        <v>363</v>
      </c>
      <c r="D3643" s="68" t="s">
        <v>364</v>
      </c>
      <c r="E3643" s="75">
        <f>60*F3643*'THAM_SO_MOI'!$C$53/(2*PI()*'THAM_SO_MOI'!$C$26)</f>
        <v>1861.882934358116</v>
      </c>
      <c r="F3643" s="75">
        <f>'HANH_TRINH'!$F$3289+('THAM_SO_MOI'!$C$14-'HANH_TRINH'!$F$3289)*353/'THAM_SO_MOI'!$C$42</f>
        <v>18.89731610726721</v>
      </c>
      <c r="G3643" s="75">
        <f>3.6*F3643</f>
        <v>68.03033798616195</v>
      </c>
      <c r="H3643" s="75">
        <f>'THAM_SO_MOI'!$D$53</f>
        <v>1.1</v>
      </c>
      <c r="I3643" s="75">
        <f>IF(F3643&gt;'THAM_SO_MOI'!$C$14,'THAM_SO_MOI'!$C$13*(1+F3643^2/1500),'THAM_SO_MOI'!$C$13)</f>
        <v>0.015</v>
      </c>
      <c r="J3643" s="75">
        <f>'THAM_SO_MOI'!$C$40*('THAM_SO_MOI'!$C$23*(E3643/'THAM_SO_MOI'!$C$22)+'THAM_SO_MOI'!$C$24*(E3643/'THAM_SO_MOI'!$C$22)^2-'THAM_SO_MOI'!$C$25*(E3643/'THAM_SO_MOI'!$C$22)^3)</f>
        <v>82.97066772598671</v>
      </c>
      <c r="K3643" s="75">
        <f>'THAM_SO_MOI'!$C$31*J3643/E3643</f>
        <v>425.62343484420035</v>
      </c>
      <c r="L3643" s="75">
        <f>K3643*'THAM_SO_MOI'!$C$53*'THAM_SO_MOI'!$C$17/'THAM_SO_MOI'!$C$26</f>
        <v>3732.719189034755</v>
      </c>
      <c r="M3643" s="75">
        <f>'THAM_SO_MOI'!$C$15*'THAM_SO_MOI'!$C$16*F3643^2</f>
        <v>1044.5425264695934</v>
      </c>
      <c r="N3643" s="75">
        <f>'THAM_SO_MOI'!$C$12*I3643</f>
        <v>1130.112</v>
      </c>
      <c r="O3643" s="75">
        <f>M3643+N3643</f>
        <v>2174.6545264695933</v>
      </c>
      <c r="P3643" s="75">
        <f>(MIN(L3643,'THAM_SO_MOI'!$C$41)-O3643)/('THAM_SO_MOI'!$C$11*H3643)</f>
        <v>0.18443000267106552</v>
      </c>
      <c r="Q3643" s="75">
        <f>IF(P3643&gt;0,1/P3643,NA())</f>
        <v>5.42211129164011</v>
      </c>
      <c r="R3643" s="75">
        <f>F3643-F3642</f>
        <v>0.007388554569875083</v>
      </c>
      <c r="S3643" s="75">
        <f>0.5*(Q3642+Q3643)*R3643</f>
        <v>0.040053499342273764</v>
      </c>
      <c r="T3643" s="75">
        <f>0.5*(F3642*Q3642+F3643*Q3643)*R3643</f>
        <v>0.7567556993377396</v>
      </c>
      <c r="U3643" s="76">
        <f>U3642+S3643</f>
        <v>41.671945285134576</v>
      </c>
      <c r="V3643" s="76">
        <f>V3642+T3643</f>
        <v>516.4642799399512</v>
      </c>
    </row>
    <row r="3644" spans="1:22" ht="19" customHeight="1">
      <c r="A3644" s="68" t="s">
        <v>378</v>
      </c>
      <c r="B3644" s="74">
        <v>5</v>
      </c>
      <c r="C3644" s="68" t="s">
        <v>363</v>
      </c>
      <c r="D3644" s="68" t="s">
        <v>364</v>
      </c>
      <c r="E3644" s="75">
        <f>60*F3644*'THAM_SO_MOI'!$C$53/(2*PI()*'THAM_SO_MOI'!$C$26)</f>
        <v>1862.6109014188953</v>
      </c>
      <c r="F3644" s="75">
        <f>'HANH_TRINH'!$F$3289+('THAM_SO_MOI'!$C$14-'HANH_TRINH'!$F$3289)*354/'THAM_SO_MOI'!$C$42</f>
        <v>18.90470466183708</v>
      </c>
      <c r="G3644" s="75">
        <f>3.6*F3644</f>
        <v>68.05693678261349</v>
      </c>
      <c r="H3644" s="75">
        <f>'THAM_SO_MOI'!$D$53</f>
        <v>1.1</v>
      </c>
      <c r="I3644" s="75">
        <f>IF(F3644&gt;'THAM_SO_MOI'!$C$14,'THAM_SO_MOI'!$C$13*(1+F3644^2/1500),'THAM_SO_MOI'!$C$13)</f>
        <v>0.015</v>
      </c>
      <c r="J3644" s="75">
        <f>'THAM_SO_MOI'!$C$40*('THAM_SO_MOI'!$C$23*(E3644/'THAM_SO_MOI'!$C$22)+'THAM_SO_MOI'!$C$24*(E3644/'THAM_SO_MOI'!$C$22)^2-'THAM_SO_MOI'!$C$25*(E3644/'THAM_SO_MOI'!$C$22)^3)</f>
        <v>83.007300639356</v>
      </c>
      <c r="K3644" s="75">
        <f>'THAM_SO_MOI'!$C$31*J3644/E3644</f>
        <v>425.64493408406213</v>
      </c>
      <c r="L3644" s="75">
        <f>K3644*'THAM_SO_MOI'!$C$53*'THAM_SO_MOI'!$C$17/'THAM_SO_MOI'!$C$26</f>
        <v>3732.9077374524686</v>
      </c>
      <c r="M3644" s="75">
        <f>'THAM_SO_MOI'!$C$15*'THAM_SO_MOI'!$C$16*F3644^2</f>
        <v>1045.3594856775076</v>
      </c>
      <c r="N3644" s="75">
        <f>'THAM_SO_MOI'!$C$12*I3644</f>
        <v>1130.112</v>
      </c>
      <c r="O3644" s="75">
        <f>M3644+N3644</f>
        <v>2175.4714856775076</v>
      </c>
      <c r="P3644" s="75">
        <f>(MIN(L3644,'THAM_SO_MOI'!$C$41)-O3644)/('THAM_SO_MOI'!$C$11*H3644)</f>
        <v>0.18435561692411942</v>
      </c>
      <c r="Q3644" s="75">
        <f>IF(P3644&gt;0,1/P3644,NA())</f>
        <v>5.424299062239037</v>
      </c>
      <c r="R3644" s="75">
        <f>F3644-F3643</f>
        <v>0.0073885545698715305</v>
      </c>
      <c r="S3644" s="75">
        <f>0.5*(Q3643+Q3644)*R3644</f>
        <v>0.040069647393427825</v>
      </c>
      <c r="T3644" s="75">
        <f>0.5*(F3643*Q3643+F3644*Q3644)*R3644</f>
        <v>0.7573568513465254</v>
      </c>
      <c r="U3644" s="76">
        <f>U3643+S3644</f>
        <v>41.71201493252801</v>
      </c>
      <c r="V3644" s="76">
        <f>V3643+T3644</f>
        <v>517.2216367912978</v>
      </c>
    </row>
    <row r="3645" spans="1:22" ht="19" customHeight="1">
      <c r="A3645" s="68" t="s">
        <v>378</v>
      </c>
      <c r="B3645" s="74">
        <v>5</v>
      </c>
      <c r="C3645" s="68" t="s">
        <v>363</v>
      </c>
      <c r="D3645" s="68" t="s">
        <v>364</v>
      </c>
      <c r="E3645" s="75">
        <f>60*F3645*'THAM_SO_MOI'!$C$53/(2*PI()*'THAM_SO_MOI'!$C$26)</f>
        <v>1863.338868479674</v>
      </c>
      <c r="F3645" s="75">
        <f>'HANH_TRINH'!$F$3289+('THAM_SO_MOI'!$C$14-'HANH_TRINH'!$F$3289)*355/'THAM_SO_MOI'!$C$42</f>
        <v>18.91209321640695</v>
      </c>
      <c r="G3645" s="75">
        <f>3.6*F3645</f>
        <v>68.08353557906503</v>
      </c>
      <c r="H3645" s="75">
        <f>'THAM_SO_MOI'!$D$53</f>
        <v>1.1</v>
      </c>
      <c r="I3645" s="75">
        <f>IF(F3645&gt;'THAM_SO_MOI'!$C$14,'THAM_SO_MOI'!$C$13*(1+F3645^2/1500),'THAM_SO_MOI'!$C$13)</f>
        <v>0.015</v>
      </c>
      <c r="J3645" s="75">
        <f>'THAM_SO_MOI'!$C$40*('THAM_SO_MOI'!$C$23*(E3645/'THAM_SO_MOI'!$C$22)+'THAM_SO_MOI'!$C$24*(E3645/'THAM_SO_MOI'!$C$22)^2-'THAM_SO_MOI'!$C$25*(E3645/'THAM_SO_MOI'!$C$22)^3)</f>
        <v>83.04392679999908</v>
      </c>
      <c r="K3645" s="75">
        <f>'THAM_SO_MOI'!$C$31*J3645/E3645</f>
        <v>425.66638191221847</v>
      </c>
      <c r="L3645" s="75">
        <f>K3645*'THAM_SO_MOI'!$C$53*'THAM_SO_MOI'!$C$17/'THAM_SO_MOI'!$C$26</f>
        <v>3733.0958349893244</v>
      </c>
      <c r="M3645" s="75">
        <f>'THAM_SO_MOI'!$C$15*'THAM_SO_MOI'!$C$16*F3645^2</f>
        <v>1046.1767642412426</v>
      </c>
      <c r="N3645" s="75">
        <f>'THAM_SO_MOI'!$C$12*I3645</f>
        <v>1130.112</v>
      </c>
      <c r="O3645" s="75">
        <f>M3645+N3645</f>
        <v>2176.2887642412425</v>
      </c>
      <c r="P3645" s="75">
        <f>(MIN(L3645,'THAM_SO_MOI'!$C$41)-O3645)/('THAM_SO_MOI'!$C$11*H3645)</f>
        <v>0.1842811400033241</v>
      </c>
      <c r="Q3645" s="75">
        <f>IF(P3645&gt;0,1/P3645,NA())</f>
        <v>5.42649128381755</v>
      </c>
      <c r="R3645" s="75">
        <f>F3645-F3644</f>
        <v>0.0073885545698715305</v>
      </c>
      <c r="S3645" s="75">
        <f>0.5*(Q3644+Q3645)*R3645</f>
        <v>0.040085828299037146</v>
      </c>
      <c r="T3645" s="75">
        <f>0.5*(F3644*Q3644+F3645*Q3645)*R3645</f>
        <v>0.7579588632020899</v>
      </c>
      <c r="U3645" s="76">
        <f>U3644+S3645</f>
        <v>41.75210076082704</v>
      </c>
      <c r="V3645" s="76">
        <f>V3644+T3645</f>
        <v>517.9795956544999</v>
      </c>
    </row>
    <row r="3646" spans="1:22" ht="19" customHeight="1">
      <c r="A3646" s="68" t="s">
        <v>378</v>
      </c>
      <c r="B3646" s="74">
        <v>5</v>
      </c>
      <c r="C3646" s="68" t="s">
        <v>363</v>
      </c>
      <c r="D3646" s="68" t="s">
        <v>364</v>
      </c>
      <c r="E3646" s="75">
        <f>60*F3646*'THAM_SO_MOI'!$C$53/(2*PI()*'THAM_SO_MOI'!$C$26)</f>
        <v>1864.0668355404532</v>
      </c>
      <c r="F3646" s="75">
        <f>'HANH_TRINH'!$F$3289+('THAM_SO_MOI'!$C$14-'HANH_TRINH'!$F$3289)*356/'THAM_SO_MOI'!$C$42</f>
        <v>18.919481770976823</v>
      </c>
      <c r="G3646" s="75">
        <f>3.6*F3646</f>
        <v>68.11013437551657</v>
      </c>
      <c r="H3646" s="75">
        <f>'THAM_SO_MOI'!$D$53</f>
        <v>1.1</v>
      </c>
      <c r="I3646" s="75">
        <f>IF(F3646&gt;'THAM_SO_MOI'!$C$14,'THAM_SO_MOI'!$C$13*(1+F3646^2/1500),'THAM_SO_MOI'!$C$13)</f>
        <v>0.015</v>
      </c>
      <c r="J3646" s="75">
        <f>'THAM_SO_MOI'!$C$40*('THAM_SO_MOI'!$C$23*(E3646/'THAM_SO_MOI'!$C$22)+'THAM_SO_MOI'!$C$24*(E3646/'THAM_SO_MOI'!$C$22)^2-'THAM_SO_MOI'!$C$25*(E3646/'THAM_SO_MOI'!$C$22)^3)</f>
        <v>83.0805461961605</v>
      </c>
      <c r="K3646" s="75">
        <f>'THAM_SO_MOI'!$C$31*J3646/E3646</f>
        <v>425.6877783286694</v>
      </c>
      <c r="L3646" s="75">
        <f>K3646*'THAM_SO_MOI'!$C$53*'THAM_SO_MOI'!$C$17/'THAM_SO_MOI'!$C$26</f>
        <v>3733.2834816453224</v>
      </c>
      <c r="M3646" s="75">
        <f>'THAM_SO_MOI'!$C$15*'THAM_SO_MOI'!$C$16*F3646^2</f>
        <v>1046.9943621607988</v>
      </c>
      <c r="N3646" s="75">
        <f>'THAM_SO_MOI'!$C$12*I3646</f>
        <v>1130.112</v>
      </c>
      <c r="O3646" s="75">
        <f>M3646+N3646</f>
        <v>2177.106362160799</v>
      </c>
      <c r="P3646" s="75">
        <f>(MIN(L3646,'THAM_SO_MOI'!$C$41)-O3646)/('THAM_SO_MOI'!$C$11*H3646)</f>
        <v>0.18420657190867937</v>
      </c>
      <c r="Q3646" s="75">
        <f>IF(P3646&gt;0,1/P3646,NA())</f>
        <v>5.42868796502956</v>
      </c>
      <c r="R3646" s="75">
        <f>F3646-F3645</f>
        <v>0.0073885545698715305</v>
      </c>
      <c r="S3646" s="75">
        <f>0.5*(Q3645+Q3646)*R3646</f>
        <v>0.04010204212292197</v>
      </c>
      <c r="T3646" s="75">
        <f>0.5*(F3645*Q3645+F3646*Q3646)*R3646</f>
        <v>0.758561736839885</v>
      </c>
      <c r="U3646" s="76">
        <f>U3645+S3646</f>
        <v>41.792202802949966</v>
      </c>
      <c r="V3646" s="76">
        <f>V3645+T3646</f>
        <v>518.7381573913398</v>
      </c>
    </row>
    <row r="3647" spans="1:22" ht="19" customHeight="1">
      <c r="A3647" s="68" t="s">
        <v>378</v>
      </c>
      <c r="B3647" s="74">
        <v>5</v>
      </c>
      <c r="C3647" s="68" t="s">
        <v>363</v>
      </c>
      <c r="D3647" s="68" t="s">
        <v>364</v>
      </c>
      <c r="E3647" s="75">
        <f>60*F3647*'THAM_SO_MOI'!$C$53/(2*PI()*'THAM_SO_MOI'!$C$26)</f>
        <v>1864.7948026012316</v>
      </c>
      <c r="F3647" s="75">
        <f>'HANH_TRINH'!$F$3289+('THAM_SO_MOI'!$C$14-'HANH_TRINH'!$F$3289)*357/'THAM_SO_MOI'!$C$42</f>
        <v>18.926870325546695</v>
      </c>
      <c r="G3647" s="75">
        <f>3.6*F3647</f>
        <v>68.1367331719681</v>
      </c>
      <c r="H3647" s="75">
        <f>'THAM_SO_MOI'!$D$53</f>
        <v>1.1</v>
      </c>
      <c r="I3647" s="75">
        <f>IF(F3647&gt;'THAM_SO_MOI'!$C$14,'THAM_SO_MOI'!$C$13*(1+F3647^2/1500),'THAM_SO_MOI'!$C$13)</f>
        <v>0.015</v>
      </c>
      <c r="J3647" s="75">
        <f>'THAM_SO_MOI'!$C$40*('THAM_SO_MOI'!$C$23*(E3647/'THAM_SO_MOI'!$C$22)+'THAM_SO_MOI'!$C$24*(E3647/'THAM_SO_MOI'!$C$22)^2-'THAM_SO_MOI'!$C$25*(E3647/'THAM_SO_MOI'!$C$22)^3)</f>
        <v>83.11715881608464</v>
      </c>
      <c r="K3647" s="75">
        <f>'THAM_SO_MOI'!$C$31*J3647/E3647</f>
        <v>425.70912333341494</v>
      </c>
      <c r="L3647" s="75">
        <f>K3647*'THAM_SO_MOI'!$C$53*'THAM_SO_MOI'!$C$17/'THAM_SO_MOI'!$C$26</f>
        <v>3733.4706774204633</v>
      </c>
      <c r="M3647" s="75">
        <f>'THAM_SO_MOI'!$C$15*'THAM_SO_MOI'!$C$16*F3647^2</f>
        <v>1047.8122794361757</v>
      </c>
      <c r="N3647" s="75">
        <f>'THAM_SO_MOI'!$C$12*I3647</f>
        <v>1130.112</v>
      </c>
      <c r="O3647" s="75">
        <f>M3647+N3647</f>
        <v>2177.9242794361758</v>
      </c>
      <c r="P3647" s="75">
        <f>(MIN(L3647,'THAM_SO_MOI'!$C$41)-O3647)/('THAM_SO_MOI'!$C$11*H3647)</f>
        <v>0.18413191264018555</v>
      </c>
      <c r="Q3647" s="75">
        <f>IF(P3647&gt;0,1/P3647,NA())</f>
        <v>5.430889114556217</v>
      </c>
      <c r="R3647" s="75">
        <f>F3647-F3646</f>
        <v>0.0073885545698715305</v>
      </c>
      <c r="S3647" s="75">
        <f>0.5*(Q3646+Q3647)*R3647</f>
        <v>0.04011828892912281</v>
      </c>
      <c r="T3647" s="75">
        <f>0.5*(F3646*Q3646+F3647*Q3647)*R3647</f>
        <v>0.7591654742014163</v>
      </c>
      <c r="U3647" s="76">
        <f>U3646+S3647</f>
        <v>41.83232109187909</v>
      </c>
      <c r="V3647" s="76">
        <f>V3646+T3647</f>
        <v>519.4973228655412</v>
      </c>
    </row>
    <row r="3648" spans="1:22" ht="19" customHeight="1">
      <c r="A3648" s="68" t="s">
        <v>378</v>
      </c>
      <c r="B3648" s="74">
        <v>5</v>
      </c>
      <c r="C3648" s="68" t="s">
        <v>363</v>
      </c>
      <c r="D3648" s="68" t="s">
        <v>364</v>
      </c>
      <c r="E3648" s="75">
        <f>60*F3648*'THAM_SO_MOI'!$C$53/(2*PI()*'THAM_SO_MOI'!$C$26)</f>
        <v>1865.522769662011</v>
      </c>
      <c r="F3648" s="75">
        <f>'HANH_TRINH'!$F$3289+('THAM_SO_MOI'!$C$14-'HANH_TRINH'!$F$3289)*358/'THAM_SO_MOI'!$C$42</f>
        <v>18.934258880116566</v>
      </c>
      <c r="G3648" s="75">
        <f>3.6*F3648</f>
        <v>68.16333196841964</v>
      </c>
      <c r="H3648" s="75">
        <f>'THAM_SO_MOI'!$D$53</f>
        <v>1.1</v>
      </c>
      <c r="I3648" s="75">
        <f>IF(F3648&gt;'THAM_SO_MOI'!$C$14,'THAM_SO_MOI'!$C$13*(1+F3648^2/1500),'THAM_SO_MOI'!$C$13)</f>
        <v>0.015</v>
      </c>
      <c r="J3648" s="75">
        <f>'THAM_SO_MOI'!$C$40*('THAM_SO_MOI'!$C$23*(E3648/'THAM_SO_MOI'!$C$22)+'THAM_SO_MOI'!$C$24*(E3648/'THAM_SO_MOI'!$C$22)^2-'THAM_SO_MOI'!$C$25*(E3648/'THAM_SO_MOI'!$C$22)^3)</f>
        <v>83.1537646480161</v>
      </c>
      <c r="K3648" s="75">
        <f>'THAM_SO_MOI'!$C$31*J3648/E3648</f>
        <v>425.730416926455</v>
      </c>
      <c r="L3648" s="75">
        <f>K3648*'THAM_SO_MOI'!$C$53*'THAM_SO_MOI'!$C$17/'THAM_SO_MOI'!$C$26</f>
        <v>3733.657422314746</v>
      </c>
      <c r="M3648" s="75">
        <f>'THAM_SO_MOI'!$C$15*'THAM_SO_MOI'!$C$16*F3648^2</f>
        <v>1048.6305160673737</v>
      </c>
      <c r="N3648" s="75">
        <f>'THAM_SO_MOI'!$C$12*I3648</f>
        <v>1130.112</v>
      </c>
      <c r="O3648" s="75">
        <f>M3648+N3648</f>
        <v>2178.742516067374</v>
      </c>
      <c r="P3648" s="75">
        <f>(MIN(L3648,'THAM_SO_MOI'!$C$41)-O3648)/('THAM_SO_MOI'!$C$11*H3648)</f>
        <v>0.18405716219784235</v>
      </c>
      <c r="Q3648" s="75">
        <f>IF(P3648&gt;0,1/P3648,NA())</f>
        <v>5.433094741106047</v>
      </c>
      <c r="R3648" s="75">
        <f>F3648-F3647</f>
        <v>0.0073885545698715305</v>
      </c>
      <c r="S3648" s="75">
        <f>0.5*(Q3647+Q3648)*R3648</f>
        <v>0.04013456878188197</v>
      </c>
      <c r="T3648" s="75">
        <f>0.5*(F3647*Q3647+F3648*Q3648)*R3648</f>
        <v>0.759770077233902</v>
      </c>
      <c r="U3648" s="76">
        <f>U3647+S3648</f>
        <v>41.87245566066097</v>
      </c>
      <c r="V3648" s="76">
        <f>V3647+T3648</f>
        <v>520.2570929427751</v>
      </c>
    </row>
    <row r="3649" spans="1:22" ht="19" customHeight="1">
      <c r="A3649" s="68" t="s">
        <v>378</v>
      </c>
      <c r="B3649" s="74">
        <v>5</v>
      </c>
      <c r="C3649" s="68" t="s">
        <v>363</v>
      </c>
      <c r="D3649" s="68" t="s">
        <v>364</v>
      </c>
      <c r="E3649" s="75">
        <f>60*F3649*'THAM_SO_MOI'!$C$53/(2*PI()*'THAM_SO_MOI'!$C$26)</f>
        <v>1866.2507367227897</v>
      </c>
      <c r="F3649" s="75">
        <f>'HANH_TRINH'!$F$3289+('THAM_SO_MOI'!$C$14-'HANH_TRINH'!$F$3289)*359/'THAM_SO_MOI'!$C$42</f>
        <v>18.941647434686438</v>
      </c>
      <c r="G3649" s="75">
        <f>3.6*F3649</f>
        <v>68.18993076487118</v>
      </c>
      <c r="H3649" s="75">
        <f>'THAM_SO_MOI'!$D$53</f>
        <v>1.1</v>
      </c>
      <c r="I3649" s="75">
        <f>IF(F3649&gt;'THAM_SO_MOI'!$C$14,'THAM_SO_MOI'!$C$13*(1+F3649^2/1500),'THAM_SO_MOI'!$C$13)</f>
        <v>0.015</v>
      </c>
      <c r="J3649" s="75">
        <f>'THAM_SO_MOI'!$C$40*('THAM_SO_MOI'!$C$23*(E3649/'THAM_SO_MOI'!$C$22)+'THAM_SO_MOI'!$C$24*(E3649/'THAM_SO_MOI'!$C$22)^2-'THAM_SO_MOI'!$C$25*(E3649/'THAM_SO_MOI'!$C$22)^3)</f>
        <v>83.19036368019927</v>
      </c>
      <c r="K3649" s="75">
        <f>'THAM_SO_MOI'!$C$31*J3649/E3649</f>
        <v>425.7516591077895</v>
      </c>
      <c r="L3649" s="75">
        <f>K3649*'THAM_SO_MOI'!$C$53*'THAM_SO_MOI'!$C$17/'THAM_SO_MOI'!$C$26</f>
        <v>3733.843716328169</v>
      </c>
      <c r="M3649" s="75">
        <f>'THAM_SO_MOI'!$C$15*'THAM_SO_MOI'!$C$16*F3649^2</f>
        <v>1049.4490720543927</v>
      </c>
      <c r="N3649" s="75">
        <f>'THAM_SO_MOI'!$C$12*I3649</f>
        <v>1130.112</v>
      </c>
      <c r="O3649" s="75">
        <f>M3649+N3649</f>
        <v>2179.5610720543928</v>
      </c>
      <c r="P3649" s="75">
        <f>(MIN(L3649,'THAM_SO_MOI'!$C$41)-O3649)/('THAM_SO_MOI'!$C$11*H3649)</f>
        <v>0.18398232058164968</v>
      </c>
      <c r="Q3649" s="75">
        <f>IF(P3649&gt;0,1/P3649,NA())</f>
        <v>5.435304853415028</v>
      </c>
      <c r="R3649" s="75">
        <f>F3649-F3648</f>
        <v>0.0073885545698715305</v>
      </c>
      <c r="S3649" s="75">
        <f>0.5*(Q3648+Q3649)*R3649</f>
        <v>0.040150881745644296</v>
      </c>
      <c r="T3649" s="75">
        <f>0.5*(F3648*Q3648+F3649*Q3649)*R3649</f>
        <v>0.7603755478902945</v>
      </c>
      <c r="U3649" s="76">
        <f>U3648+S3649</f>
        <v>41.912606542406614</v>
      </c>
      <c r="V3649" s="76">
        <f>V3648+T3649</f>
        <v>521.0174684906654</v>
      </c>
    </row>
    <row r="3650" spans="1:22" ht="19" customHeight="1">
      <c r="A3650" s="68" t="s">
        <v>378</v>
      </c>
      <c r="B3650" s="74">
        <v>5</v>
      </c>
      <c r="C3650" s="68" t="s">
        <v>363</v>
      </c>
      <c r="D3650" s="68" t="s">
        <v>364</v>
      </c>
      <c r="E3650" s="75">
        <f>60*F3650*'THAM_SO_MOI'!$C$53/(2*PI()*'THAM_SO_MOI'!$C$26)</f>
        <v>1866.978703783569</v>
      </c>
      <c r="F3650" s="75">
        <f>'HANH_TRINH'!$F$3289+('THAM_SO_MOI'!$C$14-'HANH_TRINH'!$F$3289)*360/'THAM_SO_MOI'!$C$42</f>
        <v>18.94903598925631</v>
      </c>
      <c r="G3650" s="75">
        <f>3.6*F3650</f>
        <v>68.21652956132272</v>
      </c>
      <c r="H3650" s="75">
        <f>'THAM_SO_MOI'!$D$53</f>
        <v>1.1</v>
      </c>
      <c r="I3650" s="75">
        <f>IF(F3650&gt;'THAM_SO_MOI'!$C$14,'THAM_SO_MOI'!$C$13*(1+F3650^2/1500),'THAM_SO_MOI'!$C$13)</f>
        <v>0.015</v>
      </c>
      <c r="J3650" s="75">
        <f>'THAM_SO_MOI'!$C$40*('THAM_SO_MOI'!$C$23*(E3650/'THAM_SO_MOI'!$C$22)+'THAM_SO_MOI'!$C$24*(E3650/'THAM_SO_MOI'!$C$22)^2-'THAM_SO_MOI'!$C$25*(E3650/'THAM_SO_MOI'!$C$22)^3)</f>
        <v>83.22695590087869</v>
      </c>
      <c r="K3650" s="75">
        <f>'THAM_SO_MOI'!$C$31*J3650/E3650</f>
        <v>425.77284987741865</v>
      </c>
      <c r="L3650" s="75">
        <f>K3650*'THAM_SO_MOI'!$C$53*'THAM_SO_MOI'!$C$17/'THAM_SO_MOI'!$C$26</f>
        <v>3734.0295594607355</v>
      </c>
      <c r="M3650" s="75">
        <f>'THAM_SO_MOI'!$C$15*'THAM_SO_MOI'!$C$16*F3650^2</f>
        <v>1050.2679473972328</v>
      </c>
      <c r="N3650" s="75">
        <f>'THAM_SO_MOI'!$C$12*I3650</f>
        <v>1130.112</v>
      </c>
      <c r="O3650" s="75">
        <f>M3650+N3650</f>
        <v>2180.379947397233</v>
      </c>
      <c r="P3650" s="75">
        <f>(MIN(L3650,'THAM_SO_MOI'!$C$41)-O3650)/('THAM_SO_MOI'!$C$11*H3650)</f>
        <v>0.1839073877916078</v>
      </c>
      <c r="Q3650" s="75">
        <f>IF(P3650&gt;0,1/P3650,NA())</f>
        <v>5.437519460246679</v>
      </c>
      <c r="R3650" s="75">
        <f>F3650-F3649</f>
        <v>0.0073885545698715305</v>
      </c>
      <c r="S3650" s="75">
        <f>0.5*(Q3649+Q3650)*R3650</f>
        <v>0.04016722788505774</v>
      </c>
      <c r="T3650" s="75">
        <f>0.5*(F3649*Q3649+F3650*Q3650)*R3650</f>
        <v>0.7609818881292998</v>
      </c>
      <c r="U3650" s="76">
        <f>U3649+S3650</f>
        <v>41.95277377029167</v>
      </c>
      <c r="V3650" s="76">
        <f>V3649+T3650</f>
        <v>521.7784503787947</v>
      </c>
    </row>
    <row r="3651" spans="1:22" ht="19" customHeight="1">
      <c r="A3651" s="68" t="s">
        <v>378</v>
      </c>
      <c r="B3651" s="74">
        <v>5</v>
      </c>
      <c r="C3651" s="68" t="s">
        <v>363</v>
      </c>
      <c r="D3651" s="68" t="s">
        <v>364</v>
      </c>
      <c r="E3651" s="75">
        <f>60*F3651*'THAM_SO_MOI'!$C$53/(2*PI()*'THAM_SO_MOI'!$C$26)</f>
        <v>1867.7066708443476</v>
      </c>
      <c r="F3651" s="75">
        <f>'HANH_TRINH'!$F$3289+('THAM_SO_MOI'!$C$14-'HANH_TRINH'!$F$3289)*361/'THAM_SO_MOI'!$C$42</f>
        <v>18.956424543826184</v>
      </c>
      <c r="G3651" s="75">
        <f>3.6*F3651</f>
        <v>68.24312835777427</v>
      </c>
      <c r="H3651" s="75">
        <f>'THAM_SO_MOI'!$D$53</f>
        <v>1.1</v>
      </c>
      <c r="I3651" s="75">
        <f>IF(F3651&gt;'THAM_SO_MOI'!$C$14,'THAM_SO_MOI'!$C$13*(1+F3651^2/1500),'THAM_SO_MOI'!$C$13)</f>
        <v>0.015</v>
      </c>
      <c r="J3651" s="75">
        <f>'THAM_SO_MOI'!$C$40*('THAM_SO_MOI'!$C$23*(E3651/'THAM_SO_MOI'!$C$22)+'THAM_SO_MOI'!$C$24*(E3651/'THAM_SO_MOI'!$C$22)^2-'THAM_SO_MOI'!$C$25*(E3651/'THAM_SO_MOI'!$C$22)^3)</f>
        <v>83.26354129829883</v>
      </c>
      <c r="K3651" s="75">
        <f>'THAM_SO_MOI'!$C$31*J3651/E3651</f>
        <v>425.79398923534245</v>
      </c>
      <c r="L3651" s="75">
        <f>K3651*'THAM_SO_MOI'!$C$53*'THAM_SO_MOI'!$C$17/'THAM_SO_MOI'!$C$26</f>
        <v>3734.214951712445</v>
      </c>
      <c r="M3651" s="75">
        <f>'THAM_SO_MOI'!$C$15*'THAM_SO_MOI'!$C$16*F3651^2</f>
        <v>1051.0871420958943</v>
      </c>
      <c r="N3651" s="75">
        <f>'THAM_SO_MOI'!$C$12*I3651</f>
        <v>1130.112</v>
      </c>
      <c r="O3651" s="75">
        <f>M3651+N3651</f>
        <v>2181.1991420958943</v>
      </c>
      <c r="P3651" s="75">
        <f>(MIN(L3651,'THAM_SO_MOI'!$C$41)-O3651)/('THAM_SO_MOI'!$C$11*H3651)</f>
        <v>0.18383236382771667</v>
      </c>
      <c r="Q3651" s="75">
        <f>IF(P3651&gt;0,1/P3651,NA())</f>
        <v>5.439738570392188</v>
      </c>
      <c r="R3651" s="75">
        <f>F3651-F3650</f>
        <v>0.007388554569875083</v>
      </c>
      <c r="S3651" s="75">
        <f>0.5*(Q3650+Q3651)*R3651</f>
        <v>0.04018360726499362</v>
      </c>
      <c r="T3651" s="75">
        <f>0.5*(F3650*Q3650+F3651*Q3651)*R3651</f>
        <v>0.7615890999157668</v>
      </c>
      <c r="U3651" s="76">
        <f>U3650+S3651</f>
        <v>41.992957377556664</v>
      </c>
      <c r="V3651" s="76">
        <f>V3650+T3651</f>
        <v>522.5400394787105</v>
      </c>
    </row>
    <row r="3652" spans="1:22" ht="19" customHeight="1">
      <c r="A3652" s="68" t="s">
        <v>378</v>
      </c>
      <c r="B3652" s="74">
        <v>5</v>
      </c>
      <c r="C3652" s="68" t="s">
        <v>363</v>
      </c>
      <c r="D3652" s="68" t="s">
        <v>364</v>
      </c>
      <c r="E3652" s="75">
        <f>60*F3652*'THAM_SO_MOI'!$C$53/(2*PI()*'THAM_SO_MOI'!$C$26)</f>
        <v>1868.434637905127</v>
      </c>
      <c r="F3652" s="75">
        <f>'HANH_TRINH'!$F$3289+('THAM_SO_MOI'!$C$14-'HANH_TRINH'!$F$3289)*362/'THAM_SO_MOI'!$C$42</f>
        <v>18.963813098396056</v>
      </c>
      <c r="G3652" s="75">
        <f>3.6*F3652</f>
        <v>68.2697271542258</v>
      </c>
      <c r="H3652" s="75">
        <f>'THAM_SO_MOI'!$D$53</f>
        <v>1.1</v>
      </c>
      <c r="I3652" s="75">
        <f>IF(F3652&gt;'THAM_SO_MOI'!$C$14,'THAM_SO_MOI'!$C$13*(1+F3652^2/1500),'THAM_SO_MOI'!$C$13)</f>
        <v>0.015</v>
      </c>
      <c r="J3652" s="75">
        <f>'THAM_SO_MOI'!$C$40*('THAM_SO_MOI'!$C$23*(E3652/'THAM_SO_MOI'!$C$22)+'THAM_SO_MOI'!$C$24*(E3652/'THAM_SO_MOI'!$C$22)^2-'THAM_SO_MOI'!$C$25*(E3652/'THAM_SO_MOI'!$C$22)^3)</f>
        <v>83.3001198607042</v>
      </c>
      <c r="K3652" s="75">
        <f>'THAM_SO_MOI'!$C$31*J3652/E3652</f>
        <v>425.8150771815608</v>
      </c>
      <c r="L3652" s="75">
        <f>K3652*'THAM_SO_MOI'!$C$53*'THAM_SO_MOI'!$C$17/'THAM_SO_MOI'!$C$26</f>
        <v>3734.3998930832963</v>
      </c>
      <c r="M3652" s="75">
        <f>'THAM_SO_MOI'!$C$15*'THAM_SO_MOI'!$C$16*F3652^2</f>
        <v>1051.9066561503762</v>
      </c>
      <c r="N3652" s="75">
        <f>'THAM_SO_MOI'!$C$12*I3652</f>
        <v>1130.112</v>
      </c>
      <c r="O3652" s="75">
        <f>M3652+N3652</f>
        <v>2182.018656150376</v>
      </c>
      <c r="P3652" s="75">
        <f>(MIN(L3652,'THAM_SO_MOI'!$C$41)-O3652)/('THAM_SO_MOI'!$C$11*H3652)</f>
        <v>0.1837572486899763</v>
      </c>
      <c r="Q3652" s="75">
        <f>IF(P3652&gt;0,1/P3652,NA())</f>
        <v>5.4419621926704895</v>
      </c>
      <c r="R3652" s="75">
        <f>F3652-F3651</f>
        <v>0.0073885545698715305</v>
      </c>
      <c r="S3652" s="75">
        <f>0.5*(Q3651+Q3652)*R3652</f>
        <v>0.04020001995045064</v>
      </c>
      <c r="T3652" s="75">
        <f>0.5*(F3651*Q3651+F3652*Q3652)*R3652</f>
        <v>0.7621971852188772</v>
      </c>
      <c r="U3652" s="76">
        <f>U3651+S3652</f>
        <v>42.03315739750711</v>
      </c>
      <c r="V3652" s="76">
        <f>V3651+T3652</f>
        <v>523.3022366639293</v>
      </c>
    </row>
    <row r="3653" spans="1:22" ht="19" customHeight="1">
      <c r="A3653" s="68" t="s">
        <v>378</v>
      </c>
      <c r="B3653" s="74">
        <v>5</v>
      </c>
      <c r="C3653" s="68" t="s">
        <v>363</v>
      </c>
      <c r="D3653" s="68" t="s">
        <v>364</v>
      </c>
      <c r="E3653" s="75">
        <f>60*F3653*'THAM_SO_MOI'!$C$53/(2*PI()*'THAM_SO_MOI'!$C$26)</f>
        <v>1869.1626049659058</v>
      </c>
      <c r="F3653" s="75">
        <f>'HANH_TRINH'!$F$3289+('THAM_SO_MOI'!$C$14-'HANH_TRINH'!$F$3289)*363/'THAM_SO_MOI'!$C$42</f>
        <v>18.971201652965927</v>
      </c>
      <c r="G3653" s="75">
        <f>3.6*F3653</f>
        <v>68.29632595067734</v>
      </c>
      <c r="H3653" s="75">
        <f>'THAM_SO_MOI'!$D$53</f>
        <v>1.1</v>
      </c>
      <c r="I3653" s="75">
        <f>IF(F3653&gt;'THAM_SO_MOI'!$C$14,'THAM_SO_MOI'!$C$13*(1+F3653^2/1500),'THAM_SO_MOI'!$C$13)</f>
        <v>0.015</v>
      </c>
      <c r="J3653" s="75">
        <f>'THAM_SO_MOI'!$C$40*('THAM_SO_MOI'!$C$23*(E3653/'THAM_SO_MOI'!$C$22)+'THAM_SO_MOI'!$C$24*(E3653/'THAM_SO_MOI'!$C$22)^2-'THAM_SO_MOI'!$C$25*(E3653/'THAM_SO_MOI'!$C$22)^3)</f>
        <v>83.33669157633922</v>
      </c>
      <c r="K3653" s="75">
        <f>'THAM_SO_MOI'!$C$31*J3653/E3653</f>
        <v>425.83611371607367</v>
      </c>
      <c r="L3653" s="75">
        <f>K3653*'THAM_SO_MOI'!$C$53*'THAM_SO_MOI'!$C$17/'THAM_SO_MOI'!$C$26</f>
        <v>3734.58438357329</v>
      </c>
      <c r="M3653" s="75">
        <f>'THAM_SO_MOI'!$C$15*'THAM_SO_MOI'!$C$16*F3653^2</f>
        <v>1052.7264895606793</v>
      </c>
      <c r="N3653" s="75">
        <f>'THAM_SO_MOI'!$C$12*I3653</f>
        <v>1130.112</v>
      </c>
      <c r="O3653" s="75">
        <f>M3653+N3653</f>
        <v>2182.8384895606796</v>
      </c>
      <c r="P3653" s="75">
        <f>(MIN(L3653,'THAM_SO_MOI'!$C$41)-O3653)/('THAM_SO_MOI'!$C$11*H3653)</f>
        <v>0.1836820423783867</v>
      </c>
      <c r="Q3653" s="75">
        <f>IF(P3653&gt;0,1/P3653,NA())</f>
        <v>5.44419033592838</v>
      </c>
      <c r="R3653" s="75">
        <f>F3653-F3652</f>
        <v>0.0073885545698715305</v>
      </c>
      <c r="S3653" s="75">
        <f>0.5*(Q3652+Q3653)*R3653</f>
        <v>0.04021646600674885</v>
      </c>
      <c r="T3653" s="75">
        <f>0.5*(F3652*Q3652+F3653*Q3653)*R3653</f>
        <v>0.7628061460158292</v>
      </c>
      <c r="U3653" s="76">
        <f>U3652+S3653</f>
        <v>42.07337386351386</v>
      </c>
      <c r="V3653" s="76">
        <f>V3652+T3653</f>
        <v>524.0650428099451</v>
      </c>
    </row>
    <row r="3654" spans="1:22" ht="19" customHeight="1">
      <c r="A3654" s="68" t="s">
        <v>378</v>
      </c>
      <c r="B3654" s="74">
        <v>5</v>
      </c>
      <c r="C3654" s="68" t="s">
        <v>363</v>
      </c>
      <c r="D3654" s="68" t="s">
        <v>364</v>
      </c>
      <c r="E3654" s="75">
        <f>60*F3654*'THAM_SO_MOI'!$C$53/(2*PI()*'THAM_SO_MOI'!$C$26)</f>
        <v>1869.890572026685</v>
      </c>
      <c r="F3654" s="75">
        <f>'HANH_TRINH'!$F$3289+('THAM_SO_MOI'!$C$14-'HANH_TRINH'!$F$3289)*364/'THAM_SO_MOI'!$C$42</f>
        <v>18.9785902075358</v>
      </c>
      <c r="G3654" s="75">
        <f>3.6*F3654</f>
        <v>68.32292474712888</v>
      </c>
      <c r="H3654" s="75">
        <f>'THAM_SO_MOI'!$D$53</f>
        <v>1.1</v>
      </c>
      <c r="I3654" s="75">
        <f>IF(F3654&gt;'THAM_SO_MOI'!$C$14,'THAM_SO_MOI'!$C$13*(1+F3654^2/1500),'THAM_SO_MOI'!$C$13)</f>
        <v>0.015</v>
      </c>
      <c r="J3654" s="75">
        <f>'THAM_SO_MOI'!$C$40*('THAM_SO_MOI'!$C$23*(E3654/'THAM_SO_MOI'!$C$22)+'THAM_SO_MOI'!$C$24*(E3654/'THAM_SO_MOI'!$C$22)^2-'THAM_SO_MOI'!$C$25*(E3654/'THAM_SO_MOI'!$C$22)^3)</f>
        <v>83.37325643344846</v>
      </c>
      <c r="K3654" s="75">
        <f>'THAM_SO_MOI'!$C$31*J3654/E3654</f>
        <v>425.85709883888114</v>
      </c>
      <c r="L3654" s="75">
        <f>K3654*'THAM_SO_MOI'!$C$53*'THAM_SO_MOI'!$C$17/'THAM_SO_MOI'!$C$26</f>
        <v>3734.7684231824246</v>
      </c>
      <c r="M3654" s="75">
        <f>'THAM_SO_MOI'!$C$15*'THAM_SO_MOI'!$C$16*F3654^2</f>
        <v>1053.546642326803</v>
      </c>
      <c r="N3654" s="75">
        <f>'THAM_SO_MOI'!$C$12*I3654</f>
        <v>1130.112</v>
      </c>
      <c r="O3654" s="75">
        <f>M3654+N3654</f>
        <v>2183.658642326803</v>
      </c>
      <c r="P3654" s="75">
        <f>(MIN(L3654,'THAM_SO_MOI'!$C$41)-O3654)/('THAM_SO_MOI'!$C$11*H3654)</f>
        <v>0.18360674489294762</v>
      </c>
      <c r="Q3654" s="75">
        <f>IF(P3654&gt;0,1/P3654,NA())</f>
        <v>5.446423009040613</v>
      </c>
      <c r="R3654" s="75">
        <f>F3654-F3653</f>
        <v>0.0073885545698715305</v>
      </c>
      <c r="S3654" s="75">
        <f>0.5*(Q3653+Q3654)*R3654</f>
        <v>0.040232945499337265</v>
      </c>
      <c r="T3654" s="75">
        <f>0.5*(F3653*Q3653+F3654*Q3654)*R3654</f>
        <v>0.763415984288198</v>
      </c>
      <c r="U3654" s="76">
        <f>U3653+S3654</f>
        <v>42.1136068090132</v>
      </c>
      <c r="V3654" s="76">
        <f>V3653+T3654</f>
        <v>524.8284587942333</v>
      </c>
    </row>
    <row r="3655" spans="1:22" ht="19" customHeight="1">
      <c r="A3655" s="68" t="s">
        <v>378</v>
      </c>
      <c r="B3655" s="74">
        <v>5</v>
      </c>
      <c r="C3655" s="68" t="s">
        <v>363</v>
      </c>
      <c r="D3655" s="68" t="s">
        <v>364</v>
      </c>
      <c r="E3655" s="75">
        <f>60*F3655*'THAM_SO_MOI'!$C$53/(2*PI()*'THAM_SO_MOI'!$C$26)</f>
        <v>1870.6185390874634</v>
      </c>
      <c r="F3655" s="75">
        <f>'HANH_TRINH'!$F$3289+('THAM_SO_MOI'!$C$14-'HANH_TRINH'!$F$3289)*365/'THAM_SO_MOI'!$C$42</f>
        <v>18.98597876210567</v>
      </c>
      <c r="G3655" s="75">
        <f>3.6*F3655</f>
        <v>68.34952354358042</v>
      </c>
      <c r="H3655" s="75">
        <f>'THAM_SO_MOI'!$D$53</f>
        <v>1.1</v>
      </c>
      <c r="I3655" s="75">
        <f>IF(F3655&gt;'THAM_SO_MOI'!$C$14,'THAM_SO_MOI'!$C$13*(1+F3655^2/1500),'THAM_SO_MOI'!$C$13)</f>
        <v>0.015</v>
      </c>
      <c r="J3655" s="75">
        <f>'THAM_SO_MOI'!$C$40*('THAM_SO_MOI'!$C$23*(E3655/'THAM_SO_MOI'!$C$22)+'THAM_SO_MOI'!$C$24*(E3655/'THAM_SO_MOI'!$C$22)^2-'THAM_SO_MOI'!$C$25*(E3655/'THAM_SO_MOI'!$C$22)^3)</f>
        <v>83.40981442027629</v>
      </c>
      <c r="K3655" s="75">
        <f>'THAM_SO_MOI'!$C$31*J3655/E3655</f>
        <v>425.8780325499831</v>
      </c>
      <c r="L3655" s="75">
        <f>K3655*'THAM_SO_MOI'!$C$53*'THAM_SO_MOI'!$C$17/'THAM_SO_MOI'!$C$26</f>
        <v>3734.952011910703</v>
      </c>
      <c r="M3655" s="75">
        <f>'THAM_SO_MOI'!$C$15*'THAM_SO_MOI'!$C$16*F3655^2</f>
        <v>1054.3671144487482</v>
      </c>
      <c r="N3655" s="75">
        <f>'THAM_SO_MOI'!$C$12*I3655</f>
        <v>1130.112</v>
      </c>
      <c r="O3655" s="75">
        <f>M3655+N3655</f>
        <v>2184.479114448748</v>
      </c>
      <c r="P3655" s="75">
        <f>(MIN(L3655,'THAM_SO_MOI'!$C$41)-O3655)/('THAM_SO_MOI'!$C$11*H3655)</f>
        <v>0.1835313562336594</v>
      </c>
      <c r="Q3655" s="75">
        <f>IF(P3655&gt;0,1/P3655,NA())</f>
        <v>5.448660220909986</v>
      </c>
      <c r="R3655" s="75">
        <f>F3655-F3654</f>
        <v>0.0073885545698715305</v>
      </c>
      <c r="S3655" s="75">
        <f>0.5*(Q3654+Q3655)*R3655</f>
        <v>0.04024945849389108</v>
      </c>
      <c r="T3655" s="75">
        <f>0.5*(F3654*Q3654+F3655*Q3655)*R3655</f>
        <v>0.764026702023787</v>
      </c>
      <c r="U3655" s="76">
        <f>U3654+S3655</f>
        <v>42.15385626750709</v>
      </c>
      <c r="V3655" s="76">
        <f>V3654+T3655</f>
        <v>525.592485496257</v>
      </c>
    </row>
    <row r="3656" spans="1:22" ht="19" customHeight="1">
      <c r="A3656" s="68" t="s">
        <v>378</v>
      </c>
      <c r="B3656" s="74">
        <v>5</v>
      </c>
      <c r="C3656" s="68" t="s">
        <v>363</v>
      </c>
      <c r="D3656" s="68" t="s">
        <v>364</v>
      </c>
      <c r="E3656" s="75">
        <f>60*F3656*'THAM_SO_MOI'!$C$53/(2*PI()*'THAM_SO_MOI'!$C$26)</f>
        <v>1871.3465061482427</v>
      </c>
      <c r="F3656" s="75">
        <f>'HANH_TRINH'!$F$3289+('THAM_SO_MOI'!$C$14-'HANH_TRINH'!$F$3289)*366/'THAM_SO_MOI'!$C$42</f>
        <v>18.993367316675542</v>
      </c>
      <c r="G3656" s="75">
        <f>3.6*F3656</f>
        <v>68.37612234003196</v>
      </c>
      <c r="H3656" s="75">
        <f>'THAM_SO_MOI'!$D$53</f>
        <v>1.1</v>
      </c>
      <c r="I3656" s="75">
        <f>IF(F3656&gt;'THAM_SO_MOI'!$C$14,'THAM_SO_MOI'!$C$13*(1+F3656^2/1500),'THAM_SO_MOI'!$C$13)</f>
        <v>0.015</v>
      </c>
      <c r="J3656" s="75">
        <f>'THAM_SO_MOI'!$C$40*('THAM_SO_MOI'!$C$23*(E3656/'THAM_SO_MOI'!$C$22)+'THAM_SO_MOI'!$C$24*(E3656/'THAM_SO_MOI'!$C$22)^2-'THAM_SO_MOI'!$C$25*(E3656/'THAM_SO_MOI'!$C$22)^3)</f>
        <v>83.44636552506734</v>
      </c>
      <c r="K3656" s="75">
        <f>'THAM_SO_MOI'!$C$31*J3656/E3656</f>
        <v>425.8989148493798</v>
      </c>
      <c r="L3656" s="75">
        <f>K3656*'THAM_SO_MOI'!$C$53*'THAM_SO_MOI'!$C$17/'THAM_SO_MOI'!$C$26</f>
        <v>3735.135149758123</v>
      </c>
      <c r="M3656" s="75">
        <f>'THAM_SO_MOI'!$C$15*'THAM_SO_MOI'!$C$16*F3656^2</f>
        <v>1055.187905926514</v>
      </c>
      <c r="N3656" s="75">
        <f>'THAM_SO_MOI'!$C$12*I3656</f>
        <v>1130.112</v>
      </c>
      <c r="O3656" s="75">
        <f>M3656+N3656</f>
        <v>2185.299905926514</v>
      </c>
      <c r="P3656" s="75">
        <f>(MIN(L3656,'THAM_SO_MOI'!$C$41)-O3656)/('THAM_SO_MOI'!$C$11*H3656)</f>
        <v>0.18345587640052186</v>
      </c>
      <c r="Q3656" s="75">
        <f>IF(P3656&gt;0,1/P3656,NA())</f>
        <v>5.45090198046747</v>
      </c>
      <c r="R3656" s="75">
        <f>F3656-F3655</f>
        <v>0.0073885545698715305</v>
      </c>
      <c r="S3656" s="75">
        <f>0.5*(Q3655+Q3656)*R3656</f>
        <v>0.0402660050562932</v>
      </c>
      <c r="T3656" s="75">
        <f>0.5*(F3655*Q3655+F3656*Q3656)*R3656</f>
        <v>0.7646383012162843</v>
      </c>
      <c r="U3656" s="76">
        <f>U3655+S3656</f>
        <v>42.19412227256338</v>
      </c>
      <c r="V3656" s="76">
        <f>V3655+T3656</f>
        <v>526.3571237974734</v>
      </c>
    </row>
    <row r="3657" spans="1:22" ht="19" customHeight="1">
      <c r="A3657" s="68" t="s">
        <v>378</v>
      </c>
      <c r="B3657" s="74">
        <v>5</v>
      </c>
      <c r="C3657" s="68" t="s">
        <v>363</v>
      </c>
      <c r="D3657" s="68" t="s">
        <v>364</v>
      </c>
      <c r="E3657" s="75">
        <f>60*F3657*'THAM_SO_MOI'!$C$53/(2*PI()*'THAM_SO_MOI'!$C$26)</f>
        <v>1872.0744732090213</v>
      </c>
      <c r="F3657" s="75">
        <f>'HANH_TRINH'!$F$3289+('THAM_SO_MOI'!$C$14-'HANH_TRINH'!$F$3289)*367/'THAM_SO_MOI'!$C$42</f>
        <v>19.000755871245413</v>
      </c>
      <c r="G3657" s="75">
        <f>3.6*F3657</f>
        <v>68.40272113648349</v>
      </c>
      <c r="H3657" s="75">
        <f>'THAM_SO_MOI'!$D$53</f>
        <v>1.1</v>
      </c>
      <c r="I3657" s="75">
        <f>IF(F3657&gt;'THAM_SO_MOI'!$C$14,'THAM_SO_MOI'!$C$13*(1+F3657^2/1500),'THAM_SO_MOI'!$C$13)</f>
        <v>0.015</v>
      </c>
      <c r="J3657" s="75">
        <f>'THAM_SO_MOI'!$C$40*('THAM_SO_MOI'!$C$23*(E3657/'THAM_SO_MOI'!$C$22)+'THAM_SO_MOI'!$C$24*(E3657/'THAM_SO_MOI'!$C$22)^2-'THAM_SO_MOI'!$C$25*(E3657/'THAM_SO_MOI'!$C$22)^3)</f>
        <v>83.48290973606596</v>
      </c>
      <c r="K3657" s="75">
        <f>'THAM_SO_MOI'!$C$31*J3657/E3657</f>
        <v>425.919745737071</v>
      </c>
      <c r="L3657" s="75">
        <f>K3657*'THAM_SO_MOI'!$C$53*'THAM_SO_MOI'!$C$17/'THAM_SO_MOI'!$C$26</f>
        <v>3735.3178367246855</v>
      </c>
      <c r="M3657" s="75">
        <f>'THAM_SO_MOI'!$C$15*'THAM_SO_MOI'!$C$16*F3657^2</f>
        <v>1056.0090167601013</v>
      </c>
      <c r="N3657" s="75">
        <f>'THAM_SO_MOI'!$C$12*I3657</f>
        <v>1130.112</v>
      </c>
      <c r="O3657" s="75">
        <f>M3657+N3657</f>
        <v>2186.121016760101</v>
      </c>
      <c r="P3657" s="75">
        <f>(MIN(L3657,'THAM_SO_MOI'!$C$41)-O3657)/('THAM_SO_MOI'!$C$11*H3657)</f>
        <v>0.1833803053935351</v>
      </c>
      <c r="Q3657" s="75">
        <f>IF(P3657&gt;0,1/P3657,NA())</f>
        <v>5.453148296672289</v>
      </c>
      <c r="R3657" s="75">
        <f>F3657-F3656</f>
        <v>0.0073885545698715305</v>
      </c>
      <c r="S3657" s="75">
        <f>0.5*(Q3656+Q3657)*R3657</f>
        <v>0.04028258525263495</v>
      </c>
      <c r="T3657" s="75">
        <f>0.5*(F3656*Q3656+F3657*Q3657)*R3657</f>
        <v>0.7652507838652852</v>
      </c>
      <c r="U3657" s="76">
        <f>U3656+S3657</f>
        <v>42.23440485781602</v>
      </c>
      <c r="V3657" s="76">
        <f>V3656+T3657</f>
        <v>527.1223745813387</v>
      </c>
    </row>
    <row r="3658" spans="1:22" ht="19" customHeight="1">
      <c r="A3658" s="68" t="s">
        <v>378</v>
      </c>
      <c r="B3658" s="74">
        <v>5</v>
      </c>
      <c r="C3658" s="68" t="s">
        <v>363</v>
      </c>
      <c r="D3658" s="68" t="s">
        <v>364</v>
      </c>
      <c r="E3658" s="75">
        <f>60*F3658*'THAM_SO_MOI'!$C$53/(2*PI()*'THAM_SO_MOI'!$C$26)</f>
        <v>1872.8024402698006</v>
      </c>
      <c r="F3658" s="75">
        <f>'HANH_TRINH'!$F$3289+('THAM_SO_MOI'!$C$14-'HANH_TRINH'!$F$3289)*368/'THAM_SO_MOI'!$C$42</f>
        <v>19.00814442581529</v>
      </c>
      <c r="G3658" s="75">
        <f>3.6*F3658</f>
        <v>68.42931993293504</v>
      </c>
      <c r="H3658" s="75">
        <f>'THAM_SO_MOI'!$D$53</f>
        <v>1.1</v>
      </c>
      <c r="I3658" s="75">
        <f>IF(F3658&gt;'THAM_SO_MOI'!$C$14,'THAM_SO_MOI'!$C$13*(1+F3658^2/1500),'THAM_SO_MOI'!$C$13)</f>
        <v>0.015</v>
      </c>
      <c r="J3658" s="75">
        <f>'THAM_SO_MOI'!$C$40*('THAM_SO_MOI'!$C$23*(E3658/'THAM_SO_MOI'!$C$22)+'THAM_SO_MOI'!$C$24*(E3658/'THAM_SO_MOI'!$C$22)^2-'THAM_SO_MOI'!$C$25*(E3658/'THAM_SO_MOI'!$C$22)^3)</f>
        <v>83.51944704151673</v>
      </c>
      <c r="K3658" s="75">
        <f>'THAM_SO_MOI'!$C$31*J3658/E3658</f>
        <v>425.9405252130567</v>
      </c>
      <c r="L3658" s="75">
        <f>K3658*'THAM_SO_MOI'!$C$53*'THAM_SO_MOI'!$C$17/'THAM_SO_MOI'!$C$26</f>
        <v>3735.500072810389</v>
      </c>
      <c r="M3658" s="75">
        <f>'THAM_SO_MOI'!$C$15*'THAM_SO_MOI'!$C$16*F3658^2</f>
        <v>1056.8304469495097</v>
      </c>
      <c r="N3658" s="75">
        <f>'THAM_SO_MOI'!$C$12*I3658</f>
        <v>1130.112</v>
      </c>
      <c r="O3658" s="75">
        <f>M3658+N3658</f>
        <v>2186.9424469495098</v>
      </c>
      <c r="P3658" s="75">
        <f>(MIN(L3658,'THAM_SO_MOI'!$C$41)-O3658)/('THAM_SO_MOI'!$C$11*H3658)</f>
        <v>0.1833046432126988</v>
      </c>
      <c r="Q3658" s="75">
        <f>IF(P3658&gt;0,1/P3658,NA())</f>
        <v>5.455399178512042</v>
      </c>
      <c r="R3658" s="75">
        <f>F3658-F3657</f>
        <v>0.007388554569875083</v>
      </c>
      <c r="S3658" s="75">
        <f>0.5*(Q3657+Q3658)*R3658</f>
        <v>0.04029919914923625</v>
      </c>
      <c r="T3658" s="75">
        <f>0.5*(F3657*Q3657+F3658*Q3658)*R3658</f>
        <v>0.7658641519766826</v>
      </c>
      <c r="U3658" s="76">
        <f>U3657+S3658</f>
        <v>42.274704056965255</v>
      </c>
      <c r="V3658" s="76">
        <f>V3657+T3658</f>
        <v>527.8882387333153</v>
      </c>
    </row>
    <row r="3659" spans="1:22" ht="19" customHeight="1">
      <c r="A3659" s="68" t="s">
        <v>378</v>
      </c>
      <c r="B3659" s="74">
        <v>5</v>
      </c>
      <c r="C3659" s="68" t="s">
        <v>363</v>
      </c>
      <c r="D3659" s="68" t="s">
        <v>364</v>
      </c>
      <c r="E3659" s="75">
        <f>60*F3659*'THAM_SO_MOI'!$C$53/(2*PI()*'THAM_SO_MOI'!$C$26)</f>
        <v>1873.5304073305795</v>
      </c>
      <c r="F3659" s="75">
        <f>'HANH_TRINH'!$F$3289+('THAM_SO_MOI'!$C$14-'HANH_TRINH'!$F$3289)*369/'THAM_SO_MOI'!$C$42</f>
        <v>19.01553298038516</v>
      </c>
      <c r="G3659" s="75">
        <f>3.6*F3659</f>
        <v>68.45591872938658</v>
      </c>
      <c r="H3659" s="75">
        <f>'THAM_SO_MOI'!$D$53</f>
        <v>1.1</v>
      </c>
      <c r="I3659" s="75">
        <f>IF(F3659&gt;'THAM_SO_MOI'!$C$14,'THAM_SO_MOI'!$C$13*(1+F3659^2/1500),'THAM_SO_MOI'!$C$13)</f>
        <v>0.015</v>
      </c>
      <c r="J3659" s="75">
        <f>'THAM_SO_MOI'!$C$40*('THAM_SO_MOI'!$C$23*(E3659/'THAM_SO_MOI'!$C$22)+'THAM_SO_MOI'!$C$24*(E3659/'THAM_SO_MOI'!$C$22)^2-'THAM_SO_MOI'!$C$25*(E3659/'THAM_SO_MOI'!$C$22)^3)</f>
        <v>83.55597742966405</v>
      </c>
      <c r="K3659" s="75">
        <f>'THAM_SO_MOI'!$C$31*J3659/E3659</f>
        <v>425.96125327733694</v>
      </c>
      <c r="L3659" s="75">
        <f>K3659*'THAM_SO_MOI'!$C$53*'THAM_SO_MOI'!$C$17/'THAM_SO_MOI'!$C$26</f>
        <v>3735.6818580152353</v>
      </c>
      <c r="M3659" s="75">
        <f>'THAM_SO_MOI'!$C$15*'THAM_SO_MOI'!$C$16*F3659^2</f>
        <v>1057.6521964947385</v>
      </c>
      <c r="N3659" s="75">
        <f>'THAM_SO_MOI'!$C$12*I3659</f>
        <v>1130.112</v>
      </c>
      <c r="O3659" s="75">
        <f>M3659+N3659</f>
        <v>2187.764196494739</v>
      </c>
      <c r="P3659" s="75">
        <f>(MIN(L3659,'THAM_SO_MOI'!$C$41)-O3659)/('THAM_SO_MOI'!$C$11*H3659)</f>
        <v>0.18322888985801336</v>
      </c>
      <c r="Q3659" s="75">
        <f>IF(P3659&gt;0,1/P3659,NA())</f>
        <v>5.457654635002777</v>
      </c>
      <c r="R3659" s="75">
        <f>F3659-F3658</f>
        <v>0.0073885545698715305</v>
      </c>
      <c r="S3659" s="75">
        <f>0.5*(Q3658+Q3659)*R3659</f>
        <v>0.040315846812549426</v>
      </c>
      <c r="T3659" s="75">
        <f>0.5*(F3658*Q3658+F3659*Q3659)*R3659</f>
        <v>0.7664784075608461</v>
      </c>
      <c r="U3659" s="76">
        <f>U3658+S3659</f>
        <v>42.3150199037778</v>
      </c>
      <c r="V3659" s="76">
        <f>V3658+T3659</f>
        <v>528.6547171408762</v>
      </c>
    </row>
    <row r="3660" spans="1:22" ht="19" customHeight="1">
      <c r="A3660" s="68" t="s">
        <v>378</v>
      </c>
      <c r="B3660" s="74">
        <v>5</v>
      </c>
      <c r="C3660" s="68" t="s">
        <v>363</v>
      </c>
      <c r="D3660" s="68" t="s">
        <v>364</v>
      </c>
      <c r="E3660" s="75">
        <f>60*F3660*'THAM_SO_MOI'!$C$53/(2*PI()*'THAM_SO_MOI'!$C$26)</f>
        <v>1874.2583743913588</v>
      </c>
      <c r="F3660" s="75">
        <f>'HANH_TRINH'!$F$3289+('THAM_SO_MOI'!$C$14-'HANH_TRINH'!$F$3289)*370/'THAM_SO_MOI'!$C$42</f>
        <v>19.02292153495503</v>
      </c>
      <c r="G3660" s="75">
        <f>3.6*F3660</f>
        <v>68.48251752583812</v>
      </c>
      <c r="H3660" s="75">
        <f>'THAM_SO_MOI'!$D$53</f>
        <v>1.1</v>
      </c>
      <c r="I3660" s="75">
        <f>IF(F3660&gt;'THAM_SO_MOI'!$C$14,'THAM_SO_MOI'!$C$13*(1+F3660^2/1500),'THAM_SO_MOI'!$C$13)</f>
        <v>0.015</v>
      </c>
      <c r="J3660" s="75">
        <f>'THAM_SO_MOI'!$C$40*('THAM_SO_MOI'!$C$23*(E3660/'THAM_SO_MOI'!$C$22)+'THAM_SO_MOI'!$C$24*(E3660/'THAM_SO_MOI'!$C$22)^2-'THAM_SO_MOI'!$C$25*(E3660/'THAM_SO_MOI'!$C$22)^3)</f>
        <v>83.59250088875253</v>
      </c>
      <c r="K3660" s="75">
        <f>'THAM_SO_MOI'!$C$31*J3660/E3660</f>
        <v>425.9819299299119</v>
      </c>
      <c r="L3660" s="75">
        <f>K3660*'THAM_SO_MOI'!$C$53*'THAM_SO_MOI'!$C$17/'THAM_SO_MOI'!$C$26</f>
        <v>3735.8631923392254</v>
      </c>
      <c r="M3660" s="75">
        <f>'THAM_SO_MOI'!$C$15*'THAM_SO_MOI'!$C$16*F3660^2</f>
        <v>1058.4742653957885</v>
      </c>
      <c r="N3660" s="75">
        <f>'THAM_SO_MOI'!$C$12*I3660</f>
        <v>1130.112</v>
      </c>
      <c r="O3660" s="75">
        <f>M3660+N3660</f>
        <v>2188.5862653957884</v>
      </c>
      <c r="P3660" s="75">
        <f>(MIN(L3660,'THAM_SO_MOI'!$C$41)-O3660)/('THAM_SO_MOI'!$C$11*H3660)</f>
        <v>0.18315304532947876</v>
      </c>
      <c r="Q3660" s="75">
        <f>IF(P3660&gt;0,1/P3660,NA())</f>
        <v>5.4599146751891245</v>
      </c>
      <c r="R3660" s="75">
        <f>F3660-F3659</f>
        <v>0.0073885545698715305</v>
      </c>
      <c r="S3660" s="75">
        <f>0.5*(Q3659+Q3660)*R3660</f>
        <v>0.04033252830935377</v>
      </c>
      <c r="T3660" s="75">
        <f>0.5*(F3659*Q3659+F3660*Q3660)*R3660</f>
        <v>0.767093552636328</v>
      </c>
      <c r="U3660" s="76">
        <f>U3659+S3660</f>
        <v>42.35535243208716</v>
      </c>
      <c r="V3660" s="76">
        <f>V3659+T3660</f>
        <v>529.4218106935125</v>
      </c>
    </row>
    <row r="3661" spans="1:22" ht="19" customHeight="1">
      <c r="A3661" s="68" t="s">
        <v>378</v>
      </c>
      <c r="B3661" s="74">
        <v>5</v>
      </c>
      <c r="C3661" s="68" t="s">
        <v>363</v>
      </c>
      <c r="D3661" s="68" t="s">
        <v>364</v>
      </c>
      <c r="E3661" s="75">
        <f>60*F3661*'THAM_SO_MOI'!$C$53/(2*PI()*'THAM_SO_MOI'!$C$26)</f>
        <v>1874.9863414521376</v>
      </c>
      <c r="F3661" s="75">
        <f>'HANH_TRINH'!$F$3289+('THAM_SO_MOI'!$C$14-'HANH_TRINH'!$F$3289)*371/'THAM_SO_MOI'!$C$42</f>
        <v>19.030310089524903</v>
      </c>
      <c r="G3661" s="75">
        <f>3.6*F3661</f>
        <v>68.50911632228966</v>
      </c>
      <c r="H3661" s="75">
        <f>'THAM_SO_MOI'!$D$53</f>
        <v>1.1</v>
      </c>
      <c r="I3661" s="75">
        <f>IF(F3661&gt;'THAM_SO_MOI'!$C$14,'THAM_SO_MOI'!$C$13*(1+F3661^2/1500),'THAM_SO_MOI'!$C$13)</f>
        <v>0.015</v>
      </c>
      <c r="J3661" s="75">
        <f>'THAM_SO_MOI'!$C$40*('THAM_SO_MOI'!$C$23*(E3661/'THAM_SO_MOI'!$C$22)+'THAM_SO_MOI'!$C$24*(E3661/'THAM_SO_MOI'!$C$22)^2-'THAM_SO_MOI'!$C$25*(E3661/'THAM_SO_MOI'!$C$22)^3)</f>
        <v>83.62901740702651</v>
      </c>
      <c r="K3661" s="75">
        <f>'THAM_SO_MOI'!$C$31*J3661/E3661</f>
        <v>426.0025551707813</v>
      </c>
      <c r="L3661" s="75">
        <f>K3661*'THAM_SO_MOI'!$C$53*'THAM_SO_MOI'!$C$17/'THAM_SO_MOI'!$C$26</f>
        <v>3736.0440757823553</v>
      </c>
      <c r="M3661" s="75">
        <f>'THAM_SO_MOI'!$C$15*'THAM_SO_MOI'!$C$16*F3661^2</f>
        <v>1059.2966536526596</v>
      </c>
      <c r="N3661" s="75">
        <f>'THAM_SO_MOI'!$C$12*I3661</f>
        <v>1130.112</v>
      </c>
      <c r="O3661" s="75">
        <f>M3661+N3661</f>
        <v>2189.4086536526597</v>
      </c>
      <c r="P3661" s="75">
        <f>(MIN(L3661,'THAM_SO_MOI'!$C$41)-O3661)/('THAM_SO_MOI'!$C$11*H3661)</f>
        <v>0.18307710962709464</v>
      </c>
      <c r="Q3661" s="75">
        <f>IF(P3661&gt;0,1/P3661,NA())</f>
        <v>5.462179308144399</v>
      </c>
      <c r="R3661" s="75">
        <f>F3661-F3660</f>
        <v>0.0073885545698715305</v>
      </c>
      <c r="S3661" s="75">
        <f>0.5*(Q3660+Q3661)*R3661</f>
        <v>0.04034924370656263</v>
      </c>
      <c r="T3661" s="75">
        <f>0.5*(F3660*Q3660+F3661*Q3661)*R3661</f>
        <v>0.7677095892262048</v>
      </c>
      <c r="U3661" s="76">
        <f>U3660+S3661</f>
        <v>42.395701675793724</v>
      </c>
      <c r="V3661" s="76">
        <f>V3660+T3661</f>
        <v>530.1895202827387</v>
      </c>
    </row>
    <row r="3662" spans="1:22" ht="19" customHeight="1">
      <c r="A3662" s="68" t="s">
        <v>378</v>
      </c>
      <c r="B3662" s="74">
        <v>5</v>
      </c>
      <c r="C3662" s="68" t="s">
        <v>363</v>
      </c>
      <c r="D3662" s="68" t="s">
        <v>364</v>
      </c>
      <c r="E3662" s="75">
        <f>60*F3662*'THAM_SO_MOI'!$C$53/(2*PI()*'THAM_SO_MOI'!$C$26)</f>
        <v>1875.7143085129164</v>
      </c>
      <c r="F3662" s="75">
        <f>'HANH_TRINH'!$F$3289+('THAM_SO_MOI'!$C$14-'HANH_TRINH'!$F$3289)*372/'THAM_SO_MOI'!$C$42</f>
        <v>19.037698644094775</v>
      </c>
      <c r="G3662" s="75">
        <f>3.6*F3662</f>
        <v>68.5357151187412</v>
      </c>
      <c r="H3662" s="75">
        <f>'THAM_SO_MOI'!$D$53</f>
        <v>1.1</v>
      </c>
      <c r="I3662" s="75">
        <f>IF(F3662&gt;'THAM_SO_MOI'!$C$14,'THAM_SO_MOI'!$C$13*(1+F3662^2/1500),'THAM_SO_MOI'!$C$13)</f>
        <v>0.015</v>
      </c>
      <c r="J3662" s="75">
        <f>'THAM_SO_MOI'!$C$40*('THAM_SO_MOI'!$C$23*(E3662/'THAM_SO_MOI'!$C$22)+'THAM_SO_MOI'!$C$24*(E3662/'THAM_SO_MOI'!$C$22)^2-'THAM_SO_MOI'!$C$25*(E3662/'THAM_SO_MOI'!$C$22)^3)</f>
        <v>83.66552697273056</v>
      </c>
      <c r="K3662" s="75">
        <f>'THAM_SO_MOI'!$C$31*J3662/E3662</f>
        <v>426.0231289999454</v>
      </c>
      <c r="L3662" s="75">
        <f>K3662*'THAM_SO_MOI'!$C$53*'THAM_SO_MOI'!$C$17/'THAM_SO_MOI'!$C$26</f>
        <v>3736.2245083446296</v>
      </c>
      <c r="M3662" s="75">
        <f>'THAM_SO_MOI'!$C$15*'THAM_SO_MOI'!$C$16*F3662^2</f>
        <v>1060.1193612653515</v>
      </c>
      <c r="N3662" s="75">
        <f>'THAM_SO_MOI'!$C$12*I3662</f>
        <v>1130.112</v>
      </c>
      <c r="O3662" s="75">
        <f>M3662+N3662</f>
        <v>2190.2313612653516</v>
      </c>
      <c r="P3662" s="75">
        <f>(MIN(L3662,'THAM_SO_MOI'!$C$41)-O3662)/('THAM_SO_MOI'!$C$11*H3662)</f>
        <v>0.18300108275086152</v>
      </c>
      <c r="Q3662" s="75">
        <f>IF(P3662&gt;0,1/P3662,NA())</f>
        <v>5.464448542970668</v>
      </c>
      <c r="R3662" s="75">
        <f>F3662-F3661</f>
        <v>0.0073885545698715305</v>
      </c>
      <c r="S3662" s="75">
        <f>0.5*(Q3661+Q3662)*R3662</f>
        <v>0.04036599307132089</v>
      </c>
      <c r="T3662" s="75">
        <f>0.5*(F3661*Q3661+F3662*Q3662)*R3662</f>
        <v>0.7683265193599388</v>
      </c>
      <c r="U3662" s="76">
        <f>U3661+S3662</f>
        <v>42.43606766886504</v>
      </c>
      <c r="V3662" s="76">
        <f>V3661+T3662</f>
        <v>530.9578468020986</v>
      </c>
    </row>
    <row r="3663" spans="1:22" ht="19" customHeight="1">
      <c r="A3663" s="68" t="s">
        <v>378</v>
      </c>
      <c r="B3663" s="74">
        <v>5</v>
      </c>
      <c r="C3663" s="68" t="s">
        <v>363</v>
      </c>
      <c r="D3663" s="68" t="s">
        <v>364</v>
      </c>
      <c r="E3663" s="75">
        <f>60*F3663*'THAM_SO_MOI'!$C$53/(2*PI()*'THAM_SO_MOI'!$C$26)</f>
        <v>1876.442275573695</v>
      </c>
      <c r="F3663" s="75">
        <f>'HANH_TRINH'!$F$3289+('THAM_SO_MOI'!$C$14-'HANH_TRINH'!$F$3289)*373/'THAM_SO_MOI'!$C$42</f>
        <v>19.045087198664646</v>
      </c>
      <c r="G3663" s="75">
        <f>3.6*F3663</f>
        <v>68.56231391519273</v>
      </c>
      <c r="H3663" s="75">
        <f>'THAM_SO_MOI'!$D$53</f>
        <v>1.1</v>
      </c>
      <c r="I3663" s="75">
        <f>IF(F3663&gt;'THAM_SO_MOI'!$C$14,'THAM_SO_MOI'!$C$13*(1+F3663^2/1500),'THAM_SO_MOI'!$C$13)</f>
        <v>0.015</v>
      </c>
      <c r="J3663" s="75">
        <f>'THAM_SO_MOI'!$C$40*('THAM_SO_MOI'!$C$23*(E3663/'THAM_SO_MOI'!$C$22)+'THAM_SO_MOI'!$C$24*(E3663/'THAM_SO_MOI'!$C$22)^2-'THAM_SO_MOI'!$C$25*(E3663/'THAM_SO_MOI'!$C$22)^3)</f>
        <v>83.70202957410912</v>
      </c>
      <c r="K3663" s="75">
        <f>'THAM_SO_MOI'!$C$31*J3663/E3663</f>
        <v>426.0436514174039</v>
      </c>
      <c r="L3663" s="75">
        <f>K3663*'THAM_SO_MOI'!$C$53*'THAM_SO_MOI'!$C$17/'THAM_SO_MOI'!$C$26</f>
        <v>3736.4044900260437</v>
      </c>
      <c r="M3663" s="75">
        <f>'THAM_SO_MOI'!$C$15*'THAM_SO_MOI'!$C$16*F3663^2</f>
        <v>1060.9423882338644</v>
      </c>
      <c r="N3663" s="75">
        <f>'THAM_SO_MOI'!$C$12*I3663</f>
        <v>1130.112</v>
      </c>
      <c r="O3663" s="75">
        <f>M3663+N3663</f>
        <v>2191.0543882338643</v>
      </c>
      <c r="P3663" s="75">
        <f>(MIN(L3663,'THAM_SO_MOI'!$C$41)-O3663)/('THAM_SO_MOI'!$C$11*H3663)</f>
        <v>0.18292496470077876</v>
      </c>
      <c r="Q3663" s="75">
        <f>IF(P3663&gt;0,1/P3663,NA())</f>
        <v>5.466722388798924</v>
      </c>
      <c r="R3663" s="75">
        <f>F3663-F3662</f>
        <v>0.0073885545698715305</v>
      </c>
      <c r="S3663" s="75">
        <f>0.5*(Q3662+Q3663)*R3663</f>
        <v>0.04038277647098653</v>
      </c>
      <c r="T3663" s="75">
        <f>0.5*(F3662*Q3662+F3663*Q3663)*R3663</f>
        <v>0.7689443450730329</v>
      </c>
      <c r="U3663" s="76">
        <f>U3662+S3663</f>
        <v>42.47645044533603</v>
      </c>
      <c r="V3663" s="76">
        <f>V3662+T3663</f>
        <v>531.7267911471716</v>
      </c>
    </row>
    <row r="3664" spans="1:22" ht="19" customHeight="1">
      <c r="A3664" s="68" t="s">
        <v>378</v>
      </c>
      <c r="B3664" s="74">
        <v>5</v>
      </c>
      <c r="C3664" s="68" t="s">
        <v>363</v>
      </c>
      <c r="D3664" s="68" t="s">
        <v>364</v>
      </c>
      <c r="E3664" s="75">
        <f>60*F3664*'THAM_SO_MOI'!$C$53/(2*PI()*'THAM_SO_MOI'!$C$26)</f>
        <v>1877.1702426344743</v>
      </c>
      <c r="F3664" s="75">
        <f>'HANH_TRINH'!$F$3289+('THAM_SO_MOI'!$C$14-'HANH_TRINH'!$F$3289)*374/'THAM_SO_MOI'!$C$42</f>
        <v>19.052475753234518</v>
      </c>
      <c r="G3664" s="75">
        <f>3.6*F3664</f>
        <v>68.58891271164427</v>
      </c>
      <c r="H3664" s="75">
        <f>'THAM_SO_MOI'!$D$53</f>
        <v>1.1</v>
      </c>
      <c r="I3664" s="75">
        <f>IF(F3664&gt;'THAM_SO_MOI'!$C$14,'THAM_SO_MOI'!$C$13*(1+F3664^2/1500),'THAM_SO_MOI'!$C$13)</f>
        <v>0.015</v>
      </c>
      <c r="J3664" s="75">
        <f>'THAM_SO_MOI'!$C$40*('THAM_SO_MOI'!$C$23*(E3664/'THAM_SO_MOI'!$C$22)+'THAM_SO_MOI'!$C$24*(E3664/'THAM_SO_MOI'!$C$22)^2-'THAM_SO_MOI'!$C$25*(E3664/'THAM_SO_MOI'!$C$22)^3)</f>
        <v>83.73852519940675</v>
      </c>
      <c r="K3664" s="75">
        <f>'THAM_SO_MOI'!$C$31*J3664/E3664</f>
        <v>426.06412242315713</v>
      </c>
      <c r="L3664" s="75">
        <f>K3664*'THAM_SO_MOI'!$C$53*'THAM_SO_MOI'!$C$17/'THAM_SO_MOI'!$C$26</f>
        <v>3736.5840208266018</v>
      </c>
      <c r="M3664" s="75">
        <f>'THAM_SO_MOI'!$C$15*'THAM_SO_MOI'!$C$16*F3664^2</f>
        <v>1061.7657345581986</v>
      </c>
      <c r="N3664" s="75">
        <f>'THAM_SO_MOI'!$C$12*I3664</f>
        <v>1130.112</v>
      </c>
      <c r="O3664" s="75">
        <f>M3664+N3664</f>
        <v>2191.8777345581984</v>
      </c>
      <c r="P3664" s="75">
        <f>(MIN(L3664,'THAM_SO_MOI'!$C$41)-O3664)/('THAM_SO_MOI'!$C$11*H3664)</f>
        <v>0.18284875547684698</v>
      </c>
      <c r="Q3664" s="75">
        <f>IF(P3664&gt;0,1/P3664,NA())</f>
        <v>5.469000854789104</v>
      </c>
      <c r="R3664" s="75">
        <f>F3664-F3663</f>
        <v>0.0073885545698715305</v>
      </c>
      <c r="S3664" s="75">
        <f>0.5*(Q3663+Q3664)*R3664</f>
        <v>0.040399593973131316</v>
      </c>
      <c r="T3664" s="75">
        <f>0.5*(F3663*Q3663+F3664*Q3664)*R3664</f>
        <v>0.7695630684070536</v>
      </c>
      <c r="U3664" s="76">
        <f>U3663+S3664</f>
        <v>42.51685003930916</v>
      </c>
      <c r="V3664" s="76">
        <f>V3663+T3664</f>
        <v>532.4963542155787</v>
      </c>
    </row>
    <row r="3665" spans="1:22" ht="19" customHeight="1">
      <c r="A3665" s="68" t="s">
        <v>378</v>
      </c>
      <c r="B3665" s="74">
        <v>5</v>
      </c>
      <c r="C3665" s="68" t="s">
        <v>363</v>
      </c>
      <c r="D3665" s="68" t="s">
        <v>364</v>
      </c>
      <c r="E3665" s="75">
        <f>60*F3665*'THAM_SO_MOI'!$C$53/(2*PI()*'THAM_SO_MOI'!$C$26)</f>
        <v>1877.8982096952532</v>
      </c>
      <c r="F3665" s="75">
        <f>'HANH_TRINH'!$F$3289+('THAM_SO_MOI'!$C$14-'HANH_TRINH'!$F$3289)*375/'THAM_SO_MOI'!$C$42</f>
        <v>19.05986430780439</v>
      </c>
      <c r="G3665" s="75">
        <f>3.6*F3665</f>
        <v>68.6155115080958</v>
      </c>
      <c r="H3665" s="75">
        <f>'THAM_SO_MOI'!$D$53</f>
        <v>1.1</v>
      </c>
      <c r="I3665" s="75">
        <f>IF(F3665&gt;'THAM_SO_MOI'!$C$14,'THAM_SO_MOI'!$C$13*(1+F3665^2/1500),'THAM_SO_MOI'!$C$13)</f>
        <v>0.015</v>
      </c>
      <c r="J3665" s="75">
        <f>'THAM_SO_MOI'!$C$40*('THAM_SO_MOI'!$C$23*(E3665/'THAM_SO_MOI'!$C$22)+'THAM_SO_MOI'!$C$24*(E3665/'THAM_SO_MOI'!$C$22)^2-'THAM_SO_MOI'!$C$25*(E3665/'THAM_SO_MOI'!$C$22)^3)</f>
        <v>83.77501383686784</v>
      </c>
      <c r="K3665" s="75">
        <f>'THAM_SO_MOI'!$C$31*J3665/E3665</f>
        <v>426.08454201720485</v>
      </c>
      <c r="L3665" s="75">
        <f>K3665*'THAM_SO_MOI'!$C$53*'THAM_SO_MOI'!$C$17/'THAM_SO_MOI'!$C$26</f>
        <v>3736.763100746302</v>
      </c>
      <c r="M3665" s="75">
        <f>'THAM_SO_MOI'!$C$15*'THAM_SO_MOI'!$C$16*F3665^2</f>
        <v>1062.5894002383534</v>
      </c>
      <c r="N3665" s="75">
        <f>'THAM_SO_MOI'!$C$12*I3665</f>
        <v>1130.112</v>
      </c>
      <c r="O3665" s="75">
        <f>M3665+N3665</f>
        <v>2192.7014002383535</v>
      </c>
      <c r="P3665" s="75">
        <f>(MIN(L3665,'THAM_SO_MOI'!$C$41)-O3665)/('THAM_SO_MOI'!$C$11*H3665)</f>
        <v>0.18277245507906587</v>
      </c>
      <c r="Q3665" s="75">
        <f>IF(P3665&gt;0,1/P3665,NA())</f>
        <v>5.471283950130276</v>
      </c>
      <c r="R3665" s="75">
        <f>F3665-F3664</f>
        <v>0.0073885545698715305</v>
      </c>
      <c r="S3665" s="75">
        <f>0.5*(Q3664+Q3665)*R3665</f>
        <v>0.040416445645541574</v>
      </c>
      <c r="T3665" s="75">
        <f>0.5*(F3664*Q3664+F3665*Q3665)*R3665</f>
        <v>0.770182691409653</v>
      </c>
      <c r="U3665" s="76">
        <f>U3664+S3665</f>
        <v>42.5572664849547</v>
      </c>
      <c r="V3665" s="76">
        <f>V3664+T3665</f>
        <v>533.2665369069883</v>
      </c>
    </row>
    <row r="3666" spans="1:22" ht="19" customHeight="1">
      <c r="A3666" s="68" t="s">
        <v>378</v>
      </c>
      <c r="B3666" s="74">
        <v>5</v>
      </c>
      <c r="C3666" s="68" t="s">
        <v>363</v>
      </c>
      <c r="D3666" s="68" t="s">
        <v>364</v>
      </c>
      <c r="E3666" s="75">
        <f>60*F3666*'THAM_SO_MOI'!$C$53/(2*PI()*'THAM_SO_MOI'!$C$26)</f>
        <v>1878.6261767560325</v>
      </c>
      <c r="F3666" s="75">
        <f>'HANH_TRINH'!$F$3289+('THAM_SO_MOI'!$C$14-'HANH_TRINH'!$F$3289)*376/'THAM_SO_MOI'!$C$42</f>
        <v>19.067252862374264</v>
      </c>
      <c r="G3666" s="75">
        <f>3.6*F3666</f>
        <v>68.64211030454736</v>
      </c>
      <c r="H3666" s="75">
        <f>'THAM_SO_MOI'!$D$53</f>
        <v>1.1</v>
      </c>
      <c r="I3666" s="75">
        <f>IF(F3666&gt;'THAM_SO_MOI'!$C$14,'THAM_SO_MOI'!$C$13*(1+F3666^2/1500),'THAM_SO_MOI'!$C$13)</f>
        <v>0.015</v>
      </c>
      <c r="J3666" s="75">
        <f>'THAM_SO_MOI'!$C$40*('THAM_SO_MOI'!$C$23*(E3666/'THAM_SO_MOI'!$C$22)+'THAM_SO_MOI'!$C$24*(E3666/'THAM_SO_MOI'!$C$22)^2-'THAM_SO_MOI'!$C$25*(E3666/'THAM_SO_MOI'!$C$22)^3)</f>
        <v>83.81149547473696</v>
      </c>
      <c r="K3666" s="75">
        <f>'THAM_SO_MOI'!$C$31*J3666/E3666</f>
        <v>426.10491019954713</v>
      </c>
      <c r="L3666" s="75">
        <f>K3666*'THAM_SO_MOI'!$C$53*'THAM_SO_MOI'!$C$17/'THAM_SO_MOI'!$C$26</f>
        <v>3736.9417297851437</v>
      </c>
      <c r="M3666" s="75">
        <f>'THAM_SO_MOI'!$C$15*'THAM_SO_MOI'!$C$16*F3666^2</f>
        <v>1063.4133852743298</v>
      </c>
      <c r="N3666" s="75">
        <f>'THAM_SO_MOI'!$C$12*I3666</f>
        <v>1130.112</v>
      </c>
      <c r="O3666" s="75">
        <f>M3666+N3666</f>
        <v>2193.52538527433</v>
      </c>
      <c r="P3666" s="75">
        <f>(MIN(L3666,'THAM_SO_MOI'!$C$41)-O3666)/('THAM_SO_MOI'!$C$11*H3666)</f>
        <v>0.18269606350743534</v>
      </c>
      <c r="Q3666" s="75">
        <f>IF(P3666&gt;0,1/P3666,NA())</f>
        <v>5.473571684040703</v>
      </c>
      <c r="R3666" s="75">
        <f>F3666-F3665</f>
        <v>0.007388554569875083</v>
      </c>
      <c r="S3666" s="75">
        <f>0.5*(Q3665+Q3666)*R3666</f>
        <v>0.04043333155623852</v>
      </c>
      <c r="T3666" s="75">
        <f>0.5*(F3665*Q3665+F3666*Q3666)*R3666</f>
        <v>0.770803216134965</v>
      </c>
      <c r="U3666" s="76">
        <f>U3665+S3666</f>
        <v>42.59769981651094</v>
      </c>
      <c r="V3666" s="76">
        <f>V3665+T3666</f>
        <v>534.0373401231233</v>
      </c>
    </row>
    <row r="3667" spans="1:22" ht="19" customHeight="1">
      <c r="A3667" s="68" t="s">
        <v>378</v>
      </c>
      <c r="B3667" s="74">
        <v>5</v>
      </c>
      <c r="C3667" s="68" t="s">
        <v>363</v>
      </c>
      <c r="D3667" s="68" t="s">
        <v>364</v>
      </c>
      <c r="E3667" s="75">
        <f>60*F3667*'THAM_SO_MOI'!$C$53/(2*PI()*'THAM_SO_MOI'!$C$26)</f>
        <v>1879.3541438168113</v>
      </c>
      <c r="F3667" s="75">
        <f>'HANH_TRINH'!$F$3289+('THAM_SO_MOI'!$C$14-'HANH_TRINH'!$F$3289)*377/'THAM_SO_MOI'!$C$42</f>
        <v>19.074641416944136</v>
      </c>
      <c r="G3667" s="75">
        <f>3.6*F3667</f>
        <v>68.6687091009989</v>
      </c>
      <c r="H3667" s="75">
        <f>'THAM_SO_MOI'!$D$53</f>
        <v>1.1</v>
      </c>
      <c r="I3667" s="75">
        <f>IF(F3667&gt;'THAM_SO_MOI'!$C$14,'THAM_SO_MOI'!$C$13*(1+F3667^2/1500),'THAM_SO_MOI'!$C$13)</f>
        <v>0.015</v>
      </c>
      <c r="J3667" s="75">
        <f>'THAM_SO_MOI'!$C$40*('THAM_SO_MOI'!$C$23*(E3667/'THAM_SO_MOI'!$C$22)+'THAM_SO_MOI'!$C$24*(E3667/'THAM_SO_MOI'!$C$22)^2-'THAM_SO_MOI'!$C$25*(E3667/'THAM_SO_MOI'!$C$22)^3)</f>
        <v>83.84797010125853</v>
      </c>
      <c r="K3667" s="75">
        <f>'THAM_SO_MOI'!$C$31*J3667/E3667</f>
        <v>426.125226970184</v>
      </c>
      <c r="L3667" s="75">
        <f>K3667*'THAM_SO_MOI'!$C$53*'THAM_SO_MOI'!$C$17/'THAM_SO_MOI'!$C$26</f>
        <v>3737.119907943128</v>
      </c>
      <c r="M3667" s="75">
        <f>'THAM_SO_MOI'!$C$15*'THAM_SO_MOI'!$C$16*F3667^2</f>
        <v>1064.237689666127</v>
      </c>
      <c r="N3667" s="75">
        <f>'THAM_SO_MOI'!$C$12*I3667</f>
        <v>1130.112</v>
      </c>
      <c r="O3667" s="75">
        <f>M3667+N3667</f>
        <v>2194.3496896661272</v>
      </c>
      <c r="P3667" s="75">
        <f>(MIN(L3667,'THAM_SO_MOI'!$C$41)-O3667)/('THAM_SO_MOI'!$C$11*H3667)</f>
        <v>0.18261958076195559</v>
      </c>
      <c r="Q3667" s="75">
        <f>IF(P3667&gt;0,1/P3667,NA())</f>
        <v>5.475864065767946</v>
      </c>
      <c r="R3667" s="75">
        <f>F3667-F3666</f>
        <v>0.0073885545698715305</v>
      </c>
      <c r="S3667" s="75">
        <f>0.5*(Q3666+Q3667)*R3667</f>
        <v>0.040450251773381705</v>
      </c>
      <c r="T3667" s="75">
        <f>0.5*(F3666*Q3666+F3667*Q3667)*R3667</f>
        <v>0.7714246446417712</v>
      </c>
      <c r="U3667" s="76">
        <f>U3666+S3667</f>
        <v>42.63815006828432</v>
      </c>
      <c r="V3667" s="76">
        <f>V3666+T3667</f>
        <v>534.8087647677651</v>
      </c>
    </row>
    <row r="3668" spans="1:22" ht="19" customHeight="1">
      <c r="A3668" s="68" t="s">
        <v>378</v>
      </c>
      <c r="B3668" s="74">
        <v>5</v>
      </c>
      <c r="C3668" s="68" t="s">
        <v>363</v>
      </c>
      <c r="D3668" s="68" t="s">
        <v>364</v>
      </c>
      <c r="E3668" s="75">
        <f>60*F3668*'THAM_SO_MOI'!$C$53/(2*PI()*'THAM_SO_MOI'!$C$26)</f>
        <v>1880.0821108775901</v>
      </c>
      <c r="F3668" s="75">
        <f>'HANH_TRINH'!$F$3289+('THAM_SO_MOI'!$C$14-'HANH_TRINH'!$F$3289)*378/'THAM_SO_MOI'!$C$42</f>
        <v>19.082029971514007</v>
      </c>
      <c r="G3668" s="75">
        <f>3.6*F3668</f>
        <v>68.69530789745043</v>
      </c>
      <c r="H3668" s="75">
        <f>'THAM_SO_MOI'!$D$53</f>
        <v>1.1</v>
      </c>
      <c r="I3668" s="75">
        <f>IF(F3668&gt;'THAM_SO_MOI'!$C$14,'THAM_SO_MOI'!$C$13*(1+F3668^2/1500),'THAM_SO_MOI'!$C$13)</f>
        <v>0.015</v>
      </c>
      <c r="J3668" s="75">
        <f>'THAM_SO_MOI'!$C$40*('THAM_SO_MOI'!$C$23*(E3668/'THAM_SO_MOI'!$C$22)+'THAM_SO_MOI'!$C$24*(E3668/'THAM_SO_MOI'!$C$22)^2-'THAM_SO_MOI'!$C$25*(E3668/'THAM_SO_MOI'!$C$22)^3)</f>
        <v>83.88443770467707</v>
      </c>
      <c r="K3668" s="75">
        <f>'THAM_SO_MOI'!$C$31*J3668/E3668</f>
        <v>426.1454923291155</v>
      </c>
      <c r="L3668" s="75">
        <f>K3668*'THAM_SO_MOI'!$C$53*'THAM_SO_MOI'!$C$17/'THAM_SO_MOI'!$C$26</f>
        <v>3737.297635220255</v>
      </c>
      <c r="M3668" s="75">
        <f>'THAM_SO_MOI'!$C$15*'THAM_SO_MOI'!$C$16*F3668^2</f>
        <v>1065.0623134137447</v>
      </c>
      <c r="N3668" s="75">
        <f>'THAM_SO_MOI'!$C$12*I3668</f>
        <v>1130.112</v>
      </c>
      <c r="O3668" s="75">
        <f>M3668+N3668</f>
        <v>2195.174313413745</v>
      </c>
      <c r="P3668" s="75">
        <f>(MIN(L3668,'THAM_SO_MOI'!$C$41)-O3668)/('THAM_SO_MOI'!$C$11*H3668)</f>
        <v>0.18254300684262664</v>
      </c>
      <c r="Q3668" s="75">
        <f>IF(P3668&gt;0,1/P3668,NA())</f>
        <v>5.478161104588994</v>
      </c>
      <c r="R3668" s="75">
        <f>F3668-F3667</f>
        <v>0.0073885545698715305</v>
      </c>
      <c r="S3668" s="75">
        <f>0.5*(Q3667+Q3668)*R3668</f>
        <v>0.040467206365464276</v>
      </c>
      <c r="T3668" s="75">
        <f>0.5*(F3667*Q3667+F3668*Q3668)*R3668</f>
        <v>0.7720469789972324</v>
      </c>
      <c r="U3668" s="76">
        <f>U3667+S3668</f>
        <v>42.67861727464978</v>
      </c>
      <c r="V3668" s="76">
        <f>V3667+T3668</f>
        <v>535.5808117467623</v>
      </c>
    </row>
    <row r="3669" spans="1:22" ht="19" customHeight="1">
      <c r="A3669" s="68" t="s">
        <v>378</v>
      </c>
      <c r="B3669" s="74">
        <v>5</v>
      </c>
      <c r="C3669" s="68" t="s">
        <v>363</v>
      </c>
      <c r="D3669" s="68" t="s">
        <v>364</v>
      </c>
      <c r="E3669" s="75">
        <f>60*F3669*'THAM_SO_MOI'!$C$53/(2*PI()*'THAM_SO_MOI'!$C$26)</f>
        <v>1880.8100779383692</v>
      </c>
      <c r="F3669" s="75">
        <f>'HANH_TRINH'!$F$3289+('THAM_SO_MOI'!$C$14-'HANH_TRINH'!$F$3289)*379/'THAM_SO_MOI'!$C$42</f>
        <v>19.08941852608388</v>
      </c>
      <c r="G3669" s="75">
        <f>3.6*F3669</f>
        <v>68.72190669390197</v>
      </c>
      <c r="H3669" s="75">
        <f>'THAM_SO_MOI'!$D$53</f>
        <v>1.1</v>
      </c>
      <c r="I3669" s="75">
        <f>IF(F3669&gt;'THAM_SO_MOI'!$C$14,'THAM_SO_MOI'!$C$13*(1+F3669^2/1500),'THAM_SO_MOI'!$C$13)</f>
        <v>0.015</v>
      </c>
      <c r="J3669" s="75">
        <f>'THAM_SO_MOI'!$C$40*('THAM_SO_MOI'!$C$23*(E3669/'THAM_SO_MOI'!$C$22)+'THAM_SO_MOI'!$C$24*(E3669/'THAM_SO_MOI'!$C$22)^2-'THAM_SO_MOI'!$C$25*(E3669/'THAM_SO_MOI'!$C$22)^3)</f>
        <v>83.92089827323704</v>
      </c>
      <c r="K3669" s="75">
        <f>'THAM_SO_MOI'!$C$31*J3669/E3669</f>
        <v>426.16570627634155</v>
      </c>
      <c r="L3669" s="75">
        <f>K3669*'THAM_SO_MOI'!$C$53*'THAM_SO_MOI'!$C$17/'THAM_SO_MOI'!$C$26</f>
        <v>3737.4749116165244</v>
      </c>
      <c r="M3669" s="75">
        <f>'THAM_SO_MOI'!$C$15*'THAM_SO_MOI'!$C$16*F3669^2</f>
        <v>1065.8872565171837</v>
      </c>
      <c r="N3669" s="75">
        <f>'THAM_SO_MOI'!$C$12*I3669</f>
        <v>1130.112</v>
      </c>
      <c r="O3669" s="75">
        <f>M3669+N3669</f>
        <v>2195.9992565171838</v>
      </c>
      <c r="P3669" s="75">
        <f>(MIN(L3669,'THAM_SO_MOI'!$C$41)-O3669)/('THAM_SO_MOI'!$C$11*H3669)</f>
        <v>0.18246634174944848</v>
      </c>
      <c r="Q3669" s="75">
        <f>IF(P3669&gt;0,1/P3669,NA())</f>
        <v>5.480462809810361</v>
      </c>
      <c r="R3669" s="75">
        <f>F3669-F3668</f>
        <v>0.0073885545698715305</v>
      </c>
      <c r="S3669" s="75">
        <f>0.5*(Q3668+Q3669)*R3669</f>
        <v>0.0404841954011194</v>
      </c>
      <c r="T3669" s="75">
        <f>0.5*(F3668*Q3668+F3669*Q3669)*R3669</f>
        <v>0.7726702212732062</v>
      </c>
      <c r="U3669" s="76">
        <f>U3668+S3669</f>
        <v>42.7191014700509</v>
      </c>
      <c r="V3669" s="76">
        <f>V3668+T3669</f>
        <v>536.3534819680355</v>
      </c>
    </row>
    <row r="3670" spans="1:22" ht="19" customHeight="1">
      <c r="A3670" s="68" t="s">
        <v>378</v>
      </c>
      <c r="B3670" s="74">
        <v>5</v>
      </c>
      <c r="C3670" s="68" t="s">
        <v>363</v>
      </c>
      <c r="D3670" s="68" t="s">
        <v>364</v>
      </c>
      <c r="E3670" s="75">
        <f>60*F3670*'THAM_SO_MOI'!$C$53/(2*PI()*'THAM_SO_MOI'!$C$26)</f>
        <v>1881.538044999148</v>
      </c>
      <c r="F3670" s="75">
        <f>'HANH_TRINH'!$F$3289+('THAM_SO_MOI'!$C$14-'HANH_TRINH'!$F$3289)*380/'THAM_SO_MOI'!$C$42</f>
        <v>19.09680708065375</v>
      </c>
      <c r="G3670" s="75">
        <f>3.6*F3670</f>
        <v>68.74850549035351</v>
      </c>
      <c r="H3670" s="75">
        <f>'THAM_SO_MOI'!$D$53</f>
        <v>1.1</v>
      </c>
      <c r="I3670" s="75">
        <f>IF(F3670&gt;'THAM_SO_MOI'!$C$14,'THAM_SO_MOI'!$C$13*(1+F3670^2/1500),'THAM_SO_MOI'!$C$13)</f>
        <v>0.015</v>
      </c>
      <c r="J3670" s="75">
        <f>'THAM_SO_MOI'!$C$40*('THAM_SO_MOI'!$C$23*(E3670/'THAM_SO_MOI'!$C$22)+'THAM_SO_MOI'!$C$24*(E3670/'THAM_SO_MOI'!$C$22)^2-'THAM_SO_MOI'!$C$25*(E3670/'THAM_SO_MOI'!$C$22)^3)</f>
        <v>83.95735179518294</v>
      </c>
      <c r="K3670" s="75">
        <f>'THAM_SO_MOI'!$C$31*J3670/E3670</f>
        <v>426.1858688118621</v>
      </c>
      <c r="L3670" s="75">
        <f>K3670*'THAM_SO_MOI'!$C$53*'THAM_SO_MOI'!$C$17/'THAM_SO_MOI'!$C$26</f>
        <v>3737.651737131935</v>
      </c>
      <c r="M3670" s="75">
        <f>'THAM_SO_MOI'!$C$15*'THAM_SO_MOI'!$C$16*F3670^2</f>
        <v>1066.7125189764436</v>
      </c>
      <c r="N3670" s="75">
        <f>'THAM_SO_MOI'!$C$12*I3670</f>
        <v>1130.112</v>
      </c>
      <c r="O3670" s="75">
        <f>M3670+N3670</f>
        <v>2196.824518976444</v>
      </c>
      <c r="P3670" s="75">
        <f>(MIN(L3670,'THAM_SO_MOI'!$C$41)-O3670)/('THAM_SO_MOI'!$C$11*H3670)</f>
        <v>0.18238958548242085</v>
      </c>
      <c r="Q3670" s="75">
        <f>IF(P3670&gt;0,1/P3670,NA())</f>
        <v>5.4827691907682</v>
      </c>
      <c r="R3670" s="75">
        <f>F3670-F3669</f>
        <v>0.0073885545698715305</v>
      </c>
      <c r="S3670" s="75">
        <f>0.5*(Q3669+Q3670)*R3670</f>
        <v>0.040501218949218265</v>
      </c>
      <c r="T3670" s="75">
        <f>0.5*(F3669*Q3669+F3670*Q3670)*R3670</f>
        <v>0.7732943735481229</v>
      </c>
      <c r="U3670" s="76">
        <f>U3669+S3670</f>
        <v>42.75960268900012</v>
      </c>
      <c r="V3670" s="76">
        <f>V3669+T3670</f>
        <v>537.1267763415835</v>
      </c>
    </row>
    <row r="3671" spans="1:22" ht="19" customHeight="1">
      <c r="A3671" s="68" t="s">
        <v>378</v>
      </c>
      <c r="B3671" s="74">
        <v>5</v>
      </c>
      <c r="C3671" s="68" t="s">
        <v>363</v>
      </c>
      <c r="D3671" s="68" t="s">
        <v>364</v>
      </c>
      <c r="E3671" s="75">
        <f>60*F3671*'THAM_SO_MOI'!$C$53/(2*PI()*'THAM_SO_MOI'!$C$26)</f>
        <v>1882.2660120599269</v>
      </c>
      <c r="F3671" s="75">
        <f>'HANH_TRINH'!$F$3289+('THAM_SO_MOI'!$C$14-'HANH_TRINH'!$F$3289)*381/'THAM_SO_MOI'!$C$42</f>
        <v>19.104195635223622</v>
      </c>
      <c r="G3671" s="75">
        <f>3.6*F3671</f>
        <v>68.77510428680505</v>
      </c>
      <c r="H3671" s="75">
        <f>'THAM_SO_MOI'!$D$53</f>
        <v>1.1</v>
      </c>
      <c r="I3671" s="75">
        <f>IF(F3671&gt;'THAM_SO_MOI'!$C$14,'THAM_SO_MOI'!$C$13*(1+F3671^2/1500),'THAM_SO_MOI'!$C$13)</f>
        <v>0.015</v>
      </c>
      <c r="J3671" s="75">
        <f>'THAM_SO_MOI'!$C$40*('THAM_SO_MOI'!$C$23*(E3671/'THAM_SO_MOI'!$C$22)+'THAM_SO_MOI'!$C$24*(E3671/'THAM_SO_MOI'!$C$22)^2-'THAM_SO_MOI'!$C$25*(E3671/'THAM_SO_MOI'!$C$22)^3)</f>
        <v>83.99379825875926</v>
      </c>
      <c r="K3671" s="75">
        <f>'THAM_SO_MOI'!$C$31*J3671/E3671</f>
        <v>426.2059799356773</v>
      </c>
      <c r="L3671" s="75">
        <f>K3671*'THAM_SO_MOI'!$C$53*'THAM_SO_MOI'!$C$17/'THAM_SO_MOI'!$C$26</f>
        <v>3737.8281117664887</v>
      </c>
      <c r="M3671" s="75">
        <f>'THAM_SO_MOI'!$C$15*'THAM_SO_MOI'!$C$16*F3671^2</f>
        <v>1067.5381007915246</v>
      </c>
      <c r="N3671" s="75">
        <f>'THAM_SO_MOI'!$C$12*I3671</f>
        <v>1130.112</v>
      </c>
      <c r="O3671" s="75">
        <f>M3671+N3671</f>
        <v>2197.650100791525</v>
      </c>
      <c r="P3671" s="75">
        <f>(MIN(L3671,'THAM_SO_MOI'!$C$41)-O3671)/('THAM_SO_MOI'!$C$11*H3671)</f>
        <v>0.18231273804154408</v>
      </c>
      <c r="Q3671" s="75">
        <f>IF(P3671&gt;0,1/P3671,NA())</f>
        <v>5.485080256828392</v>
      </c>
      <c r="R3671" s="75">
        <f>F3671-F3670</f>
        <v>0.0073885545698715305</v>
      </c>
      <c r="S3671" s="75">
        <f>0.5*(Q3670+Q3671)*R3671</f>
        <v>0.04051827707885137</v>
      </c>
      <c r="T3671" s="75">
        <f>0.5*(F3670*Q3670+F3671*Q3671)*R3671</f>
        <v>0.7739194379066374</v>
      </c>
      <c r="U3671" s="76">
        <f>U3670+S3671</f>
        <v>42.80012096607897</v>
      </c>
      <c r="V3671" s="76">
        <f>V3670+T3671</f>
        <v>537.9006957794902</v>
      </c>
    </row>
    <row r="3672" spans="1:22" ht="19" customHeight="1">
      <c r="A3672" s="68" t="s">
        <v>378</v>
      </c>
      <c r="B3672" s="74">
        <v>5</v>
      </c>
      <c r="C3672" s="68" t="s">
        <v>363</v>
      </c>
      <c r="D3672" s="68" t="s">
        <v>364</v>
      </c>
      <c r="E3672" s="75">
        <f>60*F3672*'THAM_SO_MOI'!$C$53/(2*PI()*'THAM_SO_MOI'!$C$26)</f>
        <v>1882.9939791207062</v>
      </c>
      <c r="F3672" s="75">
        <f>'HANH_TRINH'!$F$3289+('THAM_SO_MOI'!$C$14-'HANH_TRINH'!$F$3289)*382/'THAM_SO_MOI'!$C$42</f>
        <v>19.111584189793497</v>
      </c>
      <c r="G3672" s="75">
        <f>3.6*F3672</f>
        <v>68.8017030832566</v>
      </c>
      <c r="H3672" s="75">
        <f>'THAM_SO_MOI'!$D$53</f>
        <v>1.1</v>
      </c>
      <c r="I3672" s="75">
        <f>IF(F3672&gt;'THAM_SO_MOI'!$C$14,'THAM_SO_MOI'!$C$13*(1+F3672^2/1500),'THAM_SO_MOI'!$C$13)</f>
        <v>0.015</v>
      </c>
      <c r="J3672" s="75">
        <f>'THAM_SO_MOI'!$C$40*('THAM_SO_MOI'!$C$23*(E3672/'THAM_SO_MOI'!$C$22)+'THAM_SO_MOI'!$C$24*(E3672/'THAM_SO_MOI'!$C$22)^2-'THAM_SO_MOI'!$C$25*(E3672/'THAM_SO_MOI'!$C$22)^3)</f>
        <v>84.03023765221047</v>
      </c>
      <c r="K3672" s="75">
        <f>'THAM_SO_MOI'!$C$31*J3672/E3672</f>
        <v>426.22603964778693</v>
      </c>
      <c r="L3672" s="75">
        <f>K3672*'THAM_SO_MOI'!$C$53*'THAM_SO_MOI'!$C$17/'THAM_SO_MOI'!$C$26</f>
        <v>3738.004035520183</v>
      </c>
      <c r="M3672" s="75">
        <f>'THAM_SO_MOI'!$C$15*'THAM_SO_MOI'!$C$16*F3672^2</f>
        <v>1068.364001962427</v>
      </c>
      <c r="N3672" s="75">
        <f>'THAM_SO_MOI'!$C$12*I3672</f>
        <v>1130.112</v>
      </c>
      <c r="O3672" s="75">
        <f>M3672+N3672</f>
        <v>2198.4760019624273</v>
      </c>
      <c r="P3672" s="75">
        <f>(MIN(L3672,'THAM_SO_MOI'!$C$41)-O3672)/('THAM_SO_MOI'!$C$11*H3672)</f>
        <v>0.18223579942681775</v>
      </c>
      <c r="Q3672" s="75">
        <f>IF(P3672&gt;0,1/P3672,NA())</f>
        <v>5.487396017386693</v>
      </c>
      <c r="R3672" s="75">
        <f>F3672-F3671</f>
        <v>0.007388554569875083</v>
      </c>
      <c r="S3672" s="75">
        <f>0.5*(Q3671+Q3672)*R3672</f>
        <v>0.0405353698593489</v>
      </c>
      <c r="T3672" s="75">
        <f>0.5*(F3671*Q3671+F3672*Q3672)*R3672</f>
        <v>0.7745454164400262</v>
      </c>
      <c r="U3672" s="76">
        <f>U3671+S3672</f>
        <v>42.84065633593832</v>
      </c>
      <c r="V3672" s="76">
        <f>V3671+T3672</f>
        <v>538.6752411959302</v>
      </c>
    </row>
    <row r="3673" spans="1:22" ht="19" customHeight="1">
      <c r="A3673" s="68" t="s">
        <v>378</v>
      </c>
      <c r="B3673" s="74">
        <v>5</v>
      </c>
      <c r="C3673" s="68" t="s">
        <v>363</v>
      </c>
      <c r="D3673" s="68" t="s">
        <v>364</v>
      </c>
      <c r="E3673" s="75">
        <f>60*F3673*'THAM_SO_MOI'!$C$53/(2*PI()*'THAM_SO_MOI'!$C$26)</f>
        <v>1883.7219461814852</v>
      </c>
      <c r="F3673" s="75">
        <f>'HANH_TRINH'!$F$3289+('THAM_SO_MOI'!$C$14-'HANH_TRINH'!$F$3289)*383/'THAM_SO_MOI'!$C$42</f>
        <v>19.11897274436337</v>
      </c>
      <c r="G3673" s="75">
        <f>3.6*F3673</f>
        <v>68.82830187970814</v>
      </c>
      <c r="H3673" s="75">
        <f>'THAM_SO_MOI'!$D$53</f>
        <v>1.1</v>
      </c>
      <c r="I3673" s="75">
        <f>IF(F3673&gt;'THAM_SO_MOI'!$C$14,'THAM_SO_MOI'!$C$13*(1+F3673^2/1500),'THAM_SO_MOI'!$C$13)</f>
        <v>0.015</v>
      </c>
      <c r="J3673" s="75">
        <f>'THAM_SO_MOI'!$C$40*('THAM_SO_MOI'!$C$23*(E3673/'THAM_SO_MOI'!$C$22)+'THAM_SO_MOI'!$C$24*(E3673/'THAM_SO_MOI'!$C$22)^2-'THAM_SO_MOI'!$C$25*(E3673/'THAM_SO_MOI'!$C$22)^3)</f>
        <v>84.06666996378107</v>
      </c>
      <c r="K3673" s="75">
        <f>'THAM_SO_MOI'!$C$31*J3673/E3673</f>
        <v>426.24604794819123</v>
      </c>
      <c r="L3673" s="75">
        <f>K3673*'THAM_SO_MOI'!$C$53*'THAM_SO_MOI'!$C$17/'THAM_SO_MOI'!$C$26</f>
        <v>3738.1795083930206</v>
      </c>
      <c r="M3673" s="75">
        <f>'THAM_SO_MOI'!$C$15*'THAM_SO_MOI'!$C$16*F3673^2</f>
        <v>1069.1902224891498</v>
      </c>
      <c r="N3673" s="75">
        <f>'THAM_SO_MOI'!$C$12*I3673</f>
        <v>1130.112</v>
      </c>
      <c r="O3673" s="75">
        <f>M3673+N3673</f>
        <v>2199.30222248915</v>
      </c>
      <c r="P3673" s="75">
        <f>(MIN(L3673,'THAM_SO_MOI'!$C$41)-O3673)/('THAM_SO_MOI'!$C$11*H3673)</f>
        <v>0.1821587696382423</v>
      </c>
      <c r="Q3673" s="75">
        <f>IF(P3673&gt;0,1/P3673,NA())</f>
        <v>5.489716481868796</v>
      </c>
      <c r="R3673" s="75">
        <f>F3673-F3672</f>
        <v>0.0073885545698715305</v>
      </c>
      <c r="S3673" s="75">
        <f>0.5*(Q3672+Q3673)*R3673</f>
        <v>0.04055249736018403</v>
      </c>
      <c r="T3673" s="75">
        <f>0.5*(F3672*Q3672+F3673*Q3673)*R3673</f>
        <v>0.775172311244348</v>
      </c>
      <c r="U3673" s="76">
        <f>U3672+S3673</f>
        <v>42.8812088332985</v>
      </c>
      <c r="V3673" s="76">
        <f>V3672+T3673</f>
        <v>539.4504135071745</v>
      </c>
    </row>
    <row r="3674" spans="1:22" ht="19" customHeight="1">
      <c r="A3674" s="68" t="s">
        <v>378</v>
      </c>
      <c r="B3674" s="74">
        <v>5</v>
      </c>
      <c r="C3674" s="68" t="s">
        <v>363</v>
      </c>
      <c r="D3674" s="68" t="s">
        <v>364</v>
      </c>
      <c r="E3674" s="75">
        <f>60*F3674*'THAM_SO_MOI'!$C$53/(2*PI()*'THAM_SO_MOI'!$C$26)</f>
        <v>1884.449913242264</v>
      </c>
      <c r="F3674" s="75">
        <f>'HANH_TRINH'!$F$3289+('THAM_SO_MOI'!$C$14-'HANH_TRINH'!$F$3289)*384/'THAM_SO_MOI'!$C$42</f>
        <v>19.12636129893324</v>
      </c>
      <c r="G3674" s="75">
        <f>3.6*F3674</f>
        <v>68.85490067615967</v>
      </c>
      <c r="H3674" s="75">
        <f>'THAM_SO_MOI'!$D$53</f>
        <v>1.1</v>
      </c>
      <c r="I3674" s="75">
        <f>IF(F3674&gt;'THAM_SO_MOI'!$C$14,'THAM_SO_MOI'!$C$13*(1+F3674^2/1500),'THAM_SO_MOI'!$C$13)</f>
        <v>0.015</v>
      </c>
      <c r="J3674" s="75">
        <f>'THAM_SO_MOI'!$C$40*('THAM_SO_MOI'!$C$23*(E3674/'THAM_SO_MOI'!$C$22)+'THAM_SO_MOI'!$C$24*(E3674/'THAM_SO_MOI'!$C$22)^2-'THAM_SO_MOI'!$C$25*(E3674/'THAM_SO_MOI'!$C$22)^3)</f>
        <v>84.10309518171553</v>
      </c>
      <c r="K3674" s="75">
        <f>'THAM_SO_MOI'!$C$31*J3674/E3674</f>
        <v>426.26600483689015</v>
      </c>
      <c r="L3674" s="75">
        <f>K3674*'THAM_SO_MOI'!$C$53*'THAM_SO_MOI'!$C$17/'THAM_SO_MOI'!$C$26</f>
        <v>3738.3545303850005</v>
      </c>
      <c r="M3674" s="75">
        <f>'THAM_SO_MOI'!$C$15*'THAM_SO_MOI'!$C$16*F3674^2</f>
        <v>1070.0167623716939</v>
      </c>
      <c r="N3674" s="75">
        <f>'THAM_SO_MOI'!$C$12*I3674</f>
        <v>1130.112</v>
      </c>
      <c r="O3674" s="75">
        <f>M3674+N3674</f>
        <v>2200.128762371694</v>
      </c>
      <c r="P3674" s="75">
        <f>(MIN(L3674,'THAM_SO_MOI'!$C$41)-O3674)/('THAM_SO_MOI'!$C$11*H3674)</f>
        <v>0.18208164867581755</v>
      </c>
      <c r="Q3674" s="75">
        <f>IF(P3674&gt;0,1/P3674,NA())</f>
        <v>5.492041659730485</v>
      </c>
      <c r="R3674" s="75">
        <f>F3674-F3673</f>
        <v>0.0073885545698715305</v>
      </c>
      <c r="S3674" s="75">
        <f>0.5*(Q3673+Q3674)*R3674</f>
        <v>0.04056965965116863</v>
      </c>
      <c r="T3674" s="75">
        <f>0.5*(F3673*Q3673+F3674*Q3674)*R3674</f>
        <v>0.7758001244241923</v>
      </c>
      <c r="U3674" s="76">
        <f>U3673+S3674</f>
        <v>42.92177849294967</v>
      </c>
      <c r="V3674" s="76">
        <f>V3673+T3674</f>
        <v>540.2262136315987</v>
      </c>
    </row>
    <row r="3675" spans="1:22" ht="19" customHeight="1">
      <c r="A3675" s="68" t="s">
        <v>378</v>
      </c>
      <c r="B3675" s="74">
        <v>5</v>
      </c>
      <c r="C3675" s="68" t="s">
        <v>363</v>
      </c>
      <c r="D3675" s="68" t="s">
        <v>364</v>
      </c>
      <c r="E3675" s="75">
        <f>60*F3675*'THAM_SO_MOI'!$C$53/(2*PI()*'THAM_SO_MOI'!$C$26)</f>
        <v>1885.177880303043</v>
      </c>
      <c r="F3675" s="75">
        <f>'HANH_TRINH'!$F$3289+('THAM_SO_MOI'!$C$14-'HANH_TRINH'!$F$3289)*385/'THAM_SO_MOI'!$C$42</f>
        <v>19.13374985350311</v>
      </c>
      <c r="G3675" s="75">
        <f>3.6*F3675</f>
        <v>68.88149947261121</v>
      </c>
      <c r="H3675" s="75">
        <f>'THAM_SO_MOI'!$D$53</f>
        <v>1.1</v>
      </c>
      <c r="I3675" s="75">
        <f>IF(F3675&gt;'THAM_SO_MOI'!$C$14,'THAM_SO_MOI'!$C$13*(1+F3675^2/1500),'THAM_SO_MOI'!$C$13)</f>
        <v>0.015</v>
      </c>
      <c r="J3675" s="75">
        <f>'THAM_SO_MOI'!$C$40*('THAM_SO_MOI'!$C$23*(E3675/'THAM_SO_MOI'!$C$22)+'THAM_SO_MOI'!$C$24*(E3675/'THAM_SO_MOI'!$C$22)^2-'THAM_SO_MOI'!$C$25*(E3675/'THAM_SO_MOI'!$C$22)^3)</f>
        <v>84.13951329425835</v>
      </c>
      <c r="K3675" s="75">
        <f>'THAM_SO_MOI'!$C$31*J3675/E3675</f>
        <v>426.28591031388373</v>
      </c>
      <c r="L3675" s="75">
        <f>K3675*'THAM_SO_MOI'!$C$53*'THAM_SO_MOI'!$C$17/'THAM_SO_MOI'!$C$26</f>
        <v>3738.5291014961235</v>
      </c>
      <c r="M3675" s="75">
        <f>'THAM_SO_MOI'!$C$15*'THAM_SO_MOI'!$C$16*F3675^2</f>
        <v>1070.8436216100588</v>
      </c>
      <c r="N3675" s="75">
        <f>'THAM_SO_MOI'!$C$12*I3675</f>
        <v>1130.112</v>
      </c>
      <c r="O3675" s="75">
        <f>M3675+N3675</f>
        <v>2200.955621610059</v>
      </c>
      <c r="P3675" s="75">
        <f>(MIN(L3675,'THAM_SO_MOI'!$C$41)-O3675)/('THAM_SO_MOI'!$C$11*H3675)</f>
        <v>0.18200443653954368</v>
      </c>
      <c r="Q3675" s="75">
        <f>IF(P3675&gt;0,1/P3675,NA())</f>
        <v>5.494371560457716</v>
      </c>
      <c r="R3675" s="75">
        <f>F3675-F3674</f>
        <v>0.0073885545698715305</v>
      </c>
      <c r="S3675" s="75">
        <f>0.5*(Q3674+Q3675)*R3675</f>
        <v>0.040586856802259264</v>
      </c>
      <c r="T3675" s="75">
        <f>0.5*(F3674*Q3674+F3675*Q3675)*R3675</f>
        <v>0.7764288580889789</v>
      </c>
      <c r="U3675" s="76">
        <f>U3674+S3675</f>
        <v>42.96236534975193</v>
      </c>
      <c r="V3675" s="76">
        <f>V3674+T3675</f>
        <v>541.0026424896877</v>
      </c>
    </row>
    <row r="3676" spans="1:22" ht="19" customHeight="1">
      <c r="A3676" s="68" t="s">
        <v>378</v>
      </c>
      <c r="B3676" s="74">
        <v>5</v>
      </c>
      <c r="C3676" s="68" t="s">
        <v>363</v>
      </c>
      <c r="D3676" s="68" t="s">
        <v>364</v>
      </c>
      <c r="E3676" s="75">
        <f>60*F3676*'THAM_SO_MOI'!$C$53/(2*PI()*'THAM_SO_MOI'!$C$26)</f>
        <v>1885.9058473638217</v>
      </c>
      <c r="F3676" s="75">
        <f>'HANH_TRINH'!$F$3289+('THAM_SO_MOI'!$C$14-'HANH_TRINH'!$F$3289)*386/'THAM_SO_MOI'!$C$42</f>
        <v>19.141138408072983</v>
      </c>
      <c r="G3676" s="75">
        <f>3.6*F3676</f>
        <v>68.90809826906275</v>
      </c>
      <c r="H3676" s="75">
        <f>'THAM_SO_MOI'!$D$53</f>
        <v>1.1</v>
      </c>
      <c r="I3676" s="75">
        <f>IF(F3676&gt;'THAM_SO_MOI'!$C$14,'THAM_SO_MOI'!$C$13*(1+F3676^2/1500),'THAM_SO_MOI'!$C$13)</f>
        <v>0.015</v>
      </c>
      <c r="J3676" s="75">
        <f>'THAM_SO_MOI'!$C$40*('THAM_SO_MOI'!$C$23*(E3676/'THAM_SO_MOI'!$C$22)+'THAM_SO_MOI'!$C$24*(E3676/'THAM_SO_MOI'!$C$22)^2-'THAM_SO_MOI'!$C$25*(E3676/'THAM_SO_MOI'!$C$22)^3)</f>
        <v>84.17592428965398</v>
      </c>
      <c r="K3676" s="75">
        <f>'THAM_SO_MOI'!$C$31*J3676/E3676</f>
        <v>426.3057643791717</v>
      </c>
      <c r="L3676" s="75">
        <f>K3676*'THAM_SO_MOI'!$C$53*'THAM_SO_MOI'!$C$17/'THAM_SO_MOI'!$C$26</f>
        <v>3738.7032217263877</v>
      </c>
      <c r="M3676" s="75">
        <f>'THAM_SO_MOI'!$C$15*'THAM_SO_MOI'!$C$16*F3676^2</f>
        <v>1071.6708002042449</v>
      </c>
      <c r="N3676" s="75">
        <f>'THAM_SO_MOI'!$C$12*I3676</f>
        <v>1130.112</v>
      </c>
      <c r="O3676" s="75">
        <f>M3676+N3676</f>
        <v>2201.782800204245</v>
      </c>
      <c r="P3676" s="75">
        <f>(MIN(L3676,'THAM_SO_MOI'!$C$41)-O3676)/('THAM_SO_MOI'!$C$11*H3676)</f>
        <v>0.18192713322942028</v>
      </c>
      <c r="Q3676" s="75">
        <f>IF(P3676&gt;0,1/P3676,NA())</f>
        <v>5.496706193566762</v>
      </c>
      <c r="R3676" s="75">
        <f>F3676-F3675</f>
        <v>0.0073885545698715305</v>
      </c>
      <c r="S3676" s="75">
        <f>0.5*(Q3675+Q3676)*R3676</f>
        <v>0.04060408888365544</v>
      </c>
      <c r="T3676" s="75">
        <f>0.5*(F3675*Q3675+F3676*Q3676)*R3676</f>
        <v>0.7770585143548443</v>
      </c>
      <c r="U3676" s="76">
        <f>U3675+S3676</f>
        <v>43.00296943863558</v>
      </c>
      <c r="V3676" s="76">
        <f>V3675+T3676</f>
        <v>541.7797010040425</v>
      </c>
    </row>
    <row r="3677" spans="1:22" ht="19" customHeight="1">
      <c r="A3677" s="68" t="s">
        <v>378</v>
      </c>
      <c r="B3677" s="74">
        <v>5</v>
      </c>
      <c r="C3677" s="68" t="s">
        <v>363</v>
      </c>
      <c r="D3677" s="68" t="s">
        <v>364</v>
      </c>
      <c r="E3677" s="75">
        <f>60*F3677*'THAM_SO_MOI'!$C$53/(2*PI()*'THAM_SO_MOI'!$C$26)</f>
        <v>1886.633814424601</v>
      </c>
      <c r="F3677" s="75">
        <f>'HANH_TRINH'!$F$3289+('THAM_SO_MOI'!$C$14-'HANH_TRINH'!$F$3289)*387/'THAM_SO_MOI'!$C$42</f>
        <v>19.148526962642855</v>
      </c>
      <c r="G3677" s="75">
        <f>3.6*F3677</f>
        <v>68.93469706551429</v>
      </c>
      <c r="H3677" s="75">
        <f>'THAM_SO_MOI'!$D$53</f>
        <v>1.1</v>
      </c>
      <c r="I3677" s="75">
        <f>IF(F3677&gt;'THAM_SO_MOI'!$C$14,'THAM_SO_MOI'!$C$13*(1+F3677^2/1500),'THAM_SO_MOI'!$C$13)</f>
        <v>0.015</v>
      </c>
      <c r="J3677" s="75">
        <f>'THAM_SO_MOI'!$C$40*('THAM_SO_MOI'!$C$23*(E3677/'THAM_SO_MOI'!$C$22)+'THAM_SO_MOI'!$C$24*(E3677/'THAM_SO_MOI'!$C$22)^2-'THAM_SO_MOI'!$C$25*(E3677/'THAM_SO_MOI'!$C$22)^3)</f>
        <v>84.21232815614694</v>
      </c>
      <c r="K3677" s="75">
        <f>'THAM_SO_MOI'!$C$31*J3677/E3677</f>
        <v>426.3255670327542</v>
      </c>
      <c r="L3677" s="75">
        <f>K3677*'THAM_SO_MOI'!$C$53*'THAM_SO_MOI'!$C$17/'THAM_SO_MOI'!$C$26</f>
        <v>3738.8768910757926</v>
      </c>
      <c r="M3677" s="75">
        <f>'THAM_SO_MOI'!$C$15*'THAM_SO_MOI'!$C$16*F3677^2</f>
        <v>1072.4982981542516</v>
      </c>
      <c r="N3677" s="75">
        <f>'THAM_SO_MOI'!$C$12*I3677</f>
        <v>1130.112</v>
      </c>
      <c r="O3677" s="75">
        <f>M3677+N3677</f>
        <v>2202.6102981542517</v>
      </c>
      <c r="P3677" s="75">
        <f>(MIN(L3677,'THAM_SO_MOI'!$C$41)-O3677)/('THAM_SO_MOI'!$C$11*H3677)</f>
        <v>0.18184973874544755</v>
      </c>
      <c r="Q3677" s="75">
        <f>IF(P3677&gt;0,1/P3677,NA())</f>
        <v>5.499045568604283</v>
      </c>
      <c r="R3677" s="75">
        <f>F3677-F3676</f>
        <v>0.0073885545698715305</v>
      </c>
      <c r="S3677" s="75">
        <f>0.5*(Q3676+Q3677)*R3677</f>
        <v>0.04062135596578091</v>
      </c>
      <c r="T3677" s="75">
        <f>0.5*(F3676*Q3676+F3677*Q3677)*R3677</f>
        <v>0.777689095344294</v>
      </c>
      <c r="U3677" s="76">
        <f>U3676+S3677</f>
        <v>43.043590794601364</v>
      </c>
      <c r="V3677" s="76">
        <f>V3676+T3677</f>
        <v>542.5573900993868</v>
      </c>
    </row>
    <row r="3678" spans="1:22" ht="19" customHeight="1">
      <c r="A3678" s="68" t="s">
        <v>378</v>
      </c>
      <c r="B3678" s="74">
        <v>5</v>
      </c>
      <c r="C3678" s="68" t="s">
        <v>363</v>
      </c>
      <c r="D3678" s="68" t="s">
        <v>364</v>
      </c>
      <c r="E3678" s="75">
        <f>60*F3678*'THAM_SO_MOI'!$C$53/(2*PI()*'THAM_SO_MOI'!$C$26)</f>
        <v>1887.3617814853799</v>
      </c>
      <c r="F3678" s="75">
        <f>'HANH_TRINH'!$F$3289+('THAM_SO_MOI'!$C$14-'HANH_TRINH'!$F$3289)*388/'THAM_SO_MOI'!$C$42</f>
        <v>19.155915517212726</v>
      </c>
      <c r="G3678" s="75">
        <f>3.6*F3678</f>
        <v>68.96129586196582</v>
      </c>
      <c r="H3678" s="75">
        <f>'THAM_SO_MOI'!$D$53</f>
        <v>1.1</v>
      </c>
      <c r="I3678" s="75">
        <f>IF(F3678&gt;'THAM_SO_MOI'!$C$14,'THAM_SO_MOI'!$C$13*(1+F3678^2/1500),'THAM_SO_MOI'!$C$13)</f>
        <v>0.015</v>
      </c>
      <c r="J3678" s="75">
        <f>'THAM_SO_MOI'!$C$40*('THAM_SO_MOI'!$C$23*(E3678/'THAM_SO_MOI'!$C$22)+'THAM_SO_MOI'!$C$24*(E3678/'THAM_SO_MOI'!$C$22)^2-'THAM_SO_MOI'!$C$25*(E3678/'THAM_SO_MOI'!$C$22)^3)</f>
        <v>84.24872488198172</v>
      </c>
      <c r="K3678" s="75">
        <f>'THAM_SO_MOI'!$C$31*J3678/E3678</f>
        <v>426.3453182746314</v>
      </c>
      <c r="L3678" s="75">
        <f>K3678*'THAM_SO_MOI'!$C$53*'THAM_SO_MOI'!$C$17/'THAM_SO_MOI'!$C$26</f>
        <v>3739.050109544343</v>
      </c>
      <c r="M3678" s="75">
        <f>'THAM_SO_MOI'!$C$15*'THAM_SO_MOI'!$C$16*F3678^2</f>
        <v>1073.3261154600798</v>
      </c>
      <c r="N3678" s="75">
        <f>'THAM_SO_MOI'!$C$12*I3678</f>
        <v>1130.112</v>
      </c>
      <c r="O3678" s="75">
        <f>M3678+N3678</f>
        <v>2203.4381154600796</v>
      </c>
      <c r="P3678" s="75">
        <f>(MIN(L3678,'THAM_SO_MOI'!$C$41)-O3678)/('THAM_SO_MOI'!$C$11*H3678)</f>
        <v>0.1817722530876258</v>
      </c>
      <c r="Q3678" s="75">
        <f>IF(P3678&gt;0,1/P3678,NA())</f>
        <v>5.501389695147457</v>
      </c>
      <c r="R3678" s="75">
        <f>F3678-F3677</f>
        <v>0.0073885545698715305</v>
      </c>
      <c r="S3678" s="75">
        <f>0.5*(Q3677+Q3678)*R3678</f>
        <v>0.040638658119284424</v>
      </c>
      <c r="T3678" s="75">
        <f>0.5*(F3677*Q3677+F3678*Q3678)*R3678</f>
        <v>0.778320603186223</v>
      </c>
      <c r="U3678" s="76">
        <f>U3677+S3678</f>
        <v>43.08422945272065</v>
      </c>
      <c r="V3678" s="76">
        <f>V3677+T3678</f>
        <v>543.335710702573</v>
      </c>
    </row>
    <row r="3679" spans="1:22" ht="19" customHeight="1">
      <c r="A3679" s="68" t="s">
        <v>378</v>
      </c>
      <c r="B3679" s="74">
        <v>5</v>
      </c>
      <c r="C3679" s="68" t="s">
        <v>363</v>
      </c>
      <c r="D3679" s="68" t="s">
        <v>364</v>
      </c>
      <c r="E3679" s="75">
        <f>60*F3679*'THAM_SO_MOI'!$C$53/(2*PI()*'THAM_SO_MOI'!$C$26)</f>
        <v>1888.0897485461587</v>
      </c>
      <c r="F3679" s="75">
        <f>'HANH_TRINH'!$F$3289+('THAM_SO_MOI'!$C$14-'HANH_TRINH'!$F$3289)*389/'THAM_SO_MOI'!$C$42</f>
        <v>19.163304071782598</v>
      </c>
      <c r="G3679" s="75">
        <f>3.6*F3679</f>
        <v>68.98789465841736</v>
      </c>
      <c r="H3679" s="75">
        <f>'THAM_SO_MOI'!$D$53</f>
        <v>1.1</v>
      </c>
      <c r="I3679" s="75">
        <f>IF(F3679&gt;'THAM_SO_MOI'!$C$14,'THAM_SO_MOI'!$C$13*(1+F3679^2/1500),'THAM_SO_MOI'!$C$13)</f>
        <v>0.015</v>
      </c>
      <c r="J3679" s="75">
        <f>'THAM_SO_MOI'!$C$40*('THAM_SO_MOI'!$C$23*(E3679/'THAM_SO_MOI'!$C$22)+'THAM_SO_MOI'!$C$24*(E3679/'THAM_SO_MOI'!$C$22)^2-'THAM_SO_MOI'!$C$25*(E3679/'THAM_SO_MOI'!$C$22)^3)</f>
        <v>84.28511445540276</v>
      </c>
      <c r="K3679" s="75">
        <f>'THAM_SO_MOI'!$C$31*J3679/E3679</f>
        <v>426.3650181048031</v>
      </c>
      <c r="L3679" s="75">
        <f>K3679*'THAM_SO_MOI'!$C$53*'THAM_SO_MOI'!$C$17/'THAM_SO_MOI'!$C$26</f>
        <v>3739.222877132033</v>
      </c>
      <c r="M3679" s="75">
        <f>'THAM_SO_MOI'!$C$15*'THAM_SO_MOI'!$C$16*F3679^2</f>
        <v>1074.1542521217286</v>
      </c>
      <c r="N3679" s="75">
        <f>'THAM_SO_MOI'!$C$12*I3679</f>
        <v>1130.112</v>
      </c>
      <c r="O3679" s="75">
        <f>M3679+N3679</f>
        <v>2204.266252121729</v>
      </c>
      <c r="P3679" s="75">
        <f>(MIN(L3679,'THAM_SO_MOI'!$C$41)-O3679)/('THAM_SO_MOI'!$C$11*H3679)</f>
        <v>0.1816946762559546</v>
      </c>
      <c r="Q3679" s="75">
        <f>IF(P3679&gt;0,1/P3679,NA())</f>
        <v>5.503738582804115</v>
      </c>
      <c r="R3679" s="75">
        <f>F3679-F3678</f>
        <v>0.0073885545698715305</v>
      </c>
      <c r="S3679" s="75">
        <f>0.5*(Q3678+Q3679)*R3679</f>
        <v>0.040655995415040745</v>
      </c>
      <c r="T3679" s="75">
        <f>0.5*(F3678*Q3678+F3679*Q3679)*R3679</f>
        <v>0.7789530400159448</v>
      </c>
      <c r="U3679" s="76">
        <f>U3678+S3679</f>
        <v>43.12488544813569</v>
      </c>
      <c r="V3679" s="76">
        <f>V3678+T3679</f>
        <v>544.114663742589</v>
      </c>
    </row>
    <row r="3680" spans="1:22" ht="19" customHeight="1">
      <c r="A3680" s="68" t="s">
        <v>378</v>
      </c>
      <c r="B3680" s="74">
        <v>5</v>
      </c>
      <c r="C3680" s="68" t="s">
        <v>363</v>
      </c>
      <c r="D3680" s="68" t="s">
        <v>364</v>
      </c>
      <c r="E3680" s="75">
        <f>60*F3680*'THAM_SO_MOI'!$C$53/(2*PI()*'THAM_SO_MOI'!$C$26)</f>
        <v>1888.8177156069378</v>
      </c>
      <c r="F3680" s="75">
        <f>'HANH_TRINH'!$F$3289+('THAM_SO_MOI'!$C$14-'HANH_TRINH'!$F$3289)*390/'THAM_SO_MOI'!$C$42</f>
        <v>19.170692626352473</v>
      </c>
      <c r="G3680" s="75">
        <f>3.6*F3680</f>
        <v>69.0144934548689</v>
      </c>
      <c r="H3680" s="75">
        <f>'THAM_SO_MOI'!$D$53</f>
        <v>1.1</v>
      </c>
      <c r="I3680" s="75">
        <f>IF(F3680&gt;'THAM_SO_MOI'!$C$14,'THAM_SO_MOI'!$C$13*(1+F3680^2/1500),'THAM_SO_MOI'!$C$13)</f>
        <v>0.015</v>
      </c>
      <c r="J3680" s="75">
        <f>'THAM_SO_MOI'!$C$40*('THAM_SO_MOI'!$C$23*(E3680/'THAM_SO_MOI'!$C$22)+'THAM_SO_MOI'!$C$24*(E3680/'THAM_SO_MOI'!$C$22)^2-'THAM_SO_MOI'!$C$25*(E3680/'THAM_SO_MOI'!$C$22)^3)</f>
        <v>84.32149686465459</v>
      </c>
      <c r="K3680" s="75">
        <f>'THAM_SO_MOI'!$C$31*J3680/E3680</f>
        <v>426.38466652326935</v>
      </c>
      <c r="L3680" s="75">
        <f>K3680*'THAM_SO_MOI'!$C$53*'THAM_SO_MOI'!$C$17/'THAM_SO_MOI'!$C$26</f>
        <v>3739.395193838866</v>
      </c>
      <c r="M3680" s="75">
        <f>'THAM_SO_MOI'!$C$15*'THAM_SO_MOI'!$C$16*F3680^2</f>
        <v>1074.9827081391988</v>
      </c>
      <c r="N3680" s="75">
        <f>'THAM_SO_MOI'!$C$12*I3680</f>
        <v>1130.112</v>
      </c>
      <c r="O3680" s="75">
        <f>M3680+N3680</f>
        <v>2205.0947081391987</v>
      </c>
      <c r="P3680" s="75">
        <f>(MIN(L3680,'THAM_SO_MOI'!$C$41)-O3680)/('THAM_SO_MOI'!$C$11*H3680)</f>
        <v>0.18161700825043403</v>
      </c>
      <c r="Q3680" s="75">
        <f>IF(P3680&gt;0,1/P3680,NA())</f>
        <v>5.506092241212823</v>
      </c>
      <c r="R3680" s="75">
        <f>F3680-F3679</f>
        <v>0.007388554569875083</v>
      </c>
      <c r="S3680" s="75">
        <f>0.5*(Q3679+Q3680)*R3680</f>
        <v>0.04067336792417095</v>
      </c>
      <c r="T3680" s="75">
        <f>0.5*(F3679*Q3679+F3680*Q3680)*R3680</f>
        <v>0.7795864079755888</v>
      </c>
      <c r="U3680" s="76">
        <f>U3679+S3680</f>
        <v>43.165558816059864</v>
      </c>
      <c r="V3680" s="76">
        <f>V3679+T3680</f>
        <v>544.8942501505645</v>
      </c>
    </row>
    <row r="3681" spans="1:22" ht="19" customHeight="1">
      <c r="A3681" s="68" t="s">
        <v>378</v>
      </c>
      <c r="B3681" s="74">
        <v>5</v>
      </c>
      <c r="C3681" s="68" t="s">
        <v>363</v>
      </c>
      <c r="D3681" s="68" t="s">
        <v>364</v>
      </c>
      <c r="E3681" s="75">
        <f>60*F3681*'THAM_SO_MOI'!$C$53/(2*PI()*'THAM_SO_MOI'!$C$26)</f>
        <v>1889.545682667717</v>
      </c>
      <c r="F3681" s="75">
        <f>'HANH_TRINH'!$F$3289+('THAM_SO_MOI'!$C$14-'HANH_TRINH'!$F$3289)*391/'THAM_SO_MOI'!$C$42</f>
        <v>19.178081180922344</v>
      </c>
      <c r="G3681" s="75">
        <f>3.6*F3681</f>
        <v>69.04109225132044</v>
      </c>
      <c r="H3681" s="75">
        <f>'THAM_SO_MOI'!$D$53</f>
        <v>1.1</v>
      </c>
      <c r="I3681" s="75">
        <f>IF(F3681&gt;'THAM_SO_MOI'!$C$14,'THAM_SO_MOI'!$C$13*(1+F3681^2/1500),'THAM_SO_MOI'!$C$13)</f>
        <v>0.015</v>
      </c>
      <c r="J3681" s="75">
        <f>'THAM_SO_MOI'!$C$40*('THAM_SO_MOI'!$C$23*(E3681/'THAM_SO_MOI'!$C$22)+'THAM_SO_MOI'!$C$24*(E3681/'THAM_SO_MOI'!$C$22)^2-'THAM_SO_MOI'!$C$25*(E3681/'THAM_SO_MOI'!$C$22)^3)</f>
        <v>84.3578720979817</v>
      </c>
      <c r="K3681" s="75">
        <f>'THAM_SO_MOI'!$C$31*J3681/E3681</f>
        <v>426.4042635300302</v>
      </c>
      <c r="L3681" s="75">
        <f>K3681*'THAM_SO_MOI'!$C$53*'THAM_SO_MOI'!$C$17/'THAM_SO_MOI'!$C$26</f>
        <v>3739.5670596648406</v>
      </c>
      <c r="M3681" s="75">
        <f>'THAM_SO_MOI'!$C$15*'THAM_SO_MOI'!$C$16*F3681^2</f>
        <v>1075.81148351249</v>
      </c>
      <c r="N3681" s="75">
        <f>'THAM_SO_MOI'!$C$12*I3681</f>
        <v>1130.112</v>
      </c>
      <c r="O3681" s="75">
        <f>M3681+N3681</f>
        <v>2205.92348351249</v>
      </c>
      <c r="P3681" s="75">
        <f>(MIN(L3681,'THAM_SO_MOI'!$C$41)-O3681)/('THAM_SO_MOI'!$C$11*H3681)</f>
        <v>0.18153924907106425</v>
      </c>
      <c r="Q3681" s="75">
        <f>IF(P3681&gt;0,1/P3681,NA())</f>
        <v>5.508450680043003</v>
      </c>
      <c r="R3681" s="75">
        <f>F3681-F3680</f>
        <v>0.0073885545698715305</v>
      </c>
      <c r="S3681" s="75">
        <f>0.5*(Q3680+Q3681)*R3681</f>
        <v>0.040690775717945424</v>
      </c>
      <c r="T3681" s="75">
        <f>0.5*(F3680*Q3680+F3681*Q3681)*R3681</f>
        <v>0.7802207092122492</v>
      </c>
      <c r="U3681" s="76">
        <f>U3680+S3681</f>
        <v>43.20624959177781</v>
      </c>
      <c r="V3681" s="76">
        <f>V3680+T3681</f>
        <v>545.6744708597768</v>
      </c>
    </row>
    <row r="3682" spans="1:22" ht="19" customHeight="1">
      <c r="A3682" s="68" t="s">
        <v>378</v>
      </c>
      <c r="B3682" s="74">
        <v>5</v>
      </c>
      <c r="C3682" s="68" t="s">
        <v>363</v>
      </c>
      <c r="D3682" s="68" t="s">
        <v>364</v>
      </c>
      <c r="E3682" s="75">
        <f>60*F3682*'THAM_SO_MOI'!$C$53/(2*PI()*'THAM_SO_MOI'!$C$26)</f>
        <v>1890.273649728496</v>
      </c>
      <c r="F3682" s="75">
        <f>'HANH_TRINH'!$F$3289+('THAM_SO_MOI'!$C$14-'HANH_TRINH'!$F$3289)*392/'THAM_SO_MOI'!$C$42</f>
        <v>19.185469735492216</v>
      </c>
      <c r="G3682" s="75">
        <f>3.6*F3682</f>
        <v>69.06769104777197</v>
      </c>
      <c r="H3682" s="75">
        <f>'THAM_SO_MOI'!$D$53</f>
        <v>1.1</v>
      </c>
      <c r="I3682" s="75">
        <f>IF(F3682&gt;'THAM_SO_MOI'!$C$14,'THAM_SO_MOI'!$C$13*(1+F3682^2/1500),'THAM_SO_MOI'!$C$13)</f>
        <v>0.015</v>
      </c>
      <c r="J3682" s="75">
        <f>'THAM_SO_MOI'!$C$40*('THAM_SO_MOI'!$C$23*(E3682/'THAM_SO_MOI'!$C$22)+'THAM_SO_MOI'!$C$24*(E3682/'THAM_SO_MOI'!$C$22)^2-'THAM_SO_MOI'!$C$25*(E3682/'THAM_SO_MOI'!$C$22)^3)</f>
        <v>84.39424014362852</v>
      </c>
      <c r="K3682" s="75">
        <f>'THAM_SO_MOI'!$C$31*J3682/E3682</f>
        <v>426.42380912508565</v>
      </c>
      <c r="L3682" s="75">
        <f>K3682*'THAM_SO_MOI'!$C$53*'THAM_SO_MOI'!$C$17/'THAM_SO_MOI'!$C$26</f>
        <v>3739.7384746099583</v>
      </c>
      <c r="M3682" s="75">
        <f>'THAM_SO_MOI'!$C$15*'THAM_SO_MOI'!$C$16*F3682^2</f>
        <v>1076.6405782416018</v>
      </c>
      <c r="N3682" s="75">
        <f>'THAM_SO_MOI'!$C$12*I3682</f>
        <v>1130.112</v>
      </c>
      <c r="O3682" s="75">
        <f>M3682+N3682</f>
        <v>2206.752578241602</v>
      </c>
      <c r="P3682" s="75">
        <f>(MIN(L3682,'THAM_SO_MOI'!$C$41)-O3682)/('THAM_SO_MOI'!$C$11*H3682)</f>
        <v>0.18146139871784522</v>
      </c>
      <c r="Q3682" s="75">
        <f>IF(P3682&gt;0,1/P3682,NA())</f>
        <v>5.510813908995061</v>
      </c>
      <c r="R3682" s="75">
        <f>F3682-F3681</f>
        <v>0.0073885545698715305</v>
      </c>
      <c r="S3682" s="75">
        <f>0.5*(Q3681+Q3682)*R3682</f>
        <v>0.04070821886798036</v>
      </c>
      <c r="T3682" s="75">
        <f>0.5*(F3681*Q3681+F3682*Q3682)*R3682</f>
        <v>0.7808559458817597</v>
      </c>
      <c r="U3682" s="76">
        <f>U3681+S3682</f>
        <v>43.246957810645796</v>
      </c>
      <c r="V3682" s="76">
        <f>V3681+T3682</f>
        <v>546.4553268056585</v>
      </c>
    </row>
    <row r="3683" spans="1:22" ht="19" customHeight="1">
      <c r="A3683" s="68" t="s">
        <v>378</v>
      </c>
      <c r="B3683" s="74">
        <v>5</v>
      </c>
      <c r="C3683" s="68" t="s">
        <v>363</v>
      </c>
      <c r="D3683" s="68" t="s">
        <v>364</v>
      </c>
      <c r="E3683" s="75">
        <f>60*F3683*'THAM_SO_MOI'!$C$53/(2*PI()*'THAM_SO_MOI'!$C$26)</f>
        <v>1891.0016167892747</v>
      </c>
      <c r="F3683" s="75">
        <f>'HANH_TRINH'!$F$3289+('THAM_SO_MOI'!$C$14-'HANH_TRINH'!$F$3289)*393/'THAM_SO_MOI'!$C$42</f>
        <v>19.192858290062087</v>
      </c>
      <c r="G3683" s="75">
        <f>3.6*F3683</f>
        <v>69.09428984422351</v>
      </c>
      <c r="H3683" s="75">
        <f>'THAM_SO_MOI'!$D$53</f>
        <v>1.1</v>
      </c>
      <c r="I3683" s="75">
        <f>IF(F3683&gt;'THAM_SO_MOI'!$C$14,'THAM_SO_MOI'!$C$13*(1+F3683^2/1500),'THAM_SO_MOI'!$C$13)</f>
        <v>0.015</v>
      </c>
      <c r="J3683" s="75">
        <f>'THAM_SO_MOI'!$C$40*('THAM_SO_MOI'!$C$23*(E3683/'THAM_SO_MOI'!$C$22)+'THAM_SO_MOI'!$C$24*(E3683/'THAM_SO_MOI'!$C$22)^2-'THAM_SO_MOI'!$C$25*(E3683/'THAM_SO_MOI'!$C$22)^3)</f>
        <v>84.43060098983958</v>
      </c>
      <c r="K3683" s="75">
        <f>'THAM_SO_MOI'!$C$31*J3683/E3683</f>
        <v>426.44330330843565</v>
      </c>
      <c r="L3683" s="75">
        <f>K3683*'THAM_SO_MOI'!$C$53*'THAM_SO_MOI'!$C$17/'THAM_SO_MOI'!$C$26</f>
        <v>3739.909438674218</v>
      </c>
      <c r="M3683" s="75">
        <f>'THAM_SO_MOI'!$C$15*'THAM_SO_MOI'!$C$16*F3683^2</f>
        <v>1077.4699923265348</v>
      </c>
      <c r="N3683" s="75">
        <f>'THAM_SO_MOI'!$C$12*I3683</f>
        <v>1130.112</v>
      </c>
      <c r="O3683" s="75">
        <f>M3683+N3683</f>
        <v>2207.581992326535</v>
      </c>
      <c r="P3683" s="75">
        <f>(MIN(L3683,'THAM_SO_MOI'!$C$41)-O3683)/('THAM_SO_MOI'!$C$11*H3683)</f>
        <v>0.1813834571907769</v>
      </c>
      <c r="Q3683" s="75">
        <f>IF(P3683&gt;0,1/P3683,NA())</f>
        <v>5.513181937800493</v>
      </c>
      <c r="R3683" s="75">
        <f>F3683-F3682</f>
        <v>0.0073885545698715305</v>
      </c>
      <c r="S3683" s="75">
        <f>0.5*(Q3682+Q3683)*R3683</f>
        <v>0.040725697446043034</v>
      </c>
      <c r="T3683" s="75">
        <f>0.5*(F3682*Q3682+F3683*Q3683)*R3683</f>
        <v>0.7814921201449697</v>
      </c>
      <c r="U3683" s="76">
        <f>U3682+S3683</f>
        <v>43.28768350809184</v>
      </c>
      <c r="V3683" s="76">
        <f>V3682+T3683</f>
        <v>547.2368189258035</v>
      </c>
    </row>
    <row r="3684" spans="1:22" ht="19" customHeight="1">
      <c r="A3684" s="68" t="s">
        <v>378</v>
      </c>
      <c r="B3684" s="74">
        <v>5</v>
      </c>
      <c r="C3684" s="68" t="s">
        <v>363</v>
      </c>
      <c r="D3684" s="68" t="s">
        <v>364</v>
      </c>
      <c r="E3684" s="75">
        <f>60*F3684*'THAM_SO_MOI'!$C$53/(2*PI()*'THAM_SO_MOI'!$C$26)</f>
        <v>1891.7295838500536</v>
      </c>
      <c r="F3684" s="75">
        <f>'HANH_TRINH'!$F$3289+('THAM_SO_MOI'!$C$14-'HANH_TRINH'!$F$3289)*394/'THAM_SO_MOI'!$C$42</f>
        <v>19.20024684463196</v>
      </c>
      <c r="G3684" s="75">
        <f>3.6*F3684</f>
        <v>69.12088864067505</v>
      </c>
      <c r="H3684" s="75">
        <f>'THAM_SO_MOI'!$D$53</f>
        <v>1.1</v>
      </c>
      <c r="I3684" s="75">
        <f>IF(F3684&gt;'THAM_SO_MOI'!$C$14,'THAM_SO_MOI'!$C$13*(1+F3684^2/1500),'THAM_SO_MOI'!$C$13)</f>
        <v>0.015</v>
      </c>
      <c r="J3684" s="75">
        <f>'THAM_SO_MOI'!$C$40*('THAM_SO_MOI'!$C$23*(E3684/'THAM_SO_MOI'!$C$22)+'THAM_SO_MOI'!$C$24*(E3684/'THAM_SO_MOI'!$C$22)^2-'THAM_SO_MOI'!$C$25*(E3684/'THAM_SO_MOI'!$C$22)^3)</f>
        <v>84.46695462485933</v>
      </c>
      <c r="K3684" s="75">
        <f>'THAM_SO_MOI'!$C$31*J3684/E3684</f>
        <v>426.4627460800802</v>
      </c>
      <c r="L3684" s="75">
        <f>K3684*'THAM_SO_MOI'!$C$53*'THAM_SO_MOI'!$C$17/'THAM_SO_MOI'!$C$26</f>
        <v>3740.0799518576196</v>
      </c>
      <c r="M3684" s="75">
        <f>'THAM_SO_MOI'!$C$15*'THAM_SO_MOI'!$C$16*F3684^2</f>
        <v>1078.2997257672887</v>
      </c>
      <c r="N3684" s="75">
        <f>'THAM_SO_MOI'!$C$12*I3684</f>
        <v>1130.112</v>
      </c>
      <c r="O3684" s="75">
        <f>M3684+N3684</f>
        <v>2208.4117257672888</v>
      </c>
      <c r="P3684" s="75">
        <f>(MIN(L3684,'THAM_SO_MOI'!$C$41)-O3684)/('THAM_SO_MOI'!$C$11*H3684)</f>
        <v>0.18130542448985923</v>
      </c>
      <c r="Q3684" s="75">
        <f>IF(P3684&gt;0,1/P3684,NA())</f>
        <v>5.5155547762219985</v>
      </c>
      <c r="R3684" s="75">
        <f>F3684-F3683</f>
        <v>0.0073885545698715305</v>
      </c>
      <c r="S3684" s="75">
        <f>0.5*(Q3683+Q3684)*R3684</f>
        <v>0.040743211524150405</v>
      </c>
      <c r="T3684" s="75">
        <f>0.5*(F3683*Q3683+F3684*Q3684)*R3684</f>
        <v>0.7821292341696428</v>
      </c>
      <c r="U3684" s="76">
        <f>U3683+S3684</f>
        <v>43.32842671961599</v>
      </c>
      <c r="V3684" s="76">
        <f>V3683+T3684</f>
        <v>548.0189481599731</v>
      </c>
    </row>
    <row r="3685" spans="1:22" ht="19" customHeight="1">
      <c r="A3685" s="68" t="s">
        <v>378</v>
      </c>
      <c r="B3685" s="74">
        <v>5</v>
      </c>
      <c r="C3685" s="68" t="s">
        <v>363</v>
      </c>
      <c r="D3685" s="68" t="s">
        <v>364</v>
      </c>
      <c r="E3685" s="75">
        <f>60*F3685*'THAM_SO_MOI'!$C$53/(2*PI()*'THAM_SO_MOI'!$C$26)</f>
        <v>1892.4575509108327</v>
      </c>
      <c r="F3685" s="75">
        <f>'HANH_TRINH'!$F$3289+('THAM_SO_MOI'!$C$14-'HANH_TRINH'!$F$3289)*395/'THAM_SO_MOI'!$C$42</f>
        <v>19.20763539920183</v>
      </c>
      <c r="G3685" s="75">
        <f>3.6*F3685</f>
        <v>69.14748743712659</v>
      </c>
      <c r="H3685" s="75">
        <f>'THAM_SO_MOI'!$D$53</f>
        <v>1.1</v>
      </c>
      <c r="I3685" s="75">
        <f>IF(F3685&gt;'THAM_SO_MOI'!$C$14,'THAM_SO_MOI'!$C$13*(1+F3685^2/1500),'THAM_SO_MOI'!$C$13)</f>
        <v>0.015</v>
      </c>
      <c r="J3685" s="75">
        <f>'THAM_SO_MOI'!$C$40*('THAM_SO_MOI'!$C$23*(E3685/'THAM_SO_MOI'!$C$22)+'THAM_SO_MOI'!$C$24*(E3685/'THAM_SO_MOI'!$C$22)^2-'THAM_SO_MOI'!$C$25*(E3685/'THAM_SO_MOI'!$C$22)^3)</f>
        <v>84.50330103693231</v>
      </c>
      <c r="K3685" s="75">
        <f>'THAM_SO_MOI'!$C$31*J3685/E3685</f>
        <v>426.4821374400194</v>
      </c>
      <c r="L3685" s="75">
        <f>K3685*'THAM_SO_MOI'!$C$53*'THAM_SO_MOI'!$C$17/'THAM_SO_MOI'!$C$26</f>
        <v>3740.250014160164</v>
      </c>
      <c r="M3685" s="75">
        <f>'THAM_SO_MOI'!$C$15*'THAM_SO_MOI'!$C$16*F3685^2</f>
        <v>1079.1297785638635</v>
      </c>
      <c r="N3685" s="75">
        <f>'THAM_SO_MOI'!$C$12*I3685</f>
        <v>1130.112</v>
      </c>
      <c r="O3685" s="75">
        <f>M3685+N3685</f>
        <v>2209.2417785638636</v>
      </c>
      <c r="P3685" s="75">
        <f>(MIN(L3685,'THAM_SO_MOI'!$C$41)-O3685)/('THAM_SO_MOI'!$C$11*H3685)</f>
        <v>0.18122730061509237</v>
      </c>
      <c r="Q3685" s="75">
        <f>IF(P3685&gt;0,1/P3685,NA())</f>
        <v>5.517932434053599</v>
      </c>
      <c r="R3685" s="75">
        <f>F3685-F3684</f>
        <v>0.0073885545698715305</v>
      </c>
      <c r="S3685" s="75">
        <f>0.5*(Q3684+Q3685)*R3685</f>
        <v>0.04076076117455043</v>
      </c>
      <c r="T3685" s="75">
        <f>0.5*(F3684*Q3684+F3685*Q3685)*R3685</f>
        <v>0.7827672901301068</v>
      </c>
      <c r="U3685" s="76">
        <f>U3684+S3685</f>
        <v>43.36918748079054</v>
      </c>
      <c r="V3685" s="76">
        <f>V3684+T3685</f>
        <v>548.8017154501032</v>
      </c>
    </row>
    <row r="3686" spans="1:22" ht="19" customHeight="1">
      <c r="A3686" s="68" t="s">
        <v>378</v>
      </c>
      <c r="B3686" s="74">
        <v>5</v>
      </c>
      <c r="C3686" s="68" t="s">
        <v>363</v>
      </c>
      <c r="D3686" s="68" t="s">
        <v>364</v>
      </c>
      <c r="E3686" s="75">
        <f>60*F3686*'THAM_SO_MOI'!$C$53/(2*PI()*'THAM_SO_MOI'!$C$26)</f>
        <v>1893.1855179716115</v>
      </c>
      <c r="F3686" s="75">
        <f>'HANH_TRINH'!$F$3289+('THAM_SO_MOI'!$C$14-'HANH_TRINH'!$F$3289)*396/'THAM_SO_MOI'!$C$42</f>
        <v>19.215023953771702</v>
      </c>
      <c r="G3686" s="75">
        <f>3.6*F3686</f>
        <v>69.17408623357812</v>
      </c>
      <c r="H3686" s="75">
        <f>'THAM_SO_MOI'!$D$53</f>
        <v>1.1</v>
      </c>
      <c r="I3686" s="75">
        <f>IF(F3686&gt;'THAM_SO_MOI'!$C$14,'THAM_SO_MOI'!$C$13*(1+F3686^2/1500),'THAM_SO_MOI'!$C$13)</f>
        <v>0.015</v>
      </c>
      <c r="J3686" s="75">
        <f>'THAM_SO_MOI'!$C$40*('THAM_SO_MOI'!$C$23*(E3686/'THAM_SO_MOI'!$C$22)+'THAM_SO_MOI'!$C$24*(E3686/'THAM_SO_MOI'!$C$22)^2-'THAM_SO_MOI'!$C$25*(E3686/'THAM_SO_MOI'!$C$22)^3)</f>
        <v>84.53964021430295</v>
      </c>
      <c r="K3686" s="75">
        <f>'THAM_SO_MOI'!$C$31*J3686/E3686</f>
        <v>426.50147738825314</v>
      </c>
      <c r="L3686" s="75">
        <f>K3686*'THAM_SO_MOI'!$C$53*'THAM_SO_MOI'!$C$17/'THAM_SO_MOI'!$C$26</f>
        <v>3740.419625581851</v>
      </c>
      <c r="M3686" s="75">
        <f>'THAM_SO_MOI'!$C$15*'THAM_SO_MOI'!$C$16*F3686^2</f>
        <v>1079.9601507162595</v>
      </c>
      <c r="N3686" s="75">
        <f>'THAM_SO_MOI'!$C$12*I3686</f>
        <v>1130.112</v>
      </c>
      <c r="O3686" s="75">
        <f>M3686+N3686</f>
        <v>2210.07215071626</v>
      </c>
      <c r="P3686" s="75">
        <f>(MIN(L3686,'THAM_SO_MOI'!$C$41)-O3686)/('THAM_SO_MOI'!$C$11*H3686)</f>
        <v>0.1811490855664763</v>
      </c>
      <c r="Q3686" s="75">
        <f>IF(P3686&gt;0,1/P3686,NA())</f>
        <v>5.520314921120757</v>
      </c>
      <c r="R3686" s="75">
        <f>F3686-F3685</f>
        <v>0.0073885545698715305</v>
      </c>
      <c r="S3686" s="75">
        <f>0.5*(Q3685+Q3686)*R3686</f>
        <v>0.04077834646972291</v>
      </c>
      <c r="T3686" s="75">
        <f>0.5*(F3685*Q3685+F3686*Q3686)*R3686</f>
        <v>0.7834062902072794</v>
      </c>
      <c r="U3686" s="76">
        <f>U3685+S3686</f>
        <v>43.409965827260265</v>
      </c>
      <c r="V3686" s="76">
        <f>V3685+T3686</f>
        <v>549.5851217403105</v>
      </c>
    </row>
    <row r="3687" spans="1:22" ht="19" customHeight="1">
      <c r="A3687" s="68" t="s">
        <v>378</v>
      </c>
      <c r="B3687" s="74">
        <v>5</v>
      </c>
      <c r="C3687" s="68" t="s">
        <v>363</v>
      </c>
      <c r="D3687" s="68" t="s">
        <v>364</v>
      </c>
      <c r="E3687" s="75">
        <f>60*F3687*'THAM_SO_MOI'!$C$53/(2*PI()*'THAM_SO_MOI'!$C$26)</f>
        <v>1893.9134850323908</v>
      </c>
      <c r="F3687" s="75">
        <f>'HANH_TRINH'!$F$3289+('THAM_SO_MOI'!$C$14-'HANH_TRINH'!$F$3289)*397/'THAM_SO_MOI'!$C$42</f>
        <v>19.222412508341577</v>
      </c>
      <c r="G3687" s="75">
        <f>3.6*F3687</f>
        <v>69.20068503002967</v>
      </c>
      <c r="H3687" s="75">
        <f>'THAM_SO_MOI'!$D$53</f>
        <v>1.1</v>
      </c>
      <c r="I3687" s="75">
        <f>IF(F3687&gt;'THAM_SO_MOI'!$C$14,'THAM_SO_MOI'!$C$13*(1+F3687^2/1500),'THAM_SO_MOI'!$C$13)</f>
        <v>0.015</v>
      </c>
      <c r="J3687" s="75">
        <f>'THAM_SO_MOI'!$C$40*('THAM_SO_MOI'!$C$23*(E3687/'THAM_SO_MOI'!$C$22)+'THAM_SO_MOI'!$C$24*(E3687/'THAM_SO_MOI'!$C$22)^2-'THAM_SO_MOI'!$C$25*(E3687/'THAM_SO_MOI'!$C$22)^3)</f>
        <v>84.57597214521579</v>
      </c>
      <c r="K3687" s="75">
        <f>'THAM_SO_MOI'!$C$31*J3687/E3687</f>
        <v>426.5207659247815</v>
      </c>
      <c r="L3687" s="75">
        <f>K3687*'THAM_SO_MOI'!$C$53*'THAM_SO_MOI'!$C$17/'THAM_SO_MOI'!$C$26</f>
        <v>3740.5887861226797</v>
      </c>
      <c r="M3687" s="75">
        <f>'THAM_SO_MOI'!$C$15*'THAM_SO_MOI'!$C$16*F3687^2</f>
        <v>1080.7908422244768</v>
      </c>
      <c r="N3687" s="75">
        <f>'THAM_SO_MOI'!$C$12*I3687</f>
        <v>1130.112</v>
      </c>
      <c r="O3687" s="75">
        <f>M3687+N3687</f>
        <v>2210.902842224477</v>
      </c>
      <c r="P3687" s="75">
        <f>(MIN(L3687,'THAM_SO_MOI'!$C$41)-O3687)/('THAM_SO_MOI'!$C$11*H3687)</f>
        <v>0.18107077934401075</v>
      </c>
      <c r="Q3687" s="75">
        <f>IF(P3687&gt;0,1/P3687,NA())</f>
        <v>5.522702247280502</v>
      </c>
      <c r="R3687" s="75">
        <f>F3687-F3686</f>
        <v>0.007388554569875083</v>
      </c>
      <c r="S3687" s="75">
        <f>0.5*(Q3686+Q3687)*R3687</f>
        <v>0.04079596748240007</v>
      </c>
      <c r="T3687" s="75">
        <f>0.5*(F3686*Q3686+F3687*Q3687)*R3687</f>
        <v>0.7840462365890705</v>
      </c>
      <c r="U3687" s="76">
        <f>U3686+S3687</f>
        <v>43.45076179474267</v>
      </c>
      <c r="V3687" s="76">
        <f>V3686+T3687</f>
        <v>550.3691679768996</v>
      </c>
    </row>
    <row r="3688" spans="1:22" ht="19" customHeight="1">
      <c r="A3688" s="68" t="s">
        <v>378</v>
      </c>
      <c r="B3688" s="74">
        <v>5</v>
      </c>
      <c r="C3688" s="68" t="s">
        <v>363</v>
      </c>
      <c r="D3688" s="68" t="s">
        <v>364</v>
      </c>
      <c r="E3688" s="75">
        <f>60*F3688*'THAM_SO_MOI'!$C$53/(2*PI()*'THAM_SO_MOI'!$C$26)</f>
        <v>1894.6414520931696</v>
      </c>
      <c r="F3688" s="75">
        <f>'HANH_TRINH'!$F$3289+('THAM_SO_MOI'!$C$14-'HANH_TRINH'!$F$3289)*398/'THAM_SO_MOI'!$C$42</f>
        <v>19.22980106291145</v>
      </c>
      <c r="G3688" s="75">
        <f>3.6*F3688</f>
        <v>69.22728382648121</v>
      </c>
      <c r="H3688" s="75">
        <f>'THAM_SO_MOI'!$D$53</f>
        <v>1.1</v>
      </c>
      <c r="I3688" s="75">
        <f>IF(F3688&gt;'THAM_SO_MOI'!$C$14,'THAM_SO_MOI'!$C$13*(1+F3688^2/1500),'THAM_SO_MOI'!$C$13)</f>
        <v>0.015</v>
      </c>
      <c r="J3688" s="75">
        <f>'THAM_SO_MOI'!$C$40*('THAM_SO_MOI'!$C$23*(E3688/'THAM_SO_MOI'!$C$22)+'THAM_SO_MOI'!$C$24*(E3688/'THAM_SO_MOI'!$C$22)^2-'THAM_SO_MOI'!$C$25*(E3688/'THAM_SO_MOI'!$C$22)^3)</f>
        <v>84.61229681791524</v>
      </c>
      <c r="K3688" s="75">
        <f>'THAM_SO_MOI'!$C$31*J3688/E3688</f>
        <v>426.5400030496043</v>
      </c>
      <c r="L3688" s="75">
        <f>K3688*'THAM_SO_MOI'!$C$53*'THAM_SO_MOI'!$C$17/'THAM_SO_MOI'!$C$26</f>
        <v>3740.75749578265</v>
      </c>
      <c r="M3688" s="75">
        <f>'THAM_SO_MOI'!$C$15*'THAM_SO_MOI'!$C$16*F3688^2</f>
        <v>1081.6218530885146</v>
      </c>
      <c r="N3688" s="75">
        <f>'THAM_SO_MOI'!$C$12*I3688</f>
        <v>1130.112</v>
      </c>
      <c r="O3688" s="75">
        <f>M3688+N3688</f>
        <v>2211.7338530885145</v>
      </c>
      <c r="P3688" s="75">
        <f>(MIN(L3688,'THAM_SO_MOI'!$C$41)-O3688)/('THAM_SO_MOI'!$C$11*H3688)</f>
        <v>0.18099238194769596</v>
      </c>
      <c r="Q3688" s="75">
        <f>IF(P3688&gt;0,1/P3688,NA())</f>
        <v>5.525094422421518</v>
      </c>
      <c r="R3688" s="75">
        <f>F3688-F3687</f>
        <v>0.0073885545698715305</v>
      </c>
      <c r="S3688" s="75">
        <f>0.5*(Q3687+Q3688)*R3688</f>
        <v>0.04081362428546917</v>
      </c>
      <c r="T3688" s="75">
        <f>0.5*(F3687*Q3687+F3688*Q3688)*R3688</f>
        <v>0.7846871314685218</v>
      </c>
      <c r="U3688" s="76">
        <f>U3687+S3688</f>
        <v>43.49157541902814</v>
      </c>
      <c r="V3688" s="76">
        <f>V3687+T3688</f>
        <v>551.1538551083681</v>
      </c>
    </row>
    <row r="3689" spans="1:22" ht="19" customHeight="1">
      <c r="A3689" s="68" t="s">
        <v>378</v>
      </c>
      <c r="B3689" s="74">
        <v>5</v>
      </c>
      <c r="C3689" s="68" t="s">
        <v>363</v>
      </c>
      <c r="D3689" s="68" t="s">
        <v>364</v>
      </c>
      <c r="E3689" s="75">
        <f>60*F3689*'THAM_SO_MOI'!$C$53/(2*PI()*'THAM_SO_MOI'!$C$26)</f>
        <v>1895.3694191539487</v>
      </c>
      <c r="F3689" s="75">
        <f>'HANH_TRINH'!$F$3289+('THAM_SO_MOI'!$C$14-'HANH_TRINH'!$F$3289)*399/'THAM_SO_MOI'!$C$42</f>
        <v>19.23718961748132</v>
      </c>
      <c r="G3689" s="75">
        <f>3.6*F3689</f>
        <v>69.25388262293275</v>
      </c>
      <c r="H3689" s="75">
        <f>'THAM_SO_MOI'!$D$53</f>
        <v>1.1</v>
      </c>
      <c r="I3689" s="75">
        <f>IF(F3689&gt;'THAM_SO_MOI'!$C$14,'THAM_SO_MOI'!$C$13*(1+F3689^2/1500),'THAM_SO_MOI'!$C$13)</f>
        <v>0.015</v>
      </c>
      <c r="J3689" s="75">
        <f>'THAM_SO_MOI'!$C$40*('THAM_SO_MOI'!$C$23*(E3689/'THAM_SO_MOI'!$C$22)+'THAM_SO_MOI'!$C$24*(E3689/'THAM_SO_MOI'!$C$22)^2-'THAM_SO_MOI'!$C$25*(E3689/'THAM_SO_MOI'!$C$22)^3)</f>
        <v>84.64861422064584</v>
      </c>
      <c r="K3689" s="75">
        <f>'THAM_SO_MOI'!$C$31*J3689/E3689</f>
        <v>426.5591887627217</v>
      </c>
      <c r="L3689" s="75">
        <f>K3689*'THAM_SO_MOI'!$C$53*'THAM_SO_MOI'!$C$17/'THAM_SO_MOI'!$C$26</f>
        <v>3740.925754561763</v>
      </c>
      <c r="M3689" s="75">
        <f>'THAM_SO_MOI'!$C$15*'THAM_SO_MOI'!$C$16*F3689^2</f>
        <v>1082.4531833083736</v>
      </c>
      <c r="N3689" s="75">
        <f>'THAM_SO_MOI'!$C$12*I3689</f>
        <v>1130.112</v>
      </c>
      <c r="O3689" s="75">
        <f>M3689+N3689</f>
        <v>2212.565183308374</v>
      </c>
      <c r="P3689" s="75">
        <f>(MIN(L3689,'THAM_SO_MOI'!$C$41)-O3689)/('THAM_SO_MOI'!$C$11*H3689)</f>
        <v>0.18091389337753183</v>
      </c>
      <c r="Q3689" s="75">
        <f>IF(P3689&gt;0,1/P3689,NA())</f>
        <v>5.527491456464297</v>
      </c>
      <c r="R3689" s="75">
        <f>F3689-F3688</f>
        <v>0.0073885545698715305</v>
      </c>
      <c r="S3689" s="75">
        <f>0.5*(Q3688+Q3689)*R3689</f>
        <v>0.04083131695216966</v>
      </c>
      <c r="T3689" s="75">
        <f>0.5*(F3688*Q3688+F3689*Q3689)*R3689</f>
        <v>0.7853289770476017</v>
      </c>
      <c r="U3689" s="76">
        <f>U3688+S3689</f>
        <v>43.53240673598031</v>
      </c>
      <c r="V3689" s="76">
        <f>V3688+T3689</f>
        <v>551.9391840854157</v>
      </c>
    </row>
    <row r="3690" spans="1:22" ht="19" customHeight="1">
      <c r="A3690" s="68" t="s">
        <v>378</v>
      </c>
      <c r="B3690" s="74">
        <v>5</v>
      </c>
      <c r="C3690" s="68" t="s">
        <v>363</v>
      </c>
      <c r="D3690" s="68" t="s">
        <v>364</v>
      </c>
      <c r="E3690" s="75">
        <f>60*F3690*'THAM_SO_MOI'!$C$53/(2*PI()*'THAM_SO_MOI'!$C$26)</f>
        <v>1896.0973862147275</v>
      </c>
      <c r="F3690" s="75">
        <f>'HANH_TRINH'!$F$3289+('THAM_SO_MOI'!$C$14-'HANH_TRINH'!$F$3289)*400/'THAM_SO_MOI'!$C$42</f>
        <v>19.24457817205119</v>
      </c>
      <c r="G3690" s="75">
        <f>3.6*F3690</f>
        <v>69.28048141938429</v>
      </c>
      <c r="H3690" s="75">
        <f>'THAM_SO_MOI'!$D$53</f>
        <v>1.1</v>
      </c>
      <c r="I3690" s="75">
        <f>IF(F3690&gt;'THAM_SO_MOI'!$C$14,'THAM_SO_MOI'!$C$13*(1+F3690^2/1500),'THAM_SO_MOI'!$C$13)</f>
        <v>0.015</v>
      </c>
      <c r="J3690" s="75">
        <f>'THAM_SO_MOI'!$C$40*('THAM_SO_MOI'!$C$23*(E3690/'THAM_SO_MOI'!$C$22)+'THAM_SO_MOI'!$C$24*(E3690/'THAM_SO_MOI'!$C$22)^2-'THAM_SO_MOI'!$C$25*(E3690/'THAM_SO_MOI'!$C$22)^3)</f>
        <v>84.68492434165202</v>
      </c>
      <c r="K3690" s="75">
        <f>'THAM_SO_MOI'!$C$31*J3690/E3690</f>
        <v>426.5783230641336</v>
      </c>
      <c r="L3690" s="75">
        <f>K3690*'THAM_SO_MOI'!$C$53*'THAM_SO_MOI'!$C$17/'THAM_SO_MOI'!$C$26</f>
        <v>3741.093562460017</v>
      </c>
      <c r="M3690" s="75">
        <f>'THAM_SO_MOI'!$C$15*'THAM_SO_MOI'!$C$16*F3690^2</f>
        <v>1083.2848328840535</v>
      </c>
      <c r="N3690" s="75">
        <f>'THAM_SO_MOI'!$C$12*I3690</f>
        <v>1130.112</v>
      </c>
      <c r="O3690" s="75">
        <f>M3690+N3690</f>
        <v>2213.3968328840538</v>
      </c>
      <c r="P3690" s="75">
        <f>(MIN(L3690,'THAM_SO_MOI'!$C$41)-O3690)/('THAM_SO_MOI'!$C$11*H3690)</f>
        <v>0.18083531363351837</v>
      </c>
      <c r="Q3690" s="75">
        <f>IF(P3690&gt;0,1/P3690,NA())</f>
        <v>5.529893359361238</v>
      </c>
      <c r="R3690" s="75">
        <f>F3690-F3689</f>
        <v>0.0073885545698715305</v>
      </c>
      <c r="S3690" s="75">
        <f>0.5*(Q3689+Q3690)*R3690</f>
        <v>0.04084904555589792</v>
      </c>
      <c r="T3690" s="75">
        <f>0.5*(F3689*Q3689+F3690*Q3690)*R3690</f>
        <v>0.7859717755334626</v>
      </c>
      <c r="U3690" s="76">
        <f>U3689+S3690</f>
        <v>43.573255781536204</v>
      </c>
      <c r="V3690" s="76">
        <f>V3689+T3690</f>
        <v>552.7251558609491</v>
      </c>
    </row>
    <row r="3691" spans="1:22" ht="19" customHeight="1">
      <c r="A3691" s="68" t="s">
        <v>378</v>
      </c>
      <c r="B3691" s="74">
        <v>5</v>
      </c>
      <c r="C3691" s="68" t="s">
        <v>363</v>
      </c>
      <c r="D3691" s="68" t="s">
        <v>364</v>
      </c>
      <c r="E3691" s="75">
        <f>60*F3691*'THAM_SO_MOI'!$C$53/(2*PI()*'THAM_SO_MOI'!$C$26)</f>
        <v>1896.8253532755064</v>
      </c>
      <c r="F3691" s="75">
        <f>'HANH_TRINH'!$F$3289+('THAM_SO_MOI'!$C$14-'HANH_TRINH'!$F$3289)*401/'THAM_SO_MOI'!$C$42</f>
        <v>19.251966726621063</v>
      </c>
      <c r="G3691" s="75">
        <f>3.6*F3691</f>
        <v>69.30708021583582</v>
      </c>
      <c r="H3691" s="75">
        <f>'THAM_SO_MOI'!$D$53</f>
        <v>1.1</v>
      </c>
      <c r="I3691" s="75">
        <f>IF(F3691&gt;'THAM_SO_MOI'!$C$14,'THAM_SO_MOI'!$C$13*(1+F3691^2/1500),'THAM_SO_MOI'!$C$13)</f>
        <v>0.015</v>
      </c>
      <c r="J3691" s="75">
        <f>'THAM_SO_MOI'!$C$40*('THAM_SO_MOI'!$C$23*(E3691/'THAM_SO_MOI'!$C$22)+'THAM_SO_MOI'!$C$24*(E3691/'THAM_SO_MOI'!$C$22)^2-'THAM_SO_MOI'!$C$25*(E3691/'THAM_SO_MOI'!$C$22)^3)</f>
        <v>84.72122716917835</v>
      </c>
      <c r="K3691" s="75">
        <f>'THAM_SO_MOI'!$C$31*J3691/E3691</f>
        <v>426.5974059538403</v>
      </c>
      <c r="L3691" s="75">
        <f>K3691*'THAM_SO_MOI'!$C$53*'THAM_SO_MOI'!$C$17/'THAM_SO_MOI'!$C$26</f>
        <v>3741.260919477415</v>
      </c>
      <c r="M3691" s="75">
        <f>'THAM_SO_MOI'!$C$15*'THAM_SO_MOI'!$C$16*F3691^2</f>
        <v>1084.1168018155543</v>
      </c>
      <c r="N3691" s="75">
        <f>'THAM_SO_MOI'!$C$12*I3691</f>
        <v>1130.112</v>
      </c>
      <c r="O3691" s="75">
        <f>M3691+N3691</f>
        <v>2214.228801815554</v>
      </c>
      <c r="P3691" s="75">
        <f>(MIN(L3691,'THAM_SO_MOI'!$C$41)-O3691)/('THAM_SO_MOI'!$C$11*H3691)</f>
        <v>0.1807566427156559</v>
      </c>
      <c r="Q3691" s="75">
        <f>IF(P3691&gt;0,1/P3691,NA())</f>
        <v>5.532300141096761</v>
      </c>
      <c r="R3691" s="75">
        <f>F3691-F3690</f>
        <v>0.0073885545698715305</v>
      </c>
      <c r="S3691" s="75">
        <f>0.5*(Q3690+Q3691)*R3691</f>
        <v>0.040866810170306044</v>
      </c>
      <c r="T3691" s="75">
        <f>0.5*(F3690*Q3690+F3691*Q3691)*R3691</f>
        <v>0.7866155291403495</v>
      </c>
      <c r="U3691" s="76">
        <f>U3690+S3691</f>
        <v>43.61412259170651</v>
      </c>
      <c r="V3691" s="76">
        <f>V3690+T3691</f>
        <v>553.5117713900895</v>
      </c>
    </row>
    <row r="3692" spans="1:22" ht="19" customHeight="1">
      <c r="A3692" s="68" t="s">
        <v>378</v>
      </c>
      <c r="B3692" s="74">
        <v>5</v>
      </c>
      <c r="C3692" s="68" t="s">
        <v>363</v>
      </c>
      <c r="D3692" s="68" t="s">
        <v>364</v>
      </c>
      <c r="E3692" s="75">
        <f>60*F3692*'THAM_SO_MOI'!$C$53/(2*PI()*'THAM_SO_MOI'!$C$26)</f>
        <v>1897.5533203362852</v>
      </c>
      <c r="F3692" s="75">
        <f>'HANH_TRINH'!$F$3289+('THAM_SO_MOI'!$C$14-'HANH_TRINH'!$F$3289)*402/'THAM_SO_MOI'!$C$42</f>
        <v>19.259355281190935</v>
      </c>
      <c r="G3692" s="75">
        <f>3.6*F3692</f>
        <v>69.33367901228736</v>
      </c>
      <c r="H3692" s="75">
        <f>'THAM_SO_MOI'!$D$53</f>
        <v>1.1</v>
      </c>
      <c r="I3692" s="75">
        <f>IF(F3692&gt;'THAM_SO_MOI'!$C$14,'THAM_SO_MOI'!$C$13*(1+F3692^2/1500),'THAM_SO_MOI'!$C$13)</f>
        <v>0.015</v>
      </c>
      <c r="J3692" s="75">
        <f>'THAM_SO_MOI'!$C$40*('THAM_SO_MOI'!$C$23*(E3692/'THAM_SO_MOI'!$C$22)+'THAM_SO_MOI'!$C$24*(E3692/'THAM_SO_MOI'!$C$22)^2-'THAM_SO_MOI'!$C$25*(E3692/'THAM_SO_MOI'!$C$22)^3)</f>
        <v>84.75752269146925</v>
      </c>
      <c r="K3692" s="75">
        <f>'THAM_SO_MOI'!$C$31*J3692/E3692</f>
        <v>426.6164374318414</v>
      </c>
      <c r="L3692" s="75">
        <f>K3692*'THAM_SO_MOI'!$C$53*'THAM_SO_MOI'!$C$17/'THAM_SO_MOI'!$C$26</f>
        <v>3741.427825613955</v>
      </c>
      <c r="M3692" s="75">
        <f>'THAM_SO_MOI'!$C$15*'THAM_SO_MOI'!$C$16*F3692^2</f>
        <v>1084.9490901028762</v>
      </c>
      <c r="N3692" s="75">
        <f>'THAM_SO_MOI'!$C$12*I3692</f>
        <v>1130.112</v>
      </c>
      <c r="O3692" s="75">
        <f>M3692+N3692</f>
        <v>2215.0610901028763</v>
      </c>
      <c r="P3692" s="75">
        <f>(MIN(L3692,'THAM_SO_MOI'!$C$41)-O3692)/('THAM_SO_MOI'!$C$11*H3692)</f>
        <v>0.180677880623944</v>
      </c>
      <c r="Q3692" s="75">
        <f>IF(P3692&gt;0,1/P3692,NA())</f>
        <v>5.534711811687462</v>
      </c>
      <c r="R3692" s="75">
        <f>F3692-F3691</f>
        <v>0.0073885545698715305</v>
      </c>
      <c r="S3692" s="75">
        <f>0.5*(Q3691+Q3692)*R3692</f>
        <v>0.04088461086928336</v>
      </c>
      <c r="T3692" s="75">
        <f>0.5*(F3691*Q3691+F3692*Q3692)*R3692</f>
        <v>0.7872602400892508</v>
      </c>
      <c r="U3692" s="76">
        <f>U3691+S3692</f>
        <v>43.655007202575796</v>
      </c>
      <c r="V3692" s="76">
        <f>V3691+T3692</f>
        <v>554.2990316301788</v>
      </c>
    </row>
    <row r="3693" spans="1:22" ht="19" customHeight="1">
      <c r="A3693" s="68" t="s">
        <v>378</v>
      </c>
      <c r="B3693" s="74">
        <v>5</v>
      </c>
      <c r="C3693" s="68" t="s">
        <v>363</v>
      </c>
      <c r="D3693" s="68" t="s">
        <v>364</v>
      </c>
      <c r="E3693" s="75">
        <f>60*F3693*'THAM_SO_MOI'!$C$53/(2*PI()*'THAM_SO_MOI'!$C$26)</f>
        <v>1898.2812873970645</v>
      </c>
      <c r="F3693" s="75">
        <f>'HANH_TRINH'!$F$3289+('THAM_SO_MOI'!$C$14-'HANH_TRINH'!$F$3289)*403/'THAM_SO_MOI'!$C$42</f>
        <v>19.266743835760806</v>
      </c>
      <c r="G3693" s="75">
        <f>3.6*F3693</f>
        <v>69.3602778087389</v>
      </c>
      <c r="H3693" s="75">
        <f>'THAM_SO_MOI'!$D$53</f>
        <v>1.1</v>
      </c>
      <c r="I3693" s="75">
        <f>IF(F3693&gt;'THAM_SO_MOI'!$C$14,'THAM_SO_MOI'!$C$13*(1+F3693^2/1500),'THAM_SO_MOI'!$C$13)</f>
        <v>0.015</v>
      </c>
      <c r="J3693" s="75">
        <f>'THAM_SO_MOI'!$C$40*('THAM_SO_MOI'!$C$23*(E3693/'THAM_SO_MOI'!$C$22)+'THAM_SO_MOI'!$C$24*(E3693/'THAM_SO_MOI'!$C$22)^2-'THAM_SO_MOI'!$C$25*(E3693/'THAM_SO_MOI'!$C$22)^3)</f>
        <v>84.79381089676922</v>
      </c>
      <c r="K3693" s="75">
        <f>'THAM_SO_MOI'!$C$31*J3693/E3693</f>
        <v>426.635417498137</v>
      </c>
      <c r="L3693" s="75">
        <f>K3693*'THAM_SO_MOI'!$C$53*'THAM_SO_MOI'!$C$17/'THAM_SO_MOI'!$C$26</f>
        <v>3741.5942808696354</v>
      </c>
      <c r="M3693" s="75">
        <f>'THAM_SO_MOI'!$C$15*'THAM_SO_MOI'!$C$16*F3693^2</f>
        <v>1085.781697746019</v>
      </c>
      <c r="N3693" s="75">
        <f>'THAM_SO_MOI'!$C$12*I3693</f>
        <v>1130.112</v>
      </c>
      <c r="O3693" s="75">
        <f>M3693+N3693</f>
        <v>2215.893697746019</v>
      </c>
      <c r="P3693" s="75">
        <f>(MIN(L3693,'THAM_SO_MOI'!$C$41)-O3693)/('THAM_SO_MOI'!$C$11*H3693)</f>
        <v>0.18059902735838262</v>
      </c>
      <c r="Q3693" s="75">
        <f>IF(P3693&gt;0,1/P3693,NA())</f>
        <v>5.537128381182194</v>
      </c>
      <c r="R3693" s="75">
        <f>F3693-F3692</f>
        <v>0.0073885545698715305</v>
      </c>
      <c r="S3693" s="75">
        <f>0.5*(Q3692+Q3693)*R3693</f>
        <v>0.04090244772695719</v>
      </c>
      <c r="T3693" s="75">
        <f>0.5*(F3692*Q3692+F3693*Q3693)*R3693</f>
        <v>0.7879059106079235</v>
      </c>
      <c r="U3693" s="76">
        <f>U3692+S3693</f>
        <v>43.69590965030275</v>
      </c>
      <c r="V3693" s="76">
        <f>V3692+T3693</f>
        <v>555.0869375407867</v>
      </c>
    </row>
    <row r="3694" spans="1:22" ht="19" customHeight="1">
      <c r="A3694" s="68" t="s">
        <v>378</v>
      </c>
      <c r="B3694" s="74">
        <v>5</v>
      </c>
      <c r="C3694" s="68" t="s">
        <v>363</v>
      </c>
      <c r="D3694" s="68" t="s">
        <v>364</v>
      </c>
      <c r="E3694" s="75">
        <f>60*F3694*'THAM_SO_MOI'!$C$53/(2*PI()*'THAM_SO_MOI'!$C$26)</f>
        <v>1899.0092544578433</v>
      </c>
      <c r="F3694" s="75">
        <f>'HANH_TRINH'!$F$3289+('THAM_SO_MOI'!$C$14-'HANH_TRINH'!$F$3289)*404/'THAM_SO_MOI'!$C$42</f>
        <v>19.274132390330678</v>
      </c>
      <c r="G3694" s="75">
        <f>3.6*F3694</f>
        <v>69.38687660519044</v>
      </c>
      <c r="H3694" s="75">
        <f>'THAM_SO_MOI'!$D$53</f>
        <v>1.1</v>
      </c>
      <c r="I3694" s="75">
        <f>IF(F3694&gt;'THAM_SO_MOI'!$C$14,'THAM_SO_MOI'!$C$13*(1+F3694^2/1500),'THAM_SO_MOI'!$C$13)</f>
        <v>0.015</v>
      </c>
      <c r="J3694" s="75">
        <f>'THAM_SO_MOI'!$C$40*('THAM_SO_MOI'!$C$23*(E3694/'THAM_SO_MOI'!$C$22)+'THAM_SO_MOI'!$C$24*(E3694/'THAM_SO_MOI'!$C$22)^2-'THAM_SO_MOI'!$C$25*(E3694/'THAM_SO_MOI'!$C$22)^3)</f>
        <v>84.83009177332279</v>
      </c>
      <c r="K3694" s="75">
        <f>'THAM_SO_MOI'!$C$31*J3694/E3694</f>
        <v>426.6543461527275</v>
      </c>
      <c r="L3694" s="75">
        <f>K3694*'THAM_SO_MOI'!$C$53*'THAM_SO_MOI'!$C$17/'THAM_SO_MOI'!$C$26</f>
        <v>3741.760285244461</v>
      </c>
      <c r="M3694" s="75">
        <f>'THAM_SO_MOI'!$C$15*'THAM_SO_MOI'!$C$16*F3694^2</f>
        <v>1086.614624744983</v>
      </c>
      <c r="N3694" s="75">
        <f>'THAM_SO_MOI'!$C$12*I3694</f>
        <v>1130.112</v>
      </c>
      <c r="O3694" s="75">
        <f>M3694+N3694</f>
        <v>2216.7266247449834</v>
      </c>
      <c r="P3694" s="75">
        <f>(MIN(L3694,'THAM_SO_MOI'!$C$41)-O3694)/('THAM_SO_MOI'!$C$11*H3694)</f>
        <v>0.1805200829189723</v>
      </c>
      <c r="Q3694" s="75">
        <f>IF(P3694&gt;0,1/P3694,NA())</f>
        <v>5.53954985966219</v>
      </c>
      <c r="R3694" s="75">
        <f>F3694-F3693</f>
        <v>0.0073885545698715305</v>
      </c>
      <c r="S3694" s="75">
        <f>0.5*(Q3693+Q3694)*R3694</f>
        <v>0.04092032081769366</v>
      </c>
      <c r="T3694" s="75">
        <f>0.5*(F3693*Q3693+F3694*Q3694)*R3694</f>
        <v>0.7885525429309177</v>
      </c>
      <c r="U3694" s="76">
        <f>U3693+S3694</f>
        <v>43.73682997112044</v>
      </c>
      <c r="V3694" s="76">
        <f>V3693+T3694</f>
        <v>555.8754900837176</v>
      </c>
    </row>
    <row r="3695" spans="1:22" ht="19" customHeight="1">
      <c r="A3695" s="68" t="s">
        <v>378</v>
      </c>
      <c r="B3695" s="74">
        <v>5</v>
      </c>
      <c r="C3695" s="68" t="s">
        <v>363</v>
      </c>
      <c r="D3695" s="68" t="s">
        <v>364</v>
      </c>
      <c r="E3695" s="75">
        <f>60*F3695*'THAM_SO_MOI'!$C$53/(2*PI()*'THAM_SO_MOI'!$C$26)</f>
        <v>1899.7372215186224</v>
      </c>
      <c r="F3695" s="75">
        <f>'HANH_TRINH'!$F$3289+('THAM_SO_MOI'!$C$14-'HANH_TRINH'!$F$3289)*405/'THAM_SO_MOI'!$C$42</f>
        <v>19.281520944900553</v>
      </c>
      <c r="G3695" s="75">
        <f>3.6*F3695</f>
        <v>69.41347540164199</v>
      </c>
      <c r="H3695" s="75">
        <f>'THAM_SO_MOI'!$D$53</f>
        <v>1.1</v>
      </c>
      <c r="I3695" s="75">
        <f>IF(F3695&gt;'THAM_SO_MOI'!$C$14,'THAM_SO_MOI'!$C$13*(1+F3695^2/1500),'THAM_SO_MOI'!$C$13)</f>
        <v>0.015</v>
      </c>
      <c r="J3695" s="75">
        <f>'THAM_SO_MOI'!$C$40*('THAM_SO_MOI'!$C$23*(E3695/'THAM_SO_MOI'!$C$22)+'THAM_SO_MOI'!$C$24*(E3695/'THAM_SO_MOI'!$C$22)^2-'THAM_SO_MOI'!$C$25*(E3695/'THAM_SO_MOI'!$C$22)^3)</f>
        <v>84.86636530937434</v>
      </c>
      <c r="K3695" s="75">
        <f>'THAM_SO_MOI'!$C$31*J3695/E3695</f>
        <v>426.6732233956122</v>
      </c>
      <c r="L3695" s="75">
        <f>K3695*'THAM_SO_MOI'!$C$53*'THAM_SO_MOI'!$C$17/'THAM_SO_MOI'!$C$26</f>
        <v>3741.9258387384266</v>
      </c>
      <c r="M3695" s="75">
        <f>'THAM_SO_MOI'!$C$15*'THAM_SO_MOI'!$C$16*F3695^2</f>
        <v>1087.4478710997685</v>
      </c>
      <c r="N3695" s="75">
        <f>'THAM_SO_MOI'!$C$12*I3695</f>
        <v>1130.112</v>
      </c>
      <c r="O3695" s="75">
        <f>M3695+N3695</f>
        <v>2217.5598710997683</v>
      </c>
      <c r="P3695" s="75">
        <f>(MIN(L3695,'THAM_SO_MOI'!$C$41)-O3695)/('THAM_SO_MOI'!$C$11*H3695)</f>
        <v>0.18044104730571234</v>
      </c>
      <c r="Q3695" s="75">
        <f>IF(P3695&gt;0,1/P3695,NA())</f>
        <v>5.541976257241234</v>
      </c>
      <c r="R3695" s="75">
        <f>F3695-F3694</f>
        <v>0.007388554569875083</v>
      </c>
      <c r="S3695" s="75">
        <f>0.5*(Q3694+Q3695)*R3695</f>
        <v>0.04093823021611844</v>
      </c>
      <c r="T3695" s="75">
        <f>0.5*(F3694*Q3694+F3695*Q3695)*R3695</f>
        <v>0.7892001392999843</v>
      </c>
      <c r="U3695" s="76">
        <f>U3694+S3695</f>
        <v>43.77776820133656</v>
      </c>
      <c r="V3695" s="76">
        <f>V3694+T3695</f>
        <v>556.6646902230176</v>
      </c>
    </row>
    <row r="3696" spans="1:22" ht="19" customHeight="1">
      <c r="A3696" s="68" t="s">
        <v>378</v>
      </c>
      <c r="B3696" s="74">
        <v>5</v>
      </c>
      <c r="C3696" s="68" t="s">
        <v>363</v>
      </c>
      <c r="D3696" s="68" t="s">
        <v>364</v>
      </c>
      <c r="E3696" s="75">
        <f>60*F3696*'THAM_SO_MOI'!$C$53/(2*PI()*'THAM_SO_MOI'!$C$26)</f>
        <v>1900.4651885794012</v>
      </c>
      <c r="F3696" s="75">
        <f>'HANH_TRINH'!$F$3289+('THAM_SO_MOI'!$C$14-'HANH_TRINH'!$F$3289)*406/'THAM_SO_MOI'!$C$42</f>
        <v>19.288909499470424</v>
      </c>
      <c r="G3696" s="75">
        <f>3.6*F3696</f>
        <v>69.44007419809353</v>
      </c>
      <c r="H3696" s="75">
        <f>'THAM_SO_MOI'!$D$53</f>
        <v>1.1</v>
      </c>
      <c r="I3696" s="75">
        <f>IF(F3696&gt;'THAM_SO_MOI'!$C$14,'THAM_SO_MOI'!$C$13*(1+F3696^2/1500),'THAM_SO_MOI'!$C$13)</f>
        <v>0.015</v>
      </c>
      <c r="J3696" s="75">
        <f>'THAM_SO_MOI'!$C$40*('THAM_SO_MOI'!$C$23*(E3696/'THAM_SO_MOI'!$C$22)+'THAM_SO_MOI'!$C$24*(E3696/'THAM_SO_MOI'!$C$22)^2-'THAM_SO_MOI'!$C$25*(E3696/'THAM_SO_MOI'!$C$22)^3)</f>
        <v>84.90263149316847</v>
      </c>
      <c r="K3696" s="75">
        <f>'THAM_SO_MOI'!$C$31*J3696/E3696</f>
        <v>426.6920492267917</v>
      </c>
      <c r="L3696" s="75">
        <f>K3696*'THAM_SO_MOI'!$C$53*'THAM_SO_MOI'!$C$17/'THAM_SO_MOI'!$C$26</f>
        <v>3742.0909413515355</v>
      </c>
      <c r="M3696" s="75">
        <f>'THAM_SO_MOI'!$C$15*'THAM_SO_MOI'!$C$16*F3696^2</f>
        <v>1088.281436810374</v>
      </c>
      <c r="N3696" s="75">
        <f>'THAM_SO_MOI'!$C$12*I3696</f>
        <v>1130.112</v>
      </c>
      <c r="O3696" s="75">
        <f>M3696+N3696</f>
        <v>2218.393436810374</v>
      </c>
      <c r="P3696" s="75">
        <f>(MIN(L3696,'THAM_SO_MOI'!$C$41)-O3696)/('THAM_SO_MOI'!$C$11*H3696)</f>
        <v>0.1803619205186034</v>
      </c>
      <c r="Q3696" s="75">
        <f>IF(P3696&gt;0,1/P3696,NA())</f>
        <v>5.544407584065702</v>
      </c>
      <c r="R3696" s="75">
        <f>F3696-F3695</f>
        <v>0.0073885545698715305</v>
      </c>
      <c r="S3696" s="75">
        <f>0.5*(Q3695+Q3696)*R3696</f>
        <v>0.04095617599701913</v>
      </c>
      <c r="T3696" s="75">
        <f>0.5*(F3695*Q3695+F3696*Q3696)*R3696</f>
        <v>0.789848701962203</v>
      </c>
      <c r="U3696" s="76">
        <f>U3695+S3696</f>
        <v>43.81872437733358</v>
      </c>
      <c r="V3696" s="76">
        <f>V3695+T3696</f>
        <v>557.4545389249798</v>
      </c>
    </row>
    <row r="3697" spans="1:22" ht="19" customHeight="1">
      <c r="A3697" s="68" t="s">
        <v>378</v>
      </c>
      <c r="B3697" s="74">
        <v>5</v>
      </c>
      <c r="C3697" s="68" t="s">
        <v>363</v>
      </c>
      <c r="D3697" s="68" t="s">
        <v>364</v>
      </c>
      <c r="E3697" s="75">
        <f>60*F3697*'THAM_SO_MOI'!$C$53/(2*PI()*'THAM_SO_MOI'!$C$26)</f>
        <v>1901.1931556401805</v>
      </c>
      <c r="F3697" s="75">
        <f>'HANH_TRINH'!$F$3289+('THAM_SO_MOI'!$C$14-'HANH_TRINH'!$F$3289)*407/'THAM_SO_MOI'!$C$42</f>
        <v>19.296298054040296</v>
      </c>
      <c r="G3697" s="75">
        <f>3.6*F3697</f>
        <v>69.46667299454506</v>
      </c>
      <c r="H3697" s="75">
        <f>'THAM_SO_MOI'!$D$53</f>
        <v>1.1</v>
      </c>
      <c r="I3697" s="75">
        <f>IF(F3697&gt;'THAM_SO_MOI'!$C$14,'THAM_SO_MOI'!$C$13*(1+F3697^2/1500),'THAM_SO_MOI'!$C$13)</f>
        <v>0.015</v>
      </c>
      <c r="J3697" s="75">
        <f>'THAM_SO_MOI'!$C$40*('THAM_SO_MOI'!$C$23*(E3697/'THAM_SO_MOI'!$C$22)+'THAM_SO_MOI'!$C$24*(E3697/'THAM_SO_MOI'!$C$22)^2-'THAM_SO_MOI'!$C$25*(E3697/'THAM_SO_MOI'!$C$22)^3)</f>
        <v>84.9388903129496</v>
      </c>
      <c r="K3697" s="75">
        <f>'THAM_SO_MOI'!$C$31*J3697/E3697</f>
        <v>426.7108236462657</v>
      </c>
      <c r="L3697" s="75">
        <f>K3697*'THAM_SO_MOI'!$C$53*'THAM_SO_MOI'!$C$17/'THAM_SO_MOI'!$C$26</f>
        <v>3742.2555930837857</v>
      </c>
      <c r="M3697" s="75">
        <f>'THAM_SO_MOI'!$C$15*'THAM_SO_MOI'!$C$16*F3697^2</f>
        <v>1089.115321876801</v>
      </c>
      <c r="N3697" s="75">
        <f>'THAM_SO_MOI'!$C$12*I3697</f>
        <v>1130.112</v>
      </c>
      <c r="O3697" s="75">
        <f>M3697+N3697</f>
        <v>2219.2273218768014</v>
      </c>
      <c r="P3697" s="75">
        <f>(MIN(L3697,'THAM_SO_MOI'!$C$41)-O3697)/('THAM_SO_MOI'!$C$11*H3697)</f>
        <v>0.18028270255764497</v>
      </c>
      <c r="Q3697" s="75">
        <f>IF(P3697&gt;0,1/P3697,NA())</f>
        <v>5.546843850314771</v>
      </c>
      <c r="R3697" s="75">
        <f>F3697-F3696</f>
        <v>0.0073885545698715305</v>
      </c>
      <c r="S3697" s="75">
        <f>0.5*(Q3696+Q3697)*R3697</f>
        <v>0.040974158235543005</v>
      </c>
      <c r="T3697" s="75">
        <f>0.5*(F3696*Q3696+F3697*Q3697)*R3697</f>
        <v>0.7904982331738021</v>
      </c>
      <c r="U3697" s="76">
        <f>U3696+S3697</f>
        <v>43.85969853556912</v>
      </c>
      <c r="V3697" s="76">
        <f>V3696+T3697</f>
        <v>558.2450371581537</v>
      </c>
    </row>
    <row r="3698" spans="1:22" ht="19" customHeight="1">
      <c r="A3698" s="68" t="s">
        <v>378</v>
      </c>
      <c r="B3698" s="74">
        <v>5</v>
      </c>
      <c r="C3698" s="68" t="s">
        <v>363</v>
      </c>
      <c r="D3698" s="68" t="s">
        <v>364</v>
      </c>
      <c r="E3698" s="75">
        <f>60*F3698*'THAM_SO_MOI'!$C$53/(2*PI()*'THAM_SO_MOI'!$C$26)</f>
        <v>1901.9211227009594</v>
      </c>
      <c r="F3698" s="75">
        <f>'HANH_TRINH'!$F$3289+('THAM_SO_MOI'!$C$14-'HANH_TRINH'!$F$3289)*408/'THAM_SO_MOI'!$C$42</f>
        <v>19.303686608610167</v>
      </c>
      <c r="G3698" s="75">
        <f>3.6*F3698</f>
        <v>69.4932717909966</v>
      </c>
      <c r="H3698" s="75">
        <f>'THAM_SO_MOI'!$D$53</f>
        <v>1.1</v>
      </c>
      <c r="I3698" s="75">
        <f>IF(F3698&gt;'THAM_SO_MOI'!$C$14,'THAM_SO_MOI'!$C$13*(1+F3698^2/1500),'THAM_SO_MOI'!$C$13)</f>
        <v>0.015</v>
      </c>
      <c r="J3698" s="75">
        <f>'THAM_SO_MOI'!$C$40*('THAM_SO_MOI'!$C$23*(E3698/'THAM_SO_MOI'!$C$22)+'THAM_SO_MOI'!$C$24*(E3698/'THAM_SO_MOI'!$C$22)^2-'THAM_SO_MOI'!$C$25*(E3698/'THAM_SO_MOI'!$C$22)^3)</f>
        <v>84.9751417569622</v>
      </c>
      <c r="K3698" s="75">
        <f>'THAM_SO_MOI'!$C$31*J3698/E3698</f>
        <v>426.72954665403427</v>
      </c>
      <c r="L3698" s="75">
        <f>K3698*'THAM_SO_MOI'!$C$53*'THAM_SO_MOI'!$C$17/'THAM_SO_MOI'!$C$26</f>
        <v>3742.419793935179</v>
      </c>
      <c r="M3698" s="75">
        <f>'THAM_SO_MOI'!$C$15*'THAM_SO_MOI'!$C$16*F3698^2</f>
        <v>1089.949526299049</v>
      </c>
      <c r="N3698" s="75">
        <f>'THAM_SO_MOI'!$C$12*I3698</f>
        <v>1130.112</v>
      </c>
      <c r="O3698" s="75">
        <f>M3698+N3698</f>
        <v>2220.061526299049</v>
      </c>
      <c r="P3698" s="75">
        <f>(MIN(L3698,'THAM_SO_MOI'!$C$41)-O3698)/('THAM_SO_MOI'!$C$11*H3698)</f>
        <v>0.18020339342283734</v>
      </c>
      <c r="Q3698" s="75">
        <f>IF(P3698&gt;0,1/P3698,NA())</f>
        <v>5.549285066200474</v>
      </c>
      <c r="R3698" s="75">
        <f>F3698-F3697</f>
        <v>0.0073885545698715305</v>
      </c>
      <c r="S3698" s="75">
        <f>0.5*(Q3697+Q3698)*R3698</f>
        <v>0.04099217700700117</v>
      </c>
      <c r="T3698" s="75">
        <f>0.5*(F3697*Q3697+F3698*Q3698)*R3698</f>
        <v>0.7911487351963937</v>
      </c>
      <c r="U3698" s="76">
        <f>U3697+S3698</f>
        <v>43.90069071257612</v>
      </c>
      <c r="V3698" s="76">
        <f>V3697+T3698</f>
        <v>559.0361858933501</v>
      </c>
    </row>
    <row r="3699" spans="1:22" ht="19" customHeight="1">
      <c r="A3699" s="68" t="s">
        <v>378</v>
      </c>
      <c r="B3699" s="74">
        <v>5</v>
      </c>
      <c r="C3699" s="68" t="s">
        <v>363</v>
      </c>
      <c r="D3699" s="68" t="s">
        <v>364</v>
      </c>
      <c r="E3699" s="75">
        <f>60*F3699*'THAM_SO_MOI'!$C$53/(2*PI()*'THAM_SO_MOI'!$C$26)</f>
        <v>1902.6490897617382</v>
      </c>
      <c r="F3699" s="75">
        <f>'HANH_TRINH'!$F$3289+('THAM_SO_MOI'!$C$14-'HANH_TRINH'!$F$3289)*409/'THAM_SO_MOI'!$C$42</f>
        <v>19.31107516318004</v>
      </c>
      <c r="G3699" s="75">
        <f>3.6*F3699</f>
        <v>69.51987058744814</v>
      </c>
      <c r="H3699" s="75">
        <f>'THAM_SO_MOI'!$D$53</f>
        <v>1.1</v>
      </c>
      <c r="I3699" s="75">
        <f>IF(F3699&gt;'THAM_SO_MOI'!$C$14,'THAM_SO_MOI'!$C$13*(1+F3699^2/1500),'THAM_SO_MOI'!$C$13)</f>
        <v>0.015</v>
      </c>
      <c r="J3699" s="75">
        <f>'THAM_SO_MOI'!$C$40*('THAM_SO_MOI'!$C$23*(E3699/'THAM_SO_MOI'!$C$22)+'THAM_SO_MOI'!$C$24*(E3699/'THAM_SO_MOI'!$C$22)^2-'THAM_SO_MOI'!$C$25*(E3699/'THAM_SO_MOI'!$C$22)^3)</f>
        <v>85.01138581345077</v>
      </c>
      <c r="K3699" s="75">
        <f>'THAM_SO_MOI'!$C$31*J3699/E3699</f>
        <v>426.74821825009735</v>
      </c>
      <c r="L3699" s="75">
        <f>K3699*'THAM_SO_MOI'!$C$53*'THAM_SO_MOI'!$C$17/'THAM_SO_MOI'!$C$26</f>
        <v>3742.5835439057137</v>
      </c>
      <c r="M3699" s="75">
        <f>'THAM_SO_MOI'!$C$15*'THAM_SO_MOI'!$C$16*F3699^2</f>
        <v>1090.7840500771179</v>
      </c>
      <c r="N3699" s="75">
        <f>'THAM_SO_MOI'!$C$12*I3699</f>
        <v>1130.112</v>
      </c>
      <c r="O3699" s="75">
        <f>M3699+N3699</f>
        <v>2220.896050077118</v>
      </c>
      <c r="P3699" s="75">
        <f>(MIN(L3699,'THAM_SO_MOI'!$C$41)-O3699)/('THAM_SO_MOI'!$C$11*H3699)</f>
        <v>0.18012399311418034</v>
      </c>
      <c r="Q3699" s="75">
        <f>IF(P3699&gt;0,1/P3699,NA())</f>
        <v>5.551731241967867</v>
      </c>
      <c r="R3699" s="75">
        <f>F3699-F3698</f>
        <v>0.0073885545698715305</v>
      </c>
      <c r="S3699" s="75">
        <f>0.5*(Q3698+Q3699)*R3699</f>
        <v>0.041010232386967785</v>
      </c>
      <c r="T3699" s="75">
        <f>0.5*(F3698*Q3698+F3699*Q3699)*R3699</f>
        <v>0.7918002102988938</v>
      </c>
      <c r="U3699" s="76">
        <f>U3698+S3699</f>
        <v>43.94170094496309</v>
      </c>
      <c r="V3699" s="76">
        <f>V3698+T3699</f>
        <v>559.827986103649</v>
      </c>
    </row>
    <row r="3700" spans="1:22" ht="19" customHeight="1">
      <c r="A3700" s="68" t="s">
        <v>378</v>
      </c>
      <c r="B3700" s="74">
        <v>5</v>
      </c>
      <c r="C3700" s="68" t="s">
        <v>363</v>
      </c>
      <c r="D3700" s="68" t="s">
        <v>364</v>
      </c>
      <c r="E3700" s="75">
        <f>60*F3700*'THAM_SO_MOI'!$C$53/(2*PI()*'THAM_SO_MOI'!$C$26)</f>
        <v>1903.377056822517</v>
      </c>
      <c r="F3700" s="75">
        <f>'HANH_TRINH'!$F$3289+('THAM_SO_MOI'!$C$14-'HANH_TRINH'!$F$3289)*410/'THAM_SO_MOI'!$C$42</f>
        <v>19.31846371774991</v>
      </c>
      <c r="G3700" s="75">
        <f>3.6*F3700</f>
        <v>69.54646938389968</v>
      </c>
      <c r="H3700" s="75">
        <f>'THAM_SO_MOI'!$D$53</f>
        <v>1.1</v>
      </c>
      <c r="I3700" s="75">
        <f>IF(F3700&gt;'THAM_SO_MOI'!$C$14,'THAM_SO_MOI'!$C$13*(1+F3700^2/1500),'THAM_SO_MOI'!$C$13)</f>
        <v>0.015</v>
      </c>
      <c r="J3700" s="75">
        <f>'THAM_SO_MOI'!$C$40*('THAM_SO_MOI'!$C$23*(E3700/'THAM_SO_MOI'!$C$22)+'THAM_SO_MOI'!$C$24*(E3700/'THAM_SO_MOI'!$C$22)^2-'THAM_SO_MOI'!$C$25*(E3700/'THAM_SO_MOI'!$C$22)^3)</f>
        <v>85.04762247065985</v>
      </c>
      <c r="K3700" s="75">
        <f>'THAM_SO_MOI'!$C$31*J3700/E3700</f>
        <v>426.76683843445517</v>
      </c>
      <c r="L3700" s="75">
        <f>K3700*'THAM_SO_MOI'!$C$53*'THAM_SO_MOI'!$C$17/'THAM_SO_MOI'!$C$26</f>
        <v>3742.7468429953915</v>
      </c>
      <c r="M3700" s="75">
        <f>'THAM_SO_MOI'!$C$15*'THAM_SO_MOI'!$C$16*F3700^2</f>
        <v>1091.6188932110076</v>
      </c>
      <c r="N3700" s="75">
        <f>'THAM_SO_MOI'!$C$12*I3700</f>
        <v>1130.112</v>
      </c>
      <c r="O3700" s="75">
        <f>M3700+N3700</f>
        <v>2221.7308932110077</v>
      </c>
      <c r="P3700" s="75">
        <f>(MIN(L3700,'THAM_SO_MOI'!$C$41)-O3700)/('THAM_SO_MOI'!$C$11*H3700)</f>
        <v>0.1800445016316742</v>
      </c>
      <c r="Q3700" s="75">
        <f>IF(P3700&gt;0,1/P3700,NA())</f>
        <v>5.554182387895125</v>
      </c>
      <c r="R3700" s="75">
        <f>F3700-F3699</f>
        <v>0.0073885545698715305</v>
      </c>
      <c r="S3700" s="75">
        <f>0.5*(Q3699+Q3700)*R3700</f>
        <v>0.041028324451261367</v>
      </c>
      <c r="T3700" s="75">
        <f>0.5*(F3699*Q3699+F3700*Q3700)*R3700</f>
        <v>0.7924526607571715</v>
      </c>
      <c r="U3700" s="76">
        <f>U3699+S3700</f>
        <v>43.98272926941435</v>
      </c>
      <c r="V3700" s="76">
        <f>V3699+T3700</f>
        <v>560.6204387644061</v>
      </c>
    </row>
    <row r="3701" spans="1:22" ht="19" customHeight="1">
      <c r="A3701" s="68" t="s">
        <v>378</v>
      </c>
      <c r="B3701" s="74">
        <v>5</v>
      </c>
      <c r="C3701" s="68" t="s">
        <v>363</v>
      </c>
      <c r="D3701" s="68" t="s">
        <v>364</v>
      </c>
      <c r="E3701" s="75">
        <f>60*F3701*'THAM_SO_MOI'!$C$53/(2*PI()*'THAM_SO_MOI'!$C$26)</f>
        <v>1904.1050238832966</v>
      </c>
      <c r="F3701" s="75">
        <f>'HANH_TRINH'!$F$3289+('THAM_SO_MOI'!$C$14-'HANH_TRINH'!$F$3289)*411/'THAM_SO_MOI'!$C$42</f>
        <v>19.325852272319786</v>
      </c>
      <c r="G3701" s="75">
        <f>3.6*F3701</f>
        <v>69.57306818035123</v>
      </c>
      <c r="H3701" s="75">
        <f>'THAM_SO_MOI'!$D$53</f>
        <v>1.1</v>
      </c>
      <c r="I3701" s="75">
        <f>IF(F3701&gt;'THAM_SO_MOI'!$C$14,'THAM_SO_MOI'!$C$13*(1+F3701^2/1500),'THAM_SO_MOI'!$C$13)</f>
        <v>0.015</v>
      </c>
      <c r="J3701" s="75">
        <f>'THAM_SO_MOI'!$C$40*('THAM_SO_MOI'!$C$23*(E3701/'THAM_SO_MOI'!$C$22)+'THAM_SO_MOI'!$C$24*(E3701/'THAM_SO_MOI'!$C$22)^2-'THAM_SO_MOI'!$C$25*(E3701/'THAM_SO_MOI'!$C$22)^3)</f>
        <v>85.08385171683386</v>
      </c>
      <c r="K3701" s="75">
        <f>'THAM_SO_MOI'!$C$31*J3701/E3701</f>
        <v>426.7854072071073</v>
      </c>
      <c r="L3701" s="75">
        <f>K3701*'THAM_SO_MOI'!$C$53*'THAM_SO_MOI'!$C$17/'THAM_SO_MOI'!$C$26</f>
        <v>3742.9096912042105</v>
      </c>
      <c r="M3701" s="75">
        <f>'THAM_SO_MOI'!$C$15*'THAM_SO_MOI'!$C$16*F3701^2</f>
        <v>1092.454055700719</v>
      </c>
      <c r="N3701" s="75">
        <f>'THAM_SO_MOI'!$C$12*I3701</f>
        <v>1130.112</v>
      </c>
      <c r="O3701" s="75">
        <f>M3701+N3701</f>
        <v>2222.566055700719</v>
      </c>
      <c r="P3701" s="75">
        <f>(MIN(L3701,'THAM_SO_MOI'!$C$41)-O3701)/('THAM_SO_MOI'!$C$11*H3701)</f>
        <v>0.17996491897531858</v>
      </c>
      <c r="Q3701" s="75">
        <f>IF(P3701&gt;0,1/P3701,NA())</f>
        <v>5.556638514293698</v>
      </c>
      <c r="R3701" s="75">
        <f>F3701-F3700</f>
        <v>0.007388554569875083</v>
      </c>
      <c r="S3701" s="75">
        <f>0.5*(Q3700+Q3701)*R3701</f>
        <v>0.041046453275965414</v>
      </c>
      <c r="T3701" s="75">
        <f>0.5*(F3700*Q3700+F3701*Q3701)*R3701</f>
        <v>0.7931060888544579</v>
      </c>
      <c r="U3701" s="76">
        <f>U3700+S3701</f>
        <v>44.02377572269032</v>
      </c>
      <c r="V3701" s="76">
        <f>V3700+T3701</f>
        <v>561.4135448532605</v>
      </c>
    </row>
    <row r="3702" spans="1:22" ht="19" customHeight="1">
      <c r="A3702" s="68" t="s">
        <v>378</v>
      </c>
      <c r="B3702" s="74">
        <v>5</v>
      </c>
      <c r="C3702" s="68" t="s">
        <v>363</v>
      </c>
      <c r="D3702" s="68" t="s">
        <v>364</v>
      </c>
      <c r="E3702" s="75">
        <f>60*F3702*'THAM_SO_MOI'!$C$53/(2*PI()*'THAM_SO_MOI'!$C$26)</f>
        <v>1904.8329909440754</v>
      </c>
      <c r="F3702" s="75">
        <f>'HANH_TRINH'!$F$3289+('THAM_SO_MOI'!$C$14-'HANH_TRINH'!$F$3289)*412/'THAM_SO_MOI'!$C$42</f>
        <v>19.333240826889657</v>
      </c>
      <c r="G3702" s="75">
        <f>3.6*F3702</f>
        <v>69.59966697680277</v>
      </c>
      <c r="H3702" s="75">
        <f>'THAM_SO_MOI'!$D$53</f>
        <v>1.1</v>
      </c>
      <c r="I3702" s="75">
        <f>IF(F3702&gt;'THAM_SO_MOI'!$C$14,'THAM_SO_MOI'!$C$13*(1+F3702^2/1500),'THAM_SO_MOI'!$C$13)</f>
        <v>0.015</v>
      </c>
      <c r="J3702" s="75">
        <f>'THAM_SO_MOI'!$C$40*('THAM_SO_MOI'!$C$23*(E3702/'THAM_SO_MOI'!$C$22)+'THAM_SO_MOI'!$C$24*(E3702/'THAM_SO_MOI'!$C$22)^2-'THAM_SO_MOI'!$C$25*(E3702/'THAM_SO_MOI'!$C$22)^3)</f>
        <v>85.12007354021729</v>
      </c>
      <c r="K3702" s="75">
        <f>'THAM_SO_MOI'!$C$31*J3702/E3702</f>
        <v>426.80392456805413</v>
      </c>
      <c r="L3702" s="75">
        <f>K3702*'THAM_SO_MOI'!$C$53*'THAM_SO_MOI'!$C$17/'THAM_SO_MOI'!$C$26</f>
        <v>3743.072088532172</v>
      </c>
      <c r="M3702" s="75">
        <f>'THAM_SO_MOI'!$C$15*'THAM_SO_MOI'!$C$16*F3702^2</f>
        <v>1093.2895375462508</v>
      </c>
      <c r="N3702" s="75">
        <f>'THAM_SO_MOI'!$C$12*I3702</f>
        <v>1130.112</v>
      </c>
      <c r="O3702" s="75">
        <f>M3702+N3702</f>
        <v>2223.401537546251</v>
      </c>
      <c r="P3702" s="75">
        <f>(MIN(L3702,'THAM_SO_MOI'!$C$41)-O3702)/('THAM_SO_MOI'!$C$11*H3702)</f>
        <v>0.17988524514511378</v>
      </c>
      <c r="Q3702" s="75">
        <f>IF(P3702&gt;0,1/P3702,NA())</f>
        <v>5.559099631508399</v>
      </c>
      <c r="R3702" s="75">
        <f>F3702-F3701</f>
        <v>0.0073885545698715305</v>
      </c>
      <c r="S3702" s="75">
        <f>0.5*(Q3701+Q3702)*R3702</f>
        <v>0.04106461893733069</v>
      </c>
      <c r="T3702" s="75">
        <f>0.5*(F3701*Q3701+F3702*Q3702)*R3702</f>
        <v>0.7937604968794648</v>
      </c>
      <c r="U3702" s="76">
        <f>U3701+S3702</f>
        <v>44.06484034162765</v>
      </c>
      <c r="V3702" s="76">
        <f>V3701+T3702</f>
        <v>562.20730535014</v>
      </c>
    </row>
    <row r="3703" spans="1:22" ht="19" customHeight="1">
      <c r="A3703" s="68" t="s">
        <v>378</v>
      </c>
      <c r="B3703" s="74">
        <v>5</v>
      </c>
      <c r="C3703" s="68" t="s">
        <v>363</v>
      </c>
      <c r="D3703" s="68" t="s">
        <v>364</v>
      </c>
      <c r="E3703" s="75">
        <f>60*F3703*'THAM_SO_MOI'!$C$53/(2*PI()*'THAM_SO_MOI'!$C$26)</f>
        <v>1905.5609580048542</v>
      </c>
      <c r="F3703" s="75">
        <f>'HANH_TRINH'!$F$3289+('THAM_SO_MOI'!$C$14-'HANH_TRINH'!$F$3289)*413/'THAM_SO_MOI'!$C$42</f>
        <v>19.34062938145953</v>
      </c>
      <c r="G3703" s="75">
        <f>3.6*F3703</f>
        <v>69.6262657732543</v>
      </c>
      <c r="H3703" s="75">
        <f>'THAM_SO_MOI'!$D$53</f>
        <v>1.1</v>
      </c>
      <c r="I3703" s="75">
        <f>IF(F3703&gt;'THAM_SO_MOI'!$C$14,'THAM_SO_MOI'!$C$13*(1+F3703^2/1500),'THAM_SO_MOI'!$C$13)</f>
        <v>0.015</v>
      </c>
      <c r="J3703" s="75">
        <f>'THAM_SO_MOI'!$C$40*('THAM_SO_MOI'!$C$23*(E3703/'THAM_SO_MOI'!$C$22)+'THAM_SO_MOI'!$C$24*(E3703/'THAM_SO_MOI'!$C$22)^2-'THAM_SO_MOI'!$C$25*(E3703/'THAM_SO_MOI'!$C$22)^3)</f>
        <v>85.15628792905464</v>
      </c>
      <c r="K3703" s="75">
        <f>'THAM_SO_MOI'!$C$31*J3703/E3703</f>
        <v>426.82239051729556</v>
      </c>
      <c r="L3703" s="75">
        <f>K3703*'THAM_SO_MOI'!$C$53*'THAM_SO_MOI'!$C$17/'THAM_SO_MOI'!$C$26</f>
        <v>3743.2340349792753</v>
      </c>
      <c r="M3703" s="75">
        <f>'THAM_SO_MOI'!$C$15*'THAM_SO_MOI'!$C$16*F3703^2</f>
        <v>1094.1253387476038</v>
      </c>
      <c r="N3703" s="75">
        <f>'THAM_SO_MOI'!$C$12*I3703</f>
        <v>1130.112</v>
      </c>
      <c r="O3703" s="75">
        <f>M3703+N3703</f>
        <v>2224.2373387476036</v>
      </c>
      <c r="P3703" s="75">
        <f>(MIN(L3703,'THAM_SO_MOI'!$C$41)-O3703)/('THAM_SO_MOI'!$C$11*H3703)</f>
        <v>0.17980548014105957</v>
      </c>
      <c r="Q3703" s="75">
        <f>IF(P3703&gt;0,1/P3703,NA())</f>
        <v>5.561565749917566</v>
      </c>
      <c r="R3703" s="75">
        <f>F3703-F3702</f>
        <v>0.0073885545698715305</v>
      </c>
      <c r="S3703" s="75">
        <f>0.5*(Q3702+Q3703)*R3703</f>
        <v>0.04108282151197347</v>
      </c>
      <c r="T3703" s="75">
        <f>0.5*(F3702*Q3702+F3703*Q3703)*R3703</f>
        <v>0.7944158871302254</v>
      </c>
      <c r="U3703" s="76">
        <f>U3702+S3703</f>
        <v>44.10592316313962</v>
      </c>
      <c r="V3703" s="76">
        <f>V3702+T3703</f>
        <v>563.0017212372702</v>
      </c>
    </row>
    <row r="3704" spans="1:22" ht="19" customHeight="1">
      <c r="A3704" s="68" t="s">
        <v>378</v>
      </c>
      <c r="B3704" s="74">
        <v>5</v>
      </c>
      <c r="C3704" s="68" t="s">
        <v>363</v>
      </c>
      <c r="D3704" s="68" t="s">
        <v>364</v>
      </c>
      <c r="E3704" s="75">
        <f>60*F3704*'THAM_SO_MOI'!$C$53/(2*PI()*'THAM_SO_MOI'!$C$26)</f>
        <v>1906.288925065633</v>
      </c>
      <c r="F3704" s="75">
        <f>'HANH_TRINH'!$F$3289+('THAM_SO_MOI'!$C$14-'HANH_TRINH'!$F$3289)*414/'THAM_SO_MOI'!$C$42</f>
        <v>19.3480179360294</v>
      </c>
      <c r="G3704" s="75">
        <f>3.6*F3704</f>
        <v>69.65286456970584</v>
      </c>
      <c r="H3704" s="75">
        <f>'THAM_SO_MOI'!$D$53</f>
        <v>1.1</v>
      </c>
      <c r="I3704" s="75">
        <f>IF(F3704&gt;'THAM_SO_MOI'!$C$14,'THAM_SO_MOI'!$C$13*(1+F3704^2/1500),'THAM_SO_MOI'!$C$13)</f>
        <v>0.015</v>
      </c>
      <c r="J3704" s="75">
        <f>'THAM_SO_MOI'!$C$40*('THAM_SO_MOI'!$C$23*(E3704/'THAM_SO_MOI'!$C$22)+'THAM_SO_MOI'!$C$24*(E3704/'THAM_SO_MOI'!$C$22)^2-'THAM_SO_MOI'!$C$25*(E3704/'THAM_SO_MOI'!$C$22)^3)</f>
        <v>85.1924948715904</v>
      </c>
      <c r="K3704" s="75">
        <f>'THAM_SO_MOI'!$C$31*J3704/E3704</f>
        <v>426.84080505483155</v>
      </c>
      <c r="L3704" s="75">
        <f>K3704*'THAM_SO_MOI'!$C$53*'THAM_SO_MOI'!$C$17/'THAM_SO_MOI'!$C$26</f>
        <v>3743.395530545522</v>
      </c>
      <c r="M3704" s="75">
        <f>'THAM_SO_MOI'!$C$15*'THAM_SO_MOI'!$C$16*F3704^2</f>
        <v>1094.9614593047777</v>
      </c>
      <c r="N3704" s="75">
        <f>'THAM_SO_MOI'!$C$12*I3704</f>
        <v>1130.112</v>
      </c>
      <c r="O3704" s="75">
        <f>M3704+N3704</f>
        <v>2225.0734593047778</v>
      </c>
      <c r="P3704" s="75">
        <f>(MIN(L3704,'THAM_SO_MOI'!$C$41)-O3704)/('THAM_SO_MOI'!$C$11*H3704)</f>
        <v>0.17972562396315628</v>
      </c>
      <c r="Q3704" s="75">
        <f>IF(P3704&gt;0,1/P3704,NA())</f>
        <v>5.564036879933157</v>
      </c>
      <c r="R3704" s="75">
        <f>F3704-F3703</f>
        <v>0.0073885545698715305</v>
      </c>
      <c r="S3704" s="75">
        <f>0.5*(Q3703+Q3704)*R3704</f>
        <v>0.041101061076679136</v>
      </c>
      <c r="T3704" s="75">
        <f>0.5*(F3703*Q3703+F3704*Q3704)*R3704</f>
        <v>0.7950722619103088</v>
      </c>
      <c r="U3704" s="76">
        <f>U3703+S3704</f>
        <v>44.1470242242163</v>
      </c>
      <c r="V3704" s="76">
        <f>V3703+T3704</f>
        <v>563.7967934991805</v>
      </c>
    </row>
    <row r="3705" spans="1:22" ht="19" customHeight="1">
      <c r="A3705" s="68" t="s">
        <v>378</v>
      </c>
      <c r="B3705" s="74">
        <v>5</v>
      </c>
      <c r="C3705" s="68" t="s">
        <v>363</v>
      </c>
      <c r="D3705" s="68" t="s">
        <v>364</v>
      </c>
      <c r="E3705" s="75">
        <f>60*F3705*'THAM_SO_MOI'!$C$53/(2*PI()*'THAM_SO_MOI'!$C$26)</f>
        <v>1907.0168921264121</v>
      </c>
      <c r="F3705" s="75">
        <f>'HANH_TRINH'!$F$3289+('THAM_SO_MOI'!$C$14-'HANH_TRINH'!$F$3289)*415/'THAM_SO_MOI'!$C$42</f>
        <v>19.35540649059927</v>
      </c>
      <c r="G3705" s="75">
        <f>3.6*F3705</f>
        <v>69.67946336615738</v>
      </c>
      <c r="H3705" s="75">
        <f>'THAM_SO_MOI'!$D$53</f>
        <v>1.1</v>
      </c>
      <c r="I3705" s="75">
        <f>IF(F3705&gt;'THAM_SO_MOI'!$C$14,'THAM_SO_MOI'!$C$13*(1+F3705^2/1500),'THAM_SO_MOI'!$C$13)</f>
        <v>0.015</v>
      </c>
      <c r="J3705" s="75">
        <f>'THAM_SO_MOI'!$C$40*('THAM_SO_MOI'!$C$23*(E3705/'THAM_SO_MOI'!$C$22)+'THAM_SO_MOI'!$C$24*(E3705/'THAM_SO_MOI'!$C$22)^2-'THAM_SO_MOI'!$C$25*(E3705/'THAM_SO_MOI'!$C$22)^3)</f>
        <v>85.22869435606906</v>
      </c>
      <c r="K3705" s="75">
        <f>'THAM_SO_MOI'!$C$31*J3705/E3705</f>
        <v>426.8591681806621</v>
      </c>
      <c r="L3705" s="75">
        <f>K3705*'THAM_SO_MOI'!$C$53*'THAM_SO_MOI'!$C$17/'THAM_SO_MOI'!$C$26</f>
        <v>3743.5565752309103</v>
      </c>
      <c r="M3705" s="75">
        <f>'THAM_SO_MOI'!$C$15*'THAM_SO_MOI'!$C$16*F3705^2</f>
        <v>1095.7978992177725</v>
      </c>
      <c r="N3705" s="75">
        <f>'THAM_SO_MOI'!$C$12*I3705</f>
        <v>1130.112</v>
      </c>
      <c r="O3705" s="75">
        <f>M3705+N3705</f>
        <v>2225.9098992177724</v>
      </c>
      <c r="P3705" s="75">
        <f>(MIN(L3705,'THAM_SO_MOI'!$C$41)-O3705)/('THAM_SO_MOI'!$C$11*H3705)</f>
        <v>0.17964567661140363</v>
      </c>
      <c r="Q3705" s="75">
        <f>IF(P3705&gt;0,1/P3705,NA())</f>
        <v>5.5665130320009135</v>
      </c>
      <c r="R3705" s="75">
        <f>F3705-F3704</f>
        <v>0.0073885545698715305</v>
      </c>
      <c r="S3705" s="75">
        <f>0.5*(Q3704+Q3705)*R3705</f>
        <v>0.041119337708501826</v>
      </c>
      <c r="T3705" s="75">
        <f>0.5*(F3704*Q3704+F3705*Q3705)*R3705</f>
        <v>0.795729623530754</v>
      </c>
      <c r="U3705" s="76">
        <f>U3704+S3705</f>
        <v>44.188143561924804</v>
      </c>
      <c r="V3705" s="76">
        <f>V3704+T3705</f>
        <v>564.5925231227112</v>
      </c>
    </row>
    <row r="3706" spans="1:22" ht="19" customHeight="1">
      <c r="A3706" s="68" t="s">
        <v>378</v>
      </c>
      <c r="B3706" s="74">
        <v>5</v>
      </c>
      <c r="C3706" s="68" t="s">
        <v>363</v>
      </c>
      <c r="D3706" s="68" t="s">
        <v>364</v>
      </c>
      <c r="E3706" s="75">
        <f>60*F3706*'THAM_SO_MOI'!$C$53/(2*PI()*'THAM_SO_MOI'!$C$26)</f>
        <v>1907.744859187191</v>
      </c>
      <c r="F3706" s="75">
        <f>'HANH_TRINH'!$F$3289+('THAM_SO_MOI'!$C$14-'HANH_TRINH'!$F$3289)*416/'THAM_SO_MOI'!$C$42</f>
        <v>19.362795045169143</v>
      </c>
      <c r="G3706" s="75">
        <f>3.6*F3706</f>
        <v>69.70606216260892</v>
      </c>
      <c r="H3706" s="75">
        <f>'THAM_SO_MOI'!$D$53</f>
        <v>1.1</v>
      </c>
      <c r="I3706" s="75">
        <f>IF(F3706&gt;'THAM_SO_MOI'!$C$14,'THAM_SO_MOI'!$C$13*(1+F3706^2/1500),'THAM_SO_MOI'!$C$13)</f>
        <v>0.015</v>
      </c>
      <c r="J3706" s="75">
        <f>'THAM_SO_MOI'!$C$40*('THAM_SO_MOI'!$C$23*(E3706/'THAM_SO_MOI'!$C$22)+'THAM_SO_MOI'!$C$24*(E3706/'THAM_SO_MOI'!$C$22)^2-'THAM_SO_MOI'!$C$25*(E3706/'THAM_SO_MOI'!$C$22)^3)</f>
        <v>85.26488637073507</v>
      </c>
      <c r="K3706" s="75">
        <f>'THAM_SO_MOI'!$C$31*J3706/E3706</f>
        <v>426.8774798947872</v>
      </c>
      <c r="L3706" s="75">
        <f>K3706*'THAM_SO_MOI'!$C$53*'THAM_SO_MOI'!$C$17/'THAM_SO_MOI'!$C$26</f>
        <v>3743.7171690354403</v>
      </c>
      <c r="M3706" s="75">
        <f>'THAM_SO_MOI'!$C$15*'THAM_SO_MOI'!$C$16*F3706^2</f>
        <v>1096.6346584865883</v>
      </c>
      <c r="N3706" s="75">
        <f>'THAM_SO_MOI'!$C$12*I3706</f>
        <v>1130.112</v>
      </c>
      <c r="O3706" s="75">
        <f>M3706+N3706</f>
        <v>2226.7466584865883</v>
      </c>
      <c r="P3706" s="75">
        <f>(MIN(L3706,'THAM_SO_MOI'!$C$41)-O3706)/('THAM_SO_MOI'!$C$11*H3706)</f>
        <v>0.17956563808580162</v>
      </c>
      <c r="Q3706" s="75">
        <f>IF(P3706&gt;0,1/P3706,NA())</f>
        <v>5.568994216600458</v>
      </c>
      <c r="R3706" s="75">
        <f>F3706-F3705</f>
        <v>0.0073885545698715305</v>
      </c>
      <c r="S3706" s="75">
        <f>0.5*(Q3705+Q3706)*R3706</f>
        <v>0.04113765148474561</v>
      </c>
      <c r="T3706" s="75">
        <f>0.5*(F3705*Q3705+F3706*Q3706)*R3706</f>
        <v>0.7963879743097166</v>
      </c>
      <c r="U3706" s="76">
        <f>U3705+S3706</f>
        <v>44.22928121340955</v>
      </c>
      <c r="V3706" s="76">
        <f>V3705+T3706</f>
        <v>565.3889110970209</v>
      </c>
    </row>
    <row r="3707" spans="1:22" ht="19" customHeight="1">
      <c r="A3707" s="68" t="s">
        <v>378</v>
      </c>
      <c r="B3707" s="74">
        <v>5</v>
      </c>
      <c r="C3707" s="68" t="s">
        <v>363</v>
      </c>
      <c r="D3707" s="68" t="s">
        <v>364</v>
      </c>
      <c r="E3707" s="75">
        <f>60*F3707*'THAM_SO_MOI'!$C$53/(2*PI()*'THAM_SO_MOI'!$C$26)</f>
        <v>1908.4728262479698</v>
      </c>
      <c r="F3707" s="75">
        <f>'HANH_TRINH'!$F$3289+('THAM_SO_MOI'!$C$14-'HANH_TRINH'!$F$3289)*417/'THAM_SO_MOI'!$C$42</f>
        <v>19.370183599739015</v>
      </c>
      <c r="G3707" s="75">
        <f>3.6*F3707</f>
        <v>69.73266095906045</v>
      </c>
      <c r="H3707" s="75">
        <f>'THAM_SO_MOI'!$D$53</f>
        <v>1.1</v>
      </c>
      <c r="I3707" s="75">
        <f>IF(F3707&gt;'THAM_SO_MOI'!$C$14,'THAM_SO_MOI'!$C$13*(1+F3707^2/1500),'THAM_SO_MOI'!$C$13)</f>
        <v>0.015</v>
      </c>
      <c r="J3707" s="75">
        <f>'THAM_SO_MOI'!$C$40*('THAM_SO_MOI'!$C$23*(E3707/'THAM_SO_MOI'!$C$22)+'THAM_SO_MOI'!$C$24*(E3707/'THAM_SO_MOI'!$C$22)^2-'THAM_SO_MOI'!$C$25*(E3707/'THAM_SO_MOI'!$C$22)^3)</f>
        <v>85.30107090383295</v>
      </c>
      <c r="K3707" s="75">
        <f>'THAM_SO_MOI'!$C$31*J3707/E3707</f>
        <v>426.895740197207</v>
      </c>
      <c r="L3707" s="75">
        <f>K3707*'THAM_SO_MOI'!$C$53*'THAM_SO_MOI'!$C$17/'THAM_SO_MOI'!$C$26</f>
        <v>3743.8773119591137</v>
      </c>
      <c r="M3707" s="75">
        <f>'THAM_SO_MOI'!$C$15*'THAM_SO_MOI'!$C$16*F3707^2</f>
        <v>1097.4717371112251</v>
      </c>
      <c r="N3707" s="75">
        <f>'THAM_SO_MOI'!$C$12*I3707</f>
        <v>1130.112</v>
      </c>
      <c r="O3707" s="75">
        <f>M3707+N3707</f>
        <v>2227.583737111225</v>
      </c>
      <c r="P3707" s="75">
        <f>(MIN(L3707,'THAM_SO_MOI'!$C$41)-O3707)/('THAM_SO_MOI'!$C$11*H3707)</f>
        <v>0.17948550838635044</v>
      </c>
      <c r="Q3707" s="75">
        <f>IF(P3707&gt;0,1/P3707,NA())</f>
        <v>5.571480444245426</v>
      </c>
      <c r="R3707" s="75">
        <f>F3707-F3706</f>
        <v>0.0073885545698715305</v>
      </c>
      <c r="S3707" s="75">
        <f>0.5*(Q3706+Q3707)*R3707</f>
        <v>0.04115600248296542</v>
      </c>
      <c r="T3707" s="75">
        <f>0.5*(F3706*Q3706+F3707*Q3707)*R3707</f>
        <v>0.7970473165724943</v>
      </c>
      <c r="U3707" s="76">
        <f>U3706+S3707</f>
        <v>44.270437215892514</v>
      </c>
      <c r="V3707" s="76">
        <f>V3706+T3707</f>
        <v>566.1859584135934</v>
      </c>
    </row>
    <row r="3708" spans="1:22" ht="19" customHeight="1">
      <c r="A3708" s="68" t="s">
        <v>378</v>
      </c>
      <c r="B3708" s="74">
        <v>5</v>
      </c>
      <c r="C3708" s="68" t="s">
        <v>363</v>
      </c>
      <c r="D3708" s="68" t="s">
        <v>364</v>
      </c>
      <c r="E3708" s="75">
        <f>60*F3708*'THAM_SO_MOI'!$C$53/(2*PI()*'THAM_SO_MOI'!$C$26)</f>
        <v>1909.2007933087486</v>
      </c>
      <c r="F3708" s="75">
        <f>'HANH_TRINH'!$F$3289+('THAM_SO_MOI'!$C$14-'HANH_TRINH'!$F$3289)*418/'THAM_SO_MOI'!$C$42</f>
        <v>19.377572154308886</v>
      </c>
      <c r="G3708" s="75">
        <f>3.6*F3708</f>
        <v>69.75925975551199</v>
      </c>
      <c r="H3708" s="75">
        <f>'THAM_SO_MOI'!$D$53</f>
        <v>1.1</v>
      </c>
      <c r="I3708" s="75">
        <f>IF(F3708&gt;'THAM_SO_MOI'!$C$14,'THAM_SO_MOI'!$C$13*(1+F3708^2/1500),'THAM_SO_MOI'!$C$13)</f>
        <v>0.015</v>
      </c>
      <c r="J3708" s="75">
        <f>'THAM_SO_MOI'!$C$40*('THAM_SO_MOI'!$C$23*(E3708/'THAM_SO_MOI'!$C$22)+'THAM_SO_MOI'!$C$24*(E3708/'THAM_SO_MOI'!$C$22)^2-'THAM_SO_MOI'!$C$25*(E3708/'THAM_SO_MOI'!$C$22)^3)</f>
        <v>85.33724794360714</v>
      </c>
      <c r="K3708" s="75">
        <f>'THAM_SO_MOI'!$C$31*J3708/E3708</f>
        <v>426.91394908792114</v>
      </c>
      <c r="L3708" s="75">
        <f>K3708*'THAM_SO_MOI'!$C$53*'THAM_SO_MOI'!$C$17/'THAM_SO_MOI'!$C$26</f>
        <v>3744.0370040019275</v>
      </c>
      <c r="M3708" s="75">
        <f>'THAM_SO_MOI'!$C$15*'THAM_SO_MOI'!$C$16*F3708^2</f>
        <v>1098.309135091683</v>
      </c>
      <c r="N3708" s="75">
        <f>'THAM_SO_MOI'!$C$12*I3708</f>
        <v>1130.112</v>
      </c>
      <c r="O3708" s="75">
        <f>M3708+N3708</f>
        <v>2228.421135091683</v>
      </c>
      <c r="P3708" s="75">
        <f>(MIN(L3708,'THAM_SO_MOI'!$C$41)-O3708)/('THAM_SO_MOI'!$C$11*H3708)</f>
        <v>0.17940528751304977</v>
      </c>
      <c r="Q3708" s="75">
        <f>IF(P3708&gt;0,1/P3708,NA())</f>
        <v>5.573971725483626</v>
      </c>
      <c r="R3708" s="75">
        <f>F3708-F3707</f>
        <v>0.0073885545698715305</v>
      </c>
      <c r="S3708" s="75">
        <f>0.5*(Q3707+Q3708)*R3708</f>
        <v>0.04117439078096808</v>
      </c>
      <c r="T3708" s="75">
        <f>0.5*(F3707*Q3707+F3708*Q3708)*R3708</f>
        <v>0.7977076526515571</v>
      </c>
      <c r="U3708" s="76">
        <f>U3707+S3708</f>
        <v>44.31161160667348</v>
      </c>
      <c r="V3708" s="76">
        <f>V3707+T3708</f>
        <v>566.983666066245</v>
      </c>
    </row>
    <row r="3709" spans="1:22" ht="19" customHeight="1">
      <c r="A3709" s="68" t="s">
        <v>378</v>
      </c>
      <c r="B3709" s="74">
        <v>5</v>
      </c>
      <c r="C3709" s="68" t="s">
        <v>363</v>
      </c>
      <c r="D3709" s="68" t="s">
        <v>364</v>
      </c>
      <c r="E3709" s="75">
        <f>60*F3709*'THAM_SO_MOI'!$C$53/(2*PI()*'THAM_SO_MOI'!$C$26)</f>
        <v>1909.9287603695282</v>
      </c>
      <c r="F3709" s="75">
        <f>'HANH_TRINH'!$F$3289+('THAM_SO_MOI'!$C$14-'HANH_TRINH'!$F$3289)*419/'THAM_SO_MOI'!$C$42</f>
        <v>19.38496070887876</v>
      </c>
      <c r="G3709" s="75">
        <f>3.6*F3709</f>
        <v>69.78585855196354</v>
      </c>
      <c r="H3709" s="75">
        <f>'THAM_SO_MOI'!$D$53</f>
        <v>1.1</v>
      </c>
      <c r="I3709" s="75">
        <f>IF(F3709&gt;'THAM_SO_MOI'!$C$14,'THAM_SO_MOI'!$C$13*(1+F3709^2/1500),'THAM_SO_MOI'!$C$13)</f>
        <v>0.015</v>
      </c>
      <c r="J3709" s="75">
        <f>'THAM_SO_MOI'!$C$40*('THAM_SO_MOI'!$C$23*(E3709/'THAM_SO_MOI'!$C$22)+'THAM_SO_MOI'!$C$24*(E3709/'THAM_SO_MOI'!$C$22)^2-'THAM_SO_MOI'!$C$25*(E3709/'THAM_SO_MOI'!$C$22)^3)</f>
        <v>85.37341747830222</v>
      </c>
      <c r="K3709" s="75">
        <f>'THAM_SO_MOI'!$C$31*J3709/E3709</f>
        <v>426.93210656693</v>
      </c>
      <c r="L3709" s="75">
        <f>K3709*'THAM_SO_MOI'!$C$53*'THAM_SO_MOI'!$C$17/'THAM_SO_MOI'!$C$26</f>
        <v>3744.1962451638847</v>
      </c>
      <c r="M3709" s="75">
        <f>'THAM_SO_MOI'!$C$15*'THAM_SO_MOI'!$C$16*F3709^2</f>
        <v>1099.1468524279624</v>
      </c>
      <c r="N3709" s="75">
        <f>'THAM_SO_MOI'!$C$12*I3709</f>
        <v>1130.112</v>
      </c>
      <c r="O3709" s="75">
        <f>M3709+N3709</f>
        <v>2229.2588524279627</v>
      </c>
      <c r="P3709" s="75">
        <f>(MIN(L3709,'THAM_SO_MOI'!$C$41)-O3709)/('THAM_SO_MOI'!$C$11*H3709)</f>
        <v>0.17932497546589987</v>
      </c>
      <c r="Q3709" s="75">
        <f>IF(P3709&gt;0,1/P3709,NA())</f>
        <v>5.5764680708971195</v>
      </c>
      <c r="R3709" s="75">
        <f>F3709-F3708</f>
        <v>0.007388554569875083</v>
      </c>
      <c r="S3709" s="75">
        <f>0.5*(Q3708+Q3709)*R3709</f>
        <v>0.041192816456832974</v>
      </c>
      <c r="T3709" s="75">
        <f>0.5*(F3708*Q3708+F3709*Q3709)*R3709</f>
        <v>0.7983689848869575</v>
      </c>
      <c r="U3709" s="76">
        <f>U3708+S3709</f>
        <v>44.352804423130316</v>
      </c>
      <c r="V3709" s="76">
        <f>V3708+T3709</f>
        <v>567.7820350511319</v>
      </c>
    </row>
    <row r="3710" spans="1:22" ht="19" customHeight="1">
      <c r="A3710" s="68" t="s">
        <v>378</v>
      </c>
      <c r="B3710" s="74">
        <v>5</v>
      </c>
      <c r="C3710" s="68" t="s">
        <v>363</v>
      </c>
      <c r="D3710" s="68" t="s">
        <v>364</v>
      </c>
      <c r="E3710" s="75">
        <f>60*F3710*'THAM_SO_MOI'!$C$53/(2*PI()*'THAM_SO_MOI'!$C$26)</f>
        <v>1910.656727430307</v>
      </c>
      <c r="F3710" s="75">
        <f>'HANH_TRINH'!$F$3289+('THAM_SO_MOI'!$C$14-'HANH_TRINH'!$F$3289)*420/'THAM_SO_MOI'!$C$42</f>
        <v>19.392349263448633</v>
      </c>
      <c r="G3710" s="75">
        <f>3.6*F3710</f>
        <v>69.81245734841508</v>
      </c>
      <c r="H3710" s="75">
        <f>'THAM_SO_MOI'!$D$53</f>
        <v>1.1</v>
      </c>
      <c r="I3710" s="75">
        <f>IF(F3710&gt;'THAM_SO_MOI'!$C$14,'THAM_SO_MOI'!$C$13*(1+F3710^2/1500),'THAM_SO_MOI'!$C$13)</f>
        <v>0.015</v>
      </c>
      <c r="J3710" s="75">
        <f>'THAM_SO_MOI'!$C$40*('THAM_SO_MOI'!$C$23*(E3710/'THAM_SO_MOI'!$C$22)+'THAM_SO_MOI'!$C$24*(E3710/'THAM_SO_MOI'!$C$22)^2-'THAM_SO_MOI'!$C$25*(E3710/'THAM_SO_MOI'!$C$22)^3)</f>
        <v>85.40957949616258</v>
      </c>
      <c r="K3710" s="75">
        <f>'THAM_SO_MOI'!$C$31*J3710/E3710</f>
        <v>426.9502126342334</v>
      </c>
      <c r="L3710" s="75">
        <f>K3710*'THAM_SO_MOI'!$C$53*'THAM_SO_MOI'!$C$17/'THAM_SO_MOI'!$C$26</f>
        <v>3744.3550354449844</v>
      </c>
      <c r="M3710" s="75">
        <f>'THAM_SO_MOI'!$C$15*'THAM_SO_MOI'!$C$16*F3710^2</f>
        <v>1099.984889120062</v>
      </c>
      <c r="N3710" s="75">
        <f>'THAM_SO_MOI'!$C$12*I3710</f>
        <v>1130.112</v>
      </c>
      <c r="O3710" s="75">
        <f>M3710+N3710</f>
        <v>2230.096889120062</v>
      </c>
      <c r="P3710" s="75">
        <f>(MIN(L3710,'THAM_SO_MOI'!$C$41)-O3710)/('THAM_SO_MOI'!$C$11*H3710)</f>
        <v>0.17924457224490087</v>
      </c>
      <c r="Q3710" s="75">
        <f>IF(P3710&gt;0,1/P3710,NA())</f>
        <v>5.578969491102389</v>
      </c>
      <c r="R3710" s="75">
        <f>F3710-F3709</f>
        <v>0.0073885545698715305</v>
      </c>
      <c r="S3710" s="75">
        <f>0.5*(Q3709+Q3710)*R3710</f>
        <v>0.041211279588814</v>
      </c>
      <c r="T3710" s="75">
        <f>0.5*(F3709*Q3709+F3710*Q3710)*R3710</f>
        <v>0.7990313156244387</v>
      </c>
      <c r="U3710" s="76">
        <f>U3709+S3710</f>
        <v>44.39401570271913</v>
      </c>
      <c r="V3710" s="76">
        <f>V3709+T3710</f>
        <v>568.5810663667563</v>
      </c>
    </row>
    <row r="3711" spans="1:22" ht="19" customHeight="1">
      <c r="A3711" s="68" t="s">
        <v>378</v>
      </c>
      <c r="B3711" s="74">
        <v>5</v>
      </c>
      <c r="C3711" s="68" t="s">
        <v>363</v>
      </c>
      <c r="D3711" s="68" t="s">
        <v>364</v>
      </c>
      <c r="E3711" s="75">
        <f>60*F3711*'THAM_SO_MOI'!$C$53/(2*PI()*'THAM_SO_MOI'!$C$26)</f>
        <v>1911.3846944910858</v>
      </c>
      <c r="F3711" s="75">
        <f>'HANH_TRINH'!$F$3289+('THAM_SO_MOI'!$C$14-'HANH_TRINH'!$F$3289)*421/'THAM_SO_MOI'!$C$42</f>
        <v>19.399737818018504</v>
      </c>
      <c r="G3711" s="75">
        <f>3.6*F3711</f>
        <v>69.83905614486662</v>
      </c>
      <c r="H3711" s="75">
        <f>'THAM_SO_MOI'!$D$53</f>
        <v>1.1</v>
      </c>
      <c r="I3711" s="75">
        <f>IF(F3711&gt;'THAM_SO_MOI'!$C$14,'THAM_SO_MOI'!$C$13*(1+F3711^2/1500),'THAM_SO_MOI'!$C$13)</f>
        <v>0.015</v>
      </c>
      <c r="J3711" s="75">
        <f>'THAM_SO_MOI'!$C$40*('THAM_SO_MOI'!$C$23*(E3711/'THAM_SO_MOI'!$C$22)+'THAM_SO_MOI'!$C$24*(E3711/'THAM_SO_MOI'!$C$22)^2-'THAM_SO_MOI'!$C$25*(E3711/'THAM_SO_MOI'!$C$22)^3)</f>
        <v>85.44573398543274</v>
      </c>
      <c r="K3711" s="75">
        <f>'THAM_SO_MOI'!$C$31*J3711/E3711</f>
        <v>426.9682672898315</v>
      </c>
      <c r="L3711" s="75">
        <f>K3711*'THAM_SO_MOI'!$C$53*'THAM_SO_MOI'!$C$17/'THAM_SO_MOI'!$C$26</f>
        <v>3744.5133748452267</v>
      </c>
      <c r="M3711" s="75">
        <f>'THAM_SO_MOI'!$C$15*'THAM_SO_MOI'!$C$16*F3711^2</f>
        <v>1100.823245167983</v>
      </c>
      <c r="N3711" s="75">
        <f>'THAM_SO_MOI'!$C$12*I3711</f>
        <v>1130.112</v>
      </c>
      <c r="O3711" s="75">
        <f>M3711+N3711</f>
        <v>2230.9352451679833</v>
      </c>
      <c r="P3711" s="75">
        <f>(MIN(L3711,'THAM_SO_MOI'!$C$41)-O3711)/('THAM_SO_MOI'!$C$11*H3711)</f>
        <v>0.17916407785005253</v>
      </c>
      <c r="Q3711" s="75">
        <f>IF(P3711&gt;0,1/P3711,NA())</f>
        <v>5.5814759967504655</v>
      </c>
      <c r="R3711" s="75">
        <f>F3711-F3710</f>
        <v>0.0073885545698715305</v>
      </c>
      <c r="S3711" s="75">
        <f>0.5*(Q3710+Q3711)*R3711</f>
        <v>0.04122978025553865</v>
      </c>
      <c r="T3711" s="75">
        <f>0.5*(F3710*Q3710+F3711*Q3711)*R3711</f>
        <v>0.7996946472193036</v>
      </c>
      <c r="U3711" s="76">
        <f>U3710+S3711</f>
        <v>44.43524548297467</v>
      </c>
      <c r="V3711" s="76">
        <f>V3710+T3711</f>
        <v>569.3807610139756</v>
      </c>
    </row>
    <row r="3712" spans="1:22" ht="19" customHeight="1">
      <c r="A3712" s="68" t="s">
        <v>378</v>
      </c>
      <c r="B3712" s="74">
        <v>5</v>
      </c>
      <c r="C3712" s="68" t="s">
        <v>363</v>
      </c>
      <c r="D3712" s="68" t="s">
        <v>364</v>
      </c>
      <c r="E3712" s="75">
        <f>60*F3712*'THAM_SO_MOI'!$C$53/(2*PI()*'THAM_SO_MOI'!$C$26)</f>
        <v>1912.1126615518647</v>
      </c>
      <c r="F3712" s="75">
        <f>'HANH_TRINH'!$F$3289+('THAM_SO_MOI'!$C$14-'HANH_TRINH'!$F$3289)*422/'THAM_SO_MOI'!$C$42</f>
        <v>19.407126372588376</v>
      </c>
      <c r="G3712" s="75">
        <f>3.6*F3712</f>
        <v>69.86565494131816</v>
      </c>
      <c r="H3712" s="75">
        <f>'THAM_SO_MOI'!$D$53</f>
        <v>1.1</v>
      </c>
      <c r="I3712" s="75">
        <f>IF(F3712&gt;'THAM_SO_MOI'!$C$14,'THAM_SO_MOI'!$C$13*(1+F3712^2/1500),'THAM_SO_MOI'!$C$13)</f>
        <v>0.015</v>
      </c>
      <c r="J3712" s="75">
        <f>'THAM_SO_MOI'!$C$40*('THAM_SO_MOI'!$C$23*(E3712/'THAM_SO_MOI'!$C$22)+'THAM_SO_MOI'!$C$24*(E3712/'THAM_SO_MOI'!$C$22)^2-'THAM_SO_MOI'!$C$25*(E3712/'THAM_SO_MOI'!$C$22)^3)</f>
        <v>85.48188093435715</v>
      </c>
      <c r="K3712" s="75">
        <f>'THAM_SO_MOI'!$C$31*J3712/E3712</f>
        <v>426.98627053372394</v>
      </c>
      <c r="L3712" s="75">
        <f>K3712*'THAM_SO_MOI'!$C$53*'THAM_SO_MOI'!$C$17/'THAM_SO_MOI'!$C$26</f>
        <v>3744.6712633646102</v>
      </c>
      <c r="M3712" s="75">
        <f>'THAM_SO_MOI'!$C$15*'THAM_SO_MOI'!$C$16*F3712^2</f>
        <v>1101.6619205717247</v>
      </c>
      <c r="N3712" s="75">
        <f>'THAM_SO_MOI'!$C$12*I3712</f>
        <v>1130.112</v>
      </c>
      <c r="O3712" s="75">
        <f>M3712+N3712</f>
        <v>2231.773920571725</v>
      </c>
      <c r="P3712" s="75">
        <f>(MIN(L3712,'THAM_SO_MOI'!$C$41)-O3712)/('THAM_SO_MOI'!$C$11*H3712)</f>
        <v>0.1790834922813548</v>
      </c>
      <c r="Q3712" s="75">
        <f>IF(P3712&gt;0,1/P3712,NA())</f>
        <v>5.583987598527051</v>
      </c>
      <c r="R3712" s="75">
        <f>F3712-F3711</f>
        <v>0.0073885545698715305</v>
      </c>
      <c r="S3712" s="75">
        <f>0.5*(Q3711+Q3712)*R3712</f>
        <v>0.04124831853581094</v>
      </c>
      <c r="T3712" s="75">
        <f>0.5*(F3711*Q3711+F3712*Q3712)*R3712</f>
        <v>0.800358982032603</v>
      </c>
      <c r="U3712" s="76">
        <f>U3711+S3712</f>
        <v>44.476493801510486</v>
      </c>
      <c r="V3712" s="76">
        <f>V3711+T3712</f>
        <v>570.1811199960082</v>
      </c>
    </row>
    <row r="3713" spans="1:22" ht="19" customHeight="1">
      <c r="A3713" s="68" t="s">
        <v>378</v>
      </c>
      <c r="B3713" s="74">
        <v>5</v>
      </c>
      <c r="C3713" s="68" t="s">
        <v>363</v>
      </c>
      <c r="D3713" s="68" t="s">
        <v>364</v>
      </c>
      <c r="E3713" s="75">
        <f>60*F3713*'THAM_SO_MOI'!$C$53/(2*PI()*'THAM_SO_MOI'!$C$26)</f>
        <v>1912.840628612644</v>
      </c>
      <c r="F3713" s="75">
        <f>'HANH_TRINH'!$F$3289+('THAM_SO_MOI'!$C$14-'HANH_TRINH'!$F$3289)*423/'THAM_SO_MOI'!$C$42</f>
        <v>19.414514927158248</v>
      </c>
      <c r="G3713" s="75">
        <f>3.6*F3713</f>
        <v>69.89225373776969</v>
      </c>
      <c r="H3713" s="75">
        <f>'THAM_SO_MOI'!$D$53</f>
        <v>1.1</v>
      </c>
      <c r="I3713" s="75">
        <f>IF(F3713&gt;'THAM_SO_MOI'!$C$14,'THAM_SO_MOI'!$C$13*(1+F3713^2/1500),'THAM_SO_MOI'!$C$13)</f>
        <v>0.015</v>
      </c>
      <c r="J3713" s="75">
        <f>'THAM_SO_MOI'!$C$40*('THAM_SO_MOI'!$C$23*(E3713/'THAM_SO_MOI'!$C$22)+'THAM_SO_MOI'!$C$24*(E3713/'THAM_SO_MOI'!$C$22)^2-'THAM_SO_MOI'!$C$25*(E3713/'THAM_SO_MOI'!$C$22)^3)</f>
        <v>85.51802033118035</v>
      </c>
      <c r="K3713" s="75">
        <f>'THAM_SO_MOI'!$C$31*J3713/E3713</f>
        <v>427.00422236591106</v>
      </c>
      <c r="L3713" s="75">
        <f>K3713*'THAM_SO_MOI'!$C$53*'THAM_SO_MOI'!$C$17/'THAM_SO_MOI'!$C$26</f>
        <v>3744.828701003136</v>
      </c>
      <c r="M3713" s="75">
        <f>'THAM_SO_MOI'!$C$15*'THAM_SO_MOI'!$C$16*F3713^2</f>
        <v>1102.5009153312876</v>
      </c>
      <c r="N3713" s="75">
        <f>'THAM_SO_MOI'!$C$12*I3713</f>
        <v>1130.112</v>
      </c>
      <c r="O3713" s="75">
        <f>M3713+N3713</f>
        <v>2232.6129153312877</v>
      </c>
      <c r="P3713" s="75">
        <f>(MIN(L3713,'THAM_SO_MOI'!$C$41)-O3713)/('THAM_SO_MOI'!$C$11*H3713)</f>
        <v>0.17900281553880779</v>
      </c>
      <c r="Q3713" s="75">
        <f>IF(P3713&gt;0,1/P3713,NA())</f>
        <v>5.586504307152644</v>
      </c>
      <c r="R3713" s="75">
        <f>F3713-F3712</f>
        <v>0.0073885545698715305</v>
      </c>
      <c r="S3713" s="75">
        <f>0.5*(Q3712+Q3713)*R3713</f>
        <v>0.04126689450871133</v>
      </c>
      <c r="T3713" s="75">
        <f>0.5*(F3712*Q3712+F3713*Q3713)*R3713</f>
        <v>0.8010243224330831</v>
      </c>
      <c r="U3713" s="76">
        <f>U3712+S3713</f>
        <v>44.517760696019195</v>
      </c>
      <c r="V3713" s="76">
        <f>V3712+T3713</f>
        <v>570.9821443184413</v>
      </c>
    </row>
    <row r="3714" spans="1:22" ht="19" customHeight="1">
      <c r="A3714" s="68" t="s">
        <v>378</v>
      </c>
      <c r="B3714" s="74">
        <v>5</v>
      </c>
      <c r="C3714" s="68" t="s">
        <v>363</v>
      </c>
      <c r="D3714" s="68" t="s">
        <v>364</v>
      </c>
      <c r="E3714" s="75">
        <f>60*F3714*'THAM_SO_MOI'!$C$53/(2*PI()*'THAM_SO_MOI'!$C$26)</f>
        <v>1913.5685956734228</v>
      </c>
      <c r="F3714" s="75">
        <f>'HANH_TRINH'!$F$3289+('THAM_SO_MOI'!$C$14-'HANH_TRINH'!$F$3289)*424/'THAM_SO_MOI'!$C$42</f>
        <v>19.42190348172812</v>
      </c>
      <c r="G3714" s="75">
        <f>3.6*F3714</f>
        <v>69.91885253422123</v>
      </c>
      <c r="H3714" s="75">
        <f>'THAM_SO_MOI'!$D$53</f>
        <v>1.1</v>
      </c>
      <c r="I3714" s="75">
        <f>IF(F3714&gt;'THAM_SO_MOI'!$C$14,'THAM_SO_MOI'!$C$13*(1+F3714^2/1500),'THAM_SO_MOI'!$C$13)</f>
        <v>0.015</v>
      </c>
      <c r="J3714" s="75">
        <f>'THAM_SO_MOI'!$C$40*('THAM_SO_MOI'!$C$23*(E3714/'THAM_SO_MOI'!$C$22)+'THAM_SO_MOI'!$C$24*(E3714/'THAM_SO_MOI'!$C$22)^2-'THAM_SO_MOI'!$C$25*(E3714/'THAM_SO_MOI'!$C$22)^3)</f>
        <v>85.5541521641468</v>
      </c>
      <c r="K3714" s="75">
        <f>'THAM_SO_MOI'!$C$31*J3714/E3714</f>
        <v>427.0221227863928</v>
      </c>
      <c r="L3714" s="75">
        <f>K3714*'THAM_SO_MOI'!$C$53*'THAM_SO_MOI'!$C$17/'THAM_SO_MOI'!$C$26</f>
        <v>3744.985687760804</v>
      </c>
      <c r="M3714" s="75">
        <f>'THAM_SO_MOI'!$C$15*'THAM_SO_MOI'!$C$16*F3714^2</f>
        <v>1103.3402294466714</v>
      </c>
      <c r="N3714" s="75">
        <f>'THAM_SO_MOI'!$C$12*I3714</f>
        <v>1130.112</v>
      </c>
      <c r="O3714" s="75">
        <f>M3714+N3714</f>
        <v>2233.4522294466715</v>
      </c>
      <c r="P3714" s="75">
        <f>(MIN(L3714,'THAM_SO_MOI'!$C$41)-O3714)/('THAM_SO_MOI'!$C$11*H3714)</f>
        <v>0.1789220476224115</v>
      </c>
      <c r="Q3714" s="75">
        <f>IF(P3714&gt;0,1/P3714,NA())</f>
        <v>5.589026133382689</v>
      </c>
      <c r="R3714" s="75">
        <f>F3714-F3713</f>
        <v>0.0073885545698715305</v>
      </c>
      <c r="S3714" s="75">
        <f>0.5*(Q3713+Q3714)*R3714</f>
        <v>0.041285508253577866</v>
      </c>
      <c r="T3714" s="75">
        <f>0.5*(F3713*Q3713+F3714*Q3714)*R3714</f>
        <v>0.8016906707968299</v>
      </c>
      <c r="U3714" s="76">
        <f>U3713+S3714</f>
        <v>44.559046204272775</v>
      </c>
      <c r="V3714" s="76">
        <f>V3713+T3714</f>
        <v>571.7838349892381</v>
      </c>
    </row>
    <row r="3715" spans="1:22" ht="19" customHeight="1">
      <c r="A3715" s="68" t="s">
        <v>378</v>
      </c>
      <c r="B3715" s="74">
        <v>5</v>
      </c>
      <c r="C3715" s="68" t="s">
        <v>363</v>
      </c>
      <c r="D3715" s="68" t="s">
        <v>364</v>
      </c>
      <c r="E3715" s="75">
        <f>60*F3715*'THAM_SO_MOI'!$C$53/(2*PI()*'THAM_SO_MOI'!$C$26)</f>
        <v>1914.2965627342016</v>
      </c>
      <c r="F3715" s="75">
        <f>'HANH_TRINH'!$F$3289+('THAM_SO_MOI'!$C$14-'HANH_TRINH'!$F$3289)*425/'THAM_SO_MOI'!$C$42</f>
        <v>19.42929203629799</v>
      </c>
      <c r="G3715" s="75">
        <f>3.6*F3715</f>
        <v>69.94545133067277</v>
      </c>
      <c r="H3715" s="75">
        <f>'THAM_SO_MOI'!$D$53</f>
        <v>1.1</v>
      </c>
      <c r="I3715" s="75">
        <f>IF(F3715&gt;'THAM_SO_MOI'!$C$14,'THAM_SO_MOI'!$C$13*(1+F3715^2/1500),'THAM_SO_MOI'!$C$13)</f>
        <v>0.015</v>
      </c>
      <c r="J3715" s="75">
        <f>'THAM_SO_MOI'!$C$40*('THAM_SO_MOI'!$C$23*(E3715/'THAM_SO_MOI'!$C$22)+'THAM_SO_MOI'!$C$24*(E3715/'THAM_SO_MOI'!$C$22)^2-'THAM_SO_MOI'!$C$25*(E3715/'THAM_SO_MOI'!$C$22)^3)</f>
        <v>85.59027642150096</v>
      </c>
      <c r="K3715" s="75">
        <f>'THAM_SO_MOI'!$C$31*J3715/E3715</f>
        <v>427.039971795169</v>
      </c>
      <c r="L3715" s="75">
        <f>K3715*'THAM_SO_MOI'!$C$53*'THAM_SO_MOI'!$C$17/'THAM_SO_MOI'!$C$26</f>
        <v>3745.1422236376147</v>
      </c>
      <c r="M3715" s="75">
        <f>'THAM_SO_MOI'!$C$15*'THAM_SO_MOI'!$C$16*F3715^2</f>
        <v>1104.1798629178763</v>
      </c>
      <c r="N3715" s="75">
        <f>'THAM_SO_MOI'!$C$12*I3715</f>
        <v>1130.112</v>
      </c>
      <c r="O3715" s="75">
        <f>M3715+N3715</f>
        <v>2234.2918629178766</v>
      </c>
      <c r="P3715" s="75">
        <f>(MIN(L3715,'THAM_SO_MOI'!$C$41)-O3715)/('THAM_SO_MOI'!$C$11*H3715)</f>
        <v>0.17884118853216596</v>
      </c>
      <c r="Q3715" s="75">
        <f>IF(P3715&gt;0,1/P3715,NA())</f>
        <v>5.591553088007701</v>
      </c>
      <c r="R3715" s="75">
        <f>F3715-F3714</f>
        <v>0.0073885545698715305</v>
      </c>
      <c r="S3715" s="75">
        <f>0.5*(Q3714+Q3715)*R3715</f>
        <v>0.04130415985000732</v>
      </c>
      <c r="T3715" s="75">
        <f>0.5*(F3714*Q3714+F3715*Q3715)*R3715</f>
        <v>0.8023580295072992</v>
      </c>
      <c r="U3715" s="76">
        <f>U3714+S3715</f>
        <v>44.60035036412278</v>
      </c>
      <c r="V3715" s="76">
        <f>V3714+T3715</f>
        <v>572.5861930187455</v>
      </c>
    </row>
    <row r="3716" spans="1:22" ht="19" customHeight="1">
      <c r="A3716" s="68" t="s">
        <v>378</v>
      </c>
      <c r="B3716" s="74">
        <v>5</v>
      </c>
      <c r="C3716" s="68" t="s">
        <v>363</v>
      </c>
      <c r="D3716" s="68" t="s">
        <v>364</v>
      </c>
      <c r="E3716" s="75">
        <f>60*F3716*'THAM_SO_MOI'!$C$53/(2*PI()*'THAM_SO_MOI'!$C$26)</f>
        <v>1915.0245297949807</v>
      </c>
      <c r="F3716" s="75">
        <f>'HANH_TRINH'!$F$3289+('THAM_SO_MOI'!$C$14-'HANH_TRINH'!$F$3289)*426/'THAM_SO_MOI'!$C$42</f>
        <v>19.436680590867866</v>
      </c>
      <c r="G3716" s="75">
        <f>3.6*F3716</f>
        <v>69.97205012712432</v>
      </c>
      <c r="H3716" s="75">
        <f>'THAM_SO_MOI'!$D$53</f>
        <v>1.1</v>
      </c>
      <c r="I3716" s="75">
        <f>IF(F3716&gt;'THAM_SO_MOI'!$C$14,'THAM_SO_MOI'!$C$13*(1+F3716^2/1500),'THAM_SO_MOI'!$C$13)</f>
        <v>0.015</v>
      </c>
      <c r="J3716" s="75">
        <f>'THAM_SO_MOI'!$C$40*('THAM_SO_MOI'!$C$23*(E3716/'THAM_SO_MOI'!$C$22)+'THAM_SO_MOI'!$C$24*(E3716/'THAM_SO_MOI'!$C$22)^2-'THAM_SO_MOI'!$C$25*(E3716/'THAM_SO_MOI'!$C$22)^3)</f>
        <v>85.62639309148736</v>
      </c>
      <c r="K3716" s="75">
        <f>'THAM_SO_MOI'!$C$31*J3716/E3716</f>
        <v>427.0577693922398</v>
      </c>
      <c r="L3716" s="75">
        <f>K3716*'THAM_SO_MOI'!$C$53*'THAM_SO_MOI'!$C$17/'THAM_SO_MOI'!$C$26</f>
        <v>3745.298308633567</v>
      </c>
      <c r="M3716" s="75">
        <f>'THAM_SO_MOI'!$C$15*'THAM_SO_MOI'!$C$16*F3716^2</f>
        <v>1105.0198157449024</v>
      </c>
      <c r="N3716" s="75">
        <f>'THAM_SO_MOI'!$C$12*I3716</f>
        <v>1130.112</v>
      </c>
      <c r="O3716" s="75">
        <f>M3716+N3716</f>
        <v>2235.1318157449023</v>
      </c>
      <c r="P3716" s="75">
        <f>(MIN(L3716,'THAM_SO_MOI'!$C$41)-O3716)/('THAM_SO_MOI'!$C$11*H3716)</f>
        <v>0.1787602382680711</v>
      </c>
      <c r="Q3716" s="75">
        <f>IF(P3716&gt;0,1/P3716,NA())</f>
        <v>5.594085181853401</v>
      </c>
      <c r="R3716" s="75">
        <f>F3716-F3715</f>
        <v>0.007388554569875083</v>
      </c>
      <c r="S3716" s="75">
        <f>0.5*(Q3715+Q3716)*R3716</f>
        <v>0.04132284937787593</v>
      </c>
      <c r="T3716" s="75">
        <f>0.5*(F3715*Q3715+F3716*Q3716)*R3716</f>
        <v>0.8030264009557301</v>
      </c>
      <c r="U3716" s="76">
        <f>U3715+S3716</f>
        <v>44.64167321350066</v>
      </c>
      <c r="V3716" s="76">
        <f>V3715+T3716</f>
        <v>573.3892194197012</v>
      </c>
    </row>
    <row r="3717" spans="1:22" ht="19" customHeight="1">
      <c r="A3717" s="68" t="s">
        <v>378</v>
      </c>
      <c r="B3717" s="74">
        <v>5</v>
      </c>
      <c r="C3717" s="68" t="s">
        <v>363</v>
      </c>
      <c r="D3717" s="68" t="s">
        <v>364</v>
      </c>
      <c r="E3717" s="75">
        <f>60*F3717*'THAM_SO_MOI'!$C$53/(2*PI()*'THAM_SO_MOI'!$C$26)</f>
        <v>1915.7524968557595</v>
      </c>
      <c r="F3717" s="75">
        <f>'HANH_TRINH'!$F$3289+('THAM_SO_MOI'!$C$14-'HANH_TRINH'!$F$3289)*427/'THAM_SO_MOI'!$C$42</f>
        <v>19.444069145437737</v>
      </c>
      <c r="G3717" s="75">
        <f>3.6*F3717</f>
        <v>69.99864892357586</v>
      </c>
      <c r="H3717" s="75">
        <f>'THAM_SO_MOI'!$D$53</f>
        <v>1.1</v>
      </c>
      <c r="I3717" s="75">
        <f>IF(F3717&gt;'THAM_SO_MOI'!$C$14,'THAM_SO_MOI'!$C$13*(1+F3717^2/1500),'THAM_SO_MOI'!$C$13)</f>
        <v>0.015</v>
      </c>
      <c r="J3717" s="75">
        <f>'THAM_SO_MOI'!$C$40*('THAM_SO_MOI'!$C$23*(E3717/'THAM_SO_MOI'!$C$22)+'THAM_SO_MOI'!$C$24*(E3717/'THAM_SO_MOI'!$C$22)^2-'THAM_SO_MOI'!$C$25*(E3717/'THAM_SO_MOI'!$C$22)^3)</f>
        <v>85.66250216235046</v>
      </c>
      <c r="K3717" s="75">
        <f>'THAM_SO_MOI'!$C$31*J3717/E3717</f>
        <v>427.0755155776053</v>
      </c>
      <c r="L3717" s="75">
        <f>K3717*'THAM_SO_MOI'!$C$53*'THAM_SO_MOI'!$C$17/'THAM_SO_MOI'!$C$26</f>
        <v>3745.453942748663</v>
      </c>
      <c r="M3717" s="75">
        <f>'THAM_SO_MOI'!$C$15*'THAM_SO_MOI'!$C$16*F3717^2</f>
        <v>1105.8600879277492</v>
      </c>
      <c r="N3717" s="75">
        <f>'THAM_SO_MOI'!$C$12*I3717</f>
        <v>1130.112</v>
      </c>
      <c r="O3717" s="75">
        <f>M3717+N3717</f>
        <v>2235.9720879277493</v>
      </c>
      <c r="P3717" s="75">
        <f>(MIN(L3717,'THAM_SO_MOI'!$C$41)-O3717)/('THAM_SO_MOI'!$C$11*H3717)</f>
        <v>0.1786791968301271</v>
      </c>
      <c r="Q3717" s="75">
        <f>IF(P3717&gt;0,1/P3717,NA())</f>
        <v>5.596622425780851</v>
      </c>
      <c r="R3717" s="75">
        <f>F3717-F3716</f>
        <v>0.0073885545698715305</v>
      </c>
      <c r="S3717" s="75">
        <f>0.5*(Q3716+Q3717)*R3717</f>
        <v>0.04134157691724108</v>
      </c>
      <c r="T3717" s="75">
        <f>0.5*(F3716*Q3716+F3717*Q3717)*R3717</f>
        <v>0.8036957875392443</v>
      </c>
      <c r="U3717" s="76">
        <f>U3716+S3717</f>
        <v>44.6830147904179</v>
      </c>
      <c r="V3717" s="76">
        <f>V3716+T3717</f>
        <v>574.1929152072405</v>
      </c>
    </row>
    <row r="3718" spans="1:22" ht="19" customHeight="1">
      <c r="A3718" s="68" t="s">
        <v>378</v>
      </c>
      <c r="B3718" s="74">
        <v>5</v>
      </c>
      <c r="C3718" s="68" t="s">
        <v>363</v>
      </c>
      <c r="D3718" s="68" t="s">
        <v>364</v>
      </c>
      <c r="E3718" s="75">
        <f>60*F3718*'THAM_SO_MOI'!$C$53/(2*PI()*'THAM_SO_MOI'!$C$26)</f>
        <v>1916.4804639165388</v>
      </c>
      <c r="F3718" s="75">
        <f>'HANH_TRINH'!$F$3289+('THAM_SO_MOI'!$C$14-'HANH_TRINH'!$F$3289)*428/'THAM_SO_MOI'!$C$42</f>
        <v>19.45145770000761</v>
      </c>
      <c r="G3718" s="75">
        <f>3.6*F3718</f>
        <v>70.0252477200274</v>
      </c>
      <c r="H3718" s="75">
        <f>'THAM_SO_MOI'!$D$53</f>
        <v>1.1</v>
      </c>
      <c r="I3718" s="75">
        <f>IF(F3718&gt;'THAM_SO_MOI'!$C$14,'THAM_SO_MOI'!$C$13*(1+F3718^2/1500),'THAM_SO_MOI'!$C$13)</f>
        <v>0.015</v>
      </c>
      <c r="J3718" s="75">
        <f>'THAM_SO_MOI'!$C$40*('THAM_SO_MOI'!$C$23*(E3718/'THAM_SO_MOI'!$C$22)+'THAM_SO_MOI'!$C$24*(E3718/'THAM_SO_MOI'!$C$22)^2-'THAM_SO_MOI'!$C$25*(E3718/'THAM_SO_MOI'!$C$22)^3)</f>
        <v>85.69860362233474</v>
      </c>
      <c r="K3718" s="75">
        <f>'THAM_SO_MOI'!$C$31*J3718/E3718</f>
        <v>427.09321035126516</v>
      </c>
      <c r="L3718" s="75">
        <f>K3718*'THAM_SO_MOI'!$C$53*'THAM_SO_MOI'!$C$17/'THAM_SO_MOI'!$C$26</f>
        <v>3745.609125982898</v>
      </c>
      <c r="M3718" s="75">
        <f>'THAM_SO_MOI'!$C$15*'THAM_SO_MOI'!$C$16*F3718^2</f>
        <v>1106.7006794664171</v>
      </c>
      <c r="N3718" s="75">
        <f>'THAM_SO_MOI'!$C$12*I3718</f>
        <v>1130.112</v>
      </c>
      <c r="O3718" s="75">
        <f>M3718+N3718</f>
        <v>2236.812679466417</v>
      </c>
      <c r="P3718" s="75">
        <f>(MIN(L3718,'THAM_SO_MOI'!$C$41)-O3718)/('THAM_SO_MOI'!$C$11*H3718)</f>
        <v>0.17859806421833344</v>
      </c>
      <c r="Q3718" s="75">
        <f>IF(P3718&gt;0,1/P3718,NA())</f>
        <v>5.599164830686603</v>
      </c>
      <c r="R3718" s="75">
        <f>F3718-F3717</f>
        <v>0.0073885545698715305</v>
      </c>
      <c r="S3718" s="75">
        <f>0.5*(Q3717+Q3718)*R3718</f>
        <v>0.041360342548541026</v>
      </c>
      <c r="T3718" s="75">
        <f>0.5*(F3717*Q3717+F3718*Q3718)*R3718</f>
        <v>0.8043661916647368</v>
      </c>
      <c r="U3718" s="76">
        <f>U3717+S3718</f>
        <v>44.72437513296644</v>
      </c>
      <c r="V3718" s="76">
        <f>V3717+T3718</f>
        <v>574.9972813989052</v>
      </c>
    </row>
    <row r="3719" spans="1:22" ht="19" customHeight="1">
      <c r="A3719" s="68" t="s">
        <v>378</v>
      </c>
      <c r="B3719" s="74">
        <v>5</v>
      </c>
      <c r="C3719" s="68" t="s">
        <v>363</v>
      </c>
      <c r="D3719" s="68" t="s">
        <v>364</v>
      </c>
      <c r="E3719" s="75">
        <f>60*F3719*'THAM_SO_MOI'!$C$53/(2*PI()*'THAM_SO_MOI'!$C$26)</f>
        <v>1917.2084309773181</v>
      </c>
      <c r="F3719" s="75">
        <f>'HANH_TRINH'!$F$3289+('THAM_SO_MOI'!$C$14-'HANH_TRINH'!$F$3289)*429/'THAM_SO_MOI'!$C$42</f>
        <v>19.45884625457748</v>
      </c>
      <c r="G3719" s="75">
        <f>3.6*F3719</f>
        <v>70.05184651647893</v>
      </c>
      <c r="H3719" s="75">
        <f>'THAM_SO_MOI'!$D$53</f>
        <v>1.1</v>
      </c>
      <c r="I3719" s="75">
        <f>IF(F3719&gt;'THAM_SO_MOI'!$C$14,'THAM_SO_MOI'!$C$13*(1+F3719^2/1500),'THAM_SO_MOI'!$C$13)</f>
        <v>0.015</v>
      </c>
      <c r="J3719" s="75">
        <f>'THAM_SO_MOI'!$C$40*('THAM_SO_MOI'!$C$23*(E3719/'THAM_SO_MOI'!$C$22)+'THAM_SO_MOI'!$C$24*(E3719/'THAM_SO_MOI'!$C$22)^2-'THAM_SO_MOI'!$C$25*(E3719/'THAM_SO_MOI'!$C$22)^3)</f>
        <v>85.73469745968472</v>
      </c>
      <c r="K3719" s="75">
        <f>'THAM_SO_MOI'!$C$31*J3719/E3719</f>
        <v>427.11085371321974</v>
      </c>
      <c r="L3719" s="75">
        <f>K3719*'THAM_SO_MOI'!$C$53*'THAM_SO_MOI'!$C$17/'THAM_SO_MOI'!$C$26</f>
        <v>3745.763858336278</v>
      </c>
      <c r="M3719" s="75">
        <f>'THAM_SO_MOI'!$C$15*'THAM_SO_MOI'!$C$16*F3719^2</f>
        <v>1107.541590360906</v>
      </c>
      <c r="N3719" s="75">
        <f>'THAM_SO_MOI'!$C$12*I3719</f>
        <v>1130.112</v>
      </c>
      <c r="O3719" s="75">
        <f>M3719+N3719</f>
        <v>2237.653590360906</v>
      </c>
      <c r="P3719" s="75">
        <f>(MIN(L3719,'THAM_SO_MOI'!$C$41)-O3719)/('THAM_SO_MOI'!$C$11*H3719)</f>
        <v>0.17851684043269084</v>
      </c>
      <c r="Q3719" s="75">
        <f>IF(P3719&gt;0,1/P3719,NA())</f>
        <v>5.60171240750279</v>
      </c>
      <c r="R3719" s="75">
        <f>F3719-F3718</f>
        <v>0.0073885545698715305</v>
      </c>
      <c r="S3719" s="75">
        <f>0.5*(Q3718+Q3719)*R3719</f>
        <v>0.04137914635239712</v>
      </c>
      <c r="T3719" s="75">
        <f>0.5*(F3718*Q3718+F3719*Q3719)*R3719</f>
        <v>0.8050376157450415</v>
      </c>
      <c r="U3719" s="76">
        <f>U3718+S3719</f>
        <v>44.76575427931884</v>
      </c>
      <c r="V3719" s="76">
        <f>V3718+T3719</f>
        <v>575.8023190146503</v>
      </c>
    </row>
    <row r="3720" spans="1:22" ht="19" customHeight="1">
      <c r="A3720" s="68" t="s">
        <v>378</v>
      </c>
      <c r="B3720" s="74">
        <v>5</v>
      </c>
      <c r="C3720" s="68" t="s">
        <v>363</v>
      </c>
      <c r="D3720" s="68" t="s">
        <v>364</v>
      </c>
      <c r="E3720" s="75">
        <f>60*F3720*'THAM_SO_MOI'!$C$53/(2*PI()*'THAM_SO_MOI'!$C$26)</f>
        <v>1917.9363980380965</v>
      </c>
      <c r="F3720" s="75">
        <f>'HANH_TRINH'!$F$3289+('THAM_SO_MOI'!$C$14-'HANH_TRINH'!$F$3289)*430/'THAM_SO_MOI'!$C$42</f>
        <v>19.466234809147352</v>
      </c>
      <c r="G3720" s="75">
        <f>3.6*F3720</f>
        <v>70.07844531293047</v>
      </c>
      <c r="H3720" s="75">
        <f>'THAM_SO_MOI'!$D$53</f>
        <v>1.1</v>
      </c>
      <c r="I3720" s="75">
        <f>IF(F3720&gt;'THAM_SO_MOI'!$C$14,'THAM_SO_MOI'!$C$13*(1+F3720^2/1500),'THAM_SO_MOI'!$C$13)</f>
        <v>0.015</v>
      </c>
      <c r="J3720" s="75">
        <f>'THAM_SO_MOI'!$C$40*('THAM_SO_MOI'!$C$23*(E3720/'THAM_SO_MOI'!$C$22)+'THAM_SO_MOI'!$C$24*(E3720/'THAM_SO_MOI'!$C$22)^2-'THAM_SO_MOI'!$C$25*(E3720/'THAM_SO_MOI'!$C$22)^3)</f>
        <v>85.77078366264482</v>
      </c>
      <c r="K3720" s="75">
        <f>'THAM_SO_MOI'!$C$31*J3720/E3720</f>
        <v>427.1284456634689</v>
      </c>
      <c r="L3720" s="75">
        <f>K3720*'THAM_SO_MOI'!$C$53*'THAM_SO_MOI'!$C$17/'THAM_SO_MOI'!$C$26</f>
        <v>3745.9181398088</v>
      </c>
      <c r="M3720" s="75">
        <f>'THAM_SO_MOI'!$C$15*'THAM_SO_MOI'!$C$16*F3720^2</f>
        <v>1108.3828206112157</v>
      </c>
      <c r="N3720" s="75">
        <f>'THAM_SO_MOI'!$C$12*I3720</f>
        <v>1130.112</v>
      </c>
      <c r="O3720" s="75">
        <f>M3720+N3720</f>
        <v>2238.494820611216</v>
      </c>
      <c r="P3720" s="75">
        <f>(MIN(L3720,'THAM_SO_MOI'!$C$41)-O3720)/('THAM_SO_MOI'!$C$11*H3720)</f>
        <v>0.17843552547319888</v>
      </c>
      <c r="Q3720" s="75">
        <f>IF(P3720&gt;0,1/P3720,NA())</f>
        <v>5.604265167197328</v>
      </c>
      <c r="R3720" s="75">
        <f>F3720-F3719</f>
        <v>0.0073885545698715305</v>
      </c>
      <c r="S3720" s="75">
        <f>0.5*(Q3719+Q3720)*R3720</f>
        <v>0.041397988409714225</v>
      </c>
      <c r="T3720" s="75">
        <f>0.5*(F3719*Q3719+F3720*Q3720)*R3720</f>
        <v>0.8057100622008929</v>
      </c>
      <c r="U3720" s="76">
        <f>U3719+S3720</f>
        <v>44.807152267728554</v>
      </c>
      <c r="V3720" s="76">
        <f>V3719+T3720</f>
        <v>576.6080290768512</v>
      </c>
    </row>
    <row r="3721" spans="1:22" ht="19" customHeight="1">
      <c r="A3721" s="68" t="s">
        <v>378</v>
      </c>
      <c r="B3721" s="74">
        <v>5</v>
      </c>
      <c r="C3721" s="68" t="s">
        <v>363</v>
      </c>
      <c r="D3721" s="68" t="s">
        <v>364</v>
      </c>
      <c r="E3721" s="75">
        <f>60*F3721*'THAM_SO_MOI'!$C$53/(2*PI()*'THAM_SO_MOI'!$C$26)</f>
        <v>1918.6643650988754</v>
      </c>
      <c r="F3721" s="75">
        <f>'HANH_TRINH'!$F$3289+('THAM_SO_MOI'!$C$14-'HANH_TRINH'!$F$3289)*431/'THAM_SO_MOI'!$C$42</f>
        <v>19.473623363717223</v>
      </c>
      <c r="G3721" s="75">
        <f>3.6*F3721</f>
        <v>70.105044109382</v>
      </c>
      <c r="H3721" s="75">
        <f>'THAM_SO_MOI'!$D$53</f>
        <v>1.1</v>
      </c>
      <c r="I3721" s="75">
        <f>IF(F3721&gt;'THAM_SO_MOI'!$C$14,'THAM_SO_MOI'!$C$13*(1+F3721^2/1500),'THAM_SO_MOI'!$C$13)</f>
        <v>0.015</v>
      </c>
      <c r="J3721" s="75">
        <f>'THAM_SO_MOI'!$C$40*('THAM_SO_MOI'!$C$23*(E3721/'THAM_SO_MOI'!$C$22)+'THAM_SO_MOI'!$C$24*(E3721/'THAM_SO_MOI'!$C$22)^2-'THAM_SO_MOI'!$C$25*(E3721/'THAM_SO_MOI'!$C$22)^3)</f>
        <v>85.80686221945957</v>
      </c>
      <c r="K3721" s="75">
        <f>'THAM_SO_MOI'!$C$31*J3721/E3721</f>
        <v>427.1459862020126</v>
      </c>
      <c r="L3721" s="75">
        <f>K3721*'THAM_SO_MOI'!$C$53*'THAM_SO_MOI'!$C$17/'THAM_SO_MOI'!$C$26</f>
        <v>3746.071970400464</v>
      </c>
      <c r="M3721" s="75">
        <f>'THAM_SO_MOI'!$C$15*'THAM_SO_MOI'!$C$16*F3721^2</f>
        <v>1109.2243702173464</v>
      </c>
      <c r="N3721" s="75">
        <f>'THAM_SO_MOI'!$C$12*I3721</f>
        <v>1130.112</v>
      </c>
      <c r="O3721" s="75">
        <f>M3721+N3721</f>
        <v>2239.3363702173465</v>
      </c>
      <c r="P3721" s="75">
        <f>(MIN(L3721,'THAM_SO_MOI'!$C$41)-O3721)/('THAM_SO_MOI'!$C$11*H3721)</f>
        <v>0.17835411933985768</v>
      </c>
      <c r="Q3721" s="75">
        <f>IF(P3721&gt;0,1/P3721,NA())</f>
        <v>5.6068231207740045</v>
      </c>
      <c r="R3721" s="75">
        <f>F3721-F3720</f>
        <v>0.0073885545698715305</v>
      </c>
      <c r="S3721" s="75">
        <f>0.5*(Q3720+Q3721)*R3721</f>
        <v>0.04141686880166189</v>
      </c>
      <c r="T3721" s="75">
        <f>0.5*(F3720*Q3720+F3721*Q3721)*R3721</f>
        <v>0.8063835334605706</v>
      </c>
      <c r="U3721" s="76">
        <f>U3720+S3721</f>
        <v>44.848569136530216</v>
      </c>
      <c r="V3721" s="76">
        <f>V3720+T3721</f>
        <v>577.4144126103117</v>
      </c>
    </row>
    <row r="3722" spans="1:22" ht="19" customHeight="1">
      <c r="A3722" s="68" t="s">
        <v>378</v>
      </c>
      <c r="B3722" s="74">
        <v>5</v>
      </c>
      <c r="C3722" s="68" t="s">
        <v>363</v>
      </c>
      <c r="D3722" s="68" t="s">
        <v>364</v>
      </c>
      <c r="E3722" s="75">
        <f>60*F3722*'THAM_SO_MOI'!$C$53/(2*PI()*'THAM_SO_MOI'!$C$26)</f>
        <v>1919.3923321596544</v>
      </c>
      <c r="F3722" s="75">
        <f>'HANH_TRINH'!$F$3289+('THAM_SO_MOI'!$C$14-'HANH_TRINH'!$F$3289)*432/'THAM_SO_MOI'!$C$42</f>
        <v>19.481011918287095</v>
      </c>
      <c r="G3722" s="75">
        <f>3.6*F3722</f>
        <v>70.13164290583354</v>
      </c>
      <c r="H3722" s="75">
        <f>'THAM_SO_MOI'!$D$53</f>
        <v>1.1</v>
      </c>
      <c r="I3722" s="75">
        <f>IF(F3722&gt;'THAM_SO_MOI'!$C$14,'THAM_SO_MOI'!$C$13*(1+F3722^2/1500),'THAM_SO_MOI'!$C$13)</f>
        <v>0.015</v>
      </c>
      <c r="J3722" s="75">
        <f>'THAM_SO_MOI'!$C$40*('THAM_SO_MOI'!$C$23*(E3722/'THAM_SO_MOI'!$C$22)+'THAM_SO_MOI'!$C$24*(E3722/'THAM_SO_MOI'!$C$22)^2-'THAM_SO_MOI'!$C$25*(E3722/'THAM_SO_MOI'!$C$22)^3)</f>
        <v>85.84293311837344</v>
      </c>
      <c r="K3722" s="75">
        <f>'THAM_SO_MOI'!$C$31*J3722/E3722</f>
        <v>427.1634753288507</v>
      </c>
      <c r="L3722" s="75">
        <f>K3722*'THAM_SO_MOI'!$C$53*'THAM_SO_MOI'!$C$17/'THAM_SO_MOI'!$C$26</f>
        <v>3746.2253501112687</v>
      </c>
      <c r="M3722" s="75">
        <f>'THAM_SO_MOI'!$C$15*'THAM_SO_MOI'!$C$16*F3722^2</f>
        <v>1110.0662391792985</v>
      </c>
      <c r="N3722" s="75">
        <f>'THAM_SO_MOI'!$C$12*I3722</f>
        <v>1130.112</v>
      </c>
      <c r="O3722" s="75">
        <f>M3722+N3722</f>
        <v>2240.1782391792985</v>
      </c>
      <c r="P3722" s="75">
        <f>(MIN(L3722,'THAM_SO_MOI'!$C$41)-O3722)/('THAM_SO_MOI'!$C$11*H3722)</f>
        <v>0.17827262203266692</v>
      </c>
      <c r="Q3722" s="75">
        <f>IF(P3722&gt;0,1/P3722,NA())</f>
        <v>5.609386279272645</v>
      </c>
      <c r="R3722" s="75">
        <f>F3722-F3721</f>
        <v>0.0073885545698715305</v>
      </c>
      <c r="S3722" s="75">
        <f>0.5*(Q3721+Q3722)*R3722</f>
        <v>0.04143578760967535</v>
      </c>
      <c r="T3722" s="75">
        <f>0.5*(F3721*Q3721+F3722*Q3722)*R3722</f>
        <v>0.8070580319599272</v>
      </c>
      <c r="U3722" s="76">
        <f>U3721+S3722</f>
        <v>44.890004924139895</v>
      </c>
      <c r="V3722" s="76">
        <f>V3721+T3722</f>
        <v>578.2214706422717</v>
      </c>
    </row>
    <row r="3723" spans="1:22" ht="19" customHeight="1">
      <c r="A3723" s="68" t="s">
        <v>378</v>
      </c>
      <c r="B3723" s="74">
        <v>5</v>
      </c>
      <c r="C3723" s="68" t="s">
        <v>363</v>
      </c>
      <c r="D3723" s="68" t="s">
        <v>364</v>
      </c>
      <c r="E3723" s="75">
        <f>60*F3723*'THAM_SO_MOI'!$C$53/(2*PI()*'THAM_SO_MOI'!$C$26)</f>
        <v>1920.1202992204337</v>
      </c>
      <c r="F3723" s="75">
        <f>'HANH_TRINH'!$F$3289+('THAM_SO_MOI'!$C$14-'HANH_TRINH'!$F$3289)*433/'THAM_SO_MOI'!$C$42</f>
        <v>19.488400472856966</v>
      </c>
      <c r="G3723" s="75">
        <f>3.6*F3723</f>
        <v>70.15824170228508</v>
      </c>
      <c r="H3723" s="75">
        <f>'THAM_SO_MOI'!$D$53</f>
        <v>1.1</v>
      </c>
      <c r="I3723" s="75">
        <f>IF(F3723&gt;'THAM_SO_MOI'!$C$14,'THAM_SO_MOI'!$C$13*(1+F3723^2/1500),'THAM_SO_MOI'!$C$13)</f>
        <v>0.015</v>
      </c>
      <c r="J3723" s="75">
        <f>'THAM_SO_MOI'!$C$40*('THAM_SO_MOI'!$C$23*(E3723/'THAM_SO_MOI'!$C$22)+'THAM_SO_MOI'!$C$24*(E3723/'THAM_SO_MOI'!$C$22)^2-'THAM_SO_MOI'!$C$25*(E3723/'THAM_SO_MOI'!$C$22)^3)</f>
        <v>85.87899634763095</v>
      </c>
      <c r="K3723" s="75">
        <f>'THAM_SO_MOI'!$C$31*J3723/E3723</f>
        <v>427.18091304398354</v>
      </c>
      <c r="L3723" s="75">
        <f>K3723*'THAM_SO_MOI'!$C$53*'THAM_SO_MOI'!$C$17/'THAM_SO_MOI'!$C$26</f>
        <v>3746.3782789412166</v>
      </c>
      <c r="M3723" s="75">
        <f>'THAM_SO_MOI'!$C$15*'THAM_SO_MOI'!$C$16*F3723^2</f>
        <v>1110.9084274970712</v>
      </c>
      <c r="N3723" s="75">
        <f>'THAM_SO_MOI'!$C$12*I3723</f>
        <v>1130.112</v>
      </c>
      <c r="O3723" s="75">
        <f>M3723+N3723</f>
        <v>2241.020427497071</v>
      </c>
      <c r="P3723" s="75">
        <f>(MIN(L3723,'THAM_SO_MOI'!$C$41)-O3723)/('THAM_SO_MOI'!$C$11*H3723)</f>
        <v>0.17819103355162702</v>
      </c>
      <c r="Q3723" s="75">
        <f>IF(P3723&gt;0,1/P3723,NA())</f>
        <v>5.611954653769217</v>
      </c>
      <c r="R3723" s="75">
        <f>F3723-F3722</f>
        <v>0.0073885545698715305</v>
      </c>
      <c r="S3723" s="75">
        <f>0.5*(Q3722+Q3723)*R3723</f>
        <v>0.041454744915456455</v>
      </c>
      <c r="T3723" s="75">
        <f>0.5*(F3722*Q3722+F3723*Q3723)*R3723</f>
        <v>0.8077335601424177</v>
      </c>
      <c r="U3723" s="76">
        <f>U3722+S3723</f>
        <v>44.93145966905535</v>
      </c>
      <c r="V3723" s="76">
        <f>V3722+T3723</f>
        <v>579.0292042024141</v>
      </c>
    </row>
    <row r="3724" spans="1:22" ht="19" customHeight="1">
      <c r="A3724" s="68" t="s">
        <v>378</v>
      </c>
      <c r="B3724" s="74">
        <v>5</v>
      </c>
      <c r="C3724" s="68" t="s">
        <v>363</v>
      </c>
      <c r="D3724" s="68" t="s">
        <v>364</v>
      </c>
      <c r="E3724" s="75">
        <f>60*F3724*'THAM_SO_MOI'!$C$53/(2*PI()*'THAM_SO_MOI'!$C$26)</f>
        <v>1920.8482662812125</v>
      </c>
      <c r="F3724" s="75">
        <f>'HANH_TRINH'!$F$3289+('THAM_SO_MOI'!$C$14-'HANH_TRINH'!$F$3289)*434/'THAM_SO_MOI'!$C$42</f>
        <v>19.49578902742684</v>
      </c>
      <c r="G3724" s="75">
        <f>3.6*F3724</f>
        <v>70.18484049873663</v>
      </c>
      <c r="H3724" s="75">
        <f>'THAM_SO_MOI'!$D$53</f>
        <v>1.1</v>
      </c>
      <c r="I3724" s="75">
        <f>IF(F3724&gt;'THAM_SO_MOI'!$C$14,'THAM_SO_MOI'!$C$13*(1+F3724^2/1500),'THAM_SO_MOI'!$C$13)</f>
        <v>0.015</v>
      </c>
      <c r="J3724" s="75">
        <f>'THAM_SO_MOI'!$C$40*('THAM_SO_MOI'!$C$23*(E3724/'THAM_SO_MOI'!$C$22)+'THAM_SO_MOI'!$C$24*(E3724/'THAM_SO_MOI'!$C$22)^2-'THAM_SO_MOI'!$C$25*(E3724/'THAM_SO_MOI'!$C$22)^3)</f>
        <v>85.91505189547651</v>
      </c>
      <c r="K3724" s="75">
        <f>'THAM_SO_MOI'!$C$31*J3724/E3724</f>
        <v>427.1982993474109</v>
      </c>
      <c r="L3724" s="75">
        <f>K3724*'THAM_SO_MOI'!$C$53*'THAM_SO_MOI'!$C$17/'THAM_SO_MOI'!$C$26</f>
        <v>3746.5307568903067</v>
      </c>
      <c r="M3724" s="75">
        <f>'THAM_SO_MOI'!$C$15*'THAM_SO_MOI'!$C$16*F3724^2</f>
        <v>1111.7509351706653</v>
      </c>
      <c r="N3724" s="75">
        <f>'THAM_SO_MOI'!$C$12*I3724</f>
        <v>1130.112</v>
      </c>
      <c r="O3724" s="75">
        <f>M3724+N3724</f>
        <v>2241.8629351706654</v>
      </c>
      <c r="P3724" s="75">
        <f>(MIN(L3724,'THAM_SO_MOI'!$C$41)-O3724)/('THAM_SO_MOI'!$C$11*H3724)</f>
        <v>0.17810935389673785</v>
      </c>
      <c r="Q3724" s="75">
        <f>IF(P3724&gt;0,1/P3724,NA())</f>
        <v>5.614528255376011</v>
      </c>
      <c r="R3724" s="75">
        <f>F3724-F3723</f>
        <v>0.007388554569875083</v>
      </c>
      <c r="S3724" s="75">
        <f>0.5*(Q3723+Q3724)*R3724</f>
        <v>0.04147374080099475</v>
      </c>
      <c r="T3724" s="75">
        <f>0.5*(F3723*Q3723+F3724*Q3724)*R3724</f>
        <v>0.808410120459519</v>
      </c>
      <c r="U3724" s="76">
        <f>U3723+S3724</f>
        <v>44.972933409856346</v>
      </c>
      <c r="V3724" s="76">
        <f>V3723+T3724</f>
        <v>579.8376143228736</v>
      </c>
    </row>
    <row r="3725" spans="1:22" ht="19" customHeight="1">
      <c r="A3725" s="68" t="s">
        <v>378</v>
      </c>
      <c r="B3725" s="74">
        <v>5</v>
      </c>
      <c r="C3725" s="68" t="s">
        <v>363</v>
      </c>
      <c r="D3725" s="68" t="s">
        <v>364</v>
      </c>
      <c r="E3725" s="75">
        <f>60*F3725*'THAM_SO_MOI'!$C$53/(2*PI()*'THAM_SO_MOI'!$C$26)</f>
        <v>1921.5762333419914</v>
      </c>
      <c r="F3725" s="75">
        <f>'HANH_TRINH'!$F$3289+('THAM_SO_MOI'!$C$14-'HANH_TRINH'!$F$3289)*435/'THAM_SO_MOI'!$C$42</f>
        <v>19.503177581996713</v>
      </c>
      <c r="G3725" s="75">
        <f>3.6*F3725</f>
        <v>70.21143929518817</v>
      </c>
      <c r="H3725" s="75">
        <f>'THAM_SO_MOI'!$D$53</f>
        <v>1.1</v>
      </c>
      <c r="I3725" s="75">
        <f>IF(F3725&gt;'THAM_SO_MOI'!$C$14,'THAM_SO_MOI'!$C$13*(1+F3725^2/1500),'THAM_SO_MOI'!$C$13)</f>
        <v>0.015</v>
      </c>
      <c r="J3725" s="75">
        <f>'THAM_SO_MOI'!$C$40*('THAM_SO_MOI'!$C$23*(E3725/'THAM_SO_MOI'!$C$22)+'THAM_SO_MOI'!$C$24*(E3725/'THAM_SO_MOI'!$C$22)^2-'THAM_SO_MOI'!$C$25*(E3725/'THAM_SO_MOI'!$C$22)^3)</f>
        <v>85.95109975015468</v>
      </c>
      <c r="K3725" s="75">
        <f>'THAM_SO_MOI'!$C$31*J3725/E3725</f>
        <v>427.2156342391329</v>
      </c>
      <c r="L3725" s="75">
        <f>K3725*'THAM_SO_MOI'!$C$53*'THAM_SO_MOI'!$C$17/'THAM_SO_MOI'!$C$26</f>
        <v>3746.68278395854</v>
      </c>
      <c r="M3725" s="75">
        <f>'THAM_SO_MOI'!$C$15*'THAM_SO_MOI'!$C$16*F3725^2</f>
        <v>1112.5937622000802</v>
      </c>
      <c r="N3725" s="75">
        <f>'THAM_SO_MOI'!$C$12*I3725</f>
        <v>1130.112</v>
      </c>
      <c r="O3725" s="75">
        <f>M3725+N3725</f>
        <v>2242.7057622000802</v>
      </c>
      <c r="P3725" s="75">
        <f>(MIN(L3725,'THAM_SO_MOI'!$C$41)-O3725)/('THAM_SO_MOI'!$C$11*H3725)</f>
        <v>0.17802758306799948</v>
      </c>
      <c r="Q3725" s="75">
        <f>IF(P3725&gt;0,1/P3725,NA())</f>
        <v>5.61710709524175</v>
      </c>
      <c r="R3725" s="75">
        <f>F3725-F3724</f>
        <v>0.0073885545698715305</v>
      </c>
      <c r="S3725" s="75">
        <f>0.5*(Q3724+Q3725)*R3725</f>
        <v>0.04149277534846874</v>
      </c>
      <c r="T3725" s="75">
        <f>0.5*(F3724*Q3724+F3725*Q3725)*R3725</f>
        <v>0.809087715368816</v>
      </c>
      <c r="U3725" s="76">
        <f>U3724+S3725</f>
        <v>45.01442618520481</v>
      </c>
      <c r="V3725" s="76">
        <f>V3724+T3725</f>
        <v>580.6467020382424</v>
      </c>
    </row>
    <row r="3726" spans="1:22" ht="19" customHeight="1">
      <c r="A3726" s="68" t="s">
        <v>378</v>
      </c>
      <c r="B3726" s="74">
        <v>5</v>
      </c>
      <c r="C3726" s="68" t="s">
        <v>363</v>
      </c>
      <c r="D3726" s="68" t="s">
        <v>364</v>
      </c>
      <c r="E3726" s="75">
        <f>60*F3726*'THAM_SO_MOI'!$C$53/(2*PI()*'THAM_SO_MOI'!$C$26)</f>
        <v>1922.3042004027707</v>
      </c>
      <c r="F3726" s="75">
        <f>'HANH_TRINH'!$F$3289+('THAM_SO_MOI'!$C$14-'HANH_TRINH'!$F$3289)*436/'THAM_SO_MOI'!$C$42</f>
        <v>19.510566136566585</v>
      </c>
      <c r="G3726" s="75">
        <f>3.6*F3726</f>
        <v>70.23803809163971</v>
      </c>
      <c r="H3726" s="75">
        <f>'THAM_SO_MOI'!$D$53</f>
        <v>1.1</v>
      </c>
      <c r="I3726" s="75">
        <f>IF(F3726&gt;'THAM_SO_MOI'!$C$14,'THAM_SO_MOI'!$C$13*(1+F3726^2/1500),'THAM_SO_MOI'!$C$13)</f>
        <v>0.015</v>
      </c>
      <c r="J3726" s="75">
        <f>'THAM_SO_MOI'!$C$40*('THAM_SO_MOI'!$C$23*(E3726/'THAM_SO_MOI'!$C$22)+'THAM_SO_MOI'!$C$24*(E3726/'THAM_SO_MOI'!$C$22)^2-'THAM_SO_MOI'!$C$25*(E3726/'THAM_SO_MOI'!$C$22)^3)</f>
        <v>85.98713989990992</v>
      </c>
      <c r="K3726" s="75">
        <f>'THAM_SO_MOI'!$C$31*J3726/E3726</f>
        <v>427.23291771914944</v>
      </c>
      <c r="L3726" s="75">
        <f>K3726*'THAM_SO_MOI'!$C$53*'THAM_SO_MOI'!$C$17/'THAM_SO_MOI'!$C$26</f>
        <v>3746.834360145914</v>
      </c>
      <c r="M3726" s="75">
        <f>'THAM_SO_MOI'!$C$15*'THAM_SO_MOI'!$C$16*F3726^2</f>
        <v>1113.436908585316</v>
      </c>
      <c r="N3726" s="75">
        <f>'THAM_SO_MOI'!$C$12*I3726</f>
        <v>1130.112</v>
      </c>
      <c r="O3726" s="75">
        <f>M3726+N3726</f>
        <v>2243.548908585316</v>
      </c>
      <c r="P3726" s="75">
        <f>(MIN(L3726,'THAM_SO_MOI'!$C$41)-O3726)/('THAM_SO_MOI'!$C$11*H3726)</f>
        <v>0.1779457210654117</v>
      </c>
      <c r="Q3726" s="75">
        <f>IF(P3726&gt;0,1/P3726,NA())</f>
        <v>5.6196911845517565</v>
      </c>
      <c r="R3726" s="75">
        <f>F3726-F3725</f>
        <v>0.0073885545698715305</v>
      </c>
      <c r="S3726" s="75">
        <f>0.5*(Q3725+Q3726)*R3726</f>
        <v>0.041511848640446436</v>
      </c>
      <c r="T3726" s="75">
        <f>0.5*(F3725*Q3725+F3726*Q3726)*R3726</f>
        <v>0.8097663473379197</v>
      </c>
      <c r="U3726" s="76">
        <f>U3725+S3726</f>
        <v>45.05593803384526</v>
      </c>
      <c r="V3726" s="76">
        <f>V3725+T3726</f>
        <v>581.4564683855804</v>
      </c>
    </row>
    <row r="3727" spans="1:22" ht="19" customHeight="1">
      <c r="A3727" s="68" t="s">
        <v>378</v>
      </c>
      <c r="B3727" s="74">
        <v>5</v>
      </c>
      <c r="C3727" s="68" t="s">
        <v>363</v>
      </c>
      <c r="D3727" s="68" t="s">
        <v>364</v>
      </c>
      <c r="E3727" s="75">
        <f>60*F3727*'THAM_SO_MOI'!$C$53/(2*PI()*'THAM_SO_MOI'!$C$26)</f>
        <v>1923.0321674635493</v>
      </c>
      <c r="F3727" s="75">
        <f>'HANH_TRINH'!$F$3289+('THAM_SO_MOI'!$C$14-'HANH_TRINH'!$F$3289)*437/'THAM_SO_MOI'!$C$42</f>
        <v>19.517954691136456</v>
      </c>
      <c r="G3727" s="75">
        <f>3.6*F3727</f>
        <v>70.26463688809125</v>
      </c>
      <c r="H3727" s="75">
        <f>'THAM_SO_MOI'!$D$53</f>
        <v>1.1</v>
      </c>
      <c r="I3727" s="75">
        <f>IF(F3727&gt;'THAM_SO_MOI'!$C$14,'THAM_SO_MOI'!$C$13*(1+F3727^2/1500),'THAM_SO_MOI'!$C$13)</f>
        <v>0.015</v>
      </c>
      <c r="J3727" s="75">
        <f>'THAM_SO_MOI'!$C$40*('THAM_SO_MOI'!$C$23*(E3727/'THAM_SO_MOI'!$C$22)+'THAM_SO_MOI'!$C$24*(E3727/'THAM_SO_MOI'!$C$22)^2-'THAM_SO_MOI'!$C$25*(E3727/'THAM_SO_MOI'!$C$22)^3)</f>
        <v>86.02317233298668</v>
      </c>
      <c r="K3727" s="75">
        <f>'THAM_SO_MOI'!$C$31*J3727/E3727</f>
        <v>427.2501497874605</v>
      </c>
      <c r="L3727" s="75">
        <f>K3727*'THAM_SO_MOI'!$C$53*'THAM_SO_MOI'!$C$17/'THAM_SO_MOI'!$C$26</f>
        <v>3746.9854854524306</v>
      </c>
      <c r="M3727" s="75">
        <f>'THAM_SO_MOI'!$C$15*'THAM_SO_MOI'!$C$16*F3727^2</f>
        <v>1114.2803743263726</v>
      </c>
      <c r="N3727" s="75">
        <f>'THAM_SO_MOI'!$C$12*I3727</f>
        <v>1130.112</v>
      </c>
      <c r="O3727" s="75">
        <f>M3727+N3727</f>
        <v>2244.3923743263726</v>
      </c>
      <c r="P3727" s="75">
        <f>(MIN(L3727,'THAM_SO_MOI'!$C$41)-O3727)/('THAM_SO_MOI'!$C$11*H3727)</f>
        <v>0.17786376788897465</v>
      </c>
      <c r="Q3727" s="75">
        <f>IF(P3727&gt;0,1/P3727,NA())</f>
        <v>5.622280534528064</v>
      </c>
      <c r="R3727" s="75">
        <f>F3727-F3726</f>
        <v>0.0073885545698715305</v>
      </c>
      <c r="S3727" s="75">
        <f>0.5*(Q3726+Q3727)*R3727</f>
        <v>0.04153096075968686</v>
      </c>
      <c r="T3727" s="75">
        <f>0.5*(F3726*Q3726+F3727*Q3727)*R3727</f>
        <v>0.8104460188406101</v>
      </c>
      <c r="U3727" s="76">
        <f>U3726+S3727</f>
        <v>45.097468994604945</v>
      </c>
      <c r="V3727" s="76">
        <f>V3726+T3727</f>
        <v>582.266914404421</v>
      </c>
    </row>
    <row r="3728" spans="1:22" ht="19" customHeight="1">
      <c r="A3728" s="68" t="s">
        <v>378</v>
      </c>
      <c r="B3728" s="74">
        <v>5</v>
      </c>
      <c r="C3728" s="68" t="s">
        <v>363</v>
      </c>
      <c r="D3728" s="68" t="s">
        <v>364</v>
      </c>
      <c r="E3728" s="75">
        <f>60*F3728*'THAM_SO_MOI'!$C$53/(2*PI()*'THAM_SO_MOI'!$C$26)</f>
        <v>1923.7601345243281</v>
      </c>
      <c r="F3728" s="75">
        <f>'HANH_TRINH'!$F$3289+('THAM_SO_MOI'!$C$14-'HANH_TRINH'!$F$3289)*438/'THAM_SO_MOI'!$C$42</f>
        <v>19.525343245706328</v>
      </c>
      <c r="G3728" s="75">
        <f>3.6*F3728</f>
        <v>70.29123568454278</v>
      </c>
      <c r="H3728" s="75">
        <f>'THAM_SO_MOI'!$D$53</f>
        <v>1.1</v>
      </c>
      <c r="I3728" s="75">
        <f>IF(F3728&gt;'THAM_SO_MOI'!$C$14,'THAM_SO_MOI'!$C$13*(1+F3728^2/1500),'THAM_SO_MOI'!$C$13)</f>
        <v>0.015</v>
      </c>
      <c r="J3728" s="75">
        <f>'THAM_SO_MOI'!$C$40*('THAM_SO_MOI'!$C$23*(E3728/'THAM_SO_MOI'!$C$22)+'THAM_SO_MOI'!$C$24*(E3728/'THAM_SO_MOI'!$C$22)^2-'THAM_SO_MOI'!$C$25*(E3728/'THAM_SO_MOI'!$C$22)^3)</f>
        <v>86.05919703762949</v>
      </c>
      <c r="K3728" s="75">
        <f>'THAM_SO_MOI'!$C$31*J3728/E3728</f>
        <v>427.26733044406626</v>
      </c>
      <c r="L3728" s="75">
        <f>K3728*'THAM_SO_MOI'!$C$53*'THAM_SO_MOI'!$C$17/'THAM_SO_MOI'!$C$26</f>
        <v>3747.1361598780904</v>
      </c>
      <c r="M3728" s="75">
        <f>'THAM_SO_MOI'!$C$15*'THAM_SO_MOI'!$C$16*F3728^2</f>
        <v>1115.1241594232506</v>
      </c>
      <c r="N3728" s="75">
        <f>'THAM_SO_MOI'!$C$12*I3728</f>
        <v>1130.112</v>
      </c>
      <c r="O3728" s="75">
        <f>M3728+N3728</f>
        <v>2245.2361594232507</v>
      </c>
      <c r="P3728" s="75">
        <f>(MIN(L3728,'THAM_SO_MOI'!$C$41)-O3728)/('THAM_SO_MOI'!$C$11*H3728)</f>
        <v>0.17778172353868843</v>
      </c>
      <c r="Q3728" s="75">
        <f>IF(P3728&gt;0,1/P3728,NA())</f>
        <v>5.624875156429578</v>
      </c>
      <c r="R3728" s="75">
        <f>F3728-F3727</f>
        <v>0.0073885545698715305</v>
      </c>
      <c r="S3728" s="75">
        <f>0.5*(Q3727+Q3728)*R3728</f>
        <v>0.04155011178924084</v>
      </c>
      <c r="T3728" s="75">
        <f>0.5*(F3727*Q3727+F3728*Q3728)*R3728</f>
        <v>0.8111267323588085</v>
      </c>
      <c r="U3728" s="76">
        <f>U3727+S3728</f>
        <v>45.13901910639419</v>
      </c>
      <c r="V3728" s="76">
        <f>V3727+T3728</f>
        <v>583.0780411367798</v>
      </c>
    </row>
    <row r="3729" spans="1:22" ht="19" customHeight="1">
      <c r="A3729" s="68" t="s">
        <v>378</v>
      </c>
      <c r="B3729" s="74">
        <v>5</v>
      </c>
      <c r="C3729" s="68" t="s">
        <v>363</v>
      </c>
      <c r="D3729" s="68" t="s">
        <v>364</v>
      </c>
      <c r="E3729" s="75">
        <f>60*F3729*'THAM_SO_MOI'!$C$53/(2*PI()*'THAM_SO_MOI'!$C$26)</f>
        <v>1924.488101585107</v>
      </c>
      <c r="F3729" s="75">
        <f>'HANH_TRINH'!$F$3289+('THAM_SO_MOI'!$C$14-'HANH_TRINH'!$F$3289)*439/'THAM_SO_MOI'!$C$42</f>
        <v>19.5327318002762</v>
      </c>
      <c r="G3729" s="75">
        <f>3.6*F3729</f>
        <v>70.31783448099432</v>
      </c>
      <c r="H3729" s="75">
        <f>'THAM_SO_MOI'!$D$53</f>
        <v>1.1</v>
      </c>
      <c r="I3729" s="75">
        <f>IF(F3729&gt;'THAM_SO_MOI'!$C$14,'THAM_SO_MOI'!$C$13*(1+F3729^2/1500),'THAM_SO_MOI'!$C$13)</f>
        <v>0.015</v>
      </c>
      <c r="J3729" s="75">
        <f>'THAM_SO_MOI'!$C$40*('THAM_SO_MOI'!$C$23*(E3729/'THAM_SO_MOI'!$C$22)+'THAM_SO_MOI'!$C$24*(E3729/'THAM_SO_MOI'!$C$22)^2-'THAM_SO_MOI'!$C$25*(E3729/'THAM_SO_MOI'!$C$22)^3)</f>
        <v>86.09521400208281</v>
      </c>
      <c r="K3729" s="75">
        <f>'THAM_SO_MOI'!$C$31*J3729/E3729</f>
        <v>427.2844596889665</v>
      </c>
      <c r="L3729" s="75">
        <f>K3729*'THAM_SO_MOI'!$C$53*'THAM_SO_MOI'!$C$17/'THAM_SO_MOI'!$C$26</f>
        <v>3747.2863834228915</v>
      </c>
      <c r="M3729" s="75">
        <f>'THAM_SO_MOI'!$C$15*'THAM_SO_MOI'!$C$16*F3729^2</f>
        <v>1115.968263875949</v>
      </c>
      <c r="N3729" s="75">
        <f>'THAM_SO_MOI'!$C$12*I3729</f>
        <v>1130.112</v>
      </c>
      <c r="O3729" s="75">
        <f>M3729+N3729</f>
        <v>2246.080263875949</v>
      </c>
      <c r="P3729" s="75">
        <f>(MIN(L3729,'THAM_SO_MOI'!$C$41)-O3729)/('THAM_SO_MOI'!$C$11*H3729)</f>
        <v>0.17769958801455282</v>
      </c>
      <c r="Q3729" s="75">
        <f>IF(P3729&gt;0,1/P3729,NA())</f>
        <v>5.6274750615522215</v>
      </c>
      <c r="R3729" s="75">
        <f>F3729-F3728</f>
        <v>0.0073885545698715305</v>
      </c>
      <c r="S3729" s="75">
        <f>0.5*(Q3728+Q3729)*R3729</f>
        <v>0.041569301812432166</v>
      </c>
      <c r="T3729" s="75">
        <f>0.5*(F3728*Q3728+F3729*Q3729)*R3729</f>
        <v>0.8118084903822218</v>
      </c>
      <c r="U3729" s="76">
        <f>U3728+S3729</f>
        <v>45.18058840820662</v>
      </c>
      <c r="V3729" s="76">
        <f>V3728+T3729</f>
        <v>583.889849627162</v>
      </c>
    </row>
    <row r="3730" spans="1:22" ht="19" customHeight="1">
      <c r="A3730" s="68" t="s">
        <v>378</v>
      </c>
      <c r="B3730" s="74">
        <v>5</v>
      </c>
      <c r="C3730" s="68" t="s">
        <v>363</v>
      </c>
      <c r="D3730" s="68" t="s">
        <v>364</v>
      </c>
      <c r="E3730" s="75">
        <f>60*F3730*'THAM_SO_MOI'!$C$53/(2*PI()*'THAM_SO_MOI'!$C$26)</f>
        <v>1925.2160686458867</v>
      </c>
      <c r="F3730" s="75">
        <f>'HANH_TRINH'!$F$3289+('THAM_SO_MOI'!$C$14-'HANH_TRINH'!$F$3289)*440/'THAM_SO_MOI'!$C$42</f>
        <v>19.540120354846074</v>
      </c>
      <c r="G3730" s="75">
        <f>3.6*F3730</f>
        <v>70.34443327744587</v>
      </c>
      <c r="H3730" s="75">
        <f>'THAM_SO_MOI'!$D$53</f>
        <v>1.1</v>
      </c>
      <c r="I3730" s="75">
        <f>IF(F3730&gt;'THAM_SO_MOI'!$C$14,'THAM_SO_MOI'!$C$13*(1+F3730^2/1500),'THAM_SO_MOI'!$C$13)</f>
        <v>0.015</v>
      </c>
      <c r="J3730" s="75">
        <f>'THAM_SO_MOI'!$C$40*('THAM_SO_MOI'!$C$23*(E3730/'THAM_SO_MOI'!$C$22)+'THAM_SO_MOI'!$C$24*(E3730/'THAM_SO_MOI'!$C$22)^2-'THAM_SO_MOI'!$C$25*(E3730/'THAM_SO_MOI'!$C$22)^3)</f>
        <v>86.13122321459117</v>
      </c>
      <c r="K3730" s="75">
        <f>'THAM_SO_MOI'!$C$31*J3730/E3730</f>
        <v>427.3015375221613</v>
      </c>
      <c r="L3730" s="75">
        <f>K3730*'THAM_SO_MOI'!$C$53*'THAM_SO_MOI'!$C$17/'THAM_SO_MOI'!$C$26</f>
        <v>3747.436156086835</v>
      </c>
      <c r="M3730" s="75">
        <f>'THAM_SO_MOI'!$C$15*'THAM_SO_MOI'!$C$16*F3730^2</f>
        <v>1116.8126876844694</v>
      </c>
      <c r="N3730" s="75">
        <f>'THAM_SO_MOI'!$C$12*I3730</f>
        <v>1130.112</v>
      </c>
      <c r="O3730" s="75">
        <f>M3730+N3730</f>
        <v>2246.9246876844695</v>
      </c>
      <c r="P3730" s="75">
        <f>(MIN(L3730,'THAM_SO_MOI'!$C$41)-O3730)/('THAM_SO_MOI'!$C$11*H3730)</f>
        <v>0.1776173613165679</v>
      </c>
      <c r="Q3730" s="75">
        <f>IF(P3730&gt;0,1/P3730,NA())</f>
        <v>5.6300802612290655</v>
      </c>
      <c r="R3730" s="75">
        <f>F3730-F3729</f>
        <v>0.007388554569875083</v>
      </c>
      <c r="S3730" s="75">
        <f>0.5*(Q3729+Q3730)*R3730</f>
        <v>0.04158853091287862</v>
      </c>
      <c r="T3730" s="75">
        <f>0.5*(F3729*Q3729+F3730*Q3730)*R3730</f>
        <v>0.812491295408763</v>
      </c>
      <c r="U3730" s="76">
        <f>U3729+S3730</f>
        <v>45.22217693911949</v>
      </c>
      <c r="V3730" s="76">
        <f>V3729+T3730</f>
        <v>584.7023409225708</v>
      </c>
    </row>
    <row r="3731" spans="1:22" ht="19" customHeight="1">
      <c r="A3731" s="68" t="s">
        <v>378</v>
      </c>
      <c r="B3731" s="74">
        <v>5</v>
      </c>
      <c r="C3731" s="68" t="s">
        <v>363</v>
      </c>
      <c r="D3731" s="68" t="s">
        <v>364</v>
      </c>
      <c r="E3731" s="75">
        <f>60*F3731*'THAM_SO_MOI'!$C$53/(2*PI()*'THAM_SO_MOI'!$C$26)</f>
        <v>1925.9440357066655</v>
      </c>
      <c r="F3731" s="75">
        <f>'HANH_TRINH'!$F$3289+('THAM_SO_MOI'!$C$14-'HANH_TRINH'!$F$3289)*441/'THAM_SO_MOI'!$C$42</f>
        <v>19.547508909415946</v>
      </c>
      <c r="G3731" s="75">
        <f>3.6*F3731</f>
        <v>70.37103207389741</v>
      </c>
      <c r="H3731" s="75">
        <f>'THAM_SO_MOI'!$D$53</f>
        <v>1.1</v>
      </c>
      <c r="I3731" s="75">
        <f>IF(F3731&gt;'THAM_SO_MOI'!$C$14,'THAM_SO_MOI'!$C$13*(1+F3731^2/1500),'THAM_SO_MOI'!$C$13)</f>
        <v>0.015</v>
      </c>
      <c r="J3731" s="75">
        <f>'THAM_SO_MOI'!$C$40*('THAM_SO_MOI'!$C$23*(E3731/'THAM_SO_MOI'!$C$22)+'THAM_SO_MOI'!$C$24*(E3731/'THAM_SO_MOI'!$C$22)^2-'THAM_SO_MOI'!$C$25*(E3731/'THAM_SO_MOI'!$C$22)^3)</f>
        <v>86.167224663399</v>
      </c>
      <c r="K3731" s="75">
        <f>'THAM_SO_MOI'!$C$31*J3731/E3731</f>
        <v>427.31856394365076</v>
      </c>
      <c r="L3731" s="75">
        <f>K3731*'THAM_SO_MOI'!$C$53*'THAM_SO_MOI'!$C$17/'THAM_SO_MOI'!$C$26</f>
        <v>3747.585477869922</v>
      </c>
      <c r="M3731" s="75">
        <f>'THAM_SO_MOI'!$C$15*'THAM_SO_MOI'!$C$16*F3731^2</f>
        <v>1117.6574308488102</v>
      </c>
      <c r="N3731" s="75">
        <f>'THAM_SO_MOI'!$C$12*I3731</f>
        <v>1130.112</v>
      </c>
      <c r="O3731" s="75">
        <f>M3731+N3731</f>
        <v>2247.7694308488103</v>
      </c>
      <c r="P3731" s="75">
        <f>(MIN(L3731,'THAM_SO_MOI'!$C$41)-O3731)/('THAM_SO_MOI'!$C$11*H3731)</f>
        <v>0.1775350434447339</v>
      </c>
      <c r="Q3731" s="75">
        <f>IF(P3731&gt;0,1/P3731,NA())</f>
        <v>5.632690766830476</v>
      </c>
      <c r="R3731" s="75">
        <f>F3731-F3730</f>
        <v>0.0073885545698715305</v>
      </c>
      <c r="S3731" s="75">
        <f>0.5*(Q3730+Q3731)*R3731</f>
        <v>0.041607799174393</v>
      </c>
      <c r="T3731" s="75">
        <f>0.5*(F3730*Q3730+F3731*Q3731)*R3731</f>
        <v>0.8131751499426277</v>
      </c>
      <c r="U3731" s="76">
        <f>U3730+S3731</f>
        <v>45.263784738293886</v>
      </c>
      <c r="V3731" s="76">
        <f>V3730+T3731</f>
        <v>585.5155160725134</v>
      </c>
    </row>
    <row r="3732" spans="1:22" ht="19" customHeight="1">
      <c r="A3732" s="68" t="s">
        <v>378</v>
      </c>
      <c r="B3732" s="74">
        <v>5</v>
      </c>
      <c r="C3732" s="68" t="s">
        <v>363</v>
      </c>
      <c r="D3732" s="68" t="s">
        <v>364</v>
      </c>
      <c r="E3732" s="75">
        <f>60*F3732*'THAM_SO_MOI'!$C$53/(2*PI()*'THAM_SO_MOI'!$C$26)</f>
        <v>1926.6720027674444</v>
      </c>
      <c r="F3732" s="75">
        <f>'HANH_TRINH'!$F$3289+('THAM_SO_MOI'!$C$14-'HANH_TRINH'!$F$3289)*442/'THAM_SO_MOI'!$C$42</f>
        <v>19.554897463985817</v>
      </c>
      <c r="G3732" s="75">
        <f>3.6*F3732</f>
        <v>70.39763087034895</v>
      </c>
      <c r="H3732" s="75">
        <f>'THAM_SO_MOI'!$D$53</f>
        <v>1.1</v>
      </c>
      <c r="I3732" s="75">
        <f>IF(F3732&gt;'THAM_SO_MOI'!$C$14,'THAM_SO_MOI'!$C$13*(1+F3732^2/1500),'THAM_SO_MOI'!$C$13)</f>
        <v>0.015</v>
      </c>
      <c r="J3732" s="75">
        <f>'THAM_SO_MOI'!$C$40*('THAM_SO_MOI'!$C$23*(E3732/'THAM_SO_MOI'!$C$22)+'THAM_SO_MOI'!$C$24*(E3732/'THAM_SO_MOI'!$C$22)^2-'THAM_SO_MOI'!$C$25*(E3732/'THAM_SO_MOI'!$C$22)^3)</f>
        <v>86.20321833675077</v>
      </c>
      <c r="K3732" s="75">
        <f>'THAM_SO_MOI'!$C$31*J3732/E3732</f>
        <v>427.33553895343465</v>
      </c>
      <c r="L3732" s="75">
        <f>K3732*'THAM_SO_MOI'!$C$53*'THAM_SO_MOI'!$C$17/'THAM_SO_MOI'!$C$26</f>
        <v>3747.7343487721496</v>
      </c>
      <c r="M3732" s="75">
        <f>'THAM_SO_MOI'!$C$15*'THAM_SO_MOI'!$C$16*F3732^2</f>
        <v>1118.502493368972</v>
      </c>
      <c r="N3732" s="75">
        <f>'THAM_SO_MOI'!$C$12*I3732</f>
        <v>1130.112</v>
      </c>
      <c r="O3732" s="75">
        <f>M3732+N3732</f>
        <v>2248.614493368972</v>
      </c>
      <c r="P3732" s="75">
        <f>(MIN(L3732,'THAM_SO_MOI'!$C$41)-O3732)/('THAM_SO_MOI'!$C$11*H3732)</f>
        <v>0.17745263439905037</v>
      </c>
      <c r="Q3732" s="75">
        <f>IF(P3732&gt;0,1/P3732,NA())</f>
        <v>5.635306589764279</v>
      </c>
      <c r="R3732" s="75">
        <f>F3732-F3731</f>
        <v>0.0073885545698715305</v>
      </c>
      <c r="S3732" s="75">
        <f>0.5*(Q3731+Q3732)*R3732</f>
        <v>0.04162710668118425</v>
      </c>
      <c r="T3732" s="75">
        <f>0.5*(F3731*Q3731+F3732*Q3732)*R3732</f>
        <v>0.8138600564982337</v>
      </c>
      <c r="U3732" s="76">
        <f>U3731+S3732</f>
        <v>45.30541184497507</v>
      </c>
      <c r="V3732" s="76">
        <f>V3731+T3732</f>
        <v>586.3293761290116</v>
      </c>
    </row>
    <row r="3733" spans="1:22" ht="19" customHeight="1">
      <c r="A3733" s="68" t="s">
        <v>378</v>
      </c>
      <c r="B3733" s="74">
        <v>5</v>
      </c>
      <c r="C3733" s="68" t="s">
        <v>363</v>
      </c>
      <c r="D3733" s="68" t="s">
        <v>364</v>
      </c>
      <c r="E3733" s="75">
        <f>60*F3733*'THAM_SO_MOI'!$C$53/(2*PI()*'THAM_SO_MOI'!$C$26)</f>
        <v>1927.3999698282232</v>
      </c>
      <c r="F3733" s="75">
        <f>'HANH_TRINH'!$F$3289+('THAM_SO_MOI'!$C$14-'HANH_TRINH'!$F$3289)*443/'THAM_SO_MOI'!$C$42</f>
        <v>19.56228601855569</v>
      </c>
      <c r="G3733" s="75">
        <f>3.6*F3733</f>
        <v>70.42422966680049</v>
      </c>
      <c r="H3733" s="75">
        <f>'THAM_SO_MOI'!$D$53</f>
        <v>1.1</v>
      </c>
      <c r="I3733" s="75">
        <f>IF(F3733&gt;'THAM_SO_MOI'!$C$14,'THAM_SO_MOI'!$C$13*(1+F3733^2/1500),'THAM_SO_MOI'!$C$13)</f>
        <v>0.015</v>
      </c>
      <c r="J3733" s="75">
        <f>'THAM_SO_MOI'!$C$40*('THAM_SO_MOI'!$C$23*(E3733/'THAM_SO_MOI'!$C$22)+'THAM_SO_MOI'!$C$24*(E3733/'THAM_SO_MOI'!$C$22)^2-'THAM_SO_MOI'!$C$25*(E3733/'THAM_SO_MOI'!$C$22)^3)</f>
        <v>86.23920422289099</v>
      </c>
      <c r="K3733" s="75">
        <f>'THAM_SO_MOI'!$C$31*J3733/E3733</f>
        <v>427.3524625515131</v>
      </c>
      <c r="L3733" s="75">
        <f>K3733*'THAM_SO_MOI'!$C$53*'THAM_SO_MOI'!$C$17/'THAM_SO_MOI'!$C$26</f>
        <v>3747.882768793518</v>
      </c>
      <c r="M3733" s="75">
        <f>'THAM_SO_MOI'!$C$15*'THAM_SO_MOI'!$C$16*F3733^2</f>
        <v>1119.3478752449548</v>
      </c>
      <c r="N3733" s="75">
        <f>'THAM_SO_MOI'!$C$12*I3733</f>
        <v>1130.112</v>
      </c>
      <c r="O3733" s="75">
        <f>M3733+N3733</f>
        <v>2249.4598752449547</v>
      </c>
      <c r="P3733" s="75">
        <f>(MIN(L3733,'THAM_SO_MOI'!$C$41)-O3733)/('THAM_SO_MOI'!$C$11*H3733)</f>
        <v>0.17737013417951747</v>
      </c>
      <c r="Q3733" s="75">
        <f>IF(P3733&gt;0,1/P3733,NA())</f>
        <v>5.637927741475876</v>
      </c>
      <c r="R3733" s="75">
        <f>F3733-F3732</f>
        <v>0.0073885545698715305</v>
      </c>
      <c r="S3733" s="75">
        <f>0.5*(Q3732+Q3733)*R3733</f>
        <v>0.041646453517658534</v>
      </c>
      <c r="T3733" s="75">
        <f>0.5*(F3732*Q3732+F3733*Q3733)*R3733</f>
        <v>0.8145460175963446</v>
      </c>
      <c r="U3733" s="76">
        <f>U3732+S3733</f>
        <v>45.347058298492726</v>
      </c>
      <c r="V3733" s="76">
        <f>V3732+T3733</f>
        <v>587.143922146608</v>
      </c>
    </row>
    <row r="3734" spans="1:22" ht="19" customHeight="1">
      <c r="A3734" s="68" t="s">
        <v>378</v>
      </c>
      <c r="B3734" s="74">
        <v>5</v>
      </c>
      <c r="C3734" s="68" t="s">
        <v>363</v>
      </c>
      <c r="D3734" s="68" t="s">
        <v>364</v>
      </c>
      <c r="E3734" s="75">
        <f>60*F3734*'THAM_SO_MOI'!$C$53/(2*PI()*'THAM_SO_MOI'!$C$26)</f>
        <v>1928.1279368890023</v>
      </c>
      <c r="F3734" s="75">
        <f>'HANH_TRINH'!$F$3289+('THAM_SO_MOI'!$C$14-'HANH_TRINH'!$F$3289)*444/'THAM_SO_MOI'!$C$42</f>
        <v>19.56967457312556</v>
      </c>
      <c r="G3734" s="75">
        <f>3.6*F3734</f>
        <v>70.45082846325202</v>
      </c>
      <c r="H3734" s="75">
        <f>'THAM_SO_MOI'!$D$53</f>
        <v>1.1</v>
      </c>
      <c r="I3734" s="75">
        <f>IF(F3734&gt;'THAM_SO_MOI'!$C$14,'THAM_SO_MOI'!$C$13*(1+F3734^2/1500),'THAM_SO_MOI'!$C$13)</f>
        <v>0.015</v>
      </c>
      <c r="J3734" s="75">
        <f>'THAM_SO_MOI'!$C$40*('THAM_SO_MOI'!$C$23*(E3734/'THAM_SO_MOI'!$C$22)+'THAM_SO_MOI'!$C$24*(E3734/'THAM_SO_MOI'!$C$22)^2-'THAM_SO_MOI'!$C$25*(E3734/'THAM_SO_MOI'!$C$22)^3)</f>
        <v>86.27518231006418</v>
      </c>
      <c r="K3734" s="75">
        <f>'THAM_SO_MOI'!$C$31*J3734/E3734</f>
        <v>427.3693347378862</v>
      </c>
      <c r="L3734" s="75">
        <f>K3734*'THAM_SO_MOI'!$C$53*'THAM_SO_MOI'!$C$17/'THAM_SO_MOI'!$C$26</f>
        <v>3748.0307379340315</v>
      </c>
      <c r="M3734" s="75">
        <f>'THAM_SO_MOI'!$C$15*'THAM_SO_MOI'!$C$16*F3734^2</f>
        <v>1120.1935764767586</v>
      </c>
      <c r="N3734" s="75">
        <f>'THAM_SO_MOI'!$C$12*I3734</f>
        <v>1130.112</v>
      </c>
      <c r="O3734" s="75">
        <f>M3734+N3734</f>
        <v>2250.3055764767587</v>
      </c>
      <c r="P3734" s="75">
        <f>(MIN(L3734,'THAM_SO_MOI'!$C$41)-O3734)/('THAM_SO_MOI'!$C$11*H3734)</f>
        <v>0.1772875427861355</v>
      </c>
      <c r="Q3734" s="75">
        <f>IF(P3734&gt;0,1/P3734,NA())</f>
        <v>5.640554233448395</v>
      </c>
      <c r="R3734" s="75">
        <f>F3734-F3733</f>
        <v>0.0073885545698715305</v>
      </c>
      <c r="S3734" s="75">
        <f>0.5*(Q3733+Q3734)*R3734</f>
        <v>0.0416658397685202</v>
      </c>
      <c r="T3734" s="75">
        <f>0.5*(F3733*Q3733+F3734*Q3734)*R3734</f>
        <v>0.8152330357660532</v>
      </c>
      <c r="U3734" s="76">
        <f>U3733+S3734</f>
        <v>45.388724138261246</v>
      </c>
      <c r="V3734" s="76">
        <f>V3733+T3734</f>
        <v>587.959155182374</v>
      </c>
    </row>
    <row r="3735" spans="1:22" ht="19" customHeight="1">
      <c r="A3735" s="68" t="s">
        <v>378</v>
      </c>
      <c r="B3735" s="74">
        <v>5</v>
      </c>
      <c r="C3735" s="68" t="s">
        <v>363</v>
      </c>
      <c r="D3735" s="68" t="s">
        <v>364</v>
      </c>
      <c r="E3735" s="75">
        <f>60*F3735*'THAM_SO_MOI'!$C$53/(2*PI()*'THAM_SO_MOI'!$C$26)</f>
        <v>1928.8559039497811</v>
      </c>
      <c r="F3735" s="75">
        <f>'HANH_TRINH'!$F$3289+('THAM_SO_MOI'!$C$14-'HANH_TRINH'!$F$3289)*445/'THAM_SO_MOI'!$C$42</f>
        <v>19.577063127695432</v>
      </c>
      <c r="G3735" s="75">
        <f>3.6*F3735</f>
        <v>70.47742725970356</v>
      </c>
      <c r="H3735" s="75">
        <f>'THAM_SO_MOI'!$D$53</f>
        <v>1.1</v>
      </c>
      <c r="I3735" s="75">
        <f>IF(F3735&gt;'THAM_SO_MOI'!$C$14,'THAM_SO_MOI'!$C$13*(1+F3735^2/1500),'THAM_SO_MOI'!$C$13)</f>
        <v>0.015</v>
      </c>
      <c r="J3735" s="75">
        <f>'THAM_SO_MOI'!$C$40*('THAM_SO_MOI'!$C$23*(E3735/'THAM_SO_MOI'!$C$22)+'THAM_SO_MOI'!$C$24*(E3735/'THAM_SO_MOI'!$C$22)^2-'THAM_SO_MOI'!$C$25*(E3735/'THAM_SO_MOI'!$C$22)^3)</f>
        <v>86.31115258651478</v>
      </c>
      <c r="K3735" s="75">
        <f>'THAM_SO_MOI'!$C$31*J3735/E3735</f>
        <v>427.3861555125539</v>
      </c>
      <c r="L3735" s="75">
        <f>K3735*'THAM_SO_MOI'!$C$53*'THAM_SO_MOI'!$C$17/'THAM_SO_MOI'!$C$26</f>
        <v>3748.1782561936857</v>
      </c>
      <c r="M3735" s="75">
        <f>'THAM_SO_MOI'!$C$15*'THAM_SO_MOI'!$C$16*F3735^2</f>
        <v>1121.0395970643833</v>
      </c>
      <c r="N3735" s="75">
        <f>'THAM_SO_MOI'!$C$12*I3735</f>
        <v>1130.112</v>
      </c>
      <c r="O3735" s="75">
        <f>M3735+N3735</f>
        <v>2251.151597064383</v>
      </c>
      <c r="P3735" s="75">
        <f>(MIN(L3735,'THAM_SO_MOI'!$C$41)-O3735)/('THAM_SO_MOI'!$C$11*H3735)</f>
        <v>0.17720486021890414</v>
      </c>
      <c r="Q3735" s="75">
        <f>IF(P3735&gt;0,1/P3735,NA())</f>
        <v>5.643186077202867</v>
      </c>
      <c r="R3735" s="75">
        <f>F3735-F3734</f>
        <v>0.0073885545698715305</v>
      </c>
      <c r="S3735" s="75">
        <f>0.5*(Q3734+Q3735)*R3735</f>
        <v>0.04168526551875299</v>
      </c>
      <c r="T3735" s="75">
        <f>0.5*(F3734*Q3734+F3735*Q3735)*R3735</f>
        <v>0.8159211135444242</v>
      </c>
      <c r="U3735" s="76">
        <f>U3734+S3735</f>
        <v>45.43040940378</v>
      </c>
      <c r="V3735" s="76">
        <f>V3734+T3735</f>
        <v>588.7750762959184</v>
      </c>
    </row>
    <row r="3736" spans="1:22" ht="19" customHeight="1">
      <c r="A3736" s="68" t="s">
        <v>378</v>
      </c>
      <c r="B3736" s="74">
        <v>5</v>
      </c>
      <c r="C3736" s="68" t="s">
        <v>363</v>
      </c>
      <c r="D3736" s="68" t="s">
        <v>364</v>
      </c>
      <c r="E3736" s="75">
        <f>60*F3736*'THAM_SO_MOI'!$C$53/(2*PI()*'THAM_SO_MOI'!$C$26)</f>
        <v>1929.58387101056</v>
      </c>
      <c r="F3736" s="75">
        <f>'HANH_TRINH'!$F$3289+('THAM_SO_MOI'!$C$14-'HANH_TRINH'!$F$3289)*446/'THAM_SO_MOI'!$C$42</f>
        <v>19.584451682265303</v>
      </c>
      <c r="G3736" s="75">
        <f>3.6*F3736</f>
        <v>70.5040260561551</v>
      </c>
      <c r="H3736" s="75">
        <f>'THAM_SO_MOI'!$D$53</f>
        <v>1.1</v>
      </c>
      <c r="I3736" s="75">
        <f>IF(F3736&gt;'THAM_SO_MOI'!$C$14,'THAM_SO_MOI'!$C$13*(1+F3736^2/1500),'THAM_SO_MOI'!$C$13)</f>
        <v>0.015</v>
      </c>
      <c r="J3736" s="75">
        <f>'THAM_SO_MOI'!$C$40*('THAM_SO_MOI'!$C$23*(E3736/'THAM_SO_MOI'!$C$22)+'THAM_SO_MOI'!$C$24*(E3736/'THAM_SO_MOI'!$C$22)^2-'THAM_SO_MOI'!$C$25*(E3736/'THAM_SO_MOI'!$C$22)^3)</f>
        <v>86.34711504048731</v>
      </c>
      <c r="K3736" s="75">
        <f>'THAM_SO_MOI'!$C$31*J3736/E3736</f>
        <v>427.4029248755162</v>
      </c>
      <c r="L3736" s="75">
        <f>K3736*'THAM_SO_MOI'!$C$53*'THAM_SO_MOI'!$C$17/'THAM_SO_MOI'!$C$26</f>
        <v>3748.3253235724837</v>
      </c>
      <c r="M3736" s="75">
        <f>'THAM_SO_MOI'!$C$15*'THAM_SO_MOI'!$C$16*F3736^2</f>
        <v>1121.885937007829</v>
      </c>
      <c r="N3736" s="75">
        <f>'THAM_SO_MOI'!$C$12*I3736</f>
        <v>1130.112</v>
      </c>
      <c r="O3736" s="75">
        <f>M3736+N3736</f>
        <v>2251.997937007829</v>
      </c>
      <c r="P3736" s="75">
        <f>(MIN(L3736,'THAM_SO_MOI'!$C$41)-O3736)/('THAM_SO_MOI'!$C$11*H3736)</f>
        <v>0.1771220864778237</v>
      </c>
      <c r="Q3736" s="75">
        <f>IF(P3736&gt;0,1/P3736,NA())</f>
        <v>5.645823284298333</v>
      </c>
      <c r="R3736" s="75">
        <f>F3736-F3735</f>
        <v>0.0073885545698715305</v>
      </c>
      <c r="S3736" s="75">
        <f>0.5*(Q3735+Q3736)*R3736</f>
        <v>0.04170473085362109</v>
      </c>
      <c r="T3736" s="75">
        <f>0.5*(F3735*Q3735+F3736*Q3736)*R3736</f>
        <v>0.8166102534765252</v>
      </c>
      <c r="U3736" s="76">
        <f>U3735+S3736</f>
        <v>45.47211413463362</v>
      </c>
      <c r="V3736" s="76">
        <f>V3735+T3736</f>
        <v>589.5916865493949</v>
      </c>
    </row>
    <row r="3737" spans="1:22" ht="19" customHeight="1">
      <c r="A3737" s="68" t="s">
        <v>378</v>
      </c>
      <c r="B3737" s="74">
        <v>5</v>
      </c>
      <c r="C3737" s="68" t="s">
        <v>363</v>
      </c>
      <c r="D3737" s="68" t="s">
        <v>364</v>
      </c>
      <c r="E3737" s="75">
        <f>60*F3737*'THAM_SO_MOI'!$C$53/(2*PI()*'THAM_SO_MOI'!$C$26)</f>
        <v>1930.3118380713388</v>
      </c>
      <c r="F3737" s="75">
        <f>'HANH_TRINH'!$F$3289+('THAM_SO_MOI'!$C$14-'HANH_TRINH'!$F$3289)*447/'THAM_SO_MOI'!$C$42</f>
        <v>19.591840236835175</v>
      </c>
      <c r="G3737" s="75">
        <f>3.6*F3737</f>
        <v>70.53062485260664</v>
      </c>
      <c r="H3737" s="75">
        <f>'THAM_SO_MOI'!$D$53</f>
        <v>1.1</v>
      </c>
      <c r="I3737" s="75">
        <f>IF(F3737&gt;'THAM_SO_MOI'!$C$14,'THAM_SO_MOI'!$C$13*(1+F3737^2/1500),'THAM_SO_MOI'!$C$13)</f>
        <v>0.015</v>
      </c>
      <c r="J3737" s="75">
        <f>'THAM_SO_MOI'!$C$40*('THAM_SO_MOI'!$C$23*(E3737/'THAM_SO_MOI'!$C$22)+'THAM_SO_MOI'!$C$24*(E3737/'THAM_SO_MOI'!$C$22)^2-'THAM_SO_MOI'!$C$25*(E3737/'THAM_SO_MOI'!$C$22)^3)</f>
        <v>86.38306966022618</v>
      </c>
      <c r="K3737" s="75">
        <f>'THAM_SO_MOI'!$C$31*J3737/E3737</f>
        <v>427.4196428267728</v>
      </c>
      <c r="L3737" s="75">
        <f>K3737*'THAM_SO_MOI'!$C$53*'THAM_SO_MOI'!$C$17/'THAM_SO_MOI'!$C$26</f>
        <v>3748.4719400704207</v>
      </c>
      <c r="M3737" s="75">
        <f>'THAM_SO_MOI'!$C$15*'THAM_SO_MOI'!$C$16*F3737^2</f>
        <v>1122.732596307096</v>
      </c>
      <c r="N3737" s="75">
        <f>'THAM_SO_MOI'!$C$12*I3737</f>
        <v>1130.112</v>
      </c>
      <c r="O3737" s="75">
        <f>M3737+N3737</f>
        <v>2252.8445963070963</v>
      </c>
      <c r="P3737" s="75">
        <f>(MIN(L3737,'THAM_SO_MOI'!$C$41)-O3737)/('THAM_SO_MOI'!$C$11*H3737)</f>
        <v>0.17703922156289353</v>
      </c>
      <c r="Q3737" s="75">
        <f>IF(P3737&gt;0,1/P3737,NA())</f>
        <v>5.648465866332043</v>
      </c>
      <c r="R3737" s="75">
        <f>F3737-F3736</f>
        <v>0.0073885545698715305</v>
      </c>
      <c r="S3737" s="75">
        <f>0.5*(Q3736+Q3737)*R3737</f>
        <v>0.04172423585867026</v>
      </c>
      <c r="T3737" s="75">
        <f>0.5*(F3736*Q3736+F3737*Q3737)*R3737</f>
        <v>0.8173004581154593</v>
      </c>
      <c r="U3737" s="76">
        <f>U3736+S3737</f>
        <v>45.513838370492294</v>
      </c>
      <c r="V3737" s="76">
        <f>V3736+T3737</f>
        <v>590.4089870075104</v>
      </c>
    </row>
    <row r="3738" spans="1:22" ht="19" customHeight="1">
      <c r="A3738" s="68" t="s">
        <v>378</v>
      </c>
      <c r="B3738" s="74">
        <v>5</v>
      </c>
      <c r="C3738" s="68" t="s">
        <v>363</v>
      </c>
      <c r="D3738" s="68" t="s">
        <v>364</v>
      </c>
      <c r="E3738" s="75">
        <f>60*F3738*'THAM_SO_MOI'!$C$53/(2*PI()*'THAM_SO_MOI'!$C$26)</f>
        <v>1931.0398051321183</v>
      </c>
      <c r="F3738" s="75">
        <f>'HANH_TRINH'!$F$3289+('THAM_SO_MOI'!$C$14-'HANH_TRINH'!$F$3289)*448/'THAM_SO_MOI'!$C$42</f>
        <v>19.59922879140505</v>
      </c>
      <c r="G3738" s="75">
        <f>3.6*F3738</f>
        <v>70.55722364905819</v>
      </c>
      <c r="H3738" s="75">
        <f>'THAM_SO_MOI'!$D$53</f>
        <v>1.1</v>
      </c>
      <c r="I3738" s="75">
        <f>IF(F3738&gt;'THAM_SO_MOI'!$C$14,'THAM_SO_MOI'!$C$13*(1+F3738^2/1500),'THAM_SO_MOI'!$C$13)</f>
        <v>0.015</v>
      </c>
      <c r="J3738" s="75">
        <f>'THAM_SO_MOI'!$C$40*('THAM_SO_MOI'!$C$23*(E3738/'THAM_SO_MOI'!$C$22)+'THAM_SO_MOI'!$C$24*(E3738/'THAM_SO_MOI'!$C$22)^2-'THAM_SO_MOI'!$C$25*(E3738/'THAM_SO_MOI'!$C$22)^3)</f>
        <v>86.41901643397603</v>
      </c>
      <c r="K3738" s="75">
        <f>'THAM_SO_MOI'!$C$31*J3738/E3738</f>
        <v>427.4363093663244</v>
      </c>
      <c r="L3738" s="75">
        <f>K3738*'THAM_SO_MOI'!$C$53*'THAM_SO_MOI'!$C$17/'THAM_SO_MOI'!$C$26</f>
        <v>3748.6181056875034</v>
      </c>
      <c r="M3738" s="75">
        <f>'THAM_SO_MOI'!$C$15*'THAM_SO_MOI'!$C$16*F3738^2</f>
        <v>1123.579574962184</v>
      </c>
      <c r="N3738" s="75">
        <f>'THAM_SO_MOI'!$C$12*I3738</f>
        <v>1130.112</v>
      </c>
      <c r="O3738" s="75">
        <f>M3738+N3738</f>
        <v>2253.691574962184</v>
      </c>
      <c r="P3738" s="75">
        <f>(MIN(L3738,'THAM_SO_MOI'!$C$41)-O3738)/('THAM_SO_MOI'!$C$11*H3738)</f>
        <v>0.17695626547411447</v>
      </c>
      <c r="Q3738" s="75">
        <f>IF(P3738&gt;0,1/P3738,NA())</f>
        <v>5.651113834939527</v>
      </c>
      <c r="R3738" s="75">
        <f>F3738-F3737</f>
        <v>0.007388554569875083</v>
      </c>
      <c r="S3738" s="75">
        <f>0.5*(Q3737+Q3738)*R3738</f>
        <v>0.04174378061974889</v>
      </c>
      <c r="T3738" s="75">
        <f>0.5*(F3737*Q3737+F3738*Q3738)*R3738</f>
        <v>0.8179917300227882</v>
      </c>
      <c r="U3738" s="76">
        <f>U3737+S3738</f>
        <v>45.55558215111204</v>
      </c>
      <c r="V3738" s="76">
        <f>V3737+T3738</f>
        <v>591.2269787375332</v>
      </c>
    </row>
    <row r="3739" spans="1:22" ht="19" customHeight="1">
      <c r="A3739" s="68" t="s">
        <v>378</v>
      </c>
      <c r="B3739" s="74">
        <v>5</v>
      </c>
      <c r="C3739" s="68" t="s">
        <v>363</v>
      </c>
      <c r="D3739" s="68" t="s">
        <v>364</v>
      </c>
      <c r="E3739" s="75">
        <f>60*F3739*'THAM_SO_MOI'!$C$53/(2*PI()*'THAM_SO_MOI'!$C$26)</f>
        <v>1931.7677721928972</v>
      </c>
      <c r="F3739" s="75">
        <f>'HANH_TRINH'!$F$3289+('THAM_SO_MOI'!$C$14-'HANH_TRINH'!$F$3289)*449/'THAM_SO_MOI'!$C$42</f>
        <v>19.60661734597492</v>
      </c>
      <c r="G3739" s="75">
        <f>3.6*F3739</f>
        <v>70.58382244550972</v>
      </c>
      <c r="H3739" s="75">
        <f>'THAM_SO_MOI'!$D$53</f>
        <v>1.1</v>
      </c>
      <c r="I3739" s="75">
        <f>IF(F3739&gt;'THAM_SO_MOI'!$C$14,'THAM_SO_MOI'!$C$13*(1+F3739^2/1500),'THAM_SO_MOI'!$C$13)</f>
        <v>0.015</v>
      </c>
      <c r="J3739" s="75">
        <f>'THAM_SO_MOI'!$C$40*('THAM_SO_MOI'!$C$23*(E3739/'THAM_SO_MOI'!$C$22)+'THAM_SO_MOI'!$C$24*(E3739/'THAM_SO_MOI'!$C$22)^2-'THAM_SO_MOI'!$C$25*(E3739/'THAM_SO_MOI'!$C$22)^3)</f>
        <v>86.45495534998118</v>
      </c>
      <c r="K3739" s="75">
        <f>'THAM_SO_MOI'!$C$31*J3739/E3739</f>
        <v>427.4529244941703</v>
      </c>
      <c r="L3739" s="75">
        <f>K3739*'THAM_SO_MOI'!$C$53*'THAM_SO_MOI'!$C$17/'THAM_SO_MOI'!$C$26</f>
        <v>3748.763820423727</v>
      </c>
      <c r="M3739" s="75">
        <f>'THAM_SO_MOI'!$C$15*'THAM_SO_MOI'!$C$16*F3739^2</f>
        <v>1124.4268729730927</v>
      </c>
      <c r="N3739" s="75">
        <f>'THAM_SO_MOI'!$C$12*I3739</f>
        <v>1130.112</v>
      </c>
      <c r="O3739" s="75">
        <f>M3739+N3739</f>
        <v>2254.538872973093</v>
      </c>
      <c r="P3739" s="75">
        <f>(MIN(L3739,'THAM_SO_MOI'!$C$41)-O3739)/('THAM_SO_MOI'!$C$11*H3739)</f>
        <v>0.17687321821148608</v>
      </c>
      <c r="Q3739" s="75">
        <f>IF(P3739&gt;0,1/P3739,NA())</f>
        <v>5.65376720179483</v>
      </c>
      <c r="R3739" s="75">
        <f>F3739-F3738</f>
        <v>0.0073885545698715305</v>
      </c>
      <c r="S3739" s="75">
        <f>0.5*(Q3738+Q3739)*R3739</f>
        <v>0.04176336522290882</v>
      </c>
      <c r="T3739" s="75">
        <f>0.5*(F3738*Q3738+F3739*Q3739)*R3739</f>
        <v>0.8186840717665985</v>
      </c>
      <c r="U3739" s="76">
        <f>U3738+S3739</f>
        <v>45.59734551633495</v>
      </c>
      <c r="V3739" s="76">
        <f>V3738+T3739</f>
        <v>592.0456628092998</v>
      </c>
    </row>
    <row r="3740" spans="1:22" ht="19" customHeight="1">
      <c r="A3740" s="68" t="s">
        <v>378</v>
      </c>
      <c r="B3740" s="74">
        <v>5</v>
      </c>
      <c r="C3740" s="68" t="s">
        <v>363</v>
      </c>
      <c r="D3740" s="68" t="s">
        <v>364</v>
      </c>
      <c r="E3740" s="75">
        <f>60*F3740*'THAM_SO_MOI'!$C$53/(2*PI()*'THAM_SO_MOI'!$C$26)</f>
        <v>1932.495739253676</v>
      </c>
      <c r="F3740" s="75">
        <f>'HANH_TRINH'!$F$3289+('THAM_SO_MOI'!$C$14-'HANH_TRINH'!$F$3289)*450/'THAM_SO_MOI'!$C$42</f>
        <v>19.614005900544793</v>
      </c>
      <c r="G3740" s="75">
        <f>3.6*F3740</f>
        <v>70.61042124196126</v>
      </c>
      <c r="H3740" s="75">
        <f>'THAM_SO_MOI'!$D$53</f>
        <v>1.1</v>
      </c>
      <c r="I3740" s="75">
        <f>IF(F3740&gt;'THAM_SO_MOI'!$C$14,'THAM_SO_MOI'!$C$13*(1+F3740^2/1500),'THAM_SO_MOI'!$C$13)</f>
        <v>0.015</v>
      </c>
      <c r="J3740" s="75">
        <f>'THAM_SO_MOI'!$C$40*('THAM_SO_MOI'!$C$23*(E3740/'THAM_SO_MOI'!$C$22)+'THAM_SO_MOI'!$C$24*(E3740/'THAM_SO_MOI'!$C$22)^2-'THAM_SO_MOI'!$C$25*(E3740/'THAM_SO_MOI'!$C$22)^3)</f>
        <v>86.49088639648616</v>
      </c>
      <c r="K3740" s="75">
        <f>'THAM_SO_MOI'!$C$31*J3740/E3740</f>
        <v>427.46948821031083</v>
      </c>
      <c r="L3740" s="75">
        <f>K3740*'THAM_SO_MOI'!$C$53*'THAM_SO_MOI'!$C$17/'THAM_SO_MOI'!$C$26</f>
        <v>3748.9090842790924</v>
      </c>
      <c r="M3740" s="75">
        <f>'THAM_SO_MOI'!$C$15*'THAM_SO_MOI'!$C$16*F3740^2</f>
        <v>1125.2744903398225</v>
      </c>
      <c r="N3740" s="75">
        <f>'THAM_SO_MOI'!$C$12*I3740</f>
        <v>1130.112</v>
      </c>
      <c r="O3740" s="75">
        <f>M3740+N3740</f>
        <v>2255.3864903398226</v>
      </c>
      <c r="P3740" s="75">
        <f>(MIN(L3740,'THAM_SO_MOI'!$C$41)-O3740)/('THAM_SO_MOI'!$C$11*H3740)</f>
        <v>0.17679007977500827</v>
      </c>
      <c r="Q3740" s="75">
        <f>IF(P3740&gt;0,1/P3740,NA())</f>
        <v>5.656425978610616</v>
      </c>
      <c r="R3740" s="75">
        <f>F3740-F3739</f>
        <v>0.0073885545698715305</v>
      </c>
      <c r="S3740" s="75">
        <f>0.5*(Q3739+Q3740)*R3740</f>
        <v>0.04178298975460724</v>
      </c>
      <c r="T3740" s="75">
        <f>0.5*(F3739*Q3739+F3740*Q3740)*R3740</f>
        <v>0.8193774859254694</v>
      </c>
      <c r="U3740" s="76">
        <f>U3739+S3740</f>
        <v>45.639128506089556</v>
      </c>
      <c r="V3740" s="76">
        <f>V3739+T3740</f>
        <v>592.8650402952252</v>
      </c>
    </row>
    <row r="3741" spans="1:22" ht="19" customHeight="1">
      <c r="A3741" s="68" t="s">
        <v>378</v>
      </c>
      <c r="B3741" s="74">
        <v>5</v>
      </c>
      <c r="C3741" s="68" t="s">
        <v>363</v>
      </c>
      <c r="D3741" s="68" t="s">
        <v>364</v>
      </c>
      <c r="E3741" s="75">
        <f>60*F3741*'THAM_SO_MOI'!$C$53/(2*PI()*'THAM_SO_MOI'!$C$26)</f>
        <v>1933.2237063144548</v>
      </c>
      <c r="F3741" s="75">
        <f>'HANH_TRINH'!$F$3289+('THAM_SO_MOI'!$C$14-'HANH_TRINH'!$F$3289)*451/'THAM_SO_MOI'!$C$42</f>
        <v>19.621394455114665</v>
      </c>
      <c r="G3741" s="75">
        <f>3.6*F3741</f>
        <v>70.6370200384128</v>
      </c>
      <c r="H3741" s="75">
        <f>'THAM_SO_MOI'!$D$53</f>
        <v>1.1</v>
      </c>
      <c r="I3741" s="75">
        <f>IF(F3741&gt;'THAM_SO_MOI'!$C$14,'THAM_SO_MOI'!$C$13*(1+F3741^2/1500),'THAM_SO_MOI'!$C$13)</f>
        <v>0.015</v>
      </c>
      <c r="J3741" s="75">
        <f>'THAM_SO_MOI'!$C$40*('THAM_SO_MOI'!$C$23*(E3741/'THAM_SO_MOI'!$C$22)+'THAM_SO_MOI'!$C$24*(E3741/'THAM_SO_MOI'!$C$22)^2-'THAM_SO_MOI'!$C$25*(E3741/'THAM_SO_MOI'!$C$22)^3)</f>
        <v>86.52680956173549</v>
      </c>
      <c r="K3741" s="75">
        <f>'THAM_SO_MOI'!$C$31*J3741/E3741</f>
        <v>427.48600051474585</v>
      </c>
      <c r="L3741" s="75">
        <f>K3741*'THAM_SO_MOI'!$C$53*'THAM_SO_MOI'!$C$17/'THAM_SO_MOI'!$C$26</f>
        <v>3749.0538972536</v>
      </c>
      <c r="M3741" s="75">
        <f>'THAM_SO_MOI'!$C$15*'THAM_SO_MOI'!$C$16*F3741^2</f>
        <v>1126.1224270623732</v>
      </c>
      <c r="N3741" s="75">
        <f>'THAM_SO_MOI'!$C$12*I3741</f>
        <v>1130.112</v>
      </c>
      <c r="O3741" s="75">
        <f>M3741+N3741</f>
        <v>2256.2344270623735</v>
      </c>
      <c r="P3741" s="75">
        <f>(MIN(L3741,'THAM_SO_MOI'!$C$41)-O3741)/('THAM_SO_MOI'!$C$11*H3741)</f>
        <v>0.17670685016468124</v>
      </c>
      <c r="Q3741" s="75">
        <f>IF(P3741&gt;0,1/P3741,NA())</f>
        <v>5.659090177138317</v>
      </c>
      <c r="R3741" s="75">
        <f>F3741-F3740</f>
        <v>0.0073885545698715305</v>
      </c>
      <c r="S3741" s="75">
        <f>0.5*(Q3740+Q3741)*R3741</f>
        <v>0.04180265430150696</v>
      </c>
      <c r="T3741" s="75">
        <f>0.5*(F3740*Q3740+F3741*Q3741)*R3741</f>
        <v>0.8200719750845692</v>
      </c>
      <c r="U3741" s="76">
        <f>U3740+S3741</f>
        <v>45.68093116039106</v>
      </c>
      <c r="V3741" s="76">
        <f>V3740+T3741</f>
        <v>593.6851122703098</v>
      </c>
    </row>
    <row r="3742" spans="1:22" ht="19" customHeight="1">
      <c r="A3742" s="68" t="s">
        <v>378</v>
      </c>
      <c r="B3742" s="74">
        <v>5</v>
      </c>
      <c r="C3742" s="68" t="s">
        <v>363</v>
      </c>
      <c r="D3742" s="68" t="s">
        <v>364</v>
      </c>
      <c r="E3742" s="75">
        <f>60*F3742*'THAM_SO_MOI'!$C$53/(2*PI()*'THAM_SO_MOI'!$C$26)</f>
        <v>1933.9516733752341</v>
      </c>
      <c r="F3742" s="75">
        <f>'HANH_TRINH'!$F$3289+('THAM_SO_MOI'!$C$14-'HANH_TRINH'!$F$3289)*452/'THAM_SO_MOI'!$C$42</f>
        <v>19.628783009684536</v>
      </c>
      <c r="G3742" s="75">
        <f>3.6*F3742</f>
        <v>70.66361883486434</v>
      </c>
      <c r="H3742" s="75">
        <f>'THAM_SO_MOI'!$D$53</f>
        <v>1.1</v>
      </c>
      <c r="I3742" s="75">
        <f>IF(F3742&gt;'THAM_SO_MOI'!$C$14,'THAM_SO_MOI'!$C$13*(1+F3742^2/1500),'THAM_SO_MOI'!$C$13)</f>
        <v>0.015</v>
      </c>
      <c r="J3742" s="75">
        <f>'THAM_SO_MOI'!$C$40*('THAM_SO_MOI'!$C$23*(E3742/'THAM_SO_MOI'!$C$22)+'THAM_SO_MOI'!$C$24*(E3742/'THAM_SO_MOI'!$C$22)^2-'THAM_SO_MOI'!$C$25*(E3742/'THAM_SO_MOI'!$C$22)^3)</f>
        <v>86.56272483397365</v>
      </c>
      <c r="K3742" s="75">
        <f>'THAM_SO_MOI'!$C$31*J3742/E3742</f>
        <v>427.5024614074755</v>
      </c>
      <c r="L3742" s="75">
        <f>K3742*'THAM_SO_MOI'!$C$53*'THAM_SO_MOI'!$C$17/'THAM_SO_MOI'!$C$26</f>
        <v>3749.19825934725</v>
      </c>
      <c r="M3742" s="75">
        <f>'THAM_SO_MOI'!$C$15*'THAM_SO_MOI'!$C$16*F3742^2</f>
        <v>1126.970683140745</v>
      </c>
      <c r="N3742" s="75">
        <f>'THAM_SO_MOI'!$C$12*I3742</f>
        <v>1130.112</v>
      </c>
      <c r="O3742" s="75">
        <f>M3742+N3742</f>
        <v>2257.082683140745</v>
      </c>
      <c r="P3742" s="75">
        <f>(MIN(L3742,'THAM_SO_MOI'!$C$41)-O3742)/('THAM_SO_MOI'!$C$11*H3742)</f>
        <v>0.1766235293805048</v>
      </c>
      <c r="Q3742" s="75">
        <f>IF(P3742&gt;0,1/P3742,NA())</f>
        <v>5.661759809168308</v>
      </c>
      <c r="R3742" s="75">
        <f>F3742-F3741</f>
        <v>0.0073885545698715305</v>
      </c>
      <c r="S3742" s="75">
        <f>0.5*(Q3741+Q3742)*R3742</f>
        <v>0.04182235895057794</v>
      </c>
      <c r="T3742" s="75">
        <f>0.5*(F3741*Q3741+F3742*Q3742)*R3742</f>
        <v>0.8207675418376548</v>
      </c>
      <c r="U3742" s="76">
        <f>U3741+S3742</f>
        <v>45.72275351934164</v>
      </c>
      <c r="V3742" s="76">
        <f>V3741+T3742</f>
        <v>594.5058798121474</v>
      </c>
    </row>
    <row r="3743" spans="1:22" ht="19" customHeight="1">
      <c r="A3743" s="68" t="s">
        <v>378</v>
      </c>
      <c r="B3743" s="74">
        <v>5</v>
      </c>
      <c r="C3743" s="68" t="s">
        <v>363</v>
      </c>
      <c r="D3743" s="68" t="s">
        <v>364</v>
      </c>
      <c r="E3743" s="75">
        <f>60*F3743*'THAM_SO_MOI'!$C$53/(2*PI()*'THAM_SO_MOI'!$C$26)</f>
        <v>1934.679640436013</v>
      </c>
      <c r="F3743" s="75">
        <f>'HANH_TRINH'!$F$3289+('THAM_SO_MOI'!$C$14-'HANH_TRINH'!$F$3289)*453/'THAM_SO_MOI'!$C$42</f>
        <v>19.636171564254408</v>
      </c>
      <c r="G3743" s="75">
        <f>3.6*F3743</f>
        <v>70.69021763131587</v>
      </c>
      <c r="H3743" s="75">
        <f>'THAM_SO_MOI'!$D$53</f>
        <v>1.1</v>
      </c>
      <c r="I3743" s="75">
        <f>IF(F3743&gt;'THAM_SO_MOI'!$C$14,'THAM_SO_MOI'!$C$13*(1+F3743^2/1500),'THAM_SO_MOI'!$C$13)</f>
        <v>0.015</v>
      </c>
      <c r="J3743" s="75">
        <f>'THAM_SO_MOI'!$C$40*('THAM_SO_MOI'!$C$23*(E3743/'THAM_SO_MOI'!$C$22)+'THAM_SO_MOI'!$C$24*(E3743/'THAM_SO_MOI'!$C$22)^2-'THAM_SO_MOI'!$C$25*(E3743/'THAM_SO_MOI'!$C$22)^3)</f>
        <v>86.5986322014451</v>
      </c>
      <c r="K3743" s="75">
        <f>'THAM_SO_MOI'!$C$31*J3743/E3743</f>
        <v>427.5188708884998</v>
      </c>
      <c r="L3743" s="75">
        <f>K3743*'THAM_SO_MOI'!$C$53*'THAM_SO_MOI'!$C$17/'THAM_SO_MOI'!$C$26</f>
        <v>3749.342170560043</v>
      </c>
      <c r="M3743" s="75">
        <f>'THAM_SO_MOI'!$C$15*'THAM_SO_MOI'!$C$16*F3743^2</f>
        <v>1127.8192585749377</v>
      </c>
      <c r="N3743" s="75">
        <f>'THAM_SO_MOI'!$C$12*I3743</f>
        <v>1130.112</v>
      </c>
      <c r="O3743" s="75">
        <f>M3743+N3743</f>
        <v>2257.9312585749376</v>
      </c>
      <c r="P3743" s="75">
        <f>(MIN(L3743,'THAM_SO_MOI'!$C$41)-O3743)/('THAM_SO_MOI'!$C$11*H3743)</f>
        <v>0.17654011742247935</v>
      </c>
      <c r="Q3743" s="75">
        <f>IF(P3743&gt;0,1/P3743,NA())</f>
        <v>5.66443488653003</v>
      </c>
      <c r="R3743" s="75">
        <f>F3743-F3742</f>
        <v>0.0073885545698715305</v>
      </c>
      <c r="S3743" s="75">
        <f>0.5*(Q3742+Q3743)*R3743</f>
        <v>0.04184210378907832</v>
      </c>
      <c r="T3743" s="75">
        <f>0.5*(F3742*Q3742+F3743*Q3743)*R3743</f>
        <v>0.8214641887867117</v>
      </c>
      <c r="U3743" s="76">
        <f>U3742+S3743</f>
        <v>45.76459562313072</v>
      </c>
      <c r="V3743" s="76">
        <f>V3742+T3743</f>
        <v>595.3273440009342</v>
      </c>
    </row>
    <row r="3744" spans="1:22" ht="19" customHeight="1">
      <c r="A3744" s="68" t="s">
        <v>378</v>
      </c>
      <c r="B3744" s="74">
        <v>5</v>
      </c>
      <c r="C3744" s="68" t="s">
        <v>363</v>
      </c>
      <c r="D3744" s="68" t="s">
        <v>364</v>
      </c>
      <c r="E3744" s="75">
        <f>60*F3744*'THAM_SO_MOI'!$C$53/(2*PI()*'THAM_SO_MOI'!$C$26)</f>
        <v>1935.4076074967918</v>
      </c>
      <c r="F3744" s="75">
        <f>'HANH_TRINH'!$F$3289+('THAM_SO_MOI'!$C$14-'HANH_TRINH'!$F$3289)*454/'THAM_SO_MOI'!$C$42</f>
        <v>19.64356011882428</v>
      </c>
      <c r="G3744" s="75">
        <f>3.6*F3744</f>
        <v>70.71681642776741</v>
      </c>
      <c r="H3744" s="75">
        <f>'THAM_SO_MOI'!$D$53</f>
        <v>1.1</v>
      </c>
      <c r="I3744" s="75">
        <f>IF(F3744&gt;'THAM_SO_MOI'!$C$14,'THAM_SO_MOI'!$C$13*(1+F3744^2/1500),'THAM_SO_MOI'!$C$13)</f>
        <v>0.015</v>
      </c>
      <c r="J3744" s="75">
        <f>'THAM_SO_MOI'!$C$40*('THAM_SO_MOI'!$C$23*(E3744/'THAM_SO_MOI'!$C$22)+'THAM_SO_MOI'!$C$24*(E3744/'THAM_SO_MOI'!$C$22)^2-'THAM_SO_MOI'!$C$25*(E3744/'THAM_SO_MOI'!$C$22)^3)</f>
        <v>86.6345316523943</v>
      </c>
      <c r="K3744" s="75">
        <f>'THAM_SO_MOI'!$C$31*J3744/E3744</f>
        <v>427.5352289578184</v>
      </c>
      <c r="L3744" s="75">
        <f>K3744*'THAM_SO_MOI'!$C$53*'THAM_SO_MOI'!$C$17/'THAM_SO_MOI'!$C$26</f>
        <v>3749.4856308919752</v>
      </c>
      <c r="M3744" s="75">
        <f>'THAM_SO_MOI'!$C$15*'THAM_SO_MOI'!$C$16*F3744^2</f>
        <v>1128.6681533649514</v>
      </c>
      <c r="N3744" s="75">
        <f>'THAM_SO_MOI'!$C$12*I3744</f>
        <v>1130.112</v>
      </c>
      <c r="O3744" s="75">
        <f>M3744+N3744</f>
        <v>2258.7801533649517</v>
      </c>
      <c r="P3744" s="75">
        <f>(MIN(L3744,'THAM_SO_MOI'!$C$41)-O3744)/('THAM_SO_MOI'!$C$11*H3744)</f>
        <v>0.1764566142906041</v>
      </c>
      <c r="Q3744" s="75">
        <f>IF(P3744&gt;0,1/P3744,NA())</f>
        <v>5.667115421092196</v>
      </c>
      <c r="R3744" s="75">
        <f>F3744-F3743</f>
        <v>0.0073885545698715305</v>
      </c>
      <c r="S3744" s="75">
        <f>0.5*(Q3743+Q3744)*R3744</f>
        <v>0.04186188890455567</v>
      </c>
      <c r="T3744" s="75">
        <f>0.5*(F3743*Q3743+F3744*Q3744)*R3744</f>
        <v>0.8221619185419882</v>
      </c>
      <c r="U3744" s="76">
        <f>U3743+S3744</f>
        <v>45.80645751203527</v>
      </c>
      <c r="V3744" s="76">
        <f>V3743+T3744</f>
        <v>596.1495059194762</v>
      </c>
    </row>
    <row r="3745" spans="1:22" ht="19" customHeight="1">
      <c r="A3745" s="68" t="s">
        <v>378</v>
      </c>
      <c r="B3745" s="74">
        <v>5</v>
      </c>
      <c r="C3745" s="68" t="s">
        <v>363</v>
      </c>
      <c r="D3745" s="68" t="s">
        <v>364</v>
      </c>
      <c r="E3745" s="75">
        <f>60*F3745*'THAM_SO_MOI'!$C$53/(2*PI()*'THAM_SO_MOI'!$C$26)</f>
        <v>1936.1355745575709</v>
      </c>
      <c r="F3745" s="75">
        <f>'HANH_TRINH'!$F$3289+('THAM_SO_MOI'!$C$14-'HANH_TRINH'!$F$3289)*455/'THAM_SO_MOI'!$C$42</f>
        <v>19.650948673394154</v>
      </c>
      <c r="G3745" s="75">
        <f>3.6*F3745</f>
        <v>70.74341522421896</v>
      </c>
      <c r="H3745" s="75">
        <f>'THAM_SO_MOI'!$D$53</f>
        <v>1.1</v>
      </c>
      <c r="I3745" s="75">
        <f>IF(F3745&gt;'THAM_SO_MOI'!$C$14,'THAM_SO_MOI'!$C$13*(1+F3745^2/1500),'THAM_SO_MOI'!$C$13)</f>
        <v>0.015</v>
      </c>
      <c r="J3745" s="75">
        <f>'THAM_SO_MOI'!$C$40*('THAM_SO_MOI'!$C$23*(E3745/'THAM_SO_MOI'!$C$22)+'THAM_SO_MOI'!$C$24*(E3745/'THAM_SO_MOI'!$C$22)^2-'THAM_SO_MOI'!$C$25*(E3745/'THAM_SO_MOI'!$C$22)^3)</f>
        <v>86.67042317506586</v>
      </c>
      <c r="K3745" s="75">
        <f>'THAM_SO_MOI'!$C$31*J3745/E3745</f>
        <v>427.55153561543204</v>
      </c>
      <c r="L3745" s="75">
        <f>K3745*'THAM_SO_MOI'!$C$53*'THAM_SO_MOI'!$C$17/'THAM_SO_MOI'!$C$26</f>
        <v>3749.6286403430545</v>
      </c>
      <c r="M3745" s="75">
        <f>'THAM_SO_MOI'!$C$15*'THAM_SO_MOI'!$C$16*F3745^2</f>
        <v>1129.5173675107867</v>
      </c>
      <c r="N3745" s="75">
        <f>'THAM_SO_MOI'!$C$12*I3745</f>
        <v>1130.112</v>
      </c>
      <c r="O3745" s="75">
        <f>M3745+N3745</f>
        <v>2259.629367510787</v>
      </c>
      <c r="P3745" s="75">
        <f>(MIN(L3745,'THAM_SO_MOI'!$C$41)-O3745)/('THAM_SO_MOI'!$C$11*H3745)</f>
        <v>0.17637301998488017</v>
      </c>
      <c r="Q3745" s="75">
        <f>IF(P3745&gt;0,1/P3745,NA())</f>
        <v>5.6698014247628485</v>
      </c>
      <c r="R3745" s="75">
        <f>F3745-F3744</f>
        <v>0.007388554569875083</v>
      </c>
      <c r="S3745" s="75">
        <f>0.5*(Q3744+Q3745)*R3745</f>
        <v>0.04188171438486805</v>
      </c>
      <c r="T3745" s="75">
        <f>0.5*(F3744*Q3744+F3745*Q3745)*R3745</f>
        <v>0.8228607337224205</v>
      </c>
      <c r="U3745" s="76">
        <f>U3744+S3745</f>
        <v>45.848339226420144</v>
      </c>
      <c r="V3745" s="76">
        <f>V3744+T3745</f>
        <v>596.9723666531986</v>
      </c>
    </row>
    <row r="3746" spans="1:22" ht="19" customHeight="1">
      <c r="A3746" s="68" t="s">
        <v>378</v>
      </c>
      <c r="B3746" s="74">
        <v>5</v>
      </c>
      <c r="C3746" s="68" t="s">
        <v>363</v>
      </c>
      <c r="D3746" s="68" t="s">
        <v>364</v>
      </c>
      <c r="E3746" s="75">
        <f>60*F3746*'THAM_SO_MOI'!$C$53/(2*PI()*'THAM_SO_MOI'!$C$26)</f>
        <v>1936.8635416183502</v>
      </c>
      <c r="F3746" s="75">
        <f>'HANH_TRINH'!$F$3289+('THAM_SO_MOI'!$C$14-'HANH_TRINH'!$F$3289)*456/'THAM_SO_MOI'!$C$42</f>
        <v>19.658337227964026</v>
      </c>
      <c r="G3746" s="75">
        <f>3.6*F3746</f>
        <v>70.7700140206705</v>
      </c>
      <c r="H3746" s="75">
        <f>'THAM_SO_MOI'!$D$53</f>
        <v>1.1</v>
      </c>
      <c r="I3746" s="75">
        <f>IF(F3746&gt;'THAM_SO_MOI'!$C$14,'THAM_SO_MOI'!$C$13*(1+F3746^2/1500),'THAM_SO_MOI'!$C$13)</f>
        <v>0.015</v>
      </c>
      <c r="J3746" s="75">
        <f>'THAM_SO_MOI'!$C$40*('THAM_SO_MOI'!$C$23*(E3746/'THAM_SO_MOI'!$C$22)+'THAM_SO_MOI'!$C$24*(E3746/'THAM_SO_MOI'!$C$22)^2-'THAM_SO_MOI'!$C$25*(E3746/'THAM_SO_MOI'!$C$22)^3)</f>
        <v>86.70630675770411</v>
      </c>
      <c r="K3746" s="75">
        <f>'THAM_SO_MOI'!$C$31*J3746/E3746</f>
        <v>427.56779086133986</v>
      </c>
      <c r="L3746" s="75">
        <f>K3746*'THAM_SO_MOI'!$C$53*'THAM_SO_MOI'!$C$17/'THAM_SO_MOI'!$C$26</f>
        <v>3749.7711989132727</v>
      </c>
      <c r="M3746" s="75">
        <f>'THAM_SO_MOI'!$C$15*'THAM_SO_MOI'!$C$16*F3746^2</f>
        <v>1130.3669010124424</v>
      </c>
      <c r="N3746" s="75">
        <f>'THAM_SO_MOI'!$C$12*I3746</f>
        <v>1130.112</v>
      </c>
      <c r="O3746" s="75">
        <f>M3746+N3746</f>
        <v>2260.4789010124423</v>
      </c>
      <c r="P3746" s="75">
        <f>(MIN(L3746,'THAM_SO_MOI'!$C$41)-O3746)/('THAM_SO_MOI'!$C$11*H3746)</f>
        <v>0.17628933450530657</v>
      </c>
      <c r="Q3746" s="75">
        <f>IF(P3746&gt;0,1/P3746,NA())</f>
        <v>5.672492909489646</v>
      </c>
      <c r="R3746" s="75">
        <f>F3746-F3745</f>
        <v>0.0073885545698715305</v>
      </c>
      <c r="S3746" s="75">
        <f>0.5*(Q3745+Q3746)*R3746</f>
        <v>0.04190158031808462</v>
      </c>
      <c r="T3746" s="75">
        <f>0.5*(F3745*Q3745+F3746*Q3746)*R3746</f>
        <v>0.8235606369536904</v>
      </c>
      <c r="U3746" s="76">
        <f>U3745+S3746</f>
        <v>45.89024080673823</v>
      </c>
      <c r="V3746" s="76">
        <f>V3745+T3746</f>
        <v>597.7959272901523</v>
      </c>
    </row>
    <row r="3747" spans="1:22" ht="19" customHeight="1">
      <c r="A3747" s="68" t="s">
        <v>378</v>
      </c>
      <c r="B3747" s="74">
        <v>5</v>
      </c>
      <c r="C3747" s="68" t="s">
        <v>363</v>
      </c>
      <c r="D3747" s="68" t="s">
        <v>364</v>
      </c>
      <c r="E3747" s="75">
        <f>60*F3747*'THAM_SO_MOI'!$C$53/(2*PI()*'THAM_SO_MOI'!$C$26)</f>
        <v>1937.591508679129</v>
      </c>
      <c r="F3747" s="75">
        <f>'HANH_TRINH'!$F$3289+('THAM_SO_MOI'!$C$14-'HANH_TRINH'!$F$3289)*457/'THAM_SO_MOI'!$C$42</f>
        <v>19.665725782533897</v>
      </c>
      <c r="G3747" s="75">
        <f>3.6*F3747</f>
        <v>70.79661281712204</v>
      </c>
      <c r="H3747" s="75">
        <f>'THAM_SO_MOI'!$D$53</f>
        <v>1.1</v>
      </c>
      <c r="I3747" s="75">
        <f>IF(F3747&gt;'THAM_SO_MOI'!$C$14,'THAM_SO_MOI'!$C$13*(1+F3747^2/1500),'THAM_SO_MOI'!$C$13)</f>
        <v>0.015</v>
      </c>
      <c r="J3747" s="75">
        <f>'THAM_SO_MOI'!$C$40*('THAM_SO_MOI'!$C$23*(E3747/'THAM_SO_MOI'!$C$22)+'THAM_SO_MOI'!$C$24*(E3747/'THAM_SO_MOI'!$C$22)^2-'THAM_SO_MOI'!$C$25*(E3747/'THAM_SO_MOI'!$C$22)^3)</f>
        <v>86.74218238855366</v>
      </c>
      <c r="K3747" s="75">
        <f>'THAM_SO_MOI'!$C$31*J3747/E3747</f>
        <v>427.5839946955426</v>
      </c>
      <c r="L3747" s="75">
        <f>K3747*'THAM_SO_MOI'!$C$53*'THAM_SO_MOI'!$C$17/'THAM_SO_MOI'!$C$26</f>
        <v>3749.9133066026347</v>
      </c>
      <c r="M3747" s="75">
        <f>'THAM_SO_MOI'!$C$15*'THAM_SO_MOI'!$C$16*F3747^2</f>
        <v>1131.216753869919</v>
      </c>
      <c r="N3747" s="75">
        <f>'THAM_SO_MOI'!$C$12*I3747</f>
        <v>1130.112</v>
      </c>
      <c r="O3747" s="75">
        <f>M3747+N3747</f>
        <v>2261.328753869919</v>
      </c>
      <c r="P3747" s="75">
        <f>(MIN(L3747,'THAM_SO_MOI'!$C$41)-O3747)/('THAM_SO_MOI'!$C$11*H3747)</f>
        <v>0.17620555785188394</v>
      </c>
      <c r="Q3747" s="75">
        <f>IF(P3747&gt;0,1/P3747,NA())</f>
        <v>5.6751898872598945</v>
      </c>
      <c r="R3747" s="75">
        <f>F3747-F3746</f>
        <v>0.0073885545698715305</v>
      </c>
      <c r="S3747" s="75">
        <f>0.5*(Q3746+Q3747)*R3747</f>
        <v>0.04192148679268819</v>
      </c>
      <c r="T3747" s="75">
        <f>0.5*(F3746*Q3746+F3747*Q3747)*R3747</f>
        <v>0.8242616308722154</v>
      </c>
      <c r="U3747" s="76">
        <f>U3746+S3747</f>
        <v>45.932162293530915</v>
      </c>
      <c r="V3747" s="76">
        <f>V3746+T3747</f>
        <v>598.6201889210246</v>
      </c>
    </row>
    <row r="3748" spans="1:22" ht="19" customHeight="1">
      <c r="A3748" s="68" t="s">
        <v>378</v>
      </c>
      <c r="B3748" s="74">
        <v>5</v>
      </c>
      <c r="C3748" s="68" t="s">
        <v>363</v>
      </c>
      <c r="D3748" s="68" t="s">
        <v>364</v>
      </c>
      <c r="E3748" s="75">
        <f>60*F3748*'THAM_SO_MOI'!$C$53/(2*PI()*'THAM_SO_MOI'!$C$26)</f>
        <v>1938.3194757399078</v>
      </c>
      <c r="F3748" s="75">
        <f>'HANH_TRINH'!$F$3289+('THAM_SO_MOI'!$C$14-'HANH_TRINH'!$F$3289)*458/'THAM_SO_MOI'!$C$42</f>
        <v>19.67311433710377</v>
      </c>
      <c r="G3748" s="75">
        <f>3.6*F3748</f>
        <v>70.82321161357358</v>
      </c>
      <c r="H3748" s="75">
        <f>'THAM_SO_MOI'!$D$53</f>
        <v>1.1</v>
      </c>
      <c r="I3748" s="75">
        <f>IF(F3748&gt;'THAM_SO_MOI'!$C$14,'THAM_SO_MOI'!$C$13*(1+F3748^2/1500),'THAM_SO_MOI'!$C$13)</f>
        <v>0.015</v>
      </c>
      <c r="J3748" s="75">
        <f>'THAM_SO_MOI'!$C$40*('THAM_SO_MOI'!$C$23*(E3748/'THAM_SO_MOI'!$C$22)+'THAM_SO_MOI'!$C$24*(E3748/'THAM_SO_MOI'!$C$22)^2-'THAM_SO_MOI'!$C$25*(E3748/'THAM_SO_MOI'!$C$22)^3)</f>
        <v>86.77805005585883</v>
      </c>
      <c r="K3748" s="75">
        <f>'THAM_SO_MOI'!$C$31*J3748/E3748</f>
        <v>427.6001471180394</v>
      </c>
      <c r="L3748" s="75">
        <f>K3748*'THAM_SO_MOI'!$C$53*'THAM_SO_MOI'!$C$17/'THAM_SO_MOI'!$C$26</f>
        <v>3750.0549634111358</v>
      </c>
      <c r="M3748" s="75">
        <f>'THAM_SO_MOI'!$C$15*'THAM_SO_MOI'!$C$16*F3748^2</f>
        <v>1132.066926083217</v>
      </c>
      <c r="N3748" s="75">
        <f>'THAM_SO_MOI'!$C$12*I3748</f>
        <v>1130.112</v>
      </c>
      <c r="O3748" s="75">
        <f>M3748+N3748</f>
        <v>2262.178926083217</v>
      </c>
      <c r="P3748" s="75">
        <f>(MIN(L3748,'THAM_SO_MOI'!$C$41)-O3748)/('THAM_SO_MOI'!$C$11*H3748)</f>
        <v>0.1761216900246116</v>
      </c>
      <c r="Q3748" s="75">
        <f>IF(P3748&gt;0,1/P3748,NA())</f>
        <v>5.677892370100798</v>
      </c>
      <c r="R3748" s="75">
        <f>F3748-F3747</f>
        <v>0.0073885545698715305</v>
      </c>
      <c r="S3748" s="75">
        <f>0.5*(Q3747+Q3748)*R3748</f>
        <v>0.04194143389737487</v>
      </c>
      <c r="T3748" s="75">
        <f>0.5*(F3747*Q3747+F3748*Q3748)*R3748</f>
        <v>0.8249637181212243</v>
      </c>
      <c r="U3748" s="76">
        <f>U3747+S3748</f>
        <v>45.97410372742829</v>
      </c>
      <c r="V3748" s="76">
        <f>V3747+T3748</f>
        <v>599.4451526391458</v>
      </c>
    </row>
    <row r="3749" spans="1:22" ht="19" customHeight="1">
      <c r="A3749" s="68" t="s">
        <v>378</v>
      </c>
      <c r="B3749" s="74">
        <v>5</v>
      </c>
      <c r="C3749" s="68" t="s">
        <v>363</v>
      </c>
      <c r="D3749" s="68" t="s">
        <v>364</v>
      </c>
      <c r="E3749" s="75">
        <f>60*F3749*'THAM_SO_MOI'!$C$53/(2*PI()*'THAM_SO_MOI'!$C$26)</f>
        <v>1939.0474428006867</v>
      </c>
      <c r="F3749" s="75">
        <f>'HANH_TRINH'!$F$3289+('THAM_SO_MOI'!$C$14-'HANH_TRINH'!$F$3289)*459/'THAM_SO_MOI'!$C$42</f>
        <v>19.68050289167364</v>
      </c>
      <c r="G3749" s="75">
        <f>3.6*F3749</f>
        <v>70.84981041002511</v>
      </c>
      <c r="H3749" s="75">
        <f>'THAM_SO_MOI'!$D$53</f>
        <v>1.1</v>
      </c>
      <c r="I3749" s="75">
        <f>IF(F3749&gt;'THAM_SO_MOI'!$C$14,'THAM_SO_MOI'!$C$13*(1+F3749^2/1500),'THAM_SO_MOI'!$C$13)</f>
        <v>0.015</v>
      </c>
      <c r="J3749" s="75">
        <f>'THAM_SO_MOI'!$C$40*('THAM_SO_MOI'!$C$23*(E3749/'THAM_SO_MOI'!$C$22)+'THAM_SO_MOI'!$C$24*(E3749/'THAM_SO_MOI'!$C$22)^2-'THAM_SO_MOI'!$C$25*(E3749/'THAM_SO_MOI'!$C$22)^3)</f>
        <v>86.81390974786429</v>
      </c>
      <c r="K3749" s="75">
        <f>'THAM_SO_MOI'!$C$31*J3749/E3749</f>
        <v>427.61624812883116</v>
      </c>
      <c r="L3749" s="75">
        <f>K3749*'THAM_SO_MOI'!$C$53*'THAM_SO_MOI'!$C$17/'THAM_SO_MOI'!$C$26</f>
        <v>3750.1961693387825</v>
      </c>
      <c r="M3749" s="75">
        <f>'THAM_SO_MOI'!$C$15*'THAM_SO_MOI'!$C$16*F3749^2</f>
        <v>1132.9174176523356</v>
      </c>
      <c r="N3749" s="75">
        <f>'THAM_SO_MOI'!$C$12*I3749</f>
        <v>1130.112</v>
      </c>
      <c r="O3749" s="75">
        <f>M3749+N3749</f>
        <v>2263.0294176523357</v>
      </c>
      <c r="P3749" s="75">
        <f>(MIN(L3749,'THAM_SO_MOI'!$C$41)-O3749)/('THAM_SO_MOI'!$C$11*H3749)</f>
        <v>0.17603773102349038</v>
      </c>
      <c r="Q3749" s="75">
        <f>IF(P3749&gt;0,1/P3749,NA())</f>
        <v>5.680600370079529</v>
      </c>
      <c r="R3749" s="75">
        <f>F3749-F3748</f>
        <v>0.0073885545698715305</v>
      </c>
      <c r="S3749" s="75">
        <f>0.5*(Q3748+Q3749)*R3749</f>
        <v>0.04196142172115598</v>
      </c>
      <c r="T3749" s="75">
        <f>0.5*(F3748*Q3748+F3749*Q3749)*R3749</f>
        <v>0.825666901352769</v>
      </c>
      <c r="U3749" s="76">
        <f>U3748+S3749</f>
        <v>46.01606514914945</v>
      </c>
      <c r="V3749" s="76">
        <f>V3748+T3749</f>
        <v>600.2708195404986</v>
      </c>
    </row>
    <row r="3750" spans="1:22" ht="19" customHeight="1">
      <c r="A3750" s="68" t="s">
        <v>378</v>
      </c>
      <c r="B3750" s="74">
        <v>5</v>
      </c>
      <c r="C3750" s="68" t="s">
        <v>363</v>
      </c>
      <c r="D3750" s="68" t="s">
        <v>364</v>
      </c>
      <c r="E3750" s="75">
        <f>60*F3750*'THAM_SO_MOI'!$C$53/(2*PI()*'THAM_SO_MOI'!$C$26)</f>
        <v>1939.7754098614657</v>
      </c>
      <c r="F3750" s="75">
        <f>'HANH_TRINH'!$F$3289+('THAM_SO_MOI'!$C$14-'HANH_TRINH'!$F$3289)*460/'THAM_SO_MOI'!$C$42</f>
        <v>19.687891446243512</v>
      </c>
      <c r="G3750" s="75">
        <f>3.6*F3750</f>
        <v>70.87640920647665</v>
      </c>
      <c r="H3750" s="75">
        <f>'THAM_SO_MOI'!$D$53</f>
        <v>1.1</v>
      </c>
      <c r="I3750" s="75">
        <f>IF(F3750&gt;'THAM_SO_MOI'!$C$14,'THAM_SO_MOI'!$C$13*(1+F3750^2/1500),'THAM_SO_MOI'!$C$13)</f>
        <v>0.015</v>
      </c>
      <c r="J3750" s="75">
        <f>'THAM_SO_MOI'!$C$40*('THAM_SO_MOI'!$C$23*(E3750/'THAM_SO_MOI'!$C$22)+'THAM_SO_MOI'!$C$24*(E3750/'THAM_SO_MOI'!$C$22)^2-'THAM_SO_MOI'!$C$25*(E3750/'THAM_SO_MOI'!$C$22)^3)</f>
        <v>86.84976145281439</v>
      </c>
      <c r="K3750" s="75">
        <f>'THAM_SO_MOI'!$C$31*J3750/E3750</f>
        <v>427.63229772791726</v>
      </c>
      <c r="L3750" s="75">
        <f>K3750*'THAM_SO_MOI'!$C$53*'THAM_SO_MOI'!$C$17/'THAM_SO_MOI'!$C$26</f>
        <v>3750.336924385569</v>
      </c>
      <c r="M3750" s="75">
        <f>'THAM_SO_MOI'!$C$15*'THAM_SO_MOI'!$C$16*F3750^2</f>
        <v>1133.7682285772753</v>
      </c>
      <c r="N3750" s="75">
        <f>'THAM_SO_MOI'!$C$12*I3750</f>
        <v>1130.112</v>
      </c>
      <c r="O3750" s="75">
        <f>M3750+N3750</f>
        <v>2263.8802285772754</v>
      </c>
      <c r="P3750" s="75">
        <f>(MIN(L3750,'THAM_SO_MOI'!$C$41)-O3750)/('THAM_SO_MOI'!$C$11*H3750)</f>
        <v>0.17595368084851962</v>
      </c>
      <c r="Q3750" s="75">
        <f>IF(P3750&gt;0,1/P3750,NA())</f>
        <v>5.68331389930348</v>
      </c>
      <c r="R3750" s="75">
        <f>F3750-F3749</f>
        <v>0.0073885545698715305</v>
      </c>
      <c r="S3750" s="75">
        <f>0.5*(Q3749+Q3750)*R3750</f>
        <v>0.04198145035333906</v>
      </c>
      <c r="T3750" s="75">
        <f>0.5*(F3749*Q3749+F3750*Q3750)*R3750</f>
        <v>0.8263711832273629</v>
      </c>
      <c r="U3750" s="76">
        <f>U3749+S3750</f>
        <v>46.05804659950279</v>
      </c>
      <c r="V3750" s="76">
        <f>V3749+T3750</f>
        <v>601.0971907237259</v>
      </c>
    </row>
    <row r="3751" spans="1:22" ht="19" customHeight="1">
      <c r="A3751" s="68" t="s">
        <v>378</v>
      </c>
      <c r="B3751" s="74">
        <v>5</v>
      </c>
      <c r="C3751" s="68" t="s">
        <v>363</v>
      </c>
      <c r="D3751" s="68" t="s">
        <v>364</v>
      </c>
      <c r="E3751" s="75">
        <f>60*F3751*'THAM_SO_MOI'!$C$53/(2*PI()*'THAM_SO_MOI'!$C$26)</f>
        <v>1940.5033769222446</v>
      </c>
      <c r="F3751" s="75">
        <f>'HANH_TRINH'!$F$3289+('THAM_SO_MOI'!$C$14-'HANH_TRINH'!$F$3289)*461/'THAM_SO_MOI'!$C$42</f>
        <v>19.695280000813383</v>
      </c>
      <c r="G3751" s="75">
        <f>3.6*F3751</f>
        <v>70.90300800292819</v>
      </c>
      <c r="H3751" s="75">
        <f>'THAM_SO_MOI'!$D$53</f>
        <v>1.1</v>
      </c>
      <c r="I3751" s="75">
        <f>IF(F3751&gt;'THAM_SO_MOI'!$C$14,'THAM_SO_MOI'!$C$13*(1+F3751^2/1500),'THAM_SO_MOI'!$C$13)</f>
        <v>0.015</v>
      </c>
      <c r="J3751" s="75">
        <f>'THAM_SO_MOI'!$C$40*('THAM_SO_MOI'!$C$23*(E3751/'THAM_SO_MOI'!$C$22)+'THAM_SO_MOI'!$C$24*(E3751/'THAM_SO_MOI'!$C$22)^2-'THAM_SO_MOI'!$C$25*(E3751/'THAM_SO_MOI'!$C$22)^3)</f>
        <v>86.88560515895372</v>
      </c>
      <c r="K3751" s="75">
        <f>'THAM_SO_MOI'!$C$31*J3751/E3751</f>
        <v>427.64829591529815</v>
      </c>
      <c r="L3751" s="75">
        <f>K3751*'THAM_SO_MOI'!$C$53*'THAM_SO_MOI'!$C$17/'THAM_SO_MOI'!$C$26</f>
        <v>3750.4772285515005</v>
      </c>
      <c r="M3751" s="75">
        <f>'THAM_SO_MOI'!$C$15*'THAM_SO_MOI'!$C$16*F3751^2</f>
        <v>1134.619358858036</v>
      </c>
      <c r="N3751" s="75">
        <f>'THAM_SO_MOI'!$C$12*I3751</f>
        <v>1130.112</v>
      </c>
      <c r="O3751" s="75">
        <f>M3751+N3751</f>
        <v>2264.7313588580364</v>
      </c>
      <c r="P3751" s="75">
        <f>(MIN(L3751,'THAM_SO_MOI'!$C$41)-O3751)/('THAM_SO_MOI'!$C$11*H3751)</f>
        <v>0.17586953949969988</v>
      </c>
      <c r="Q3751" s="75">
        <f>IF(P3751&gt;0,1/P3751,NA())</f>
        <v>5.686032969920334</v>
      </c>
      <c r="R3751" s="75">
        <f>F3751-F3750</f>
        <v>0.0073885545698715305</v>
      </c>
      <c r="S3751" s="75">
        <f>0.5*(Q3750+Q3751)*R3751</f>
        <v>0.0420015198835291</v>
      </c>
      <c r="T3751" s="75">
        <f>0.5*(F3750*Q3750+F3751*Q3751)*R3751</f>
        <v>0.8270765664140161</v>
      </c>
      <c r="U3751" s="76">
        <f>U3750+S3751</f>
        <v>46.100048119386315</v>
      </c>
      <c r="V3751" s="76">
        <f>V3750+T3751</f>
        <v>601.9242672901399</v>
      </c>
    </row>
    <row r="3752" spans="1:22" ht="19" customHeight="1">
      <c r="A3752" s="68" t="s">
        <v>378</v>
      </c>
      <c r="B3752" s="74">
        <v>5</v>
      </c>
      <c r="C3752" s="68" t="s">
        <v>363</v>
      </c>
      <c r="D3752" s="68" t="s">
        <v>364</v>
      </c>
      <c r="E3752" s="75">
        <f>60*F3752*'THAM_SO_MOI'!$C$53/(2*PI()*'THAM_SO_MOI'!$C$26)</f>
        <v>1941.2313439830234</v>
      </c>
      <c r="F3752" s="75">
        <f>'HANH_TRINH'!$F$3289+('THAM_SO_MOI'!$C$14-'HANH_TRINH'!$F$3289)*462/'THAM_SO_MOI'!$C$42</f>
        <v>19.702668555383255</v>
      </c>
      <c r="G3752" s="75">
        <f>3.6*F3752</f>
        <v>70.92960679937973</v>
      </c>
      <c r="H3752" s="75">
        <f>'THAM_SO_MOI'!$D$53</f>
        <v>1.1</v>
      </c>
      <c r="I3752" s="75">
        <f>IF(F3752&gt;'THAM_SO_MOI'!$C$14,'THAM_SO_MOI'!$C$13*(1+F3752^2/1500),'THAM_SO_MOI'!$C$13)</f>
        <v>0.015</v>
      </c>
      <c r="J3752" s="75">
        <f>'THAM_SO_MOI'!$C$40*('THAM_SO_MOI'!$C$23*(E3752/'THAM_SO_MOI'!$C$22)+'THAM_SO_MOI'!$C$24*(E3752/'THAM_SO_MOI'!$C$22)^2-'THAM_SO_MOI'!$C$25*(E3752/'THAM_SO_MOI'!$C$22)^3)</f>
        <v>86.92144085452668</v>
      </c>
      <c r="K3752" s="75">
        <f>'THAM_SO_MOI'!$C$31*J3752/E3752</f>
        <v>427.6642426909735</v>
      </c>
      <c r="L3752" s="75">
        <f>K3752*'THAM_SO_MOI'!$C$53*'THAM_SO_MOI'!$C$17/'THAM_SO_MOI'!$C$26</f>
        <v>3750.617081836572</v>
      </c>
      <c r="M3752" s="75">
        <f>'THAM_SO_MOI'!$C$15*'THAM_SO_MOI'!$C$16*F3752^2</f>
        <v>1135.4708084946176</v>
      </c>
      <c r="N3752" s="75">
        <f>'THAM_SO_MOI'!$C$12*I3752</f>
        <v>1130.112</v>
      </c>
      <c r="O3752" s="75">
        <f>M3752+N3752</f>
        <v>2265.582808494618</v>
      </c>
      <c r="P3752" s="75">
        <f>(MIN(L3752,'THAM_SO_MOI'!$C$41)-O3752)/('THAM_SO_MOI'!$C$11*H3752)</f>
        <v>0.17578530697703063</v>
      </c>
      <c r="Q3752" s="75">
        <f>IF(P3752&gt;0,1/P3752,NA())</f>
        <v>5.688757594118303</v>
      </c>
      <c r="R3752" s="75">
        <f>F3752-F3751</f>
        <v>0.0073885545698715305</v>
      </c>
      <c r="S3752" s="75">
        <f>0.5*(Q3751+Q3752)*R3752</f>
        <v>0.042021630401629616</v>
      </c>
      <c r="T3752" s="75">
        <f>0.5*(F3751*Q3751+F3752*Q3752)*R3752</f>
        <v>0.8277830535902682</v>
      </c>
      <c r="U3752" s="76">
        <f>U3751+S3752</f>
        <v>46.14206974978794</v>
      </c>
      <c r="V3752" s="76">
        <f>V3751+T3752</f>
        <v>602.7520503437302</v>
      </c>
    </row>
    <row r="3753" spans="1:22" ht="19" customHeight="1">
      <c r="A3753" s="68" t="s">
        <v>378</v>
      </c>
      <c r="B3753" s="74">
        <v>5</v>
      </c>
      <c r="C3753" s="68" t="s">
        <v>363</v>
      </c>
      <c r="D3753" s="68" t="s">
        <v>364</v>
      </c>
      <c r="E3753" s="75">
        <f>60*F3753*'THAM_SO_MOI'!$C$53/(2*PI()*'THAM_SO_MOI'!$C$26)</f>
        <v>1941.9593110438027</v>
      </c>
      <c r="F3753" s="75">
        <f>'HANH_TRINH'!$F$3289+('THAM_SO_MOI'!$C$14-'HANH_TRINH'!$F$3289)*463/'THAM_SO_MOI'!$C$42</f>
        <v>19.71005710995313</v>
      </c>
      <c r="G3753" s="75">
        <f>3.6*F3753</f>
        <v>70.95620559583126</v>
      </c>
      <c r="H3753" s="75">
        <f>'THAM_SO_MOI'!$D$53</f>
        <v>1.1</v>
      </c>
      <c r="I3753" s="75">
        <f>IF(F3753&gt;'THAM_SO_MOI'!$C$14,'THAM_SO_MOI'!$C$13*(1+F3753^2/1500),'THAM_SO_MOI'!$C$13)</f>
        <v>0.015</v>
      </c>
      <c r="J3753" s="75">
        <f>'THAM_SO_MOI'!$C$40*('THAM_SO_MOI'!$C$23*(E3753/'THAM_SO_MOI'!$C$22)+'THAM_SO_MOI'!$C$24*(E3753/'THAM_SO_MOI'!$C$22)^2-'THAM_SO_MOI'!$C$25*(E3753/'THAM_SO_MOI'!$C$22)^3)</f>
        <v>86.9572685277778</v>
      </c>
      <c r="K3753" s="75">
        <f>'THAM_SO_MOI'!$C$31*J3753/E3753</f>
        <v>427.6801380549433</v>
      </c>
      <c r="L3753" s="75">
        <f>K3753*'THAM_SO_MOI'!$C$53*'THAM_SO_MOI'!$C$17/'THAM_SO_MOI'!$C$26</f>
        <v>3750.7564842407855</v>
      </c>
      <c r="M3753" s="75">
        <f>'THAM_SO_MOI'!$C$15*'THAM_SO_MOI'!$C$16*F3753^2</f>
        <v>1136.322577487021</v>
      </c>
      <c r="N3753" s="75">
        <f>'THAM_SO_MOI'!$C$12*I3753</f>
        <v>1130.112</v>
      </c>
      <c r="O3753" s="75">
        <f>M3753+N3753</f>
        <v>2266.4345774870208</v>
      </c>
      <c r="P3753" s="75">
        <f>(MIN(L3753,'THAM_SO_MOI'!$C$41)-O3753)/('THAM_SO_MOI'!$C$11*H3753)</f>
        <v>0.17570098328051192</v>
      </c>
      <c r="Q3753" s="75">
        <f>IF(P3753&gt;0,1/P3753,NA())</f>
        <v>5.691487784126227</v>
      </c>
      <c r="R3753" s="75">
        <f>F3753-F3752</f>
        <v>0.007388554569875083</v>
      </c>
      <c r="S3753" s="75">
        <f>0.5*(Q3752+Q3753)*R3753</f>
        <v>0.04204178199786421</v>
      </c>
      <c r="T3753" s="75">
        <f>0.5*(F3752*Q3752+F3753*Q3753)*R3753</f>
        <v>0.8284906474426221</v>
      </c>
      <c r="U3753" s="76">
        <f>U3752+S3753</f>
        <v>46.18411153178581</v>
      </c>
      <c r="V3753" s="76">
        <f>V3752+T3753</f>
        <v>603.5805409911728</v>
      </c>
    </row>
    <row r="3754" spans="1:22" ht="19" customHeight="1">
      <c r="A3754" s="68" t="s">
        <v>378</v>
      </c>
      <c r="B3754" s="74">
        <v>5</v>
      </c>
      <c r="C3754" s="68" t="s">
        <v>363</v>
      </c>
      <c r="D3754" s="68" t="s">
        <v>364</v>
      </c>
      <c r="E3754" s="75">
        <f>60*F3754*'THAM_SO_MOI'!$C$53/(2*PI()*'THAM_SO_MOI'!$C$26)</f>
        <v>1942.6872781045818</v>
      </c>
      <c r="F3754" s="75">
        <f>'HANH_TRINH'!$F$3289+('THAM_SO_MOI'!$C$14-'HANH_TRINH'!$F$3289)*464/'THAM_SO_MOI'!$C$42</f>
        <v>19.717445664523</v>
      </c>
      <c r="G3754" s="75">
        <f>3.6*F3754</f>
        <v>70.9828043922828</v>
      </c>
      <c r="H3754" s="75">
        <f>'THAM_SO_MOI'!$D$53</f>
        <v>1.1</v>
      </c>
      <c r="I3754" s="75">
        <f>IF(F3754&gt;'THAM_SO_MOI'!$C$14,'THAM_SO_MOI'!$C$13*(1+F3754^2/1500),'THAM_SO_MOI'!$C$13)</f>
        <v>0.015</v>
      </c>
      <c r="J3754" s="75">
        <f>'THAM_SO_MOI'!$C$40*('THAM_SO_MOI'!$C$23*(E3754/'THAM_SO_MOI'!$C$22)+'THAM_SO_MOI'!$C$24*(E3754/'THAM_SO_MOI'!$C$22)^2-'THAM_SO_MOI'!$C$25*(E3754/'THAM_SO_MOI'!$C$22)^3)</f>
        <v>86.99308816695157</v>
      </c>
      <c r="K3754" s="75">
        <f>'THAM_SO_MOI'!$C$31*J3754/E3754</f>
        <v>427.6959820072079</v>
      </c>
      <c r="L3754" s="75">
        <f>K3754*'THAM_SO_MOI'!$C$53*'THAM_SO_MOI'!$C$17/'THAM_SO_MOI'!$C$26</f>
        <v>3750.8954357641433</v>
      </c>
      <c r="M3754" s="75">
        <f>'THAM_SO_MOI'!$C$15*'THAM_SO_MOI'!$C$16*F3754^2</f>
        <v>1137.1746658352447</v>
      </c>
      <c r="N3754" s="75">
        <f>'THAM_SO_MOI'!$C$12*I3754</f>
        <v>1130.112</v>
      </c>
      <c r="O3754" s="75">
        <f>M3754+N3754</f>
        <v>2267.286665835245</v>
      </c>
      <c r="P3754" s="75">
        <f>(MIN(L3754,'THAM_SO_MOI'!$C$41)-O3754)/('THAM_SO_MOI'!$C$11*H3754)</f>
        <v>0.1756165684101442</v>
      </c>
      <c r="Q3754" s="75">
        <f>IF(P3754&gt;0,1/P3754,NA())</f>
        <v>5.6942235522137485</v>
      </c>
      <c r="R3754" s="75">
        <f>F3754-F3753</f>
        <v>0.0073885545698715305</v>
      </c>
      <c r="S3754" s="75">
        <f>0.5*(Q3753+Q3754)*R3754</f>
        <v>0.04206197476267641</v>
      </c>
      <c r="T3754" s="75">
        <f>0.5*(F3753*Q3753+F3754*Q3754)*R3754</f>
        <v>0.8291993506645847</v>
      </c>
      <c r="U3754" s="76">
        <f>U3753+S3754</f>
        <v>46.226173506548484</v>
      </c>
      <c r="V3754" s="76">
        <f>V3753+T3754</f>
        <v>604.4097403418374</v>
      </c>
    </row>
    <row r="3755" spans="1:22" ht="19" customHeight="1">
      <c r="A3755" s="68" t="s">
        <v>378</v>
      </c>
      <c r="B3755" s="74">
        <v>5</v>
      </c>
      <c r="C3755" s="68" t="s">
        <v>363</v>
      </c>
      <c r="D3755" s="68" t="s">
        <v>364</v>
      </c>
      <c r="E3755" s="75">
        <f>60*F3755*'THAM_SO_MOI'!$C$53/(2*PI()*'THAM_SO_MOI'!$C$26)</f>
        <v>1943.4152451653606</v>
      </c>
      <c r="F3755" s="75">
        <f>'HANH_TRINH'!$F$3289+('THAM_SO_MOI'!$C$14-'HANH_TRINH'!$F$3289)*465/'THAM_SO_MOI'!$C$42</f>
        <v>19.724834219092873</v>
      </c>
      <c r="G3755" s="75">
        <f>3.6*F3755</f>
        <v>71.00940318873434</v>
      </c>
      <c r="H3755" s="75">
        <f>'THAM_SO_MOI'!$D$53</f>
        <v>1.1</v>
      </c>
      <c r="I3755" s="75">
        <f>IF(F3755&gt;'THAM_SO_MOI'!$C$14,'THAM_SO_MOI'!$C$13*(1+F3755^2/1500),'THAM_SO_MOI'!$C$13)</f>
        <v>0.015</v>
      </c>
      <c r="J3755" s="75">
        <f>'THAM_SO_MOI'!$C$40*('THAM_SO_MOI'!$C$23*(E3755/'THAM_SO_MOI'!$C$22)+'THAM_SO_MOI'!$C$24*(E3755/'THAM_SO_MOI'!$C$22)^2-'THAM_SO_MOI'!$C$25*(E3755/'THAM_SO_MOI'!$C$22)^3)</f>
        <v>87.02889976029243</v>
      </c>
      <c r="K3755" s="75">
        <f>'THAM_SO_MOI'!$C$31*J3755/E3755</f>
        <v>427.711774547767</v>
      </c>
      <c r="L3755" s="75">
        <f>K3755*'THAM_SO_MOI'!$C$53*'THAM_SO_MOI'!$C$17/'THAM_SO_MOI'!$C$26</f>
        <v>3751.033936406642</v>
      </c>
      <c r="M3755" s="75">
        <f>'THAM_SO_MOI'!$C$15*'THAM_SO_MOI'!$C$16*F3755^2</f>
        <v>1138.0270735392892</v>
      </c>
      <c r="N3755" s="75">
        <f>'THAM_SO_MOI'!$C$12*I3755</f>
        <v>1130.112</v>
      </c>
      <c r="O3755" s="75">
        <f>M3755+N3755</f>
        <v>2268.1390735392893</v>
      </c>
      <c r="P3755" s="75">
        <f>(MIN(L3755,'THAM_SO_MOI'!$C$41)-O3755)/('THAM_SO_MOI'!$C$11*H3755)</f>
        <v>0.1755320623659272</v>
      </c>
      <c r="Q3755" s="75">
        <f>IF(P3755&gt;0,1/P3755,NA())</f>
        <v>5.696964910691505</v>
      </c>
      <c r="R3755" s="75">
        <f>F3755-F3754</f>
        <v>0.0073885545698715305</v>
      </c>
      <c r="S3755" s="75">
        <f>0.5*(Q3754+Q3755)*R3755</f>
        <v>0.04208220878693323</v>
      </c>
      <c r="T3755" s="75">
        <f>0.5*(F3754*Q3754+F3755*Q3755)*R3755</f>
        <v>0.829909165960686</v>
      </c>
      <c r="U3755" s="76">
        <f>U3754+S3755</f>
        <v>46.268255715335414</v>
      </c>
      <c r="V3755" s="76">
        <f>V3754+T3755</f>
        <v>605.239649507798</v>
      </c>
    </row>
    <row r="3756" spans="1:22" ht="19" customHeight="1">
      <c r="A3756" s="68" t="s">
        <v>378</v>
      </c>
      <c r="B3756" s="74">
        <v>5</v>
      </c>
      <c r="C3756" s="68" t="s">
        <v>363</v>
      </c>
      <c r="D3756" s="68" t="s">
        <v>364</v>
      </c>
      <c r="E3756" s="75">
        <f>60*F3756*'THAM_SO_MOI'!$C$53/(2*PI()*'THAM_SO_MOI'!$C$26)</f>
        <v>1944.1432122261394</v>
      </c>
      <c r="F3756" s="75">
        <f>'HANH_TRINH'!$F$3289+('THAM_SO_MOI'!$C$14-'HANH_TRINH'!$F$3289)*466/'THAM_SO_MOI'!$C$42</f>
        <v>19.732222773662745</v>
      </c>
      <c r="G3756" s="75">
        <f>3.6*F3756</f>
        <v>71.03600198518588</v>
      </c>
      <c r="H3756" s="75">
        <f>'THAM_SO_MOI'!$D$53</f>
        <v>1.1</v>
      </c>
      <c r="I3756" s="75">
        <f>IF(F3756&gt;'THAM_SO_MOI'!$C$14,'THAM_SO_MOI'!$C$13*(1+F3756^2/1500),'THAM_SO_MOI'!$C$13)</f>
        <v>0.015</v>
      </c>
      <c r="J3756" s="75">
        <f>'THAM_SO_MOI'!$C$40*('THAM_SO_MOI'!$C$23*(E3756/'THAM_SO_MOI'!$C$22)+'THAM_SO_MOI'!$C$24*(E3756/'THAM_SO_MOI'!$C$22)^2-'THAM_SO_MOI'!$C$25*(E3756/'THAM_SO_MOI'!$C$22)^3)</f>
        <v>87.06470329604488</v>
      </c>
      <c r="K3756" s="75">
        <f>'THAM_SO_MOI'!$C$31*J3756/E3756</f>
        <v>427.72751567662056</v>
      </c>
      <c r="L3756" s="75">
        <f>K3756*'THAM_SO_MOI'!$C$53*'THAM_SO_MOI'!$C$17/'THAM_SO_MOI'!$C$26</f>
        <v>3751.1719861682823</v>
      </c>
      <c r="M3756" s="75">
        <f>'THAM_SO_MOI'!$C$15*'THAM_SO_MOI'!$C$16*F3756^2</f>
        <v>1138.879800599155</v>
      </c>
      <c r="N3756" s="75">
        <f>'THAM_SO_MOI'!$C$12*I3756</f>
        <v>1130.112</v>
      </c>
      <c r="O3756" s="75">
        <f>M3756+N3756</f>
        <v>2268.991800599155</v>
      </c>
      <c r="P3756" s="75">
        <f>(MIN(L3756,'THAM_SO_MOI'!$C$41)-O3756)/('THAM_SO_MOI'!$C$11*H3756)</f>
        <v>0.17544746514786072</v>
      </c>
      <c r="Q3756" s="75">
        <f>IF(P3756&gt;0,1/P3756,NA())</f>
        <v>5.699711871911267</v>
      </c>
      <c r="R3756" s="75">
        <f>F3756-F3755</f>
        <v>0.0073885545698715305</v>
      </c>
      <c r="S3756" s="75">
        <f>0.5*(Q3755+Q3756)*R3756</f>
        <v>0.04210248416172424</v>
      </c>
      <c r="T3756" s="75">
        <f>0.5*(F3755*Q3755+F3756*Q3756)*R3756</f>
        <v>0.8306200960425325</v>
      </c>
      <c r="U3756" s="76">
        <f>U3755+S3756</f>
        <v>46.31035819949714</v>
      </c>
      <c r="V3756" s="76">
        <f>V3755+T3756</f>
        <v>606.0702696038405</v>
      </c>
    </row>
    <row r="3757" spans="1:22" ht="19" customHeight="1">
      <c r="A3757" s="68" t="s">
        <v>378</v>
      </c>
      <c r="B3757" s="74">
        <v>5</v>
      </c>
      <c r="C3757" s="68" t="s">
        <v>363</v>
      </c>
      <c r="D3757" s="68" t="s">
        <v>364</v>
      </c>
      <c r="E3757" s="75">
        <f>60*F3757*'THAM_SO_MOI'!$C$53/(2*PI()*'THAM_SO_MOI'!$C$26)</f>
        <v>1944.8711792869183</v>
      </c>
      <c r="F3757" s="75">
        <f>'HANH_TRINH'!$F$3289+('THAM_SO_MOI'!$C$14-'HANH_TRINH'!$F$3289)*467/'THAM_SO_MOI'!$C$42</f>
        <v>19.739611328232616</v>
      </c>
      <c r="G3757" s="75">
        <f>3.6*F3757</f>
        <v>71.06260078163741</v>
      </c>
      <c r="H3757" s="75">
        <f>'THAM_SO_MOI'!$D$53</f>
        <v>1.1</v>
      </c>
      <c r="I3757" s="75">
        <f>IF(F3757&gt;'THAM_SO_MOI'!$C$14,'THAM_SO_MOI'!$C$13*(1+F3757^2/1500),'THAM_SO_MOI'!$C$13)</f>
        <v>0.015</v>
      </c>
      <c r="J3757" s="75">
        <f>'THAM_SO_MOI'!$C$40*('THAM_SO_MOI'!$C$23*(E3757/'THAM_SO_MOI'!$C$22)+'THAM_SO_MOI'!$C$24*(E3757/'THAM_SO_MOI'!$C$22)^2-'THAM_SO_MOI'!$C$25*(E3757/'THAM_SO_MOI'!$C$22)^3)</f>
        <v>87.10049876245344</v>
      </c>
      <c r="K3757" s="75">
        <f>'THAM_SO_MOI'!$C$31*J3757/E3757</f>
        <v>427.74320539376885</v>
      </c>
      <c r="L3757" s="75">
        <f>K3757*'THAM_SO_MOI'!$C$53*'THAM_SO_MOI'!$C$17/'THAM_SO_MOI'!$C$26</f>
        <v>3751.3095850490663</v>
      </c>
      <c r="M3757" s="75">
        <f>'THAM_SO_MOI'!$C$15*'THAM_SO_MOI'!$C$16*F3757^2</f>
        <v>1139.7328470148416</v>
      </c>
      <c r="N3757" s="75">
        <f>'THAM_SO_MOI'!$C$12*I3757</f>
        <v>1130.112</v>
      </c>
      <c r="O3757" s="75">
        <f>M3757+N3757</f>
        <v>2269.8448470148414</v>
      </c>
      <c r="P3757" s="75">
        <f>(MIN(L3757,'THAM_SO_MOI'!$C$41)-O3757)/('THAM_SO_MOI'!$C$11*H3757)</f>
        <v>0.17536277675594517</v>
      </c>
      <c r="Q3757" s="75">
        <f>IF(P3757&gt;0,1/P3757,NA())</f>
        <v>5.702464448266088</v>
      </c>
      <c r="R3757" s="75">
        <f>F3757-F3756</f>
        <v>0.0073885545698715305</v>
      </c>
      <c r="S3757" s="75">
        <f>0.5*(Q3756+Q3757)*R3757</f>
        <v>0.04212280097846367</v>
      </c>
      <c r="T3757" s="75">
        <f>0.5*(F3756*Q3756+F3757*Q3757)*R3757</f>
        <v>0.8313321436308311</v>
      </c>
      <c r="U3757" s="76">
        <f>U3756+S3757</f>
        <v>46.3524810004756</v>
      </c>
      <c r="V3757" s="76">
        <f>V3756+T3757</f>
        <v>606.9016017474713</v>
      </c>
    </row>
    <row r="3758" spans="1:22" ht="19" customHeight="1">
      <c r="A3758" s="68" t="s">
        <v>378</v>
      </c>
      <c r="B3758" s="74">
        <v>5</v>
      </c>
      <c r="C3758" s="68" t="s">
        <v>363</v>
      </c>
      <c r="D3758" s="68" t="s">
        <v>364</v>
      </c>
      <c r="E3758" s="75">
        <f>60*F3758*'THAM_SO_MOI'!$C$53/(2*PI()*'THAM_SO_MOI'!$C$26)</f>
        <v>1945.5991463476976</v>
      </c>
      <c r="F3758" s="75">
        <f>'HANH_TRINH'!$F$3289+('THAM_SO_MOI'!$C$14-'HANH_TRINH'!$F$3289)*468/'THAM_SO_MOI'!$C$42</f>
        <v>19.746999882802488</v>
      </c>
      <c r="G3758" s="75">
        <f>3.6*F3758</f>
        <v>71.08919957808895</v>
      </c>
      <c r="H3758" s="75">
        <f>'THAM_SO_MOI'!$D$53</f>
        <v>1.1</v>
      </c>
      <c r="I3758" s="75">
        <f>IF(F3758&gt;'THAM_SO_MOI'!$C$14,'THAM_SO_MOI'!$C$13*(1+F3758^2/1500),'THAM_SO_MOI'!$C$13)</f>
        <v>0.015</v>
      </c>
      <c r="J3758" s="75">
        <f>'THAM_SO_MOI'!$C$40*('THAM_SO_MOI'!$C$23*(E3758/'THAM_SO_MOI'!$C$22)+'THAM_SO_MOI'!$C$24*(E3758/'THAM_SO_MOI'!$C$22)^2-'THAM_SO_MOI'!$C$25*(E3758/'THAM_SO_MOI'!$C$22)^3)</f>
        <v>87.13628614776259</v>
      </c>
      <c r="K3758" s="75">
        <f>'THAM_SO_MOI'!$C$31*J3758/E3758</f>
        <v>427.75884369921164</v>
      </c>
      <c r="L3758" s="75">
        <f>K3758*'THAM_SO_MOI'!$C$53*'THAM_SO_MOI'!$C$17/'THAM_SO_MOI'!$C$26</f>
        <v>3751.446733048991</v>
      </c>
      <c r="M3758" s="75">
        <f>'THAM_SO_MOI'!$C$15*'THAM_SO_MOI'!$C$16*F3758^2</f>
        <v>1140.5862127863495</v>
      </c>
      <c r="N3758" s="75">
        <f>'THAM_SO_MOI'!$C$12*I3758</f>
        <v>1130.112</v>
      </c>
      <c r="O3758" s="75">
        <f>M3758+N3758</f>
        <v>2270.6982127863494</v>
      </c>
      <c r="P3758" s="75">
        <f>(MIN(L3758,'THAM_SO_MOI'!$C$41)-O3758)/('THAM_SO_MOI'!$C$11*H3758)</f>
        <v>0.17527799719018008</v>
      </c>
      <c r="Q3758" s="75">
        <f>IF(P3758&gt;0,1/P3758,NA())</f>
        <v>5.7052226521905105</v>
      </c>
      <c r="R3758" s="75">
        <f>F3758-F3757</f>
        <v>0.0073885545698715305</v>
      </c>
      <c r="S3758" s="75">
        <f>0.5*(Q3757+Q3758)*R3758</f>
        <v>0.042143159328871554</v>
      </c>
      <c r="T3758" s="75">
        <f>0.5*(F3757*Q3757+F3758*Q3758)*R3758</f>
        <v>0.8320453114550266</v>
      </c>
      <c r="U3758" s="76">
        <f>U3757+S3758</f>
        <v>46.39462415980447</v>
      </c>
      <c r="V3758" s="76">
        <f>V3757+T3758</f>
        <v>607.7336470589263</v>
      </c>
    </row>
    <row r="3759" spans="1:22" ht="19" customHeight="1">
      <c r="A3759" s="68" t="s">
        <v>378</v>
      </c>
      <c r="B3759" s="74">
        <v>5</v>
      </c>
      <c r="C3759" s="68" t="s">
        <v>363</v>
      </c>
      <c r="D3759" s="68" t="s">
        <v>364</v>
      </c>
      <c r="E3759" s="75">
        <f>60*F3759*'THAM_SO_MOI'!$C$53/(2*PI()*'THAM_SO_MOI'!$C$26)</f>
        <v>1946.3271134084766</v>
      </c>
      <c r="F3759" s="75">
        <f>'HANH_TRINH'!$F$3289+('THAM_SO_MOI'!$C$14-'HANH_TRINH'!$F$3289)*469/'THAM_SO_MOI'!$C$42</f>
        <v>19.754388437372363</v>
      </c>
      <c r="G3759" s="75">
        <f>3.6*F3759</f>
        <v>71.1157983745405</v>
      </c>
      <c r="H3759" s="75">
        <f>'THAM_SO_MOI'!$D$53</f>
        <v>1.1</v>
      </c>
      <c r="I3759" s="75">
        <f>IF(F3759&gt;'THAM_SO_MOI'!$C$14,'THAM_SO_MOI'!$C$13*(1+F3759^2/1500),'THAM_SO_MOI'!$C$13)</f>
        <v>0.015</v>
      </c>
      <c r="J3759" s="75">
        <f>'THAM_SO_MOI'!$C$40*('THAM_SO_MOI'!$C$23*(E3759/'THAM_SO_MOI'!$C$22)+'THAM_SO_MOI'!$C$24*(E3759/'THAM_SO_MOI'!$C$22)^2-'THAM_SO_MOI'!$C$25*(E3759/'THAM_SO_MOI'!$C$22)^3)</f>
        <v>87.17206544021676</v>
      </c>
      <c r="K3759" s="75">
        <f>'THAM_SO_MOI'!$C$31*J3759/E3759</f>
        <v>427.77443059294893</v>
      </c>
      <c r="L3759" s="75">
        <f>K3759*'THAM_SO_MOI'!$C$53*'THAM_SO_MOI'!$C$17/'THAM_SO_MOI'!$C$26</f>
        <v>3751.583430168059</v>
      </c>
      <c r="M3759" s="75">
        <f>'THAM_SO_MOI'!$C$15*'THAM_SO_MOI'!$C$16*F3759^2</f>
        <v>1141.4398979136786</v>
      </c>
      <c r="N3759" s="75">
        <f>'THAM_SO_MOI'!$C$12*I3759</f>
        <v>1130.112</v>
      </c>
      <c r="O3759" s="75">
        <f>M3759+N3759</f>
        <v>2271.5518979136787</v>
      </c>
      <c r="P3759" s="75">
        <f>(MIN(L3759,'THAM_SO_MOI'!$C$41)-O3759)/('THAM_SO_MOI'!$C$11*H3759)</f>
        <v>0.17519312645056584</v>
      </c>
      <c r="Q3759" s="75">
        <f>IF(P3759&gt;0,1/P3759,NA())</f>
        <v>5.707986496160679</v>
      </c>
      <c r="R3759" s="75">
        <f>F3759-F3758</f>
        <v>0.007388554569875083</v>
      </c>
      <c r="S3759" s="75">
        <f>0.5*(Q3758+Q3759)*R3759</f>
        <v>0.042163559304995143</v>
      </c>
      <c r="T3759" s="75">
        <f>0.5*(F3758*Q3758+F3759*Q3759)*R3759</f>
        <v>0.8327596022537382</v>
      </c>
      <c r="U3759" s="76">
        <f>U3758+S3759</f>
        <v>46.43678771910947</v>
      </c>
      <c r="V3759" s="76">
        <f>V3758+T3759</f>
        <v>608.56640666118</v>
      </c>
    </row>
    <row r="3760" spans="1:22" ht="19" customHeight="1">
      <c r="A3760" s="68" t="s">
        <v>378</v>
      </c>
      <c r="B3760" s="74">
        <v>5</v>
      </c>
      <c r="C3760" s="68" t="s">
        <v>363</v>
      </c>
      <c r="D3760" s="68" t="s">
        <v>364</v>
      </c>
      <c r="E3760" s="75">
        <f>60*F3760*'THAM_SO_MOI'!$C$53/(2*PI()*'THAM_SO_MOI'!$C$26)</f>
        <v>1947.0550804692555</v>
      </c>
      <c r="F3760" s="75">
        <f>'HANH_TRINH'!$F$3289+('THAM_SO_MOI'!$C$14-'HANH_TRINH'!$F$3289)*470/'THAM_SO_MOI'!$C$42</f>
        <v>19.761776991942234</v>
      </c>
      <c r="G3760" s="75">
        <f>3.6*F3760</f>
        <v>71.14239717099204</v>
      </c>
      <c r="H3760" s="75">
        <f>'THAM_SO_MOI'!$D$53</f>
        <v>1.1</v>
      </c>
      <c r="I3760" s="75">
        <f>IF(F3760&gt;'THAM_SO_MOI'!$C$14,'THAM_SO_MOI'!$C$13*(1+F3760^2/1500),'THAM_SO_MOI'!$C$13)</f>
        <v>0.015</v>
      </c>
      <c r="J3760" s="75">
        <f>'THAM_SO_MOI'!$C$40*('THAM_SO_MOI'!$C$23*(E3760/'THAM_SO_MOI'!$C$22)+'THAM_SO_MOI'!$C$24*(E3760/'THAM_SO_MOI'!$C$22)^2-'THAM_SO_MOI'!$C$25*(E3760/'THAM_SO_MOI'!$C$22)^3)</f>
        <v>87.20783662806046</v>
      </c>
      <c r="K3760" s="75">
        <f>'THAM_SO_MOI'!$C$31*J3760/E3760</f>
        <v>427.7899660749808</v>
      </c>
      <c r="L3760" s="75">
        <f>K3760*'THAM_SO_MOI'!$C$53*'THAM_SO_MOI'!$C$17/'THAM_SO_MOI'!$C$26</f>
        <v>3751.719676406268</v>
      </c>
      <c r="M3760" s="75">
        <f>'THAM_SO_MOI'!$C$15*'THAM_SO_MOI'!$C$16*F3760^2</f>
        <v>1142.2939023968281</v>
      </c>
      <c r="N3760" s="75">
        <f>'THAM_SO_MOI'!$C$12*I3760</f>
        <v>1130.112</v>
      </c>
      <c r="O3760" s="75">
        <f>M3760+N3760</f>
        <v>2272.4059023968284</v>
      </c>
      <c r="P3760" s="75">
        <f>(MIN(L3760,'THAM_SO_MOI'!$C$41)-O3760)/('THAM_SO_MOI'!$C$11*H3760)</f>
        <v>0.17510816453710226</v>
      </c>
      <c r="Q3760" s="75">
        <f>IF(P3760&gt;0,1/P3760,NA())</f>
        <v>5.7107559926945495</v>
      </c>
      <c r="R3760" s="75">
        <f>F3760-F3759</f>
        <v>0.0073885545698715305</v>
      </c>
      <c r="S3760" s="75">
        <f>0.5*(Q3759+Q3760)*R3760</f>
        <v>0.04218400099910875</v>
      </c>
      <c r="T3760" s="75">
        <f>0.5*(F3759*Q3759+F3760*Q3760)*R3760</f>
        <v>0.8334750187727923</v>
      </c>
      <c r="U3760" s="76">
        <f>U3759+S3760</f>
        <v>46.478971720108575</v>
      </c>
      <c r="V3760" s="76">
        <f>V3759+T3760</f>
        <v>609.3998816799528</v>
      </c>
    </row>
    <row r="3761" spans="1:22" ht="19" customHeight="1">
      <c r="A3761" s="68" t="s">
        <v>378</v>
      </c>
      <c r="B3761" s="74">
        <v>5</v>
      </c>
      <c r="C3761" s="68" t="s">
        <v>363</v>
      </c>
      <c r="D3761" s="68" t="s">
        <v>364</v>
      </c>
      <c r="E3761" s="75">
        <f>60*F3761*'THAM_SO_MOI'!$C$53/(2*PI()*'THAM_SO_MOI'!$C$26)</f>
        <v>1947.7830475300343</v>
      </c>
      <c r="F3761" s="75">
        <f>'HANH_TRINH'!$F$3289+('THAM_SO_MOI'!$C$14-'HANH_TRINH'!$F$3289)*471/'THAM_SO_MOI'!$C$42</f>
        <v>19.769165546512106</v>
      </c>
      <c r="G3761" s="75">
        <f>3.6*F3761</f>
        <v>71.16899596744358</v>
      </c>
      <c r="H3761" s="75">
        <f>'THAM_SO_MOI'!$D$53</f>
        <v>1.1</v>
      </c>
      <c r="I3761" s="75">
        <f>IF(F3761&gt;'THAM_SO_MOI'!$C$14,'THAM_SO_MOI'!$C$13*(1+F3761^2/1500),'THAM_SO_MOI'!$C$13)</f>
        <v>0.015</v>
      </c>
      <c r="J3761" s="75">
        <f>'THAM_SO_MOI'!$C$40*('THAM_SO_MOI'!$C$23*(E3761/'THAM_SO_MOI'!$C$22)+'THAM_SO_MOI'!$C$24*(E3761/'THAM_SO_MOI'!$C$22)^2-'THAM_SO_MOI'!$C$25*(E3761/'THAM_SO_MOI'!$C$22)^3)</f>
        <v>87.2435996995382</v>
      </c>
      <c r="K3761" s="75">
        <f>'THAM_SO_MOI'!$C$31*J3761/E3761</f>
        <v>427.8054501453073</v>
      </c>
      <c r="L3761" s="75">
        <f>K3761*'THAM_SO_MOI'!$C$53*'THAM_SO_MOI'!$C$17/'THAM_SO_MOI'!$C$26</f>
        <v>3751.85547176362</v>
      </c>
      <c r="M3761" s="75">
        <f>'THAM_SO_MOI'!$C$15*'THAM_SO_MOI'!$C$16*F3761^2</f>
        <v>1143.1482262357988</v>
      </c>
      <c r="N3761" s="75">
        <f>'THAM_SO_MOI'!$C$12*I3761</f>
        <v>1130.112</v>
      </c>
      <c r="O3761" s="75">
        <f>M3761+N3761</f>
        <v>2273.2602262357987</v>
      </c>
      <c r="P3761" s="75">
        <f>(MIN(L3761,'THAM_SO_MOI'!$C$41)-O3761)/('THAM_SO_MOI'!$C$11*H3761)</f>
        <v>0.17502311144978944</v>
      </c>
      <c r="Q3761" s="75">
        <f>IF(P3761&gt;0,1/P3761,NA())</f>
        <v>5.713531154352033</v>
      </c>
      <c r="R3761" s="75">
        <f>F3761-F3760</f>
        <v>0.0073885545698715305</v>
      </c>
      <c r="S3761" s="75">
        <f>0.5*(Q3760+Q3761)*R3761</f>
        <v>0.04220448450391781</v>
      </c>
      <c r="T3761" s="75">
        <f>0.5*(F3760*Q3760+F3761*Q3761)*R3761</f>
        <v>0.834191563769262</v>
      </c>
      <c r="U3761" s="76">
        <f>U3760+S3761</f>
        <v>46.521176204612495</v>
      </c>
      <c r="V3761" s="76">
        <f>V3760+T3761</f>
        <v>610.2340732437222</v>
      </c>
    </row>
    <row r="3762" spans="1:22" ht="19" customHeight="1">
      <c r="A3762" s="68" t="s">
        <v>378</v>
      </c>
      <c r="B3762" s="74">
        <v>5</v>
      </c>
      <c r="C3762" s="68" t="s">
        <v>363</v>
      </c>
      <c r="D3762" s="68" t="s">
        <v>364</v>
      </c>
      <c r="E3762" s="75">
        <f>60*F3762*'THAM_SO_MOI'!$C$53/(2*PI()*'THAM_SO_MOI'!$C$26)</f>
        <v>1948.5110145908136</v>
      </c>
      <c r="F3762" s="75">
        <f>'HANH_TRINH'!$F$3289+('THAM_SO_MOI'!$C$14-'HANH_TRINH'!$F$3289)*472/'THAM_SO_MOI'!$C$42</f>
        <v>19.776554101081977</v>
      </c>
      <c r="G3762" s="75">
        <f>3.6*F3762</f>
        <v>71.19559476389512</v>
      </c>
      <c r="H3762" s="75">
        <f>'THAM_SO_MOI'!$D$53</f>
        <v>1.1</v>
      </c>
      <c r="I3762" s="75">
        <f>IF(F3762&gt;'THAM_SO_MOI'!$C$14,'THAM_SO_MOI'!$C$13*(1+F3762^2/1500),'THAM_SO_MOI'!$C$13)</f>
        <v>0.015</v>
      </c>
      <c r="J3762" s="75">
        <f>'THAM_SO_MOI'!$C$40*('THAM_SO_MOI'!$C$23*(E3762/'THAM_SO_MOI'!$C$22)+'THAM_SO_MOI'!$C$24*(E3762/'THAM_SO_MOI'!$C$22)^2-'THAM_SO_MOI'!$C$25*(E3762/'THAM_SO_MOI'!$C$22)^3)</f>
        <v>87.27935464289448</v>
      </c>
      <c r="K3762" s="75">
        <f>'THAM_SO_MOI'!$C$31*J3762/E3762</f>
        <v>427.8208828039284</v>
      </c>
      <c r="L3762" s="75">
        <f>K3762*'THAM_SO_MOI'!$C$53*'THAM_SO_MOI'!$C$17/'THAM_SO_MOI'!$C$26</f>
        <v>3751.9908162401143</v>
      </c>
      <c r="M3762" s="75">
        <f>'THAM_SO_MOI'!$C$15*'THAM_SO_MOI'!$C$16*F3762^2</f>
        <v>1144.0028694305904</v>
      </c>
      <c r="N3762" s="75">
        <f>'THAM_SO_MOI'!$C$12*I3762</f>
        <v>1130.112</v>
      </c>
      <c r="O3762" s="75">
        <f>M3762+N3762</f>
        <v>2274.1148694305903</v>
      </c>
      <c r="P3762" s="75">
        <f>(MIN(L3762,'THAM_SO_MOI'!$C$41)-O3762)/('THAM_SO_MOI'!$C$11*H3762)</f>
        <v>0.17493796718862736</v>
      </c>
      <c r="Q3762" s="75">
        <f>IF(P3762&gt;0,1/P3762,NA())</f>
        <v>5.716311993735169</v>
      </c>
      <c r="R3762" s="75">
        <f>F3762-F3761</f>
        <v>0.0073885545698715305</v>
      </c>
      <c r="S3762" s="75">
        <f>0.5*(Q3761+Q3762)*R3762</f>
        <v>0.042225009912357246</v>
      </c>
      <c r="T3762" s="75">
        <f>0.5*(F3761*Q3761+F3762*Q3762)*R3762</f>
        <v>0.8349092400074994</v>
      </c>
      <c r="U3762" s="76">
        <f>U3761+S3762</f>
        <v>46.56340121452485</v>
      </c>
      <c r="V3762" s="76">
        <f>V3761+T3762</f>
        <v>611.0689824837297</v>
      </c>
    </row>
    <row r="3763" spans="1:22" ht="19" customHeight="1">
      <c r="A3763" s="68" t="s">
        <v>378</v>
      </c>
      <c r="B3763" s="74">
        <v>5</v>
      </c>
      <c r="C3763" s="68" t="s">
        <v>363</v>
      </c>
      <c r="D3763" s="68" t="s">
        <v>364</v>
      </c>
      <c r="E3763" s="75">
        <f>60*F3763*'THAM_SO_MOI'!$C$53/(2*PI()*'THAM_SO_MOI'!$C$26)</f>
        <v>1949.2389816515924</v>
      </c>
      <c r="F3763" s="75">
        <f>'HANH_TRINH'!$F$3289+('THAM_SO_MOI'!$C$14-'HANH_TRINH'!$F$3289)*473/'THAM_SO_MOI'!$C$42</f>
        <v>19.78394265565185</v>
      </c>
      <c r="G3763" s="75">
        <f>3.6*F3763</f>
        <v>71.22219356034665</v>
      </c>
      <c r="H3763" s="75">
        <f>'THAM_SO_MOI'!$D$53</f>
        <v>1.1</v>
      </c>
      <c r="I3763" s="75">
        <f>IF(F3763&gt;'THAM_SO_MOI'!$C$14,'THAM_SO_MOI'!$C$13*(1+F3763^2/1500),'THAM_SO_MOI'!$C$13)</f>
        <v>0.015</v>
      </c>
      <c r="J3763" s="75">
        <f>'THAM_SO_MOI'!$C$40*('THAM_SO_MOI'!$C$23*(E3763/'THAM_SO_MOI'!$C$22)+'THAM_SO_MOI'!$C$24*(E3763/'THAM_SO_MOI'!$C$22)^2-'THAM_SO_MOI'!$C$25*(E3763/'THAM_SO_MOI'!$C$22)^3)</f>
        <v>87.3151014463737</v>
      </c>
      <c r="K3763" s="75">
        <f>'THAM_SO_MOI'!$C$31*J3763/E3763</f>
        <v>427.83626405084397</v>
      </c>
      <c r="L3763" s="75">
        <f>K3763*'THAM_SO_MOI'!$C$53*'THAM_SO_MOI'!$C$17/'THAM_SO_MOI'!$C$26</f>
        <v>3752.1257098357505</v>
      </c>
      <c r="M3763" s="75">
        <f>'THAM_SO_MOI'!$C$15*'THAM_SO_MOI'!$C$16*F3763^2</f>
        <v>1144.8578319812032</v>
      </c>
      <c r="N3763" s="75">
        <f>'THAM_SO_MOI'!$C$12*I3763</f>
        <v>1130.112</v>
      </c>
      <c r="O3763" s="75">
        <f>M3763+N3763</f>
        <v>2274.9698319812032</v>
      </c>
      <c r="P3763" s="75">
        <f>(MIN(L3763,'THAM_SO_MOI'!$C$41)-O3763)/('THAM_SO_MOI'!$C$11*H3763)</f>
        <v>0.17485273175361593</v>
      </c>
      <c r="Q3763" s="75">
        <f>IF(P3763&gt;0,1/P3763,NA())</f>
        <v>5.719098523488296</v>
      </c>
      <c r="R3763" s="75">
        <f>F3763-F3762</f>
        <v>0.0073885545698715305</v>
      </c>
      <c r="S3763" s="75">
        <f>0.5*(Q3762+Q3763)*R3763</f>
        <v>0.0422455773176942</v>
      </c>
      <c r="T3763" s="75">
        <f>0.5*(F3762*Q3762+F3763*Q3763)*R3763</f>
        <v>0.835628050261174</v>
      </c>
      <c r="U3763" s="76">
        <f>U3762+S3763</f>
        <v>46.605646791842545</v>
      </c>
      <c r="V3763" s="76">
        <f>V3762+T3763</f>
        <v>611.9046105339909</v>
      </c>
    </row>
    <row r="3764" spans="1:22" ht="19" customHeight="1">
      <c r="A3764" s="68" t="s">
        <v>378</v>
      </c>
      <c r="B3764" s="74">
        <v>5</v>
      </c>
      <c r="C3764" s="68" t="s">
        <v>363</v>
      </c>
      <c r="D3764" s="68" t="s">
        <v>364</v>
      </c>
      <c r="E3764" s="75">
        <f>60*F3764*'THAM_SO_MOI'!$C$53/(2*PI()*'THAM_SO_MOI'!$C$26)</f>
        <v>1949.9669487123713</v>
      </c>
      <c r="F3764" s="75">
        <f>'HANH_TRINH'!$F$3289+('THAM_SO_MOI'!$C$14-'HANH_TRINH'!$F$3289)*474/'THAM_SO_MOI'!$C$42</f>
        <v>19.79133121022172</v>
      </c>
      <c r="G3764" s="75">
        <f>3.6*F3764</f>
        <v>71.24879235679819</v>
      </c>
      <c r="H3764" s="75">
        <f>'THAM_SO_MOI'!$D$53</f>
        <v>1.1</v>
      </c>
      <c r="I3764" s="75">
        <f>IF(F3764&gt;'THAM_SO_MOI'!$C$14,'THAM_SO_MOI'!$C$13*(1+F3764^2/1500),'THAM_SO_MOI'!$C$13)</f>
        <v>0.015</v>
      </c>
      <c r="J3764" s="75">
        <f>'THAM_SO_MOI'!$C$40*('THAM_SO_MOI'!$C$23*(E3764/'THAM_SO_MOI'!$C$22)+'THAM_SO_MOI'!$C$24*(E3764/'THAM_SO_MOI'!$C$22)^2-'THAM_SO_MOI'!$C$25*(E3764/'THAM_SO_MOI'!$C$22)^3)</f>
        <v>87.35084009822043</v>
      </c>
      <c r="K3764" s="75">
        <f>'THAM_SO_MOI'!$C$31*J3764/E3764</f>
        <v>427.8515938860542</v>
      </c>
      <c r="L3764" s="75">
        <f>K3764*'THAM_SO_MOI'!$C$53*'THAM_SO_MOI'!$C$17/'THAM_SO_MOI'!$C$26</f>
        <v>3752.2601525505293</v>
      </c>
      <c r="M3764" s="75">
        <f>'THAM_SO_MOI'!$C$15*'THAM_SO_MOI'!$C$16*F3764^2</f>
        <v>1145.7131138876368</v>
      </c>
      <c r="N3764" s="75">
        <f>'THAM_SO_MOI'!$C$12*I3764</f>
        <v>1130.112</v>
      </c>
      <c r="O3764" s="75">
        <f>M3764+N3764</f>
        <v>2275.8251138876367</v>
      </c>
      <c r="P3764" s="75">
        <f>(MIN(L3764,'THAM_SO_MOI'!$C$41)-O3764)/('THAM_SO_MOI'!$C$11*H3764)</f>
        <v>0.17476740514475522</v>
      </c>
      <c r="Q3764" s="75">
        <f>IF(P3764&gt;0,1/P3764,NA())</f>
        <v>5.721890756298215</v>
      </c>
      <c r="R3764" s="75">
        <f>F3764-F3763</f>
        <v>0.0073885545698715305</v>
      </c>
      <c r="S3764" s="75">
        <f>0.5*(Q3763+Q3764)*R3764</f>
        <v>0.0422661868135089</v>
      </c>
      <c r="T3764" s="75">
        <f>0.5*(F3763*Q3763+F3764*Q3764)*R3764</f>
        <v>0.8363479973129075</v>
      </c>
      <c r="U3764" s="76">
        <f>U3763+S3764</f>
        <v>46.64791297865605</v>
      </c>
      <c r="V3764" s="76">
        <f>V3763+T3764</f>
        <v>612.7409585313038</v>
      </c>
    </row>
    <row r="3765" spans="1:22" ht="19" customHeight="1">
      <c r="A3765" s="68" t="s">
        <v>378</v>
      </c>
      <c r="B3765" s="74">
        <v>5</v>
      </c>
      <c r="C3765" s="68" t="s">
        <v>363</v>
      </c>
      <c r="D3765" s="68" t="s">
        <v>364</v>
      </c>
      <c r="E3765" s="75">
        <f>60*F3765*'THAM_SO_MOI'!$C$53/(2*PI()*'THAM_SO_MOI'!$C$26)</f>
        <v>1950.6949157731501</v>
      </c>
      <c r="F3765" s="75">
        <f>'HANH_TRINH'!$F$3289+('THAM_SO_MOI'!$C$14-'HANH_TRINH'!$F$3289)*475/'THAM_SO_MOI'!$C$42</f>
        <v>19.798719764791592</v>
      </c>
      <c r="G3765" s="75">
        <f>3.6*F3765</f>
        <v>71.27539115324973</v>
      </c>
      <c r="H3765" s="75">
        <f>'THAM_SO_MOI'!$D$53</f>
        <v>1.1</v>
      </c>
      <c r="I3765" s="75">
        <f>IF(F3765&gt;'THAM_SO_MOI'!$C$14,'THAM_SO_MOI'!$C$13*(1+F3765^2/1500),'THAM_SO_MOI'!$C$13)</f>
        <v>0.015</v>
      </c>
      <c r="J3765" s="75">
        <f>'THAM_SO_MOI'!$C$40*('THAM_SO_MOI'!$C$23*(E3765/'THAM_SO_MOI'!$C$22)+'THAM_SO_MOI'!$C$24*(E3765/'THAM_SO_MOI'!$C$22)^2-'THAM_SO_MOI'!$C$25*(E3765/'THAM_SO_MOI'!$C$22)^3)</f>
        <v>87.3865705866791</v>
      </c>
      <c r="K3765" s="75">
        <f>'THAM_SO_MOI'!$C$31*J3765/E3765</f>
        <v>427.86687230955897</v>
      </c>
      <c r="L3765" s="75">
        <f>K3765*'THAM_SO_MOI'!$C$53*'THAM_SO_MOI'!$C$17/'THAM_SO_MOI'!$C$26</f>
        <v>3752.39414438445</v>
      </c>
      <c r="M3765" s="75">
        <f>'THAM_SO_MOI'!$C$15*'THAM_SO_MOI'!$C$16*F3765^2</f>
        <v>1146.5687151498917</v>
      </c>
      <c r="N3765" s="75">
        <f>'THAM_SO_MOI'!$C$12*I3765</f>
        <v>1130.112</v>
      </c>
      <c r="O3765" s="75">
        <f>M3765+N3765</f>
        <v>2276.6807151498915</v>
      </c>
      <c r="P3765" s="75">
        <f>(MIN(L3765,'THAM_SO_MOI'!$C$41)-O3765)/('THAM_SO_MOI'!$C$11*H3765)</f>
        <v>0.17468198736204524</v>
      </c>
      <c r="Q3765" s="75">
        <f>IF(P3765&gt;0,1/P3765,NA())</f>
        <v>5.724688704894362</v>
      </c>
      <c r="R3765" s="75">
        <f>F3765-F3764</f>
        <v>0.0073885545698715305</v>
      </c>
      <c r="S3765" s="75">
        <f>0.5*(Q3764+Q3765)*R3765</f>
        <v>0.04228683849369601</v>
      </c>
      <c r="T3765" s="75">
        <f>0.5*(F3764*Q3764+F3765*Q3765)*R3765</f>
        <v>0.8370690839543102</v>
      </c>
      <c r="U3765" s="76">
        <f>U3764+S3765</f>
        <v>46.69019981714975</v>
      </c>
      <c r="V3765" s="76">
        <f>V3764+T3765</f>
        <v>613.5780276152582</v>
      </c>
    </row>
    <row r="3766" spans="1:22" ht="19" customHeight="1">
      <c r="A3766" s="68" t="s">
        <v>378</v>
      </c>
      <c r="B3766" s="74">
        <v>5</v>
      </c>
      <c r="C3766" s="68" t="s">
        <v>363</v>
      </c>
      <c r="D3766" s="68" t="s">
        <v>364</v>
      </c>
      <c r="E3766" s="75">
        <f>60*F3766*'THAM_SO_MOI'!$C$53/(2*PI()*'THAM_SO_MOI'!$C$26)</f>
        <v>1951.4228828339292</v>
      </c>
      <c r="F3766" s="75">
        <f>'HANH_TRINH'!$F$3289+('THAM_SO_MOI'!$C$14-'HANH_TRINH'!$F$3289)*476/'THAM_SO_MOI'!$C$42</f>
        <v>19.806108319361464</v>
      </c>
      <c r="G3766" s="75">
        <f>3.6*F3766</f>
        <v>71.30198994970127</v>
      </c>
      <c r="H3766" s="75">
        <f>'THAM_SO_MOI'!$D$53</f>
        <v>1.1</v>
      </c>
      <c r="I3766" s="75">
        <f>IF(F3766&gt;'THAM_SO_MOI'!$C$14,'THAM_SO_MOI'!$C$13*(1+F3766^2/1500),'THAM_SO_MOI'!$C$13)</f>
        <v>0.015</v>
      </c>
      <c r="J3766" s="75">
        <f>'THAM_SO_MOI'!$C$40*('THAM_SO_MOI'!$C$23*(E3766/'THAM_SO_MOI'!$C$22)+'THAM_SO_MOI'!$C$24*(E3766/'THAM_SO_MOI'!$C$22)^2-'THAM_SO_MOI'!$C$25*(E3766/'THAM_SO_MOI'!$C$22)^3)</f>
        <v>87.42229289999423</v>
      </c>
      <c r="K3766" s="75">
        <f>'THAM_SO_MOI'!$C$31*J3766/E3766</f>
        <v>427.88209932135834</v>
      </c>
      <c r="L3766" s="75">
        <f>K3766*'THAM_SO_MOI'!$C$53*'THAM_SO_MOI'!$C$17/'THAM_SO_MOI'!$C$26</f>
        <v>3752.5276853375135</v>
      </c>
      <c r="M3766" s="75">
        <f>'THAM_SO_MOI'!$C$15*'THAM_SO_MOI'!$C$16*F3766^2</f>
        <v>1147.4246357679672</v>
      </c>
      <c r="N3766" s="75">
        <f>'THAM_SO_MOI'!$C$12*I3766</f>
        <v>1130.112</v>
      </c>
      <c r="O3766" s="75">
        <f>M3766+N3766</f>
        <v>2277.5366357679673</v>
      </c>
      <c r="P3766" s="75">
        <f>(MIN(L3766,'THAM_SO_MOI'!$C$41)-O3766)/('THAM_SO_MOI'!$C$11*H3766)</f>
        <v>0.17459647840548606</v>
      </c>
      <c r="Q3766" s="75">
        <f>IF(P3766&gt;0,1/P3766,NA())</f>
        <v>5.727492382048976</v>
      </c>
      <c r="R3766" s="75">
        <f>F3766-F3765</f>
        <v>0.0073885545698715305</v>
      </c>
      <c r="S3766" s="75">
        <f>0.5*(Q3765+Q3766)*R3766</f>
        <v>0.042307532452465754</v>
      </c>
      <c r="T3766" s="75">
        <f>0.5*(F3765*Q3765+F3766*Q3766)*R3766</f>
        <v>0.8377913129860179</v>
      </c>
      <c r="U3766" s="76">
        <f>U3765+S3766</f>
        <v>46.732507349602216</v>
      </c>
      <c r="V3766" s="76">
        <f>V3765+T3766</f>
        <v>614.4158189282442</v>
      </c>
    </row>
    <row r="3767" spans="1:22" ht="19" customHeight="1">
      <c r="A3767" s="68" t="s">
        <v>378</v>
      </c>
      <c r="B3767" s="74">
        <v>5</v>
      </c>
      <c r="C3767" s="68" t="s">
        <v>363</v>
      </c>
      <c r="D3767" s="68" t="s">
        <v>364</v>
      </c>
      <c r="E3767" s="75">
        <f>60*F3767*'THAM_SO_MOI'!$C$53/(2*PI()*'THAM_SO_MOI'!$C$26)</f>
        <v>1952.1508498947085</v>
      </c>
      <c r="F3767" s="75">
        <f>'HANH_TRINH'!$F$3289+('THAM_SO_MOI'!$C$14-'HANH_TRINH'!$F$3289)*477/'THAM_SO_MOI'!$C$42</f>
        <v>19.81349687393134</v>
      </c>
      <c r="G3767" s="75">
        <f>3.6*F3767</f>
        <v>71.32858874615282</v>
      </c>
      <c r="H3767" s="75">
        <f>'THAM_SO_MOI'!$D$53</f>
        <v>1.1</v>
      </c>
      <c r="I3767" s="75">
        <f>IF(F3767&gt;'THAM_SO_MOI'!$C$14,'THAM_SO_MOI'!$C$13*(1+F3767^2/1500),'THAM_SO_MOI'!$C$13)</f>
        <v>0.015</v>
      </c>
      <c r="J3767" s="75">
        <f>'THAM_SO_MOI'!$C$40*('THAM_SO_MOI'!$C$23*(E3767/'THAM_SO_MOI'!$C$22)+'THAM_SO_MOI'!$C$24*(E3767/'THAM_SO_MOI'!$C$22)^2-'THAM_SO_MOI'!$C$25*(E3767/'THAM_SO_MOI'!$C$22)^3)</f>
        <v>87.45800702641033</v>
      </c>
      <c r="K3767" s="75">
        <f>'THAM_SO_MOI'!$C$31*J3767/E3767</f>
        <v>427.8972749214523</v>
      </c>
      <c r="L3767" s="75">
        <f>K3767*'THAM_SO_MOI'!$C$53*'THAM_SO_MOI'!$C$17/'THAM_SO_MOI'!$C$26</f>
        <v>3752.6607754097195</v>
      </c>
      <c r="M3767" s="75">
        <f>'THAM_SO_MOI'!$C$15*'THAM_SO_MOI'!$C$16*F3767^2</f>
        <v>1148.2808757418643</v>
      </c>
      <c r="N3767" s="75">
        <f>'THAM_SO_MOI'!$C$12*I3767</f>
        <v>1130.112</v>
      </c>
      <c r="O3767" s="75">
        <f>M3767+N3767</f>
        <v>2278.3928757418644</v>
      </c>
      <c r="P3767" s="75">
        <f>(MIN(L3767,'THAM_SO_MOI'!$C$41)-O3767)/('THAM_SO_MOI'!$C$11*H3767)</f>
        <v>0.17451087827507755</v>
      </c>
      <c r="Q3767" s="75">
        <f>IF(P3767&gt;0,1/P3767,NA())</f>
        <v>5.7303018005772834</v>
      </c>
      <c r="R3767" s="75">
        <f>F3767-F3766</f>
        <v>0.007388554569875083</v>
      </c>
      <c r="S3767" s="75">
        <f>0.5*(Q3766+Q3767)*R3767</f>
        <v>0.04232826878436569</v>
      </c>
      <c r="T3767" s="75">
        <f>0.5*(F3766*Q3766+F3767*Q3767)*R3767</f>
        <v>0.8385146872181326</v>
      </c>
      <c r="U3767" s="76">
        <f>U3766+S3767</f>
        <v>46.77483561838658</v>
      </c>
      <c r="V3767" s="76">
        <f>V3766+T3767</f>
        <v>615.2543336154623</v>
      </c>
    </row>
    <row r="3768" spans="1:22" ht="19" customHeight="1">
      <c r="A3768" s="68" t="s">
        <v>378</v>
      </c>
      <c r="B3768" s="74">
        <v>5</v>
      </c>
      <c r="C3768" s="68" t="s">
        <v>363</v>
      </c>
      <c r="D3768" s="68" t="s">
        <v>364</v>
      </c>
      <c r="E3768" s="75">
        <f>60*F3768*'THAM_SO_MOI'!$C$53/(2*PI()*'THAM_SO_MOI'!$C$26)</f>
        <v>1952.8788169554873</v>
      </c>
      <c r="F3768" s="75">
        <f>'HANH_TRINH'!$F$3289+('THAM_SO_MOI'!$C$14-'HANH_TRINH'!$F$3289)*478/'THAM_SO_MOI'!$C$42</f>
        <v>19.82088542850121</v>
      </c>
      <c r="G3768" s="75">
        <f>3.6*F3768</f>
        <v>71.35518754260436</v>
      </c>
      <c r="H3768" s="75">
        <f>'THAM_SO_MOI'!$D$53</f>
        <v>1.1</v>
      </c>
      <c r="I3768" s="75">
        <f>IF(F3768&gt;'THAM_SO_MOI'!$C$14,'THAM_SO_MOI'!$C$13*(1+F3768^2/1500),'THAM_SO_MOI'!$C$13)</f>
        <v>0.015</v>
      </c>
      <c r="J3768" s="75">
        <f>'THAM_SO_MOI'!$C$40*('THAM_SO_MOI'!$C$23*(E3768/'THAM_SO_MOI'!$C$22)+'THAM_SO_MOI'!$C$24*(E3768/'THAM_SO_MOI'!$C$22)^2-'THAM_SO_MOI'!$C$25*(E3768/'THAM_SO_MOI'!$C$22)^3)</f>
        <v>87.49371295417183</v>
      </c>
      <c r="K3768" s="75">
        <f>'THAM_SO_MOI'!$C$31*J3768/E3768</f>
        <v>427.9123991098409</v>
      </c>
      <c r="L3768" s="75">
        <f>K3768*'THAM_SO_MOI'!$C$53*'THAM_SO_MOI'!$C$17/'THAM_SO_MOI'!$C$26</f>
        <v>3752.793414601068</v>
      </c>
      <c r="M3768" s="75">
        <f>'THAM_SO_MOI'!$C$15*'THAM_SO_MOI'!$C$16*F3768^2</f>
        <v>1149.137435071582</v>
      </c>
      <c r="N3768" s="75">
        <f>'THAM_SO_MOI'!$C$12*I3768</f>
        <v>1130.112</v>
      </c>
      <c r="O3768" s="75">
        <f>M3768+N3768</f>
        <v>2279.2494350715824</v>
      </c>
      <c r="P3768" s="75">
        <f>(MIN(L3768,'THAM_SO_MOI'!$C$41)-O3768)/('THAM_SO_MOI'!$C$11*H3768)</f>
        <v>0.17442518697081985</v>
      </c>
      <c r="Q3768" s="75">
        <f>IF(P3768&gt;0,1/P3768,NA())</f>
        <v>5.733116973337648</v>
      </c>
      <c r="R3768" s="75">
        <f>F3768-F3767</f>
        <v>0.0073885545698715305</v>
      </c>
      <c r="S3768" s="75">
        <f>0.5*(Q3767+Q3768)*R3768</f>
        <v>0.04234904758418013</v>
      </c>
      <c r="T3768" s="75">
        <f>0.5*(F3767*Q3767+F3768*Q3768)*R3768</f>
        <v>0.8392392094682415</v>
      </c>
      <c r="U3768" s="76">
        <f>U3767+S3768</f>
        <v>46.817184665970764</v>
      </c>
      <c r="V3768" s="76">
        <f>V3767+T3768</f>
        <v>616.0935728249306</v>
      </c>
    </row>
    <row r="3769" spans="1:22" ht="19" customHeight="1">
      <c r="A3769" s="68" t="s">
        <v>378</v>
      </c>
      <c r="B3769" s="74">
        <v>5</v>
      </c>
      <c r="C3769" s="68" t="s">
        <v>363</v>
      </c>
      <c r="D3769" s="68" t="s">
        <v>364</v>
      </c>
      <c r="E3769" s="75">
        <f>60*F3769*'THAM_SO_MOI'!$C$53/(2*PI()*'THAM_SO_MOI'!$C$26)</f>
        <v>1953.6067840162661</v>
      </c>
      <c r="F3769" s="75">
        <f>'HANH_TRINH'!$F$3289+('THAM_SO_MOI'!$C$14-'HANH_TRINH'!$F$3289)*479/'THAM_SO_MOI'!$C$42</f>
        <v>19.82827398307108</v>
      </c>
      <c r="G3769" s="75">
        <f>3.6*F3769</f>
        <v>71.38178633905589</v>
      </c>
      <c r="H3769" s="75">
        <f>'THAM_SO_MOI'!$D$53</f>
        <v>1.1</v>
      </c>
      <c r="I3769" s="75">
        <f>IF(F3769&gt;'THAM_SO_MOI'!$C$14,'THAM_SO_MOI'!$C$13*(1+F3769^2/1500),'THAM_SO_MOI'!$C$13)</f>
        <v>0.015</v>
      </c>
      <c r="J3769" s="75">
        <f>'THAM_SO_MOI'!$C$40*('THAM_SO_MOI'!$C$23*(E3769/'THAM_SO_MOI'!$C$22)+'THAM_SO_MOI'!$C$24*(E3769/'THAM_SO_MOI'!$C$22)^2-'THAM_SO_MOI'!$C$25*(E3769/'THAM_SO_MOI'!$C$22)^3)</f>
        <v>87.52941067152315</v>
      </c>
      <c r="K3769" s="75">
        <f>'THAM_SO_MOI'!$C$31*J3769/E3769</f>
        <v>427.92747188652373</v>
      </c>
      <c r="L3769" s="75">
        <f>K3769*'THAM_SO_MOI'!$C$53*'THAM_SO_MOI'!$C$17/'THAM_SO_MOI'!$C$26</f>
        <v>3752.925602911555</v>
      </c>
      <c r="M3769" s="75">
        <f>'THAM_SO_MOI'!$C$15*'THAM_SO_MOI'!$C$16*F3769^2</f>
        <v>1149.9943137571206</v>
      </c>
      <c r="N3769" s="75">
        <f>'THAM_SO_MOI'!$C$12*I3769</f>
        <v>1130.112</v>
      </c>
      <c r="O3769" s="75">
        <f>M3769+N3769</f>
        <v>2280.106313757121</v>
      </c>
      <c r="P3769" s="75">
        <f>(MIN(L3769,'THAM_SO_MOI'!$C$41)-O3769)/('THAM_SO_MOI'!$C$11*H3769)</f>
        <v>0.17433940449271237</v>
      </c>
      <c r="Q3769" s="75">
        <f>IF(P3769&gt;0,1/P3769,NA())</f>
        <v>5.735937913231781</v>
      </c>
      <c r="R3769" s="75">
        <f>F3769-F3768</f>
        <v>0.0073885545698715305</v>
      </c>
      <c r="S3769" s="75">
        <f>0.5*(Q3768+Q3769)*R3769</f>
        <v>0.04236986894713497</v>
      </c>
      <c r="T3769" s="75">
        <f>0.5*(F3768*Q3768+F3769*Q3769)*R3769</f>
        <v>0.8399648825654888</v>
      </c>
      <c r="U3769" s="76">
        <f>U3768+S3769</f>
        <v>46.8595545349179</v>
      </c>
      <c r="V3769" s="76">
        <f>V3768+T3769</f>
        <v>616.933537707496</v>
      </c>
    </row>
    <row r="3770" spans="1:22" ht="19" customHeight="1">
      <c r="A3770" s="68" t="s">
        <v>378</v>
      </c>
      <c r="B3770" s="74">
        <v>5</v>
      </c>
      <c r="C3770" s="68" t="s">
        <v>363</v>
      </c>
      <c r="D3770" s="68" t="s">
        <v>364</v>
      </c>
      <c r="E3770" s="75">
        <f>60*F3770*'THAM_SO_MOI'!$C$53/(2*PI()*'THAM_SO_MOI'!$C$26)</f>
        <v>1954.3347510770452</v>
      </c>
      <c r="F3770" s="75">
        <f>'HANH_TRINH'!$F$3289+('THAM_SO_MOI'!$C$14-'HANH_TRINH'!$F$3289)*480/'THAM_SO_MOI'!$C$42</f>
        <v>19.835662537640953</v>
      </c>
      <c r="G3770" s="75">
        <f>3.6*F3770</f>
        <v>71.40838513550743</v>
      </c>
      <c r="H3770" s="75">
        <f>'THAM_SO_MOI'!$D$53</f>
        <v>1.1</v>
      </c>
      <c r="I3770" s="75">
        <f>IF(F3770&gt;'THAM_SO_MOI'!$C$14,'THAM_SO_MOI'!$C$13*(1+F3770^2/1500),'THAM_SO_MOI'!$C$13)</f>
        <v>0.015</v>
      </c>
      <c r="J3770" s="75">
        <f>'THAM_SO_MOI'!$C$40*('THAM_SO_MOI'!$C$23*(E3770/'THAM_SO_MOI'!$C$22)+'THAM_SO_MOI'!$C$24*(E3770/'THAM_SO_MOI'!$C$22)^2-'THAM_SO_MOI'!$C$25*(E3770/'THAM_SO_MOI'!$C$22)^3)</f>
        <v>87.56510016670894</v>
      </c>
      <c r="K3770" s="75">
        <f>'THAM_SO_MOI'!$C$31*J3770/E3770</f>
        <v>427.9424932515015</v>
      </c>
      <c r="L3770" s="75">
        <f>K3770*'THAM_SO_MOI'!$C$53*'THAM_SO_MOI'!$C$17/'THAM_SO_MOI'!$C$26</f>
        <v>3753.0573403411886</v>
      </c>
      <c r="M3770" s="75">
        <f>'THAM_SO_MOI'!$C$15*'THAM_SO_MOI'!$C$16*F3770^2</f>
        <v>1150.8515117984805</v>
      </c>
      <c r="N3770" s="75">
        <f>'THAM_SO_MOI'!$C$12*I3770</f>
        <v>1130.112</v>
      </c>
      <c r="O3770" s="75">
        <f>M3770+N3770</f>
        <v>2280.963511798481</v>
      </c>
      <c r="P3770" s="75">
        <f>(MIN(L3770,'THAM_SO_MOI'!$C$41)-O3770)/('THAM_SO_MOI'!$C$11*H3770)</f>
        <v>0.17425353084075618</v>
      </c>
      <c r="Q3770" s="75">
        <f>IF(P3770&gt;0,1/P3770,NA())</f>
        <v>5.738764633204838</v>
      </c>
      <c r="R3770" s="75">
        <f>F3770-F3769</f>
        <v>0.0073885545698715305</v>
      </c>
      <c r="S3770" s="75">
        <f>0.5*(Q3769+Q3770)*R3770</f>
        <v>0.04239073296869538</v>
      </c>
      <c r="T3770" s="75">
        <f>0.5*(F3769*Q3769+F3770*Q3770)*R3770</f>
        <v>0.840691709346577</v>
      </c>
      <c r="U3770" s="76">
        <f>U3769+S3770</f>
        <v>46.901945267886596</v>
      </c>
      <c r="V3770" s="76">
        <f>V3769+T3770</f>
        <v>617.7742294168427</v>
      </c>
    </row>
    <row r="3771" spans="1:22" ht="19" customHeight="1">
      <c r="A3771" s="68" t="s">
        <v>378</v>
      </c>
      <c r="B3771" s="74">
        <v>5</v>
      </c>
      <c r="C3771" s="68" t="s">
        <v>363</v>
      </c>
      <c r="D3771" s="68" t="s">
        <v>364</v>
      </c>
      <c r="E3771" s="75">
        <f>60*F3771*'THAM_SO_MOI'!$C$53/(2*PI()*'THAM_SO_MOI'!$C$26)</f>
        <v>1955.062718137824</v>
      </c>
      <c r="F3771" s="75">
        <f>'HANH_TRINH'!$F$3289+('THAM_SO_MOI'!$C$14-'HANH_TRINH'!$F$3289)*481/'THAM_SO_MOI'!$C$42</f>
        <v>19.843051092210825</v>
      </c>
      <c r="G3771" s="75">
        <f>3.6*F3771</f>
        <v>71.43498393195897</v>
      </c>
      <c r="H3771" s="75">
        <f>'THAM_SO_MOI'!$D$53</f>
        <v>1.1</v>
      </c>
      <c r="I3771" s="75">
        <f>IF(F3771&gt;'THAM_SO_MOI'!$C$14,'THAM_SO_MOI'!$C$13*(1+F3771^2/1500),'THAM_SO_MOI'!$C$13)</f>
        <v>0.015</v>
      </c>
      <c r="J3771" s="75">
        <f>'THAM_SO_MOI'!$C$40*('THAM_SO_MOI'!$C$23*(E3771/'THAM_SO_MOI'!$C$22)+'THAM_SO_MOI'!$C$24*(E3771/'THAM_SO_MOI'!$C$22)^2-'THAM_SO_MOI'!$C$25*(E3771/'THAM_SO_MOI'!$C$22)^3)</f>
        <v>87.60078142797357</v>
      </c>
      <c r="K3771" s="75">
        <f>'THAM_SO_MOI'!$C$31*J3771/E3771</f>
        <v>427.95746320477366</v>
      </c>
      <c r="L3771" s="75">
        <f>K3771*'THAM_SO_MOI'!$C$53*'THAM_SO_MOI'!$C$17/'THAM_SO_MOI'!$C$26</f>
        <v>3753.188626889963</v>
      </c>
      <c r="M3771" s="75">
        <f>'THAM_SO_MOI'!$C$15*'THAM_SO_MOI'!$C$16*F3771^2</f>
        <v>1151.709029195661</v>
      </c>
      <c r="N3771" s="75">
        <f>'THAM_SO_MOI'!$C$12*I3771</f>
        <v>1130.112</v>
      </c>
      <c r="O3771" s="75">
        <f>M3771+N3771</f>
        <v>2281.821029195661</v>
      </c>
      <c r="P3771" s="75">
        <f>(MIN(L3771,'THAM_SO_MOI'!$C$41)-O3771)/('THAM_SO_MOI'!$C$11*H3771)</f>
        <v>0.1741675660149505</v>
      </c>
      <c r="Q3771" s="75">
        <f>IF(P3771&gt;0,1/P3771,NA())</f>
        <v>5.741597146245703</v>
      </c>
      <c r="R3771" s="75">
        <f>F3771-F3770</f>
        <v>0.0073885545698715305</v>
      </c>
      <c r="S3771" s="75">
        <f>0.5*(Q3770+Q3771)*R3771</f>
        <v>0.04241163974466887</v>
      </c>
      <c r="T3771" s="75">
        <f>0.5*(F3770*Q3770+F3771*Q3771)*R3771</f>
        <v>0.8414196926578229</v>
      </c>
      <c r="U3771" s="76">
        <f>U3770+S3771</f>
        <v>46.94435690763127</v>
      </c>
      <c r="V3771" s="76">
        <f>V3770+T3771</f>
        <v>618.6156491095005</v>
      </c>
    </row>
    <row r="3772" spans="1:22" ht="19" customHeight="1">
      <c r="A3772" s="68" t="s">
        <v>378</v>
      </c>
      <c r="B3772" s="74">
        <v>5</v>
      </c>
      <c r="C3772" s="68" t="s">
        <v>363</v>
      </c>
      <c r="D3772" s="68" t="s">
        <v>364</v>
      </c>
      <c r="E3772" s="75">
        <f>60*F3772*'THAM_SO_MOI'!$C$53/(2*PI()*'THAM_SO_MOI'!$C$26)</f>
        <v>1955.790685198603</v>
      </c>
      <c r="F3772" s="75">
        <f>'HANH_TRINH'!$F$3289+('THAM_SO_MOI'!$C$14-'HANH_TRINH'!$F$3289)*482/'THAM_SO_MOI'!$C$42</f>
        <v>19.850439646780696</v>
      </c>
      <c r="G3772" s="75">
        <f>3.6*F3772</f>
        <v>71.4615827284105</v>
      </c>
      <c r="H3772" s="75">
        <f>'THAM_SO_MOI'!$D$53</f>
        <v>1.1</v>
      </c>
      <c r="I3772" s="75">
        <f>IF(F3772&gt;'THAM_SO_MOI'!$C$14,'THAM_SO_MOI'!$C$13*(1+F3772^2/1500),'THAM_SO_MOI'!$C$13)</f>
        <v>0.015</v>
      </c>
      <c r="J3772" s="75">
        <f>'THAM_SO_MOI'!$C$40*('THAM_SO_MOI'!$C$23*(E3772/'THAM_SO_MOI'!$C$22)+'THAM_SO_MOI'!$C$24*(E3772/'THAM_SO_MOI'!$C$22)^2-'THAM_SO_MOI'!$C$25*(E3772/'THAM_SO_MOI'!$C$22)^3)</f>
        <v>87.63645444356155</v>
      </c>
      <c r="K3772" s="75">
        <f>'THAM_SO_MOI'!$C$31*J3772/E3772</f>
        <v>427.9723817463404</v>
      </c>
      <c r="L3772" s="75">
        <f>K3772*'THAM_SO_MOI'!$C$53*'THAM_SO_MOI'!$C$17/'THAM_SO_MOI'!$C$26</f>
        <v>3753.319462557878</v>
      </c>
      <c r="M3772" s="75">
        <f>'THAM_SO_MOI'!$C$15*'THAM_SO_MOI'!$C$16*F3772^2</f>
        <v>1152.5668659486628</v>
      </c>
      <c r="N3772" s="75">
        <f>'THAM_SO_MOI'!$C$12*I3772</f>
        <v>1130.112</v>
      </c>
      <c r="O3772" s="75">
        <f>M3772+N3772</f>
        <v>2282.678865948663</v>
      </c>
      <c r="P3772" s="75">
        <f>(MIN(L3772,'THAM_SO_MOI'!$C$41)-O3772)/('THAM_SO_MOI'!$C$11*H3772)</f>
        <v>0.17408151001529537</v>
      </c>
      <c r="Q3772" s="75">
        <f>IF(P3772&gt;0,1/P3772,NA())</f>
        <v>5.744435465387086</v>
      </c>
      <c r="R3772" s="75">
        <f>F3772-F3771</f>
        <v>0.0073885545698715305</v>
      </c>
      <c r="S3772" s="75">
        <f>0.5*(Q3771+Q3772)*R3772</f>
        <v>0.04243258937118644</v>
      </c>
      <c r="T3772" s="75">
        <f>0.5*(F3771*Q3771+F3772*Q3772)*R3772</f>
        <v>0.842148835354794</v>
      </c>
      <c r="U3772" s="76">
        <f>U3771+S3772</f>
        <v>46.986789497002455</v>
      </c>
      <c r="V3772" s="76">
        <f>V3771+T3772</f>
        <v>619.4577979448553</v>
      </c>
    </row>
    <row r="3773" spans="1:22" ht="19" customHeight="1">
      <c r="A3773" s="68" t="s">
        <v>378</v>
      </c>
      <c r="B3773" s="74">
        <v>5</v>
      </c>
      <c r="C3773" s="68" t="s">
        <v>363</v>
      </c>
      <c r="D3773" s="68" t="s">
        <v>364</v>
      </c>
      <c r="E3773" s="75">
        <f>60*F3773*'THAM_SO_MOI'!$C$53/(2*PI()*'THAM_SO_MOI'!$C$26)</f>
        <v>1956.5186522593817</v>
      </c>
      <c r="F3773" s="75">
        <f>'HANH_TRINH'!$F$3289+('THAM_SO_MOI'!$C$14-'HANH_TRINH'!$F$3289)*483/'THAM_SO_MOI'!$C$42</f>
        <v>19.857828201350568</v>
      </c>
      <c r="G3773" s="75">
        <f>3.6*F3773</f>
        <v>71.48818152486204</v>
      </c>
      <c r="H3773" s="75">
        <f>'THAM_SO_MOI'!$D$53</f>
        <v>1.1</v>
      </c>
      <c r="I3773" s="75">
        <f>IF(F3773&gt;'THAM_SO_MOI'!$C$14,'THAM_SO_MOI'!$C$13*(1+F3773^2/1500),'THAM_SO_MOI'!$C$13)</f>
        <v>0.015</v>
      </c>
      <c r="J3773" s="75">
        <f>'THAM_SO_MOI'!$C$40*('THAM_SO_MOI'!$C$23*(E3773/'THAM_SO_MOI'!$C$22)+'THAM_SO_MOI'!$C$24*(E3773/'THAM_SO_MOI'!$C$22)^2-'THAM_SO_MOI'!$C$25*(E3773/'THAM_SO_MOI'!$C$22)^3)</f>
        <v>87.67211920171736</v>
      </c>
      <c r="K3773" s="75">
        <f>'THAM_SO_MOI'!$C$31*J3773/E3773</f>
        <v>427.9872488762017</v>
      </c>
      <c r="L3773" s="75">
        <f>K3773*'THAM_SO_MOI'!$C$53*'THAM_SO_MOI'!$C$17/'THAM_SO_MOI'!$C$26</f>
        <v>3753.4498473449366</v>
      </c>
      <c r="M3773" s="75">
        <f>'THAM_SO_MOI'!$C$15*'THAM_SO_MOI'!$C$16*F3773^2</f>
        <v>1153.4250220574852</v>
      </c>
      <c r="N3773" s="75">
        <f>'THAM_SO_MOI'!$C$12*I3773</f>
        <v>1130.112</v>
      </c>
      <c r="O3773" s="75">
        <f>M3773+N3773</f>
        <v>2283.537022057485</v>
      </c>
      <c r="P3773" s="75">
        <f>(MIN(L3773,'THAM_SO_MOI'!$C$41)-O3773)/('THAM_SO_MOI'!$C$11*H3773)</f>
        <v>0.17399536284179115</v>
      </c>
      <c r="Q3773" s="75">
        <f>IF(P3773&gt;0,1/P3773,NA())</f>
        <v>5.747279603705707</v>
      </c>
      <c r="R3773" s="75">
        <f>F3773-F3772</f>
        <v>0.0073885545698715305</v>
      </c>
      <c r="S3773" s="75">
        <f>0.5*(Q3772+Q3773)*R3773</f>
        <v>0.04245358194470354</v>
      </c>
      <c r="T3773" s="75">
        <f>0.5*(F3772*Q3772+F3773*Q3773)*R3773</f>
        <v>0.8428791403023417</v>
      </c>
      <c r="U3773" s="76">
        <f>U3772+S3773</f>
        <v>47.02924307894716</v>
      </c>
      <c r="V3773" s="76">
        <f>V3772+T3773</f>
        <v>620.3006770851576</v>
      </c>
    </row>
    <row r="3774" spans="1:22" ht="19" customHeight="1">
      <c r="A3774" s="68" t="s">
        <v>378</v>
      </c>
      <c r="B3774" s="74">
        <v>5</v>
      </c>
      <c r="C3774" s="68" t="s">
        <v>363</v>
      </c>
      <c r="D3774" s="68" t="s">
        <v>364</v>
      </c>
      <c r="E3774" s="75">
        <f>60*F3774*'THAM_SO_MOI'!$C$53/(2*PI()*'THAM_SO_MOI'!$C$26)</f>
        <v>1957.2466193201612</v>
      </c>
      <c r="F3774" s="75">
        <f>'HANH_TRINH'!$F$3289+('THAM_SO_MOI'!$C$14-'HANH_TRINH'!$F$3289)*484/'THAM_SO_MOI'!$C$42</f>
        <v>19.865216755920443</v>
      </c>
      <c r="G3774" s="75">
        <f>3.6*F3774</f>
        <v>71.5147803213136</v>
      </c>
      <c r="H3774" s="75">
        <f>'THAM_SO_MOI'!$D$53</f>
        <v>1.1</v>
      </c>
      <c r="I3774" s="75">
        <f>IF(F3774&gt;'THAM_SO_MOI'!$C$14,'THAM_SO_MOI'!$C$13*(1+F3774^2/1500),'THAM_SO_MOI'!$C$13)</f>
        <v>0.015</v>
      </c>
      <c r="J3774" s="75">
        <f>'THAM_SO_MOI'!$C$40*('THAM_SO_MOI'!$C$23*(E3774/'THAM_SO_MOI'!$C$22)+'THAM_SO_MOI'!$C$24*(E3774/'THAM_SO_MOI'!$C$22)^2-'THAM_SO_MOI'!$C$25*(E3774/'THAM_SO_MOI'!$C$22)^3)</f>
        <v>87.70777569068555</v>
      </c>
      <c r="K3774" s="75">
        <f>'THAM_SO_MOI'!$C$31*J3774/E3774</f>
        <v>428.00206459435765</v>
      </c>
      <c r="L3774" s="75">
        <f>K3774*'THAM_SO_MOI'!$C$53*'THAM_SO_MOI'!$C$17/'THAM_SO_MOI'!$C$26</f>
        <v>3753.5797812511373</v>
      </c>
      <c r="M3774" s="75">
        <f>'THAM_SO_MOI'!$C$15*'THAM_SO_MOI'!$C$16*F3774^2</f>
        <v>1154.2834975221294</v>
      </c>
      <c r="N3774" s="75">
        <f>'THAM_SO_MOI'!$C$12*I3774</f>
        <v>1130.112</v>
      </c>
      <c r="O3774" s="75">
        <f>M3774+N3774</f>
        <v>2284.3954975221295</v>
      </c>
      <c r="P3774" s="75">
        <f>(MIN(L3774,'THAM_SO_MOI'!$C$41)-O3774)/('THAM_SO_MOI'!$C$11*H3774)</f>
        <v>0.1739091244944375</v>
      </c>
      <c r="Q3774" s="75">
        <f>IF(P3774&gt;0,1/P3774,NA())</f>
        <v>5.750129574322509</v>
      </c>
      <c r="R3774" s="75">
        <f>F3774-F3773</f>
        <v>0.007388554569875083</v>
      </c>
      <c r="S3774" s="75">
        <f>0.5*(Q3773+Q3774)*R3774</f>
        <v>0.042474617562022046</v>
      </c>
      <c r="T3774" s="75">
        <f>0.5*(F3773*Q3773+F3774*Q3774)*R3774</f>
        <v>0.8436106103750476</v>
      </c>
      <c r="U3774" s="76">
        <f>U3773+S3774</f>
        <v>47.07171769650918</v>
      </c>
      <c r="V3774" s="76">
        <f>V3773+T3774</f>
        <v>621.1442876955327</v>
      </c>
    </row>
    <row r="3775" spans="1:22" ht="19" customHeight="1">
      <c r="A3775" s="68" t="s">
        <v>378</v>
      </c>
      <c r="B3775" s="74">
        <v>5</v>
      </c>
      <c r="C3775" s="68" t="s">
        <v>363</v>
      </c>
      <c r="D3775" s="68" t="s">
        <v>364</v>
      </c>
      <c r="E3775" s="75">
        <f>60*F3775*'THAM_SO_MOI'!$C$53/(2*PI()*'THAM_SO_MOI'!$C$26)</f>
        <v>1957.97458638094</v>
      </c>
      <c r="F3775" s="75">
        <f>'HANH_TRINH'!$F$3289+('THAM_SO_MOI'!$C$14-'HANH_TRINH'!$F$3289)*485/'THAM_SO_MOI'!$C$42</f>
        <v>19.872605310490314</v>
      </c>
      <c r="G3775" s="75">
        <f>3.6*F3775</f>
        <v>71.54137911776513</v>
      </c>
      <c r="H3775" s="75">
        <f>'THAM_SO_MOI'!$D$53</f>
        <v>1.1</v>
      </c>
      <c r="I3775" s="75">
        <f>IF(F3775&gt;'THAM_SO_MOI'!$C$14,'THAM_SO_MOI'!$C$13*(1+F3775^2/1500),'THAM_SO_MOI'!$C$13)</f>
        <v>0.015</v>
      </c>
      <c r="J3775" s="75">
        <f>'THAM_SO_MOI'!$C$40*('THAM_SO_MOI'!$C$23*(E3775/'THAM_SO_MOI'!$C$22)+'THAM_SO_MOI'!$C$24*(E3775/'THAM_SO_MOI'!$C$22)^2-'THAM_SO_MOI'!$C$25*(E3775/'THAM_SO_MOI'!$C$22)^3)</f>
        <v>87.74342389871052</v>
      </c>
      <c r="K3775" s="75">
        <f>'THAM_SO_MOI'!$C$31*J3775/E3775</f>
        <v>428.01682890080826</v>
      </c>
      <c r="L3775" s="75">
        <f>K3775*'THAM_SO_MOI'!$C$53*'THAM_SO_MOI'!$C$17/'THAM_SO_MOI'!$C$26</f>
        <v>3753.709264276482</v>
      </c>
      <c r="M3775" s="75">
        <f>'THAM_SO_MOI'!$C$15*'THAM_SO_MOI'!$C$16*F3775^2</f>
        <v>1155.1422923425941</v>
      </c>
      <c r="N3775" s="75">
        <f>'THAM_SO_MOI'!$C$12*I3775</f>
        <v>1130.112</v>
      </c>
      <c r="O3775" s="75">
        <f>M3775+N3775</f>
        <v>2285.2542923425945</v>
      </c>
      <c r="P3775" s="75">
        <f>(MIN(L3775,'THAM_SO_MOI'!$C$41)-O3775)/('THAM_SO_MOI'!$C$11*H3775)</f>
        <v>0.17382279497323477</v>
      </c>
      <c r="Q3775" s="75">
        <f>IF(P3775&gt;0,1/P3775,NA())</f>
        <v>5.752985390402794</v>
      </c>
      <c r="R3775" s="75">
        <f>F3775-F3774</f>
        <v>0.0073885545698715305</v>
      </c>
      <c r="S3775" s="75">
        <f>0.5*(Q3774+Q3775)*R3775</f>
        <v>0.04249569632018936</v>
      </c>
      <c r="T3775" s="75">
        <f>0.5*(F3774*Q3774+F3775*Q3775)*R3775</f>
        <v>0.844343248455233</v>
      </c>
      <c r="U3775" s="76">
        <f>U3774+S3775</f>
        <v>47.11421339282937</v>
      </c>
      <c r="V3775" s="76">
        <f>V3774+T3775</f>
        <v>621.988630943988</v>
      </c>
    </row>
    <row r="3776" spans="1:22" ht="19" customHeight="1">
      <c r="A3776" s="68" t="s">
        <v>378</v>
      </c>
      <c r="B3776" s="74">
        <v>5</v>
      </c>
      <c r="C3776" s="68" t="s">
        <v>363</v>
      </c>
      <c r="D3776" s="68" t="s">
        <v>364</v>
      </c>
      <c r="E3776" s="75">
        <f>60*F3776*'THAM_SO_MOI'!$C$53/(2*PI()*'THAM_SO_MOI'!$C$26)</f>
        <v>1958.7025534417187</v>
      </c>
      <c r="F3776" s="75">
        <f>'HANH_TRINH'!$F$3289+('THAM_SO_MOI'!$C$14-'HANH_TRINH'!$F$3289)*486/'THAM_SO_MOI'!$C$42</f>
        <v>19.879993865060186</v>
      </c>
      <c r="G3776" s="75">
        <f>3.6*F3776</f>
        <v>71.56797791421667</v>
      </c>
      <c r="H3776" s="75">
        <f>'THAM_SO_MOI'!$D$53</f>
        <v>1.1</v>
      </c>
      <c r="I3776" s="75">
        <f>IF(F3776&gt;'THAM_SO_MOI'!$C$14,'THAM_SO_MOI'!$C$13*(1+F3776^2/1500),'THAM_SO_MOI'!$C$13)</f>
        <v>0.015</v>
      </c>
      <c r="J3776" s="75">
        <f>'THAM_SO_MOI'!$C$40*('THAM_SO_MOI'!$C$23*(E3776/'THAM_SO_MOI'!$C$22)+'THAM_SO_MOI'!$C$24*(E3776/'THAM_SO_MOI'!$C$22)^2-'THAM_SO_MOI'!$C$25*(E3776/'THAM_SO_MOI'!$C$22)^3)</f>
        <v>87.77906381403675</v>
      </c>
      <c r="K3776" s="75">
        <f>'THAM_SO_MOI'!$C$31*J3776/E3776</f>
        <v>428.03154179555327</v>
      </c>
      <c r="L3776" s="75">
        <f>K3776*'THAM_SO_MOI'!$C$53*'THAM_SO_MOI'!$C$17/'THAM_SO_MOI'!$C$26</f>
        <v>3753.838296420967</v>
      </c>
      <c r="M3776" s="75">
        <f>'THAM_SO_MOI'!$C$15*'THAM_SO_MOI'!$C$16*F3776^2</f>
        <v>1156.0014065188798</v>
      </c>
      <c r="N3776" s="75">
        <f>'THAM_SO_MOI'!$C$12*I3776</f>
        <v>1130.112</v>
      </c>
      <c r="O3776" s="75">
        <f>M3776+N3776</f>
        <v>2286.11340651888</v>
      </c>
      <c r="P3776" s="75">
        <f>(MIN(L3776,'THAM_SO_MOI'!$C$41)-O3776)/('THAM_SO_MOI'!$C$11*H3776)</f>
        <v>0.17373637427818264</v>
      </c>
      <c r="Q3776" s="75">
        <f>IF(P3776&gt;0,1/P3776,NA())</f>
        <v>5.755847065156449</v>
      </c>
      <c r="R3776" s="75">
        <f>F3776-F3775</f>
        <v>0.0073885545698715305</v>
      </c>
      <c r="S3776" s="75">
        <f>0.5*(Q3775+Q3776)*R3776</f>
        <v>0.042516818316704015</v>
      </c>
      <c r="T3776" s="75">
        <f>0.5*(F3775*Q3775+F3776*Q3776)*R3776</f>
        <v>0.845077057437054</v>
      </c>
      <c r="U3776" s="76">
        <f>U3775+S3776</f>
        <v>47.156730211146076</v>
      </c>
      <c r="V3776" s="76">
        <f>V3775+T3776</f>
        <v>622.8337080014251</v>
      </c>
    </row>
    <row r="3777" spans="1:22" ht="19" customHeight="1">
      <c r="A3777" s="68" t="s">
        <v>378</v>
      </c>
      <c r="B3777" s="74">
        <v>5</v>
      </c>
      <c r="C3777" s="68" t="s">
        <v>363</v>
      </c>
      <c r="D3777" s="68" t="s">
        <v>364</v>
      </c>
      <c r="E3777" s="75">
        <f>60*F3777*'THAM_SO_MOI'!$C$53/(2*PI()*'THAM_SO_MOI'!$C$26)</f>
        <v>1959.4305205024978</v>
      </c>
      <c r="F3777" s="75">
        <f>'HANH_TRINH'!$F$3289+('THAM_SO_MOI'!$C$14-'HANH_TRINH'!$F$3289)*487/'THAM_SO_MOI'!$C$42</f>
        <v>19.887382419630057</v>
      </c>
      <c r="G3777" s="75">
        <f>3.6*F3777</f>
        <v>71.5945767106682</v>
      </c>
      <c r="H3777" s="75">
        <f>'THAM_SO_MOI'!$D$53</f>
        <v>1.1</v>
      </c>
      <c r="I3777" s="75">
        <f>IF(F3777&gt;'THAM_SO_MOI'!$C$14,'THAM_SO_MOI'!$C$13*(1+F3777^2/1500),'THAM_SO_MOI'!$C$13)</f>
        <v>0.015</v>
      </c>
      <c r="J3777" s="75">
        <f>'THAM_SO_MOI'!$C$40*('THAM_SO_MOI'!$C$23*(E3777/'THAM_SO_MOI'!$C$22)+'THAM_SO_MOI'!$C$24*(E3777/'THAM_SO_MOI'!$C$22)^2-'THAM_SO_MOI'!$C$25*(E3777/'THAM_SO_MOI'!$C$22)^3)</f>
        <v>87.81469542490876</v>
      </c>
      <c r="K3777" s="75">
        <f>'THAM_SO_MOI'!$C$31*J3777/E3777</f>
        <v>428.0462032785928</v>
      </c>
      <c r="L3777" s="75">
        <f>K3777*'THAM_SO_MOI'!$C$53*'THAM_SO_MOI'!$C$17/'THAM_SO_MOI'!$C$26</f>
        <v>3753.966877684594</v>
      </c>
      <c r="M3777" s="75">
        <f>'THAM_SO_MOI'!$C$15*'THAM_SO_MOI'!$C$16*F3777^2</f>
        <v>1156.8608400509863</v>
      </c>
      <c r="N3777" s="75">
        <f>'THAM_SO_MOI'!$C$12*I3777</f>
        <v>1130.112</v>
      </c>
      <c r="O3777" s="75">
        <f>M3777+N3777</f>
        <v>2286.9728400509866</v>
      </c>
      <c r="P3777" s="75">
        <f>(MIN(L3777,'THAM_SO_MOI'!$C$41)-O3777)/('THAM_SO_MOI'!$C$11*H3777)</f>
        <v>0.17364986240928115</v>
      </c>
      <c r="Q3777" s="75">
        <f>IF(P3777&gt;0,1/P3777,NA())</f>
        <v>5.758714611838083</v>
      </c>
      <c r="R3777" s="75">
        <f>F3777-F3776</f>
        <v>0.0073885545698715305</v>
      </c>
      <c r="S3777" s="75">
        <f>0.5*(Q3776+Q3777)*R3777</f>
        <v>0.04253798364931277</v>
      </c>
      <c r="T3777" s="75">
        <f>0.5*(F3776*Q3776+F3777*Q3777)*R3777</f>
        <v>0.8458120402224839</v>
      </c>
      <c r="U3777" s="76">
        <f>U3776+S3777</f>
        <v>47.19926819479539</v>
      </c>
      <c r="V3777" s="76">
        <f>V3776+T3777</f>
        <v>623.6795200416476</v>
      </c>
    </row>
    <row r="3778" spans="1:22" ht="19" customHeight="1">
      <c r="A3778" s="68" t="s">
        <v>378</v>
      </c>
      <c r="B3778" s="74">
        <v>5</v>
      </c>
      <c r="C3778" s="68" t="s">
        <v>363</v>
      </c>
      <c r="D3778" s="68" t="s">
        <v>364</v>
      </c>
      <c r="E3778" s="75">
        <f>60*F3778*'THAM_SO_MOI'!$C$53/(2*PI()*'THAM_SO_MOI'!$C$26)</f>
        <v>1960.158487563277</v>
      </c>
      <c r="F3778" s="75">
        <f>'HANH_TRINH'!$F$3289+('THAM_SO_MOI'!$C$14-'HANH_TRINH'!$F$3289)*488/'THAM_SO_MOI'!$C$42</f>
        <v>19.89477097419993</v>
      </c>
      <c r="G3778" s="75">
        <f>3.6*F3778</f>
        <v>71.62117550711974</v>
      </c>
      <c r="H3778" s="75">
        <f>'THAM_SO_MOI'!$D$53</f>
        <v>1.1</v>
      </c>
      <c r="I3778" s="75">
        <f>IF(F3778&gt;'THAM_SO_MOI'!$C$14,'THAM_SO_MOI'!$C$13*(1+F3778^2/1500),'THAM_SO_MOI'!$C$13)</f>
        <v>0.015</v>
      </c>
      <c r="J3778" s="75">
        <f>'THAM_SO_MOI'!$C$40*('THAM_SO_MOI'!$C$23*(E3778/'THAM_SO_MOI'!$C$22)+'THAM_SO_MOI'!$C$24*(E3778/'THAM_SO_MOI'!$C$22)^2-'THAM_SO_MOI'!$C$25*(E3778/'THAM_SO_MOI'!$C$22)^3)</f>
        <v>87.85031871957106</v>
      </c>
      <c r="K3778" s="75">
        <f>'THAM_SO_MOI'!$C$31*J3778/E3778</f>
        <v>428.06081334992695</v>
      </c>
      <c r="L3778" s="75">
        <f>K3778*'THAM_SO_MOI'!$C$53*'THAM_SO_MOI'!$C$17/'THAM_SO_MOI'!$C$26</f>
        <v>3754.0950080673624</v>
      </c>
      <c r="M3778" s="75">
        <f>'THAM_SO_MOI'!$C$15*'THAM_SO_MOI'!$C$16*F3778^2</f>
        <v>1157.720592938914</v>
      </c>
      <c r="N3778" s="75">
        <f>'THAM_SO_MOI'!$C$12*I3778</f>
        <v>1130.112</v>
      </c>
      <c r="O3778" s="75">
        <f>M3778+N3778</f>
        <v>2287.832592938914</v>
      </c>
      <c r="P3778" s="75">
        <f>(MIN(L3778,'THAM_SO_MOI'!$C$41)-O3778)/('THAM_SO_MOI'!$C$11*H3778)</f>
        <v>0.1735632593665303</v>
      </c>
      <c r="Q3778" s="75">
        <f>IF(P3778&gt;0,1/P3778,NA())</f>
        <v>5.761588043747228</v>
      </c>
      <c r="R3778" s="75">
        <f>F3778-F3777</f>
        <v>0.0073885545698715305</v>
      </c>
      <c r="S3778" s="75">
        <f>0.5*(Q3777+Q3778)*R3778</f>
        <v>0.04255919241611399</v>
      </c>
      <c r="T3778" s="75">
        <f>0.5*(F3777*Q3777+F3778*Q3778)*R3778</f>
        <v>0.8465481997233788</v>
      </c>
      <c r="U3778" s="76">
        <f>U3777+S3778</f>
        <v>47.2418273872115</v>
      </c>
      <c r="V3778" s="76">
        <f>V3777+T3778</f>
        <v>624.526068241371</v>
      </c>
    </row>
    <row r="3779" spans="1:22" ht="19" customHeight="1">
      <c r="A3779" s="68" t="s">
        <v>378</v>
      </c>
      <c r="B3779" s="74">
        <v>5</v>
      </c>
      <c r="C3779" s="68" t="s">
        <v>363</v>
      </c>
      <c r="D3779" s="68" t="s">
        <v>364</v>
      </c>
      <c r="E3779" s="75">
        <f>60*F3779*'THAM_SO_MOI'!$C$53/(2*PI()*'THAM_SO_MOI'!$C$26)</f>
        <v>1960.886454624056</v>
      </c>
      <c r="F3779" s="75">
        <f>'HANH_TRINH'!$F$3289+('THAM_SO_MOI'!$C$14-'HANH_TRINH'!$F$3289)*489/'THAM_SO_MOI'!$C$42</f>
        <v>19.9021595287698</v>
      </c>
      <c r="G3779" s="75">
        <f>3.6*F3779</f>
        <v>71.64777430357128</v>
      </c>
      <c r="H3779" s="75">
        <f>'THAM_SO_MOI'!$D$53</f>
        <v>1.1</v>
      </c>
      <c r="I3779" s="75">
        <f>IF(F3779&gt;'THAM_SO_MOI'!$C$14,'THAM_SO_MOI'!$C$13*(1+F3779^2/1500),'THAM_SO_MOI'!$C$13)</f>
        <v>0.015</v>
      </c>
      <c r="J3779" s="75">
        <f>'THAM_SO_MOI'!$C$40*('THAM_SO_MOI'!$C$23*(E3779/'THAM_SO_MOI'!$C$22)+'THAM_SO_MOI'!$C$24*(E3779/'THAM_SO_MOI'!$C$22)^2-'THAM_SO_MOI'!$C$25*(E3779/'THAM_SO_MOI'!$C$22)^3)</f>
        <v>87.8859336862681</v>
      </c>
      <c r="K3779" s="75">
        <f>'THAM_SO_MOI'!$C$31*J3779/E3779</f>
        <v>428.0753720095558</v>
      </c>
      <c r="L3779" s="75">
        <f>K3779*'THAM_SO_MOI'!$C$53*'THAM_SO_MOI'!$C$17/'THAM_SO_MOI'!$C$26</f>
        <v>3754.2226875692754</v>
      </c>
      <c r="M3779" s="75">
        <f>'THAM_SO_MOI'!$C$15*'THAM_SO_MOI'!$C$16*F3779^2</f>
        <v>1158.5806651826626</v>
      </c>
      <c r="N3779" s="75">
        <f>'THAM_SO_MOI'!$C$12*I3779</f>
        <v>1130.112</v>
      </c>
      <c r="O3779" s="75">
        <f>M3779+N3779</f>
        <v>2288.6926651826625</v>
      </c>
      <c r="P3779" s="75">
        <f>(MIN(L3779,'THAM_SO_MOI'!$C$41)-O3779)/('THAM_SO_MOI'!$C$11*H3779)</f>
        <v>0.17347656514993046</v>
      </c>
      <c r="Q3779" s="75">
        <f>IF(P3779&gt;0,1/P3779,NA())</f>
        <v>5.764467374228506</v>
      </c>
      <c r="R3779" s="75">
        <f>F3779-F3778</f>
        <v>0.0073885545698715305</v>
      </c>
      <c r="S3779" s="75">
        <f>0.5*(Q3778+Q3779)*R3779</f>
        <v>0.04258044471553856</v>
      </c>
      <c r="T3779" s="75">
        <f>0.5*(F3778*Q3778+F3779*Q3779)*R3779</f>
        <v>0.8472855388611108</v>
      </c>
      <c r="U3779" s="76">
        <f>U3778+S3779</f>
        <v>47.28440783192704</v>
      </c>
      <c r="V3779" s="76">
        <f>V3778+T3779</f>
        <v>625.3733537802322</v>
      </c>
    </row>
    <row r="3780" spans="1:22" ht="19" customHeight="1">
      <c r="A3780" s="68" t="s">
        <v>378</v>
      </c>
      <c r="B3780" s="74">
        <v>5</v>
      </c>
      <c r="C3780" s="68" t="s">
        <v>363</v>
      </c>
      <c r="D3780" s="68" t="s">
        <v>364</v>
      </c>
      <c r="E3780" s="75">
        <f>60*F3780*'THAM_SO_MOI'!$C$53/(2*PI()*'THAM_SO_MOI'!$C$26)</f>
        <v>1961.6144216848343</v>
      </c>
      <c r="F3780" s="75">
        <f>'HANH_TRINH'!$F$3289+('THAM_SO_MOI'!$C$14-'HANH_TRINH'!$F$3289)*490/'THAM_SO_MOI'!$C$42</f>
        <v>19.909548083339672</v>
      </c>
      <c r="G3780" s="75">
        <f>3.6*F3780</f>
        <v>71.67437310002282</v>
      </c>
      <c r="H3780" s="75">
        <f>'THAM_SO_MOI'!$D$53</f>
        <v>1.1</v>
      </c>
      <c r="I3780" s="75">
        <f>IF(F3780&gt;'THAM_SO_MOI'!$C$14,'THAM_SO_MOI'!$C$13*(1+F3780^2/1500),'THAM_SO_MOI'!$C$13)</f>
        <v>0.015</v>
      </c>
      <c r="J3780" s="75">
        <f>'THAM_SO_MOI'!$C$40*('THAM_SO_MOI'!$C$23*(E3780/'THAM_SO_MOI'!$C$22)+'THAM_SO_MOI'!$C$24*(E3780/'THAM_SO_MOI'!$C$22)^2-'THAM_SO_MOI'!$C$25*(E3780/'THAM_SO_MOI'!$C$22)^3)</f>
        <v>87.92154031324435</v>
      </c>
      <c r="K3780" s="75">
        <f>'THAM_SO_MOI'!$C$31*J3780/E3780</f>
        <v>428.08987925747914</v>
      </c>
      <c r="L3780" s="75">
        <f>K3780*'THAM_SO_MOI'!$C$53*'THAM_SO_MOI'!$C$17/'THAM_SO_MOI'!$C$26</f>
        <v>3754.349916190329</v>
      </c>
      <c r="M3780" s="75">
        <f>'THAM_SO_MOI'!$C$15*'THAM_SO_MOI'!$C$16*F3780^2</f>
        <v>1159.4410567822322</v>
      </c>
      <c r="N3780" s="75">
        <f>'THAM_SO_MOI'!$C$12*I3780</f>
        <v>1130.112</v>
      </c>
      <c r="O3780" s="75">
        <f>M3780+N3780</f>
        <v>2289.5530567822325</v>
      </c>
      <c r="P3780" s="75">
        <f>(MIN(L3780,'THAM_SO_MOI'!$C$41)-O3780)/('THAM_SO_MOI'!$C$11*H3780)</f>
        <v>0.17338977975948114</v>
      </c>
      <c r="Q3780" s="75">
        <f>IF(P3780&gt;0,1/P3780,NA())</f>
        <v>5.767352616671854</v>
      </c>
      <c r="R3780" s="75">
        <f>F3780-F3779</f>
        <v>0.0073885545698715305</v>
      </c>
      <c r="S3780" s="75">
        <f>0.5*(Q3779+Q3780)*R3780</f>
        <v>0.04260174064635136</v>
      </c>
      <c r="T3780" s="75">
        <f>0.5*(F3779*Q3779+F3780*Q3780)*R3780</f>
        <v>0.8480240605666091</v>
      </c>
      <c r="U3780" s="76">
        <f>U3779+S3780</f>
        <v>47.327009572573395</v>
      </c>
      <c r="V3780" s="76">
        <f>V3779+T3780</f>
        <v>626.2213778407987</v>
      </c>
    </row>
    <row r="3781" spans="1:22" ht="19" customHeight="1">
      <c r="A3781" s="68" t="s">
        <v>378</v>
      </c>
      <c r="B3781" s="74">
        <v>5</v>
      </c>
      <c r="C3781" s="68" t="s">
        <v>363</v>
      </c>
      <c r="D3781" s="68" t="s">
        <v>364</v>
      </c>
      <c r="E3781" s="75">
        <f>60*F3781*'THAM_SO_MOI'!$C$53/(2*PI()*'THAM_SO_MOI'!$C$26)</f>
        <v>1962.3423887456136</v>
      </c>
      <c r="F3781" s="75">
        <f>'HANH_TRINH'!$F$3289+('THAM_SO_MOI'!$C$14-'HANH_TRINH'!$F$3289)*491/'THAM_SO_MOI'!$C$42</f>
        <v>19.916936637909544</v>
      </c>
      <c r="G3781" s="75">
        <f>3.6*F3781</f>
        <v>71.70097189647436</v>
      </c>
      <c r="H3781" s="75">
        <f>'THAM_SO_MOI'!$D$53</f>
        <v>1.1</v>
      </c>
      <c r="I3781" s="75">
        <f>IF(F3781&gt;'THAM_SO_MOI'!$C$14,'THAM_SO_MOI'!$C$13*(1+F3781^2/1500),'THAM_SO_MOI'!$C$13)</f>
        <v>0.015</v>
      </c>
      <c r="J3781" s="75">
        <f>'THAM_SO_MOI'!$C$40*('THAM_SO_MOI'!$C$23*(E3781/'THAM_SO_MOI'!$C$22)+'THAM_SO_MOI'!$C$24*(E3781/'THAM_SO_MOI'!$C$22)^2-'THAM_SO_MOI'!$C$25*(E3781/'THAM_SO_MOI'!$C$22)^3)</f>
        <v>87.95713858874433</v>
      </c>
      <c r="K3781" s="75">
        <f>'THAM_SO_MOI'!$C$31*J3781/E3781</f>
        <v>428.10433509369693</v>
      </c>
      <c r="L3781" s="75">
        <f>K3781*'THAM_SO_MOI'!$C$53*'THAM_SO_MOI'!$C$17/'THAM_SO_MOI'!$C$26</f>
        <v>3754.476693930525</v>
      </c>
      <c r="M3781" s="75">
        <f>'THAM_SO_MOI'!$C$15*'THAM_SO_MOI'!$C$16*F3781^2</f>
        <v>1160.3017677376229</v>
      </c>
      <c r="N3781" s="75">
        <f>'THAM_SO_MOI'!$C$12*I3781</f>
        <v>1130.112</v>
      </c>
      <c r="O3781" s="75">
        <f>M3781+N3781</f>
        <v>2290.413767737623</v>
      </c>
      <c r="P3781" s="75">
        <f>(MIN(L3781,'THAM_SO_MOI'!$C$41)-O3781)/('THAM_SO_MOI'!$C$11*H3781)</f>
        <v>0.17330290319518254</v>
      </c>
      <c r="Q3781" s="75">
        <f>IF(P3781&gt;0,1/P3781,NA())</f>
        <v>5.770243784512653</v>
      </c>
      <c r="R3781" s="75">
        <f>F3781-F3780</f>
        <v>0.0073885545698715305</v>
      </c>
      <c r="S3781" s="75">
        <f>0.5*(Q3780+Q3781)*R3781</f>
        <v>0.04262308030765256</v>
      </c>
      <c r="T3781" s="75">
        <f>0.5*(F3780*Q3780+F3781*Q3781)*R3781</f>
        <v>0.8487637677803983</v>
      </c>
      <c r="U3781" s="76">
        <f>U3780+S3781</f>
        <v>47.369632652881045</v>
      </c>
      <c r="V3781" s="76">
        <f>V3780+T3781</f>
        <v>627.0701416085791</v>
      </c>
    </row>
    <row r="3782" spans="1:22" ht="19" customHeight="1">
      <c r="A3782" s="68" t="s">
        <v>378</v>
      </c>
      <c r="B3782" s="74">
        <v>5</v>
      </c>
      <c r="C3782" s="68" t="s">
        <v>363</v>
      </c>
      <c r="D3782" s="68" t="s">
        <v>364</v>
      </c>
      <c r="E3782" s="75">
        <f>60*F3782*'THAM_SO_MOI'!$C$53/(2*PI()*'THAM_SO_MOI'!$C$26)</f>
        <v>1963.0703558063926</v>
      </c>
      <c r="F3782" s="75">
        <f>'HANH_TRINH'!$F$3289+('THAM_SO_MOI'!$C$14-'HANH_TRINH'!$F$3289)*492/'THAM_SO_MOI'!$C$42</f>
        <v>19.92432519247942</v>
      </c>
      <c r="G3782" s="75">
        <f>3.6*F3782</f>
        <v>71.72757069292591</v>
      </c>
      <c r="H3782" s="75">
        <f>'THAM_SO_MOI'!$D$53</f>
        <v>1.1</v>
      </c>
      <c r="I3782" s="75">
        <f>IF(F3782&gt;'THAM_SO_MOI'!$C$14,'THAM_SO_MOI'!$C$13*(1+F3782^2/1500),'THAM_SO_MOI'!$C$13)</f>
        <v>0.015</v>
      </c>
      <c r="J3782" s="75">
        <f>'THAM_SO_MOI'!$C$40*('THAM_SO_MOI'!$C$23*(E3782/'THAM_SO_MOI'!$C$22)+'THAM_SO_MOI'!$C$24*(E3782/'THAM_SO_MOI'!$C$22)^2-'THAM_SO_MOI'!$C$25*(E3782/'THAM_SO_MOI'!$C$22)^3)</f>
        <v>87.99272850101252</v>
      </c>
      <c r="K3782" s="75">
        <f>'THAM_SO_MOI'!$C$31*J3782/E3782</f>
        <v>428.11873951820945</v>
      </c>
      <c r="L3782" s="75">
        <f>K3782*'THAM_SO_MOI'!$C$53*'THAM_SO_MOI'!$C$17/'THAM_SO_MOI'!$C$26</f>
        <v>3754.6030207898634</v>
      </c>
      <c r="M3782" s="75">
        <f>'THAM_SO_MOI'!$C$15*'THAM_SO_MOI'!$C$16*F3782^2</f>
        <v>1161.162798048835</v>
      </c>
      <c r="N3782" s="75">
        <f>'THAM_SO_MOI'!$C$12*I3782</f>
        <v>1130.112</v>
      </c>
      <c r="O3782" s="75">
        <f>M3782+N3782</f>
        <v>2291.274798048835</v>
      </c>
      <c r="P3782" s="75">
        <f>(MIN(L3782,'THAM_SO_MOI'!$C$41)-O3782)/('THAM_SO_MOI'!$C$11*H3782)</f>
        <v>0.1732159354570346</v>
      </c>
      <c r="Q3782" s="75">
        <f>IF(P3782&gt;0,1/P3782,NA())</f>
        <v>5.773140891231947</v>
      </c>
      <c r="R3782" s="75">
        <f>F3782-F3781</f>
        <v>0.007388554569875083</v>
      </c>
      <c r="S3782" s="75">
        <f>0.5*(Q3781+Q3782)*R3782</f>
        <v>0.042644463798899385</v>
      </c>
      <c r="T3782" s="75">
        <f>0.5*(F3781*Q3781+F3782*Q3782)*R3782</f>
        <v>0.8495046634530459</v>
      </c>
      <c r="U3782" s="76">
        <f>U3781+S3782</f>
        <v>47.412277116679945</v>
      </c>
      <c r="V3782" s="76">
        <f>V3781+T3782</f>
        <v>627.9196462720321</v>
      </c>
    </row>
    <row r="3783" spans="1:22" ht="19" customHeight="1">
      <c r="A3783" s="68" t="s">
        <v>378</v>
      </c>
      <c r="B3783" s="74">
        <v>5</v>
      </c>
      <c r="C3783" s="68" t="s">
        <v>363</v>
      </c>
      <c r="D3783" s="68" t="s">
        <v>364</v>
      </c>
      <c r="E3783" s="75">
        <f>60*F3783*'THAM_SO_MOI'!$C$53/(2*PI()*'THAM_SO_MOI'!$C$26)</f>
        <v>1963.798322867172</v>
      </c>
      <c r="F3783" s="75">
        <f>'HANH_TRINH'!$F$3289+('THAM_SO_MOI'!$C$14-'HANH_TRINH'!$F$3289)*493/'THAM_SO_MOI'!$C$42</f>
        <v>19.93171374704929</v>
      </c>
      <c r="G3783" s="75">
        <f>3.6*F3783</f>
        <v>71.75416948937745</v>
      </c>
      <c r="H3783" s="75">
        <f>'THAM_SO_MOI'!$D$53</f>
        <v>1.1</v>
      </c>
      <c r="I3783" s="75">
        <f>IF(F3783&gt;'THAM_SO_MOI'!$C$14,'THAM_SO_MOI'!$C$13*(1+F3783^2/1500),'THAM_SO_MOI'!$C$13)</f>
        <v>0.015</v>
      </c>
      <c r="J3783" s="75">
        <f>'THAM_SO_MOI'!$C$40*('THAM_SO_MOI'!$C$23*(E3783/'THAM_SO_MOI'!$C$22)+'THAM_SO_MOI'!$C$24*(E3783/'THAM_SO_MOI'!$C$22)^2-'THAM_SO_MOI'!$C$25*(E3783/'THAM_SO_MOI'!$C$22)^3)</f>
        <v>88.02831003829343</v>
      </c>
      <c r="K3783" s="75">
        <f>'THAM_SO_MOI'!$C$31*J3783/E3783</f>
        <v>428.1330925310166</v>
      </c>
      <c r="L3783" s="75">
        <f>K3783*'THAM_SO_MOI'!$C$53*'THAM_SO_MOI'!$C$17/'THAM_SO_MOI'!$C$26</f>
        <v>3754.728896768345</v>
      </c>
      <c r="M3783" s="75">
        <f>'THAM_SO_MOI'!$C$15*'THAM_SO_MOI'!$C$16*F3783^2</f>
        <v>1162.0241477158675</v>
      </c>
      <c r="N3783" s="75">
        <f>'THAM_SO_MOI'!$C$12*I3783</f>
        <v>1130.112</v>
      </c>
      <c r="O3783" s="75">
        <f>M3783+N3783</f>
        <v>2292.1361477158675</v>
      </c>
      <c r="P3783" s="75">
        <f>(MIN(L3783,'THAM_SO_MOI'!$C$41)-O3783)/('THAM_SO_MOI'!$C$11*H3783)</f>
        <v>0.17312887654503756</v>
      </c>
      <c r="Q3783" s="75">
        <f>IF(P3783&gt;0,1/P3783,NA())</f>
        <v>5.776043950356606</v>
      </c>
      <c r="R3783" s="75">
        <f>F3783-F3782</f>
        <v>0.0073885545698715305</v>
      </c>
      <c r="S3783" s="75">
        <f>0.5*(Q3782+Q3783)*R3783</f>
        <v>0.042665891219805054</v>
      </c>
      <c r="T3783" s="75">
        <f>0.5*(F3782*Q3782+F3783*Q3783)*R3783</f>
        <v>0.8502467505431587</v>
      </c>
      <c r="U3783" s="76">
        <f>U3782+S3783</f>
        <v>47.45494300789975</v>
      </c>
      <c r="V3783" s="76">
        <f>V3782+T3783</f>
        <v>628.7698930225753</v>
      </c>
    </row>
    <row r="3784" spans="1:22" ht="19" customHeight="1">
      <c r="A3784" s="68" t="s">
        <v>378</v>
      </c>
      <c r="B3784" s="74">
        <v>5</v>
      </c>
      <c r="C3784" s="68" t="s">
        <v>363</v>
      </c>
      <c r="D3784" s="68" t="s">
        <v>364</v>
      </c>
      <c r="E3784" s="75">
        <f>60*F3784*'THAM_SO_MOI'!$C$53/(2*PI()*'THAM_SO_MOI'!$C$26)</f>
        <v>1964.5262899279503</v>
      </c>
      <c r="F3784" s="75">
        <f>'HANH_TRINH'!$F$3289+('THAM_SO_MOI'!$C$14-'HANH_TRINH'!$F$3289)*494/'THAM_SO_MOI'!$C$42</f>
        <v>19.93910230161916</v>
      </c>
      <c r="G3784" s="75">
        <f>3.6*F3784</f>
        <v>71.78076828582898</v>
      </c>
      <c r="H3784" s="75">
        <f>'THAM_SO_MOI'!$D$53</f>
        <v>1.1</v>
      </c>
      <c r="I3784" s="75">
        <f>IF(F3784&gt;'THAM_SO_MOI'!$C$14,'THAM_SO_MOI'!$C$13*(1+F3784^2/1500),'THAM_SO_MOI'!$C$13)</f>
        <v>0.015</v>
      </c>
      <c r="J3784" s="75">
        <f>'THAM_SO_MOI'!$C$40*('THAM_SO_MOI'!$C$23*(E3784/'THAM_SO_MOI'!$C$22)+'THAM_SO_MOI'!$C$24*(E3784/'THAM_SO_MOI'!$C$22)^2-'THAM_SO_MOI'!$C$25*(E3784/'THAM_SO_MOI'!$C$22)^3)</f>
        <v>88.06388318883143</v>
      </c>
      <c r="K3784" s="75">
        <f>'THAM_SO_MOI'!$C$31*J3784/E3784</f>
        <v>428.1473941321181</v>
      </c>
      <c r="L3784" s="75">
        <f>K3784*'THAM_SO_MOI'!$C$53*'THAM_SO_MOI'!$C$17/'THAM_SO_MOI'!$C$26</f>
        <v>3754.854321865967</v>
      </c>
      <c r="M3784" s="75">
        <f>'THAM_SO_MOI'!$C$15*'THAM_SO_MOI'!$C$16*F3784^2</f>
        <v>1162.8858167387211</v>
      </c>
      <c r="N3784" s="75">
        <f>'THAM_SO_MOI'!$C$12*I3784</f>
        <v>1130.112</v>
      </c>
      <c r="O3784" s="75">
        <f>M3784+N3784</f>
        <v>2292.997816738721</v>
      </c>
      <c r="P3784" s="75">
        <f>(MIN(L3784,'THAM_SO_MOI'!$C$41)-O3784)/('THAM_SO_MOI'!$C$11*H3784)</f>
        <v>0.17304172645919103</v>
      </c>
      <c r="Q3784" s="75">
        <f>IF(P3784&gt;0,1/P3784,NA())</f>
        <v>5.7789529754595526</v>
      </c>
      <c r="R3784" s="75">
        <f>F3784-F3783</f>
        <v>0.0073885545698715305</v>
      </c>
      <c r="S3784" s="75">
        <f>0.5*(Q3783+Q3784)*R3784</f>
        <v>0.04268736267054523</v>
      </c>
      <c r="T3784" s="75">
        <f>0.5*(F3783*Q3783+F3784*Q3784)*R3784</f>
        <v>0.85099003202151</v>
      </c>
      <c r="U3784" s="76">
        <f>U3783+S3784</f>
        <v>47.4976303705703</v>
      </c>
      <c r="V3784" s="76">
        <f>V3783+T3784</f>
        <v>629.6208830545968</v>
      </c>
    </row>
    <row r="3785" spans="1:22" ht="19" customHeight="1">
      <c r="A3785" s="68" t="s">
        <v>378</v>
      </c>
      <c r="B3785" s="74">
        <v>5</v>
      </c>
      <c r="C3785" s="68" t="s">
        <v>363</v>
      </c>
      <c r="D3785" s="68" t="s">
        <v>364</v>
      </c>
      <c r="E3785" s="75">
        <f>60*F3785*'THAM_SO_MOI'!$C$53/(2*PI()*'THAM_SO_MOI'!$C$26)</f>
        <v>1965.2542569887296</v>
      </c>
      <c r="F3785" s="75">
        <f>'HANH_TRINH'!$F$3289+('THAM_SO_MOI'!$C$14-'HANH_TRINH'!$F$3289)*495/'THAM_SO_MOI'!$C$42</f>
        <v>19.946490856189033</v>
      </c>
      <c r="G3785" s="75">
        <f>3.6*F3785</f>
        <v>71.80736708228052</v>
      </c>
      <c r="H3785" s="75">
        <f>'THAM_SO_MOI'!$D$53</f>
        <v>1.1</v>
      </c>
      <c r="I3785" s="75">
        <f>IF(F3785&gt;'THAM_SO_MOI'!$C$14,'THAM_SO_MOI'!$C$13*(1+F3785^2/1500),'THAM_SO_MOI'!$C$13)</f>
        <v>0.015</v>
      </c>
      <c r="J3785" s="75">
        <f>'THAM_SO_MOI'!$C$40*('THAM_SO_MOI'!$C$23*(E3785/'THAM_SO_MOI'!$C$22)+'THAM_SO_MOI'!$C$24*(E3785/'THAM_SO_MOI'!$C$22)^2-'THAM_SO_MOI'!$C$25*(E3785/'THAM_SO_MOI'!$C$22)^3)</f>
        <v>88.09944794087114</v>
      </c>
      <c r="K3785" s="75">
        <f>'THAM_SO_MOI'!$C$31*J3785/E3785</f>
        <v>428.16164432151436</v>
      </c>
      <c r="L3785" s="75">
        <f>K3785*'THAM_SO_MOI'!$C$53*'THAM_SO_MOI'!$C$17/'THAM_SO_MOI'!$C$26</f>
        <v>3754.9792960827326</v>
      </c>
      <c r="M3785" s="75">
        <f>'THAM_SO_MOI'!$C$15*'THAM_SO_MOI'!$C$16*F3785^2</f>
        <v>1163.7478051173957</v>
      </c>
      <c r="N3785" s="75">
        <f>'THAM_SO_MOI'!$C$12*I3785</f>
        <v>1130.112</v>
      </c>
      <c r="O3785" s="75">
        <f>M3785+N3785</f>
        <v>2293.859805117396</v>
      </c>
      <c r="P3785" s="75">
        <f>(MIN(L3785,'THAM_SO_MOI'!$C$41)-O3785)/('THAM_SO_MOI'!$C$11*H3785)</f>
        <v>0.17295448519949536</v>
      </c>
      <c r="Q3785" s="75">
        <f>IF(P3785&gt;0,1/P3785,NA())</f>
        <v>5.781867980159891</v>
      </c>
      <c r="R3785" s="75">
        <f>F3785-F3784</f>
        <v>0.0073885545698715305</v>
      </c>
      <c r="S3785" s="75">
        <f>0.5*(Q3784+Q3785)*R3785</f>
        <v>0.042708878251554304</v>
      </c>
      <c r="T3785" s="75">
        <f>0.5*(F3784*Q3784+F3785*Q3785)*R3785</f>
        <v>0.8517345108669936</v>
      </c>
      <c r="U3785" s="76">
        <f>U3784+S3785</f>
        <v>47.54033924882185</v>
      </c>
      <c r="V3785" s="76">
        <f>V3784+T3785</f>
        <v>630.4726175654638</v>
      </c>
    </row>
    <row r="3786" spans="1:22" ht="19" customHeight="1">
      <c r="A3786" s="68" t="s">
        <v>378</v>
      </c>
      <c r="B3786" s="74">
        <v>5</v>
      </c>
      <c r="C3786" s="68" t="s">
        <v>363</v>
      </c>
      <c r="D3786" s="68" t="s">
        <v>364</v>
      </c>
      <c r="E3786" s="75">
        <f>60*F3786*'THAM_SO_MOI'!$C$53/(2*PI()*'THAM_SO_MOI'!$C$26)</f>
        <v>1965.9822240495084</v>
      </c>
      <c r="F3786" s="75">
        <f>'HANH_TRINH'!$F$3289+('THAM_SO_MOI'!$C$14-'HANH_TRINH'!$F$3289)*496/'THAM_SO_MOI'!$C$42</f>
        <v>19.953879410758905</v>
      </c>
      <c r="G3786" s="75">
        <f>3.6*F3786</f>
        <v>71.83396587873206</v>
      </c>
      <c r="H3786" s="75">
        <f>'THAM_SO_MOI'!$D$53</f>
        <v>1.1</v>
      </c>
      <c r="I3786" s="75">
        <f>IF(F3786&gt;'THAM_SO_MOI'!$C$14,'THAM_SO_MOI'!$C$13*(1+F3786^2/1500),'THAM_SO_MOI'!$C$13)</f>
        <v>0.015</v>
      </c>
      <c r="J3786" s="75">
        <f>'THAM_SO_MOI'!$C$40*('THAM_SO_MOI'!$C$23*(E3786/'THAM_SO_MOI'!$C$22)+'THAM_SO_MOI'!$C$24*(E3786/'THAM_SO_MOI'!$C$22)^2-'THAM_SO_MOI'!$C$25*(E3786/'THAM_SO_MOI'!$C$22)^3)</f>
        <v>88.13500428265695</v>
      </c>
      <c r="K3786" s="75">
        <f>'THAM_SO_MOI'!$C$31*J3786/E3786</f>
        <v>428.17584309920505</v>
      </c>
      <c r="L3786" s="75">
        <f>K3786*'THAM_SO_MOI'!$C$53*'THAM_SO_MOI'!$C$17/'THAM_SO_MOI'!$C$26</f>
        <v>3755.10381941864</v>
      </c>
      <c r="M3786" s="75">
        <f>'THAM_SO_MOI'!$C$15*'THAM_SO_MOI'!$C$16*F3786^2</f>
        <v>1164.6101128518915</v>
      </c>
      <c r="N3786" s="75">
        <f>'THAM_SO_MOI'!$C$12*I3786</f>
        <v>1130.112</v>
      </c>
      <c r="O3786" s="75">
        <f>M3786+N3786</f>
        <v>2294.7221128518913</v>
      </c>
      <c r="P3786" s="75">
        <f>(MIN(L3786,'THAM_SO_MOI'!$C$41)-O3786)/('THAM_SO_MOI'!$C$11*H3786)</f>
        <v>0.1728671527659503</v>
      </c>
      <c r="Q3786" s="75">
        <f>IF(P3786&gt;0,1/P3786,NA())</f>
        <v>5.784788978123149</v>
      </c>
      <c r="R3786" s="75">
        <f>F3786-F3785</f>
        <v>0.0073885545698715305</v>
      </c>
      <c r="S3786" s="75">
        <f>0.5*(Q3785+Q3786)*R3786</f>
        <v>0.04273043806362925</v>
      </c>
      <c r="T3786" s="75">
        <f>0.5*(F3785*Q3785+F3786*Q3786)*R3786</f>
        <v>0.8524801900687056</v>
      </c>
      <c r="U3786" s="76">
        <f>U3785+S3786</f>
        <v>47.58306968688548</v>
      </c>
      <c r="V3786" s="76">
        <f>V3785+T3786</f>
        <v>631.3250977555325</v>
      </c>
    </row>
    <row r="3787" spans="1:22" ht="19" customHeight="1">
      <c r="A3787" s="68" t="s">
        <v>378</v>
      </c>
      <c r="B3787" s="74">
        <v>5</v>
      </c>
      <c r="C3787" s="68" t="s">
        <v>363</v>
      </c>
      <c r="D3787" s="68" t="s">
        <v>364</v>
      </c>
      <c r="E3787" s="75">
        <f>60*F3787*'THAM_SO_MOI'!$C$53/(2*PI()*'THAM_SO_MOI'!$C$26)</f>
        <v>1966.7101911102875</v>
      </c>
      <c r="F3787" s="75">
        <f>'HANH_TRINH'!$F$3289+('THAM_SO_MOI'!$C$14-'HANH_TRINH'!$F$3289)*497/'THAM_SO_MOI'!$C$42</f>
        <v>19.961267965328776</v>
      </c>
      <c r="G3787" s="75">
        <f>3.6*F3787</f>
        <v>71.8605646751836</v>
      </c>
      <c r="H3787" s="75">
        <f>'THAM_SO_MOI'!$D$53</f>
        <v>1.1</v>
      </c>
      <c r="I3787" s="75">
        <f>IF(F3787&gt;'THAM_SO_MOI'!$C$14,'THAM_SO_MOI'!$C$13*(1+F3787^2/1500),'THAM_SO_MOI'!$C$13)</f>
        <v>0.015</v>
      </c>
      <c r="J3787" s="75">
        <f>'THAM_SO_MOI'!$C$40*('THAM_SO_MOI'!$C$23*(E3787/'THAM_SO_MOI'!$C$22)+'THAM_SO_MOI'!$C$24*(E3787/'THAM_SO_MOI'!$C$22)^2-'THAM_SO_MOI'!$C$25*(E3787/'THAM_SO_MOI'!$C$22)^3)</f>
        <v>88.1705522024334</v>
      </c>
      <c r="K3787" s="75">
        <f>'THAM_SO_MOI'!$C$31*J3787/E3787</f>
        <v>428.18999046519036</v>
      </c>
      <c r="L3787" s="75">
        <f>K3787*'THAM_SO_MOI'!$C$53*'THAM_SO_MOI'!$C$17/'THAM_SO_MOI'!$C$26</f>
        <v>3755.227891873689</v>
      </c>
      <c r="M3787" s="75">
        <f>'THAM_SO_MOI'!$C$15*'THAM_SO_MOI'!$C$16*F3787^2</f>
        <v>1165.472739942208</v>
      </c>
      <c r="N3787" s="75">
        <f>'THAM_SO_MOI'!$C$12*I3787</f>
        <v>1130.112</v>
      </c>
      <c r="O3787" s="75">
        <f>M3787+N3787</f>
        <v>2295.584739942208</v>
      </c>
      <c r="P3787" s="75">
        <f>(MIN(L3787,'THAM_SO_MOI'!$C$41)-O3787)/('THAM_SO_MOI'!$C$11*H3787)</f>
        <v>0.172779729158556</v>
      </c>
      <c r="Q3787" s="75">
        <f>IF(P3787&gt;0,1/P3787,NA())</f>
        <v>5.787715983061433</v>
      </c>
      <c r="R3787" s="75">
        <f>F3787-F3786</f>
        <v>0.0073885545698715305</v>
      </c>
      <c r="S3787" s="75">
        <f>0.5*(Q3786+Q3787)*R3787</f>
        <v>0.04275204220791065</v>
      </c>
      <c r="T3787" s="75">
        <f>0.5*(F3786*Q3786+F3787*Q3787)*R3787</f>
        <v>0.8532270726255777</v>
      </c>
      <c r="U3787" s="76">
        <f>U3786+S3787</f>
        <v>47.62582172909339</v>
      </c>
      <c r="V3787" s="76">
        <f>V3786+T3787</f>
        <v>632.1783248281581</v>
      </c>
    </row>
    <row r="3788" spans="1:22" ht="19" customHeight="1">
      <c r="A3788" s="68" t="s">
        <v>378</v>
      </c>
      <c r="B3788" s="74">
        <v>5</v>
      </c>
      <c r="C3788" s="68" t="s">
        <v>363</v>
      </c>
      <c r="D3788" s="68" t="s">
        <v>364</v>
      </c>
      <c r="E3788" s="75">
        <f>60*F3788*'THAM_SO_MOI'!$C$53/(2*PI()*'THAM_SO_MOI'!$C$26)</f>
        <v>1967.4381581710663</v>
      </c>
      <c r="F3788" s="75">
        <f>'HANH_TRINH'!$F$3289+('THAM_SO_MOI'!$C$14-'HANH_TRINH'!$F$3289)*498/'THAM_SO_MOI'!$C$42</f>
        <v>19.96865651989865</v>
      </c>
      <c r="G3788" s="75">
        <f>3.6*F3788</f>
        <v>71.88716347163515</v>
      </c>
      <c r="H3788" s="75">
        <f>'THAM_SO_MOI'!$D$53</f>
        <v>1.1</v>
      </c>
      <c r="I3788" s="75">
        <f>IF(F3788&gt;'THAM_SO_MOI'!$C$14,'THAM_SO_MOI'!$C$13*(1+F3788^2/1500),'THAM_SO_MOI'!$C$13)</f>
        <v>0.015</v>
      </c>
      <c r="J3788" s="75">
        <f>'THAM_SO_MOI'!$C$40*('THAM_SO_MOI'!$C$23*(E3788/'THAM_SO_MOI'!$C$22)+'THAM_SO_MOI'!$C$24*(E3788/'THAM_SO_MOI'!$C$22)^2-'THAM_SO_MOI'!$C$25*(E3788/'THAM_SO_MOI'!$C$22)^3)</f>
        <v>88.20609168844494</v>
      </c>
      <c r="K3788" s="75">
        <f>'THAM_SO_MOI'!$C$31*J3788/E3788</f>
        <v>428.2040864194702</v>
      </c>
      <c r="L3788" s="75">
        <f>K3788*'THAM_SO_MOI'!$C$53*'THAM_SO_MOI'!$C$17/'THAM_SO_MOI'!$C$26</f>
        <v>3755.3515134478794</v>
      </c>
      <c r="M3788" s="75">
        <f>'THAM_SO_MOI'!$C$15*'THAM_SO_MOI'!$C$16*F3788^2</f>
        <v>1166.335686388346</v>
      </c>
      <c r="N3788" s="75">
        <f>'THAM_SO_MOI'!$C$12*I3788</f>
        <v>1130.112</v>
      </c>
      <c r="O3788" s="75">
        <f>M3788+N3788</f>
        <v>2296.447686388346</v>
      </c>
      <c r="P3788" s="75">
        <f>(MIN(L3788,'THAM_SO_MOI'!$C$41)-O3788)/('THAM_SO_MOI'!$C$11*H3788)</f>
        <v>0.1726922143773122</v>
      </c>
      <c r="Q3788" s="75">
        <f>IF(P3788&gt;0,1/P3788,NA())</f>
        <v>5.79064900873364</v>
      </c>
      <c r="R3788" s="75">
        <f>F3788-F3787</f>
        <v>0.007388554569875083</v>
      </c>
      <c r="S3788" s="75">
        <f>0.5*(Q3787+Q3788)*R3788</f>
        <v>0.04277369078590459</v>
      </c>
      <c r="T3788" s="75">
        <f>0.5*(F3787*Q3787+F3788*Q3788)*R3788</f>
        <v>0.8539751615468285</v>
      </c>
      <c r="U3788" s="76">
        <f>U3787+S3788</f>
        <v>47.668595419879296</v>
      </c>
      <c r="V3788" s="76">
        <f>V3787+T3788</f>
        <v>633.0322999897049</v>
      </c>
    </row>
    <row r="3789" spans="1:22" ht="19" customHeight="1">
      <c r="A3789" s="68" t="s">
        <v>378</v>
      </c>
      <c r="B3789" s="74">
        <v>5</v>
      </c>
      <c r="C3789" s="68" t="s">
        <v>363</v>
      </c>
      <c r="D3789" s="68" t="s">
        <v>364</v>
      </c>
      <c r="E3789" s="75">
        <f>60*F3789*'THAM_SO_MOI'!$C$53/(2*PI()*'THAM_SO_MOI'!$C$26)</f>
        <v>1968.1661252318456</v>
      </c>
      <c r="F3789" s="75">
        <f>'HANH_TRINH'!$F$3289+('THAM_SO_MOI'!$C$14-'HANH_TRINH'!$F$3289)*499/'THAM_SO_MOI'!$C$42</f>
        <v>19.976045074468523</v>
      </c>
      <c r="G3789" s="75">
        <f>3.6*F3789</f>
        <v>71.91376226808669</v>
      </c>
      <c r="H3789" s="75">
        <f>'THAM_SO_MOI'!$D$53</f>
        <v>1.1</v>
      </c>
      <c r="I3789" s="75">
        <f>IF(F3789&gt;'THAM_SO_MOI'!$C$14,'THAM_SO_MOI'!$C$13*(1+F3789^2/1500),'THAM_SO_MOI'!$C$13)</f>
        <v>0.015</v>
      </c>
      <c r="J3789" s="75">
        <f>'THAM_SO_MOI'!$C$40*('THAM_SO_MOI'!$C$23*(E3789/'THAM_SO_MOI'!$C$22)+'THAM_SO_MOI'!$C$24*(E3789/'THAM_SO_MOI'!$C$22)^2-'THAM_SO_MOI'!$C$25*(E3789/'THAM_SO_MOI'!$C$22)^3)</f>
        <v>88.24162272893612</v>
      </c>
      <c r="K3789" s="75">
        <f>'THAM_SO_MOI'!$C$31*J3789/E3789</f>
        <v>428.2181309620447</v>
      </c>
      <c r="L3789" s="75">
        <f>K3789*'THAM_SO_MOI'!$C$53*'THAM_SO_MOI'!$C$17/'THAM_SO_MOI'!$C$26</f>
        <v>3755.4746841412143</v>
      </c>
      <c r="M3789" s="75">
        <f>'THAM_SO_MOI'!$C$15*'THAM_SO_MOI'!$C$16*F3789^2</f>
        <v>1167.1989521903047</v>
      </c>
      <c r="N3789" s="75">
        <f>'THAM_SO_MOI'!$C$12*I3789</f>
        <v>1130.112</v>
      </c>
      <c r="O3789" s="75">
        <f>M3789+N3789</f>
        <v>2297.3109521903048</v>
      </c>
      <c r="P3789" s="75">
        <f>(MIN(L3789,'THAM_SO_MOI'!$C$41)-O3789)/('THAM_SO_MOI'!$C$11*H3789)</f>
        <v>0.17260460842221942</v>
      </c>
      <c r="Q3789" s="75">
        <f>IF(P3789&gt;0,1/P3789,NA())</f>
        <v>5.793588068945613</v>
      </c>
      <c r="R3789" s="75">
        <f>F3789-F3788</f>
        <v>0.0073885545698715305</v>
      </c>
      <c r="S3789" s="75">
        <f>0.5*(Q3788+Q3789)*R3789</f>
        <v>0.04279538389938113</v>
      </c>
      <c r="T3789" s="75">
        <f>0.5*(F3788*Q3788+F3789*Q3789)*R3789</f>
        <v>0.8547244598499494</v>
      </c>
      <c r="U3789" s="76">
        <f>U3788+S3789</f>
        <v>47.71139080377868</v>
      </c>
      <c r="V3789" s="76">
        <f>V3788+T3789</f>
        <v>633.8870244495549</v>
      </c>
    </row>
    <row r="3790" spans="1:22" ht="19" customHeight="1">
      <c r="A3790" s="68" t="s">
        <v>378</v>
      </c>
      <c r="B3790" s="74">
        <v>5</v>
      </c>
      <c r="C3790" s="68" t="s">
        <v>363</v>
      </c>
      <c r="D3790" s="68" t="s">
        <v>364</v>
      </c>
      <c r="E3790" s="75">
        <f>60*F3790*'THAM_SO_MOI'!$C$53/(2*PI()*'THAM_SO_MOI'!$C$26)</f>
        <v>1968.8940922926245</v>
      </c>
      <c r="F3790" s="75">
        <f>'HANH_TRINH'!$F$3289+('THAM_SO_MOI'!$C$14-'HANH_TRINH'!$F$3289)*500/'THAM_SO_MOI'!$C$42</f>
        <v>19.983433629038394</v>
      </c>
      <c r="G3790" s="75">
        <f>3.6*F3790</f>
        <v>71.94036106453822</v>
      </c>
      <c r="H3790" s="75">
        <f>'THAM_SO_MOI'!$D$53</f>
        <v>1.1</v>
      </c>
      <c r="I3790" s="75">
        <f>IF(F3790&gt;'THAM_SO_MOI'!$C$14,'THAM_SO_MOI'!$C$13*(1+F3790^2/1500),'THAM_SO_MOI'!$C$13)</f>
        <v>0.015</v>
      </c>
      <c r="J3790" s="75">
        <f>'THAM_SO_MOI'!$C$40*('THAM_SO_MOI'!$C$23*(E3790/'THAM_SO_MOI'!$C$22)+'THAM_SO_MOI'!$C$24*(E3790/'THAM_SO_MOI'!$C$22)^2-'THAM_SO_MOI'!$C$25*(E3790/'THAM_SO_MOI'!$C$22)^3)</f>
        <v>88.27714531215135</v>
      </c>
      <c r="K3790" s="75">
        <f>'THAM_SO_MOI'!$C$31*J3790/E3790</f>
        <v>428.23212409291375</v>
      </c>
      <c r="L3790" s="75">
        <f>K3790*'THAM_SO_MOI'!$C$53*'THAM_SO_MOI'!$C$17/'THAM_SO_MOI'!$C$26</f>
        <v>3755.5974039536904</v>
      </c>
      <c r="M3790" s="75">
        <f>'THAM_SO_MOI'!$C$15*'THAM_SO_MOI'!$C$16*F3790^2</f>
        <v>1168.0625373480843</v>
      </c>
      <c r="N3790" s="75">
        <f>'THAM_SO_MOI'!$C$12*I3790</f>
        <v>1130.112</v>
      </c>
      <c r="O3790" s="75">
        <f>M3790+N3790</f>
        <v>2298.1745373480844</v>
      </c>
      <c r="P3790" s="75">
        <f>(MIN(L3790,'THAM_SO_MOI'!$C$41)-O3790)/('THAM_SO_MOI'!$C$11*H3790)</f>
        <v>0.17251691129327723</v>
      </c>
      <c r="Q3790" s="75">
        <f>IF(P3790&gt;0,1/P3790,NA())</f>
        <v>5.796533177550396</v>
      </c>
      <c r="R3790" s="75">
        <f>F3790-F3789</f>
        <v>0.0073885545698715305</v>
      </c>
      <c r="S3790" s="75">
        <f>0.5*(Q3789+Q3790)*R3790</f>
        <v>0.0428171216505816</v>
      </c>
      <c r="T3790" s="75">
        <f>0.5*(F3789*Q3789+F3790*Q3790)*R3790</f>
        <v>0.8554749705648538</v>
      </c>
      <c r="U3790" s="76">
        <f>U3789+S3790</f>
        <v>47.754207925429256</v>
      </c>
      <c r="V3790" s="76">
        <f>V3789+T3790</f>
        <v>634.7424994201198</v>
      </c>
    </row>
    <row r="3791" spans="1:22" ht="19" customHeight="1">
      <c r="A3791" s="68" t="s">
        <v>378</v>
      </c>
      <c r="B3791" s="74">
        <v>5</v>
      </c>
      <c r="C3791" s="68" t="s">
        <v>363</v>
      </c>
      <c r="D3791" s="68" t="s">
        <v>364</v>
      </c>
      <c r="E3791" s="75">
        <f>60*F3791*'THAM_SO_MOI'!$C$53/(2*PI()*'THAM_SO_MOI'!$C$26)</f>
        <v>1969.6220593534038</v>
      </c>
      <c r="F3791" s="75">
        <f>'HANH_TRINH'!$F$3289+('THAM_SO_MOI'!$C$14-'HANH_TRINH'!$F$3289)*501/'THAM_SO_MOI'!$C$42</f>
        <v>19.990822183608266</v>
      </c>
      <c r="G3791" s="75">
        <f>3.6*F3791</f>
        <v>71.96695986098976</v>
      </c>
      <c r="H3791" s="75">
        <f>'THAM_SO_MOI'!$D$53</f>
        <v>1.1</v>
      </c>
      <c r="I3791" s="75">
        <f>IF(F3791&gt;'THAM_SO_MOI'!$C$14,'THAM_SO_MOI'!$C$13*(1+F3791^2/1500),'THAM_SO_MOI'!$C$13)</f>
        <v>0.015</v>
      </c>
      <c r="J3791" s="75">
        <f>'THAM_SO_MOI'!$C$40*('THAM_SO_MOI'!$C$23*(E3791/'THAM_SO_MOI'!$C$22)+'THAM_SO_MOI'!$C$24*(E3791/'THAM_SO_MOI'!$C$22)^2-'THAM_SO_MOI'!$C$25*(E3791/'THAM_SO_MOI'!$C$22)^3)</f>
        <v>88.31265942633514</v>
      </c>
      <c r="K3791" s="75">
        <f>'THAM_SO_MOI'!$C$31*J3791/E3791</f>
        <v>428.24606581207735</v>
      </c>
      <c r="L3791" s="75">
        <f>K3791*'THAM_SO_MOI'!$C$53*'THAM_SO_MOI'!$C$17/'THAM_SO_MOI'!$C$26</f>
        <v>3755.7196728853087</v>
      </c>
      <c r="M3791" s="75">
        <f>'THAM_SO_MOI'!$C$15*'THAM_SO_MOI'!$C$16*F3791^2</f>
        <v>1168.926441861685</v>
      </c>
      <c r="N3791" s="75">
        <f>'THAM_SO_MOI'!$C$12*I3791</f>
        <v>1130.112</v>
      </c>
      <c r="O3791" s="75">
        <f>M3791+N3791</f>
        <v>2299.038441861685</v>
      </c>
      <c r="P3791" s="75">
        <f>(MIN(L3791,'THAM_SO_MOI'!$C$41)-O3791)/('THAM_SO_MOI'!$C$11*H3791)</f>
        <v>0.17242912299048577</v>
      </c>
      <c r="Q3791" s="75">
        <f>IF(P3791&gt;0,1/P3791,NA())</f>
        <v>5.799484348448363</v>
      </c>
      <c r="R3791" s="75">
        <f>F3791-F3790</f>
        <v>0.0073885545698715305</v>
      </c>
      <c r="S3791" s="75">
        <f>0.5*(Q3790+Q3791)*R3791</f>
        <v>0.042838904142014245</v>
      </c>
      <c r="T3791" s="75">
        <f>0.5*(F3790*Q3790+F3791*Q3791)*R3791</f>
        <v>0.8562266967298129</v>
      </c>
      <c r="U3791" s="76">
        <f>U3790+S3791</f>
        <v>47.79704682957127</v>
      </c>
      <c r="V3791" s="76">
        <f>V3790+T3791</f>
        <v>635.5987261168495</v>
      </c>
    </row>
    <row r="3792" spans="1:22" ht="19" customHeight="1">
      <c r="A3792" s="68" t="s">
        <v>378</v>
      </c>
      <c r="B3792" s="74">
        <v>5</v>
      </c>
      <c r="C3792" s="68" t="s">
        <v>363</v>
      </c>
      <c r="D3792" s="68" t="s">
        <v>364</v>
      </c>
      <c r="E3792" s="75">
        <f>60*F3792*'THAM_SO_MOI'!$C$53/(2*PI()*'THAM_SO_MOI'!$C$26)</f>
        <v>1970.3500264141821</v>
      </c>
      <c r="F3792" s="75">
        <f>'HANH_TRINH'!$F$3289+('THAM_SO_MOI'!$C$14-'HANH_TRINH'!$F$3289)*502/'THAM_SO_MOI'!$C$42</f>
        <v>19.998210738178138</v>
      </c>
      <c r="G3792" s="75">
        <f>3.6*F3792</f>
        <v>71.9935586574413</v>
      </c>
      <c r="H3792" s="75">
        <f>'THAM_SO_MOI'!$D$53</f>
        <v>1.1</v>
      </c>
      <c r="I3792" s="75">
        <f>IF(F3792&gt;'THAM_SO_MOI'!$C$14,'THAM_SO_MOI'!$C$13*(1+F3792^2/1500),'THAM_SO_MOI'!$C$13)</f>
        <v>0.015</v>
      </c>
      <c r="J3792" s="75">
        <f>'THAM_SO_MOI'!$C$40*('THAM_SO_MOI'!$C$23*(E3792/'THAM_SO_MOI'!$C$22)+'THAM_SO_MOI'!$C$24*(E3792/'THAM_SO_MOI'!$C$22)^2-'THAM_SO_MOI'!$C$25*(E3792/'THAM_SO_MOI'!$C$22)^3)</f>
        <v>88.34816505973197</v>
      </c>
      <c r="K3792" s="75">
        <f>'THAM_SO_MOI'!$C$31*J3792/E3792</f>
        <v>428.2599561195356</v>
      </c>
      <c r="L3792" s="75">
        <f>K3792*'THAM_SO_MOI'!$C$53*'THAM_SO_MOI'!$C$17/'THAM_SO_MOI'!$C$26</f>
        <v>3755.84149093607</v>
      </c>
      <c r="M3792" s="75">
        <f>'THAM_SO_MOI'!$C$15*'THAM_SO_MOI'!$C$16*F3792^2</f>
        <v>1169.7906657311064</v>
      </c>
      <c r="N3792" s="75">
        <f>'THAM_SO_MOI'!$C$12*I3792</f>
        <v>1130.112</v>
      </c>
      <c r="O3792" s="75">
        <f>M3792+N3792</f>
        <v>2299.9026657311065</v>
      </c>
      <c r="P3792" s="75">
        <f>(MIN(L3792,'THAM_SO_MOI'!$C$41)-O3792)/('THAM_SO_MOI'!$C$11*H3792)</f>
        <v>0.1723412435138451</v>
      </c>
      <c r="Q3792" s="75">
        <f>IF(P3792&gt;0,1/P3792,NA())</f>
        <v>5.802441595587446</v>
      </c>
      <c r="R3792" s="75">
        <f>F3792-F3791</f>
        <v>0.0073885545698715305</v>
      </c>
      <c r="S3792" s="75">
        <f>0.5*(Q3791+Q3792)*R3792</f>
        <v>0.042860731476558424</v>
      </c>
      <c r="T3792" s="75">
        <f>0.5*(F3791*Q3791+F3792*Q3792)*R3792</f>
        <v>0.8569796413935472</v>
      </c>
      <c r="U3792" s="76">
        <f>U3791+S3792</f>
        <v>47.83990756104783</v>
      </c>
      <c r="V3792" s="76">
        <f>V3791+T3792</f>
        <v>636.4557057582431</v>
      </c>
    </row>
    <row r="3793" spans="1:22" ht="19" customHeight="1">
      <c r="A3793" s="68" t="s">
        <v>378</v>
      </c>
      <c r="B3793" s="74">
        <v>5</v>
      </c>
      <c r="C3793" s="68" t="s">
        <v>363</v>
      </c>
      <c r="D3793" s="68" t="s">
        <v>364</v>
      </c>
      <c r="E3793" s="75">
        <f>60*F3793*'THAM_SO_MOI'!$C$53/(2*PI()*'THAM_SO_MOI'!$C$26)</f>
        <v>1971.0779934749612</v>
      </c>
      <c r="F3793" s="75">
        <f>'HANH_TRINH'!$F$3289+('THAM_SO_MOI'!$C$14-'HANH_TRINH'!$F$3289)*503/'THAM_SO_MOI'!$C$42</f>
        <v>20.00559929274801</v>
      </c>
      <c r="G3793" s="75">
        <f>3.6*F3793</f>
        <v>72.02015745389284</v>
      </c>
      <c r="H3793" s="75">
        <f>'THAM_SO_MOI'!$D$53</f>
        <v>1.1</v>
      </c>
      <c r="I3793" s="75">
        <f>IF(F3793&gt;'THAM_SO_MOI'!$C$14,'THAM_SO_MOI'!$C$13*(1+F3793^2/1500),'THAM_SO_MOI'!$C$13)</f>
        <v>0.015</v>
      </c>
      <c r="J3793" s="75">
        <f>'THAM_SO_MOI'!$C$40*('THAM_SO_MOI'!$C$23*(E3793/'THAM_SO_MOI'!$C$22)+'THAM_SO_MOI'!$C$24*(E3793/'THAM_SO_MOI'!$C$22)^2-'THAM_SO_MOI'!$C$25*(E3793/'THAM_SO_MOI'!$C$22)^3)</f>
        <v>88.38366220058637</v>
      </c>
      <c r="K3793" s="75">
        <f>'THAM_SO_MOI'!$C$31*J3793/E3793</f>
        <v>428.2737950152885</v>
      </c>
      <c r="L3793" s="75">
        <f>K3793*'THAM_SO_MOI'!$C$53*'THAM_SO_MOI'!$C$17/'THAM_SO_MOI'!$C$26</f>
        <v>3755.962858105974</v>
      </c>
      <c r="M3793" s="75">
        <f>'THAM_SO_MOI'!$C$15*'THAM_SO_MOI'!$C$16*F3793^2</f>
        <v>1170.655208956349</v>
      </c>
      <c r="N3793" s="75">
        <f>'THAM_SO_MOI'!$C$12*I3793</f>
        <v>1130.112</v>
      </c>
      <c r="O3793" s="75">
        <f>M3793+N3793</f>
        <v>2300.7672089563494</v>
      </c>
      <c r="P3793" s="75">
        <f>(MIN(L3793,'THAM_SO_MOI'!$C$41)-O3793)/('THAM_SO_MOI'!$C$11*H3793)</f>
        <v>0.1722532728633552</v>
      </c>
      <c r="Q3793" s="75">
        <f>IF(P3793&gt;0,1/P3793,NA())</f>
        <v>5.8054049329633255</v>
      </c>
      <c r="R3793" s="75">
        <f>F3793-F3792</f>
        <v>0.0073885545698715305</v>
      </c>
      <c r="S3793" s="75">
        <f>0.5*(Q3792+Q3793)*R3793</f>
        <v>0.04288260375744559</v>
      </c>
      <c r="T3793" s="75">
        <f>0.5*(F3792*Q3792+F3793*Q3793)*R3793</f>
        <v>0.8577338076148606</v>
      </c>
      <c r="U3793" s="76">
        <f>U3792+S3793</f>
        <v>47.88279016480528</v>
      </c>
      <c r="V3793" s="76">
        <f>V3792+T3793</f>
        <v>637.313439565858</v>
      </c>
    </row>
    <row r="3794" spans="1:22" ht="19" customHeight="1">
      <c r="A3794" s="68" t="s">
        <v>378</v>
      </c>
      <c r="B3794" s="74">
        <v>5</v>
      </c>
      <c r="C3794" s="68" t="s">
        <v>363</v>
      </c>
      <c r="D3794" s="68" t="s">
        <v>364</v>
      </c>
      <c r="E3794" s="75">
        <f>60*F3794*'THAM_SO_MOI'!$C$53/(2*PI()*'THAM_SO_MOI'!$C$26)</f>
        <v>1971.80596053574</v>
      </c>
      <c r="F3794" s="75">
        <f>'HANH_TRINH'!$F$3289+('THAM_SO_MOI'!$C$14-'HANH_TRINH'!$F$3289)*504/'THAM_SO_MOI'!$C$42</f>
        <v>20.01298784731788</v>
      </c>
      <c r="G3794" s="75">
        <f>3.6*F3794</f>
        <v>72.04675625034437</v>
      </c>
      <c r="H3794" s="75">
        <f>'THAM_SO_MOI'!$D$53</f>
        <v>1.1</v>
      </c>
      <c r="I3794" s="75">
        <f>IF(F3794&gt;'THAM_SO_MOI'!$C$14,'THAM_SO_MOI'!$C$13*(1+F3794^2/1500),'THAM_SO_MOI'!$C$13)</f>
        <v>0.015</v>
      </c>
      <c r="J3794" s="75">
        <f>'THAM_SO_MOI'!$C$40*('THAM_SO_MOI'!$C$23*(E3794/'THAM_SO_MOI'!$C$22)+'THAM_SO_MOI'!$C$24*(E3794/'THAM_SO_MOI'!$C$22)^2-'THAM_SO_MOI'!$C$25*(E3794/'THAM_SO_MOI'!$C$22)^3)</f>
        <v>88.4191508371427</v>
      </c>
      <c r="K3794" s="75">
        <f>'THAM_SO_MOI'!$C$31*J3794/E3794</f>
        <v>428.28758249933554</v>
      </c>
      <c r="L3794" s="75">
        <f>K3794*'THAM_SO_MOI'!$C$53*'THAM_SO_MOI'!$C$17/'THAM_SO_MOI'!$C$26</f>
        <v>3756.0837743950165</v>
      </c>
      <c r="M3794" s="75">
        <f>'THAM_SO_MOI'!$C$15*'THAM_SO_MOI'!$C$16*F3794^2</f>
        <v>1171.5200715374126</v>
      </c>
      <c r="N3794" s="75">
        <f>'THAM_SO_MOI'!$C$12*I3794</f>
        <v>1130.112</v>
      </c>
      <c r="O3794" s="75">
        <f>M3794+N3794</f>
        <v>2301.6320715374127</v>
      </c>
      <c r="P3794" s="75">
        <f>(MIN(L3794,'THAM_SO_MOI'!$C$41)-O3794)/('THAM_SO_MOI'!$C$11*H3794)</f>
        <v>0.1721652110390156</v>
      </c>
      <c r="Q3794" s="75">
        <f>IF(P3794&gt;0,1/P3794,NA())</f>
        <v>5.808374374619636</v>
      </c>
      <c r="R3794" s="75">
        <f>F3794-F3793</f>
        <v>0.0073885545698715305</v>
      </c>
      <c r="S3794" s="75">
        <f>0.5*(Q3793+Q3794)*R3794</f>
        <v>0.04290452108826076</v>
      </c>
      <c r="T3794" s="75">
        <f>0.5*(F3793*Q3793+F3794*Q3794)*R3794</f>
        <v>0.8584891984626822</v>
      </c>
      <c r="U3794" s="76">
        <f>U3793+S3794</f>
        <v>47.92569468589354</v>
      </c>
      <c r="V3794" s="76">
        <f>V3793+T3794</f>
        <v>638.1719287643207</v>
      </c>
    </row>
    <row r="3795" spans="1:22" ht="19" customHeight="1">
      <c r="A3795" s="68" t="s">
        <v>378</v>
      </c>
      <c r="B3795" s="74">
        <v>5</v>
      </c>
      <c r="C3795" s="68" t="s">
        <v>363</v>
      </c>
      <c r="D3795" s="68" t="s">
        <v>364</v>
      </c>
      <c r="E3795" s="75">
        <f>60*F3795*'THAM_SO_MOI'!$C$53/(2*PI()*'THAM_SO_MOI'!$C$26)</f>
        <v>1972.5339275965193</v>
      </c>
      <c r="F3795" s="75">
        <f>'HANH_TRINH'!$F$3289+('THAM_SO_MOI'!$C$14-'HANH_TRINH'!$F$3289)*505/'THAM_SO_MOI'!$C$42</f>
        <v>20.020376401887752</v>
      </c>
      <c r="G3795" s="75">
        <f>3.6*F3795</f>
        <v>72.07335504679591</v>
      </c>
      <c r="H3795" s="75">
        <f>'THAM_SO_MOI'!$D$53</f>
        <v>1.1</v>
      </c>
      <c r="I3795" s="75">
        <f>IF(F3795&gt;'THAM_SO_MOI'!$C$14,'THAM_SO_MOI'!$C$13*(1+F3795^2/1500),'THAM_SO_MOI'!$C$13)</f>
        <v>0.015</v>
      </c>
      <c r="J3795" s="75">
        <f>'THAM_SO_MOI'!$C$40*('THAM_SO_MOI'!$C$23*(E3795/'THAM_SO_MOI'!$C$22)+'THAM_SO_MOI'!$C$24*(E3795/'THAM_SO_MOI'!$C$22)^2-'THAM_SO_MOI'!$C$25*(E3795/'THAM_SO_MOI'!$C$22)^3)</f>
        <v>88.4546309576456</v>
      </c>
      <c r="K3795" s="75">
        <f>'THAM_SO_MOI'!$C$31*J3795/E3795</f>
        <v>428.3013185716775</v>
      </c>
      <c r="L3795" s="75">
        <f>K3795*'THAM_SO_MOI'!$C$53*'THAM_SO_MOI'!$C$17/'THAM_SO_MOI'!$C$26</f>
        <v>3756.204239803204</v>
      </c>
      <c r="M3795" s="75">
        <f>'THAM_SO_MOI'!$C$15*'THAM_SO_MOI'!$C$16*F3795^2</f>
        <v>1172.3852534742973</v>
      </c>
      <c r="N3795" s="75">
        <f>'THAM_SO_MOI'!$C$12*I3795</f>
        <v>1130.112</v>
      </c>
      <c r="O3795" s="75">
        <f>M3795+N3795</f>
        <v>2302.4972534742974</v>
      </c>
      <c r="P3795" s="75">
        <f>(MIN(L3795,'THAM_SO_MOI'!$C$41)-O3795)/('THAM_SO_MOI'!$C$11*H3795)</f>
        <v>0.172077058040827</v>
      </c>
      <c r="Q3795" s="75">
        <f>IF(P3795&gt;0,1/P3795,NA())</f>
        <v>5.811349934648115</v>
      </c>
      <c r="R3795" s="75">
        <f>F3795-F3794</f>
        <v>0.0073885545698715305</v>
      </c>
      <c r="S3795" s="75">
        <f>0.5*(Q3794+Q3795)*R3795</f>
        <v>0.042926483572943784</v>
      </c>
      <c r="T3795" s="75">
        <f>0.5*(F3794*Q3794+F3795*Q3795)*R3795</f>
        <v>0.8592458170161053</v>
      </c>
      <c r="U3795" s="76">
        <f>U3794+S3795</f>
        <v>47.96862116946648</v>
      </c>
      <c r="V3795" s="76">
        <f>V3794+T3795</f>
        <v>639.0311745813368</v>
      </c>
    </row>
    <row r="3796" spans="1:22" ht="19" customHeight="1">
      <c r="A3796" s="68" t="s">
        <v>378</v>
      </c>
      <c r="B3796" s="74">
        <v>5</v>
      </c>
      <c r="C3796" s="68" t="s">
        <v>363</v>
      </c>
      <c r="D3796" s="68" t="s">
        <v>364</v>
      </c>
      <c r="E3796" s="75">
        <f>60*F3796*'THAM_SO_MOI'!$C$53/(2*PI()*'THAM_SO_MOI'!$C$26)</f>
        <v>1973.2618946572982</v>
      </c>
      <c r="F3796" s="75">
        <f>'HANH_TRINH'!$F$3289+('THAM_SO_MOI'!$C$14-'HANH_TRINH'!$F$3289)*506/'THAM_SO_MOI'!$C$42</f>
        <v>20.027764956457627</v>
      </c>
      <c r="G3796" s="75">
        <f>3.6*F3796</f>
        <v>72.09995384324746</v>
      </c>
      <c r="H3796" s="75">
        <f>'THAM_SO_MOI'!$D$53</f>
        <v>1.1</v>
      </c>
      <c r="I3796" s="75">
        <f>IF(F3796&gt;'THAM_SO_MOI'!$C$14,'THAM_SO_MOI'!$C$13*(1+F3796^2/1500),'THAM_SO_MOI'!$C$13)</f>
        <v>0.015</v>
      </c>
      <c r="J3796" s="75">
        <f>'THAM_SO_MOI'!$C$40*('THAM_SO_MOI'!$C$23*(E3796/'THAM_SO_MOI'!$C$22)+'THAM_SO_MOI'!$C$24*(E3796/'THAM_SO_MOI'!$C$22)^2-'THAM_SO_MOI'!$C$25*(E3796/'THAM_SO_MOI'!$C$22)^3)</f>
        <v>88.49010255033947</v>
      </c>
      <c r="K3796" s="75">
        <f>'THAM_SO_MOI'!$C$31*J3796/E3796</f>
        <v>428.315003232314</v>
      </c>
      <c r="L3796" s="75">
        <f>K3796*'THAM_SO_MOI'!$C$53*'THAM_SO_MOI'!$C$17/'THAM_SO_MOI'!$C$26</f>
        <v>3756.3242543305337</v>
      </c>
      <c r="M3796" s="75">
        <f>'THAM_SO_MOI'!$C$15*'THAM_SO_MOI'!$C$16*F3796^2</f>
        <v>1173.2507547670034</v>
      </c>
      <c r="N3796" s="75">
        <f>'THAM_SO_MOI'!$C$12*I3796</f>
        <v>1130.112</v>
      </c>
      <c r="O3796" s="75">
        <f>M3796+N3796</f>
        <v>2303.3627547670035</v>
      </c>
      <c r="P3796" s="75">
        <f>(MIN(L3796,'THAM_SO_MOI'!$C$41)-O3796)/('THAM_SO_MOI'!$C$11*H3796)</f>
        <v>0.1719888138687891</v>
      </c>
      <c r="Q3796" s="75">
        <f>IF(P3796&gt;0,1/P3796,NA())</f>
        <v>5.814331627188869</v>
      </c>
      <c r="R3796" s="75">
        <f>F3796-F3795</f>
        <v>0.007388554569875083</v>
      </c>
      <c r="S3796" s="75">
        <f>0.5*(Q3795+Q3796)*R3796</f>
        <v>0.04294849131581157</v>
      </c>
      <c r="T3796" s="75">
        <f>0.5*(F3795*Q3795+F3796*Q3796)*R3796</f>
        <v>0.8600036663648449</v>
      </c>
      <c r="U3796" s="76">
        <f>U3795+S3796</f>
        <v>48.01156966078229</v>
      </c>
      <c r="V3796" s="76">
        <f>V3795+T3796</f>
        <v>639.8911782477016</v>
      </c>
    </row>
    <row r="3797" spans="1:22" ht="19" customHeight="1">
      <c r="A3797" s="68" t="s">
        <v>378</v>
      </c>
      <c r="B3797" s="74">
        <v>5</v>
      </c>
      <c r="C3797" s="68" t="s">
        <v>363</v>
      </c>
      <c r="D3797" s="68" t="s">
        <v>364</v>
      </c>
      <c r="E3797" s="75">
        <f>60*F3797*'THAM_SO_MOI'!$C$53/(2*PI()*'THAM_SO_MOI'!$C$26)</f>
        <v>1973.9898617180775</v>
      </c>
      <c r="F3797" s="75">
        <f>'HANH_TRINH'!$F$3289+('THAM_SO_MOI'!$C$14-'HANH_TRINH'!$F$3289)*507/'THAM_SO_MOI'!$C$42</f>
        <v>20.0351535110275</v>
      </c>
      <c r="G3797" s="75">
        <f>3.6*F3797</f>
        <v>72.126552639699</v>
      </c>
      <c r="H3797" s="75">
        <f>'THAM_SO_MOI'!$D$53</f>
        <v>1.1</v>
      </c>
      <c r="I3797" s="75">
        <f>IF(F3797&gt;'THAM_SO_MOI'!$C$14,'THAM_SO_MOI'!$C$13*(1+F3797^2/1500),'THAM_SO_MOI'!$C$13)</f>
        <v>0.015</v>
      </c>
      <c r="J3797" s="75">
        <f>'THAM_SO_MOI'!$C$40*('THAM_SO_MOI'!$C$23*(E3797/'THAM_SO_MOI'!$C$22)+'THAM_SO_MOI'!$C$24*(E3797/'THAM_SO_MOI'!$C$22)^2-'THAM_SO_MOI'!$C$25*(E3797/'THAM_SO_MOI'!$C$22)^3)</f>
        <v>88.52556560346879</v>
      </c>
      <c r="K3797" s="75">
        <f>'THAM_SO_MOI'!$C$31*J3797/E3797</f>
        <v>428.3286364812449</v>
      </c>
      <c r="L3797" s="75">
        <f>K3797*'THAM_SO_MOI'!$C$53*'THAM_SO_MOI'!$C$17/'THAM_SO_MOI'!$C$26</f>
        <v>3756.443817977005</v>
      </c>
      <c r="M3797" s="75">
        <f>'THAM_SO_MOI'!$C$15*'THAM_SO_MOI'!$C$16*F3797^2</f>
        <v>1174.1165754155297</v>
      </c>
      <c r="N3797" s="75">
        <f>'THAM_SO_MOI'!$C$12*I3797</f>
        <v>1130.112</v>
      </c>
      <c r="O3797" s="75">
        <f>M3797+N3797</f>
        <v>2304.22857541553</v>
      </c>
      <c r="P3797" s="75">
        <f>(MIN(L3797,'THAM_SO_MOI'!$C$41)-O3797)/('THAM_SO_MOI'!$C$11*H3797)</f>
        <v>0.17190047852290186</v>
      </c>
      <c r="Q3797" s="75">
        <f>IF(P3797&gt;0,1/P3797,NA())</f>
        <v>5.817319466430529</v>
      </c>
      <c r="R3797" s="75">
        <f>F3797-F3796</f>
        <v>0.0073885545698715305</v>
      </c>
      <c r="S3797" s="75">
        <f>0.5*(Q3796+Q3797)*R3797</f>
        <v>0.0429705444214564</v>
      </c>
      <c r="T3797" s="75">
        <f>0.5*(F3796*Q3796+F3797*Q3797)*R3797</f>
        <v>0.8607627496072154</v>
      </c>
      <c r="U3797" s="76">
        <f>U3796+S3797</f>
        <v>48.05454020520375</v>
      </c>
      <c r="V3797" s="76">
        <f>V3796+T3797</f>
        <v>640.7519409973089</v>
      </c>
    </row>
    <row r="3798" spans="1:22" ht="19" customHeight="1">
      <c r="A3798" s="68" t="s">
        <v>378</v>
      </c>
      <c r="B3798" s="74">
        <v>5</v>
      </c>
      <c r="C3798" s="68" t="s">
        <v>363</v>
      </c>
      <c r="D3798" s="68" t="s">
        <v>364</v>
      </c>
      <c r="E3798" s="75">
        <f>60*F3798*'THAM_SO_MOI'!$C$53/(2*PI()*'THAM_SO_MOI'!$C$26)</f>
        <v>1974.717828778856</v>
      </c>
      <c r="F3798" s="75">
        <f>'HANH_TRINH'!$F$3289+('THAM_SO_MOI'!$C$14-'HANH_TRINH'!$F$3289)*508/'THAM_SO_MOI'!$C$42</f>
        <v>20.04254206559737</v>
      </c>
      <c r="G3798" s="75">
        <f>3.6*F3798</f>
        <v>72.15315143615054</v>
      </c>
      <c r="H3798" s="75">
        <f>'THAM_SO_MOI'!$D$53</f>
        <v>1.1</v>
      </c>
      <c r="I3798" s="75">
        <f>IF(F3798&gt;'THAM_SO_MOI'!$C$14,'THAM_SO_MOI'!$C$13*(1+F3798^2/1500),'THAM_SO_MOI'!$C$13)</f>
        <v>0.015</v>
      </c>
      <c r="J3798" s="75">
        <f>'THAM_SO_MOI'!$C$40*('THAM_SO_MOI'!$C$23*(E3798/'THAM_SO_MOI'!$C$22)+'THAM_SO_MOI'!$C$24*(E3798/'THAM_SO_MOI'!$C$22)^2-'THAM_SO_MOI'!$C$25*(E3798/'THAM_SO_MOI'!$C$22)^3)</f>
        <v>88.56102010527806</v>
      </c>
      <c r="K3798" s="75">
        <f>'THAM_SO_MOI'!$C$31*J3798/E3798</f>
        <v>428.3422183184705</v>
      </c>
      <c r="L3798" s="75">
        <f>K3798*'THAM_SO_MOI'!$C$53*'THAM_SO_MOI'!$C$17/'THAM_SO_MOI'!$C$26</f>
        <v>3756.562930742618</v>
      </c>
      <c r="M3798" s="75">
        <f>'THAM_SO_MOI'!$C$15*'THAM_SO_MOI'!$C$16*F3798^2</f>
        <v>1174.9827154198774</v>
      </c>
      <c r="N3798" s="75">
        <f>'THAM_SO_MOI'!$C$12*I3798</f>
        <v>1130.112</v>
      </c>
      <c r="O3798" s="75">
        <f>M3798+N3798</f>
        <v>2305.0947154198775</v>
      </c>
      <c r="P3798" s="75">
        <f>(MIN(L3798,'THAM_SO_MOI'!$C$41)-O3798)/('THAM_SO_MOI'!$C$11*H3798)</f>
        <v>0.1718120520031653</v>
      </c>
      <c r="Q3798" s="75">
        <f>IF(P3798&gt;0,1/P3798,NA())</f>
        <v>5.820313466610462</v>
      </c>
      <c r="R3798" s="75">
        <f>F3798-F3797</f>
        <v>0.0073885545698715305</v>
      </c>
      <c r="S3798" s="75">
        <f>0.5*(Q3797+Q3798)*R3798</f>
        <v>0.042992642994953714</v>
      </c>
      <c r="T3798" s="75">
        <f>0.5*(F3797*Q3797+F3798*Q3798)*R3798</f>
        <v>0.8615230698543047</v>
      </c>
      <c r="U3798" s="76">
        <f>U3797+S3798</f>
        <v>48.0975328481987</v>
      </c>
      <c r="V3798" s="76">
        <f>V3797+T3798</f>
        <v>641.6134640671632</v>
      </c>
    </row>
    <row r="3799" spans="1:22" ht="19" customHeight="1">
      <c r="A3799" s="68" t="s">
        <v>378</v>
      </c>
      <c r="B3799" s="74">
        <v>5</v>
      </c>
      <c r="C3799" s="68" t="s">
        <v>363</v>
      </c>
      <c r="D3799" s="68" t="s">
        <v>364</v>
      </c>
      <c r="E3799" s="75">
        <f>60*F3799*'THAM_SO_MOI'!$C$53/(2*PI()*'THAM_SO_MOI'!$C$26)</f>
        <v>1975.4457958396354</v>
      </c>
      <c r="F3799" s="75">
        <f>'HANH_TRINH'!$F$3289+('THAM_SO_MOI'!$C$14-'HANH_TRINH'!$F$3289)*509/'THAM_SO_MOI'!$C$42</f>
        <v>20.049930620167242</v>
      </c>
      <c r="G3799" s="75">
        <f>3.6*F3799</f>
        <v>72.17975023260207</v>
      </c>
      <c r="H3799" s="75">
        <f>'THAM_SO_MOI'!$D$53</f>
        <v>1.1</v>
      </c>
      <c r="I3799" s="75">
        <f>IF(F3799&gt;'THAM_SO_MOI'!$C$14,'THAM_SO_MOI'!$C$13*(1+F3799^2/1500),'THAM_SO_MOI'!$C$13)</f>
        <v>0.015</v>
      </c>
      <c r="J3799" s="75">
        <f>'THAM_SO_MOI'!$C$40*('THAM_SO_MOI'!$C$23*(E3799/'THAM_SO_MOI'!$C$22)+'THAM_SO_MOI'!$C$24*(E3799/'THAM_SO_MOI'!$C$22)^2-'THAM_SO_MOI'!$C$25*(E3799/'THAM_SO_MOI'!$C$22)^3)</f>
        <v>88.59646604401183</v>
      </c>
      <c r="K3799" s="75">
        <f>'THAM_SO_MOI'!$C$31*J3799/E3799</f>
        <v>428.35574874399083</v>
      </c>
      <c r="L3799" s="75">
        <f>K3799*'THAM_SO_MOI'!$C$53*'THAM_SO_MOI'!$C$17/'THAM_SO_MOI'!$C$26</f>
        <v>3756.6815926273757</v>
      </c>
      <c r="M3799" s="75">
        <f>'THAM_SO_MOI'!$C$15*'THAM_SO_MOI'!$C$16*F3799^2</f>
        <v>1175.849174780046</v>
      </c>
      <c r="N3799" s="75">
        <f>'THAM_SO_MOI'!$C$12*I3799</f>
        <v>1130.112</v>
      </c>
      <c r="O3799" s="75">
        <f>M3799+N3799</f>
        <v>2305.9611747800463</v>
      </c>
      <c r="P3799" s="75">
        <f>(MIN(L3799,'THAM_SO_MOI'!$C$41)-O3799)/('THAM_SO_MOI'!$C$11*H3799)</f>
        <v>0.1717235343095797</v>
      </c>
      <c r="Q3799" s="75">
        <f>IF(P3799&gt;0,1/P3799,NA())</f>
        <v>5.823313642014963</v>
      </c>
      <c r="R3799" s="75">
        <f>F3799-F3798</f>
        <v>0.0073885545698715305</v>
      </c>
      <c r="S3799" s="75">
        <f>0.5*(Q3798+Q3799)*R3799</f>
        <v>0.043014787141657206</v>
      </c>
      <c r="T3799" s="75">
        <f>0.5*(F3798*Q3798+F3799*Q3799)*R3799</f>
        <v>0.8622846302258831</v>
      </c>
      <c r="U3799" s="76">
        <f>U3798+S3799</f>
        <v>48.14054763534036</v>
      </c>
      <c r="V3799" s="76">
        <f>V3798+T3799</f>
        <v>642.4757486973891</v>
      </c>
    </row>
    <row r="3800" spans="1:22" ht="19" customHeight="1">
      <c r="A3800" s="68" t="s">
        <v>378</v>
      </c>
      <c r="B3800" s="74">
        <v>5</v>
      </c>
      <c r="C3800" s="68" t="s">
        <v>363</v>
      </c>
      <c r="D3800" s="68" t="s">
        <v>364</v>
      </c>
      <c r="E3800" s="75">
        <f>60*F3800*'THAM_SO_MOI'!$C$53/(2*PI()*'THAM_SO_MOI'!$C$26)</f>
        <v>1976.1737629004137</v>
      </c>
      <c r="F3800" s="75">
        <f>'HANH_TRINH'!$F$3289+('THAM_SO_MOI'!$C$14-'HANH_TRINH'!$F$3289)*510/'THAM_SO_MOI'!$C$42</f>
        <v>20.057319174737113</v>
      </c>
      <c r="G3800" s="75">
        <f>3.6*F3800</f>
        <v>72.20634902905361</v>
      </c>
      <c r="H3800" s="75">
        <f>'THAM_SO_MOI'!$D$53</f>
        <v>1.1</v>
      </c>
      <c r="I3800" s="75">
        <f>IF(F3800&gt;'THAM_SO_MOI'!$C$14,'THAM_SO_MOI'!$C$13*(1+F3800^2/1500),'THAM_SO_MOI'!$C$13)</f>
        <v>0.015</v>
      </c>
      <c r="J3800" s="75">
        <f>'THAM_SO_MOI'!$C$40*('THAM_SO_MOI'!$C$23*(E3800/'THAM_SO_MOI'!$C$22)+'THAM_SO_MOI'!$C$24*(E3800/'THAM_SO_MOI'!$C$22)^2-'THAM_SO_MOI'!$C$25*(E3800/'THAM_SO_MOI'!$C$22)^3)</f>
        <v>88.63190340791444</v>
      </c>
      <c r="K3800" s="75">
        <f>'THAM_SO_MOI'!$C$31*J3800/E3800</f>
        <v>428.36922775780545</v>
      </c>
      <c r="L3800" s="75">
        <f>K3800*'THAM_SO_MOI'!$C$53*'THAM_SO_MOI'!$C$17/'THAM_SO_MOI'!$C$26</f>
        <v>3756.799803631273</v>
      </c>
      <c r="M3800" s="75">
        <f>'THAM_SO_MOI'!$C$15*'THAM_SO_MOI'!$C$16*F3800^2</f>
        <v>1176.7159534960356</v>
      </c>
      <c r="N3800" s="75">
        <f>'THAM_SO_MOI'!$C$12*I3800</f>
        <v>1130.112</v>
      </c>
      <c r="O3800" s="75">
        <f>M3800+N3800</f>
        <v>2306.8279534960357</v>
      </c>
      <c r="P3800" s="75">
        <f>(MIN(L3800,'THAM_SO_MOI'!$C$41)-O3800)/('THAM_SO_MOI'!$C$11*H3800)</f>
        <v>0.17163492544214456</v>
      </c>
      <c r="Q3800" s="75">
        <f>IF(P3800&gt;0,1/P3800,NA())</f>
        <v>5.82632000697949</v>
      </c>
      <c r="R3800" s="75">
        <f>F3800-F3799</f>
        <v>0.0073885545698715305</v>
      </c>
      <c r="S3800" s="75">
        <f>0.5*(Q3799+Q3800)*R3800</f>
        <v>0.043036976967303554</v>
      </c>
      <c r="T3800" s="75">
        <f>0.5*(F3799*Q3799+F3800*Q3800)*R3800</f>
        <v>0.8630474338525155</v>
      </c>
      <c r="U3800" s="76">
        <f>U3799+S3800</f>
        <v>48.18358461230766</v>
      </c>
      <c r="V3800" s="76">
        <f>V3799+T3800</f>
        <v>643.3387961312417</v>
      </c>
    </row>
    <row r="3801" spans="1:22" ht="19" customHeight="1">
      <c r="A3801" s="68" t="s">
        <v>378</v>
      </c>
      <c r="B3801" s="74">
        <v>5</v>
      </c>
      <c r="C3801" s="68" t="s">
        <v>363</v>
      </c>
      <c r="D3801" s="68" t="s">
        <v>364</v>
      </c>
      <c r="E3801" s="75">
        <f>60*F3801*'THAM_SO_MOI'!$C$53/(2*PI()*'THAM_SO_MOI'!$C$26)</f>
        <v>1976.901729961193</v>
      </c>
      <c r="F3801" s="75">
        <f>'HANH_TRINH'!$F$3289+('THAM_SO_MOI'!$C$14-'HANH_TRINH'!$F$3289)*511/'THAM_SO_MOI'!$C$42</f>
        <v>20.064707729306985</v>
      </c>
      <c r="G3801" s="75">
        <f>3.6*F3801</f>
        <v>72.23294782550515</v>
      </c>
      <c r="H3801" s="75">
        <f>'THAM_SO_MOI'!$D$53</f>
        <v>1.1</v>
      </c>
      <c r="I3801" s="75">
        <f>IF(F3801&gt;'THAM_SO_MOI'!$C$14,'THAM_SO_MOI'!$C$13*(1+F3801^2/1500),'THAM_SO_MOI'!$C$13)</f>
        <v>0.015</v>
      </c>
      <c r="J3801" s="75">
        <f>'THAM_SO_MOI'!$C$40*('THAM_SO_MOI'!$C$23*(E3801/'THAM_SO_MOI'!$C$22)+'THAM_SO_MOI'!$C$24*(E3801/'THAM_SO_MOI'!$C$22)^2-'THAM_SO_MOI'!$C$25*(E3801/'THAM_SO_MOI'!$C$22)^3)</f>
        <v>88.66733218523052</v>
      </c>
      <c r="K3801" s="75">
        <f>'THAM_SO_MOI'!$C$31*J3801/E3801</f>
        <v>428.38265535991485</v>
      </c>
      <c r="L3801" s="75">
        <f>K3801*'THAM_SO_MOI'!$C$53*'THAM_SO_MOI'!$C$17/'THAM_SO_MOI'!$C$26</f>
        <v>3756.9175637543144</v>
      </c>
      <c r="M3801" s="75">
        <f>'THAM_SO_MOI'!$C$15*'THAM_SO_MOI'!$C$16*F3801^2</f>
        <v>1177.583051567846</v>
      </c>
      <c r="N3801" s="75">
        <f>'THAM_SO_MOI'!$C$12*I3801</f>
        <v>1130.112</v>
      </c>
      <c r="O3801" s="75">
        <f>M3801+N3801</f>
        <v>2307.6950515678463</v>
      </c>
      <c r="P3801" s="75">
        <f>(MIN(L3801,'THAM_SO_MOI'!$C$41)-O3801)/('THAM_SO_MOI'!$C$11*H3801)</f>
        <v>0.1715462254008604</v>
      </c>
      <c r="Q3801" s="75">
        <f>IF(P3801&gt;0,1/P3801,NA())</f>
        <v>5.82933257588881</v>
      </c>
      <c r="R3801" s="75">
        <f>F3801-F3800</f>
        <v>0.0073885545698715305</v>
      </c>
      <c r="S3801" s="75">
        <f>0.5*(Q3800+Q3801)*R3801</f>
        <v>0.04305921257799324</v>
      </c>
      <c r="T3801" s="75">
        <f>0.5*(F3800*Q3800+F3801*Q3801)*R3801</f>
        <v>0.8638114838751899</v>
      </c>
      <c r="U3801" s="76">
        <f>U3800+S3801</f>
        <v>48.226643824885656</v>
      </c>
      <c r="V3801" s="76">
        <f>V3800+T3801</f>
        <v>644.2026076151169</v>
      </c>
    </row>
    <row r="3802" spans="1:22" ht="19" customHeight="1">
      <c r="A3802" s="68" t="s">
        <v>378</v>
      </c>
      <c r="B3802" s="74">
        <v>5</v>
      </c>
      <c r="C3802" s="68" t="s">
        <v>363</v>
      </c>
      <c r="D3802" s="68" t="s">
        <v>364</v>
      </c>
      <c r="E3802" s="75">
        <f>60*F3802*'THAM_SO_MOI'!$C$53/(2*PI()*'THAM_SO_MOI'!$C$26)</f>
        <v>1977.6296970219719</v>
      </c>
      <c r="F3802" s="75">
        <f>'HANH_TRINH'!$F$3289+('THAM_SO_MOI'!$C$14-'HANH_TRINH'!$F$3289)*512/'THAM_SO_MOI'!$C$42</f>
        <v>20.072096283876856</v>
      </c>
      <c r="G3802" s="75">
        <f>3.6*F3802</f>
        <v>72.25954662195669</v>
      </c>
      <c r="H3802" s="75">
        <f>'THAM_SO_MOI'!$D$53</f>
        <v>1.1</v>
      </c>
      <c r="I3802" s="75">
        <f>IF(F3802&gt;'THAM_SO_MOI'!$C$14,'THAM_SO_MOI'!$C$13*(1+F3802^2/1500),'THAM_SO_MOI'!$C$13)</f>
        <v>0.015</v>
      </c>
      <c r="J3802" s="75">
        <f>'THAM_SO_MOI'!$C$40*('THAM_SO_MOI'!$C$23*(E3802/'THAM_SO_MOI'!$C$22)+'THAM_SO_MOI'!$C$24*(E3802/'THAM_SO_MOI'!$C$22)^2-'THAM_SO_MOI'!$C$25*(E3802/'THAM_SO_MOI'!$C$22)^3)</f>
        <v>88.70275236420446</v>
      </c>
      <c r="K3802" s="75">
        <f>'THAM_SO_MOI'!$C$31*J3802/E3802</f>
        <v>428.3960315503187</v>
      </c>
      <c r="L3802" s="75">
        <f>K3802*'THAM_SO_MOI'!$C$53*'THAM_SO_MOI'!$C$17/'THAM_SO_MOI'!$C$26</f>
        <v>3757.0348729964967</v>
      </c>
      <c r="M3802" s="75">
        <f>'THAM_SO_MOI'!$C$15*'THAM_SO_MOI'!$C$16*F3802^2</f>
        <v>1178.4504689954776</v>
      </c>
      <c r="N3802" s="75">
        <f>'THAM_SO_MOI'!$C$12*I3802</f>
        <v>1130.112</v>
      </c>
      <c r="O3802" s="75">
        <f>M3802+N3802</f>
        <v>2308.5624689954775</v>
      </c>
      <c r="P3802" s="75">
        <f>(MIN(L3802,'THAM_SO_MOI'!$C$41)-O3802)/('THAM_SO_MOI'!$C$11*H3802)</f>
        <v>0.17145743418572665</v>
      </c>
      <c r="Q3802" s="75">
        <f>IF(P3802&gt;0,1/P3802,NA())</f>
        <v>5.8323513631772705</v>
      </c>
      <c r="R3802" s="75">
        <f>F3802-F3801</f>
        <v>0.0073885545698715305</v>
      </c>
      <c r="S3802" s="75">
        <f>0.5*(Q3801+Q3802)*R3802</f>
        <v>0.04308149408019206</v>
      </c>
      <c r="T3802" s="75">
        <f>0.5*(F3801*Q3801+F3802*Q3802)*R3802</f>
        <v>0.8645767834453613</v>
      </c>
      <c r="U3802" s="76">
        <f>U3801+S3802</f>
        <v>48.26972531896585</v>
      </c>
      <c r="V3802" s="76">
        <f>V3801+T3802</f>
        <v>645.0671843985623</v>
      </c>
    </row>
    <row r="3803" spans="1:22" ht="19" customHeight="1">
      <c r="A3803" s="68" t="s">
        <v>378</v>
      </c>
      <c r="B3803" s="74">
        <v>5</v>
      </c>
      <c r="C3803" s="68" t="s">
        <v>363</v>
      </c>
      <c r="D3803" s="68" t="s">
        <v>364</v>
      </c>
      <c r="E3803" s="75">
        <f>60*F3803*'THAM_SO_MOI'!$C$53/(2*PI()*'THAM_SO_MOI'!$C$26)</f>
        <v>1978.3576640827514</v>
      </c>
      <c r="F3803" s="75">
        <f>'HANH_TRINH'!$F$3289+('THAM_SO_MOI'!$C$14-'HANH_TRINH'!$F$3289)*513/'THAM_SO_MOI'!$C$42</f>
        <v>20.07948483844673</v>
      </c>
      <c r="G3803" s="75">
        <f>3.6*F3803</f>
        <v>72.28614541840824</v>
      </c>
      <c r="H3803" s="75">
        <f>'THAM_SO_MOI'!$D$53</f>
        <v>1.1</v>
      </c>
      <c r="I3803" s="75">
        <f>IF(F3803&gt;'THAM_SO_MOI'!$C$14,'THAM_SO_MOI'!$C$13*(1+F3803^2/1500),'THAM_SO_MOI'!$C$13)</f>
        <v>0.015</v>
      </c>
      <c r="J3803" s="75">
        <f>'THAM_SO_MOI'!$C$40*('THAM_SO_MOI'!$C$23*(E3803/'THAM_SO_MOI'!$C$22)+'THAM_SO_MOI'!$C$24*(E3803/'THAM_SO_MOI'!$C$22)^2-'THAM_SO_MOI'!$C$25*(E3803/'THAM_SO_MOI'!$C$22)^3)</f>
        <v>88.73816393308078</v>
      </c>
      <c r="K3803" s="75">
        <f>'THAM_SO_MOI'!$C$31*J3803/E3803</f>
        <v>428.4093563290171</v>
      </c>
      <c r="L3803" s="75">
        <f>K3803*'THAM_SO_MOI'!$C$53*'THAM_SO_MOI'!$C$17/'THAM_SO_MOI'!$C$26</f>
        <v>3757.151731357821</v>
      </c>
      <c r="M3803" s="75">
        <f>'THAM_SO_MOI'!$C$15*'THAM_SO_MOI'!$C$16*F3803^2</f>
        <v>1179.3182057789306</v>
      </c>
      <c r="N3803" s="75">
        <f>'THAM_SO_MOI'!$C$12*I3803</f>
        <v>1130.112</v>
      </c>
      <c r="O3803" s="75">
        <f>M3803+N3803</f>
        <v>2309.430205778931</v>
      </c>
      <c r="P3803" s="75">
        <f>(MIN(L3803,'THAM_SO_MOI'!$C$41)-O3803)/('THAM_SO_MOI'!$C$11*H3803)</f>
        <v>0.17136855179674368</v>
      </c>
      <c r="Q3803" s="75">
        <f>IF(P3803&gt;0,1/P3803,NA())</f>
        <v>5.8353763833289385</v>
      </c>
      <c r="R3803" s="75">
        <f>F3803-F3802</f>
        <v>0.007388554569875083</v>
      </c>
      <c r="S3803" s="75">
        <f>0.5*(Q3802+Q3803)*R3803</f>
        <v>0.043103821580753376</v>
      </c>
      <c r="T3803" s="75">
        <f>0.5*(F3802*Q3802+F3803*Q3803)*R3803</f>
        <v>0.8653433357254119</v>
      </c>
      <c r="U3803" s="76">
        <f>U3802+S3803</f>
        <v>48.3128291405466</v>
      </c>
      <c r="V3803" s="76">
        <f>V3802+T3803</f>
        <v>645.9325277342876</v>
      </c>
    </row>
    <row r="3804" spans="1:22" ht="19" customHeight="1">
      <c r="A3804" s="68" t="s">
        <v>378</v>
      </c>
      <c r="B3804" s="74">
        <v>5</v>
      </c>
      <c r="C3804" s="68" t="s">
        <v>363</v>
      </c>
      <c r="D3804" s="68" t="s">
        <v>364</v>
      </c>
      <c r="E3804" s="75">
        <f>60*F3804*'THAM_SO_MOI'!$C$53/(2*PI()*'THAM_SO_MOI'!$C$26)</f>
        <v>1979.0856311435298</v>
      </c>
      <c r="F3804" s="75">
        <f>'HANH_TRINH'!$F$3289+('THAM_SO_MOI'!$C$14-'HANH_TRINH'!$F$3289)*514/'THAM_SO_MOI'!$C$42</f>
        <v>20.086873393016603</v>
      </c>
      <c r="G3804" s="75">
        <f>3.6*F3804</f>
        <v>72.31274421485978</v>
      </c>
      <c r="H3804" s="75">
        <f>'THAM_SO_MOI'!$D$53</f>
        <v>1.1</v>
      </c>
      <c r="I3804" s="75">
        <f>IF(F3804&gt;'THAM_SO_MOI'!$C$14,'THAM_SO_MOI'!$C$13*(1+F3804^2/1500),'THAM_SO_MOI'!$C$13)</f>
        <v>0.015</v>
      </c>
      <c r="J3804" s="75">
        <f>'THAM_SO_MOI'!$C$40*('THAM_SO_MOI'!$C$23*(E3804/'THAM_SO_MOI'!$C$22)+'THAM_SO_MOI'!$C$24*(E3804/'THAM_SO_MOI'!$C$22)^2-'THAM_SO_MOI'!$C$25*(E3804/'THAM_SO_MOI'!$C$22)^3)</f>
        <v>88.77356688010394</v>
      </c>
      <c r="K3804" s="75">
        <f>'THAM_SO_MOI'!$C$31*J3804/E3804</f>
        <v>428.4226296960101</v>
      </c>
      <c r="L3804" s="75">
        <f>K3804*'THAM_SO_MOI'!$C$53*'THAM_SO_MOI'!$C$17/'THAM_SO_MOI'!$C$26</f>
        <v>3757.268138838288</v>
      </c>
      <c r="M3804" s="75">
        <f>'THAM_SO_MOI'!$C$15*'THAM_SO_MOI'!$C$16*F3804^2</f>
        <v>1180.1862619182043</v>
      </c>
      <c r="N3804" s="75">
        <f>'THAM_SO_MOI'!$C$12*I3804</f>
        <v>1130.112</v>
      </c>
      <c r="O3804" s="75">
        <f>M3804+N3804</f>
        <v>2310.2982619182044</v>
      </c>
      <c r="P3804" s="75">
        <f>(MIN(L3804,'THAM_SO_MOI'!$C$41)-O3804)/('THAM_SO_MOI'!$C$11*H3804)</f>
        <v>0.1712795782339114</v>
      </c>
      <c r="Q3804" s="75">
        <f>IF(P3804&gt;0,1/P3804,NA())</f>
        <v>5.838407650877852</v>
      </c>
      <c r="R3804" s="75">
        <f>F3804-F3803</f>
        <v>0.0073885545698715305</v>
      </c>
      <c r="S3804" s="75">
        <f>0.5*(Q3803+Q3804)*R3804</f>
        <v>0.043126195186815944</v>
      </c>
      <c r="T3804" s="75">
        <f>0.5*(F3803*Q3803+F3804*Q3804)*R3804</f>
        <v>0.8661111438866131</v>
      </c>
      <c r="U3804" s="76">
        <f>U3803+S3804</f>
        <v>48.35595533573341</v>
      </c>
      <c r="V3804" s="76">
        <f>V3803+T3804</f>
        <v>646.7986388781743</v>
      </c>
    </row>
    <row r="3805" spans="1:22" ht="19" customHeight="1">
      <c r="A3805" s="68" t="s">
        <v>378</v>
      </c>
      <c r="B3805" s="74">
        <v>5</v>
      </c>
      <c r="C3805" s="68" t="s">
        <v>363</v>
      </c>
      <c r="D3805" s="68" t="s">
        <v>364</v>
      </c>
      <c r="E3805" s="75">
        <f>60*F3805*'THAM_SO_MOI'!$C$53/(2*PI()*'THAM_SO_MOI'!$C$26)</f>
        <v>1979.813598204309</v>
      </c>
      <c r="F3805" s="75">
        <f>'HANH_TRINH'!$F$3289+('THAM_SO_MOI'!$C$14-'HANH_TRINH'!$F$3289)*515/'THAM_SO_MOI'!$C$42</f>
        <v>20.094261947586475</v>
      </c>
      <c r="G3805" s="75">
        <f>3.6*F3805</f>
        <v>72.33934301131131</v>
      </c>
      <c r="H3805" s="75">
        <f>'THAM_SO_MOI'!$D$53</f>
        <v>1.1</v>
      </c>
      <c r="I3805" s="75">
        <f>IF(F3805&gt;'THAM_SO_MOI'!$C$14,'THAM_SO_MOI'!$C$13*(1+F3805^2/1500),'THAM_SO_MOI'!$C$13)</f>
        <v>0.015</v>
      </c>
      <c r="J3805" s="75">
        <f>'THAM_SO_MOI'!$C$40*('THAM_SO_MOI'!$C$23*(E3805/'THAM_SO_MOI'!$C$22)+'THAM_SO_MOI'!$C$24*(E3805/'THAM_SO_MOI'!$C$22)^2-'THAM_SO_MOI'!$C$25*(E3805/'THAM_SO_MOI'!$C$22)^3)</f>
        <v>88.80896119351848</v>
      </c>
      <c r="K3805" s="75">
        <f>'THAM_SO_MOI'!$C$31*J3805/E3805</f>
        <v>428.43585165129764</v>
      </c>
      <c r="L3805" s="75">
        <f>K3805*'THAM_SO_MOI'!$C$53*'THAM_SO_MOI'!$C$17/'THAM_SO_MOI'!$C$26</f>
        <v>3757.3840954378966</v>
      </c>
      <c r="M3805" s="75">
        <f>'THAM_SO_MOI'!$C$15*'THAM_SO_MOI'!$C$16*F3805^2</f>
        <v>1181.054637413299</v>
      </c>
      <c r="N3805" s="75">
        <f>'THAM_SO_MOI'!$C$12*I3805</f>
        <v>1130.112</v>
      </c>
      <c r="O3805" s="75">
        <f>M3805+N3805</f>
        <v>2311.166637413299</v>
      </c>
      <c r="P3805" s="75">
        <f>(MIN(L3805,'THAM_SO_MOI'!$C$41)-O3805)/('THAM_SO_MOI'!$C$11*H3805)</f>
        <v>0.1711905134972298</v>
      </c>
      <c r="Q3805" s="75">
        <f>IF(P3805&gt;0,1/P3805,NA())</f>
        <v>5.841445180408212</v>
      </c>
      <c r="R3805" s="75">
        <f>F3805-F3804</f>
        <v>0.0073885545698715305</v>
      </c>
      <c r="S3805" s="75">
        <f>0.5*(Q3804+Q3805)*R3805</f>
        <v>0.04314861500601279</v>
      </c>
      <c r="T3805" s="75">
        <f>0.5*(F3804*Q3804+F3805*Q3805)*R3805</f>
        <v>0.8668802111133336</v>
      </c>
      <c r="U3805" s="76">
        <f>U3804+S3805</f>
        <v>48.39910395073942</v>
      </c>
      <c r="V3805" s="76">
        <f>V3804+T3805</f>
        <v>647.6655190892876</v>
      </c>
    </row>
    <row r="3806" spans="1:22" ht="19" customHeight="1">
      <c r="A3806" s="68" t="s">
        <v>378</v>
      </c>
      <c r="B3806" s="74">
        <v>5</v>
      </c>
      <c r="C3806" s="68" t="s">
        <v>363</v>
      </c>
      <c r="D3806" s="68" t="s">
        <v>364</v>
      </c>
      <c r="E3806" s="75">
        <f>60*F3806*'THAM_SO_MOI'!$C$53/(2*PI()*'THAM_SO_MOI'!$C$26)</f>
        <v>1980.541565265088</v>
      </c>
      <c r="F3806" s="75">
        <f>'HANH_TRINH'!$F$3289+('THAM_SO_MOI'!$C$14-'HANH_TRINH'!$F$3289)*516/'THAM_SO_MOI'!$C$42</f>
        <v>20.101650502156346</v>
      </c>
      <c r="G3806" s="75">
        <f>3.6*F3806</f>
        <v>72.36594180776285</v>
      </c>
      <c r="H3806" s="75">
        <f>'THAM_SO_MOI'!$D$53</f>
        <v>1.1</v>
      </c>
      <c r="I3806" s="75">
        <f>IF(F3806&gt;'THAM_SO_MOI'!$C$14,'THAM_SO_MOI'!$C$13*(1+F3806^2/1500),'THAM_SO_MOI'!$C$13)</f>
        <v>0.015</v>
      </c>
      <c r="J3806" s="75">
        <f>'THAM_SO_MOI'!$C$40*('THAM_SO_MOI'!$C$23*(E3806/'THAM_SO_MOI'!$C$22)+'THAM_SO_MOI'!$C$24*(E3806/'THAM_SO_MOI'!$C$22)^2-'THAM_SO_MOI'!$C$25*(E3806/'THAM_SO_MOI'!$C$22)^3)</f>
        <v>88.84434686156884</v>
      </c>
      <c r="K3806" s="75">
        <f>'THAM_SO_MOI'!$C$31*J3806/E3806</f>
        <v>428.44902219487983</v>
      </c>
      <c r="L3806" s="75">
        <f>K3806*'THAM_SO_MOI'!$C$53*'THAM_SO_MOI'!$C$17/'THAM_SO_MOI'!$C$26</f>
        <v>3757.499601156648</v>
      </c>
      <c r="M3806" s="75">
        <f>'THAM_SO_MOI'!$C$15*'THAM_SO_MOI'!$C$16*F3806^2</f>
        <v>1181.9233322642144</v>
      </c>
      <c r="N3806" s="75">
        <f>'THAM_SO_MOI'!$C$12*I3806</f>
        <v>1130.112</v>
      </c>
      <c r="O3806" s="75">
        <f>M3806+N3806</f>
        <v>2312.0353322642145</v>
      </c>
      <c r="P3806" s="75">
        <f>(MIN(L3806,'THAM_SO_MOI'!$C$41)-O3806)/('THAM_SO_MOI'!$C$11*H3806)</f>
        <v>0.17110135758669906</v>
      </c>
      <c r="Q3806" s="75">
        <f>IF(P3806&gt;0,1/P3806,NA())</f>
        <v>5.844488986554582</v>
      </c>
      <c r="R3806" s="75">
        <f>F3806-F3805</f>
        <v>0.0073885545698715305</v>
      </c>
      <c r="S3806" s="75">
        <f>0.5*(Q3805+Q3806)*R3806</f>
        <v>0.04317108114626541</v>
      </c>
      <c r="T3806" s="75">
        <f>0.5*(F3805*Q3805+F3806*Q3806)*R3806</f>
        <v>0.86765054059892</v>
      </c>
      <c r="U3806" s="76">
        <f>U3805+S3806</f>
        <v>48.442275031885686</v>
      </c>
      <c r="V3806" s="76">
        <f>V3805+T3806</f>
        <v>648.5331696298865</v>
      </c>
    </row>
    <row r="3807" spans="1:22" ht="19" customHeight="1">
      <c r="A3807" s="68" t="s">
        <v>378</v>
      </c>
      <c r="B3807" s="74">
        <v>5</v>
      </c>
      <c r="C3807" s="68" t="s">
        <v>363</v>
      </c>
      <c r="D3807" s="68" t="s">
        <v>364</v>
      </c>
      <c r="E3807" s="75">
        <f>60*F3807*'THAM_SO_MOI'!$C$53/(2*PI()*'THAM_SO_MOI'!$C$26)</f>
        <v>1981.2695323258672</v>
      </c>
      <c r="F3807" s="75">
        <f>'HANH_TRINH'!$F$3289+('THAM_SO_MOI'!$C$14-'HANH_TRINH'!$F$3289)*517/'THAM_SO_MOI'!$C$42</f>
        <v>20.109039056726218</v>
      </c>
      <c r="G3807" s="75">
        <f>3.6*F3807</f>
        <v>72.39254060421439</v>
      </c>
      <c r="H3807" s="75">
        <f>'THAM_SO_MOI'!$D$53</f>
        <v>1.1</v>
      </c>
      <c r="I3807" s="75">
        <f>IF(F3807&gt;'THAM_SO_MOI'!$C$14,'THAM_SO_MOI'!$C$13*(1+F3807^2/1500),'THAM_SO_MOI'!$C$13)</f>
        <v>0.015</v>
      </c>
      <c r="J3807" s="75">
        <f>'THAM_SO_MOI'!$C$40*('THAM_SO_MOI'!$C$23*(E3807/'THAM_SO_MOI'!$C$22)+'THAM_SO_MOI'!$C$24*(E3807/'THAM_SO_MOI'!$C$22)^2-'THAM_SO_MOI'!$C$25*(E3807/'THAM_SO_MOI'!$C$22)^3)</f>
        <v>88.87972387249953</v>
      </c>
      <c r="K3807" s="75">
        <f>'THAM_SO_MOI'!$C$31*J3807/E3807</f>
        <v>428.4621413267566</v>
      </c>
      <c r="L3807" s="75">
        <f>K3807*'THAM_SO_MOI'!$C$53*'THAM_SO_MOI'!$C$17/'THAM_SO_MOI'!$C$26</f>
        <v>3757.6146559945423</v>
      </c>
      <c r="M3807" s="75">
        <f>'THAM_SO_MOI'!$C$15*'THAM_SO_MOI'!$C$16*F3807^2</f>
        <v>1182.7923464709509</v>
      </c>
      <c r="N3807" s="75">
        <f>'THAM_SO_MOI'!$C$12*I3807</f>
        <v>1130.112</v>
      </c>
      <c r="O3807" s="75">
        <f>M3807+N3807</f>
        <v>2312.904346470951</v>
      </c>
      <c r="P3807" s="75">
        <f>(MIN(L3807,'THAM_SO_MOI'!$C$41)-O3807)/('THAM_SO_MOI'!$C$11*H3807)</f>
        <v>0.17101211050231907</v>
      </c>
      <c r="Q3807" s="75">
        <f>IF(P3807&gt;0,1/P3807,NA())</f>
        <v>5.847539084002119</v>
      </c>
      <c r="R3807" s="75">
        <f>F3807-F3806</f>
        <v>0.0073885545698715305</v>
      </c>
      <c r="S3807" s="75">
        <f>0.5*(Q3806+Q3807)*R3807</f>
        <v>0.04319359371588897</v>
      </c>
      <c r="T3807" s="75">
        <f>0.5*(F3806*Q3806+F3807*Q3807)*R3807</f>
        <v>0.8684221355478241</v>
      </c>
      <c r="U3807" s="76">
        <f>U3806+S3807</f>
        <v>48.48546862560158</v>
      </c>
      <c r="V3807" s="76">
        <f>V3806+T3807</f>
        <v>649.4015917654343</v>
      </c>
    </row>
    <row r="3808" spans="1:22" ht="19" customHeight="1">
      <c r="A3808" s="68" t="s">
        <v>378</v>
      </c>
      <c r="B3808" s="74">
        <v>5</v>
      </c>
      <c r="C3808" s="68" t="s">
        <v>363</v>
      </c>
      <c r="D3808" s="68" t="s">
        <v>364</v>
      </c>
      <c r="E3808" s="75">
        <f>60*F3808*'THAM_SO_MOI'!$C$53/(2*PI()*'THAM_SO_MOI'!$C$26)</f>
        <v>1981.9974993866456</v>
      </c>
      <c r="F3808" s="75">
        <f>'HANH_TRINH'!$F$3289+('THAM_SO_MOI'!$C$14-'HANH_TRINH'!$F$3289)*518/'THAM_SO_MOI'!$C$42</f>
        <v>20.11642761129609</v>
      </c>
      <c r="G3808" s="75">
        <f>3.6*F3808</f>
        <v>72.41913940066593</v>
      </c>
      <c r="H3808" s="75">
        <f>'THAM_SO_MOI'!$D$53</f>
        <v>1.1</v>
      </c>
      <c r="I3808" s="75">
        <f>IF(F3808&gt;'THAM_SO_MOI'!$C$14,'THAM_SO_MOI'!$C$13*(1+F3808^2/1500),'THAM_SO_MOI'!$C$13)</f>
        <v>0.015</v>
      </c>
      <c r="J3808" s="75">
        <f>'THAM_SO_MOI'!$C$40*('THAM_SO_MOI'!$C$23*(E3808/'THAM_SO_MOI'!$C$22)+'THAM_SO_MOI'!$C$24*(E3808/'THAM_SO_MOI'!$C$22)^2-'THAM_SO_MOI'!$C$25*(E3808/'THAM_SO_MOI'!$C$22)^3)</f>
        <v>88.91509221455497</v>
      </c>
      <c r="K3808" s="75">
        <f>'THAM_SO_MOI'!$C$31*J3808/E3808</f>
        <v>428.4752090469279</v>
      </c>
      <c r="L3808" s="75">
        <f>K3808*'THAM_SO_MOI'!$C$53*'THAM_SO_MOI'!$C$17/'THAM_SO_MOI'!$C$26</f>
        <v>3757.7292599515777</v>
      </c>
      <c r="M3808" s="75">
        <f>'THAM_SO_MOI'!$C$15*'THAM_SO_MOI'!$C$16*F3808^2</f>
        <v>1183.6616800335084</v>
      </c>
      <c r="N3808" s="75">
        <f>'THAM_SO_MOI'!$C$12*I3808</f>
        <v>1130.112</v>
      </c>
      <c r="O3808" s="75">
        <f>M3808+N3808</f>
        <v>2313.7736800335088</v>
      </c>
      <c r="P3808" s="75">
        <f>(MIN(L3808,'THAM_SO_MOI'!$C$41)-O3808)/('THAM_SO_MOI'!$C$11*H3808)</f>
        <v>0.17092277224408958</v>
      </c>
      <c r="Q3808" s="75">
        <f>IF(P3808&gt;0,1/P3808,NA())</f>
        <v>5.850595487486773</v>
      </c>
      <c r="R3808" s="75">
        <f>F3808-F3807</f>
        <v>0.0073885545698715305</v>
      </c>
      <c r="S3808" s="75">
        <f>0.5*(Q3807+Q3808)*R3808</f>
        <v>0.043216152823573196</v>
      </c>
      <c r="T3808" s="75">
        <f>0.5*(F3807*Q3807+F3808*Q3808)*R3808</f>
        <v>0.8691949991752318</v>
      </c>
      <c r="U3808" s="76">
        <f>U3807+S3808</f>
        <v>48.52868477842515</v>
      </c>
      <c r="V3808" s="76">
        <f>V3807+T3808</f>
        <v>650.2707867646095</v>
      </c>
    </row>
    <row r="3809" spans="1:22" ht="19" customHeight="1">
      <c r="A3809" s="68" t="s">
        <v>378</v>
      </c>
      <c r="B3809" s="74">
        <v>5</v>
      </c>
      <c r="C3809" s="68" t="s">
        <v>363</v>
      </c>
      <c r="D3809" s="68" t="s">
        <v>364</v>
      </c>
      <c r="E3809" s="75">
        <f>60*F3809*'THAM_SO_MOI'!$C$53/(2*PI()*'THAM_SO_MOI'!$C$26)</f>
        <v>1982.7254664474249</v>
      </c>
      <c r="F3809" s="75">
        <f>'HANH_TRINH'!$F$3289+('THAM_SO_MOI'!$C$14-'HANH_TRINH'!$F$3289)*519/'THAM_SO_MOI'!$C$42</f>
        <v>20.12381616586596</v>
      </c>
      <c r="G3809" s="75">
        <f>3.6*F3809</f>
        <v>72.44573819711746</v>
      </c>
      <c r="H3809" s="75">
        <f>'THAM_SO_MOI'!$D$53</f>
        <v>1.1</v>
      </c>
      <c r="I3809" s="75">
        <f>IF(F3809&gt;'THAM_SO_MOI'!$C$14,'THAM_SO_MOI'!$C$13*(1+F3809^2/1500),'THAM_SO_MOI'!$C$13)</f>
        <v>0.015</v>
      </c>
      <c r="J3809" s="75">
        <f>'THAM_SO_MOI'!$C$40*('THAM_SO_MOI'!$C$23*(E3809/'THAM_SO_MOI'!$C$22)+'THAM_SO_MOI'!$C$24*(E3809/'THAM_SO_MOI'!$C$22)^2-'THAM_SO_MOI'!$C$25*(E3809/'THAM_SO_MOI'!$C$22)^3)</f>
        <v>88.95045187597975</v>
      </c>
      <c r="K3809" s="75">
        <f>'THAM_SO_MOI'!$C$31*J3809/E3809</f>
        <v>428.4882253553938</v>
      </c>
      <c r="L3809" s="75">
        <f>K3809*'THAM_SO_MOI'!$C$53*'THAM_SO_MOI'!$C$17/'THAM_SO_MOI'!$C$26</f>
        <v>3757.843413027757</v>
      </c>
      <c r="M3809" s="75">
        <f>'THAM_SO_MOI'!$C$15*'THAM_SO_MOI'!$C$16*F3809^2</f>
        <v>1184.5313329518872</v>
      </c>
      <c r="N3809" s="75">
        <f>'THAM_SO_MOI'!$C$12*I3809</f>
        <v>1130.112</v>
      </c>
      <c r="O3809" s="75">
        <f>M3809+N3809</f>
        <v>2314.6433329518873</v>
      </c>
      <c r="P3809" s="75">
        <f>(MIN(L3809,'THAM_SO_MOI'!$C$41)-O3809)/('THAM_SO_MOI'!$C$11*H3809)</f>
        <v>0.1708333428120111</v>
      </c>
      <c r="Q3809" s="75">
        <f>IF(P3809&gt;0,1/P3809,NA())</f>
        <v>5.853658211795474</v>
      </c>
      <c r="R3809" s="75">
        <f>F3809-F3808</f>
        <v>0.0073885545698715305</v>
      </c>
      <c r="S3809" s="75">
        <f>0.5*(Q3808+Q3809)*R3809</f>
        <v>0.04323875857838381</v>
      </c>
      <c r="T3809" s="75">
        <f>0.5*(F3808*Q3808+F3809*Q3809)*R3809</f>
        <v>0.8699691347071061</v>
      </c>
      <c r="U3809" s="76">
        <f>U3808+S3809</f>
        <v>48.571923537003535</v>
      </c>
      <c r="V3809" s="76">
        <f>V3808+T3809</f>
        <v>651.1407558993167</v>
      </c>
    </row>
    <row r="3810" spans="1:22" ht="19" customHeight="1">
      <c r="A3810" s="68" t="s">
        <v>378</v>
      </c>
      <c r="B3810" s="74">
        <v>5</v>
      </c>
      <c r="C3810" s="68" t="s">
        <v>363</v>
      </c>
      <c r="D3810" s="68" t="s">
        <v>364</v>
      </c>
      <c r="E3810" s="75">
        <f>60*F3810*'THAM_SO_MOI'!$C$53/(2*PI()*'THAM_SO_MOI'!$C$26)</f>
        <v>1983.4534335082035</v>
      </c>
      <c r="F3810" s="75">
        <f>'HANH_TRINH'!$F$3289+('THAM_SO_MOI'!$C$14-'HANH_TRINH'!$F$3289)*520/'THAM_SO_MOI'!$C$42</f>
        <v>20.131204720435832</v>
      </c>
      <c r="G3810" s="75">
        <f>3.6*F3810</f>
        <v>72.472336993569</v>
      </c>
      <c r="H3810" s="75">
        <f>'THAM_SO_MOI'!$D$53</f>
        <v>1.1</v>
      </c>
      <c r="I3810" s="75">
        <f>IF(F3810&gt;'THAM_SO_MOI'!$C$14,'THAM_SO_MOI'!$C$13*(1+F3810^2/1500),'THAM_SO_MOI'!$C$13)</f>
        <v>0.015</v>
      </c>
      <c r="J3810" s="75">
        <f>'THAM_SO_MOI'!$C$40*('THAM_SO_MOI'!$C$23*(E3810/'THAM_SO_MOI'!$C$22)+'THAM_SO_MOI'!$C$24*(E3810/'THAM_SO_MOI'!$C$22)^2-'THAM_SO_MOI'!$C$25*(E3810/'THAM_SO_MOI'!$C$22)^3)</f>
        <v>88.98580284501824</v>
      </c>
      <c r="K3810" s="75">
        <f>'THAM_SO_MOI'!$C$31*J3810/E3810</f>
        <v>428.5011902521542</v>
      </c>
      <c r="L3810" s="75">
        <f>K3810*'THAM_SO_MOI'!$C$53*'THAM_SO_MOI'!$C$17/'THAM_SO_MOI'!$C$26</f>
        <v>3757.9571152230765</v>
      </c>
      <c r="M3810" s="75">
        <f>'THAM_SO_MOI'!$C$15*'THAM_SO_MOI'!$C$16*F3810^2</f>
        <v>1185.4013052260866</v>
      </c>
      <c r="N3810" s="75">
        <f>'THAM_SO_MOI'!$C$12*I3810</f>
        <v>1130.112</v>
      </c>
      <c r="O3810" s="75">
        <f>M3810+N3810</f>
        <v>2315.5133052260867</v>
      </c>
      <c r="P3810" s="75">
        <f>(MIN(L3810,'THAM_SO_MOI'!$C$41)-O3810)/('THAM_SO_MOI'!$C$11*H3810)</f>
        <v>0.17074382220608308</v>
      </c>
      <c r="Q3810" s="75">
        <f>IF(P3810&gt;0,1/P3810,NA())</f>
        <v>5.856727271766399</v>
      </c>
      <c r="R3810" s="75">
        <f>F3810-F3809</f>
        <v>0.0073885545698715305</v>
      </c>
      <c r="S3810" s="75">
        <f>0.5*(Q3809+Q3810)*R3810</f>
        <v>0.04326141108976415</v>
      </c>
      <c r="T3810" s="75">
        <f>0.5*(F3809*Q3809+F3810*Q3810)*R3810</f>
        <v>0.8707445453802347</v>
      </c>
      <c r="U3810" s="76">
        <f>U3809+S3810</f>
        <v>48.6151849480933</v>
      </c>
      <c r="V3810" s="76">
        <f>V3809+T3810</f>
        <v>652.0115004446969</v>
      </c>
    </row>
    <row r="3811" spans="1:22" ht="19" customHeight="1">
      <c r="A3811" s="68" t="s">
        <v>378</v>
      </c>
      <c r="B3811" s="74">
        <v>5</v>
      </c>
      <c r="C3811" s="68" t="s">
        <v>363</v>
      </c>
      <c r="D3811" s="68" t="s">
        <v>364</v>
      </c>
      <c r="E3811" s="75">
        <f>60*F3811*'THAM_SO_MOI'!$C$53/(2*PI()*'THAM_SO_MOI'!$C$26)</f>
        <v>1984.1814005689832</v>
      </c>
      <c r="F3811" s="75">
        <f>'HANH_TRINH'!$F$3289+('THAM_SO_MOI'!$C$14-'HANH_TRINH'!$F$3289)*521/'THAM_SO_MOI'!$C$42</f>
        <v>20.138593275005707</v>
      </c>
      <c r="G3811" s="75">
        <f>3.6*F3811</f>
        <v>72.49893579002055</v>
      </c>
      <c r="H3811" s="75">
        <f>'THAM_SO_MOI'!$D$53</f>
        <v>1.1</v>
      </c>
      <c r="I3811" s="75">
        <f>IF(F3811&gt;'THAM_SO_MOI'!$C$14,'THAM_SO_MOI'!$C$13*(1+F3811^2/1500),'THAM_SO_MOI'!$C$13)</f>
        <v>0.015</v>
      </c>
      <c r="J3811" s="75">
        <f>'THAM_SO_MOI'!$C$40*('THAM_SO_MOI'!$C$23*(E3811/'THAM_SO_MOI'!$C$22)+'THAM_SO_MOI'!$C$24*(E3811/'THAM_SO_MOI'!$C$22)^2-'THAM_SO_MOI'!$C$25*(E3811/'THAM_SO_MOI'!$C$22)^3)</f>
        <v>89.02114510991505</v>
      </c>
      <c r="K3811" s="75">
        <f>'THAM_SO_MOI'!$C$31*J3811/E3811</f>
        <v>428.5141037372092</v>
      </c>
      <c r="L3811" s="75">
        <f>K3811*'THAM_SO_MOI'!$C$53*'THAM_SO_MOI'!$C$17/'THAM_SO_MOI'!$C$26</f>
        <v>3758.070366537539</v>
      </c>
      <c r="M3811" s="75">
        <f>'THAM_SO_MOI'!$C$15*'THAM_SO_MOI'!$C$16*F3811^2</f>
        <v>1186.2715968561074</v>
      </c>
      <c r="N3811" s="75">
        <f>'THAM_SO_MOI'!$C$12*I3811</f>
        <v>1130.112</v>
      </c>
      <c r="O3811" s="75">
        <f>M3811+N3811</f>
        <v>2316.3835968561075</v>
      </c>
      <c r="P3811" s="75">
        <f>(MIN(L3811,'THAM_SO_MOI'!$C$41)-O3811)/('THAM_SO_MOI'!$C$11*H3811)</f>
        <v>0.17065421042630582</v>
      </c>
      <c r="Q3811" s="75">
        <f>IF(P3811&gt;0,1/P3811,NA())</f>
        <v>5.859802682289127</v>
      </c>
      <c r="R3811" s="75">
        <f>F3811-F3810</f>
        <v>0.007388554569875083</v>
      </c>
      <c r="S3811" s="75">
        <f>0.5*(Q3810+Q3811)*R3811</f>
        <v>0.043284110467557625</v>
      </c>
      <c r="T3811" s="75">
        <f>0.5*(F3810*Q3810+F3811*Q3811)*R3811</f>
        <v>0.8715212344426941</v>
      </c>
      <c r="U3811" s="76">
        <f>U3810+S3811</f>
        <v>48.65846905856086</v>
      </c>
      <c r="V3811" s="76">
        <f>V3810+T3811</f>
        <v>652.8830216791396</v>
      </c>
    </row>
    <row r="3812" spans="1:22" ht="19" customHeight="1">
      <c r="A3812" s="68" t="s">
        <v>378</v>
      </c>
      <c r="B3812" s="74">
        <v>5</v>
      </c>
      <c r="C3812" s="68" t="s">
        <v>363</v>
      </c>
      <c r="D3812" s="68" t="s">
        <v>364</v>
      </c>
      <c r="E3812" s="75">
        <f>60*F3812*'THAM_SO_MOI'!$C$53/(2*PI()*'THAM_SO_MOI'!$C$26)</f>
        <v>1984.909367629762</v>
      </c>
      <c r="F3812" s="75">
        <f>'HANH_TRINH'!$F$3289+('THAM_SO_MOI'!$C$14-'HANH_TRINH'!$F$3289)*522/'THAM_SO_MOI'!$C$42</f>
        <v>20.14598182957558</v>
      </c>
      <c r="G3812" s="75">
        <f>3.6*F3812</f>
        <v>72.52553458647209</v>
      </c>
      <c r="H3812" s="75">
        <f>'THAM_SO_MOI'!$D$53</f>
        <v>1.1</v>
      </c>
      <c r="I3812" s="75">
        <f>IF(F3812&gt;'THAM_SO_MOI'!$C$14,'THAM_SO_MOI'!$C$13*(1+F3812^2/1500),'THAM_SO_MOI'!$C$13)</f>
        <v>0.015</v>
      </c>
      <c r="J3812" s="75">
        <f>'THAM_SO_MOI'!$C$40*('THAM_SO_MOI'!$C$23*(E3812/'THAM_SO_MOI'!$C$22)+'THAM_SO_MOI'!$C$24*(E3812/'THAM_SO_MOI'!$C$22)^2-'THAM_SO_MOI'!$C$25*(E3812/'THAM_SO_MOI'!$C$22)^3)</f>
        <v>89.05647865891457</v>
      </c>
      <c r="K3812" s="75">
        <f>'THAM_SO_MOI'!$C$31*J3812/E3812</f>
        <v>428.5269658105588</v>
      </c>
      <c r="L3812" s="75">
        <f>K3812*'THAM_SO_MOI'!$C$53*'THAM_SO_MOI'!$C$17/'THAM_SO_MOI'!$C$26</f>
        <v>3758.183166971144</v>
      </c>
      <c r="M3812" s="75">
        <f>'THAM_SO_MOI'!$C$15*'THAM_SO_MOI'!$C$16*F3812^2</f>
        <v>1187.1422078419491</v>
      </c>
      <c r="N3812" s="75">
        <f>'THAM_SO_MOI'!$C$12*I3812</f>
        <v>1130.112</v>
      </c>
      <c r="O3812" s="75">
        <f>M3812+N3812</f>
        <v>2317.254207841949</v>
      </c>
      <c r="P3812" s="75">
        <f>(MIN(L3812,'THAM_SO_MOI'!$C$41)-O3812)/('THAM_SO_MOI'!$C$11*H3812)</f>
        <v>0.17056450747267932</v>
      </c>
      <c r="Q3812" s="75">
        <f>IF(P3812&gt;0,1/P3812,NA())</f>
        <v>5.862884458304891</v>
      </c>
      <c r="R3812" s="75">
        <f>F3812-F3811</f>
        <v>0.0073885545698715305</v>
      </c>
      <c r="S3812" s="75">
        <f>0.5*(Q3811+Q3812)*R3812</f>
        <v>0.04330685682190508</v>
      </c>
      <c r="T3812" s="75">
        <f>0.5*(F3811*Q3811+F3812*Q3812)*R3812</f>
        <v>0.8722992051517989</v>
      </c>
      <c r="U3812" s="76">
        <f>U3811+S3812</f>
        <v>48.70177591538277</v>
      </c>
      <c r="V3812" s="76">
        <f>V3811+T3812</f>
        <v>653.7553208842913</v>
      </c>
    </row>
    <row r="3813" spans="1:22" ht="19" customHeight="1">
      <c r="A3813" s="68" t="s">
        <v>378</v>
      </c>
      <c r="B3813" s="74">
        <v>5</v>
      </c>
      <c r="C3813" s="68" t="s">
        <v>363</v>
      </c>
      <c r="D3813" s="68" t="s">
        <v>364</v>
      </c>
      <c r="E3813" s="75">
        <f>60*F3813*'THAM_SO_MOI'!$C$53/(2*PI()*'THAM_SO_MOI'!$C$26)</f>
        <v>1985.637334690541</v>
      </c>
      <c r="F3813" s="75">
        <f>'HANH_TRINH'!$F$3289+('THAM_SO_MOI'!$C$14-'HANH_TRINH'!$F$3289)*523/'THAM_SO_MOI'!$C$42</f>
        <v>20.15337038414545</v>
      </c>
      <c r="G3813" s="75">
        <f>3.6*F3813</f>
        <v>72.55213338292363</v>
      </c>
      <c r="H3813" s="75">
        <f>'THAM_SO_MOI'!$D$53</f>
        <v>1.1</v>
      </c>
      <c r="I3813" s="75">
        <f>IF(F3813&gt;'THAM_SO_MOI'!$C$14,'THAM_SO_MOI'!$C$13*(1+F3813^2/1500),'THAM_SO_MOI'!$C$13)</f>
        <v>0.015</v>
      </c>
      <c r="J3813" s="75">
        <f>'THAM_SO_MOI'!$C$40*('THAM_SO_MOI'!$C$23*(E3813/'THAM_SO_MOI'!$C$22)+'THAM_SO_MOI'!$C$24*(E3813/'THAM_SO_MOI'!$C$22)^2-'THAM_SO_MOI'!$C$25*(E3813/'THAM_SO_MOI'!$C$22)^3)</f>
        <v>89.0918034802613</v>
      </c>
      <c r="K3813" s="75">
        <f>'THAM_SO_MOI'!$C$31*J3813/E3813</f>
        <v>428.53977647220296</v>
      </c>
      <c r="L3813" s="75">
        <f>K3813*'THAM_SO_MOI'!$C$53*'THAM_SO_MOI'!$C$17/'THAM_SO_MOI'!$C$26</f>
        <v>3758.2955165238905</v>
      </c>
      <c r="M3813" s="75">
        <f>'THAM_SO_MOI'!$C$15*'THAM_SO_MOI'!$C$16*F3813^2</f>
        <v>1188.0131381836115</v>
      </c>
      <c r="N3813" s="75">
        <f>'THAM_SO_MOI'!$C$12*I3813</f>
        <v>1130.112</v>
      </c>
      <c r="O3813" s="75">
        <f>M3813+N3813</f>
        <v>2318.125138183612</v>
      </c>
      <c r="P3813" s="75">
        <f>(MIN(L3813,'THAM_SO_MOI'!$C$41)-O3813)/('THAM_SO_MOI'!$C$11*H3813)</f>
        <v>0.17047471334520348</v>
      </c>
      <c r="Q3813" s="75">
        <f>IF(P3813&gt;0,1/P3813,NA())</f>
        <v>5.865972614806783</v>
      </c>
      <c r="R3813" s="75">
        <f>F3813-F3812</f>
        <v>0.0073885545698715305</v>
      </c>
      <c r="S3813" s="75">
        <f>0.5*(Q3812+Q3813)*R3813</f>
        <v>0.04332965026345464</v>
      </c>
      <c r="T3813" s="75">
        <f>0.5*(F3812*Q3812+F3813*Q3813)*R3813</f>
        <v>0.8730784607783404</v>
      </c>
      <c r="U3813" s="76">
        <f>U3812+S3813</f>
        <v>48.74510556564622</v>
      </c>
      <c r="V3813" s="76">
        <f>V3812+T3813</f>
        <v>654.6283993450696</v>
      </c>
    </row>
    <row r="3814" spans="1:22" ht="19" customHeight="1">
      <c r="A3814" s="68" t="s">
        <v>378</v>
      </c>
      <c r="B3814" s="74">
        <v>5</v>
      </c>
      <c r="C3814" s="68" t="s">
        <v>363</v>
      </c>
      <c r="D3814" s="68" t="s">
        <v>364</v>
      </c>
      <c r="E3814" s="75">
        <f>60*F3814*'THAM_SO_MOI'!$C$53/(2*PI()*'THAM_SO_MOI'!$C$26)</f>
        <v>1986.3653017513197</v>
      </c>
      <c r="F3814" s="75">
        <f>'HANH_TRINH'!$F$3289+('THAM_SO_MOI'!$C$14-'HANH_TRINH'!$F$3289)*524/'THAM_SO_MOI'!$C$42</f>
        <v>20.160758938715322</v>
      </c>
      <c r="G3814" s="75">
        <f>3.6*F3814</f>
        <v>72.57873217937517</v>
      </c>
      <c r="H3814" s="75">
        <f>'THAM_SO_MOI'!$D$53</f>
        <v>1.1</v>
      </c>
      <c r="I3814" s="75">
        <f>IF(F3814&gt;'THAM_SO_MOI'!$C$14,'THAM_SO_MOI'!$C$13*(1+F3814^2/1500),'THAM_SO_MOI'!$C$13)</f>
        <v>0.015</v>
      </c>
      <c r="J3814" s="75">
        <f>'THAM_SO_MOI'!$C$40*('THAM_SO_MOI'!$C$23*(E3814/'THAM_SO_MOI'!$C$22)+'THAM_SO_MOI'!$C$24*(E3814/'THAM_SO_MOI'!$C$22)^2-'THAM_SO_MOI'!$C$25*(E3814/'THAM_SO_MOI'!$C$22)^3)</f>
        <v>89.12711956219974</v>
      </c>
      <c r="K3814" s="75">
        <f>'THAM_SO_MOI'!$C$31*J3814/E3814</f>
        <v>428.55253572214167</v>
      </c>
      <c r="L3814" s="75">
        <f>K3814*'THAM_SO_MOI'!$C$53*'THAM_SO_MOI'!$C$17/'THAM_SO_MOI'!$C$26</f>
        <v>3758.40741519578</v>
      </c>
      <c r="M3814" s="75">
        <f>'THAM_SO_MOI'!$C$15*'THAM_SO_MOI'!$C$16*F3814^2</f>
        <v>1188.884387881095</v>
      </c>
      <c r="N3814" s="75">
        <f>'THAM_SO_MOI'!$C$12*I3814</f>
        <v>1130.112</v>
      </c>
      <c r="O3814" s="75">
        <f>M3814+N3814</f>
        <v>2318.996387881095</v>
      </c>
      <c r="P3814" s="75">
        <f>(MIN(L3814,'THAM_SO_MOI'!$C$41)-O3814)/('THAM_SO_MOI'!$C$11*H3814)</f>
        <v>0.17038482804387836</v>
      </c>
      <c r="Q3814" s="75">
        <f>IF(P3814&gt;0,1/P3814,NA())</f>
        <v>5.869067166839966</v>
      </c>
      <c r="R3814" s="75">
        <f>F3814-F3813</f>
        <v>0.0073885545698715305</v>
      </c>
      <c r="S3814" s="75">
        <f>0.5*(Q3813+Q3814)*R3814</f>
        <v>0.04335249090315514</v>
      </c>
      <c r="T3814" s="75">
        <f>0.5*(F3813*Q3813+F3814*Q3814)*R3814</f>
        <v>0.8738590046024413</v>
      </c>
      <c r="U3814" s="76">
        <f>U3813+S3814</f>
        <v>48.78845805654937</v>
      </c>
      <c r="V3814" s="76">
        <f>V3813+T3814</f>
        <v>655.502258349672</v>
      </c>
    </row>
    <row r="3815" spans="1:22" ht="19" customHeight="1">
      <c r="A3815" s="68" t="s">
        <v>378</v>
      </c>
      <c r="B3815" s="74">
        <v>5</v>
      </c>
      <c r="C3815" s="68" t="s">
        <v>363</v>
      </c>
      <c r="D3815" s="68" t="s">
        <v>364</v>
      </c>
      <c r="E3815" s="75">
        <f>60*F3815*'THAM_SO_MOI'!$C$53/(2*PI()*'THAM_SO_MOI'!$C$26)</f>
        <v>1987.0932688120988</v>
      </c>
      <c r="F3815" s="75">
        <f>'HANH_TRINH'!$F$3289+('THAM_SO_MOI'!$C$14-'HANH_TRINH'!$F$3289)*525/'THAM_SO_MOI'!$C$42</f>
        <v>20.168147493285193</v>
      </c>
      <c r="G3815" s="75">
        <f>3.6*F3815</f>
        <v>72.6053309758267</v>
      </c>
      <c r="H3815" s="75">
        <f>'THAM_SO_MOI'!$D$53</f>
        <v>1.1</v>
      </c>
      <c r="I3815" s="75">
        <f>IF(F3815&gt;'THAM_SO_MOI'!$C$14,'THAM_SO_MOI'!$C$13*(1+F3815^2/1500),'THAM_SO_MOI'!$C$13)</f>
        <v>0.015</v>
      </c>
      <c r="J3815" s="75">
        <f>'THAM_SO_MOI'!$C$40*('THAM_SO_MOI'!$C$23*(E3815/'THAM_SO_MOI'!$C$22)+'THAM_SO_MOI'!$C$24*(E3815/'THAM_SO_MOI'!$C$22)^2-'THAM_SO_MOI'!$C$25*(E3815/'THAM_SO_MOI'!$C$22)^3)</f>
        <v>89.16242689297437</v>
      </c>
      <c r="K3815" s="75">
        <f>'THAM_SO_MOI'!$C$31*J3815/E3815</f>
        <v>428.565243560375</v>
      </c>
      <c r="L3815" s="75">
        <f>K3815*'THAM_SO_MOI'!$C$53*'THAM_SO_MOI'!$C$17/'THAM_SO_MOI'!$C$26</f>
        <v>3758.518862986811</v>
      </c>
      <c r="M3815" s="75">
        <f>'THAM_SO_MOI'!$C$15*'THAM_SO_MOI'!$C$16*F3815^2</f>
        <v>1189.7559569343996</v>
      </c>
      <c r="N3815" s="75">
        <f>'THAM_SO_MOI'!$C$12*I3815</f>
        <v>1130.112</v>
      </c>
      <c r="O3815" s="75">
        <f>M3815+N3815</f>
        <v>2319.8679569343994</v>
      </c>
      <c r="P3815" s="75">
        <f>(MIN(L3815,'THAM_SO_MOI'!$C$41)-O3815)/('THAM_SO_MOI'!$C$11*H3815)</f>
        <v>0.170294851568704</v>
      </c>
      <c r="Q3815" s="75">
        <f>IF(P3815&gt;0,1/P3815,NA())</f>
        <v>5.872168129501898</v>
      </c>
      <c r="R3815" s="75">
        <f>F3815-F3814</f>
        <v>0.0073885545698715305</v>
      </c>
      <c r="S3815" s="75">
        <f>0.5*(Q3814+Q3815)*R3815</f>
        <v>0.0433753788523618</v>
      </c>
      <c r="T3815" s="75">
        <f>0.5*(F3814*Q3814+F3815*Q3815)*R3815</f>
        <v>0.874640839915697</v>
      </c>
      <c r="U3815" s="76">
        <f>U3814+S3815</f>
        <v>48.831833435401734</v>
      </c>
      <c r="V3815" s="76">
        <f>V3814+T3815</f>
        <v>656.3768991895878</v>
      </c>
    </row>
    <row r="3816" spans="1:22" ht="19" customHeight="1">
      <c r="A3816" s="68" t="s">
        <v>378</v>
      </c>
      <c r="B3816" s="74">
        <v>5</v>
      </c>
      <c r="C3816" s="68" t="s">
        <v>363</v>
      </c>
      <c r="D3816" s="68" t="s">
        <v>364</v>
      </c>
      <c r="E3816" s="75">
        <f>60*F3816*'THAM_SO_MOI'!$C$53/(2*PI()*'THAM_SO_MOI'!$C$26)</f>
        <v>1987.8212358728777</v>
      </c>
      <c r="F3816" s="75">
        <f>'HANH_TRINH'!$F$3289+('THAM_SO_MOI'!$C$14-'HANH_TRINH'!$F$3289)*526/'THAM_SO_MOI'!$C$42</f>
        <v>20.175536047855065</v>
      </c>
      <c r="G3816" s="75">
        <f>3.6*F3816</f>
        <v>72.63192977227824</v>
      </c>
      <c r="H3816" s="75">
        <f>'THAM_SO_MOI'!$D$53</f>
        <v>1.1</v>
      </c>
      <c r="I3816" s="75">
        <f>IF(F3816&gt;'THAM_SO_MOI'!$C$14,'THAM_SO_MOI'!$C$13*(1+F3816^2/1500),'THAM_SO_MOI'!$C$13)</f>
        <v>0.015</v>
      </c>
      <c r="J3816" s="75">
        <f>'THAM_SO_MOI'!$C$40*('THAM_SO_MOI'!$C$23*(E3816/'THAM_SO_MOI'!$C$22)+'THAM_SO_MOI'!$C$24*(E3816/'THAM_SO_MOI'!$C$22)^2-'THAM_SO_MOI'!$C$25*(E3816/'THAM_SO_MOI'!$C$22)^3)</f>
        <v>89.19772546082966</v>
      </c>
      <c r="K3816" s="75">
        <f>'THAM_SO_MOI'!$C$31*J3816/E3816</f>
        <v>428.57789998690276</v>
      </c>
      <c r="L3816" s="75">
        <f>K3816*'THAM_SO_MOI'!$C$53*'THAM_SO_MOI'!$C$17/'THAM_SO_MOI'!$C$26</f>
        <v>3758.6298598969843</v>
      </c>
      <c r="M3816" s="75">
        <f>'THAM_SO_MOI'!$C$15*'THAM_SO_MOI'!$C$16*F3816^2</f>
        <v>1190.6278453435252</v>
      </c>
      <c r="N3816" s="75">
        <f>'THAM_SO_MOI'!$C$12*I3816</f>
        <v>1130.112</v>
      </c>
      <c r="O3816" s="75">
        <f>M3816+N3816</f>
        <v>2320.7398453435253</v>
      </c>
      <c r="P3816" s="75">
        <f>(MIN(L3816,'THAM_SO_MOI'!$C$41)-O3816)/('THAM_SO_MOI'!$C$11*H3816)</f>
        <v>0.17020478391968027</v>
      </c>
      <c r="Q3816" s="75">
        <f>IF(P3816&gt;0,1/P3816,NA())</f>
        <v>5.875275517942554</v>
      </c>
      <c r="R3816" s="75">
        <f>F3816-F3815</f>
        <v>0.0073885545698715305</v>
      </c>
      <c r="S3816" s="75">
        <f>0.5*(Q3815+Q3816)*R3816</f>
        <v>0.043398314222816994</v>
      </c>
      <c r="T3816" s="75">
        <f>0.5*(F3815*Q3815+F3816*Q3816)*R3816</f>
        <v>0.8754239700208051</v>
      </c>
      <c r="U3816" s="76">
        <f>U3815+S3816</f>
        <v>48.875231749624554</v>
      </c>
      <c r="V3816" s="76">
        <f>V3815+T3816</f>
        <v>657.2523231596086</v>
      </c>
    </row>
    <row r="3817" spans="1:22" ht="19" customHeight="1">
      <c r="A3817" s="68" t="s">
        <v>378</v>
      </c>
      <c r="B3817" s="74">
        <v>5</v>
      </c>
      <c r="C3817" s="68" t="s">
        <v>363</v>
      </c>
      <c r="D3817" s="68" t="s">
        <v>364</v>
      </c>
      <c r="E3817" s="75">
        <f>60*F3817*'THAM_SO_MOI'!$C$53/(2*PI()*'THAM_SO_MOI'!$C$26)</f>
        <v>1988.549202933657</v>
      </c>
      <c r="F3817" s="75">
        <f>'HANH_TRINH'!$F$3289+('THAM_SO_MOI'!$C$14-'HANH_TRINH'!$F$3289)*527/'THAM_SO_MOI'!$C$42</f>
        <v>20.18292460242494</v>
      </c>
      <c r="G3817" s="75">
        <f>3.6*F3817</f>
        <v>72.65852856872979</v>
      </c>
      <c r="H3817" s="75">
        <f>'THAM_SO_MOI'!$D$53</f>
        <v>1.1</v>
      </c>
      <c r="I3817" s="75">
        <f>IF(F3817&gt;'THAM_SO_MOI'!$C$14,'THAM_SO_MOI'!$C$13*(1+F3817^2/1500),'THAM_SO_MOI'!$C$13)</f>
        <v>0.015</v>
      </c>
      <c r="J3817" s="75">
        <f>'THAM_SO_MOI'!$C$40*('THAM_SO_MOI'!$C$23*(E3817/'THAM_SO_MOI'!$C$22)+'THAM_SO_MOI'!$C$24*(E3817/'THAM_SO_MOI'!$C$22)^2-'THAM_SO_MOI'!$C$25*(E3817/'THAM_SO_MOI'!$C$22)^3)</f>
        <v>89.23301525401017</v>
      </c>
      <c r="K3817" s="75">
        <f>'THAM_SO_MOI'!$C$31*J3817/E3817</f>
        <v>428.5905050017254</v>
      </c>
      <c r="L3817" s="75">
        <f>K3817*'THAM_SO_MOI'!$C$53*'THAM_SO_MOI'!$C$17/'THAM_SO_MOI'!$C$26</f>
        <v>3758.7404059263017</v>
      </c>
      <c r="M3817" s="75">
        <f>'THAM_SO_MOI'!$C$15*'THAM_SO_MOI'!$C$16*F3817^2</f>
        <v>1191.5000531084722</v>
      </c>
      <c r="N3817" s="75">
        <f>'THAM_SO_MOI'!$C$12*I3817</f>
        <v>1130.112</v>
      </c>
      <c r="O3817" s="75">
        <f>M3817+N3817</f>
        <v>2321.6120531084725</v>
      </c>
      <c r="P3817" s="75">
        <f>(MIN(L3817,'THAM_SO_MOI'!$C$41)-O3817)/('THAM_SO_MOI'!$C$11*H3817)</f>
        <v>0.17011462509680744</v>
      </c>
      <c r="Q3817" s="75">
        <f>IF(P3817&gt;0,1/P3817,NA())</f>
        <v>5.878389347364626</v>
      </c>
      <c r="R3817" s="75">
        <f>F3817-F3816</f>
        <v>0.007388554569875083</v>
      </c>
      <c r="S3817" s="75">
        <f>0.5*(Q3816+Q3817)*R3817</f>
        <v>0.04342129712667278</v>
      </c>
      <c r="T3817" s="75">
        <f>0.5*(F3816*Q3816+F3817*Q3817)*R3817</f>
        <v>0.876208398232032</v>
      </c>
      <c r="U3817" s="76">
        <f>U3816+S3817</f>
        <v>48.918653046751224</v>
      </c>
      <c r="V3817" s="76">
        <f>V3816+T3817</f>
        <v>658.1285315578407</v>
      </c>
    </row>
    <row r="3818" spans="1:22" ht="19" customHeight="1">
      <c r="A3818" s="68" t="s">
        <v>378</v>
      </c>
      <c r="B3818" s="74">
        <v>5</v>
      </c>
      <c r="C3818" s="68" t="s">
        <v>363</v>
      </c>
      <c r="D3818" s="68" t="s">
        <v>364</v>
      </c>
      <c r="E3818" s="75">
        <f>60*F3818*'THAM_SO_MOI'!$C$53/(2*PI()*'THAM_SO_MOI'!$C$26)</f>
        <v>1989.2771699944358</v>
      </c>
      <c r="F3818" s="75">
        <f>'HANH_TRINH'!$F$3289+('THAM_SO_MOI'!$C$14-'HANH_TRINH'!$F$3289)*528/'THAM_SO_MOI'!$C$42</f>
        <v>20.19031315699481</v>
      </c>
      <c r="G3818" s="75">
        <f>3.6*F3818</f>
        <v>72.68512736518133</v>
      </c>
      <c r="H3818" s="75">
        <f>'THAM_SO_MOI'!$D$53</f>
        <v>1.1</v>
      </c>
      <c r="I3818" s="75">
        <f>IF(F3818&gt;'THAM_SO_MOI'!$C$14,'THAM_SO_MOI'!$C$13*(1+F3818^2/1500),'THAM_SO_MOI'!$C$13)</f>
        <v>0.015</v>
      </c>
      <c r="J3818" s="75">
        <f>'THAM_SO_MOI'!$C$40*('THAM_SO_MOI'!$C$23*(E3818/'THAM_SO_MOI'!$C$22)+'THAM_SO_MOI'!$C$24*(E3818/'THAM_SO_MOI'!$C$22)^2-'THAM_SO_MOI'!$C$25*(E3818/'THAM_SO_MOI'!$C$22)^3)</f>
        <v>89.26829626076025</v>
      </c>
      <c r="K3818" s="75">
        <f>'THAM_SO_MOI'!$C$31*J3818/E3818</f>
        <v>428.6030586048422</v>
      </c>
      <c r="L3818" s="75">
        <f>K3818*'THAM_SO_MOI'!$C$53*'THAM_SO_MOI'!$C$17/'THAM_SO_MOI'!$C$26</f>
        <v>3758.850501074758</v>
      </c>
      <c r="M3818" s="75">
        <f>'THAM_SO_MOI'!$C$15*'THAM_SO_MOI'!$C$16*F3818^2</f>
        <v>1192.3725802292397</v>
      </c>
      <c r="N3818" s="75">
        <f>'THAM_SO_MOI'!$C$12*I3818</f>
        <v>1130.112</v>
      </c>
      <c r="O3818" s="75">
        <f>M3818+N3818</f>
        <v>2322.48458022924</v>
      </c>
      <c r="P3818" s="75">
        <f>(MIN(L3818,'THAM_SO_MOI'!$C$41)-O3818)/('THAM_SO_MOI'!$C$11*H3818)</f>
        <v>0.17002437510008503</v>
      </c>
      <c r="Q3818" s="75">
        <f>IF(P3818&gt;0,1/P3818,NA())</f>
        <v>5.881509633023788</v>
      </c>
      <c r="R3818" s="75">
        <f>F3818-F3817</f>
        <v>0.0073885545698715305</v>
      </c>
      <c r="S3818" s="75">
        <f>0.5*(Q3817+Q3818)*R3818</f>
        <v>0.043444327676388186</v>
      </c>
      <c r="T3818" s="75">
        <f>0.5*(F3817*Q3817+F3818*Q3818)*R3818</f>
        <v>0.8769941278731548</v>
      </c>
      <c r="U3818" s="76">
        <f>U3817+S3818</f>
        <v>48.962097374427614</v>
      </c>
      <c r="V3818" s="76">
        <f>V3817+T3818</f>
        <v>659.0055256857138</v>
      </c>
    </row>
    <row r="3819" spans="1:22" ht="19" customHeight="1">
      <c r="A3819" s="68" t="s">
        <v>378</v>
      </c>
      <c r="B3819" s="74">
        <v>5</v>
      </c>
      <c r="C3819" s="68" t="s">
        <v>363</v>
      </c>
      <c r="D3819" s="68" t="s">
        <v>364</v>
      </c>
      <c r="E3819" s="75">
        <f>60*F3819*'THAM_SO_MOI'!$C$53/(2*PI()*'THAM_SO_MOI'!$C$26)</f>
        <v>1990.0051370552148</v>
      </c>
      <c r="F3819" s="75">
        <f>'HANH_TRINH'!$F$3289+('THAM_SO_MOI'!$C$14-'HANH_TRINH'!$F$3289)*529/'THAM_SO_MOI'!$C$42</f>
        <v>20.197701711564683</v>
      </c>
      <c r="G3819" s="75">
        <f>3.6*F3819</f>
        <v>72.71172616163287</v>
      </c>
      <c r="H3819" s="75">
        <f>'THAM_SO_MOI'!$D$53</f>
        <v>1.1</v>
      </c>
      <c r="I3819" s="75">
        <f>IF(F3819&gt;'THAM_SO_MOI'!$C$14,'THAM_SO_MOI'!$C$13*(1+F3819^2/1500),'THAM_SO_MOI'!$C$13)</f>
        <v>0.015</v>
      </c>
      <c r="J3819" s="75">
        <f>'THAM_SO_MOI'!$C$40*('THAM_SO_MOI'!$C$23*(E3819/'THAM_SO_MOI'!$C$22)+'THAM_SO_MOI'!$C$24*(E3819/'THAM_SO_MOI'!$C$22)^2-'THAM_SO_MOI'!$C$25*(E3819/'THAM_SO_MOI'!$C$22)^3)</f>
        <v>89.30356846932453</v>
      </c>
      <c r="K3819" s="75">
        <f>'THAM_SO_MOI'!$C$31*J3819/E3819</f>
        <v>428.615560796254</v>
      </c>
      <c r="L3819" s="75">
        <f>K3819*'THAM_SO_MOI'!$C$53*'THAM_SO_MOI'!$C$17/'THAM_SO_MOI'!$C$26</f>
        <v>3758.9601453423597</v>
      </c>
      <c r="M3819" s="75">
        <f>'THAM_SO_MOI'!$C$15*'THAM_SO_MOI'!$C$16*F3819^2</f>
        <v>1193.2454267058283</v>
      </c>
      <c r="N3819" s="75">
        <f>'THAM_SO_MOI'!$C$12*I3819</f>
        <v>1130.112</v>
      </c>
      <c r="O3819" s="75">
        <f>M3819+N3819</f>
        <v>2323.3574267058284</v>
      </c>
      <c r="P3819" s="75">
        <f>(MIN(L3819,'THAM_SO_MOI'!$C$41)-O3819)/('THAM_SO_MOI'!$C$11*H3819)</f>
        <v>0.16993403392951364</v>
      </c>
      <c r="Q3819" s="75">
        <f>IF(P3819&gt;0,1/P3819,NA())</f>
        <v>5.88463639022885</v>
      </c>
      <c r="R3819" s="75">
        <f>F3819-F3818</f>
        <v>0.0073885545698715305</v>
      </c>
      <c r="S3819" s="75">
        <f>0.5*(Q3818+Q3819)*R3819</f>
        <v>0.043467405984939506</v>
      </c>
      <c r="T3819" s="75">
        <f>0.5*(F3818*Q3818+F3819*Q3819)*R3819</f>
        <v>0.8777811622817207</v>
      </c>
      <c r="U3819" s="76">
        <f>U3818+S3819</f>
        <v>49.005564780412556</v>
      </c>
      <c r="V3819" s="76">
        <f>V3818+T3819</f>
        <v>659.8833068479955</v>
      </c>
    </row>
    <row r="3820" spans="1:22" ht="19" customHeight="1">
      <c r="A3820" s="68" t="s">
        <v>378</v>
      </c>
      <c r="B3820" s="74">
        <v>5</v>
      </c>
      <c r="C3820" s="68" t="s">
        <v>363</v>
      </c>
      <c r="D3820" s="68" t="s">
        <v>364</v>
      </c>
      <c r="E3820" s="75">
        <f>60*F3820*'THAM_SO_MOI'!$C$53/(2*PI()*'THAM_SO_MOI'!$C$26)</f>
        <v>1990.7331041159937</v>
      </c>
      <c r="F3820" s="75">
        <f>'HANH_TRINH'!$F$3289+('THAM_SO_MOI'!$C$14-'HANH_TRINH'!$F$3289)*530/'THAM_SO_MOI'!$C$42</f>
        <v>20.205090266134555</v>
      </c>
      <c r="G3820" s="75">
        <f>3.6*F3820</f>
        <v>72.7383249580844</v>
      </c>
      <c r="H3820" s="75">
        <f>'THAM_SO_MOI'!$D$53</f>
        <v>1.1</v>
      </c>
      <c r="I3820" s="75">
        <f>IF(F3820&gt;'THAM_SO_MOI'!$C$14,'THAM_SO_MOI'!$C$13*(1+F3820^2/1500),'THAM_SO_MOI'!$C$13)</f>
        <v>0.015</v>
      </c>
      <c r="J3820" s="75">
        <f>'THAM_SO_MOI'!$C$40*('THAM_SO_MOI'!$C$23*(E3820/'THAM_SO_MOI'!$C$22)+'THAM_SO_MOI'!$C$24*(E3820/'THAM_SO_MOI'!$C$22)^2-'THAM_SO_MOI'!$C$25*(E3820/'THAM_SO_MOI'!$C$22)^3)</f>
        <v>89.33883186794735</v>
      </c>
      <c r="K3820" s="75">
        <f>'THAM_SO_MOI'!$C$31*J3820/E3820</f>
        <v>428.62801157595993</v>
      </c>
      <c r="L3820" s="75">
        <f>K3820*'THAM_SO_MOI'!$C$53*'THAM_SO_MOI'!$C$17/'THAM_SO_MOI'!$C$26</f>
        <v>3759.0693387291008</v>
      </c>
      <c r="M3820" s="75">
        <f>'THAM_SO_MOI'!$C$15*'THAM_SO_MOI'!$C$16*F3820^2</f>
        <v>1194.1185925382376</v>
      </c>
      <c r="N3820" s="75">
        <f>'THAM_SO_MOI'!$C$12*I3820</f>
        <v>1130.112</v>
      </c>
      <c r="O3820" s="75">
        <f>M3820+N3820</f>
        <v>2324.230592538238</v>
      </c>
      <c r="P3820" s="75">
        <f>(MIN(L3820,'THAM_SO_MOI'!$C$41)-O3820)/('THAM_SO_MOI'!$C$11*H3820)</f>
        <v>0.1698436015850927</v>
      </c>
      <c r="Q3820" s="75">
        <f>IF(P3820&gt;0,1/P3820,NA())</f>
        <v>5.887769634342061</v>
      </c>
      <c r="R3820" s="75">
        <f>F3820-F3819</f>
        <v>0.0073885545698715305</v>
      </c>
      <c r="S3820" s="75">
        <f>0.5*(Q3819+Q3820)*R3820</f>
        <v>0.04349053216561327</v>
      </c>
      <c r="T3820" s="75">
        <f>0.5*(F3819*Q3819+F3820*Q3820)*R3820</f>
        <v>0.8785695048048828</v>
      </c>
      <c r="U3820" s="76">
        <f>U3819+S3820</f>
        <v>49.04905531257817</v>
      </c>
      <c r="V3820" s="76">
        <f>V3819+T3820</f>
        <v>660.7618763528004</v>
      </c>
    </row>
    <row r="3821" spans="1:22" ht="19" customHeight="1">
      <c r="A3821" s="68" t="s">
        <v>378</v>
      </c>
      <c r="B3821" s="74">
        <v>5</v>
      </c>
      <c r="C3821" s="68" t="s">
        <v>363</v>
      </c>
      <c r="D3821" s="68" t="s">
        <v>364</v>
      </c>
      <c r="E3821" s="75">
        <f>60*F3821*'THAM_SO_MOI'!$C$53/(2*PI()*'THAM_SO_MOI'!$C$26)</f>
        <v>1991.4610711767725</v>
      </c>
      <c r="F3821" s="75">
        <f>'HANH_TRINH'!$F$3289+('THAM_SO_MOI'!$C$14-'HANH_TRINH'!$F$3289)*531/'THAM_SO_MOI'!$C$42</f>
        <v>20.212478820704426</v>
      </c>
      <c r="G3821" s="75">
        <f>3.6*F3821</f>
        <v>72.76492375453594</v>
      </c>
      <c r="H3821" s="75">
        <f>'THAM_SO_MOI'!$D$53</f>
        <v>1.1</v>
      </c>
      <c r="I3821" s="75">
        <f>IF(F3821&gt;'THAM_SO_MOI'!$C$14,'THAM_SO_MOI'!$C$13*(1+F3821^2/1500),'THAM_SO_MOI'!$C$13)</f>
        <v>0.015</v>
      </c>
      <c r="J3821" s="75">
        <f>'THAM_SO_MOI'!$C$40*('THAM_SO_MOI'!$C$23*(E3821/'THAM_SO_MOI'!$C$22)+'THAM_SO_MOI'!$C$24*(E3821/'THAM_SO_MOI'!$C$22)^2-'THAM_SO_MOI'!$C$25*(E3821/'THAM_SO_MOI'!$C$22)^3)</f>
        <v>89.3740864448733</v>
      </c>
      <c r="K3821" s="75">
        <f>'THAM_SO_MOI'!$C$31*J3821/E3821</f>
        <v>428.64041094396066</v>
      </c>
      <c r="L3821" s="75">
        <f>K3821*'THAM_SO_MOI'!$C$53*'THAM_SO_MOI'!$C$17/'THAM_SO_MOI'!$C$26</f>
        <v>3759.1780812349853</v>
      </c>
      <c r="M3821" s="75">
        <f>'THAM_SO_MOI'!$C$15*'THAM_SO_MOI'!$C$16*F3821^2</f>
        <v>1194.9920777264683</v>
      </c>
      <c r="N3821" s="75">
        <f>'THAM_SO_MOI'!$C$12*I3821</f>
        <v>1130.112</v>
      </c>
      <c r="O3821" s="75">
        <f>M3821+N3821</f>
        <v>2325.1040777264684</v>
      </c>
      <c r="P3821" s="75">
        <f>(MIN(L3821,'THAM_SO_MOI'!$C$41)-O3821)/('THAM_SO_MOI'!$C$11*H3821)</f>
        <v>0.16975307806682255</v>
      </c>
      <c r="Q3821" s="75">
        <f>IF(P3821&gt;0,1/P3821,NA())</f>
        <v>5.890909380779266</v>
      </c>
      <c r="R3821" s="75">
        <f>F3821-F3820</f>
        <v>0.0073885545698715305</v>
      </c>
      <c r="S3821" s="75">
        <f>0.5*(Q3820+Q3821)*R3821</f>
        <v>0.04351370633211229</v>
      </c>
      <c r="T3821" s="75">
        <f>0.5*(F3820*Q3820+F3821*Q3821)*R3821</f>
        <v>0.8793591588015548</v>
      </c>
      <c r="U3821" s="76">
        <f>U3820+S3821</f>
        <v>49.09256901891028</v>
      </c>
      <c r="V3821" s="76">
        <f>V3820+T3821</f>
        <v>661.641235511602</v>
      </c>
    </row>
    <row r="3822" spans="1:22" ht="19" customHeight="1">
      <c r="A3822" s="68" t="s">
        <v>378</v>
      </c>
      <c r="B3822" s="74">
        <v>5</v>
      </c>
      <c r="C3822" s="68" t="s">
        <v>363</v>
      </c>
      <c r="D3822" s="68" t="s">
        <v>364</v>
      </c>
      <c r="E3822" s="75">
        <f>60*F3822*'THAM_SO_MOI'!$C$53/(2*PI()*'THAM_SO_MOI'!$C$26)</f>
        <v>1992.1890382375514</v>
      </c>
      <c r="F3822" s="75">
        <f>'HANH_TRINH'!$F$3289+('THAM_SO_MOI'!$C$14-'HANH_TRINH'!$F$3289)*532/'THAM_SO_MOI'!$C$42</f>
        <v>20.219867375274298</v>
      </c>
      <c r="G3822" s="75">
        <f>3.6*F3822</f>
        <v>72.79152255098748</v>
      </c>
      <c r="H3822" s="75">
        <f>'THAM_SO_MOI'!$D$53</f>
        <v>1.1</v>
      </c>
      <c r="I3822" s="75">
        <f>IF(F3822&gt;'THAM_SO_MOI'!$C$14,'THAM_SO_MOI'!$C$13*(1+F3822^2/1500),'THAM_SO_MOI'!$C$13)</f>
        <v>0.015</v>
      </c>
      <c r="J3822" s="75">
        <f>'THAM_SO_MOI'!$C$40*('THAM_SO_MOI'!$C$23*(E3822/'THAM_SO_MOI'!$C$22)+'THAM_SO_MOI'!$C$24*(E3822/'THAM_SO_MOI'!$C$22)^2-'THAM_SO_MOI'!$C$25*(E3822/'THAM_SO_MOI'!$C$22)^3)</f>
        <v>89.40933218834682</v>
      </c>
      <c r="K3822" s="75">
        <f>'THAM_SO_MOI'!$C$31*J3822/E3822</f>
        <v>428.6527589002559</v>
      </c>
      <c r="L3822" s="75">
        <f>K3822*'THAM_SO_MOI'!$C$53*'THAM_SO_MOI'!$C$17/'THAM_SO_MOI'!$C$26</f>
        <v>3759.2863728600114</v>
      </c>
      <c r="M3822" s="75">
        <f>'THAM_SO_MOI'!$C$15*'THAM_SO_MOI'!$C$16*F3822^2</f>
        <v>1195.8658822705197</v>
      </c>
      <c r="N3822" s="75">
        <f>'THAM_SO_MOI'!$C$12*I3822</f>
        <v>1130.112</v>
      </c>
      <c r="O3822" s="75">
        <f>M3822+N3822</f>
        <v>2325.97788227052</v>
      </c>
      <c r="P3822" s="75">
        <f>(MIN(L3822,'THAM_SO_MOI'!$C$41)-O3822)/('THAM_SO_MOI'!$C$11*H3822)</f>
        <v>0.1696624633747031</v>
      </c>
      <c r="Q3822" s="75">
        <f>IF(P3822&gt;0,1/P3822,NA())</f>
        <v>5.89405564501017</v>
      </c>
      <c r="R3822" s="75">
        <f>F3822-F3821</f>
        <v>0.0073885545698715305</v>
      </c>
      <c r="S3822" s="75">
        <f>0.5*(Q3821+Q3822)*R3822</f>
        <v>0.04353692859853635</v>
      </c>
      <c r="T3822" s="75">
        <f>0.5*(F3821*Q3821+F3822*Q3822)*R3822</f>
        <v>0.8801501276420363</v>
      </c>
      <c r="U3822" s="76">
        <f>U3821+S3822</f>
        <v>49.13610594750882</v>
      </c>
      <c r="V3822" s="76">
        <f>V3821+T3822</f>
        <v>662.521385639244</v>
      </c>
    </row>
    <row r="3823" spans="1:22" ht="19" customHeight="1">
      <c r="A3823" s="68" t="s">
        <v>378</v>
      </c>
      <c r="B3823" s="74">
        <v>5</v>
      </c>
      <c r="C3823" s="68" t="s">
        <v>363</v>
      </c>
      <c r="D3823" s="68" t="s">
        <v>364</v>
      </c>
      <c r="E3823" s="75">
        <f>60*F3823*'THAM_SO_MOI'!$C$53/(2*PI()*'THAM_SO_MOI'!$C$26)</f>
        <v>1992.9170052983307</v>
      </c>
      <c r="F3823" s="75">
        <f>'HANH_TRINH'!$F$3289+('THAM_SO_MOI'!$C$14-'HANH_TRINH'!$F$3289)*533/'THAM_SO_MOI'!$C$42</f>
        <v>20.22725592984417</v>
      </c>
      <c r="G3823" s="75">
        <f>3.6*F3823</f>
        <v>72.81812134743902</v>
      </c>
      <c r="H3823" s="75">
        <f>'THAM_SO_MOI'!$D$53</f>
        <v>1.1</v>
      </c>
      <c r="I3823" s="75">
        <f>IF(F3823&gt;'THAM_SO_MOI'!$C$14,'THAM_SO_MOI'!$C$13*(1+F3823^2/1500),'THAM_SO_MOI'!$C$13)</f>
        <v>0.015</v>
      </c>
      <c r="J3823" s="75">
        <f>'THAM_SO_MOI'!$C$40*('THAM_SO_MOI'!$C$23*(E3823/'THAM_SO_MOI'!$C$22)+'THAM_SO_MOI'!$C$24*(E3823/'THAM_SO_MOI'!$C$22)^2-'THAM_SO_MOI'!$C$25*(E3823/'THAM_SO_MOI'!$C$22)^3)</f>
        <v>89.44456908661247</v>
      </c>
      <c r="K3823" s="75">
        <f>'THAM_SO_MOI'!$C$31*J3823/E3823</f>
        <v>428.6650554448459</v>
      </c>
      <c r="L3823" s="75">
        <f>K3823*'THAM_SO_MOI'!$C$53*'THAM_SO_MOI'!$C$17/'THAM_SO_MOI'!$C$26</f>
        <v>3759.3942136041824</v>
      </c>
      <c r="M3823" s="75">
        <f>'THAM_SO_MOI'!$C$15*'THAM_SO_MOI'!$C$16*F3823^2</f>
        <v>1196.7400061703922</v>
      </c>
      <c r="N3823" s="75">
        <f>'THAM_SO_MOI'!$C$12*I3823</f>
        <v>1130.112</v>
      </c>
      <c r="O3823" s="75">
        <f>M3823+N3823</f>
        <v>2326.852006170392</v>
      </c>
      <c r="P3823" s="75">
        <f>(MIN(L3823,'THAM_SO_MOI'!$C$41)-O3823)/('THAM_SO_MOI'!$C$11*H3823)</f>
        <v>0.16957175750873466</v>
      </c>
      <c r="Q3823" s="75">
        <f>IF(P3823&gt;0,1/P3823,NA())</f>
        <v>5.897208442558543</v>
      </c>
      <c r="R3823" s="75">
        <f>F3823-F3822</f>
        <v>0.0073885545698715305</v>
      </c>
      <c r="S3823" s="75">
        <f>0.5*(Q3822+Q3823)*R3823</f>
        <v>0.04356019907938394</v>
      </c>
      <c r="T3823" s="75">
        <f>0.5*(F3822*Q3822+F3823*Q3823)*R3823</f>
        <v>0.8809424147080618</v>
      </c>
      <c r="U3823" s="76">
        <f>U3822+S3823</f>
        <v>49.179666146588204</v>
      </c>
      <c r="V3823" s="76">
        <f>V3822+T3823</f>
        <v>663.4023280539521</v>
      </c>
    </row>
    <row r="3824" spans="1:22" ht="19" customHeight="1">
      <c r="A3824" s="68" t="s">
        <v>378</v>
      </c>
      <c r="B3824" s="74">
        <v>5</v>
      </c>
      <c r="C3824" s="68" t="s">
        <v>363</v>
      </c>
      <c r="D3824" s="68" t="s">
        <v>364</v>
      </c>
      <c r="E3824" s="75">
        <f>60*F3824*'THAM_SO_MOI'!$C$53/(2*PI()*'THAM_SO_MOI'!$C$26)</f>
        <v>1993.6449723591095</v>
      </c>
      <c r="F3824" s="75">
        <f>'HANH_TRINH'!$F$3289+('THAM_SO_MOI'!$C$14-'HANH_TRINH'!$F$3289)*534/'THAM_SO_MOI'!$C$42</f>
        <v>20.23464448441404</v>
      </c>
      <c r="G3824" s="75">
        <f>3.6*F3824</f>
        <v>72.84472014389056</v>
      </c>
      <c r="H3824" s="75">
        <f>'THAM_SO_MOI'!$D$53</f>
        <v>1.1</v>
      </c>
      <c r="I3824" s="75">
        <f>IF(F3824&gt;'THAM_SO_MOI'!$C$14,'THAM_SO_MOI'!$C$13*(1+F3824^2/1500),'THAM_SO_MOI'!$C$13)</f>
        <v>0.015</v>
      </c>
      <c r="J3824" s="75">
        <f>'THAM_SO_MOI'!$C$40*('THAM_SO_MOI'!$C$23*(E3824/'THAM_SO_MOI'!$C$22)+'THAM_SO_MOI'!$C$24*(E3824/'THAM_SO_MOI'!$C$22)^2-'THAM_SO_MOI'!$C$25*(E3824/'THAM_SO_MOI'!$C$22)^3)</f>
        <v>89.47979712791464</v>
      </c>
      <c r="K3824" s="75">
        <f>'THAM_SO_MOI'!$C$31*J3824/E3824</f>
        <v>428.67730057773036</v>
      </c>
      <c r="L3824" s="75">
        <f>K3824*'THAM_SO_MOI'!$C$53*'THAM_SO_MOI'!$C$17/'THAM_SO_MOI'!$C$26</f>
        <v>3759.5016034674936</v>
      </c>
      <c r="M3824" s="75">
        <f>'THAM_SO_MOI'!$C$15*'THAM_SO_MOI'!$C$16*F3824^2</f>
        <v>1197.6144494260857</v>
      </c>
      <c r="N3824" s="75">
        <f>'THAM_SO_MOI'!$C$12*I3824</f>
        <v>1130.112</v>
      </c>
      <c r="O3824" s="75">
        <f>M3824+N3824</f>
        <v>2327.7264494260858</v>
      </c>
      <c r="P3824" s="75">
        <f>(MIN(L3824,'THAM_SO_MOI'!$C$41)-O3824)/('THAM_SO_MOI'!$C$11*H3824)</f>
        <v>0.16948096046891664</v>
      </c>
      <c r="Q3824" s="75">
        <f>IF(P3824&gt;0,1/P3824,NA())</f>
        <v>5.900367789002489</v>
      </c>
      <c r="R3824" s="75">
        <f>F3824-F3823</f>
        <v>0.0073885545698715305</v>
      </c>
      <c r="S3824" s="75">
        <f>0.5*(Q3823+Q3824)*R3824</f>
        <v>0.043583517889554</v>
      </c>
      <c r="T3824" s="75">
        <f>0.5*(F3823*Q3823+F3824*Q3824)*R3824</f>
        <v>0.8817360233928516</v>
      </c>
      <c r="U3824" s="76">
        <f>U3823+S3824</f>
        <v>49.223249664477756</v>
      </c>
      <c r="V3824" s="76">
        <f>V3823+T3824</f>
        <v>664.284064077345</v>
      </c>
    </row>
    <row r="3825" spans="1:22" ht="19" customHeight="1">
      <c r="A3825" s="68" t="s">
        <v>378</v>
      </c>
      <c r="B3825" s="74">
        <v>5</v>
      </c>
      <c r="C3825" s="68" t="s">
        <v>363</v>
      </c>
      <c r="D3825" s="68" t="s">
        <v>364</v>
      </c>
      <c r="E3825" s="75">
        <f>60*F3825*'THAM_SO_MOI'!$C$53/(2*PI()*'THAM_SO_MOI'!$C$26)</f>
        <v>1994.3729394198886</v>
      </c>
      <c r="F3825" s="75">
        <f>'HANH_TRINH'!$F$3289+('THAM_SO_MOI'!$C$14-'HANH_TRINH'!$F$3289)*535/'THAM_SO_MOI'!$C$42</f>
        <v>20.242033038983916</v>
      </c>
      <c r="G3825" s="75">
        <f>3.6*F3825</f>
        <v>72.87131894034209</v>
      </c>
      <c r="H3825" s="75">
        <f>'THAM_SO_MOI'!$D$53</f>
        <v>1.1</v>
      </c>
      <c r="I3825" s="75">
        <f>IF(F3825&gt;'THAM_SO_MOI'!$C$14,'THAM_SO_MOI'!$C$13*(1+F3825^2/1500),'THAM_SO_MOI'!$C$13)</f>
        <v>0.015</v>
      </c>
      <c r="J3825" s="75">
        <f>'THAM_SO_MOI'!$C$40*('THAM_SO_MOI'!$C$23*(E3825/'THAM_SO_MOI'!$C$22)+'THAM_SO_MOI'!$C$24*(E3825/'THAM_SO_MOI'!$C$22)^2-'THAM_SO_MOI'!$C$25*(E3825/'THAM_SO_MOI'!$C$22)^3)</f>
        <v>89.5150163004978</v>
      </c>
      <c r="K3825" s="75">
        <f>'THAM_SO_MOI'!$C$31*J3825/E3825</f>
        <v>428.6894942989092</v>
      </c>
      <c r="L3825" s="75">
        <f>K3825*'THAM_SO_MOI'!$C$53*'THAM_SO_MOI'!$C$17/'THAM_SO_MOI'!$C$26</f>
        <v>3759.6085424499456</v>
      </c>
      <c r="M3825" s="75">
        <f>'THAM_SO_MOI'!$C$15*'THAM_SO_MOI'!$C$16*F3825^2</f>
        <v>1198.4892120376007</v>
      </c>
      <c r="N3825" s="75">
        <f>'THAM_SO_MOI'!$C$12*I3825</f>
        <v>1130.112</v>
      </c>
      <c r="O3825" s="75">
        <f>M3825+N3825</f>
        <v>2328.601212037601</v>
      </c>
      <c r="P3825" s="75">
        <f>(MIN(L3825,'THAM_SO_MOI'!$C$41)-O3825)/('THAM_SO_MOI'!$C$11*H3825)</f>
        <v>0.16939007225524916</v>
      </c>
      <c r="Q3825" s="75">
        <f>IF(P3825&gt;0,1/P3825,NA())</f>
        <v>5.903533699974624</v>
      </c>
      <c r="R3825" s="75">
        <f>F3825-F3824</f>
        <v>0.007388554569875083</v>
      </c>
      <c r="S3825" s="75">
        <f>0.5*(Q3824+Q3825)*R3825</f>
        <v>0.04360688514436858</v>
      </c>
      <c r="T3825" s="75">
        <f>0.5*(F3824*Q3824+F3825*Q3825)*R3825</f>
        <v>0.8825309571015846</v>
      </c>
      <c r="U3825" s="76">
        <f>U3824+S3825</f>
        <v>49.266856549622126</v>
      </c>
      <c r="V3825" s="76">
        <f>V3824+T3825</f>
        <v>665.1665950344466</v>
      </c>
    </row>
    <row r="3826" spans="1:22" ht="19" customHeight="1">
      <c r="A3826" s="68" t="s">
        <v>378</v>
      </c>
      <c r="B3826" s="74">
        <v>5</v>
      </c>
      <c r="C3826" s="68" t="s">
        <v>363</v>
      </c>
      <c r="D3826" s="68" t="s">
        <v>364</v>
      </c>
      <c r="E3826" s="75">
        <f>60*F3826*'THAM_SO_MOI'!$C$53/(2*PI()*'THAM_SO_MOI'!$C$26)</f>
        <v>1995.1009064806674</v>
      </c>
      <c r="F3826" s="75">
        <f>'HANH_TRINH'!$F$3289+('THAM_SO_MOI'!$C$14-'HANH_TRINH'!$F$3289)*536/'THAM_SO_MOI'!$C$42</f>
        <v>20.249421593553787</v>
      </c>
      <c r="G3826" s="75">
        <f>3.6*F3826</f>
        <v>72.89791773679363</v>
      </c>
      <c r="H3826" s="75">
        <f>'THAM_SO_MOI'!$D$53</f>
        <v>1.1</v>
      </c>
      <c r="I3826" s="75">
        <f>IF(F3826&gt;'THAM_SO_MOI'!$C$14,'THAM_SO_MOI'!$C$13*(1+F3826^2/1500),'THAM_SO_MOI'!$C$13)</f>
        <v>0.015</v>
      </c>
      <c r="J3826" s="75">
        <f>'THAM_SO_MOI'!$C$40*('THAM_SO_MOI'!$C$23*(E3826/'THAM_SO_MOI'!$C$22)+'THAM_SO_MOI'!$C$24*(E3826/'THAM_SO_MOI'!$C$22)^2-'THAM_SO_MOI'!$C$25*(E3826/'THAM_SO_MOI'!$C$22)^3)</f>
        <v>89.55022659260653</v>
      </c>
      <c r="K3826" s="75">
        <f>'THAM_SO_MOI'!$C$31*J3826/E3826</f>
        <v>428.70163660838284</v>
      </c>
      <c r="L3826" s="75">
        <f>K3826*'THAM_SO_MOI'!$C$53*'THAM_SO_MOI'!$C$17/'THAM_SO_MOI'!$C$26</f>
        <v>3759.715030551542</v>
      </c>
      <c r="M3826" s="75">
        <f>'THAM_SO_MOI'!$C$15*'THAM_SO_MOI'!$C$16*F3826^2</f>
        <v>1199.364294004936</v>
      </c>
      <c r="N3826" s="75">
        <f>'THAM_SO_MOI'!$C$12*I3826</f>
        <v>1130.112</v>
      </c>
      <c r="O3826" s="75">
        <f>M3826+N3826</f>
        <v>2329.476294004936</v>
      </c>
      <c r="P3826" s="75">
        <f>(MIN(L3826,'THAM_SO_MOI'!$C$41)-O3826)/('THAM_SO_MOI'!$C$11*H3826)</f>
        <v>0.16929909286773268</v>
      </c>
      <c r="Q3826" s="75">
        <f>IF(P3826&gt;0,1/P3826,NA())</f>
        <v>5.906706191162313</v>
      </c>
      <c r="R3826" s="75">
        <f>F3826-F3825</f>
        <v>0.0073885545698715305</v>
      </c>
      <c r="S3826" s="75">
        <f>0.5*(Q3825+Q3826)*R3826</f>
        <v>0.04363030095946943</v>
      </c>
      <c r="T3826" s="75">
        <f>0.5*(F3825*Q3825+F3826*Q3826)*R3826</f>
        <v>0.8833272192493207</v>
      </c>
      <c r="U3826" s="76">
        <f>U3825+S3826</f>
        <v>49.3104868505816</v>
      </c>
      <c r="V3826" s="76">
        <f>V3825+T3826</f>
        <v>666.0499222536959</v>
      </c>
    </row>
    <row r="3827" spans="1:22" ht="19" customHeight="1">
      <c r="A3827" s="68" t="s">
        <v>378</v>
      </c>
      <c r="B3827" s="74">
        <v>5</v>
      </c>
      <c r="C3827" s="68" t="s">
        <v>363</v>
      </c>
      <c r="D3827" s="68" t="s">
        <v>364</v>
      </c>
      <c r="E3827" s="75">
        <f>60*F3827*'THAM_SO_MOI'!$C$53/(2*PI()*'THAM_SO_MOI'!$C$26)</f>
        <v>1995.8288735414467</v>
      </c>
      <c r="F3827" s="75">
        <f>'HANH_TRINH'!$F$3289+('THAM_SO_MOI'!$C$14-'HANH_TRINH'!$F$3289)*537/'THAM_SO_MOI'!$C$42</f>
        <v>20.25681014812366</v>
      </c>
      <c r="G3827" s="75">
        <f>3.6*F3827</f>
        <v>72.92451653324517</v>
      </c>
      <c r="H3827" s="75">
        <f>'THAM_SO_MOI'!$D$53</f>
        <v>1.1</v>
      </c>
      <c r="I3827" s="75">
        <f>IF(F3827&gt;'THAM_SO_MOI'!$C$14,'THAM_SO_MOI'!$C$13*(1+F3827^2/1500),'THAM_SO_MOI'!$C$13)</f>
        <v>0.015</v>
      </c>
      <c r="J3827" s="75">
        <f>'THAM_SO_MOI'!$C$40*('THAM_SO_MOI'!$C$23*(E3827/'THAM_SO_MOI'!$C$22)+'THAM_SO_MOI'!$C$24*(E3827/'THAM_SO_MOI'!$C$22)^2-'THAM_SO_MOI'!$C$25*(E3827/'THAM_SO_MOI'!$C$22)^3)</f>
        <v>89.58542799248526</v>
      </c>
      <c r="K3827" s="75">
        <f>'THAM_SO_MOI'!$C$31*J3827/E3827</f>
        <v>428.713727506151</v>
      </c>
      <c r="L3827" s="75">
        <f>K3827*'THAM_SO_MOI'!$C$53*'THAM_SO_MOI'!$C$17/'THAM_SO_MOI'!$C$26</f>
        <v>3759.8210677722795</v>
      </c>
      <c r="M3827" s="75">
        <f>'THAM_SO_MOI'!$C$15*'THAM_SO_MOI'!$C$16*F3827^2</f>
        <v>1200.2396953280927</v>
      </c>
      <c r="N3827" s="75">
        <f>'THAM_SO_MOI'!$C$12*I3827</f>
        <v>1130.112</v>
      </c>
      <c r="O3827" s="75">
        <f>M3827+N3827</f>
        <v>2330.351695328093</v>
      </c>
      <c r="P3827" s="75">
        <f>(MIN(L3827,'THAM_SO_MOI'!$C$41)-O3827)/('THAM_SO_MOI'!$C$11*H3827)</f>
        <v>0.1692080223063668</v>
      </c>
      <c r="Q3827" s="75">
        <f>IF(P3827&gt;0,1/P3827,NA())</f>
        <v>5.909885278307947</v>
      </c>
      <c r="R3827" s="75">
        <f>F3827-F3826</f>
        <v>0.0073885545698715305</v>
      </c>
      <c r="S3827" s="75">
        <f>0.5*(Q3826+Q3827)*R3827</f>
        <v>0.04365376545102972</v>
      </c>
      <c r="T3827" s="75">
        <f>0.5*(F3826*Q3826+F3827*Q3827)*R3827</f>
        <v>0.8841248132653</v>
      </c>
      <c r="U3827" s="76">
        <f>U3826+S3827</f>
        <v>49.35414061603263</v>
      </c>
      <c r="V3827" s="76">
        <f>V3826+T3827</f>
        <v>666.9340470669612</v>
      </c>
    </row>
    <row r="3828" spans="1:22" ht="19" customHeight="1">
      <c r="A3828" s="68" t="s">
        <v>378</v>
      </c>
      <c r="B3828" s="74">
        <v>5</v>
      </c>
      <c r="C3828" s="68" t="s">
        <v>363</v>
      </c>
      <c r="D3828" s="68" t="s">
        <v>364</v>
      </c>
      <c r="E3828" s="75">
        <f>60*F3828*'THAM_SO_MOI'!$C$53/(2*PI()*'THAM_SO_MOI'!$C$26)</f>
        <v>1996.5568406022255</v>
      </c>
      <c r="F3828" s="75">
        <f>'HANH_TRINH'!$F$3289+('THAM_SO_MOI'!$C$14-'HANH_TRINH'!$F$3289)*538/'THAM_SO_MOI'!$C$42</f>
        <v>20.26419870269353</v>
      </c>
      <c r="G3828" s="75">
        <f>3.6*F3828</f>
        <v>72.9511153296967</v>
      </c>
      <c r="H3828" s="75">
        <f>'THAM_SO_MOI'!$D$53</f>
        <v>1.1</v>
      </c>
      <c r="I3828" s="75">
        <f>IF(F3828&gt;'THAM_SO_MOI'!$C$14,'THAM_SO_MOI'!$C$13*(1+F3828^2/1500),'THAM_SO_MOI'!$C$13)</f>
        <v>0.015</v>
      </c>
      <c r="J3828" s="75">
        <f>'THAM_SO_MOI'!$C$40*('THAM_SO_MOI'!$C$23*(E3828/'THAM_SO_MOI'!$C$22)+'THAM_SO_MOI'!$C$24*(E3828/'THAM_SO_MOI'!$C$22)^2-'THAM_SO_MOI'!$C$25*(E3828/'THAM_SO_MOI'!$C$22)^3)</f>
        <v>89.62062048837848</v>
      </c>
      <c r="K3828" s="75">
        <f>'THAM_SO_MOI'!$C$31*J3828/E3828</f>
        <v>428.72576699221366</v>
      </c>
      <c r="L3828" s="75">
        <f>K3828*'THAM_SO_MOI'!$C$53*'THAM_SO_MOI'!$C$17/'THAM_SO_MOI'!$C$26</f>
        <v>3759.9266541121597</v>
      </c>
      <c r="M3828" s="75">
        <f>'THAM_SO_MOI'!$C$15*'THAM_SO_MOI'!$C$16*F3828^2</f>
        <v>1201.11541600707</v>
      </c>
      <c r="N3828" s="75">
        <f>'THAM_SO_MOI'!$C$12*I3828</f>
        <v>1130.112</v>
      </c>
      <c r="O3828" s="75">
        <f>M3828+N3828</f>
        <v>2331.22741600707</v>
      </c>
      <c r="P3828" s="75">
        <f>(MIN(L3828,'THAM_SO_MOI'!$C$41)-O3828)/('THAM_SO_MOI'!$C$11*H3828)</f>
        <v>0.1691168605711517</v>
      </c>
      <c r="Q3828" s="75">
        <f>IF(P3828&gt;0,1/P3828,NA())</f>
        <v>5.913070977209129</v>
      </c>
      <c r="R3828" s="75">
        <f>F3828-F3827</f>
        <v>0.0073885545698715305</v>
      </c>
      <c r="S3828" s="75">
        <f>0.5*(Q3827+Q3828)*R3828</f>
        <v>0.04367727873554595</v>
      </c>
      <c r="T3828" s="75">
        <f>0.5*(F3827*Q3827+F3828*Q3828)*R3828</f>
        <v>0.8849237425887474</v>
      </c>
      <c r="U3828" s="76">
        <f>U3827+S3828</f>
        <v>49.397817894768174</v>
      </c>
      <c r="V3828" s="76">
        <f>V3827+T3828</f>
        <v>667.8189708095499</v>
      </c>
    </row>
    <row r="3829" spans="1:22" ht="19" customHeight="1">
      <c r="A3829" s="68" t="s">
        <v>378</v>
      </c>
      <c r="B3829" s="74">
        <v>5</v>
      </c>
      <c r="C3829" s="68" t="s">
        <v>363</v>
      </c>
      <c r="D3829" s="68" t="s">
        <v>364</v>
      </c>
      <c r="E3829" s="75">
        <f>60*F3829*'THAM_SO_MOI'!$C$53/(2*PI()*'THAM_SO_MOI'!$C$26)</f>
        <v>1997.2848076630044</v>
      </c>
      <c r="F3829" s="75">
        <f>'HANH_TRINH'!$F$3289+('THAM_SO_MOI'!$C$14-'HANH_TRINH'!$F$3289)*539/'THAM_SO_MOI'!$C$42</f>
        <v>20.271587257263402</v>
      </c>
      <c r="G3829" s="75">
        <f>3.6*F3829</f>
        <v>72.97771412614824</v>
      </c>
      <c r="H3829" s="75">
        <f>'THAM_SO_MOI'!$D$53</f>
        <v>1.1</v>
      </c>
      <c r="I3829" s="75">
        <f>IF(F3829&gt;'THAM_SO_MOI'!$C$14,'THAM_SO_MOI'!$C$13*(1+F3829^2/1500),'THAM_SO_MOI'!$C$13)</f>
        <v>0.015</v>
      </c>
      <c r="J3829" s="75">
        <f>'THAM_SO_MOI'!$C$40*('THAM_SO_MOI'!$C$23*(E3829/'THAM_SO_MOI'!$C$22)+'THAM_SO_MOI'!$C$24*(E3829/'THAM_SO_MOI'!$C$22)^2-'THAM_SO_MOI'!$C$25*(E3829/'THAM_SO_MOI'!$C$22)^3)</f>
        <v>89.65580406853066</v>
      </c>
      <c r="K3829" s="75">
        <f>'THAM_SO_MOI'!$C$31*J3829/E3829</f>
        <v>428.73775506657097</v>
      </c>
      <c r="L3829" s="75">
        <f>K3829*'THAM_SO_MOI'!$C$53*'THAM_SO_MOI'!$C$17/'THAM_SO_MOI'!$C$26</f>
        <v>3760.031789571182</v>
      </c>
      <c r="M3829" s="75">
        <f>'THAM_SO_MOI'!$C$15*'THAM_SO_MOI'!$C$16*F3829^2</f>
        <v>1201.9914560418686</v>
      </c>
      <c r="N3829" s="75">
        <f>'THAM_SO_MOI'!$C$12*I3829</f>
        <v>1130.112</v>
      </c>
      <c r="O3829" s="75">
        <f>M3829+N3829</f>
        <v>2332.1034560418684</v>
      </c>
      <c r="P3829" s="75">
        <f>(MIN(L3829,'THAM_SO_MOI'!$C$41)-O3829)/('THAM_SO_MOI'!$C$11*H3829)</f>
        <v>0.16902560766208724</v>
      </c>
      <c r="Q3829" s="75">
        <f>IF(P3829&gt;0,1/P3829,NA())</f>
        <v>5.916263303718931</v>
      </c>
      <c r="R3829" s="75">
        <f>F3829-F3828</f>
        <v>0.0073885545698715305</v>
      </c>
      <c r="S3829" s="75">
        <f>0.5*(Q3828+Q3829)*R3829</f>
        <v>0.04370084092994448</v>
      </c>
      <c r="T3829" s="75">
        <f>0.5*(F3828*Q3828+F3829*Q3829)*R3829</f>
        <v>0.8857240106710429</v>
      </c>
      <c r="U3829" s="76">
        <f>U3828+S3829</f>
        <v>49.44151873569812</v>
      </c>
      <c r="V3829" s="76">
        <f>V3828+T3829</f>
        <v>668.704694820221</v>
      </c>
    </row>
    <row r="3830" spans="1:22" ht="19" customHeight="1">
      <c r="A3830" s="68" t="s">
        <v>378</v>
      </c>
      <c r="B3830" s="74">
        <v>5</v>
      </c>
      <c r="C3830" s="68" t="s">
        <v>363</v>
      </c>
      <c r="D3830" s="68" t="s">
        <v>364</v>
      </c>
      <c r="E3830" s="75">
        <f>60*F3830*'THAM_SO_MOI'!$C$53/(2*PI()*'THAM_SO_MOI'!$C$26)</f>
        <v>1998.0127747237832</v>
      </c>
      <c r="F3830" s="75">
        <f>'HANH_TRINH'!$F$3289+('THAM_SO_MOI'!$C$14-'HANH_TRINH'!$F$3289)*540/'THAM_SO_MOI'!$C$42</f>
        <v>20.278975811833273</v>
      </c>
      <c r="G3830" s="75">
        <f>3.6*F3830</f>
        <v>73.00431292259978</v>
      </c>
      <c r="H3830" s="75">
        <f>'THAM_SO_MOI'!$D$53</f>
        <v>1.1</v>
      </c>
      <c r="I3830" s="75">
        <f>IF(F3830&gt;'THAM_SO_MOI'!$C$14,'THAM_SO_MOI'!$C$13*(1+F3830^2/1500),'THAM_SO_MOI'!$C$13)</f>
        <v>0.015</v>
      </c>
      <c r="J3830" s="75">
        <f>'THAM_SO_MOI'!$C$40*('THAM_SO_MOI'!$C$23*(E3830/'THAM_SO_MOI'!$C$22)+'THAM_SO_MOI'!$C$24*(E3830/'THAM_SO_MOI'!$C$22)^2-'THAM_SO_MOI'!$C$25*(E3830/'THAM_SO_MOI'!$C$22)^3)</f>
        <v>89.69097872118628</v>
      </c>
      <c r="K3830" s="75">
        <f>'THAM_SO_MOI'!$C$31*J3830/E3830</f>
        <v>428.7496917292227</v>
      </c>
      <c r="L3830" s="75">
        <f>K3830*'THAM_SO_MOI'!$C$53*'THAM_SO_MOI'!$C$17/'THAM_SO_MOI'!$C$26</f>
        <v>3760.1364741493458</v>
      </c>
      <c r="M3830" s="75">
        <f>'THAM_SO_MOI'!$C$15*'THAM_SO_MOI'!$C$16*F3830^2</f>
        <v>1202.867815432488</v>
      </c>
      <c r="N3830" s="75">
        <f>'THAM_SO_MOI'!$C$12*I3830</f>
        <v>1130.112</v>
      </c>
      <c r="O3830" s="75">
        <f>M3830+N3830</f>
        <v>2332.979815432488</v>
      </c>
      <c r="P3830" s="75">
        <f>(MIN(L3830,'THAM_SO_MOI'!$C$41)-O3830)/('THAM_SO_MOI'!$C$11*H3830)</f>
        <v>0.1689342635791735</v>
      </c>
      <c r="Q3830" s="75">
        <f>IF(P3830&gt;0,1/P3830,NA())</f>
        <v>5.919462273746116</v>
      </c>
      <c r="R3830" s="75">
        <f>F3830-F3829</f>
        <v>0.0073885545698715305</v>
      </c>
      <c r="S3830" s="75">
        <f>0.5*(Q3829+Q3830)*R3830</f>
        <v>0.043724452151562364</v>
      </c>
      <c r="T3830" s="75">
        <f>0.5*(F3829*Q3829+F3830*Q3830)*R3830</f>
        <v>0.8865256209753488</v>
      </c>
      <c r="U3830" s="76">
        <f>U3829+S3830</f>
        <v>49.48524318784968</v>
      </c>
      <c r="V3830" s="76">
        <f>V3829+T3830</f>
        <v>669.5912204411964</v>
      </c>
    </row>
    <row r="3831" spans="1:22" ht="19" customHeight="1">
      <c r="A3831" s="68" t="s">
        <v>378</v>
      </c>
      <c r="B3831" s="74">
        <v>5</v>
      </c>
      <c r="C3831" s="68" t="s">
        <v>363</v>
      </c>
      <c r="D3831" s="68" t="s">
        <v>364</v>
      </c>
      <c r="E3831" s="75">
        <f>60*F3831*'THAM_SO_MOI'!$C$53/(2*PI()*'THAM_SO_MOI'!$C$26)</f>
        <v>1998.7407417845623</v>
      </c>
      <c r="F3831" s="75">
        <f>'HANH_TRINH'!$F$3289+('THAM_SO_MOI'!$C$14-'HANH_TRINH'!$F$3289)*541/'THAM_SO_MOI'!$C$42</f>
        <v>20.286364366403145</v>
      </c>
      <c r="G3831" s="75">
        <f>3.6*F3831</f>
        <v>73.03091171905132</v>
      </c>
      <c r="H3831" s="75">
        <f>'THAM_SO_MOI'!$D$53</f>
        <v>1.1</v>
      </c>
      <c r="I3831" s="75">
        <f>IF(F3831&gt;'THAM_SO_MOI'!$C$14,'THAM_SO_MOI'!$C$13*(1+F3831^2/1500),'THAM_SO_MOI'!$C$13)</f>
        <v>0.015</v>
      </c>
      <c r="J3831" s="75">
        <f>'THAM_SO_MOI'!$C$40*('THAM_SO_MOI'!$C$23*(E3831/'THAM_SO_MOI'!$C$22)+'THAM_SO_MOI'!$C$24*(E3831/'THAM_SO_MOI'!$C$22)^2-'THAM_SO_MOI'!$C$25*(E3831/'THAM_SO_MOI'!$C$22)^3)</f>
        <v>89.7261444345899</v>
      </c>
      <c r="K3831" s="75">
        <f>'THAM_SO_MOI'!$C$31*J3831/E3831</f>
        <v>428.76157698016925</v>
      </c>
      <c r="L3831" s="75">
        <f>K3831*'THAM_SO_MOI'!$C$53*'THAM_SO_MOI'!$C$17/'THAM_SO_MOI'!$C$26</f>
        <v>3760.2407078466535</v>
      </c>
      <c r="M3831" s="75">
        <f>'THAM_SO_MOI'!$C$15*'THAM_SO_MOI'!$C$16*F3831^2</f>
        <v>1203.7444941789286</v>
      </c>
      <c r="N3831" s="75">
        <f>'THAM_SO_MOI'!$C$12*I3831</f>
        <v>1130.112</v>
      </c>
      <c r="O3831" s="75">
        <f>M3831+N3831</f>
        <v>2333.8564941789286</v>
      </c>
      <c r="P3831" s="75">
        <f>(MIN(L3831,'THAM_SO_MOI'!$C$41)-O3831)/('THAM_SO_MOI'!$C$11*H3831)</f>
        <v>0.16884282832241063</v>
      </c>
      <c r="Q3831" s="75">
        <f>IF(P3831&gt;0,1/P3831,NA())</f>
        <v>5.922667903255381</v>
      </c>
      <c r="R3831" s="75">
        <f>F3831-F3830</f>
        <v>0.0073885545698715305</v>
      </c>
      <c r="S3831" s="75">
        <f>0.5*(Q3830+Q3831)*R3831</f>
        <v>0.04374811251814898</v>
      </c>
      <c r="T3831" s="75">
        <f>0.5*(F3830*Q3830+F3831*Q3831)*R3831</f>
        <v>0.8873285769766589</v>
      </c>
      <c r="U3831" s="76">
        <f>U3830+S3831</f>
        <v>49.528991300367835</v>
      </c>
      <c r="V3831" s="76">
        <f>V3830+T3831</f>
        <v>670.478549018173</v>
      </c>
    </row>
    <row r="3832" spans="1:22" ht="19" customHeight="1">
      <c r="A3832" s="68" t="s">
        <v>378</v>
      </c>
      <c r="B3832" s="74">
        <v>5</v>
      </c>
      <c r="C3832" s="68" t="s">
        <v>363</v>
      </c>
      <c r="D3832" s="68" t="s">
        <v>364</v>
      </c>
      <c r="E3832" s="75">
        <f>60*F3832*'THAM_SO_MOI'!$C$53/(2*PI()*'THAM_SO_MOI'!$C$26)</f>
        <v>1999.4687088453416</v>
      </c>
      <c r="F3832" s="75">
        <f>'HANH_TRINH'!$F$3289+('THAM_SO_MOI'!$C$14-'HANH_TRINH'!$F$3289)*542/'THAM_SO_MOI'!$C$42</f>
        <v>20.29375292097302</v>
      </c>
      <c r="G3832" s="75">
        <f>3.6*F3832</f>
        <v>73.05751051550287</v>
      </c>
      <c r="H3832" s="75">
        <f>'THAM_SO_MOI'!$D$53</f>
        <v>1.1</v>
      </c>
      <c r="I3832" s="75">
        <f>IF(F3832&gt;'THAM_SO_MOI'!$C$14,'THAM_SO_MOI'!$C$13*(1+F3832^2/1500),'THAM_SO_MOI'!$C$13)</f>
        <v>0.015</v>
      </c>
      <c r="J3832" s="75">
        <f>'THAM_SO_MOI'!$C$40*('THAM_SO_MOI'!$C$23*(E3832/'THAM_SO_MOI'!$C$22)+'THAM_SO_MOI'!$C$24*(E3832/'THAM_SO_MOI'!$C$22)^2-'THAM_SO_MOI'!$C$25*(E3832/'THAM_SO_MOI'!$C$22)^3)</f>
        <v>89.76130119698595</v>
      </c>
      <c r="K3832" s="75">
        <f>'THAM_SO_MOI'!$C$31*J3832/E3832</f>
        <v>428.7734108194103</v>
      </c>
      <c r="L3832" s="75">
        <f>K3832*'THAM_SO_MOI'!$C$53*'THAM_SO_MOI'!$C$17/'THAM_SO_MOI'!$C$26</f>
        <v>3760.344490663103</v>
      </c>
      <c r="M3832" s="75">
        <f>'THAM_SO_MOI'!$C$15*'THAM_SO_MOI'!$C$16*F3832^2</f>
        <v>1204.6214922811905</v>
      </c>
      <c r="N3832" s="75">
        <f>'THAM_SO_MOI'!$C$12*I3832</f>
        <v>1130.112</v>
      </c>
      <c r="O3832" s="75">
        <f>M3832+N3832</f>
        <v>2334.7334922811906</v>
      </c>
      <c r="P3832" s="75">
        <f>(MIN(L3832,'THAM_SO_MOI'!$C$41)-O3832)/('THAM_SO_MOI'!$C$11*H3832)</f>
        <v>0.16875130189179835</v>
      </c>
      <c r="Q3832" s="75">
        <f>IF(P3832&gt;0,1/P3832,NA())</f>
        <v>5.925880208267608</v>
      </c>
      <c r="R3832" s="75">
        <f>F3832-F3831</f>
        <v>0.007388554569875083</v>
      </c>
      <c r="S3832" s="75">
        <f>0.5*(Q3831+Q3832)*R3832</f>
        <v>0.04377182214788898</v>
      </c>
      <c r="T3832" s="75">
        <f>0.5*(F3831*Q3831+F3832*Q3832)*R3832</f>
        <v>0.8881328821622781</v>
      </c>
      <c r="U3832" s="76">
        <f>U3831+S3832</f>
        <v>49.572763122515724</v>
      </c>
      <c r="V3832" s="76">
        <f>V3831+T3832</f>
        <v>671.3666819003353</v>
      </c>
    </row>
    <row r="3833" spans="1:22" ht="19" customHeight="1">
      <c r="A3833" s="68" t="s">
        <v>378</v>
      </c>
      <c r="B3833" s="74">
        <v>5</v>
      </c>
      <c r="C3833" s="68" t="s">
        <v>363</v>
      </c>
      <c r="D3833" s="68" t="s">
        <v>364</v>
      </c>
      <c r="E3833" s="75">
        <f>60*F3833*'THAM_SO_MOI'!$C$53/(2*PI()*'THAM_SO_MOI'!$C$26)</f>
        <v>2000.1966759061204</v>
      </c>
      <c r="F3833" s="75">
        <f>'HANH_TRINH'!$F$3289+('THAM_SO_MOI'!$C$14-'HANH_TRINH'!$F$3289)*543/'THAM_SO_MOI'!$C$42</f>
        <v>20.30114147554289</v>
      </c>
      <c r="G3833" s="75">
        <f>3.6*F3833</f>
        <v>73.0841093119544</v>
      </c>
      <c r="H3833" s="75">
        <f>'THAM_SO_MOI'!$D$53</f>
        <v>1.1</v>
      </c>
      <c r="I3833" s="75">
        <f>IF(F3833&gt;'THAM_SO_MOI'!$C$14,'THAM_SO_MOI'!$C$13*(1+F3833^2/1500),'THAM_SO_MOI'!$C$13)</f>
        <v>0.015</v>
      </c>
      <c r="J3833" s="75">
        <f>'THAM_SO_MOI'!$C$40*('THAM_SO_MOI'!$C$23*(E3833/'THAM_SO_MOI'!$C$22)+'THAM_SO_MOI'!$C$24*(E3833/'THAM_SO_MOI'!$C$22)^2-'THAM_SO_MOI'!$C$25*(E3833/'THAM_SO_MOI'!$C$22)^3)</f>
        <v>89.79644899661885</v>
      </c>
      <c r="K3833" s="75">
        <f>'THAM_SO_MOI'!$C$31*J3833/E3833</f>
        <v>428.7851932469457</v>
      </c>
      <c r="L3833" s="75">
        <f>K3833*'THAM_SO_MOI'!$C$53*'THAM_SO_MOI'!$C$17/'THAM_SO_MOI'!$C$26</f>
        <v>3760.4478225986927</v>
      </c>
      <c r="M3833" s="75">
        <f>'THAM_SO_MOI'!$C$15*'THAM_SO_MOI'!$C$16*F3833^2</f>
        <v>1205.498809739273</v>
      </c>
      <c r="N3833" s="75">
        <f>'THAM_SO_MOI'!$C$12*I3833</f>
        <v>1130.112</v>
      </c>
      <c r="O3833" s="75">
        <f>M3833+N3833</f>
        <v>2335.610809739273</v>
      </c>
      <c r="P3833" s="75">
        <f>(MIN(L3833,'THAM_SO_MOI'!$C$41)-O3833)/('THAM_SO_MOI'!$C$11*H3833)</f>
        <v>0.1686596842873366</v>
      </c>
      <c r="Q3833" s="75">
        <f>IF(P3833&gt;0,1/P3833,NA())</f>
        <v>5.929099204860083</v>
      </c>
      <c r="R3833" s="75">
        <f>F3833-F3832</f>
        <v>0.0073885545698715305</v>
      </c>
      <c r="S3833" s="75">
        <f>0.5*(Q3832+Q3833)*R3833</f>
        <v>0.043795581159298755</v>
      </c>
      <c r="T3833" s="75">
        <f>0.5*(F3832*Q3832+F3833*Q3833)*R3833</f>
        <v>0.8889385400297379</v>
      </c>
      <c r="U3833" s="76">
        <f>U3832+S3833</f>
        <v>49.616558703675025</v>
      </c>
      <c r="V3833" s="76">
        <f>V3832+T3833</f>
        <v>672.255620440365</v>
      </c>
    </row>
    <row r="3834" spans="1:22" ht="19" customHeight="1">
      <c r="A3834" s="68" t="s">
        <v>378</v>
      </c>
      <c r="B3834" s="74">
        <v>5</v>
      </c>
      <c r="C3834" s="68" t="s">
        <v>363</v>
      </c>
      <c r="D3834" s="68" t="s">
        <v>364</v>
      </c>
      <c r="E3834" s="75">
        <f>60*F3834*'THAM_SO_MOI'!$C$53/(2*PI()*'THAM_SO_MOI'!$C$26)</f>
        <v>2000.9246429668992</v>
      </c>
      <c r="F3834" s="75">
        <f>'HANH_TRINH'!$F$3289+('THAM_SO_MOI'!$C$14-'HANH_TRINH'!$F$3289)*544/'THAM_SO_MOI'!$C$42</f>
        <v>20.308530030112763</v>
      </c>
      <c r="G3834" s="75">
        <f>3.6*F3834</f>
        <v>73.11070810840594</v>
      </c>
      <c r="H3834" s="75">
        <f>'THAM_SO_MOI'!$D$53</f>
        <v>1.1</v>
      </c>
      <c r="I3834" s="75">
        <f>IF(F3834&gt;'THAM_SO_MOI'!$C$14,'THAM_SO_MOI'!$C$13*(1+F3834^2/1500),'THAM_SO_MOI'!$C$13)</f>
        <v>0.015</v>
      </c>
      <c r="J3834" s="75">
        <f>'THAM_SO_MOI'!$C$40*('THAM_SO_MOI'!$C$23*(E3834/'THAM_SO_MOI'!$C$22)+'THAM_SO_MOI'!$C$24*(E3834/'THAM_SO_MOI'!$C$22)^2-'THAM_SO_MOI'!$C$25*(E3834/'THAM_SO_MOI'!$C$22)^3)</f>
        <v>89.83158782173318</v>
      </c>
      <c r="K3834" s="75">
        <f>'THAM_SO_MOI'!$C$31*J3834/E3834</f>
        <v>428.7969242627759</v>
      </c>
      <c r="L3834" s="75">
        <f>K3834*'THAM_SO_MOI'!$C$53*'THAM_SO_MOI'!$C$17/'THAM_SO_MOI'!$C$26</f>
        <v>3760.5507036534273</v>
      </c>
      <c r="M3834" s="75">
        <f>'THAM_SO_MOI'!$C$15*'THAM_SO_MOI'!$C$16*F3834^2</f>
        <v>1206.3764465531765</v>
      </c>
      <c r="N3834" s="75">
        <f>'THAM_SO_MOI'!$C$12*I3834</f>
        <v>1130.112</v>
      </c>
      <c r="O3834" s="75">
        <f>M3834+N3834</f>
        <v>2336.488446553177</v>
      </c>
      <c r="P3834" s="75">
        <f>(MIN(L3834,'THAM_SO_MOI'!$C$41)-O3834)/('THAM_SO_MOI'!$C$11*H3834)</f>
        <v>0.16856797550902586</v>
      </c>
      <c r="Q3834" s="75">
        <f>IF(P3834&gt;0,1/P3834,NA())</f>
        <v>5.932324909166722</v>
      </c>
      <c r="R3834" s="75">
        <f>F3834-F3833</f>
        <v>0.0073885545698715305</v>
      </c>
      <c r="S3834" s="75">
        <f>0.5*(Q3833+Q3834)*R3834</f>
        <v>0.04381938967143856</v>
      </c>
      <c r="T3834" s="75">
        <f>0.5*(F3833*Q3833+F3834*Q3834)*R3834</f>
        <v>0.8897455540911152</v>
      </c>
      <c r="U3834" s="76">
        <f>U3833+S3834</f>
        <v>49.660378093346466</v>
      </c>
      <c r="V3834" s="76">
        <f>V3833+T3834</f>
        <v>673.145365994456</v>
      </c>
    </row>
    <row r="3835" spans="1:22" ht="19" customHeight="1">
      <c r="A3835" s="68" t="s">
        <v>378</v>
      </c>
      <c r="B3835" s="74">
        <v>5</v>
      </c>
      <c r="C3835" s="68" t="s">
        <v>363</v>
      </c>
      <c r="D3835" s="68" t="s">
        <v>364</v>
      </c>
      <c r="E3835" s="75">
        <f>60*F3835*'THAM_SO_MOI'!$C$53/(2*PI()*'THAM_SO_MOI'!$C$26)</f>
        <v>2001.652610027678</v>
      </c>
      <c r="F3835" s="75">
        <f>'HANH_TRINH'!$F$3289+('THAM_SO_MOI'!$C$14-'HANH_TRINH'!$F$3289)*545/'THAM_SO_MOI'!$C$42</f>
        <v>20.315918584682635</v>
      </c>
      <c r="G3835" s="75">
        <f>3.6*F3835</f>
        <v>73.13730690485748</v>
      </c>
      <c r="H3835" s="75">
        <f>'THAM_SO_MOI'!$D$53</f>
        <v>1.1</v>
      </c>
      <c r="I3835" s="75">
        <f>IF(F3835&gt;'THAM_SO_MOI'!$C$14,'THAM_SO_MOI'!$C$13*(1+F3835^2/1500),'THAM_SO_MOI'!$C$13)</f>
        <v>0.015</v>
      </c>
      <c r="J3835" s="75">
        <f>'THAM_SO_MOI'!$C$40*('THAM_SO_MOI'!$C$23*(E3835/'THAM_SO_MOI'!$C$22)+'THAM_SO_MOI'!$C$24*(E3835/'THAM_SO_MOI'!$C$22)^2-'THAM_SO_MOI'!$C$25*(E3835/'THAM_SO_MOI'!$C$22)^3)</f>
        <v>89.86671766057339</v>
      </c>
      <c r="K3835" s="75">
        <f>'THAM_SO_MOI'!$C$31*J3835/E3835</f>
        <v>428.80860386690057</v>
      </c>
      <c r="L3835" s="75">
        <f>K3835*'THAM_SO_MOI'!$C$53*'THAM_SO_MOI'!$C$17/'THAM_SO_MOI'!$C$26</f>
        <v>3760.6531338273026</v>
      </c>
      <c r="M3835" s="75">
        <f>'THAM_SO_MOI'!$C$15*'THAM_SO_MOI'!$C$16*F3835^2</f>
        <v>1207.2544027229007</v>
      </c>
      <c r="N3835" s="75">
        <f>'THAM_SO_MOI'!$C$12*I3835</f>
        <v>1130.112</v>
      </c>
      <c r="O3835" s="75">
        <f>M3835+N3835</f>
        <v>2337.3664027229006</v>
      </c>
      <c r="P3835" s="75">
        <f>(MIN(L3835,'THAM_SO_MOI'!$C$41)-O3835)/('THAM_SO_MOI'!$C$11*H3835)</f>
        <v>0.16847617555686575</v>
      </c>
      <c r="Q3835" s="75">
        <f>IF(P3835&gt;0,1/P3835,NA())</f>
        <v>5.9355573373783646</v>
      </c>
      <c r="R3835" s="75">
        <f>F3835-F3834</f>
        <v>0.0073885545698715305</v>
      </c>
      <c r="S3835" s="75">
        <f>0.5*(Q3834+Q3835)*R3835</f>
        <v>0.04384324780370395</v>
      </c>
      <c r="T3835" s="75">
        <f>0.5*(F3834*Q3834+F3835*Q3835)*R3835</f>
        <v>0.8905539278688172</v>
      </c>
      <c r="U3835" s="76">
        <f>U3834+S3835</f>
        <v>49.70422134115017</v>
      </c>
      <c r="V3835" s="76">
        <f>V3834+T3835</f>
        <v>674.0359199223249</v>
      </c>
    </row>
    <row r="3836" spans="1:22" ht="19" customHeight="1">
      <c r="A3836" s="68" t="s">
        <v>378</v>
      </c>
      <c r="B3836" s="74">
        <v>5</v>
      </c>
      <c r="C3836" s="68" t="s">
        <v>363</v>
      </c>
      <c r="D3836" s="68" t="s">
        <v>364</v>
      </c>
      <c r="E3836" s="75">
        <f>60*F3836*'THAM_SO_MOI'!$C$53/(2*PI()*'THAM_SO_MOI'!$C$26)</f>
        <v>2002.3805770884571</v>
      </c>
      <c r="F3836" s="75">
        <f>'HANH_TRINH'!$F$3289+('THAM_SO_MOI'!$C$14-'HANH_TRINH'!$F$3289)*546/'THAM_SO_MOI'!$C$42</f>
        <v>20.323307139252506</v>
      </c>
      <c r="G3836" s="75">
        <f>3.6*F3836</f>
        <v>73.16390570130902</v>
      </c>
      <c r="H3836" s="75">
        <f>'THAM_SO_MOI'!$D$53</f>
        <v>1.1</v>
      </c>
      <c r="I3836" s="75">
        <f>IF(F3836&gt;'THAM_SO_MOI'!$C$14,'THAM_SO_MOI'!$C$13*(1+F3836^2/1500),'THAM_SO_MOI'!$C$13)</f>
        <v>0.015</v>
      </c>
      <c r="J3836" s="75">
        <f>'THAM_SO_MOI'!$C$40*('THAM_SO_MOI'!$C$23*(E3836/'THAM_SO_MOI'!$C$22)+'THAM_SO_MOI'!$C$24*(E3836/'THAM_SO_MOI'!$C$22)^2-'THAM_SO_MOI'!$C$25*(E3836/'THAM_SO_MOI'!$C$22)^3)</f>
        <v>89.90183850138399</v>
      </c>
      <c r="K3836" s="75">
        <f>'THAM_SO_MOI'!$C$31*J3836/E3836</f>
        <v>428.82023205931995</v>
      </c>
      <c r="L3836" s="75">
        <f>K3836*'THAM_SO_MOI'!$C$53*'THAM_SO_MOI'!$C$17/'THAM_SO_MOI'!$C$26</f>
        <v>3760.755113120321</v>
      </c>
      <c r="M3836" s="75">
        <f>'THAM_SO_MOI'!$C$15*'THAM_SO_MOI'!$C$16*F3836^2</f>
        <v>1208.1326782484464</v>
      </c>
      <c r="N3836" s="75">
        <f>'THAM_SO_MOI'!$C$12*I3836</f>
        <v>1130.112</v>
      </c>
      <c r="O3836" s="75">
        <f>M3836+N3836</f>
        <v>2338.2446782484467</v>
      </c>
      <c r="P3836" s="75">
        <f>(MIN(L3836,'THAM_SO_MOI'!$C$41)-O3836)/('THAM_SO_MOI'!$C$11*H3836)</f>
        <v>0.16838428443085632</v>
      </c>
      <c r="Q3836" s="75">
        <f>IF(P3836&gt;0,1/P3836,NA())</f>
        <v>5.938796505742971</v>
      </c>
      <c r="R3836" s="75">
        <f>F3836-F3835</f>
        <v>0.0073885545698715305</v>
      </c>
      <c r="S3836" s="75">
        <f>0.5*(Q3835+Q3836)*R3836</f>
        <v>0.043867155675932856</v>
      </c>
      <c r="T3836" s="75">
        <f>0.5*(F3835*Q3835+F3836*Q3836)*R3836</f>
        <v>0.8913636648977674</v>
      </c>
      <c r="U3836" s="76">
        <f>U3835+S3836</f>
        <v>49.74808849682611</v>
      </c>
      <c r="V3836" s="76">
        <f>V3835+T3836</f>
        <v>674.9272835872226</v>
      </c>
    </row>
    <row r="3837" spans="1:22" ht="19" customHeight="1">
      <c r="A3837" s="68" t="s">
        <v>378</v>
      </c>
      <c r="B3837" s="74">
        <v>5</v>
      </c>
      <c r="C3837" s="68" t="s">
        <v>363</v>
      </c>
      <c r="D3837" s="68" t="s">
        <v>364</v>
      </c>
      <c r="E3837" s="75">
        <f>60*F3837*'THAM_SO_MOI'!$C$53/(2*PI()*'THAM_SO_MOI'!$C$26)</f>
        <v>2003.108544149236</v>
      </c>
      <c r="F3837" s="75">
        <f>'HANH_TRINH'!$F$3289+('THAM_SO_MOI'!$C$14-'HANH_TRINH'!$F$3289)*547/'THAM_SO_MOI'!$C$42</f>
        <v>20.330695693822378</v>
      </c>
      <c r="G3837" s="75">
        <f>3.6*F3837</f>
        <v>73.19050449776056</v>
      </c>
      <c r="H3837" s="75">
        <f>'THAM_SO_MOI'!$D$53</f>
        <v>1.1</v>
      </c>
      <c r="I3837" s="75">
        <f>IF(F3837&gt;'THAM_SO_MOI'!$C$14,'THAM_SO_MOI'!$C$13*(1+F3837^2/1500),'THAM_SO_MOI'!$C$13)</f>
        <v>0.015</v>
      </c>
      <c r="J3837" s="75">
        <f>'THAM_SO_MOI'!$C$40*('THAM_SO_MOI'!$C$23*(E3837/'THAM_SO_MOI'!$C$22)+'THAM_SO_MOI'!$C$24*(E3837/'THAM_SO_MOI'!$C$22)^2-'THAM_SO_MOI'!$C$25*(E3837/'THAM_SO_MOI'!$C$22)^3)</f>
        <v>89.93695033240941</v>
      </c>
      <c r="K3837" s="75">
        <f>'THAM_SO_MOI'!$C$31*J3837/E3837</f>
        <v>428.83180884003366</v>
      </c>
      <c r="L3837" s="75">
        <f>K3837*'THAM_SO_MOI'!$C$53*'THAM_SO_MOI'!$C$17/'THAM_SO_MOI'!$C$26</f>
        <v>3760.85664153248</v>
      </c>
      <c r="M3837" s="75">
        <f>'THAM_SO_MOI'!$C$15*'THAM_SO_MOI'!$C$16*F3837^2</f>
        <v>1209.0112731298127</v>
      </c>
      <c r="N3837" s="75">
        <f>'THAM_SO_MOI'!$C$12*I3837</f>
        <v>1130.112</v>
      </c>
      <c r="O3837" s="75">
        <f>M3837+N3837</f>
        <v>2339.123273129813</v>
      </c>
      <c r="P3837" s="75">
        <f>(MIN(L3837,'THAM_SO_MOI'!$C$41)-O3837)/('THAM_SO_MOI'!$C$11*H3837)</f>
        <v>0.16829230213099752</v>
      </c>
      <c r="Q3837" s="75">
        <f>IF(P3837&gt;0,1/P3837,NA())</f>
        <v>5.9420424305658806</v>
      </c>
      <c r="R3837" s="75">
        <f>F3837-F3836</f>
        <v>0.0073885545698715305</v>
      </c>
      <c r="S3837" s="75">
        <f>0.5*(Q3836+Q3837)*R3837</f>
        <v>0.04389111340838619</v>
      </c>
      <c r="T3837" s="75">
        <f>0.5*(F3836*Q3836+F3837*Q3837)*R3837</f>
        <v>0.89217476872503</v>
      </c>
      <c r="U3837" s="76">
        <f>U3836+S3837</f>
        <v>49.79197961023449</v>
      </c>
      <c r="V3837" s="76">
        <f>V3836+T3837</f>
        <v>675.8194583559476</v>
      </c>
    </row>
    <row r="3838" spans="1:22" ht="19" customHeight="1">
      <c r="A3838" s="68" t="s">
        <v>378</v>
      </c>
      <c r="B3838" s="74">
        <v>5</v>
      </c>
      <c r="C3838" s="68" t="s">
        <v>363</v>
      </c>
      <c r="D3838" s="68" t="s">
        <v>364</v>
      </c>
      <c r="E3838" s="75">
        <f>60*F3838*'THAM_SO_MOI'!$C$53/(2*PI()*'THAM_SO_MOI'!$C$26)</f>
        <v>2003.8365112100148</v>
      </c>
      <c r="F3838" s="75">
        <f>'HANH_TRINH'!$F$3289+('THAM_SO_MOI'!$C$14-'HANH_TRINH'!$F$3289)*548/'THAM_SO_MOI'!$C$42</f>
        <v>20.33808424839225</v>
      </c>
      <c r="G3838" s="75">
        <f>3.6*F3838</f>
        <v>73.2171032942121</v>
      </c>
      <c r="H3838" s="75">
        <f>'THAM_SO_MOI'!$D$53</f>
        <v>1.1</v>
      </c>
      <c r="I3838" s="75">
        <f>IF(F3838&gt;'THAM_SO_MOI'!$C$14,'THAM_SO_MOI'!$C$13*(1+F3838^2/1500),'THAM_SO_MOI'!$C$13)</f>
        <v>0.015</v>
      </c>
      <c r="J3838" s="75">
        <f>'THAM_SO_MOI'!$C$40*('THAM_SO_MOI'!$C$23*(E3838/'THAM_SO_MOI'!$C$22)+'THAM_SO_MOI'!$C$24*(E3838/'THAM_SO_MOI'!$C$22)^2-'THAM_SO_MOI'!$C$25*(E3838/'THAM_SO_MOI'!$C$22)^3)</f>
        <v>89.97205314189418</v>
      </c>
      <c r="K3838" s="75">
        <f>'THAM_SO_MOI'!$C$31*J3838/E3838</f>
        <v>428.84333420904215</v>
      </c>
      <c r="L3838" s="75">
        <f>K3838*'THAM_SO_MOI'!$C$53*'THAM_SO_MOI'!$C$17/'THAM_SO_MOI'!$C$26</f>
        <v>3760.9577190637824</v>
      </c>
      <c r="M3838" s="75">
        <f>'THAM_SO_MOI'!$C$15*'THAM_SO_MOI'!$C$16*F3838^2</f>
        <v>1209.8901873670004</v>
      </c>
      <c r="N3838" s="75">
        <f>'THAM_SO_MOI'!$C$12*I3838</f>
        <v>1130.112</v>
      </c>
      <c r="O3838" s="75">
        <f>M3838+N3838</f>
        <v>2340.0021873670003</v>
      </c>
      <c r="P3838" s="75">
        <f>(MIN(L3838,'THAM_SO_MOI'!$C$41)-O3838)/('THAM_SO_MOI'!$C$11*H3838)</f>
        <v>0.1682002286572895</v>
      </c>
      <c r="Q3838" s="75">
        <f>IF(P3838&gt;0,1/P3838,NA())</f>
        <v>5.945295128210051</v>
      </c>
      <c r="R3838" s="75">
        <f>F3838-F3837</f>
        <v>0.0073885545698715305</v>
      </c>
      <c r="S3838" s="75">
        <f>0.5*(Q3837+Q3838)*R3838</f>
        <v>0.0439151211217497</v>
      </c>
      <c r="T3838" s="75">
        <f>0.5*(F3837*Q3837+F3838*Q3838)*R3838</f>
        <v>0.8929872429098616</v>
      </c>
      <c r="U3838" s="76">
        <f>U3837+S3838</f>
        <v>49.83589473135624</v>
      </c>
      <c r="V3838" s="76">
        <f>V3837+T3838</f>
        <v>676.7124455988575</v>
      </c>
    </row>
    <row r="3839" spans="1:22" ht="19" customHeight="1">
      <c r="A3839" s="68" t="s">
        <v>378</v>
      </c>
      <c r="B3839" s="74">
        <v>5</v>
      </c>
      <c r="C3839" s="68" t="s">
        <v>363</v>
      </c>
      <c r="D3839" s="68" t="s">
        <v>364</v>
      </c>
      <c r="E3839" s="75">
        <f>60*F3839*'THAM_SO_MOI'!$C$53/(2*PI()*'THAM_SO_MOI'!$C$26)</f>
        <v>2004.5644782707936</v>
      </c>
      <c r="F3839" s="75">
        <f>'HANH_TRINH'!$F$3289+('THAM_SO_MOI'!$C$14-'HANH_TRINH'!$F$3289)*549/'THAM_SO_MOI'!$C$42</f>
        <v>20.34547280296212</v>
      </c>
      <c r="G3839" s="75">
        <f>3.6*F3839</f>
        <v>73.24370209066363</v>
      </c>
      <c r="H3839" s="75">
        <f>'THAM_SO_MOI'!$D$53</f>
        <v>1.1</v>
      </c>
      <c r="I3839" s="75">
        <f>IF(F3839&gt;'THAM_SO_MOI'!$C$14,'THAM_SO_MOI'!$C$13*(1+F3839^2/1500),'THAM_SO_MOI'!$C$13)</f>
        <v>0.015</v>
      </c>
      <c r="J3839" s="75">
        <f>'THAM_SO_MOI'!$C$40*('THAM_SO_MOI'!$C$23*(E3839/'THAM_SO_MOI'!$C$22)+'THAM_SO_MOI'!$C$24*(E3839/'THAM_SO_MOI'!$C$22)^2-'THAM_SO_MOI'!$C$25*(E3839/'THAM_SO_MOI'!$C$22)^3)</f>
        <v>90.00714691808277</v>
      </c>
      <c r="K3839" s="75">
        <f>'THAM_SO_MOI'!$C$31*J3839/E3839</f>
        <v>428.85480816634515</v>
      </c>
      <c r="L3839" s="75">
        <f>K3839*'THAM_SO_MOI'!$C$53*'THAM_SO_MOI'!$C$17/'THAM_SO_MOI'!$C$26</f>
        <v>3761.058345714227</v>
      </c>
      <c r="M3839" s="75">
        <f>'THAM_SO_MOI'!$C$15*'THAM_SO_MOI'!$C$16*F3839^2</f>
        <v>1210.7694209600088</v>
      </c>
      <c r="N3839" s="75">
        <f>'THAM_SO_MOI'!$C$12*I3839</f>
        <v>1130.112</v>
      </c>
      <c r="O3839" s="75">
        <f>M3839+N3839</f>
        <v>2340.8814209600087</v>
      </c>
      <c r="P3839" s="75">
        <f>(MIN(L3839,'THAM_SO_MOI'!$C$41)-O3839)/('THAM_SO_MOI'!$C$11*H3839)</f>
        <v>0.16810806400973224</v>
      </c>
      <c r="Q3839" s="75">
        <f>IF(P3839&gt;0,1/P3839,NA())</f>
        <v>5.948554615096318</v>
      </c>
      <c r="R3839" s="75">
        <f>F3839-F3838</f>
        <v>0.0073885545698715305</v>
      </c>
      <c r="S3839" s="75">
        <f>0.5*(Q3838+Q3839)*R3839</f>
        <v>0.0439391789371358</v>
      </c>
      <c r="T3839" s="75">
        <f>0.5*(F3838*Q3838+F3839*Q3839)*R3839</f>
        <v>0.8938010910237656</v>
      </c>
      <c r="U3839" s="76">
        <f>U3838+S3839</f>
        <v>49.87983391029338</v>
      </c>
      <c r="V3839" s="76">
        <f>V3838+T3839</f>
        <v>677.6062466898812</v>
      </c>
    </row>
    <row r="3840" spans="1:22" ht="19" customHeight="1">
      <c r="A3840" s="68" t="s">
        <v>378</v>
      </c>
      <c r="B3840" s="74">
        <v>5</v>
      </c>
      <c r="C3840" s="68" t="s">
        <v>363</v>
      </c>
      <c r="D3840" s="68" t="s">
        <v>364</v>
      </c>
      <c r="E3840" s="75">
        <f>60*F3840*'THAM_SO_MOI'!$C$53/(2*PI()*'THAM_SO_MOI'!$C$26)</f>
        <v>2005.2924453315732</v>
      </c>
      <c r="F3840" s="75">
        <f>'HANH_TRINH'!$F$3289+('THAM_SO_MOI'!$C$14-'HANH_TRINH'!$F$3289)*550/'THAM_SO_MOI'!$C$42</f>
        <v>20.352861357531996</v>
      </c>
      <c r="G3840" s="75">
        <f>3.6*F3840</f>
        <v>73.27030088711518</v>
      </c>
      <c r="H3840" s="75">
        <f>'THAM_SO_MOI'!$D$53</f>
        <v>1.1</v>
      </c>
      <c r="I3840" s="75">
        <f>IF(F3840&gt;'THAM_SO_MOI'!$C$14,'THAM_SO_MOI'!$C$13*(1+F3840^2/1500),'THAM_SO_MOI'!$C$13)</f>
        <v>0.015</v>
      </c>
      <c r="J3840" s="75">
        <f>'THAM_SO_MOI'!$C$40*('THAM_SO_MOI'!$C$23*(E3840/'THAM_SO_MOI'!$C$22)+'THAM_SO_MOI'!$C$24*(E3840/'THAM_SO_MOI'!$C$22)^2-'THAM_SO_MOI'!$C$25*(E3840/'THAM_SO_MOI'!$C$22)^3)</f>
        <v>90.0422316492197</v>
      </c>
      <c r="K3840" s="75">
        <f>'THAM_SO_MOI'!$C$31*J3840/E3840</f>
        <v>428.86623071194276</v>
      </c>
      <c r="L3840" s="75">
        <f>K3840*'THAM_SO_MOI'!$C$53*'THAM_SO_MOI'!$C$17/'THAM_SO_MOI'!$C$26</f>
        <v>3761.158521483814</v>
      </c>
      <c r="M3840" s="75">
        <f>'THAM_SO_MOI'!$C$15*'THAM_SO_MOI'!$C$16*F3840^2</f>
        <v>1211.6489739088386</v>
      </c>
      <c r="N3840" s="75">
        <f>'THAM_SO_MOI'!$C$12*I3840</f>
        <v>1130.112</v>
      </c>
      <c r="O3840" s="75">
        <f>M3840+N3840</f>
        <v>2341.7609739088384</v>
      </c>
      <c r="P3840" s="75">
        <f>(MIN(L3840,'THAM_SO_MOI'!$C$41)-O3840)/('THAM_SO_MOI'!$C$11*H3840)</f>
        <v>0.16801580818832573</v>
      </c>
      <c r="Q3840" s="75">
        <f>IF(P3840&gt;0,1/P3840,NA())</f>
        <v>5.951820907703631</v>
      </c>
      <c r="R3840" s="75">
        <f>F3840-F3839</f>
        <v>0.007388554569875083</v>
      </c>
      <c r="S3840" s="75">
        <f>0.5*(Q3839+Q3840)*R3840</f>
        <v>0.043963286976106575</v>
      </c>
      <c r="T3840" s="75">
        <f>0.5*(F3839*Q3839+F3840*Q3840)*R3840</f>
        <v>0.8946163166509736</v>
      </c>
      <c r="U3840" s="76">
        <f>U3839+S3840</f>
        <v>49.92379719726949</v>
      </c>
      <c r="V3840" s="76">
        <f>V3839+T3840</f>
        <v>678.5008630065322</v>
      </c>
    </row>
    <row r="3841" spans="1:22" ht="19" customHeight="1">
      <c r="A3841" s="68" t="s">
        <v>378</v>
      </c>
      <c r="B3841" s="74">
        <v>5</v>
      </c>
      <c r="C3841" s="68" t="s">
        <v>363</v>
      </c>
      <c r="D3841" s="68" t="s">
        <v>364</v>
      </c>
      <c r="E3841" s="75">
        <f>60*F3841*'THAM_SO_MOI'!$C$53/(2*PI()*'THAM_SO_MOI'!$C$26)</f>
        <v>2006.0204123923518</v>
      </c>
      <c r="F3841" s="75">
        <f>'HANH_TRINH'!$F$3289+('THAM_SO_MOI'!$C$14-'HANH_TRINH'!$F$3289)*551/'THAM_SO_MOI'!$C$42</f>
        <v>20.360249912101867</v>
      </c>
      <c r="G3841" s="75">
        <f>3.6*F3841</f>
        <v>73.29689968356672</v>
      </c>
      <c r="H3841" s="75">
        <f>'THAM_SO_MOI'!$D$53</f>
        <v>1.1</v>
      </c>
      <c r="I3841" s="75">
        <f>IF(F3841&gt;'THAM_SO_MOI'!$C$14,'THAM_SO_MOI'!$C$13*(1+F3841^2/1500),'THAM_SO_MOI'!$C$13)</f>
        <v>0.015</v>
      </c>
      <c r="J3841" s="75">
        <f>'THAM_SO_MOI'!$C$40*('THAM_SO_MOI'!$C$23*(E3841/'THAM_SO_MOI'!$C$22)+'THAM_SO_MOI'!$C$24*(E3841/'THAM_SO_MOI'!$C$22)^2-'THAM_SO_MOI'!$C$25*(E3841/'THAM_SO_MOI'!$C$22)^3)</f>
        <v>90.07730732354936</v>
      </c>
      <c r="K3841" s="75">
        <f>'THAM_SO_MOI'!$C$31*J3841/E3841</f>
        <v>428.87760184583476</v>
      </c>
      <c r="L3841" s="75">
        <f>K3841*'THAM_SO_MOI'!$C$53*'THAM_SO_MOI'!$C$17/'THAM_SO_MOI'!$C$26</f>
        <v>3761.258246372542</v>
      </c>
      <c r="M3841" s="75">
        <f>'THAM_SO_MOI'!$C$15*'THAM_SO_MOI'!$C$16*F3841^2</f>
        <v>1212.528846213489</v>
      </c>
      <c r="N3841" s="75">
        <f>'THAM_SO_MOI'!$C$12*I3841</f>
        <v>1130.112</v>
      </c>
      <c r="O3841" s="75">
        <f>M3841+N3841</f>
        <v>2342.640846213489</v>
      </c>
      <c r="P3841" s="75">
        <f>(MIN(L3841,'THAM_SO_MOI'!$C$41)-O3841)/('THAM_SO_MOI'!$C$11*H3841)</f>
        <v>0.16792346119306972</v>
      </c>
      <c r="Q3841" s="75">
        <f>IF(P3841&gt;0,1/P3841,NA())</f>
        <v>5.955094022569316</v>
      </c>
      <c r="R3841" s="75">
        <f>F3841-F3840</f>
        <v>0.0073885545698715305</v>
      </c>
      <c r="S3841" s="75">
        <f>0.5*(Q3840+Q3841)*R3841</f>
        <v>0.04398744536056987</v>
      </c>
      <c r="T3841" s="75">
        <f>0.5*(F3840*Q3840+F3841*Q3841)*R3841</f>
        <v>0.89543292338635</v>
      </c>
      <c r="U3841" s="76">
        <f>U3840+S3841</f>
        <v>49.96778464263006</v>
      </c>
      <c r="V3841" s="76">
        <f>V3840+T3841</f>
        <v>679.3962959299186</v>
      </c>
    </row>
    <row r="3842" spans="1:22" ht="19" customHeight="1">
      <c r="A3842" s="68" t="s">
        <v>378</v>
      </c>
      <c r="B3842" s="74">
        <v>5</v>
      </c>
      <c r="C3842" s="68" t="s">
        <v>363</v>
      </c>
      <c r="D3842" s="68" t="s">
        <v>364</v>
      </c>
      <c r="E3842" s="75">
        <f>60*F3842*'THAM_SO_MOI'!$C$53/(2*PI()*'THAM_SO_MOI'!$C$26)</f>
        <v>2006.7483794531308</v>
      </c>
      <c r="F3842" s="75">
        <f>'HANH_TRINH'!$F$3289+('THAM_SO_MOI'!$C$14-'HANH_TRINH'!$F$3289)*552/'THAM_SO_MOI'!$C$42</f>
        <v>20.36763846667174</v>
      </c>
      <c r="G3842" s="75">
        <f>3.6*F3842</f>
        <v>73.32349848001826</v>
      </c>
      <c r="H3842" s="75">
        <f>'THAM_SO_MOI'!$D$53</f>
        <v>1.1</v>
      </c>
      <c r="I3842" s="75">
        <f>IF(F3842&gt;'THAM_SO_MOI'!$C$14,'THAM_SO_MOI'!$C$13*(1+F3842^2/1500),'THAM_SO_MOI'!$C$13)</f>
        <v>0.015</v>
      </c>
      <c r="J3842" s="75">
        <f>'THAM_SO_MOI'!$C$40*('THAM_SO_MOI'!$C$23*(E3842/'THAM_SO_MOI'!$C$22)+'THAM_SO_MOI'!$C$24*(E3842/'THAM_SO_MOI'!$C$22)^2-'THAM_SO_MOI'!$C$25*(E3842/'THAM_SO_MOI'!$C$22)^3)</f>
        <v>90.11237392931633</v>
      </c>
      <c r="K3842" s="75">
        <f>'THAM_SO_MOI'!$C$31*J3842/E3842</f>
        <v>428.8889215680215</v>
      </c>
      <c r="L3842" s="75">
        <f>K3842*'THAM_SO_MOI'!$C$53*'THAM_SO_MOI'!$C$17/'THAM_SO_MOI'!$C$26</f>
        <v>3761.3575203804135</v>
      </c>
      <c r="M3842" s="75">
        <f>'THAM_SO_MOI'!$C$15*'THAM_SO_MOI'!$C$16*F3842^2</f>
        <v>1213.4090378739604</v>
      </c>
      <c r="N3842" s="75">
        <f>'THAM_SO_MOI'!$C$12*I3842</f>
        <v>1130.112</v>
      </c>
      <c r="O3842" s="75">
        <f>M3842+N3842</f>
        <v>2343.5210378739603</v>
      </c>
      <c r="P3842" s="75">
        <f>(MIN(L3842,'THAM_SO_MOI'!$C$41)-O3842)/('THAM_SO_MOI'!$C$11*H3842)</f>
        <v>0.16783102302396458</v>
      </c>
      <c r="Q3842" s="75">
        <f>IF(P3842&gt;0,1/P3842,NA())</f>
        <v>5.958373976289295</v>
      </c>
      <c r="R3842" s="75">
        <f>F3842-F3841</f>
        <v>0.0073885545698715305</v>
      </c>
      <c r="S3842" s="75">
        <f>0.5*(Q3841+Q3842)*R3842</f>
        <v>0.04401165421299251</v>
      </c>
      <c r="T3842" s="75">
        <f>0.5*(F3841*Q3841+F3842*Q3842)*R3842</f>
        <v>0.8962509148397442</v>
      </c>
      <c r="U3842" s="76">
        <f>U3841+S3842</f>
        <v>50.01179629684305</v>
      </c>
      <c r="V3842" s="76">
        <f>V3841+T3842</f>
        <v>680.2925468447582</v>
      </c>
    </row>
    <row r="3843" spans="1:22" ht="19" customHeight="1">
      <c r="A3843" s="68" t="s">
        <v>378</v>
      </c>
      <c r="B3843" s="74">
        <v>5</v>
      </c>
      <c r="C3843" s="68" t="s">
        <v>363</v>
      </c>
      <c r="D3843" s="68" t="s">
        <v>364</v>
      </c>
      <c r="E3843" s="75">
        <f>60*F3843*'THAM_SO_MOI'!$C$53/(2*PI()*'THAM_SO_MOI'!$C$26)</f>
        <v>2007.4763465139097</v>
      </c>
      <c r="F3843" s="75">
        <f>'HANH_TRINH'!$F$3289+('THAM_SO_MOI'!$C$14-'HANH_TRINH'!$F$3289)*553/'THAM_SO_MOI'!$C$42</f>
        <v>20.37502702124161</v>
      </c>
      <c r="G3843" s="75">
        <f>3.6*F3843</f>
        <v>73.3500972764698</v>
      </c>
      <c r="H3843" s="75">
        <f>'THAM_SO_MOI'!$D$53</f>
        <v>1.1</v>
      </c>
      <c r="I3843" s="75">
        <f>IF(F3843&gt;'THAM_SO_MOI'!$C$14,'THAM_SO_MOI'!$C$13*(1+F3843^2/1500),'THAM_SO_MOI'!$C$13)</f>
        <v>0.015</v>
      </c>
      <c r="J3843" s="75">
        <f>'THAM_SO_MOI'!$C$40*('THAM_SO_MOI'!$C$23*(E3843/'THAM_SO_MOI'!$C$22)+'THAM_SO_MOI'!$C$24*(E3843/'THAM_SO_MOI'!$C$22)^2-'THAM_SO_MOI'!$C$25*(E3843/'THAM_SO_MOI'!$C$22)^3)</f>
        <v>90.14743145476503</v>
      </c>
      <c r="K3843" s="75">
        <f>'THAM_SO_MOI'!$C$31*J3843/E3843</f>
        <v>428.90018987850266</v>
      </c>
      <c r="L3843" s="75">
        <f>K3843*'THAM_SO_MOI'!$C$53*'THAM_SO_MOI'!$C$17/'THAM_SO_MOI'!$C$26</f>
        <v>3761.456343507425</v>
      </c>
      <c r="M3843" s="75">
        <f>'THAM_SO_MOI'!$C$15*'THAM_SO_MOI'!$C$16*F3843^2</f>
        <v>1214.289548890253</v>
      </c>
      <c r="N3843" s="75">
        <f>'THAM_SO_MOI'!$C$12*I3843</f>
        <v>1130.112</v>
      </c>
      <c r="O3843" s="75">
        <f>M3843+N3843</f>
        <v>2344.4015488902533</v>
      </c>
      <c r="P3843" s="75">
        <f>(MIN(L3843,'THAM_SO_MOI'!$C$41)-O3843)/('THAM_SO_MOI'!$C$11*H3843)</f>
        <v>0.16773849368100993</v>
      </c>
      <c r="Q3843" s="75">
        <f>IF(P3843&gt;0,1/P3843,NA())</f>
        <v>5.961660785518383</v>
      </c>
      <c r="R3843" s="75">
        <f>F3843-F3842</f>
        <v>0.0073885545698715305</v>
      </c>
      <c r="S3843" s="75">
        <f>0.5*(Q3842+Q3843)*R3843</f>
        <v>0.044035913656190806</v>
      </c>
      <c r="T3843" s="75">
        <f>0.5*(F3842*Q3842+F3843*Q3843)*R3843</f>
        <v>0.8970702946317447</v>
      </c>
      <c r="U3843" s="76">
        <f>U3842+S3843</f>
        <v>50.05583221049924</v>
      </c>
      <c r="V3843" s="76">
        <f>V3842+T3843</f>
        <v>681.18961713939</v>
      </c>
    </row>
    <row r="3844" spans="1:22" ht="19" customHeight="1">
      <c r="A3844" s="68" t="s">
        <v>378</v>
      </c>
      <c r="B3844" s="74">
        <v>5</v>
      </c>
      <c r="C3844" s="68" t="s">
        <v>363</v>
      </c>
      <c r="D3844" s="68" t="s">
        <v>364</v>
      </c>
      <c r="E3844" s="75">
        <f>60*F3844*'THAM_SO_MOI'!$C$53/(2*PI()*'THAM_SO_MOI'!$C$26)</f>
        <v>2008.204313574689</v>
      </c>
      <c r="F3844" s="75">
        <f>'HANH_TRINH'!$F$3289+('THAM_SO_MOI'!$C$14-'HANH_TRINH'!$F$3289)*554/'THAM_SO_MOI'!$C$42</f>
        <v>20.382415575811482</v>
      </c>
      <c r="G3844" s="75">
        <f>3.6*F3844</f>
        <v>73.37669607292133</v>
      </c>
      <c r="H3844" s="75">
        <f>'THAM_SO_MOI'!$D$53</f>
        <v>1.1</v>
      </c>
      <c r="I3844" s="75">
        <f>IF(F3844&gt;'THAM_SO_MOI'!$C$14,'THAM_SO_MOI'!$C$13*(1+F3844^2/1500),'THAM_SO_MOI'!$C$13)</f>
        <v>0.015</v>
      </c>
      <c r="J3844" s="75">
        <f>'THAM_SO_MOI'!$C$40*('THAM_SO_MOI'!$C$23*(E3844/'THAM_SO_MOI'!$C$22)+'THAM_SO_MOI'!$C$24*(E3844/'THAM_SO_MOI'!$C$22)^2-'THAM_SO_MOI'!$C$25*(E3844/'THAM_SO_MOI'!$C$22)^3)</f>
        <v>90.18247988814002</v>
      </c>
      <c r="K3844" s="75">
        <f>'THAM_SO_MOI'!$C$31*J3844/E3844</f>
        <v>428.9114067772786</v>
      </c>
      <c r="L3844" s="75">
        <f>K3844*'THAM_SO_MOI'!$C$53*'THAM_SO_MOI'!$C$17/'THAM_SO_MOI'!$C$26</f>
        <v>3761.554715753582</v>
      </c>
      <c r="M3844" s="75">
        <f>'THAM_SO_MOI'!$C$15*'THAM_SO_MOI'!$C$16*F3844^2</f>
        <v>1215.1703792623664</v>
      </c>
      <c r="N3844" s="75">
        <f>'THAM_SO_MOI'!$C$12*I3844</f>
        <v>1130.112</v>
      </c>
      <c r="O3844" s="75">
        <f>M3844+N3844</f>
        <v>2345.2823792623667</v>
      </c>
      <c r="P3844" s="75">
        <f>(MIN(L3844,'THAM_SO_MOI'!$C$41)-O3844)/('THAM_SO_MOI'!$C$11*H3844)</f>
        <v>0.16764587316420637</v>
      </c>
      <c r="Q3844" s="75">
        <f>IF(P3844&gt;0,1/P3844,NA())</f>
        <v>5.964954466970484</v>
      </c>
      <c r="R3844" s="75">
        <f>F3844-F3843</f>
        <v>0.0073885545698715305</v>
      </c>
      <c r="S3844" s="75">
        <f>0.5*(Q3843+Q3844)*R3844</f>
        <v>0.044060223813438056</v>
      </c>
      <c r="T3844" s="75">
        <f>0.5*(F3843*Q3843+F3844*Q3844)*R3844</f>
        <v>0.8978910663958825</v>
      </c>
      <c r="U3844" s="76">
        <f>U3843+S3844</f>
        <v>50.09989243431268</v>
      </c>
      <c r="V3844" s="76">
        <f>V3843+T3844</f>
        <v>682.0875082057859</v>
      </c>
    </row>
    <row r="3845" spans="1:22" ht="19" customHeight="1">
      <c r="A3845" s="68" t="s">
        <v>378</v>
      </c>
      <c r="B3845" s="74">
        <v>5</v>
      </c>
      <c r="C3845" s="68" t="s">
        <v>363</v>
      </c>
      <c r="D3845" s="68" t="s">
        <v>364</v>
      </c>
      <c r="E3845" s="75">
        <f>60*F3845*'THAM_SO_MOI'!$C$53/(2*PI()*'THAM_SO_MOI'!$C$26)</f>
        <v>2008.9322806354674</v>
      </c>
      <c r="F3845" s="75">
        <f>'HANH_TRINH'!$F$3289+('THAM_SO_MOI'!$C$14-'HANH_TRINH'!$F$3289)*555/'THAM_SO_MOI'!$C$42</f>
        <v>20.389804130381354</v>
      </c>
      <c r="G3845" s="75">
        <f>3.6*F3845</f>
        <v>73.40329486937287</v>
      </c>
      <c r="H3845" s="75">
        <f>'THAM_SO_MOI'!$D$53</f>
        <v>1.1</v>
      </c>
      <c r="I3845" s="75">
        <f>IF(F3845&gt;'THAM_SO_MOI'!$C$14,'THAM_SO_MOI'!$C$13*(1+F3845^2/1500),'THAM_SO_MOI'!$C$13)</f>
        <v>0.015</v>
      </c>
      <c r="J3845" s="75">
        <f>'THAM_SO_MOI'!$C$40*('THAM_SO_MOI'!$C$23*(E3845/'THAM_SO_MOI'!$C$22)+'THAM_SO_MOI'!$C$24*(E3845/'THAM_SO_MOI'!$C$22)^2-'THAM_SO_MOI'!$C$25*(E3845/'THAM_SO_MOI'!$C$22)^3)</f>
        <v>90.21751921768569</v>
      </c>
      <c r="K3845" s="75">
        <f>'THAM_SO_MOI'!$C$31*J3845/E3845</f>
        <v>428.922572264349</v>
      </c>
      <c r="L3845" s="75">
        <f>K3845*'THAM_SO_MOI'!$C$53*'THAM_SO_MOI'!$C$17/'THAM_SO_MOI'!$C$26</f>
        <v>3761.6526371188793</v>
      </c>
      <c r="M3845" s="75">
        <f>'THAM_SO_MOI'!$C$15*'THAM_SO_MOI'!$C$16*F3845^2</f>
        <v>1216.051528990301</v>
      </c>
      <c r="N3845" s="75">
        <f>'THAM_SO_MOI'!$C$12*I3845</f>
        <v>1130.112</v>
      </c>
      <c r="O3845" s="75">
        <f>M3845+N3845</f>
        <v>2346.163528990301</v>
      </c>
      <c r="P3845" s="75">
        <f>(MIN(L3845,'THAM_SO_MOI'!$C$41)-O3845)/('THAM_SO_MOI'!$C$11*H3845)</f>
        <v>0.16755316147355329</v>
      </c>
      <c r="Q3845" s="75">
        <f>IF(P3845&gt;0,1/P3845,NA())</f>
        <v>5.96825503741892</v>
      </c>
      <c r="R3845" s="75">
        <f>F3845-F3844</f>
        <v>0.0073885545698715305</v>
      </c>
      <c r="S3845" s="75">
        <f>0.5*(Q3844+Q3845)*R3845</f>
        <v>0.044084584808445355</v>
      </c>
      <c r="T3845" s="75">
        <f>0.5*(F3844*Q3844+F3845*Q3845)*R3845</f>
        <v>0.8987132337782572</v>
      </c>
      <c r="U3845" s="76">
        <f>U3844+S3845</f>
        <v>50.143977019121124</v>
      </c>
      <c r="V3845" s="76">
        <f>V3844+T3845</f>
        <v>682.9862214395641</v>
      </c>
    </row>
    <row r="3846" spans="1:22" ht="19" customHeight="1">
      <c r="A3846" s="68" t="s">
        <v>378</v>
      </c>
      <c r="B3846" s="74">
        <v>5</v>
      </c>
      <c r="C3846" s="68" t="s">
        <v>363</v>
      </c>
      <c r="D3846" s="68" t="s">
        <v>364</v>
      </c>
      <c r="E3846" s="75">
        <f>60*F3846*'THAM_SO_MOI'!$C$53/(2*PI()*'THAM_SO_MOI'!$C$26)</f>
        <v>2009.6602476962469</v>
      </c>
      <c r="F3846" s="75">
        <f>'HANH_TRINH'!$F$3289+('THAM_SO_MOI'!$C$14-'HANH_TRINH'!$F$3289)*556/'THAM_SO_MOI'!$C$42</f>
        <v>20.39719268495123</v>
      </c>
      <c r="G3846" s="75">
        <f>3.6*F3846</f>
        <v>73.42989366582442</v>
      </c>
      <c r="H3846" s="75">
        <f>'THAM_SO_MOI'!$D$53</f>
        <v>1.1</v>
      </c>
      <c r="I3846" s="75">
        <f>IF(F3846&gt;'THAM_SO_MOI'!$C$14,'THAM_SO_MOI'!$C$13*(1+F3846^2/1500),'THAM_SO_MOI'!$C$13)</f>
        <v>0.015</v>
      </c>
      <c r="J3846" s="75">
        <f>'THAM_SO_MOI'!$C$40*('THAM_SO_MOI'!$C$23*(E3846/'THAM_SO_MOI'!$C$22)+'THAM_SO_MOI'!$C$24*(E3846/'THAM_SO_MOI'!$C$22)^2-'THAM_SO_MOI'!$C$25*(E3846/'THAM_SO_MOI'!$C$22)^3)</f>
        <v>90.2525494316466</v>
      </c>
      <c r="K3846" s="75">
        <f>'THAM_SO_MOI'!$C$31*J3846/E3846</f>
        <v>428.93368633971386</v>
      </c>
      <c r="L3846" s="75">
        <f>K3846*'THAM_SO_MOI'!$C$53*'THAM_SO_MOI'!$C$17/'THAM_SO_MOI'!$C$26</f>
        <v>3761.7501076033177</v>
      </c>
      <c r="M3846" s="75">
        <f>'THAM_SO_MOI'!$C$15*'THAM_SO_MOI'!$C$16*F3846^2</f>
        <v>1216.9329980740567</v>
      </c>
      <c r="N3846" s="75">
        <f>'THAM_SO_MOI'!$C$12*I3846</f>
        <v>1130.112</v>
      </c>
      <c r="O3846" s="75">
        <f>M3846+N3846</f>
        <v>2347.044998074057</v>
      </c>
      <c r="P3846" s="75">
        <f>(MIN(L3846,'THAM_SO_MOI'!$C$41)-O3846)/('THAM_SO_MOI'!$C$11*H3846)</f>
        <v>0.16746035860905076</v>
      </c>
      <c r="Q3846" s="75">
        <f>IF(P3846&gt;0,1/P3846,NA())</f>
        <v>5.971562513696616</v>
      </c>
      <c r="R3846" s="75">
        <f>F3846-F3845</f>
        <v>0.007388554569875083</v>
      </c>
      <c r="S3846" s="75">
        <f>0.5*(Q3845+Q3846)*R3846</f>
        <v>0.044108996765384705</v>
      </c>
      <c r="T3846" s="75">
        <f>0.5*(F3845*Q3845+F3846*Q3846)*R3846</f>
        <v>0.8995368004380239</v>
      </c>
      <c r="U3846" s="76">
        <f>U3845+S3846</f>
        <v>50.18808601588651</v>
      </c>
      <c r="V3846" s="76">
        <f>V3845+T3846</f>
        <v>683.8857582400021</v>
      </c>
    </row>
    <row r="3847" spans="1:22" ht="19" customHeight="1">
      <c r="A3847" s="68" t="s">
        <v>378</v>
      </c>
      <c r="B3847" s="74">
        <v>5</v>
      </c>
      <c r="C3847" s="68" t="s">
        <v>363</v>
      </c>
      <c r="D3847" s="68" t="s">
        <v>364</v>
      </c>
      <c r="E3847" s="75">
        <f>60*F3847*'THAM_SO_MOI'!$C$53/(2*PI()*'THAM_SO_MOI'!$C$26)</f>
        <v>2010.3882147570257</v>
      </c>
      <c r="F3847" s="75">
        <f>'HANH_TRINH'!$F$3289+('THAM_SO_MOI'!$C$14-'HANH_TRINH'!$F$3289)*557/'THAM_SO_MOI'!$C$42</f>
        <v>20.4045812395211</v>
      </c>
      <c r="G3847" s="75">
        <f>3.6*F3847</f>
        <v>73.45649246227596</v>
      </c>
      <c r="H3847" s="75">
        <f>'THAM_SO_MOI'!$D$53</f>
        <v>1.1</v>
      </c>
      <c r="I3847" s="75">
        <f>IF(F3847&gt;'THAM_SO_MOI'!$C$14,'THAM_SO_MOI'!$C$13*(1+F3847^2/1500),'THAM_SO_MOI'!$C$13)</f>
        <v>0.015</v>
      </c>
      <c r="J3847" s="75">
        <f>'THAM_SO_MOI'!$C$40*('THAM_SO_MOI'!$C$23*(E3847/'THAM_SO_MOI'!$C$22)+'THAM_SO_MOI'!$C$24*(E3847/'THAM_SO_MOI'!$C$22)^2-'THAM_SO_MOI'!$C$25*(E3847/'THAM_SO_MOI'!$C$22)^3)</f>
        <v>90.28757051826723</v>
      </c>
      <c r="K3847" s="75">
        <f>'THAM_SO_MOI'!$C$31*J3847/E3847</f>
        <v>428.94474900337354</v>
      </c>
      <c r="L3847" s="75">
        <f>K3847*'THAM_SO_MOI'!$C$53*'THAM_SO_MOI'!$C$17/'THAM_SO_MOI'!$C$26</f>
        <v>3761.847127206902</v>
      </c>
      <c r="M3847" s="75">
        <f>'THAM_SO_MOI'!$C$15*'THAM_SO_MOI'!$C$16*F3847^2</f>
        <v>1217.8147865136332</v>
      </c>
      <c r="N3847" s="75">
        <f>'THAM_SO_MOI'!$C$12*I3847</f>
        <v>1130.112</v>
      </c>
      <c r="O3847" s="75">
        <f>M3847+N3847</f>
        <v>2347.9267865136335</v>
      </c>
      <c r="P3847" s="75">
        <f>(MIN(L3847,'THAM_SO_MOI'!$C$41)-O3847)/('THAM_SO_MOI'!$C$11*H3847)</f>
        <v>0.16736746457069937</v>
      </c>
      <c r="Q3847" s="75">
        <f>IF(P3847&gt;0,1/P3847,NA())</f>
        <v>5.974876912696374</v>
      </c>
      <c r="R3847" s="75">
        <f>F3847-F3846</f>
        <v>0.0073885545698715305</v>
      </c>
      <c r="S3847" s="75">
        <f>0.5*(Q3846+Q3847)*R3847</f>
        <v>0.04413345980878468</v>
      </c>
      <c r="T3847" s="75">
        <f>0.5*(F3846*Q3846+F3847*Q3847)*R3847</f>
        <v>0.9003617700452814</v>
      </c>
      <c r="U3847" s="76">
        <f>U3846+S3847</f>
        <v>50.232219475695295</v>
      </c>
      <c r="V3847" s="76">
        <f>V3846+T3847</f>
        <v>684.7861200100474</v>
      </c>
    </row>
    <row r="3848" spans="1:22" ht="19" customHeight="1">
      <c r="A3848" s="68" t="s">
        <v>378</v>
      </c>
      <c r="B3848" s="74">
        <v>5</v>
      </c>
      <c r="C3848" s="68" t="s">
        <v>363</v>
      </c>
      <c r="D3848" s="68" t="s">
        <v>364</v>
      </c>
      <c r="E3848" s="75">
        <f>60*F3848*'THAM_SO_MOI'!$C$53/(2*PI()*'THAM_SO_MOI'!$C$26)</f>
        <v>2011.116181817805</v>
      </c>
      <c r="F3848" s="75">
        <f>'HANH_TRINH'!$F$3289+('THAM_SO_MOI'!$C$14-'HANH_TRINH'!$F$3289)*558/'THAM_SO_MOI'!$C$42</f>
        <v>20.41196979409097</v>
      </c>
      <c r="G3848" s="75">
        <f>3.6*F3848</f>
        <v>73.4830912587275</v>
      </c>
      <c r="H3848" s="75">
        <f>'THAM_SO_MOI'!$D$53</f>
        <v>1.1</v>
      </c>
      <c r="I3848" s="75">
        <f>IF(F3848&gt;'THAM_SO_MOI'!$C$14,'THAM_SO_MOI'!$C$13*(1+F3848^2/1500),'THAM_SO_MOI'!$C$13)</f>
        <v>0.015</v>
      </c>
      <c r="J3848" s="75">
        <f>'THAM_SO_MOI'!$C$40*('THAM_SO_MOI'!$C$23*(E3848/'THAM_SO_MOI'!$C$22)+'THAM_SO_MOI'!$C$24*(E3848/'THAM_SO_MOI'!$C$22)^2-'THAM_SO_MOI'!$C$25*(E3848/'THAM_SO_MOI'!$C$22)^3)</f>
        <v>90.32258246579198</v>
      </c>
      <c r="K3848" s="75">
        <f>'THAM_SO_MOI'!$C$31*J3848/E3848</f>
        <v>428.95576025532745</v>
      </c>
      <c r="L3848" s="75">
        <f>K3848*'THAM_SO_MOI'!$C$53*'THAM_SO_MOI'!$C$17/'THAM_SO_MOI'!$C$26</f>
        <v>3761.9436959296236</v>
      </c>
      <c r="M3848" s="75">
        <f>'THAM_SO_MOI'!$C$15*'THAM_SO_MOI'!$C$16*F3848^2</f>
        <v>1218.6968943090305</v>
      </c>
      <c r="N3848" s="75">
        <f>'THAM_SO_MOI'!$C$12*I3848</f>
        <v>1130.112</v>
      </c>
      <c r="O3848" s="75">
        <f>M3848+N3848</f>
        <v>2348.8088943090306</v>
      </c>
      <c r="P3848" s="75">
        <f>(MIN(L3848,'THAM_SO_MOI'!$C$41)-O3848)/('THAM_SO_MOI'!$C$11*H3848)</f>
        <v>0.1672744793584982</v>
      </c>
      <c r="Q3848" s="75">
        <f>IF(P3848&gt;0,1/P3848,NA())</f>
        <v>5.978198251371189</v>
      </c>
      <c r="R3848" s="75">
        <f>F3848-F3847</f>
        <v>0.0073885545698715305</v>
      </c>
      <c r="S3848" s="75">
        <f>0.5*(Q3847+Q3848)*R3848</f>
        <v>0.044157974063744644</v>
      </c>
      <c r="T3848" s="75">
        <f>0.5*(F3847*Q3847+F3848*Q3848)*R3848</f>
        <v>0.9011881462854585</v>
      </c>
      <c r="U3848" s="76">
        <f>U3847+S3848</f>
        <v>50.27637744975904</v>
      </c>
      <c r="V3848" s="76">
        <f>V3847+T3848</f>
        <v>685.6873081563328</v>
      </c>
    </row>
    <row r="3849" spans="1:22" ht="19" customHeight="1">
      <c r="A3849" s="68" t="s">
        <v>378</v>
      </c>
      <c r="B3849" s="74">
        <v>5</v>
      </c>
      <c r="C3849" s="68" t="s">
        <v>363</v>
      </c>
      <c r="D3849" s="68" t="s">
        <v>364</v>
      </c>
      <c r="E3849" s="75">
        <f>60*F3849*'THAM_SO_MOI'!$C$53/(2*PI()*'THAM_SO_MOI'!$C$26)</f>
        <v>2011.8441488785834</v>
      </c>
      <c r="F3849" s="75">
        <f>'HANH_TRINH'!$F$3289+('THAM_SO_MOI'!$C$14-'HANH_TRINH'!$F$3289)*559/'THAM_SO_MOI'!$C$42</f>
        <v>20.419358348660843</v>
      </c>
      <c r="G3849" s="75">
        <f>3.6*F3849</f>
        <v>73.50969005517904</v>
      </c>
      <c r="H3849" s="75">
        <f>'THAM_SO_MOI'!$D$53</f>
        <v>1.1</v>
      </c>
      <c r="I3849" s="75">
        <f>IF(F3849&gt;'THAM_SO_MOI'!$C$14,'THAM_SO_MOI'!$C$13*(1+F3849^2/1500),'THAM_SO_MOI'!$C$13)</f>
        <v>0.015</v>
      </c>
      <c r="J3849" s="75">
        <f>'THAM_SO_MOI'!$C$40*('THAM_SO_MOI'!$C$23*(E3849/'THAM_SO_MOI'!$C$22)+'THAM_SO_MOI'!$C$24*(E3849/'THAM_SO_MOI'!$C$22)^2-'THAM_SO_MOI'!$C$25*(E3849/'THAM_SO_MOI'!$C$22)^3)</f>
        <v>90.35758526246542</v>
      </c>
      <c r="K3849" s="75">
        <f>'THAM_SO_MOI'!$C$31*J3849/E3849</f>
        <v>428.9667200955762</v>
      </c>
      <c r="L3849" s="75">
        <f>K3849*'THAM_SO_MOI'!$C$53*'THAM_SO_MOI'!$C$17/'THAM_SO_MOI'!$C$26</f>
        <v>3762.0398137714906</v>
      </c>
      <c r="M3849" s="75">
        <f>'THAM_SO_MOI'!$C$15*'THAM_SO_MOI'!$C$16*F3849^2</f>
        <v>1219.579321460249</v>
      </c>
      <c r="N3849" s="75">
        <f>'THAM_SO_MOI'!$C$12*I3849</f>
        <v>1130.112</v>
      </c>
      <c r="O3849" s="75">
        <f>M3849+N3849</f>
        <v>2349.691321460249</v>
      </c>
      <c r="P3849" s="75">
        <f>(MIN(L3849,'THAM_SO_MOI'!$C$41)-O3849)/('THAM_SO_MOI'!$C$11*H3849)</f>
        <v>0.1671814029724481</v>
      </c>
      <c r="Q3849" s="75">
        <f>IF(P3849&gt;0,1/P3849,NA())</f>
        <v>5.981526546734402</v>
      </c>
      <c r="R3849" s="75">
        <f>F3849-F3848</f>
        <v>0.0073885545698715305</v>
      </c>
      <c r="S3849" s="75">
        <f>0.5*(Q3848+Q3849)*R3849</f>
        <v>0.04418253965572446</v>
      </c>
      <c r="T3849" s="75">
        <f>0.5*(F3848*Q3848+F3849*Q3849)*R3849</f>
        <v>0.9020159328550408</v>
      </c>
      <c r="U3849" s="76">
        <f>U3848+S3849</f>
        <v>50.32055998941476</v>
      </c>
      <c r="V3849" s="76">
        <f>V3848+T3849</f>
        <v>686.5893240891879</v>
      </c>
    </row>
    <row r="3850" spans="1:22" ht="19" customHeight="1">
      <c r="A3850" s="68" t="s">
        <v>378</v>
      </c>
      <c r="B3850" s="74">
        <v>5</v>
      </c>
      <c r="C3850" s="68" t="s">
        <v>363</v>
      </c>
      <c r="D3850" s="68" t="s">
        <v>364</v>
      </c>
      <c r="E3850" s="75">
        <f>60*F3850*'THAM_SO_MOI'!$C$53/(2*PI()*'THAM_SO_MOI'!$C$26)</f>
        <v>2012.5721159393627</v>
      </c>
      <c r="F3850" s="75">
        <f>'HANH_TRINH'!$F$3289+('THAM_SO_MOI'!$C$14-'HANH_TRINH'!$F$3289)*560/'THAM_SO_MOI'!$C$42</f>
        <v>20.426746903230715</v>
      </c>
      <c r="G3850" s="75">
        <f>3.6*F3850</f>
        <v>73.53628885163057</v>
      </c>
      <c r="H3850" s="75">
        <f>'THAM_SO_MOI'!$D$53</f>
        <v>1.1</v>
      </c>
      <c r="I3850" s="75">
        <f>IF(F3850&gt;'THAM_SO_MOI'!$C$14,'THAM_SO_MOI'!$C$13*(1+F3850^2/1500),'THAM_SO_MOI'!$C$13)</f>
        <v>0.015</v>
      </c>
      <c r="J3850" s="75">
        <f>'THAM_SO_MOI'!$C$40*('THAM_SO_MOI'!$C$23*(E3850/'THAM_SO_MOI'!$C$22)+'THAM_SO_MOI'!$C$24*(E3850/'THAM_SO_MOI'!$C$22)^2-'THAM_SO_MOI'!$C$25*(E3850/'THAM_SO_MOI'!$C$22)^3)</f>
        <v>90.39257889653206</v>
      </c>
      <c r="K3850" s="75">
        <f>'THAM_SO_MOI'!$C$31*J3850/E3850</f>
        <v>428.97762852411955</v>
      </c>
      <c r="L3850" s="75">
        <f>K3850*'THAM_SO_MOI'!$C$53*'THAM_SO_MOI'!$C$17/'THAM_SO_MOI'!$C$26</f>
        <v>3762.135480732501</v>
      </c>
      <c r="M3850" s="75">
        <f>'THAM_SO_MOI'!$C$15*'THAM_SO_MOI'!$C$16*F3850^2</f>
        <v>1220.4620679672885</v>
      </c>
      <c r="N3850" s="75">
        <f>'THAM_SO_MOI'!$C$12*I3850</f>
        <v>1130.112</v>
      </c>
      <c r="O3850" s="75">
        <f>M3850+N3850</f>
        <v>2350.5740679672886</v>
      </c>
      <c r="P3850" s="75">
        <f>(MIN(L3850,'THAM_SO_MOI'!$C$41)-O3850)/('THAM_SO_MOI'!$C$11*H3850)</f>
        <v>0.16708823541254883</v>
      </c>
      <c r="Q3850" s="75">
        <f>IF(P3850&gt;0,1/P3850,NA())</f>
        <v>5.984861815860059</v>
      </c>
      <c r="R3850" s="75">
        <f>F3850-F3849</f>
        <v>0.0073885545698715305</v>
      </c>
      <c r="S3850" s="75">
        <f>0.5*(Q3849+Q3850)*R3850</f>
        <v>0.0442071567106524</v>
      </c>
      <c r="T3850" s="75">
        <f>0.5*(F3849*Q3849+F3850*Q3850)*R3850</f>
        <v>0.9028451334637875</v>
      </c>
      <c r="U3850" s="76">
        <f>U3849+S3850</f>
        <v>50.364767146125416</v>
      </c>
      <c r="V3850" s="76">
        <f>V3849+T3850</f>
        <v>687.4921692226517</v>
      </c>
    </row>
    <row r="3851" spans="1:22" ht="19" customHeight="1">
      <c r="A3851" s="68" t="s">
        <v>378</v>
      </c>
      <c r="B3851" s="74">
        <v>5</v>
      </c>
      <c r="C3851" s="68" t="s">
        <v>363</v>
      </c>
      <c r="D3851" s="68" t="s">
        <v>364</v>
      </c>
      <c r="E3851" s="75">
        <f>60*F3851*'THAM_SO_MOI'!$C$53/(2*PI()*'THAM_SO_MOI'!$C$26)</f>
        <v>2013.3000830001415</v>
      </c>
      <c r="F3851" s="75">
        <f>'HANH_TRINH'!$F$3289+('THAM_SO_MOI'!$C$14-'HANH_TRINH'!$F$3289)*561/'THAM_SO_MOI'!$C$42</f>
        <v>20.434135457800586</v>
      </c>
      <c r="G3851" s="75">
        <f>3.6*F3851</f>
        <v>73.56288764808211</v>
      </c>
      <c r="H3851" s="75">
        <f>'THAM_SO_MOI'!$D$53</f>
        <v>1.1</v>
      </c>
      <c r="I3851" s="75">
        <f>IF(F3851&gt;'THAM_SO_MOI'!$C$14,'THAM_SO_MOI'!$C$13*(1+F3851^2/1500),'THAM_SO_MOI'!$C$13)</f>
        <v>0.015</v>
      </c>
      <c r="J3851" s="75">
        <f>'THAM_SO_MOI'!$C$40*('THAM_SO_MOI'!$C$23*(E3851/'THAM_SO_MOI'!$C$22)+'THAM_SO_MOI'!$C$24*(E3851/'THAM_SO_MOI'!$C$22)^2-'THAM_SO_MOI'!$C$25*(E3851/'THAM_SO_MOI'!$C$22)^3)</f>
        <v>90.42756335623629</v>
      </c>
      <c r="K3851" s="75">
        <f>'THAM_SO_MOI'!$C$31*J3851/E3851</f>
        <v>428.98848554095736</v>
      </c>
      <c r="L3851" s="75">
        <f>K3851*'THAM_SO_MOI'!$C$53*'THAM_SO_MOI'!$C$17/'THAM_SO_MOI'!$C$26</f>
        <v>3762.2306968126513</v>
      </c>
      <c r="M3851" s="75">
        <f>'THAM_SO_MOI'!$C$15*'THAM_SO_MOI'!$C$16*F3851^2</f>
        <v>1221.3451338301488</v>
      </c>
      <c r="N3851" s="75">
        <f>'THAM_SO_MOI'!$C$12*I3851</f>
        <v>1130.112</v>
      </c>
      <c r="O3851" s="75">
        <f>M3851+N3851</f>
        <v>2351.457133830149</v>
      </c>
      <c r="P3851" s="75">
        <f>(MIN(L3851,'THAM_SO_MOI'!$C$41)-O3851)/('THAM_SO_MOI'!$C$11*H3851)</f>
        <v>0.1669949766788</v>
      </c>
      <c r="Q3851" s="75">
        <f>IF(P3851&gt;0,1/P3851,NA())</f>
        <v>5.988204075883139</v>
      </c>
      <c r="R3851" s="75">
        <f>F3851-F3850</f>
        <v>0.0073885545698715305</v>
      </c>
      <c r="S3851" s="75">
        <f>0.5*(Q3850+Q3851)*R3851</f>
        <v>0.04423182535490608</v>
      </c>
      <c r="T3851" s="75">
        <f>0.5*(F3850*Q3850+F3851*Q3851)*R3851</f>
        <v>0.9036757518343603</v>
      </c>
      <c r="U3851" s="76">
        <f>U3850+S3851</f>
        <v>50.40899897148032</v>
      </c>
      <c r="V3851" s="76">
        <f>V3850+T3851</f>
        <v>688.3958449744861</v>
      </c>
    </row>
    <row r="3852" spans="1:22" ht="19" customHeight="1">
      <c r="A3852" s="68" t="s">
        <v>378</v>
      </c>
      <c r="B3852" s="74">
        <v>5</v>
      </c>
      <c r="C3852" s="68" t="s">
        <v>363</v>
      </c>
      <c r="D3852" s="68" t="s">
        <v>364</v>
      </c>
      <c r="E3852" s="75">
        <f>60*F3852*'THAM_SO_MOI'!$C$53/(2*PI()*'THAM_SO_MOI'!$C$26)</f>
        <v>2014.0280500609206</v>
      </c>
      <c r="F3852" s="75">
        <f>'HANH_TRINH'!$F$3289+('THAM_SO_MOI'!$C$14-'HANH_TRINH'!$F$3289)*562/'THAM_SO_MOI'!$C$42</f>
        <v>20.441524012370458</v>
      </c>
      <c r="G3852" s="75">
        <f>3.6*F3852</f>
        <v>73.58948644453365</v>
      </c>
      <c r="H3852" s="75">
        <f>'THAM_SO_MOI'!$D$53</f>
        <v>1.1</v>
      </c>
      <c r="I3852" s="75">
        <f>IF(F3852&gt;'THAM_SO_MOI'!$C$14,'THAM_SO_MOI'!$C$13*(1+F3852^2/1500),'THAM_SO_MOI'!$C$13)</f>
        <v>0.015</v>
      </c>
      <c r="J3852" s="75">
        <f>'THAM_SO_MOI'!$C$40*('THAM_SO_MOI'!$C$23*(E3852/'THAM_SO_MOI'!$C$22)+'THAM_SO_MOI'!$C$24*(E3852/'THAM_SO_MOI'!$C$22)^2-'THAM_SO_MOI'!$C$25*(E3852/'THAM_SO_MOI'!$C$22)^3)</f>
        <v>90.46253862982266</v>
      </c>
      <c r="K3852" s="75">
        <f>'THAM_SO_MOI'!$C$31*J3852/E3852</f>
        <v>428.9992911460898</v>
      </c>
      <c r="L3852" s="75">
        <f>K3852*'THAM_SO_MOI'!$C$53*'THAM_SO_MOI'!$C$17/'THAM_SO_MOI'!$C$26</f>
        <v>3762.3254620119446</v>
      </c>
      <c r="M3852" s="75">
        <f>'THAM_SO_MOI'!$C$15*'THAM_SO_MOI'!$C$16*F3852^2</f>
        <v>1222.2285190488303</v>
      </c>
      <c r="N3852" s="75">
        <f>'THAM_SO_MOI'!$C$12*I3852</f>
        <v>1130.112</v>
      </c>
      <c r="O3852" s="75">
        <f>M3852+N3852</f>
        <v>2352.34051904883</v>
      </c>
      <c r="P3852" s="75">
        <f>(MIN(L3852,'THAM_SO_MOI'!$C$41)-O3852)/('THAM_SO_MOI'!$C$11*H3852)</f>
        <v>0.16690162677120193</v>
      </c>
      <c r="Q3852" s="75">
        <f>IF(P3852&gt;0,1/P3852,NA())</f>
        <v>5.991553343999791</v>
      </c>
      <c r="R3852" s="75">
        <f>F3852-F3851</f>
        <v>0.0073885545698715305</v>
      </c>
      <c r="S3852" s="75">
        <f>0.5*(Q3851+Q3852)*R3852</f>
        <v>0.0442565457153142</v>
      </c>
      <c r="T3852" s="75">
        <f>0.5*(F3851*Q3851+F3852*Q3852)*R3852</f>
        <v>0.9045077917023754</v>
      </c>
      <c r="U3852" s="76">
        <f>U3851+S3852</f>
        <v>50.453255517195636</v>
      </c>
      <c r="V3852" s="76">
        <f>V3851+T3852</f>
        <v>689.3003527661884</v>
      </c>
    </row>
    <row r="3853" spans="1:22" ht="19" customHeight="1">
      <c r="A3853" s="68" t="s">
        <v>378</v>
      </c>
      <c r="B3853" s="74">
        <v>5</v>
      </c>
      <c r="C3853" s="68" t="s">
        <v>363</v>
      </c>
      <c r="D3853" s="68" t="s">
        <v>364</v>
      </c>
      <c r="E3853" s="75">
        <f>60*F3853*'THAM_SO_MOI'!$C$53/(2*PI()*'THAM_SO_MOI'!$C$26)</f>
        <v>2014.7560171216992</v>
      </c>
      <c r="F3853" s="75">
        <f>'HANH_TRINH'!$F$3289+('THAM_SO_MOI'!$C$14-'HANH_TRINH'!$F$3289)*563/'THAM_SO_MOI'!$C$42</f>
        <v>20.44891256694033</v>
      </c>
      <c r="G3853" s="75">
        <f>3.6*F3853</f>
        <v>73.61608524098519</v>
      </c>
      <c r="H3853" s="75">
        <f>'THAM_SO_MOI'!$D$53</f>
        <v>1.1</v>
      </c>
      <c r="I3853" s="75">
        <f>IF(F3853&gt;'THAM_SO_MOI'!$C$14,'THAM_SO_MOI'!$C$13*(1+F3853^2/1500),'THAM_SO_MOI'!$C$13)</f>
        <v>0.015</v>
      </c>
      <c r="J3853" s="75">
        <f>'THAM_SO_MOI'!$C$40*('THAM_SO_MOI'!$C$23*(E3853/'THAM_SO_MOI'!$C$22)+'THAM_SO_MOI'!$C$24*(E3853/'THAM_SO_MOI'!$C$22)^2-'THAM_SO_MOI'!$C$25*(E3853/'THAM_SO_MOI'!$C$22)^3)</f>
        <v>90.49750470553562</v>
      </c>
      <c r="K3853" s="75">
        <f>'THAM_SO_MOI'!$C$31*J3853/E3853</f>
        <v>429.01004533951675</v>
      </c>
      <c r="L3853" s="75">
        <f>K3853*'THAM_SO_MOI'!$C$53*'THAM_SO_MOI'!$C$17/'THAM_SO_MOI'!$C$26</f>
        <v>3762.41977633038</v>
      </c>
      <c r="M3853" s="75">
        <f>'THAM_SO_MOI'!$C$15*'THAM_SO_MOI'!$C$16*F3853^2</f>
        <v>1223.1122236233327</v>
      </c>
      <c r="N3853" s="75">
        <f>'THAM_SO_MOI'!$C$12*I3853</f>
        <v>1130.112</v>
      </c>
      <c r="O3853" s="75">
        <f>M3853+N3853</f>
        <v>2353.224223623333</v>
      </c>
      <c r="P3853" s="75">
        <f>(MIN(L3853,'THAM_SO_MOI'!$C$41)-O3853)/('THAM_SO_MOI'!$C$11*H3853)</f>
        <v>0.16680818568975464</v>
      </c>
      <c r="Q3853" s="75">
        <f>IF(P3853&gt;0,1/P3853,NA())</f>
        <v>5.99490963746763</v>
      </c>
      <c r="R3853" s="75">
        <f>F3853-F3852</f>
        <v>0.0073885545698715305</v>
      </c>
      <c r="S3853" s="75">
        <f>0.5*(Q3852+Q3853)*R3853</f>
        <v>0.04428131791915852</v>
      </c>
      <c r="T3853" s="75">
        <f>0.5*(F3852*Q3852+F3853*Q3853)*R3853</f>
        <v>0.9053412568164597</v>
      </c>
      <c r="U3853" s="76">
        <f>U3852+S3853</f>
        <v>50.49753683511479</v>
      </c>
      <c r="V3853" s="76">
        <f>V3852+T3853</f>
        <v>690.2056940230049</v>
      </c>
    </row>
    <row r="3854" spans="1:22" ht="19" customHeight="1">
      <c r="A3854" s="68" t="s">
        <v>378</v>
      </c>
      <c r="B3854" s="74">
        <v>5</v>
      </c>
      <c r="C3854" s="68" t="s">
        <v>363</v>
      </c>
      <c r="D3854" s="68" t="s">
        <v>364</v>
      </c>
      <c r="E3854" s="75">
        <f>60*F3854*'THAM_SO_MOI'!$C$53/(2*PI()*'THAM_SO_MOI'!$C$26)</f>
        <v>2015.4839841824783</v>
      </c>
      <c r="F3854" s="75">
        <f>'HANH_TRINH'!$F$3289+('THAM_SO_MOI'!$C$14-'HANH_TRINH'!$F$3289)*564/'THAM_SO_MOI'!$C$42</f>
        <v>20.4563011215102</v>
      </c>
      <c r="G3854" s="75">
        <f>3.6*F3854</f>
        <v>73.64268403743672</v>
      </c>
      <c r="H3854" s="75">
        <f>'THAM_SO_MOI'!$D$53</f>
        <v>1.1</v>
      </c>
      <c r="I3854" s="75">
        <f>IF(F3854&gt;'THAM_SO_MOI'!$C$14,'THAM_SO_MOI'!$C$13*(1+F3854^2/1500),'THAM_SO_MOI'!$C$13)</f>
        <v>0.015</v>
      </c>
      <c r="J3854" s="75">
        <f>'THAM_SO_MOI'!$C$40*('THAM_SO_MOI'!$C$23*(E3854/'THAM_SO_MOI'!$C$22)+'THAM_SO_MOI'!$C$24*(E3854/'THAM_SO_MOI'!$C$22)^2-'THAM_SO_MOI'!$C$25*(E3854/'THAM_SO_MOI'!$C$22)^3)</f>
        <v>90.53246157161966</v>
      </c>
      <c r="K3854" s="75">
        <f>'THAM_SO_MOI'!$C$31*J3854/E3854</f>
        <v>429.0207481212383</v>
      </c>
      <c r="L3854" s="75">
        <f>K3854*'THAM_SO_MOI'!$C$53*'THAM_SO_MOI'!$C$17/'THAM_SO_MOI'!$C$26</f>
        <v>3762.5136397679576</v>
      </c>
      <c r="M3854" s="75">
        <f>'THAM_SO_MOI'!$C$15*'THAM_SO_MOI'!$C$16*F3854^2</f>
        <v>1223.996247553656</v>
      </c>
      <c r="N3854" s="75">
        <f>'THAM_SO_MOI'!$C$12*I3854</f>
        <v>1130.112</v>
      </c>
      <c r="O3854" s="75">
        <f>M3854+N3854</f>
        <v>2354.108247553656</v>
      </c>
      <c r="P3854" s="75">
        <f>(MIN(L3854,'THAM_SO_MOI'!$C$41)-O3854)/('THAM_SO_MOI'!$C$11*H3854)</f>
        <v>0.166714653434458</v>
      </c>
      <c r="Q3854" s="75">
        <f>IF(P3854&gt;0,1/P3854,NA())</f>
        <v>5.998272973605999</v>
      </c>
      <c r="R3854" s="75">
        <f>F3854-F3853</f>
        <v>0.0073885545698715305</v>
      </c>
      <c r="S3854" s="75">
        <f>0.5*(Q3853+Q3854)*R3854</f>
        <v>0.04430614209417592</v>
      </c>
      <c r="T3854" s="75">
        <f>0.5*(F3853*Q3853+F3854*Q3854)*R3854</f>
        <v>0.9061761509383104</v>
      </c>
      <c r="U3854" s="76">
        <f>U3853+S3854</f>
        <v>50.54184297720897</v>
      </c>
      <c r="V3854" s="76">
        <f>V3853+T3854</f>
        <v>691.1118701739432</v>
      </c>
    </row>
    <row r="3855" spans="1:22" ht="19" customHeight="1">
      <c r="A3855" s="68" t="s">
        <v>378</v>
      </c>
      <c r="B3855" s="74">
        <v>5</v>
      </c>
      <c r="C3855" s="68" t="s">
        <v>363</v>
      </c>
      <c r="D3855" s="68" t="s">
        <v>364</v>
      </c>
      <c r="E3855" s="75">
        <f>60*F3855*'THAM_SO_MOI'!$C$53/(2*PI()*'THAM_SO_MOI'!$C$26)</f>
        <v>2016.2119512432575</v>
      </c>
      <c r="F3855" s="75">
        <f>'HANH_TRINH'!$F$3289+('THAM_SO_MOI'!$C$14-'HANH_TRINH'!$F$3289)*565/'THAM_SO_MOI'!$C$42</f>
        <v>20.463689676080076</v>
      </c>
      <c r="G3855" s="75">
        <f>3.6*F3855</f>
        <v>73.66928283388827</v>
      </c>
      <c r="H3855" s="75">
        <f>'THAM_SO_MOI'!$D$53</f>
        <v>1.1</v>
      </c>
      <c r="I3855" s="75">
        <f>IF(F3855&gt;'THAM_SO_MOI'!$C$14,'THAM_SO_MOI'!$C$13*(1+F3855^2/1500),'THAM_SO_MOI'!$C$13)</f>
        <v>0.015</v>
      </c>
      <c r="J3855" s="75">
        <f>'THAM_SO_MOI'!$C$40*('THAM_SO_MOI'!$C$23*(E3855/'THAM_SO_MOI'!$C$22)+'THAM_SO_MOI'!$C$24*(E3855/'THAM_SO_MOI'!$C$22)^2-'THAM_SO_MOI'!$C$25*(E3855/'THAM_SO_MOI'!$C$22)^3)</f>
        <v>90.5674092163193</v>
      </c>
      <c r="K3855" s="75">
        <f>'THAM_SO_MOI'!$C$31*J3855/E3855</f>
        <v>429.0313994912543</v>
      </c>
      <c r="L3855" s="75">
        <f>K3855*'THAM_SO_MOI'!$C$53*'THAM_SO_MOI'!$C$17/'THAM_SO_MOI'!$C$26</f>
        <v>3762.6070523246767</v>
      </c>
      <c r="M3855" s="75">
        <f>'THAM_SO_MOI'!$C$15*'THAM_SO_MOI'!$C$16*F3855^2</f>
        <v>1224.880590839801</v>
      </c>
      <c r="N3855" s="75">
        <f>'THAM_SO_MOI'!$C$12*I3855</f>
        <v>1130.112</v>
      </c>
      <c r="O3855" s="75">
        <f>M3855+N3855</f>
        <v>2354.992590839801</v>
      </c>
      <c r="P3855" s="75">
        <f>(MIN(L3855,'THAM_SO_MOI'!$C$41)-O3855)/('THAM_SO_MOI'!$C$11*H3855)</f>
        <v>0.16662103000531195</v>
      </c>
      <c r="Q3855" s="75">
        <f>IF(P3855&gt;0,1/P3855,NA())</f>
        <v>6.001643369796235</v>
      </c>
      <c r="R3855" s="75">
        <f>F3855-F3854</f>
        <v>0.007388554569875083</v>
      </c>
      <c r="S3855" s="75">
        <f>0.5*(Q3854+Q3855)*R3855</f>
        <v>0.04433101836858164</v>
      </c>
      <c r="T3855" s="75">
        <f>0.5*(F3854*Q3854+F3855*Q3855)*R3855</f>
        <v>0.9070124778431875</v>
      </c>
      <c r="U3855" s="76">
        <f>U3854+S3855</f>
        <v>50.58617399557755</v>
      </c>
      <c r="V3855" s="76">
        <f>V3854+T3855</f>
        <v>692.0188826517864</v>
      </c>
    </row>
    <row r="3856" spans="1:22" ht="19" customHeight="1">
      <c r="A3856" s="68" t="s">
        <v>378</v>
      </c>
      <c r="B3856" s="74">
        <v>5</v>
      </c>
      <c r="C3856" s="68" t="s">
        <v>363</v>
      </c>
      <c r="D3856" s="68" t="s">
        <v>364</v>
      </c>
      <c r="E3856" s="75">
        <f>60*F3856*'THAM_SO_MOI'!$C$53/(2*PI()*'THAM_SO_MOI'!$C$26)</f>
        <v>2016.9399183040366</v>
      </c>
      <c r="F3856" s="75">
        <f>'HANH_TRINH'!$F$3289+('THAM_SO_MOI'!$C$14-'HANH_TRINH'!$F$3289)*566/'THAM_SO_MOI'!$C$42</f>
        <v>20.471078230649947</v>
      </c>
      <c r="G3856" s="75">
        <f>3.6*F3856</f>
        <v>73.69588163033981</v>
      </c>
      <c r="H3856" s="75">
        <f>'THAM_SO_MOI'!$D$53</f>
        <v>1.1</v>
      </c>
      <c r="I3856" s="75">
        <f>IF(F3856&gt;'THAM_SO_MOI'!$C$14,'THAM_SO_MOI'!$C$13*(1+F3856^2/1500),'THAM_SO_MOI'!$C$13)</f>
        <v>0.015</v>
      </c>
      <c r="J3856" s="75">
        <f>'THAM_SO_MOI'!$C$40*('THAM_SO_MOI'!$C$23*(E3856/'THAM_SO_MOI'!$C$22)+'THAM_SO_MOI'!$C$24*(E3856/'THAM_SO_MOI'!$C$22)^2-'THAM_SO_MOI'!$C$25*(E3856/'THAM_SO_MOI'!$C$22)^3)</f>
        <v>90.60234762787901</v>
      </c>
      <c r="K3856" s="75">
        <f>'THAM_SO_MOI'!$C$31*J3856/E3856</f>
        <v>429.0419994495651</v>
      </c>
      <c r="L3856" s="75">
        <f>K3856*'THAM_SO_MOI'!$C$53*'THAM_SO_MOI'!$C$17/'THAM_SO_MOI'!$C$26</f>
        <v>3762.7000140005393</v>
      </c>
      <c r="M3856" s="75">
        <f>'THAM_SO_MOI'!$C$15*'THAM_SO_MOI'!$C$16*F3856^2</f>
        <v>1225.7652534817664</v>
      </c>
      <c r="N3856" s="75">
        <f>'THAM_SO_MOI'!$C$12*I3856</f>
        <v>1130.112</v>
      </c>
      <c r="O3856" s="75">
        <f>M3856+N3856</f>
        <v>2355.8772534817663</v>
      </c>
      <c r="P3856" s="75">
        <f>(MIN(L3856,'THAM_SO_MOI'!$C$41)-O3856)/('THAM_SO_MOI'!$C$11*H3856)</f>
        <v>0.16652731540231688</v>
      </c>
      <c r="Q3856" s="75">
        <f>IF(P3856&gt;0,1/P3856,NA())</f>
        <v>6.005020843481916</v>
      </c>
      <c r="R3856" s="75">
        <f>F3856-F3855</f>
        <v>0.0073885545698715305</v>
      </c>
      <c r="S3856" s="75">
        <f>0.5*(Q3855+Q3856)*R3856</f>
        <v>0.04435594687096463</v>
      </c>
      <c r="T3856" s="75">
        <f>0.5*(F3855*Q3855+F3856*Q3856)*R3856</f>
        <v>0.9078502413177881</v>
      </c>
      <c r="U3856" s="76">
        <f>U3855+S3856</f>
        <v>50.63052994244852</v>
      </c>
      <c r="V3856" s="76">
        <f>V3855+T3856</f>
        <v>692.9267328931041</v>
      </c>
    </row>
    <row r="3857" spans="1:22" ht="19" customHeight="1">
      <c r="A3857" s="68" t="s">
        <v>378</v>
      </c>
      <c r="B3857" s="74">
        <v>5</v>
      </c>
      <c r="C3857" s="68" t="s">
        <v>363</v>
      </c>
      <c r="D3857" s="68" t="s">
        <v>364</v>
      </c>
      <c r="E3857" s="75">
        <f>60*F3857*'THAM_SO_MOI'!$C$53/(2*PI()*'THAM_SO_MOI'!$C$26)</f>
        <v>2017.6678853648152</v>
      </c>
      <c r="F3857" s="75">
        <f>'HANH_TRINH'!$F$3289+('THAM_SO_MOI'!$C$14-'HANH_TRINH'!$F$3289)*567/'THAM_SO_MOI'!$C$42</f>
        <v>20.47846678521982</v>
      </c>
      <c r="G3857" s="75">
        <f>3.6*F3857</f>
        <v>73.72248042679135</v>
      </c>
      <c r="H3857" s="75">
        <f>'THAM_SO_MOI'!$D$53</f>
        <v>1.1</v>
      </c>
      <c r="I3857" s="75">
        <f>IF(F3857&gt;'THAM_SO_MOI'!$C$14,'THAM_SO_MOI'!$C$13*(1+F3857^2/1500),'THAM_SO_MOI'!$C$13)</f>
        <v>0.015</v>
      </c>
      <c r="J3857" s="75">
        <f>'THAM_SO_MOI'!$C$40*('THAM_SO_MOI'!$C$23*(E3857/'THAM_SO_MOI'!$C$22)+'THAM_SO_MOI'!$C$24*(E3857/'THAM_SO_MOI'!$C$22)^2-'THAM_SO_MOI'!$C$25*(E3857/'THAM_SO_MOI'!$C$22)^3)</f>
        <v>90.63727679454323</v>
      </c>
      <c r="K3857" s="75">
        <f>'THAM_SO_MOI'!$C$31*J3857/E3857</f>
        <v>429.0525479961703</v>
      </c>
      <c r="L3857" s="75">
        <f>K3857*'THAM_SO_MOI'!$C$53*'THAM_SO_MOI'!$C$17/'THAM_SO_MOI'!$C$26</f>
        <v>3762.7925247955436</v>
      </c>
      <c r="M3857" s="75">
        <f>'THAM_SO_MOI'!$C$15*'THAM_SO_MOI'!$C$16*F3857^2</f>
        <v>1226.6502354795527</v>
      </c>
      <c r="N3857" s="75">
        <f>'THAM_SO_MOI'!$C$12*I3857</f>
        <v>1130.112</v>
      </c>
      <c r="O3857" s="75">
        <f>M3857+N3857</f>
        <v>2356.762235479553</v>
      </c>
      <c r="P3857" s="75">
        <f>(MIN(L3857,'THAM_SO_MOI'!$C$41)-O3857)/('THAM_SO_MOI'!$C$11*H3857)</f>
        <v>0.16643350962547238</v>
      </c>
      <c r="Q3857" s="75">
        <f>IF(P3857&gt;0,1/P3857,NA())</f>
        <v>6.008405412169183</v>
      </c>
      <c r="R3857" s="75">
        <f>F3857-F3856</f>
        <v>0.0073885545698715305</v>
      </c>
      <c r="S3857" s="75">
        <f>0.5*(Q3856+Q3857)*R3857</f>
        <v>0.04438092773050278</v>
      </c>
      <c r="T3857" s="75">
        <f>0.5*(F3856*Q3856+F3857*Q3857)*R3857</f>
        <v>0.9086894451646693</v>
      </c>
      <c r="U3857" s="76">
        <f>U3856+S3857</f>
        <v>50.67491087017902</v>
      </c>
      <c r="V3857" s="76">
        <f>V3856+T3857</f>
        <v>693.8354223382688</v>
      </c>
    </row>
    <row r="3858" spans="1:22" ht="19" customHeight="1">
      <c r="A3858" s="68" t="s">
        <v>378</v>
      </c>
      <c r="B3858" s="74">
        <v>5</v>
      </c>
      <c r="C3858" s="68" t="s">
        <v>363</v>
      </c>
      <c r="D3858" s="68" t="s">
        <v>364</v>
      </c>
      <c r="E3858" s="75">
        <f>60*F3858*'THAM_SO_MOI'!$C$53/(2*PI()*'THAM_SO_MOI'!$C$26)</f>
        <v>2018.3958524255943</v>
      </c>
      <c r="F3858" s="75">
        <f>'HANH_TRINH'!$F$3289+('THAM_SO_MOI'!$C$14-'HANH_TRINH'!$F$3289)*568/'THAM_SO_MOI'!$C$42</f>
        <v>20.48585533978969</v>
      </c>
      <c r="G3858" s="75">
        <f>3.6*F3858</f>
        <v>73.74907922324289</v>
      </c>
      <c r="H3858" s="75">
        <f>'THAM_SO_MOI'!$D$53</f>
        <v>1.1</v>
      </c>
      <c r="I3858" s="75">
        <f>IF(F3858&gt;'THAM_SO_MOI'!$C$14,'THAM_SO_MOI'!$C$13*(1+F3858^2/1500),'THAM_SO_MOI'!$C$13)</f>
        <v>0.015</v>
      </c>
      <c r="J3858" s="75">
        <f>'THAM_SO_MOI'!$C$40*('THAM_SO_MOI'!$C$23*(E3858/'THAM_SO_MOI'!$C$22)+'THAM_SO_MOI'!$C$24*(E3858/'THAM_SO_MOI'!$C$22)^2-'THAM_SO_MOI'!$C$25*(E3858/'THAM_SO_MOI'!$C$22)^3)</f>
        <v>90.67219670455647</v>
      </c>
      <c r="K3858" s="75">
        <f>'THAM_SO_MOI'!$C$31*J3858/E3858</f>
        <v>429.06304513107006</v>
      </c>
      <c r="L3858" s="75">
        <f>K3858*'THAM_SO_MOI'!$C$53*'THAM_SO_MOI'!$C$17/'THAM_SO_MOI'!$C$26</f>
        <v>3762.884584709689</v>
      </c>
      <c r="M3858" s="75">
        <f>'THAM_SO_MOI'!$C$15*'THAM_SO_MOI'!$C$16*F3858^2</f>
        <v>1227.5355368331602</v>
      </c>
      <c r="N3858" s="75">
        <f>'THAM_SO_MOI'!$C$12*I3858</f>
        <v>1130.112</v>
      </c>
      <c r="O3858" s="75">
        <f>M3858+N3858</f>
        <v>2357.6475368331603</v>
      </c>
      <c r="P3858" s="75">
        <f>(MIN(L3858,'THAM_SO_MOI'!$C$41)-O3858)/('THAM_SO_MOI'!$C$11*H3858)</f>
        <v>0.1663396126747785</v>
      </c>
      <c r="Q3858" s="75">
        <f>IF(P3858&gt;0,1/P3858,NA())</f>
        <v>6.011797093426962</v>
      </c>
      <c r="R3858" s="75">
        <f>F3858-F3857</f>
        <v>0.0073885545698715305</v>
      </c>
      <c r="S3858" s="75">
        <f>0.5*(Q3857+Q3858)*R3858</f>
        <v>0.044405961076751814</v>
      </c>
      <c r="T3858" s="75">
        <f>0.5*(F3857*Q3857+F3858*Q3858)*R3858</f>
        <v>0.9095300931979439</v>
      </c>
      <c r="U3858" s="76">
        <f>U3857+S3858</f>
        <v>50.719316831255775</v>
      </c>
      <c r="V3858" s="76">
        <f>V3857+T3858</f>
        <v>694.7449524314668</v>
      </c>
    </row>
    <row r="3859" spans="1:22" ht="19" customHeight="1">
      <c r="A3859" s="68" t="s">
        <v>378</v>
      </c>
      <c r="B3859" s="74">
        <v>5</v>
      </c>
      <c r="C3859" s="68" t="s">
        <v>363</v>
      </c>
      <c r="D3859" s="68" t="s">
        <v>364</v>
      </c>
      <c r="E3859" s="75">
        <f>60*F3859*'THAM_SO_MOI'!$C$53/(2*PI()*'THAM_SO_MOI'!$C$26)</f>
        <v>2019.1238194863731</v>
      </c>
      <c r="F3859" s="75">
        <f>'HANH_TRINH'!$F$3289+('THAM_SO_MOI'!$C$14-'HANH_TRINH'!$F$3289)*569/'THAM_SO_MOI'!$C$42</f>
        <v>20.493243894359562</v>
      </c>
      <c r="G3859" s="75">
        <f>3.6*F3859</f>
        <v>73.77567801969442</v>
      </c>
      <c r="H3859" s="75">
        <f>'THAM_SO_MOI'!$D$53</f>
        <v>1.1</v>
      </c>
      <c r="I3859" s="75">
        <f>IF(F3859&gt;'THAM_SO_MOI'!$C$14,'THAM_SO_MOI'!$C$13*(1+F3859^2/1500),'THAM_SO_MOI'!$C$13)</f>
        <v>0.015</v>
      </c>
      <c r="J3859" s="75">
        <f>'THAM_SO_MOI'!$C$40*('THAM_SO_MOI'!$C$23*(E3859/'THAM_SO_MOI'!$C$22)+'THAM_SO_MOI'!$C$24*(E3859/'THAM_SO_MOI'!$C$22)^2-'THAM_SO_MOI'!$C$25*(E3859/'THAM_SO_MOI'!$C$22)^3)</f>
        <v>90.70710734616324</v>
      </c>
      <c r="K3859" s="75">
        <f>'THAM_SO_MOI'!$C$31*J3859/E3859</f>
        <v>429.0734908542645</v>
      </c>
      <c r="L3859" s="75">
        <f>K3859*'THAM_SO_MOI'!$C$53*'THAM_SO_MOI'!$C$17/'THAM_SO_MOI'!$C$26</f>
        <v>3762.9761937429785</v>
      </c>
      <c r="M3859" s="75">
        <f>'THAM_SO_MOI'!$C$15*'THAM_SO_MOI'!$C$16*F3859^2</f>
        <v>1228.4211575425886</v>
      </c>
      <c r="N3859" s="75">
        <f>'THAM_SO_MOI'!$C$12*I3859</f>
        <v>1130.112</v>
      </c>
      <c r="O3859" s="75">
        <f>M3859+N3859</f>
        <v>2358.533157542589</v>
      </c>
      <c r="P3859" s="75">
        <f>(MIN(L3859,'THAM_SO_MOI'!$C$41)-O3859)/('THAM_SO_MOI'!$C$11*H3859)</f>
        <v>0.1662456245502355</v>
      </c>
      <c r="Q3859" s="75">
        <f>IF(P3859&gt;0,1/P3859,NA())</f>
        <v>6.015195904887251</v>
      </c>
      <c r="R3859" s="75">
        <f>F3859-F3858</f>
        <v>0.0073885545698715305</v>
      </c>
      <c r="S3859" s="75">
        <f>0.5*(Q3858+Q3859)*R3859</f>
        <v>0.04443104703975369</v>
      </c>
      <c r="T3859" s="75">
        <f>0.5*(F3858*Q3858+F3859*Q3859)*R3859</f>
        <v>0.9103721892455169</v>
      </c>
      <c r="U3859" s="76">
        <f>U3858+S3859</f>
        <v>50.763747878295526</v>
      </c>
      <c r="V3859" s="76">
        <f>V3858+T3859</f>
        <v>695.6553246207123</v>
      </c>
    </row>
    <row r="3860" spans="1:22" ht="19" customHeight="1">
      <c r="A3860" s="68" t="s">
        <v>378</v>
      </c>
      <c r="B3860" s="74">
        <v>5</v>
      </c>
      <c r="C3860" s="68" t="s">
        <v>363</v>
      </c>
      <c r="D3860" s="68" t="s">
        <v>364</v>
      </c>
      <c r="E3860" s="75">
        <f>60*F3860*'THAM_SO_MOI'!$C$53/(2*PI()*'THAM_SO_MOI'!$C$26)</f>
        <v>2019.8517865471529</v>
      </c>
      <c r="F3860" s="75">
        <f>'HANH_TRINH'!$F$3289+('THAM_SO_MOI'!$C$14-'HANH_TRINH'!$F$3289)*570/'THAM_SO_MOI'!$C$42</f>
        <v>20.500632448929437</v>
      </c>
      <c r="G3860" s="75">
        <f>3.6*F3860</f>
        <v>73.80227681614598</v>
      </c>
      <c r="H3860" s="75">
        <f>'THAM_SO_MOI'!$D$53</f>
        <v>1.1</v>
      </c>
      <c r="I3860" s="75">
        <f>IF(F3860&gt;'THAM_SO_MOI'!$C$14,'THAM_SO_MOI'!$C$13*(1+F3860^2/1500),'THAM_SO_MOI'!$C$13)</f>
        <v>0.015</v>
      </c>
      <c r="J3860" s="75">
        <f>'THAM_SO_MOI'!$C$40*('THAM_SO_MOI'!$C$23*(E3860/'THAM_SO_MOI'!$C$22)+'THAM_SO_MOI'!$C$24*(E3860/'THAM_SO_MOI'!$C$22)^2-'THAM_SO_MOI'!$C$25*(E3860/'THAM_SO_MOI'!$C$22)^3)</f>
        <v>90.74200870760805</v>
      </c>
      <c r="K3860" s="75">
        <f>'THAM_SO_MOI'!$C$31*J3860/E3860</f>
        <v>429.08388516575343</v>
      </c>
      <c r="L3860" s="75">
        <f>K3860*'THAM_SO_MOI'!$C$53*'THAM_SO_MOI'!$C$17/'THAM_SO_MOI'!$C$26</f>
        <v>3763.0673518954086</v>
      </c>
      <c r="M3860" s="75">
        <f>'THAM_SO_MOI'!$C$15*'THAM_SO_MOI'!$C$16*F3860^2</f>
        <v>1229.3070976078384</v>
      </c>
      <c r="N3860" s="75">
        <f>'THAM_SO_MOI'!$C$12*I3860</f>
        <v>1130.112</v>
      </c>
      <c r="O3860" s="75">
        <f>M3860+N3860</f>
        <v>2359.4190976078385</v>
      </c>
      <c r="P3860" s="75">
        <f>(MIN(L3860,'THAM_SO_MOI'!$C$41)-O3860)/('THAM_SO_MOI'!$C$11*H3860)</f>
        <v>0.16615154525184306</v>
      </c>
      <c r="Q3860" s="75">
        <f>IF(P3860&gt;0,1/P3860,NA())</f>
        <v>6.01860186424542</v>
      </c>
      <c r="R3860" s="75">
        <f>F3860-F3859</f>
        <v>0.007388554569875083</v>
      </c>
      <c r="S3860" s="75">
        <f>0.5*(Q3859+Q3860)*R3860</f>
        <v>0.044456185750038894</v>
      </c>
      <c r="T3860" s="75">
        <f>0.5*(F3859*Q3859+F3860*Q3860)*R3860</f>
        <v>0.9112157371491496</v>
      </c>
      <c r="U3860" s="76">
        <f>U3859+S3860</f>
        <v>50.80820406404556</v>
      </c>
      <c r="V3860" s="76">
        <f>V3859+T3860</f>
        <v>696.5665403578615</v>
      </c>
    </row>
    <row r="3861" spans="1:22" ht="19" customHeight="1">
      <c r="A3861" s="68" t="s">
        <v>378</v>
      </c>
      <c r="B3861" s="74">
        <v>5</v>
      </c>
      <c r="C3861" s="68" t="s">
        <v>363</v>
      </c>
      <c r="D3861" s="68" t="s">
        <v>364</v>
      </c>
      <c r="E3861" s="75">
        <f>60*F3861*'THAM_SO_MOI'!$C$53/(2*PI()*'THAM_SO_MOI'!$C$26)</f>
        <v>2020.5797536079313</v>
      </c>
      <c r="F3861" s="75">
        <f>'HANH_TRINH'!$F$3289+('THAM_SO_MOI'!$C$14-'HANH_TRINH'!$F$3289)*571/'THAM_SO_MOI'!$C$42</f>
        <v>20.50802100349931</v>
      </c>
      <c r="G3861" s="75">
        <f>3.6*F3861</f>
        <v>73.82887561259751</v>
      </c>
      <c r="H3861" s="75">
        <f>'THAM_SO_MOI'!$D$53</f>
        <v>1.1</v>
      </c>
      <c r="I3861" s="75">
        <f>IF(F3861&gt;'THAM_SO_MOI'!$C$14,'THAM_SO_MOI'!$C$13*(1+F3861^2/1500),'THAM_SO_MOI'!$C$13)</f>
        <v>0.015</v>
      </c>
      <c r="J3861" s="75">
        <f>'THAM_SO_MOI'!$C$40*('THAM_SO_MOI'!$C$23*(E3861/'THAM_SO_MOI'!$C$22)+'THAM_SO_MOI'!$C$24*(E3861/'THAM_SO_MOI'!$C$22)^2-'THAM_SO_MOI'!$C$25*(E3861/'THAM_SO_MOI'!$C$22)^3)</f>
        <v>90.77690077713528</v>
      </c>
      <c r="K3861" s="75">
        <f>'THAM_SO_MOI'!$C$31*J3861/E3861</f>
        <v>429.09422806553704</v>
      </c>
      <c r="L3861" s="75">
        <f>K3861*'THAM_SO_MOI'!$C$53*'THAM_SO_MOI'!$C$17/'THAM_SO_MOI'!$C$26</f>
        <v>3763.158059166982</v>
      </c>
      <c r="M3861" s="75">
        <f>'THAM_SO_MOI'!$C$15*'THAM_SO_MOI'!$C$16*F3861^2</f>
        <v>1230.1933570289088</v>
      </c>
      <c r="N3861" s="75">
        <f>'THAM_SO_MOI'!$C$12*I3861</f>
        <v>1130.112</v>
      </c>
      <c r="O3861" s="75">
        <f>M3861+N3861</f>
        <v>2360.305357028909</v>
      </c>
      <c r="P3861" s="75">
        <f>(MIN(L3861,'THAM_SO_MOI'!$C$41)-O3861)/('THAM_SO_MOI'!$C$11*H3861)</f>
        <v>0.16605737477960147</v>
      </c>
      <c r="Q3861" s="75">
        <f>IF(P3861&gt;0,1/P3861,NA())</f>
        <v>6.022014989260448</v>
      </c>
      <c r="R3861" s="75">
        <f>F3861-F3860</f>
        <v>0.0073885545698715305</v>
      </c>
      <c r="S3861" s="75">
        <f>0.5*(Q3860+Q3861)*R3861</f>
        <v>0.04448137733852148</v>
      </c>
      <c r="T3861" s="75">
        <f>0.5*(F3860*Q3860+F3861*Q3861)*R3861</f>
        <v>0.9120607407623262</v>
      </c>
      <c r="U3861" s="76">
        <f>U3860+S3861</f>
        <v>50.85268544138408</v>
      </c>
      <c r="V3861" s="76">
        <f>V3860+T3861</f>
        <v>697.4786010986238</v>
      </c>
    </row>
    <row r="3862" spans="1:22" ht="19" customHeight="1">
      <c r="A3862" s="68" t="s">
        <v>378</v>
      </c>
      <c r="B3862" s="74">
        <v>5</v>
      </c>
      <c r="C3862" s="68" t="s">
        <v>363</v>
      </c>
      <c r="D3862" s="68" t="s">
        <v>364</v>
      </c>
      <c r="E3862" s="75">
        <f>60*F3862*'THAM_SO_MOI'!$C$53/(2*PI()*'THAM_SO_MOI'!$C$26)</f>
        <v>2021.3077206687103</v>
      </c>
      <c r="F3862" s="75">
        <f>'HANH_TRINH'!$F$3289+('THAM_SO_MOI'!$C$14-'HANH_TRINH'!$F$3289)*572/'THAM_SO_MOI'!$C$42</f>
        <v>20.51540955806918</v>
      </c>
      <c r="G3862" s="75">
        <f>3.6*F3862</f>
        <v>73.85547440904905</v>
      </c>
      <c r="H3862" s="75">
        <f>'THAM_SO_MOI'!$D$53</f>
        <v>1.1</v>
      </c>
      <c r="I3862" s="75">
        <f>IF(F3862&gt;'THAM_SO_MOI'!$C$14,'THAM_SO_MOI'!$C$13*(1+F3862^2/1500),'THAM_SO_MOI'!$C$13)</f>
        <v>0.015</v>
      </c>
      <c r="J3862" s="75">
        <f>'THAM_SO_MOI'!$C$40*('THAM_SO_MOI'!$C$23*(E3862/'THAM_SO_MOI'!$C$22)+'THAM_SO_MOI'!$C$24*(E3862/'THAM_SO_MOI'!$C$22)^2-'THAM_SO_MOI'!$C$25*(E3862/'THAM_SO_MOI'!$C$22)^3)</f>
        <v>90.8117835429895</v>
      </c>
      <c r="K3862" s="75">
        <f>'THAM_SO_MOI'!$C$31*J3862/E3862</f>
        <v>429.10451955361515</v>
      </c>
      <c r="L3862" s="75">
        <f>K3862*'THAM_SO_MOI'!$C$53*'THAM_SO_MOI'!$C$17/'THAM_SO_MOI'!$C$26</f>
        <v>3763.248315557698</v>
      </c>
      <c r="M3862" s="75">
        <f>'THAM_SO_MOI'!$C$15*'THAM_SO_MOI'!$C$16*F3862^2</f>
        <v>1231.0799358058002</v>
      </c>
      <c r="N3862" s="75">
        <f>'THAM_SO_MOI'!$C$12*I3862</f>
        <v>1130.112</v>
      </c>
      <c r="O3862" s="75">
        <f>M3862+N3862</f>
        <v>2361.1919358058003</v>
      </c>
      <c r="P3862" s="75">
        <f>(MIN(L3862,'THAM_SO_MOI'!$C$41)-O3862)/('THAM_SO_MOI'!$C$11*H3862)</f>
        <v>0.16596311313351061</v>
      </c>
      <c r="Q3862" s="75">
        <f>IF(P3862&gt;0,1/P3862,NA())</f>
        <v>6.025435297755234</v>
      </c>
      <c r="R3862" s="75">
        <f>F3862-F3861</f>
        <v>0.0073885545698715305</v>
      </c>
      <c r="S3862" s="75">
        <f>0.5*(Q3861+Q3862)*R3862</f>
        <v>0.044506621936714896</v>
      </c>
      <c r="T3862" s="75">
        <f>0.5*(F3861*Q3861+F3862*Q3862)*R3862</f>
        <v>0.912907203954694</v>
      </c>
      <c r="U3862" s="76">
        <f>U3861+S3862</f>
        <v>50.897192063320794</v>
      </c>
      <c r="V3862" s="76">
        <f>V3861+T3862</f>
        <v>698.3915083025785</v>
      </c>
    </row>
    <row r="3863" spans="1:22" ht="19" customHeight="1">
      <c r="A3863" s="68" t="s">
        <v>378</v>
      </c>
      <c r="B3863" s="74">
        <v>5</v>
      </c>
      <c r="C3863" s="68" t="s">
        <v>363</v>
      </c>
      <c r="D3863" s="68" t="s">
        <v>364</v>
      </c>
      <c r="E3863" s="75">
        <f>60*F3863*'THAM_SO_MOI'!$C$53/(2*PI()*'THAM_SO_MOI'!$C$26)</f>
        <v>2022.0356877294892</v>
      </c>
      <c r="F3863" s="75">
        <f>'HANH_TRINH'!$F$3289+('THAM_SO_MOI'!$C$14-'HANH_TRINH'!$F$3289)*573/'THAM_SO_MOI'!$C$42</f>
        <v>20.52279811263905</v>
      </c>
      <c r="G3863" s="75">
        <f>3.6*F3863</f>
        <v>73.88207320550059</v>
      </c>
      <c r="H3863" s="75">
        <f>'THAM_SO_MOI'!$D$53</f>
        <v>1.1</v>
      </c>
      <c r="I3863" s="75">
        <f>IF(F3863&gt;'THAM_SO_MOI'!$C$14,'THAM_SO_MOI'!$C$13*(1+F3863^2/1500),'THAM_SO_MOI'!$C$13)</f>
        <v>0.015</v>
      </c>
      <c r="J3863" s="75">
        <f>'THAM_SO_MOI'!$C$40*('THAM_SO_MOI'!$C$23*(E3863/'THAM_SO_MOI'!$C$22)+'THAM_SO_MOI'!$C$24*(E3863/'THAM_SO_MOI'!$C$22)^2-'THAM_SO_MOI'!$C$25*(E3863/'THAM_SO_MOI'!$C$22)^3)</f>
        <v>90.84665699341515</v>
      </c>
      <c r="K3863" s="75">
        <f>'THAM_SO_MOI'!$C$31*J3863/E3863</f>
        <v>429.11475962998776</v>
      </c>
      <c r="L3863" s="75">
        <f>K3863*'THAM_SO_MOI'!$C$53*'THAM_SO_MOI'!$C$17/'THAM_SO_MOI'!$C$26</f>
        <v>3763.3381210675543</v>
      </c>
      <c r="M3863" s="75">
        <f>'THAM_SO_MOI'!$C$15*'THAM_SO_MOI'!$C$16*F3863^2</f>
        <v>1231.9668339385125</v>
      </c>
      <c r="N3863" s="75">
        <f>'THAM_SO_MOI'!$C$12*I3863</f>
        <v>1130.112</v>
      </c>
      <c r="O3863" s="75">
        <f>M3863+N3863</f>
        <v>2362.0788339385126</v>
      </c>
      <c r="P3863" s="75">
        <f>(MIN(L3863,'THAM_SO_MOI'!$C$41)-O3863)/('THAM_SO_MOI'!$C$11*H3863)</f>
        <v>0.16586876031357028</v>
      </c>
      <c r="Q3863" s="75">
        <f>IF(P3863&gt;0,1/P3863,NA())</f>
        <v>6.028862807616864</v>
      </c>
      <c r="R3863" s="75">
        <f>F3863-F3862</f>
        <v>0.0073885545698715305</v>
      </c>
      <c r="S3863" s="75">
        <f>0.5*(Q3862+Q3863)*R3863</f>
        <v>0.04453191967652037</v>
      </c>
      <c r="T3863" s="75">
        <f>0.5*(F3862*Q3862+F3863*Q3863)*R3863</f>
        <v>0.9137551306077444</v>
      </c>
      <c r="U3863" s="76">
        <f>U3862+S3863</f>
        <v>50.94172398299732</v>
      </c>
      <c r="V3863" s="76">
        <f>V3862+T3863</f>
        <v>699.3052634331863</v>
      </c>
    </row>
    <row r="3864" spans="1:22" ht="19" customHeight="1">
      <c r="A3864" s="68" t="s">
        <v>378</v>
      </c>
      <c r="B3864" s="74">
        <v>5</v>
      </c>
      <c r="C3864" s="68" t="s">
        <v>363</v>
      </c>
      <c r="D3864" s="68" t="s">
        <v>364</v>
      </c>
      <c r="E3864" s="75">
        <f>60*F3864*'THAM_SO_MOI'!$C$53/(2*PI()*'THAM_SO_MOI'!$C$26)</f>
        <v>2022.7636547902684</v>
      </c>
      <c r="F3864" s="75">
        <f>'HANH_TRINH'!$F$3289+('THAM_SO_MOI'!$C$14-'HANH_TRINH'!$F$3289)*574/'THAM_SO_MOI'!$C$42</f>
        <v>20.530186667208923</v>
      </c>
      <c r="G3864" s="75">
        <f>3.6*F3864</f>
        <v>73.90867200195213</v>
      </c>
      <c r="H3864" s="75">
        <f>'THAM_SO_MOI'!$D$53</f>
        <v>1.1</v>
      </c>
      <c r="I3864" s="75">
        <f>IF(F3864&gt;'THAM_SO_MOI'!$C$14,'THAM_SO_MOI'!$C$13*(1+F3864^2/1500),'THAM_SO_MOI'!$C$13)</f>
        <v>0.015</v>
      </c>
      <c r="J3864" s="75">
        <f>'THAM_SO_MOI'!$C$40*('THAM_SO_MOI'!$C$23*(E3864/'THAM_SO_MOI'!$C$22)+'THAM_SO_MOI'!$C$24*(E3864/'THAM_SO_MOI'!$C$22)^2-'THAM_SO_MOI'!$C$25*(E3864/'THAM_SO_MOI'!$C$22)^3)</f>
        <v>90.88152111665678</v>
      </c>
      <c r="K3864" s="75">
        <f>'THAM_SO_MOI'!$C$31*J3864/E3864</f>
        <v>429.12494829465504</v>
      </c>
      <c r="L3864" s="75">
        <f>K3864*'THAM_SO_MOI'!$C$53*'THAM_SO_MOI'!$C$17/'THAM_SO_MOI'!$C$26</f>
        <v>3763.4274756965547</v>
      </c>
      <c r="M3864" s="75">
        <f>'THAM_SO_MOI'!$C$15*'THAM_SO_MOI'!$C$16*F3864^2</f>
        <v>1232.854051427046</v>
      </c>
      <c r="N3864" s="75">
        <f>'THAM_SO_MOI'!$C$12*I3864</f>
        <v>1130.112</v>
      </c>
      <c r="O3864" s="75">
        <f>M3864+N3864</f>
        <v>2362.9660514270463</v>
      </c>
      <c r="P3864" s="75">
        <f>(MIN(L3864,'THAM_SO_MOI'!$C$41)-O3864)/('THAM_SO_MOI'!$C$11*H3864)</f>
        <v>0.16577431631978087</v>
      </c>
      <c r="Q3864" s="75">
        <f>IF(P3864&gt;0,1/P3864,NA())</f>
        <v>6.032297536796874</v>
      </c>
      <c r="R3864" s="75">
        <f>F3864-F3863</f>
        <v>0.0073885545698715305</v>
      </c>
      <c r="S3864" s="75">
        <f>0.5*(Q3863+Q3864)*R3864</f>
        <v>0.04455727069033571</v>
      </c>
      <c r="T3864" s="75">
        <f>0.5*(F3863*Q3863+F3864*Q3864)*R3864</f>
        <v>0.9146045246170597</v>
      </c>
      <c r="U3864" s="76">
        <f>U3863+S3864</f>
        <v>50.98628125368765</v>
      </c>
      <c r="V3864" s="76">
        <f>V3863+T3864</f>
        <v>700.2198679578033</v>
      </c>
    </row>
    <row r="3865" spans="1:22" ht="19" customHeight="1">
      <c r="A3865" s="68" t="s">
        <v>378</v>
      </c>
      <c r="B3865" s="74">
        <v>5</v>
      </c>
      <c r="C3865" s="68" t="s">
        <v>363</v>
      </c>
      <c r="D3865" s="68" t="s">
        <v>364</v>
      </c>
      <c r="E3865" s="75">
        <f>60*F3865*'THAM_SO_MOI'!$C$53/(2*PI()*'THAM_SO_MOI'!$C$26)</f>
        <v>2023.4916218510468</v>
      </c>
      <c r="F3865" s="75">
        <f>'HANH_TRINH'!$F$3289+('THAM_SO_MOI'!$C$14-'HANH_TRINH'!$F$3289)*575/'THAM_SO_MOI'!$C$42</f>
        <v>20.537575221778795</v>
      </c>
      <c r="G3865" s="75">
        <f>3.6*F3865</f>
        <v>73.93527079840366</v>
      </c>
      <c r="H3865" s="75">
        <f>'THAM_SO_MOI'!$D$53</f>
        <v>1.1</v>
      </c>
      <c r="I3865" s="75">
        <f>IF(F3865&gt;'THAM_SO_MOI'!$C$14,'THAM_SO_MOI'!$C$13*(1+F3865^2/1500),'THAM_SO_MOI'!$C$13)</f>
        <v>0.015</v>
      </c>
      <c r="J3865" s="75">
        <f>'THAM_SO_MOI'!$C$40*('THAM_SO_MOI'!$C$23*(E3865/'THAM_SO_MOI'!$C$22)+'THAM_SO_MOI'!$C$24*(E3865/'THAM_SO_MOI'!$C$22)^2-'THAM_SO_MOI'!$C$25*(E3865/'THAM_SO_MOI'!$C$22)^3)</f>
        <v>90.91637590095877</v>
      </c>
      <c r="K3865" s="75">
        <f>'THAM_SO_MOI'!$C$31*J3865/E3865</f>
        <v>429.13508554761677</v>
      </c>
      <c r="L3865" s="75">
        <f>K3865*'THAM_SO_MOI'!$C$53*'THAM_SO_MOI'!$C$17/'THAM_SO_MOI'!$C$26</f>
        <v>3763.5163794446953</v>
      </c>
      <c r="M3865" s="75">
        <f>'THAM_SO_MOI'!$C$15*'THAM_SO_MOI'!$C$16*F3865^2</f>
        <v>1233.7415882714004</v>
      </c>
      <c r="N3865" s="75">
        <f>'THAM_SO_MOI'!$C$12*I3865</f>
        <v>1130.112</v>
      </c>
      <c r="O3865" s="75">
        <f>M3865+N3865</f>
        <v>2363.8535882714004</v>
      </c>
      <c r="P3865" s="75">
        <f>(MIN(L3865,'THAM_SO_MOI'!$C$41)-O3865)/('THAM_SO_MOI'!$C$11*H3865)</f>
        <v>0.1656797811521419</v>
      </c>
      <c r="Q3865" s="75">
        <f>IF(P3865&gt;0,1/P3865,NA())</f>
        <v>6.035739503311579</v>
      </c>
      <c r="R3865" s="75">
        <f>F3865-F3864</f>
        <v>0.0073885545698715305</v>
      </c>
      <c r="S3865" s="75">
        <f>0.5*(Q3864+Q3865)*R3865</f>
        <v>0.044582675111036106</v>
      </c>
      <c r="T3865" s="75">
        <f>0.5*(F3864*Q3864+F3865*Q3865)*R3865</f>
        <v>0.9154553898919384</v>
      </c>
      <c r="U3865" s="76">
        <f>U3864+S3865</f>
        <v>51.03086392879869</v>
      </c>
      <c r="V3865" s="76">
        <f>V3864+T3865</f>
        <v>701.1353233476952</v>
      </c>
    </row>
    <row r="3866" spans="1:22" ht="19" customHeight="1">
      <c r="A3866" s="68" t="s">
        <v>378</v>
      </c>
      <c r="B3866" s="74">
        <v>5</v>
      </c>
      <c r="C3866" s="68" t="s">
        <v>363</v>
      </c>
      <c r="D3866" s="68" t="s">
        <v>364</v>
      </c>
      <c r="E3866" s="75">
        <f>60*F3866*'THAM_SO_MOI'!$C$53/(2*PI()*'THAM_SO_MOI'!$C$26)</f>
        <v>2024.2195889118261</v>
      </c>
      <c r="F3866" s="75">
        <f>'HANH_TRINH'!$F$3289+('THAM_SO_MOI'!$C$14-'HANH_TRINH'!$F$3289)*576/'THAM_SO_MOI'!$C$42</f>
        <v>20.544963776348666</v>
      </c>
      <c r="G3866" s="75">
        <f>3.6*F3866</f>
        <v>73.9618695948552</v>
      </c>
      <c r="H3866" s="75">
        <f>'THAM_SO_MOI'!$D$53</f>
        <v>1.1</v>
      </c>
      <c r="I3866" s="75">
        <f>IF(F3866&gt;'THAM_SO_MOI'!$C$14,'THAM_SO_MOI'!$C$13*(1+F3866^2/1500),'THAM_SO_MOI'!$C$13)</f>
        <v>0.015</v>
      </c>
      <c r="J3866" s="75">
        <f>'THAM_SO_MOI'!$C$40*('THAM_SO_MOI'!$C$23*(E3866/'THAM_SO_MOI'!$C$22)+'THAM_SO_MOI'!$C$24*(E3866/'THAM_SO_MOI'!$C$22)^2-'THAM_SO_MOI'!$C$25*(E3866/'THAM_SO_MOI'!$C$22)^3)</f>
        <v>90.9512213345657</v>
      </c>
      <c r="K3866" s="75">
        <f>'THAM_SO_MOI'!$C$31*J3866/E3866</f>
        <v>429.14517138887317</v>
      </c>
      <c r="L3866" s="75">
        <f>K3866*'THAM_SO_MOI'!$C$53*'THAM_SO_MOI'!$C$17/'THAM_SO_MOI'!$C$26</f>
        <v>3763.6048323119803</v>
      </c>
      <c r="M3866" s="75">
        <f>'THAM_SO_MOI'!$C$15*'THAM_SO_MOI'!$C$16*F3866^2</f>
        <v>1234.6294444715759</v>
      </c>
      <c r="N3866" s="75">
        <f>'THAM_SO_MOI'!$C$12*I3866</f>
        <v>1130.112</v>
      </c>
      <c r="O3866" s="75">
        <f>M3866+N3866</f>
        <v>2364.741444471576</v>
      </c>
      <c r="P3866" s="75">
        <f>(MIN(L3866,'THAM_SO_MOI'!$C$41)-O3866)/('THAM_SO_MOI'!$C$11*H3866)</f>
        <v>0.16558515481065392</v>
      </c>
      <c r="Q3866" s="75">
        <f>IF(P3866&gt;0,1/P3866,NA())</f>
        <v>6.039188725242289</v>
      </c>
      <c r="R3866" s="75">
        <f>F3866-F3865</f>
        <v>0.0073885545698715305</v>
      </c>
      <c r="S3866" s="75">
        <f>0.5*(Q3865+Q3866)*R3866</f>
        <v>0.04460813307197621</v>
      </c>
      <c r="T3866" s="75">
        <f>0.5*(F3865*Q3865+F3866*Q3866)*R3866</f>
        <v>0.9163077303554543</v>
      </c>
      <c r="U3866" s="76">
        <f>U3865+S3866</f>
        <v>51.07547206187066</v>
      </c>
      <c r="V3866" s="76">
        <f>V3865+T3866</f>
        <v>702.0516310780507</v>
      </c>
    </row>
    <row r="3867" spans="1:22" ht="19" customHeight="1">
      <c r="A3867" s="68" t="s">
        <v>378</v>
      </c>
      <c r="B3867" s="74">
        <v>5</v>
      </c>
      <c r="C3867" s="68" t="s">
        <v>363</v>
      </c>
      <c r="D3867" s="68" t="s">
        <v>364</v>
      </c>
      <c r="E3867" s="75">
        <f>60*F3867*'THAM_SO_MOI'!$C$53/(2*PI()*'THAM_SO_MOI'!$C$26)</f>
        <v>2024.947555972605</v>
      </c>
      <c r="F3867" s="75">
        <f>'HANH_TRINH'!$F$3289+('THAM_SO_MOI'!$C$14-'HANH_TRINH'!$F$3289)*577/'THAM_SO_MOI'!$C$42</f>
        <v>20.552352330918538</v>
      </c>
      <c r="G3867" s="75">
        <f>3.6*F3867</f>
        <v>73.98846839130674</v>
      </c>
      <c r="H3867" s="75">
        <f>'THAM_SO_MOI'!$D$53</f>
        <v>1.1</v>
      </c>
      <c r="I3867" s="75">
        <f>IF(F3867&gt;'THAM_SO_MOI'!$C$14,'THAM_SO_MOI'!$C$13*(1+F3867^2/1500),'THAM_SO_MOI'!$C$13)</f>
        <v>0.015</v>
      </c>
      <c r="J3867" s="75">
        <f>'THAM_SO_MOI'!$C$40*('THAM_SO_MOI'!$C$23*(E3867/'THAM_SO_MOI'!$C$22)+'THAM_SO_MOI'!$C$24*(E3867/'THAM_SO_MOI'!$C$22)^2-'THAM_SO_MOI'!$C$25*(E3867/'THAM_SO_MOI'!$C$22)^3)</f>
        <v>90.98605740572202</v>
      </c>
      <c r="K3867" s="75">
        <f>'THAM_SO_MOI'!$C$31*J3867/E3867</f>
        <v>429.1552058184241</v>
      </c>
      <c r="L3867" s="75">
        <f>K3867*'THAM_SO_MOI'!$C$53*'THAM_SO_MOI'!$C$17/'THAM_SO_MOI'!$C$26</f>
        <v>3763.6928342984065</v>
      </c>
      <c r="M3867" s="75">
        <f>'THAM_SO_MOI'!$C$15*'THAM_SO_MOI'!$C$16*F3867^2</f>
        <v>1235.517620027572</v>
      </c>
      <c r="N3867" s="75">
        <f>'THAM_SO_MOI'!$C$12*I3867</f>
        <v>1130.112</v>
      </c>
      <c r="O3867" s="75">
        <f>M3867+N3867</f>
        <v>2365.629620027572</v>
      </c>
      <c r="P3867" s="75">
        <f>(MIN(L3867,'THAM_SO_MOI'!$C$41)-O3867)/('THAM_SO_MOI'!$C$11*H3867)</f>
        <v>0.1654904372953166</v>
      </c>
      <c r="Q3867" s="75">
        <f>IF(P3867&gt;0,1/P3867,NA())</f>
        <v>6.042645220735665</v>
      </c>
      <c r="R3867" s="75">
        <f>F3867-F3866</f>
        <v>0.0073885545698715305</v>
      </c>
      <c r="S3867" s="75">
        <f>0.5*(Q3866+Q3867)*R3867</f>
        <v>0.044633644706992194</v>
      </c>
      <c r="T3867" s="75">
        <f>0.5*(F3866*Q3866+F3867*Q3867)*R3867</f>
        <v>0.9171615499445165</v>
      </c>
      <c r="U3867" s="76">
        <f>U3866+S3867</f>
        <v>51.120105706577654</v>
      </c>
      <c r="V3867" s="76">
        <f>V3866+T3867</f>
        <v>702.9687926279952</v>
      </c>
    </row>
    <row r="3868" spans="1:22" ht="19" customHeight="1">
      <c r="A3868" s="68" t="s">
        <v>378</v>
      </c>
      <c r="B3868" s="74">
        <v>5</v>
      </c>
      <c r="C3868" s="68" t="s">
        <v>363</v>
      </c>
      <c r="D3868" s="68" t="s">
        <v>364</v>
      </c>
      <c r="E3868" s="75">
        <f>60*F3868*'THAM_SO_MOI'!$C$53/(2*PI()*'THAM_SO_MOI'!$C$26)</f>
        <v>2025.675523033384</v>
      </c>
      <c r="F3868" s="75">
        <f>'HANH_TRINH'!$F$3289+('THAM_SO_MOI'!$C$14-'HANH_TRINH'!$F$3289)*578/'THAM_SO_MOI'!$C$42</f>
        <v>20.55974088548841</v>
      </c>
      <c r="G3868" s="75">
        <f>3.6*F3868</f>
        <v>74.01506718775828</v>
      </c>
      <c r="H3868" s="75">
        <f>'THAM_SO_MOI'!$D$53</f>
        <v>1.1</v>
      </c>
      <c r="I3868" s="75">
        <f>IF(F3868&gt;'THAM_SO_MOI'!$C$14,'THAM_SO_MOI'!$C$13*(1+F3868^2/1500),'THAM_SO_MOI'!$C$13)</f>
        <v>0.015</v>
      </c>
      <c r="J3868" s="75">
        <f>'THAM_SO_MOI'!$C$40*('THAM_SO_MOI'!$C$23*(E3868/'THAM_SO_MOI'!$C$22)+'THAM_SO_MOI'!$C$24*(E3868/'THAM_SO_MOI'!$C$22)^2-'THAM_SO_MOI'!$C$25*(E3868/'THAM_SO_MOI'!$C$22)^3)</f>
        <v>91.0208841026722</v>
      </c>
      <c r="K3868" s="75">
        <f>'THAM_SO_MOI'!$C$31*J3868/E3868</f>
        <v>429.16518883626964</v>
      </c>
      <c r="L3868" s="75">
        <f>K3868*'THAM_SO_MOI'!$C$53*'THAM_SO_MOI'!$C$17/'THAM_SO_MOI'!$C$26</f>
        <v>3763.7803854039744</v>
      </c>
      <c r="M3868" s="75">
        <f>'THAM_SO_MOI'!$C$15*'THAM_SO_MOI'!$C$16*F3868^2</f>
        <v>1236.4061149393895</v>
      </c>
      <c r="N3868" s="75">
        <f>'THAM_SO_MOI'!$C$12*I3868</f>
        <v>1130.112</v>
      </c>
      <c r="O3868" s="75">
        <f>M3868+N3868</f>
        <v>2366.5181149393893</v>
      </c>
      <c r="P3868" s="75">
        <f>(MIN(L3868,'THAM_SO_MOI'!$C$41)-O3868)/('THAM_SO_MOI'!$C$11*H3868)</f>
        <v>0.1653956286061298</v>
      </c>
      <c r="Q3868" s="75">
        <f>IF(P3868&gt;0,1/P3868,NA())</f>
        <v>6.046109008003967</v>
      </c>
      <c r="R3868" s="75">
        <f>F3868-F3867</f>
        <v>0.0073885545698715305</v>
      </c>
      <c r="S3868" s="75">
        <f>0.5*(Q3867+Q3868)*R3868</f>
        <v>0.044659210150404</v>
      </c>
      <c r="T3868" s="75">
        <f>0.5*(F3867*Q3867+F3868*Q3868)*R3868</f>
        <v>0.9180168526099345</v>
      </c>
      <c r="U3868" s="76">
        <f>U3867+S3868</f>
        <v>51.16476491672806</v>
      </c>
      <c r="V3868" s="76">
        <f>V3867+T3868</f>
        <v>703.8868094806052</v>
      </c>
    </row>
    <row r="3869" spans="1:22" ht="19" customHeight="1">
      <c r="A3869" s="68" t="s">
        <v>378</v>
      </c>
      <c r="B3869" s="74">
        <v>5</v>
      </c>
      <c r="C3869" s="68" t="s">
        <v>363</v>
      </c>
      <c r="D3869" s="68" t="s">
        <v>364</v>
      </c>
      <c r="E3869" s="75">
        <f>60*F3869*'THAM_SO_MOI'!$C$53/(2*PI()*'THAM_SO_MOI'!$C$26)</f>
        <v>2026.4034900941629</v>
      </c>
      <c r="F3869" s="75">
        <f>'HANH_TRINH'!$F$3289+('THAM_SO_MOI'!$C$14-'HANH_TRINH'!$F$3289)*579/'THAM_SO_MOI'!$C$42</f>
        <v>20.567129440058284</v>
      </c>
      <c r="G3869" s="75">
        <f>3.6*F3869</f>
        <v>74.04166598420983</v>
      </c>
      <c r="H3869" s="75">
        <f>'THAM_SO_MOI'!$D$53</f>
        <v>1.1</v>
      </c>
      <c r="I3869" s="75">
        <f>IF(F3869&gt;'THAM_SO_MOI'!$C$14,'THAM_SO_MOI'!$C$13*(1+F3869^2/1500),'THAM_SO_MOI'!$C$13)</f>
        <v>0.015</v>
      </c>
      <c r="J3869" s="75">
        <f>'THAM_SO_MOI'!$C$40*('THAM_SO_MOI'!$C$23*(E3869/'THAM_SO_MOI'!$C$22)+'THAM_SO_MOI'!$C$24*(E3869/'THAM_SO_MOI'!$C$22)^2-'THAM_SO_MOI'!$C$25*(E3869/'THAM_SO_MOI'!$C$22)^3)</f>
        <v>91.05570141366074</v>
      </c>
      <c r="K3869" s="75">
        <f>'THAM_SO_MOI'!$C$31*J3869/E3869</f>
        <v>429.1751204424097</v>
      </c>
      <c r="L3869" s="75">
        <f>K3869*'THAM_SO_MOI'!$C$53*'THAM_SO_MOI'!$C$17/'THAM_SO_MOI'!$C$26</f>
        <v>3763.867485628685</v>
      </c>
      <c r="M3869" s="75">
        <f>'THAM_SO_MOI'!$C$15*'THAM_SO_MOI'!$C$16*F3869^2</f>
        <v>1237.2949292070284</v>
      </c>
      <c r="N3869" s="75">
        <f>'THAM_SO_MOI'!$C$12*I3869</f>
        <v>1130.112</v>
      </c>
      <c r="O3869" s="75">
        <f>M3869+N3869</f>
        <v>2367.4069292070285</v>
      </c>
      <c r="P3869" s="75">
        <f>(MIN(L3869,'THAM_SO_MOI'!$C$41)-O3869)/('THAM_SO_MOI'!$C$11*H3869)</f>
        <v>0.1653007287430938</v>
      </c>
      <c r="Q3869" s="75">
        <f>IF(P3869&gt;0,1/P3869,NA())</f>
        <v>6.049580105325335</v>
      </c>
      <c r="R3869" s="75">
        <f>F3869-F3868</f>
        <v>0.007388554569875083</v>
      </c>
      <c r="S3869" s="75">
        <f>0.5*(Q3868+Q3869)*R3869</f>
        <v>0.04468482953703875</v>
      </c>
      <c r="T3869" s="75">
        <f>0.5*(F3868*Q3868+F3869*Q3869)*R3869</f>
        <v>0.9188736423169174</v>
      </c>
      <c r="U3869" s="76">
        <f>U3868+S3869</f>
        <v>51.2094497462651</v>
      </c>
      <c r="V3869" s="76">
        <f>V3868+T3869</f>
        <v>704.8056831229221</v>
      </c>
    </row>
    <row r="3870" spans="1:22" ht="19" customHeight="1">
      <c r="A3870" s="68" t="s">
        <v>378</v>
      </c>
      <c r="B3870" s="74">
        <v>5</v>
      </c>
      <c r="C3870" s="68" t="s">
        <v>363</v>
      </c>
      <c r="D3870" s="68" t="s">
        <v>364</v>
      </c>
      <c r="E3870" s="75">
        <f>60*F3870*'THAM_SO_MOI'!$C$53/(2*PI()*'THAM_SO_MOI'!$C$26)</f>
        <v>2027.1314571549422</v>
      </c>
      <c r="F3870" s="75">
        <f>'HANH_TRINH'!$F$3289+('THAM_SO_MOI'!$C$14-'HANH_TRINH'!$F$3289)*580/'THAM_SO_MOI'!$C$42</f>
        <v>20.574517994628156</v>
      </c>
      <c r="G3870" s="75">
        <f>3.6*F3870</f>
        <v>74.06826478066137</v>
      </c>
      <c r="H3870" s="75">
        <f>'THAM_SO_MOI'!$D$53</f>
        <v>1.1</v>
      </c>
      <c r="I3870" s="75">
        <f>IF(F3870&gt;'THAM_SO_MOI'!$C$14,'THAM_SO_MOI'!$C$13*(1+F3870^2/1500),'THAM_SO_MOI'!$C$13)</f>
        <v>0.015</v>
      </c>
      <c r="J3870" s="75">
        <f>'THAM_SO_MOI'!$C$40*('THAM_SO_MOI'!$C$23*(E3870/'THAM_SO_MOI'!$C$22)+'THAM_SO_MOI'!$C$24*(E3870/'THAM_SO_MOI'!$C$22)^2-'THAM_SO_MOI'!$C$25*(E3870/'THAM_SO_MOI'!$C$22)^3)</f>
        <v>91.09050932693218</v>
      </c>
      <c r="K3870" s="75">
        <f>'THAM_SO_MOI'!$C$31*J3870/E3870</f>
        <v>429.18500063684445</v>
      </c>
      <c r="L3870" s="75">
        <f>K3870*'THAM_SO_MOI'!$C$53*'THAM_SO_MOI'!$C$17/'THAM_SO_MOI'!$C$26</f>
        <v>3763.9541349725387</v>
      </c>
      <c r="M3870" s="75">
        <f>'THAM_SO_MOI'!$C$15*'THAM_SO_MOI'!$C$16*F3870^2</f>
        <v>1238.1840628304876</v>
      </c>
      <c r="N3870" s="75">
        <f>'THAM_SO_MOI'!$C$12*I3870</f>
        <v>1130.112</v>
      </c>
      <c r="O3870" s="75">
        <f>M3870+N3870</f>
        <v>2368.2960628304877</v>
      </c>
      <c r="P3870" s="75">
        <f>(MIN(L3870,'THAM_SO_MOI'!$C$41)-O3870)/('THAM_SO_MOI'!$C$11*H3870)</f>
        <v>0.1652057377062087</v>
      </c>
      <c r="Q3870" s="75">
        <f>IF(P3870&gt;0,1/P3870,NA())</f>
        <v>6.053058531044097</v>
      </c>
      <c r="R3870" s="75">
        <f>F3870-F3869</f>
        <v>0.0073885545698715305</v>
      </c>
      <c r="S3870" s="75">
        <f>0.5*(Q3869+Q3870)*R3870</f>
        <v>0.044710503002125555</v>
      </c>
      <c r="T3870" s="75">
        <f>0.5*(F3869*Q3869+F3870*Q3870)*R3870</f>
        <v>0.919731923042927</v>
      </c>
      <c r="U3870" s="76">
        <f>U3869+S3870</f>
        <v>51.25416024926723</v>
      </c>
      <c r="V3870" s="76">
        <f>V3869+T3870</f>
        <v>705.7254150459651</v>
      </c>
    </row>
    <row r="3871" spans="1:22" ht="19" customHeight="1">
      <c r="A3871" s="68" t="s">
        <v>378</v>
      </c>
      <c r="B3871" s="74">
        <v>5</v>
      </c>
      <c r="C3871" s="68" t="s">
        <v>363</v>
      </c>
      <c r="D3871" s="68" t="s">
        <v>364</v>
      </c>
      <c r="E3871" s="75">
        <f>60*F3871*'THAM_SO_MOI'!$C$53/(2*PI()*'THAM_SO_MOI'!$C$26)</f>
        <v>2027.859424215721</v>
      </c>
      <c r="F3871" s="75">
        <f>'HANH_TRINH'!$F$3289+('THAM_SO_MOI'!$C$14-'HANH_TRINH'!$F$3289)*581/'THAM_SO_MOI'!$C$42</f>
        <v>20.581906549198028</v>
      </c>
      <c r="G3871" s="75">
        <f>3.6*F3871</f>
        <v>74.0948635771129</v>
      </c>
      <c r="H3871" s="75">
        <f>'THAM_SO_MOI'!$D$53</f>
        <v>1.1</v>
      </c>
      <c r="I3871" s="75">
        <f>IF(F3871&gt;'THAM_SO_MOI'!$C$14,'THAM_SO_MOI'!$C$13*(1+F3871^2/1500),'THAM_SO_MOI'!$C$13)</f>
        <v>0.015</v>
      </c>
      <c r="J3871" s="75">
        <f>'THAM_SO_MOI'!$C$40*('THAM_SO_MOI'!$C$23*(E3871/'THAM_SO_MOI'!$C$22)+'THAM_SO_MOI'!$C$24*(E3871/'THAM_SO_MOI'!$C$22)^2-'THAM_SO_MOI'!$C$25*(E3871/'THAM_SO_MOI'!$C$22)^3)</f>
        <v>91.12530783073086</v>
      </c>
      <c r="K3871" s="75">
        <f>'THAM_SO_MOI'!$C$31*J3871/E3871</f>
        <v>429.1948294195736</v>
      </c>
      <c r="L3871" s="75">
        <f>K3871*'THAM_SO_MOI'!$C$53*'THAM_SO_MOI'!$C$17/'THAM_SO_MOI'!$C$26</f>
        <v>3764.040333435533</v>
      </c>
      <c r="M3871" s="75">
        <f>'THAM_SO_MOI'!$C$15*'THAM_SO_MOI'!$C$16*F3871^2</f>
        <v>1239.073515809768</v>
      </c>
      <c r="N3871" s="75">
        <f>'THAM_SO_MOI'!$C$12*I3871</f>
        <v>1130.112</v>
      </c>
      <c r="O3871" s="75">
        <f>M3871+N3871</f>
        <v>2369.185515809768</v>
      </c>
      <c r="P3871" s="75">
        <f>(MIN(L3871,'THAM_SO_MOI'!$C$41)-O3871)/('THAM_SO_MOI'!$C$11*H3871)</f>
        <v>0.16511065549547402</v>
      </c>
      <c r="Q3871" s="75">
        <f>IF(P3871&gt;0,1/P3871,NA())</f>
        <v>6.056544303571079</v>
      </c>
      <c r="R3871" s="75">
        <f>F3871-F3870</f>
        <v>0.0073885545698715305</v>
      </c>
      <c r="S3871" s="75">
        <f>0.5*(Q3870+Q3871)*R3871</f>
        <v>0.0447362306815126</v>
      </c>
      <c r="T3871" s="75">
        <f>0.5*(F3870*Q3870+F3871*Q3871)*R3871</f>
        <v>0.9205916987821617</v>
      </c>
      <c r="U3871" s="76">
        <f>U3870+S3871</f>
        <v>51.298896479948745</v>
      </c>
      <c r="V3871" s="76">
        <f>V3870+T3871</f>
        <v>706.6460067447472</v>
      </c>
    </row>
    <row r="3872" spans="1:22" ht="19" customHeight="1">
      <c r="A3872" s="68" t="s">
        <v>378</v>
      </c>
      <c r="B3872" s="74">
        <v>5</v>
      </c>
      <c r="C3872" s="68" t="s">
        <v>363</v>
      </c>
      <c r="D3872" s="68" t="s">
        <v>364</v>
      </c>
      <c r="E3872" s="75">
        <f>60*F3872*'THAM_SO_MOI'!$C$53/(2*PI()*'THAM_SO_MOI'!$C$26)</f>
        <v>2028.5873912765003</v>
      </c>
      <c r="F3872" s="75">
        <f>'HANH_TRINH'!$F$3289+('THAM_SO_MOI'!$C$14-'HANH_TRINH'!$F$3289)*582/'THAM_SO_MOI'!$C$42</f>
        <v>20.5892951037679</v>
      </c>
      <c r="G3872" s="75">
        <f>3.6*F3872</f>
        <v>74.12146237356444</v>
      </c>
      <c r="H3872" s="75">
        <f>'THAM_SO_MOI'!$D$53</f>
        <v>1.1</v>
      </c>
      <c r="I3872" s="75">
        <f>IF(F3872&gt;'THAM_SO_MOI'!$C$14,'THAM_SO_MOI'!$C$13*(1+F3872^2/1500),'THAM_SO_MOI'!$C$13)</f>
        <v>0.015</v>
      </c>
      <c r="J3872" s="75">
        <f>'THAM_SO_MOI'!$C$40*('THAM_SO_MOI'!$C$23*(E3872/'THAM_SO_MOI'!$C$22)+'THAM_SO_MOI'!$C$24*(E3872/'THAM_SO_MOI'!$C$22)^2-'THAM_SO_MOI'!$C$25*(E3872/'THAM_SO_MOI'!$C$22)^3)</f>
        <v>91.1600969133014</v>
      </c>
      <c r="K3872" s="75">
        <f>'THAM_SO_MOI'!$C$31*J3872/E3872</f>
        <v>429.2046067905974</v>
      </c>
      <c r="L3872" s="75">
        <f>K3872*'THAM_SO_MOI'!$C$53*'THAM_SO_MOI'!$C$17/'THAM_SO_MOI'!$C$26</f>
        <v>3764.1260810176695</v>
      </c>
      <c r="M3872" s="75">
        <f>'THAM_SO_MOI'!$C$15*'THAM_SO_MOI'!$C$16*F3872^2</f>
        <v>1239.9632881448695</v>
      </c>
      <c r="N3872" s="75">
        <f>'THAM_SO_MOI'!$C$12*I3872</f>
        <v>1130.112</v>
      </c>
      <c r="O3872" s="75">
        <f>M3872+N3872</f>
        <v>2370.07528814487</v>
      </c>
      <c r="P3872" s="75">
        <f>(MIN(L3872,'THAM_SO_MOI'!$C$41)-O3872)/('THAM_SO_MOI'!$C$11*H3872)</f>
        <v>0.16501548211089018</v>
      </c>
      <c r="Q3872" s="75">
        <f>IF(P3872&gt;0,1/P3872,NA())</f>
        <v>6.060037441383842</v>
      </c>
      <c r="R3872" s="75">
        <f>F3872-F3871</f>
        <v>0.0073885545698715305</v>
      </c>
      <c r="S3872" s="75">
        <f>0.5*(Q3871+Q3872)*R3872</f>
        <v>0.04476201271145432</v>
      </c>
      <c r="T3872" s="75">
        <f>0.5*(F3871*Q3871+F3872*Q3872)*R3872</f>
        <v>0.9214529735411984</v>
      </c>
      <c r="U3872" s="76">
        <f>U3871+S3872</f>
        <v>51.3436584926602</v>
      </c>
      <c r="V3872" s="76">
        <f>V3871+T3872</f>
        <v>707.5674597182884</v>
      </c>
    </row>
    <row r="3873" spans="1:22" ht="19" customHeight="1">
      <c r="A3873" s="68" t="s">
        <v>378</v>
      </c>
      <c r="B3873" s="74">
        <v>5</v>
      </c>
      <c r="C3873" s="68" t="s">
        <v>363</v>
      </c>
      <c r="D3873" s="68" t="s">
        <v>364</v>
      </c>
      <c r="E3873" s="75">
        <f>60*F3873*'THAM_SO_MOI'!$C$53/(2*PI()*'THAM_SO_MOI'!$C$26)</f>
        <v>2029.3153583372787</v>
      </c>
      <c r="F3873" s="75">
        <f>'HANH_TRINH'!$F$3289+('THAM_SO_MOI'!$C$14-'HANH_TRINH'!$F$3289)*583/'THAM_SO_MOI'!$C$42</f>
        <v>20.59668365833777</v>
      </c>
      <c r="G3873" s="75">
        <f>3.6*F3873</f>
        <v>74.14806117001598</v>
      </c>
      <c r="H3873" s="75">
        <f>'THAM_SO_MOI'!$D$53</f>
        <v>1.1</v>
      </c>
      <c r="I3873" s="75">
        <f>IF(F3873&gt;'THAM_SO_MOI'!$C$14,'THAM_SO_MOI'!$C$13*(1+F3873^2/1500),'THAM_SO_MOI'!$C$13)</f>
        <v>0.015</v>
      </c>
      <c r="J3873" s="75">
        <f>'THAM_SO_MOI'!$C$40*('THAM_SO_MOI'!$C$23*(E3873/'THAM_SO_MOI'!$C$22)+'THAM_SO_MOI'!$C$24*(E3873/'THAM_SO_MOI'!$C$22)^2-'THAM_SO_MOI'!$C$25*(E3873/'THAM_SO_MOI'!$C$22)^3)</f>
        <v>91.19487656288821</v>
      </c>
      <c r="K3873" s="75">
        <f>'THAM_SO_MOI'!$C$31*J3873/E3873</f>
        <v>429.2143327499158</v>
      </c>
      <c r="L3873" s="75">
        <f>K3873*'THAM_SO_MOI'!$C$53*'THAM_SO_MOI'!$C$17/'THAM_SO_MOI'!$C$26</f>
        <v>3764.21137771895</v>
      </c>
      <c r="M3873" s="75">
        <f>'THAM_SO_MOI'!$C$15*'THAM_SO_MOI'!$C$16*F3873^2</f>
        <v>1240.8533798357919</v>
      </c>
      <c r="N3873" s="75">
        <f>'THAM_SO_MOI'!$C$12*I3873</f>
        <v>1130.112</v>
      </c>
      <c r="O3873" s="75">
        <f>M3873+N3873</f>
        <v>2370.965379835792</v>
      </c>
      <c r="P3873" s="75">
        <f>(MIN(L3873,'THAM_SO_MOI'!$C$41)-O3873)/('THAM_SO_MOI'!$C$11*H3873)</f>
        <v>0.1649202175524572</v>
      </c>
      <c r="Q3873" s="75">
        <f>IF(P3873&gt;0,1/P3873,NA())</f>
        <v>6.0635379630270245</v>
      </c>
      <c r="R3873" s="75">
        <f>F3873-F3872</f>
        <v>0.0073885545698715305</v>
      </c>
      <c r="S3873" s="75">
        <f>0.5*(Q3872+Q3873)*R3873</f>
        <v>0.044787849228721</v>
      </c>
      <c r="T3873" s="75">
        <f>0.5*(F3872*Q3872+F3873*Q3873)*R3873</f>
        <v>0.9223157513412624</v>
      </c>
      <c r="U3873" s="76">
        <f>U3872+S3873</f>
        <v>51.388446341888915</v>
      </c>
      <c r="V3873" s="76">
        <f>V3872+T3873</f>
        <v>708.4897754696296</v>
      </c>
    </row>
    <row r="3874" spans="1:22" ht="19" customHeight="1">
      <c r="A3874" s="68" t="s">
        <v>378</v>
      </c>
      <c r="B3874" s="74">
        <v>5</v>
      </c>
      <c r="C3874" s="68" t="s">
        <v>363</v>
      </c>
      <c r="D3874" s="68" t="s">
        <v>364</v>
      </c>
      <c r="E3874" s="75">
        <f>60*F3874*'THAM_SO_MOI'!$C$53/(2*PI()*'THAM_SO_MOI'!$C$26)</f>
        <v>2030.0433253980577</v>
      </c>
      <c r="F3874" s="75">
        <f>'HANH_TRINH'!$F$3289+('THAM_SO_MOI'!$C$14-'HANH_TRINH'!$F$3289)*584/'THAM_SO_MOI'!$C$42</f>
        <v>20.604072212907642</v>
      </c>
      <c r="G3874" s="75">
        <f>3.6*F3874</f>
        <v>74.17465996646752</v>
      </c>
      <c r="H3874" s="75">
        <f>'THAM_SO_MOI'!$D$53</f>
        <v>1.1</v>
      </c>
      <c r="I3874" s="75">
        <f>IF(F3874&gt;'THAM_SO_MOI'!$C$14,'THAM_SO_MOI'!$C$13*(1+F3874^2/1500),'THAM_SO_MOI'!$C$13)</f>
        <v>0.015</v>
      </c>
      <c r="J3874" s="75">
        <f>'THAM_SO_MOI'!$C$40*('THAM_SO_MOI'!$C$23*(E3874/'THAM_SO_MOI'!$C$22)+'THAM_SO_MOI'!$C$24*(E3874/'THAM_SO_MOI'!$C$22)^2-'THAM_SO_MOI'!$C$25*(E3874/'THAM_SO_MOI'!$C$22)^3)</f>
        <v>91.22964676773583</v>
      </c>
      <c r="K3874" s="75">
        <f>'THAM_SO_MOI'!$C$31*J3874/E3874</f>
        <v>429.2240072975288</v>
      </c>
      <c r="L3874" s="75">
        <f>K3874*'THAM_SO_MOI'!$C$53*'THAM_SO_MOI'!$C$17/'THAM_SO_MOI'!$C$26</f>
        <v>3764.296223539372</v>
      </c>
      <c r="M3874" s="75">
        <f>'THAM_SO_MOI'!$C$15*'THAM_SO_MOI'!$C$16*F3874^2</f>
        <v>1241.743790882535</v>
      </c>
      <c r="N3874" s="75">
        <f>'THAM_SO_MOI'!$C$12*I3874</f>
        <v>1130.112</v>
      </c>
      <c r="O3874" s="75">
        <f>M3874+N3874</f>
        <v>2371.855790882535</v>
      </c>
      <c r="P3874" s="75">
        <f>(MIN(L3874,'THAM_SO_MOI'!$C$41)-O3874)/('THAM_SO_MOI'!$C$11*H3874)</f>
        <v>0.16482486182017483</v>
      </c>
      <c r="Q3874" s="75">
        <f>IF(P3874&gt;0,1/P3874,NA())</f>
        <v>6.067045887112634</v>
      </c>
      <c r="R3874" s="75">
        <f>F3874-F3873</f>
        <v>0.0073885545698715305</v>
      </c>
      <c r="S3874" s="75">
        <f>0.5*(Q3873+Q3874)*R3874</f>
        <v>0.04481374037057958</v>
      </c>
      <c r="T3874" s="75">
        <f>0.5*(F3873*Q3873+F3874*Q3874)*R3874</f>
        <v>0.9231800362178538</v>
      </c>
      <c r="U3874" s="76">
        <f>U3873+S3874</f>
        <v>51.433260082259494</v>
      </c>
      <c r="V3874" s="76">
        <f>V3873+T3874</f>
        <v>709.4129555058475</v>
      </c>
    </row>
    <row r="3875" spans="1:22" ht="19" customHeight="1">
      <c r="A3875" s="68" t="s">
        <v>378</v>
      </c>
      <c r="B3875" s="74">
        <v>5</v>
      </c>
      <c r="C3875" s="68" t="s">
        <v>363</v>
      </c>
      <c r="D3875" s="68" t="s">
        <v>364</v>
      </c>
      <c r="E3875" s="75">
        <f>60*F3875*'THAM_SO_MOI'!$C$53/(2*PI()*'THAM_SO_MOI'!$C$26)</f>
        <v>2030.771292458837</v>
      </c>
      <c r="F3875" s="75">
        <f>'HANH_TRINH'!$F$3289+('THAM_SO_MOI'!$C$14-'HANH_TRINH'!$F$3289)*585/'THAM_SO_MOI'!$C$42</f>
        <v>20.611460767477517</v>
      </c>
      <c r="G3875" s="75">
        <f>3.6*F3875</f>
        <v>74.20125876291907</v>
      </c>
      <c r="H3875" s="75">
        <f>'THAM_SO_MOI'!$D$53</f>
        <v>1.1</v>
      </c>
      <c r="I3875" s="75">
        <f>IF(F3875&gt;'THAM_SO_MOI'!$C$14,'THAM_SO_MOI'!$C$13*(1+F3875^2/1500),'THAM_SO_MOI'!$C$13)</f>
        <v>0.015</v>
      </c>
      <c r="J3875" s="75">
        <f>'THAM_SO_MOI'!$C$40*('THAM_SO_MOI'!$C$23*(E3875/'THAM_SO_MOI'!$C$22)+'THAM_SO_MOI'!$C$24*(E3875/'THAM_SO_MOI'!$C$22)^2-'THAM_SO_MOI'!$C$25*(E3875/'THAM_SO_MOI'!$C$22)^3)</f>
        <v>91.26440751608871</v>
      </c>
      <c r="K3875" s="75">
        <f>'THAM_SO_MOI'!$C$31*J3875/E3875</f>
        <v>429.23363043343625</v>
      </c>
      <c r="L3875" s="75">
        <f>K3875*'THAM_SO_MOI'!$C$53*'THAM_SO_MOI'!$C$17/'THAM_SO_MOI'!$C$26</f>
        <v>3764.3806184789355</v>
      </c>
      <c r="M3875" s="75">
        <f>'THAM_SO_MOI'!$C$15*'THAM_SO_MOI'!$C$16*F3875^2</f>
        <v>1242.6345212851</v>
      </c>
      <c r="N3875" s="75">
        <f>'THAM_SO_MOI'!$C$12*I3875</f>
        <v>1130.112</v>
      </c>
      <c r="O3875" s="75">
        <f>M3875+N3875</f>
        <v>2372.7465212851002</v>
      </c>
      <c r="P3875" s="75">
        <f>(MIN(L3875,'THAM_SO_MOI'!$C$41)-O3875)/('THAM_SO_MOI'!$C$11*H3875)</f>
        <v>0.164729414914043</v>
      </c>
      <c r="Q3875" s="75">
        <f>IF(P3875&gt;0,1/P3875,NA())</f>
        <v>6.0705612323203315</v>
      </c>
      <c r="R3875" s="75">
        <f>F3875-F3874</f>
        <v>0.007388554569875083</v>
      </c>
      <c r="S3875" s="75">
        <f>0.5*(Q3874+Q3875)*R3875</f>
        <v>0.044839686274817395</v>
      </c>
      <c r="T3875" s="75">
        <f>0.5*(F3874*Q3874+F3875*Q3875)*R3875</f>
        <v>0.9240458322212529</v>
      </c>
      <c r="U3875" s="76">
        <f>U3874+S3875</f>
        <v>51.478099768534314</v>
      </c>
      <c r="V3875" s="76">
        <f>V3874+T3875</f>
        <v>710.3370013380688</v>
      </c>
    </row>
    <row r="3876" spans="1:22" ht="19" customHeight="1">
      <c r="A3876" s="68" t="s">
        <v>378</v>
      </c>
      <c r="B3876" s="74">
        <v>5</v>
      </c>
      <c r="C3876" s="68" t="s">
        <v>363</v>
      </c>
      <c r="D3876" s="68" t="s">
        <v>364</v>
      </c>
      <c r="E3876" s="75">
        <f>60*F3876*'THAM_SO_MOI'!$C$53/(2*PI()*'THAM_SO_MOI'!$C$26)</f>
        <v>2031.4992595196163</v>
      </c>
      <c r="F3876" s="75">
        <f>'HANH_TRINH'!$F$3289+('THAM_SO_MOI'!$C$14-'HANH_TRINH'!$F$3289)*586/'THAM_SO_MOI'!$C$42</f>
        <v>20.61884932204739</v>
      </c>
      <c r="G3876" s="75">
        <f>3.6*F3876</f>
        <v>74.2278575593706</v>
      </c>
      <c r="H3876" s="75">
        <f>'THAM_SO_MOI'!$D$53</f>
        <v>1.1</v>
      </c>
      <c r="I3876" s="75">
        <f>IF(F3876&gt;'THAM_SO_MOI'!$C$14,'THAM_SO_MOI'!$C$13*(1+F3876^2/1500),'THAM_SO_MOI'!$C$13)</f>
        <v>0.015</v>
      </c>
      <c r="J3876" s="75">
        <f>'THAM_SO_MOI'!$C$40*('THAM_SO_MOI'!$C$23*(E3876/'THAM_SO_MOI'!$C$22)+'THAM_SO_MOI'!$C$24*(E3876/'THAM_SO_MOI'!$C$22)^2-'THAM_SO_MOI'!$C$25*(E3876/'THAM_SO_MOI'!$C$22)^3)</f>
        <v>91.29915879619135</v>
      </c>
      <c r="K3876" s="75">
        <f>'THAM_SO_MOI'!$C$31*J3876/E3876</f>
        <v>429.24320215763834</v>
      </c>
      <c r="L3876" s="75">
        <f>K3876*'THAM_SO_MOI'!$C$53*'THAM_SO_MOI'!$C$17/'THAM_SO_MOI'!$C$26</f>
        <v>3764.464562537642</v>
      </c>
      <c r="M3876" s="75">
        <f>'THAM_SO_MOI'!$C$15*'THAM_SO_MOI'!$C$16*F3876^2</f>
        <v>1243.5255710434853</v>
      </c>
      <c r="N3876" s="75">
        <f>'THAM_SO_MOI'!$C$12*I3876</f>
        <v>1130.112</v>
      </c>
      <c r="O3876" s="75">
        <f>M3876+N3876</f>
        <v>2373.6375710434854</v>
      </c>
      <c r="P3876" s="75">
        <f>(MIN(L3876,'THAM_SO_MOI'!$C$41)-O3876)/('THAM_SO_MOI'!$C$11*H3876)</f>
        <v>0.16463387683406208</v>
      </c>
      <c r="Q3876" s="75">
        <f>IF(P3876&gt;0,1/P3876,NA())</f>
        <v>6.074084017397713</v>
      </c>
      <c r="R3876" s="75">
        <f>F3876-F3875</f>
        <v>0.0073885545698715305</v>
      </c>
      <c r="S3876" s="75">
        <f>0.5*(Q3875+Q3876)*R3876</f>
        <v>0.04486568707963642</v>
      </c>
      <c r="T3876" s="75">
        <f>0.5*(F3875*Q3875+F3876*Q3876)*R3876</f>
        <v>0.92491314341436</v>
      </c>
      <c r="U3876" s="76">
        <f>U3875+S3876</f>
        <v>51.52296545561395</v>
      </c>
      <c r="V3876" s="76">
        <f>V3875+T3876</f>
        <v>711.2619144814832</v>
      </c>
    </row>
    <row r="3877" spans="1:22" ht="19" customHeight="1">
      <c r="A3877" s="68" t="s">
        <v>378</v>
      </c>
      <c r="B3877" s="74">
        <v>5</v>
      </c>
      <c r="C3877" s="68" t="s">
        <v>363</v>
      </c>
      <c r="D3877" s="68" t="s">
        <v>364</v>
      </c>
      <c r="E3877" s="75">
        <f>60*F3877*'THAM_SO_MOI'!$C$53/(2*PI()*'THAM_SO_MOI'!$C$26)</f>
        <v>2032.2272265803947</v>
      </c>
      <c r="F3877" s="75">
        <f>'HANH_TRINH'!$F$3289+('THAM_SO_MOI'!$C$14-'HANH_TRINH'!$F$3289)*587/'THAM_SO_MOI'!$C$42</f>
        <v>20.62623787661726</v>
      </c>
      <c r="G3877" s="75">
        <f>3.6*F3877</f>
        <v>74.25445635582214</v>
      </c>
      <c r="H3877" s="75">
        <f>'THAM_SO_MOI'!$D$53</f>
        <v>1.1</v>
      </c>
      <c r="I3877" s="75">
        <f>IF(F3877&gt;'THAM_SO_MOI'!$C$14,'THAM_SO_MOI'!$C$13*(1+F3877^2/1500),'THAM_SO_MOI'!$C$13)</f>
        <v>0.015</v>
      </c>
      <c r="J3877" s="75">
        <f>'THAM_SO_MOI'!$C$40*('THAM_SO_MOI'!$C$23*(E3877/'THAM_SO_MOI'!$C$22)+'THAM_SO_MOI'!$C$24*(E3877/'THAM_SO_MOI'!$C$22)^2-'THAM_SO_MOI'!$C$25*(E3877/'THAM_SO_MOI'!$C$22)^3)</f>
        <v>91.33390059628817</v>
      </c>
      <c r="K3877" s="75">
        <f>'THAM_SO_MOI'!$C$31*J3877/E3877</f>
        <v>429.252722470135</v>
      </c>
      <c r="L3877" s="75">
        <f>K3877*'THAM_SO_MOI'!$C$53*'THAM_SO_MOI'!$C$17/'THAM_SO_MOI'!$C$26</f>
        <v>3764.54805571549</v>
      </c>
      <c r="M3877" s="75">
        <f>'THAM_SO_MOI'!$C$15*'THAM_SO_MOI'!$C$16*F3877^2</f>
        <v>1244.4169401576914</v>
      </c>
      <c r="N3877" s="75">
        <f>'THAM_SO_MOI'!$C$12*I3877</f>
        <v>1130.112</v>
      </c>
      <c r="O3877" s="75">
        <f>M3877+N3877</f>
        <v>2374.5289401576915</v>
      </c>
      <c r="P3877" s="75">
        <f>(MIN(L3877,'THAM_SO_MOI'!$C$41)-O3877)/('THAM_SO_MOI'!$C$11*H3877)</f>
        <v>0.16453824758023183</v>
      </c>
      <c r="Q3877" s="75">
        <f>IF(P3877&gt;0,1/P3877,NA())</f>
        <v>6.077614261160657</v>
      </c>
      <c r="R3877" s="75">
        <f>F3877-F3876</f>
        <v>0.0073885545698715305</v>
      </c>
      <c r="S3877" s="75">
        <f>0.5*(Q3876+Q3877)*R3877</f>
        <v>0.04489174292387123</v>
      </c>
      <c r="T3877" s="75">
        <f>0.5*(F3876*Q3876+F3877*Q3877)*R3877</f>
        <v>0.9257819738772064</v>
      </c>
      <c r="U3877" s="76">
        <f>U3876+S3877</f>
        <v>51.56785719853782</v>
      </c>
      <c r="V3877" s="76">
        <f>V3876+T3877</f>
        <v>712.1876964553604</v>
      </c>
    </row>
    <row r="3878" spans="1:22" ht="19" customHeight="1">
      <c r="A3878" s="68" t="s">
        <v>378</v>
      </c>
      <c r="B3878" s="74">
        <v>5</v>
      </c>
      <c r="C3878" s="68" t="s">
        <v>363</v>
      </c>
      <c r="D3878" s="68" t="s">
        <v>364</v>
      </c>
      <c r="E3878" s="75">
        <f>60*F3878*'THAM_SO_MOI'!$C$53/(2*PI()*'THAM_SO_MOI'!$C$26)</f>
        <v>2032.955193641174</v>
      </c>
      <c r="F3878" s="75">
        <f>'HANH_TRINH'!$F$3289+('THAM_SO_MOI'!$C$14-'HANH_TRINH'!$F$3289)*588/'THAM_SO_MOI'!$C$42</f>
        <v>20.633626431187132</v>
      </c>
      <c r="G3878" s="75">
        <f>3.6*F3878</f>
        <v>74.28105515227368</v>
      </c>
      <c r="H3878" s="75">
        <f>'THAM_SO_MOI'!$D$53</f>
        <v>1.1</v>
      </c>
      <c r="I3878" s="75">
        <f>IF(F3878&gt;'THAM_SO_MOI'!$C$14,'THAM_SO_MOI'!$C$13*(1+F3878^2/1500),'THAM_SO_MOI'!$C$13)</f>
        <v>0.015</v>
      </c>
      <c r="J3878" s="75">
        <f>'THAM_SO_MOI'!$C$40*('THAM_SO_MOI'!$C$23*(E3878/'THAM_SO_MOI'!$C$22)+'THAM_SO_MOI'!$C$24*(E3878/'THAM_SO_MOI'!$C$22)^2-'THAM_SO_MOI'!$C$25*(E3878/'THAM_SO_MOI'!$C$22)^3)</f>
        <v>91.3686329046238</v>
      </c>
      <c r="K3878" s="75">
        <f>'THAM_SO_MOI'!$C$31*J3878/E3878</f>
        <v>429.2621913709263</v>
      </c>
      <c r="L3878" s="75">
        <f>K3878*'THAM_SO_MOI'!$C$53*'THAM_SO_MOI'!$C$17/'THAM_SO_MOI'!$C$26</f>
        <v>3764.6310980124813</v>
      </c>
      <c r="M3878" s="75">
        <f>'THAM_SO_MOI'!$C$15*'THAM_SO_MOI'!$C$16*F3878^2</f>
        <v>1245.308628627719</v>
      </c>
      <c r="N3878" s="75">
        <f>'THAM_SO_MOI'!$C$12*I3878</f>
        <v>1130.112</v>
      </c>
      <c r="O3878" s="75">
        <f>M3878+N3878</f>
        <v>2375.420628627719</v>
      </c>
      <c r="P3878" s="75">
        <f>(MIN(L3878,'THAM_SO_MOI'!$C$41)-O3878)/('THAM_SO_MOI'!$C$11*H3878)</f>
        <v>0.16444252715255236</v>
      </c>
      <c r="Q3878" s="75">
        <f>IF(P3878&gt;0,1/P3878,NA())</f>
        <v>6.081151982493591</v>
      </c>
      <c r="R3878" s="75">
        <f>F3878-F3877</f>
        <v>0.0073885545698715305</v>
      </c>
      <c r="S3878" s="75">
        <f>0.5*(Q3877+Q3878)*R3878</f>
        <v>0.04491785394677565</v>
      </c>
      <c r="T3878" s="75">
        <f>0.5*(F3877*Q3877+F3878*Q3878)*R3878</f>
        <v>0.9266523277025747</v>
      </c>
      <c r="U3878" s="76">
        <f>U3877+S3878</f>
        <v>51.6127750524846</v>
      </c>
      <c r="V3878" s="76">
        <f>V3877+T3878</f>
        <v>713.114348783063</v>
      </c>
    </row>
    <row r="3879" spans="1:22" ht="19" customHeight="1">
      <c r="A3879" s="68" t="s">
        <v>378</v>
      </c>
      <c r="B3879" s="74">
        <v>5</v>
      </c>
      <c r="C3879" s="68" t="s">
        <v>363</v>
      </c>
      <c r="D3879" s="68" t="s">
        <v>364</v>
      </c>
      <c r="E3879" s="75">
        <f>60*F3879*'THAM_SO_MOI'!$C$53/(2*PI()*'THAM_SO_MOI'!$C$26)</f>
        <v>2033.6831607019528</v>
      </c>
      <c r="F3879" s="75">
        <f>'HANH_TRINH'!$F$3289+('THAM_SO_MOI'!$C$14-'HANH_TRINH'!$F$3289)*589/'THAM_SO_MOI'!$C$42</f>
        <v>20.641014985757003</v>
      </c>
      <c r="G3879" s="75">
        <f>3.6*F3879</f>
        <v>74.30765394872522</v>
      </c>
      <c r="H3879" s="75">
        <f>'THAM_SO_MOI'!$D$53</f>
        <v>1.1</v>
      </c>
      <c r="I3879" s="75">
        <f>IF(F3879&gt;'THAM_SO_MOI'!$C$14,'THAM_SO_MOI'!$C$13*(1+F3879^2/1500),'THAM_SO_MOI'!$C$13)</f>
        <v>0.015</v>
      </c>
      <c r="J3879" s="75">
        <f>'THAM_SO_MOI'!$C$40*('THAM_SO_MOI'!$C$23*(E3879/'THAM_SO_MOI'!$C$22)+'THAM_SO_MOI'!$C$24*(E3879/'THAM_SO_MOI'!$C$22)^2-'THAM_SO_MOI'!$C$25*(E3879/'THAM_SO_MOI'!$C$22)^3)</f>
        <v>91.40335570944254</v>
      </c>
      <c r="K3879" s="75">
        <f>'THAM_SO_MOI'!$C$31*J3879/E3879</f>
        <v>429.27160886001195</v>
      </c>
      <c r="L3879" s="75">
        <f>K3879*'THAM_SO_MOI'!$C$53*'THAM_SO_MOI'!$C$17/'THAM_SO_MOI'!$C$26</f>
        <v>3764.7136894286127</v>
      </c>
      <c r="M3879" s="75">
        <f>'THAM_SO_MOI'!$C$15*'THAM_SO_MOI'!$C$16*F3879^2</f>
        <v>1246.2006364535673</v>
      </c>
      <c r="N3879" s="75">
        <f>'THAM_SO_MOI'!$C$12*I3879</f>
        <v>1130.112</v>
      </c>
      <c r="O3879" s="75">
        <f>M3879+N3879</f>
        <v>2376.3126364535674</v>
      </c>
      <c r="P3879" s="75">
        <f>(MIN(L3879,'THAM_SO_MOI'!$C$41)-O3879)/('THAM_SO_MOI'!$C$11*H3879)</f>
        <v>0.16434671555102337</v>
      </c>
      <c r="Q3879" s="75">
        <f>IF(P3879&gt;0,1/P3879,NA())</f>
        <v>6.08469720034982</v>
      </c>
      <c r="R3879" s="75">
        <f>F3879-F3878</f>
        <v>0.0073885545698715305</v>
      </c>
      <c r="S3879" s="75">
        <f>0.5*(Q3878+Q3879)*R3879</f>
        <v>0.04494402028813275</v>
      </c>
      <c r="T3879" s="75">
        <f>0.5*(F3878*Q3878+F3879*Q3879)*R3879</f>
        <v>0.9275242089982861</v>
      </c>
      <c r="U3879" s="76">
        <f>U3878+S3879</f>
        <v>51.657719072772736</v>
      </c>
      <c r="V3879" s="76">
        <f>V3878+T3879</f>
        <v>714.0418729920613</v>
      </c>
    </row>
    <row r="3880" spans="1:22" ht="19" customHeight="1">
      <c r="A3880" s="68" t="s">
        <v>378</v>
      </c>
      <c r="B3880" s="74">
        <v>5</v>
      </c>
      <c r="C3880" s="68" t="s">
        <v>363</v>
      </c>
      <c r="D3880" s="68" t="s">
        <v>364</v>
      </c>
      <c r="E3880" s="75">
        <f>60*F3880*'THAM_SO_MOI'!$C$53/(2*PI()*'THAM_SO_MOI'!$C$26)</f>
        <v>2034.411127762732</v>
      </c>
      <c r="F3880" s="75">
        <f>'HANH_TRINH'!$F$3289+('THAM_SO_MOI'!$C$14-'HANH_TRINH'!$F$3289)*590/'THAM_SO_MOI'!$C$42</f>
        <v>20.648403540326875</v>
      </c>
      <c r="G3880" s="75">
        <f>3.6*F3880</f>
        <v>74.33425274517676</v>
      </c>
      <c r="H3880" s="75">
        <f>'THAM_SO_MOI'!$D$53</f>
        <v>1.1</v>
      </c>
      <c r="I3880" s="75">
        <f>IF(F3880&gt;'THAM_SO_MOI'!$C$14,'THAM_SO_MOI'!$C$13*(1+F3880^2/1500),'THAM_SO_MOI'!$C$13)</f>
        <v>0.015</v>
      </c>
      <c r="J3880" s="75">
        <f>'THAM_SO_MOI'!$C$40*('THAM_SO_MOI'!$C$23*(E3880/'THAM_SO_MOI'!$C$22)+'THAM_SO_MOI'!$C$24*(E3880/'THAM_SO_MOI'!$C$22)^2-'THAM_SO_MOI'!$C$25*(E3880/'THAM_SO_MOI'!$C$22)^3)</f>
        <v>91.438068998989</v>
      </c>
      <c r="K3880" s="75">
        <f>'THAM_SO_MOI'!$C$31*J3880/E3880</f>
        <v>429.2809749373923</v>
      </c>
      <c r="L3880" s="75">
        <f>K3880*'THAM_SO_MOI'!$C$53*'THAM_SO_MOI'!$C$17/'THAM_SO_MOI'!$C$26</f>
        <v>3764.7958299638876</v>
      </c>
      <c r="M3880" s="75">
        <f>'THAM_SO_MOI'!$C$15*'THAM_SO_MOI'!$C$16*F3880^2</f>
        <v>1247.0929636352366</v>
      </c>
      <c r="N3880" s="75">
        <f>'THAM_SO_MOI'!$C$12*I3880</f>
        <v>1130.112</v>
      </c>
      <c r="O3880" s="75">
        <f>M3880+N3880</f>
        <v>2377.2049636352367</v>
      </c>
      <c r="P3880" s="75">
        <f>(MIN(L3880,'THAM_SO_MOI'!$C$41)-O3880)/('THAM_SO_MOI'!$C$11*H3880)</f>
        <v>0.16425081277564524</v>
      </c>
      <c r="Q3880" s="75">
        <f>IF(P3880&gt;0,1/P3880,NA())</f>
        <v>6.088249933751792</v>
      </c>
      <c r="R3880" s="75">
        <f>F3880-F3879</f>
        <v>0.0073885545698715305</v>
      </c>
      <c r="S3880" s="75">
        <f>0.5*(Q3879+Q3880)*R3880</f>
        <v>0.04497024208823551</v>
      </c>
      <c r="T3880" s="75">
        <f>0.5*(F3879*Q3879+F3880*Q3880)*R3880</f>
        <v>0.9283976218868192</v>
      </c>
      <c r="U3880" s="76">
        <f>U3879+S3880</f>
        <v>51.70268931486097</v>
      </c>
      <c r="V3880" s="76">
        <f>V3879+T3880</f>
        <v>714.9702706139481</v>
      </c>
    </row>
    <row r="3881" spans="1:22" ht="19" customHeight="1">
      <c r="A3881" s="68" t="s">
        <v>378</v>
      </c>
      <c r="B3881" s="74">
        <v>5</v>
      </c>
      <c r="C3881" s="68" t="s">
        <v>363</v>
      </c>
      <c r="D3881" s="68" t="s">
        <v>364</v>
      </c>
      <c r="E3881" s="75">
        <f>60*F3881*'THAM_SO_MOI'!$C$53/(2*PI()*'THAM_SO_MOI'!$C$26)</f>
        <v>2035.1390948235103</v>
      </c>
      <c r="F3881" s="75">
        <f>'HANH_TRINH'!$F$3289+('THAM_SO_MOI'!$C$14-'HANH_TRINH'!$F$3289)*591/'THAM_SO_MOI'!$C$42</f>
        <v>20.655792094896746</v>
      </c>
      <c r="G3881" s="75">
        <f>3.6*F3881</f>
        <v>74.36085154162829</v>
      </c>
      <c r="H3881" s="75">
        <f>'THAM_SO_MOI'!$D$53</f>
        <v>1.1</v>
      </c>
      <c r="I3881" s="75">
        <f>IF(F3881&gt;'THAM_SO_MOI'!$C$14,'THAM_SO_MOI'!$C$13*(1+F3881^2/1500),'THAM_SO_MOI'!$C$13)</f>
        <v>0.015</v>
      </c>
      <c r="J3881" s="75">
        <f>'THAM_SO_MOI'!$C$40*('THAM_SO_MOI'!$C$23*(E3881/'THAM_SO_MOI'!$C$22)+'THAM_SO_MOI'!$C$24*(E3881/'THAM_SO_MOI'!$C$22)^2-'THAM_SO_MOI'!$C$25*(E3881/'THAM_SO_MOI'!$C$22)^3)</f>
        <v>91.47277276150766</v>
      </c>
      <c r="K3881" s="75">
        <f>'THAM_SO_MOI'!$C$31*J3881/E3881</f>
        <v>429.2902896030674</v>
      </c>
      <c r="L3881" s="75">
        <f>K3881*'THAM_SO_MOI'!$C$53*'THAM_SO_MOI'!$C$17/'THAM_SO_MOI'!$C$26</f>
        <v>3764.877519618306</v>
      </c>
      <c r="M3881" s="75">
        <f>'THAM_SO_MOI'!$C$15*'THAM_SO_MOI'!$C$16*F3881^2</f>
        <v>1247.9856101727269</v>
      </c>
      <c r="N3881" s="75">
        <f>'THAM_SO_MOI'!$C$12*I3881</f>
        <v>1130.112</v>
      </c>
      <c r="O3881" s="75">
        <f>M3881+N3881</f>
        <v>2378.097610172727</v>
      </c>
      <c r="P3881" s="75">
        <f>(MIN(L3881,'THAM_SO_MOI'!$C$41)-O3881)/('THAM_SO_MOI'!$C$11*H3881)</f>
        <v>0.16415481882641797</v>
      </c>
      <c r="Q3881" s="75">
        <f>IF(P3881&gt;0,1/P3881,NA())</f>
        <v>6.091810201791449</v>
      </c>
      <c r="R3881" s="75">
        <f>F3881-F3880</f>
        <v>0.0073885545698715305</v>
      </c>
      <c r="S3881" s="75">
        <f>0.5*(Q3880+Q3881)*R3881</f>
        <v>0.044996519487889027</v>
      </c>
      <c r="T3881" s="75">
        <f>0.5*(F3880*Q3880+F3881*Q3881)*R3881</f>
        <v>0.9292725705053758</v>
      </c>
      <c r="U3881" s="76">
        <f>U3880+S3881</f>
        <v>51.74768583434886</v>
      </c>
      <c r="V3881" s="76">
        <f>V3880+T3881</f>
        <v>715.8995431844535</v>
      </c>
    </row>
    <row r="3882" spans="1:22" ht="19" customHeight="1">
      <c r="A3882" s="68" t="s">
        <v>378</v>
      </c>
      <c r="B3882" s="74">
        <v>5</v>
      </c>
      <c r="C3882" s="68" t="s">
        <v>363</v>
      </c>
      <c r="D3882" s="68" t="s">
        <v>364</v>
      </c>
      <c r="E3882" s="75">
        <f>60*F3882*'THAM_SO_MOI'!$C$53/(2*PI()*'THAM_SO_MOI'!$C$26)</f>
        <v>2035.8670618842896</v>
      </c>
      <c r="F3882" s="75">
        <f>'HANH_TRINH'!$F$3289+('THAM_SO_MOI'!$C$14-'HANH_TRINH'!$F$3289)*592/'THAM_SO_MOI'!$C$42</f>
        <v>20.663180649466618</v>
      </c>
      <c r="G3882" s="75">
        <f>3.6*F3882</f>
        <v>74.38745033807983</v>
      </c>
      <c r="H3882" s="75">
        <f>'THAM_SO_MOI'!$D$53</f>
        <v>1.1</v>
      </c>
      <c r="I3882" s="75">
        <f>IF(F3882&gt;'THAM_SO_MOI'!$C$14,'THAM_SO_MOI'!$C$13*(1+F3882^2/1500),'THAM_SO_MOI'!$C$13)</f>
        <v>0.015</v>
      </c>
      <c r="J3882" s="75">
        <f>'THAM_SO_MOI'!$C$40*('THAM_SO_MOI'!$C$23*(E3882/'THAM_SO_MOI'!$C$22)+'THAM_SO_MOI'!$C$24*(E3882/'THAM_SO_MOI'!$C$22)^2-'THAM_SO_MOI'!$C$25*(E3882/'THAM_SO_MOI'!$C$22)^3)</f>
        <v>91.50746698524297</v>
      </c>
      <c r="K3882" s="75">
        <f>'THAM_SO_MOI'!$C$31*J3882/E3882</f>
        <v>429.2995528570369</v>
      </c>
      <c r="L3882" s="75">
        <f>K3882*'THAM_SO_MOI'!$C$53*'THAM_SO_MOI'!$C$17/'THAM_SO_MOI'!$C$26</f>
        <v>3764.958758391865</v>
      </c>
      <c r="M3882" s="75">
        <f>'THAM_SO_MOI'!$C$15*'THAM_SO_MOI'!$C$16*F3882^2</f>
        <v>1248.8785760660382</v>
      </c>
      <c r="N3882" s="75">
        <f>'THAM_SO_MOI'!$C$12*I3882</f>
        <v>1130.112</v>
      </c>
      <c r="O3882" s="75">
        <f>M3882+N3882</f>
        <v>2378.9905760660386</v>
      </c>
      <c r="P3882" s="75">
        <f>(MIN(L3882,'THAM_SO_MOI'!$C$41)-O3882)/('THAM_SO_MOI'!$C$11*H3882)</f>
        <v>0.16405873370334126</v>
      </c>
      <c r="Q3882" s="75">
        <f>IF(P3882&gt;0,1/P3882,NA())</f>
        <v>6.095378023630532</v>
      </c>
      <c r="R3882" s="75">
        <f>F3882-F3881</f>
        <v>0.0073885545698715305</v>
      </c>
      <c r="S3882" s="75">
        <f>0.5*(Q3881+Q3882)*R3882</f>
        <v>0.04502285262841304</v>
      </c>
      <c r="T3882" s="75">
        <f>0.5*(F3881*Q3881+F3882*Q3882)*R3882</f>
        <v>0.9301490590059509</v>
      </c>
      <c r="U3882" s="76">
        <f>U3881+S3882</f>
        <v>51.79270868697727</v>
      </c>
      <c r="V3882" s="76">
        <f>V3881+T3882</f>
        <v>716.8296922434595</v>
      </c>
    </row>
    <row r="3883" spans="1:22" ht="19" customHeight="1">
      <c r="A3883" s="68" t="s">
        <v>378</v>
      </c>
      <c r="B3883" s="74">
        <v>5</v>
      </c>
      <c r="C3883" s="68" t="s">
        <v>363</v>
      </c>
      <c r="D3883" s="68" t="s">
        <v>364</v>
      </c>
      <c r="E3883" s="75">
        <f>60*F3883*'THAM_SO_MOI'!$C$53/(2*PI()*'THAM_SO_MOI'!$C$26)</f>
        <v>2036.5950289450684</v>
      </c>
      <c r="F3883" s="75">
        <f>'HANH_TRINH'!$F$3289+('THAM_SO_MOI'!$C$14-'HANH_TRINH'!$F$3289)*593/'THAM_SO_MOI'!$C$42</f>
        <v>20.67056920403649</v>
      </c>
      <c r="G3883" s="75">
        <f>3.6*F3883</f>
        <v>74.41404913453137</v>
      </c>
      <c r="H3883" s="75">
        <f>'THAM_SO_MOI'!$D$53</f>
        <v>1.1</v>
      </c>
      <c r="I3883" s="75">
        <f>IF(F3883&gt;'THAM_SO_MOI'!$C$14,'THAM_SO_MOI'!$C$13*(1+F3883^2/1500),'THAM_SO_MOI'!$C$13)</f>
        <v>0.015</v>
      </c>
      <c r="J3883" s="75">
        <f>'THAM_SO_MOI'!$C$40*('THAM_SO_MOI'!$C$23*(E3883/'THAM_SO_MOI'!$C$22)+'THAM_SO_MOI'!$C$24*(E3883/'THAM_SO_MOI'!$C$22)^2-'THAM_SO_MOI'!$C$25*(E3883/'THAM_SO_MOI'!$C$22)^3)</f>
        <v>91.54215165843938</v>
      </c>
      <c r="K3883" s="75">
        <f>'THAM_SO_MOI'!$C$31*J3883/E3883</f>
        <v>429.3087646993008</v>
      </c>
      <c r="L3883" s="75">
        <f>K3883*'THAM_SO_MOI'!$C$53*'THAM_SO_MOI'!$C$17/'THAM_SO_MOI'!$C$26</f>
        <v>3765.039546284566</v>
      </c>
      <c r="M3883" s="75">
        <f>'THAM_SO_MOI'!$C$15*'THAM_SO_MOI'!$C$16*F3883^2</f>
        <v>1249.7718613151706</v>
      </c>
      <c r="N3883" s="75">
        <f>'THAM_SO_MOI'!$C$12*I3883</f>
        <v>1130.112</v>
      </c>
      <c r="O3883" s="75">
        <f>M3883+N3883</f>
        <v>2379.8838613151706</v>
      </c>
      <c r="P3883" s="75">
        <f>(MIN(L3883,'THAM_SO_MOI'!$C$41)-O3883)/('THAM_SO_MOI'!$C$11*H3883)</f>
        <v>0.16396255740641516</v>
      </c>
      <c r="Q3883" s="75">
        <f>IF(P3883&gt;0,1/P3883,NA())</f>
        <v>6.098953418500865</v>
      </c>
      <c r="R3883" s="75">
        <f>F3883-F3882</f>
        <v>0.0073885545698715305</v>
      </c>
      <c r="S3883" s="75">
        <f>0.5*(Q3882+Q3883)*R3883</f>
        <v>0.045049241651644006</v>
      </c>
      <c r="T3883" s="75">
        <f>0.5*(F3882*Q3882+F3883*Q3883)*R3883</f>
        <v>0.9310270915553951</v>
      </c>
      <c r="U3883" s="76">
        <f>U3882+S3883</f>
        <v>51.83775792862892</v>
      </c>
      <c r="V3883" s="76">
        <f>V3882+T3883</f>
        <v>717.7607193350149</v>
      </c>
    </row>
    <row r="3884" spans="1:22" ht="19" customHeight="1">
      <c r="A3884" s="68" t="s">
        <v>378</v>
      </c>
      <c r="B3884" s="74">
        <v>5</v>
      </c>
      <c r="C3884" s="68" t="s">
        <v>363</v>
      </c>
      <c r="D3884" s="68" t="s">
        <v>364</v>
      </c>
      <c r="E3884" s="75">
        <f>60*F3884*'THAM_SO_MOI'!$C$53/(2*PI()*'THAM_SO_MOI'!$C$26)</f>
        <v>2037.3229960058477</v>
      </c>
      <c r="F3884" s="75">
        <f>'HANH_TRINH'!$F$3289+('THAM_SO_MOI'!$C$14-'HANH_TRINH'!$F$3289)*594/'THAM_SO_MOI'!$C$42</f>
        <v>20.67795775860636</v>
      </c>
      <c r="G3884" s="75">
        <f>3.6*F3884</f>
        <v>74.4406479309829</v>
      </c>
      <c r="H3884" s="75">
        <f>'THAM_SO_MOI'!$D$53</f>
        <v>1.1</v>
      </c>
      <c r="I3884" s="75">
        <f>IF(F3884&gt;'THAM_SO_MOI'!$C$14,'THAM_SO_MOI'!$C$13*(1+F3884^2/1500),'THAM_SO_MOI'!$C$13)</f>
        <v>0.015</v>
      </c>
      <c r="J3884" s="75">
        <f>'THAM_SO_MOI'!$C$40*('THAM_SO_MOI'!$C$23*(E3884/'THAM_SO_MOI'!$C$22)+'THAM_SO_MOI'!$C$24*(E3884/'THAM_SO_MOI'!$C$22)^2-'THAM_SO_MOI'!$C$25*(E3884/'THAM_SO_MOI'!$C$22)^3)</f>
        <v>91.5768267693415</v>
      </c>
      <c r="K3884" s="75">
        <f>'THAM_SO_MOI'!$C$31*J3884/E3884</f>
        <v>429.3179251298596</v>
      </c>
      <c r="L3884" s="75">
        <f>K3884*'THAM_SO_MOI'!$C$53*'THAM_SO_MOI'!$C$17/'THAM_SO_MOI'!$C$26</f>
        <v>3765.1198832964105</v>
      </c>
      <c r="M3884" s="75">
        <f>'THAM_SO_MOI'!$C$15*'THAM_SO_MOI'!$C$16*F3884^2</f>
        <v>1250.665465920124</v>
      </c>
      <c r="N3884" s="75">
        <f>'THAM_SO_MOI'!$C$12*I3884</f>
        <v>1130.112</v>
      </c>
      <c r="O3884" s="75">
        <f>M3884+N3884</f>
        <v>2380.777465920124</v>
      </c>
      <c r="P3884" s="75">
        <f>(MIN(L3884,'THAM_SO_MOI'!$C$41)-O3884)/('THAM_SO_MOI'!$C$11*H3884)</f>
        <v>0.16386628993563998</v>
      </c>
      <c r="Q3884" s="75">
        <f>IF(P3884&gt;0,1/P3884,NA())</f>
        <v>6.102536405704671</v>
      </c>
      <c r="R3884" s="75">
        <f>F3884-F3883</f>
        <v>0.0073885545698715305</v>
      </c>
      <c r="S3884" s="75">
        <f>0.5*(Q3883+Q3884)*R3884</f>
        <v>0.045075686699937396</v>
      </c>
      <c r="T3884" s="75">
        <f>0.5*(F3883*Q3883+F3884*Q3884)*R3884</f>
        <v>0.9319066723354811</v>
      </c>
      <c r="U3884" s="76">
        <f>U3883+S3884</f>
        <v>51.882833615328856</v>
      </c>
      <c r="V3884" s="76">
        <f>V3883+T3884</f>
        <v>718.6926260073503</v>
      </c>
    </row>
    <row r="3885" spans="1:22" ht="19" customHeight="1">
      <c r="A3885" s="68" t="s">
        <v>378</v>
      </c>
      <c r="B3885" s="74">
        <v>5</v>
      </c>
      <c r="C3885" s="68" t="s">
        <v>363</v>
      </c>
      <c r="D3885" s="68" t="s">
        <v>364</v>
      </c>
      <c r="E3885" s="75">
        <f>60*F3885*'THAM_SO_MOI'!$C$53/(2*PI()*'THAM_SO_MOI'!$C$26)</f>
        <v>2038.0509630666265</v>
      </c>
      <c r="F3885" s="75">
        <f>'HANH_TRINH'!$F$3289+('THAM_SO_MOI'!$C$14-'HANH_TRINH'!$F$3289)*595/'THAM_SO_MOI'!$C$42</f>
        <v>20.685346313176236</v>
      </c>
      <c r="G3885" s="75">
        <f>3.6*F3885</f>
        <v>74.46724672743446</v>
      </c>
      <c r="H3885" s="75">
        <f>'THAM_SO_MOI'!$D$53</f>
        <v>1.1</v>
      </c>
      <c r="I3885" s="75">
        <f>IF(F3885&gt;'THAM_SO_MOI'!$C$14,'THAM_SO_MOI'!$C$13*(1+F3885^2/1500),'THAM_SO_MOI'!$C$13)</f>
        <v>0.015</v>
      </c>
      <c r="J3885" s="75">
        <f>'THAM_SO_MOI'!$C$40*('THAM_SO_MOI'!$C$23*(E3885/'THAM_SO_MOI'!$C$22)+'THAM_SO_MOI'!$C$24*(E3885/'THAM_SO_MOI'!$C$22)^2-'THAM_SO_MOI'!$C$25*(E3885/'THAM_SO_MOI'!$C$22)^3)</f>
        <v>91.61149230619365</v>
      </c>
      <c r="K3885" s="75">
        <f>'THAM_SO_MOI'!$C$31*J3885/E3885</f>
        <v>429.32703414871276</v>
      </c>
      <c r="L3885" s="75">
        <f>K3885*'THAM_SO_MOI'!$C$53*'THAM_SO_MOI'!$C$17/'THAM_SO_MOI'!$C$26</f>
        <v>3765.1997694273964</v>
      </c>
      <c r="M3885" s="75">
        <f>'THAM_SO_MOI'!$C$15*'THAM_SO_MOI'!$C$16*F3885^2</f>
        <v>1251.5593898808988</v>
      </c>
      <c r="N3885" s="75">
        <f>'THAM_SO_MOI'!$C$12*I3885</f>
        <v>1130.112</v>
      </c>
      <c r="O3885" s="75">
        <f>M3885+N3885</f>
        <v>2381.671389880899</v>
      </c>
      <c r="P3885" s="75">
        <f>(MIN(L3885,'THAM_SO_MOI'!$C$41)-O3885)/('THAM_SO_MOI'!$C$11*H3885)</f>
        <v>0.16376993129101533</v>
      </c>
      <c r="Q3885" s="75">
        <f>IF(P3885&gt;0,1/P3885,NA())</f>
        <v>6.106127004614928</v>
      </c>
      <c r="R3885" s="75">
        <f>F3885-F3884</f>
        <v>0.007388554569875083</v>
      </c>
      <c r="S3885" s="75">
        <f>0.5*(Q3884+Q3885)*R3885</f>
        <v>0.04510218791619179</v>
      </c>
      <c r="T3885" s="75">
        <f>0.5*(F3884*Q3884+F3885*Q3885)*R3885</f>
        <v>0.9327878055434217</v>
      </c>
      <c r="U3885" s="76">
        <f>U3884+S3885</f>
        <v>51.92793580324505</v>
      </c>
      <c r="V3885" s="76">
        <f>V3884+T3885</f>
        <v>719.6254138128937</v>
      </c>
    </row>
    <row r="3886" spans="1:22" ht="19" customHeight="1">
      <c r="A3886" s="68" t="s">
        <v>378</v>
      </c>
      <c r="B3886" s="74">
        <v>5</v>
      </c>
      <c r="C3886" s="68" t="s">
        <v>363</v>
      </c>
      <c r="D3886" s="68" t="s">
        <v>364</v>
      </c>
      <c r="E3886" s="75">
        <f>60*F3886*'THAM_SO_MOI'!$C$53/(2*PI()*'THAM_SO_MOI'!$C$26)</f>
        <v>2038.7789301274056</v>
      </c>
      <c r="F3886" s="75">
        <f>'HANH_TRINH'!$F$3289+('THAM_SO_MOI'!$C$14-'HANH_TRINH'!$F$3289)*596/'THAM_SO_MOI'!$C$42</f>
        <v>20.692734867746108</v>
      </c>
      <c r="G3886" s="75">
        <f>3.6*F3886</f>
        <v>74.493845523886</v>
      </c>
      <c r="H3886" s="75">
        <f>'THAM_SO_MOI'!$D$53</f>
        <v>1.1</v>
      </c>
      <c r="I3886" s="75">
        <f>IF(F3886&gt;'THAM_SO_MOI'!$C$14,'THAM_SO_MOI'!$C$13*(1+F3886^2/1500),'THAM_SO_MOI'!$C$13)</f>
        <v>0.015</v>
      </c>
      <c r="J3886" s="75">
        <f>'THAM_SO_MOI'!$C$40*('THAM_SO_MOI'!$C$23*(E3886/'THAM_SO_MOI'!$C$22)+'THAM_SO_MOI'!$C$24*(E3886/'THAM_SO_MOI'!$C$22)^2-'THAM_SO_MOI'!$C$25*(E3886/'THAM_SO_MOI'!$C$22)^3)</f>
        <v>91.64614825724044</v>
      </c>
      <c r="K3886" s="75">
        <f>'THAM_SO_MOI'!$C$31*J3886/E3886</f>
        <v>429.33609175586054</v>
      </c>
      <c r="L3886" s="75">
        <f>K3886*'THAM_SO_MOI'!$C$53*'THAM_SO_MOI'!$C$17/'THAM_SO_MOI'!$C$26</f>
        <v>3765.2792046775244</v>
      </c>
      <c r="M3886" s="75">
        <f>'THAM_SO_MOI'!$C$15*'THAM_SO_MOI'!$C$16*F3886^2</f>
        <v>1252.453633197494</v>
      </c>
      <c r="N3886" s="75">
        <f>'THAM_SO_MOI'!$C$12*I3886</f>
        <v>1130.112</v>
      </c>
      <c r="O3886" s="75">
        <f>M3886+N3886</f>
        <v>2382.565633197494</v>
      </c>
      <c r="P3886" s="75">
        <f>(MIN(L3886,'THAM_SO_MOI'!$C$41)-O3886)/('THAM_SO_MOI'!$C$11*H3886)</f>
        <v>0.16367348147254152</v>
      </c>
      <c r="Q3886" s="75">
        <f>IF(P3886&gt;0,1/P3886,NA())</f>
        <v>6.109725234675623</v>
      </c>
      <c r="R3886" s="75">
        <f>F3886-F3885</f>
        <v>0.0073885545698715305</v>
      </c>
      <c r="S3886" s="75">
        <f>0.5*(Q3885+Q3886)*R3886</f>
        <v>0.04512874544374279</v>
      </c>
      <c r="T3886" s="75">
        <f>0.5*(F3885*Q3885+F3886*Q3886)*R3886</f>
        <v>0.9336704953896934</v>
      </c>
      <c r="U3886" s="76">
        <f>U3885+S3886</f>
        <v>51.97306454868879</v>
      </c>
      <c r="V3886" s="76">
        <f>V3885+T3886</f>
        <v>720.5590843082834</v>
      </c>
    </row>
    <row r="3887" spans="1:22" ht="19" customHeight="1">
      <c r="A3887" s="68" t="s">
        <v>378</v>
      </c>
      <c r="B3887" s="74">
        <v>5</v>
      </c>
      <c r="C3887" s="68" t="s">
        <v>363</v>
      </c>
      <c r="D3887" s="68" t="s">
        <v>364</v>
      </c>
      <c r="E3887" s="75">
        <f>60*F3887*'THAM_SO_MOI'!$C$53/(2*PI()*'THAM_SO_MOI'!$C$26)</f>
        <v>2039.5068971881844</v>
      </c>
      <c r="F3887" s="75">
        <f>'HANH_TRINH'!$F$3289+('THAM_SO_MOI'!$C$14-'HANH_TRINH'!$F$3289)*597/'THAM_SO_MOI'!$C$42</f>
        <v>20.70012342231598</v>
      </c>
      <c r="G3887" s="75">
        <f>3.6*F3887</f>
        <v>74.52044432033753</v>
      </c>
      <c r="H3887" s="75">
        <f>'THAM_SO_MOI'!$D$53</f>
        <v>1.1</v>
      </c>
      <c r="I3887" s="75">
        <f>IF(F3887&gt;'THAM_SO_MOI'!$C$14,'THAM_SO_MOI'!$C$13*(1+F3887^2/1500),'THAM_SO_MOI'!$C$13)</f>
        <v>0.015</v>
      </c>
      <c r="J3887" s="75">
        <f>'THAM_SO_MOI'!$C$40*('THAM_SO_MOI'!$C$23*(E3887/'THAM_SO_MOI'!$C$22)+'THAM_SO_MOI'!$C$24*(E3887/'THAM_SO_MOI'!$C$22)^2-'THAM_SO_MOI'!$C$25*(E3887/'THAM_SO_MOI'!$C$22)^3)</f>
        <v>91.68079461072628</v>
      </c>
      <c r="K3887" s="75">
        <f>'THAM_SO_MOI'!$C$31*J3887/E3887</f>
        <v>429.3450979513029</v>
      </c>
      <c r="L3887" s="75">
        <f>K3887*'THAM_SO_MOI'!$C$53*'THAM_SO_MOI'!$C$17/'THAM_SO_MOI'!$C$26</f>
        <v>3765.3581890467945</v>
      </c>
      <c r="M3887" s="75">
        <f>'THAM_SO_MOI'!$C$15*'THAM_SO_MOI'!$C$16*F3887^2</f>
        <v>1253.3481958699103</v>
      </c>
      <c r="N3887" s="75">
        <f>'THAM_SO_MOI'!$C$12*I3887</f>
        <v>1130.112</v>
      </c>
      <c r="O3887" s="75">
        <f>M3887+N3887</f>
        <v>2383.4601958699104</v>
      </c>
      <c r="P3887" s="75">
        <f>(MIN(L3887,'THAM_SO_MOI'!$C$41)-O3887)/('THAM_SO_MOI'!$C$11*H3887)</f>
        <v>0.16357694048021829</v>
      </c>
      <c r="Q3887" s="75">
        <f>IF(P3887&gt;0,1/P3887,NA())</f>
        <v>6.113331115402126</v>
      </c>
      <c r="R3887" s="75">
        <f>F3887-F3886</f>
        <v>0.0073885545698715305</v>
      </c>
      <c r="S3887" s="75">
        <f>0.5*(Q3886+Q3887)*R3887</f>
        <v>0.04515535942658209</v>
      </c>
      <c r="T3887" s="75">
        <f>0.5*(F3886*Q3886+F3887*Q3887)*R3887</f>
        <v>0.9345547461025888</v>
      </c>
      <c r="U3887" s="76">
        <f>U3886+S3887</f>
        <v>52.01821990811537</v>
      </c>
      <c r="V3887" s="76">
        <f>V3886+T3887</f>
        <v>721.493639054386</v>
      </c>
    </row>
    <row r="3888" spans="1:22" ht="19" customHeight="1">
      <c r="A3888" s="68" t="s">
        <v>378</v>
      </c>
      <c r="B3888" s="74">
        <v>5</v>
      </c>
      <c r="C3888" s="68" t="s">
        <v>363</v>
      </c>
      <c r="D3888" s="68" t="s">
        <v>364</v>
      </c>
      <c r="E3888" s="75">
        <f>60*F3888*'THAM_SO_MOI'!$C$53/(2*PI()*'THAM_SO_MOI'!$C$26)</f>
        <v>2040.2348642489637</v>
      </c>
      <c r="F3888" s="75">
        <f>'HANH_TRINH'!$F$3289+('THAM_SO_MOI'!$C$14-'HANH_TRINH'!$F$3289)*598/'THAM_SO_MOI'!$C$42</f>
        <v>20.70751197688585</v>
      </c>
      <c r="G3888" s="75">
        <f>3.6*F3888</f>
        <v>74.54704311678907</v>
      </c>
      <c r="H3888" s="75">
        <f>'THAM_SO_MOI'!$D$53</f>
        <v>1.1</v>
      </c>
      <c r="I3888" s="75">
        <f>IF(F3888&gt;'THAM_SO_MOI'!$C$14,'THAM_SO_MOI'!$C$13*(1+F3888^2/1500),'THAM_SO_MOI'!$C$13)</f>
        <v>0.015</v>
      </c>
      <c r="J3888" s="75">
        <f>'THAM_SO_MOI'!$C$40*('THAM_SO_MOI'!$C$23*(E3888/'THAM_SO_MOI'!$C$22)+'THAM_SO_MOI'!$C$24*(E3888/'THAM_SO_MOI'!$C$22)^2-'THAM_SO_MOI'!$C$25*(E3888/'THAM_SO_MOI'!$C$22)^3)</f>
        <v>91.71543135489573</v>
      </c>
      <c r="K3888" s="75">
        <f>'THAM_SO_MOI'!$C$31*J3888/E3888</f>
        <v>429.35405273503983</v>
      </c>
      <c r="L3888" s="75">
        <f>K3888*'THAM_SO_MOI'!$C$53*'THAM_SO_MOI'!$C$17/'THAM_SO_MOI'!$C$26</f>
        <v>3765.4367225352075</v>
      </c>
      <c r="M3888" s="75">
        <f>'THAM_SO_MOI'!$C$15*'THAM_SO_MOI'!$C$16*F3888^2</f>
        <v>1254.2430778981477</v>
      </c>
      <c r="N3888" s="75">
        <f>'THAM_SO_MOI'!$C$12*I3888</f>
        <v>1130.112</v>
      </c>
      <c r="O3888" s="75">
        <f>M3888+N3888</f>
        <v>2384.355077898148</v>
      </c>
      <c r="P3888" s="75">
        <f>(MIN(L3888,'THAM_SO_MOI'!$C$41)-O3888)/('THAM_SO_MOI'!$C$11*H3888)</f>
        <v>0.16348030831404592</v>
      </c>
      <c r="Q3888" s="75">
        <f>IF(P3888&gt;0,1/P3888,NA())</f>
        <v>6.116944666381461</v>
      </c>
      <c r="R3888" s="75">
        <f>F3888-F3887</f>
        <v>0.0073885545698715305</v>
      </c>
      <c r="S3888" s="75">
        <f>0.5*(Q3887+Q3888)*R3888</f>
        <v>0.04518203000914311</v>
      </c>
      <c r="T3888" s="75">
        <f>0.5*(F3887*Q3887+F3888*Q3888)*R3888</f>
        <v>0.9354405619238012</v>
      </c>
      <c r="U3888" s="76">
        <f>U3887+S3888</f>
        <v>52.063401938124514</v>
      </c>
      <c r="V3888" s="76">
        <f>V3887+T3888</f>
        <v>722.4290796163098</v>
      </c>
    </row>
    <row r="3889" spans="1:22" ht="19" customHeight="1">
      <c r="A3889" s="68" t="s">
        <v>378</v>
      </c>
      <c r="B3889" s="74">
        <v>5</v>
      </c>
      <c r="C3889" s="68" t="s">
        <v>363</v>
      </c>
      <c r="D3889" s="68" t="s">
        <v>364</v>
      </c>
      <c r="E3889" s="75">
        <f>60*F3889*'THAM_SO_MOI'!$C$53/(2*PI()*'THAM_SO_MOI'!$C$26)</f>
        <v>2040.9628313097426</v>
      </c>
      <c r="F3889" s="75">
        <f>'HANH_TRINH'!$F$3289+('THAM_SO_MOI'!$C$14-'HANH_TRINH'!$F$3289)*599/'THAM_SO_MOI'!$C$42</f>
        <v>20.714900531455726</v>
      </c>
      <c r="G3889" s="75">
        <f>3.6*F3889</f>
        <v>74.57364191324062</v>
      </c>
      <c r="H3889" s="75">
        <f>'THAM_SO_MOI'!$D$53</f>
        <v>1.1</v>
      </c>
      <c r="I3889" s="75">
        <f>IF(F3889&gt;'THAM_SO_MOI'!$C$14,'THAM_SO_MOI'!$C$13*(1+F3889^2/1500),'THAM_SO_MOI'!$C$13)</f>
        <v>0.015</v>
      </c>
      <c r="J3889" s="75">
        <f>'THAM_SO_MOI'!$C$40*('THAM_SO_MOI'!$C$23*(E3889/'THAM_SO_MOI'!$C$22)+'THAM_SO_MOI'!$C$24*(E3889/'THAM_SO_MOI'!$C$22)^2-'THAM_SO_MOI'!$C$25*(E3889/'THAM_SO_MOI'!$C$22)^3)</f>
        <v>91.75005847799319</v>
      </c>
      <c r="K3889" s="75">
        <f>'THAM_SO_MOI'!$C$31*J3889/E3889</f>
        <v>429.36295610707134</v>
      </c>
      <c r="L3889" s="75">
        <f>K3889*'THAM_SO_MOI'!$C$53*'THAM_SO_MOI'!$C$17/'THAM_SO_MOI'!$C$26</f>
        <v>3765.5148051427627</v>
      </c>
      <c r="M3889" s="75">
        <f>'THAM_SO_MOI'!$C$15*'THAM_SO_MOI'!$C$16*F3889^2</f>
        <v>1255.1382792822064</v>
      </c>
      <c r="N3889" s="75">
        <f>'THAM_SO_MOI'!$C$12*I3889</f>
        <v>1130.112</v>
      </c>
      <c r="O3889" s="75">
        <f>M3889+N3889</f>
        <v>2385.2502792822065</v>
      </c>
      <c r="P3889" s="75">
        <f>(MIN(L3889,'THAM_SO_MOI'!$C$41)-O3889)/('THAM_SO_MOI'!$C$11*H3889)</f>
        <v>0.16338358497402417</v>
      </c>
      <c r="Q3889" s="75">
        <f>IF(P3889&gt;0,1/P3889,NA())</f>
        <v>6.120565907272672</v>
      </c>
      <c r="R3889" s="75">
        <f>F3889-F3888</f>
        <v>0.007388554569875083</v>
      </c>
      <c r="S3889" s="75">
        <f>0.5*(Q3888+Q3889)*R3889</f>
        <v>0.04520875733643345</v>
      </c>
      <c r="T3889" s="75">
        <f>0.5*(F3888*Q3888+F3889*Q3889)*R3889</f>
        <v>0.9363279471111836</v>
      </c>
      <c r="U3889" s="76">
        <f>U3888+S3889</f>
        <v>52.108610695460946</v>
      </c>
      <c r="V3889" s="76">
        <f>V3888+T3889</f>
        <v>723.365407563421</v>
      </c>
    </row>
    <row r="3890" spans="1:22" ht="19" customHeight="1">
      <c r="A3890" s="68" t="s">
        <v>378</v>
      </c>
      <c r="B3890" s="74">
        <v>5</v>
      </c>
      <c r="C3890" s="68" t="s">
        <v>363</v>
      </c>
      <c r="D3890" s="68" t="s">
        <v>364</v>
      </c>
      <c r="E3890" s="75">
        <f>60*F3890*'THAM_SO_MOI'!$C$53/(2*PI()*'THAM_SO_MOI'!$C$26)</f>
        <v>2041.6907983705214</v>
      </c>
      <c r="F3890" s="75">
        <f>'HANH_TRINH'!$F$3289+('THAM_SO_MOI'!$C$14-'HANH_TRINH'!$F$3289)*600/'THAM_SO_MOI'!$C$42</f>
        <v>20.722289086025597</v>
      </c>
      <c r="G3890" s="75">
        <f>3.6*F3890</f>
        <v>74.60024070969216</v>
      </c>
      <c r="H3890" s="75">
        <f>'THAM_SO_MOI'!$D$53</f>
        <v>1.1</v>
      </c>
      <c r="I3890" s="75">
        <f>IF(F3890&gt;'THAM_SO_MOI'!$C$14,'THAM_SO_MOI'!$C$13*(1+F3890^2/1500),'THAM_SO_MOI'!$C$13)</f>
        <v>0.015</v>
      </c>
      <c r="J3890" s="75">
        <f>'THAM_SO_MOI'!$C$40*('THAM_SO_MOI'!$C$23*(E3890/'THAM_SO_MOI'!$C$22)+'THAM_SO_MOI'!$C$24*(E3890/'THAM_SO_MOI'!$C$22)^2-'THAM_SO_MOI'!$C$25*(E3890/'THAM_SO_MOI'!$C$22)^3)</f>
        <v>91.78467596826317</v>
      </c>
      <c r="K3890" s="75">
        <f>'THAM_SO_MOI'!$C$31*J3890/E3890</f>
        <v>429.3718080673973</v>
      </c>
      <c r="L3890" s="75">
        <f>K3890*'THAM_SO_MOI'!$C$53*'THAM_SO_MOI'!$C$17/'THAM_SO_MOI'!$C$26</f>
        <v>3765.5924368694587</v>
      </c>
      <c r="M3890" s="75">
        <f>'THAM_SO_MOI'!$C$15*'THAM_SO_MOI'!$C$16*F3890^2</f>
        <v>1256.0338000220856</v>
      </c>
      <c r="N3890" s="75">
        <f>'THAM_SO_MOI'!$C$12*I3890</f>
        <v>1130.112</v>
      </c>
      <c r="O3890" s="75">
        <f>M3890+N3890</f>
        <v>2386.1458000220855</v>
      </c>
      <c r="P3890" s="75">
        <f>(MIN(L3890,'THAM_SO_MOI'!$C$41)-O3890)/('THAM_SO_MOI'!$C$11*H3890)</f>
        <v>0.16328677046015308</v>
      </c>
      <c r="Q3890" s="75">
        <f>IF(P3890&gt;0,1/P3890,NA())</f>
        <v>6.1241948578071135</v>
      </c>
      <c r="R3890" s="75">
        <f>F3890-F3889</f>
        <v>0.0073885545698715305</v>
      </c>
      <c r="S3890" s="75">
        <f>0.5*(Q3889+Q3890)*R3890</f>
        <v>0.04523554155390693</v>
      </c>
      <c r="T3890" s="75">
        <f>0.5*(F3889*Q3889+F3890*Q3890)*R3890</f>
        <v>0.9372169059361213</v>
      </c>
      <c r="U3890" s="76">
        <f>U3889+S3890</f>
        <v>52.153846237014854</v>
      </c>
      <c r="V3890" s="76">
        <f>V3889+T3890</f>
        <v>724.302624469357</v>
      </c>
    </row>
    <row r="3891" spans="1:22" ht="19" customHeight="1">
      <c r="A3891" s="68" t="s">
        <v>378</v>
      </c>
      <c r="B3891" s="74">
        <v>5</v>
      </c>
      <c r="C3891" s="68" t="s">
        <v>363</v>
      </c>
      <c r="D3891" s="68" t="s">
        <v>364</v>
      </c>
      <c r="E3891" s="75">
        <f>60*F3891*'THAM_SO_MOI'!$C$53/(2*PI()*'THAM_SO_MOI'!$C$26)</f>
        <v>2042.4187654313005</v>
      </c>
      <c r="F3891" s="75">
        <f>'HANH_TRINH'!$F$3289+('THAM_SO_MOI'!$C$14-'HANH_TRINH'!$F$3289)*601/'THAM_SO_MOI'!$C$42</f>
        <v>20.72967764059547</v>
      </c>
      <c r="G3891" s="75">
        <f>3.6*F3891</f>
        <v>74.6268395061437</v>
      </c>
      <c r="H3891" s="75">
        <f>'THAM_SO_MOI'!$D$53</f>
        <v>1.1</v>
      </c>
      <c r="I3891" s="75">
        <f>IF(F3891&gt;'THAM_SO_MOI'!$C$14,'THAM_SO_MOI'!$C$13*(1+F3891^2/1500),'THAM_SO_MOI'!$C$13)</f>
        <v>0.015</v>
      </c>
      <c r="J3891" s="75">
        <f>'THAM_SO_MOI'!$C$40*('THAM_SO_MOI'!$C$23*(E3891/'THAM_SO_MOI'!$C$22)+'THAM_SO_MOI'!$C$24*(E3891/'THAM_SO_MOI'!$C$22)^2-'THAM_SO_MOI'!$C$25*(E3891/'THAM_SO_MOI'!$C$22)^3)</f>
        <v>91.81928381395024</v>
      </c>
      <c r="K3891" s="75">
        <f>'THAM_SO_MOI'!$C$31*J3891/E3891</f>
        <v>429.3806086160181</v>
      </c>
      <c r="L3891" s="75">
        <f>K3891*'THAM_SO_MOI'!$C$53*'THAM_SO_MOI'!$C$17/'THAM_SO_MOI'!$C$26</f>
        <v>3765.669617715299</v>
      </c>
      <c r="M3891" s="75">
        <f>'THAM_SO_MOI'!$C$15*'THAM_SO_MOI'!$C$16*F3891^2</f>
        <v>1256.929640117786</v>
      </c>
      <c r="N3891" s="75">
        <f>'THAM_SO_MOI'!$C$12*I3891</f>
        <v>1130.112</v>
      </c>
      <c r="O3891" s="75">
        <f>M3891+N3891</f>
        <v>2387.0416401177863</v>
      </c>
      <c r="P3891" s="75">
        <f>(MIN(L3891,'THAM_SO_MOI'!$C$41)-O3891)/('THAM_SO_MOI'!$C$11*H3891)</f>
        <v>0.16318986477243283</v>
      </c>
      <c r="Q3891" s="75">
        <f>IF(P3891&gt;0,1/P3891,NA())</f>
        <v>6.127831537788779</v>
      </c>
      <c r="R3891" s="75">
        <f>F3891-F3890</f>
        <v>0.0073885545698715305</v>
      </c>
      <c r="S3891" s="75">
        <f>0.5*(Q3890+Q3891)*R3891</f>
        <v>0.04526238280768333</v>
      </c>
      <c r="T3891" s="75">
        <f>0.5*(F3890*Q3890+F3891*Q3891)*R3891</f>
        <v>0.9381074426880989</v>
      </c>
      <c r="U3891" s="76">
        <f>U3890+S3891</f>
        <v>52.19910861982254</v>
      </c>
      <c r="V3891" s="76">
        <f>V3890+T3891</f>
        <v>725.2407319120451</v>
      </c>
    </row>
    <row r="3892" spans="1:22" ht="19" customHeight="1">
      <c r="A3892" s="68" t="s">
        <v>378</v>
      </c>
      <c r="B3892" s="74">
        <v>5</v>
      </c>
      <c r="C3892" s="68" t="s">
        <v>363</v>
      </c>
      <c r="D3892" s="68" t="s">
        <v>364</v>
      </c>
      <c r="E3892" s="75">
        <f>60*F3892*'THAM_SO_MOI'!$C$53/(2*PI()*'THAM_SO_MOI'!$C$26)</f>
        <v>2043.1467324920798</v>
      </c>
      <c r="F3892" s="75">
        <f>'HANH_TRINH'!$F$3289+('THAM_SO_MOI'!$C$14-'HANH_TRINH'!$F$3289)*602/'THAM_SO_MOI'!$C$42</f>
        <v>20.73706619516534</v>
      </c>
      <c r="G3892" s="75">
        <f>3.6*F3892</f>
        <v>74.65343830259523</v>
      </c>
      <c r="H3892" s="75">
        <f>'THAM_SO_MOI'!$D$53</f>
        <v>1.1</v>
      </c>
      <c r="I3892" s="75">
        <f>IF(F3892&gt;'THAM_SO_MOI'!$C$14,'THAM_SO_MOI'!$C$13*(1+F3892^2/1500),'THAM_SO_MOI'!$C$13)</f>
        <v>0.015</v>
      </c>
      <c r="J3892" s="75">
        <f>'THAM_SO_MOI'!$C$40*('THAM_SO_MOI'!$C$23*(E3892/'THAM_SO_MOI'!$C$22)+'THAM_SO_MOI'!$C$24*(E3892/'THAM_SO_MOI'!$C$22)^2-'THAM_SO_MOI'!$C$25*(E3892/'THAM_SO_MOI'!$C$22)^3)</f>
        <v>91.85388200329876</v>
      </c>
      <c r="K3892" s="75">
        <f>'THAM_SO_MOI'!$C$31*J3892/E3892</f>
        <v>429.3893577529332</v>
      </c>
      <c r="L3892" s="75">
        <f>K3892*'THAM_SO_MOI'!$C$53*'THAM_SO_MOI'!$C$17/'THAM_SO_MOI'!$C$26</f>
        <v>3765.74634768028</v>
      </c>
      <c r="M3892" s="75">
        <f>'THAM_SO_MOI'!$C$15*'THAM_SO_MOI'!$C$16*F3892^2</f>
        <v>1257.8257995693073</v>
      </c>
      <c r="N3892" s="75">
        <f>'THAM_SO_MOI'!$C$12*I3892</f>
        <v>1130.112</v>
      </c>
      <c r="O3892" s="75">
        <f>M3892+N3892</f>
        <v>2387.9377995693076</v>
      </c>
      <c r="P3892" s="75">
        <f>(MIN(L3892,'THAM_SO_MOI'!$C$41)-O3892)/('THAM_SO_MOI'!$C$11*H3892)</f>
        <v>0.16309286791086328</v>
      </c>
      <c r="Q3892" s="75">
        <f>IF(P3892&gt;0,1/P3892,NA())</f>
        <v>6.131475967094647</v>
      </c>
      <c r="R3892" s="75">
        <f>F3892-F3891</f>
        <v>0.0073885545698715305</v>
      </c>
      <c r="S3892" s="75">
        <f>0.5*(Q3891+Q3892)*R3892</f>
        <v>0.0452892812443334</v>
      </c>
      <c r="T3892" s="75">
        <f>0.5*(F3891*Q3891+F3892*Q3892)*R3892</f>
        <v>0.9389995616702715</v>
      </c>
      <c r="U3892" s="76">
        <f>U3891+S3892</f>
        <v>52.244397901066876</v>
      </c>
      <c r="V3892" s="76">
        <f>V3891+T3892</f>
        <v>726.1797314737154</v>
      </c>
    </row>
    <row r="3893" spans="1:22" ht="19" customHeight="1">
      <c r="A3893" s="68" t="s">
        <v>378</v>
      </c>
      <c r="B3893" s="74">
        <v>5</v>
      </c>
      <c r="C3893" s="68" t="s">
        <v>363</v>
      </c>
      <c r="D3893" s="68" t="s">
        <v>364</v>
      </c>
      <c r="E3893" s="75">
        <f>60*F3893*'THAM_SO_MOI'!$C$53/(2*PI()*'THAM_SO_MOI'!$C$26)</f>
        <v>2043.8746995528581</v>
      </c>
      <c r="F3893" s="75">
        <f>'HANH_TRINH'!$F$3289+('THAM_SO_MOI'!$C$14-'HANH_TRINH'!$F$3289)*603/'THAM_SO_MOI'!$C$42</f>
        <v>20.744454749735212</v>
      </c>
      <c r="G3893" s="75">
        <f>3.6*F3893</f>
        <v>74.68003709904677</v>
      </c>
      <c r="H3893" s="75">
        <f>'THAM_SO_MOI'!$D$53</f>
        <v>1.1</v>
      </c>
      <c r="I3893" s="75">
        <f>IF(F3893&gt;'THAM_SO_MOI'!$C$14,'THAM_SO_MOI'!$C$13*(1+F3893^2/1500),'THAM_SO_MOI'!$C$13)</f>
        <v>0.015</v>
      </c>
      <c r="J3893" s="75">
        <f>'THAM_SO_MOI'!$C$40*('THAM_SO_MOI'!$C$23*(E3893/'THAM_SO_MOI'!$C$22)+'THAM_SO_MOI'!$C$24*(E3893/'THAM_SO_MOI'!$C$22)^2-'THAM_SO_MOI'!$C$25*(E3893/'THAM_SO_MOI'!$C$22)^3)</f>
        <v>91.88847052455328</v>
      </c>
      <c r="K3893" s="75">
        <f>'THAM_SO_MOI'!$C$31*J3893/E3893</f>
        <v>429.39805547814314</v>
      </c>
      <c r="L3893" s="75">
        <f>K3893*'THAM_SO_MOI'!$C$53*'THAM_SO_MOI'!$C$17/'THAM_SO_MOI'!$C$26</f>
        <v>3765.822626764405</v>
      </c>
      <c r="M3893" s="75">
        <f>'THAM_SO_MOI'!$C$15*'THAM_SO_MOI'!$C$16*F3893^2</f>
        <v>1258.7222783766497</v>
      </c>
      <c r="N3893" s="75">
        <f>'THAM_SO_MOI'!$C$12*I3893</f>
        <v>1130.112</v>
      </c>
      <c r="O3893" s="75">
        <f>M3893+N3893</f>
        <v>2388.8342783766498</v>
      </c>
      <c r="P3893" s="75">
        <f>(MIN(L3893,'THAM_SO_MOI'!$C$41)-O3893)/('THAM_SO_MOI'!$C$11*H3893)</f>
        <v>0.1629957798754445</v>
      </c>
      <c r="Q3893" s="75">
        <f>IF(P3893&gt;0,1/P3893,NA())</f>
        <v>6.135128165674988</v>
      </c>
      <c r="R3893" s="75">
        <f>F3893-F3892</f>
        <v>0.0073885545698715305</v>
      </c>
      <c r="S3893" s="75">
        <f>0.5*(Q3892+Q3893)*R3893</f>
        <v>0.04531623701099005</v>
      </c>
      <c r="T3893" s="75">
        <f>0.5*(F3892*Q3892+F3893*Q3893)*R3893</f>
        <v>0.9398932672017851</v>
      </c>
      <c r="U3893" s="76">
        <f>U3892+S3893</f>
        <v>52.28971413807786</v>
      </c>
      <c r="V3893" s="76">
        <f>V3892+T3893</f>
        <v>727.1196247409172</v>
      </c>
    </row>
    <row r="3894" spans="1:22" ht="19" customHeight="1">
      <c r="A3894" s="68" t="s">
        <v>378</v>
      </c>
      <c r="B3894" s="74">
        <v>5</v>
      </c>
      <c r="C3894" s="68" t="s">
        <v>363</v>
      </c>
      <c r="D3894" s="68" t="s">
        <v>364</v>
      </c>
      <c r="E3894" s="75">
        <f>60*F3894*'THAM_SO_MOI'!$C$53/(2*PI()*'THAM_SO_MOI'!$C$26)</f>
        <v>2044.602666613637</v>
      </c>
      <c r="F3894" s="75">
        <f>'HANH_TRINH'!$F$3289+('THAM_SO_MOI'!$C$14-'HANH_TRINH'!$F$3289)*604/'THAM_SO_MOI'!$C$42</f>
        <v>20.751843304305083</v>
      </c>
      <c r="G3894" s="75">
        <f>3.6*F3894</f>
        <v>74.70663589549831</v>
      </c>
      <c r="H3894" s="75">
        <f>'THAM_SO_MOI'!$D$53</f>
        <v>1.1</v>
      </c>
      <c r="I3894" s="75">
        <f>IF(F3894&gt;'THAM_SO_MOI'!$C$14,'THAM_SO_MOI'!$C$13*(1+F3894^2/1500),'THAM_SO_MOI'!$C$13)</f>
        <v>0.015</v>
      </c>
      <c r="J3894" s="75">
        <f>'THAM_SO_MOI'!$C$40*('THAM_SO_MOI'!$C$23*(E3894/'THAM_SO_MOI'!$C$22)+'THAM_SO_MOI'!$C$24*(E3894/'THAM_SO_MOI'!$C$22)^2-'THAM_SO_MOI'!$C$25*(E3894/'THAM_SO_MOI'!$C$22)^3)</f>
        <v>91.92304936595825</v>
      </c>
      <c r="K3894" s="75">
        <f>'THAM_SO_MOI'!$C$31*J3894/E3894</f>
        <v>429.4067017916474</v>
      </c>
      <c r="L3894" s="75">
        <f>K3894*'THAM_SO_MOI'!$C$53*'THAM_SO_MOI'!$C$17/'THAM_SO_MOI'!$C$26</f>
        <v>3765.89845496767</v>
      </c>
      <c r="M3894" s="75">
        <f>'THAM_SO_MOI'!$C$15*'THAM_SO_MOI'!$C$16*F3894^2</f>
        <v>1259.619076539813</v>
      </c>
      <c r="N3894" s="75">
        <f>'THAM_SO_MOI'!$C$12*I3894</f>
        <v>1130.112</v>
      </c>
      <c r="O3894" s="75">
        <f>M3894+N3894</f>
        <v>2389.7310765398133</v>
      </c>
      <c r="P3894" s="75">
        <f>(MIN(L3894,'THAM_SO_MOI'!$C$41)-O3894)/('THAM_SO_MOI'!$C$11*H3894)</f>
        <v>0.16289860066617629</v>
      </c>
      <c r="Q3894" s="75">
        <f>IF(P3894&gt;0,1/P3894,NA())</f>
        <v>6.138788153553714</v>
      </c>
      <c r="R3894" s="75">
        <f>F3894-F3893</f>
        <v>0.0073885545698715305</v>
      </c>
      <c r="S3894" s="75">
        <f>0.5*(Q3893+Q3894)*R3894</f>
        <v>0.04534325025532899</v>
      </c>
      <c r="T3894" s="75">
        <f>0.5*(F3893*Q3893+F3894*Q3894)*R3894</f>
        <v>0.9407885636173957</v>
      </c>
      <c r="U3894" s="76">
        <f>U3893+S3894</f>
        <v>52.33505738833319</v>
      </c>
      <c r="V3894" s="76">
        <f>V3893+T3894</f>
        <v>728.0604133045346</v>
      </c>
    </row>
    <row r="3895" spans="1:22" ht="19" customHeight="1">
      <c r="A3895" s="68" t="s">
        <v>378</v>
      </c>
      <c r="B3895" s="74">
        <v>5</v>
      </c>
      <c r="C3895" s="68" t="s">
        <v>363</v>
      </c>
      <c r="D3895" s="68" t="s">
        <v>364</v>
      </c>
      <c r="E3895" s="75">
        <f>60*F3895*'THAM_SO_MOI'!$C$53/(2*PI()*'THAM_SO_MOI'!$C$26)</f>
        <v>2045.3306336744163</v>
      </c>
      <c r="F3895" s="75">
        <f>'HANH_TRINH'!$F$3289+('THAM_SO_MOI'!$C$14-'HANH_TRINH'!$F$3289)*605/'THAM_SO_MOI'!$C$42</f>
        <v>20.759231858874955</v>
      </c>
      <c r="G3895" s="75">
        <f>3.6*F3895</f>
        <v>74.73323469194985</v>
      </c>
      <c r="H3895" s="75">
        <f>'THAM_SO_MOI'!$D$53</f>
        <v>1.1</v>
      </c>
      <c r="I3895" s="75">
        <f>IF(F3895&gt;'THAM_SO_MOI'!$C$14,'THAM_SO_MOI'!$C$13*(1+F3895^2/1500),'THAM_SO_MOI'!$C$13)</f>
        <v>0.015</v>
      </c>
      <c r="J3895" s="75">
        <f>'THAM_SO_MOI'!$C$40*('THAM_SO_MOI'!$C$23*(E3895/'THAM_SO_MOI'!$C$22)+'THAM_SO_MOI'!$C$24*(E3895/'THAM_SO_MOI'!$C$22)^2-'THAM_SO_MOI'!$C$25*(E3895/'THAM_SO_MOI'!$C$22)^3)</f>
        <v>91.95761851575824</v>
      </c>
      <c r="K3895" s="75">
        <f>'THAM_SO_MOI'!$C$31*J3895/E3895</f>
        <v>429.4152966934464</v>
      </c>
      <c r="L3895" s="75">
        <f>K3895*'THAM_SO_MOI'!$C$53*'THAM_SO_MOI'!$C$17/'THAM_SO_MOI'!$C$26</f>
        <v>3765.973832290079</v>
      </c>
      <c r="M3895" s="75">
        <f>'THAM_SO_MOI'!$C$15*'THAM_SO_MOI'!$C$16*F3895^2</f>
        <v>1260.5161940587973</v>
      </c>
      <c r="N3895" s="75">
        <f>'THAM_SO_MOI'!$C$12*I3895</f>
        <v>1130.112</v>
      </c>
      <c r="O3895" s="75">
        <f>M3895+N3895</f>
        <v>2390.6281940587974</v>
      </c>
      <c r="P3895" s="75">
        <f>(MIN(L3895,'THAM_SO_MOI'!$C$41)-O3895)/('THAM_SO_MOI'!$C$11*H3895)</f>
        <v>0.1628013302830589</v>
      </c>
      <c r="Q3895" s="75">
        <f>IF(P3895&gt;0,1/P3895,NA())</f>
        <v>6.142455950828676</v>
      </c>
      <c r="R3895" s="75">
        <f>F3895-F3894</f>
        <v>0.0073885545698715305</v>
      </c>
      <c r="S3895" s="75">
        <f>0.5*(Q3894+Q3895)*R3895</f>
        <v>0.04537032112557115</v>
      </c>
      <c r="T3895" s="75">
        <f>0.5*(F3894*Q3894+F3895*Q3895)*R3895</f>
        <v>0.9416854552675401</v>
      </c>
      <c r="U3895" s="76">
        <f>U3894+S3895</f>
        <v>52.380427709458765</v>
      </c>
      <c r="V3895" s="76">
        <f>V3894+T3895</f>
        <v>729.0020987598022</v>
      </c>
    </row>
    <row r="3896" spans="1:22" ht="19" customHeight="1">
      <c r="A3896" s="68" t="s">
        <v>378</v>
      </c>
      <c r="B3896" s="74">
        <v>5</v>
      </c>
      <c r="C3896" s="68" t="s">
        <v>363</v>
      </c>
      <c r="D3896" s="68" t="s">
        <v>364</v>
      </c>
      <c r="E3896" s="75">
        <f>60*F3896*'THAM_SO_MOI'!$C$53/(2*PI()*'THAM_SO_MOI'!$C$26)</f>
        <v>2046.0586007351953</v>
      </c>
      <c r="F3896" s="75">
        <f>'HANH_TRINH'!$F$3289+('THAM_SO_MOI'!$C$14-'HANH_TRINH'!$F$3289)*606/'THAM_SO_MOI'!$C$42</f>
        <v>20.766620413444826</v>
      </c>
      <c r="G3896" s="75">
        <f>3.6*F3896</f>
        <v>74.75983348840138</v>
      </c>
      <c r="H3896" s="75">
        <f>'THAM_SO_MOI'!$D$53</f>
        <v>1.1</v>
      </c>
      <c r="I3896" s="75">
        <f>IF(F3896&gt;'THAM_SO_MOI'!$C$14,'THAM_SO_MOI'!$C$13*(1+F3896^2/1500),'THAM_SO_MOI'!$C$13)</f>
        <v>0.015</v>
      </c>
      <c r="J3896" s="75">
        <f>'THAM_SO_MOI'!$C$40*('THAM_SO_MOI'!$C$23*(E3896/'THAM_SO_MOI'!$C$22)+'THAM_SO_MOI'!$C$24*(E3896/'THAM_SO_MOI'!$C$22)^2-'THAM_SO_MOI'!$C$25*(E3896/'THAM_SO_MOI'!$C$22)^3)</f>
        <v>91.99217796219759</v>
      </c>
      <c r="K3896" s="75">
        <f>'THAM_SO_MOI'!$C$31*J3896/E3896</f>
        <v>429.4238401835397</v>
      </c>
      <c r="L3896" s="75">
        <f>K3896*'THAM_SO_MOI'!$C$53*'THAM_SO_MOI'!$C$17/'THAM_SO_MOI'!$C$26</f>
        <v>3766.0487587316275</v>
      </c>
      <c r="M3896" s="75">
        <f>'THAM_SO_MOI'!$C$15*'THAM_SO_MOI'!$C$16*F3896^2</f>
        <v>1261.4136309336025</v>
      </c>
      <c r="N3896" s="75">
        <f>'THAM_SO_MOI'!$C$12*I3896</f>
        <v>1130.112</v>
      </c>
      <c r="O3896" s="75">
        <f>M3896+N3896</f>
        <v>2391.5256309336028</v>
      </c>
      <c r="P3896" s="75">
        <f>(MIN(L3896,'THAM_SO_MOI'!$C$41)-O3896)/('THAM_SO_MOI'!$C$11*H3896)</f>
        <v>0.16270396872609194</v>
      </c>
      <c r="Q3896" s="75">
        <f>IF(P3896&gt;0,1/P3896,NA())</f>
        <v>6.146131577672054</v>
      </c>
      <c r="R3896" s="75">
        <f>F3896-F3895</f>
        <v>0.0073885545698715305</v>
      </c>
      <c r="S3896" s="75">
        <f>0.5*(Q3895+Q3896)*R3896</f>
        <v>0.04539744977048519</v>
      </c>
      <c r="T3896" s="75">
        <f>0.5*(F3895*Q3895+F3896*Q3896)*R3896</f>
        <v>0.9425839465184087</v>
      </c>
      <c r="U3896" s="76">
        <f>U3895+S3896</f>
        <v>52.42582515922925</v>
      </c>
      <c r="V3896" s="76">
        <f>V3895+T3896</f>
        <v>729.9446827063206</v>
      </c>
    </row>
    <row r="3897" spans="1:22" ht="19" customHeight="1">
      <c r="A3897" s="68" t="s">
        <v>378</v>
      </c>
      <c r="B3897" s="74">
        <v>5</v>
      </c>
      <c r="C3897" s="68" t="s">
        <v>363</v>
      </c>
      <c r="D3897" s="68" t="s">
        <v>364</v>
      </c>
      <c r="E3897" s="75">
        <f>60*F3897*'THAM_SO_MOI'!$C$53/(2*PI()*'THAM_SO_MOI'!$C$26)</f>
        <v>2046.786567795974</v>
      </c>
      <c r="F3897" s="75">
        <f>'HANH_TRINH'!$F$3289+('THAM_SO_MOI'!$C$14-'HANH_TRINH'!$F$3289)*607/'THAM_SO_MOI'!$C$42</f>
        <v>20.774008968014698</v>
      </c>
      <c r="G3897" s="75">
        <f>3.6*F3897</f>
        <v>74.78643228485292</v>
      </c>
      <c r="H3897" s="75">
        <f>'THAM_SO_MOI'!$D$53</f>
        <v>1.1</v>
      </c>
      <c r="I3897" s="75">
        <f>IF(F3897&gt;'THAM_SO_MOI'!$C$14,'THAM_SO_MOI'!$C$13*(1+F3897^2/1500),'THAM_SO_MOI'!$C$13)</f>
        <v>0.015</v>
      </c>
      <c r="J3897" s="75">
        <f>'THAM_SO_MOI'!$C$40*('THAM_SO_MOI'!$C$23*(E3897/'THAM_SO_MOI'!$C$22)+'THAM_SO_MOI'!$C$24*(E3897/'THAM_SO_MOI'!$C$22)^2-'THAM_SO_MOI'!$C$25*(E3897/'THAM_SO_MOI'!$C$22)^3)</f>
        <v>92.02672769352091</v>
      </c>
      <c r="K3897" s="75">
        <f>'THAM_SO_MOI'!$C$31*J3897/E3897</f>
        <v>429.4323322619279</v>
      </c>
      <c r="L3897" s="75">
        <f>K3897*'THAM_SO_MOI'!$C$53*'THAM_SO_MOI'!$C$17/'THAM_SO_MOI'!$C$26</f>
        <v>3766.1232342923217</v>
      </c>
      <c r="M3897" s="75">
        <f>'THAM_SO_MOI'!$C$15*'THAM_SO_MOI'!$C$16*F3897^2</f>
        <v>1262.3113871642288</v>
      </c>
      <c r="N3897" s="75">
        <f>'THAM_SO_MOI'!$C$12*I3897</f>
        <v>1130.112</v>
      </c>
      <c r="O3897" s="75">
        <f>M3897+N3897</f>
        <v>2392.423387164229</v>
      </c>
      <c r="P3897" s="75">
        <f>(MIN(L3897,'THAM_SO_MOI'!$C$41)-O3897)/('THAM_SO_MOI'!$C$11*H3897)</f>
        <v>0.16260651599527617</v>
      </c>
      <c r="Q3897" s="75">
        <f>IF(P3897&gt;0,1/P3897,NA())</f>
        <v>6.149815054330607</v>
      </c>
      <c r="R3897" s="75">
        <f>F3897-F3896</f>
        <v>0.0073885545698715305</v>
      </c>
      <c r="S3897" s="75">
        <f>0.5*(Q3896+Q3897)*R3897</f>
        <v>0.045424636339389854</v>
      </c>
      <c r="T3897" s="75">
        <f>0.5*(F3896*Q3896+F3897*Q3897)*R3897</f>
        <v>0.943484041752014</v>
      </c>
      <c r="U3897" s="76">
        <f>U3896+S3897</f>
        <v>52.47124979556864</v>
      </c>
      <c r="V3897" s="76">
        <f>V3896+T3897</f>
        <v>730.8881667480725</v>
      </c>
    </row>
    <row r="3898" spans="1:22" ht="19" customHeight="1">
      <c r="A3898" s="68" t="s">
        <v>378</v>
      </c>
      <c r="B3898" s="74">
        <v>5</v>
      </c>
      <c r="C3898" s="68" t="s">
        <v>363</v>
      </c>
      <c r="D3898" s="68" t="s">
        <v>364</v>
      </c>
      <c r="E3898" s="75">
        <f>60*F3898*'THAM_SO_MOI'!$C$53/(2*PI()*'THAM_SO_MOI'!$C$26)</f>
        <v>2047.5145348567528</v>
      </c>
      <c r="F3898" s="75">
        <f>'HANH_TRINH'!$F$3289+('THAM_SO_MOI'!$C$14-'HANH_TRINH'!$F$3289)*608/'THAM_SO_MOI'!$C$42</f>
        <v>20.78139752258457</v>
      </c>
      <c r="G3898" s="75">
        <f>3.6*F3898</f>
        <v>74.81303108130446</v>
      </c>
      <c r="H3898" s="75">
        <f>'THAM_SO_MOI'!$D$53</f>
        <v>1.1</v>
      </c>
      <c r="I3898" s="75">
        <f>IF(F3898&gt;'THAM_SO_MOI'!$C$14,'THAM_SO_MOI'!$C$13*(1+F3898^2/1500),'THAM_SO_MOI'!$C$13)</f>
        <v>0.015</v>
      </c>
      <c r="J3898" s="75">
        <f>'THAM_SO_MOI'!$C$40*('THAM_SO_MOI'!$C$23*(E3898/'THAM_SO_MOI'!$C$22)+'THAM_SO_MOI'!$C$24*(E3898/'THAM_SO_MOI'!$C$22)^2-'THAM_SO_MOI'!$C$25*(E3898/'THAM_SO_MOI'!$C$22)^3)</f>
        <v>92.06126769797261</v>
      </c>
      <c r="K3898" s="75">
        <f>'THAM_SO_MOI'!$C$31*J3898/E3898</f>
        <v>429.44077292861044</v>
      </c>
      <c r="L3898" s="75">
        <f>K3898*'THAM_SO_MOI'!$C$53*'THAM_SO_MOI'!$C$17/'THAM_SO_MOI'!$C$26</f>
        <v>3766.197258972156</v>
      </c>
      <c r="M3898" s="75">
        <f>'THAM_SO_MOI'!$C$15*'THAM_SO_MOI'!$C$16*F3898^2</f>
        <v>1263.209462750676</v>
      </c>
      <c r="N3898" s="75">
        <f>'THAM_SO_MOI'!$C$12*I3898</f>
        <v>1130.112</v>
      </c>
      <c r="O3898" s="75">
        <f>M3898+N3898</f>
        <v>2393.321462750676</v>
      </c>
      <c r="P3898" s="75">
        <f>(MIN(L3898,'THAM_SO_MOI'!$C$41)-O3898)/('THAM_SO_MOI'!$C$11*H3898)</f>
        <v>0.16250897209061074</v>
      </c>
      <c r="Q3898" s="75">
        <f>IF(P3898&gt;0,1/P3898,NA())</f>
        <v>6.153506401126125</v>
      </c>
      <c r="R3898" s="75">
        <f>F3898-F3897</f>
        <v>0.0073885545698715305</v>
      </c>
      <c r="S3898" s="75">
        <f>0.5*(Q3897+Q3898)*R3898</f>
        <v>0.04545188098215665</v>
      </c>
      <c r="T3898" s="75">
        <f>0.5*(F3897*Q3897+F3898*Q3898)*R3898</f>
        <v>0.9443857453662658</v>
      </c>
      <c r="U3898" s="76">
        <f>U3897+S3898</f>
        <v>52.516701676550795</v>
      </c>
      <c r="V3898" s="76">
        <f>V3897+T3898</f>
        <v>731.8325524934388</v>
      </c>
    </row>
    <row r="3899" spans="1:22" ht="19" customHeight="1">
      <c r="A3899" s="68" t="s">
        <v>378</v>
      </c>
      <c r="B3899" s="74">
        <v>5</v>
      </c>
      <c r="C3899" s="68" t="s">
        <v>363</v>
      </c>
      <c r="D3899" s="68" t="s">
        <v>364</v>
      </c>
      <c r="E3899" s="75">
        <f>60*F3899*'THAM_SO_MOI'!$C$53/(2*PI()*'THAM_SO_MOI'!$C$26)</f>
        <v>2048.242501917532</v>
      </c>
      <c r="F3899" s="75">
        <f>'HANH_TRINH'!$F$3289+('THAM_SO_MOI'!$C$14-'HANH_TRINH'!$F$3289)*609/'THAM_SO_MOI'!$C$42</f>
        <v>20.788786077154445</v>
      </c>
      <c r="G3899" s="75">
        <f>3.6*F3899</f>
        <v>74.839629877756</v>
      </c>
      <c r="H3899" s="75">
        <f>'THAM_SO_MOI'!$D$53</f>
        <v>1.1</v>
      </c>
      <c r="I3899" s="75">
        <f>IF(F3899&gt;'THAM_SO_MOI'!$C$14,'THAM_SO_MOI'!$C$13*(1+F3899^2/1500),'THAM_SO_MOI'!$C$13)</f>
        <v>0.015</v>
      </c>
      <c r="J3899" s="75">
        <f>'THAM_SO_MOI'!$C$40*('THAM_SO_MOI'!$C$23*(E3899/'THAM_SO_MOI'!$C$22)+'THAM_SO_MOI'!$C$24*(E3899/'THAM_SO_MOI'!$C$22)^2-'THAM_SO_MOI'!$C$25*(E3899/'THAM_SO_MOI'!$C$22)^3)</f>
        <v>92.09579796379727</v>
      </c>
      <c r="K3899" s="75">
        <f>'THAM_SO_MOI'!$C$31*J3899/E3899</f>
        <v>429.4491621835877</v>
      </c>
      <c r="L3899" s="75">
        <f>K3899*'THAM_SO_MOI'!$C$53*'THAM_SO_MOI'!$C$17/'THAM_SO_MOI'!$C$26</f>
        <v>3766.2708327711325</v>
      </c>
      <c r="M3899" s="75">
        <f>'THAM_SO_MOI'!$C$15*'THAM_SO_MOI'!$C$16*F3899^2</f>
        <v>1264.107857692945</v>
      </c>
      <c r="N3899" s="75">
        <f>'THAM_SO_MOI'!$C$12*I3899</f>
        <v>1130.112</v>
      </c>
      <c r="O3899" s="75">
        <f>M3899+N3899</f>
        <v>2394.219857692945</v>
      </c>
      <c r="P3899" s="75">
        <f>(MIN(L3899,'THAM_SO_MOI'!$C$41)-O3899)/('THAM_SO_MOI'!$C$11*H3899)</f>
        <v>0.16241133701209606</v>
      </c>
      <c r="Q3899" s="75">
        <f>IF(P3899&gt;0,1/P3899,NA())</f>
        <v>6.157205638455658</v>
      </c>
      <c r="R3899" s="75">
        <f>F3899-F3898</f>
        <v>0.007388554569875083</v>
      </c>
      <c r="S3899" s="75">
        <f>0.5*(Q3898+Q3899)*R3899</f>
        <v>0.0454791838492341</v>
      </c>
      <c r="T3899" s="75">
        <f>0.5*(F3898*Q3898+F3899*Q3899)*R3899</f>
        <v>0.9452890617754979</v>
      </c>
      <c r="U3899" s="76">
        <f>U3898+S3899</f>
        <v>52.56218086040003</v>
      </c>
      <c r="V3899" s="76">
        <f>V3898+T3899</f>
        <v>732.7778415552143</v>
      </c>
    </row>
    <row r="3900" spans="1:22" ht="19" customHeight="1">
      <c r="A3900" s="68" t="s">
        <v>378</v>
      </c>
      <c r="B3900" s="74">
        <v>5</v>
      </c>
      <c r="C3900" s="68" t="s">
        <v>363</v>
      </c>
      <c r="D3900" s="68" t="s">
        <v>364</v>
      </c>
      <c r="E3900" s="75">
        <f>60*F3900*'THAM_SO_MOI'!$C$53/(2*PI()*'THAM_SO_MOI'!$C$26)</f>
        <v>2048.970468978311</v>
      </c>
      <c r="F3900" s="75">
        <f>'HANH_TRINH'!$F$3289+('THAM_SO_MOI'!$C$14-'HANH_TRINH'!$F$3289)*610/'THAM_SO_MOI'!$C$42</f>
        <v>20.796174631724316</v>
      </c>
      <c r="G3900" s="75">
        <f>3.6*F3900</f>
        <v>74.86622867420753</v>
      </c>
      <c r="H3900" s="75">
        <f>'THAM_SO_MOI'!$D$53</f>
        <v>1.1</v>
      </c>
      <c r="I3900" s="75">
        <f>IF(F3900&gt;'THAM_SO_MOI'!$C$14,'THAM_SO_MOI'!$C$13*(1+F3900^2/1500),'THAM_SO_MOI'!$C$13)</f>
        <v>0.015</v>
      </c>
      <c r="J3900" s="75">
        <f>'THAM_SO_MOI'!$C$40*('THAM_SO_MOI'!$C$23*(E3900/'THAM_SO_MOI'!$C$22)+'THAM_SO_MOI'!$C$24*(E3900/'THAM_SO_MOI'!$C$22)^2-'THAM_SO_MOI'!$C$25*(E3900/'THAM_SO_MOI'!$C$22)^3)</f>
        <v>92.13031847923926</v>
      </c>
      <c r="K3900" s="75">
        <f>'THAM_SO_MOI'!$C$31*J3900/E3900</f>
        <v>429.4575000268594</v>
      </c>
      <c r="L3900" s="75">
        <f>K3900*'THAM_SO_MOI'!$C$53*'THAM_SO_MOI'!$C$17/'THAM_SO_MOI'!$C$26</f>
        <v>3766.343955689251</v>
      </c>
      <c r="M3900" s="75">
        <f>'THAM_SO_MOI'!$C$15*'THAM_SO_MOI'!$C$16*F3900^2</f>
        <v>1265.006571991034</v>
      </c>
      <c r="N3900" s="75">
        <f>'THAM_SO_MOI'!$C$12*I3900</f>
        <v>1130.112</v>
      </c>
      <c r="O3900" s="75">
        <f>M3900+N3900</f>
        <v>2395.118571991034</v>
      </c>
      <c r="P3900" s="75">
        <f>(MIN(L3900,'THAM_SO_MOI'!$C$41)-O3900)/('THAM_SO_MOI'!$C$11*H3900)</f>
        <v>0.1623136107597321</v>
      </c>
      <c r="Q3900" s="75">
        <f>IF(P3900&gt;0,1/P3900,NA())</f>
        <v>6.160912786791919</v>
      </c>
      <c r="R3900" s="75">
        <f>F3900-F3899</f>
        <v>0.0073885545698715305</v>
      </c>
      <c r="S3900" s="75">
        <f>0.5*(Q3899+Q3900)*R3900</f>
        <v>0.04550654509154085</v>
      </c>
      <c r="T3900" s="75">
        <f>0.5*(F3899*Q3899+F3900*Q3900)*R3900</f>
        <v>0.9461939954082643</v>
      </c>
      <c r="U3900" s="76">
        <f>U3899+S3900</f>
        <v>52.60768740549157</v>
      </c>
      <c r="V3900" s="76">
        <f>V3899+T3900</f>
        <v>733.7240355506226</v>
      </c>
    </row>
    <row r="3901" spans="1:22" ht="19" customHeight="1">
      <c r="A3901" s="68" t="s">
        <v>378</v>
      </c>
      <c r="B3901" s="74">
        <v>5</v>
      </c>
      <c r="C3901" s="68" t="s">
        <v>363</v>
      </c>
      <c r="D3901" s="68" t="s">
        <v>364</v>
      </c>
      <c r="E3901" s="75">
        <f>60*F3901*'THAM_SO_MOI'!$C$53/(2*PI()*'THAM_SO_MOI'!$C$26)</f>
        <v>2049.69843603909</v>
      </c>
      <c r="F3901" s="75">
        <f>'HANH_TRINH'!$F$3289+('THAM_SO_MOI'!$C$14-'HANH_TRINH'!$F$3289)*611/'THAM_SO_MOI'!$C$42</f>
        <v>20.803563186294188</v>
      </c>
      <c r="G3901" s="75">
        <f>3.6*F3901</f>
        <v>74.89282747065907</v>
      </c>
      <c r="H3901" s="75">
        <f>'THAM_SO_MOI'!$D$53</f>
        <v>1.1</v>
      </c>
      <c r="I3901" s="75">
        <f>IF(F3901&gt;'THAM_SO_MOI'!$C$14,'THAM_SO_MOI'!$C$13*(1+F3901^2/1500),'THAM_SO_MOI'!$C$13)</f>
        <v>0.015</v>
      </c>
      <c r="J3901" s="75">
        <f>'THAM_SO_MOI'!$C$40*('THAM_SO_MOI'!$C$23*(E3901/'THAM_SO_MOI'!$C$22)+'THAM_SO_MOI'!$C$24*(E3901/'THAM_SO_MOI'!$C$22)^2-'THAM_SO_MOI'!$C$25*(E3901/'THAM_SO_MOI'!$C$22)^3)</f>
        <v>92.16482923254316</v>
      </c>
      <c r="K3901" s="75">
        <f>'THAM_SO_MOI'!$C$31*J3901/E3901</f>
        <v>429.46578645842584</v>
      </c>
      <c r="L3901" s="75">
        <f>K3901*'THAM_SO_MOI'!$C$53*'THAM_SO_MOI'!$C$17/'THAM_SO_MOI'!$C$26</f>
        <v>3766.4166277265135</v>
      </c>
      <c r="M3901" s="75">
        <f>'THAM_SO_MOI'!$C$15*'THAM_SO_MOI'!$C$16*F3901^2</f>
        <v>1265.9056056449444</v>
      </c>
      <c r="N3901" s="75">
        <f>'THAM_SO_MOI'!$C$12*I3901</f>
        <v>1130.112</v>
      </c>
      <c r="O3901" s="75">
        <f>M3901+N3901</f>
        <v>2396.0176056449445</v>
      </c>
      <c r="P3901" s="75">
        <f>(MIN(L3901,'THAM_SO_MOI'!$C$41)-O3901)/('THAM_SO_MOI'!$C$11*H3901)</f>
        <v>0.16221579333351907</v>
      </c>
      <c r="Q3901" s="75">
        <f>IF(P3901&gt;0,1/P3901,NA())</f>
        <v>6.164627866683603</v>
      </c>
      <c r="R3901" s="75">
        <f>F3901-F3900</f>
        <v>0.0073885545698715305</v>
      </c>
      <c r="S3901" s="75">
        <f>0.5*(Q3900+Q3901)*R3901</f>
        <v>0.04553396486068695</v>
      </c>
      <c r="T3901" s="75">
        <f>0.5*(F3900*Q3900+F3901*Q3901)*R3901</f>
        <v>0.9471005507119612</v>
      </c>
      <c r="U3901" s="76">
        <f>U3900+S3901</f>
        <v>52.653221370352256</v>
      </c>
      <c r="V3901" s="76">
        <f>V3900+T3901</f>
        <v>734.6711361013346</v>
      </c>
    </row>
    <row r="3902" spans="1:22" ht="19" customHeight="1">
      <c r="A3902" s="68" t="s">
        <v>378</v>
      </c>
      <c r="B3902" s="74">
        <v>5</v>
      </c>
      <c r="C3902" s="68" t="s">
        <v>363</v>
      </c>
      <c r="D3902" s="68" t="s">
        <v>364</v>
      </c>
      <c r="E3902" s="75">
        <f>60*F3902*'THAM_SO_MOI'!$C$53/(2*PI()*'THAM_SO_MOI'!$C$26)</f>
        <v>2050.426403099869</v>
      </c>
      <c r="F3902" s="75">
        <f>'HANH_TRINH'!$F$3289+('THAM_SO_MOI'!$C$14-'HANH_TRINH'!$F$3289)*612/'THAM_SO_MOI'!$C$42</f>
        <v>20.81095174086406</v>
      </c>
      <c r="G3902" s="75">
        <f>3.6*F3902</f>
        <v>74.91942626711061</v>
      </c>
      <c r="H3902" s="75">
        <f>'THAM_SO_MOI'!$D$53</f>
        <v>1.1</v>
      </c>
      <c r="I3902" s="75">
        <f>IF(F3902&gt;'THAM_SO_MOI'!$C$14,'THAM_SO_MOI'!$C$13*(1+F3902^2/1500),'THAM_SO_MOI'!$C$13)</f>
        <v>0.015</v>
      </c>
      <c r="J3902" s="75">
        <f>'THAM_SO_MOI'!$C$40*('THAM_SO_MOI'!$C$23*(E3902/'THAM_SO_MOI'!$C$22)+'THAM_SO_MOI'!$C$24*(E3902/'THAM_SO_MOI'!$C$22)^2-'THAM_SO_MOI'!$C$25*(E3902/'THAM_SO_MOI'!$C$22)^3)</f>
        <v>92.19933021195335</v>
      </c>
      <c r="K3902" s="75">
        <f>'THAM_SO_MOI'!$C$31*J3902/E3902</f>
        <v>429.4740214782868</v>
      </c>
      <c r="L3902" s="75">
        <f>K3902*'THAM_SO_MOI'!$C$53*'THAM_SO_MOI'!$C$17/'THAM_SO_MOI'!$C$26</f>
        <v>3766.4888488829174</v>
      </c>
      <c r="M3902" s="75">
        <f>'THAM_SO_MOI'!$C$15*'THAM_SO_MOI'!$C$16*F3902^2</f>
        <v>1266.8049586546756</v>
      </c>
      <c r="N3902" s="75">
        <f>'THAM_SO_MOI'!$C$12*I3902</f>
        <v>1130.112</v>
      </c>
      <c r="O3902" s="75">
        <f>M3902+N3902</f>
        <v>2396.916958654676</v>
      </c>
      <c r="P3902" s="75">
        <f>(MIN(L3902,'THAM_SO_MOI'!$C$41)-O3902)/('THAM_SO_MOI'!$C$11*H3902)</f>
        <v>0.16211788473345662</v>
      </c>
      <c r="Q3902" s="75">
        <f>IF(P3902&gt;0,1/P3902,NA())</f>
        <v>6.168350898755761</v>
      </c>
      <c r="R3902" s="75">
        <f>F3902-F3901</f>
        <v>0.0073885545698715305</v>
      </c>
      <c r="S3902" s="75">
        <f>0.5*(Q3901+Q3902)*R3902</f>
        <v>0.04556144330875778</v>
      </c>
      <c r="T3902" s="75">
        <f>0.5*(F3901*Q3901+F3902*Q3902)*R3902</f>
        <v>0.9480087321483551</v>
      </c>
      <c r="U3902" s="76">
        <f>U3901+S3902</f>
        <v>52.69878281366101</v>
      </c>
      <c r="V3902" s="76">
        <f>V3901+T3902</f>
        <v>735.6191448334829</v>
      </c>
    </row>
    <row r="3903" spans="1:22" ht="19" customHeight="1">
      <c r="A3903" s="68" t="s">
        <v>378</v>
      </c>
      <c r="B3903" s="74">
        <v>5</v>
      </c>
      <c r="C3903" s="68" t="s">
        <v>363</v>
      </c>
      <c r="D3903" s="68" t="s">
        <v>364</v>
      </c>
      <c r="E3903" s="75">
        <f>60*F3903*'THAM_SO_MOI'!$C$53/(2*PI()*'THAM_SO_MOI'!$C$26)</f>
        <v>2051.154370160648</v>
      </c>
      <c r="F3903" s="75">
        <f>'HANH_TRINH'!$F$3289+('THAM_SO_MOI'!$C$14-'HANH_TRINH'!$F$3289)*613/'THAM_SO_MOI'!$C$42</f>
        <v>20.81834029543393</v>
      </c>
      <c r="G3903" s="75">
        <f>3.6*F3903</f>
        <v>74.94602506356215</v>
      </c>
      <c r="H3903" s="75">
        <f>'THAM_SO_MOI'!$D$53</f>
        <v>1.1</v>
      </c>
      <c r="I3903" s="75">
        <f>IF(F3903&gt;'THAM_SO_MOI'!$C$14,'THAM_SO_MOI'!$C$13*(1+F3903^2/1500),'THAM_SO_MOI'!$C$13)</f>
        <v>0.015</v>
      </c>
      <c r="J3903" s="75">
        <f>'THAM_SO_MOI'!$C$40*('THAM_SO_MOI'!$C$23*(E3903/'THAM_SO_MOI'!$C$22)+'THAM_SO_MOI'!$C$24*(E3903/'THAM_SO_MOI'!$C$22)^2-'THAM_SO_MOI'!$C$25*(E3903/'THAM_SO_MOI'!$C$22)^3)</f>
        <v>92.23382140571441</v>
      </c>
      <c r="K3903" s="75">
        <f>'THAM_SO_MOI'!$C$31*J3903/E3903</f>
        <v>429.4822050864422</v>
      </c>
      <c r="L3903" s="75">
        <f>K3903*'THAM_SO_MOI'!$C$53*'THAM_SO_MOI'!$C$17/'THAM_SO_MOI'!$C$26</f>
        <v>3766.560619158463</v>
      </c>
      <c r="M3903" s="75">
        <f>'THAM_SO_MOI'!$C$15*'THAM_SO_MOI'!$C$16*F3903^2</f>
        <v>1267.704631020228</v>
      </c>
      <c r="N3903" s="75">
        <f>'THAM_SO_MOI'!$C$12*I3903</f>
        <v>1130.112</v>
      </c>
      <c r="O3903" s="75">
        <f>M3903+N3903</f>
        <v>2397.8166310202278</v>
      </c>
      <c r="P3903" s="75">
        <f>(MIN(L3903,'THAM_SO_MOI'!$C$41)-O3903)/('THAM_SO_MOI'!$C$11*H3903)</f>
        <v>0.1620198849595449</v>
      </c>
      <c r="Q3903" s="75">
        <f>IF(P3903&gt;0,1/P3903,NA())</f>
        <v>6.1720819037101045</v>
      </c>
      <c r="R3903" s="75">
        <f>F3903-F3902</f>
        <v>0.0073885545698715305</v>
      </c>
      <c r="S3903" s="75">
        <f>0.5*(Q3902+Q3903)*R3903</f>
        <v>0.04558898058842586</v>
      </c>
      <c r="T3903" s="75">
        <f>0.5*(F3902*Q3902+F3903*Q3903)*R3903</f>
        <v>0.948918544195929</v>
      </c>
      <c r="U3903" s="76">
        <f>U3902+S3903</f>
        <v>52.74437179424944</v>
      </c>
      <c r="V3903" s="76">
        <f>V3902+T3903</f>
        <v>736.5680633776789</v>
      </c>
    </row>
    <row r="3904" spans="1:22" ht="19" customHeight="1">
      <c r="A3904" s="68" t="s">
        <v>378</v>
      </c>
      <c r="B3904" s="74">
        <v>5</v>
      </c>
      <c r="C3904" s="68" t="s">
        <v>363</v>
      </c>
      <c r="D3904" s="68" t="s">
        <v>364</v>
      </c>
      <c r="E3904" s="75">
        <f>60*F3904*'THAM_SO_MOI'!$C$53/(2*PI()*'THAM_SO_MOI'!$C$26)</f>
        <v>2051.882337221427</v>
      </c>
      <c r="F3904" s="75">
        <f>'HANH_TRINH'!$F$3289+('THAM_SO_MOI'!$C$14-'HANH_TRINH'!$F$3289)*614/'THAM_SO_MOI'!$C$42</f>
        <v>20.825728850003806</v>
      </c>
      <c r="G3904" s="75">
        <f>3.6*F3904</f>
        <v>74.9726238600137</v>
      </c>
      <c r="H3904" s="75">
        <f>'THAM_SO_MOI'!$D$53</f>
        <v>1.1</v>
      </c>
      <c r="I3904" s="75">
        <f>IF(F3904&gt;'THAM_SO_MOI'!$C$14,'THAM_SO_MOI'!$C$13*(1+F3904^2/1500),'THAM_SO_MOI'!$C$13)</f>
        <v>0.015</v>
      </c>
      <c r="J3904" s="75">
        <f>'THAM_SO_MOI'!$C$40*('THAM_SO_MOI'!$C$23*(E3904/'THAM_SO_MOI'!$C$22)+'THAM_SO_MOI'!$C$24*(E3904/'THAM_SO_MOI'!$C$22)^2-'THAM_SO_MOI'!$C$25*(E3904/'THAM_SO_MOI'!$C$22)^3)</f>
        <v>92.26830280207076</v>
      </c>
      <c r="K3904" s="75">
        <f>'THAM_SO_MOI'!$C$31*J3904/E3904</f>
        <v>429.49033728289226</v>
      </c>
      <c r="L3904" s="75">
        <f>K3904*'THAM_SO_MOI'!$C$53*'THAM_SO_MOI'!$C$17/'THAM_SO_MOI'!$C$26</f>
        <v>3766.6319385531506</v>
      </c>
      <c r="M3904" s="75">
        <f>'THAM_SO_MOI'!$C$15*'THAM_SO_MOI'!$C$16*F3904^2</f>
        <v>1268.6046227416016</v>
      </c>
      <c r="N3904" s="75">
        <f>'THAM_SO_MOI'!$C$12*I3904</f>
        <v>1130.112</v>
      </c>
      <c r="O3904" s="75">
        <f>M3904+N3904</f>
        <v>2398.716622741602</v>
      </c>
      <c r="P3904" s="75">
        <f>(MIN(L3904,'THAM_SO_MOI'!$C$41)-O3904)/('THAM_SO_MOI'!$C$11*H3904)</f>
        <v>0.1619217940117837</v>
      </c>
      <c r="Q3904" s="75">
        <f>IF(P3904&gt;0,1/P3904,NA())</f>
        <v>6.17582090232539</v>
      </c>
      <c r="R3904" s="75">
        <f>F3904-F3903</f>
        <v>0.007388554569875083</v>
      </c>
      <c r="S3904" s="75">
        <f>0.5*(Q3903+Q3904)*R3904</f>
        <v>0.045616576852953464</v>
      </c>
      <c r="T3904" s="75">
        <f>0.5*(F3903*Q3903+F3904*Q3904)*R3904</f>
        <v>0.9498299913499584</v>
      </c>
      <c r="U3904" s="76">
        <f>U3903+S3904</f>
        <v>52.78998837110239</v>
      </c>
      <c r="V3904" s="76">
        <f>V3903+T3904</f>
        <v>737.5178933690288</v>
      </c>
    </row>
    <row r="3905" spans="1:22" ht="19" customHeight="1">
      <c r="A3905" s="68" t="s">
        <v>378</v>
      </c>
      <c r="B3905" s="74">
        <v>5</v>
      </c>
      <c r="C3905" s="68" t="s">
        <v>363</v>
      </c>
      <c r="D3905" s="68" t="s">
        <v>364</v>
      </c>
      <c r="E3905" s="75">
        <f>60*F3905*'THAM_SO_MOI'!$C$53/(2*PI()*'THAM_SO_MOI'!$C$26)</f>
        <v>2052.6103042822065</v>
      </c>
      <c r="F3905" s="75">
        <f>'HANH_TRINH'!$F$3289+('THAM_SO_MOI'!$C$14-'HANH_TRINH'!$F$3289)*615/'THAM_SO_MOI'!$C$42</f>
        <v>20.833117404573677</v>
      </c>
      <c r="G3905" s="75">
        <f>3.6*F3905</f>
        <v>74.99922265646524</v>
      </c>
      <c r="H3905" s="75">
        <f>'THAM_SO_MOI'!$D$53</f>
        <v>1.1</v>
      </c>
      <c r="I3905" s="75">
        <f>IF(F3905&gt;'THAM_SO_MOI'!$C$14,'THAM_SO_MOI'!$C$13*(1+F3905^2/1500),'THAM_SO_MOI'!$C$13)</f>
        <v>0.015</v>
      </c>
      <c r="J3905" s="75">
        <f>'THAM_SO_MOI'!$C$40*('THAM_SO_MOI'!$C$23*(E3905/'THAM_SO_MOI'!$C$22)+'THAM_SO_MOI'!$C$24*(E3905/'THAM_SO_MOI'!$C$22)^2-'THAM_SO_MOI'!$C$25*(E3905/'THAM_SO_MOI'!$C$22)^3)</f>
        <v>92.30277438926699</v>
      </c>
      <c r="K3905" s="75">
        <f>'THAM_SO_MOI'!$C$31*J3905/E3905</f>
        <v>429.498418067637</v>
      </c>
      <c r="L3905" s="75">
        <f>K3905*'THAM_SO_MOI'!$C$53*'THAM_SO_MOI'!$C$17/'THAM_SO_MOI'!$C$26</f>
        <v>3766.702807066981</v>
      </c>
      <c r="M3905" s="75">
        <f>'THAM_SO_MOI'!$C$15*'THAM_SO_MOI'!$C$16*F3905^2</f>
        <v>1269.5049338187957</v>
      </c>
      <c r="N3905" s="75">
        <f>'THAM_SO_MOI'!$C$12*I3905</f>
        <v>1130.112</v>
      </c>
      <c r="O3905" s="75">
        <f>M3905+N3905</f>
        <v>2399.6169338187956</v>
      </c>
      <c r="P3905" s="75">
        <f>(MIN(L3905,'THAM_SO_MOI'!$C$41)-O3905)/('THAM_SO_MOI'!$C$11*H3905)</f>
        <v>0.1618236118901735</v>
      </c>
      <c r="Q3905" s="75">
        <f>IF(P3905&gt;0,1/P3905,NA())</f>
        <v>6.179567915457729</v>
      </c>
      <c r="R3905" s="75">
        <f>F3905-F3904</f>
        <v>0.0073885545698715305</v>
      </c>
      <c r="S3905" s="75">
        <f>0.5*(Q3904+Q3905)*R3905</f>
        <v>0.045644232256085535</v>
      </c>
      <c r="T3905" s="75">
        <f>0.5*(F3904*Q3904+F3905*Q3905)*R3905</f>
        <v>0.9507430781203005</v>
      </c>
      <c r="U3905" s="76">
        <f>U3904+S3905</f>
        <v>52.835632603358476</v>
      </c>
      <c r="V3905" s="76">
        <f>V3904+T3905</f>
        <v>738.4686364471492</v>
      </c>
    </row>
    <row r="3906" spans="1:22" ht="19" customHeight="1">
      <c r="A3906" s="68" t="s">
        <v>378</v>
      </c>
      <c r="B3906" s="74">
        <v>5</v>
      </c>
      <c r="C3906" s="68" t="s">
        <v>363</v>
      </c>
      <c r="D3906" s="68" t="s">
        <v>364</v>
      </c>
      <c r="E3906" s="75">
        <f>60*F3906*'THAM_SO_MOI'!$C$53/(2*PI()*'THAM_SO_MOI'!$C$26)</f>
        <v>2053.3382713429846</v>
      </c>
      <c r="F3906" s="75">
        <f>'HANH_TRINH'!$F$3289+('THAM_SO_MOI'!$C$14-'HANH_TRINH'!$F$3289)*616/'THAM_SO_MOI'!$C$42</f>
        <v>20.84050595914355</v>
      </c>
      <c r="G3906" s="75">
        <f>3.6*F3906</f>
        <v>75.02582145291677</v>
      </c>
      <c r="H3906" s="75">
        <f>'THAM_SO_MOI'!$D$53</f>
        <v>1.1</v>
      </c>
      <c r="I3906" s="75">
        <f>IF(F3906&gt;'THAM_SO_MOI'!$C$14,'THAM_SO_MOI'!$C$13*(1+F3906^2/1500),'THAM_SO_MOI'!$C$13)</f>
        <v>0.015</v>
      </c>
      <c r="J3906" s="75">
        <f>'THAM_SO_MOI'!$C$40*('THAM_SO_MOI'!$C$23*(E3906/'THAM_SO_MOI'!$C$22)+'THAM_SO_MOI'!$C$24*(E3906/'THAM_SO_MOI'!$C$22)^2-'THAM_SO_MOI'!$C$25*(E3906/'THAM_SO_MOI'!$C$22)^3)</f>
        <v>92.3372361555474</v>
      </c>
      <c r="K3906" s="75">
        <f>'THAM_SO_MOI'!$C$31*J3906/E3906</f>
        <v>429.50644744067614</v>
      </c>
      <c r="L3906" s="75">
        <f>K3906*'THAM_SO_MOI'!$C$53*'THAM_SO_MOI'!$C$17/'THAM_SO_MOI'!$C$26</f>
        <v>3766.7732246999535</v>
      </c>
      <c r="M3906" s="75">
        <f>'THAM_SO_MOI'!$C$15*'THAM_SO_MOI'!$C$16*F3906^2</f>
        <v>1270.4055642518113</v>
      </c>
      <c r="N3906" s="75">
        <f>'THAM_SO_MOI'!$C$12*I3906</f>
        <v>1130.112</v>
      </c>
      <c r="O3906" s="75">
        <f>M3906+N3906</f>
        <v>2400.5175642518116</v>
      </c>
      <c r="P3906" s="75">
        <f>(MIN(L3906,'THAM_SO_MOI'!$C$41)-O3906)/('THAM_SO_MOI'!$C$11*H3906)</f>
        <v>0.16172533859471383</v>
      </c>
      <c r="Q3906" s="75">
        <f>IF(P3906&gt;0,1/P3906,NA())</f>
        <v>6.183322964040999</v>
      </c>
      <c r="R3906" s="75">
        <f>F3906-F3905</f>
        <v>0.0073885545698715305</v>
      </c>
      <c r="S3906" s="75">
        <f>0.5*(Q3905+Q3906)*R3906</f>
        <v>0.0456719469522717</v>
      </c>
      <c r="T3906" s="75">
        <f>0.5*(F3905*Q3905+F3906*Q3906)*R3906</f>
        <v>0.9516578090360406</v>
      </c>
      <c r="U3906" s="76">
        <f>U3905+S3906</f>
        <v>52.881304550310745</v>
      </c>
      <c r="V3906" s="76">
        <f>V3905+T3906</f>
        <v>739.4202942561852</v>
      </c>
    </row>
    <row r="3907" spans="1:22" ht="19" customHeight="1">
      <c r="A3907" s="68" t="s">
        <v>378</v>
      </c>
      <c r="B3907" s="74">
        <v>5</v>
      </c>
      <c r="C3907" s="68" t="s">
        <v>363</v>
      </c>
      <c r="D3907" s="68" t="s">
        <v>364</v>
      </c>
      <c r="E3907" s="75">
        <f>60*F3907*'THAM_SO_MOI'!$C$53/(2*PI()*'THAM_SO_MOI'!$C$26)</f>
        <v>2054.066238403764</v>
      </c>
      <c r="F3907" s="75">
        <f>'HANH_TRINH'!$F$3289+('THAM_SO_MOI'!$C$14-'HANH_TRINH'!$F$3289)*617/'THAM_SO_MOI'!$C$42</f>
        <v>20.84789451371342</v>
      </c>
      <c r="G3907" s="75">
        <f>3.6*F3907</f>
        <v>75.05242024936831</v>
      </c>
      <c r="H3907" s="75">
        <f>'THAM_SO_MOI'!$D$53</f>
        <v>1.1</v>
      </c>
      <c r="I3907" s="75">
        <f>IF(F3907&gt;'THAM_SO_MOI'!$C$14,'THAM_SO_MOI'!$C$13*(1+F3907^2/1500),'THAM_SO_MOI'!$C$13)</f>
        <v>0.015</v>
      </c>
      <c r="J3907" s="75">
        <f>'THAM_SO_MOI'!$C$40*('THAM_SO_MOI'!$C$23*(E3907/'THAM_SO_MOI'!$C$22)+'THAM_SO_MOI'!$C$24*(E3907/'THAM_SO_MOI'!$C$22)^2-'THAM_SO_MOI'!$C$25*(E3907/'THAM_SO_MOI'!$C$22)^3)</f>
        <v>92.37168808915665</v>
      </c>
      <c r="K3907" s="75">
        <f>'THAM_SO_MOI'!$C$31*J3907/E3907</f>
        <v>429.51442540200986</v>
      </c>
      <c r="L3907" s="75">
        <f>K3907*'THAM_SO_MOI'!$C$53*'THAM_SO_MOI'!$C$17/'THAM_SO_MOI'!$C$26</f>
        <v>3766.843191452068</v>
      </c>
      <c r="M3907" s="75">
        <f>'THAM_SO_MOI'!$C$15*'THAM_SO_MOI'!$C$16*F3907^2</f>
        <v>1271.3065140406472</v>
      </c>
      <c r="N3907" s="75">
        <f>'THAM_SO_MOI'!$C$12*I3907</f>
        <v>1130.112</v>
      </c>
      <c r="O3907" s="75">
        <f>M3907+N3907</f>
        <v>2401.418514040647</v>
      </c>
      <c r="P3907" s="75">
        <f>(MIN(L3907,'THAM_SO_MOI'!$C$41)-O3907)/('THAM_SO_MOI'!$C$11*H3907)</f>
        <v>0.16162697412540492</v>
      </c>
      <c r="Q3907" s="75">
        <f>IF(P3907&gt;0,1/P3907,NA())</f>
        <v>6.187086069087138</v>
      </c>
      <c r="R3907" s="75">
        <f>F3907-F3906</f>
        <v>0.0073885545698715305</v>
      </c>
      <c r="S3907" s="75">
        <f>0.5*(Q3906+Q3907)*R3907</f>
        <v>0.04569972109644948</v>
      </c>
      <c r="T3907" s="75">
        <f>0.5*(F3906*Q3906+F3907*Q3907)*R3907</f>
        <v>0.952574188640999</v>
      </c>
      <c r="U3907" s="76">
        <f>U3906+S3907</f>
        <v>52.92700427140719</v>
      </c>
      <c r="V3907" s="76">
        <f>V3906+T3907</f>
        <v>740.3728684448263</v>
      </c>
    </row>
    <row r="3908" spans="1:22" ht="19" customHeight="1">
      <c r="A3908" s="68" t="s">
        <v>378</v>
      </c>
      <c r="B3908" s="74">
        <v>5</v>
      </c>
      <c r="C3908" s="68" t="s">
        <v>363</v>
      </c>
      <c r="D3908" s="68" t="s">
        <v>364</v>
      </c>
      <c r="E3908" s="75">
        <f>60*F3908*'THAM_SO_MOI'!$C$53/(2*PI()*'THAM_SO_MOI'!$C$26)</f>
        <v>2054.7942054645428</v>
      </c>
      <c r="F3908" s="75">
        <f>'HANH_TRINH'!$F$3289+('THAM_SO_MOI'!$C$14-'HANH_TRINH'!$F$3289)*618/'THAM_SO_MOI'!$C$42</f>
        <v>20.855283068283292</v>
      </c>
      <c r="G3908" s="75">
        <f>3.6*F3908</f>
        <v>75.07901904581985</v>
      </c>
      <c r="H3908" s="75">
        <f>'THAM_SO_MOI'!$D$53</f>
        <v>1.1</v>
      </c>
      <c r="I3908" s="75">
        <f>IF(F3908&gt;'THAM_SO_MOI'!$C$14,'THAM_SO_MOI'!$C$13*(1+F3908^2/1500),'THAM_SO_MOI'!$C$13)</f>
        <v>0.015</v>
      </c>
      <c r="J3908" s="75">
        <f>'THAM_SO_MOI'!$C$40*('THAM_SO_MOI'!$C$23*(E3908/'THAM_SO_MOI'!$C$22)+'THAM_SO_MOI'!$C$24*(E3908/'THAM_SO_MOI'!$C$22)^2-'THAM_SO_MOI'!$C$25*(E3908/'THAM_SO_MOI'!$C$22)^3)</f>
        <v>92.40613017833914</v>
      </c>
      <c r="K3908" s="75">
        <f>'THAM_SO_MOI'!$C$31*J3908/E3908</f>
        <v>429.5223519516383</v>
      </c>
      <c r="L3908" s="75">
        <f>K3908*'THAM_SO_MOI'!$C$53*'THAM_SO_MOI'!$C$17/'THAM_SO_MOI'!$C$26</f>
        <v>3766.912707323326</v>
      </c>
      <c r="M3908" s="75">
        <f>'THAM_SO_MOI'!$C$15*'THAM_SO_MOI'!$C$16*F3908^2</f>
        <v>1272.2077831853046</v>
      </c>
      <c r="N3908" s="75">
        <f>'THAM_SO_MOI'!$C$12*I3908</f>
        <v>1130.112</v>
      </c>
      <c r="O3908" s="75">
        <f>M3908+N3908</f>
        <v>2402.319783185305</v>
      </c>
      <c r="P3908" s="75">
        <f>(MIN(L3908,'THAM_SO_MOI'!$C$41)-O3908)/('THAM_SO_MOI'!$C$11*H3908)</f>
        <v>0.16152851848224678</v>
      </c>
      <c r="Q3908" s="75">
        <f>IF(P3908&gt;0,1/P3908,NA())</f>
        <v>6.190857251686535</v>
      </c>
      <c r="R3908" s="75">
        <f>F3908-F3907</f>
        <v>0.0073885545698715305</v>
      </c>
      <c r="S3908" s="75">
        <f>0.5*(Q3907+Q3908)*R3908</f>
        <v>0.045727554844156554</v>
      </c>
      <c r="T3908" s="75">
        <f>0.5*(F3907*Q3907+F3908*Q3908)*R3908</f>
        <v>0.9534922214960885</v>
      </c>
      <c r="U3908" s="76">
        <f>U3907+S3908</f>
        <v>52.97273182625135</v>
      </c>
      <c r="V3908" s="76">
        <f>V3907+T3908</f>
        <v>741.3263606663223</v>
      </c>
    </row>
    <row r="3909" spans="1:22" ht="19" customHeight="1">
      <c r="A3909" s="68" t="s">
        <v>378</v>
      </c>
      <c r="B3909" s="74">
        <v>5</v>
      </c>
      <c r="C3909" s="68" t="s">
        <v>363</v>
      </c>
      <c r="D3909" s="68" t="s">
        <v>364</v>
      </c>
      <c r="E3909" s="75">
        <f>60*F3909*'THAM_SO_MOI'!$C$53/(2*PI()*'THAM_SO_MOI'!$C$26)</f>
        <v>2055.522172525322</v>
      </c>
      <c r="F3909" s="75">
        <f>'HANH_TRINH'!$F$3289+('THAM_SO_MOI'!$C$14-'HANH_TRINH'!$F$3289)*619/'THAM_SO_MOI'!$C$42</f>
        <v>20.862671622853163</v>
      </c>
      <c r="G3909" s="75">
        <f>3.6*F3909</f>
        <v>75.10561784227139</v>
      </c>
      <c r="H3909" s="75">
        <f>'THAM_SO_MOI'!$D$53</f>
        <v>1.1</v>
      </c>
      <c r="I3909" s="75">
        <f>IF(F3909&gt;'THAM_SO_MOI'!$C$14,'THAM_SO_MOI'!$C$13*(1+F3909^2/1500),'THAM_SO_MOI'!$C$13)</f>
        <v>0.015</v>
      </c>
      <c r="J3909" s="75">
        <f>'THAM_SO_MOI'!$C$40*('THAM_SO_MOI'!$C$23*(E3909/'THAM_SO_MOI'!$C$22)+'THAM_SO_MOI'!$C$24*(E3909/'THAM_SO_MOI'!$C$22)^2-'THAM_SO_MOI'!$C$25*(E3909/'THAM_SO_MOI'!$C$22)^3)</f>
        <v>92.44056241133934</v>
      </c>
      <c r="K3909" s="75">
        <f>'THAM_SO_MOI'!$C$31*J3909/E3909</f>
        <v>429.53022708956104</v>
      </c>
      <c r="L3909" s="75">
        <f>K3909*'THAM_SO_MOI'!$C$53*'THAM_SO_MOI'!$C$17/'THAM_SO_MOI'!$C$26</f>
        <v>3766.981772313723</v>
      </c>
      <c r="M3909" s="75">
        <f>'THAM_SO_MOI'!$C$15*'THAM_SO_MOI'!$C$16*F3909^2</f>
        <v>1273.109371685783</v>
      </c>
      <c r="N3909" s="75">
        <f>'THAM_SO_MOI'!$C$12*I3909</f>
        <v>1130.112</v>
      </c>
      <c r="O3909" s="75">
        <f>M3909+N3909</f>
        <v>2403.221371685783</v>
      </c>
      <c r="P3909" s="75">
        <f>(MIN(L3909,'THAM_SO_MOI'!$C$41)-O3909)/('THAM_SO_MOI'!$C$11*H3909)</f>
        <v>0.1614299716652391</v>
      </c>
      <c r="Q3909" s="75">
        <f>IF(P3909&gt;0,1/P3909,NA())</f>
        <v>6.194636533008394</v>
      </c>
      <c r="R3909" s="75">
        <f>F3909-F3908</f>
        <v>0.0073885545698715305</v>
      </c>
      <c r="S3909" s="75">
        <f>0.5*(Q3908+Q3909)*R3909</f>
        <v>0.04575544835151158</v>
      </c>
      <c r="T3909" s="75">
        <f>0.5*(F3908*Q3908+F3909*Q3909)*R3909</f>
        <v>0.954411912178937</v>
      </c>
      <c r="U3909" s="76">
        <f>U3908+S3909</f>
        <v>53.01848727460286</v>
      </c>
      <c r="V3909" s="76">
        <f>V3908+T3909</f>
        <v>742.2807725785012</v>
      </c>
    </row>
    <row r="3910" spans="1:22" ht="19" customHeight="1">
      <c r="A3910" s="68" t="s">
        <v>378</v>
      </c>
      <c r="B3910" s="74">
        <v>5</v>
      </c>
      <c r="C3910" s="68" t="s">
        <v>363</v>
      </c>
      <c r="D3910" s="68" t="s">
        <v>364</v>
      </c>
      <c r="E3910" s="75">
        <f>60*F3910*'THAM_SO_MOI'!$C$53/(2*PI()*'THAM_SO_MOI'!$C$26)</f>
        <v>2056.2501395861004</v>
      </c>
      <c r="F3910" s="75">
        <f>'HANH_TRINH'!$F$3289+('THAM_SO_MOI'!$C$14-'HANH_TRINH'!$F$3289)*620/'THAM_SO_MOI'!$C$42</f>
        <v>20.870060177423035</v>
      </c>
      <c r="G3910" s="75">
        <f>3.6*F3910</f>
        <v>75.13221663872292</v>
      </c>
      <c r="H3910" s="75">
        <f>'THAM_SO_MOI'!$D$53</f>
        <v>1.1</v>
      </c>
      <c r="I3910" s="75">
        <f>IF(F3910&gt;'THAM_SO_MOI'!$C$14,'THAM_SO_MOI'!$C$13*(1+F3910^2/1500),'THAM_SO_MOI'!$C$13)</f>
        <v>0.015</v>
      </c>
      <c r="J3910" s="75">
        <f>'THAM_SO_MOI'!$C$40*('THAM_SO_MOI'!$C$23*(E3910/'THAM_SO_MOI'!$C$22)+'THAM_SO_MOI'!$C$24*(E3910/'THAM_SO_MOI'!$C$22)^2-'THAM_SO_MOI'!$C$25*(E3910/'THAM_SO_MOI'!$C$22)^3)</f>
        <v>92.47498477640178</v>
      </c>
      <c r="K3910" s="75">
        <f>'THAM_SO_MOI'!$C$31*J3910/E3910</f>
        <v>429.53805081577855</v>
      </c>
      <c r="L3910" s="75">
        <f>K3910*'THAM_SO_MOI'!$C$53*'THAM_SO_MOI'!$C$17/'THAM_SO_MOI'!$C$26</f>
        <v>3767.050386423265</v>
      </c>
      <c r="M3910" s="75">
        <f>'THAM_SO_MOI'!$C$15*'THAM_SO_MOI'!$C$16*F3910^2</f>
        <v>1274.011279542082</v>
      </c>
      <c r="N3910" s="75">
        <f>'THAM_SO_MOI'!$C$12*I3910</f>
        <v>1130.112</v>
      </c>
      <c r="O3910" s="75">
        <f>M3910+N3910</f>
        <v>2404.123279542082</v>
      </c>
      <c r="P3910" s="75">
        <f>(MIN(L3910,'THAM_SO_MOI'!$C$41)-O3910)/('THAM_SO_MOI'!$C$11*H3910)</f>
        <v>0.16133133367438246</v>
      </c>
      <c r="Q3910" s="75">
        <f>IF(P3910&gt;0,1/P3910,NA())</f>
        <v>6.198423934301043</v>
      </c>
      <c r="R3910" s="75">
        <f>F3910-F3909</f>
        <v>0.0073885545698715305</v>
      </c>
      <c r="S3910" s="75">
        <f>0.5*(Q3909+Q3910)*R3910</f>
        <v>0.04578340177521667</v>
      </c>
      <c r="T3910" s="75">
        <f>0.5*(F3909*Q3909+F3910*Q3910)*R3910</f>
        <v>0.9553332652839619</v>
      </c>
      <c r="U3910" s="76">
        <f>U3909+S3910</f>
        <v>53.06427067637808</v>
      </c>
      <c r="V3910" s="76">
        <f>V3909+T3910</f>
        <v>743.2361058437851</v>
      </c>
    </row>
    <row r="3911" spans="1:22" ht="19" customHeight="1">
      <c r="A3911" s="68" t="s">
        <v>378</v>
      </c>
      <c r="B3911" s="74">
        <v>5</v>
      </c>
      <c r="C3911" s="68" t="s">
        <v>363</v>
      </c>
      <c r="D3911" s="68" t="s">
        <v>364</v>
      </c>
      <c r="E3911" s="75">
        <f>60*F3911*'THAM_SO_MOI'!$C$53/(2*PI()*'THAM_SO_MOI'!$C$26)</f>
        <v>2056.9781066468795</v>
      </c>
      <c r="F3911" s="75">
        <f>'HANH_TRINH'!$F$3289+('THAM_SO_MOI'!$C$14-'HANH_TRINH'!$F$3289)*621/'THAM_SO_MOI'!$C$42</f>
        <v>20.877448731992907</v>
      </c>
      <c r="G3911" s="75">
        <f>3.6*F3911</f>
        <v>75.15881543517446</v>
      </c>
      <c r="H3911" s="75">
        <f>'THAM_SO_MOI'!$D$53</f>
        <v>1.1</v>
      </c>
      <c r="I3911" s="75">
        <f>IF(F3911&gt;'THAM_SO_MOI'!$C$14,'THAM_SO_MOI'!$C$13*(1+F3911^2/1500),'THAM_SO_MOI'!$C$13)</f>
        <v>0.015</v>
      </c>
      <c r="J3911" s="75">
        <f>'THAM_SO_MOI'!$C$40*('THAM_SO_MOI'!$C$23*(E3911/'THAM_SO_MOI'!$C$22)+'THAM_SO_MOI'!$C$24*(E3911/'THAM_SO_MOI'!$C$22)^2-'THAM_SO_MOI'!$C$25*(E3911/'THAM_SO_MOI'!$C$22)^3)</f>
        <v>92.50939726177099</v>
      </c>
      <c r="K3911" s="75">
        <f>'THAM_SO_MOI'!$C$31*J3911/E3911</f>
        <v>429.5458231302907</v>
      </c>
      <c r="L3911" s="75">
        <f>K3911*'THAM_SO_MOI'!$C$53*'THAM_SO_MOI'!$C$17/'THAM_SO_MOI'!$C$26</f>
        <v>3767.1185496519497</v>
      </c>
      <c r="M3911" s="75">
        <f>'THAM_SO_MOI'!$C$15*'THAM_SO_MOI'!$C$16*F3911^2</f>
        <v>1274.9135067542024</v>
      </c>
      <c r="N3911" s="75">
        <f>'THAM_SO_MOI'!$C$12*I3911</f>
        <v>1130.112</v>
      </c>
      <c r="O3911" s="75">
        <f>M3911+N3911</f>
        <v>2405.0255067542025</v>
      </c>
      <c r="P3911" s="75">
        <f>(MIN(L3911,'THAM_SO_MOI'!$C$41)-O3911)/('THAM_SO_MOI'!$C$11*H3911)</f>
        <v>0.16123260450967652</v>
      </c>
      <c r="Q3911" s="75">
        <f>IF(P3911&gt;0,1/P3911,NA())</f>
        <v>6.202219476892368</v>
      </c>
      <c r="R3911" s="75">
        <f>F3911-F3910</f>
        <v>0.0073885545698715305</v>
      </c>
      <c r="S3911" s="75">
        <f>0.5*(Q3910+Q3911)*R3911</f>
        <v>0.04581141527256018</v>
      </c>
      <c r="T3911" s="75">
        <f>0.5*(F3910*Q3910+F3911*Q3911)*R3911</f>
        <v>0.9562562854224481</v>
      </c>
      <c r="U3911" s="76">
        <f>U3910+S3911</f>
        <v>53.11008209165064</v>
      </c>
      <c r="V3911" s="76">
        <f>V3910+T3911</f>
        <v>744.1923621292076</v>
      </c>
    </row>
    <row r="3912" spans="1:22" ht="19" customHeight="1">
      <c r="A3912" s="68" t="s">
        <v>378</v>
      </c>
      <c r="B3912" s="74">
        <v>5</v>
      </c>
      <c r="C3912" s="68" t="s">
        <v>363</v>
      </c>
      <c r="D3912" s="68" t="s">
        <v>364</v>
      </c>
      <c r="E3912" s="75">
        <f>60*F3912*'THAM_SO_MOI'!$C$53/(2*PI()*'THAM_SO_MOI'!$C$26)</f>
        <v>2057.7060737076586</v>
      </c>
      <c r="F3912" s="75">
        <f>'HANH_TRINH'!$F$3289+('THAM_SO_MOI'!$C$14-'HANH_TRINH'!$F$3289)*622/'THAM_SO_MOI'!$C$42</f>
        <v>20.884837286562778</v>
      </c>
      <c r="G3912" s="75">
        <f>3.6*F3912</f>
        <v>75.185414231626</v>
      </c>
      <c r="H3912" s="75">
        <f>'THAM_SO_MOI'!$D$53</f>
        <v>1.1</v>
      </c>
      <c r="I3912" s="75">
        <f>IF(F3912&gt;'THAM_SO_MOI'!$C$14,'THAM_SO_MOI'!$C$13*(1+F3912^2/1500),'THAM_SO_MOI'!$C$13)</f>
        <v>0.015</v>
      </c>
      <c r="J3912" s="75">
        <f>'THAM_SO_MOI'!$C$40*('THAM_SO_MOI'!$C$23*(E3912/'THAM_SO_MOI'!$C$22)+'THAM_SO_MOI'!$C$24*(E3912/'THAM_SO_MOI'!$C$22)^2-'THAM_SO_MOI'!$C$25*(E3912/'THAM_SO_MOI'!$C$22)^3)</f>
        <v>92.54379985569133</v>
      </c>
      <c r="K3912" s="75">
        <f>'THAM_SO_MOI'!$C$31*J3912/E3912</f>
        <v>429.55354403309724</v>
      </c>
      <c r="L3912" s="75">
        <f>K3912*'THAM_SO_MOI'!$C$53*'THAM_SO_MOI'!$C$17/'THAM_SO_MOI'!$C$26</f>
        <v>3767.186261999774</v>
      </c>
      <c r="M3912" s="75">
        <f>'THAM_SO_MOI'!$C$15*'THAM_SO_MOI'!$C$16*F3912^2</f>
        <v>1275.8160533221437</v>
      </c>
      <c r="N3912" s="75">
        <f>'THAM_SO_MOI'!$C$12*I3912</f>
        <v>1130.112</v>
      </c>
      <c r="O3912" s="75">
        <f>M3912+N3912</f>
        <v>2405.9280533221436</v>
      </c>
      <c r="P3912" s="75">
        <f>(MIN(L3912,'THAM_SO_MOI'!$C$41)-O3912)/('THAM_SO_MOI'!$C$11*H3912)</f>
        <v>0.16113378417112098</v>
      </c>
      <c r="Q3912" s="75">
        <f>IF(P3912&gt;0,1/P3912,NA())</f>
        <v>6.206023182190144</v>
      </c>
      <c r="R3912" s="75">
        <f>F3912-F3911</f>
        <v>0.0073885545698715305</v>
      </c>
      <c r="S3912" s="75">
        <f>0.5*(Q3911+Q3912)*R3912</f>
        <v>0.04583948900141948</v>
      </c>
      <c r="T3912" s="75">
        <f>0.5*(F3911*Q3911+F3912*Q3912)*R3912</f>
        <v>0.9571809772226294</v>
      </c>
      <c r="U3912" s="76">
        <f>U3911+S3912</f>
        <v>53.155921580652056</v>
      </c>
      <c r="V3912" s="76">
        <f>V3911+T3912</f>
        <v>745.1495431064302</v>
      </c>
    </row>
    <row r="3913" spans="1:22" ht="19" customHeight="1">
      <c r="A3913" s="68" t="s">
        <v>378</v>
      </c>
      <c r="B3913" s="74">
        <v>5</v>
      </c>
      <c r="C3913" s="68" t="s">
        <v>363</v>
      </c>
      <c r="D3913" s="68" t="s">
        <v>364</v>
      </c>
      <c r="E3913" s="75">
        <f>60*F3913*'THAM_SO_MOI'!$C$53/(2*PI()*'THAM_SO_MOI'!$C$26)</f>
        <v>2058.4340407684376</v>
      </c>
      <c r="F3913" s="75">
        <f>'HANH_TRINH'!$F$3289+('THAM_SO_MOI'!$C$14-'HANH_TRINH'!$F$3289)*623/'THAM_SO_MOI'!$C$42</f>
        <v>20.89222584113265</v>
      </c>
      <c r="G3913" s="75">
        <f>3.6*F3913</f>
        <v>75.21201302807754</v>
      </c>
      <c r="H3913" s="75">
        <f>'THAM_SO_MOI'!$D$53</f>
        <v>1.1</v>
      </c>
      <c r="I3913" s="75">
        <f>IF(F3913&gt;'THAM_SO_MOI'!$C$14,'THAM_SO_MOI'!$C$13*(1+F3913^2/1500),'THAM_SO_MOI'!$C$13)</f>
        <v>0.015</v>
      </c>
      <c r="J3913" s="75">
        <f>'THAM_SO_MOI'!$C$40*('THAM_SO_MOI'!$C$23*(E3913/'THAM_SO_MOI'!$C$22)+'THAM_SO_MOI'!$C$24*(E3913/'THAM_SO_MOI'!$C$22)^2-'THAM_SO_MOI'!$C$25*(E3913/'THAM_SO_MOI'!$C$22)^3)</f>
        <v>92.57819254640737</v>
      </c>
      <c r="K3913" s="75">
        <f>'THAM_SO_MOI'!$C$31*J3913/E3913</f>
        <v>429.5612135241984</v>
      </c>
      <c r="L3913" s="75">
        <f>K3913*'THAM_SO_MOI'!$C$53*'THAM_SO_MOI'!$C$17/'THAM_SO_MOI'!$C$26</f>
        <v>3767.253523466742</v>
      </c>
      <c r="M3913" s="75">
        <f>'THAM_SO_MOI'!$C$15*'THAM_SO_MOI'!$C$16*F3913^2</f>
        <v>1276.718919245906</v>
      </c>
      <c r="N3913" s="75">
        <f>'THAM_SO_MOI'!$C$12*I3913</f>
        <v>1130.112</v>
      </c>
      <c r="O3913" s="75">
        <f>M3913+N3913</f>
        <v>2406.830919245906</v>
      </c>
      <c r="P3913" s="75">
        <f>(MIN(L3913,'THAM_SO_MOI'!$C$41)-O3913)/('THAM_SO_MOI'!$C$11*H3913)</f>
        <v>0.16103487265871638</v>
      </c>
      <c r="Q3913" s="75">
        <f>IF(P3913&gt;0,1/P3913,NA())</f>
        <v>6.209835071682361</v>
      </c>
      <c r="R3913" s="75">
        <f>F3913-F3912</f>
        <v>0.0073885545698715305</v>
      </c>
      <c r="S3913" s="75">
        <f>0.5*(Q3912+Q3913)*R3913</f>
        <v>0.04586762312026343</v>
      </c>
      <c r="T3913" s="75">
        <f>0.5*(F3912*Q3912+F3913*Q3913)*R3913</f>
        <v>0.9581073453297596</v>
      </c>
      <c r="U3913" s="76">
        <f>U3912+S3913</f>
        <v>53.20178920377232</v>
      </c>
      <c r="V3913" s="76">
        <f>V3912+T3913</f>
        <v>746.1076504517599</v>
      </c>
    </row>
    <row r="3914" spans="1:22" ht="19" customHeight="1">
      <c r="A3914" s="68" t="s">
        <v>378</v>
      </c>
      <c r="B3914" s="74">
        <v>5</v>
      </c>
      <c r="C3914" s="68" t="s">
        <v>363</v>
      </c>
      <c r="D3914" s="68" t="s">
        <v>364</v>
      </c>
      <c r="E3914" s="75">
        <f>60*F3914*'THAM_SO_MOI'!$C$53/(2*PI()*'THAM_SO_MOI'!$C$26)</f>
        <v>2059.1620078292167</v>
      </c>
      <c r="F3914" s="75">
        <f>'HANH_TRINH'!$F$3289+('THAM_SO_MOI'!$C$14-'HANH_TRINH'!$F$3289)*624/'THAM_SO_MOI'!$C$42</f>
        <v>20.899614395702525</v>
      </c>
      <c r="G3914" s="75">
        <f>3.6*F3914</f>
        <v>75.23861182452909</v>
      </c>
      <c r="H3914" s="75">
        <f>'THAM_SO_MOI'!$D$53</f>
        <v>1.1</v>
      </c>
      <c r="I3914" s="75">
        <f>IF(F3914&gt;'THAM_SO_MOI'!$C$14,'THAM_SO_MOI'!$C$13*(1+F3914^2/1500),'THAM_SO_MOI'!$C$13)</f>
        <v>0.015</v>
      </c>
      <c r="J3914" s="75">
        <f>'THAM_SO_MOI'!$C$40*('THAM_SO_MOI'!$C$23*(E3914/'THAM_SO_MOI'!$C$22)+'THAM_SO_MOI'!$C$24*(E3914/'THAM_SO_MOI'!$C$22)^2-'THAM_SO_MOI'!$C$25*(E3914/'THAM_SO_MOI'!$C$22)^3)</f>
        <v>92.61257532216358</v>
      </c>
      <c r="K3914" s="75">
        <f>'THAM_SO_MOI'!$C$31*J3914/E3914</f>
        <v>429.56883160359416</v>
      </c>
      <c r="L3914" s="75">
        <f>K3914*'THAM_SO_MOI'!$C$53*'THAM_SO_MOI'!$C$17/'THAM_SO_MOI'!$C$26</f>
        <v>3767.3203340528516</v>
      </c>
      <c r="M3914" s="75">
        <f>'THAM_SO_MOI'!$C$15*'THAM_SO_MOI'!$C$16*F3914^2</f>
        <v>1277.6221045254895</v>
      </c>
      <c r="N3914" s="75">
        <f>'THAM_SO_MOI'!$C$12*I3914</f>
        <v>1130.112</v>
      </c>
      <c r="O3914" s="75">
        <f>M3914+N3914</f>
        <v>2407.73410452549</v>
      </c>
      <c r="P3914" s="75">
        <f>(MIN(L3914,'THAM_SO_MOI'!$C$41)-O3914)/('THAM_SO_MOI'!$C$11*H3914)</f>
        <v>0.16093586997246234</v>
      </c>
      <c r="Q3914" s="75">
        <f>IF(P3914&gt;0,1/P3914,NA())</f>
        <v>6.213655166937672</v>
      </c>
      <c r="R3914" s="75">
        <f>F3914-F3913</f>
        <v>0.007388554569875083</v>
      </c>
      <c r="S3914" s="75">
        <f>0.5*(Q3913+Q3914)*R3914</f>
        <v>0.045895817788177265</v>
      </c>
      <c r="T3914" s="75">
        <f>0.5*(F3913*Q3913+F3914*Q3914)*R3914</f>
        <v>0.9590353944066565</v>
      </c>
      <c r="U3914" s="76">
        <f>U3913+S3914</f>
        <v>53.2476850215605</v>
      </c>
      <c r="V3914" s="76">
        <f>V3913+T3914</f>
        <v>747.0666858461666</v>
      </c>
    </row>
    <row r="3915" spans="1:22" ht="19" customHeight="1">
      <c r="A3915" s="68" t="s">
        <v>378</v>
      </c>
      <c r="B3915" s="74">
        <v>5</v>
      </c>
      <c r="C3915" s="68" t="s">
        <v>363</v>
      </c>
      <c r="D3915" s="68" t="s">
        <v>364</v>
      </c>
      <c r="E3915" s="75">
        <f>60*F3915*'THAM_SO_MOI'!$C$53/(2*PI()*'THAM_SO_MOI'!$C$26)</f>
        <v>2059.8899748899958</v>
      </c>
      <c r="F3915" s="75">
        <f>'HANH_TRINH'!$F$3289+('THAM_SO_MOI'!$C$14-'HANH_TRINH'!$F$3289)*625/'THAM_SO_MOI'!$C$42</f>
        <v>20.907002950272396</v>
      </c>
      <c r="G3915" s="75">
        <f>3.6*F3915</f>
        <v>75.26521062098062</v>
      </c>
      <c r="H3915" s="75">
        <f>'THAM_SO_MOI'!$D$53</f>
        <v>1.1</v>
      </c>
      <c r="I3915" s="75">
        <f>IF(F3915&gt;'THAM_SO_MOI'!$C$14,'THAM_SO_MOI'!$C$13*(1+F3915^2/1500),'THAM_SO_MOI'!$C$13)</f>
        <v>0.015</v>
      </c>
      <c r="J3915" s="75">
        <f>'THAM_SO_MOI'!$C$40*('THAM_SO_MOI'!$C$23*(E3915/'THAM_SO_MOI'!$C$22)+'THAM_SO_MOI'!$C$24*(E3915/'THAM_SO_MOI'!$C$22)^2-'THAM_SO_MOI'!$C$25*(E3915/'THAM_SO_MOI'!$C$22)^3)</f>
        <v>92.64694817120444</v>
      </c>
      <c r="K3915" s="75">
        <f>'THAM_SO_MOI'!$C$31*J3915/E3915</f>
        <v>429.5763982712845</v>
      </c>
      <c r="L3915" s="75">
        <f>K3915*'THAM_SO_MOI'!$C$53*'THAM_SO_MOI'!$C$17/'THAM_SO_MOI'!$C$26</f>
        <v>3767.3866937581047</v>
      </c>
      <c r="M3915" s="75">
        <f>'THAM_SO_MOI'!$C$15*'THAM_SO_MOI'!$C$16*F3915^2</f>
        <v>1278.5256091608937</v>
      </c>
      <c r="N3915" s="75">
        <f>'THAM_SO_MOI'!$C$12*I3915</f>
        <v>1130.112</v>
      </c>
      <c r="O3915" s="75">
        <f>M3915+N3915</f>
        <v>2408.6376091608936</v>
      </c>
      <c r="P3915" s="75">
        <f>(MIN(L3915,'THAM_SO_MOI'!$C$41)-O3915)/('THAM_SO_MOI'!$C$11*H3915)</f>
        <v>0.16083677611235922</v>
      </c>
      <c r="Q3915" s="75">
        <f>IF(P3915&gt;0,1/P3915,NA())</f>
        <v>6.217483489605688</v>
      </c>
      <c r="R3915" s="75">
        <f>F3915-F3914</f>
        <v>0.0073885545698715305</v>
      </c>
      <c r="S3915" s="75">
        <f>0.5*(Q3914+Q3915)*R3915</f>
        <v>0.045924073164755046</v>
      </c>
      <c r="T3915" s="75">
        <f>0.5*(F3914*Q3914+F3915*Q3915)*R3915</f>
        <v>0.9599651291314752</v>
      </c>
      <c r="U3915" s="76">
        <f>U3914+S3915</f>
        <v>53.293609094725255</v>
      </c>
      <c r="V3915" s="76">
        <f>V3914+T3915</f>
        <v>748.026650975298</v>
      </c>
    </row>
    <row r="3916" spans="1:22" ht="19" customHeight="1">
      <c r="A3916" s="68" t="s">
        <v>378</v>
      </c>
      <c r="B3916" s="74">
        <v>5</v>
      </c>
      <c r="C3916" s="68" t="s">
        <v>363</v>
      </c>
      <c r="D3916" s="68" t="s">
        <v>364</v>
      </c>
      <c r="E3916" s="75">
        <f>60*F3916*'THAM_SO_MOI'!$C$53/(2*PI()*'THAM_SO_MOI'!$C$26)</f>
        <v>2060.6179419507744</v>
      </c>
      <c r="F3916" s="75">
        <f>'HANH_TRINH'!$F$3289+('THAM_SO_MOI'!$C$14-'HANH_TRINH'!$F$3289)*626/'THAM_SO_MOI'!$C$42</f>
        <v>20.914391504842268</v>
      </c>
      <c r="G3916" s="75">
        <f>3.6*F3916</f>
        <v>75.29180941743216</v>
      </c>
      <c r="H3916" s="75">
        <f>'THAM_SO_MOI'!$D$53</f>
        <v>1.1</v>
      </c>
      <c r="I3916" s="75">
        <f>IF(F3916&gt;'THAM_SO_MOI'!$C$14,'THAM_SO_MOI'!$C$13*(1+F3916^2/1500),'THAM_SO_MOI'!$C$13)</f>
        <v>0.015</v>
      </c>
      <c r="J3916" s="75">
        <f>'THAM_SO_MOI'!$C$40*('THAM_SO_MOI'!$C$23*(E3916/'THAM_SO_MOI'!$C$22)+'THAM_SO_MOI'!$C$24*(E3916/'THAM_SO_MOI'!$C$22)^2-'THAM_SO_MOI'!$C$25*(E3916/'THAM_SO_MOI'!$C$22)^3)</f>
        <v>92.68131108177442</v>
      </c>
      <c r="K3916" s="75">
        <f>'THAM_SO_MOI'!$C$31*J3916/E3916</f>
        <v>429.5839135272695</v>
      </c>
      <c r="L3916" s="75">
        <f>K3916*'THAM_SO_MOI'!$C$53*'THAM_SO_MOI'!$C$17/'THAM_SO_MOI'!$C$26</f>
        <v>3767.4526025825</v>
      </c>
      <c r="M3916" s="75">
        <f>'THAM_SO_MOI'!$C$15*'THAM_SO_MOI'!$C$16*F3916^2</f>
        <v>1279.429433152119</v>
      </c>
      <c r="N3916" s="75">
        <f>'THAM_SO_MOI'!$C$12*I3916</f>
        <v>1130.112</v>
      </c>
      <c r="O3916" s="75">
        <f>M3916+N3916</f>
        <v>2409.5414331521188</v>
      </c>
      <c r="P3916" s="75">
        <f>(MIN(L3916,'THAM_SO_MOI'!$C$41)-O3916)/('THAM_SO_MOI'!$C$11*H3916)</f>
        <v>0.16073759107840685</v>
      </c>
      <c r="Q3916" s="75">
        <f>IF(P3916&gt;0,1/P3916,NA())</f>
        <v>6.221320061417406</v>
      </c>
      <c r="R3916" s="75">
        <f>F3916-F3915</f>
        <v>0.0073885545698715305</v>
      </c>
      <c r="S3916" s="75">
        <f>0.5*(Q3915+Q3916)*R3916</f>
        <v>0.04595238941032295</v>
      </c>
      <c r="T3916" s="75">
        <f>0.5*(F3915*Q3915+F3916*Q3916)*R3916</f>
        <v>0.9608965542023973</v>
      </c>
      <c r="U3916" s="76">
        <f>U3915+S3916</f>
        <v>53.33956148413558</v>
      </c>
      <c r="V3916" s="76">
        <f>V3915+T3916</f>
        <v>748.9875475295004</v>
      </c>
    </row>
    <row r="3917" spans="1:22" ht="19" customHeight="1">
      <c r="A3917" s="68" t="s">
        <v>378</v>
      </c>
      <c r="B3917" s="74">
        <v>5</v>
      </c>
      <c r="C3917" s="68" t="s">
        <v>363</v>
      </c>
      <c r="D3917" s="68" t="s">
        <v>364</v>
      </c>
      <c r="E3917" s="75">
        <f>60*F3917*'THAM_SO_MOI'!$C$53/(2*PI()*'THAM_SO_MOI'!$C$26)</f>
        <v>2061.345909011554</v>
      </c>
      <c r="F3917" s="75">
        <f>'HANH_TRINH'!$F$3289+('THAM_SO_MOI'!$C$14-'HANH_TRINH'!$F$3289)*627/'THAM_SO_MOI'!$C$42</f>
        <v>20.92178005941214</v>
      </c>
      <c r="G3917" s="75">
        <f>3.6*F3917</f>
        <v>75.3184082138837</v>
      </c>
      <c r="H3917" s="75">
        <f>'THAM_SO_MOI'!$D$53</f>
        <v>1.1</v>
      </c>
      <c r="I3917" s="75">
        <f>IF(F3917&gt;'THAM_SO_MOI'!$C$14,'THAM_SO_MOI'!$C$13*(1+F3917^2/1500),'THAM_SO_MOI'!$C$13)</f>
        <v>0.015</v>
      </c>
      <c r="J3917" s="75">
        <f>'THAM_SO_MOI'!$C$40*('THAM_SO_MOI'!$C$23*(E3917/'THAM_SO_MOI'!$C$22)+'THAM_SO_MOI'!$C$24*(E3917/'THAM_SO_MOI'!$C$22)^2-'THAM_SO_MOI'!$C$25*(E3917/'THAM_SO_MOI'!$C$22)^3)</f>
        <v>92.71566404211805</v>
      </c>
      <c r="K3917" s="75">
        <f>'THAM_SO_MOI'!$C$31*J3917/E3917</f>
        <v>429.5913773715489</v>
      </c>
      <c r="L3917" s="75">
        <f>K3917*'THAM_SO_MOI'!$C$53*'THAM_SO_MOI'!$C$17/'THAM_SO_MOI'!$C$26</f>
        <v>3767.5180605260357</v>
      </c>
      <c r="M3917" s="75">
        <f>'THAM_SO_MOI'!$C$15*'THAM_SO_MOI'!$C$16*F3917^2</f>
        <v>1280.3335764991652</v>
      </c>
      <c r="N3917" s="75">
        <f>'THAM_SO_MOI'!$C$12*I3917</f>
        <v>1130.112</v>
      </c>
      <c r="O3917" s="75">
        <f>M3917+N3917</f>
        <v>2410.4455764991653</v>
      </c>
      <c r="P3917" s="75">
        <f>(MIN(L3917,'THAM_SO_MOI'!$C$41)-O3917)/('THAM_SO_MOI'!$C$11*H3917)</f>
        <v>0.16063831487060493</v>
      </c>
      <c r="Q3917" s="75">
        <f>IF(P3917&gt;0,1/P3917,NA())</f>
        <v>6.225164904185565</v>
      </c>
      <c r="R3917" s="75">
        <f>F3917-F3916</f>
        <v>0.0073885545698715305</v>
      </c>
      <c r="S3917" s="75">
        <f>0.5*(Q3916+Q3917)*R3917</f>
        <v>0.04598076668572156</v>
      </c>
      <c r="T3917" s="75">
        <f>0.5*(F3916*Q3916+F3917*Q3917)*R3917</f>
        <v>0.9618296743331023</v>
      </c>
      <c r="U3917" s="76">
        <f>U3916+S3917</f>
        <v>53.3855422508213</v>
      </c>
      <c r="V3917" s="76">
        <f>V3916+T3917</f>
        <v>749.9493772038335</v>
      </c>
    </row>
    <row r="3918" spans="1:22" ht="19" customHeight="1">
      <c r="A3918" s="68" t="s">
        <v>378</v>
      </c>
      <c r="B3918" s="74">
        <v>5</v>
      </c>
      <c r="C3918" s="68" t="s">
        <v>363</v>
      </c>
      <c r="D3918" s="68" t="s">
        <v>364</v>
      </c>
      <c r="E3918" s="75">
        <f>60*F3918*'THAM_SO_MOI'!$C$53/(2*PI()*'THAM_SO_MOI'!$C$26)</f>
        <v>2062.0738760723325</v>
      </c>
      <c r="F3918" s="75">
        <f>'HANH_TRINH'!$F$3289+('THAM_SO_MOI'!$C$14-'HANH_TRINH'!$F$3289)*628/'THAM_SO_MOI'!$C$42</f>
        <v>20.929168613982014</v>
      </c>
      <c r="G3918" s="75">
        <f>3.6*F3918</f>
        <v>75.34500701033525</v>
      </c>
      <c r="H3918" s="75">
        <f>'THAM_SO_MOI'!$D$53</f>
        <v>1.1</v>
      </c>
      <c r="I3918" s="75">
        <f>IF(F3918&gt;'THAM_SO_MOI'!$C$14,'THAM_SO_MOI'!$C$13*(1+F3918^2/1500),'THAM_SO_MOI'!$C$13)</f>
        <v>0.015</v>
      </c>
      <c r="J3918" s="75">
        <f>'THAM_SO_MOI'!$C$40*('THAM_SO_MOI'!$C$23*(E3918/'THAM_SO_MOI'!$C$22)+'THAM_SO_MOI'!$C$24*(E3918/'THAM_SO_MOI'!$C$22)^2-'THAM_SO_MOI'!$C$25*(E3918/'THAM_SO_MOI'!$C$22)^3)</f>
        <v>92.75000704047973</v>
      </c>
      <c r="K3918" s="75">
        <f>'THAM_SO_MOI'!$C$31*J3918/E3918</f>
        <v>429.5987898041229</v>
      </c>
      <c r="L3918" s="75">
        <f>K3918*'THAM_SO_MOI'!$C$53*'THAM_SO_MOI'!$C$17/'THAM_SO_MOI'!$C$26</f>
        <v>3767.583067588714</v>
      </c>
      <c r="M3918" s="75">
        <f>'THAM_SO_MOI'!$C$15*'THAM_SO_MOI'!$C$16*F3918^2</f>
        <v>1281.238039202033</v>
      </c>
      <c r="N3918" s="75">
        <f>'THAM_SO_MOI'!$C$12*I3918</f>
        <v>1130.112</v>
      </c>
      <c r="O3918" s="75">
        <f>M3918+N3918</f>
        <v>2411.3500392020333</v>
      </c>
      <c r="P3918" s="75">
        <f>(MIN(L3918,'THAM_SO_MOI'!$C$41)-O3918)/('THAM_SO_MOI'!$C$11*H3918)</f>
        <v>0.16053894748895375</v>
      </c>
      <c r="Q3918" s="75">
        <f>IF(P3918&gt;0,1/P3918,NA())</f>
        <v>6.229018039804997</v>
      </c>
      <c r="R3918" s="75">
        <f>F3918-F3917</f>
        <v>0.007388554569875083</v>
      </c>
      <c r="S3918" s="75">
        <f>0.5*(Q3917+Q3918)*R3918</f>
        <v>0.04600920515244089</v>
      </c>
      <c r="T3918" s="75">
        <f>0.5*(F3917*Q3917+F3918*Q3918)*R3918</f>
        <v>0.9627644942556127</v>
      </c>
      <c r="U3918" s="76">
        <f>U3917+S3918</f>
        <v>53.43155145597375</v>
      </c>
      <c r="V3918" s="76">
        <f>V3917+T3918</f>
        <v>750.912141698089</v>
      </c>
    </row>
    <row r="3919" spans="1:22" ht="19" customHeight="1">
      <c r="A3919" s="68" t="s">
        <v>378</v>
      </c>
      <c r="B3919" s="74">
        <v>5</v>
      </c>
      <c r="C3919" s="68" t="s">
        <v>363</v>
      </c>
      <c r="D3919" s="68" t="s">
        <v>364</v>
      </c>
      <c r="E3919" s="75">
        <f>60*F3919*'THAM_SO_MOI'!$C$53/(2*PI()*'THAM_SO_MOI'!$C$26)</f>
        <v>2062.8018431331116</v>
      </c>
      <c r="F3919" s="75">
        <f>'HANH_TRINH'!$F$3289+('THAM_SO_MOI'!$C$14-'HANH_TRINH'!$F$3289)*629/'THAM_SO_MOI'!$C$42</f>
        <v>20.936557168551886</v>
      </c>
      <c r="G3919" s="75">
        <f>3.6*F3919</f>
        <v>75.37160580678679</v>
      </c>
      <c r="H3919" s="75">
        <f>'THAM_SO_MOI'!$D$53</f>
        <v>1.1</v>
      </c>
      <c r="I3919" s="75">
        <f>IF(F3919&gt;'THAM_SO_MOI'!$C$14,'THAM_SO_MOI'!$C$13*(1+F3919^2/1500),'THAM_SO_MOI'!$C$13)</f>
        <v>0.015</v>
      </c>
      <c r="J3919" s="75">
        <f>'THAM_SO_MOI'!$C$40*('THAM_SO_MOI'!$C$23*(E3919/'THAM_SO_MOI'!$C$22)+'THAM_SO_MOI'!$C$24*(E3919/'THAM_SO_MOI'!$C$22)^2-'THAM_SO_MOI'!$C$25*(E3919/'THAM_SO_MOI'!$C$22)^3)</f>
        <v>92.78434006510403</v>
      </c>
      <c r="K3919" s="75">
        <f>'THAM_SO_MOI'!$C$31*J3919/E3919</f>
        <v>429.6061508249916</v>
      </c>
      <c r="L3919" s="75">
        <f>K3919*'THAM_SO_MOI'!$C$53*'THAM_SO_MOI'!$C$17/'THAM_SO_MOI'!$C$26</f>
        <v>3767.647623770536</v>
      </c>
      <c r="M3919" s="75">
        <f>'THAM_SO_MOI'!$C$15*'THAM_SO_MOI'!$C$16*F3919^2</f>
        <v>1282.1428212607211</v>
      </c>
      <c r="N3919" s="75">
        <f>'THAM_SO_MOI'!$C$12*I3919</f>
        <v>1130.112</v>
      </c>
      <c r="O3919" s="75">
        <f>M3919+N3919</f>
        <v>2412.254821260721</v>
      </c>
      <c r="P3919" s="75">
        <f>(MIN(L3919,'THAM_SO_MOI'!$C$41)-O3919)/('THAM_SO_MOI'!$C$11*H3919)</f>
        <v>0.16043948893345347</v>
      </c>
      <c r="Q3919" s="75">
        <f>IF(P3919&gt;0,1/P3919,NA())</f>
        <v>6.232879490253029</v>
      </c>
      <c r="R3919" s="75">
        <f>F3919-F3918</f>
        <v>0.0073885545698715305</v>
      </c>
      <c r="S3919" s="75">
        <f>0.5*(Q3918+Q3919)*R3919</f>
        <v>0.046037704972490476</v>
      </c>
      <c r="T3919" s="75">
        <f>0.5*(F3918*Q3918+F3919*Q3919)*R3919</f>
        <v>0.9637010187176</v>
      </c>
      <c r="U3919" s="76">
        <f>U3918+S3919</f>
        <v>53.47758916094624</v>
      </c>
      <c r="V3919" s="76">
        <f>V3918+T3919</f>
        <v>751.8758427168067</v>
      </c>
    </row>
    <row r="3920" spans="1:22" ht="19" customHeight="1">
      <c r="A3920" s="68" t="s">
        <v>378</v>
      </c>
      <c r="B3920" s="74">
        <v>5</v>
      </c>
      <c r="C3920" s="68" t="s">
        <v>363</v>
      </c>
      <c r="D3920" s="68" t="s">
        <v>364</v>
      </c>
      <c r="E3920" s="75">
        <f>60*F3920*'THAM_SO_MOI'!$C$53/(2*PI()*'THAM_SO_MOI'!$C$26)</f>
        <v>2063.5298101938906</v>
      </c>
      <c r="F3920" s="75">
        <f>'HANH_TRINH'!$F$3289+('THAM_SO_MOI'!$C$14-'HANH_TRINH'!$F$3289)*630/'THAM_SO_MOI'!$C$42</f>
        <v>20.943945723121757</v>
      </c>
      <c r="G3920" s="75">
        <f>3.6*F3920</f>
        <v>75.39820460323833</v>
      </c>
      <c r="H3920" s="75">
        <f>'THAM_SO_MOI'!$D$53</f>
        <v>1.1</v>
      </c>
      <c r="I3920" s="75">
        <f>IF(F3920&gt;'THAM_SO_MOI'!$C$14,'THAM_SO_MOI'!$C$13*(1+F3920^2/1500),'THAM_SO_MOI'!$C$13)</f>
        <v>0.015</v>
      </c>
      <c r="J3920" s="75">
        <f>'THAM_SO_MOI'!$C$40*('THAM_SO_MOI'!$C$23*(E3920/'THAM_SO_MOI'!$C$22)+'THAM_SO_MOI'!$C$24*(E3920/'THAM_SO_MOI'!$C$22)^2-'THAM_SO_MOI'!$C$25*(E3920/'THAM_SO_MOI'!$C$22)^3)</f>
        <v>92.8186631042354</v>
      </c>
      <c r="K3920" s="75">
        <f>'THAM_SO_MOI'!$C$31*J3920/E3920</f>
        <v>429.61346043415466</v>
      </c>
      <c r="L3920" s="75">
        <f>K3920*'THAM_SO_MOI'!$C$53*'THAM_SO_MOI'!$C$17/'THAM_SO_MOI'!$C$26</f>
        <v>3767.7117290714987</v>
      </c>
      <c r="M3920" s="75">
        <f>'THAM_SO_MOI'!$C$15*'THAM_SO_MOI'!$C$16*F3920^2</f>
        <v>1283.0479226752304</v>
      </c>
      <c r="N3920" s="75">
        <f>'THAM_SO_MOI'!$C$12*I3920</f>
        <v>1130.112</v>
      </c>
      <c r="O3920" s="75">
        <f>M3920+N3920</f>
        <v>2413.1599226752305</v>
      </c>
      <c r="P3920" s="75">
        <f>(MIN(L3920,'THAM_SO_MOI'!$C$41)-O3920)/('THAM_SO_MOI'!$C$11*H3920)</f>
        <v>0.16033993920410372</v>
      </c>
      <c r="Q3920" s="75">
        <f>IF(P3920&gt;0,1/P3920,NA())</f>
        <v>6.236749277589885</v>
      </c>
      <c r="R3920" s="75">
        <f>F3920-F3919</f>
        <v>0.0073885545698715305</v>
      </c>
      <c r="S3920" s="75">
        <f>0.5*(Q3919+Q3920)*R3920</f>
        <v>0.04606626630862363</v>
      </c>
      <c r="T3920" s="75">
        <f>0.5*(F3919*Q3919+F3920*Q3920)*R3920</f>
        <v>0.9646392524870973</v>
      </c>
      <c r="U3920" s="76">
        <f>U3919+S3920</f>
        <v>53.52365542725486</v>
      </c>
      <c r="V3920" s="76">
        <f>V3919+T3920</f>
        <v>752.8404819692938</v>
      </c>
    </row>
    <row r="3921" spans="1:22" ht="19" customHeight="1">
      <c r="A3921" s="68" t="s">
        <v>378</v>
      </c>
      <c r="B3921" s="74">
        <v>5</v>
      </c>
      <c r="C3921" s="68" t="s">
        <v>363</v>
      </c>
      <c r="D3921" s="68" t="s">
        <v>364</v>
      </c>
      <c r="E3921" s="75">
        <f>60*F3921*'THAM_SO_MOI'!$C$53/(2*PI()*'THAM_SO_MOI'!$C$26)</f>
        <v>2064.2577772546697</v>
      </c>
      <c r="F3921" s="75">
        <f>'HANH_TRINH'!$F$3289+('THAM_SO_MOI'!$C$14-'HANH_TRINH'!$F$3289)*631/'THAM_SO_MOI'!$C$42</f>
        <v>20.95133427769163</v>
      </c>
      <c r="G3921" s="75">
        <f>3.6*F3921</f>
        <v>75.42480339968986</v>
      </c>
      <c r="H3921" s="75">
        <f>'THAM_SO_MOI'!$D$53</f>
        <v>1.1</v>
      </c>
      <c r="I3921" s="75">
        <f>IF(F3921&gt;'THAM_SO_MOI'!$C$14,'THAM_SO_MOI'!$C$13*(1+F3921^2/1500),'THAM_SO_MOI'!$C$13)</f>
        <v>0.015</v>
      </c>
      <c r="J3921" s="75">
        <f>'THAM_SO_MOI'!$C$40*('THAM_SO_MOI'!$C$23*(E3921/'THAM_SO_MOI'!$C$22)+'THAM_SO_MOI'!$C$24*(E3921/'THAM_SO_MOI'!$C$22)^2-'THAM_SO_MOI'!$C$25*(E3921/'THAM_SO_MOI'!$C$22)^3)</f>
        <v>92.85297614611831</v>
      </c>
      <c r="K3921" s="75">
        <f>'THAM_SO_MOI'!$C$31*J3921/E3921</f>
        <v>429.62071863161236</v>
      </c>
      <c r="L3921" s="75">
        <f>K3921*'THAM_SO_MOI'!$C$53*'THAM_SO_MOI'!$C$17/'THAM_SO_MOI'!$C$26</f>
        <v>3767.775383491604</v>
      </c>
      <c r="M3921" s="75">
        <f>'THAM_SO_MOI'!$C$15*'THAM_SO_MOI'!$C$16*F3921^2</f>
        <v>1283.9533434455604</v>
      </c>
      <c r="N3921" s="75">
        <f>'THAM_SO_MOI'!$C$12*I3921</f>
        <v>1130.112</v>
      </c>
      <c r="O3921" s="75">
        <f>M3921+N3921</f>
        <v>2414.0653434455608</v>
      </c>
      <c r="P3921" s="75">
        <f>(MIN(L3921,'THAM_SO_MOI'!$C$41)-O3921)/('THAM_SO_MOI'!$C$11*H3921)</f>
        <v>0.16024029830090472</v>
      </c>
      <c r="Q3921" s="75">
        <f>IF(P3921&gt;0,1/P3921,NA())</f>
        <v>6.24062742395902</v>
      </c>
      <c r="R3921" s="75">
        <f>F3921-F3920</f>
        <v>0.0073885545698715305</v>
      </c>
      <c r="S3921" s="75">
        <f>0.5*(Q3920+Q3921)*R3921</f>
        <v>0.046094889324118864</v>
      </c>
      <c r="T3921" s="75">
        <f>0.5*(F3920*Q3920+F3921*Q3921)*R3921</f>
        <v>0.9655792003479504</v>
      </c>
      <c r="U3921" s="76">
        <f>U3920+S3921</f>
        <v>53.569750316578975</v>
      </c>
      <c r="V3921" s="76">
        <f>V3920+T3921</f>
        <v>753.8060611696418</v>
      </c>
    </row>
    <row r="3922" spans="1:22" ht="19" customHeight="1">
      <c r="A3922" s="68" t="s">
        <v>378</v>
      </c>
      <c r="B3922" s="74">
        <v>5</v>
      </c>
      <c r="C3922" s="68" t="s">
        <v>363</v>
      </c>
      <c r="D3922" s="68" t="s">
        <v>364</v>
      </c>
      <c r="E3922" s="75">
        <f>60*F3922*'THAM_SO_MOI'!$C$53/(2*PI()*'THAM_SO_MOI'!$C$26)</f>
        <v>2064.9857443154483</v>
      </c>
      <c r="F3922" s="75">
        <f>'HANH_TRINH'!$F$3289+('THAM_SO_MOI'!$C$14-'HANH_TRINH'!$F$3289)*632/'THAM_SO_MOI'!$C$42</f>
        <v>20.9587228322615</v>
      </c>
      <c r="G3922" s="75">
        <f>3.6*F3922</f>
        <v>75.4514021961414</v>
      </c>
      <c r="H3922" s="75">
        <f>'THAM_SO_MOI'!$D$53</f>
        <v>1.1</v>
      </c>
      <c r="I3922" s="75">
        <f>IF(F3922&gt;'THAM_SO_MOI'!$C$14,'THAM_SO_MOI'!$C$13*(1+F3922^2/1500),'THAM_SO_MOI'!$C$13)</f>
        <v>0.015</v>
      </c>
      <c r="J3922" s="75">
        <f>'THAM_SO_MOI'!$C$40*('THAM_SO_MOI'!$C$23*(E3922/'THAM_SO_MOI'!$C$22)+'THAM_SO_MOI'!$C$24*(E3922/'THAM_SO_MOI'!$C$22)^2-'THAM_SO_MOI'!$C$25*(E3922/'THAM_SO_MOI'!$C$22)^3)</f>
        <v>92.88727917899726</v>
      </c>
      <c r="K3922" s="75">
        <f>'THAM_SO_MOI'!$C$31*J3922/E3922</f>
        <v>429.62792541736474</v>
      </c>
      <c r="L3922" s="75">
        <f>K3922*'THAM_SO_MOI'!$C$53*'THAM_SO_MOI'!$C$17/'THAM_SO_MOI'!$C$26</f>
        <v>3767.838587030852</v>
      </c>
      <c r="M3922" s="75">
        <f>'THAM_SO_MOI'!$C$15*'THAM_SO_MOI'!$C$16*F3922^2</f>
        <v>1284.8590835717118</v>
      </c>
      <c r="N3922" s="75">
        <f>'THAM_SO_MOI'!$C$12*I3922</f>
        <v>1130.112</v>
      </c>
      <c r="O3922" s="75">
        <f>M3922+N3922</f>
        <v>2414.971083571712</v>
      </c>
      <c r="P3922" s="75">
        <f>(MIN(L3922,'THAM_SO_MOI'!$C$41)-O3922)/('THAM_SO_MOI'!$C$11*H3922)</f>
        <v>0.16014056622385656</v>
      </c>
      <c r="Q3922" s="75">
        <f>IF(P3922&gt;0,1/P3922,NA())</f>
        <v>6.244513951587536</v>
      </c>
      <c r="R3922" s="75">
        <f>F3922-F3921</f>
        <v>0.0073885545698715305</v>
      </c>
      <c r="S3922" s="75">
        <f>0.5*(Q3921+Q3922)*R3922</f>
        <v>0.04612357418289332</v>
      </c>
      <c r="T3922" s="75">
        <f>0.5*(F3921*Q3921+F3922*Q3922)*R3922</f>
        <v>0.9665208671022129</v>
      </c>
      <c r="U3922" s="76">
        <f>U3921+S3922</f>
        <v>53.61587389076187</v>
      </c>
      <c r="V3922" s="76">
        <f>V3921+T3922</f>
        <v>754.772582036744</v>
      </c>
    </row>
    <row r="3923" spans="1:22" ht="19" customHeight="1">
      <c r="A3923" s="68" t="s">
        <v>378</v>
      </c>
      <c r="B3923" s="74">
        <v>5</v>
      </c>
      <c r="C3923" s="68" t="s">
        <v>363</v>
      </c>
      <c r="D3923" s="68" t="s">
        <v>364</v>
      </c>
      <c r="E3923" s="75">
        <f>60*F3923*'THAM_SO_MOI'!$C$53/(2*PI()*'THAM_SO_MOI'!$C$26)</f>
        <v>2065.7137113762274</v>
      </c>
      <c r="F3923" s="75">
        <f>'HANH_TRINH'!$F$3289+('THAM_SO_MOI'!$C$14-'HANH_TRINH'!$F$3289)*633/'THAM_SO_MOI'!$C$42</f>
        <v>20.966111386831372</v>
      </c>
      <c r="G3923" s="75">
        <f>3.6*F3923</f>
        <v>75.47800099259294</v>
      </c>
      <c r="H3923" s="75">
        <f>'THAM_SO_MOI'!$D$53</f>
        <v>1.1</v>
      </c>
      <c r="I3923" s="75">
        <f>IF(F3923&gt;'THAM_SO_MOI'!$C$14,'THAM_SO_MOI'!$C$13*(1+F3923^2/1500),'THAM_SO_MOI'!$C$13)</f>
        <v>0.015</v>
      </c>
      <c r="J3923" s="75">
        <f>'THAM_SO_MOI'!$C$40*('THAM_SO_MOI'!$C$23*(E3923/'THAM_SO_MOI'!$C$22)+'THAM_SO_MOI'!$C$24*(E3923/'THAM_SO_MOI'!$C$22)^2-'THAM_SO_MOI'!$C$25*(E3923/'THAM_SO_MOI'!$C$22)^3)</f>
        <v>92.92157219111678</v>
      </c>
      <c r="K3923" s="75">
        <f>'THAM_SO_MOI'!$C$31*J3923/E3923</f>
        <v>429.6350807914118</v>
      </c>
      <c r="L3923" s="75">
        <f>K3923*'THAM_SO_MOI'!$C$53*'THAM_SO_MOI'!$C$17/'THAM_SO_MOI'!$C$26</f>
        <v>3767.9013396892433</v>
      </c>
      <c r="M3923" s="75">
        <f>'THAM_SO_MOI'!$C$15*'THAM_SO_MOI'!$C$16*F3923^2</f>
        <v>1285.765143053684</v>
      </c>
      <c r="N3923" s="75">
        <f>'THAM_SO_MOI'!$C$12*I3923</f>
        <v>1130.112</v>
      </c>
      <c r="O3923" s="75">
        <f>M3923+N3923</f>
        <v>2415.877143053684</v>
      </c>
      <c r="P3923" s="75">
        <f>(MIN(L3923,'THAM_SO_MOI'!$C$41)-O3923)/('THAM_SO_MOI'!$C$11*H3923)</f>
        <v>0.1600407429729592</v>
      </c>
      <c r="Q3923" s="75">
        <f>IF(P3923&gt;0,1/P3923,NA())</f>
        <v>6.248408882786566</v>
      </c>
      <c r="R3923" s="75">
        <f>F3923-F3922</f>
        <v>0.0073885545698715305</v>
      </c>
      <c r="S3923" s="75">
        <f>0.5*(Q3922+Q3923)*R3923</f>
        <v>0.04615232104948359</v>
      </c>
      <c r="T3923" s="75">
        <f>0.5*(F3922*Q3922+F3923*Q3923)*R3923</f>
        <v>0.9674642575697676</v>
      </c>
      <c r="U3923" s="76">
        <f>U3922+S3923</f>
        <v>53.66202621181135</v>
      </c>
      <c r="V3923" s="76">
        <f>V3922+T3923</f>
        <v>755.7400462943137</v>
      </c>
    </row>
    <row r="3924" spans="1:22" ht="19" customHeight="1">
      <c r="A3924" s="68" t="s">
        <v>378</v>
      </c>
      <c r="B3924" s="74">
        <v>5</v>
      </c>
      <c r="C3924" s="68" t="s">
        <v>363</v>
      </c>
      <c r="D3924" s="68" t="s">
        <v>364</v>
      </c>
      <c r="E3924" s="75">
        <f>60*F3924*'THAM_SO_MOI'!$C$53/(2*PI()*'THAM_SO_MOI'!$C$26)</f>
        <v>2066.4416784370064</v>
      </c>
      <c r="F3924" s="75">
        <f>'HANH_TRINH'!$F$3289+('THAM_SO_MOI'!$C$14-'HANH_TRINH'!$F$3289)*634/'THAM_SO_MOI'!$C$42</f>
        <v>20.973499941401244</v>
      </c>
      <c r="G3924" s="75">
        <f>3.6*F3924</f>
        <v>75.50459978904448</v>
      </c>
      <c r="H3924" s="75">
        <f>'THAM_SO_MOI'!$D$53</f>
        <v>1.1</v>
      </c>
      <c r="I3924" s="75">
        <f>IF(F3924&gt;'THAM_SO_MOI'!$C$14,'THAM_SO_MOI'!$C$13*(1+F3924^2/1500),'THAM_SO_MOI'!$C$13)</f>
        <v>0.015</v>
      </c>
      <c r="J3924" s="75">
        <f>'THAM_SO_MOI'!$C$40*('THAM_SO_MOI'!$C$23*(E3924/'THAM_SO_MOI'!$C$22)+'THAM_SO_MOI'!$C$24*(E3924/'THAM_SO_MOI'!$C$22)^2-'THAM_SO_MOI'!$C$25*(E3924/'THAM_SO_MOI'!$C$22)^3)</f>
        <v>92.95585517072128</v>
      </c>
      <c r="K3924" s="75">
        <f>'THAM_SO_MOI'!$C$31*J3924/E3924</f>
        <v>429.6421847537532</v>
      </c>
      <c r="L3924" s="75">
        <f>K3924*'THAM_SO_MOI'!$C$53*'THAM_SO_MOI'!$C$17/'THAM_SO_MOI'!$C$26</f>
        <v>3767.9636414667752</v>
      </c>
      <c r="M3924" s="75">
        <f>'THAM_SO_MOI'!$C$15*'THAM_SO_MOI'!$C$16*F3924^2</f>
        <v>1286.6715218914771</v>
      </c>
      <c r="N3924" s="75">
        <f>'THAM_SO_MOI'!$C$12*I3924</f>
        <v>1130.112</v>
      </c>
      <c r="O3924" s="75">
        <f>M3924+N3924</f>
        <v>2416.783521891477</v>
      </c>
      <c r="P3924" s="75">
        <f>(MIN(L3924,'THAM_SO_MOI'!$C$41)-O3924)/('THAM_SO_MOI'!$C$11*H3924)</f>
        <v>0.15994082854821234</v>
      </c>
      <c r="Q3924" s="75">
        <f>IF(P3924&gt;0,1/P3924,NA())</f>
        <v>6.252312239951673</v>
      </c>
      <c r="R3924" s="75">
        <f>F3924-F3923</f>
        <v>0.0073885545698715305</v>
      </c>
      <c r="S3924" s="75">
        <f>0.5*(Q3923+Q3924)*R3924</f>
        <v>0.04618113008904859</v>
      </c>
      <c r="T3924" s="75">
        <f>0.5*(F3923*Q3923+F3924*Q3924)*R3924</f>
        <v>0.9684093765884109</v>
      </c>
      <c r="U3924" s="76">
        <f>U3923+S3924</f>
        <v>53.7082073419004</v>
      </c>
      <c r="V3924" s="76">
        <f>V3923+T3924</f>
        <v>756.7084556709021</v>
      </c>
    </row>
    <row r="3925" spans="1:22" ht="19" customHeight="1">
      <c r="A3925" s="68" t="s">
        <v>378</v>
      </c>
      <c r="B3925" s="74">
        <v>5</v>
      </c>
      <c r="C3925" s="68" t="s">
        <v>363</v>
      </c>
      <c r="D3925" s="68" t="s">
        <v>364</v>
      </c>
      <c r="E3925" s="75">
        <f>60*F3925*'THAM_SO_MOI'!$C$53/(2*PI()*'THAM_SO_MOI'!$C$26)</f>
        <v>2067.1696454977855</v>
      </c>
      <c r="F3925" s="75">
        <f>'HANH_TRINH'!$F$3289+('THAM_SO_MOI'!$C$14-'HANH_TRINH'!$F$3289)*635/'THAM_SO_MOI'!$C$42</f>
        <v>20.980888495971115</v>
      </c>
      <c r="G3925" s="75">
        <f>3.6*F3925</f>
        <v>75.53119858549601</v>
      </c>
      <c r="H3925" s="75">
        <f>'THAM_SO_MOI'!$D$53</f>
        <v>1.1</v>
      </c>
      <c r="I3925" s="75">
        <f>IF(F3925&gt;'THAM_SO_MOI'!$C$14,'THAM_SO_MOI'!$C$13*(1+F3925^2/1500),'THAM_SO_MOI'!$C$13)</f>
        <v>0.015</v>
      </c>
      <c r="J3925" s="75">
        <f>'THAM_SO_MOI'!$C$40*('THAM_SO_MOI'!$C$23*(E3925/'THAM_SO_MOI'!$C$22)+'THAM_SO_MOI'!$C$24*(E3925/'THAM_SO_MOI'!$C$22)^2-'THAM_SO_MOI'!$C$25*(E3925/'THAM_SO_MOI'!$C$22)^3)</f>
        <v>92.99012810605527</v>
      </c>
      <c r="K3925" s="75">
        <f>'THAM_SO_MOI'!$C$31*J3925/E3925</f>
        <v>429.64923730438915</v>
      </c>
      <c r="L3925" s="75">
        <f>K3925*'THAM_SO_MOI'!$C$53*'THAM_SO_MOI'!$C$17/'THAM_SO_MOI'!$C$26</f>
        <v>3768.0254923634493</v>
      </c>
      <c r="M3925" s="75">
        <f>'THAM_SO_MOI'!$C$15*'THAM_SO_MOI'!$C$16*F3925^2</f>
        <v>1287.5782200850913</v>
      </c>
      <c r="N3925" s="75">
        <f>'THAM_SO_MOI'!$C$12*I3925</f>
        <v>1130.112</v>
      </c>
      <c r="O3925" s="75">
        <f>M3925+N3925</f>
        <v>2417.6902200850914</v>
      </c>
      <c r="P3925" s="75">
        <f>(MIN(L3925,'THAM_SO_MOI'!$C$41)-O3925)/('THAM_SO_MOI'!$C$11*H3925)</f>
        <v>0.15984082294961624</v>
      </c>
      <c r="Q3925" s="75">
        <f>IF(P3925&gt;0,1/P3925,NA())</f>
        <v>6.256224045563204</v>
      </c>
      <c r="R3925" s="75">
        <f>F3925-F3924</f>
        <v>0.0073885545698715305</v>
      </c>
      <c r="S3925" s="75">
        <f>0.5*(Q3924+Q3925)*R3925</f>
        <v>0.0462100014673724</v>
      </c>
      <c r="T3925" s="75">
        <f>0.5*(F3924*Q3924+F3925*Q3925)*R3925</f>
        <v>0.9693562290139336</v>
      </c>
      <c r="U3925" s="76">
        <f>U3924+S3925</f>
        <v>53.75441734336777</v>
      </c>
      <c r="V3925" s="76">
        <f>V3924+T3925</f>
        <v>757.677811899916</v>
      </c>
    </row>
    <row r="3926" spans="1:22" ht="19" customHeight="1">
      <c r="A3926" s="68" t="s">
        <v>378</v>
      </c>
      <c r="B3926" s="74">
        <v>5</v>
      </c>
      <c r="C3926" s="68" t="s">
        <v>363</v>
      </c>
      <c r="D3926" s="68" t="s">
        <v>364</v>
      </c>
      <c r="E3926" s="75">
        <f>60*F3926*'THAM_SO_MOI'!$C$53/(2*PI()*'THAM_SO_MOI'!$C$26)</f>
        <v>2067.897612558564</v>
      </c>
      <c r="F3926" s="75">
        <f>'HANH_TRINH'!$F$3289+('THAM_SO_MOI'!$C$14-'HANH_TRINH'!$F$3289)*636/'THAM_SO_MOI'!$C$42</f>
        <v>20.988277050540987</v>
      </c>
      <c r="G3926" s="75">
        <f>3.6*F3926</f>
        <v>75.55779738194755</v>
      </c>
      <c r="H3926" s="75">
        <f>'THAM_SO_MOI'!$D$53</f>
        <v>1.1</v>
      </c>
      <c r="I3926" s="75">
        <f>IF(F3926&gt;'THAM_SO_MOI'!$C$14,'THAM_SO_MOI'!$C$13*(1+F3926^2/1500),'THAM_SO_MOI'!$C$13)</f>
        <v>0.015</v>
      </c>
      <c r="J3926" s="75">
        <f>'THAM_SO_MOI'!$C$40*('THAM_SO_MOI'!$C$23*(E3926/'THAM_SO_MOI'!$C$22)+'THAM_SO_MOI'!$C$24*(E3926/'THAM_SO_MOI'!$C$22)^2-'THAM_SO_MOI'!$C$25*(E3926/'THAM_SO_MOI'!$C$22)^3)</f>
        <v>93.02439098536321</v>
      </c>
      <c r="K3926" s="75">
        <f>'THAM_SO_MOI'!$C$31*J3926/E3926</f>
        <v>429.65623844331975</v>
      </c>
      <c r="L3926" s="75">
        <f>K3926*'THAM_SO_MOI'!$C$53*'THAM_SO_MOI'!$C$17/'THAM_SO_MOI'!$C$26</f>
        <v>3768.086892379266</v>
      </c>
      <c r="M3926" s="75">
        <f>'THAM_SO_MOI'!$C$15*'THAM_SO_MOI'!$C$16*F3926^2</f>
        <v>1288.4852376345266</v>
      </c>
      <c r="N3926" s="75">
        <f>'THAM_SO_MOI'!$C$12*I3926</f>
        <v>1130.112</v>
      </c>
      <c r="O3926" s="75">
        <f>M3926+N3926</f>
        <v>2418.5972376345267</v>
      </c>
      <c r="P3926" s="75">
        <f>(MIN(L3926,'THAM_SO_MOI'!$C$41)-O3926)/('THAM_SO_MOI'!$C$11*H3926)</f>
        <v>0.15974072617717083</v>
      </c>
      <c r="Q3926" s="75">
        <f>IF(P3926&gt;0,1/P3926,NA())</f>
        <v>6.260144322186723</v>
      </c>
      <c r="R3926" s="75">
        <f>F3926-F3925</f>
        <v>0.0073885545698715305</v>
      </c>
      <c r="S3926" s="75">
        <f>0.5*(Q3925+Q3926)*R3926</f>
        <v>0.046238935350867094</v>
      </c>
      <c r="T3926" s="75">
        <f>0.5*(F3925*Q3925+F3926*Q3926)*R3926</f>
        <v>0.970304819720205</v>
      </c>
      <c r="U3926" s="76">
        <f>U3925+S3926</f>
        <v>53.800656278718634</v>
      </c>
      <c r="V3926" s="76">
        <f>V3925+T3926</f>
        <v>758.6481167196363</v>
      </c>
    </row>
    <row r="3927" spans="1:22" ht="19" customHeight="1">
      <c r="A3927" s="68" t="s">
        <v>378</v>
      </c>
      <c r="B3927" s="74">
        <v>5</v>
      </c>
      <c r="C3927" s="68" t="s">
        <v>363</v>
      </c>
      <c r="D3927" s="68" t="s">
        <v>364</v>
      </c>
      <c r="E3927" s="75">
        <f>60*F3927*'THAM_SO_MOI'!$C$53/(2*PI()*'THAM_SO_MOI'!$C$26)</f>
        <v>2068.625579619343</v>
      </c>
      <c r="F3927" s="75">
        <f>'HANH_TRINH'!$F$3289+('THAM_SO_MOI'!$C$14-'HANH_TRINH'!$F$3289)*637/'THAM_SO_MOI'!$C$42</f>
        <v>20.995665605110858</v>
      </c>
      <c r="G3927" s="75">
        <f>3.6*F3927</f>
        <v>75.58439617839909</v>
      </c>
      <c r="H3927" s="75">
        <f>'THAM_SO_MOI'!$D$53</f>
        <v>1.1</v>
      </c>
      <c r="I3927" s="75">
        <f>IF(F3927&gt;'THAM_SO_MOI'!$C$14,'THAM_SO_MOI'!$C$13*(1+F3927^2/1500),'THAM_SO_MOI'!$C$13)</f>
        <v>0.015</v>
      </c>
      <c r="J3927" s="75">
        <f>'THAM_SO_MOI'!$C$40*('THAM_SO_MOI'!$C$23*(E3927/'THAM_SO_MOI'!$C$22)+'THAM_SO_MOI'!$C$24*(E3927/'THAM_SO_MOI'!$C$22)^2-'THAM_SO_MOI'!$C$25*(E3927/'THAM_SO_MOI'!$C$22)^3)</f>
        <v>93.05864379688967</v>
      </c>
      <c r="K3927" s="75">
        <f>'THAM_SO_MOI'!$C$31*J3927/E3927</f>
        <v>429.66318817054497</v>
      </c>
      <c r="L3927" s="75">
        <f>K3927*'THAM_SO_MOI'!$C$53*'THAM_SO_MOI'!$C$17/'THAM_SO_MOI'!$C$26</f>
        <v>3768.147841514225</v>
      </c>
      <c r="M3927" s="75">
        <f>'THAM_SO_MOI'!$C$15*'THAM_SO_MOI'!$C$16*F3927^2</f>
        <v>1289.3925745397828</v>
      </c>
      <c r="N3927" s="75">
        <f>'THAM_SO_MOI'!$C$12*I3927</f>
        <v>1130.112</v>
      </c>
      <c r="O3927" s="75">
        <f>M3927+N3927</f>
        <v>2419.504574539783</v>
      </c>
      <c r="P3927" s="75">
        <f>(MIN(L3927,'THAM_SO_MOI'!$C$41)-O3927)/('THAM_SO_MOI'!$C$11*H3927)</f>
        <v>0.1596405382308762</v>
      </c>
      <c r="Q3927" s="75">
        <f>IF(P3927&gt;0,1/P3927,NA())</f>
        <v>6.2640730924733825</v>
      </c>
      <c r="R3927" s="75">
        <f>F3927-F3926</f>
        <v>0.0073885545698715305</v>
      </c>
      <c r="S3927" s="75">
        <f>0.5*(Q3926+Q3927)*R3927</f>
        <v>0.046267931906575764</v>
      </c>
      <c r="T3927" s="75">
        <f>0.5*(F3926*Q3926+F3927*Q3927)*R3927</f>
        <v>0.9712551535992584</v>
      </c>
      <c r="U3927" s="76">
        <f>U3926+S3927</f>
        <v>53.84692421062521</v>
      </c>
      <c r="V3927" s="76">
        <f>V3926+T3927</f>
        <v>759.6193718732355</v>
      </c>
    </row>
    <row r="3928" spans="1:22" ht="19" customHeight="1">
      <c r="A3928" s="68" t="s">
        <v>378</v>
      </c>
      <c r="B3928" s="74">
        <v>5</v>
      </c>
      <c r="C3928" s="68" t="s">
        <v>363</v>
      </c>
      <c r="D3928" s="68" t="s">
        <v>364</v>
      </c>
      <c r="E3928" s="75">
        <f>60*F3928*'THAM_SO_MOI'!$C$53/(2*PI()*'THAM_SO_MOI'!$C$26)</f>
        <v>2069.3535466801222</v>
      </c>
      <c r="F3928" s="75">
        <f>'HANH_TRINH'!$F$3289+('THAM_SO_MOI'!$C$14-'HANH_TRINH'!$F$3289)*638/'THAM_SO_MOI'!$C$42</f>
        <v>21.003054159680733</v>
      </c>
      <c r="G3928" s="75">
        <f>3.6*F3928</f>
        <v>75.61099497485064</v>
      </c>
      <c r="H3928" s="75">
        <f>'THAM_SO_MOI'!$D$53</f>
        <v>1.1</v>
      </c>
      <c r="I3928" s="75">
        <f>IF(F3928&gt;'THAM_SO_MOI'!$C$14,'THAM_SO_MOI'!$C$13*(1+F3928^2/1500),'THAM_SO_MOI'!$C$13)</f>
        <v>0.015</v>
      </c>
      <c r="J3928" s="75">
        <f>'THAM_SO_MOI'!$C$40*('THAM_SO_MOI'!$C$23*(E3928/'THAM_SO_MOI'!$C$22)+'THAM_SO_MOI'!$C$24*(E3928/'THAM_SO_MOI'!$C$22)^2-'THAM_SO_MOI'!$C$25*(E3928/'THAM_SO_MOI'!$C$22)^3)</f>
        <v>93.09288652887903</v>
      </c>
      <c r="K3928" s="75">
        <f>'THAM_SO_MOI'!$C$31*J3928/E3928</f>
        <v>429.67008648606463</v>
      </c>
      <c r="L3928" s="75">
        <f>K3928*'THAM_SO_MOI'!$C$53*'THAM_SO_MOI'!$C$17/'THAM_SO_MOI'!$C$26</f>
        <v>3768.2083397683255</v>
      </c>
      <c r="M3928" s="75">
        <f>'THAM_SO_MOI'!$C$15*'THAM_SO_MOI'!$C$16*F3928^2</f>
        <v>1290.3002308008604</v>
      </c>
      <c r="N3928" s="75">
        <f>'THAM_SO_MOI'!$C$12*I3928</f>
        <v>1130.112</v>
      </c>
      <c r="O3928" s="75">
        <f>M3928+N3928</f>
        <v>2420.4122308008605</v>
      </c>
      <c r="P3928" s="75">
        <f>(MIN(L3928,'THAM_SO_MOI'!$C$41)-O3928)/('THAM_SO_MOI'!$C$11*H3928)</f>
        <v>0.15954025911073214</v>
      </c>
      <c r="Q3928" s="75">
        <f>IF(P3928&gt;0,1/P3928,NA())</f>
        <v>6.268010379160346</v>
      </c>
      <c r="R3928" s="75">
        <f>F3928-F3927</f>
        <v>0.007388554569875083</v>
      </c>
      <c r="S3928" s="75">
        <f>0.5*(Q3927+Q3928)*R3928</f>
        <v>0.04629699130219769</v>
      </c>
      <c r="T3928" s="75">
        <f>0.5*(F3927*Q3927+F3928*Q3928)*R3928</f>
        <v>0.9722072355618444</v>
      </c>
      <c r="U3928" s="76">
        <f>U3927+S3928</f>
        <v>53.89322120192741</v>
      </c>
      <c r="V3928" s="76">
        <f>V3927+T3928</f>
        <v>760.5915791087974</v>
      </c>
    </row>
    <row r="3929" spans="1:22" ht="19" customHeight="1">
      <c r="A3929" s="68" t="s">
        <v>378</v>
      </c>
      <c r="B3929" s="74">
        <v>5</v>
      </c>
      <c r="C3929" s="68" t="s">
        <v>363</v>
      </c>
      <c r="D3929" s="68" t="s">
        <v>364</v>
      </c>
      <c r="E3929" s="75">
        <f>60*F3929*'THAM_SO_MOI'!$C$53/(2*PI()*'THAM_SO_MOI'!$C$26)</f>
        <v>2070.0815137409013</v>
      </c>
      <c r="F3929" s="75">
        <f>'HANH_TRINH'!$F$3289+('THAM_SO_MOI'!$C$14-'HANH_TRINH'!$F$3289)*639/'THAM_SO_MOI'!$C$42</f>
        <v>21.010442714250605</v>
      </c>
      <c r="G3929" s="75">
        <f>3.6*F3929</f>
        <v>75.63759377130218</v>
      </c>
      <c r="H3929" s="75">
        <f>'THAM_SO_MOI'!$D$53</f>
        <v>1.1</v>
      </c>
      <c r="I3929" s="75">
        <f>IF(F3929&gt;'THAM_SO_MOI'!$C$14,'THAM_SO_MOI'!$C$13*(1+F3929^2/1500),'THAM_SO_MOI'!$C$13)</f>
        <v>0.015</v>
      </c>
      <c r="J3929" s="75">
        <f>'THAM_SO_MOI'!$C$40*('THAM_SO_MOI'!$C$23*(E3929/'THAM_SO_MOI'!$C$22)+'THAM_SO_MOI'!$C$24*(E3929/'THAM_SO_MOI'!$C$22)^2-'THAM_SO_MOI'!$C$25*(E3929/'THAM_SO_MOI'!$C$22)^3)</f>
        <v>93.12711916957586</v>
      </c>
      <c r="K3929" s="75">
        <f>'THAM_SO_MOI'!$C$31*J3929/E3929</f>
        <v>429.67693338987897</v>
      </c>
      <c r="L3929" s="75">
        <f>K3929*'THAM_SO_MOI'!$C$53*'THAM_SO_MOI'!$C$17/'THAM_SO_MOI'!$C$26</f>
        <v>3768.268387141569</v>
      </c>
      <c r="M3929" s="75">
        <f>'THAM_SO_MOI'!$C$15*'THAM_SO_MOI'!$C$16*F3929^2</f>
        <v>1291.2082064177587</v>
      </c>
      <c r="N3929" s="75">
        <f>'THAM_SO_MOI'!$C$12*I3929</f>
        <v>1130.112</v>
      </c>
      <c r="O3929" s="75">
        <f>M3929+N3929</f>
        <v>2421.3202064177585</v>
      </c>
      <c r="P3929" s="75">
        <f>(MIN(L3929,'THAM_SO_MOI'!$C$41)-O3929)/('THAM_SO_MOI'!$C$11*H3929)</f>
        <v>0.15943988881673885</v>
      </c>
      <c r="Q3929" s="75">
        <f>IF(P3929&gt;0,1/P3929,NA())</f>
        <v>6.271956205071153</v>
      </c>
      <c r="R3929" s="75">
        <f>F3929-F3928</f>
        <v>0.0073885545698715305</v>
      </c>
      <c r="S3929" s="75">
        <f>0.5*(Q3928+Q3929)*R3929</f>
        <v>0.04632611370597997</v>
      </c>
      <c r="T3929" s="75">
        <f>0.5*(F3928*Q3928+F3929*Q3929)*R3929</f>
        <v>0.9731610705351762</v>
      </c>
      <c r="U3929" s="76">
        <f>U3928+S3929</f>
        <v>53.93954731563339</v>
      </c>
      <c r="V3929" s="76">
        <f>V3928+T3929</f>
        <v>761.5647401793326</v>
      </c>
    </row>
    <row r="3930" spans="1:22" ht="19" customHeight="1">
      <c r="A3930" s="68" t="s">
        <v>378</v>
      </c>
      <c r="B3930" s="74">
        <v>5</v>
      </c>
      <c r="C3930" s="68" t="s">
        <v>363</v>
      </c>
      <c r="D3930" s="68" t="s">
        <v>364</v>
      </c>
      <c r="E3930" s="75">
        <f>60*F3930*'THAM_SO_MOI'!$C$53/(2*PI()*'THAM_SO_MOI'!$C$26)</f>
        <v>2070.80948080168</v>
      </c>
      <c r="F3930" s="75">
        <f>'HANH_TRINH'!$F$3289+('THAM_SO_MOI'!$C$14-'HANH_TRINH'!$F$3289)*640/'THAM_SO_MOI'!$C$42</f>
        <v>21.017831268820476</v>
      </c>
      <c r="G3930" s="75">
        <f>3.6*F3930</f>
        <v>75.66419256775372</v>
      </c>
      <c r="H3930" s="75">
        <f>'THAM_SO_MOI'!$D$53</f>
        <v>1.1</v>
      </c>
      <c r="I3930" s="75">
        <f>IF(F3930&gt;'THAM_SO_MOI'!$C$14,'THAM_SO_MOI'!$C$13*(1+F3930^2/1500),'THAM_SO_MOI'!$C$13)</f>
        <v>0.015</v>
      </c>
      <c r="J3930" s="75">
        <f>'THAM_SO_MOI'!$C$40*('THAM_SO_MOI'!$C$23*(E3930/'THAM_SO_MOI'!$C$22)+'THAM_SO_MOI'!$C$24*(E3930/'THAM_SO_MOI'!$C$22)^2-'THAM_SO_MOI'!$C$25*(E3930/'THAM_SO_MOI'!$C$22)^3)</f>
        <v>93.1613417072246</v>
      </c>
      <c r="K3930" s="75">
        <f>'THAM_SO_MOI'!$C$31*J3930/E3930</f>
        <v>429.6837288819879</v>
      </c>
      <c r="L3930" s="75">
        <f>K3930*'THAM_SO_MOI'!$C$53*'THAM_SO_MOI'!$C$17/'THAM_SO_MOI'!$C$26</f>
        <v>3768.3279836339543</v>
      </c>
      <c r="M3930" s="75">
        <f>'THAM_SO_MOI'!$C$15*'THAM_SO_MOI'!$C$16*F3930^2</f>
        <v>1292.1165013904779</v>
      </c>
      <c r="N3930" s="75">
        <f>'THAM_SO_MOI'!$C$12*I3930</f>
        <v>1130.112</v>
      </c>
      <c r="O3930" s="75">
        <f>M3930+N3930</f>
        <v>2422.228501390478</v>
      </c>
      <c r="P3930" s="75">
        <f>(MIN(L3930,'THAM_SO_MOI'!$C$41)-O3930)/('THAM_SO_MOI'!$C$11*H3930)</f>
        <v>0.15933942734889636</v>
      </c>
      <c r="Q3930" s="75">
        <f>IF(P3930&gt;0,1/P3930,NA())</f>
        <v>6.2759105931161505</v>
      </c>
      <c r="R3930" s="75">
        <f>F3930-F3929</f>
        <v>0.0073885545698715305</v>
      </c>
      <c r="S3930" s="75">
        <f>0.5*(Q3929+Q3930)*R3930</f>
        <v>0.04635529928694303</v>
      </c>
      <c r="T3930" s="75">
        <f>0.5*(F3929*Q3929+F3930*Q3930)*R3930</f>
        <v>0.9741166634676917</v>
      </c>
      <c r="U3930" s="76">
        <f>U3929+S3930</f>
        <v>53.985902614920334</v>
      </c>
      <c r="V3930" s="76">
        <f>V3929+T3930</f>
        <v>762.5388568428003</v>
      </c>
    </row>
    <row r="3931" spans="1:22" ht="19" customHeight="1">
      <c r="A3931" s="68" t="s">
        <v>378</v>
      </c>
      <c r="B3931" s="74">
        <v>5</v>
      </c>
      <c r="C3931" s="68" t="s">
        <v>363</v>
      </c>
      <c r="D3931" s="68" t="s">
        <v>364</v>
      </c>
      <c r="E3931" s="75">
        <f>60*F3931*'THAM_SO_MOI'!$C$53/(2*PI()*'THAM_SO_MOI'!$C$26)</f>
        <v>2071.537447862459</v>
      </c>
      <c r="F3931" s="75">
        <f>'HANH_TRINH'!$F$3289+('THAM_SO_MOI'!$C$14-'HANH_TRINH'!$F$3289)*641/'THAM_SO_MOI'!$C$42</f>
        <v>21.025219823390348</v>
      </c>
      <c r="G3931" s="75">
        <f>3.6*F3931</f>
        <v>75.69079136420525</v>
      </c>
      <c r="H3931" s="75">
        <f>'THAM_SO_MOI'!$D$53</f>
        <v>1.1</v>
      </c>
      <c r="I3931" s="75">
        <f>IF(F3931&gt;'THAM_SO_MOI'!$C$14,'THAM_SO_MOI'!$C$13*(1+F3931^2/1500),'THAM_SO_MOI'!$C$13)</f>
        <v>0.015</v>
      </c>
      <c r="J3931" s="75">
        <f>'THAM_SO_MOI'!$C$40*('THAM_SO_MOI'!$C$23*(E3931/'THAM_SO_MOI'!$C$22)+'THAM_SO_MOI'!$C$24*(E3931/'THAM_SO_MOI'!$C$22)^2-'THAM_SO_MOI'!$C$25*(E3931/'THAM_SO_MOI'!$C$22)^3)</f>
        <v>93.19555413006975</v>
      </c>
      <c r="K3931" s="75">
        <f>'THAM_SO_MOI'!$C$31*J3931/E3931</f>
        <v>429.6904729623915</v>
      </c>
      <c r="L3931" s="75">
        <f>K3931*'THAM_SO_MOI'!$C$53*'THAM_SO_MOI'!$C$17/'THAM_SO_MOI'!$C$26</f>
        <v>3768.3871292454837</v>
      </c>
      <c r="M3931" s="75">
        <f>'THAM_SO_MOI'!$C$15*'THAM_SO_MOI'!$C$16*F3931^2</f>
        <v>1293.025115719018</v>
      </c>
      <c r="N3931" s="75">
        <f>'THAM_SO_MOI'!$C$12*I3931</f>
        <v>1130.112</v>
      </c>
      <c r="O3931" s="75">
        <f>M3931+N3931</f>
        <v>2423.137115719018</v>
      </c>
      <c r="P3931" s="75">
        <f>(MIN(L3931,'THAM_SO_MOI'!$C$41)-O3931)/('THAM_SO_MOI'!$C$11*H3931)</f>
        <v>0.15923887470720471</v>
      </c>
      <c r="Q3931" s="75">
        <f>IF(P3931&gt;0,1/P3931,NA())</f>
        <v>6.2798735662928875</v>
      </c>
      <c r="R3931" s="75">
        <f>F3931-F3930</f>
        <v>0.0073885545698715305</v>
      </c>
      <c r="S3931" s="75">
        <f>0.5*(Q3930+Q3931)*R3931</f>
        <v>0.04638454821466111</v>
      </c>
      <c r="T3931" s="75">
        <f>0.5*(F3930*Q3930+F3931*Q3931)*R3931</f>
        <v>0.975074019324465</v>
      </c>
      <c r="U3931" s="76">
        <f>U3930+S3931</f>
        <v>54.032287163134995</v>
      </c>
      <c r="V3931" s="76">
        <f>V3930+T3931</f>
        <v>763.5139308621248</v>
      </c>
    </row>
    <row r="3932" spans="1:22" ht="19" customHeight="1">
      <c r="A3932" s="68" t="s">
        <v>378</v>
      </c>
      <c r="B3932" s="74">
        <v>5</v>
      </c>
      <c r="C3932" s="68" t="s">
        <v>363</v>
      </c>
      <c r="D3932" s="68" t="s">
        <v>364</v>
      </c>
      <c r="E3932" s="75">
        <f>60*F3932*'THAM_SO_MOI'!$C$53/(2*PI()*'THAM_SO_MOI'!$C$26)</f>
        <v>2072.265414923238</v>
      </c>
      <c r="F3932" s="75">
        <f>'HANH_TRINH'!$F$3289+('THAM_SO_MOI'!$C$14-'HANH_TRINH'!$F$3289)*642/'THAM_SO_MOI'!$C$42</f>
        <v>21.03260837796022</v>
      </c>
      <c r="G3932" s="75">
        <f>3.6*F3932</f>
        <v>75.71739016065679</v>
      </c>
      <c r="H3932" s="75">
        <f>'THAM_SO_MOI'!$D$53</f>
        <v>1.1</v>
      </c>
      <c r="I3932" s="75">
        <f>IF(F3932&gt;'THAM_SO_MOI'!$C$14,'THAM_SO_MOI'!$C$13*(1+F3932^2/1500),'THAM_SO_MOI'!$C$13)</f>
        <v>0.015</v>
      </c>
      <c r="J3932" s="75">
        <f>'THAM_SO_MOI'!$C$40*('THAM_SO_MOI'!$C$23*(E3932/'THAM_SO_MOI'!$C$22)+'THAM_SO_MOI'!$C$24*(E3932/'THAM_SO_MOI'!$C$22)^2-'THAM_SO_MOI'!$C$25*(E3932/'THAM_SO_MOI'!$C$22)^3)</f>
        <v>93.22975642635573</v>
      </c>
      <c r="K3932" s="75">
        <f>'THAM_SO_MOI'!$C$31*J3932/E3932</f>
        <v>429.6971656310893</v>
      </c>
      <c r="L3932" s="75">
        <f>K3932*'THAM_SO_MOI'!$C$53*'THAM_SO_MOI'!$C$17/'THAM_SO_MOI'!$C$26</f>
        <v>3768.4458239761516</v>
      </c>
      <c r="M3932" s="75">
        <f>'THAM_SO_MOI'!$C$15*'THAM_SO_MOI'!$C$16*F3932^2</f>
        <v>1293.934049403379</v>
      </c>
      <c r="N3932" s="75">
        <f>'THAM_SO_MOI'!$C$12*I3932</f>
        <v>1130.112</v>
      </c>
      <c r="O3932" s="75">
        <f>M3932+N3932</f>
        <v>2424.046049403379</v>
      </c>
      <c r="P3932" s="75">
        <f>(MIN(L3932,'THAM_SO_MOI'!$C$41)-O3932)/('THAM_SO_MOI'!$C$11*H3932)</f>
        <v>0.1591382308916634</v>
      </c>
      <c r="Q3932" s="75">
        <f>IF(P3932&gt;0,1/P3932,NA())</f>
        <v>6.283845147686544</v>
      </c>
      <c r="R3932" s="75">
        <f>F3932-F3931</f>
        <v>0.0073885545698715305</v>
      </c>
      <c r="S3932" s="75">
        <f>0.5*(Q3931+Q3932)*R3932</f>
        <v>0.046413860659376596</v>
      </c>
      <c r="T3932" s="75">
        <f>0.5*(F3931*Q3931+F3932*Q3932)*R3932</f>
        <v>0.9760331430896328</v>
      </c>
      <c r="U3932" s="76">
        <f>U3931+S3932</f>
        <v>54.07870102379437</v>
      </c>
      <c r="V3932" s="76">
        <f>V3931+T3932</f>
        <v>764.4899640052143</v>
      </c>
    </row>
    <row r="3933" spans="1:22" ht="19" customHeight="1">
      <c r="A3933" s="68" t="s">
        <v>378</v>
      </c>
      <c r="B3933" s="74">
        <v>5</v>
      </c>
      <c r="C3933" s="68" t="s">
        <v>363</v>
      </c>
      <c r="D3933" s="68" t="s">
        <v>364</v>
      </c>
      <c r="E3933" s="75">
        <f>60*F3933*'THAM_SO_MOI'!$C$53/(2*PI()*'THAM_SO_MOI'!$C$26)</f>
        <v>2072.9933819840176</v>
      </c>
      <c r="F3933" s="75">
        <f>'HANH_TRINH'!$F$3289+('THAM_SO_MOI'!$C$14-'HANH_TRINH'!$F$3289)*643/'THAM_SO_MOI'!$C$42</f>
        <v>21.039996932530094</v>
      </c>
      <c r="G3933" s="75">
        <f>3.6*F3933</f>
        <v>75.74398895710834</v>
      </c>
      <c r="H3933" s="75">
        <f>'THAM_SO_MOI'!$D$53</f>
        <v>1.1</v>
      </c>
      <c r="I3933" s="75">
        <f>IF(F3933&gt;'THAM_SO_MOI'!$C$14,'THAM_SO_MOI'!$C$13*(1+F3933^2/1500),'THAM_SO_MOI'!$C$13)</f>
        <v>0.015</v>
      </c>
      <c r="J3933" s="75">
        <f>'THAM_SO_MOI'!$C$40*('THAM_SO_MOI'!$C$23*(E3933/'THAM_SO_MOI'!$C$22)+'THAM_SO_MOI'!$C$24*(E3933/'THAM_SO_MOI'!$C$22)^2-'THAM_SO_MOI'!$C$25*(E3933/'THAM_SO_MOI'!$C$22)^3)</f>
        <v>93.26394858432718</v>
      </c>
      <c r="K3933" s="75">
        <f>'THAM_SO_MOI'!$C$31*J3933/E3933</f>
        <v>429.703806888082</v>
      </c>
      <c r="L3933" s="75">
        <f>K3933*'THAM_SO_MOI'!$C$53*'THAM_SO_MOI'!$C$17/'THAM_SO_MOI'!$C$26</f>
        <v>3768.5040678259647</v>
      </c>
      <c r="M3933" s="75">
        <f>'THAM_SO_MOI'!$C$15*'THAM_SO_MOI'!$C$16*F3933^2</f>
        <v>1294.8433024435617</v>
      </c>
      <c r="N3933" s="75">
        <f>'THAM_SO_MOI'!$C$12*I3933</f>
        <v>1130.112</v>
      </c>
      <c r="O3933" s="75">
        <f>M3933+N3933</f>
        <v>2424.955302443562</v>
      </c>
      <c r="P3933" s="75">
        <f>(MIN(L3933,'THAM_SO_MOI'!$C$41)-O3933)/('THAM_SO_MOI'!$C$11*H3933)</f>
        <v>0.1590374959022731</v>
      </c>
      <c r="Q3933" s="75">
        <f>IF(P3933&gt;0,1/P3933,NA())</f>
        <v>6.287825360470274</v>
      </c>
      <c r="R3933" s="75">
        <f>F3933-F3932</f>
        <v>0.007388554569875083</v>
      </c>
      <c r="S3933" s="75">
        <f>0.5*(Q3932+Q3933)*R3933</f>
        <v>0.04644323679200293</v>
      </c>
      <c r="T3933" s="75">
        <f>0.5*(F3932*Q3932+F3933*Q3933)*R3933</f>
        <v>0.9769940397664797</v>
      </c>
      <c r="U3933" s="76">
        <f>U3932+S3933</f>
        <v>54.125144260586374</v>
      </c>
      <c r="V3933" s="76">
        <f>V3932+T3933</f>
        <v>765.4669580449809</v>
      </c>
    </row>
    <row r="3934" spans="1:22" ht="19" customHeight="1">
      <c r="A3934" s="68" t="s">
        <v>378</v>
      </c>
      <c r="B3934" s="74">
        <v>5</v>
      </c>
      <c r="C3934" s="68" t="s">
        <v>363</v>
      </c>
      <c r="D3934" s="68" t="s">
        <v>364</v>
      </c>
      <c r="E3934" s="75">
        <f>60*F3934*'THAM_SO_MOI'!$C$53/(2*PI()*'THAM_SO_MOI'!$C$26)</f>
        <v>2073.721349044796</v>
      </c>
      <c r="F3934" s="75">
        <f>'HANH_TRINH'!$F$3289+('THAM_SO_MOI'!$C$14-'HANH_TRINH'!$F$3289)*644/'THAM_SO_MOI'!$C$42</f>
        <v>21.047385487099966</v>
      </c>
      <c r="G3934" s="75">
        <f>3.6*F3934</f>
        <v>75.77058775355988</v>
      </c>
      <c r="H3934" s="75">
        <f>'THAM_SO_MOI'!$D$53</f>
        <v>1.1</v>
      </c>
      <c r="I3934" s="75">
        <f>IF(F3934&gt;'THAM_SO_MOI'!$C$14,'THAM_SO_MOI'!$C$13*(1+F3934^2/1500),'THAM_SO_MOI'!$C$13)</f>
        <v>0.015</v>
      </c>
      <c r="J3934" s="75">
        <f>'THAM_SO_MOI'!$C$40*('THAM_SO_MOI'!$C$23*(E3934/'THAM_SO_MOI'!$C$22)+'THAM_SO_MOI'!$C$24*(E3934/'THAM_SO_MOI'!$C$22)^2-'THAM_SO_MOI'!$C$25*(E3934/'THAM_SO_MOI'!$C$22)^3)</f>
        <v>93.29813059222839</v>
      </c>
      <c r="K3934" s="75">
        <f>'THAM_SO_MOI'!$C$31*J3934/E3934</f>
        <v>429.71039673336907</v>
      </c>
      <c r="L3934" s="75">
        <f>K3934*'THAM_SO_MOI'!$C$53*'THAM_SO_MOI'!$C$17/'THAM_SO_MOI'!$C$26</f>
        <v>3768.561860794918</v>
      </c>
      <c r="M3934" s="75">
        <f>'THAM_SO_MOI'!$C$15*'THAM_SO_MOI'!$C$16*F3934^2</f>
        <v>1295.7528748395648</v>
      </c>
      <c r="N3934" s="75">
        <f>'THAM_SO_MOI'!$C$12*I3934</f>
        <v>1130.112</v>
      </c>
      <c r="O3934" s="75">
        <f>M3934+N3934</f>
        <v>2425.864874839565</v>
      </c>
      <c r="P3934" s="75">
        <f>(MIN(L3934,'THAM_SO_MOI'!$C$41)-O3934)/('THAM_SO_MOI'!$C$11*H3934)</f>
        <v>0.1589366697390333</v>
      </c>
      <c r="Q3934" s="75">
        <f>IF(P3934&gt;0,1/P3934,NA())</f>
        <v>6.291814227905705</v>
      </c>
      <c r="R3934" s="75">
        <f>F3934-F3933</f>
        <v>0.0073885545698715305</v>
      </c>
      <c r="S3934" s="75">
        <f>0.5*(Q3933+Q3934)*R3934</f>
        <v>0.04647267678401608</v>
      </c>
      <c r="T3934" s="75">
        <f>0.5*(F3933*Q3933+F3934*Q3934)*R3934</f>
        <v>0.9779567143751792</v>
      </c>
      <c r="U3934" s="76">
        <f>U3933+S3934</f>
        <v>54.17161693737039</v>
      </c>
      <c r="V3934" s="76">
        <f>V3933+T3934</f>
        <v>766.444914759356</v>
      </c>
    </row>
    <row r="3935" spans="1:22" ht="19" customHeight="1">
      <c r="A3935" s="68" t="s">
        <v>378</v>
      </c>
      <c r="B3935" s="74">
        <v>5</v>
      </c>
      <c r="C3935" s="68" t="s">
        <v>363</v>
      </c>
      <c r="D3935" s="68" t="s">
        <v>364</v>
      </c>
      <c r="E3935" s="75">
        <f>60*F3935*'THAM_SO_MOI'!$C$53/(2*PI()*'THAM_SO_MOI'!$C$26)</f>
        <v>2074.4493161055752</v>
      </c>
      <c r="F3935" s="75">
        <f>'HANH_TRINH'!$F$3289+('THAM_SO_MOI'!$C$14-'HANH_TRINH'!$F$3289)*645/'THAM_SO_MOI'!$C$42</f>
        <v>21.054774041669837</v>
      </c>
      <c r="G3935" s="75">
        <f>3.6*F3935</f>
        <v>75.79718655001142</v>
      </c>
      <c r="H3935" s="75">
        <f>'THAM_SO_MOI'!$D$53</f>
        <v>1.1</v>
      </c>
      <c r="I3935" s="75">
        <f>IF(F3935&gt;'THAM_SO_MOI'!$C$14,'THAM_SO_MOI'!$C$13*(1+F3935^2/1500),'THAM_SO_MOI'!$C$13)</f>
        <v>0.015</v>
      </c>
      <c r="J3935" s="75">
        <f>'THAM_SO_MOI'!$C$40*('THAM_SO_MOI'!$C$23*(E3935/'THAM_SO_MOI'!$C$22)+'THAM_SO_MOI'!$C$24*(E3935/'THAM_SO_MOI'!$C$22)^2-'THAM_SO_MOI'!$C$25*(E3935/'THAM_SO_MOI'!$C$22)^3)</f>
        <v>93.332302438304</v>
      </c>
      <c r="K3935" s="75">
        <f>'THAM_SO_MOI'!$C$31*J3935/E3935</f>
        <v>429.71693516695086</v>
      </c>
      <c r="L3935" s="75">
        <f>K3935*'THAM_SO_MOI'!$C$53*'THAM_SO_MOI'!$C$17/'THAM_SO_MOI'!$C$26</f>
        <v>3768.619202883015</v>
      </c>
      <c r="M3935" s="75">
        <f>'THAM_SO_MOI'!$C$15*'THAM_SO_MOI'!$C$16*F3935^2</f>
        <v>1296.662766591389</v>
      </c>
      <c r="N3935" s="75">
        <f>'THAM_SO_MOI'!$C$12*I3935</f>
        <v>1130.112</v>
      </c>
      <c r="O3935" s="75">
        <f>M3935+N3935</f>
        <v>2426.7747665913894</v>
      </c>
      <c r="P3935" s="75">
        <f>(MIN(L3935,'THAM_SO_MOI'!$C$41)-O3935)/('THAM_SO_MOI'!$C$11*H3935)</f>
        <v>0.1588357524019444</v>
      </c>
      <c r="Q3935" s="75">
        <f>IF(P3935&gt;0,1/P3935,NA())</f>
        <v>6.295811773343282</v>
      </c>
      <c r="R3935" s="75">
        <f>F3935-F3934</f>
        <v>0.0073885545698715305</v>
      </c>
      <c r="S3935" s="75">
        <f>0.5*(Q3934+Q3935)*R3935</f>
        <v>0.046502180807680954</v>
      </c>
      <c r="T3935" s="75">
        <f>0.5*(F3934*Q3934+F3935*Q3935)*R3935</f>
        <v>0.9789211719575801</v>
      </c>
      <c r="U3935" s="76">
        <f>U3934+S3935</f>
        <v>54.218119118178066</v>
      </c>
      <c r="V3935" s="76">
        <f>V3934+T3935</f>
        <v>767.4238359313136</v>
      </c>
    </row>
    <row r="3936" spans="1:22" ht="19" customHeight="1">
      <c r="A3936" s="68" t="s">
        <v>378</v>
      </c>
      <c r="B3936" s="74">
        <v>5</v>
      </c>
      <c r="C3936" s="68" t="s">
        <v>363</v>
      </c>
      <c r="D3936" s="68" t="s">
        <v>364</v>
      </c>
      <c r="E3936" s="75">
        <f>60*F3936*'THAM_SO_MOI'!$C$53/(2*PI()*'THAM_SO_MOI'!$C$26)</f>
        <v>2075.177283166354</v>
      </c>
      <c r="F3936" s="75">
        <f>'HANH_TRINH'!$F$3289+('THAM_SO_MOI'!$C$14-'HANH_TRINH'!$F$3289)*646/'THAM_SO_MOI'!$C$42</f>
        <v>21.06216259623971</v>
      </c>
      <c r="G3936" s="75">
        <f>3.6*F3936</f>
        <v>75.82378534646296</v>
      </c>
      <c r="H3936" s="75">
        <f>'THAM_SO_MOI'!$D$53</f>
        <v>1.1</v>
      </c>
      <c r="I3936" s="75">
        <f>IF(F3936&gt;'THAM_SO_MOI'!$C$14,'THAM_SO_MOI'!$C$13*(1+F3936^2/1500),'THAM_SO_MOI'!$C$13)</f>
        <v>0.015</v>
      </c>
      <c r="J3936" s="75">
        <f>'THAM_SO_MOI'!$C$40*('THAM_SO_MOI'!$C$23*(E3936/'THAM_SO_MOI'!$C$22)+'THAM_SO_MOI'!$C$24*(E3936/'THAM_SO_MOI'!$C$22)^2-'THAM_SO_MOI'!$C$25*(E3936/'THAM_SO_MOI'!$C$22)^3)</f>
        <v>93.3664641107984</v>
      </c>
      <c r="K3936" s="75">
        <f>'THAM_SO_MOI'!$C$31*J3936/E3936</f>
        <v>429.7234221888272</v>
      </c>
      <c r="L3936" s="75">
        <f>K3936*'THAM_SO_MOI'!$C$53*'THAM_SO_MOI'!$C$17/'THAM_SO_MOI'!$C$26</f>
        <v>3768.6760940902536</v>
      </c>
      <c r="M3936" s="75">
        <f>'THAM_SO_MOI'!$C$15*'THAM_SO_MOI'!$C$16*F3936^2</f>
        <v>1297.5729776990343</v>
      </c>
      <c r="N3936" s="75">
        <f>'THAM_SO_MOI'!$C$12*I3936</f>
        <v>1130.112</v>
      </c>
      <c r="O3936" s="75">
        <f>M3936+N3936</f>
        <v>2427.6849776990343</v>
      </c>
      <c r="P3936" s="75">
        <f>(MIN(L3936,'THAM_SO_MOI'!$C$41)-O3936)/('THAM_SO_MOI'!$C$11*H3936)</f>
        <v>0.15873474389100606</v>
      </c>
      <c r="Q3936" s="75">
        <f>IF(P3936&gt;0,1/P3936,NA())</f>
        <v>6.299818020222731</v>
      </c>
      <c r="R3936" s="75">
        <f>F3936-F3935</f>
        <v>0.0073885545698715305</v>
      </c>
      <c r="S3936" s="75">
        <f>0.5*(Q3935+Q3936)*R3936</f>
        <v>0.046531749035831085</v>
      </c>
      <c r="T3936" s="75">
        <f>0.5*(F3935*Q3935+F3936*Q3936)*R3936</f>
        <v>0.9798874175725973</v>
      </c>
      <c r="U3936" s="76">
        <f>U3935+S3936</f>
        <v>54.264650867213895</v>
      </c>
      <c r="V3936" s="76">
        <f>V3935+T3936</f>
        <v>768.4037233488863</v>
      </c>
    </row>
    <row r="3937" spans="1:22" ht="19" customHeight="1">
      <c r="A3937" s="68" t="s">
        <v>378</v>
      </c>
      <c r="B3937" s="74">
        <v>5</v>
      </c>
      <c r="C3937" s="68" t="s">
        <v>363</v>
      </c>
      <c r="D3937" s="68" t="s">
        <v>364</v>
      </c>
      <c r="E3937" s="75">
        <f>60*F3937*'THAM_SO_MOI'!$C$53/(2*PI()*'THAM_SO_MOI'!$C$26)</f>
        <v>2075.9052502271334</v>
      </c>
      <c r="F3937" s="75">
        <f>'HANH_TRINH'!$F$3289+('THAM_SO_MOI'!$C$14-'HANH_TRINH'!$F$3289)*647/'THAM_SO_MOI'!$C$42</f>
        <v>21.06955115080958</v>
      </c>
      <c r="G3937" s="75">
        <f>3.6*F3937</f>
        <v>75.85038414291449</v>
      </c>
      <c r="H3937" s="75">
        <f>'THAM_SO_MOI'!$D$53</f>
        <v>1.1</v>
      </c>
      <c r="I3937" s="75">
        <f>IF(F3937&gt;'THAM_SO_MOI'!$C$14,'THAM_SO_MOI'!$C$13*(1+F3937^2/1500),'THAM_SO_MOI'!$C$13)</f>
        <v>0.015</v>
      </c>
      <c r="J3937" s="75">
        <f>'THAM_SO_MOI'!$C$40*('THAM_SO_MOI'!$C$23*(E3937/'THAM_SO_MOI'!$C$22)+'THAM_SO_MOI'!$C$24*(E3937/'THAM_SO_MOI'!$C$22)^2-'THAM_SO_MOI'!$C$25*(E3937/'THAM_SO_MOI'!$C$22)^3)</f>
        <v>93.40061559795612</v>
      </c>
      <c r="K3937" s="75">
        <f>'THAM_SO_MOI'!$C$31*J3937/E3937</f>
        <v>429.72985779899795</v>
      </c>
      <c r="L3937" s="75">
        <f>K3937*'THAM_SO_MOI'!$C$53*'THAM_SO_MOI'!$C$17/'THAM_SO_MOI'!$C$26</f>
        <v>3768.7325344166334</v>
      </c>
      <c r="M3937" s="75">
        <f>'THAM_SO_MOI'!$C$15*'THAM_SO_MOI'!$C$16*F3937^2</f>
        <v>1298.4835081625006</v>
      </c>
      <c r="N3937" s="75">
        <f>'THAM_SO_MOI'!$C$12*I3937</f>
        <v>1130.112</v>
      </c>
      <c r="O3937" s="75">
        <f>M3937+N3937</f>
        <v>2428.5955081625007</v>
      </c>
      <c r="P3937" s="75">
        <f>(MIN(L3937,'THAM_SO_MOI'!$C$41)-O3937)/('THAM_SO_MOI'!$C$11*H3937)</f>
        <v>0.15863364420621837</v>
      </c>
      <c r="Q3937" s="75">
        <f>IF(P3937&gt;0,1/P3937,NA())</f>
        <v>6.303832992073446</v>
      </c>
      <c r="R3937" s="75">
        <f>F3937-F3936</f>
        <v>0.0073885545698715305</v>
      </c>
      <c r="S3937" s="75">
        <f>0.5*(Q3936+Q3937)*R3937</f>
        <v>0.04656138164198343</v>
      </c>
      <c r="T3937" s="75">
        <f>0.5*(F3936*Q3936+F3937*Q3937)*R3937</f>
        <v>0.9808554562986508</v>
      </c>
      <c r="U3937" s="76">
        <f>U3936+S3937</f>
        <v>54.31121224885588</v>
      </c>
      <c r="V3937" s="76">
        <f>V3936+T3937</f>
        <v>769.3845788051849</v>
      </c>
    </row>
    <row r="3938" spans="1:22" ht="19" customHeight="1">
      <c r="A3938" s="68" t="s">
        <v>378</v>
      </c>
      <c r="B3938" s="74">
        <v>5</v>
      </c>
      <c r="C3938" s="68" t="s">
        <v>363</v>
      </c>
      <c r="D3938" s="68" t="s">
        <v>364</v>
      </c>
      <c r="E3938" s="75">
        <f>60*F3938*'THAM_SO_MOI'!$C$53/(2*PI()*'THAM_SO_MOI'!$C$26)</f>
        <v>2076.6332172879115</v>
      </c>
      <c r="F3938" s="75">
        <f>'HANH_TRINH'!$F$3289+('THAM_SO_MOI'!$C$14-'HANH_TRINH'!$F$3289)*648/'THAM_SO_MOI'!$C$42</f>
        <v>21.076939705379452</v>
      </c>
      <c r="G3938" s="75">
        <f>3.6*F3938</f>
        <v>75.87698293936603</v>
      </c>
      <c r="H3938" s="75">
        <f>'THAM_SO_MOI'!$D$53</f>
        <v>1.1</v>
      </c>
      <c r="I3938" s="75">
        <f>IF(F3938&gt;'THAM_SO_MOI'!$C$14,'THAM_SO_MOI'!$C$13*(1+F3938^2/1500),'THAM_SO_MOI'!$C$13)</f>
        <v>0.015</v>
      </c>
      <c r="J3938" s="75">
        <f>'THAM_SO_MOI'!$C$40*('THAM_SO_MOI'!$C$23*(E3938/'THAM_SO_MOI'!$C$22)+'THAM_SO_MOI'!$C$24*(E3938/'THAM_SO_MOI'!$C$22)^2-'THAM_SO_MOI'!$C$25*(E3938/'THAM_SO_MOI'!$C$22)^3)</f>
        <v>93.43475688802162</v>
      </c>
      <c r="K3938" s="75">
        <f>'THAM_SO_MOI'!$C$31*J3938/E3938</f>
        <v>429.7362419974635</v>
      </c>
      <c r="L3938" s="75">
        <f>K3938*'THAM_SO_MOI'!$C$53*'THAM_SO_MOI'!$C$17/'THAM_SO_MOI'!$C$26</f>
        <v>3768.7885238621575</v>
      </c>
      <c r="M3938" s="75">
        <f>'THAM_SO_MOI'!$C$15*'THAM_SO_MOI'!$C$16*F3938^2</f>
        <v>1299.3943579817876</v>
      </c>
      <c r="N3938" s="75">
        <f>'THAM_SO_MOI'!$C$12*I3938</f>
        <v>1130.112</v>
      </c>
      <c r="O3938" s="75">
        <f>M3938+N3938</f>
        <v>2429.506357981788</v>
      </c>
      <c r="P3938" s="75">
        <f>(MIN(L3938,'THAM_SO_MOI'!$C$41)-O3938)/('THAM_SO_MOI'!$C$11*H3938)</f>
        <v>0.15853245334758162</v>
      </c>
      <c r="Q3938" s="75">
        <f>IF(P3938&gt;0,1/P3938,NA())</f>
        <v>6.307856712514913</v>
      </c>
      <c r="R3938" s="75">
        <f>F3938-F3937</f>
        <v>0.0073885545698715305</v>
      </c>
      <c r="S3938" s="75">
        <f>0.5*(Q3937+Q3938)*R3938</f>
        <v>0.04659107880031903</v>
      </c>
      <c r="T3938" s="75">
        <f>0.5*(F3937*Q3937+F3938*Q3938)*R3938</f>
        <v>0.981825293233282</v>
      </c>
      <c r="U3938" s="76">
        <f>U3937+S3938</f>
        <v>54.3578033276562</v>
      </c>
      <c r="V3938" s="76">
        <f>V3937+T3938</f>
        <v>770.3664040984182</v>
      </c>
    </row>
    <row r="3939" spans="1:22" ht="19" customHeight="1">
      <c r="A3939" s="68" t="s">
        <v>378</v>
      </c>
      <c r="B3939" s="74">
        <v>5</v>
      </c>
      <c r="C3939" s="68" t="s">
        <v>363</v>
      </c>
      <c r="D3939" s="68" t="s">
        <v>364</v>
      </c>
      <c r="E3939" s="75">
        <f>60*F3939*'THAM_SO_MOI'!$C$53/(2*PI()*'THAM_SO_MOI'!$C$26)</f>
        <v>2077.361184348691</v>
      </c>
      <c r="F3939" s="75">
        <f>'HANH_TRINH'!$F$3289+('THAM_SO_MOI'!$C$14-'HANH_TRINH'!$F$3289)*649/'THAM_SO_MOI'!$C$42</f>
        <v>21.084328259949324</v>
      </c>
      <c r="G3939" s="75">
        <f>3.6*F3939</f>
        <v>75.90358173581757</v>
      </c>
      <c r="H3939" s="75">
        <f>'THAM_SO_MOI'!$D$53</f>
        <v>1.1</v>
      </c>
      <c r="I3939" s="75">
        <f>IF(F3939&gt;'THAM_SO_MOI'!$C$14,'THAM_SO_MOI'!$C$13*(1+F3939^2/1500),'THAM_SO_MOI'!$C$13)</f>
        <v>0.015</v>
      </c>
      <c r="J3939" s="75">
        <f>'THAM_SO_MOI'!$C$40*('THAM_SO_MOI'!$C$23*(E3939/'THAM_SO_MOI'!$C$22)+'THAM_SO_MOI'!$C$24*(E3939/'THAM_SO_MOI'!$C$22)^2-'THAM_SO_MOI'!$C$25*(E3939/'THAM_SO_MOI'!$C$22)^3)</f>
        <v>93.46888796923942</v>
      </c>
      <c r="K3939" s="75">
        <f>'THAM_SO_MOI'!$C$31*J3939/E3939</f>
        <v>429.7425747842234</v>
      </c>
      <c r="L3939" s="75">
        <f>K3939*'THAM_SO_MOI'!$C$53*'THAM_SO_MOI'!$C$17/'THAM_SO_MOI'!$C$26</f>
        <v>3768.844062426822</v>
      </c>
      <c r="M3939" s="75">
        <f>'THAM_SO_MOI'!$C$15*'THAM_SO_MOI'!$C$16*F3939^2</f>
        <v>1300.3055271568958</v>
      </c>
      <c r="N3939" s="75">
        <f>'THAM_SO_MOI'!$C$12*I3939</f>
        <v>1130.112</v>
      </c>
      <c r="O3939" s="75">
        <f>M3939+N3939</f>
        <v>2430.4175271568956</v>
      </c>
      <c r="P3939" s="75">
        <f>(MIN(L3939,'THAM_SO_MOI'!$C$41)-O3939)/('THAM_SO_MOI'!$C$11*H3939)</f>
        <v>0.15843117131509538</v>
      </c>
      <c r="Q3939" s="75">
        <f>IF(P3939&gt;0,1/P3939,NA())</f>
        <v>6.31188920525717</v>
      </c>
      <c r="R3939" s="75">
        <f>F3939-F3938</f>
        <v>0.0073885545698715305</v>
      </c>
      <c r="S3939" s="75">
        <f>0.5*(Q3938+Q3939)*R3939</f>
        <v>0.046620840685686255</v>
      </c>
      <c r="T3939" s="75">
        <f>0.5*(F3938*Q3938+F3939*Q3939)*R3939</f>
        <v>0.9827969334932496</v>
      </c>
      <c r="U3939" s="76">
        <f>U3938+S3939</f>
        <v>54.40442416834188</v>
      </c>
      <c r="V3939" s="76">
        <f>V3938+T3939</f>
        <v>771.3492010319114</v>
      </c>
    </row>
    <row r="3940" spans="1:22" ht="19" customHeight="1">
      <c r="A3940" s="68" t="s">
        <v>378</v>
      </c>
      <c r="B3940" s="74">
        <v>5</v>
      </c>
      <c r="C3940" s="68" t="s">
        <v>363</v>
      </c>
      <c r="D3940" s="68" t="s">
        <v>364</v>
      </c>
      <c r="E3940" s="75">
        <f>60*F3940*'THAM_SO_MOI'!$C$53/(2*PI()*'THAM_SO_MOI'!$C$26)</f>
        <v>2078.0891514094697</v>
      </c>
      <c r="F3940" s="75">
        <f>'HANH_TRINH'!$F$3289+('THAM_SO_MOI'!$C$14-'HANH_TRINH'!$F$3289)*650/'THAM_SO_MOI'!$C$42</f>
        <v>21.091716814519195</v>
      </c>
      <c r="G3940" s="75">
        <f>3.6*F3940</f>
        <v>75.9301805322691</v>
      </c>
      <c r="H3940" s="75">
        <f>'THAM_SO_MOI'!$D$53</f>
        <v>1.1</v>
      </c>
      <c r="I3940" s="75">
        <f>IF(F3940&gt;'THAM_SO_MOI'!$C$14,'THAM_SO_MOI'!$C$13*(1+F3940^2/1500),'THAM_SO_MOI'!$C$13)</f>
        <v>0.015</v>
      </c>
      <c r="J3940" s="75">
        <f>'THAM_SO_MOI'!$C$40*('THAM_SO_MOI'!$C$23*(E3940/'THAM_SO_MOI'!$C$22)+'THAM_SO_MOI'!$C$24*(E3940/'THAM_SO_MOI'!$C$22)^2-'THAM_SO_MOI'!$C$25*(E3940/'THAM_SO_MOI'!$C$22)^3)</f>
        <v>93.50300882985398</v>
      </c>
      <c r="K3940" s="75">
        <f>'THAM_SO_MOI'!$C$31*J3940/E3940</f>
        <v>429.7488561592781</v>
      </c>
      <c r="L3940" s="75">
        <f>K3940*'THAM_SO_MOI'!$C$53*'THAM_SO_MOI'!$C$17/'THAM_SO_MOI'!$C$26</f>
        <v>3768.8991501106307</v>
      </c>
      <c r="M3940" s="75">
        <f>'THAM_SO_MOI'!$C$15*'THAM_SO_MOI'!$C$16*F3940^2</f>
        <v>1301.2170156878249</v>
      </c>
      <c r="N3940" s="75">
        <f>'THAM_SO_MOI'!$C$12*I3940</f>
        <v>1130.112</v>
      </c>
      <c r="O3940" s="75">
        <f>M3940+N3940</f>
        <v>2431.3290156878247</v>
      </c>
      <c r="P3940" s="75">
        <f>(MIN(L3940,'THAM_SO_MOI'!$C$41)-O3940)/('THAM_SO_MOI'!$C$11*H3940)</f>
        <v>0.15832979810876013</v>
      </c>
      <c r="Q3940" s="75">
        <f>IF(P3940&gt;0,1/P3940,NA())</f>
        <v>6.3159304941011705</v>
      </c>
      <c r="R3940" s="75">
        <f>F3940-F3939</f>
        <v>0.0073885545698715305</v>
      </c>
      <c r="S3940" s="75">
        <f>0.5*(Q3939+Q3940)*R3940</f>
        <v>0.0466506674736039</v>
      </c>
      <c r="T3940" s="75">
        <f>0.5*(F3939*Q3939+F3940*Q3940)*R3940</f>
        <v>0.9837703822146161</v>
      </c>
      <c r="U3940" s="76">
        <f>U3939+S3940</f>
        <v>54.45107483581549</v>
      </c>
      <c r="V3940" s="76">
        <f>V3939+T3940</f>
        <v>772.3329714141261</v>
      </c>
    </row>
    <row r="3941" spans="1:22" ht="19" customHeight="1">
      <c r="A3941" s="68" t="s">
        <v>378</v>
      </c>
      <c r="B3941" s="74">
        <v>5</v>
      </c>
      <c r="C3941" s="68" t="s">
        <v>363</v>
      </c>
      <c r="D3941" s="68" t="s">
        <v>364</v>
      </c>
      <c r="E3941" s="75">
        <f>60*F3941*'THAM_SO_MOI'!$C$53/(2*PI()*'THAM_SO_MOI'!$C$26)</f>
        <v>2078.817118470249</v>
      </c>
      <c r="F3941" s="75">
        <f>'HANH_TRINH'!$F$3289+('THAM_SO_MOI'!$C$14-'HANH_TRINH'!$F$3289)*651/'THAM_SO_MOI'!$C$42</f>
        <v>21.099105369089067</v>
      </c>
      <c r="G3941" s="75">
        <f>3.6*F3941</f>
        <v>75.95677932872064</v>
      </c>
      <c r="H3941" s="75">
        <f>'THAM_SO_MOI'!$D$53</f>
        <v>1.1</v>
      </c>
      <c r="I3941" s="75">
        <f>IF(F3941&gt;'THAM_SO_MOI'!$C$14,'THAM_SO_MOI'!$C$13*(1+F3941^2/1500),'THAM_SO_MOI'!$C$13)</f>
        <v>0.015</v>
      </c>
      <c r="J3941" s="75">
        <f>'THAM_SO_MOI'!$C$40*('THAM_SO_MOI'!$C$23*(E3941/'THAM_SO_MOI'!$C$22)+'THAM_SO_MOI'!$C$24*(E3941/'THAM_SO_MOI'!$C$22)^2-'THAM_SO_MOI'!$C$25*(E3941/'THAM_SO_MOI'!$C$22)^3)</f>
        <v>93.5371194581098</v>
      </c>
      <c r="K3941" s="75">
        <f>'THAM_SO_MOI'!$C$31*J3941/E3941</f>
        <v>429.7550861226271</v>
      </c>
      <c r="L3941" s="75">
        <f>K3941*'THAM_SO_MOI'!$C$53*'THAM_SO_MOI'!$C$17/'THAM_SO_MOI'!$C$26</f>
        <v>3768.9537869135793</v>
      </c>
      <c r="M3941" s="75">
        <f>'THAM_SO_MOI'!$C$15*'THAM_SO_MOI'!$C$16*F3941^2</f>
        <v>1302.128823574575</v>
      </c>
      <c r="N3941" s="75">
        <f>'THAM_SO_MOI'!$C$12*I3941</f>
        <v>1130.112</v>
      </c>
      <c r="O3941" s="75">
        <f>M3941+N3941</f>
        <v>2432.240823574575</v>
      </c>
      <c r="P3941" s="75">
        <f>(MIN(L3941,'THAM_SO_MOI'!$C$41)-O3941)/('THAM_SO_MOI'!$C$11*H3941)</f>
        <v>0.15822833372857528</v>
      </c>
      <c r="Q3941" s="75">
        <f>IF(P3941&gt;0,1/P3941,NA())</f>
        <v>6.319980602939287</v>
      </c>
      <c r="R3941" s="75">
        <f>F3941-F3940</f>
        <v>0.0073885545698715305</v>
      </c>
      <c r="S3941" s="75">
        <f>0.5*(Q3940+Q3941)*R3941</f>
        <v>0.04668055934026433</v>
      </c>
      <c r="T3941" s="75">
        <f>0.5*(F3940*Q3940+F3941*Q3941)*R3941</f>
        <v>0.9847456445528411</v>
      </c>
      <c r="U3941" s="76">
        <f>U3940+S3941</f>
        <v>54.49775539515576</v>
      </c>
      <c r="V3941" s="76">
        <f>V3940+T3941</f>
        <v>773.3177170586789</v>
      </c>
    </row>
    <row r="3942" spans="1:22" ht="19" customHeight="1">
      <c r="A3942" s="68" t="s">
        <v>378</v>
      </c>
      <c r="B3942" s="74">
        <v>5</v>
      </c>
      <c r="C3942" s="68" t="s">
        <v>363</v>
      </c>
      <c r="D3942" s="68" t="s">
        <v>364</v>
      </c>
      <c r="E3942" s="75">
        <f>60*F3942*'THAM_SO_MOI'!$C$53/(2*PI()*'THAM_SO_MOI'!$C$26)</f>
        <v>2079.5450855310273</v>
      </c>
      <c r="F3942" s="75">
        <f>'HANH_TRINH'!$F$3289+('THAM_SO_MOI'!$C$14-'HANH_TRINH'!$F$3289)*652/'THAM_SO_MOI'!$C$42</f>
        <v>21.106493923658938</v>
      </c>
      <c r="G3942" s="75">
        <f>3.6*F3942</f>
        <v>75.98337812517218</v>
      </c>
      <c r="H3942" s="75">
        <f>'THAM_SO_MOI'!$D$53</f>
        <v>1.1</v>
      </c>
      <c r="I3942" s="75">
        <f>IF(F3942&gt;'THAM_SO_MOI'!$C$14,'THAM_SO_MOI'!$C$13*(1+F3942^2/1500),'THAM_SO_MOI'!$C$13)</f>
        <v>0.015</v>
      </c>
      <c r="J3942" s="75">
        <f>'THAM_SO_MOI'!$C$40*('THAM_SO_MOI'!$C$23*(E3942/'THAM_SO_MOI'!$C$22)+'THAM_SO_MOI'!$C$24*(E3942/'THAM_SO_MOI'!$C$22)^2-'THAM_SO_MOI'!$C$25*(E3942/'THAM_SO_MOI'!$C$22)^3)</f>
        <v>93.57121984225131</v>
      </c>
      <c r="K3942" s="75">
        <f>'THAM_SO_MOI'!$C$31*J3942/E3942</f>
        <v>429.76126467427093</v>
      </c>
      <c r="L3942" s="75">
        <f>K3942*'THAM_SO_MOI'!$C$53*'THAM_SO_MOI'!$C$17/'THAM_SO_MOI'!$C$26</f>
        <v>3769.0079728356723</v>
      </c>
      <c r="M3942" s="75">
        <f>'THAM_SO_MOI'!$C$15*'THAM_SO_MOI'!$C$16*F3942^2</f>
        <v>1303.0409508171463</v>
      </c>
      <c r="N3942" s="75">
        <f>'THAM_SO_MOI'!$C$12*I3942</f>
        <v>1130.112</v>
      </c>
      <c r="O3942" s="75">
        <f>M3942+N3942</f>
        <v>2433.152950817146</v>
      </c>
      <c r="P3942" s="75">
        <f>(MIN(L3942,'THAM_SO_MOI'!$C$41)-O3942)/('THAM_SO_MOI'!$C$11*H3942)</f>
        <v>0.15812677817454146</v>
      </c>
      <c r="Q3942" s="75">
        <f>IF(P3942&gt;0,1/P3942,NA())</f>
        <v>6.324039555755654</v>
      </c>
      <c r="R3942" s="75">
        <f>F3942-F3941</f>
        <v>0.0073885545698715305</v>
      </c>
      <c r="S3942" s="75">
        <f>0.5*(Q3941+Q3942)*R3942</f>
        <v>0.04671051646253663</v>
      </c>
      <c r="T3942" s="75">
        <f>0.5*(F3941*Q3941+F3942*Q3942)*R3942</f>
        <v>0.985722725682873</v>
      </c>
      <c r="U3942" s="76">
        <f>U3941+S3942</f>
        <v>54.544465911618296</v>
      </c>
      <c r="V3942" s="76">
        <f>V3941+T3942</f>
        <v>774.3034397843618</v>
      </c>
    </row>
    <row r="3943" spans="1:22" ht="19" customHeight="1">
      <c r="A3943" s="68" t="s">
        <v>378</v>
      </c>
      <c r="B3943" s="74">
        <v>5</v>
      </c>
      <c r="C3943" s="68" t="s">
        <v>363</v>
      </c>
      <c r="D3943" s="68" t="s">
        <v>364</v>
      </c>
      <c r="E3943" s="75">
        <f>60*F3943*'THAM_SO_MOI'!$C$53/(2*PI()*'THAM_SO_MOI'!$C$26)</f>
        <v>2080.273052591807</v>
      </c>
      <c r="F3943" s="75">
        <f>'HANH_TRINH'!$F$3289+('THAM_SO_MOI'!$C$14-'HANH_TRINH'!$F$3289)*653/'THAM_SO_MOI'!$C$42</f>
        <v>21.113882478228813</v>
      </c>
      <c r="G3943" s="75">
        <f>3.6*F3943</f>
        <v>76.00997692162373</v>
      </c>
      <c r="H3943" s="75">
        <f>'THAM_SO_MOI'!$D$53</f>
        <v>1.1</v>
      </c>
      <c r="I3943" s="75">
        <f>IF(F3943&gt;'THAM_SO_MOI'!$C$14,'THAM_SO_MOI'!$C$13*(1+F3943^2/1500),'THAM_SO_MOI'!$C$13)</f>
        <v>0.015</v>
      </c>
      <c r="J3943" s="75">
        <f>'THAM_SO_MOI'!$C$40*('THAM_SO_MOI'!$C$23*(E3943/'THAM_SO_MOI'!$C$22)+'THAM_SO_MOI'!$C$24*(E3943/'THAM_SO_MOI'!$C$22)^2-'THAM_SO_MOI'!$C$25*(E3943/'THAM_SO_MOI'!$C$22)^3)</f>
        <v>93.60530997052311</v>
      </c>
      <c r="K3943" s="75">
        <f>'THAM_SO_MOI'!$C$31*J3943/E3943</f>
        <v>429.7673918142093</v>
      </c>
      <c r="L3943" s="75">
        <f>K3943*'THAM_SO_MOI'!$C$53*'THAM_SO_MOI'!$C$17/'THAM_SO_MOI'!$C$26</f>
        <v>3769.061707876907</v>
      </c>
      <c r="M3943" s="75">
        <f>'THAM_SO_MOI'!$C$15*'THAM_SO_MOI'!$C$16*F3943^2</f>
        <v>1303.9533974155388</v>
      </c>
      <c r="N3943" s="75">
        <f>'THAM_SO_MOI'!$C$12*I3943</f>
        <v>1130.112</v>
      </c>
      <c r="O3943" s="75">
        <f>M3943+N3943</f>
        <v>2434.065397415539</v>
      </c>
      <c r="P3943" s="75">
        <f>(MIN(L3943,'THAM_SO_MOI'!$C$41)-O3943)/('THAM_SO_MOI'!$C$11*H3943)</f>
        <v>0.15802513144665814</v>
      </c>
      <c r="Q3943" s="75">
        <f>IF(P3943&gt;0,1/P3943,NA())</f>
        <v>6.328107376626692</v>
      </c>
      <c r="R3943" s="75">
        <f>F3943-F3942</f>
        <v>0.007388554569875083</v>
      </c>
      <c r="S3943" s="75">
        <f>0.5*(Q3942+Q3943)*R3943</f>
        <v>0.0467405390179923</v>
      </c>
      <c r="T3943" s="75">
        <f>0.5*(F3942*Q3942+F3943*Q3943)*R3943</f>
        <v>0.9867016307997144</v>
      </c>
      <c r="U3943" s="76">
        <f>U3942+S3943</f>
        <v>54.591206450636285</v>
      </c>
      <c r="V3943" s="76">
        <f>V3942+T3943</f>
        <v>775.2901414151615</v>
      </c>
    </row>
    <row r="3944" spans="1:22" ht="19" customHeight="1">
      <c r="A3944" s="68" t="s">
        <v>378</v>
      </c>
      <c r="B3944" s="74">
        <v>5</v>
      </c>
      <c r="C3944" s="68" t="s">
        <v>363</v>
      </c>
      <c r="D3944" s="68" t="s">
        <v>364</v>
      </c>
      <c r="E3944" s="75">
        <f>60*F3944*'THAM_SO_MOI'!$C$53/(2*PI()*'THAM_SO_MOI'!$C$26)</f>
        <v>2081.001019652586</v>
      </c>
      <c r="F3944" s="75">
        <f>'HANH_TRINH'!$F$3289+('THAM_SO_MOI'!$C$14-'HANH_TRINH'!$F$3289)*654/'THAM_SO_MOI'!$C$42</f>
        <v>21.121271032798685</v>
      </c>
      <c r="G3944" s="75">
        <f>3.6*F3944</f>
        <v>76.03657571807527</v>
      </c>
      <c r="H3944" s="75">
        <f>'THAM_SO_MOI'!$D$53</f>
        <v>1.1</v>
      </c>
      <c r="I3944" s="75">
        <f>IF(F3944&gt;'THAM_SO_MOI'!$C$14,'THAM_SO_MOI'!$C$13*(1+F3944^2/1500),'THAM_SO_MOI'!$C$13)</f>
        <v>0.015</v>
      </c>
      <c r="J3944" s="75">
        <f>'THAM_SO_MOI'!$C$40*('THAM_SO_MOI'!$C$23*(E3944/'THAM_SO_MOI'!$C$22)+'THAM_SO_MOI'!$C$24*(E3944/'THAM_SO_MOI'!$C$22)^2-'THAM_SO_MOI'!$C$25*(E3944/'THAM_SO_MOI'!$C$22)^3)</f>
        <v>93.63938983116958</v>
      </c>
      <c r="K3944" s="75">
        <f>'THAM_SO_MOI'!$C$31*J3944/E3944</f>
        <v>429.7734675424422</v>
      </c>
      <c r="L3944" s="75">
        <f>K3944*'THAM_SO_MOI'!$C$53*'THAM_SO_MOI'!$C$17/'THAM_SO_MOI'!$C$26</f>
        <v>3769.1149920372827</v>
      </c>
      <c r="M3944" s="75">
        <f>'THAM_SO_MOI'!$C$15*'THAM_SO_MOI'!$C$16*F3944^2</f>
        <v>1304.866163369752</v>
      </c>
      <c r="N3944" s="75">
        <f>'THAM_SO_MOI'!$C$12*I3944</f>
        <v>1130.112</v>
      </c>
      <c r="O3944" s="75">
        <f>M3944+N3944</f>
        <v>2434.978163369752</v>
      </c>
      <c r="P3944" s="75">
        <f>(MIN(L3944,'THAM_SO_MOI'!$C$41)-O3944)/('THAM_SO_MOI'!$C$11*H3944)</f>
        <v>0.1579233935449255</v>
      </c>
      <c r="Q3944" s="75">
        <f>IF(P3944&gt;0,1/P3944,NA())</f>
        <v>6.332184089721474</v>
      </c>
      <c r="R3944" s="75">
        <f>F3944-F3943</f>
        <v>0.0073885545698715305</v>
      </c>
      <c r="S3944" s="75">
        <f>0.5*(Q3943+Q3944)*R3944</f>
        <v>0.04677062718479614</v>
      </c>
      <c r="T3944" s="75">
        <f>0.5*(F3943*Q3943+F3944*Q3944)*R3944</f>
        <v>0.9876823651161452</v>
      </c>
      <c r="U3944" s="76">
        <f>U3943+S3944</f>
        <v>54.637977077821084</v>
      </c>
      <c r="V3944" s="76">
        <f>V3943+T3944</f>
        <v>776.2778237802777</v>
      </c>
    </row>
    <row r="3945" spans="1:22" ht="19" customHeight="1">
      <c r="A3945" s="68" t="s">
        <v>378</v>
      </c>
      <c r="B3945" s="74">
        <v>5</v>
      </c>
      <c r="C3945" s="68" t="s">
        <v>363</v>
      </c>
      <c r="D3945" s="68" t="s">
        <v>364</v>
      </c>
      <c r="E3945" s="75">
        <f>60*F3945*'THAM_SO_MOI'!$C$53/(2*PI()*'THAM_SO_MOI'!$C$26)</f>
        <v>2081.728986713365</v>
      </c>
      <c r="F3945" s="75">
        <f>'HANH_TRINH'!$F$3289+('THAM_SO_MOI'!$C$14-'HANH_TRINH'!$F$3289)*655/'THAM_SO_MOI'!$C$42</f>
        <v>21.128659587368556</v>
      </c>
      <c r="G3945" s="75">
        <f>3.6*F3945</f>
        <v>76.0631745145268</v>
      </c>
      <c r="H3945" s="75">
        <f>'THAM_SO_MOI'!$D$53</f>
        <v>1.1</v>
      </c>
      <c r="I3945" s="75">
        <f>IF(F3945&gt;'THAM_SO_MOI'!$C$14,'THAM_SO_MOI'!$C$13*(1+F3945^2/1500),'THAM_SO_MOI'!$C$13)</f>
        <v>0.015</v>
      </c>
      <c r="J3945" s="75">
        <f>'THAM_SO_MOI'!$C$40*('THAM_SO_MOI'!$C$23*(E3945/'THAM_SO_MOI'!$C$22)+'THAM_SO_MOI'!$C$24*(E3945/'THAM_SO_MOI'!$C$22)^2-'THAM_SO_MOI'!$C$25*(E3945/'THAM_SO_MOI'!$C$22)^3)</f>
        <v>93.67345941243522</v>
      </c>
      <c r="K3945" s="75">
        <f>'THAM_SO_MOI'!$C$31*J3945/E3945</f>
        <v>429.77949185896966</v>
      </c>
      <c r="L3945" s="75">
        <f>K3945*'THAM_SO_MOI'!$C$53*'THAM_SO_MOI'!$C$17/'THAM_SO_MOI'!$C$26</f>
        <v>3769.167825316802</v>
      </c>
      <c r="M3945" s="75">
        <f>'THAM_SO_MOI'!$C$15*'THAM_SO_MOI'!$C$16*F3945^2</f>
        <v>1305.7792486797862</v>
      </c>
      <c r="N3945" s="75">
        <f>'THAM_SO_MOI'!$C$12*I3945</f>
        <v>1130.112</v>
      </c>
      <c r="O3945" s="75">
        <f>M3945+N3945</f>
        <v>2435.8912486797863</v>
      </c>
      <c r="P3945" s="75">
        <f>(MIN(L3945,'THAM_SO_MOI'!$C$41)-O3945)/('THAM_SO_MOI'!$C$11*H3945)</f>
        <v>0.15782156446934373</v>
      </c>
      <c r="Q3945" s="75">
        <f>IF(P3945&gt;0,1/P3945,NA())</f>
        <v>6.336269719302183</v>
      </c>
      <c r="R3945" s="75">
        <f>F3945-F3944</f>
        <v>0.0073885545698715305</v>
      </c>
      <c r="S3945" s="75">
        <f>0.5*(Q3944+Q3945)*R3945</f>
        <v>0.04680078114193407</v>
      </c>
      <c r="T3945" s="75">
        <f>0.5*(F3944*Q3944+F3945*Q3945)*R3945</f>
        <v>0.9886649338675569</v>
      </c>
      <c r="U3945" s="76">
        <f>U3944+S3945</f>
        <v>54.68477785896302</v>
      </c>
      <c r="V3945" s="76">
        <f>V3944+T3945</f>
        <v>777.2664887141452</v>
      </c>
    </row>
    <row r="3946" spans="1:22" ht="19" customHeight="1">
      <c r="A3946" s="68" t="s">
        <v>378</v>
      </c>
      <c r="B3946" s="74">
        <v>5</v>
      </c>
      <c r="C3946" s="68" t="s">
        <v>363</v>
      </c>
      <c r="D3946" s="68" t="s">
        <v>364</v>
      </c>
      <c r="E3946" s="75">
        <f>60*F3946*'THAM_SO_MOI'!$C$53/(2*PI()*'THAM_SO_MOI'!$C$26)</f>
        <v>2082.4569537741436</v>
      </c>
      <c r="F3946" s="75">
        <f>'HANH_TRINH'!$F$3289+('THAM_SO_MOI'!$C$14-'HANH_TRINH'!$F$3289)*656/'THAM_SO_MOI'!$C$42</f>
        <v>21.136048141938428</v>
      </c>
      <c r="G3946" s="75">
        <f>3.6*F3946</f>
        <v>76.08977331097834</v>
      </c>
      <c r="H3946" s="75">
        <f>'THAM_SO_MOI'!$D$53</f>
        <v>1.1</v>
      </c>
      <c r="I3946" s="75">
        <f>IF(F3946&gt;'THAM_SO_MOI'!$C$14,'THAM_SO_MOI'!$C$13*(1+F3946^2/1500),'THAM_SO_MOI'!$C$13)</f>
        <v>0.015</v>
      </c>
      <c r="J3946" s="75">
        <f>'THAM_SO_MOI'!$C$40*('THAM_SO_MOI'!$C$23*(E3946/'THAM_SO_MOI'!$C$22)+'THAM_SO_MOI'!$C$24*(E3946/'THAM_SO_MOI'!$C$22)^2-'THAM_SO_MOI'!$C$25*(E3946/'THAM_SO_MOI'!$C$22)^3)</f>
        <v>93.70751870256453</v>
      </c>
      <c r="K3946" s="75">
        <f>'THAM_SO_MOI'!$C$31*J3946/E3946</f>
        <v>429.78546476379165</v>
      </c>
      <c r="L3946" s="75">
        <f>K3946*'THAM_SO_MOI'!$C$53*'THAM_SO_MOI'!$C$17/'THAM_SO_MOI'!$C$26</f>
        <v>3769.2202077154625</v>
      </c>
      <c r="M3946" s="75">
        <f>'THAM_SO_MOI'!$C$15*'THAM_SO_MOI'!$C$16*F3946^2</f>
        <v>1306.6926533456412</v>
      </c>
      <c r="N3946" s="75">
        <f>'THAM_SO_MOI'!$C$12*I3946</f>
        <v>1130.112</v>
      </c>
      <c r="O3946" s="75">
        <f>M3946+N3946</f>
        <v>2436.8046533456413</v>
      </c>
      <c r="P3946" s="75">
        <f>(MIN(L3946,'THAM_SO_MOI'!$C$41)-O3946)/('THAM_SO_MOI'!$C$11*H3946)</f>
        <v>0.15771964421991255</v>
      </c>
      <c r="Q3946" s="75">
        <f>IF(P3946&gt;0,1/P3946,NA())</f>
        <v>6.340364289724584</v>
      </c>
      <c r="R3946" s="75">
        <f>F3946-F3945</f>
        <v>0.0073885545698715305</v>
      </c>
      <c r="S3946" s="75">
        <f>0.5*(Q3945+Q3946)*R3946</f>
        <v>0.04683100106899179</v>
      </c>
      <c r="T3946" s="75">
        <f>0.5*(F3945*Q3945+F3946*Q3946)*R3946</f>
        <v>0.9896493423073065</v>
      </c>
      <c r="U3946" s="76">
        <f>U3945+S3946</f>
        <v>54.73160886003201</v>
      </c>
      <c r="V3946" s="76">
        <f>V3945+T3946</f>
        <v>778.2561380564525</v>
      </c>
    </row>
    <row r="3947" spans="1:22" ht="19" customHeight="1">
      <c r="A3947" s="68" t="s">
        <v>378</v>
      </c>
      <c r="B3947" s="74">
        <v>5</v>
      </c>
      <c r="C3947" s="68" t="s">
        <v>363</v>
      </c>
      <c r="D3947" s="68" t="s">
        <v>364</v>
      </c>
      <c r="E3947" s="75">
        <f>60*F3947*'THAM_SO_MOI'!$C$53/(2*PI()*'THAM_SO_MOI'!$C$26)</f>
        <v>2083.184920834923</v>
      </c>
      <c r="F3947" s="75">
        <f>'HANH_TRINH'!$F$3289+('THAM_SO_MOI'!$C$14-'HANH_TRINH'!$F$3289)*657/'THAM_SO_MOI'!$C$42</f>
        <v>21.143436696508303</v>
      </c>
      <c r="G3947" s="75">
        <f>3.6*F3947</f>
        <v>76.1163721074299</v>
      </c>
      <c r="H3947" s="75">
        <f>'THAM_SO_MOI'!$D$53</f>
        <v>1.1</v>
      </c>
      <c r="I3947" s="75">
        <f>IF(F3947&gt;'THAM_SO_MOI'!$C$14,'THAM_SO_MOI'!$C$13*(1+F3947^2/1500),'THAM_SO_MOI'!$C$13)</f>
        <v>0.015</v>
      </c>
      <c r="J3947" s="75">
        <f>'THAM_SO_MOI'!$C$40*('THAM_SO_MOI'!$C$23*(E3947/'THAM_SO_MOI'!$C$22)+'THAM_SO_MOI'!$C$24*(E3947/'THAM_SO_MOI'!$C$22)^2-'THAM_SO_MOI'!$C$25*(E3947/'THAM_SO_MOI'!$C$22)^3)</f>
        <v>93.74156768980201</v>
      </c>
      <c r="K3947" s="75">
        <f>'THAM_SO_MOI'!$C$31*J3947/E3947</f>
        <v>429.7913862569082</v>
      </c>
      <c r="L3947" s="75">
        <f>K3947*'THAM_SO_MOI'!$C$53*'THAM_SO_MOI'!$C$17/'THAM_SO_MOI'!$C$26</f>
        <v>3769.2721392332655</v>
      </c>
      <c r="M3947" s="75">
        <f>'THAM_SO_MOI'!$C$15*'THAM_SO_MOI'!$C$16*F3947^2</f>
        <v>1307.606377367318</v>
      </c>
      <c r="N3947" s="75">
        <f>'THAM_SO_MOI'!$C$12*I3947</f>
        <v>1130.112</v>
      </c>
      <c r="O3947" s="75">
        <f>M3947+N3947</f>
        <v>2437.7183773673178</v>
      </c>
      <c r="P3947" s="75">
        <f>(MIN(L3947,'THAM_SO_MOI'!$C$41)-O3947)/('THAM_SO_MOI'!$C$11*H3947)</f>
        <v>0.15761763279663202</v>
      </c>
      <c r="Q3947" s="75">
        <f>IF(P3947&gt;0,1/P3947,NA())</f>
        <v>6.344467825438424</v>
      </c>
      <c r="R3947" s="75">
        <f>F3947-F3946</f>
        <v>0.007388554569875083</v>
      </c>
      <c r="S3947" s="75">
        <f>0.5*(Q3946+Q3947)*R3947</f>
        <v>0.04686128714629293</v>
      </c>
      <c r="T3947" s="75">
        <f>0.5*(F3946*Q3946+F3947*Q3947)*R3947</f>
        <v>0.9906355957096568</v>
      </c>
      <c r="U3947" s="76">
        <f>U3946+S3947</f>
        <v>54.778470147178304</v>
      </c>
      <c r="V3947" s="76">
        <f>V3946+T3947</f>
        <v>779.2467736521622</v>
      </c>
    </row>
    <row r="3948" spans="1:22" ht="19" customHeight="1">
      <c r="A3948" s="68" t="s">
        <v>378</v>
      </c>
      <c r="B3948" s="74">
        <v>5</v>
      </c>
      <c r="C3948" s="68" t="s">
        <v>363</v>
      </c>
      <c r="D3948" s="68" t="s">
        <v>364</v>
      </c>
      <c r="E3948" s="75">
        <f>60*F3948*'THAM_SO_MOI'!$C$53/(2*PI()*'THAM_SO_MOI'!$C$26)</f>
        <v>2083.9128878957017</v>
      </c>
      <c r="F3948" s="75">
        <f>'HANH_TRINH'!$F$3289+('THAM_SO_MOI'!$C$14-'HANH_TRINH'!$F$3289)*658/'THAM_SO_MOI'!$C$42</f>
        <v>21.150825251078174</v>
      </c>
      <c r="G3948" s="75">
        <f>3.6*F3948</f>
        <v>76.14297090388143</v>
      </c>
      <c r="H3948" s="75">
        <f>'THAM_SO_MOI'!$D$53</f>
        <v>1.1</v>
      </c>
      <c r="I3948" s="75">
        <f>IF(F3948&gt;'THAM_SO_MOI'!$C$14,'THAM_SO_MOI'!$C$13*(1+F3948^2/1500),'THAM_SO_MOI'!$C$13)</f>
        <v>0.015</v>
      </c>
      <c r="J3948" s="75">
        <f>'THAM_SO_MOI'!$C$40*('THAM_SO_MOI'!$C$23*(E3948/'THAM_SO_MOI'!$C$22)+'THAM_SO_MOI'!$C$24*(E3948/'THAM_SO_MOI'!$C$22)^2-'THAM_SO_MOI'!$C$25*(E3948/'THAM_SO_MOI'!$C$22)^3)</f>
        <v>93.77560636239211</v>
      </c>
      <c r="K3948" s="75">
        <f>'THAM_SO_MOI'!$C$31*J3948/E3948</f>
        <v>429.7972563383194</v>
      </c>
      <c r="L3948" s="75">
        <f>K3948*'THAM_SO_MOI'!$C$53*'THAM_SO_MOI'!$C$17/'THAM_SO_MOI'!$C$26</f>
        <v>3769.323619870211</v>
      </c>
      <c r="M3948" s="75">
        <f>'THAM_SO_MOI'!$C$15*'THAM_SO_MOI'!$C$16*F3948^2</f>
        <v>1308.520420744815</v>
      </c>
      <c r="N3948" s="75">
        <f>'THAM_SO_MOI'!$C$12*I3948</f>
        <v>1130.112</v>
      </c>
      <c r="O3948" s="75">
        <f>M3948+N3948</f>
        <v>2438.632420744815</v>
      </c>
      <c r="P3948" s="75">
        <f>(MIN(L3948,'THAM_SO_MOI'!$C$41)-O3948)/('THAM_SO_MOI'!$C$11*H3948)</f>
        <v>0.15751553019950237</v>
      </c>
      <c r="Q3948" s="75">
        <f>IF(P3948&gt;0,1/P3948,NA())</f>
        <v>6.348580350987888</v>
      </c>
      <c r="R3948" s="75">
        <f>F3948-F3947</f>
        <v>0.0073885545698715305</v>
      </c>
      <c r="S3948" s="75">
        <f>0.5*(Q3947+Q3948)*R3948</f>
        <v>0.046891639554767064</v>
      </c>
      <c r="T3948" s="75">
        <f>0.5*(F3947*Q3947+F3948*Q3948)*R3948</f>
        <v>0.9916236993670147</v>
      </c>
      <c r="U3948" s="76">
        <f>U3947+S3948</f>
        <v>54.82536178673307</v>
      </c>
      <c r="V3948" s="76">
        <f>V3947+T3948</f>
        <v>780.2383973515292</v>
      </c>
    </row>
    <row r="3949" spans="1:22" ht="19" customHeight="1">
      <c r="A3949" s="68" t="s">
        <v>378</v>
      </c>
      <c r="B3949" s="74">
        <v>5</v>
      </c>
      <c r="C3949" s="68" t="s">
        <v>363</v>
      </c>
      <c r="D3949" s="68" t="s">
        <v>364</v>
      </c>
      <c r="E3949" s="75">
        <f>60*F3949*'THAM_SO_MOI'!$C$53/(2*PI()*'THAM_SO_MOI'!$C$26)</f>
        <v>2084.640854956481</v>
      </c>
      <c r="F3949" s="75">
        <f>'HANH_TRINH'!$F$3289+('THAM_SO_MOI'!$C$14-'HANH_TRINH'!$F$3289)*659/'THAM_SO_MOI'!$C$42</f>
        <v>21.158213805648046</v>
      </c>
      <c r="G3949" s="75">
        <f>3.6*F3949</f>
        <v>76.16956970033297</v>
      </c>
      <c r="H3949" s="75">
        <f>'THAM_SO_MOI'!$D$53</f>
        <v>1.1</v>
      </c>
      <c r="I3949" s="75">
        <f>IF(F3949&gt;'THAM_SO_MOI'!$C$14,'THAM_SO_MOI'!$C$13*(1+F3949^2/1500),'THAM_SO_MOI'!$C$13)</f>
        <v>0.015</v>
      </c>
      <c r="J3949" s="75">
        <f>'THAM_SO_MOI'!$C$40*('THAM_SO_MOI'!$C$23*(E3949/'THAM_SO_MOI'!$C$22)+'THAM_SO_MOI'!$C$24*(E3949/'THAM_SO_MOI'!$C$22)^2-'THAM_SO_MOI'!$C$25*(E3949/'THAM_SO_MOI'!$C$22)^3)</f>
        <v>93.80963470857935</v>
      </c>
      <c r="K3949" s="75">
        <f>'THAM_SO_MOI'!$C$31*J3949/E3949</f>
        <v>429.8030750080251</v>
      </c>
      <c r="L3949" s="75">
        <f>K3949*'THAM_SO_MOI'!$C$53*'THAM_SO_MOI'!$C$17/'THAM_SO_MOI'!$C$26</f>
        <v>3769.374649626298</v>
      </c>
      <c r="M3949" s="75">
        <f>'THAM_SO_MOI'!$C$15*'THAM_SO_MOI'!$C$16*F3949^2</f>
        <v>1309.434783478133</v>
      </c>
      <c r="N3949" s="75">
        <f>'THAM_SO_MOI'!$C$12*I3949</f>
        <v>1130.112</v>
      </c>
      <c r="O3949" s="75">
        <f>M3949+N3949</f>
        <v>2439.546783478133</v>
      </c>
      <c r="P3949" s="75">
        <f>(MIN(L3949,'THAM_SO_MOI'!$C$41)-O3949)/('THAM_SO_MOI'!$C$11*H3949)</f>
        <v>0.15741333642852326</v>
      </c>
      <c r="Q3949" s="75">
        <f>IF(P3949&gt;0,1/P3949,NA())</f>
        <v>6.352701891012077</v>
      </c>
      <c r="R3949" s="75">
        <f>F3949-F3948</f>
        <v>0.0073885545698715305</v>
      </c>
      <c r="S3949" s="75">
        <f>0.5*(Q3948+Q3949)*R3949</f>
        <v>0.04692205847617848</v>
      </c>
      <c r="T3949" s="75">
        <f>0.5*(F3948*Q3948+F3949*Q3949)*R3949</f>
        <v>0.992613658594792</v>
      </c>
      <c r="U3949" s="76">
        <f>U3948+S3949</f>
        <v>54.872283845209246</v>
      </c>
      <c r="V3949" s="76">
        <f>V3948+T3949</f>
        <v>781.231011010124</v>
      </c>
    </row>
    <row r="3950" spans="1:22" ht="19" customHeight="1">
      <c r="A3950" s="68" t="s">
        <v>378</v>
      </c>
      <c r="B3950" s="74">
        <v>5</v>
      </c>
      <c r="C3950" s="68" t="s">
        <v>363</v>
      </c>
      <c r="D3950" s="68" t="s">
        <v>364</v>
      </c>
      <c r="E3950" s="75">
        <f>60*F3950*'THAM_SO_MOI'!$C$53/(2*PI()*'THAM_SO_MOI'!$C$26)</f>
        <v>2085.3688220172594</v>
      </c>
      <c r="F3950" s="75">
        <f>'HANH_TRINH'!$F$3289+('THAM_SO_MOI'!$C$14-'HANH_TRINH'!$F$3289)*660/'THAM_SO_MOI'!$C$42</f>
        <v>21.165602360217918</v>
      </c>
      <c r="G3950" s="75">
        <f>3.6*F3950</f>
        <v>76.19616849678451</v>
      </c>
      <c r="H3950" s="75">
        <f>'THAM_SO_MOI'!$D$53</f>
        <v>1.1</v>
      </c>
      <c r="I3950" s="75">
        <f>IF(F3950&gt;'THAM_SO_MOI'!$C$14,'THAM_SO_MOI'!$C$13*(1+F3950^2/1500),'THAM_SO_MOI'!$C$13)</f>
        <v>0.015</v>
      </c>
      <c r="J3950" s="75">
        <f>'THAM_SO_MOI'!$C$40*('THAM_SO_MOI'!$C$23*(E3950/'THAM_SO_MOI'!$C$22)+'THAM_SO_MOI'!$C$24*(E3950/'THAM_SO_MOI'!$C$22)^2-'THAM_SO_MOI'!$C$25*(E3950/'THAM_SO_MOI'!$C$22)^3)</f>
        <v>93.84365271660818</v>
      </c>
      <c r="K3950" s="75">
        <f>'THAM_SO_MOI'!$C$31*J3950/E3950</f>
        <v>429.80884226602535</v>
      </c>
      <c r="L3950" s="75">
        <f>K3950*'THAM_SO_MOI'!$C$53*'THAM_SO_MOI'!$C$17/'THAM_SO_MOI'!$C$26</f>
        <v>3769.4252285015277</v>
      </c>
      <c r="M3950" s="75">
        <f>'THAM_SO_MOI'!$C$15*'THAM_SO_MOI'!$C$16*F3950^2</f>
        <v>1310.3494655672723</v>
      </c>
      <c r="N3950" s="75">
        <f>'THAM_SO_MOI'!$C$12*I3950</f>
        <v>1130.112</v>
      </c>
      <c r="O3950" s="75">
        <f>M3950+N3950</f>
        <v>2440.461465567272</v>
      </c>
      <c r="P3950" s="75">
        <f>(MIN(L3950,'THAM_SO_MOI'!$C$41)-O3950)/('THAM_SO_MOI'!$C$11*H3950)</f>
        <v>0.15731105148369498</v>
      </c>
      <c r="Q3950" s="75">
        <f>IF(P3950&gt;0,1/P3950,NA())</f>
        <v>6.356832470245412</v>
      </c>
      <c r="R3950" s="75">
        <f>F3950-F3949</f>
        <v>0.0073885545698715305</v>
      </c>
      <c r="S3950" s="75">
        <f>0.5*(Q3949+Q3950)*R3950</f>
        <v>0.046952544092904135</v>
      </c>
      <c r="T3950" s="75">
        <f>0.5*(F3949*Q3949+F3950*Q3950)*R3950</f>
        <v>0.9936054787267379</v>
      </c>
      <c r="U3950" s="76">
        <f>U3949+S3950</f>
        <v>54.91923638930215</v>
      </c>
      <c r="V3950" s="76">
        <f>V3949+T3950</f>
        <v>782.2246164888508</v>
      </c>
    </row>
    <row r="3951" spans="1:22" ht="19" customHeight="1">
      <c r="A3951" s="68" t="s">
        <v>378</v>
      </c>
      <c r="B3951" s="74">
        <v>5</v>
      </c>
      <c r="C3951" s="68" t="s">
        <v>363</v>
      </c>
      <c r="D3951" s="68" t="s">
        <v>364</v>
      </c>
      <c r="E3951" s="75">
        <f>60*F3951*'THAM_SO_MOI'!$C$53/(2*PI()*'THAM_SO_MOI'!$C$26)</f>
        <v>2086.096789078039</v>
      </c>
      <c r="F3951" s="75">
        <f>'HANH_TRINH'!$F$3289+('THAM_SO_MOI'!$C$14-'HANH_TRINH'!$F$3289)*661/'THAM_SO_MOI'!$C$42</f>
        <v>21.17299091478779</v>
      </c>
      <c r="G3951" s="75">
        <f>3.6*F3951</f>
        <v>76.22276729323605</v>
      </c>
      <c r="H3951" s="75">
        <f>'THAM_SO_MOI'!$D$53</f>
        <v>1.1</v>
      </c>
      <c r="I3951" s="75">
        <f>IF(F3951&gt;'THAM_SO_MOI'!$C$14,'THAM_SO_MOI'!$C$13*(1+F3951^2/1500),'THAM_SO_MOI'!$C$13)</f>
        <v>0.015</v>
      </c>
      <c r="J3951" s="75">
        <f>'THAM_SO_MOI'!$C$40*('THAM_SO_MOI'!$C$23*(E3951/'THAM_SO_MOI'!$C$22)+'THAM_SO_MOI'!$C$24*(E3951/'THAM_SO_MOI'!$C$22)^2-'THAM_SO_MOI'!$C$25*(E3951/'THAM_SO_MOI'!$C$22)^3)</f>
        <v>93.87766037472313</v>
      </c>
      <c r="K3951" s="75">
        <f>'THAM_SO_MOI'!$C$31*J3951/E3951</f>
        <v>429.81455811232024</v>
      </c>
      <c r="L3951" s="75">
        <f>K3951*'THAM_SO_MOI'!$C$53*'THAM_SO_MOI'!$C$17/'THAM_SO_MOI'!$C$26</f>
        <v>3769.4753564959</v>
      </c>
      <c r="M3951" s="75">
        <f>'THAM_SO_MOI'!$C$15*'THAM_SO_MOI'!$C$16*F3951^2</f>
        <v>1311.2644670122324</v>
      </c>
      <c r="N3951" s="75">
        <f>'THAM_SO_MOI'!$C$12*I3951</f>
        <v>1130.112</v>
      </c>
      <c r="O3951" s="75">
        <f>M3951+N3951</f>
        <v>2441.3764670122328</v>
      </c>
      <c r="P3951" s="75">
        <f>(MIN(L3951,'THAM_SO_MOI'!$C$41)-O3951)/('THAM_SO_MOI'!$C$11*H3951)</f>
        <v>0.15720867536501745</v>
      </c>
      <c r="Q3951" s="75">
        <f>IF(P3951&gt;0,1/P3951,NA())</f>
        <v>6.360972113518126</v>
      </c>
      <c r="R3951" s="75">
        <f>F3951-F3950</f>
        <v>0.0073885545698715305</v>
      </c>
      <c r="S3951" s="75">
        <f>0.5*(Q3950+Q3951)*R3951</f>
        <v>0.04698309658804959</v>
      </c>
      <c r="T3951" s="75">
        <f>0.5*(F3950*Q3950+F3951*Q3951)*R3951</f>
        <v>0.9945991651174162</v>
      </c>
      <c r="U3951" s="76">
        <f>U3950+S3951</f>
        <v>54.9662194858902</v>
      </c>
      <c r="V3951" s="76">
        <f>V3950+T3951</f>
        <v>783.2192156539681</v>
      </c>
    </row>
    <row r="3952" spans="1:22" ht="19" customHeight="1">
      <c r="A3952" s="68" t="s">
        <v>378</v>
      </c>
      <c r="B3952" s="74">
        <v>5</v>
      </c>
      <c r="C3952" s="68" t="s">
        <v>363</v>
      </c>
      <c r="D3952" s="68" t="s">
        <v>364</v>
      </c>
      <c r="E3952" s="75">
        <f>60*F3952*'THAM_SO_MOI'!$C$53/(2*PI()*'THAM_SO_MOI'!$C$26)</f>
        <v>2086.8247561388175</v>
      </c>
      <c r="F3952" s="75">
        <f>'HANH_TRINH'!$F$3289+('THAM_SO_MOI'!$C$14-'HANH_TRINH'!$F$3289)*662/'THAM_SO_MOI'!$C$42</f>
        <v>21.18037946935766</v>
      </c>
      <c r="G3952" s="75">
        <f>3.6*F3952</f>
        <v>76.24936608968758</v>
      </c>
      <c r="H3952" s="75">
        <f>'THAM_SO_MOI'!$D$53</f>
        <v>1.1</v>
      </c>
      <c r="I3952" s="75">
        <f>IF(F3952&gt;'THAM_SO_MOI'!$C$14,'THAM_SO_MOI'!$C$13*(1+F3952^2/1500),'THAM_SO_MOI'!$C$13)</f>
        <v>0.015</v>
      </c>
      <c r="J3952" s="75">
        <f>'THAM_SO_MOI'!$C$40*('THAM_SO_MOI'!$C$23*(E3952/'THAM_SO_MOI'!$C$22)+'THAM_SO_MOI'!$C$24*(E3952/'THAM_SO_MOI'!$C$22)^2-'THAM_SO_MOI'!$C$25*(E3952/'THAM_SO_MOI'!$C$22)^3)</f>
        <v>93.91165767116861</v>
      </c>
      <c r="K3952" s="75">
        <f>'THAM_SO_MOI'!$C$31*J3952/E3952</f>
        <v>429.8202225469096</v>
      </c>
      <c r="L3952" s="75">
        <f>K3952*'THAM_SO_MOI'!$C$53*'THAM_SO_MOI'!$C$17/'THAM_SO_MOI'!$C$26</f>
        <v>3769.525033609413</v>
      </c>
      <c r="M3952" s="75">
        <f>'THAM_SO_MOI'!$C$15*'THAM_SO_MOI'!$C$16*F3952^2</f>
        <v>1312.1797878130135</v>
      </c>
      <c r="N3952" s="75">
        <f>'THAM_SO_MOI'!$C$12*I3952</f>
        <v>1130.112</v>
      </c>
      <c r="O3952" s="75">
        <f>M3952+N3952</f>
        <v>2442.291787813014</v>
      </c>
      <c r="P3952" s="75">
        <f>(MIN(L3952,'THAM_SO_MOI'!$C$41)-O3952)/('THAM_SO_MOI'!$C$11*H3952)</f>
        <v>0.15710620807249046</v>
      </c>
      <c r="Q3952" s="75">
        <f>IF(P3952&gt;0,1/P3952,NA())</f>
        <v>6.365120845756709</v>
      </c>
      <c r="R3952" s="75">
        <f>F3952-F3951</f>
        <v>0.0073885545698715305</v>
      </c>
      <c r="S3952" s="75">
        <f>0.5*(Q3951+Q3952)*R3952</f>
        <v>0.04701371614543</v>
      </c>
      <c r="T3952" s="75">
        <f>0.5*(F3951*Q3951+F3952*Q3952)*R3952</f>
        <v>0.9955947231418273</v>
      </c>
      <c r="U3952" s="76">
        <f>U3951+S3952</f>
        <v>55.01323320203563</v>
      </c>
      <c r="V3952" s="76">
        <f>V3951+T3952</f>
        <v>784.21481037711</v>
      </c>
    </row>
    <row r="3953" spans="1:22" ht="19" customHeight="1">
      <c r="A3953" s="68" t="s">
        <v>378</v>
      </c>
      <c r="B3953" s="74">
        <v>5</v>
      </c>
      <c r="C3953" s="68" t="s">
        <v>363</v>
      </c>
      <c r="D3953" s="68" t="s">
        <v>364</v>
      </c>
      <c r="E3953" s="75">
        <f>60*F3953*'THAM_SO_MOI'!$C$53/(2*PI()*'THAM_SO_MOI'!$C$26)</f>
        <v>2087.5527231995966</v>
      </c>
      <c r="F3953" s="75">
        <f>'HANH_TRINH'!$F$3289+('THAM_SO_MOI'!$C$14-'HANH_TRINH'!$F$3289)*663/'THAM_SO_MOI'!$C$42</f>
        <v>21.187768023927532</v>
      </c>
      <c r="G3953" s="75">
        <f>3.6*F3953</f>
        <v>76.27596488613912</v>
      </c>
      <c r="H3953" s="75">
        <f>'THAM_SO_MOI'!$D$53</f>
        <v>1.1</v>
      </c>
      <c r="I3953" s="75">
        <f>IF(F3953&gt;'THAM_SO_MOI'!$C$14,'THAM_SO_MOI'!$C$13*(1+F3953^2/1500),'THAM_SO_MOI'!$C$13)</f>
        <v>0.015</v>
      </c>
      <c r="J3953" s="75">
        <f>'THAM_SO_MOI'!$C$40*('THAM_SO_MOI'!$C$23*(E3953/'THAM_SO_MOI'!$C$22)+'THAM_SO_MOI'!$C$24*(E3953/'THAM_SO_MOI'!$C$22)^2-'THAM_SO_MOI'!$C$25*(E3953/'THAM_SO_MOI'!$C$22)^3)</f>
        <v>93.94564459418918</v>
      </c>
      <c r="K3953" s="75">
        <f>'THAM_SO_MOI'!$C$31*J3953/E3953</f>
        <v>429.8258355697935</v>
      </c>
      <c r="L3953" s="75">
        <f>K3953*'THAM_SO_MOI'!$C$53*'THAM_SO_MOI'!$C$17/'THAM_SO_MOI'!$C$26</f>
        <v>3769.574259842069</v>
      </c>
      <c r="M3953" s="75">
        <f>'THAM_SO_MOI'!$C$15*'THAM_SO_MOI'!$C$16*F3953^2</f>
        <v>1313.0954279696157</v>
      </c>
      <c r="N3953" s="75">
        <f>'THAM_SO_MOI'!$C$12*I3953</f>
        <v>1130.112</v>
      </c>
      <c r="O3953" s="75">
        <f>M3953+N3953</f>
        <v>2443.2074279696158</v>
      </c>
      <c r="P3953" s="75">
        <f>(MIN(L3953,'THAM_SO_MOI'!$C$41)-O3953)/('THAM_SO_MOI'!$C$11*H3953)</f>
        <v>0.15700364960611424</v>
      </c>
      <c r="Q3953" s="75">
        <f>IF(P3953&gt;0,1/P3953,NA())</f>
        <v>6.369278691984347</v>
      </c>
      <c r="R3953" s="75">
        <f>F3953-F3952</f>
        <v>0.0073885545698715305</v>
      </c>
      <c r="S3953" s="75">
        <f>0.5*(Q3952+Q3953)*R3953</f>
        <v>0.04704440294957329</v>
      </c>
      <c r="T3953" s="75">
        <f>0.5*(F3952*Q3952+F3953*Q3953)*R3953</f>
        <v>0.9965921581955053</v>
      </c>
      <c r="U3953" s="76">
        <f>U3952+S3953</f>
        <v>55.0602776049852</v>
      </c>
      <c r="V3953" s="76">
        <f>V3952+T3953</f>
        <v>785.2114025353055</v>
      </c>
    </row>
    <row r="3954" spans="1:22" ht="19" customHeight="1">
      <c r="A3954" s="68" t="s">
        <v>378</v>
      </c>
      <c r="B3954" s="74">
        <v>5</v>
      </c>
      <c r="C3954" s="68" t="s">
        <v>363</v>
      </c>
      <c r="D3954" s="68" t="s">
        <v>364</v>
      </c>
      <c r="E3954" s="75">
        <f>60*F3954*'THAM_SO_MOI'!$C$53/(2*PI()*'THAM_SO_MOI'!$C$26)</f>
        <v>2088.280690260375</v>
      </c>
      <c r="F3954" s="75">
        <f>'HANH_TRINH'!$F$3289+('THAM_SO_MOI'!$C$14-'HANH_TRINH'!$F$3289)*664/'THAM_SO_MOI'!$C$42</f>
        <v>21.195156578497404</v>
      </c>
      <c r="G3954" s="75">
        <f>3.6*F3954</f>
        <v>76.30256368259066</v>
      </c>
      <c r="H3954" s="75">
        <f>'THAM_SO_MOI'!$D$53</f>
        <v>1.1</v>
      </c>
      <c r="I3954" s="75">
        <f>IF(F3954&gt;'THAM_SO_MOI'!$C$14,'THAM_SO_MOI'!$C$13*(1+F3954^2/1500),'THAM_SO_MOI'!$C$13)</f>
        <v>0.015</v>
      </c>
      <c r="J3954" s="75">
        <f>'THAM_SO_MOI'!$C$40*('THAM_SO_MOI'!$C$23*(E3954/'THAM_SO_MOI'!$C$22)+'THAM_SO_MOI'!$C$24*(E3954/'THAM_SO_MOI'!$C$22)^2-'THAM_SO_MOI'!$C$25*(E3954/'THAM_SO_MOI'!$C$22)^3)</f>
        <v>93.9796211320293</v>
      </c>
      <c r="K3954" s="75">
        <f>'THAM_SO_MOI'!$C$31*J3954/E3954</f>
        <v>429.8313971809721</v>
      </c>
      <c r="L3954" s="75">
        <f>K3954*'THAM_SO_MOI'!$C$53*'THAM_SO_MOI'!$C$17/'THAM_SO_MOI'!$C$26</f>
        <v>3769.623035193867</v>
      </c>
      <c r="M3954" s="75">
        <f>'THAM_SO_MOI'!$C$15*'THAM_SO_MOI'!$C$16*F3954^2</f>
        <v>1314.0113874820388</v>
      </c>
      <c r="N3954" s="75">
        <f>'THAM_SO_MOI'!$C$12*I3954</f>
        <v>1130.112</v>
      </c>
      <c r="O3954" s="75">
        <f>M3954+N3954</f>
        <v>2444.123387482039</v>
      </c>
      <c r="P3954" s="75">
        <f>(MIN(L3954,'THAM_SO_MOI'!$C$41)-O3954)/('THAM_SO_MOI'!$C$11*H3954)</f>
        <v>0.15690099996588877</v>
      </c>
      <c r="Q3954" s="75">
        <f>IF(P3954&gt;0,1/P3954,NA())</f>
        <v>6.373445677321407</v>
      </c>
      <c r="R3954" s="75">
        <f>F3954-F3953</f>
        <v>0.0073885545698715305</v>
      </c>
      <c r="S3954" s="75">
        <f>0.5*(Q3953+Q3954)*R3954</f>
        <v>0.04707515718572367</v>
      </c>
      <c r="T3954" s="75">
        <f>0.5*(F3953*Q3953+F3954*Q3954)*R3954</f>
        <v>0.9975914756946163</v>
      </c>
      <c r="U3954" s="76">
        <f>U3953+S3954</f>
        <v>55.107352762170926</v>
      </c>
      <c r="V3954" s="76">
        <f>V3953+T3954</f>
        <v>786.2089940110002</v>
      </c>
    </row>
    <row r="3955" spans="1:22" ht="19" customHeight="1">
      <c r="A3955" s="68" t="s">
        <v>378</v>
      </c>
      <c r="B3955" s="74">
        <v>5</v>
      </c>
      <c r="C3955" s="68" t="s">
        <v>363</v>
      </c>
      <c r="D3955" s="68" t="s">
        <v>364</v>
      </c>
      <c r="E3955" s="75">
        <f>60*F3955*'THAM_SO_MOI'!$C$53/(2*PI()*'THAM_SO_MOI'!$C$26)</f>
        <v>2089.0086573211543</v>
      </c>
      <c r="F3955" s="75">
        <f>'HANH_TRINH'!$F$3289+('THAM_SO_MOI'!$C$14-'HANH_TRINH'!$F$3289)*665/'THAM_SO_MOI'!$C$42</f>
        <v>21.202545133067275</v>
      </c>
      <c r="G3955" s="75">
        <f>3.6*F3955</f>
        <v>76.3291624790422</v>
      </c>
      <c r="H3955" s="75">
        <f>'THAM_SO_MOI'!$D$53</f>
        <v>1.1</v>
      </c>
      <c r="I3955" s="75">
        <f>IF(F3955&gt;'THAM_SO_MOI'!$C$14,'THAM_SO_MOI'!$C$13*(1+F3955^2/1500),'THAM_SO_MOI'!$C$13)</f>
        <v>0.015</v>
      </c>
      <c r="J3955" s="75">
        <f>'THAM_SO_MOI'!$C$40*('THAM_SO_MOI'!$C$23*(E3955/'THAM_SO_MOI'!$C$22)+'THAM_SO_MOI'!$C$24*(E3955/'THAM_SO_MOI'!$C$22)^2-'THAM_SO_MOI'!$C$25*(E3955/'THAM_SO_MOI'!$C$22)^3)</f>
        <v>94.01358727293348</v>
      </c>
      <c r="K3955" s="75">
        <f>'THAM_SO_MOI'!$C$31*J3955/E3955</f>
        <v>429.8369073804454</v>
      </c>
      <c r="L3955" s="75">
        <f>K3955*'THAM_SO_MOI'!$C$53*'THAM_SO_MOI'!$C$17/'THAM_SO_MOI'!$C$26</f>
        <v>3769.671359664809</v>
      </c>
      <c r="M3955" s="75">
        <f>'THAM_SO_MOI'!$C$15*'THAM_SO_MOI'!$C$16*F3955^2</f>
        <v>1314.9276663502828</v>
      </c>
      <c r="N3955" s="75">
        <f>'THAM_SO_MOI'!$C$12*I3955</f>
        <v>1130.112</v>
      </c>
      <c r="O3955" s="75">
        <f>M3955+N3955</f>
        <v>2445.039666350283</v>
      </c>
      <c r="P3955" s="75">
        <f>(MIN(L3955,'THAM_SO_MOI'!$C$41)-O3955)/('THAM_SO_MOI'!$C$11*H3955)</f>
        <v>0.1567982591518142</v>
      </c>
      <c r="Q3955" s="75">
        <f>IF(P3955&gt;0,1/P3955,NA())</f>
        <v>6.377621826985888</v>
      </c>
      <c r="R3955" s="75">
        <f>F3955-F3954</f>
        <v>0.0073885545698715305</v>
      </c>
      <c r="S3955" s="75">
        <f>0.5*(Q3954+Q3955)*R3955</f>
        <v>0.04710597903984502</v>
      </c>
      <c r="T3955" s="75">
        <f>0.5*(F3954*Q3954+F3955*Q3955)*R3955</f>
        <v>0.9985926810760573</v>
      </c>
      <c r="U3955" s="76">
        <f>U3954+S3955</f>
        <v>55.154458741210775</v>
      </c>
      <c r="V3955" s="76">
        <f>V3954+T3955</f>
        <v>787.2075866920762</v>
      </c>
    </row>
    <row r="3956" spans="1:22" ht="19" customHeight="1">
      <c r="A3956" s="68" t="s">
        <v>378</v>
      </c>
      <c r="B3956" s="74">
        <v>5</v>
      </c>
      <c r="C3956" s="68" t="s">
        <v>363</v>
      </c>
      <c r="D3956" s="68" t="s">
        <v>364</v>
      </c>
      <c r="E3956" s="75">
        <f>60*F3956*'THAM_SO_MOI'!$C$53/(2*PI()*'THAM_SO_MOI'!$C$26)</f>
        <v>2089.7366243819333</v>
      </c>
      <c r="F3956" s="75">
        <f>'HANH_TRINH'!$F$3289+('THAM_SO_MOI'!$C$14-'HANH_TRINH'!$F$3289)*666/'THAM_SO_MOI'!$C$42</f>
        <v>21.209933687637147</v>
      </c>
      <c r="G3956" s="75">
        <f>3.6*F3956</f>
        <v>76.35576127549373</v>
      </c>
      <c r="H3956" s="75">
        <f>'THAM_SO_MOI'!$D$53</f>
        <v>1.1</v>
      </c>
      <c r="I3956" s="75">
        <f>IF(F3956&gt;'THAM_SO_MOI'!$C$14,'THAM_SO_MOI'!$C$13*(1+F3956^2/1500),'THAM_SO_MOI'!$C$13)</f>
        <v>0.015</v>
      </c>
      <c r="J3956" s="75">
        <f>'THAM_SO_MOI'!$C$40*('THAM_SO_MOI'!$C$23*(E3956/'THAM_SO_MOI'!$C$22)+'THAM_SO_MOI'!$C$24*(E3956/'THAM_SO_MOI'!$C$22)^2-'THAM_SO_MOI'!$C$25*(E3956/'THAM_SO_MOI'!$C$22)^3)</f>
        <v>94.04754300514615</v>
      </c>
      <c r="K3956" s="75">
        <f>'THAM_SO_MOI'!$C$31*J3956/E3956</f>
        <v>429.84236616821306</v>
      </c>
      <c r="L3956" s="75">
        <f>K3956*'THAM_SO_MOI'!$C$53*'THAM_SO_MOI'!$C$17/'THAM_SO_MOI'!$C$26</f>
        <v>3769.719233254892</v>
      </c>
      <c r="M3956" s="75">
        <f>'THAM_SO_MOI'!$C$15*'THAM_SO_MOI'!$C$16*F3956^2</f>
        <v>1315.844264574348</v>
      </c>
      <c r="N3956" s="75">
        <f>'THAM_SO_MOI'!$C$12*I3956</f>
        <v>1130.112</v>
      </c>
      <c r="O3956" s="75">
        <f>M3956+N3956</f>
        <v>2445.956264574348</v>
      </c>
      <c r="P3956" s="75">
        <f>(MIN(L3956,'THAM_SO_MOI'!$C$41)-O3956)/('THAM_SO_MOI'!$C$11*H3956)</f>
        <v>0.15669542716389015</v>
      </c>
      <c r="Q3956" s="75">
        <f>IF(P3956&gt;0,1/P3956,NA())</f>
        <v>6.381807166293913</v>
      </c>
      <c r="R3956" s="75">
        <f>F3956-F3955</f>
        <v>0.0073885545698715305</v>
      </c>
      <c r="S3956" s="75">
        <f>0.5*(Q3955+Q3956)*R3956</f>
        <v>0.047136868698624386</v>
      </c>
      <c r="T3956" s="75">
        <f>0.5*(F3955*Q3955+F3956*Q3956)*R3956</f>
        <v>0.9995957797975572</v>
      </c>
      <c r="U3956" s="76">
        <f>U3955+S3956</f>
        <v>55.2015956099094</v>
      </c>
      <c r="V3956" s="76">
        <f>V3955+T3956</f>
        <v>788.2071824718738</v>
      </c>
    </row>
    <row r="3957" spans="1:22" ht="19" customHeight="1">
      <c r="A3957" s="68" t="s">
        <v>378</v>
      </c>
      <c r="B3957" s="74">
        <v>5</v>
      </c>
      <c r="C3957" s="68" t="s">
        <v>363</v>
      </c>
      <c r="D3957" s="68" t="s">
        <v>364</v>
      </c>
      <c r="E3957" s="75">
        <f>60*F3957*'THAM_SO_MOI'!$C$53/(2*PI()*'THAM_SO_MOI'!$C$26)</f>
        <v>2090.4645914427124</v>
      </c>
      <c r="F3957" s="75">
        <f>'HANH_TRINH'!$F$3289+('THAM_SO_MOI'!$C$14-'HANH_TRINH'!$F$3289)*667/'THAM_SO_MOI'!$C$42</f>
        <v>21.217322242207022</v>
      </c>
      <c r="G3957" s="75">
        <f>3.6*F3957</f>
        <v>76.38236007194529</v>
      </c>
      <c r="H3957" s="75">
        <f>'THAM_SO_MOI'!$D$53</f>
        <v>1.1</v>
      </c>
      <c r="I3957" s="75">
        <f>IF(F3957&gt;'THAM_SO_MOI'!$C$14,'THAM_SO_MOI'!$C$13*(1+F3957^2/1500),'THAM_SO_MOI'!$C$13)</f>
        <v>0.015</v>
      </c>
      <c r="J3957" s="75">
        <f>'THAM_SO_MOI'!$C$40*('THAM_SO_MOI'!$C$23*(E3957/'THAM_SO_MOI'!$C$22)+'THAM_SO_MOI'!$C$24*(E3957/'THAM_SO_MOI'!$C$22)^2-'THAM_SO_MOI'!$C$25*(E3957/'THAM_SO_MOI'!$C$22)^3)</f>
        <v>94.08148831691182</v>
      </c>
      <c r="K3957" s="75">
        <f>'THAM_SO_MOI'!$C$31*J3957/E3957</f>
        <v>429.8477735442753</v>
      </c>
      <c r="L3957" s="75">
        <f>K3957*'THAM_SO_MOI'!$C$53*'THAM_SO_MOI'!$C$17/'THAM_SO_MOI'!$C$26</f>
        <v>3769.766655964117</v>
      </c>
      <c r="M3957" s="75">
        <f>'THAM_SO_MOI'!$C$15*'THAM_SO_MOI'!$C$16*F3957^2</f>
        <v>1316.7611821542346</v>
      </c>
      <c r="N3957" s="75">
        <f>'THAM_SO_MOI'!$C$12*I3957</f>
        <v>1130.112</v>
      </c>
      <c r="O3957" s="75">
        <f>M3957+N3957</f>
        <v>2446.8731821542347</v>
      </c>
      <c r="P3957" s="75">
        <f>(MIN(L3957,'THAM_SO_MOI'!$C$41)-O3957)/('THAM_SO_MOI'!$C$11*H3957)</f>
        <v>0.15659250400211677</v>
      </c>
      <c r="Q3957" s="75">
        <f>IF(P3957&gt;0,1/P3957,NA())</f>
        <v>6.386001720660156</v>
      </c>
      <c r="R3957" s="75">
        <f>F3957-F3956</f>
        <v>0.007388554569875083</v>
      </c>
      <c r="S3957" s="75">
        <f>0.5*(Q3956+Q3957)*R3957</f>
        <v>0.047167826349498086</v>
      </c>
      <c r="T3957" s="75">
        <f>0.5*(F3956*Q3956+F3957*Q3957)*R3957</f>
        <v>1.0006007773382568</v>
      </c>
      <c r="U3957" s="76">
        <f>U3956+S3957</f>
        <v>55.2487634362589</v>
      </c>
      <c r="V3957" s="76">
        <f>V3956+T3957</f>
        <v>789.2077832492121</v>
      </c>
    </row>
    <row r="3958" spans="1:22" ht="19" customHeight="1">
      <c r="A3958" s="68" t="s">
        <v>378</v>
      </c>
      <c r="B3958" s="74">
        <v>5</v>
      </c>
      <c r="C3958" s="68" t="s">
        <v>363</v>
      </c>
      <c r="D3958" s="68" t="s">
        <v>364</v>
      </c>
      <c r="E3958" s="75">
        <f>60*F3958*'THAM_SO_MOI'!$C$53/(2*PI()*'THAM_SO_MOI'!$C$26)</f>
        <v>2091.1925585034915</v>
      </c>
      <c r="F3958" s="75">
        <f>'HANH_TRINH'!$F$3289+('THAM_SO_MOI'!$C$14-'HANH_TRINH'!$F$3289)*668/'THAM_SO_MOI'!$C$42</f>
        <v>21.224710796776893</v>
      </c>
      <c r="G3958" s="75">
        <f>3.6*F3958</f>
        <v>76.40895886839682</v>
      </c>
      <c r="H3958" s="75">
        <f>'THAM_SO_MOI'!$D$53</f>
        <v>1.1</v>
      </c>
      <c r="I3958" s="75">
        <f>IF(F3958&gt;'THAM_SO_MOI'!$C$14,'THAM_SO_MOI'!$C$13*(1+F3958^2/1500),'THAM_SO_MOI'!$C$13)</f>
        <v>0.015</v>
      </c>
      <c r="J3958" s="75">
        <f>'THAM_SO_MOI'!$C$40*('THAM_SO_MOI'!$C$23*(E3958/'THAM_SO_MOI'!$C$22)+'THAM_SO_MOI'!$C$24*(E3958/'THAM_SO_MOI'!$C$22)^2-'THAM_SO_MOI'!$C$25*(E3958/'THAM_SO_MOI'!$C$22)^3)</f>
        <v>94.115423196475</v>
      </c>
      <c r="K3958" s="75">
        <f>'THAM_SO_MOI'!$C$31*J3958/E3958</f>
        <v>429.85312950863226</v>
      </c>
      <c r="L3958" s="75">
        <f>K3958*'THAM_SO_MOI'!$C$53*'THAM_SO_MOI'!$C$17/'THAM_SO_MOI'!$C$26</f>
        <v>3769.8136277924846</v>
      </c>
      <c r="M3958" s="75">
        <f>'THAM_SO_MOI'!$C$15*'THAM_SO_MOI'!$C$16*F3958^2</f>
        <v>1317.6784190899416</v>
      </c>
      <c r="N3958" s="75">
        <f>'THAM_SO_MOI'!$C$12*I3958</f>
        <v>1130.112</v>
      </c>
      <c r="O3958" s="75">
        <f>M3958+N3958</f>
        <v>2447.7904190899417</v>
      </c>
      <c r="P3958" s="75">
        <f>(MIN(L3958,'THAM_SO_MOI'!$C$41)-O3958)/('THAM_SO_MOI'!$C$11*H3958)</f>
        <v>0.15648948966649417</v>
      </c>
      <c r="Q3958" s="75">
        <f>IF(P3958&gt;0,1/P3958,NA())</f>
        <v>6.390205515598336</v>
      </c>
      <c r="R3958" s="75">
        <f>F3958-F3957</f>
        <v>0.0073885545698715305</v>
      </c>
      <c r="S3958" s="75">
        <f>0.5*(Q3957+Q3958)*R3958</f>
        <v>0.047198852180541706</v>
      </c>
      <c r="T3958" s="75">
        <f>0.5*(F3957*Q3957+F3958*Q3958)*R3958</f>
        <v>1.0016076791964021</v>
      </c>
      <c r="U3958" s="76">
        <f>U3957+S3958</f>
        <v>55.29596228843944</v>
      </c>
      <c r="V3958" s="76">
        <f>V3957+T3958</f>
        <v>790.2093909284084</v>
      </c>
    </row>
    <row r="3959" spans="1:22" ht="19" customHeight="1">
      <c r="A3959" s="68" t="s">
        <v>378</v>
      </c>
      <c r="B3959" s="74">
        <v>5</v>
      </c>
      <c r="C3959" s="68" t="s">
        <v>363</v>
      </c>
      <c r="D3959" s="68" t="s">
        <v>364</v>
      </c>
      <c r="E3959" s="75">
        <f>60*F3959*'THAM_SO_MOI'!$C$53/(2*PI()*'THAM_SO_MOI'!$C$26)</f>
        <v>2091.92052556427</v>
      </c>
      <c r="F3959" s="75">
        <f>'HANH_TRINH'!$F$3289+('THAM_SO_MOI'!$C$14-'HANH_TRINH'!$F$3289)*669/'THAM_SO_MOI'!$C$42</f>
        <v>21.232099351346765</v>
      </c>
      <c r="G3959" s="75">
        <f>3.6*F3959</f>
        <v>76.43555766484836</v>
      </c>
      <c r="H3959" s="75">
        <f>'THAM_SO_MOI'!$D$53</f>
        <v>1.1</v>
      </c>
      <c r="I3959" s="75">
        <f>IF(F3959&gt;'THAM_SO_MOI'!$C$14,'THAM_SO_MOI'!$C$13*(1+F3959^2/1500),'THAM_SO_MOI'!$C$13)</f>
        <v>0.015</v>
      </c>
      <c r="J3959" s="75">
        <f>'THAM_SO_MOI'!$C$40*('THAM_SO_MOI'!$C$23*(E3959/'THAM_SO_MOI'!$C$22)+'THAM_SO_MOI'!$C$24*(E3959/'THAM_SO_MOI'!$C$22)^2-'THAM_SO_MOI'!$C$25*(E3959/'THAM_SO_MOI'!$C$22)^3)</f>
        <v>94.14934763208008</v>
      </c>
      <c r="K3959" s="75">
        <f>'THAM_SO_MOI'!$C$31*J3959/E3959</f>
        <v>429.8584340612835</v>
      </c>
      <c r="L3959" s="75">
        <f>K3959*'THAM_SO_MOI'!$C$53*'THAM_SO_MOI'!$C$17/'THAM_SO_MOI'!$C$26</f>
        <v>3769.860148739993</v>
      </c>
      <c r="M3959" s="75">
        <f>'THAM_SO_MOI'!$C$15*'THAM_SO_MOI'!$C$16*F3959^2</f>
        <v>1318.5959753814698</v>
      </c>
      <c r="N3959" s="75">
        <f>'THAM_SO_MOI'!$C$12*I3959</f>
        <v>1130.112</v>
      </c>
      <c r="O3959" s="75">
        <f>M3959+N3959</f>
        <v>2448.7079753814696</v>
      </c>
      <c r="P3959" s="75">
        <f>(MIN(L3959,'THAM_SO_MOI'!$C$41)-O3959)/('THAM_SO_MOI'!$C$11*H3959)</f>
        <v>0.15638638415702216</v>
      </c>
      <c r="Q3959" s="75">
        <f>IF(P3959&gt;0,1/P3959,NA())</f>
        <v>6.3944185767217085</v>
      </c>
      <c r="R3959" s="75">
        <f>F3959-F3958</f>
        <v>0.0073885545698715305</v>
      </c>
      <c r="S3959" s="75">
        <f>0.5*(Q3958+Q3959)*R3959</f>
        <v>0.047229946380700466</v>
      </c>
      <c r="T3959" s="75">
        <f>0.5*(F3958*Q3958+F3959*Q3959)*R3959</f>
        <v>1.0026164908942596</v>
      </c>
      <c r="U3959" s="76">
        <f>U3958+S3959</f>
        <v>55.343192234820144</v>
      </c>
      <c r="V3959" s="76">
        <f>V3958+T3959</f>
        <v>791.2120074193027</v>
      </c>
    </row>
    <row r="3960" spans="1:22" ht="19" customHeight="1">
      <c r="A3960" s="68" t="s">
        <v>378</v>
      </c>
      <c r="B3960" s="74">
        <v>5</v>
      </c>
      <c r="C3960" s="68" t="s">
        <v>363</v>
      </c>
      <c r="D3960" s="68" t="s">
        <v>364</v>
      </c>
      <c r="E3960" s="75">
        <f>60*F3960*'THAM_SO_MOI'!$C$53/(2*PI()*'THAM_SO_MOI'!$C$26)</f>
        <v>2092.648492625049</v>
      </c>
      <c r="F3960" s="75">
        <f>'HANH_TRINH'!$F$3289+('THAM_SO_MOI'!$C$14-'HANH_TRINH'!$F$3289)*670/'THAM_SO_MOI'!$C$42</f>
        <v>21.239487905916636</v>
      </c>
      <c r="G3960" s="75">
        <f>3.6*F3960</f>
        <v>76.4621564612999</v>
      </c>
      <c r="H3960" s="75">
        <f>'THAM_SO_MOI'!$D$53</f>
        <v>1.1</v>
      </c>
      <c r="I3960" s="75">
        <f>IF(F3960&gt;'THAM_SO_MOI'!$C$14,'THAM_SO_MOI'!$C$13*(1+F3960^2/1500),'THAM_SO_MOI'!$C$13)</f>
        <v>0.015</v>
      </c>
      <c r="J3960" s="75">
        <f>'THAM_SO_MOI'!$C$40*('THAM_SO_MOI'!$C$23*(E3960/'THAM_SO_MOI'!$C$22)+'THAM_SO_MOI'!$C$24*(E3960/'THAM_SO_MOI'!$C$22)^2-'THAM_SO_MOI'!$C$25*(E3960/'THAM_SO_MOI'!$C$22)^3)</f>
        <v>94.18326161197166</v>
      </c>
      <c r="K3960" s="75">
        <f>'THAM_SO_MOI'!$C$31*J3960/E3960</f>
        <v>429.86368720222947</v>
      </c>
      <c r="L3960" s="75">
        <f>K3960*'THAM_SO_MOI'!$C$53*'THAM_SO_MOI'!$C$17/'THAM_SO_MOI'!$C$26</f>
        <v>3769.9062188066446</v>
      </c>
      <c r="M3960" s="75">
        <f>'THAM_SO_MOI'!$C$15*'THAM_SO_MOI'!$C$16*F3960^2</f>
        <v>1319.5138510288189</v>
      </c>
      <c r="N3960" s="75">
        <f>'THAM_SO_MOI'!$C$12*I3960</f>
        <v>1130.112</v>
      </c>
      <c r="O3960" s="75">
        <f>M3960+N3960</f>
        <v>2449.625851028819</v>
      </c>
      <c r="P3960" s="75">
        <f>(MIN(L3960,'THAM_SO_MOI'!$C$41)-O3960)/('THAM_SO_MOI'!$C$11*H3960)</f>
        <v>0.15628318747370096</v>
      </c>
      <c r="Q3960" s="75">
        <f>IF(P3960&gt;0,1/P3960,NA())</f>
        <v>6.398640929743502</v>
      </c>
      <c r="R3960" s="75">
        <f>F3960-F3959</f>
        <v>0.0073885545698715305</v>
      </c>
      <c r="S3960" s="75">
        <f>0.5*(Q3959+Q3960)*R3960</f>
        <v>0.04726110913956598</v>
      </c>
      <c r="T3960" s="75">
        <f>0.5*(F3959*Q3959+F3960*Q3960)*R3960</f>
        <v>1.0036272179734052</v>
      </c>
      <c r="U3960" s="76">
        <f>U3959+S3960</f>
        <v>55.39045334395971</v>
      </c>
      <c r="V3960" s="76">
        <f>V3959+T3960</f>
        <v>792.2156346372761</v>
      </c>
    </row>
    <row r="3961" spans="1:22" ht="19" customHeight="1">
      <c r="A3961" s="68" t="s">
        <v>378</v>
      </c>
      <c r="B3961" s="74">
        <v>5</v>
      </c>
      <c r="C3961" s="68" t="s">
        <v>363</v>
      </c>
      <c r="D3961" s="68" t="s">
        <v>364</v>
      </c>
      <c r="E3961" s="75">
        <f>60*F3961*'THAM_SO_MOI'!$C$53/(2*PI()*'THAM_SO_MOI'!$C$26)</f>
        <v>2093.376459685828</v>
      </c>
      <c r="F3961" s="75">
        <f>'HANH_TRINH'!$F$3289+('THAM_SO_MOI'!$C$14-'HANH_TRINH'!$F$3289)*671/'THAM_SO_MOI'!$C$42</f>
        <v>21.246876460486508</v>
      </c>
      <c r="G3961" s="75">
        <f>3.6*F3961</f>
        <v>76.48875525775144</v>
      </c>
      <c r="H3961" s="75">
        <f>'THAM_SO_MOI'!$D$53</f>
        <v>1.1</v>
      </c>
      <c r="I3961" s="75">
        <f>IF(F3961&gt;'THAM_SO_MOI'!$C$14,'THAM_SO_MOI'!$C$13*(1+F3961^2/1500),'THAM_SO_MOI'!$C$13)</f>
        <v>0.015</v>
      </c>
      <c r="J3961" s="75">
        <f>'THAM_SO_MOI'!$C$40*('THAM_SO_MOI'!$C$23*(E3961/'THAM_SO_MOI'!$C$22)+'THAM_SO_MOI'!$C$24*(E3961/'THAM_SO_MOI'!$C$22)^2-'THAM_SO_MOI'!$C$25*(E3961/'THAM_SO_MOI'!$C$22)^3)</f>
        <v>94.21716512439424</v>
      </c>
      <c r="K3961" s="75">
        <f>'THAM_SO_MOI'!$C$31*J3961/E3961</f>
        <v>429.8688889314703</v>
      </c>
      <c r="L3961" s="75">
        <f>K3961*'THAM_SO_MOI'!$C$53*'THAM_SO_MOI'!$C$17/'THAM_SO_MOI'!$C$26</f>
        <v>3769.9518379924402</v>
      </c>
      <c r="M3961" s="75">
        <f>'THAM_SO_MOI'!$C$15*'THAM_SO_MOI'!$C$16*F3961^2</f>
        <v>1320.4320460319889</v>
      </c>
      <c r="N3961" s="75">
        <f>'THAM_SO_MOI'!$C$12*I3961</f>
        <v>1130.112</v>
      </c>
      <c r="O3961" s="75">
        <f>M3961+N3961</f>
        <v>2450.5440460319887</v>
      </c>
      <c r="P3961" s="75">
        <f>(MIN(L3961,'THAM_SO_MOI'!$C$41)-O3961)/('THAM_SO_MOI'!$C$11*H3961)</f>
        <v>0.15617989961653073</v>
      </c>
      <c r="Q3961" s="75">
        <f>IF(P3961&gt;0,1/P3961,NA())</f>
        <v>6.40287260047743</v>
      </c>
      <c r="R3961" s="75">
        <f>F3961-F3960</f>
        <v>0.0073885545698715305</v>
      </c>
      <c r="S3961" s="75">
        <f>0.5*(Q3960+Q3961)*R3961</f>
        <v>0.04729234064749305</v>
      </c>
      <c r="T3961" s="75">
        <f>0.5*(F3960*Q3960+F3961*Q3961)*R3961</f>
        <v>1.0046398659972315</v>
      </c>
      <c r="U3961" s="76">
        <f>U3960+S3961</f>
        <v>55.43774568460721</v>
      </c>
      <c r="V3961" s="76">
        <f>V3960+T3961</f>
        <v>793.2202745032733</v>
      </c>
    </row>
    <row r="3962" spans="1:22" ht="19" customHeight="1">
      <c r="A3962" s="68" t="s">
        <v>378</v>
      </c>
      <c r="B3962" s="74">
        <v>5</v>
      </c>
      <c r="C3962" s="68" t="s">
        <v>363</v>
      </c>
      <c r="D3962" s="68" t="s">
        <v>364</v>
      </c>
      <c r="E3962" s="75">
        <f>60*F3962*'THAM_SO_MOI'!$C$53/(2*PI()*'THAM_SO_MOI'!$C$26)</f>
        <v>2094.1044267466073</v>
      </c>
      <c r="F3962" s="75">
        <f>'HANH_TRINH'!$F$3289+('THAM_SO_MOI'!$C$14-'HANH_TRINH'!$F$3289)*672/'THAM_SO_MOI'!$C$42</f>
        <v>21.254265015056383</v>
      </c>
      <c r="G3962" s="75">
        <f>3.6*F3962</f>
        <v>76.51535405420299</v>
      </c>
      <c r="H3962" s="75">
        <f>'THAM_SO_MOI'!$D$53</f>
        <v>1.1</v>
      </c>
      <c r="I3962" s="75">
        <f>IF(F3962&gt;'THAM_SO_MOI'!$C$14,'THAM_SO_MOI'!$C$13*(1+F3962^2/1500),'THAM_SO_MOI'!$C$13)</f>
        <v>0.015</v>
      </c>
      <c r="J3962" s="75">
        <f>'THAM_SO_MOI'!$C$40*('THAM_SO_MOI'!$C$23*(E3962/'THAM_SO_MOI'!$C$22)+'THAM_SO_MOI'!$C$24*(E3962/'THAM_SO_MOI'!$C$22)^2-'THAM_SO_MOI'!$C$25*(E3962/'THAM_SO_MOI'!$C$22)^3)</f>
        <v>94.25105815759217</v>
      </c>
      <c r="K3962" s="75">
        <f>'THAM_SO_MOI'!$C$31*J3962/E3962</f>
        <v>429.87403924900536</v>
      </c>
      <c r="L3962" s="75">
        <f>K3962*'THAM_SO_MOI'!$C$53*'THAM_SO_MOI'!$C$17/'THAM_SO_MOI'!$C$26</f>
        <v>3769.997006297376</v>
      </c>
      <c r="M3962" s="75">
        <f>'THAM_SO_MOI'!$C$15*'THAM_SO_MOI'!$C$16*F3962^2</f>
        <v>1321.3505603909805</v>
      </c>
      <c r="N3962" s="75">
        <f>'THAM_SO_MOI'!$C$12*I3962</f>
        <v>1130.112</v>
      </c>
      <c r="O3962" s="75">
        <f>M3962+N3962</f>
        <v>2451.462560390981</v>
      </c>
      <c r="P3962" s="75">
        <f>(MIN(L3962,'THAM_SO_MOI'!$C$41)-O3962)/('THAM_SO_MOI'!$C$11*H3962)</f>
        <v>0.1560765205855108</v>
      </c>
      <c r="Q3962" s="75">
        <f>IF(P3962&gt;0,1/P3962,NA())</f>
        <v>6.407113614838194</v>
      </c>
      <c r="R3962" s="75">
        <f>F3962-F3961</f>
        <v>0.007388554569875083</v>
      </c>
      <c r="S3962" s="75">
        <f>0.5*(Q3961+Q3962)*R3962</f>
        <v>0.04732364109560354</v>
      </c>
      <c r="T3962" s="75">
        <f>0.5*(F3961*Q3961+F3962*Q3962)*R3962</f>
        <v>1.0056544405510575</v>
      </c>
      <c r="U3962" s="76">
        <f>U3961+S3962</f>
        <v>55.48506932570281</v>
      </c>
      <c r="V3962" s="76">
        <f>V3961+T3962</f>
        <v>794.2259289438244</v>
      </c>
    </row>
    <row r="3963" spans="1:22" ht="19" customHeight="1">
      <c r="A3963" s="68" t="s">
        <v>378</v>
      </c>
      <c r="B3963" s="74">
        <v>5</v>
      </c>
      <c r="C3963" s="68" t="s">
        <v>363</v>
      </c>
      <c r="D3963" s="68" t="s">
        <v>364</v>
      </c>
      <c r="E3963" s="75">
        <f>60*F3963*'THAM_SO_MOI'!$C$53/(2*PI()*'THAM_SO_MOI'!$C$26)</f>
        <v>2094.8323938073863</v>
      </c>
      <c r="F3963" s="75">
        <f>'HANH_TRINH'!$F$3289+('THAM_SO_MOI'!$C$14-'HANH_TRINH'!$F$3289)*673/'THAM_SO_MOI'!$C$42</f>
        <v>21.261653569626255</v>
      </c>
      <c r="G3963" s="75">
        <f>3.6*F3963</f>
        <v>76.54195285065452</v>
      </c>
      <c r="H3963" s="75">
        <f>'THAM_SO_MOI'!$D$53</f>
        <v>1.1</v>
      </c>
      <c r="I3963" s="75">
        <f>IF(F3963&gt;'THAM_SO_MOI'!$C$14,'THAM_SO_MOI'!$C$13*(1+F3963^2/1500),'THAM_SO_MOI'!$C$13)</f>
        <v>0.015</v>
      </c>
      <c r="J3963" s="75">
        <f>'THAM_SO_MOI'!$C$40*('THAM_SO_MOI'!$C$23*(E3963/'THAM_SO_MOI'!$C$22)+'THAM_SO_MOI'!$C$24*(E3963/'THAM_SO_MOI'!$C$22)^2-'THAM_SO_MOI'!$C$25*(E3963/'THAM_SO_MOI'!$C$22)^3)</f>
        <v>94.28494069981004</v>
      </c>
      <c r="K3963" s="75">
        <f>'THAM_SO_MOI'!$C$31*J3963/E3963</f>
        <v>429.87913815483506</v>
      </c>
      <c r="L3963" s="75">
        <f>K3963*'THAM_SO_MOI'!$C$53*'THAM_SO_MOI'!$C$17/'THAM_SO_MOI'!$C$26</f>
        <v>3770.041723721455</v>
      </c>
      <c r="M3963" s="75">
        <f>'THAM_SO_MOI'!$C$15*'THAM_SO_MOI'!$C$16*F3963^2</f>
        <v>1322.2693941057926</v>
      </c>
      <c r="N3963" s="75">
        <f>'THAM_SO_MOI'!$C$12*I3963</f>
        <v>1130.112</v>
      </c>
      <c r="O3963" s="75">
        <f>M3963+N3963</f>
        <v>2452.3813941057924</v>
      </c>
      <c r="P3963" s="75">
        <f>(MIN(L3963,'THAM_SO_MOI'!$C$41)-O3963)/('THAM_SO_MOI'!$C$11*H3963)</f>
        <v>0.15597305038064188</v>
      </c>
      <c r="Q3963" s="75">
        <f>IF(P3963&gt;0,1/P3963,NA())</f>
        <v>6.411363998841892</v>
      </c>
      <c r="R3963" s="75">
        <f>F3963-F3962</f>
        <v>0.0073885545698715305</v>
      </c>
      <c r="S3963" s="75">
        <f>0.5*(Q3962+Q3963)*R3963</f>
        <v>0.047355010675675956</v>
      </c>
      <c r="T3963" s="75">
        <f>0.5*(F3962*Q3962+F3963*Q3963)*R3963</f>
        <v>1.0066709472398088</v>
      </c>
      <c r="U3963" s="76">
        <f>U3962+S3963</f>
        <v>55.53242433637848</v>
      </c>
      <c r="V3963" s="76">
        <f>V3962+T3963</f>
        <v>795.2325998910643</v>
      </c>
    </row>
    <row r="3964" spans="1:22" ht="19" customHeight="1">
      <c r="A3964" s="68" t="s">
        <v>378</v>
      </c>
      <c r="B3964" s="74">
        <v>5</v>
      </c>
      <c r="C3964" s="68" t="s">
        <v>363</v>
      </c>
      <c r="D3964" s="68" t="s">
        <v>364</v>
      </c>
      <c r="E3964" s="75">
        <f>60*F3964*'THAM_SO_MOI'!$C$53/(2*PI()*'THAM_SO_MOI'!$C$26)</f>
        <v>2095.5603608681654</v>
      </c>
      <c r="F3964" s="75">
        <f>'HANH_TRINH'!$F$3289+('THAM_SO_MOI'!$C$14-'HANH_TRINH'!$F$3289)*674/'THAM_SO_MOI'!$C$42</f>
        <v>21.269042124196126</v>
      </c>
      <c r="G3964" s="75">
        <f>3.6*F3964</f>
        <v>76.56855164710606</v>
      </c>
      <c r="H3964" s="75">
        <f>'THAM_SO_MOI'!$D$53</f>
        <v>1.1</v>
      </c>
      <c r="I3964" s="75">
        <f>IF(F3964&gt;'THAM_SO_MOI'!$C$14,'THAM_SO_MOI'!$C$13*(1+F3964^2/1500),'THAM_SO_MOI'!$C$13)</f>
        <v>0.015</v>
      </c>
      <c r="J3964" s="75">
        <f>'THAM_SO_MOI'!$C$40*('THAM_SO_MOI'!$C$23*(E3964/'THAM_SO_MOI'!$C$22)+'THAM_SO_MOI'!$C$24*(E3964/'THAM_SO_MOI'!$C$22)^2-'THAM_SO_MOI'!$C$25*(E3964/'THAM_SO_MOI'!$C$22)^3)</f>
        <v>94.31881273929227</v>
      </c>
      <c r="K3964" s="75">
        <f>'THAM_SO_MOI'!$C$31*J3964/E3964</f>
        <v>429.88418564895926</v>
      </c>
      <c r="L3964" s="75">
        <f>K3964*'THAM_SO_MOI'!$C$53*'THAM_SO_MOI'!$C$17/'THAM_SO_MOI'!$C$26</f>
        <v>3770.0859902646744</v>
      </c>
      <c r="M3964" s="75">
        <f>'THAM_SO_MOI'!$C$15*'THAM_SO_MOI'!$C$16*F3964^2</f>
        <v>1323.1885471764256</v>
      </c>
      <c r="N3964" s="75">
        <f>'THAM_SO_MOI'!$C$12*I3964</f>
        <v>1130.112</v>
      </c>
      <c r="O3964" s="75">
        <f>M3964+N3964</f>
        <v>2453.3005471764254</v>
      </c>
      <c r="P3964" s="75">
        <f>(MIN(L3964,'THAM_SO_MOI'!$C$41)-O3964)/('THAM_SO_MOI'!$C$11*H3964)</f>
        <v>0.1558694890019234</v>
      </c>
      <c r="Q3964" s="75">
        <f>IF(P3964&gt;0,1/P3964,NA())</f>
        <v>6.4156237786066015</v>
      </c>
      <c r="R3964" s="75">
        <f>F3964-F3963</f>
        <v>0.0073885545698715305</v>
      </c>
      <c r="S3964" s="75">
        <f>0.5*(Q3963+Q3964)*R3964</f>
        <v>0.04738644958037667</v>
      </c>
      <c r="T3964" s="75">
        <f>0.5*(F3963*Q3963+F3964*Q3964)*R3964</f>
        <v>1.0076893916929595</v>
      </c>
      <c r="U3964" s="76">
        <f>U3963+S3964</f>
        <v>55.57981078595886</v>
      </c>
      <c r="V3964" s="76">
        <f>V3963+T3964</f>
        <v>796.2402892827572</v>
      </c>
    </row>
    <row r="3965" spans="1:22" ht="19" customHeight="1">
      <c r="A3965" s="68" t="s">
        <v>378</v>
      </c>
      <c r="B3965" s="74">
        <v>5</v>
      </c>
      <c r="C3965" s="68" t="s">
        <v>363</v>
      </c>
      <c r="D3965" s="68" t="s">
        <v>364</v>
      </c>
      <c r="E3965" s="75">
        <f>60*F3965*'THAM_SO_MOI'!$C$53/(2*PI()*'THAM_SO_MOI'!$C$26)</f>
        <v>2096.288327928944</v>
      </c>
      <c r="F3965" s="75">
        <f>'HANH_TRINH'!$F$3289+('THAM_SO_MOI'!$C$14-'HANH_TRINH'!$F$3289)*675/'THAM_SO_MOI'!$C$42</f>
        <v>21.276430678765998</v>
      </c>
      <c r="G3965" s="75">
        <f>3.6*F3965</f>
        <v>76.5951504435576</v>
      </c>
      <c r="H3965" s="75">
        <f>'THAM_SO_MOI'!$D$53</f>
        <v>1.1</v>
      </c>
      <c r="I3965" s="75">
        <f>IF(F3965&gt;'THAM_SO_MOI'!$C$14,'THAM_SO_MOI'!$C$13*(1+F3965^2/1500),'THAM_SO_MOI'!$C$13)</f>
        <v>0.015</v>
      </c>
      <c r="J3965" s="75">
        <f>'THAM_SO_MOI'!$C$40*('THAM_SO_MOI'!$C$23*(E3965/'THAM_SO_MOI'!$C$22)+'THAM_SO_MOI'!$C$24*(E3965/'THAM_SO_MOI'!$C$22)^2-'THAM_SO_MOI'!$C$25*(E3965/'THAM_SO_MOI'!$C$22)^3)</f>
        <v>94.3526742642834</v>
      </c>
      <c r="K3965" s="75">
        <f>'THAM_SO_MOI'!$C$31*J3965/E3965</f>
        <v>429.8891817313782</v>
      </c>
      <c r="L3965" s="75">
        <f>K3965*'THAM_SO_MOI'!$C$53*'THAM_SO_MOI'!$C$17/'THAM_SO_MOI'!$C$26</f>
        <v>3770.1298059270375</v>
      </c>
      <c r="M3965" s="75">
        <f>'THAM_SO_MOI'!$C$15*'THAM_SO_MOI'!$C$16*F3965^2</f>
        <v>1324.1080196028797</v>
      </c>
      <c r="N3965" s="75">
        <f>'THAM_SO_MOI'!$C$12*I3965</f>
        <v>1130.112</v>
      </c>
      <c r="O3965" s="75">
        <f>M3965+N3965</f>
        <v>2454.22001960288</v>
      </c>
      <c r="P3965" s="75">
        <f>(MIN(L3965,'THAM_SO_MOI'!$C$41)-O3965)/('THAM_SO_MOI'!$C$11*H3965)</f>
        <v>0.1557658364493558</v>
      </c>
      <c r="Q3965" s="75">
        <f>IF(P3965&gt;0,1/P3965,NA())</f>
        <v>6.41989298035279</v>
      </c>
      <c r="R3965" s="75">
        <f>F3965-F3964</f>
        <v>0.0073885545698715305</v>
      </c>
      <c r="S3965" s="75">
        <f>0.5*(Q3964+Q3965)*R3965</f>
        <v>0.04741795800303601</v>
      </c>
      <c r="T3965" s="75">
        <f>0.5*(F3964*Q3964+F3965*Q3965)*R3965</f>
        <v>1.0087097795598035</v>
      </c>
      <c r="U3965" s="76">
        <f>U3964+S3965</f>
        <v>55.6272287439619</v>
      </c>
      <c r="V3965" s="76">
        <f>V3964+T3965</f>
        <v>797.248999062317</v>
      </c>
    </row>
    <row r="3966" spans="1:22" ht="19" customHeight="1">
      <c r="A3966" s="68" t="s">
        <v>378</v>
      </c>
      <c r="B3966" s="74">
        <v>5</v>
      </c>
      <c r="C3966" s="68" t="s">
        <v>363</v>
      </c>
      <c r="D3966" s="68" t="s">
        <v>364</v>
      </c>
      <c r="E3966" s="75">
        <f>60*F3966*'THAM_SO_MOI'!$C$53/(2*PI()*'THAM_SO_MOI'!$C$26)</f>
        <v>2097.016294989723</v>
      </c>
      <c r="F3966" s="75">
        <f>'HANH_TRINH'!$F$3289+('THAM_SO_MOI'!$C$14-'HANH_TRINH'!$F$3289)*676/'THAM_SO_MOI'!$C$42</f>
        <v>21.28381923333587</v>
      </c>
      <c r="G3966" s="75">
        <f>3.6*F3966</f>
        <v>76.62174924000914</v>
      </c>
      <c r="H3966" s="75">
        <f>'THAM_SO_MOI'!$D$53</f>
        <v>1.1</v>
      </c>
      <c r="I3966" s="75">
        <f>IF(F3966&gt;'THAM_SO_MOI'!$C$14,'THAM_SO_MOI'!$C$13*(1+F3966^2/1500),'THAM_SO_MOI'!$C$13)</f>
        <v>0.015</v>
      </c>
      <c r="J3966" s="75">
        <f>'THAM_SO_MOI'!$C$40*('THAM_SO_MOI'!$C$23*(E3966/'THAM_SO_MOI'!$C$22)+'THAM_SO_MOI'!$C$24*(E3966/'THAM_SO_MOI'!$C$22)^2-'THAM_SO_MOI'!$C$25*(E3966/'THAM_SO_MOI'!$C$22)^3)</f>
        <v>94.38652526302789</v>
      </c>
      <c r="K3966" s="75">
        <f>'THAM_SO_MOI'!$C$31*J3966/E3966</f>
        <v>429.89412640209156</v>
      </c>
      <c r="L3966" s="75">
        <f>K3966*'THAM_SO_MOI'!$C$53*'THAM_SO_MOI'!$C$17/'THAM_SO_MOI'!$C$26</f>
        <v>3770.1731707085423</v>
      </c>
      <c r="M3966" s="75">
        <f>'THAM_SO_MOI'!$C$15*'THAM_SO_MOI'!$C$16*F3966^2</f>
        <v>1325.0278113851548</v>
      </c>
      <c r="N3966" s="75">
        <f>'THAM_SO_MOI'!$C$12*I3966</f>
        <v>1130.112</v>
      </c>
      <c r="O3966" s="75">
        <f>M3966+N3966</f>
        <v>2455.1398113851546</v>
      </c>
      <c r="P3966" s="75">
        <f>(MIN(L3966,'THAM_SO_MOI'!$C$41)-O3966)/('THAM_SO_MOI'!$C$11*H3966)</f>
        <v>0.15566209272293882</v>
      </c>
      <c r="Q3966" s="75">
        <f>IF(P3966&gt;0,1/P3966,NA())</f>
        <v>6.424171630403868</v>
      </c>
      <c r="R3966" s="75">
        <f>F3966-F3965</f>
        <v>0.0073885545698715305</v>
      </c>
      <c r="S3966" s="75">
        <f>0.5*(Q3965+Q3966)*R3966</f>
        <v>0.04744953613776565</v>
      </c>
      <c r="T3966" s="75">
        <f>0.5*(F3965*Q3965+F3966*Q3966)*R3966</f>
        <v>1.0097321165119741</v>
      </c>
      <c r="U3966" s="76">
        <f>U3965+S3966</f>
        <v>55.67467828009967</v>
      </c>
      <c r="V3966" s="76">
        <f>V3965+T3966</f>
        <v>798.258731178829</v>
      </c>
    </row>
    <row r="3967" spans="1:22" ht="19" customHeight="1">
      <c r="A3967" s="68" t="s">
        <v>378</v>
      </c>
      <c r="B3967" s="74">
        <v>5</v>
      </c>
      <c r="C3967" s="68" t="s">
        <v>363</v>
      </c>
      <c r="D3967" s="68" t="s">
        <v>364</v>
      </c>
      <c r="E3967" s="75">
        <f>60*F3967*'THAM_SO_MOI'!$C$53/(2*PI()*'THAM_SO_MOI'!$C$26)</f>
        <v>2097.7442620505017</v>
      </c>
      <c r="F3967" s="75">
        <f>'HANH_TRINH'!$F$3289+('THAM_SO_MOI'!$C$14-'HANH_TRINH'!$F$3289)*677/'THAM_SO_MOI'!$C$42</f>
        <v>21.29120778790574</v>
      </c>
      <c r="G3967" s="75">
        <f>3.6*F3967</f>
        <v>76.64834803646067</v>
      </c>
      <c r="H3967" s="75">
        <f>'THAM_SO_MOI'!$D$53</f>
        <v>1.1</v>
      </c>
      <c r="I3967" s="75">
        <f>IF(F3967&gt;'THAM_SO_MOI'!$C$14,'THAM_SO_MOI'!$C$13*(1+F3967^2/1500),'THAM_SO_MOI'!$C$13)</f>
        <v>0.015</v>
      </c>
      <c r="J3967" s="75">
        <f>'THAM_SO_MOI'!$C$40*('THAM_SO_MOI'!$C$23*(E3967/'THAM_SO_MOI'!$C$22)+'THAM_SO_MOI'!$C$24*(E3967/'THAM_SO_MOI'!$C$22)^2-'THAM_SO_MOI'!$C$25*(E3967/'THAM_SO_MOI'!$C$22)^3)</f>
        <v>94.42036572377019</v>
      </c>
      <c r="K3967" s="75">
        <f>'THAM_SO_MOI'!$C$31*J3967/E3967</f>
        <v>429.8990196610995</v>
      </c>
      <c r="L3967" s="75">
        <f>K3967*'THAM_SO_MOI'!$C$53*'THAM_SO_MOI'!$C$17/'THAM_SO_MOI'!$C$26</f>
        <v>3770.2160846091892</v>
      </c>
      <c r="M3967" s="75">
        <f>'THAM_SO_MOI'!$C$15*'THAM_SO_MOI'!$C$16*F3967^2</f>
        <v>1325.947922523251</v>
      </c>
      <c r="N3967" s="75">
        <f>'THAM_SO_MOI'!$C$12*I3967</f>
        <v>1130.112</v>
      </c>
      <c r="O3967" s="75">
        <f>M3967+N3967</f>
        <v>2456.059922523251</v>
      </c>
      <c r="P3967" s="75">
        <f>(MIN(L3967,'THAM_SO_MOI'!$C$41)-O3967)/('THAM_SO_MOI'!$C$11*H3967)</f>
        <v>0.15555825782267263</v>
      </c>
      <c r="Q3967" s="75">
        <f>IF(P3967&gt;0,1/P3967,NA())</f>
        <v>6.428459755186651</v>
      </c>
      <c r="R3967" s="75">
        <f>F3967-F3966</f>
        <v>0.0073885545698715305</v>
      </c>
      <c r="S3967" s="75">
        <f>0.5*(Q3966+Q3967)*R3967</f>
        <v>0.04748118417943955</v>
      </c>
      <c r="T3967" s="75">
        <f>0.5*(F3966*Q3966+F3967*Q3967)*R3967</f>
        <v>1.010756408243069</v>
      </c>
      <c r="U3967" s="76">
        <f>U3966+S3967</f>
        <v>55.72215946427911</v>
      </c>
      <c r="V3967" s="76">
        <f>V3966+T3967</f>
        <v>799.269487587072</v>
      </c>
    </row>
    <row r="3968" spans="1:22" ht="19" customHeight="1">
      <c r="A3968" s="68" t="s">
        <v>378</v>
      </c>
      <c r="B3968" s="74">
        <v>5</v>
      </c>
      <c r="C3968" s="68" t="s">
        <v>363</v>
      </c>
      <c r="D3968" s="68" t="s">
        <v>364</v>
      </c>
      <c r="E3968" s="75">
        <f>60*F3968*'THAM_SO_MOI'!$C$53/(2*PI()*'THAM_SO_MOI'!$C$26)</f>
        <v>2098.472229111281</v>
      </c>
      <c r="F3968" s="75">
        <f>'HANH_TRINH'!$F$3289+('THAM_SO_MOI'!$C$14-'HANH_TRINH'!$F$3289)*678/'THAM_SO_MOI'!$C$42</f>
        <v>21.298596342475612</v>
      </c>
      <c r="G3968" s="75">
        <f>3.6*F3968</f>
        <v>76.67494683291221</v>
      </c>
      <c r="H3968" s="75">
        <f>'THAM_SO_MOI'!$D$53</f>
        <v>1.1</v>
      </c>
      <c r="I3968" s="75">
        <f>IF(F3968&gt;'THAM_SO_MOI'!$C$14,'THAM_SO_MOI'!$C$13*(1+F3968^2/1500),'THAM_SO_MOI'!$C$13)</f>
        <v>0.015</v>
      </c>
      <c r="J3968" s="75">
        <f>'THAM_SO_MOI'!$C$40*('THAM_SO_MOI'!$C$23*(E3968/'THAM_SO_MOI'!$C$22)+'THAM_SO_MOI'!$C$24*(E3968/'THAM_SO_MOI'!$C$22)^2-'THAM_SO_MOI'!$C$25*(E3968/'THAM_SO_MOI'!$C$22)^3)</f>
        <v>94.45419563475488</v>
      </c>
      <c r="K3968" s="75">
        <f>'THAM_SO_MOI'!$C$31*J3968/E3968</f>
        <v>429.90386150840203</v>
      </c>
      <c r="L3968" s="75">
        <f>K3968*'THAM_SO_MOI'!$C$53*'THAM_SO_MOI'!$C$17/'THAM_SO_MOI'!$C$26</f>
        <v>3770.2585476289782</v>
      </c>
      <c r="M3968" s="75">
        <f>'THAM_SO_MOI'!$C$15*'THAM_SO_MOI'!$C$16*F3968^2</f>
        <v>1326.868353017168</v>
      </c>
      <c r="N3968" s="75">
        <f>'THAM_SO_MOI'!$C$12*I3968</f>
        <v>1130.112</v>
      </c>
      <c r="O3968" s="75">
        <f>M3968+N3968</f>
        <v>2456.980353017168</v>
      </c>
      <c r="P3968" s="75">
        <f>(MIN(L3968,'THAM_SO_MOI'!$C$41)-O3968)/('THAM_SO_MOI'!$C$11*H3968)</f>
        <v>0.15545433174855708</v>
      </c>
      <c r="Q3968" s="75">
        <f>IF(P3968&gt;0,1/P3968,NA())</f>
        <v>6.43275738123188</v>
      </c>
      <c r="R3968" s="75">
        <f>F3968-F3967</f>
        <v>0.0073885545698715305</v>
      </c>
      <c r="S3968" s="75">
        <f>0.5*(Q3967+Q3968)*R3968</f>
        <v>0.04751290232369759</v>
      </c>
      <c r="T3968" s="75">
        <f>0.5*(F3967*Q3967+F3968*Q3968)*R3968</f>
        <v>1.0117826604687556</v>
      </c>
      <c r="U3968" s="76">
        <f>U3967+S3968</f>
        <v>55.769672366602805</v>
      </c>
      <c r="V3968" s="76">
        <f>V3967+T3968</f>
        <v>800.2812702475408</v>
      </c>
    </row>
    <row r="3969" spans="1:22" ht="19" customHeight="1">
      <c r="A3969" s="68" t="s">
        <v>378</v>
      </c>
      <c r="B3969" s="74">
        <v>5</v>
      </c>
      <c r="C3969" s="68" t="s">
        <v>363</v>
      </c>
      <c r="D3969" s="68" t="s">
        <v>364</v>
      </c>
      <c r="E3969" s="75">
        <f>60*F3969*'THAM_SO_MOI'!$C$53/(2*PI()*'THAM_SO_MOI'!$C$26)</f>
        <v>2099.20019617206</v>
      </c>
      <c r="F3969" s="75">
        <f>'HANH_TRINH'!$F$3289+('THAM_SO_MOI'!$C$14-'HANH_TRINH'!$F$3289)*679/'THAM_SO_MOI'!$C$42</f>
        <v>21.305984897045484</v>
      </c>
      <c r="G3969" s="75">
        <f>3.6*F3969</f>
        <v>76.70154562936375</v>
      </c>
      <c r="H3969" s="75">
        <f>'THAM_SO_MOI'!$D$53</f>
        <v>1.1</v>
      </c>
      <c r="I3969" s="75">
        <f>IF(F3969&gt;'THAM_SO_MOI'!$C$14,'THAM_SO_MOI'!$C$13*(1+F3969^2/1500),'THAM_SO_MOI'!$C$13)</f>
        <v>0.015</v>
      </c>
      <c r="J3969" s="75">
        <f>'THAM_SO_MOI'!$C$40*('THAM_SO_MOI'!$C$23*(E3969/'THAM_SO_MOI'!$C$22)+'THAM_SO_MOI'!$C$24*(E3969/'THAM_SO_MOI'!$C$22)^2-'THAM_SO_MOI'!$C$25*(E3969/'THAM_SO_MOI'!$C$22)^3)</f>
        <v>94.48801498422635</v>
      </c>
      <c r="K3969" s="75">
        <f>'THAM_SO_MOI'!$C$31*J3969/E3969</f>
        <v>429.9086519439992</v>
      </c>
      <c r="L3969" s="75">
        <f>K3969*'THAM_SO_MOI'!$C$53*'THAM_SO_MOI'!$C$17/'THAM_SO_MOI'!$C$26</f>
        <v>3770.3005597679103</v>
      </c>
      <c r="M3969" s="75">
        <f>'THAM_SO_MOI'!$C$15*'THAM_SO_MOI'!$C$16*F3969^2</f>
        <v>1327.7891028669062</v>
      </c>
      <c r="N3969" s="75">
        <f>'THAM_SO_MOI'!$C$12*I3969</f>
        <v>1130.112</v>
      </c>
      <c r="O3969" s="75">
        <f>M3969+N3969</f>
        <v>2457.9011028669065</v>
      </c>
      <c r="P3969" s="75">
        <f>(MIN(L3969,'THAM_SO_MOI'!$C$41)-O3969)/('THAM_SO_MOI'!$C$11*H3969)</f>
        <v>0.1553503145005923</v>
      </c>
      <c r="Q3969" s="75">
        <f>IF(P3969&gt;0,1/P3969,NA())</f>
        <v>6.4370645351747084</v>
      </c>
      <c r="R3969" s="75">
        <f>F3969-F3968</f>
        <v>0.0073885545698715305</v>
      </c>
      <c r="S3969" s="75">
        <f>0.5*(Q3968+Q3969)*R3969</f>
        <v>0.047544690766949345</v>
      </c>
      <c r="T3969" s="75">
        <f>0.5*(F3968*Q3968+F3969*Q3969)*R3969</f>
        <v>1.0128108789268797</v>
      </c>
      <c r="U3969" s="76">
        <f>U3968+S3969</f>
        <v>55.81721705736975</v>
      </c>
      <c r="V3969" s="76">
        <f>V3968+T3969</f>
        <v>801.2940811264676</v>
      </c>
    </row>
    <row r="3970" spans="1:22" ht="19" customHeight="1">
      <c r="A3970" s="68" t="s">
        <v>378</v>
      </c>
      <c r="B3970" s="74">
        <v>5</v>
      </c>
      <c r="C3970" s="68" t="s">
        <v>363</v>
      </c>
      <c r="D3970" s="68" t="s">
        <v>364</v>
      </c>
      <c r="E3970" s="75">
        <f>60*F3970*'THAM_SO_MOI'!$C$53/(2*PI()*'THAM_SO_MOI'!$C$26)</f>
        <v>2099.928163232839</v>
      </c>
      <c r="F3970" s="75">
        <f>'HANH_TRINH'!$F$3289+('THAM_SO_MOI'!$C$14-'HANH_TRINH'!$F$3289)*680/'THAM_SO_MOI'!$C$42</f>
        <v>21.313373451615355</v>
      </c>
      <c r="G3970" s="75">
        <f>3.6*F3970</f>
        <v>76.72814442581529</v>
      </c>
      <c r="H3970" s="75">
        <f>'THAM_SO_MOI'!$D$53</f>
        <v>1.1</v>
      </c>
      <c r="I3970" s="75">
        <f>IF(F3970&gt;'THAM_SO_MOI'!$C$14,'THAM_SO_MOI'!$C$13*(1+F3970^2/1500),'THAM_SO_MOI'!$C$13)</f>
        <v>0.015</v>
      </c>
      <c r="J3970" s="75">
        <f>'THAM_SO_MOI'!$C$40*('THAM_SO_MOI'!$C$23*(E3970/'THAM_SO_MOI'!$C$22)+'THAM_SO_MOI'!$C$24*(E3970/'THAM_SO_MOI'!$C$22)^2-'THAM_SO_MOI'!$C$25*(E3970/'THAM_SO_MOI'!$C$22)^3)</f>
        <v>94.52182376042916</v>
      </c>
      <c r="K3970" s="75">
        <f>'THAM_SO_MOI'!$C$31*J3970/E3970</f>
        <v>429.91339096789096</v>
      </c>
      <c r="L3970" s="75">
        <f>K3970*'THAM_SO_MOI'!$C$53*'THAM_SO_MOI'!$C$17/'THAM_SO_MOI'!$C$26</f>
        <v>3770.3421210259853</v>
      </c>
      <c r="M3970" s="75">
        <f>'THAM_SO_MOI'!$C$15*'THAM_SO_MOI'!$C$16*F3970^2</f>
        <v>1328.7101720724652</v>
      </c>
      <c r="N3970" s="75">
        <f>'THAM_SO_MOI'!$C$12*I3970</f>
        <v>1130.112</v>
      </c>
      <c r="O3970" s="75">
        <f>M3970+N3970</f>
        <v>2458.822172072465</v>
      </c>
      <c r="P3970" s="75">
        <f>(MIN(L3970,'THAM_SO_MOI'!$C$41)-O3970)/('THAM_SO_MOI'!$C$11*H3970)</f>
        <v>0.1552462060787784</v>
      </c>
      <c r="Q3970" s="75">
        <f>IF(P3970&gt;0,1/P3970,NA())</f>
        <v>6.441381243755215</v>
      </c>
      <c r="R3970" s="75">
        <f>F3970-F3969</f>
        <v>0.0073885545698715305</v>
      </c>
      <c r="S3970" s="75">
        <f>0.5*(Q3969+Q3970)*R3970</f>
        <v>0.0475765497063777</v>
      </c>
      <c r="T3970" s="75">
        <f>0.5*(F3969*Q3969+F3970*Q3970)*R3970</f>
        <v>1.0138410693775703</v>
      </c>
      <c r="U3970" s="76">
        <f>U3969+S3970</f>
        <v>55.86479360707613</v>
      </c>
      <c r="V3970" s="76">
        <f>V3969+T3970</f>
        <v>802.3079221958452</v>
      </c>
    </row>
    <row r="3971" spans="1:22" ht="19" customHeight="1">
      <c r="A3971" s="68" t="s">
        <v>378</v>
      </c>
      <c r="B3971" s="74">
        <v>5</v>
      </c>
      <c r="C3971" s="68" t="s">
        <v>363</v>
      </c>
      <c r="D3971" s="68" t="s">
        <v>364</v>
      </c>
      <c r="E3971" s="75">
        <f>60*F3971*'THAM_SO_MOI'!$C$53/(2*PI()*'THAM_SO_MOI'!$C$26)</f>
        <v>2100.6561302936175</v>
      </c>
      <c r="F3971" s="75">
        <f>'HANH_TRINH'!$F$3289+('THAM_SO_MOI'!$C$14-'HANH_TRINH'!$F$3289)*681/'THAM_SO_MOI'!$C$42</f>
        <v>21.320762006185227</v>
      </c>
      <c r="G3971" s="75">
        <f>3.6*F3971</f>
        <v>76.75474322226682</v>
      </c>
      <c r="H3971" s="75">
        <f>'THAM_SO_MOI'!$D$53</f>
        <v>1.1</v>
      </c>
      <c r="I3971" s="75">
        <f>IF(F3971&gt;'THAM_SO_MOI'!$C$14,'THAM_SO_MOI'!$C$13*(1+F3971^2/1500),'THAM_SO_MOI'!$C$13)</f>
        <v>0.015</v>
      </c>
      <c r="J3971" s="75">
        <f>'THAM_SO_MOI'!$C$40*('THAM_SO_MOI'!$C$23*(E3971/'THAM_SO_MOI'!$C$22)+'THAM_SO_MOI'!$C$24*(E3971/'THAM_SO_MOI'!$C$22)^2-'THAM_SO_MOI'!$C$25*(E3971/'THAM_SO_MOI'!$C$22)^3)</f>
        <v>94.55562195160772</v>
      </c>
      <c r="K3971" s="75">
        <f>'THAM_SO_MOI'!$C$31*J3971/E3971</f>
        <v>429.91807858007735</v>
      </c>
      <c r="L3971" s="75">
        <f>K3971*'THAM_SO_MOI'!$C$53*'THAM_SO_MOI'!$C$17/'THAM_SO_MOI'!$C$26</f>
        <v>3770.3832314032024</v>
      </c>
      <c r="M3971" s="75">
        <f>'THAM_SO_MOI'!$C$15*'THAM_SO_MOI'!$C$16*F3971^2</f>
        <v>1329.6315606338453</v>
      </c>
      <c r="N3971" s="75">
        <f>'THAM_SO_MOI'!$C$12*I3971</f>
        <v>1130.112</v>
      </c>
      <c r="O3971" s="75">
        <f>M3971+N3971</f>
        <v>2459.7435606338454</v>
      </c>
      <c r="P3971" s="75">
        <f>(MIN(L3971,'THAM_SO_MOI'!$C$41)-O3971)/('THAM_SO_MOI'!$C$11*H3971)</f>
        <v>0.15514200648311519</v>
      </c>
      <c r="Q3971" s="75">
        <f>IF(P3971&gt;0,1/P3971,NA())</f>
        <v>6.445707533818925</v>
      </c>
      <c r="R3971" s="75">
        <f>F3971-F3970</f>
        <v>0.0073885545698715305</v>
      </c>
      <c r="S3971" s="75">
        <f>0.5*(Q3970+Q3971)*R3971</f>
        <v>0.04760847933994276</v>
      </c>
      <c r="T3971" s="75">
        <f>0.5*(F3970*Q3970+F3971*Q3971)*R3971</f>
        <v>1.0148732376033527</v>
      </c>
      <c r="U3971" s="76">
        <f>U3970+S3971</f>
        <v>55.91240208641607</v>
      </c>
      <c r="V3971" s="76">
        <f>V3970+T3971</f>
        <v>803.3227954334485</v>
      </c>
    </row>
    <row r="3972" spans="1:22" ht="19" customHeight="1">
      <c r="A3972" s="68" t="s">
        <v>378</v>
      </c>
      <c r="B3972" s="74">
        <v>5</v>
      </c>
      <c r="C3972" s="68" t="s">
        <v>363</v>
      </c>
      <c r="D3972" s="68" t="s">
        <v>364</v>
      </c>
      <c r="E3972" s="75">
        <f>60*F3972*'THAM_SO_MOI'!$C$53/(2*PI()*'THAM_SO_MOI'!$C$26)</f>
        <v>2101.384097354397</v>
      </c>
      <c r="F3972" s="75">
        <f>'HANH_TRINH'!$F$3289+('THAM_SO_MOI'!$C$14-'HANH_TRINH'!$F$3289)*682/'THAM_SO_MOI'!$C$42</f>
        <v>21.328150560755102</v>
      </c>
      <c r="G3972" s="75">
        <f>3.6*F3972</f>
        <v>76.78134201871836</v>
      </c>
      <c r="H3972" s="75">
        <f>'THAM_SO_MOI'!$D$53</f>
        <v>1.1</v>
      </c>
      <c r="I3972" s="75">
        <f>IF(F3972&gt;'THAM_SO_MOI'!$C$14,'THAM_SO_MOI'!$C$13*(1+F3972^2/1500),'THAM_SO_MOI'!$C$13)</f>
        <v>0.015</v>
      </c>
      <c r="J3972" s="75">
        <f>'THAM_SO_MOI'!$C$40*('THAM_SO_MOI'!$C$23*(E3972/'THAM_SO_MOI'!$C$22)+'THAM_SO_MOI'!$C$24*(E3972/'THAM_SO_MOI'!$C$22)^2-'THAM_SO_MOI'!$C$25*(E3972/'THAM_SO_MOI'!$C$22)^3)</f>
        <v>94.58940954600652</v>
      </c>
      <c r="K3972" s="75">
        <f>'THAM_SO_MOI'!$C$31*J3972/E3972</f>
        <v>429.9227147805579</v>
      </c>
      <c r="L3972" s="75">
        <f>K3972*'THAM_SO_MOI'!$C$53*'THAM_SO_MOI'!$C$17/'THAM_SO_MOI'!$C$26</f>
        <v>3770.4238908995576</v>
      </c>
      <c r="M3972" s="75">
        <f>'THAM_SO_MOI'!$C$15*'THAM_SO_MOI'!$C$16*F3972^2</f>
        <v>1330.5532685510468</v>
      </c>
      <c r="N3972" s="75">
        <f>'THAM_SO_MOI'!$C$12*I3972</f>
        <v>1130.112</v>
      </c>
      <c r="O3972" s="75">
        <f>M3972+N3972</f>
        <v>2460.665268551047</v>
      </c>
      <c r="P3972" s="75">
        <f>(MIN(L3972,'THAM_SO_MOI'!$C$41)-O3972)/('THAM_SO_MOI'!$C$11*H3972)</f>
        <v>0.1550377157136021</v>
      </c>
      <c r="Q3972" s="75">
        <f>IF(P3972&gt;0,1/P3972,NA())</f>
        <v>6.450043432317327</v>
      </c>
      <c r="R3972" s="75">
        <f>F3972-F3971</f>
        <v>0.007388554569875083</v>
      </c>
      <c r="S3972" s="75">
        <f>0.5*(Q3971+Q3972)*R3972</f>
        <v>0.04764047986640851</v>
      </c>
      <c r="T3972" s="75">
        <f>0.5*(F3971*Q3971+F3972*Q3972)*R3972</f>
        <v>1.0159073894097443</v>
      </c>
      <c r="U3972" s="76">
        <f>U3971+S3972</f>
        <v>55.96004256628248</v>
      </c>
      <c r="V3972" s="76">
        <f>V3971+T3972</f>
        <v>804.3387028228583</v>
      </c>
    </row>
    <row r="3973" spans="1:22" ht="19" customHeight="1">
      <c r="A3973" s="68" t="s">
        <v>378</v>
      </c>
      <c r="B3973" s="74">
        <v>5</v>
      </c>
      <c r="C3973" s="68" t="s">
        <v>363</v>
      </c>
      <c r="D3973" s="68" t="s">
        <v>364</v>
      </c>
      <c r="E3973" s="75">
        <f>60*F3973*'THAM_SO_MOI'!$C$53/(2*PI()*'THAM_SO_MOI'!$C$26)</f>
        <v>2102.112064415176</v>
      </c>
      <c r="F3973" s="75">
        <f>'HANH_TRINH'!$F$3289+('THAM_SO_MOI'!$C$14-'HANH_TRINH'!$F$3289)*683/'THAM_SO_MOI'!$C$42</f>
        <v>21.335539115324973</v>
      </c>
      <c r="G3973" s="75">
        <f>3.6*F3973</f>
        <v>76.8079408151699</v>
      </c>
      <c r="H3973" s="75">
        <f>'THAM_SO_MOI'!$D$53</f>
        <v>1.1</v>
      </c>
      <c r="I3973" s="75">
        <f>IF(F3973&gt;'THAM_SO_MOI'!$C$14,'THAM_SO_MOI'!$C$13*(1+F3973^2/1500),'THAM_SO_MOI'!$C$13)</f>
        <v>0.015</v>
      </c>
      <c r="J3973" s="75">
        <f>'THAM_SO_MOI'!$C$40*('THAM_SO_MOI'!$C$23*(E3973/'THAM_SO_MOI'!$C$22)+'THAM_SO_MOI'!$C$24*(E3973/'THAM_SO_MOI'!$C$22)^2-'THAM_SO_MOI'!$C$25*(E3973/'THAM_SO_MOI'!$C$22)^3)</f>
        <v>94.62318653187015</v>
      </c>
      <c r="K3973" s="75">
        <f>'THAM_SO_MOI'!$C$31*J3973/E3973</f>
        <v>429.9272995693334</v>
      </c>
      <c r="L3973" s="75">
        <f>K3973*'THAM_SO_MOI'!$C$53*'THAM_SO_MOI'!$C$17/'THAM_SO_MOI'!$C$26</f>
        <v>3770.464099515059</v>
      </c>
      <c r="M3973" s="75">
        <f>'THAM_SO_MOI'!$C$15*'THAM_SO_MOI'!$C$16*F3973^2</f>
        <v>1331.4752958240688</v>
      </c>
      <c r="N3973" s="75">
        <f>'THAM_SO_MOI'!$C$12*I3973</f>
        <v>1130.112</v>
      </c>
      <c r="O3973" s="75">
        <f>M3973+N3973</f>
        <v>2461.587295824069</v>
      </c>
      <c r="P3973" s="75">
        <f>(MIN(L3973,'THAM_SO_MOI'!$C$41)-O3973)/('THAM_SO_MOI'!$C$11*H3973)</f>
        <v>0.1549333337702403</v>
      </c>
      <c r="Q3973" s="75">
        <f>IF(P3973&gt;0,1/P3973,NA())</f>
        <v>6.4543889663083</v>
      </c>
      <c r="R3973" s="75">
        <f>F3973-F3972</f>
        <v>0.0073885545698715305</v>
      </c>
      <c r="S3973" s="75">
        <f>0.5*(Q3972+Q3973)*R3973</f>
        <v>0.04767255148523181</v>
      </c>
      <c r="T3973" s="75">
        <f>0.5*(F3972*Q3972+F3973*Q3973)*R3973</f>
        <v>1.0169435306229175</v>
      </c>
      <c r="U3973" s="76">
        <f>U3972+S3973</f>
        <v>56.00771511776772</v>
      </c>
      <c r="V3973" s="76">
        <f>V3972+T3973</f>
        <v>805.3556463534812</v>
      </c>
    </row>
    <row r="3974" spans="1:22" ht="19" customHeight="1">
      <c r="A3974" s="68" t="s">
        <v>378</v>
      </c>
      <c r="B3974" s="74">
        <v>5</v>
      </c>
      <c r="C3974" s="68" t="s">
        <v>363</v>
      </c>
      <c r="D3974" s="68" t="s">
        <v>364</v>
      </c>
      <c r="E3974" s="75">
        <f>60*F3974*'THAM_SO_MOI'!$C$53/(2*PI()*'THAM_SO_MOI'!$C$26)</f>
        <v>2102.8400314759547</v>
      </c>
      <c r="F3974" s="75">
        <f>'HANH_TRINH'!$F$3289+('THAM_SO_MOI'!$C$14-'HANH_TRINH'!$F$3289)*684/'THAM_SO_MOI'!$C$42</f>
        <v>21.342927669894845</v>
      </c>
      <c r="G3974" s="75">
        <f>3.6*F3974</f>
        <v>76.83453961162144</v>
      </c>
      <c r="H3974" s="75">
        <f>'THAM_SO_MOI'!$D$53</f>
        <v>1.1</v>
      </c>
      <c r="I3974" s="75">
        <f>IF(F3974&gt;'THAM_SO_MOI'!$C$14,'THAM_SO_MOI'!$C$13*(1+F3974^2/1500),'THAM_SO_MOI'!$C$13)</f>
        <v>0.015</v>
      </c>
      <c r="J3974" s="75">
        <f>'THAM_SO_MOI'!$C$40*('THAM_SO_MOI'!$C$23*(E3974/'THAM_SO_MOI'!$C$22)+'THAM_SO_MOI'!$C$24*(E3974/'THAM_SO_MOI'!$C$22)^2-'THAM_SO_MOI'!$C$25*(E3974/'THAM_SO_MOI'!$C$22)^3)</f>
        <v>94.65695289744299</v>
      </c>
      <c r="K3974" s="75">
        <f>'THAM_SO_MOI'!$C$31*J3974/E3974</f>
        <v>429.9318329464036</v>
      </c>
      <c r="L3974" s="75">
        <f>K3974*'THAM_SO_MOI'!$C$53*'THAM_SO_MOI'!$C$17/'THAM_SO_MOI'!$C$26</f>
        <v>3770.5038572497033</v>
      </c>
      <c r="M3974" s="75">
        <f>'THAM_SO_MOI'!$C$15*'THAM_SO_MOI'!$C$16*F3974^2</f>
        <v>1332.397642452912</v>
      </c>
      <c r="N3974" s="75">
        <f>'THAM_SO_MOI'!$C$12*I3974</f>
        <v>1130.112</v>
      </c>
      <c r="O3974" s="75">
        <f>M3974+N3974</f>
        <v>2462.509642452912</v>
      </c>
      <c r="P3974" s="75">
        <f>(MIN(L3974,'THAM_SO_MOI'!$C$41)-O3974)/('THAM_SO_MOI'!$C$11*H3974)</f>
        <v>0.15482886065302928</v>
      </c>
      <c r="Q3974" s="75">
        <f>IF(P3974&gt;0,1/P3974,NA())</f>
        <v>6.45874416295677</v>
      </c>
      <c r="R3974" s="75">
        <f>F3974-F3973</f>
        <v>0.0073885545698715305</v>
      </c>
      <c r="S3974" s="75">
        <f>0.5*(Q3973+Q3974)*R3974</f>
        <v>0.04770469439679544</v>
      </c>
      <c r="T3974" s="75">
        <f>0.5*(F3973*Q3973+F3974*Q3974)*R3974</f>
        <v>1.0179816670946988</v>
      </c>
      <c r="U3974" s="76">
        <f>U3973+S3974</f>
        <v>56.05541981216451</v>
      </c>
      <c r="V3974" s="76">
        <f>V3973+T3974</f>
        <v>806.3736280205759</v>
      </c>
    </row>
    <row r="3975" spans="1:22" ht="19" customHeight="1">
      <c r="A3975" s="68" t="s">
        <v>378</v>
      </c>
      <c r="B3975" s="74">
        <v>5</v>
      </c>
      <c r="C3975" s="68" t="s">
        <v>363</v>
      </c>
      <c r="D3975" s="68" t="s">
        <v>364</v>
      </c>
      <c r="E3975" s="75">
        <f>60*F3975*'THAM_SO_MOI'!$C$53/(2*PI()*'THAM_SO_MOI'!$C$26)</f>
        <v>2103.5679985367337</v>
      </c>
      <c r="F3975" s="75">
        <f>'HANH_TRINH'!$F$3289+('THAM_SO_MOI'!$C$14-'HANH_TRINH'!$F$3289)*685/'THAM_SO_MOI'!$C$42</f>
        <v>21.350316224464716</v>
      </c>
      <c r="G3975" s="75">
        <f>3.6*F3975</f>
        <v>76.86113840807297</v>
      </c>
      <c r="H3975" s="75">
        <f>'THAM_SO_MOI'!$D$53</f>
        <v>1.1</v>
      </c>
      <c r="I3975" s="75">
        <f>IF(F3975&gt;'THAM_SO_MOI'!$C$14,'THAM_SO_MOI'!$C$13*(1+F3975^2/1500),'THAM_SO_MOI'!$C$13)</f>
        <v>0.015</v>
      </c>
      <c r="J3975" s="75">
        <f>'THAM_SO_MOI'!$C$40*('THAM_SO_MOI'!$C$23*(E3975/'THAM_SO_MOI'!$C$22)+'THAM_SO_MOI'!$C$24*(E3975/'THAM_SO_MOI'!$C$22)^2-'THAM_SO_MOI'!$C$25*(E3975/'THAM_SO_MOI'!$C$22)^3)</f>
        <v>94.69070863096952</v>
      </c>
      <c r="K3975" s="75">
        <f>'THAM_SO_MOI'!$C$31*J3975/E3975</f>
        <v>429.93631491176797</v>
      </c>
      <c r="L3975" s="75">
        <f>K3975*'THAM_SO_MOI'!$C$53*'THAM_SO_MOI'!$C$17/'THAM_SO_MOI'!$C$26</f>
        <v>3770.543164103487</v>
      </c>
      <c r="M3975" s="75">
        <f>'THAM_SO_MOI'!$C$15*'THAM_SO_MOI'!$C$16*F3975^2</f>
        <v>1333.320308437576</v>
      </c>
      <c r="N3975" s="75">
        <f>'THAM_SO_MOI'!$C$12*I3975</f>
        <v>1130.112</v>
      </c>
      <c r="O3975" s="75">
        <f>M3975+N3975</f>
        <v>2463.432308437576</v>
      </c>
      <c r="P3975" s="75">
        <f>(MIN(L3975,'THAM_SO_MOI'!$C$41)-O3975)/('THAM_SO_MOI'!$C$11*H3975)</f>
        <v>0.15472429636196863</v>
      </c>
      <c r="Q3975" s="75">
        <f>IF(P3975&gt;0,1/P3975,NA())</f>
        <v>6.463109049535163</v>
      </c>
      <c r="R3975" s="75">
        <f>F3975-F3974</f>
        <v>0.0073885545698715305</v>
      </c>
      <c r="S3975" s="75">
        <f>0.5*(Q3974+Q3975)*R3975</f>
        <v>0.04773690880218319</v>
      </c>
      <c r="T3975" s="75">
        <f>0.5*(F3974*Q3974+F3975*Q3975)*R3975</f>
        <v>1.019021804697799</v>
      </c>
      <c r="U3975" s="76">
        <f>U3974+S3975</f>
        <v>56.103156720966695</v>
      </c>
      <c r="V3975" s="76">
        <f>V3974+T3975</f>
        <v>807.3926498252737</v>
      </c>
    </row>
    <row r="3976" spans="1:22" ht="19" customHeight="1">
      <c r="A3976" s="68" t="s">
        <v>378</v>
      </c>
      <c r="B3976" s="74">
        <v>5</v>
      </c>
      <c r="C3976" s="68" t="s">
        <v>363</v>
      </c>
      <c r="D3976" s="68" t="s">
        <v>364</v>
      </c>
      <c r="E3976" s="75">
        <f>60*F3976*'THAM_SO_MOI'!$C$53/(2*PI()*'THAM_SO_MOI'!$C$26)</f>
        <v>2104.2959655975133</v>
      </c>
      <c r="F3976" s="75">
        <f>'HANH_TRINH'!$F$3289+('THAM_SO_MOI'!$C$14-'HANH_TRINH'!$F$3289)*686/'THAM_SO_MOI'!$C$42</f>
        <v>21.35770477903459</v>
      </c>
      <c r="G3976" s="75">
        <f>3.6*F3976</f>
        <v>76.88773720452453</v>
      </c>
      <c r="H3976" s="75">
        <f>'THAM_SO_MOI'!$D$53</f>
        <v>1.1</v>
      </c>
      <c r="I3976" s="75">
        <f>IF(F3976&gt;'THAM_SO_MOI'!$C$14,'THAM_SO_MOI'!$C$13*(1+F3976^2/1500),'THAM_SO_MOI'!$C$13)</f>
        <v>0.015</v>
      </c>
      <c r="J3976" s="75">
        <f>'THAM_SO_MOI'!$C$40*('THAM_SO_MOI'!$C$23*(E3976/'THAM_SO_MOI'!$C$22)+'THAM_SO_MOI'!$C$24*(E3976/'THAM_SO_MOI'!$C$22)^2-'THAM_SO_MOI'!$C$25*(E3976/'THAM_SO_MOI'!$C$22)^3)</f>
        <v>94.72445372069433</v>
      </c>
      <c r="K3976" s="75">
        <f>'THAM_SO_MOI'!$C$31*J3976/E3976</f>
        <v>429.94074546542714</v>
      </c>
      <c r="L3976" s="75">
        <f>K3976*'THAM_SO_MOI'!$C$53*'THAM_SO_MOI'!$C$17/'THAM_SO_MOI'!$C$26</f>
        <v>3770.5820200764147</v>
      </c>
      <c r="M3976" s="75">
        <f>'THAM_SO_MOI'!$C$15*'THAM_SO_MOI'!$C$16*F3976^2</f>
        <v>1334.2432937780613</v>
      </c>
      <c r="N3976" s="75">
        <f>'THAM_SO_MOI'!$C$12*I3976</f>
        <v>1130.112</v>
      </c>
      <c r="O3976" s="75">
        <f>M3976+N3976</f>
        <v>2464.3552937780614</v>
      </c>
      <c r="P3976" s="75">
        <f>(MIN(L3976,'THAM_SO_MOI'!$C$41)-O3976)/('THAM_SO_MOI'!$C$11*H3976)</f>
        <v>0.15461964089705885</v>
      </c>
      <c r="Q3976" s="75">
        <f>IF(P3976&gt;0,1/P3976,NA())</f>
        <v>6.46748365342389</v>
      </c>
      <c r="R3976" s="75">
        <f>F3976-F3975</f>
        <v>0.007388554569875083</v>
      </c>
      <c r="S3976" s="75">
        <f>0.5*(Q3975+Q3976)*R3976</f>
        <v>0.04776919490332076</v>
      </c>
      <c r="T3976" s="75">
        <f>0.5*(F3975*Q3975+F3976*Q3976)*R3976</f>
        <v>1.0200639493288517</v>
      </c>
      <c r="U3976" s="76">
        <f>U3975+S3976</f>
        <v>56.15092591587001</v>
      </c>
      <c r="V3976" s="76">
        <f>V3975+T3976</f>
        <v>808.4127137746025</v>
      </c>
    </row>
    <row r="3977" spans="1:22" ht="19" customHeight="1">
      <c r="A3977" s="68" t="s">
        <v>378</v>
      </c>
      <c r="B3977" s="74">
        <v>5</v>
      </c>
      <c r="C3977" s="68" t="s">
        <v>363</v>
      </c>
      <c r="D3977" s="68" t="s">
        <v>364</v>
      </c>
      <c r="E3977" s="75">
        <f>60*F3977*'THAM_SO_MOI'!$C$53/(2*PI()*'THAM_SO_MOI'!$C$26)</f>
        <v>2105.023932658292</v>
      </c>
      <c r="F3977" s="75">
        <f>'HANH_TRINH'!$F$3289+('THAM_SO_MOI'!$C$14-'HANH_TRINH'!$F$3289)*687/'THAM_SO_MOI'!$C$42</f>
        <v>21.365093333604463</v>
      </c>
      <c r="G3977" s="75">
        <f>3.6*F3977</f>
        <v>76.91433600097606</v>
      </c>
      <c r="H3977" s="75">
        <f>'THAM_SO_MOI'!$D$53</f>
        <v>1.1</v>
      </c>
      <c r="I3977" s="75">
        <f>IF(F3977&gt;'THAM_SO_MOI'!$C$14,'THAM_SO_MOI'!$C$13*(1+F3977^2/1500),'THAM_SO_MOI'!$C$13)</f>
        <v>0.015</v>
      </c>
      <c r="J3977" s="75">
        <f>'THAM_SO_MOI'!$C$40*('THAM_SO_MOI'!$C$23*(E3977/'THAM_SO_MOI'!$C$22)+'THAM_SO_MOI'!$C$24*(E3977/'THAM_SO_MOI'!$C$22)^2-'THAM_SO_MOI'!$C$25*(E3977/'THAM_SO_MOI'!$C$22)^3)</f>
        <v>94.75818815486171</v>
      </c>
      <c r="K3977" s="75">
        <f>'THAM_SO_MOI'!$C$31*J3977/E3977</f>
        <v>429.94512460738065</v>
      </c>
      <c r="L3977" s="75">
        <f>K3977*'THAM_SO_MOI'!$C$53*'THAM_SO_MOI'!$C$17/'THAM_SO_MOI'!$C$26</f>
        <v>3770.6204251684826</v>
      </c>
      <c r="M3977" s="75">
        <f>'THAM_SO_MOI'!$C$15*'THAM_SO_MOI'!$C$16*F3977^2</f>
        <v>1335.1665984743674</v>
      </c>
      <c r="N3977" s="75">
        <f>'THAM_SO_MOI'!$C$12*I3977</f>
        <v>1130.112</v>
      </c>
      <c r="O3977" s="75">
        <f>M3977+N3977</f>
        <v>2465.2785984743678</v>
      </c>
      <c r="P3977" s="75">
        <f>(MIN(L3977,'THAM_SO_MOI'!$C$41)-O3977)/('THAM_SO_MOI'!$C$11*H3977)</f>
        <v>0.15451489425829965</v>
      </c>
      <c r="Q3977" s="75">
        <f>IF(P3977&gt;0,1/P3977,NA())</f>
        <v>6.471868002111944</v>
      </c>
      <c r="R3977" s="75">
        <f>F3977-F3976</f>
        <v>0.0073885545698715305</v>
      </c>
      <c r="S3977" s="75">
        <f>0.5*(Q3976+Q3977)*R3977</f>
        <v>0.04780155290284202</v>
      </c>
      <c r="T3977" s="75">
        <f>0.5*(F3976*Q3976+F3977*Q3977)*R3977</f>
        <v>1.0211081069055858</v>
      </c>
      <c r="U3977" s="76">
        <f>U3976+S3977</f>
        <v>56.19872746877285</v>
      </c>
      <c r="V3977" s="76">
        <f>V3976+T3977</f>
        <v>809.433821881508</v>
      </c>
    </row>
    <row r="3978" spans="1:22" ht="19" customHeight="1">
      <c r="A3978" s="68" t="s">
        <v>378</v>
      </c>
      <c r="B3978" s="74">
        <v>5</v>
      </c>
      <c r="C3978" s="68" t="s">
        <v>363</v>
      </c>
      <c r="D3978" s="68" t="s">
        <v>364</v>
      </c>
      <c r="E3978" s="75">
        <f>60*F3978*'THAM_SO_MOI'!$C$53/(2*PI()*'THAM_SO_MOI'!$C$26)</f>
        <v>2105.751899719071</v>
      </c>
      <c r="F3978" s="75">
        <f>'HANH_TRINH'!$F$3289+('THAM_SO_MOI'!$C$14-'HANH_TRINH'!$F$3289)*688/'THAM_SO_MOI'!$C$42</f>
        <v>21.372481888174335</v>
      </c>
      <c r="G3978" s="75">
        <f>3.6*F3978</f>
        <v>76.9409347974276</v>
      </c>
      <c r="H3978" s="75">
        <f>'THAM_SO_MOI'!$D$53</f>
        <v>1.1</v>
      </c>
      <c r="I3978" s="75">
        <f>IF(F3978&gt;'THAM_SO_MOI'!$C$14,'THAM_SO_MOI'!$C$13*(1+F3978^2/1500),'THAM_SO_MOI'!$C$13)</f>
        <v>0.015</v>
      </c>
      <c r="J3978" s="75">
        <f>'THAM_SO_MOI'!$C$40*('THAM_SO_MOI'!$C$23*(E3978/'THAM_SO_MOI'!$C$22)+'THAM_SO_MOI'!$C$24*(E3978/'THAM_SO_MOI'!$C$22)^2-'THAM_SO_MOI'!$C$25*(E3978/'THAM_SO_MOI'!$C$22)^3)</f>
        <v>94.79191192171638</v>
      </c>
      <c r="K3978" s="75">
        <f>'THAM_SO_MOI'!$C$31*J3978/E3978</f>
        <v>429.949452337629</v>
      </c>
      <c r="L3978" s="75">
        <f>K3978*'THAM_SO_MOI'!$C$53*'THAM_SO_MOI'!$C$17/'THAM_SO_MOI'!$C$26</f>
        <v>3770.6583793796945</v>
      </c>
      <c r="M3978" s="75">
        <f>'THAM_SO_MOI'!$C$15*'THAM_SO_MOI'!$C$16*F3978^2</f>
        <v>1336.0902225264945</v>
      </c>
      <c r="N3978" s="75">
        <f>'THAM_SO_MOI'!$C$12*I3978</f>
        <v>1130.112</v>
      </c>
      <c r="O3978" s="75">
        <f>M3978+N3978</f>
        <v>2466.2022225264946</v>
      </c>
      <c r="P3978" s="75">
        <f>(MIN(L3978,'THAM_SO_MOI'!$C$41)-O3978)/('THAM_SO_MOI'!$C$11*H3978)</f>
        <v>0.15441005644569128</v>
      </c>
      <c r="Q3978" s="75">
        <f>IF(P3978&gt;0,1/P3978,NA())</f>
        <v>6.4762621231973805</v>
      </c>
      <c r="R3978" s="75">
        <f>F3978-F3977</f>
        <v>0.0073885545698715305</v>
      </c>
      <c r="S3978" s="75">
        <f>0.5*(Q3977+Q3978)*R3978</f>
        <v>0.04783398300432272</v>
      </c>
      <c r="T3978" s="75">
        <f>0.5*(F3977*Q3977+F3978*Q3978)*R3978</f>
        <v>1.0221542833718442</v>
      </c>
      <c r="U3978" s="76">
        <f>U3977+S3978</f>
        <v>56.246561451777175</v>
      </c>
      <c r="V3978" s="76">
        <f>V3977+T3978</f>
        <v>810.4559761648799</v>
      </c>
    </row>
    <row r="3979" spans="1:22" ht="19" customHeight="1">
      <c r="A3979" s="68" t="s">
        <v>378</v>
      </c>
      <c r="B3979" s="74">
        <v>5</v>
      </c>
      <c r="C3979" s="68" t="s">
        <v>363</v>
      </c>
      <c r="D3979" s="68" t="s">
        <v>364</v>
      </c>
      <c r="E3979" s="75">
        <f>60*F3979*'THAM_SO_MOI'!$C$53/(2*PI()*'THAM_SO_MOI'!$C$26)</f>
        <v>2106.4798667798495</v>
      </c>
      <c r="F3979" s="75">
        <f>'HANH_TRINH'!$F$3289+('THAM_SO_MOI'!$C$14-'HANH_TRINH'!$F$3289)*689/'THAM_SO_MOI'!$C$42</f>
        <v>21.379870442744206</v>
      </c>
      <c r="G3979" s="75">
        <f>3.6*F3979</f>
        <v>76.96753359387914</v>
      </c>
      <c r="H3979" s="75">
        <f>'THAM_SO_MOI'!$D$53</f>
        <v>1.1</v>
      </c>
      <c r="I3979" s="75">
        <f>IF(F3979&gt;'THAM_SO_MOI'!$C$14,'THAM_SO_MOI'!$C$13*(1+F3979^2/1500),'THAM_SO_MOI'!$C$13)</f>
        <v>0.015</v>
      </c>
      <c r="J3979" s="75">
        <f>'THAM_SO_MOI'!$C$40*('THAM_SO_MOI'!$C$23*(E3979/'THAM_SO_MOI'!$C$22)+'THAM_SO_MOI'!$C$24*(E3979/'THAM_SO_MOI'!$C$22)^2-'THAM_SO_MOI'!$C$25*(E3979/'THAM_SO_MOI'!$C$22)^3)</f>
        <v>94.82562500950264</v>
      </c>
      <c r="K3979" s="75">
        <f>'THAM_SO_MOI'!$C$31*J3979/E3979</f>
        <v>429.95372865617185</v>
      </c>
      <c r="L3979" s="75">
        <f>K3979*'THAM_SO_MOI'!$C$53*'THAM_SO_MOI'!$C$17/'THAM_SO_MOI'!$C$26</f>
        <v>3770.6958827100484</v>
      </c>
      <c r="M3979" s="75">
        <f>'THAM_SO_MOI'!$C$15*'THAM_SO_MOI'!$C$16*F3979^2</f>
        <v>1337.0141659344426</v>
      </c>
      <c r="N3979" s="75">
        <f>'THAM_SO_MOI'!$C$12*I3979</f>
        <v>1130.112</v>
      </c>
      <c r="O3979" s="75">
        <f>M3979+N3979</f>
        <v>2467.1261659344427</v>
      </c>
      <c r="P3979" s="75">
        <f>(MIN(L3979,'THAM_SO_MOI'!$C$41)-O3979)/('THAM_SO_MOI'!$C$11*H3979)</f>
        <v>0.15430512745923364</v>
      </c>
      <c r="Q3979" s="75">
        <f>IF(P3979&gt;0,1/P3979,NA())</f>
        <v>6.480666044387885</v>
      </c>
      <c r="R3979" s="75">
        <f>F3979-F3978</f>
        <v>0.0073885545698715305</v>
      </c>
      <c r="S3979" s="75">
        <f>0.5*(Q3978+Q3979)*R3979</f>
        <v>0.04786648541205463</v>
      </c>
      <c r="T3979" s="75">
        <f>0.5*(F3978*Q3978+F3979*Q3979)*R3979</f>
        <v>1.0232024846927938</v>
      </c>
      <c r="U3979" s="76">
        <f>U3978+S3979</f>
        <v>56.29442793718923</v>
      </c>
      <c r="V3979" s="76">
        <f>V3978+T3979</f>
        <v>811.4791786495726</v>
      </c>
    </row>
    <row r="3980" spans="1:22" ht="19" customHeight="1">
      <c r="A3980" s="68" t="s">
        <v>378</v>
      </c>
      <c r="B3980" s="74">
        <v>5</v>
      </c>
      <c r="C3980" s="68" t="s">
        <v>363</v>
      </c>
      <c r="D3980" s="68" t="s">
        <v>364</v>
      </c>
      <c r="E3980" s="75">
        <f>60*F3980*'THAM_SO_MOI'!$C$53/(2*PI()*'THAM_SO_MOI'!$C$26)</f>
        <v>2107.2078338406286</v>
      </c>
      <c r="F3980" s="75">
        <f>'HANH_TRINH'!$F$3289+('THAM_SO_MOI'!$C$14-'HANH_TRINH'!$F$3289)*690/'THAM_SO_MOI'!$C$42</f>
        <v>21.387258997314078</v>
      </c>
      <c r="G3980" s="75">
        <f>3.6*F3980</f>
        <v>76.99413239033068</v>
      </c>
      <c r="H3980" s="75">
        <f>'THAM_SO_MOI'!$D$53</f>
        <v>1.1</v>
      </c>
      <c r="I3980" s="75">
        <f>IF(F3980&gt;'THAM_SO_MOI'!$C$14,'THAM_SO_MOI'!$C$13*(1+F3980^2/1500),'THAM_SO_MOI'!$C$13)</f>
        <v>0.015</v>
      </c>
      <c r="J3980" s="75">
        <f>'THAM_SO_MOI'!$C$40*('THAM_SO_MOI'!$C$23*(E3980/'THAM_SO_MOI'!$C$22)+'THAM_SO_MOI'!$C$24*(E3980/'THAM_SO_MOI'!$C$22)^2-'THAM_SO_MOI'!$C$25*(E3980/'THAM_SO_MOI'!$C$22)^3)</f>
        <v>94.85932740646511</v>
      </c>
      <c r="K3980" s="75">
        <f>'THAM_SO_MOI'!$C$31*J3980/E3980</f>
        <v>429.9579535630093</v>
      </c>
      <c r="L3980" s="75">
        <f>K3980*'THAM_SO_MOI'!$C$53*'THAM_SO_MOI'!$C$17/'THAM_SO_MOI'!$C$26</f>
        <v>3770.732935159545</v>
      </c>
      <c r="M3980" s="75">
        <f>'THAM_SO_MOI'!$C$15*'THAM_SO_MOI'!$C$16*F3980^2</f>
        <v>1337.9384286982115</v>
      </c>
      <c r="N3980" s="75">
        <f>'THAM_SO_MOI'!$C$12*I3980</f>
        <v>1130.112</v>
      </c>
      <c r="O3980" s="75">
        <f>M3980+N3980</f>
        <v>2468.0504286982114</v>
      </c>
      <c r="P3980" s="75">
        <f>(MIN(L3980,'THAM_SO_MOI'!$C$41)-O3980)/('THAM_SO_MOI'!$C$11*H3980)</f>
        <v>0.15420010729892675</v>
      </c>
      <c r="Q3980" s="75">
        <f>IF(P3980&gt;0,1/P3980,NA())</f>
        <v>6.485079793501286</v>
      </c>
      <c r="R3980" s="75">
        <f>F3980-F3979</f>
        <v>0.0073885545698715305</v>
      </c>
      <c r="S3980" s="75">
        <f>0.5*(Q3979+Q3980)*R3980</f>
        <v>0.0478990603311644</v>
      </c>
      <c r="T3980" s="75">
        <f>0.5*(F3979*Q3979+F3980*Q3980)*R3980</f>
        <v>1.0242527168574904</v>
      </c>
      <c r="U3980" s="76">
        <f>U3979+S3980</f>
        <v>56.342326997520395</v>
      </c>
      <c r="V3980" s="76">
        <f>V3979+T3980</f>
        <v>812.5034313664302</v>
      </c>
    </row>
    <row r="3981" spans="1:22" ht="19" customHeight="1">
      <c r="A3981" s="68" t="s">
        <v>378</v>
      </c>
      <c r="B3981" s="74">
        <v>5</v>
      </c>
      <c r="C3981" s="68" t="s">
        <v>363</v>
      </c>
      <c r="D3981" s="68" t="s">
        <v>364</v>
      </c>
      <c r="E3981" s="75">
        <f>60*F3981*'THAM_SO_MOI'!$C$53/(2*PI()*'THAM_SO_MOI'!$C$26)</f>
        <v>2107.9358009014077</v>
      </c>
      <c r="F3981" s="75">
        <f>'HANH_TRINH'!$F$3289+('THAM_SO_MOI'!$C$14-'HANH_TRINH'!$F$3289)*691/'THAM_SO_MOI'!$C$42</f>
        <v>21.39464755188395</v>
      </c>
      <c r="G3981" s="75">
        <f>3.6*F3981</f>
        <v>77.02073118678221</v>
      </c>
      <c r="H3981" s="75">
        <f>'THAM_SO_MOI'!$D$53</f>
        <v>1.1</v>
      </c>
      <c r="I3981" s="75">
        <f>IF(F3981&gt;'THAM_SO_MOI'!$C$14,'THAM_SO_MOI'!$C$13*(1+F3981^2/1500),'THAM_SO_MOI'!$C$13)</f>
        <v>0.015</v>
      </c>
      <c r="J3981" s="75">
        <f>'THAM_SO_MOI'!$C$40*('THAM_SO_MOI'!$C$23*(E3981/'THAM_SO_MOI'!$C$22)+'THAM_SO_MOI'!$C$24*(E3981/'THAM_SO_MOI'!$C$22)^2-'THAM_SO_MOI'!$C$25*(E3981/'THAM_SO_MOI'!$C$22)^3)</f>
        <v>94.89301910084815</v>
      </c>
      <c r="K3981" s="75">
        <f>'THAM_SO_MOI'!$C$31*J3981/E3981</f>
        <v>429.96212705814116</v>
      </c>
      <c r="L3981" s="75">
        <f>K3981*'THAM_SO_MOI'!$C$53*'THAM_SO_MOI'!$C$17/'THAM_SO_MOI'!$C$26</f>
        <v>3770.769536728182</v>
      </c>
      <c r="M3981" s="75">
        <f>'THAM_SO_MOI'!$C$15*'THAM_SO_MOI'!$C$16*F3981^2</f>
        <v>1338.8630108178018</v>
      </c>
      <c r="N3981" s="75">
        <f>'THAM_SO_MOI'!$C$12*I3981</f>
        <v>1130.112</v>
      </c>
      <c r="O3981" s="75">
        <f>M3981+N3981</f>
        <v>2468.975010817802</v>
      </c>
      <c r="P3981" s="75">
        <f>(MIN(L3981,'THAM_SO_MOI'!$C$41)-O3981)/('THAM_SO_MOI'!$C$11*H3981)</f>
        <v>0.1540949959647704</v>
      </c>
      <c r="Q3981" s="75">
        <f>IF(P3981&gt;0,1/P3981,NA())</f>
        <v>6.489503398466117</v>
      </c>
      <c r="R3981" s="75">
        <f>F3981-F3980</f>
        <v>0.0073885545698715305</v>
      </c>
      <c r="S3981" s="75">
        <f>0.5*(Q3980+Q3981)*R3981</f>
        <v>0.04793170796759455</v>
      </c>
      <c r="T3981" s="75">
        <f>0.5*(F3980*Q3980+F3981*Q3981)*R3981</f>
        <v>1.0253049858785057</v>
      </c>
      <c r="U3981" s="76">
        <f>U3980+S3981</f>
        <v>56.39025870548799</v>
      </c>
      <c r="V3981" s="76">
        <f>V3980+T3981</f>
        <v>813.5287363523087</v>
      </c>
    </row>
    <row r="3982" spans="1:22" ht="19" customHeight="1">
      <c r="A3982" s="68" t="s">
        <v>378</v>
      </c>
      <c r="B3982" s="74">
        <v>5</v>
      </c>
      <c r="C3982" s="68" t="s">
        <v>363</v>
      </c>
      <c r="D3982" s="68" t="s">
        <v>364</v>
      </c>
      <c r="E3982" s="75">
        <f>60*F3982*'THAM_SO_MOI'!$C$53/(2*PI()*'THAM_SO_MOI'!$C$26)</f>
        <v>2108.6637679621863</v>
      </c>
      <c r="F3982" s="75">
        <f>'HANH_TRINH'!$F$3289+('THAM_SO_MOI'!$C$14-'HANH_TRINH'!$F$3289)*692/'THAM_SO_MOI'!$C$42</f>
        <v>21.40203610645382</v>
      </c>
      <c r="G3982" s="75">
        <f>3.6*F3982</f>
        <v>77.04732998323375</v>
      </c>
      <c r="H3982" s="75">
        <f>'THAM_SO_MOI'!$D$53</f>
        <v>1.1</v>
      </c>
      <c r="I3982" s="75">
        <f>IF(F3982&gt;'THAM_SO_MOI'!$C$14,'THAM_SO_MOI'!$C$13*(1+F3982^2/1500),'THAM_SO_MOI'!$C$13)</f>
        <v>0.015</v>
      </c>
      <c r="J3982" s="75">
        <f>'THAM_SO_MOI'!$C$40*('THAM_SO_MOI'!$C$23*(E3982/'THAM_SO_MOI'!$C$22)+'THAM_SO_MOI'!$C$24*(E3982/'THAM_SO_MOI'!$C$22)^2-'THAM_SO_MOI'!$C$25*(E3982/'THAM_SO_MOI'!$C$22)^3)</f>
        <v>94.92670008089632</v>
      </c>
      <c r="K3982" s="75">
        <f>'THAM_SO_MOI'!$C$31*J3982/E3982</f>
        <v>429.96624914156774</v>
      </c>
      <c r="L3982" s="75">
        <f>K3982*'THAM_SO_MOI'!$C$53*'THAM_SO_MOI'!$C$17/'THAM_SO_MOI'!$C$26</f>
        <v>3770.8056874159624</v>
      </c>
      <c r="M3982" s="75">
        <f>'THAM_SO_MOI'!$C$15*'THAM_SO_MOI'!$C$16*F3982^2</f>
        <v>1339.7879122932127</v>
      </c>
      <c r="N3982" s="75">
        <f>'THAM_SO_MOI'!$C$12*I3982</f>
        <v>1130.112</v>
      </c>
      <c r="O3982" s="75">
        <f>M3982+N3982</f>
        <v>2469.8999122932128</v>
      </c>
      <c r="P3982" s="75">
        <f>(MIN(L3982,'THAM_SO_MOI'!$C$41)-O3982)/('THAM_SO_MOI'!$C$11*H3982)</f>
        <v>0.1539897934567649</v>
      </c>
      <c r="Q3982" s="75">
        <f>IF(P3982&gt;0,1/P3982,NA())</f>
        <v>6.49393688732212</v>
      </c>
      <c r="R3982" s="75">
        <f>F3982-F3981</f>
        <v>0.0073885545698715305</v>
      </c>
      <c r="S3982" s="75">
        <f>0.5*(Q3981+Q3982)*R3982</f>
        <v>0.04796442852810741</v>
      </c>
      <c r="T3982" s="75">
        <f>0.5*(F3981*Q3981+F3982*Q3982)*R3982</f>
        <v>1.0263592977920397</v>
      </c>
      <c r="U3982" s="76">
        <f>U3981+S3982</f>
        <v>56.43822313401609</v>
      </c>
      <c r="V3982" s="76">
        <f>V3981+T3982</f>
        <v>814.5550956501007</v>
      </c>
    </row>
    <row r="3983" spans="1:22" ht="19" customHeight="1">
      <c r="A3983" s="68" t="s">
        <v>378</v>
      </c>
      <c r="B3983" s="74">
        <v>5</v>
      </c>
      <c r="C3983" s="68" t="s">
        <v>363</v>
      </c>
      <c r="D3983" s="68" t="s">
        <v>364</v>
      </c>
      <c r="E3983" s="75">
        <f>60*F3983*'THAM_SO_MOI'!$C$53/(2*PI()*'THAM_SO_MOI'!$C$26)</f>
        <v>2109.3917350229653</v>
      </c>
      <c r="F3983" s="75">
        <f>'HANH_TRINH'!$F$3289+('THAM_SO_MOI'!$C$14-'HANH_TRINH'!$F$3289)*693/'THAM_SO_MOI'!$C$42</f>
        <v>21.409424661023692</v>
      </c>
      <c r="G3983" s="75">
        <f>3.6*F3983</f>
        <v>77.07392877968529</v>
      </c>
      <c r="H3983" s="75">
        <f>'THAM_SO_MOI'!$D$53</f>
        <v>1.1</v>
      </c>
      <c r="I3983" s="75">
        <f>IF(F3983&gt;'THAM_SO_MOI'!$C$14,'THAM_SO_MOI'!$C$13*(1+F3983^2/1500),'THAM_SO_MOI'!$C$13)</f>
        <v>0.015</v>
      </c>
      <c r="J3983" s="75">
        <f>'THAM_SO_MOI'!$C$40*('THAM_SO_MOI'!$C$23*(E3983/'THAM_SO_MOI'!$C$22)+'THAM_SO_MOI'!$C$24*(E3983/'THAM_SO_MOI'!$C$22)^2-'THAM_SO_MOI'!$C$25*(E3983/'THAM_SO_MOI'!$C$22)^3)</f>
        <v>94.96037033485412</v>
      </c>
      <c r="K3983" s="75">
        <f>'THAM_SO_MOI'!$C$31*J3983/E3983</f>
        <v>429.9703198132889</v>
      </c>
      <c r="L3983" s="75">
        <f>K3983*'THAM_SO_MOI'!$C$53*'THAM_SO_MOI'!$C$17/'THAM_SO_MOI'!$C$26</f>
        <v>3770.8413872228857</v>
      </c>
      <c r="M3983" s="75">
        <f>'THAM_SO_MOI'!$C$15*'THAM_SO_MOI'!$C$16*F3983^2</f>
        <v>1340.7131331244448</v>
      </c>
      <c r="N3983" s="75">
        <f>'THAM_SO_MOI'!$C$12*I3983</f>
        <v>1130.112</v>
      </c>
      <c r="O3983" s="75">
        <f>M3983+N3983</f>
        <v>2470.8251331244446</v>
      </c>
      <c r="P3983" s="75">
        <f>(MIN(L3983,'THAM_SO_MOI'!$C$41)-O3983)/('THAM_SO_MOI'!$C$11*H3983)</f>
        <v>0.15388449977491017</v>
      </c>
      <c r="Q3983" s="75">
        <f>IF(P3983&gt;0,1/P3983,NA())</f>
        <v>6.498380288220837</v>
      </c>
      <c r="R3983" s="75">
        <f>F3983-F3982</f>
        <v>0.0073885545698715305</v>
      </c>
      <c r="S3983" s="75">
        <f>0.5*(Q3982+Q3983)*R3983</f>
        <v>0.04799722222028915</v>
      </c>
      <c r="T3983" s="75">
        <f>0.5*(F3982*Q3982+F3983*Q3983)*R3983</f>
        <v>1.0274156586580385</v>
      </c>
      <c r="U3983" s="76">
        <f>U3982+S3983</f>
        <v>56.48622035623638</v>
      </c>
      <c r="V3983" s="76">
        <f>V3982+T3983</f>
        <v>815.5825113087587</v>
      </c>
    </row>
    <row r="3984" spans="1:22" ht="19" customHeight="1">
      <c r="A3984" s="68" t="s">
        <v>378</v>
      </c>
      <c r="B3984" s="74">
        <v>5</v>
      </c>
      <c r="C3984" s="68" t="s">
        <v>363</v>
      </c>
      <c r="D3984" s="68" t="s">
        <v>364</v>
      </c>
      <c r="E3984" s="75">
        <f>60*F3984*'THAM_SO_MOI'!$C$53/(2*PI()*'THAM_SO_MOI'!$C$26)</f>
        <v>2110.1197020837444</v>
      </c>
      <c r="F3984" s="75">
        <f>'HANH_TRINH'!$F$3289+('THAM_SO_MOI'!$C$14-'HANH_TRINH'!$F$3289)*694/'THAM_SO_MOI'!$C$42</f>
        <v>21.416813215593564</v>
      </c>
      <c r="G3984" s="75">
        <f>3.6*F3984</f>
        <v>77.10052757613683</v>
      </c>
      <c r="H3984" s="75">
        <f>'THAM_SO_MOI'!$D$53</f>
        <v>1.1</v>
      </c>
      <c r="I3984" s="75">
        <f>IF(F3984&gt;'THAM_SO_MOI'!$C$14,'THAM_SO_MOI'!$C$13*(1+F3984^2/1500),'THAM_SO_MOI'!$C$13)</f>
        <v>0.015</v>
      </c>
      <c r="J3984" s="75">
        <f>'THAM_SO_MOI'!$C$40*('THAM_SO_MOI'!$C$23*(E3984/'THAM_SO_MOI'!$C$22)+'THAM_SO_MOI'!$C$24*(E3984/'THAM_SO_MOI'!$C$22)^2-'THAM_SO_MOI'!$C$25*(E3984/'THAM_SO_MOI'!$C$22)^3)</f>
        <v>94.99402985096599</v>
      </c>
      <c r="K3984" s="75">
        <f>'THAM_SO_MOI'!$C$31*J3984/E3984</f>
        <v>429.9743390733045</v>
      </c>
      <c r="L3984" s="75">
        <f>K3984*'THAM_SO_MOI'!$C$53*'THAM_SO_MOI'!$C$17/'THAM_SO_MOI'!$C$26</f>
        <v>3770.8766361489497</v>
      </c>
      <c r="M3984" s="75">
        <f>'THAM_SO_MOI'!$C$15*'THAM_SO_MOI'!$C$16*F3984^2</f>
        <v>1341.6386733114978</v>
      </c>
      <c r="N3984" s="75">
        <f>'THAM_SO_MOI'!$C$12*I3984</f>
        <v>1130.112</v>
      </c>
      <c r="O3984" s="75">
        <f>M3984+N3984</f>
        <v>2471.750673311498</v>
      </c>
      <c r="P3984" s="75">
        <f>(MIN(L3984,'THAM_SO_MOI'!$C$41)-O3984)/('THAM_SO_MOI'!$C$11*H3984)</f>
        <v>0.15377911491920596</v>
      </c>
      <c r="Q3984" s="75">
        <f>IF(P3984&gt;0,1/P3984,NA())</f>
        <v>6.502833629426143</v>
      </c>
      <c r="R3984" s="75">
        <f>F3984-F3983</f>
        <v>0.0073885545698715305</v>
      </c>
      <c r="S3984" s="75">
        <f>0.5*(Q3983+Q3984)*R3984</f>
        <v>0.04803008925255396</v>
      </c>
      <c r="T3984" s="75">
        <f>0.5*(F3983*Q3983+F3984*Q3984)*R3984</f>
        <v>1.0284740745603134</v>
      </c>
      <c r="U3984" s="76">
        <f>U3983+S3984</f>
        <v>56.53425044548894</v>
      </c>
      <c r="V3984" s="76">
        <f>V3983+T3984</f>
        <v>816.6109853833191</v>
      </c>
    </row>
    <row r="3985" spans="1:22" ht="19" customHeight="1">
      <c r="A3985" s="68" t="s">
        <v>378</v>
      </c>
      <c r="B3985" s="74">
        <v>5</v>
      </c>
      <c r="C3985" s="68" t="s">
        <v>363</v>
      </c>
      <c r="D3985" s="68" t="s">
        <v>364</v>
      </c>
      <c r="E3985" s="75">
        <f>60*F3985*'THAM_SO_MOI'!$C$53/(2*PI()*'THAM_SO_MOI'!$C$26)</f>
        <v>2110.8476691445235</v>
      </c>
      <c r="F3985" s="75">
        <f>'HANH_TRINH'!$F$3289+('THAM_SO_MOI'!$C$14-'HANH_TRINH'!$F$3289)*695/'THAM_SO_MOI'!$C$42</f>
        <v>21.42420177016344</v>
      </c>
      <c r="G3985" s="75">
        <f>3.6*F3985</f>
        <v>77.12712637258838</v>
      </c>
      <c r="H3985" s="75">
        <f>'THAM_SO_MOI'!$D$53</f>
        <v>1.1</v>
      </c>
      <c r="I3985" s="75">
        <f>IF(F3985&gt;'THAM_SO_MOI'!$C$14,'THAM_SO_MOI'!$C$13*(1+F3985^2/1500),'THAM_SO_MOI'!$C$13)</f>
        <v>0.015</v>
      </c>
      <c r="J3985" s="75">
        <f>'THAM_SO_MOI'!$C$40*('THAM_SO_MOI'!$C$23*(E3985/'THAM_SO_MOI'!$C$22)+'THAM_SO_MOI'!$C$24*(E3985/'THAM_SO_MOI'!$C$22)^2-'THAM_SO_MOI'!$C$25*(E3985/'THAM_SO_MOI'!$C$22)^3)</f>
        <v>95.02767861747644</v>
      </c>
      <c r="K3985" s="75">
        <f>'THAM_SO_MOI'!$C$31*J3985/E3985</f>
        <v>429.97830692161483</v>
      </c>
      <c r="L3985" s="75">
        <f>K3985*'THAM_SO_MOI'!$C$53*'THAM_SO_MOI'!$C$17/'THAM_SO_MOI'!$C$26</f>
        <v>3770.9114341941577</v>
      </c>
      <c r="M3985" s="75">
        <f>'THAM_SO_MOI'!$C$15*'THAM_SO_MOI'!$C$16*F3985^2</f>
        <v>1342.5645328543721</v>
      </c>
      <c r="N3985" s="75">
        <f>'THAM_SO_MOI'!$C$12*I3985</f>
        <v>1130.112</v>
      </c>
      <c r="O3985" s="75">
        <f>M3985+N3985</f>
        <v>2472.6765328543725</v>
      </c>
      <c r="P3985" s="75">
        <f>(MIN(L3985,'THAM_SO_MOI'!$C$41)-O3985)/('THAM_SO_MOI'!$C$11*H3985)</f>
        <v>0.1536736388896526</v>
      </c>
      <c r="Q3985" s="75">
        <f>IF(P3985&gt;0,1/P3985,NA())</f>
        <v>6.507296939314773</v>
      </c>
      <c r="R3985" s="75">
        <f>F3985-F3984</f>
        <v>0.007388554569875083</v>
      </c>
      <c r="S3985" s="75">
        <f>0.5*(Q3984+Q3985)*R3985</f>
        <v>0.04806302983417111</v>
      </c>
      <c r="T3985" s="75">
        <f>0.5*(F3984*Q3984+F3985*Q3985)*R3985</f>
        <v>1.0295345516071512</v>
      </c>
      <c r="U3985" s="76">
        <f>U3984+S3985</f>
        <v>56.582313475323105</v>
      </c>
      <c r="V3985" s="76">
        <f>V3984+T3985</f>
        <v>817.6405199349263</v>
      </c>
    </row>
    <row r="3986" spans="1:22" ht="19" customHeight="1">
      <c r="A3986" s="68" t="s">
        <v>378</v>
      </c>
      <c r="B3986" s="74">
        <v>5</v>
      </c>
      <c r="C3986" s="68" t="s">
        <v>363</v>
      </c>
      <c r="D3986" s="68" t="s">
        <v>364</v>
      </c>
      <c r="E3986" s="75">
        <f>60*F3986*'THAM_SO_MOI'!$C$53/(2*PI()*'THAM_SO_MOI'!$C$26)</f>
        <v>2111.575636205303</v>
      </c>
      <c r="F3986" s="75">
        <f>'HANH_TRINH'!$F$3289+('THAM_SO_MOI'!$C$14-'HANH_TRINH'!$F$3289)*696/'THAM_SO_MOI'!$C$42</f>
        <v>21.43159032473331</v>
      </c>
      <c r="G3986" s="75">
        <f>3.6*F3986</f>
        <v>77.15372516903992</v>
      </c>
      <c r="H3986" s="75">
        <f>'THAM_SO_MOI'!$D$53</f>
        <v>1.1</v>
      </c>
      <c r="I3986" s="75">
        <f>IF(F3986&gt;'THAM_SO_MOI'!$C$14,'THAM_SO_MOI'!$C$13*(1+F3986^2/1500),'THAM_SO_MOI'!$C$13)</f>
        <v>0.015</v>
      </c>
      <c r="J3986" s="75">
        <f>'THAM_SO_MOI'!$C$40*('THAM_SO_MOI'!$C$23*(E3986/'THAM_SO_MOI'!$C$22)+'THAM_SO_MOI'!$C$24*(E3986/'THAM_SO_MOI'!$C$22)^2-'THAM_SO_MOI'!$C$25*(E3986/'THAM_SO_MOI'!$C$22)^3)</f>
        <v>95.06131662262995</v>
      </c>
      <c r="K3986" s="75">
        <f>'THAM_SO_MOI'!$C$31*J3986/E3986</f>
        <v>429.9822233582196</v>
      </c>
      <c r="L3986" s="75">
        <f>K3986*'THAM_SO_MOI'!$C$53*'THAM_SO_MOI'!$C$17/'THAM_SO_MOI'!$C$26</f>
        <v>3770.945781358506</v>
      </c>
      <c r="M3986" s="75">
        <f>'THAM_SO_MOI'!$C$15*'THAM_SO_MOI'!$C$16*F3986^2</f>
        <v>1343.4907117530672</v>
      </c>
      <c r="N3986" s="75">
        <f>'THAM_SO_MOI'!$C$12*I3986</f>
        <v>1130.112</v>
      </c>
      <c r="O3986" s="75">
        <f>M3986+N3986</f>
        <v>2473.6027117530675</v>
      </c>
      <c r="P3986" s="75">
        <f>(MIN(L3986,'THAM_SO_MOI'!$C$41)-O3986)/('THAM_SO_MOI'!$C$11*H3986)</f>
        <v>0.1535680716862498</v>
      </c>
      <c r="Q3986" s="75">
        <f>IF(P3986&gt;0,1/P3986,NA())</f>
        <v>6.511770246376924</v>
      </c>
      <c r="R3986" s="75">
        <f>F3986-F3985</f>
        <v>0.0073885545698715305</v>
      </c>
      <c r="S3986" s="75">
        <f>0.5*(Q3985+Q3986)*R3986</f>
        <v>0.04809604417515343</v>
      </c>
      <c r="T3986" s="75">
        <f>0.5*(F3985*Q3985+F3986*Q3986)*R3986</f>
        <v>1.0305970959289568</v>
      </c>
      <c r="U3986" s="76">
        <f>U3985+S3986</f>
        <v>56.63040951949826</v>
      </c>
      <c r="V3986" s="76">
        <f>V3985+T3986</f>
        <v>818.6711170308553</v>
      </c>
    </row>
    <row r="3987" spans="1:22" ht="19" customHeight="1">
      <c r="A3987" s="68" t="s">
        <v>378</v>
      </c>
      <c r="B3987" s="74">
        <v>5</v>
      </c>
      <c r="C3987" s="68" t="s">
        <v>363</v>
      </c>
      <c r="D3987" s="68" t="s">
        <v>364</v>
      </c>
      <c r="E3987" s="75">
        <f>60*F3987*'THAM_SO_MOI'!$C$53/(2*PI()*'THAM_SO_MOI'!$C$26)</f>
        <v>2112.303603266081</v>
      </c>
      <c r="F3987" s="75">
        <f>'HANH_TRINH'!$F$3289+('THAM_SO_MOI'!$C$14-'HANH_TRINH'!$F$3289)*697/'THAM_SO_MOI'!$C$42</f>
        <v>21.438978879303182</v>
      </c>
      <c r="G3987" s="75">
        <f>3.6*F3987</f>
        <v>77.18032396549145</v>
      </c>
      <c r="H3987" s="75">
        <f>'THAM_SO_MOI'!$D$53</f>
        <v>1.1</v>
      </c>
      <c r="I3987" s="75">
        <f>IF(F3987&gt;'THAM_SO_MOI'!$C$14,'THAM_SO_MOI'!$C$13*(1+F3987^2/1500),'THAM_SO_MOI'!$C$13)</f>
        <v>0.015</v>
      </c>
      <c r="J3987" s="75">
        <f>'THAM_SO_MOI'!$C$40*('THAM_SO_MOI'!$C$23*(E3987/'THAM_SO_MOI'!$C$22)+'THAM_SO_MOI'!$C$24*(E3987/'THAM_SO_MOI'!$C$22)^2-'THAM_SO_MOI'!$C$25*(E3987/'THAM_SO_MOI'!$C$22)^3)</f>
        <v>95.09494385467096</v>
      </c>
      <c r="K3987" s="75">
        <f>'THAM_SO_MOI'!$C$31*J3987/E3987</f>
        <v>429.98608838311907</v>
      </c>
      <c r="L3987" s="75">
        <f>K3987*'THAM_SO_MOI'!$C$53*'THAM_SO_MOI'!$C$17/'THAM_SO_MOI'!$C$26</f>
        <v>3770.979677641998</v>
      </c>
      <c r="M3987" s="75">
        <f>'THAM_SO_MOI'!$C$15*'THAM_SO_MOI'!$C$16*F3987^2</f>
        <v>1344.4172100075832</v>
      </c>
      <c r="N3987" s="75">
        <f>'THAM_SO_MOI'!$C$12*I3987</f>
        <v>1130.112</v>
      </c>
      <c r="O3987" s="75">
        <f>M3987+N3987</f>
        <v>2474.529210007583</v>
      </c>
      <c r="P3987" s="75">
        <f>(MIN(L3987,'THAM_SO_MOI'!$C$41)-O3987)/('THAM_SO_MOI'!$C$11*H3987)</f>
        <v>0.15346241330899799</v>
      </c>
      <c r="Q3987" s="75">
        <f>IF(P3987&gt;0,1/P3987,NA())</f>
        <v>6.516253579216761</v>
      </c>
      <c r="R3987" s="75">
        <f>F3987-F3986</f>
        <v>0.0073885545698715305</v>
      </c>
      <c r="S3987" s="75">
        <f>0.5*(Q3986+Q3987)*R3987</f>
        <v>0.0481291324864927</v>
      </c>
      <c r="T3987" s="75">
        <f>0.5*(F3986*Q3986+F3987*Q3987)*R3987</f>
        <v>1.031661713683326</v>
      </c>
      <c r="U3987" s="76">
        <f>U3986+S3987</f>
        <v>56.67853865198475</v>
      </c>
      <c r="V3987" s="76">
        <f>V3986+T3987</f>
        <v>819.7027787445386</v>
      </c>
    </row>
    <row r="3988" spans="1:22" ht="19" customHeight="1">
      <c r="A3988" s="68" t="s">
        <v>378</v>
      </c>
      <c r="B3988" s="74">
        <v>5</v>
      </c>
      <c r="C3988" s="68" t="s">
        <v>363</v>
      </c>
      <c r="D3988" s="68" t="s">
        <v>364</v>
      </c>
      <c r="E3988" s="75">
        <f>60*F3988*'THAM_SO_MOI'!$C$53/(2*PI()*'THAM_SO_MOI'!$C$26)</f>
        <v>2113.0315703268607</v>
      </c>
      <c r="F3988" s="75">
        <f>'HANH_TRINH'!$F$3289+('THAM_SO_MOI'!$C$14-'HANH_TRINH'!$F$3289)*698/'THAM_SO_MOI'!$C$42</f>
        <v>21.446367433873053</v>
      </c>
      <c r="G3988" s="75">
        <f>3.6*F3988</f>
        <v>77.20692276194299</v>
      </c>
      <c r="H3988" s="75">
        <f>'THAM_SO_MOI'!$D$53</f>
        <v>1.1</v>
      </c>
      <c r="I3988" s="75">
        <f>IF(F3988&gt;'THAM_SO_MOI'!$C$14,'THAM_SO_MOI'!$C$13*(1+F3988^2/1500),'THAM_SO_MOI'!$C$13)</f>
        <v>0.015</v>
      </c>
      <c r="J3988" s="75">
        <f>'THAM_SO_MOI'!$C$40*('THAM_SO_MOI'!$C$23*(E3988/'THAM_SO_MOI'!$C$22)+'THAM_SO_MOI'!$C$24*(E3988/'THAM_SO_MOI'!$C$22)^2-'THAM_SO_MOI'!$C$25*(E3988/'THAM_SO_MOI'!$C$22)^3)</f>
        <v>95.12856030184403</v>
      </c>
      <c r="K3988" s="75">
        <f>'THAM_SO_MOI'!$C$31*J3988/E3988</f>
        <v>429.98990199631305</v>
      </c>
      <c r="L3988" s="75">
        <f>K3988*'THAM_SO_MOI'!$C$53*'THAM_SO_MOI'!$C$17/'THAM_SO_MOI'!$C$26</f>
        <v>3771.013123044632</v>
      </c>
      <c r="M3988" s="75">
        <f>'THAM_SO_MOI'!$C$15*'THAM_SO_MOI'!$C$16*F3988^2</f>
        <v>1345.3440276179203</v>
      </c>
      <c r="N3988" s="75">
        <f>'THAM_SO_MOI'!$C$12*I3988</f>
        <v>1130.112</v>
      </c>
      <c r="O3988" s="75">
        <f>M3988+N3988</f>
        <v>2475.4560276179204</v>
      </c>
      <c r="P3988" s="75">
        <f>(MIN(L3988,'THAM_SO_MOI'!$C$41)-O3988)/('THAM_SO_MOI'!$C$11*H3988)</f>
        <v>0.1533566637578967</v>
      </c>
      <c r="Q3988" s="75">
        <f>IF(P3988&gt;0,1/P3988,NA())</f>
        <v>6.520746966553044</v>
      </c>
      <c r="R3988" s="75">
        <f>F3988-F3987</f>
        <v>0.0073885545698715305</v>
      </c>
      <c r="S3988" s="75">
        <f>0.5*(Q3987+Q3988)*R3988</f>
        <v>0.04816229497993256</v>
      </c>
      <c r="T3988" s="75">
        <f>0.5*(F3987*Q3987+F3988*Q3988)*R3988</f>
        <v>1.032728411050212</v>
      </c>
      <c r="U3988" s="76">
        <f>U3987+S3988</f>
        <v>56.726700946964684</v>
      </c>
      <c r="V3988" s="76">
        <f>V3987+T3988</f>
        <v>820.7355071555888</v>
      </c>
    </row>
    <row r="3989" spans="1:22" ht="19" customHeight="1">
      <c r="A3989" s="68" t="s">
        <v>378</v>
      </c>
      <c r="B3989" s="74">
        <v>5</v>
      </c>
      <c r="C3989" s="68" t="s">
        <v>363</v>
      </c>
      <c r="D3989" s="68" t="s">
        <v>364</v>
      </c>
      <c r="E3989" s="75">
        <f>60*F3989*'THAM_SO_MOI'!$C$53/(2*PI()*'THAM_SO_MOI'!$C$26)</f>
        <v>2113.7595373876393</v>
      </c>
      <c r="F3989" s="75">
        <f>'HANH_TRINH'!$F$3289+('THAM_SO_MOI'!$C$14-'HANH_TRINH'!$F$3289)*699/'THAM_SO_MOI'!$C$42</f>
        <v>21.453755988442925</v>
      </c>
      <c r="G3989" s="75">
        <f>3.6*F3989</f>
        <v>77.23352155839453</v>
      </c>
      <c r="H3989" s="75">
        <f>'THAM_SO_MOI'!$D$53</f>
        <v>1.1</v>
      </c>
      <c r="I3989" s="75">
        <f>IF(F3989&gt;'THAM_SO_MOI'!$C$14,'THAM_SO_MOI'!$C$13*(1+F3989^2/1500),'THAM_SO_MOI'!$C$13)</f>
        <v>0.015</v>
      </c>
      <c r="J3989" s="75">
        <f>'THAM_SO_MOI'!$C$40*('THAM_SO_MOI'!$C$23*(E3989/'THAM_SO_MOI'!$C$22)+'THAM_SO_MOI'!$C$24*(E3989/'THAM_SO_MOI'!$C$22)^2-'THAM_SO_MOI'!$C$25*(E3989/'THAM_SO_MOI'!$C$22)^3)</f>
        <v>95.16216595239356</v>
      </c>
      <c r="K3989" s="75">
        <f>'THAM_SO_MOI'!$C$31*J3989/E3989</f>
        <v>429.99366419780154</v>
      </c>
      <c r="L3989" s="75">
        <f>K3989*'THAM_SO_MOI'!$C$53*'THAM_SO_MOI'!$C$17/'THAM_SO_MOI'!$C$26</f>
        <v>3771.0461175664072</v>
      </c>
      <c r="M3989" s="75">
        <f>'THAM_SO_MOI'!$C$15*'THAM_SO_MOI'!$C$16*F3989^2</f>
        <v>1346.2711645840782</v>
      </c>
      <c r="N3989" s="75">
        <f>'THAM_SO_MOI'!$C$12*I3989</f>
        <v>1130.112</v>
      </c>
      <c r="O3989" s="75">
        <f>M3989+N3989</f>
        <v>2476.3831645840783</v>
      </c>
      <c r="P3989" s="75">
        <f>(MIN(L3989,'THAM_SO_MOI'!$C$41)-O3989)/('THAM_SO_MOI'!$C$11*H3989)</f>
        <v>0.15325082303294613</v>
      </c>
      <c r="Q3989" s="75">
        <f>IF(P3989&gt;0,1/P3989,NA())</f>
        <v>6.525250437219631</v>
      </c>
      <c r="R3989" s="75">
        <f>F3989-F3988</f>
        <v>0.0073885545698715305</v>
      </c>
      <c r="S3989" s="75">
        <f>0.5*(Q3988+Q3989)*R3989</f>
        <v>0.04819553186808836</v>
      </c>
      <c r="T3989" s="75">
        <f>0.5*(F3988*Q3988+F3989*Q3989)*R3989</f>
        <v>1.0337971942345243</v>
      </c>
      <c r="U3989" s="76">
        <f>U3988+S3989</f>
        <v>56.77489647883277</v>
      </c>
      <c r="V3989" s="76">
        <f>V3988+T3989</f>
        <v>821.7693043498234</v>
      </c>
    </row>
    <row r="3990" spans="1:22" ht="19" customHeight="1">
      <c r="A3990" s="68" t="s">
        <v>378</v>
      </c>
      <c r="B3990" s="74">
        <v>5</v>
      </c>
      <c r="C3990" s="68" t="s">
        <v>363</v>
      </c>
      <c r="D3990" s="68" t="s">
        <v>364</v>
      </c>
      <c r="E3990" s="75">
        <f>60*F3990*'THAM_SO_MOI'!$C$53/(2*PI()*'THAM_SO_MOI'!$C$26)</f>
        <v>2114.4875044484183</v>
      </c>
      <c r="F3990" s="75">
        <f>'HANH_TRINH'!$F$3289+('THAM_SO_MOI'!$C$14-'HANH_TRINH'!$F$3289)*700/'THAM_SO_MOI'!$C$42</f>
        <v>21.461144543012797</v>
      </c>
      <c r="G3990" s="75">
        <f>3.6*F3990</f>
        <v>77.26012035484607</v>
      </c>
      <c r="H3990" s="75">
        <f>'THAM_SO_MOI'!$D$53</f>
        <v>1.1</v>
      </c>
      <c r="I3990" s="75">
        <f>IF(F3990&gt;'THAM_SO_MOI'!$C$14,'THAM_SO_MOI'!$C$13*(1+F3990^2/1500),'THAM_SO_MOI'!$C$13)</f>
        <v>0.015</v>
      </c>
      <c r="J3990" s="75">
        <f>'THAM_SO_MOI'!$C$40*('THAM_SO_MOI'!$C$23*(E3990/'THAM_SO_MOI'!$C$22)+'THAM_SO_MOI'!$C$24*(E3990/'THAM_SO_MOI'!$C$22)^2-'THAM_SO_MOI'!$C$25*(E3990/'THAM_SO_MOI'!$C$22)^3)</f>
        <v>95.19576079456414</v>
      </c>
      <c r="K3990" s="75">
        <f>'THAM_SO_MOI'!$C$31*J3990/E3990</f>
        <v>429.99737498758464</v>
      </c>
      <c r="L3990" s="75">
        <f>K3990*'THAM_SO_MOI'!$C$53*'THAM_SO_MOI'!$C$17/'THAM_SO_MOI'!$C$26</f>
        <v>3771.078661207325</v>
      </c>
      <c r="M3990" s="75">
        <f>'THAM_SO_MOI'!$C$15*'THAM_SO_MOI'!$C$16*F3990^2</f>
        <v>1347.1986209060574</v>
      </c>
      <c r="N3990" s="75">
        <f>'THAM_SO_MOI'!$C$12*I3990</f>
        <v>1130.112</v>
      </c>
      <c r="O3990" s="75">
        <f>M3990+N3990</f>
        <v>2477.3106209060575</v>
      </c>
      <c r="P3990" s="75">
        <f>(MIN(L3990,'THAM_SO_MOI'!$C$41)-O3990)/('THAM_SO_MOI'!$C$11*H3990)</f>
        <v>0.15314489113414623</v>
      </c>
      <c r="Q3990" s="75">
        <f>IF(P3990&gt;0,1/P3990,NA())</f>
        <v>6.529764020166084</v>
      </c>
      <c r="R3990" s="75">
        <f>F3990-F3989</f>
        <v>0.0073885545698715305</v>
      </c>
      <c r="S3990" s="75">
        <f>0.5*(Q3989+Q3990)*R3990</f>
        <v>0.048228843364428065</v>
      </c>
      <c r="T3990" s="75">
        <f>0.5*(F3989*Q3989+F3990*Q3990)*R3990</f>
        <v>1.034868069465751</v>
      </c>
      <c r="U3990" s="76">
        <f>U3989+S3990</f>
        <v>56.8231253221972</v>
      </c>
      <c r="V3990" s="76">
        <f>V3989+T3990</f>
        <v>822.8041724192892</v>
      </c>
    </row>
    <row r="3991" spans="1:22" ht="19" customHeight="1">
      <c r="A3991" s="68" t="s">
        <v>378</v>
      </c>
      <c r="B3991" s="74">
        <v>5</v>
      </c>
      <c r="C3991" s="68" t="s">
        <v>363</v>
      </c>
      <c r="D3991" s="68" t="s">
        <v>364</v>
      </c>
      <c r="E3991" s="75">
        <f>60*F3991*'THAM_SO_MOI'!$C$53/(2*PI()*'THAM_SO_MOI'!$C$26)</f>
        <v>2115.215471509197</v>
      </c>
      <c r="F3991" s="75">
        <f>'HANH_TRINH'!$F$3289+('THAM_SO_MOI'!$C$14-'HANH_TRINH'!$F$3289)*701/'THAM_SO_MOI'!$C$42</f>
        <v>21.468533097582668</v>
      </c>
      <c r="G3991" s="75">
        <f>3.6*F3991</f>
        <v>77.2867191512976</v>
      </c>
      <c r="H3991" s="75">
        <f>'THAM_SO_MOI'!$D$53</f>
        <v>1.1</v>
      </c>
      <c r="I3991" s="75">
        <f>IF(F3991&gt;'THAM_SO_MOI'!$C$14,'THAM_SO_MOI'!$C$13*(1+F3991^2/1500),'THAM_SO_MOI'!$C$13)</f>
        <v>0.015</v>
      </c>
      <c r="J3991" s="75">
        <f>'THAM_SO_MOI'!$C$40*('THAM_SO_MOI'!$C$23*(E3991/'THAM_SO_MOI'!$C$22)+'THAM_SO_MOI'!$C$24*(E3991/'THAM_SO_MOI'!$C$22)^2-'THAM_SO_MOI'!$C$25*(E3991/'THAM_SO_MOI'!$C$22)^3)</f>
        <v>95.22934481660012</v>
      </c>
      <c r="K3991" s="75">
        <f>'THAM_SO_MOI'!$C$31*J3991/E3991</f>
        <v>430.0010343656622</v>
      </c>
      <c r="L3991" s="75">
        <f>K3991*'THAM_SO_MOI'!$C$53*'THAM_SO_MOI'!$C$17/'THAM_SO_MOI'!$C$26</f>
        <v>3771.110753967385</v>
      </c>
      <c r="M3991" s="75">
        <f>'THAM_SO_MOI'!$C$15*'THAM_SO_MOI'!$C$16*F3991^2</f>
        <v>1348.1263965838573</v>
      </c>
      <c r="N3991" s="75">
        <f>'THAM_SO_MOI'!$C$12*I3991</f>
        <v>1130.112</v>
      </c>
      <c r="O3991" s="75">
        <f>M3991+N3991</f>
        <v>2478.238396583857</v>
      </c>
      <c r="P3991" s="75">
        <f>(MIN(L3991,'THAM_SO_MOI'!$C$41)-O3991)/('THAM_SO_MOI'!$C$11*H3991)</f>
        <v>0.15303886806149714</v>
      </c>
      <c r="Q3991" s="75">
        <f>IF(P3991&gt;0,1/P3991,NA())</f>
        <v>6.534287744458225</v>
      </c>
      <c r="R3991" s="75">
        <f>F3991-F3990</f>
        <v>0.0073885545698715305</v>
      </c>
      <c r="S3991" s="75">
        <f>0.5*(Q3990+Q3991)*R3991</f>
        <v>0.048262229683276585</v>
      </c>
      <c r="T3991" s="75">
        <f>0.5*(F3990*Q3990+F3991*Q3991)*R3991</f>
        <v>1.0359410429980833</v>
      </c>
      <c r="U3991" s="76">
        <f>U3990+S3991</f>
        <v>56.871387551880474</v>
      </c>
      <c r="V3991" s="76">
        <f>V3990+T3991</f>
        <v>823.8401134622873</v>
      </c>
    </row>
    <row r="3992" spans="1:22" ht="19" customHeight="1">
      <c r="A3992" s="68" t="s">
        <v>378</v>
      </c>
      <c r="B3992" s="74">
        <v>5</v>
      </c>
      <c r="C3992" s="68" t="s">
        <v>363</v>
      </c>
      <c r="D3992" s="68" t="s">
        <v>364</v>
      </c>
      <c r="E3992" s="75">
        <f>60*F3992*'THAM_SO_MOI'!$C$53/(2*PI()*'THAM_SO_MOI'!$C$26)</f>
        <v>2115.9434385699765</v>
      </c>
      <c r="F3992" s="75">
        <f>'HANH_TRINH'!$F$3289+('THAM_SO_MOI'!$C$14-'HANH_TRINH'!$F$3289)*702/'THAM_SO_MOI'!$C$42</f>
        <v>21.475921652152543</v>
      </c>
      <c r="G3992" s="75">
        <f>3.6*F3992</f>
        <v>77.31331794774916</v>
      </c>
      <c r="H3992" s="75">
        <f>'THAM_SO_MOI'!$D$53</f>
        <v>1.1</v>
      </c>
      <c r="I3992" s="75">
        <f>IF(F3992&gt;'THAM_SO_MOI'!$C$14,'THAM_SO_MOI'!$C$13*(1+F3992^2/1500),'THAM_SO_MOI'!$C$13)</f>
        <v>0.015</v>
      </c>
      <c r="J3992" s="75">
        <f>'THAM_SO_MOI'!$C$40*('THAM_SO_MOI'!$C$23*(E3992/'THAM_SO_MOI'!$C$22)+'THAM_SO_MOI'!$C$24*(E3992/'THAM_SO_MOI'!$C$22)^2-'THAM_SO_MOI'!$C$25*(E3992/'THAM_SO_MOI'!$C$22)^3)</f>
        <v>95.26291800674616</v>
      </c>
      <c r="K3992" s="75">
        <f>'THAM_SO_MOI'!$C$31*J3992/E3992</f>
        <v>430.00464233203456</v>
      </c>
      <c r="L3992" s="75">
        <f>K3992*'THAM_SO_MOI'!$C$53*'THAM_SO_MOI'!$C$17/'THAM_SO_MOI'!$C$26</f>
        <v>3771.142395846588</v>
      </c>
      <c r="M3992" s="75">
        <f>'THAM_SO_MOI'!$C$15*'THAM_SO_MOI'!$C$16*F3992^2</f>
        <v>1349.0544916174788</v>
      </c>
      <c r="N3992" s="75">
        <f>'THAM_SO_MOI'!$C$12*I3992</f>
        <v>1130.112</v>
      </c>
      <c r="O3992" s="75">
        <f>M3992+N3992</f>
        <v>2479.1664916174786</v>
      </c>
      <c r="P3992" s="75">
        <f>(MIN(L3992,'THAM_SO_MOI'!$C$41)-O3992)/('THAM_SO_MOI'!$C$11*H3992)</f>
        <v>0.15293275381499868</v>
      </c>
      <c r="Q3992" s="75">
        <f>IF(P3992&gt;0,1/P3992,NA())</f>
        <v>6.538821639278729</v>
      </c>
      <c r="R3992" s="75">
        <f>F3992-F3991</f>
        <v>0.007388554569875083</v>
      </c>
      <c r="S3992" s="75">
        <f>0.5*(Q3991+Q3992)*R3992</f>
        <v>0.04829569103984325</v>
      </c>
      <c r="T3992" s="75">
        <f>0.5*(F3991*Q3991+F3992*Q3992)*R3992</f>
        <v>1.0370161211110371</v>
      </c>
      <c r="U3992" s="76">
        <f>U3991+S3992</f>
        <v>56.919683242920314</v>
      </c>
      <c r="V3992" s="76">
        <f>V3991+T3992</f>
        <v>824.8771295833983</v>
      </c>
    </row>
    <row r="3993" spans="1:22" ht="19" customHeight="1">
      <c r="A3993" s="68" t="s">
        <v>378</v>
      </c>
      <c r="B3993" s="74">
        <v>5</v>
      </c>
      <c r="C3993" s="68" t="s">
        <v>363</v>
      </c>
      <c r="D3993" s="68" t="s">
        <v>364</v>
      </c>
      <c r="E3993" s="75">
        <f>60*F3993*'THAM_SO_MOI'!$C$53/(2*PI()*'THAM_SO_MOI'!$C$26)</f>
        <v>2116.6714056307555</v>
      </c>
      <c r="F3993" s="75">
        <f>'HANH_TRINH'!$F$3289+('THAM_SO_MOI'!$C$14-'HANH_TRINH'!$F$3289)*703/'THAM_SO_MOI'!$C$42</f>
        <v>21.483310206722415</v>
      </c>
      <c r="G3993" s="75">
        <f>3.6*F3993</f>
        <v>77.33991674420069</v>
      </c>
      <c r="H3993" s="75">
        <f>'THAM_SO_MOI'!$D$53</f>
        <v>1.1</v>
      </c>
      <c r="I3993" s="75">
        <f>IF(F3993&gt;'THAM_SO_MOI'!$C$14,'THAM_SO_MOI'!$C$13*(1+F3993^2/1500),'THAM_SO_MOI'!$C$13)</f>
        <v>0.015</v>
      </c>
      <c r="J3993" s="75">
        <f>'THAM_SO_MOI'!$C$40*('THAM_SO_MOI'!$C$23*(E3993/'THAM_SO_MOI'!$C$22)+'THAM_SO_MOI'!$C$24*(E3993/'THAM_SO_MOI'!$C$22)^2-'THAM_SO_MOI'!$C$25*(E3993/'THAM_SO_MOI'!$C$22)^3)</f>
        <v>95.2964803532466</v>
      </c>
      <c r="K3993" s="75">
        <f>'THAM_SO_MOI'!$C$31*J3993/E3993</f>
        <v>430.0081988867014</v>
      </c>
      <c r="L3993" s="75">
        <f>K3993*'THAM_SO_MOI'!$C$53*'THAM_SO_MOI'!$C$17/'THAM_SO_MOI'!$C$26</f>
        <v>3771.1735868449327</v>
      </c>
      <c r="M3993" s="75">
        <f>'THAM_SO_MOI'!$C$15*'THAM_SO_MOI'!$C$16*F3993^2</f>
        <v>1349.9829060069208</v>
      </c>
      <c r="N3993" s="75">
        <f>'THAM_SO_MOI'!$C$12*I3993</f>
        <v>1130.112</v>
      </c>
      <c r="O3993" s="75">
        <f>M3993+N3993</f>
        <v>2480.0949060069206</v>
      </c>
      <c r="P3993" s="75">
        <f>(MIN(L3993,'THAM_SO_MOI'!$C$41)-O3993)/('THAM_SO_MOI'!$C$11*H3993)</f>
        <v>0.152826548394651</v>
      </c>
      <c r="Q3993" s="75">
        <f>IF(P3993&gt;0,1/P3993,NA())</f>
        <v>6.543365733927682</v>
      </c>
      <c r="R3993" s="75">
        <f>F3993-F3992</f>
        <v>0.0073885545698715305</v>
      </c>
      <c r="S3993" s="75">
        <f>0.5*(Q3992+Q3993)*R3993</f>
        <v>0.048329227650109934</v>
      </c>
      <c r="T3993" s="75">
        <f>0.5*(F3992*Q3992+F3993*Q3993)*R3993</f>
        <v>1.0380933101070822</v>
      </c>
      <c r="U3993" s="76">
        <f>U3992+S3993</f>
        <v>56.96801247057042</v>
      </c>
      <c r="V3993" s="76">
        <f>V3992+T3993</f>
        <v>825.9152228935054</v>
      </c>
    </row>
    <row r="3994" spans="1:22" ht="19" customHeight="1">
      <c r="A3994" s="68" t="s">
        <v>378</v>
      </c>
      <c r="B3994" s="74">
        <v>5</v>
      </c>
      <c r="C3994" s="68" t="s">
        <v>363</v>
      </c>
      <c r="D3994" s="68" t="s">
        <v>364</v>
      </c>
      <c r="E3994" s="75">
        <f>60*F3994*'THAM_SO_MOI'!$C$53/(2*PI()*'THAM_SO_MOI'!$C$26)</f>
        <v>2117.3993726915346</v>
      </c>
      <c r="F3994" s="75">
        <f>'HANH_TRINH'!$F$3289+('THAM_SO_MOI'!$C$14-'HANH_TRINH'!$F$3289)*704/'THAM_SO_MOI'!$C$42</f>
        <v>21.490698761292286</v>
      </c>
      <c r="G3994" s="75">
        <f>3.6*F3994</f>
        <v>77.36651554065223</v>
      </c>
      <c r="H3994" s="75">
        <f>'THAM_SO_MOI'!$D$53</f>
        <v>1.1</v>
      </c>
      <c r="I3994" s="75">
        <f>IF(F3994&gt;'THAM_SO_MOI'!$C$14,'THAM_SO_MOI'!$C$13*(1+F3994^2/1500),'THAM_SO_MOI'!$C$13)</f>
        <v>0.015</v>
      </c>
      <c r="J3994" s="75">
        <f>'THAM_SO_MOI'!$C$40*('THAM_SO_MOI'!$C$23*(E3994/'THAM_SO_MOI'!$C$22)+'THAM_SO_MOI'!$C$24*(E3994/'THAM_SO_MOI'!$C$22)^2-'THAM_SO_MOI'!$C$25*(E3994/'THAM_SO_MOI'!$C$22)^3)</f>
        <v>95.33003184434597</v>
      </c>
      <c r="K3994" s="75">
        <f>'THAM_SO_MOI'!$C$31*J3994/E3994</f>
        <v>430.0117040296628</v>
      </c>
      <c r="L3994" s="75">
        <f>K3994*'THAM_SO_MOI'!$C$53*'THAM_SO_MOI'!$C$17/'THAM_SO_MOI'!$C$26</f>
        <v>3771.20432696242</v>
      </c>
      <c r="M3994" s="75">
        <f>'THAM_SO_MOI'!$C$15*'THAM_SO_MOI'!$C$16*F3994^2</f>
        <v>1350.9116397521839</v>
      </c>
      <c r="N3994" s="75">
        <f>'THAM_SO_MOI'!$C$12*I3994</f>
        <v>1130.112</v>
      </c>
      <c r="O3994" s="75">
        <f>M3994+N3994</f>
        <v>2481.023639752184</v>
      </c>
      <c r="P3994" s="75">
        <f>(MIN(L3994,'THAM_SO_MOI'!$C$41)-O3994)/('THAM_SO_MOI'!$C$11*H3994)</f>
        <v>0.1527202518004541</v>
      </c>
      <c r="Q3994" s="75">
        <f>IF(P3994&gt;0,1/P3994,NA())</f>
        <v>6.54792005782318</v>
      </c>
      <c r="R3994" s="75">
        <f>F3994-F3993</f>
        <v>0.0073885545698715305</v>
      </c>
      <c r="S3994" s="75">
        <f>0.5*(Q3993+Q3994)*R3994</f>
        <v>0.04836283973106754</v>
      </c>
      <c r="T3994" s="75">
        <f>0.5*(F3993*Q3993+F3994*Q3994)*R3994</f>
        <v>1.0391726163167534</v>
      </c>
      <c r="U3994" s="76">
        <f>U3993+S3994</f>
        <v>57.01637531030149</v>
      </c>
      <c r="V3994" s="76">
        <f>V3993+T3994</f>
        <v>826.9543955098221</v>
      </c>
    </row>
    <row r="3995" spans="1:22" ht="19" customHeight="1">
      <c r="A3995" s="68" t="s">
        <v>378</v>
      </c>
      <c r="B3995" s="74">
        <v>5</v>
      </c>
      <c r="C3995" s="68" t="s">
        <v>363</v>
      </c>
      <c r="D3995" s="68" t="s">
        <v>364</v>
      </c>
      <c r="E3995" s="75">
        <f>60*F3995*'THAM_SO_MOI'!$C$53/(2*PI()*'THAM_SO_MOI'!$C$26)</f>
        <v>2118.127339752313</v>
      </c>
      <c r="F3995" s="75">
        <f>'HANH_TRINH'!$F$3289+('THAM_SO_MOI'!$C$14-'HANH_TRINH'!$F$3289)*705/'THAM_SO_MOI'!$C$42</f>
        <v>21.498087315862158</v>
      </c>
      <c r="G3995" s="75">
        <f>3.6*F3995</f>
        <v>77.39311433710377</v>
      </c>
      <c r="H3995" s="75">
        <f>'THAM_SO_MOI'!$D$53</f>
        <v>1.1</v>
      </c>
      <c r="I3995" s="75">
        <f>IF(F3995&gt;'THAM_SO_MOI'!$C$14,'THAM_SO_MOI'!$C$13*(1+F3995^2/1500),'THAM_SO_MOI'!$C$13)</f>
        <v>0.015</v>
      </c>
      <c r="J3995" s="75">
        <f>'THAM_SO_MOI'!$C$40*('THAM_SO_MOI'!$C$23*(E3995/'THAM_SO_MOI'!$C$22)+'THAM_SO_MOI'!$C$24*(E3995/'THAM_SO_MOI'!$C$22)^2-'THAM_SO_MOI'!$C$25*(E3995/'THAM_SO_MOI'!$C$22)^3)</f>
        <v>95.36357246828875</v>
      </c>
      <c r="K3995" s="75">
        <f>'THAM_SO_MOI'!$C$31*J3995/E3995</f>
        <v>430.0151577609188</v>
      </c>
      <c r="L3995" s="75">
        <f>K3995*'THAM_SO_MOI'!$C$53*'THAM_SO_MOI'!$C$17/'THAM_SO_MOI'!$C$26</f>
        <v>3771.234616199049</v>
      </c>
      <c r="M3995" s="75">
        <f>'THAM_SO_MOI'!$C$15*'THAM_SO_MOI'!$C$16*F3995^2</f>
        <v>1351.840692853268</v>
      </c>
      <c r="N3995" s="75">
        <f>'THAM_SO_MOI'!$C$12*I3995</f>
        <v>1130.112</v>
      </c>
      <c r="O3995" s="75">
        <f>M3995+N3995</f>
        <v>2481.9526928532678</v>
      </c>
      <c r="P3995" s="75">
        <f>(MIN(L3995,'THAM_SO_MOI'!$C$41)-O3995)/('THAM_SO_MOI'!$C$11*H3995)</f>
        <v>0.15261386403240781</v>
      </c>
      <c r="Q3995" s="75">
        <f>IF(P3995&gt;0,1/P3995,NA())</f>
        <v>6.552484640501916</v>
      </c>
      <c r="R3995" s="75">
        <f>F3995-F3994</f>
        <v>0.0073885545698715305</v>
      </c>
      <c r="S3995" s="75">
        <f>0.5*(Q3994+Q3995)*R3995</f>
        <v>0.04839652750048818</v>
      </c>
      <c r="T3995" s="75">
        <f>0.5*(F3994*Q3994+F3995*Q3995)*R3995</f>
        <v>1.0402540460937892</v>
      </c>
      <c r="U3995" s="76">
        <f>U3994+S3995</f>
        <v>57.06477183780198</v>
      </c>
      <c r="V3995" s="76">
        <f>V3994+T3995</f>
        <v>827.9946495559159</v>
      </c>
    </row>
    <row r="3996" spans="1:22" ht="19" customHeight="1">
      <c r="A3996" s="68" t="s">
        <v>378</v>
      </c>
      <c r="B3996" s="74">
        <v>5</v>
      </c>
      <c r="C3996" s="68" t="s">
        <v>363</v>
      </c>
      <c r="D3996" s="68" t="s">
        <v>364</v>
      </c>
      <c r="E3996" s="75">
        <f>60*F3996*'THAM_SO_MOI'!$C$53/(2*PI()*'THAM_SO_MOI'!$C$26)</f>
        <v>2118.8553068130923</v>
      </c>
      <c r="F3996" s="75">
        <f>'HANH_TRINH'!$F$3289+('THAM_SO_MOI'!$C$14-'HANH_TRINH'!$F$3289)*706/'THAM_SO_MOI'!$C$42</f>
        <v>21.50547587043203</v>
      </c>
      <c r="G3996" s="75">
        <f>3.6*F3996</f>
        <v>77.4197131335553</v>
      </c>
      <c r="H3996" s="75">
        <f>'THAM_SO_MOI'!$D$53</f>
        <v>1.1</v>
      </c>
      <c r="I3996" s="75">
        <f>IF(F3996&gt;'THAM_SO_MOI'!$C$14,'THAM_SO_MOI'!$C$13*(1+F3996^2/1500),'THAM_SO_MOI'!$C$13)</f>
        <v>0.015</v>
      </c>
      <c r="J3996" s="75">
        <f>'THAM_SO_MOI'!$C$40*('THAM_SO_MOI'!$C$23*(E3996/'THAM_SO_MOI'!$C$22)+'THAM_SO_MOI'!$C$24*(E3996/'THAM_SO_MOI'!$C$22)^2-'THAM_SO_MOI'!$C$25*(E3996/'THAM_SO_MOI'!$C$22)^3)</f>
        <v>95.39710221331941</v>
      </c>
      <c r="K3996" s="75">
        <f>'THAM_SO_MOI'!$C$31*J3996/E3996</f>
        <v>430.0185600804693</v>
      </c>
      <c r="L3996" s="75">
        <f>K3996*'THAM_SO_MOI'!$C$53*'THAM_SO_MOI'!$C$17/'THAM_SO_MOI'!$C$26</f>
        <v>3771.26445455482</v>
      </c>
      <c r="M3996" s="75">
        <f>'THAM_SO_MOI'!$C$15*'THAM_SO_MOI'!$C$16*F3996^2</f>
        <v>1352.7700653101729</v>
      </c>
      <c r="N3996" s="75">
        <f>'THAM_SO_MOI'!$C$12*I3996</f>
        <v>1130.112</v>
      </c>
      <c r="O3996" s="75">
        <f>M3996+N3996</f>
        <v>2482.882065310173</v>
      </c>
      <c r="P3996" s="75">
        <f>(MIN(L3996,'THAM_SO_MOI'!$C$41)-O3996)/('THAM_SO_MOI'!$C$11*H3996)</f>
        <v>0.1525073850905122</v>
      </c>
      <c r="Q3996" s="75">
        <f>IF(P3996&gt;0,1/P3996,NA())</f>
        <v>6.557059511619756</v>
      </c>
      <c r="R3996" s="75">
        <f>F3996-F3995</f>
        <v>0.0073885545698715305</v>
      </c>
      <c r="S3996" s="75">
        <f>0.5*(Q3995+Q3996)*R3996</f>
        <v>0.04843029117704559</v>
      </c>
      <c r="T3996" s="75">
        <f>0.5*(F3995*Q3995+F3996*Q3996)*R3996</f>
        <v>1.0413376058177513</v>
      </c>
      <c r="U3996" s="76">
        <f>U3995+S3996</f>
        <v>57.113202128979026</v>
      </c>
      <c r="V3996" s="76">
        <f>V3995+T3996</f>
        <v>829.0359871617336</v>
      </c>
    </row>
    <row r="3997" spans="1:22" ht="19" customHeight="1">
      <c r="A3997" s="68" t="s">
        <v>378</v>
      </c>
      <c r="B3997" s="74">
        <v>5</v>
      </c>
      <c r="C3997" s="68" t="s">
        <v>363</v>
      </c>
      <c r="D3997" s="68" t="s">
        <v>364</v>
      </c>
      <c r="E3997" s="75">
        <f>60*F3997*'THAM_SO_MOI'!$C$53/(2*PI()*'THAM_SO_MOI'!$C$26)</f>
        <v>2119.583273873871</v>
      </c>
      <c r="F3997" s="75">
        <f>'HANH_TRINH'!$F$3289+('THAM_SO_MOI'!$C$14-'HANH_TRINH'!$F$3289)*707/'THAM_SO_MOI'!$C$42</f>
        <v>21.5128644250019</v>
      </c>
      <c r="G3997" s="75">
        <f>3.6*F3997</f>
        <v>77.44631193000684</v>
      </c>
      <c r="H3997" s="75">
        <f>'THAM_SO_MOI'!$D$53</f>
        <v>1.1</v>
      </c>
      <c r="I3997" s="75">
        <f>IF(F3997&gt;'THAM_SO_MOI'!$C$14,'THAM_SO_MOI'!$C$13*(1+F3997^2/1500),'THAM_SO_MOI'!$C$13)</f>
        <v>0.015</v>
      </c>
      <c r="J3997" s="75">
        <f>'THAM_SO_MOI'!$C$40*('THAM_SO_MOI'!$C$23*(E3997/'THAM_SO_MOI'!$C$22)+'THAM_SO_MOI'!$C$24*(E3997/'THAM_SO_MOI'!$C$22)^2-'THAM_SO_MOI'!$C$25*(E3997/'THAM_SO_MOI'!$C$22)^3)</f>
        <v>95.43062106768245</v>
      </c>
      <c r="K3997" s="75">
        <f>'THAM_SO_MOI'!$C$31*J3997/E3997</f>
        <v>430.0219109883143</v>
      </c>
      <c r="L3997" s="75">
        <f>K3997*'THAM_SO_MOI'!$C$53*'THAM_SO_MOI'!$C$17/'THAM_SO_MOI'!$C$26</f>
        <v>3771.2938420297332</v>
      </c>
      <c r="M3997" s="75">
        <f>'THAM_SO_MOI'!$C$15*'THAM_SO_MOI'!$C$16*F3997^2</f>
        <v>1353.6997571228987</v>
      </c>
      <c r="N3997" s="75">
        <f>'THAM_SO_MOI'!$C$12*I3997</f>
        <v>1130.112</v>
      </c>
      <c r="O3997" s="75">
        <f>M3997+N3997</f>
        <v>2483.8117571228986</v>
      </c>
      <c r="P3997" s="75">
        <f>(MIN(L3997,'THAM_SO_MOI'!$C$41)-O3997)/('THAM_SO_MOI'!$C$11*H3997)</f>
        <v>0.15240081497476735</v>
      </c>
      <c r="Q3997" s="75">
        <f>IF(P3997&gt;0,1/P3997,NA())</f>
        <v>6.561644700952339</v>
      </c>
      <c r="R3997" s="75">
        <f>F3997-F3996</f>
        <v>0.0073885545698715305</v>
      </c>
      <c r="S3997" s="75">
        <f>0.5*(Q3996+Q3997)*R3997</f>
        <v>0.04846413098029622</v>
      </c>
      <c r="T3997" s="75">
        <f>0.5*(F3996*Q3996+F3997*Q3997)*R3997</f>
        <v>1.0424233018936504</v>
      </c>
      <c r="U3997" s="76">
        <f>U3996+S3997</f>
        <v>57.161666259959325</v>
      </c>
      <c r="V3997" s="76">
        <f>V3996+T3997</f>
        <v>830.0784104636273</v>
      </c>
    </row>
    <row r="3998" spans="1:22" ht="19" customHeight="1">
      <c r="A3998" s="68" t="s">
        <v>378</v>
      </c>
      <c r="B3998" s="74">
        <v>5</v>
      </c>
      <c r="C3998" s="68" t="s">
        <v>363</v>
      </c>
      <c r="D3998" s="68" t="s">
        <v>364</v>
      </c>
      <c r="E3998" s="75">
        <f>60*F3998*'THAM_SO_MOI'!$C$53/(2*PI()*'THAM_SO_MOI'!$C$26)</f>
        <v>2120.3112409346504</v>
      </c>
      <c r="F3998" s="75">
        <f>'HANH_TRINH'!$F$3289+('THAM_SO_MOI'!$C$14-'HANH_TRINH'!$F$3289)*708/'THAM_SO_MOI'!$C$42</f>
        <v>21.520252979571772</v>
      </c>
      <c r="G3998" s="75">
        <f>3.6*F3998</f>
        <v>77.47291072645838</v>
      </c>
      <c r="H3998" s="75">
        <f>'THAM_SO_MOI'!$D$53</f>
        <v>1.1</v>
      </c>
      <c r="I3998" s="75">
        <f>IF(F3998&gt;'THAM_SO_MOI'!$C$14,'THAM_SO_MOI'!$C$13*(1+F3998^2/1500),'THAM_SO_MOI'!$C$13)</f>
        <v>0.015</v>
      </c>
      <c r="J3998" s="75">
        <f>'THAM_SO_MOI'!$C$40*('THAM_SO_MOI'!$C$23*(E3998/'THAM_SO_MOI'!$C$22)+'THAM_SO_MOI'!$C$24*(E3998/'THAM_SO_MOI'!$C$22)^2-'THAM_SO_MOI'!$C$25*(E3998/'THAM_SO_MOI'!$C$22)^3)</f>
        <v>95.4641290196224</v>
      </c>
      <c r="K3998" s="75">
        <f>'THAM_SO_MOI'!$C$31*J3998/E3998</f>
        <v>430.0252104844539</v>
      </c>
      <c r="L3998" s="75">
        <f>K3998*'THAM_SO_MOI'!$C$53*'THAM_SO_MOI'!$C$17/'THAM_SO_MOI'!$C$26</f>
        <v>3771.322778623788</v>
      </c>
      <c r="M3998" s="75">
        <f>'THAM_SO_MOI'!$C$15*'THAM_SO_MOI'!$C$16*F3998^2</f>
        <v>1354.6297682914458</v>
      </c>
      <c r="N3998" s="75">
        <f>'THAM_SO_MOI'!$C$12*I3998</f>
        <v>1130.112</v>
      </c>
      <c r="O3998" s="75">
        <f>M3998+N3998</f>
        <v>2484.7417682914456</v>
      </c>
      <c r="P3998" s="75">
        <f>(MIN(L3998,'THAM_SO_MOI'!$C$41)-O3998)/('THAM_SO_MOI'!$C$11*H3998)</f>
        <v>0.15229415368517304</v>
      </c>
      <c r="Q3998" s="75">
        <f>IF(P3998&gt;0,1/P3998,NA())</f>
        <v>6.566240238395687</v>
      </c>
      <c r="R3998" s="75">
        <f>F3998-F3997</f>
        <v>0.0073885545698715305</v>
      </c>
      <c r="S3998" s="75">
        <f>0.5*(Q3997+Q3998)*R3998</f>
        <v>0.048498047130683744</v>
      </c>
      <c r="T3998" s="75">
        <f>0.5*(F3997*Q3997+F3998*Q3998)*R3998</f>
        <v>1.0435111407520763</v>
      </c>
      <c r="U3998" s="76">
        <f>U3997+S3998</f>
        <v>57.21016430709001</v>
      </c>
      <c r="V3998" s="76">
        <f>V3997+T3998</f>
        <v>831.1219216043794</v>
      </c>
    </row>
    <row r="3999" spans="1:22" ht="19" customHeight="1">
      <c r="A3999" s="68" t="s">
        <v>378</v>
      </c>
      <c r="B3999" s="74">
        <v>5</v>
      </c>
      <c r="C3999" s="68" t="s">
        <v>363</v>
      </c>
      <c r="D3999" s="68" t="s">
        <v>364</v>
      </c>
      <c r="E3999" s="75">
        <f>60*F3999*'THAM_SO_MOI'!$C$53/(2*PI()*'THAM_SO_MOI'!$C$26)</f>
        <v>2121.0392079954286</v>
      </c>
      <c r="F3999" s="75">
        <f>'HANH_TRINH'!$F$3289+('THAM_SO_MOI'!$C$14-'HANH_TRINH'!$F$3289)*709/'THAM_SO_MOI'!$C$42</f>
        <v>21.527641534141644</v>
      </c>
      <c r="G3999" s="75">
        <f>3.6*F3999</f>
        <v>77.49950952290992</v>
      </c>
      <c r="H3999" s="75">
        <f>'THAM_SO_MOI'!$D$53</f>
        <v>1.1</v>
      </c>
      <c r="I3999" s="75">
        <f>IF(F3999&gt;'THAM_SO_MOI'!$C$14,'THAM_SO_MOI'!$C$13*(1+F3999^2/1500),'THAM_SO_MOI'!$C$13)</f>
        <v>0.015</v>
      </c>
      <c r="J3999" s="75">
        <f>'THAM_SO_MOI'!$C$40*('THAM_SO_MOI'!$C$23*(E3999/'THAM_SO_MOI'!$C$22)+'THAM_SO_MOI'!$C$24*(E3999/'THAM_SO_MOI'!$C$22)^2-'THAM_SO_MOI'!$C$25*(E3999/'THAM_SO_MOI'!$C$22)^3)</f>
        <v>95.4976260573837</v>
      </c>
      <c r="K3999" s="75">
        <f>'THAM_SO_MOI'!$C$31*J3999/E3999</f>
        <v>430.02845856888837</v>
      </c>
      <c r="L3999" s="75">
        <f>K3999*'THAM_SO_MOI'!$C$53*'THAM_SO_MOI'!$C$17/'THAM_SO_MOI'!$C$26</f>
        <v>3771.3512643369877</v>
      </c>
      <c r="M3999" s="75">
        <f>'THAM_SO_MOI'!$C$15*'THAM_SO_MOI'!$C$16*F3999^2</f>
        <v>1355.5600988158137</v>
      </c>
      <c r="N3999" s="75">
        <f>'THAM_SO_MOI'!$C$12*I3999</f>
        <v>1130.112</v>
      </c>
      <c r="O3999" s="75">
        <f>M3999+N3999</f>
        <v>2485.672098815814</v>
      </c>
      <c r="P3999" s="75">
        <f>(MIN(L3999,'THAM_SO_MOI'!$C$41)-O3999)/('THAM_SO_MOI'!$C$11*H3999)</f>
        <v>0.15218740122172983</v>
      </c>
      <c r="Q3999" s="75">
        <f>IF(P3999&gt;0,1/P3999,NA())</f>
        <v>6.570846153966762</v>
      </c>
      <c r="R3999" s="75">
        <f>F3999-F3998</f>
        <v>0.0073885545698715305</v>
      </c>
      <c r="S3999" s="75">
        <f>0.5*(Q3998+Q3999)*R3999</f>
        <v>0.04853203984954333</v>
      </c>
      <c r="T3999" s="75">
        <f>0.5*(F3998*Q3998+F3999*Q3999)*R3999</f>
        <v>1.044601128849322</v>
      </c>
      <c r="U3999" s="76">
        <f>U3998+S3999</f>
        <v>57.25869634693955</v>
      </c>
      <c r="V3999" s="76">
        <f>V3998+T3999</f>
        <v>832.1665227332287</v>
      </c>
    </row>
    <row r="4000" spans="1:22" ht="19" customHeight="1">
      <c r="A4000" s="68" t="s">
        <v>378</v>
      </c>
      <c r="B4000" s="74">
        <v>5</v>
      </c>
      <c r="C4000" s="68" t="s">
        <v>363</v>
      </c>
      <c r="D4000" s="68" t="s">
        <v>364</v>
      </c>
      <c r="E4000" s="75">
        <f>60*F4000*'THAM_SO_MOI'!$C$53/(2*PI()*'THAM_SO_MOI'!$C$26)</f>
        <v>2121.767175056208</v>
      </c>
      <c r="F4000" s="75">
        <f>'HANH_TRINH'!$F$3289+('THAM_SO_MOI'!$C$14-'HANH_TRINH'!$F$3289)*710/'THAM_SO_MOI'!$C$42</f>
        <v>21.535030088711515</v>
      </c>
      <c r="G4000" s="75">
        <f>3.6*F4000</f>
        <v>77.52610831936146</v>
      </c>
      <c r="H4000" s="75">
        <f>'THAM_SO_MOI'!$D$53</f>
        <v>1.1</v>
      </c>
      <c r="I4000" s="75">
        <f>IF(F4000&gt;'THAM_SO_MOI'!$C$14,'THAM_SO_MOI'!$C$13*(1+F4000^2/1500),'THAM_SO_MOI'!$C$13)</f>
        <v>0.015</v>
      </c>
      <c r="J4000" s="75">
        <f>'THAM_SO_MOI'!$C$40*('THAM_SO_MOI'!$C$23*(E4000/'THAM_SO_MOI'!$C$22)+'THAM_SO_MOI'!$C$24*(E4000/'THAM_SO_MOI'!$C$22)^2-'THAM_SO_MOI'!$C$25*(E4000/'THAM_SO_MOI'!$C$22)^3)</f>
        <v>95.53111216921081</v>
      </c>
      <c r="K4000" s="75">
        <f>'THAM_SO_MOI'!$C$31*J4000/E4000</f>
        <v>430.03165524161705</v>
      </c>
      <c r="L4000" s="75">
        <f>K4000*'THAM_SO_MOI'!$C$53*'THAM_SO_MOI'!$C$17/'THAM_SO_MOI'!$C$26</f>
        <v>3771.379299169327</v>
      </c>
      <c r="M4000" s="75">
        <f>'THAM_SO_MOI'!$C$15*'THAM_SO_MOI'!$C$16*F4000^2</f>
        <v>1356.4907486960028</v>
      </c>
      <c r="N4000" s="75">
        <f>'THAM_SO_MOI'!$C$12*I4000</f>
        <v>1130.112</v>
      </c>
      <c r="O4000" s="75">
        <f>M4000+N4000</f>
        <v>2486.602748696003</v>
      </c>
      <c r="P4000" s="75">
        <f>(MIN(L4000,'THAM_SO_MOI'!$C$41)-O4000)/('THAM_SO_MOI'!$C$11*H4000)</f>
        <v>0.15208055758443706</v>
      </c>
      <c r="Q4000" s="75">
        <f>IF(P4000&gt;0,1/P4000,NA())</f>
        <v>6.575462477804155</v>
      </c>
      <c r="R4000" s="75">
        <f>F4000-F3999</f>
        <v>0.0073885545698715305</v>
      </c>
      <c r="S4000" s="75">
        <f>0.5*(Q3999+Q4000)*R4000</f>
        <v>0.04856610935910628</v>
      </c>
      <c r="T4000" s="75">
        <f>0.5*(F3999*Q3999+F4000*Q4000)*R4000</f>
        <v>1.0456932726675165</v>
      </c>
      <c r="U4000" s="76">
        <f>U3999+S4000</f>
        <v>57.30726245629866</v>
      </c>
      <c r="V4000" s="76">
        <f>V3999+T4000</f>
        <v>833.2122160058963</v>
      </c>
    </row>
    <row r="4001" spans="1:22" ht="19" customHeight="1">
      <c r="A4001" s="68" t="s">
        <v>378</v>
      </c>
      <c r="B4001" s="74">
        <v>5</v>
      </c>
      <c r="C4001" s="68" t="s">
        <v>363</v>
      </c>
      <c r="D4001" s="68" t="s">
        <v>364</v>
      </c>
      <c r="E4001" s="75">
        <f>60*F4001*'THAM_SO_MOI'!$C$53/(2*PI()*'THAM_SO_MOI'!$C$26)</f>
        <v>2122.495142116987</v>
      </c>
      <c r="F4001" s="75">
        <f>'HANH_TRINH'!$F$3289+('THAM_SO_MOI'!$C$14-'HANH_TRINH'!$F$3289)*711/'THAM_SO_MOI'!$C$42</f>
        <v>21.54241864328139</v>
      </c>
      <c r="G4001" s="75">
        <f>3.6*F4001</f>
        <v>77.552707115813</v>
      </c>
      <c r="H4001" s="75">
        <f>'THAM_SO_MOI'!$D$53</f>
        <v>1.1</v>
      </c>
      <c r="I4001" s="75">
        <f>IF(F4001&gt;'THAM_SO_MOI'!$C$14,'THAM_SO_MOI'!$C$13*(1+F4001^2/1500),'THAM_SO_MOI'!$C$13)</f>
        <v>0.015</v>
      </c>
      <c r="J4001" s="75">
        <f>'THAM_SO_MOI'!$C$40*('THAM_SO_MOI'!$C$23*(E4001/'THAM_SO_MOI'!$C$22)+'THAM_SO_MOI'!$C$24*(E4001/'THAM_SO_MOI'!$C$22)^2-'THAM_SO_MOI'!$C$25*(E4001/'THAM_SO_MOI'!$C$22)^3)</f>
        <v>95.5645873433483</v>
      </c>
      <c r="K4001" s="75">
        <f>'THAM_SO_MOI'!$C$31*J4001/E4001</f>
        <v>430.03480050264056</v>
      </c>
      <c r="L4001" s="75">
        <f>K4001*'THAM_SO_MOI'!$C$53*'THAM_SO_MOI'!$C$17/'THAM_SO_MOI'!$C$26</f>
        <v>3771.4068831208106</v>
      </c>
      <c r="M4001" s="75">
        <f>'THAM_SO_MOI'!$C$15*'THAM_SO_MOI'!$C$16*F4001^2</f>
        <v>1357.421717932013</v>
      </c>
      <c r="N4001" s="75">
        <f>'THAM_SO_MOI'!$C$12*I4001</f>
        <v>1130.112</v>
      </c>
      <c r="O4001" s="75">
        <f>M4001+N4001</f>
        <v>2487.533717932013</v>
      </c>
      <c r="P4001" s="75">
        <f>(MIN(L4001,'THAM_SO_MOI'!$C$41)-O4001)/('THAM_SO_MOI'!$C$11*H4001)</f>
        <v>0.15197362277329515</v>
      </c>
      <c r="Q4001" s="75">
        <f>IF(P4001&gt;0,1/P4001,NA())</f>
        <v>6.580089240168593</v>
      </c>
      <c r="R4001" s="75">
        <f>F4001-F4000</f>
        <v>0.007388554569875083</v>
      </c>
      <c r="S4001" s="75">
        <f>0.5*(Q4000+Q4001)*R4001</f>
        <v>0.048600255882527775</v>
      </c>
      <c r="T4001" s="75">
        <f>0.5*(F4000*Q4000+F4001*Q4001)*R4001</f>
        <v>1.046787578715257</v>
      </c>
      <c r="U4001" s="76">
        <f>U4000+S4001</f>
        <v>57.355862712181185</v>
      </c>
      <c r="V4001" s="76">
        <f>V4000+T4001</f>
        <v>834.2590035846115</v>
      </c>
    </row>
    <row r="4002" spans="1:22" ht="19" customHeight="1">
      <c r="A4002" s="68" t="s">
        <v>378</v>
      </c>
      <c r="B4002" s="74">
        <v>5</v>
      </c>
      <c r="C4002" s="68" t="s">
        <v>363</v>
      </c>
      <c r="D4002" s="68" t="s">
        <v>364</v>
      </c>
      <c r="E4002" s="75">
        <f>60*F4002*'THAM_SO_MOI'!$C$53/(2*PI()*'THAM_SO_MOI'!$C$26)</f>
        <v>2123.223109177766</v>
      </c>
      <c r="F4002" s="75">
        <f>'HANH_TRINH'!$F$3289+('THAM_SO_MOI'!$C$14-'HANH_TRINH'!$F$3289)*712/'THAM_SO_MOI'!$C$42</f>
        <v>21.549807197851262</v>
      </c>
      <c r="G4002" s="75">
        <f>3.6*F4002</f>
        <v>77.57930591226454</v>
      </c>
      <c r="H4002" s="75">
        <f>'THAM_SO_MOI'!$D$53</f>
        <v>1.1</v>
      </c>
      <c r="I4002" s="75">
        <f>IF(F4002&gt;'THAM_SO_MOI'!$C$14,'THAM_SO_MOI'!$C$13*(1+F4002^2/1500),'THAM_SO_MOI'!$C$13)</f>
        <v>0.015</v>
      </c>
      <c r="J4002" s="75">
        <f>'THAM_SO_MOI'!$C$40*('THAM_SO_MOI'!$C$23*(E4002/'THAM_SO_MOI'!$C$22)+'THAM_SO_MOI'!$C$24*(E4002/'THAM_SO_MOI'!$C$22)^2-'THAM_SO_MOI'!$C$25*(E4002/'THAM_SO_MOI'!$C$22)^3)</f>
        <v>95.59805156804052</v>
      </c>
      <c r="K4002" s="75">
        <f>'THAM_SO_MOI'!$C$31*J4002/E4002</f>
        <v>430.03789435195836</v>
      </c>
      <c r="L4002" s="75">
        <f>K4002*'THAM_SO_MOI'!$C$53*'THAM_SO_MOI'!$C$17/'THAM_SO_MOI'!$C$26</f>
        <v>3771.4340161914342</v>
      </c>
      <c r="M4002" s="75">
        <f>'THAM_SO_MOI'!$C$15*'THAM_SO_MOI'!$C$16*F4002^2</f>
        <v>1358.3530065238442</v>
      </c>
      <c r="N4002" s="75">
        <f>'THAM_SO_MOI'!$C$12*I4002</f>
        <v>1130.112</v>
      </c>
      <c r="O4002" s="75">
        <f>M4002+N4002</f>
        <v>2488.4650065238443</v>
      </c>
      <c r="P4002" s="75">
        <f>(MIN(L4002,'THAM_SO_MOI'!$C$41)-O4002)/('THAM_SO_MOI'!$C$11*H4002)</f>
        <v>0.15186659678830372</v>
      </c>
      <c r="Q4002" s="75">
        <f>IF(P4002&gt;0,1/P4002,NA())</f>
        <v>6.584726471443632</v>
      </c>
      <c r="R4002" s="75">
        <f>F4002-F4001</f>
        <v>0.0073885545698715305</v>
      </c>
      <c r="S4002" s="75">
        <f>0.5*(Q4001+Q4002)*R4002</f>
        <v>0.048634479643774514</v>
      </c>
      <c r="T4002" s="75">
        <f>0.5*(F4001*Q4001+F4002*Q4002)*R4002</f>
        <v>1.0478840535252203</v>
      </c>
      <c r="U4002" s="76">
        <f>U4001+S4002</f>
        <v>57.40449719182496</v>
      </c>
      <c r="V4002" s="76">
        <f>V4001+T4002</f>
        <v>835.3068876381367</v>
      </c>
    </row>
    <row r="4003" spans="1:22" ht="19" customHeight="1">
      <c r="A4003" s="68" t="s">
        <v>378</v>
      </c>
      <c r="B4003" s="74">
        <v>5</v>
      </c>
      <c r="C4003" s="68" t="s">
        <v>363</v>
      </c>
      <c r="D4003" s="68" t="s">
        <v>364</v>
      </c>
      <c r="E4003" s="75">
        <f>60*F4003*'THAM_SO_MOI'!$C$53/(2*PI()*'THAM_SO_MOI'!$C$26)</f>
        <v>2123.951076238545</v>
      </c>
      <c r="F4003" s="75">
        <f>'HANH_TRINH'!$F$3289+('THAM_SO_MOI'!$C$14-'HANH_TRINH'!$F$3289)*713/'THAM_SO_MOI'!$C$42</f>
        <v>21.557195752421134</v>
      </c>
      <c r="G4003" s="75">
        <f>3.6*F4003</f>
        <v>77.60590470871608</v>
      </c>
      <c r="H4003" s="75">
        <f>'THAM_SO_MOI'!$D$53</f>
        <v>1.1</v>
      </c>
      <c r="I4003" s="75">
        <f>IF(F4003&gt;'THAM_SO_MOI'!$C$14,'THAM_SO_MOI'!$C$13*(1+F4003^2/1500),'THAM_SO_MOI'!$C$13)</f>
        <v>0.015</v>
      </c>
      <c r="J4003" s="75">
        <f>'THAM_SO_MOI'!$C$40*('THAM_SO_MOI'!$C$23*(E4003/'THAM_SO_MOI'!$C$22)+'THAM_SO_MOI'!$C$24*(E4003/'THAM_SO_MOI'!$C$22)^2-'THAM_SO_MOI'!$C$25*(E4003/'THAM_SO_MOI'!$C$22)^3)</f>
        <v>95.63150483153208</v>
      </c>
      <c r="K4003" s="75">
        <f>'THAM_SO_MOI'!$C$31*J4003/E4003</f>
        <v>430.040936789571</v>
      </c>
      <c r="L4003" s="75">
        <f>K4003*'THAM_SO_MOI'!$C$53*'THAM_SO_MOI'!$C$17/'THAM_SO_MOI'!$C$26</f>
        <v>3771.460698381202</v>
      </c>
      <c r="M4003" s="75">
        <f>'THAM_SO_MOI'!$C$15*'THAM_SO_MOI'!$C$16*F4003^2</f>
        <v>1359.284614471496</v>
      </c>
      <c r="N4003" s="75">
        <f>'THAM_SO_MOI'!$C$12*I4003</f>
        <v>1130.112</v>
      </c>
      <c r="O4003" s="75">
        <f>M4003+N4003</f>
        <v>2489.396614471496</v>
      </c>
      <c r="P4003" s="75">
        <f>(MIN(L4003,'THAM_SO_MOI'!$C$41)-O4003)/('THAM_SO_MOI'!$C$11*H4003)</f>
        <v>0.1517594796294633</v>
      </c>
      <c r="Q4003" s="75">
        <f>IF(P4003&gt;0,1/P4003,NA())</f>
        <v>6.589374202136203</v>
      </c>
      <c r="R4003" s="75">
        <f>F4003-F4002</f>
        <v>0.0073885545698715305</v>
      </c>
      <c r="S4003" s="75">
        <f>0.5*(Q4002+Q4003)*R4003</f>
        <v>0.04866878086786296</v>
      </c>
      <c r="T4003" s="75">
        <f>0.5*(F4002*Q4002+F4003*Q4003)*R4003</f>
        <v>1.0489827036593273</v>
      </c>
      <c r="U4003" s="76">
        <f>U4002+S4003</f>
        <v>57.45316597269282</v>
      </c>
      <c r="V4003" s="76">
        <f>V4002+T4003</f>
        <v>836.355870341796</v>
      </c>
    </row>
    <row r="4004" spans="1:22" ht="19" customHeight="1">
      <c r="A4004" s="68" t="s">
        <v>378</v>
      </c>
      <c r="B4004" s="74">
        <v>5</v>
      </c>
      <c r="C4004" s="68" t="s">
        <v>363</v>
      </c>
      <c r="D4004" s="68" t="s">
        <v>364</v>
      </c>
      <c r="E4004" s="75">
        <f>60*F4004*'THAM_SO_MOI'!$C$53/(2*PI()*'THAM_SO_MOI'!$C$26)</f>
        <v>2124.679043299324</v>
      </c>
      <c r="F4004" s="75">
        <f>'HANH_TRINH'!$F$3289+('THAM_SO_MOI'!$C$14-'HANH_TRINH'!$F$3289)*714/'THAM_SO_MOI'!$C$42</f>
        <v>21.564584306991005</v>
      </c>
      <c r="G4004" s="75">
        <f>3.6*F4004</f>
        <v>77.63250350516762</v>
      </c>
      <c r="H4004" s="75">
        <f>'THAM_SO_MOI'!$D$53</f>
        <v>1.1</v>
      </c>
      <c r="I4004" s="75">
        <f>IF(F4004&gt;'THAM_SO_MOI'!$C$14,'THAM_SO_MOI'!$C$13*(1+F4004^2/1500),'THAM_SO_MOI'!$C$13)</f>
        <v>0.015</v>
      </c>
      <c r="J4004" s="75">
        <f>'THAM_SO_MOI'!$C$40*('THAM_SO_MOI'!$C$23*(E4004/'THAM_SO_MOI'!$C$22)+'THAM_SO_MOI'!$C$24*(E4004/'THAM_SO_MOI'!$C$22)^2-'THAM_SO_MOI'!$C$25*(E4004/'THAM_SO_MOI'!$C$22)^3)</f>
        <v>95.6649471220674</v>
      </c>
      <c r="K4004" s="75">
        <f>'THAM_SO_MOI'!$C$31*J4004/E4004</f>
        <v>430.04392781547807</v>
      </c>
      <c r="L4004" s="75">
        <f>K4004*'THAM_SO_MOI'!$C$53*'THAM_SO_MOI'!$C$17/'THAM_SO_MOI'!$C$26</f>
        <v>3771.4869296901106</v>
      </c>
      <c r="M4004" s="75">
        <f>'THAM_SO_MOI'!$C$15*'THAM_SO_MOI'!$C$16*F4004^2</f>
        <v>1360.216541774969</v>
      </c>
      <c r="N4004" s="75">
        <f>'THAM_SO_MOI'!$C$12*I4004</f>
        <v>1130.112</v>
      </c>
      <c r="O4004" s="75">
        <f>M4004+N4004</f>
        <v>2490.3285417749694</v>
      </c>
      <c r="P4004" s="75">
        <f>(MIN(L4004,'THAM_SO_MOI'!$C$41)-O4004)/('THAM_SO_MOI'!$C$11*H4004)</f>
        <v>0.15165227129677336</v>
      </c>
      <c r="Q4004" s="75">
        <f>IF(P4004&gt;0,1/P4004,NA())</f>
        <v>6.5940324628773075</v>
      </c>
      <c r="R4004" s="75">
        <f>F4004-F4003</f>
        <v>0.0073885545698715305</v>
      </c>
      <c r="S4004" s="75">
        <f>0.5*(Q4003+Q4004)*R4004</f>
        <v>0.04870315978063018</v>
      </c>
      <c r="T4004" s="75">
        <f>0.5*(F4003*Q4003+F4004*Q4004)*R4004</f>
        <v>1.0500835357038445</v>
      </c>
      <c r="U4004" s="76">
        <f>U4003+S4004</f>
        <v>57.50186913247345</v>
      </c>
      <c r="V4004" s="76">
        <f>V4003+T4004</f>
        <v>837.4059538774999</v>
      </c>
    </row>
    <row r="4005" spans="1:22" ht="19" customHeight="1">
      <c r="A4005" s="68" t="s">
        <v>378</v>
      </c>
      <c r="B4005" s="74">
        <v>5</v>
      </c>
      <c r="C4005" s="68" t="s">
        <v>363</v>
      </c>
      <c r="D4005" s="68" t="s">
        <v>364</v>
      </c>
      <c r="E4005" s="75">
        <f>60*F4005*'THAM_SO_MOI'!$C$53/(2*PI()*'THAM_SO_MOI'!$C$26)</f>
        <v>2125.407010360103</v>
      </c>
      <c r="F4005" s="75">
        <f>'HANH_TRINH'!$F$3289+('THAM_SO_MOI'!$C$14-'HANH_TRINH'!$F$3289)*715/'THAM_SO_MOI'!$C$42</f>
        <v>21.571972861560877</v>
      </c>
      <c r="G4005" s="75">
        <f>3.6*F4005</f>
        <v>77.65910230161916</v>
      </c>
      <c r="H4005" s="75">
        <f>'THAM_SO_MOI'!$D$53</f>
        <v>1.1</v>
      </c>
      <c r="I4005" s="75">
        <f>IF(F4005&gt;'THAM_SO_MOI'!$C$14,'THAM_SO_MOI'!$C$13*(1+F4005^2/1500),'THAM_SO_MOI'!$C$13)</f>
        <v>0.015</v>
      </c>
      <c r="J4005" s="75">
        <f>'THAM_SO_MOI'!$C$40*('THAM_SO_MOI'!$C$23*(E4005/'THAM_SO_MOI'!$C$22)+'THAM_SO_MOI'!$C$24*(E4005/'THAM_SO_MOI'!$C$22)^2-'THAM_SO_MOI'!$C$25*(E4005/'THAM_SO_MOI'!$C$22)^3)</f>
        <v>95.69837842789096</v>
      </c>
      <c r="K4005" s="75">
        <f>'THAM_SO_MOI'!$C$31*J4005/E4005</f>
        <v>430.0468674296796</v>
      </c>
      <c r="L4005" s="75">
        <f>K4005*'THAM_SO_MOI'!$C$53*'THAM_SO_MOI'!$C$17/'THAM_SO_MOI'!$C$26</f>
        <v>3771.5127101181606</v>
      </c>
      <c r="M4005" s="75">
        <f>'THAM_SO_MOI'!$C$15*'THAM_SO_MOI'!$C$16*F4005^2</f>
        <v>1361.148788434263</v>
      </c>
      <c r="N4005" s="75">
        <f>'THAM_SO_MOI'!$C$12*I4005</f>
        <v>1130.112</v>
      </c>
      <c r="O4005" s="75">
        <f>M4005+N4005</f>
        <v>2491.2607884342633</v>
      </c>
      <c r="P4005" s="75">
        <f>(MIN(L4005,'THAM_SO_MOI'!$C$41)-O4005)/('THAM_SO_MOI'!$C$11*H4005)</f>
        <v>0.15154497179023405</v>
      </c>
      <c r="Q4005" s="75">
        <f>IF(P4005&gt;0,1/P4005,NA())</f>
        <v>6.598701284422573</v>
      </c>
      <c r="R4005" s="75">
        <f>F4005-F4004</f>
        <v>0.0073885545698715305</v>
      </c>
      <c r="S4005" s="75">
        <f>0.5*(Q4004+Q4005)*R4005</f>
        <v>0.04873761660885544</v>
      </c>
      <c r="T4005" s="75">
        <f>0.5*(F4004*Q4004+F4005*Q4005)*R4005</f>
        <v>1.0511865562720326</v>
      </c>
      <c r="U4005" s="76">
        <f>U4004+S4005</f>
        <v>57.550606749082306</v>
      </c>
      <c r="V4005" s="76">
        <f>V4004+T4005</f>
        <v>838.4571404337719</v>
      </c>
    </row>
    <row r="4006" spans="1:22" ht="19" customHeight="1">
      <c r="A4006" s="68" t="s">
        <v>378</v>
      </c>
      <c r="B4006" s="74">
        <v>5</v>
      </c>
      <c r="C4006" s="68" t="s">
        <v>363</v>
      </c>
      <c r="D4006" s="68" t="s">
        <v>364</v>
      </c>
      <c r="E4006" s="75">
        <f>60*F4006*'THAM_SO_MOI'!$C$53/(2*PI()*'THAM_SO_MOI'!$C$26)</f>
        <v>2126.1349774208825</v>
      </c>
      <c r="F4006" s="75">
        <f>'HANH_TRINH'!$F$3289+('THAM_SO_MOI'!$C$14-'HANH_TRINH'!$F$3289)*716/'THAM_SO_MOI'!$C$42</f>
        <v>21.57936141613075</v>
      </c>
      <c r="G4006" s="75">
        <f>3.6*F4006</f>
        <v>77.68570109807071</v>
      </c>
      <c r="H4006" s="75">
        <f>'THAM_SO_MOI'!$D$53</f>
        <v>1.1</v>
      </c>
      <c r="I4006" s="75">
        <f>IF(F4006&gt;'THAM_SO_MOI'!$C$14,'THAM_SO_MOI'!$C$13*(1+F4006^2/1500),'THAM_SO_MOI'!$C$13)</f>
        <v>0.015</v>
      </c>
      <c r="J4006" s="75">
        <f>'THAM_SO_MOI'!$C$40*('THAM_SO_MOI'!$C$23*(E4006/'THAM_SO_MOI'!$C$22)+'THAM_SO_MOI'!$C$24*(E4006/'THAM_SO_MOI'!$C$22)^2-'THAM_SO_MOI'!$C$25*(E4006/'THAM_SO_MOI'!$C$22)^3)</f>
        <v>95.73179873724735</v>
      </c>
      <c r="K4006" s="75">
        <f>'THAM_SO_MOI'!$C$31*J4006/E4006</f>
        <v>430.04975563217596</v>
      </c>
      <c r="L4006" s="75">
        <f>K4006*'THAM_SO_MOI'!$C$53*'THAM_SO_MOI'!$C$17/'THAM_SO_MOI'!$C$26</f>
        <v>3771.5380396653554</v>
      </c>
      <c r="M4006" s="75">
        <f>'THAM_SO_MOI'!$C$15*'THAM_SO_MOI'!$C$16*F4006^2</f>
        <v>1362.0813544493785</v>
      </c>
      <c r="N4006" s="75">
        <f>'THAM_SO_MOI'!$C$12*I4006</f>
        <v>1130.112</v>
      </c>
      <c r="O4006" s="75">
        <f>M4006+N4006</f>
        <v>2492.1933544493786</v>
      </c>
      <c r="P4006" s="75">
        <f>(MIN(L4006,'THAM_SO_MOI'!$C$41)-O4006)/('THAM_SO_MOI'!$C$11*H4006)</f>
        <v>0.15143758110984573</v>
      </c>
      <c r="Q4006" s="75">
        <f>IF(P4006&gt;0,1/P4006,NA())</f>
        <v>6.603380697652895</v>
      </c>
      <c r="R4006" s="75">
        <f>F4006-F4005</f>
        <v>0.007388554569875083</v>
      </c>
      <c r="S4006" s="75">
        <f>0.5*(Q4005+Q4006)*R4006</f>
        <v>0.0487721515802646</v>
      </c>
      <c r="T4006" s="75">
        <f>0.5*(F4005*Q4005+F4006*Q4006)*R4006</f>
        <v>1.052291772004278</v>
      </c>
      <c r="U4006" s="76">
        <f>U4005+S4006</f>
        <v>57.59937890066257</v>
      </c>
      <c r="V4006" s="76">
        <f>V4005+T4006</f>
        <v>839.5094322057762</v>
      </c>
    </row>
    <row r="4007" spans="1:22" ht="19" customHeight="1">
      <c r="A4007" s="68" t="s">
        <v>378</v>
      </c>
      <c r="B4007" s="74">
        <v>5</v>
      </c>
      <c r="C4007" s="68" t="s">
        <v>363</v>
      </c>
      <c r="D4007" s="68" t="s">
        <v>364</v>
      </c>
      <c r="E4007" s="75">
        <f>60*F4007*'THAM_SO_MOI'!$C$53/(2*PI()*'THAM_SO_MOI'!$C$26)</f>
        <v>2126.8629444816606</v>
      </c>
      <c r="F4007" s="75">
        <f>'HANH_TRINH'!$F$3289+('THAM_SO_MOI'!$C$14-'HANH_TRINH'!$F$3289)*717/'THAM_SO_MOI'!$C$42</f>
        <v>21.586749970700623</v>
      </c>
      <c r="G4007" s="75">
        <f>3.6*F4007</f>
        <v>77.71229989452225</v>
      </c>
      <c r="H4007" s="75">
        <f>'THAM_SO_MOI'!$D$53</f>
        <v>1.1</v>
      </c>
      <c r="I4007" s="75">
        <f>IF(F4007&gt;'THAM_SO_MOI'!$C$14,'THAM_SO_MOI'!$C$13*(1+F4007^2/1500),'THAM_SO_MOI'!$C$13)</f>
        <v>0.015</v>
      </c>
      <c r="J4007" s="75">
        <f>'THAM_SO_MOI'!$C$40*('THAM_SO_MOI'!$C$23*(E4007/'THAM_SO_MOI'!$C$22)+'THAM_SO_MOI'!$C$24*(E4007/'THAM_SO_MOI'!$C$22)^2-'THAM_SO_MOI'!$C$25*(E4007/'THAM_SO_MOI'!$C$22)^3)</f>
        <v>95.76520803838083</v>
      </c>
      <c r="K4007" s="75">
        <f>'THAM_SO_MOI'!$C$31*J4007/E4007</f>
        <v>430.05259242296665</v>
      </c>
      <c r="L4007" s="75">
        <f>K4007*'THAM_SO_MOI'!$C$53*'THAM_SO_MOI'!$C$17/'THAM_SO_MOI'!$C$26</f>
        <v>3771.5629183316896</v>
      </c>
      <c r="M4007" s="75">
        <f>'THAM_SO_MOI'!$C$15*'THAM_SO_MOI'!$C$16*F4007^2</f>
        <v>1363.0142398203145</v>
      </c>
      <c r="N4007" s="75">
        <f>'THAM_SO_MOI'!$C$12*I4007</f>
        <v>1130.112</v>
      </c>
      <c r="O4007" s="75">
        <f>M4007+N4007</f>
        <v>2493.1262398203144</v>
      </c>
      <c r="P4007" s="75">
        <f>(MIN(L4007,'THAM_SO_MOI'!$C$41)-O4007)/('THAM_SO_MOI'!$C$11*H4007)</f>
        <v>0.15133009925560786</v>
      </c>
      <c r="Q4007" s="75">
        <f>IF(P4007&gt;0,1/P4007,NA())</f>
        <v>6.608070733575118</v>
      </c>
      <c r="R4007" s="75">
        <f>F4007-F4006</f>
        <v>0.0073885545698715305</v>
      </c>
      <c r="S4007" s="75">
        <f>0.5*(Q4006+Q4007)*R4007</f>
        <v>0.048806764923417754</v>
      </c>
      <c r="T4007" s="75">
        <f>0.5*(F4006*Q4006+F4007*Q4007)*R4007</f>
        <v>1.0533991895657038</v>
      </c>
      <c r="U4007" s="76">
        <f>U4006+S4007</f>
        <v>57.64818566558599</v>
      </c>
      <c r="V4007" s="76">
        <f>V4006+T4007</f>
        <v>840.5628313953418</v>
      </c>
    </row>
    <row r="4008" spans="1:22" ht="19" customHeight="1">
      <c r="A4008" s="68" t="s">
        <v>378</v>
      </c>
      <c r="B4008" s="74">
        <v>5</v>
      </c>
      <c r="C4008" s="68" t="s">
        <v>363</v>
      </c>
      <c r="D4008" s="68" t="s">
        <v>364</v>
      </c>
      <c r="E4008" s="75">
        <f>60*F4008*'THAM_SO_MOI'!$C$53/(2*PI()*'THAM_SO_MOI'!$C$26)</f>
        <v>2127.5909115424397</v>
      </c>
      <c r="F4008" s="75">
        <f>'HANH_TRINH'!$F$3289+('THAM_SO_MOI'!$C$14-'HANH_TRINH'!$F$3289)*718/'THAM_SO_MOI'!$C$42</f>
        <v>21.594138525270495</v>
      </c>
      <c r="G4008" s="75">
        <f>3.6*F4008</f>
        <v>77.73889869097378</v>
      </c>
      <c r="H4008" s="75">
        <f>'THAM_SO_MOI'!$D$53</f>
        <v>1.1</v>
      </c>
      <c r="I4008" s="75">
        <f>IF(F4008&gt;'THAM_SO_MOI'!$C$14,'THAM_SO_MOI'!$C$13*(1+F4008^2/1500),'THAM_SO_MOI'!$C$13)</f>
        <v>0.015</v>
      </c>
      <c r="J4008" s="75">
        <f>'THAM_SO_MOI'!$C$40*('THAM_SO_MOI'!$C$23*(E4008/'THAM_SO_MOI'!$C$22)+'THAM_SO_MOI'!$C$24*(E4008/'THAM_SO_MOI'!$C$22)^2-'THAM_SO_MOI'!$C$25*(E4008/'THAM_SO_MOI'!$C$22)^3)</f>
        <v>95.79860631953612</v>
      </c>
      <c r="K4008" s="75">
        <f>'THAM_SO_MOI'!$C$31*J4008/E4008</f>
        <v>430.0553778020521</v>
      </c>
      <c r="L4008" s="75">
        <f>K4008*'THAM_SO_MOI'!$C$53*'THAM_SO_MOI'!$C$17/'THAM_SO_MOI'!$C$26</f>
        <v>3771.587346117168</v>
      </c>
      <c r="M4008" s="75">
        <f>'THAM_SO_MOI'!$C$15*'THAM_SO_MOI'!$C$16*F4008^2</f>
        <v>1363.9474445470714</v>
      </c>
      <c r="N4008" s="75">
        <f>'THAM_SO_MOI'!$C$12*I4008</f>
        <v>1130.112</v>
      </c>
      <c r="O4008" s="75">
        <f>M4008+N4008</f>
        <v>2494.0594445470715</v>
      </c>
      <c r="P4008" s="75">
        <f>(MIN(L4008,'THAM_SO_MOI'!$C$41)-O4008)/('THAM_SO_MOI'!$C$11*H4008)</f>
        <v>0.15122252622752091</v>
      </c>
      <c r="Q4008" s="75">
        <f>IF(P4008&gt;0,1/P4008,NA())</f>
        <v>6.612771423322582</v>
      </c>
      <c r="R4008" s="75">
        <f>F4008-F4007</f>
        <v>0.0073885545698715305</v>
      </c>
      <c r="S4008" s="75">
        <f>0.5*(Q4007+Q4008)*R4008</f>
        <v>0.04884145686794834</v>
      </c>
      <c r="T4008" s="75">
        <f>0.5*(F4007*Q4007+F4008*Q4008)*R4008</f>
        <v>1.0545088156513616</v>
      </c>
      <c r="U4008" s="76">
        <f>U4007+S4008</f>
        <v>57.69702712245394</v>
      </c>
      <c r="V4008" s="76">
        <f>V4007+T4008</f>
        <v>841.6173402109932</v>
      </c>
    </row>
    <row r="4009" spans="1:22" ht="19" customHeight="1">
      <c r="A4009" s="68" t="s">
        <v>378</v>
      </c>
      <c r="B4009" s="74">
        <v>5</v>
      </c>
      <c r="C4009" s="68" t="s">
        <v>363</v>
      </c>
      <c r="D4009" s="68" t="s">
        <v>364</v>
      </c>
      <c r="E4009" s="75">
        <f>60*F4009*'THAM_SO_MOI'!$C$53/(2*PI()*'THAM_SO_MOI'!$C$26)</f>
        <v>2128.3188786032188</v>
      </c>
      <c r="F4009" s="75">
        <f>'HANH_TRINH'!$F$3289+('THAM_SO_MOI'!$C$14-'HANH_TRINH'!$F$3289)*719/'THAM_SO_MOI'!$C$42</f>
        <v>21.601527079840366</v>
      </c>
      <c r="G4009" s="75">
        <f>3.6*F4009</f>
        <v>77.76549748742532</v>
      </c>
      <c r="H4009" s="75">
        <f>'THAM_SO_MOI'!$D$53</f>
        <v>1.1</v>
      </c>
      <c r="I4009" s="75">
        <f>IF(F4009&gt;'THAM_SO_MOI'!$C$14,'THAM_SO_MOI'!$C$13*(1+F4009^2/1500),'THAM_SO_MOI'!$C$13)</f>
        <v>0.015</v>
      </c>
      <c r="J4009" s="75">
        <f>'THAM_SO_MOI'!$C$40*('THAM_SO_MOI'!$C$23*(E4009/'THAM_SO_MOI'!$C$22)+'THAM_SO_MOI'!$C$24*(E4009/'THAM_SO_MOI'!$C$22)^2-'THAM_SO_MOI'!$C$25*(E4009/'THAM_SO_MOI'!$C$22)^3)</f>
        <v>95.83199356895759</v>
      </c>
      <c r="K4009" s="75">
        <f>'THAM_SO_MOI'!$C$31*J4009/E4009</f>
        <v>430.05811176943195</v>
      </c>
      <c r="L4009" s="75">
        <f>K4009*'THAM_SO_MOI'!$C$53*'THAM_SO_MOI'!$C$17/'THAM_SO_MOI'!$C$26</f>
        <v>3771.6113230217875</v>
      </c>
      <c r="M4009" s="75">
        <f>'THAM_SO_MOI'!$C$15*'THAM_SO_MOI'!$C$16*F4009^2</f>
        <v>1364.8809686296495</v>
      </c>
      <c r="N4009" s="75">
        <f>'THAM_SO_MOI'!$C$12*I4009</f>
        <v>1130.112</v>
      </c>
      <c r="O4009" s="75">
        <f>M4009+N4009</f>
        <v>2494.9929686296496</v>
      </c>
      <c r="P4009" s="75">
        <f>(MIN(L4009,'THAM_SO_MOI'!$C$41)-O4009)/('THAM_SO_MOI'!$C$11*H4009)</f>
        <v>0.1511148620255845</v>
      </c>
      <c r="Q4009" s="75">
        <f>IF(P4009&gt;0,1/P4009,NA())</f>
        <v>6.61748279815585</v>
      </c>
      <c r="R4009" s="75">
        <f>F4009-F4008</f>
        <v>0.0073885545698715305</v>
      </c>
      <c r="S4009" s="75">
        <f>0.5*(Q4008+Q4009)*R4009</f>
        <v>0.04887622764433329</v>
      </c>
      <c r="T4009" s="75">
        <f>0.5*(F4008*Q4008+F4009*Q4009)*R4009</f>
        <v>1.055620656981306</v>
      </c>
      <c r="U4009" s="76">
        <f>U4008+S4009</f>
        <v>57.745903350098274</v>
      </c>
      <c r="V4009" s="76">
        <f>V4008+T4009</f>
        <v>842.6729608679746</v>
      </c>
    </row>
    <row r="4010" spans="1:22" ht="19" customHeight="1">
      <c r="A4010" s="68" t="s">
        <v>378</v>
      </c>
      <c r="B4010" s="74">
        <v>5</v>
      </c>
      <c r="C4010" s="68" t="s">
        <v>363</v>
      </c>
      <c r="D4010" s="68" t="s">
        <v>364</v>
      </c>
      <c r="E4010" s="75">
        <f>60*F4010*'THAM_SO_MOI'!$C$53/(2*PI()*'THAM_SO_MOI'!$C$26)</f>
        <v>2129.0468456639983</v>
      </c>
      <c r="F4010" s="75">
        <f>'HANH_TRINH'!$F$3289+('THAM_SO_MOI'!$C$14-'HANH_TRINH'!$F$3289)*720/'THAM_SO_MOI'!$C$42</f>
        <v>21.608915634410238</v>
      </c>
      <c r="G4010" s="75">
        <f>3.6*F4010</f>
        <v>77.79209628387686</v>
      </c>
      <c r="H4010" s="75">
        <f>'THAM_SO_MOI'!$D$53</f>
        <v>1.1</v>
      </c>
      <c r="I4010" s="75">
        <f>IF(F4010&gt;'THAM_SO_MOI'!$C$14,'THAM_SO_MOI'!$C$13*(1+F4010^2/1500),'THAM_SO_MOI'!$C$13)</f>
        <v>0.015</v>
      </c>
      <c r="J4010" s="75">
        <f>'THAM_SO_MOI'!$C$40*('THAM_SO_MOI'!$C$23*(E4010/'THAM_SO_MOI'!$C$22)+'THAM_SO_MOI'!$C$24*(E4010/'THAM_SO_MOI'!$C$22)^2-'THAM_SO_MOI'!$C$25*(E4010/'THAM_SO_MOI'!$C$22)^3)</f>
        <v>95.86536977488979</v>
      </c>
      <c r="K4010" s="75">
        <f>'THAM_SO_MOI'!$C$31*J4010/E4010</f>
        <v>430.0607943251066</v>
      </c>
      <c r="L4010" s="75">
        <f>K4010*'THAM_SO_MOI'!$C$53*'THAM_SO_MOI'!$C$17/'THAM_SO_MOI'!$C$26</f>
        <v>3771.6348490455503</v>
      </c>
      <c r="M4010" s="75">
        <f>'THAM_SO_MOI'!$C$15*'THAM_SO_MOI'!$C$16*F4010^2</f>
        <v>1365.8148120680482</v>
      </c>
      <c r="N4010" s="75">
        <f>'THAM_SO_MOI'!$C$12*I4010</f>
        <v>1130.112</v>
      </c>
      <c r="O4010" s="75">
        <f>M4010+N4010</f>
        <v>2495.926812068048</v>
      </c>
      <c r="P4010" s="75">
        <f>(MIN(L4010,'THAM_SO_MOI'!$C$41)-O4010)/('THAM_SO_MOI'!$C$11*H4010)</f>
        <v>0.15100710664979902</v>
      </c>
      <c r="Q4010" s="75">
        <f>IF(P4010&gt;0,1/P4010,NA())</f>
        <v>6.622204889463267</v>
      </c>
      <c r="R4010" s="75">
        <f>F4010-F4009</f>
        <v>0.0073885545698715305</v>
      </c>
      <c r="S4010" s="75">
        <f>0.5*(Q4009+Q4010)*R4010</f>
        <v>0.048911077484015034</v>
      </c>
      <c r="T4010" s="75">
        <f>0.5*(F4009*Q4009+F4010*Q4010)*R4010</f>
        <v>1.056734720303265</v>
      </c>
      <c r="U4010" s="76">
        <f>U4009+S4010</f>
        <v>57.79481442758229</v>
      </c>
      <c r="V4010" s="76">
        <f>V4009+T4010</f>
        <v>843.7296955882778</v>
      </c>
    </row>
    <row r="4011" spans="1:22" ht="19" customHeight="1">
      <c r="A4011" s="68" t="s">
        <v>378</v>
      </c>
      <c r="B4011" s="74">
        <v>5</v>
      </c>
      <c r="C4011" s="68" t="s">
        <v>363</v>
      </c>
      <c r="D4011" s="68" t="s">
        <v>364</v>
      </c>
      <c r="E4011" s="75">
        <f>60*F4011*'THAM_SO_MOI'!$C$53/(2*PI()*'THAM_SO_MOI'!$C$26)</f>
        <v>2129.7748127247764</v>
      </c>
      <c r="F4011" s="75">
        <f>'HANH_TRINH'!$F$3289+('THAM_SO_MOI'!$C$14-'HANH_TRINH'!$F$3289)*721/'THAM_SO_MOI'!$C$42</f>
        <v>21.61630418898011</v>
      </c>
      <c r="G4011" s="75">
        <f>3.6*F4011</f>
        <v>77.8186950803284</v>
      </c>
      <c r="H4011" s="75">
        <f>'THAM_SO_MOI'!$D$53</f>
        <v>1.1</v>
      </c>
      <c r="I4011" s="75">
        <f>IF(F4011&gt;'THAM_SO_MOI'!$C$14,'THAM_SO_MOI'!$C$13*(1+F4011^2/1500),'THAM_SO_MOI'!$C$13)</f>
        <v>0.015</v>
      </c>
      <c r="J4011" s="75">
        <f>'THAM_SO_MOI'!$C$40*('THAM_SO_MOI'!$C$23*(E4011/'THAM_SO_MOI'!$C$22)+'THAM_SO_MOI'!$C$24*(E4011/'THAM_SO_MOI'!$C$22)^2-'THAM_SO_MOI'!$C$25*(E4011/'THAM_SO_MOI'!$C$22)^3)</f>
        <v>95.89873492557706</v>
      </c>
      <c r="K4011" s="75">
        <f>'THAM_SO_MOI'!$C$31*J4011/E4011</f>
        <v>430.06342546907564</v>
      </c>
      <c r="L4011" s="75">
        <f>K4011*'THAM_SO_MOI'!$C$53*'THAM_SO_MOI'!$C$17/'THAM_SO_MOI'!$C$26</f>
        <v>3771.6579241884547</v>
      </c>
      <c r="M4011" s="75">
        <f>'THAM_SO_MOI'!$C$15*'THAM_SO_MOI'!$C$16*F4011^2</f>
        <v>1366.7489748622684</v>
      </c>
      <c r="N4011" s="75">
        <f>'THAM_SO_MOI'!$C$12*I4011</f>
        <v>1130.112</v>
      </c>
      <c r="O4011" s="75">
        <f>M4011+N4011</f>
        <v>2496.8609748622684</v>
      </c>
      <c r="P4011" s="75">
        <f>(MIN(L4011,'THAM_SO_MOI'!$C$41)-O4011)/('THAM_SO_MOI'!$C$11*H4011)</f>
        <v>0.15089926010016408</v>
      </c>
      <c r="Q4011" s="75">
        <f>IF(P4011&gt;0,1/P4011,NA())</f>
        <v>6.626937728761685</v>
      </c>
      <c r="R4011" s="75">
        <f>F4011-F4010</f>
        <v>0.0073885545698715305</v>
      </c>
      <c r="S4011" s="75">
        <f>0.5*(Q4010+Q4011)*R4011</f>
        <v>0.04894600661938281</v>
      </c>
      <c r="T4011" s="75">
        <f>0.5*(F4010*Q4010+F4011*Q4011)*R4011</f>
        <v>1.0578510123922686</v>
      </c>
      <c r="U4011" s="76">
        <f>U4010+S4011</f>
        <v>57.84376043420167</v>
      </c>
      <c r="V4011" s="76">
        <f>V4010+T4011</f>
        <v>844.78754660067</v>
      </c>
    </row>
    <row r="4012" spans="1:22" ht="19" customHeight="1">
      <c r="A4012" s="68" t="s">
        <v>378</v>
      </c>
      <c r="B4012" s="74">
        <v>5</v>
      </c>
      <c r="C4012" s="68" t="s">
        <v>363</v>
      </c>
      <c r="D4012" s="68" t="s">
        <v>364</v>
      </c>
      <c r="E4012" s="75">
        <f>60*F4012*'THAM_SO_MOI'!$C$53/(2*PI()*'THAM_SO_MOI'!$C$26)</f>
        <v>2130.5027797855555</v>
      </c>
      <c r="F4012" s="75">
        <f>'HANH_TRINH'!$F$3289+('THAM_SO_MOI'!$C$14-'HANH_TRINH'!$F$3289)*722/'THAM_SO_MOI'!$C$42</f>
        <v>21.62369274354998</v>
      </c>
      <c r="G4012" s="75">
        <f>3.6*F4012</f>
        <v>77.84529387677993</v>
      </c>
      <c r="H4012" s="75">
        <f>'THAM_SO_MOI'!$D$53</f>
        <v>1.1</v>
      </c>
      <c r="I4012" s="75">
        <f>IF(F4012&gt;'THAM_SO_MOI'!$C$14,'THAM_SO_MOI'!$C$13*(1+F4012^2/1500),'THAM_SO_MOI'!$C$13)</f>
        <v>0.015</v>
      </c>
      <c r="J4012" s="75">
        <f>'THAM_SO_MOI'!$C$40*('THAM_SO_MOI'!$C$23*(E4012/'THAM_SO_MOI'!$C$22)+'THAM_SO_MOI'!$C$24*(E4012/'THAM_SO_MOI'!$C$22)^2-'THAM_SO_MOI'!$C$25*(E4012/'THAM_SO_MOI'!$C$22)^3)</f>
        <v>95.93208900926405</v>
      </c>
      <c r="K4012" s="75">
        <f>'THAM_SO_MOI'!$C$31*J4012/E4012</f>
        <v>430.06600520133935</v>
      </c>
      <c r="L4012" s="75">
        <f>K4012*'THAM_SO_MOI'!$C$53*'THAM_SO_MOI'!$C$17/'THAM_SO_MOI'!$C$26</f>
        <v>3771.680548450502</v>
      </c>
      <c r="M4012" s="75">
        <f>'THAM_SO_MOI'!$C$15*'THAM_SO_MOI'!$C$16*F4012^2</f>
        <v>1367.6834570123092</v>
      </c>
      <c r="N4012" s="75">
        <f>'THAM_SO_MOI'!$C$12*I4012</f>
        <v>1130.112</v>
      </c>
      <c r="O4012" s="75">
        <f>M4012+N4012</f>
        <v>2497.7954570123093</v>
      </c>
      <c r="P4012" s="75">
        <f>(MIN(L4012,'THAM_SO_MOI'!$C$41)-O4012)/('THAM_SO_MOI'!$C$11*H4012)</f>
        <v>0.15079132237668003</v>
      </c>
      <c r="Q4012" s="75">
        <f>IF(P4012&gt;0,1/P4012,NA())</f>
        <v>6.631681347697039</v>
      </c>
      <c r="R4012" s="75">
        <f>F4012-F4011</f>
        <v>0.0073885545698715305</v>
      </c>
      <c r="S4012" s="75">
        <f>0.5*(Q4011+Q4012)*R4012</f>
        <v>0.048981015283777476</v>
      </c>
      <c r="T4012" s="75">
        <f>0.5*(F4011*Q4011+F4012*Q4012)*R4012</f>
        <v>1.058969540050789</v>
      </c>
      <c r="U4012" s="76">
        <f>U4011+S4012</f>
        <v>57.89274144948545</v>
      </c>
      <c r="V4012" s="76">
        <f>V4011+T4012</f>
        <v>845.8465161407208</v>
      </c>
    </row>
    <row r="4013" spans="1:22" ht="19" customHeight="1">
      <c r="A4013" s="68" t="s">
        <v>378</v>
      </c>
      <c r="B4013" s="74">
        <v>5</v>
      </c>
      <c r="C4013" s="68" t="s">
        <v>363</v>
      </c>
      <c r="D4013" s="68" t="s">
        <v>364</v>
      </c>
      <c r="E4013" s="75">
        <f>60*F4013*'THAM_SO_MOI'!$C$53/(2*PI()*'THAM_SO_MOI'!$C$26)</f>
        <v>2131.2307468463346</v>
      </c>
      <c r="F4013" s="75">
        <f>'HANH_TRINH'!$F$3289+('THAM_SO_MOI'!$C$14-'HANH_TRINH'!$F$3289)*723/'THAM_SO_MOI'!$C$42</f>
        <v>21.631081298119852</v>
      </c>
      <c r="G4013" s="75">
        <f>3.6*F4013</f>
        <v>77.87189267323147</v>
      </c>
      <c r="H4013" s="75">
        <f>'THAM_SO_MOI'!$D$53</f>
        <v>1.1</v>
      </c>
      <c r="I4013" s="75">
        <f>IF(F4013&gt;'THAM_SO_MOI'!$C$14,'THAM_SO_MOI'!$C$13*(1+F4013^2/1500),'THAM_SO_MOI'!$C$13)</f>
        <v>0.015</v>
      </c>
      <c r="J4013" s="75">
        <f>'THAM_SO_MOI'!$C$40*('THAM_SO_MOI'!$C$23*(E4013/'THAM_SO_MOI'!$C$22)+'THAM_SO_MOI'!$C$24*(E4013/'THAM_SO_MOI'!$C$22)^2-'THAM_SO_MOI'!$C$25*(E4013/'THAM_SO_MOI'!$C$22)^3)</f>
        <v>95.96543201419516</v>
      </c>
      <c r="K4013" s="75">
        <f>'THAM_SO_MOI'!$C$31*J4013/E4013</f>
        <v>430.06853352189756</v>
      </c>
      <c r="L4013" s="75">
        <f>K4013*'THAM_SO_MOI'!$C$53*'THAM_SO_MOI'!$C$17/'THAM_SO_MOI'!$C$26</f>
        <v>3771.7027218316907</v>
      </c>
      <c r="M4013" s="75">
        <f>'THAM_SO_MOI'!$C$15*'THAM_SO_MOI'!$C$16*F4013^2</f>
        <v>1368.6182585181712</v>
      </c>
      <c r="N4013" s="75">
        <f>'THAM_SO_MOI'!$C$12*I4013</f>
        <v>1130.112</v>
      </c>
      <c r="O4013" s="75">
        <f>M4013+N4013</f>
        <v>2498.7302585181715</v>
      </c>
      <c r="P4013" s="75">
        <f>(MIN(L4013,'THAM_SO_MOI'!$C$41)-O4013)/('THAM_SO_MOI'!$C$11*H4013)</f>
        <v>0.1506832934793465</v>
      </c>
      <c r="Q4013" s="75">
        <f>IF(P4013&gt;0,1/P4013,NA())</f>
        <v>6.636435778045066</v>
      </c>
      <c r="R4013" s="75">
        <f>F4013-F4012</f>
        <v>0.0073885545698715305</v>
      </c>
      <c r="S4013" s="75">
        <f>0.5*(Q4012+Q4013)*R4013</f>
        <v>0.04901610371149627</v>
      </c>
      <c r="T4013" s="75">
        <f>0.5*(F4012*Q4012+F4013*Q4013)*R4013</f>
        <v>1.0600903101088788</v>
      </c>
      <c r="U4013" s="76">
        <f>U4012+S4013</f>
        <v>57.94175755319694</v>
      </c>
      <c r="V4013" s="76">
        <f>V4012+T4013</f>
        <v>846.9066064508297</v>
      </c>
    </row>
    <row r="4014" spans="1:22" ht="19" customHeight="1">
      <c r="A4014" s="68" t="s">
        <v>378</v>
      </c>
      <c r="B4014" s="74">
        <v>5</v>
      </c>
      <c r="C4014" s="68" t="s">
        <v>363</v>
      </c>
      <c r="D4014" s="68" t="s">
        <v>364</v>
      </c>
      <c r="E4014" s="75">
        <f>60*F4014*'THAM_SO_MOI'!$C$53/(2*PI()*'THAM_SO_MOI'!$C$26)</f>
        <v>2131.9587139071136</v>
      </c>
      <c r="F4014" s="75">
        <f>'HANH_TRINH'!$F$3289+('THAM_SO_MOI'!$C$14-'HANH_TRINH'!$F$3289)*724/'THAM_SO_MOI'!$C$42</f>
        <v>21.638469852689724</v>
      </c>
      <c r="G4014" s="75">
        <f>3.6*F4014</f>
        <v>77.89849146968301</v>
      </c>
      <c r="H4014" s="75">
        <f>'THAM_SO_MOI'!$D$53</f>
        <v>1.1</v>
      </c>
      <c r="I4014" s="75">
        <f>IF(F4014&gt;'THAM_SO_MOI'!$C$14,'THAM_SO_MOI'!$C$13*(1+F4014^2/1500),'THAM_SO_MOI'!$C$13)</f>
        <v>0.015</v>
      </c>
      <c r="J4014" s="75">
        <f>'THAM_SO_MOI'!$C$40*('THAM_SO_MOI'!$C$23*(E4014/'THAM_SO_MOI'!$C$22)+'THAM_SO_MOI'!$C$24*(E4014/'THAM_SO_MOI'!$C$22)^2-'THAM_SO_MOI'!$C$25*(E4014/'THAM_SO_MOI'!$C$22)^3)</f>
        <v>95.99876392861488</v>
      </c>
      <c r="K4014" s="75">
        <f>'THAM_SO_MOI'!$C$31*J4014/E4014</f>
        <v>430.0710104307503</v>
      </c>
      <c r="L4014" s="75">
        <f>K4014*'THAM_SO_MOI'!$C$53*'THAM_SO_MOI'!$C$17/'THAM_SO_MOI'!$C$26</f>
        <v>3771.7244443320214</v>
      </c>
      <c r="M4014" s="75">
        <f>'THAM_SO_MOI'!$C$15*'THAM_SO_MOI'!$C$16*F4014^2</f>
        <v>1369.553379379854</v>
      </c>
      <c r="N4014" s="75">
        <f>'THAM_SO_MOI'!$C$12*I4014</f>
        <v>1130.112</v>
      </c>
      <c r="O4014" s="75">
        <f>M4014+N4014</f>
        <v>2499.665379379854</v>
      </c>
      <c r="P4014" s="75">
        <f>(MIN(L4014,'THAM_SO_MOI'!$C$41)-O4014)/('THAM_SO_MOI'!$C$11*H4014)</f>
        <v>0.15057517340816373</v>
      </c>
      <c r="Q4014" s="75">
        <f>IF(P4014&gt;0,1/P4014,NA())</f>
        <v>6.641201051711909</v>
      </c>
      <c r="R4014" s="75">
        <f>F4014-F4013</f>
        <v>0.0073885545698715305</v>
      </c>
      <c r="S4014" s="75">
        <f>0.5*(Q4013+Q4014)*R4014</f>
        <v>0.04905127213779772</v>
      </c>
      <c r="T4014" s="75">
        <f>0.5*(F4013*Q4013+F4014*Q4014)*R4014</f>
        <v>1.0612133294243118</v>
      </c>
      <c r="U4014" s="76">
        <f>U4013+S4014</f>
        <v>57.99080882533474</v>
      </c>
      <c r="V4014" s="76">
        <f>V4013+T4014</f>
        <v>847.967819780254</v>
      </c>
    </row>
    <row r="4015" spans="1:22" ht="19" customHeight="1">
      <c r="A4015" s="68" t="s">
        <v>378</v>
      </c>
      <c r="B4015" s="74">
        <v>5</v>
      </c>
      <c r="C4015" s="68" t="s">
        <v>363</v>
      </c>
      <c r="D4015" s="68" t="s">
        <v>364</v>
      </c>
      <c r="E4015" s="75">
        <f>60*F4015*'THAM_SO_MOI'!$C$53/(2*PI()*'THAM_SO_MOI'!$C$26)</f>
        <v>2132.6866809678927</v>
      </c>
      <c r="F4015" s="75">
        <f>'HANH_TRINH'!$F$3289+('THAM_SO_MOI'!$C$14-'HANH_TRINH'!$F$3289)*725/'THAM_SO_MOI'!$C$42</f>
        <v>21.6458584072596</v>
      </c>
      <c r="G4015" s="75">
        <f>3.6*F4015</f>
        <v>77.92509026613456</v>
      </c>
      <c r="H4015" s="75">
        <f>'THAM_SO_MOI'!$D$53</f>
        <v>1.1</v>
      </c>
      <c r="I4015" s="75">
        <f>IF(F4015&gt;'THAM_SO_MOI'!$C$14,'THAM_SO_MOI'!$C$13*(1+F4015^2/1500),'THAM_SO_MOI'!$C$13)</f>
        <v>0.015</v>
      </c>
      <c r="J4015" s="75">
        <f>'THAM_SO_MOI'!$C$40*('THAM_SO_MOI'!$C$23*(E4015/'THAM_SO_MOI'!$C$22)+'THAM_SO_MOI'!$C$24*(E4015/'THAM_SO_MOI'!$C$22)^2-'THAM_SO_MOI'!$C$25*(E4015/'THAM_SO_MOI'!$C$22)^3)</f>
        <v>96.03208474076771</v>
      </c>
      <c r="K4015" s="75">
        <f>'THAM_SO_MOI'!$C$31*J4015/E4015</f>
        <v>430.07343592789755</v>
      </c>
      <c r="L4015" s="75">
        <f>K4015*'THAM_SO_MOI'!$C$53*'THAM_SO_MOI'!$C$17/'THAM_SO_MOI'!$C$26</f>
        <v>3771.745715951494</v>
      </c>
      <c r="M4015" s="75">
        <f>'THAM_SO_MOI'!$C$15*'THAM_SO_MOI'!$C$16*F4015^2</f>
        <v>1370.4888195973585</v>
      </c>
      <c r="N4015" s="75">
        <f>'THAM_SO_MOI'!$C$12*I4015</f>
        <v>1130.112</v>
      </c>
      <c r="O4015" s="75">
        <f>M4015+N4015</f>
        <v>2500.6008195973586</v>
      </c>
      <c r="P4015" s="75">
        <f>(MIN(L4015,'THAM_SO_MOI'!$C$41)-O4015)/('THAM_SO_MOI'!$C$11*H4015)</f>
        <v>0.15046696216313155</v>
      </c>
      <c r="Q4015" s="75">
        <f>IF(P4015&gt;0,1/P4015,NA())</f>
        <v>6.645977200734813</v>
      </c>
      <c r="R4015" s="75">
        <f>F4015-F4014</f>
        <v>0.007388554569875083</v>
      </c>
      <c r="S4015" s="75">
        <f>0.5*(Q4014+Q4015)*R4015</f>
        <v>0.04908652079893003</v>
      </c>
      <c r="T4015" s="75">
        <f>0.5*(F4014*Q4014+F4015*Q4015)*R4015</f>
        <v>1.0623386048832342</v>
      </c>
      <c r="U4015" s="76">
        <f>U4014+S4015</f>
        <v>58.03989534613367</v>
      </c>
      <c r="V4015" s="76">
        <f>V4014+T4015</f>
        <v>849.0301583851373</v>
      </c>
    </row>
    <row r="4016" spans="1:22" ht="19" customHeight="1">
      <c r="A4016" s="68" t="s">
        <v>378</v>
      </c>
      <c r="B4016" s="74">
        <v>5</v>
      </c>
      <c r="C4016" s="68" t="s">
        <v>363</v>
      </c>
      <c r="D4016" s="68" t="s">
        <v>364</v>
      </c>
      <c r="E4016" s="75">
        <f>60*F4016*'THAM_SO_MOI'!$C$53/(2*PI()*'THAM_SO_MOI'!$C$26)</f>
        <v>2133.4146480286713</v>
      </c>
      <c r="F4016" s="75">
        <f>'HANH_TRINH'!$F$3289+('THAM_SO_MOI'!$C$14-'HANH_TRINH'!$F$3289)*726/'THAM_SO_MOI'!$C$42</f>
        <v>21.65324696182947</v>
      </c>
      <c r="G4016" s="75">
        <f>3.6*F4016</f>
        <v>77.9516890625861</v>
      </c>
      <c r="H4016" s="75">
        <f>'THAM_SO_MOI'!$D$53</f>
        <v>1.1</v>
      </c>
      <c r="I4016" s="75">
        <f>IF(F4016&gt;'THAM_SO_MOI'!$C$14,'THAM_SO_MOI'!$C$13*(1+F4016^2/1500),'THAM_SO_MOI'!$C$13)</f>
        <v>0.015</v>
      </c>
      <c r="J4016" s="75">
        <f>'THAM_SO_MOI'!$C$40*('THAM_SO_MOI'!$C$23*(E4016/'THAM_SO_MOI'!$C$22)+'THAM_SO_MOI'!$C$24*(E4016/'THAM_SO_MOI'!$C$22)^2-'THAM_SO_MOI'!$C$25*(E4016/'THAM_SO_MOI'!$C$22)^3)</f>
        <v>96.06539443889814</v>
      </c>
      <c r="K4016" s="75">
        <f>'THAM_SO_MOI'!$C$31*J4016/E4016</f>
        <v>430.07581001333955</v>
      </c>
      <c r="L4016" s="75">
        <f>K4016*'THAM_SO_MOI'!$C$53*'THAM_SO_MOI'!$C$17/'THAM_SO_MOI'!$C$26</f>
        <v>3771.76653669011</v>
      </c>
      <c r="M4016" s="75">
        <f>'THAM_SO_MOI'!$C$15*'THAM_SO_MOI'!$C$16*F4016^2</f>
        <v>1371.4245791706835</v>
      </c>
      <c r="N4016" s="75">
        <f>'THAM_SO_MOI'!$C$12*I4016</f>
        <v>1130.112</v>
      </c>
      <c r="O4016" s="75">
        <f>M4016+N4016</f>
        <v>2501.5365791706836</v>
      </c>
      <c r="P4016" s="75">
        <f>(MIN(L4016,'THAM_SO_MOI'!$C$41)-O4016)/('THAM_SO_MOI'!$C$11*H4016)</f>
        <v>0.1503586597442503</v>
      </c>
      <c r="Q4016" s="75">
        <f>IF(P4016&gt;0,1/P4016,NA())</f>
        <v>6.650764257282759</v>
      </c>
      <c r="R4016" s="75">
        <f>F4016-F4015</f>
        <v>0.0073885545698715305</v>
      </c>
      <c r="S4016" s="75">
        <f>0.5*(Q4015+Q4016)*R4016</f>
        <v>0.04912184993201798</v>
      </c>
      <c r="T4016" s="75">
        <f>0.5*(F4015*Q4015+F4016*Q4016)*R4016</f>
        <v>1.063466143397752</v>
      </c>
      <c r="U4016" s="76">
        <f>U4015+S4016</f>
        <v>58.08901719606569</v>
      </c>
      <c r="V4016" s="76">
        <f>V4015+T4016</f>
        <v>850.093624528535</v>
      </c>
    </row>
    <row r="4017" spans="1:22" ht="19" customHeight="1">
      <c r="A4017" s="68" t="s">
        <v>378</v>
      </c>
      <c r="B4017" s="74">
        <v>5</v>
      </c>
      <c r="C4017" s="68" t="s">
        <v>363</v>
      </c>
      <c r="D4017" s="68" t="s">
        <v>364</v>
      </c>
      <c r="E4017" s="75">
        <f>60*F4017*'THAM_SO_MOI'!$C$53/(2*PI()*'THAM_SO_MOI'!$C$26)</f>
        <v>2134.142615089451</v>
      </c>
      <c r="F4017" s="75">
        <f>'HANH_TRINH'!$F$3289+('THAM_SO_MOI'!$C$14-'HANH_TRINH'!$F$3289)*727/'THAM_SO_MOI'!$C$42</f>
        <v>21.660635516399342</v>
      </c>
      <c r="G4017" s="75">
        <f>3.6*F4017</f>
        <v>77.97828785903764</v>
      </c>
      <c r="H4017" s="75">
        <f>'THAM_SO_MOI'!$D$53</f>
        <v>1.1</v>
      </c>
      <c r="I4017" s="75">
        <f>IF(F4017&gt;'THAM_SO_MOI'!$C$14,'THAM_SO_MOI'!$C$13*(1+F4017^2/1500),'THAM_SO_MOI'!$C$13)</f>
        <v>0.015</v>
      </c>
      <c r="J4017" s="75">
        <f>'THAM_SO_MOI'!$C$40*('THAM_SO_MOI'!$C$23*(E4017/'THAM_SO_MOI'!$C$22)+'THAM_SO_MOI'!$C$24*(E4017/'THAM_SO_MOI'!$C$22)^2-'THAM_SO_MOI'!$C$25*(E4017/'THAM_SO_MOI'!$C$22)^3)</f>
        <v>96.09869301125066</v>
      </c>
      <c r="K4017" s="75">
        <f>'THAM_SO_MOI'!$C$31*J4017/E4017</f>
        <v>430.07813268707605</v>
      </c>
      <c r="L4017" s="75">
        <f>K4017*'THAM_SO_MOI'!$C$53*'THAM_SO_MOI'!$C$17/'THAM_SO_MOI'!$C$26</f>
        <v>3771.7869065478667</v>
      </c>
      <c r="M4017" s="75">
        <f>'THAM_SO_MOI'!$C$15*'THAM_SO_MOI'!$C$16*F4017^2</f>
        <v>1372.3606580998294</v>
      </c>
      <c r="N4017" s="75">
        <f>'THAM_SO_MOI'!$C$12*I4017</f>
        <v>1130.112</v>
      </c>
      <c r="O4017" s="75">
        <f>M4017+N4017</f>
        <v>2502.4726580998295</v>
      </c>
      <c r="P4017" s="75">
        <f>(MIN(L4017,'THAM_SO_MOI'!$C$41)-O4017)/('THAM_SO_MOI'!$C$11*H4017)</f>
        <v>0.15025026615151957</v>
      </c>
      <c r="Q4017" s="75">
        <f>IF(P4017&gt;0,1/P4017,NA())</f>
        <v>6.655562253657188</v>
      </c>
      <c r="R4017" s="75">
        <f>F4017-F4016</f>
        <v>0.0073885545698715305</v>
      </c>
      <c r="S4017" s="75">
        <f>0.5*(Q4016+Q4017)*R4017</f>
        <v>0.04915725977530402</v>
      </c>
      <c r="T4017" s="75">
        <f>0.5*(F4016*Q4016+F4017*Q4017)*R4017</f>
        <v>1.064595951911183</v>
      </c>
      <c r="U4017" s="76">
        <f>U4016+S4017</f>
        <v>58.138174455840996</v>
      </c>
      <c r="V4017" s="76">
        <f>V4016+T4017</f>
        <v>851.1582204804462</v>
      </c>
    </row>
    <row r="4018" spans="1:22" ht="19" customHeight="1">
      <c r="A4018" s="68" t="s">
        <v>378</v>
      </c>
      <c r="B4018" s="74">
        <v>5</v>
      </c>
      <c r="C4018" s="68" t="s">
        <v>363</v>
      </c>
      <c r="D4018" s="68" t="s">
        <v>364</v>
      </c>
      <c r="E4018" s="75">
        <f>60*F4018*'THAM_SO_MOI'!$C$53/(2*PI()*'THAM_SO_MOI'!$C$26)</f>
        <v>2134.8705821502294</v>
      </c>
      <c r="F4018" s="75">
        <f>'HANH_TRINH'!$F$3289+('THAM_SO_MOI'!$C$14-'HANH_TRINH'!$F$3289)*728/'THAM_SO_MOI'!$C$42</f>
        <v>21.668024070969214</v>
      </c>
      <c r="G4018" s="75">
        <f>3.6*F4018</f>
        <v>78.00488665548917</v>
      </c>
      <c r="H4018" s="75">
        <f>'THAM_SO_MOI'!$D$53</f>
        <v>1.1</v>
      </c>
      <c r="I4018" s="75">
        <f>IF(F4018&gt;'THAM_SO_MOI'!$C$14,'THAM_SO_MOI'!$C$13*(1+F4018^2/1500),'THAM_SO_MOI'!$C$13)</f>
        <v>0.015</v>
      </c>
      <c r="J4018" s="75">
        <f>'THAM_SO_MOI'!$C$40*('THAM_SO_MOI'!$C$23*(E4018/'THAM_SO_MOI'!$C$22)+'THAM_SO_MOI'!$C$24*(E4018/'THAM_SO_MOI'!$C$22)^2-'THAM_SO_MOI'!$C$25*(E4018/'THAM_SO_MOI'!$C$22)^3)</f>
        <v>96.1319804460697</v>
      </c>
      <c r="K4018" s="75">
        <f>'THAM_SO_MOI'!$C$31*J4018/E4018</f>
        <v>430.08040394910705</v>
      </c>
      <c r="L4018" s="75">
        <f>K4018*'THAM_SO_MOI'!$C$53*'THAM_SO_MOI'!$C$17/'THAM_SO_MOI'!$C$26</f>
        <v>3771.8068255247667</v>
      </c>
      <c r="M4018" s="75">
        <f>'THAM_SO_MOI'!$C$15*'THAM_SO_MOI'!$C$16*F4018^2</f>
        <v>1373.2970563847964</v>
      </c>
      <c r="N4018" s="75">
        <f>'THAM_SO_MOI'!$C$12*I4018</f>
        <v>1130.112</v>
      </c>
      <c r="O4018" s="75">
        <f>M4018+N4018</f>
        <v>2503.4090563847967</v>
      </c>
      <c r="P4018" s="75">
        <f>(MIN(L4018,'THAM_SO_MOI'!$C$41)-O4018)/('THAM_SO_MOI'!$C$11*H4018)</f>
        <v>0.1501417813849397</v>
      </c>
      <c r="Q4018" s="75">
        <f>IF(P4018&gt;0,1/P4018,NA())</f>
        <v>6.660371222292606</v>
      </c>
      <c r="R4018" s="75">
        <f>F4018-F4017</f>
        <v>0.0073885545698715305</v>
      </c>
      <c r="S4018" s="75">
        <f>0.5*(Q4017+Q4018)*R4018</f>
        <v>0.049192750567917075</v>
      </c>
      <c r="T4018" s="75">
        <f>0.5*(F4017*Q4017+F4018*Q4018)*R4018</f>
        <v>1.0657280373930924</v>
      </c>
      <c r="U4018" s="76">
        <f>U4017+S4018</f>
        <v>58.187367206408915</v>
      </c>
      <c r="V4018" s="76">
        <f>V4017+T4018</f>
        <v>852.2239485178393</v>
      </c>
    </row>
    <row r="4019" spans="1:22" ht="19" customHeight="1">
      <c r="A4019" s="68" t="s">
        <v>378</v>
      </c>
      <c r="B4019" s="74">
        <v>5</v>
      </c>
      <c r="C4019" s="68" t="s">
        <v>363</v>
      </c>
      <c r="D4019" s="68" t="s">
        <v>364</v>
      </c>
      <c r="E4019" s="75">
        <f>60*F4019*'THAM_SO_MOI'!$C$53/(2*PI()*'THAM_SO_MOI'!$C$26)</f>
        <v>2135.598549211008</v>
      </c>
      <c r="F4019" s="75">
        <f>'HANH_TRINH'!$F$3289+('THAM_SO_MOI'!$C$14-'HANH_TRINH'!$F$3289)*729/'THAM_SO_MOI'!$C$42</f>
        <v>21.675412625539085</v>
      </c>
      <c r="G4019" s="75">
        <f>3.6*F4019</f>
        <v>78.03148545194071</v>
      </c>
      <c r="H4019" s="75">
        <f>'THAM_SO_MOI'!$D$53</f>
        <v>1.1</v>
      </c>
      <c r="I4019" s="75">
        <f>IF(F4019&gt;'THAM_SO_MOI'!$C$14,'THAM_SO_MOI'!$C$13*(1+F4019^2/1500),'THAM_SO_MOI'!$C$13)</f>
        <v>0.015</v>
      </c>
      <c r="J4019" s="75">
        <f>'THAM_SO_MOI'!$C$40*('THAM_SO_MOI'!$C$23*(E4019/'THAM_SO_MOI'!$C$22)+'THAM_SO_MOI'!$C$24*(E4019/'THAM_SO_MOI'!$C$22)^2-'THAM_SO_MOI'!$C$25*(E4019/'THAM_SO_MOI'!$C$22)^3)</f>
        <v>96.16525673159981</v>
      </c>
      <c r="K4019" s="75">
        <f>'THAM_SO_MOI'!$C$31*J4019/E4019</f>
        <v>430.0826237994328</v>
      </c>
      <c r="L4019" s="75">
        <f>K4019*'THAM_SO_MOI'!$C$53*'THAM_SO_MOI'!$C$17/'THAM_SO_MOI'!$C$26</f>
        <v>3771.8262936208093</v>
      </c>
      <c r="M4019" s="75">
        <f>'THAM_SO_MOI'!$C$15*'THAM_SO_MOI'!$C$16*F4019^2</f>
        <v>1374.2337740255841</v>
      </c>
      <c r="N4019" s="75">
        <f>'THAM_SO_MOI'!$C$12*I4019</f>
        <v>1130.112</v>
      </c>
      <c r="O4019" s="75">
        <f>M4019+N4019</f>
        <v>2504.3457740255844</v>
      </c>
      <c r="P4019" s="75">
        <f>(MIN(L4019,'THAM_SO_MOI'!$C$41)-O4019)/('THAM_SO_MOI'!$C$11*H4019)</f>
        <v>0.15003320544451051</v>
      </c>
      <c r="Q4019" s="75">
        <f>IF(P4019&gt;0,1/P4019,NA())</f>
        <v>6.665191195757315</v>
      </c>
      <c r="R4019" s="75">
        <f>F4019-F4018</f>
        <v>0.0073885545698715305</v>
      </c>
      <c r="S4019" s="75">
        <f>0.5*(Q4018+Q4019)*R4019</f>
        <v>0.04922832254999553</v>
      </c>
      <c r="T4019" s="75">
        <f>0.5*(F4018*Q4018+F4019*Q4019)*R4019</f>
        <v>1.0668624068419899</v>
      </c>
      <c r="U4019" s="76">
        <f>U4018+S4019</f>
        <v>58.23659552895891</v>
      </c>
      <c r="V4019" s="76">
        <f>V4018+T4019</f>
        <v>853.2908109246813</v>
      </c>
    </row>
    <row r="4020" spans="1:22" ht="19" customHeight="1">
      <c r="A4020" s="68" t="s">
        <v>378</v>
      </c>
      <c r="B4020" s="74">
        <v>5</v>
      </c>
      <c r="C4020" s="68" t="s">
        <v>363</v>
      </c>
      <c r="D4020" s="68" t="s">
        <v>364</v>
      </c>
      <c r="E4020" s="75">
        <f>60*F4020*'THAM_SO_MOI'!$C$53/(2*PI()*'THAM_SO_MOI'!$C$26)</f>
        <v>2136.3265162717876</v>
      </c>
      <c r="F4020" s="75">
        <f>'HANH_TRINH'!$F$3289+('THAM_SO_MOI'!$C$14-'HANH_TRINH'!$F$3289)*730/'THAM_SO_MOI'!$C$42</f>
        <v>21.68280118010896</v>
      </c>
      <c r="G4020" s="75">
        <f>3.6*F4020</f>
        <v>78.05808424839226</v>
      </c>
      <c r="H4020" s="75">
        <f>'THAM_SO_MOI'!$D$53</f>
        <v>1.1</v>
      </c>
      <c r="I4020" s="75">
        <f>IF(F4020&gt;'THAM_SO_MOI'!$C$14,'THAM_SO_MOI'!$C$13*(1+F4020^2/1500),'THAM_SO_MOI'!$C$13)</f>
        <v>0.015</v>
      </c>
      <c r="J4020" s="75">
        <f>'THAM_SO_MOI'!$C$40*('THAM_SO_MOI'!$C$23*(E4020/'THAM_SO_MOI'!$C$22)+'THAM_SO_MOI'!$C$24*(E4020/'THAM_SO_MOI'!$C$22)^2-'THAM_SO_MOI'!$C$25*(E4020/'THAM_SO_MOI'!$C$22)^3)</f>
        <v>96.19852185608548</v>
      </c>
      <c r="K4020" s="75">
        <f>'THAM_SO_MOI'!$C$31*J4020/E4020</f>
        <v>430.084792238053</v>
      </c>
      <c r="L4020" s="75">
        <f>K4020*'THAM_SO_MOI'!$C$53*'THAM_SO_MOI'!$C$17/'THAM_SO_MOI'!$C$26</f>
        <v>3771.845310835994</v>
      </c>
      <c r="M4020" s="75">
        <f>'THAM_SO_MOI'!$C$15*'THAM_SO_MOI'!$C$16*F4020^2</f>
        <v>1375.1708110221937</v>
      </c>
      <c r="N4020" s="75">
        <f>'THAM_SO_MOI'!$C$12*I4020</f>
        <v>1130.112</v>
      </c>
      <c r="O4020" s="75">
        <f>M4020+N4020</f>
        <v>2505.2828110221935</v>
      </c>
      <c r="P4020" s="75">
        <f>(MIN(L4020,'THAM_SO_MOI'!$C$41)-O4020)/('THAM_SO_MOI'!$C$11*H4020)</f>
        <v>0.149924538330232</v>
      </c>
      <c r="Q4020" s="75">
        <f>IF(P4020&gt;0,1/P4020,NA())</f>
        <v>6.6700222067540755</v>
      </c>
      <c r="R4020" s="75">
        <f>F4020-F4019</f>
        <v>0.007388554569875083</v>
      </c>
      <c r="S4020" s="75">
        <f>0.5*(Q4019+Q4020)*R4020</f>
        <v>0.0492639759626925</v>
      </c>
      <c r="T4020" s="75">
        <f>0.5*(F4019*Q4019+F4020*Q4020)*R4020</f>
        <v>1.0679990672854784</v>
      </c>
      <c r="U4020" s="76">
        <f>U4019+S4020</f>
        <v>58.2858595049216</v>
      </c>
      <c r="V4020" s="76">
        <f>V4019+T4020</f>
        <v>854.3588099919667</v>
      </c>
    </row>
    <row r="4021" spans="1:22" ht="19" customHeight="1">
      <c r="A4021" s="68" t="s">
        <v>378</v>
      </c>
      <c r="B4021" s="74">
        <v>5</v>
      </c>
      <c r="C4021" s="68" t="s">
        <v>363</v>
      </c>
      <c r="D4021" s="68" t="s">
        <v>364</v>
      </c>
      <c r="E4021" s="75">
        <f>60*F4021*'THAM_SO_MOI'!$C$53/(2*PI()*'THAM_SO_MOI'!$C$26)</f>
        <v>2137.0544833325666</v>
      </c>
      <c r="F4021" s="75">
        <f>'HANH_TRINH'!$F$3289+('THAM_SO_MOI'!$C$14-'HANH_TRINH'!$F$3289)*731/'THAM_SO_MOI'!$C$42</f>
        <v>21.69018973467883</v>
      </c>
      <c r="G4021" s="75">
        <f>3.6*F4021</f>
        <v>78.0846830448438</v>
      </c>
      <c r="H4021" s="75">
        <f>'THAM_SO_MOI'!$D$53</f>
        <v>1.1</v>
      </c>
      <c r="I4021" s="75">
        <f>IF(F4021&gt;'THAM_SO_MOI'!$C$14,'THAM_SO_MOI'!$C$13*(1+F4021^2/1500),'THAM_SO_MOI'!$C$13)</f>
        <v>0.015</v>
      </c>
      <c r="J4021" s="75">
        <f>'THAM_SO_MOI'!$C$40*('THAM_SO_MOI'!$C$23*(E4021/'THAM_SO_MOI'!$C$22)+'THAM_SO_MOI'!$C$24*(E4021/'THAM_SO_MOI'!$C$22)^2-'THAM_SO_MOI'!$C$25*(E4021/'THAM_SO_MOI'!$C$22)^3)</f>
        <v>96.23177580777114</v>
      </c>
      <c r="K4021" s="75">
        <f>'THAM_SO_MOI'!$C$31*J4021/E4021</f>
        <v>430.08690926496786</v>
      </c>
      <c r="L4021" s="75">
        <f>K4021*'THAM_SO_MOI'!$C$53*'THAM_SO_MOI'!$C$17/'THAM_SO_MOI'!$C$26</f>
        <v>3771.8638771703213</v>
      </c>
      <c r="M4021" s="75">
        <f>'THAM_SO_MOI'!$C$15*'THAM_SO_MOI'!$C$16*F4021^2</f>
        <v>1376.1081673746237</v>
      </c>
      <c r="N4021" s="75">
        <f>'THAM_SO_MOI'!$C$12*I4021</f>
        <v>1130.112</v>
      </c>
      <c r="O4021" s="75">
        <f>M4021+N4021</f>
        <v>2506.220167374624</v>
      </c>
      <c r="P4021" s="75">
        <f>(MIN(L4021,'THAM_SO_MOI'!$C$41)-O4021)/('THAM_SO_MOI'!$C$11*H4021)</f>
        <v>0.14981578004210439</v>
      </c>
      <c r="Q4021" s="75">
        <f>IF(P4021&gt;0,1/P4021,NA())</f>
        <v>6.674864288120777</v>
      </c>
      <c r="R4021" s="75">
        <f>F4021-F4020</f>
        <v>0.0073885545698715305</v>
      </c>
      <c r="S4021" s="75">
        <f>0.5*(Q4020+Q4021)*R4021</f>
        <v>0.04929971104806223</v>
      </c>
      <c r="T4021" s="75">
        <f>0.5*(F4020*Q4020+F4021*Q4021)*R4021</f>
        <v>1.069138025777833</v>
      </c>
      <c r="U4021" s="76">
        <f>U4020+S4021</f>
        <v>58.33515921596967</v>
      </c>
      <c r="V4021" s="76">
        <f>V4020+T4021</f>
        <v>855.4279480177446</v>
      </c>
    </row>
    <row r="4022" spans="1:22" ht="19" customHeight="1">
      <c r="A4022" s="68" t="s">
        <v>378</v>
      </c>
      <c r="B4022" s="74">
        <v>5</v>
      </c>
      <c r="C4022" s="68" t="s">
        <v>363</v>
      </c>
      <c r="D4022" s="68" t="s">
        <v>364</v>
      </c>
      <c r="E4022" s="75">
        <f>60*F4022*'THAM_SO_MOI'!$C$53/(2*PI()*'THAM_SO_MOI'!$C$26)</f>
        <v>2137.7824503933457</v>
      </c>
      <c r="F4022" s="75">
        <f>'HANH_TRINH'!$F$3289+('THAM_SO_MOI'!$C$14-'HANH_TRINH'!$F$3289)*732/'THAM_SO_MOI'!$C$42</f>
        <v>21.697578289248703</v>
      </c>
      <c r="G4022" s="75">
        <f>3.6*F4022</f>
        <v>78.11128184129534</v>
      </c>
      <c r="H4022" s="75">
        <f>'THAM_SO_MOI'!$D$53</f>
        <v>1.1</v>
      </c>
      <c r="I4022" s="75">
        <f>IF(F4022&gt;'THAM_SO_MOI'!$C$14,'THAM_SO_MOI'!$C$13*(1+F4022^2/1500),'THAM_SO_MOI'!$C$13)</f>
        <v>0.015</v>
      </c>
      <c r="J4022" s="75">
        <f>'THAM_SO_MOI'!$C$40*('THAM_SO_MOI'!$C$23*(E4022/'THAM_SO_MOI'!$C$22)+'THAM_SO_MOI'!$C$24*(E4022/'THAM_SO_MOI'!$C$22)^2-'THAM_SO_MOI'!$C$25*(E4022/'THAM_SO_MOI'!$C$22)^3)</f>
        <v>96.26501857490129</v>
      </c>
      <c r="K4022" s="75">
        <f>'THAM_SO_MOI'!$C$31*J4022/E4022</f>
        <v>430.08897488017715</v>
      </c>
      <c r="L4022" s="75">
        <f>K4022*'THAM_SO_MOI'!$C$53*'THAM_SO_MOI'!$C$17/'THAM_SO_MOI'!$C$26</f>
        <v>3771.8819926237893</v>
      </c>
      <c r="M4022" s="75">
        <f>'THAM_SO_MOI'!$C$15*'THAM_SO_MOI'!$C$16*F4022^2</f>
        <v>1377.0458430828744</v>
      </c>
      <c r="N4022" s="75">
        <f>'THAM_SO_MOI'!$C$12*I4022</f>
        <v>1130.112</v>
      </c>
      <c r="O4022" s="75">
        <f>M4022+N4022</f>
        <v>2507.1578430828745</v>
      </c>
      <c r="P4022" s="75">
        <f>(MIN(L4022,'THAM_SO_MOI'!$C$41)-O4022)/('THAM_SO_MOI'!$C$11*H4022)</f>
        <v>0.14970693058012724</v>
      </c>
      <c r="Q4022" s="75">
        <f>IF(P4022&gt;0,1/P4022,NA())</f>
        <v>6.679717472831177</v>
      </c>
      <c r="R4022" s="75">
        <f>F4022-F4021</f>
        <v>0.0073885545698715305</v>
      </c>
      <c r="S4022" s="75">
        <f>0.5*(Q4021+Q4022)*R4022</f>
        <v>0.04933552804930228</v>
      </c>
      <c r="T4022" s="75">
        <f>0.5*(F4021*Q4021+F4022*Q4022)*R4022</f>
        <v>1.070279289405283</v>
      </c>
      <c r="U4022" s="76">
        <f>U4021+S4022</f>
        <v>58.38449474401897</v>
      </c>
      <c r="V4022" s="76">
        <f>V4021+T4022</f>
        <v>856.4982273071499</v>
      </c>
    </row>
    <row r="4023" spans="1:22" ht="19" customHeight="1">
      <c r="A4023" s="68" t="s">
        <v>378</v>
      </c>
      <c r="B4023" s="74">
        <v>5</v>
      </c>
      <c r="C4023" s="68" t="s">
        <v>363</v>
      </c>
      <c r="D4023" s="68" t="s">
        <v>364</v>
      </c>
      <c r="E4023" s="75">
        <f>60*F4023*'THAM_SO_MOI'!$C$53/(2*PI()*'THAM_SO_MOI'!$C$26)</f>
        <v>2138.5104174541243</v>
      </c>
      <c r="F4023" s="75">
        <f>'HANH_TRINH'!$F$3289+('THAM_SO_MOI'!$C$14-'HANH_TRINH'!$F$3289)*733/'THAM_SO_MOI'!$C$42</f>
        <v>21.704966843818575</v>
      </c>
      <c r="G4023" s="75">
        <f>3.6*F4023</f>
        <v>78.13788063774687</v>
      </c>
      <c r="H4023" s="75">
        <f>'THAM_SO_MOI'!$D$53</f>
        <v>1.1</v>
      </c>
      <c r="I4023" s="75">
        <f>IF(F4023&gt;'THAM_SO_MOI'!$C$14,'THAM_SO_MOI'!$C$13*(1+F4023^2/1500),'THAM_SO_MOI'!$C$13)</f>
        <v>0.015</v>
      </c>
      <c r="J4023" s="75">
        <f>'THAM_SO_MOI'!$C$40*('THAM_SO_MOI'!$C$23*(E4023/'THAM_SO_MOI'!$C$22)+'THAM_SO_MOI'!$C$24*(E4023/'THAM_SO_MOI'!$C$22)^2-'THAM_SO_MOI'!$C$25*(E4023/'THAM_SO_MOI'!$C$22)^3)</f>
        <v>96.29825014572043</v>
      </c>
      <c r="K4023" s="75">
        <f>'THAM_SO_MOI'!$C$31*J4023/E4023</f>
        <v>430.09098908368117</v>
      </c>
      <c r="L4023" s="75">
        <f>K4023*'THAM_SO_MOI'!$C$53*'THAM_SO_MOI'!$C$17/'THAM_SO_MOI'!$C$26</f>
        <v>3771.899657196401</v>
      </c>
      <c r="M4023" s="75">
        <f>'THAM_SO_MOI'!$C$15*'THAM_SO_MOI'!$C$16*F4023^2</f>
        <v>1377.9838381469465</v>
      </c>
      <c r="N4023" s="75">
        <f>'THAM_SO_MOI'!$C$12*I4023</f>
        <v>1130.112</v>
      </c>
      <c r="O4023" s="75">
        <f>M4023+N4023</f>
        <v>2508.0958381469463</v>
      </c>
      <c r="P4023" s="75">
        <f>(MIN(L4023,'THAM_SO_MOI'!$C$41)-O4023)/('THAM_SO_MOI'!$C$11*H4023)</f>
        <v>0.14959798994430096</v>
      </c>
      <c r="Q4023" s="75">
        <f>IF(P4023&gt;0,1/P4023,NA())</f>
        <v>6.684581793995526</v>
      </c>
      <c r="R4023" s="75">
        <f>F4023-F4022</f>
        <v>0.0073885545698715305</v>
      </c>
      <c r="S4023" s="75">
        <f>0.5*(Q4022+Q4023)*R4023</f>
        <v>0.04937142721052159</v>
      </c>
      <c r="T4023" s="75">
        <f>0.5*(F4022*Q4022+F4023*Q4023)*R4023</f>
        <v>1.0714228652810258</v>
      </c>
      <c r="U4023" s="76">
        <f>U4022+S4023</f>
        <v>58.433866171229496</v>
      </c>
      <c r="V4023" s="76">
        <f>V4022+T4023</f>
        <v>857.569650172431</v>
      </c>
    </row>
    <row r="4024" spans="1:22" ht="19" customHeight="1">
      <c r="A4024" s="68" t="s">
        <v>378</v>
      </c>
      <c r="B4024" s="74">
        <v>5</v>
      </c>
      <c r="C4024" s="68" t="s">
        <v>363</v>
      </c>
      <c r="D4024" s="68" t="s">
        <v>364</v>
      </c>
      <c r="E4024" s="75">
        <f>60*F4024*'THAM_SO_MOI'!$C$53/(2*PI()*'THAM_SO_MOI'!$C$26)</f>
        <v>2139.238384514903</v>
      </c>
      <c r="F4024" s="75">
        <f>'HANH_TRINH'!$F$3289+('THAM_SO_MOI'!$C$14-'HANH_TRINH'!$F$3289)*734/'THAM_SO_MOI'!$C$42</f>
        <v>21.712355398388446</v>
      </c>
      <c r="G4024" s="75">
        <f>3.6*F4024</f>
        <v>78.16447943419841</v>
      </c>
      <c r="H4024" s="75">
        <f>'THAM_SO_MOI'!$D$53</f>
        <v>1.1</v>
      </c>
      <c r="I4024" s="75">
        <f>IF(F4024&gt;'THAM_SO_MOI'!$C$14,'THAM_SO_MOI'!$C$13*(1+F4024^2/1500),'THAM_SO_MOI'!$C$13)</f>
        <v>0.015</v>
      </c>
      <c r="J4024" s="75">
        <f>'THAM_SO_MOI'!$C$40*('THAM_SO_MOI'!$C$23*(E4024/'THAM_SO_MOI'!$C$22)+'THAM_SO_MOI'!$C$24*(E4024/'THAM_SO_MOI'!$C$22)^2-'THAM_SO_MOI'!$C$25*(E4024/'THAM_SO_MOI'!$C$22)^3)</f>
        <v>96.33147050847303</v>
      </c>
      <c r="K4024" s="75">
        <f>'THAM_SO_MOI'!$C$31*J4024/E4024</f>
        <v>430.09295187547974</v>
      </c>
      <c r="L4024" s="75">
        <f>K4024*'THAM_SO_MOI'!$C$53*'THAM_SO_MOI'!$C$17/'THAM_SO_MOI'!$C$26</f>
        <v>3771.916870888155</v>
      </c>
      <c r="M4024" s="75">
        <f>'THAM_SO_MOI'!$C$15*'THAM_SO_MOI'!$C$16*F4024^2</f>
        <v>1378.9221525668393</v>
      </c>
      <c r="N4024" s="75">
        <f>'THAM_SO_MOI'!$C$12*I4024</f>
        <v>1130.112</v>
      </c>
      <c r="O4024" s="75">
        <f>M4024+N4024</f>
        <v>2509.034152566839</v>
      </c>
      <c r="P4024" s="75">
        <f>(MIN(L4024,'THAM_SO_MOI'!$C$41)-O4024)/('THAM_SO_MOI'!$C$11*H4024)</f>
        <v>0.14948895813462537</v>
      </c>
      <c r="Q4024" s="75">
        <f>IF(P4024&gt;0,1/P4024,NA())</f>
        <v>6.689457284861329</v>
      </c>
      <c r="R4024" s="75">
        <f>F4024-F4023</f>
        <v>0.0073885545698715305</v>
      </c>
      <c r="S4024" s="75">
        <f>0.5*(Q4023+Q4024)*R4024</f>
        <v>0.04940740877686413</v>
      </c>
      <c r="T4024" s="75">
        <f>0.5*(F4023*Q4023+F4024*Q4024)*R4024</f>
        <v>1.0725687605479404</v>
      </c>
      <c r="U4024" s="76">
        <f>U4023+S4024</f>
        <v>58.48327358000636</v>
      </c>
      <c r="V4024" s="76">
        <f>V4023+T4024</f>
        <v>858.642218932979</v>
      </c>
    </row>
    <row r="4025" spans="1:22" ht="19" customHeight="1">
      <c r="A4025" s="68" t="s">
        <v>378</v>
      </c>
      <c r="B4025" s="74">
        <v>5</v>
      </c>
      <c r="C4025" s="68" t="s">
        <v>363</v>
      </c>
      <c r="D4025" s="68" t="s">
        <v>364</v>
      </c>
      <c r="E4025" s="75">
        <f>60*F4025*'THAM_SO_MOI'!$C$53/(2*PI()*'THAM_SO_MOI'!$C$26)</f>
        <v>2139.9663515756824</v>
      </c>
      <c r="F4025" s="75">
        <f>'HANH_TRINH'!$F$3289+('THAM_SO_MOI'!$C$14-'HANH_TRINH'!$F$3289)*735/'THAM_SO_MOI'!$C$42</f>
        <v>21.719743952958318</v>
      </c>
      <c r="G4025" s="75">
        <f>3.6*F4025</f>
        <v>78.19107823064995</v>
      </c>
      <c r="H4025" s="75">
        <f>'THAM_SO_MOI'!$D$53</f>
        <v>1.1</v>
      </c>
      <c r="I4025" s="75">
        <f>IF(F4025&gt;'THAM_SO_MOI'!$C$14,'THAM_SO_MOI'!$C$13*(1+F4025^2/1500),'THAM_SO_MOI'!$C$13)</f>
        <v>0.015</v>
      </c>
      <c r="J4025" s="75">
        <f>'THAM_SO_MOI'!$C$40*('THAM_SO_MOI'!$C$23*(E4025/'THAM_SO_MOI'!$C$22)+'THAM_SO_MOI'!$C$24*(E4025/'THAM_SO_MOI'!$C$22)^2-'THAM_SO_MOI'!$C$25*(E4025/'THAM_SO_MOI'!$C$22)^3)</f>
        <v>96.3646796514036</v>
      </c>
      <c r="K4025" s="75">
        <f>'THAM_SO_MOI'!$C$31*J4025/E4025</f>
        <v>430.09486325557276</v>
      </c>
      <c r="L4025" s="75">
        <f>K4025*'THAM_SO_MOI'!$C$53*'THAM_SO_MOI'!$C$17/'THAM_SO_MOI'!$C$26</f>
        <v>3771.933633699049</v>
      </c>
      <c r="M4025" s="75">
        <f>'THAM_SO_MOI'!$C$15*'THAM_SO_MOI'!$C$16*F4025^2</f>
        <v>1379.8607863425532</v>
      </c>
      <c r="N4025" s="75">
        <f>'THAM_SO_MOI'!$C$12*I4025</f>
        <v>1130.112</v>
      </c>
      <c r="O4025" s="75">
        <f>M4025+N4025</f>
        <v>2509.9727863425533</v>
      </c>
      <c r="P4025" s="75">
        <f>(MIN(L4025,'THAM_SO_MOI'!$C$41)-O4025)/('THAM_SO_MOI'!$C$11*H4025)</f>
        <v>0.14937983515110037</v>
      </c>
      <c r="Q4025" s="75">
        <f>IF(P4025&gt;0,1/P4025,NA())</f>
        <v>6.694343978814023</v>
      </c>
      <c r="R4025" s="75">
        <f>F4025-F4024</f>
        <v>0.0073885545698715305</v>
      </c>
      <c r="S4025" s="75">
        <f>0.5*(Q4024+Q4025)*R4025</f>
        <v>0.049443472994490444</v>
      </c>
      <c r="T4025" s="75">
        <f>0.5*(F4024*Q4024+F4025*Q4025)*R4025</f>
        <v>1.0737169823782278</v>
      </c>
      <c r="U4025" s="76">
        <f>U4024+S4025</f>
        <v>58.53271705300085</v>
      </c>
      <c r="V4025" s="76">
        <f>V4024+T4025</f>
        <v>859.7159359153571</v>
      </c>
    </row>
    <row r="4026" spans="1:22" ht="19" customHeight="1">
      <c r="A4026" s="68" t="s">
        <v>378</v>
      </c>
      <c r="B4026" s="74">
        <v>5</v>
      </c>
      <c r="C4026" s="68" t="s">
        <v>363</v>
      </c>
      <c r="D4026" s="68" t="s">
        <v>364</v>
      </c>
      <c r="E4026" s="75">
        <f>60*F4026*'THAM_SO_MOI'!$C$53/(2*PI()*'THAM_SO_MOI'!$C$26)</f>
        <v>2140.694318636461</v>
      </c>
      <c r="F4026" s="75">
        <f>'HANH_TRINH'!$F$3289+('THAM_SO_MOI'!$C$14-'HANH_TRINH'!$F$3289)*736/'THAM_SO_MOI'!$C$42</f>
        <v>21.72713250752819</v>
      </c>
      <c r="G4026" s="75">
        <f>3.6*F4026</f>
        <v>78.21767702710149</v>
      </c>
      <c r="H4026" s="75">
        <f>'THAM_SO_MOI'!$D$53</f>
        <v>1.1</v>
      </c>
      <c r="I4026" s="75">
        <f>IF(F4026&gt;'THAM_SO_MOI'!$C$14,'THAM_SO_MOI'!$C$13*(1+F4026^2/1500),'THAM_SO_MOI'!$C$13)</f>
        <v>0.015</v>
      </c>
      <c r="J4026" s="75">
        <f>'THAM_SO_MOI'!$C$40*('THAM_SO_MOI'!$C$23*(E4026/'THAM_SO_MOI'!$C$22)+'THAM_SO_MOI'!$C$24*(E4026/'THAM_SO_MOI'!$C$22)^2-'THAM_SO_MOI'!$C$25*(E4026/'THAM_SO_MOI'!$C$22)^3)</f>
        <v>96.39787756275658</v>
      </c>
      <c r="K4026" s="75">
        <f>'THAM_SO_MOI'!$C$31*J4026/E4026</f>
        <v>430.0967232239604</v>
      </c>
      <c r="L4026" s="75">
        <f>K4026*'THAM_SO_MOI'!$C$53*'THAM_SO_MOI'!$C$17/'THAM_SO_MOI'!$C$26</f>
        <v>3771.9499456290873</v>
      </c>
      <c r="M4026" s="75">
        <f>'THAM_SO_MOI'!$C$15*'THAM_SO_MOI'!$C$16*F4026^2</f>
        <v>1380.799739474088</v>
      </c>
      <c r="N4026" s="75">
        <f>'THAM_SO_MOI'!$C$12*I4026</f>
        <v>1130.112</v>
      </c>
      <c r="O4026" s="75">
        <f>M4026+N4026</f>
        <v>2510.911739474088</v>
      </c>
      <c r="P4026" s="75">
        <f>(MIN(L4026,'THAM_SO_MOI'!$C$41)-O4026)/('THAM_SO_MOI'!$C$11*H4026)</f>
        <v>0.1492706209937262</v>
      </c>
      <c r="Q4026" s="75">
        <f>IF(P4026&gt;0,1/P4026,NA())</f>
        <v>6.6992419093776645</v>
      </c>
      <c r="R4026" s="75">
        <f>F4026-F4025</f>
        <v>0.0073885545698715305</v>
      </c>
      <c r="S4026" s="75">
        <f>0.5*(Q4025+Q4026)*R4026</f>
        <v>0.04947962011058277</v>
      </c>
      <c r="T4026" s="75">
        <f>0.5*(F4025*Q4025+F4026*Q4026)*R4026</f>
        <v>1.0748675379735584</v>
      </c>
      <c r="U4026" s="76">
        <f>U4025+S4026</f>
        <v>58.58219667311143</v>
      </c>
      <c r="V4026" s="76">
        <f>V4025+T4026</f>
        <v>860.7908034533307</v>
      </c>
    </row>
    <row r="4027" spans="1:22" ht="19" customHeight="1">
      <c r="A4027" s="68" t="s">
        <v>378</v>
      </c>
      <c r="B4027" s="74">
        <v>5</v>
      </c>
      <c r="C4027" s="68" t="s">
        <v>363</v>
      </c>
      <c r="D4027" s="68" t="s">
        <v>364</v>
      </c>
      <c r="E4027" s="75">
        <f>60*F4027*'THAM_SO_MOI'!$C$53/(2*PI()*'THAM_SO_MOI'!$C$26)</f>
        <v>2141.42228569724</v>
      </c>
      <c r="F4027" s="75">
        <f>'HANH_TRINH'!$F$3289+('THAM_SO_MOI'!$C$14-'HANH_TRINH'!$F$3289)*737/'THAM_SO_MOI'!$C$42</f>
        <v>21.73452106209806</v>
      </c>
      <c r="G4027" s="75">
        <f>3.6*F4027</f>
        <v>78.24427582355302</v>
      </c>
      <c r="H4027" s="75">
        <f>'THAM_SO_MOI'!$D$53</f>
        <v>1.1</v>
      </c>
      <c r="I4027" s="75">
        <f>IF(F4027&gt;'THAM_SO_MOI'!$C$14,'THAM_SO_MOI'!$C$13*(1+F4027^2/1500),'THAM_SO_MOI'!$C$13)</f>
        <v>0.015</v>
      </c>
      <c r="J4027" s="75">
        <f>'THAM_SO_MOI'!$C$40*('THAM_SO_MOI'!$C$23*(E4027/'THAM_SO_MOI'!$C$22)+'THAM_SO_MOI'!$C$24*(E4027/'THAM_SO_MOI'!$C$22)^2-'THAM_SO_MOI'!$C$25*(E4027/'THAM_SO_MOI'!$C$22)^3)</f>
        <v>96.43106423077647</v>
      </c>
      <c r="K4027" s="75">
        <f>'THAM_SO_MOI'!$C$31*J4027/E4027</f>
        <v>430.0985317806425</v>
      </c>
      <c r="L4027" s="75">
        <f>K4027*'THAM_SO_MOI'!$C$53*'THAM_SO_MOI'!$C$17/'THAM_SO_MOI'!$C$26</f>
        <v>3771.965806678266</v>
      </c>
      <c r="M4027" s="75">
        <f>'THAM_SO_MOI'!$C$15*'THAM_SO_MOI'!$C$16*F4027^2</f>
        <v>1381.739011961444</v>
      </c>
      <c r="N4027" s="75">
        <f>'THAM_SO_MOI'!$C$12*I4027</f>
        <v>1130.112</v>
      </c>
      <c r="O4027" s="75">
        <f>M4027+N4027</f>
        <v>2511.851011961444</v>
      </c>
      <c r="P4027" s="75">
        <f>(MIN(L4027,'THAM_SO_MOI'!$C$41)-O4027)/('THAM_SO_MOI'!$C$11*H4027)</f>
        <v>0.1491613156625026</v>
      </c>
      <c r="Q4027" s="75">
        <f>IF(P4027&gt;0,1/P4027,NA())</f>
        <v>6.704151110215691</v>
      </c>
      <c r="R4027" s="75">
        <f>F4027-F4026</f>
        <v>0.0073885545698715305</v>
      </c>
      <c r="S4027" s="75">
        <f>0.5*(Q4026+Q4027)*R4027</f>
        <v>0.04951585037335033</v>
      </c>
      <c r="T4027" s="75">
        <f>0.5*(F4026*Q4026+F4027*Q4027)*R4027</f>
        <v>1.0760204345652253</v>
      </c>
      <c r="U4027" s="76">
        <f>U4026+S4027</f>
        <v>58.63171252348479</v>
      </c>
      <c r="V4027" s="76">
        <f>V4026+T4027</f>
        <v>861.8668238878959</v>
      </c>
    </row>
    <row r="4028" spans="1:22" ht="19" customHeight="1">
      <c r="A4028" s="68" t="s">
        <v>378</v>
      </c>
      <c r="B4028" s="74">
        <v>5</v>
      </c>
      <c r="C4028" s="68" t="s">
        <v>363</v>
      </c>
      <c r="D4028" s="68" t="s">
        <v>364</v>
      </c>
      <c r="E4028" s="75">
        <f>60*F4028*'THAM_SO_MOI'!$C$53/(2*PI()*'THAM_SO_MOI'!$C$26)</f>
        <v>2142.1502527580187</v>
      </c>
      <c r="F4028" s="75">
        <f>'HANH_TRINH'!$F$3289+('THAM_SO_MOI'!$C$14-'HANH_TRINH'!$F$3289)*738/'THAM_SO_MOI'!$C$42</f>
        <v>21.741909616667932</v>
      </c>
      <c r="G4028" s="75">
        <f>3.6*F4028</f>
        <v>78.27087462000456</v>
      </c>
      <c r="H4028" s="75">
        <f>'THAM_SO_MOI'!$D$53</f>
        <v>1.1</v>
      </c>
      <c r="I4028" s="75">
        <f>IF(F4028&gt;'THAM_SO_MOI'!$C$14,'THAM_SO_MOI'!$C$13*(1+F4028^2/1500),'THAM_SO_MOI'!$C$13)</f>
        <v>0.015</v>
      </c>
      <c r="J4028" s="75">
        <f>'THAM_SO_MOI'!$C$40*('THAM_SO_MOI'!$C$23*(E4028/'THAM_SO_MOI'!$C$22)+'THAM_SO_MOI'!$C$24*(E4028/'THAM_SO_MOI'!$C$22)^2-'THAM_SO_MOI'!$C$25*(E4028/'THAM_SO_MOI'!$C$22)^3)</f>
        <v>96.46423964370777</v>
      </c>
      <c r="K4028" s="75">
        <f>'THAM_SO_MOI'!$C$31*J4028/E4028</f>
        <v>430.1002889256193</v>
      </c>
      <c r="L4028" s="75">
        <f>K4028*'THAM_SO_MOI'!$C$53*'THAM_SO_MOI'!$C$17/'THAM_SO_MOI'!$C$26</f>
        <v>3771.9812168465883</v>
      </c>
      <c r="M4028" s="75">
        <f>'THAM_SO_MOI'!$C$15*'THAM_SO_MOI'!$C$16*F4028^2</f>
        <v>1382.678603804621</v>
      </c>
      <c r="N4028" s="75">
        <f>'THAM_SO_MOI'!$C$12*I4028</f>
        <v>1130.112</v>
      </c>
      <c r="O4028" s="75">
        <f>M4028+N4028</f>
        <v>2512.7906038046212</v>
      </c>
      <c r="P4028" s="75">
        <f>(MIN(L4028,'THAM_SO_MOI'!$C$41)-O4028)/('THAM_SO_MOI'!$C$11*H4028)</f>
        <v>0.14905191915742985</v>
      </c>
      <c r="Q4028" s="75">
        <f>IF(P4028&gt;0,1/P4028,NA())</f>
        <v>6.709071615131583</v>
      </c>
      <c r="R4028" s="75">
        <f>F4028-F4027</f>
        <v>0.0073885545698715305</v>
      </c>
      <c r="S4028" s="75">
        <f>0.5*(Q4027+Q4028)*R4028</f>
        <v>0.049552164032034635</v>
      </c>
      <c r="T4028" s="75">
        <f>0.5*(F4027*Q4027+F4028*Q4028)*R4028</f>
        <v>1.077175679414297</v>
      </c>
      <c r="U4028" s="76">
        <f>U4027+S4028</f>
        <v>58.68126468751682</v>
      </c>
      <c r="V4028" s="76">
        <f>V4027+T4028</f>
        <v>862.9439995673101</v>
      </c>
    </row>
    <row r="4029" spans="1:22" ht="19" customHeight="1">
      <c r="A4029" s="68" t="s">
        <v>378</v>
      </c>
      <c r="B4029" s="74">
        <v>5</v>
      </c>
      <c r="C4029" s="68" t="s">
        <v>363</v>
      </c>
      <c r="D4029" s="68" t="s">
        <v>364</v>
      </c>
      <c r="E4029" s="75">
        <f>60*F4029*'THAM_SO_MOI'!$C$53/(2*PI()*'THAM_SO_MOI'!$C$26)</f>
        <v>2142.8782198187982</v>
      </c>
      <c r="F4029" s="75">
        <f>'HANH_TRINH'!$F$3289+('THAM_SO_MOI'!$C$14-'HANH_TRINH'!$F$3289)*739/'THAM_SO_MOI'!$C$42</f>
        <v>21.749298171237808</v>
      </c>
      <c r="G4029" s="75">
        <f>3.6*F4029</f>
        <v>78.29747341645611</v>
      </c>
      <c r="H4029" s="75">
        <f>'THAM_SO_MOI'!$D$53</f>
        <v>1.1</v>
      </c>
      <c r="I4029" s="75">
        <f>IF(F4029&gt;'THAM_SO_MOI'!$C$14,'THAM_SO_MOI'!$C$13*(1+F4029^2/1500),'THAM_SO_MOI'!$C$13)</f>
        <v>0.015</v>
      </c>
      <c r="J4029" s="75">
        <f>'THAM_SO_MOI'!$C$40*('THAM_SO_MOI'!$C$23*(E4029/'THAM_SO_MOI'!$C$22)+'THAM_SO_MOI'!$C$24*(E4029/'THAM_SO_MOI'!$C$22)^2-'THAM_SO_MOI'!$C$25*(E4029/'THAM_SO_MOI'!$C$22)^3)</f>
        <v>96.49740378979503</v>
      </c>
      <c r="K4029" s="75">
        <f>'THAM_SO_MOI'!$C$31*J4029/E4029</f>
        <v>430.1019946588907</v>
      </c>
      <c r="L4029" s="75">
        <f>K4029*'THAM_SO_MOI'!$C$53*'THAM_SO_MOI'!$C$17/'THAM_SO_MOI'!$C$26</f>
        <v>3771.996176134053</v>
      </c>
      <c r="M4029" s="75">
        <f>'THAM_SO_MOI'!$C$15*'THAM_SO_MOI'!$C$16*F4029^2</f>
        <v>1383.6185150036192</v>
      </c>
      <c r="N4029" s="75">
        <f>'THAM_SO_MOI'!$C$12*I4029</f>
        <v>1130.112</v>
      </c>
      <c r="O4029" s="75">
        <f>M4029+N4029</f>
        <v>2513.730515003619</v>
      </c>
      <c r="P4029" s="75">
        <f>(MIN(L4029,'THAM_SO_MOI'!$C$41)-O4029)/('THAM_SO_MOI'!$C$11*H4029)</f>
        <v>0.14894243147850778</v>
      </c>
      <c r="Q4029" s="75">
        <f>IF(P4029&gt;0,1/P4029,NA())</f>
        <v>6.714003458069629</v>
      </c>
      <c r="R4029" s="75">
        <f>F4029-F4028</f>
        <v>0.007388554569875083</v>
      </c>
      <c r="S4029" s="75">
        <f>0.5*(Q4028+Q4029)*R4029</f>
        <v>0.049588561336938564</v>
      </c>
      <c r="T4029" s="75">
        <f>0.5*(F4028*Q4028+F4029*Q4029)*R4029</f>
        <v>1.0783332798122893</v>
      </c>
      <c r="U4029" s="76">
        <f>U4028+S4029</f>
        <v>58.73085324885376</v>
      </c>
      <c r="V4029" s="76">
        <f>V4028+T4029</f>
        <v>864.0223328471225</v>
      </c>
    </row>
    <row r="4030" spans="1:22" ht="19" customHeight="1">
      <c r="A4030" s="68" t="s">
        <v>378</v>
      </c>
      <c r="B4030" s="74">
        <v>5</v>
      </c>
      <c r="C4030" s="68" t="s">
        <v>363</v>
      </c>
      <c r="D4030" s="68" t="s">
        <v>364</v>
      </c>
      <c r="E4030" s="75">
        <f>60*F4030*'THAM_SO_MOI'!$C$53/(2*PI()*'THAM_SO_MOI'!$C$26)</f>
        <v>2143.6061868795773</v>
      </c>
      <c r="F4030" s="75">
        <f>'HANH_TRINH'!$F$3289+('THAM_SO_MOI'!$C$14-'HANH_TRINH'!$F$3289)*740/'THAM_SO_MOI'!$C$42</f>
        <v>21.75668672580768</v>
      </c>
      <c r="G4030" s="75">
        <f>3.6*F4030</f>
        <v>78.32407221290765</v>
      </c>
      <c r="H4030" s="75">
        <f>'THAM_SO_MOI'!$D$53</f>
        <v>1.1</v>
      </c>
      <c r="I4030" s="75">
        <f>IF(F4030&gt;'THAM_SO_MOI'!$C$14,'THAM_SO_MOI'!$C$13*(1+F4030^2/1500),'THAM_SO_MOI'!$C$13)</f>
        <v>0.015</v>
      </c>
      <c r="J4030" s="75">
        <f>'THAM_SO_MOI'!$C$40*('THAM_SO_MOI'!$C$23*(E4030/'THAM_SO_MOI'!$C$22)+'THAM_SO_MOI'!$C$24*(E4030/'THAM_SO_MOI'!$C$22)^2-'THAM_SO_MOI'!$C$25*(E4030/'THAM_SO_MOI'!$C$22)^3)</f>
        <v>96.53055665728259</v>
      </c>
      <c r="K4030" s="75">
        <f>'THAM_SO_MOI'!$C$31*J4030/E4030</f>
        <v>430.1036489804565</v>
      </c>
      <c r="L4030" s="75">
        <f>K4030*'THAM_SO_MOI'!$C$53*'THAM_SO_MOI'!$C$17/'THAM_SO_MOI'!$C$26</f>
        <v>3772.0106845406585</v>
      </c>
      <c r="M4030" s="75">
        <f>'THAM_SO_MOI'!$C$15*'THAM_SO_MOI'!$C$16*F4030^2</f>
        <v>1384.5587455584382</v>
      </c>
      <c r="N4030" s="75">
        <f>'THAM_SO_MOI'!$C$12*I4030</f>
        <v>1130.112</v>
      </c>
      <c r="O4030" s="75">
        <f>M4030+N4030</f>
        <v>2514.6707455584383</v>
      </c>
      <c r="P4030" s="75">
        <f>(MIN(L4030,'THAM_SO_MOI'!$C$41)-O4030)/('THAM_SO_MOI'!$C$11*H4030)</f>
        <v>0.1488328526257363</v>
      </c>
      <c r="Q4030" s="75">
        <f>IF(P4030&gt;0,1/P4030,NA())</f>
        <v>6.718946673115631</v>
      </c>
      <c r="R4030" s="75">
        <f>F4030-F4029</f>
        <v>0.0073885545698715305</v>
      </c>
      <c r="S4030" s="75">
        <f>0.5*(Q4029+Q4030)*R4030</f>
        <v>0.04962504253931262</v>
      </c>
      <c r="T4030" s="75">
        <f>0.5*(F4029*Q4029+F4030*Q4030)*R4030</f>
        <v>1.0794932430787272</v>
      </c>
      <c r="U4030" s="76">
        <f>U4029+S4030</f>
        <v>58.780478291393074</v>
      </c>
      <c r="V4030" s="76">
        <f>V4029+T4030</f>
        <v>865.1018260902011</v>
      </c>
    </row>
    <row r="4031" spans="1:22" ht="19" customHeight="1">
      <c r="A4031" s="68" t="s">
        <v>378</v>
      </c>
      <c r="B4031" s="74">
        <v>5</v>
      </c>
      <c r="C4031" s="68" t="s">
        <v>363</v>
      </c>
      <c r="D4031" s="68" t="s">
        <v>364</v>
      </c>
      <c r="E4031" s="75">
        <f>60*F4031*'THAM_SO_MOI'!$C$53/(2*PI()*'THAM_SO_MOI'!$C$26)</f>
        <v>2144.334153940356</v>
      </c>
      <c r="F4031" s="75">
        <f>'HANH_TRINH'!$F$3289+('THAM_SO_MOI'!$C$14-'HANH_TRINH'!$F$3289)*741/'THAM_SO_MOI'!$C$42</f>
        <v>21.76407528037755</v>
      </c>
      <c r="G4031" s="75">
        <f>3.6*F4031</f>
        <v>78.35067100935919</v>
      </c>
      <c r="H4031" s="75">
        <f>'THAM_SO_MOI'!$D$53</f>
        <v>1.1</v>
      </c>
      <c r="I4031" s="75">
        <f>IF(F4031&gt;'THAM_SO_MOI'!$C$14,'THAM_SO_MOI'!$C$13*(1+F4031^2/1500),'THAM_SO_MOI'!$C$13)</f>
        <v>0.015</v>
      </c>
      <c r="J4031" s="75">
        <f>'THAM_SO_MOI'!$C$40*('THAM_SO_MOI'!$C$23*(E4031/'THAM_SO_MOI'!$C$22)+'THAM_SO_MOI'!$C$24*(E4031/'THAM_SO_MOI'!$C$22)^2-'THAM_SO_MOI'!$C$25*(E4031/'THAM_SO_MOI'!$C$22)^3)</f>
        <v>96.56369823441503</v>
      </c>
      <c r="K4031" s="75">
        <f>'THAM_SO_MOI'!$C$31*J4031/E4031</f>
        <v>430.10525189031705</v>
      </c>
      <c r="L4031" s="75">
        <f>K4031*'THAM_SO_MOI'!$C$53*'THAM_SO_MOI'!$C$17/'THAM_SO_MOI'!$C$26</f>
        <v>3772.0247420664073</v>
      </c>
      <c r="M4031" s="75">
        <f>'THAM_SO_MOI'!$C$15*'THAM_SO_MOI'!$C$16*F4031^2</f>
        <v>1385.499295469078</v>
      </c>
      <c r="N4031" s="75">
        <f>'THAM_SO_MOI'!$C$12*I4031</f>
        <v>1130.112</v>
      </c>
      <c r="O4031" s="75">
        <f>M4031+N4031</f>
        <v>2515.611295469078</v>
      </c>
      <c r="P4031" s="75">
        <f>(MIN(L4031,'THAM_SO_MOI'!$C$41)-O4031)/('THAM_SO_MOI'!$C$11*H4031)</f>
        <v>0.14872318259911568</v>
      </c>
      <c r="Q4031" s="75">
        <f>IF(P4031&gt;0,1/P4031,NA())</f>
        <v>6.723901294497621</v>
      </c>
      <c r="R4031" s="75">
        <f>F4031-F4030</f>
        <v>0.0073885545698715305</v>
      </c>
      <c r="S4031" s="75">
        <f>0.5*(Q4030+Q4031)*R4031</f>
        <v>0.04966160789159855</v>
      </c>
      <c r="T4031" s="75">
        <f>0.5*(F4030*Q4030+F4031*Q4031)*R4031</f>
        <v>1.0806555765664856</v>
      </c>
      <c r="U4031" s="76">
        <f>U4030+S4031</f>
        <v>58.830139899284674</v>
      </c>
      <c r="V4031" s="76">
        <f>V4030+T4031</f>
        <v>866.1824816667677</v>
      </c>
    </row>
    <row r="4032" spans="1:22" ht="19" customHeight="1">
      <c r="A4032" s="68" t="s">
        <v>378</v>
      </c>
      <c r="B4032" s="74">
        <v>5</v>
      </c>
      <c r="C4032" s="68" t="s">
        <v>363</v>
      </c>
      <c r="D4032" s="68" t="s">
        <v>364</v>
      </c>
      <c r="E4032" s="75">
        <f>60*F4032*'THAM_SO_MOI'!$C$53/(2*PI()*'THAM_SO_MOI'!$C$26)</f>
        <v>2145.062121001135</v>
      </c>
      <c r="F4032" s="75">
        <f>'HANH_TRINH'!$F$3289+('THAM_SO_MOI'!$C$14-'HANH_TRINH'!$F$3289)*742/'THAM_SO_MOI'!$C$42</f>
        <v>21.771463834947422</v>
      </c>
      <c r="G4032" s="75">
        <f>3.6*F4032</f>
        <v>78.37726980581073</v>
      </c>
      <c r="H4032" s="75">
        <f>'THAM_SO_MOI'!$D$53</f>
        <v>1.1</v>
      </c>
      <c r="I4032" s="75">
        <f>IF(F4032&gt;'THAM_SO_MOI'!$C$14,'THAM_SO_MOI'!$C$13*(1+F4032^2/1500),'THAM_SO_MOI'!$C$13)</f>
        <v>0.015</v>
      </c>
      <c r="J4032" s="75">
        <f>'THAM_SO_MOI'!$C$40*('THAM_SO_MOI'!$C$23*(E4032/'THAM_SO_MOI'!$C$22)+'THAM_SO_MOI'!$C$24*(E4032/'THAM_SO_MOI'!$C$22)^2-'THAM_SO_MOI'!$C$25*(E4032/'THAM_SO_MOI'!$C$22)^3)</f>
        <v>96.5968285094368</v>
      </c>
      <c r="K4032" s="75">
        <f>'THAM_SO_MOI'!$C$31*J4032/E4032</f>
        <v>430.10680338847203</v>
      </c>
      <c r="L4032" s="75">
        <f>K4032*'THAM_SO_MOI'!$C$53*'THAM_SO_MOI'!$C$17/'THAM_SO_MOI'!$C$26</f>
        <v>3772.038348711298</v>
      </c>
      <c r="M4032" s="75">
        <f>'THAM_SO_MOI'!$C$15*'THAM_SO_MOI'!$C$16*F4032^2</f>
        <v>1386.440164735539</v>
      </c>
      <c r="N4032" s="75">
        <f>'THAM_SO_MOI'!$C$12*I4032</f>
        <v>1130.112</v>
      </c>
      <c r="O4032" s="75">
        <f>M4032+N4032</f>
        <v>2516.552164735539</v>
      </c>
      <c r="P4032" s="75">
        <f>(MIN(L4032,'THAM_SO_MOI'!$C$41)-O4032)/('THAM_SO_MOI'!$C$11*H4032)</f>
        <v>0.14861342139864572</v>
      </c>
      <c r="Q4032" s="75">
        <f>IF(P4032&gt;0,1/P4032,NA())</f>
        <v>6.728867356586629</v>
      </c>
      <c r="R4032" s="75">
        <f>F4032-F4031</f>
        <v>0.0073885545698715305</v>
      </c>
      <c r="S4032" s="75">
        <f>0.5*(Q4031+Q4032)*R4032</f>
        <v>0.049698257647196493</v>
      </c>
      <c r="T4032" s="75">
        <f>0.5*(F4031*Q4031+F4032*Q4032)*R4032</f>
        <v>1.0818202876567602</v>
      </c>
      <c r="U4032" s="76">
        <f>U4031+S4032</f>
        <v>58.87983815693187</v>
      </c>
      <c r="V4032" s="76">
        <f>V4031+T4032</f>
        <v>867.2643019544245</v>
      </c>
    </row>
    <row r="4033" spans="1:22" ht="19" customHeight="1">
      <c r="A4033" s="68" t="s">
        <v>378</v>
      </c>
      <c r="B4033" s="74">
        <v>5</v>
      </c>
      <c r="C4033" s="68" t="s">
        <v>363</v>
      </c>
      <c r="D4033" s="68" t="s">
        <v>364</v>
      </c>
      <c r="E4033" s="75">
        <f>60*F4033*'THAM_SO_MOI'!$C$53/(2*PI()*'THAM_SO_MOI'!$C$26)</f>
        <v>2145.790088061914</v>
      </c>
      <c r="F4033" s="75">
        <f>'HANH_TRINH'!$F$3289+('THAM_SO_MOI'!$C$14-'HANH_TRINH'!$F$3289)*743/'THAM_SO_MOI'!$C$42</f>
        <v>21.778852389517294</v>
      </c>
      <c r="G4033" s="75">
        <f>3.6*F4033</f>
        <v>78.40386860226226</v>
      </c>
      <c r="H4033" s="75">
        <f>'THAM_SO_MOI'!$D$53</f>
        <v>1.1</v>
      </c>
      <c r="I4033" s="75">
        <f>IF(F4033&gt;'THAM_SO_MOI'!$C$14,'THAM_SO_MOI'!$C$13*(1+F4033^2/1500),'THAM_SO_MOI'!$C$13)</f>
        <v>0.015</v>
      </c>
      <c r="J4033" s="75">
        <f>'THAM_SO_MOI'!$C$40*('THAM_SO_MOI'!$C$23*(E4033/'THAM_SO_MOI'!$C$22)+'THAM_SO_MOI'!$C$24*(E4033/'THAM_SO_MOI'!$C$22)^2-'THAM_SO_MOI'!$C$25*(E4033/'THAM_SO_MOI'!$C$22)^3)</f>
        <v>96.62994747059246</v>
      </c>
      <c r="K4033" s="75">
        <f>'THAM_SO_MOI'!$C$31*J4033/E4033</f>
        <v>430.10830347492174</v>
      </c>
      <c r="L4033" s="75">
        <f>K4033*'THAM_SO_MOI'!$C$53*'THAM_SO_MOI'!$C$17/'THAM_SO_MOI'!$C$26</f>
        <v>3772.051504475331</v>
      </c>
      <c r="M4033" s="75">
        <f>'THAM_SO_MOI'!$C$15*'THAM_SO_MOI'!$C$16*F4033^2</f>
        <v>1387.3813533578207</v>
      </c>
      <c r="N4033" s="75">
        <f>'THAM_SO_MOI'!$C$12*I4033</f>
        <v>1130.112</v>
      </c>
      <c r="O4033" s="75">
        <f>M4033+N4033</f>
        <v>2517.4933533578205</v>
      </c>
      <c r="P4033" s="75">
        <f>(MIN(L4033,'THAM_SO_MOI'!$C$41)-O4033)/('THAM_SO_MOI'!$C$11*H4033)</f>
        <v>0.14850356902432654</v>
      </c>
      <c r="Q4033" s="75">
        <f>IF(P4033&gt;0,1/P4033,NA())</f>
        <v>6.73384489389739</v>
      </c>
      <c r="R4033" s="75">
        <f>F4033-F4032</f>
        <v>0.0073885545698715305</v>
      </c>
      <c r="S4033" s="75">
        <f>0.5*(Q4032+Q4033)*R4033</f>
        <v>0.04973499206058957</v>
      </c>
      <c r="T4033" s="75">
        <f>0.5*(F4032*Q4032+F4033*Q4033)*R4033</f>
        <v>1.0829873837618185</v>
      </c>
      <c r="U4033" s="76">
        <f>U4032+S4033</f>
        <v>58.92957314899246</v>
      </c>
      <c r="V4033" s="76">
        <f>V4032+T4033</f>
        <v>868.3472893381863</v>
      </c>
    </row>
    <row r="4034" spans="1:22" ht="19" customHeight="1">
      <c r="A4034" s="68" t="s">
        <v>378</v>
      </c>
      <c r="B4034" s="74">
        <v>5</v>
      </c>
      <c r="C4034" s="68" t="s">
        <v>363</v>
      </c>
      <c r="D4034" s="68" t="s">
        <v>364</v>
      </c>
      <c r="E4034" s="75">
        <f>60*F4034*'THAM_SO_MOI'!$C$53/(2*PI()*'THAM_SO_MOI'!$C$26)</f>
        <v>2146.518055122693</v>
      </c>
      <c r="F4034" s="75">
        <f>'HANH_TRINH'!$F$3289+('THAM_SO_MOI'!$C$14-'HANH_TRINH'!$F$3289)*744/'THAM_SO_MOI'!$C$42</f>
        <v>21.78624094408717</v>
      </c>
      <c r="G4034" s="75">
        <f>3.6*F4034</f>
        <v>78.43046739871382</v>
      </c>
      <c r="H4034" s="75">
        <f>'THAM_SO_MOI'!$D$53</f>
        <v>1.1</v>
      </c>
      <c r="I4034" s="75">
        <f>IF(F4034&gt;'THAM_SO_MOI'!$C$14,'THAM_SO_MOI'!$C$13*(1+F4034^2/1500),'THAM_SO_MOI'!$C$13)</f>
        <v>0.015</v>
      </c>
      <c r="J4034" s="75">
        <f>'THAM_SO_MOI'!$C$40*('THAM_SO_MOI'!$C$23*(E4034/'THAM_SO_MOI'!$C$22)+'THAM_SO_MOI'!$C$24*(E4034/'THAM_SO_MOI'!$C$22)^2-'THAM_SO_MOI'!$C$25*(E4034/'THAM_SO_MOI'!$C$22)^3)</f>
        <v>96.66305510612636</v>
      </c>
      <c r="K4034" s="75">
        <f>'THAM_SO_MOI'!$C$31*J4034/E4034</f>
        <v>430.10975214966584</v>
      </c>
      <c r="L4034" s="75">
        <f>K4034*'THAM_SO_MOI'!$C$53*'THAM_SO_MOI'!$C$17/'THAM_SO_MOI'!$C$26</f>
        <v>3772.0642093585057</v>
      </c>
      <c r="M4034" s="75">
        <f>'THAM_SO_MOI'!$C$15*'THAM_SO_MOI'!$C$16*F4034^2</f>
        <v>1388.322861335924</v>
      </c>
      <c r="N4034" s="75">
        <f>'THAM_SO_MOI'!$C$12*I4034</f>
        <v>1130.112</v>
      </c>
      <c r="O4034" s="75">
        <f>M4034+N4034</f>
        <v>2518.4348613359243</v>
      </c>
      <c r="P4034" s="75">
        <f>(MIN(L4034,'THAM_SO_MOI'!$C$41)-O4034)/('THAM_SO_MOI'!$C$11*H4034)</f>
        <v>0.14839362547615784</v>
      </c>
      <c r="Q4034" s="75">
        <f>IF(P4034&gt;0,1/P4034,NA())</f>
        <v>6.738833941089123</v>
      </c>
      <c r="R4034" s="75">
        <f>F4034-F4033</f>
        <v>0.007388554569875083</v>
      </c>
      <c r="S4034" s="75">
        <f>0.5*(Q4033+Q4034)*R4034</f>
        <v>0.04977181138734946</v>
      </c>
      <c r="T4034" s="75">
        <f>0.5*(F4033*Q4033+F4034*Q4034)*R4034</f>
        <v>1.084156872325161</v>
      </c>
      <c r="U4034" s="76">
        <f>U4033+S4034</f>
        <v>58.97934496037981</v>
      </c>
      <c r="V4034" s="76">
        <f>V4033+T4034</f>
        <v>869.4314462105115</v>
      </c>
    </row>
    <row r="4035" spans="1:22" ht="19" customHeight="1">
      <c r="A4035" s="68" t="s">
        <v>378</v>
      </c>
      <c r="B4035" s="74">
        <v>5</v>
      </c>
      <c r="C4035" s="68" t="s">
        <v>363</v>
      </c>
      <c r="D4035" s="68" t="s">
        <v>364</v>
      </c>
      <c r="E4035" s="75">
        <f>60*F4035*'THAM_SO_MOI'!$C$53/(2*PI()*'THAM_SO_MOI'!$C$26)</f>
        <v>2147.246022183472</v>
      </c>
      <c r="F4035" s="75">
        <f>'HANH_TRINH'!$F$3289+('THAM_SO_MOI'!$C$14-'HANH_TRINH'!$F$3289)*745/'THAM_SO_MOI'!$C$42</f>
        <v>21.79362949865704</v>
      </c>
      <c r="G4035" s="75">
        <f>3.6*F4035</f>
        <v>78.45706619516535</v>
      </c>
      <c r="H4035" s="75">
        <f>'THAM_SO_MOI'!$D$53</f>
        <v>1.1</v>
      </c>
      <c r="I4035" s="75">
        <f>IF(F4035&gt;'THAM_SO_MOI'!$C$14,'THAM_SO_MOI'!$C$13*(1+F4035^2/1500),'THAM_SO_MOI'!$C$13)</f>
        <v>0.015</v>
      </c>
      <c r="J4035" s="75">
        <f>'THAM_SO_MOI'!$C$40*('THAM_SO_MOI'!$C$23*(E4035/'THAM_SO_MOI'!$C$22)+'THAM_SO_MOI'!$C$24*(E4035/'THAM_SO_MOI'!$C$22)^2-'THAM_SO_MOI'!$C$25*(E4035/'THAM_SO_MOI'!$C$22)^3)</f>
        <v>96.69615140428313</v>
      </c>
      <c r="K4035" s="75">
        <f>'THAM_SO_MOI'!$C$31*J4035/E4035</f>
        <v>430.1111494127048</v>
      </c>
      <c r="L4035" s="75">
        <f>K4035*'THAM_SO_MOI'!$C$53*'THAM_SO_MOI'!$C$17/'THAM_SO_MOI'!$C$26</f>
        <v>3772.0764633608246</v>
      </c>
      <c r="M4035" s="75">
        <f>'THAM_SO_MOI'!$C$15*'THAM_SO_MOI'!$C$16*F4035^2</f>
        <v>1389.2646886698478</v>
      </c>
      <c r="N4035" s="75">
        <f>'THAM_SO_MOI'!$C$12*I4035</f>
        <v>1130.112</v>
      </c>
      <c r="O4035" s="75">
        <f>M4035+N4035</f>
        <v>2519.3766886698477</v>
      </c>
      <c r="P4035" s="75">
        <f>(MIN(L4035,'THAM_SO_MOI'!$C$41)-O4035)/('THAM_SO_MOI'!$C$11*H4035)</f>
        <v>0.14828359075414022</v>
      </c>
      <c r="Q4035" s="75">
        <f>IF(P4035&gt;0,1/P4035,NA())</f>
        <v>6.743834532966211</v>
      </c>
      <c r="R4035" s="75">
        <f>F4035-F4034</f>
        <v>0.0073885545698715305</v>
      </c>
      <c r="S4035" s="75">
        <f>0.5*(Q4034+Q4035)*R4035</f>
        <v>0.04980871588402218</v>
      </c>
      <c r="T4035" s="75">
        <f>0.5*(F4034*Q4034+F4035*Q4035)*R4035</f>
        <v>1.085328760819072</v>
      </c>
      <c r="U4035" s="76">
        <f>U4034+S4035</f>
        <v>59.02915367626383</v>
      </c>
      <c r="V4035" s="76">
        <f>V4034+T4035</f>
        <v>870.5167749713305</v>
      </c>
    </row>
    <row r="4036" spans="1:22" ht="19" customHeight="1">
      <c r="A4036" s="68" t="s">
        <v>378</v>
      </c>
      <c r="B4036" s="74">
        <v>5</v>
      </c>
      <c r="C4036" s="68" t="s">
        <v>363</v>
      </c>
      <c r="D4036" s="68" t="s">
        <v>364</v>
      </c>
      <c r="E4036" s="75">
        <f>60*F4036*'THAM_SO_MOI'!$C$53/(2*PI()*'THAM_SO_MOI'!$C$26)</f>
        <v>2147.973989244251</v>
      </c>
      <c r="F4036" s="75">
        <f>'HANH_TRINH'!$F$3289+('THAM_SO_MOI'!$C$14-'HANH_TRINH'!$F$3289)*746/'THAM_SO_MOI'!$C$42</f>
        <v>21.80101805322691</v>
      </c>
      <c r="G4036" s="75">
        <f>3.6*F4036</f>
        <v>78.48366499161689</v>
      </c>
      <c r="H4036" s="75">
        <f>'THAM_SO_MOI'!$D$53</f>
        <v>1.1</v>
      </c>
      <c r="I4036" s="75">
        <f>IF(F4036&gt;'THAM_SO_MOI'!$C$14,'THAM_SO_MOI'!$C$13*(1+F4036^2/1500),'THAM_SO_MOI'!$C$13)</f>
        <v>0.015</v>
      </c>
      <c r="J4036" s="75">
        <f>'THAM_SO_MOI'!$C$40*('THAM_SO_MOI'!$C$23*(E4036/'THAM_SO_MOI'!$C$22)+'THAM_SO_MOI'!$C$24*(E4036/'THAM_SO_MOI'!$C$22)^2-'THAM_SO_MOI'!$C$25*(E4036/'THAM_SO_MOI'!$C$22)^3)</f>
        <v>96.7292363533071</v>
      </c>
      <c r="K4036" s="75">
        <f>'THAM_SO_MOI'!$C$31*J4036/E4036</f>
        <v>430.11249526403805</v>
      </c>
      <c r="L4036" s="75">
        <f>K4036*'THAM_SO_MOI'!$C$53*'THAM_SO_MOI'!$C$17/'THAM_SO_MOI'!$C$26</f>
        <v>3772.0882664822834</v>
      </c>
      <c r="M4036" s="75">
        <f>'THAM_SO_MOI'!$C$15*'THAM_SO_MOI'!$C$16*F4036^2</f>
        <v>1390.2068353595928</v>
      </c>
      <c r="N4036" s="75">
        <f>'THAM_SO_MOI'!$C$12*I4036</f>
        <v>1130.112</v>
      </c>
      <c r="O4036" s="75">
        <f>M4036+N4036</f>
        <v>2520.318835359593</v>
      </c>
      <c r="P4036" s="75">
        <f>(MIN(L4036,'THAM_SO_MOI'!$C$41)-O4036)/('THAM_SO_MOI'!$C$11*H4036)</f>
        <v>0.14817346485827304</v>
      </c>
      <c r="Q4036" s="75">
        <f>IF(P4036&gt;0,1/P4036,NA())</f>
        <v>6.748846704479061</v>
      </c>
      <c r="R4036" s="75">
        <f>F4036-F4035</f>
        <v>0.0073885545698715305</v>
      </c>
      <c r="S4036" s="75">
        <f>0.5*(Q4035+Q4036)*R4036</f>
        <v>0.04984570580837306</v>
      </c>
      <c r="T4036" s="75">
        <f>0.5*(F4035*Q4035+F4036*Q4036)*R4036</f>
        <v>1.0865030567499956</v>
      </c>
      <c r="U4036" s="76">
        <f>U4035+S4036</f>
        <v>59.078999382072205</v>
      </c>
      <c r="V4036" s="76">
        <f>V4035+T4036</f>
        <v>871.6032780280805</v>
      </c>
    </row>
    <row r="4037" spans="1:22" ht="19" customHeight="1">
      <c r="A4037" s="68" t="s">
        <v>378</v>
      </c>
      <c r="B4037" s="74">
        <v>5</v>
      </c>
      <c r="C4037" s="68" t="s">
        <v>363</v>
      </c>
      <c r="D4037" s="68" t="s">
        <v>364</v>
      </c>
      <c r="E4037" s="75">
        <f>60*F4037*'THAM_SO_MOI'!$C$53/(2*PI()*'THAM_SO_MOI'!$C$26)</f>
        <v>2148.7019563050303</v>
      </c>
      <c r="F4037" s="75">
        <f>'HANH_TRINH'!$F$3289+('THAM_SO_MOI'!$C$14-'HANH_TRINH'!$F$3289)*747/'THAM_SO_MOI'!$C$42</f>
        <v>21.808406607796783</v>
      </c>
      <c r="G4037" s="75">
        <f>3.6*F4037</f>
        <v>78.51026378806843</v>
      </c>
      <c r="H4037" s="75">
        <f>'THAM_SO_MOI'!$D$53</f>
        <v>1.1</v>
      </c>
      <c r="I4037" s="75">
        <f>IF(F4037&gt;'THAM_SO_MOI'!$C$14,'THAM_SO_MOI'!$C$13*(1+F4037^2/1500),'THAM_SO_MOI'!$C$13)</f>
        <v>0.015</v>
      </c>
      <c r="J4037" s="75">
        <f>'THAM_SO_MOI'!$C$40*('THAM_SO_MOI'!$C$23*(E4037/'THAM_SO_MOI'!$C$22)+'THAM_SO_MOI'!$C$24*(E4037/'THAM_SO_MOI'!$C$22)^2-'THAM_SO_MOI'!$C$25*(E4037/'THAM_SO_MOI'!$C$22)^3)</f>
        <v>96.76230994144292</v>
      </c>
      <c r="K4037" s="75">
        <f>'THAM_SO_MOI'!$C$31*J4037/E4037</f>
        <v>430.113789703666</v>
      </c>
      <c r="L4037" s="75">
        <f>K4037*'THAM_SO_MOI'!$C$53*'THAM_SO_MOI'!$C$17/'THAM_SO_MOI'!$C$26</f>
        <v>3772.099618722886</v>
      </c>
      <c r="M4037" s="75">
        <f>'THAM_SO_MOI'!$C$15*'THAM_SO_MOI'!$C$16*F4037^2</f>
        <v>1391.1493014051587</v>
      </c>
      <c r="N4037" s="75">
        <f>'THAM_SO_MOI'!$C$12*I4037</f>
        <v>1130.112</v>
      </c>
      <c r="O4037" s="75">
        <f>M4037+N4037</f>
        <v>2521.2613014051585</v>
      </c>
      <c r="P4037" s="75">
        <f>(MIN(L4037,'THAM_SO_MOI'!$C$41)-O4037)/('THAM_SO_MOI'!$C$11*H4037)</f>
        <v>0.14806324778855673</v>
      </c>
      <c r="Q4037" s="75">
        <f>IF(P4037&gt;0,1/P4037,NA())</f>
        <v>6.753870490724751</v>
      </c>
      <c r="R4037" s="75">
        <f>F4037-F4036</f>
        <v>0.0073885545698715305</v>
      </c>
      <c r="S4037" s="75">
        <f>0.5*(Q4036+Q4037)*R4037</f>
        <v>0.049882781419153005</v>
      </c>
      <c r="T4037" s="75">
        <f>0.5*(F4036*Q4036+F4037*Q4037)*R4037</f>
        <v>1.0876797676534833</v>
      </c>
      <c r="U4037" s="76">
        <f>U4036+S4037</f>
        <v>59.128882163491355</v>
      </c>
      <c r="V4037" s="76">
        <f>V4036+T4037</f>
        <v>872.690957795734</v>
      </c>
    </row>
    <row r="4038" spans="1:22" ht="19" customHeight="1">
      <c r="A4038" s="68" t="s">
        <v>378</v>
      </c>
      <c r="B4038" s="74">
        <v>5</v>
      </c>
      <c r="C4038" s="68" t="s">
        <v>363</v>
      </c>
      <c r="D4038" s="68" t="s">
        <v>364</v>
      </c>
      <c r="E4038" s="75">
        <f>60*F4038*'THAM_SO_MOI'!$C$53/(2*PI()*'THAM_SO_MOI'!$C$26)</f>
        <v>2149.429923365809</v>
      </c>
      <c r="F4038" s="75">
        <f>'HANH_TRINH'!$F$3289+('THAM_SO_MOI'!$C$14-'HANH_TRINH'!$F$3289)*748/'THAM_SO_MOI'!$C$42</f>
        <v>21.815795162366655</v>
      </c>
      <c r="G4038" s="75">
        <f>3.6*F4038</f>
        <v>78.53686258451997</v>
      </c>
      <c r="H4038" s="75">
        <f>'THAM_SO_MOI'!$D$53</f>
        <v>1.1</v>
      </c>
      <c r="I4038" s="75">
        <f>IF(F4038&gt;'THAM_SO_MOI'!$C$14,'THAM_SO_MOI'!$C$13*(1+F4038^2/1500),'THAM_SO_MOI'!$C$13)</f>
        <v>0.015</v>
      </c>
      <c r="J4038" s="75">
        <f>'THAM_SO_MOI'!$C$40*('THAM_SO_MOI'!$C$23*(E4038/'THAM_SO_MOI'!$C$22)+'THAM_SO_MOI'!$C$24*(E4038/'THAM_SO_MOI'!$C$22)^2-'THAM_SO_MOI'!$C$25*(E4038/'THAM_SO_MOI'!$C$22)^3)</f>
        <v>96.79537215693496</v>
      </c>
      <c r="K4038" s="75">
        <f>'THAM_SO_MOI'!$C$31*J4038/E4038</f>
        <v>430.1150327315886</v>
      </c>
      <c r="L4038" s="75">
        <f>K4038*'THAM_SO_MOI'!$C$53*'THAM_SO_MOI'!$C$17/'THAM_SO_MOI'!$C$26</f>
        <v>3772.110520082631</v>
      </c>
      <c r="M4038" s="75">
        <f>'THAM_SO_MOI'!$C$15*'THAM_SO_MOI'!$C$16*F4038^2</f>
        <v>1392.0920868065457</v>
      </c>
      <c r="N4038" s="75">
        <f>'THAM_SO_MOI'!$C$12*I4038</f>
        <v>1130.112</v>
      </c>
      <c r="O4038" s="75">
        <f>M4038+N4038</f>
        <v>2522.204086806546</v>
      </c>
      <c r="P4038" s="75">
        <f>(MIN(L4038,'THAM_SO_MOI'!$C$41)-O4038)/('THAM_SO_MOI'!$C$11*H4038)</f>
        <v>0.14795293954499117</v>
      </c>
      <c r="Q4038" s="75">
        <f>IF(P4038&gt;0,1/P4038,NA())</f>
        <v>6.7589059269478655</v>
      </c>
      <c r="R4038" s="75">
        <f>F4038-F4037</f>
        <v>0.0073885545698715305</v>
      </c>
      <c r="S4038" s="75">
        <f>0.5*(Q4037+Q4038)*R4038</f>
        <v>0.049919942976223625</v>
      </c>
      <c r="T4038" s="75">
        <f>0.5*(F4037*Q4037+F4038*Q4038)*R4038</f>
        <v>1.088858901096962</v>
      </c>
      <c r="U4038" s="76">
        <f>U4037+S4038</f>
        <v>59.17880210646758</v>
      </c>
      <c r="V4038" s="76">
        <f>V4037+T4038</f>
        <v>873.779816696831</v>
      </c>
    </row>
    <row r="4039" spans="1:22" ht="19" customHeight="1">
      <c r="A4039" s="68" t="s">
        <v>378</v>
      </c>
      <c r="B4039" s="74">
        <v>5</v>
      </c>
      <c r="C4039" s="68" t="s">
        <v>363</v>
      </c>
      <c r="D4039" s="68" t="s">
        <v>364</v>
      </c>
      <c r="E4039" s="75">
        <f>60*F4039*'THAM_SO_MOI'!$C$53/(2*PI()*'THAM_SO_MOI'!$C$26)</f>
        <v>2150.157890426588</v>
      </c>
      <c r="F4039" s="75">
        <f>'HANH_TRINH'!$F$3289+('THAM_SO_MOI'!$C$14-'HANH_TRINH'!$F$3289)*749/'THAM_SO_MOI'!$C$42</f>
        <v>21.823183716936526</v>
      </c>
      <c r="G4039" s="75">
        <f>3.6*F4039</f>
        <v>78.5634613809715</v>
      </c>
      <c r="H4039" s="75">
        <f>'THAM_SO_MOI'!$D$53</f>
        <v>1.1</v>
      </c>
      <c r="I4039" s="75">
        <f>IF(F4039&gt;'THAM_SO_MOI'!$C$14,'THAM_SO_MOI'!$C$13*(1+F4039^2/1500),'THAM_SO_MOI'!$C$13)</f>
        <v>0.015</v>
      </c>
      <c r="J4039" s="75">
        <f>'THAM_SO_MOI'!$C$40*('THAM_SO_MOI'!$C$23*(E4039/'THAM_SO_MOI'!$C$22)+'THAM_SO_MOI'!$C$24*(E4039/'THAM_SO_MOI'!$C$22)^2-'THAM_SO_MOI'!$C$25*(E4039/'THAM_SO_MOI'!$C$22)^3)</f>
        <v>96.82842298802768</v>
      </c>
      <c r="K4039" s="75">
        <f>'THAM_SO_MOI'!$C$31*J4039/E4039</f>
        <v>430.1162243478054</v>
      </c>
      <c r="L4039" s="75">
        <f>K4039*'THAM_SO_MOI'!$C$53*'THAM_SO_MOI'!$C$17/'THAM_SO_MOI'!$C$26</f>
        <v>3772.1209705615156</v>
      </c>
      <c r="M4039" s="75">
        <f>'THAM_SO_MOI'!$C$15*'THAM_SO_MOI'!$C$16*F4039^2</f>
        <v>1393.0351915637534</v>
      </c>
      <c r="N4039" s="75">
        <f>'THAM_SO_MOI'!$C$12*I4039</f>
        <v>1130.112</v>
      </c>
      <c r="O4039" s="75">
        <f>M4039+N4039</f>
        <v>2523.1471915637535</v>
      </c>
      <c r="P4039" s="75">
        <f>(MIN(L4039,'THAM_SO_MOI'!$C$41)-O4039)/('THAM_SO_MOI'!$C$11*H4039)</f>
        <v>0.147842540127576</v>
      </c>
      <c r="Q4039" s="75">
        <f>IF(P4039&gt;0,1/P4039,NA())</f>
        <v>6.763953048541252</v>
      </c>
      <c r="R4039" s="75">
        <f>F4039-F4038</f>
        <v>0.0073885545698715305</v>
      </c>
      <c r="S4039" s="75">
        <f>0.5*(Q4038+Q4039)*R4039</f>
        <v>0.049957190740539184</v>
      </c>
      <c r="T4039" s="75">
        <f>0.5*(F4038*Q4038+F4039*Q4039)*R4039</f>
        <v>1.0900404646793789</v>
      </c>
      <c r="U4039" s="76">
        <f>U4038+S4039</f>
        <v>59.22875929720812</v>
      </c>
      <c r="V4039" s="76">
        <f>V4038+T4039</f>
        <v>874.8698571615104</v>
      </c>
    </row>
    <row r="4040" spans="1:22" ht="19" customHeight="1">
      <c r="A4040" s="68" t="s">
        <v>378</v>
      </c>
      <c r="B4040" s="74">
        <v>5</v>
      </c>
      <c r="C4040" s="68" t="s">
        <v>363</v>
      </c>
      <c r="D4040" s="68" t="s">
        <v>364</v>
      </c>
      <c r="E4040" s="75">
        <f>60*F4040*'THAM_SO_MOI'!$C$53/(2*PI()*'THAM_SO_MOI'!$C$26)</f>
        <v>2150.8858574873666</v>
      </c>
      <c r="F4040" s="75">
        <f>'HANH_TRINH'!$F$3289+('THAM_SO_MOI'!$C$14-'HANH_TRINH'!$F$3289)*750/'THAM_SO_MOI'!$C$42</f>
        <v>21.830572271506398</v>
      </c>
      <c r="G4040" s="75">
        <f>3.6*F4040</f>
        <v>78.59006017742304</v>
      </c>
      <c r="H4040" s="75">
        <f>'THAM_SO_MOI'!$D$53</f>
        <v>1.1</v>
      </c>
      <c r="I4040" s="75">
        <f>IF(F4040&gt;'THAM_SO_MOI'!$C$14,'THAM_SO_MOI'!$C$13*(1+F4040^2/1500),'THAM_SO_MOI'!$C$13)</f>
        <v>0.015</v>
      </c>
      <c r="J4040" s="75">
        <f>'THAM_SO_MOI'!$C$40*('THAM_SO_MOI'!$C$23*(E4040/'THAM_SO_MOI'!$C$22)+'THAM_SO_MOI'!$C$24*(E4040/'THAM_SO_MOI'!$C$22)^2-'THAM_SO_MOI'!$C$25*(E4040/'THAM_SO_MOI'!$C$22)^3)</f>
        <v>96.86146242296564</v>
      </c>
      <c r="K4040" s="75">
        <f>'THAM_SO_MOI'!$C$31*J4040/E4040</f>
        <v>430.11736455231704</v>
      </c>
      <c r="L4040" s="75">
        <f>K4040*'THAM_SO_MOI'!$C$53*'THAM_SO_MOI'!$C$17/'THAM_SO_MOI'!$C$26</f>
        <v>3772.130970159544</v>
      </c>
      <c r="M4040" s="75">
        <f>'THAM_SO_MOI'!$C$15*'THAM_SO_MOI'!$C$16*F4040^2</f>
        <v>1393.9786156767823</v>
      </c>
      <c r="N4040" s="75">
        <f>'THAM_SO_MOI'!$C$12*I4040</f>
        <v>1130.112</v>
      </c>
      <c r="O4040" s="75">
        <f>M4040+N4040</f>
        <v>2524.0906156767824</v>
      </c>
      <c r="P4040" s="75">
        <f>(MIN(L4040,'THAM_SO_MOI'!$C$41)-O4040)/('THAM_SO_MOI'!$C$11*H4040)</f>
        <v>0.14773204953631178</v>
      </c>
      <c r="Q4040" s="75">
        <f>IF(P4040&gt;0,1/P4040,NA())</f>
        <v>6.769011891046737</v>
      </c>
      <c r="R4040" s="75">
        <f>F4040-F4039</f>
        <v>0.0073885545698715305</v>
      </c>
      <c r="S4040" s="75">
        <f>0.5*(Q4039+Q4040)*R4040</f>
        <v>0.049994524974152015</v>
      </c>
      <c r="T4040" s="75">
        <f>0.5*(F4039*Q4039+F4040*Q4040)*R4040</f>
        <v>1.0912244660313613</v>
      </c>
      <c r="U4040" s="76">
        <f>U4039+S4040</f>
        <v>59.278753822182274</v>
      </c>
      <c r="V4040" s="76">
        <f>V4039+T4040</f>
        <v>875.9610816275417</v>
      </c>
    </row>
    <row r="4041" spans="1:22" ht="19" customHeight="1">
      <c r="A4041" s="68" t="s">
        <v>378</v>
      </c>
      <c r="B4041" s="74">
        <v>5</v>
      </c>
      <c r="C4041" s="68" t="s">
        <v>363</v>
      </c>
      <c r="D4041" s="68" t="s">
        <v>364</v>
      </c>
      <c r="E4041" s="75">
        <f>60*F4041*'THAM_SO_MOI'!$C$53/(2*PI()*'THAM_SO_MOI'!$C$26)</f>
        <v>2151.6138245481457</v>
      </c>
      <c r="F4041" s="75">
        <f>'HANH_TRINH'!$F$3289+('THAM_SO_MOI'!$C$14-'HANH_TRINH'!$F$3289)*751/'THAM_SO_MOI'!$C$42</f>
        <v>21.83796082607627</v>
      </c>
      <c r="G4041" s="75">
        <f>3.6*F4041</f>
        <v>78.61665897387458</v>
      </c>
      <c r="H4041" s="75">
        <f>'THAM_SO_MOI'!$D$53</f>
        <v>1.1</v>
      </c>
      <c r="I4041" s="75">
        <f>IF(F4041&gt;'THAM_SO_MOI'!$C$14,'THAM_SO_MOI'!$C$13*(1+F4041^2/1500),'THAM_SO_MOI'!$C$13)</f>
        <v>0.015</v>
      </c>
      <c r="J4041" s="75">
        <f>'THAM_SO_MOI'!$C$40*('THAM_SO_MOI'!$C$23*(E4041/'THAM_SO_MOI'!$C$22)+'THAM_SO_MOI'!$C$24*(E4041/'THAM_SO_MOI'!$C$22)^2-'THAM_SO_MOI'!$C$25*(E4041/'THAM_SO_MOI'!$C$22)^3)</f>
        <v>96.89449044999336</v>
      </c>
      <c r="K4041" s="75">
        <f>'THAM_SO_MOI'!$C$31*J4041/E4041</f>
        <v>430.1184533451233</v>
      </c>
      <c r="L4041" s="75">
        <f>K4041*'THAM_SO_MOI'!$C$53*'THAM_SO_MOI'!$C$17/'THAM_SO_MOI'!$C$26</f>
        <v>3772.1405188767153</v>
      </c>
      <c r="M4041" s="75">
        <f>'THAM_SO_MOI'!$C$15*'THAM_SO_MOI'!$C$16*F4041^2</f>
        <v>1394.922359145632</v>
      </c>
      <c r="N4041" s="75">
        <f>'THAM_SO_MOI'!$C$12*I4041</f>
        <v>1130.112</v>
      </c>
      <c r="O4041" s="75">
        <f>M4041+N4041</f>
        <v>2525.034359145632</v>
      </c>
      <c r="P4041" s="75">
        <f>(MIN(L4041,'THAM_SO_MOI'!$C$41)-O4041)/('THAM_SO_MOI'!$C$11*H4041)</f>
        <v>0.14762146777119828</v>
      </c>
      <c r="Q4041" s="75">
        <f>IF(P4041&gt;0,1/P4041,NA())</f>
        <v>6.774082490155983</v>
      </c>
      <c r="R4041" s="75">
        <f>F4041-F4040</f>
        <v>0.0073885545698715305</v>
      </c>
      <c r="S4041" s="75">
        <f>0.5*(Q4040+Q4041)*R4041</f>
        <v>0.050031945940218404</v>
      </c>
      <c r="T4041" s="75">
        <f>0.5*(F4040*Q4040+F4041*Q4041)*R4041</f>
        <v>1.0924109128153847</v>
      </c>
      <c r="U4041" s="76">
        <f>U4040+S4041</f>
        <v>59.32878576812249</v>
      </c>
      <c r="V4041" s="76">
        <f>V4040+T4041</f>
        <v>877.0534925403571</v>
      </c>
    </row>
    <row r="4042" spans="1:22" ht="19" customHeight="1">
      <c r="A4042" s="68" t="s">
        <v>378</v>
      </c>
      <c r="B4042" s="74">
        <v>5</v>
      </c>
      <c r="C4042" s="68" t="s">
        <v>363</v>
      </c>
      <c r="D4042" s="68" t="s">
        <v>364</v>
      </c>
      <c r="E4042" s="75">
        <f>60*F4042*'THAM_SO_MOI'!$C$53/(2*PI()*'THAM_SO_MOI'!$C$26)</f>
        <v>2152.3417916089247</v>
      </c>
      <c r="F4042" s="75">
        <f>'HANH_TRINH'!$F$3289+('THAM_SO_MOI'!$C$14-'HANH_TRINH'!$F$3289)*752/'THAM_SO_MOI'!$C$42</f>
        <v>21.84534938064614</v>
      </c>
      <c r="G4042" s="75">
        <f>3.6*F4042</f>
        <v>78.64325777032612</v>
      </c>
      <c r="H4042" s="75">
        <f>'THAM_SO_MOI'!$D$53</f>
        <v>1.1</v>
      </c>
      <c r="I4042" s="75">
        <f>IF(F4042&gt;'THAM_SO_MOI'!$C$14,'THAM_SO_MOI'!$C$13*(1+F4042^2/1500),'THAM_SO_MOI'!$C$13)</f>
        <v>0.015</v>
      </c>
      <c r="J4042" s="75">
        <f>'THAM_SO_MOI'!$C$40*('THAM_SO_MOI'!$C$23*(E4042/'THAM_SO_MOI'!$C$22)+'THAM_SO_MOI'!$C$24*(E4042/'THAM_SO_MOI'!$C$22)^2-'THAM_SO_MOI'!$C$25*(E4042/'THAM_SO_MOI'!$C$22)^3)</f>
        <v>96.92750705735526</v>
      </c>
      <c r="K4042" s="75">
        <f>'THAM_SO_MOI'!$C$31*J4042/E4042</f>
        <v>430.11949072622417</v>
      </c>
      <c r="L4042" s="75">
        <f>K4042*'THAM_SO_MOI'!$C$53*'THAM_SO_MOI'!$C$17/'THAM_SO_MOI'!$C$26</f>
        <v>3772.1496167130294</v>
      </c>
      <c r="M4042" s="75">
        <f>'THAM_SO_MOI'!$C$15*'THAM_SO_MOI'!$C$16*F4042^2</f>
        <v>1395.866421970303</v>
      </c>
      <c r="N4042" s="75">
        <f>'THAM_SO_MOI'!$C$12*I4042</f>
        <v>1130.112</v>
      </c>
      <c r="O4042" s="75">
        <f>M4042+N4042</f>
        <v>2525.9784219703033</v>
      </c>
      <c r="P4042" s="75">
        <f>(MIN(L4042,'THAM_SO_MOI'!$C$41)-O4042)/('THAM_SO_MOI'!$C$11*H4042)</f>
        <v>0.14751079483223561</v>
      </c>
      <c r="Q4042" s="75">
        <f>IF(P4042&gt;0,1/P4042,NA())</f>
        <v>6.779164881711216</v>
      </c>
      <c r="R4042" s="75">
        <f>F4042-F4041</f>
        <v>0.0073885545698715305</v>
      </c>
      <c r="S4042" s="75">
        <f>0.5*(Q4041+Q4042)*R4042</f>
        <v>0.05006945390300435</v>
      </c>
      <c r="T4042" s="75">
        <f>0.5*(F4041*Q4041+F4042*Q4042)*R4042</f>
        <v>1.0935998127259408</v>
      </c>
      <c r="U4042" s="76">
        <f>U4041+S4042</f>
        <v>59.3788552220255</v>
      </c>
      <c r="V4042" s="76">
        <f>V4041+T4042</f>
        <v>878.147092353083</v>
      </c>
    </row>
    <row r="4043" spans="1:22" ht="19" customHeight="1">
      <c r="A4043" s="68" t="s">
        <v>378</v>
      </c>
      <c r="B4043" s="74">
        <v>5</v>
      </c>
      <c r="C4043" s="68" t="s">
        <v>363</v>
      </c>
      <c r="D4043" s="68" t="s">
        <v>364</v>
      </c>
      <c r="E4043" s="75">
        <f>60*F4043*'THAM_SO_MOI'!$C$53/(2*PI()*'THAM_SO_MOI'!$C$26)</f>
        <v>2153.069758669704</v>
      </c>
      <c r="F4043" s="75">
        <f>'HANH_TRINH'!$F$3289+('THAM_SO_MOI'!$C$14-'HANH_TRINH'!$F$3289)*753/'THAM_SO_MOI'!$C$42</f>
        <v>21.852737935216016</v>
      </c>
      <c r="G4043" s="75">
        <f>3.6*F4043</f>
        <v>78.66985656677765</v>
      </c>
      <c r="H4043" s="75">
        <f>'THAM_SO_MOI'!$D$53</f>
        <v>1.1</v>
      </c>
      <c r="I4043" s="75">
        <f>IF(F4043&gt;'THAM_SO_MOI'!$C$14,'THAM_SO_MOI'!$C$13*(1+F4043^2/1500),'THAM_SO_MOI'!$C$13)</f>
        <v>0.015</v>
      </c>
      <c r="J4043" s="75">
        <f>'THAM_SO_MOI'!$C$40*('THAM_SO_MOI'!$C$23*(E4043/'THAM_SO_MOI'!$C$22)+'THAM_SO_MOI'!$C$24*(E4043/'THAM_SO_MOI'!$C$22)^2-'THAM_SO_MOI'!$C$25*(E4043/'THAM_SO_MOI'!$C$22)^3)</f>
        <v>96.96051223329583</v>
      </c>
      <c r="K4043" s="75">
        <f>'THAM_SO_MOI'!$C$31*J4043/E4043</f>
        <v>430.1204766956195</v>
      </c>
      <c r="L4043" s="75">
        <f>K4043*'THAM_SO_MOI'!$C$53*'THAM_SO_MOI'!$C$17/'THAM_SO_MOI'!$C$26</f>
        <v>3772.1582636684843</v>
      </c>
      <c r="M4043" s="75">
        <f>'THAM_SO_MOI'!$C$15*'THAM_SO_MOI'!$C$16*F4043^2</f>
        <v>1396.8108041507953</v>
      </c>
      <c r="N4043" s="75">
        <f>'THAM_SO_MOI'!$C$12*I4043</f>
        <v>1130.112</v>
      </c>
      <c r="O4043" s="75">
        <f>M4043+N4043</f>
        <v>2526.9228041507954</v>
      </c>
      <c r="P4043" s="75">
        <f>(MIN(L4043,'THAM_SO_MOI'!$C$41)-O4043)/('THAM_SO_MOI'!$C$11*H4043)</f>
        <v>0.1474000307194234</v>
      </c>
      <c r="Q4043" s="75">
        <f>IF(P4043&gt;0,1/P4043,NA())</f>
        <v>6.784259101706053</v>
      </c>
      <c r="R4043" s="75">
        <f>F4043-F4042</f>
        <v>0.007388554569875083</v>
      </c>
      <c r="S4043" s="75">
        <f>0.5*(Q4042+Q4043)*R4043</f>
        <v>0.050107049127915484</v>
      </c>
      <c r="T4043" s="75">
        <f>0.5*(F4042*Q4042+F4043*Q4043)*R4043</f>
        <v>1.0947911734902307</v>
      </c>
      <c r="U4043" s="76">
        <f>U4042+S4043</f>
        <v>59.42896227115342</v>
      </c>
      <c r="V4043" s="76">
        <f>V4042+T4043</f>
        <v>879.2418835265732</v>
      </c>
    </row>
    <row r="4044" spans="1:22" ht="19" customHeight="1">
      <c r="A4044" s="68" t="s">
        <v>378</v>
      </c>
      <c r="B4044" s="74">
        <v>5</v>
      </c>
      <c r="C4044" s="68" t="s">
        <v>363</v>
      </c>
      <c r="D4044" s="68" t="s">
        <v>364</v>
      </c>
      <c r="E4044" s="75">
        <f>60*F4044*'THAM_SO_MOI'!$C$53/(2*PI()*'THAM_SO_MOI'!$C$26)</f>
        <v>2153.797725730483</v>
      </c>
      <c r="F4044" s="75">
        <f>'HANH_TRINH'!$F$3289+('THAM_SO_MOI'!$C$14-'HANH_TRINH'!$F$3289)*754/'THAM_SO_MOI'!$C$42</f>
        <v>21.860126489785888</v>
      </c>
      <c r="G4044" s="75">
        <f>3.6*F4044</f>
        <v>78.69645536322919</v>
      </c>
      <c r="H4044" s="75">
        <f>'THAM_SO_MOI'!$D$53</f>
        <v>1.1</v>
      </c>
      <c r="I4044" s="75">
        <f>IF(F4044&gt;'THAM_SO_MOI'!$C$14,'THAM_SO_MOI'!$C$13*(1+F4044^2/1500),'THAM_SO_MOI'!$C$13)</f>
        <v>0.015</v>
      </c>
      <c r="J4044" s="75">
        <f>'THAM_SO_MOI'!$C$40*('THAM_SO_MOI'!$C$23*(E4044/'THAM_SO_MOI'!$C$22)+'THAM_SO_MOI'!$C$24*(E4044/'THAM_SO_MOI'!$C$22)^2-'THAM_SO_MOI'!$C$25*(E4044/'THAM_SO_MOI'!$C$22)^3)</f>
        <v>96.99350596605954</v>
      </c>
      <c r="K4044" s="75">
        <f>'THAM_SO_MOI'!$C$31*J4044/E4044</f>
        <v>430.1214112533094</v>
      </c>
      <c r="L4044" s="75">
        <f>K4044*'THAM_SO_MOI'!$C$53*'THAM_SO_MOI'!$C$17/'THAM_SO_MOI'!$C$26</f>
        <v>3772.1664597430813</v>
      </c>
      <c r="M4044" s="75">
        <f>'THAM_SO_MOI'!$C$15*'THAM_SO_MOI'!$C$16*F4044^2</f>
        <v>1397.755505687108</v>
      </c>
      <c r="N4044" s="75">
        <f>'THAM_SO_MOI'!$C$12*I4044</f>
        <v>1130.112</v>
      </c>
      <c r="O4044" s="75">
        <f>M4044+N4044</f>
        <v>2527.867505687108</v>
      </c>
      <c r="P4044" s="75">
        <f>(MIN(L4044,'THAM_SO_MOI'!$C$41)-O4044)/('THAM_SO_MOI'!$C$11*H4044)</f>
        <v>0.14728917543276193</v>
      </c>
      <c r="Q4044" s="75">
        <f>IF(P4044&gt;0,1/P4044,NA())</f>
        <v>6.789365186286237</v>
      </c>
      <c r="R4044" s="75">
        <f>F4044-F4043</f>
        <v>0.0073885545698715305</v>
      </c>
      <c r="S4044" s="75">
        <f>0.5*(Q4043+Q4044)*R4044</f>
        <v>0.05014473188138232</v>
      </c>
      <c r="T4044" s="75">
        <f>0.5*(F4043*Q4043+F4044*Q4044)*R4044</f>
        <v>1.0959850028657</v>
      </c>
      <c r="U4044" s="76">
        <f>U4043+S4044</f>
        <v>59.4791070030348</v>
      </c>
      <c r="V4044" s="76">
        <f>V4043+T4044</f>
        <v>880.337868529439</v>
      </c>
    </row>
    <row r="4045" spans="1:22" ht="19" customHeight="1">
      <c r="A4045" s="68" t="s">
        <v>378</v>
      </c>
      <c r="B4045" s="74">
        <v>5</v>
      </c>
      <c r="C4045" s="68" t="s">
        <v>363</v>
      </c>
      <c r="D4045" s="68" t="s">
        <v>364</v>
      </c>
      <c r="E4045" s="75">
        <f>60*F4045*'THAM_SO_MOI'!$C$53/(2*PI()*'THAM_SO_MOI'!$C$26)</f>
        <v>2154.525692791262</v>
      </c>
      <c r="F4045" s="75">
        <f>'HANH_TRINH'!$F$3289+('THAM_SO_MOI'!$C$14-'HANH_TRINH'!$F$3289)*755/'THAM_SO_MOI'!$C$42</f>
        <v>21.86751504435576</v>
      </c>
      <c r="G4045" s="75">
        <f>3.6*F4045</f>
        <v>78.72305415968073</v>
      </c>
      <c r="H4045" s="75">
        <f>'THAM_SO_MOI'!$D$53</f>
        <v>1.1</v>
      </c>
      <c r="I4045" s="75">
        <f>IF(F4045&gt;'THAM_SO_MOI'!$C$14,'THAM_SO_MOI'!$C$13*(1+F4045^2/1500),'THAM_SO_MOI'!$C$13)</f>
        <v>0.015</v>
      </c>
      <c r="J4045" s="75">
        <f>'THAM_SO_MOI'!$C$40*('THAM_SO_MOI'!$C$23*(E4045/'THAM_SO_MOI'!$C$22)+'THAM_SO_MOI'!$C$24*(E4045/'THAM_SO_MOI'!$C$22)^2-'THAM_SO_MOI'!$C$25*(E4045/'THAM_SO_MOI'!$C$22)^3)</f>
        <v>97.02648824389088</v>
      </c>
      <c r="K4045" s="75">
        <f>'THAM_SO_MOI'!$C$31*J4045/E4045</f>
        <v>430.12229439929376</v>
      </c>
      <c r="L4045" s="75">
        <f>K4045*'THAM_SO_MOI'!$C$53*'THAM_SO_MOI'!$C$17/'THAM_SO_MOI'!$C$26</f>
        <v>3772.17420493682</v>
      </c>
      <c r="M4045" s="75">
        <f>'THAM_SO_MOI'!$C$15*'THAM_SO_MOI'!$C$16*F4045^2</f>
        <v>1398.700526579242</v>
      </c>
      <c r="N4045" s="75">
        <f>'THAM_SO_MOI'!$C$12*I4045</f>
        <v>1130.112</v>
      </c>
      <c r="O4045" s="75">
        <f>M4045+N4045</f>
        <v>2528.8125265792423</v>
      </c>
      <c r="P4045" s="75">
        <f>(MIN(L4045,'THAM_SO_MOI'!$C$41)-O4045)/('THAM_SO_MOI'!$C$11*H4045)</f>
        <v>0.1471782289722512</v>
      </c>
      <c r="Q4045" s="75">
        <f>IF(P4045&gt;0,1/P4045,NA())</f>
        <v>6.794483171750482</v>
      </c>
      <c r="R4045" s="75">
        <f>F4045-F4044</f>
        <v>0.0073885545698715305</v>
      </c>
      <c r="S4045" s="75">
        <f>0.5*(Q4044+Q4045)*R4045</f>
        <v>0.05018250243110704</v>
      </c>
      <c r="T4045" s="75">
        <f>0.5*(F4044*Q4044+F4045*Q4045)*R4045</f>
        <v>1.097181308645472</v>
      </c>
      <c r="U4045" s="76">
        <f>U4044+S4045</f>
        <v>59.529289505465904</v>
      </c>
      <c r="V4045" s="76">
        <f>V4044+T4045</f>
        <v>881.4350498380844</v>
      </c>
    </row>
    <row r="4046" spans="1:22" ht="19" customHeight="1">
      <c r="A4046" s="68" t="s">
        <v>378</v>
      </c>
      <c r="B4046" s="74">
        <v>5</v>
      </c>
      <c r="C4046" s="68" t="s">
        <v>363</v>
      </c>
      <c r="D4046" s="68" t="s">
        <v>364</v>
      </c>
      <c r="E4046" s="75">
        <f>60*F4046*'THAM_SO_MOI'!$C$53/(2*PI()*'THAM_SO_MOI'!$C$26)</f>
        <v>2155.2536598520405</v>
      </c>
      <c r="F4046" s="75">
        <f>'HANH_TRINH'!$F$3289+('THAM_SO_MOI'!$C$14-'HANH_TRINH'!$F$3289)*756/'THAM_SO_MOI'!$C$42</f>
        <v>21.87490359892563</v>
      </c>
      <c r="G4046" s="75">
        <f>3.6*F4046</f>
        <v>78.74965295613227</v>
      </c>
      <c r="H4046" s="75">
        <f>'THAM_SO_MOI'!$D$53</f>
        <v>1.1</v>
      </c>
      <c r="I4046" s="75">
        <f>IF(F4046&gt;'THAM_SO_MOI'!$C$14,'THAM_SO_MOI'!$C$13*(1+F4046^2/1500),'THAM_SO_MOI'!$C$13)</f>
        <v>0.015</v>
      </c>
      <c r="J4046" s="75">
        <f>'THAM_SO_MOI'!$C$40*('THAM_SO_MOI'!$C$23*(E4046/'THAM_SO_MOI'!$C$22)+'THAM_SO_MOI'!$C$24*(E4046/'THAM_SO_MOI'!$C$22)^2-'THAM_SO_MOI'!$C$25*(E4046/'THAM_SO_MOI'!$C$22)^3)</f>
        <v>97.05945905503438</v>
      </c>
      <c r="K4046" s="75">
        <f>'THAM_SO_MOI'!$C$31*J4046/E4046</f>
        <v>430.1231261335729</v>
      </c>
      <c r="L4046" s="75">
        <f>K4046*'THAM_SO_MOI'!$C$53*'THAM_SO_MOI'!$C$17/'THAM_SO_MOI'!$C$26</f>
        <v>3772.1814992497025</v>
      </c>
      <c r="M4046" s="75">
        <f>'THAM_SO_MOI'!$C$15*'THAM_SO_MOI'!$C$16*F4046^2</f>
        <v>1399.6458668271969</v>
      </c>
      <c r="N4046" s="75">
        <f>'THAM_SO_MOI'!$C$12*I4046</f>
        <v>1130.112</v>
      </c>
      <c r="O4046" s="75">
        <f>M4046+N4046</f>
        <v>2529.757866827197</v>
      </c>
      <c r="P4046" s="75">
        <f>(MIN(L4046,'THAM_SO_MOI'!$C$41)-O4046)/('THAM_SO_MOI'!$C$11*H4046)</f>
        <v>0.1470671913378913</v>
      </c>
      <c r="Q4046" s="75">
        <f>IF(P4046&gt;0,1/P4046,NA())</f>
        <v>6.79961309455125</v>
      </c>
      <c r="R4046" s="75">
        <f>F4046-F4045</f>
        <v>0.0073885545698715305</v>
      </c>
      <c r="S4046" s="75">
        <f>0.5*(Q4045+Q4046)*R4046</f>
        <v>0.05022036104582859</v>
      </c>
      <c r="T4046" s="75">
        <f>0.5*(F4045*Q4045+F4046*Q4046)*R4046</f>
        <v>1.0983800986532564</v>
      </c>
      <c r="U4046" s="76">
        <f>U4045+S4046</f>
        <v>59.579509866511735</v>
      </c>
      <c r="V4046" s="76">
        <f>V4045+T4046</f>
        <v>882.5334299367377</v>
      </c>
    </row>
    <row r="4047" spans="1:22" ht="19" customHeight="1">
      <c r="A4047" s="68" t="s">
        <v>378</v>
      </c>
      <c r="B4047" s="74">
        <v>5</v>
      </c>
      <c r="C4047" s="68" t="s">
        <v>363</v>
      </c>
      <c r="D4047" s="68" t="s">
        <v>364</v>
      </c>
      <c r="E4047" s="75">
        <f>60*F4047*'THAM_SO_MOI'!$C$53/(2*PI()*'THAM_SO_MOI'!$C$26)</f>
        <v>2155.9816269128196</v>
      </c>
      <c r="F4047" s="75">
        <f>'HANH_TRINH'!$F$3289+('THAM_SO_MOI'!$C$14-'HANH_TRINH'!$F$3289)*757/'THAM_SO_MOI'!$C$42</f>
        <v>21.882292153495502</v>
      </c>
      <c r="G4047" s="75">
        <f>3.6*F4047</f>
        <v>78.7762517525838</v>
      </c>
      <c r="H4047" s="75">
        <f>'THAM_SO_MOI'!$D$53</f>
        <v>1.1</v>
      </c>
      <c r="I4047" s="75">
        <f>IF(F4047&gt;'THAM_SO_MOI'!$C$14,'THAM_SO_MOI'!$C$13*(1+F4047^2/1500),'THAM_SO_MOI'!$C$13)</f>
        <v>0.015</v>
      </c>
      <c r="J4047" s="75">
        <f>'THAM_SO_MOI'!$C$40*('THAM_SO_MOI'!$C$23*(E4047/'THAM_SO_MOI'!$C$22)+'THAM_SO_MOI'!$C$24*(E4047/'THAM_SO_MOI'!$C$22)^2-'THAM_SO_MOI'!$C$25*(E4047/'THAM_SO_MOI'!$C$22)^3)</f>
        <v>97.09241838773445</v>
      </c>
      <c r="K4047" s="75">
        <f>'THAM_SO_MOI'!$C$31*J4047/E4047</f>
        <v>430.12390645614636</v>
      </c>
      <c r="L4047" s="75">
        <f>K4047*'THAM_SO_MOI'!$C$53*'THAM_SO_MOI'!$C$17/'THAM_SO_MOI'!$C$26</f>
        <v>3772.1883426817253</v>
      </c>
      <c r="M4047" s="75">
        <f>'THAM_SO_MOI'!$C$15*'THAM_SO_MOI'!$C$16*F4047^2</f>
        <v>1400.5915264309729</v>
      </c>
      <c r="N4047" s="75">
        <f>'THAM_SO_MOI'!$C$12*I4047</f>
        <v>1130.112</v>
      </c>
      <c r="O4047" s="75">
        <f>M4047+N4047</f>
        <v>2530.703526430973</v>
      </c>
      <c r="P4047" s="75">
        <f>(MIN(L4047,'THAM_SO_MOI'!$C$41)-O4047)/('THAM_SO_MOI'!$C$11*H4047)</f>
        <v>0.14695606252968185</v>
      </c>
      <c r="Q4047" s="75">
        <f>IF(P4047&gt;0,1/P4047,NA())</f>
        <v>6.804754991295594</v>
      </c>
      <c r="R4047" s="75">
        <f>F4047-F4046</f>
        <v>0.0073885545698715305</v>
      </c>
      <c r="S4047" s="75">
        <f>0.5*(Q4046+Q4047)*R4047</f>
        <v>0.05025830799544905</v>
      </c>
      <c r="T4047" s="75">
        <f>0.5*(F4046*Q4046+F4047*Q4047)*R4047</f>
        <v>1.0995813807461536</v>
      </c>
      <c r="U4047" s="76">
        <f>U4046+S4047</f>
        <v>59.629768174507184</v>
      </c>
      <c r="V4047" s="76">
        <f>V4046+T4047</f>
        <v>883.6330113174838</v>
      </c>
    </row>
    <row r="4048" spans="1:22" ht="19" customHeight="1">
      <c r="A4048" s="68" t="s">
        <v>378</v>
      </c>
      <c r="B4048" s="74">
        <v>5</v>
      </c>
      <c r="C4048" s="68" t="s">
        <v>363</v>
      </c>
      <c r="D4048" s="68" t="s">
        <v>364</v>
      </c>
      <c r="E4048" s="75">
        <f>60*F4048*'THAM_SO_MOI'!$C$53/(2*PI()*'THAM_SO_MOI'!$C$26)</f>
        <v>2156.709593973598</v>
      </c>
      <c r="F4048" s="75">
        <f>'HANH_TRINH'!$F$3289+('THAM_SO_MOI'!$C$14-'HANH_TRINH'!$F$3289)*758/'THAM_SO_MOI'!$C$42</f>
        <v>21.889680708065374</v>
      </c>
      <c r="G4048" s="75">
        <f>3.6*F4048</f>
        <v>78.80285054903534</v>
      </c>
      <c r="H4048" s="75">
        <f>'THAM_SO_MOI'!$D$53</f>
        <v>1.1</v>
      </c>
      <c r="I4048" s="75">
        <f>IF(F4048&gt;'THAM_SO_MOI'!$C$14,'THAM_SO_MOI'!$C$13*(1+F4048^2/1500),'THAM_SO_MOI'!$C$13)</f>
        <v>0.015</v>
      </c>
      <c r="J4048" s="75">
        <f>'THAM_SO_MOI'!$C$40*('THAM_SO_MOI'!$C$23*(E4048/'THAM_SO_MOI'!$C$22)+'THAM_SO_MOI'!$C$24*(E4048/'THAM_SO_MOI'!$C$22)^2-'THAM_SO_MOI'!$C$25*(E4048/'THAM_SO_MOI'!$C$22)^3)</f>
        <v>97.12536623023564</v>
      </c>
      <c r="K4048" s="75">
        <f>'THAM_SO_MOI'!$C$31*J4048/E4048</f>
        <v>430.1246353670146</v>
      </c>
      <c r="L4048" s="75">
        <f>K4048*'THAM_SO_MOI'!$C$53*'THAM_SO_MOI'!$C$17/'THAM_SO_MOI'!$C$26</f>
        <v>3772.194735232892</v>
      </c>
      <c r="M4048" s="75">
        <f>'THAM_SO_MOI'!$C$15*'THAM_SO_MOI'!$C$16*F4048^2</f>
        <v>1401.5375053905695</v>
      </c>
      <c r="N4048" s="75">
        <f>'THAM_SO_MOI'!$C$12*I4048</f>
        <v>1130.112</v>
      </c>
      <c r="O4048" s="75">
        <f>M4048+N4048</f>
        <v>2531.6495053905696</v>
      </c>
      <c r="P4048" s="75">
        <f>(MIN(L4048,'THAM_SO_MOI'!$C$41)-O4048)/('THAM_SO_MOI'!$C$11*H4048)</f>
        <v>0.1468448425476234</v>
      </c>
      <c r="Q4048" s="75">
        <f>IF(P4048&gt;0,1/P4048,NA())</f>
        <v>6.809908898745892</v>
      </c>
      <c r="R4048" s="75">
        <f>F4048-F4047</f>
        <v>0.0073885545698715305</v>
      </c>
      <c r="S4048" s="75">
        <f>0.5*(Q4047+Q4048)*R4048</f>
        <v>0.05029634355101546</v>
      </c>
      <c r="T4048" s="75">
        <f>0.5*(F4047*Q4047+F4048*Q4048)*R4048</f>
        <v>1.1007851628142993</v>
      </c>
      <c r="U4048" s="76">
        <f>U4047+S4048</f>
        <v>59.6800645180582</v>
      </c>
      <c r="V4048" s="76">
        <f>V4047+T4048</f>
        <v>884.7337964802981</v>
      </c>
    </row>
    <row r="4049" spans="1:22" ht="19" customHeight="1">
      <c r="A4049" s="68" t="s">
        <v>378</v>
      </c>
      <c r="B4049" s="74">
        <v>5</v>
      </c>
      <c r="C4049" s="68" t="s">
        <v>363</v>
      </c>
      <c r="D4049" s="68" t="s">
        <v>364</v>
      </c>
      <c r="E4049" s="75">
        <f>60*F4049*'THAM_SO_MOI'!$C$53/(2*PI()*'THAM_SO_MOI'!$C$26)</f>
        <v>2157.4375610343777</v>
      </c>
      <c r="F4049" s="75">
        <f>'HANH_TRINH'!$F$3289+('THAM_SO_MOI'!$C$14-'HANH_TRINH'!$F$3289)*759/'THAM_SO_MOI'!$C$42</f>
        <v>21.897069262635245</v>
      </c>
      <c r="G4049" s="75">
        <f>3.6*F4049</f>
        <v>78.82944934548688</v>
      </c>
      <c r="H4049" s="75">
        <f>'THAM_SO_MOI'!$D$53</f>
        <v>1.1</v>
      </c>
      <c r="I4049" s="75">
        <f>IF(F4049&gt;'THAM_SO_MOI'!$C$14,'THAM_SO_MOI'!$C$13*(1+F4049^2/1500),'THAM_SO_MOI'!$C$13)</f>
        <v>0.015</v>
      </c>
      <c r="J4049" s="75">
        <f>'THAM_SO_MOI'!$C$40*('THAM_SO_MOI'!$C$23*(E4049/'THAM_SO_MOI'!$C$22)+'THAM_SO_MOI'!$C$24*(E4049/'THAM_SO_MOI'!$C$22)^2-'THAM_SO_MOI'!$C$25*(E4049/'THAM_SO_MOI'!$C$22)^3)</f>
        <v>97.15830257078244</v>
      </c>
      <c r="K4049" s="75">
        <f>'THAM_SO_MOI'!$C$31*J4049/E4049</f>
        <v>430.1253128661773</v>
      </c>
      <c r="L4049" s="75">
        <f>K4049*'THAM_SO_MOI'!$C$53*'THAM_SO_MOI'!$C$17/'THAM_SO_MOI'!$C$26</f>
        <v>3772.2006769031996</v>
      </c>
      <c r="M4049" s="75">
        <f>'THAM_SO_MOI'!$C$15*'THAM_SO_MOI'!$C$16*F4049^2</f>
        <v>1402.4838037059874</v>
      </c>
      <c r="N4049" s="75">
        <f>'THAM_SO_MOI'!$C$12*I4049</f>
        <v>1130.112</v>
      </c>
      <c r="O4049" s="75">
        <f>M4049+N4049</f>
        <v>2532.5958037059872</v>
      </c>
      <c r="P4049" s="75">
        <f>(MIN(L4049,'THAM_SO_MOI'!$C$41)-O4049)/('THAM_SO_MOI'!$C$11*H4049)</f>
        <v>0.14673353139171547</v>
      </c>
      <c r="Q4049" s="75">
        <f>IF(P4049&gt;0,1/P4049,NA())</f>
        <v>6.815074853820765</v>
      </c>
      <c r="R4049" s="75">
        <f>F4049-F4048</f>
        <v>0.0073885545698715305</v>
      </c>
      <c r="S4049" s="75">
        <f>0.5*(Q4048+Q4049)*R4049</f>
        <v>0.050334467984725864</v>
      </c>
      <c r="T4049" s="75">
        <f>0.5*(F4048*Q4048+F4049*Q4049)*R4049</f>
        <v>1.1019914527810393</v>
      </c>
      <c r="U4049" s="76">
        <f>U4048+S4049</f>
        <v>59.73039898604293</v>
      </c>
      <c r="V4049" s="76">
        <f>V4048+T4049</f>
        <v>885.8357879330791</v>
      </c>
    </row>
    <row r="4050" spans="1:22" ht="19" customHeight="1">
      <c r="A4050" s="68" t="s">
        <v>378</v>
      </c>
      <c r="B4050" s="74">
        <v>5</v>
      </c>
      <c r="C4050" s="68" t="s">
        <v>363</v>
      </c>
      <c r="D4050" s="68" t="s">
        <v>364</v>
      </c>
      <c r="E4050" s="75">
        <f>60*F4050*'THAM_SO_MOI'!$C$53/(2*PI()*'THAM_SO_MOI'!$C$26)</f>
        <v>2158.165528095157</v>
      </c>
      <c r="F4050" s="75">
        <f>'HANH_TRINH'!$F$3289+('THAM_SO_MOI'!$C$14-'HANH_TRINH'!$F$3289)*760/'THAM_SO_MOI'!$C$42</f>
        <v>21.90445781720512</v>
      </c>
      <c r="G4050" s="75">
        <f>3.6*F4050</f>
        <v>78.85604814193843</v>
      </c>
      <c r="H4050" s="75">
        <f>'THAM_SO_MOI'!$D$53</f>
        <v>1.1</v>
      </c>
      <c r="I4050" s="75">
        <f>IF(F4050&gt;'THAM_SO_MOI'!$C$14,'THAM_SO_MOI'!$C$13*(1+F4050^2/1500),'THAM_SO_MOI'!$C$13)</f>
        <v>0.015</v>
      </c>
      <c r="J4050" s="75">
        <f>'THAM_SO_MOI'!$C$40*('THAM_SO_MOI'!$C$23*(E4050/'THAM_SO_MOI'!$C$22)+'THAM_SO_MOI'!$C$24*(E4050/'THAM_SO_MOI'!$C$22)^2-'THAM_SO_MOI'!$C$25*(E4050/'THAM_SO_MOI'!$C$22)^3)</f>
        <v>97.19122739761929</v>
      </c>
      <c r="K4050" s="75">
        <f>'THAM_SO_MOI'!$C$31*J4050/E4050</f>
        <v>430.1259389536346</v>
      </c>
      <c r="L4050" s="75">
        <f>K4050*'THAM_SO_MOI'!$C$53*'THAM_SO_MOI'!$C$17/'THAM_SO_MOI'!$C$26</f>
        <v>3772.2061676926505</v>
      </c>
      <c r="M4050" s="75">
        <f>'THAM_SO_MOI'!$C$15*'THAM_SO_MOI'!$C$16*F4050^2</f>
        <v>1403.4304213772266</v>
      </c>
      <c r="N4050" s="75">
        <f>'THAM_SO_MOI'!$C$12*I4050</f>
        <v>1130.112</v>
      </c>
      <c r="O4050" s="75">
        <f>M4050+N4050</f>
        <v>2533.5424213772267</v>
      </c>
      <c r="P4050" s="75">
        <f>(MIN(L4050,'THAM_SO_MOI'!$C$41)-O4050)/('THAM_SO_MOI'!$C$11*H4050)</f>
        <v>0.14662212906195832</v>
      </c>
      <c r="Q4050" s="75">
        <f>IF(P4050&gt;0,1/P4050,NA())</f>
        <v>6.820252893595813</v>
      </c>
      <c r="R4050" s="75">
        <f>F4050-F4049</f>
        <v>0.007388554569875083</v>
      </c>
      <c r="S4050" s="75">
        <f>0.5*(Q4049+Q4050)*R4050</f>
        <v>0.050372681569959644</v>
      </c>
      <c r="T4050" s="75">
        <f>0.5*(F4049*Q4049+F4050*Q4050)*R4050</f>
        <v>1.1032002586036356</v>
      </c>
      <c r="U4050" s="76">
        <f>U4049+S4050</f>
        <v>59.78077166761289</v>
      </c>
      <c r="V4050" s="76">
        <f>V4049+T4050</f>
        <v>886.9389881916827</v>
      </c>
    </row>
    <row r="4051" spans="1:22" ht="19" customHeight="1">
      <c r="A4051" s="68" t="s">
        <v>378</v>
      </c>
      <c r="B4051" s="74">
        <v>5</v>
      </c>
      <c r="C4051" s="68" t="s">
        <v>363</v>
      </c>
      <c r="D4051" s="68" t="s">
        <v>364</v>
      </c>
      <c r="E4051" s="75">
        <f>60*F4051*'THAM_SO_MOI'!$C$53/(2*PI()*'THAM_SO_MOI'!$C$26)</f>
        <v>2158.8934951559354</v>
      </c>
      <c r="F4051" s="75">
        <f>'HANH_TRINH'!$F$3289+('THAM_SO_MOI'!$C$14-'HANH_TRINH'!$F$3289)*761/'THAM_SO_MOI'!$C$42</f>
        <v>21.911846371774992</v>
      </c>
      <c r="G4051" s="75">
        <f>3.6*F4051</f>
        <v>78.88264693838997</v>
      </c>
      <c r="H4051" s="75">
        <f>'THAM_SO_MOI'!$D$53</f>
        <v>1.1</v>
      </c>
      <c r="I4051" s="75">
        <f>IF(F4051&gt;'THAM_SO_MOI'!$C$14,'THAM_SO_MOI'!$C$13*(1+F4051^2/1500),'THAM_SO_MOI'!$C$13)</f>
        <v>0.015</v>
      </c>
      <c r="J4051" s="75">
        <f>'THAM_SO_MOI'!$C$40*('THAM_SO_MOI'!$C$23*(E4051/'THAM_SO_MOI'!$C$22)+'THAM_SO_MOI'!$C$24*(E4051/'THAM_SO_MOI'!$C$22)^2-'THAM_SO_MOI'!$C$25*(E4051/'THAM_SO_MOI'!$C$22)^3)</f>
        <v>97.22414069899068</v>
      </c>
      <c r="K4051" s="75">
        <f>'THAM_SO_MOI'!$C$31*J4051/E4051</f>
        <v>430.1265136293866</v>
      </c>
      <c r="L4051" s="75">
        <f>K4051*'THAM_SO_MOI'!$C$53*'THAM_SO_MOI'!$C$17/'THAM_SO_MOI'!$C$26</f>
        <v>3772.211207601244</v>
      </c>
      <c r="M4051" s="75">
        <f>'THAM_SO_MOI'!$C$15*'THAM_SO_MOI'!$C$16*F4051^2</f>
        <v>1404.3773584042867</v>
      </c>
      <c r="N4051" s="75">
        <f>'THAM_SO_MOI'!$C$12*I4051</f>
        <v>1130.112</v>
      </c>
      <c r="O4051" s="75">
        <f>M4051+N4051</f>
        <v>2534.4893584042866</v>
      </c>
      <c r="P4051" s="75">
        <f>(MIN(L4051,'THAM_SO_MOI'!$C$41)-O4051)/('THAM_SO_MOI'!$C$11*H4051)</f>
        <v>0.14651063555835192</v>
      </c>
      <c r="Q4051" s="75">
        <f>IF(P4051&gt;0,1/P4051,NA())</f>
        <v>6.825443055304489</v>
      </c>
      <c r="R4051" s="75">
        <f>F4051-F4050</f>
        <v>0.0073885545698715305</v>
      </c>
      <c r="S4051" s="75">
        <f>0.5*(Q4050+Q4051)*R4051</f>
        <v>0.05041098458116238</v>
      </c>
      <c r="T4051" s="75">
        <f>0.5*(F4050*Q4050+F4051*Q4051)*R4051</f>
        <v>1.1044115882707888</v>
      </c>
      <c r="U4051" s="76">
        <f>U4050+S4051</f>
        <v>59.83118265219405</v>
      </c>
      <c r="V4051" s="76">
        <f>V4050+T4051</f>
        <v>888.0433997799535</v>
      </c>
    </row>
    <row r="4052" spans="1:22" ht="19" customHeight="1">
      <c r="A4052" s="68" t="s">
        <v>378</v>
      </c>
      <c r="B4052" s="74">
        <v>5</v>
      </c>
      <c r="C4052" s="68" t="s">
        <v>363</v>
      </c>
      <c r="D4052" s="68" t="s">
        <v>364</v>
      </c>
      <c r="E4052" s="75">
        <f>60*F4052*'THAM_SO_MOI'!$C$53/(2*PI()*'THAM_SO_MOI'!$C$26)</f>
        <v>2159.6214622167145</v>
      </c>
      <c r="F4052" s="75">
        <f>'HANH_TRINH'!$F$3289+('THAM_SO_MOI'!$C$14-'HANH_TRINH'!$F$3289)*762/'THAM_SO_MOI'!$C$42</f>
        <v>21.919234926344863</v>
      </c>
      <c r="G4052" s="75">
        <f>3.6*F4052</f>
        <v>78.9092457348415</v>
      </c>
      <c r="H4052" s="75">
        <f>'THAM_SO_MOI'!$D$53</f>
        <v>1.1</v>
      </c>
      <c r="I4052" s="75">
        <f>IF(F4052&gt;'THAM_SO_MOI'!$C$14,'THAM_SO_MOI'!$C$13*(1+F4052^2/1500),'THAM_SO_MOI'!$C$13)</f>
        <v>0.015</v>
      </c>
      <c r="J4052" s="75">
        <f>'THAM_SO_MOI'!$C$40*('THAM_SO_MOI'!$C$23*(E4052/'THAM_SO_MOI'!$C$22)+'THAM_SO_MOI'!$C$24*(E4052/'THAM_SO_MOI'!$C$22)^2-'THAM_SO_MOI'!$C$25*(E4052/'THAM_SO_MOI'!$C$22)^3)</f>
        <v>97.25704246314112</v>
      </c>
      <c r="K4052" s="75">
        <f>'THAM_SO_MOI'!$C$31*J4052/E4052</f>
        <v>430.12703689343306</v>
      </c>
      <c r="L4052" s="75">
        <f>K4052*'THAM_SO_MOI'!$C$53*'THAM_SO_MOI'!$C$17/'THAM_SO_MOI'!$C$26</f>
        <v>3772.215796628979</v>
      </c>
      <c r="M4052" s="75">
        <f>'THAM_SO_MOI'!$C$15*'THAM_SO_MOI'!$C$16*F4052^2</f>
        <v>1405.3246147871673</v>
      </c>
      <c r="N4052" s="75">
        <f>'THAM_SO_MOI'!$C$12*I4052</f>
        <v>1130.112</v>
      </c>
      <c r="O4052" s="75">
        <f>M4052+N4052</f>
        <v>2535.4366147871674</v>
      </c>
      <c r="P4052" s="75">
        <f>(MIN(L4052,'THAM_SO_MOI'!$C$41)-O4052)/('THAM_SO_MOI'!$C$11*H4052)</f>
        <v>0.14639905088089628</v>
      </c>
      <c r="Q4052" s="75">
        <f>IF(P4052&gt;0,1/P4052,NA())</f>
        <v>6.830645376338917</v>
      </c>
      <c r="R4052" s="75">
        <f>F4052-F4051</f>
        <v>0.0073885545698715305</v>
      </c>
      <c r="S4052" s="75">
        <f>0.5*(Q4051+Q4052)*R4052</f>
        <v>0.050449377294094315</v>
      </c>
      <c r="T4052" s="75">
        <f>0.5*(F4051*Q4051+F4052*Q4052)*R4052</f>
        <v>1.105625449808122</v>
      </c>
      <c r="U4052" s="76">
        <f>U4051+S4052</f>
        <v>59.881632029488145</v>
      </c>
      <c r="V4052" s="76">
        <f>V4051+T4052</f>
        <v>889.1490252297616</v>
      </c>
    </row>
    <row r="4053" spans="1:22" ht="19" customHeight="1">
      <c r="A4053" s="68" t="s">
        <v>378</v>
      </c>
      <c r="B4053" s="74">
        <v>5</v>
      </c>
      <c r="C4053" s="68" t="s">
        <v>363</v>
      </c>
      <c r="D4053" s="68" t="s">
        <v>364</v>
      </c>
      <c r="E4053" s="75">
        <f>60*F4053*'THAM_SO_MOI'!$C$53/(2*PI()*'THAM_SO_MOI'!$C$26)</f>
        <v>2160.3494292774935</v>
      </c>
      <c r="F4053" s="75">
        <f>'HANH_TRINH'!$F$3289+('THAM_SO_MOI'!$C$14-'HANH_TRINH'!$F$3289)*763/'THAM_SO_MOI'!$C$42</f>
        <v>21.926623480914735</v>
      </c>
      <c r="G4053" s="75">
        <f>3.6*F4053</f>
        <v>78.93584453129304</v>
      </c>
      <c r="H4053" s="75">
        <f>'THAM_SO_MOI'!$D$53</f>
        <v>1.1</v>
      </c>
      <c r="I4053" s="75">
        <f>IF(F4053&gt;'THAM_SO_MOI'!$C$14,'THAM_SO_MOI'!$C$13*(1+F4053^2/1500),'THAM_SO_MOI'!$C$13)</f>
        <v>0.015</v>
      </c>
      <c r="J4053" s="75">
        <f>'THAM_SO_MOI'!$C$40*('THAM_SO_MOI'!$C$23*(E4053/'THAM_SO_MOI'!$C$22)+'THAM_SO_MOI'!$C$24*(E4053/'THAM_SO_MOI'!$C$22)^2-'THAM_SO_MOI'!$C$25*(E4053/'THAM_SO_MOI'!$C$22)^3)</f>
        <v>97.2899326783151</v>
      </c>
      <c r="K4053" s="75">
        <f>'THAM_SO_MOI'!$C$31*J4053/E4053</f>
        <v>430.1275087457742</v>
      </c>
      <c r="L4053" s="75">
        <f>K4053*'THAM_SO_MOI'!$C$53*'THAM_SO_MOI'!$C$17/'THAM_SO_MOI'!$C$26</f>
        <v>3772.219934775857</v>
      </c>
      <c r="M4053" s="75">
        <f>'THAM_SO_MOI'!$C$15*'THAM_SO_MOI'!$C$16*F4053^2</f>
        <v>1406.2721905258693</v>
      </c>
      <c r="N4053" s="75">
        <f>'THAM_SO_MOI'!$C$12*I4053</f>
        <v>1130.112</v>
      </c>
      <c r="O4053" s="75">
        <f>M4053+N4053</f>
        <v>2536.3841905258696</v>
      </c>
      <c r="P4053" s="75">
        <f>(MIN(L4053,'THAM_SO_MOI'!$C$41)-O4053)/('THAM_SO_MOI'!$C$11*H4053)</f>
        <v>0.1462873750295913</v>
      </c>
      <c r="Q4053" s="75">
        <f>IF(P4053&gt;0,1/P4053,NA())</f>
        <v>6.835859894250738</v>
      </c>
      <c r="R4053" s="75">
        <f>F4053-F4052</f>
        <v>0.0073885545698715305</v>
      </c>
      <c r="S4053" s="75">
        <f>0.5*(Q4052+Q4053)*R4053</f>
        <v>0.050487859985594276</v>
      </c>
      <c r="T4053" s="75">
        <f>0.5*(F4052*Q4052+F4053*Q4053)*R4053</f>
        <v>1.1068418512730531</v>
      </c>
      <c r="U4053" s="76">
        <f>U4052+S4053</f>
        <v>59.93211988947374</v>
      </c>
      <c r="V4053" s="76">
        <f>V4052+T4053</f>
        <v>890.2558670810347</v>
      </c>
    </row>
    <row r="4054" spans="1:22" ht="19" customHeight="1">
      <c r="A4054" s="68" t="s">
        <v>378</v>
      </c>
      <c r="B4054" s="74">
        <v>5</v>
      </c>
      <c r="C4054" s="68" t="s">
        <v>363</v>
      </c>
      <c r="D4054" s="68" t="s">
        <v>364</v>
      </c>
      <c r="E4054" s="75">
        <f>60*F4054*'THAM_SO_MOI'!$C$53/(2*PI()*'THAM_SO_MOI'!$C$26)</f>
        <v>2161.0773963382726</v>
      </c>
      <c r="F4054" s="75">
        <f>'HANH_TRINH'!$F$3289+('THAM_SO_MOI'!$C$14-'HANH_TRINH'!$F$3289)*764/'THAM_SO_MOI'!$C$42</f>
        <v>21.934012035484606</v>
      </c>
      <c r="G4054" s="75">
        <f>3.6*F4054</f>
        <v>78.96244332774458</v>
      </c>
      <c r="H4054" s="75">
        <f>'THAM_SO_MOI'!$D$53</f>
        <v>1.1</v>
      </c>
      <c r="I4054" s="75">
        <f>IF(F4054&gt;'THAM_SO_MOI'!$C$14,'THAM_SO_MOI'!$C$13*(1+F4054^2/1500),'THAM_SO_MOI'!$C$13)</f>
        <v>0.015</v>
      </c>
      <c r="J4054" s="75">
        <f>'THAM_SO_MOI'!$C$40*('THAM_SO_MOI'!$C$23*(E4054/'THAM_SO_MOI'!$C$22)+'THAM_SO_MOI'!$C$24*(E4054/'THAM_SO_MOI'!$C$22)^2-'THAM_SO_MOI'!$C$25*(E4054/'THAM_SO_MOI'!$C$22)^3)</f>
        <v>97.32281133275706</v>
      </c>
      <c r="K4054" s="75">
        <f>'THAM_SO_MOI'!$C$31*J4054/E4054</f>
        <v>430.12792918640974</v>
      </c>
      <c r="L4054" s="75">
        <f>K4054*'THAM_SO_MOI'!$C$53*'THAM_SO_MOI'!$C$17/'THAM_SO_MOI'!$C$26</f>
        <v>3772.223622041876</v>
      </c>
      <c r="M4054" s="75">
        <f>'THAM_SO_MOI'!$C$15*'THAM_SO_MOI'!$C$16*F4054^2</f>
        <v>1407.220085620392</v>
      </c>
      <c r="N4054" s="75">
        <f>'THAM_SO_MOI'!$C$12*I4054</f>
        <v>1130.112</v>
      </c>
      <c r="O4054" s="75">
        <f>M4054+N4054</f>
        <v>2537.332085620392</v>
      </c>
      <c r="P4054" s="75">
        <f>(MIN(L4054,'THAM_SO_MOI'!$C$41)-O4054)/('THAM_SO_MOI'!$C$11*H4054)</f>
        <v>0.14617560800443696</v>
      </c>
      <c r="Q4054" s="75">
        <f>IF(P4054&gt;0,1/P4054,NA())</f>
        <v>6.8410866467519424</v>
      </c>
      <c r="R4054" s="75">
        <f>F4054-F4053</f>
        <v>0.0073885545698715305</v>
      </c>
      <c r="S4054" s="75">
        <f>0.5*(Q4053+Q4054)*R4054</f>
        <v>0.05052643293370699</v>
      </c>
      <c r="T4054" s="75">
        <f>0.5*(F4053*Q4053+F4054*Q4054)*R4054</f>
        <v>1.108060800757629</v>
      </c>
      <c r="U4054" s="76">
        <f>U4053+S4054</f>
        <v>59.98264632240745</v>
      </c>
      <c r="V4054" s="76">
        <f>V4053+T4054</f>
        <v>891.3639278817923</v>
      </c>
    </row>
    <row r="4055" spans="1:22" ht="19" customHeight="1">
      <c r="A4055" s="68" t="s">
        <v>378</v>
      </c>
      <c r="B4055" s="74">
        <v>5</v>
      </c>
      <c r="C4055" s="68" t="s">
        <v>363</v>
      </c>
      <c r="D4055" s="68" t="s">
        <v>364</v>
      </c>
      <c r="E4055" s="75">
        <f>60*F4055*'THAM_SO_MOI'!$C$53/(2*PI()*'THAM_SO_MOI'!$C$26)</f>
        <v>2161.805363399051</v>
      </c>
      <c r="F4055" s="75">
        <f>'HANH_TRINH'!$F$3289+('THAM_SO_MOI'!$C$14-'HANH_TRINH'!$F$3289)*765/'THAM_SO_MOI'!$C$42</f>
        <v>21.941400590054478</v>
      </c>
      <c r="G4055" s="75">
        <f>3.6*F4055</f>
        <v>78.98904212419612</v>
      </c>
      <c r="H4055" s="75">
        <f>'THAM_SO_MOI'!$D$53</f>
        <v>1.1</v>
      </c>
      <c r="I4055" s="75">
        <f>IF(F4055&gt;'THAM_SO_MOI'!$C$14,'THAM_SO_MOI'!$C$13*(1+F4055^2/1500),'THAM_SO_MOI'!$C$13)</f>
        <v>0.015</v>
      </c>
      <c r="J4055" s="75">
        <f>'THAM_SO_MOI'!$C$40*('THAM_SO_MOI'!$C$23*(E4055/'THAM_SO_MOI'!$C$22)+'THAM_SO_MOI'!$C$24*(E4055/'THAM_SO_MOI'!$C$22)^2-'THAM_SO_MOI'!$C$25*(E4055/'THAM_SO_MOI'!$C$22)^3)</f>
        <v>97.35567841471146</v>
      </c>
      <c r="K4055" s="75">
        <f>'THAM_SO_MOI'!$C$31*J4055/E4055</f>
        <v>430.12829821533984</v>
      </c>
      <c r="L4055" s="75">
        <f>K4055*'THAM_SO_MOI'!$C$53*'THAM_SO_MOI'!$C$17/'THAM_SO_MOI'!$C$26</f>
        <v>3772.226858427037</v>
      </c>
      <c r="M4055" s="75">
        <f>'THAM_SO_MOI'!$C$15*'THAM_SO_MOI'!$C$16*F4055^2</f>
        <v>1408.168300070736</v>
      </c>
      <c r="N4055" s="75">
        <f>'THAM_SO_MOI'!$C$12*I4055</f>
        <v>1130.112</v>
      </c>
      <c r="O4055" s="75">
        <f>M4055+N4055</f>
        <v>2538.2803000707363</v>
      </c>
      <c r="P4055" s="75">
        <f>(MIN(L4055,'THAM_SO_MOI'!$C$41)-O4055)/('THAM_SO_MOI'!$C$11*H4055)</f>
        <v>0.1460637498054333</v>
      </c>
      <c r="Q4055" s="75">
        <f>IF(P4055&gt;0,1/P4055,NA())</f>
        <v>6.846325671715721</v>
      </c>
      <c r="R4055" s="75">
        <f>F4055-F4054</f>
        <v>0.0073885545698715305</v>
      </c>
      <c r="S4055" s="75">
        <f>0.5*(Q4054+Q4055)*R4055</f>
        <v>0.050565096417665066</v>
      </c>
      <c r="T4055" s="75">
        <f>0.5*(F4054*Q4054+F4055*Q4055)*R4055</f>
        <v>1.1092823063881723</v>
      </c>
      <c r="U4055" s="76">
        <f>U4054+S4055</f>
        <v>60.03321141882511</v>
      </c>
      <c r="V4055" s="76">
        <f>V4054+T4055</f>
        <v>892.4732101881805</v>
      </c>
    </row>
    <row r="4056" spans="1:22" ht="19" customHeight="1">
      <c r="A4056" s="68" t="s">
        <v>378</v>
      </c>
      <c r="B4056" s="74">
        <v>5</v>
      </c>
      <c r="C4056" s="68" t="s">
        <v>363</v>
      </c>
      <c r="D4056" s="68" t="s">
        <v>364</v>
      </c>
      <c r="E4056" s="75">
        <f>60*F4056*'THAM_SO_MOI'!$C$53/(2*PI()*'THAM_SO_MOI'!$C$26)</f>
        <v>2162.5333304598303</v>
      </c>
      <c r="F4056" s="75">
        <f>'HANH_TRINH'!$F$3289+('THAM_SO_MOI'!$C$14-'HANH_TRINH'!$F$3289)*766/'THAM_SO_MOI'!$C$42</f>
        <v>21.94878914462435</v>
      </c>
      <c r="G4056" s="75">
        <f>3.6*F4056</f>
        <v>79.01564092064766</v>
      </c>
      <c r="H4056" s="75">
        <f>'THAM_SO_MOI'!$D$53</f>
        <v>1.1</v>
      </c>
      <c r="I4056" s="75">
        <f>IF(F4056&gt;'THAM_SO_MOI'!$C$14,'THAM_SO_MOI'!$C$13*(1+F4056^2/1500),'THAM_SO_MOI'!$C$13)</f>
        <v>0.015</v>
      </c>
      <c r="J4056" s="75">
        <f>'THAM_SO_MOI'!$C$40*('THAM_SO_MOI'!$C$23*(E4056/'THAM_SO_MOI'!$C$22)+'THAM_SO_MOI'!$C$24*(E4056/'THAM_SO_MOI'!$C$22)^2-'THAM_SO_MOI'!$C$25*(E4056/'THAM_SO_MOI'!$C$22)^3)</f>
        <v>97.38853391242293</v>
      </c>
      <c r="K4056" s="75">
        <f>'THAM_SO_MOI'!$C$31*J4056/E4056</f>
        <v>430.1286158325648</v>
      </c>
      <c r="L4056" s="75">
        <f>K4056*'THAM_SO_MOI'!$C$53*'THAM_SO_MOI'!$C$17/'THAM_SO_MOI'!$C$26</f>
        <v>3772.2296439313427</v>
      </c>
      <c r="M4056" s="75">
        <f>'THAM_SO_MOI'!$C$15*'THAM_SO_MOI'!$C$16*F4056^2</f>
        <v>1409.1168338769007</v>
      </c>
      <c r="N4056" s="75">
        <f>'THAM_SO_MOI'!$C$12*I4056</f>
        <v>1130.112</v>
      </c>
      <c r="O4056" s="75">
        <f>M4056+N4056</f>
        <v>2539.228833876901</v>
      </c>
      <c r="P4056" s="75">
        <f>(MIN(L4056,'THAM_SO_MOI'!$C$41)-O4056)/('THAM_SO_MOI'!$C$11*H4056)</f>
        <v>0.14595180043258071</v>
      </c>
      <c r="Q4056" s="75">
        <f>IF(P4056&gt;0,1/P4056,NA())</f>
        <v>6.8515770071773</v>
      </c>
      <c r="R4056" s="75">
        <f>F4056-F4055</f>
        <v>0.0073885545698715305</v>
      </c>
      <c r="S4056" s="75">
        <f>0.5*(Q4055+Q4056)*R4056</f>
        <v>0.050603850717895256</v>
      </c>
      <c r="T4056" s="75">
        <f>0.5*(F4055*Q4055+F4056*Q4056)*R4056</f>
        <v>1.1105063763254637</v>
      </c>
      <c r="U4056" s="76">
        <f>U4055+S4056</f>
        <v>60.08381526954301</v>
      </c>
      <c r="V4056" s="76">
        <f>V4055+T4056</f>
        <v>893.583716564506</v>
      </c>
    </row>
    <row r="4057" spans="1:22" ht="19" customHeight="1">
      <c r="A4057" s="68" t="s">
        <v>378</v>
      </c>
      <c r="B4057" s="74">
        <v>5</v>
      </c>
      <c r="C4057" s="68" t="s">
        <v>363</v>
      </c>
      <c r="D4057" s="68" t="s">
        <v>364</v>
      </c>
      <c r="E4057" s="75">
        <f>60*F4057*'THAM_SO_MOI'!$C$53/(2*PI()*'THAM_SO_MOI'!$C$26)</f>
        <v>2163.2612975206093</v>
      </c>
      <c r="F4057" s="75">
        <f>'HANH_TRINH'!$F$3289+('THAM_SO_MOI'!$C$14-'HANH_TRINH'!$F$3289)*767/'THAM_SO_MOI'!$C$42</f>
        <v>21.95617769919422</v>
      </c>
      <c r="G4057" s="75">
        <f>3.6*F4057</f>
        <v>79.04223971709919</v>
      </c>
      <c r="H4057" s="75">
        <f>'THAM_SO_MOI'!$D$53</f>
        <v>1.1</v>
      </c>
      <c r="I4057" s="75">
        <f>IF(F4057&gt;'THAM_SO_MOI'!$C$14,'THAM_SO_MOI'!$C$13*(1+F4057^2/1500),'THAM_SO_MOI'!$C$13)</f>
        <v>0.015</v>
      </c>
      <c r="J4057" s="75">
        <f>'THAM_SO_MOI'!$C$40*('THAM_SO_MOI'!$C$23*(E4057/'THAM_SO_MOI'!$C$22)+'THAM_SO_MOI'!$C$24*(E4057/'THAM_SO_MOI'!$C$22)^2-'THAM_SO_MOI'!$C$25*(E4057/'THAM_SO_MOI'!$C$22)^3)</f>
        <v>97.4213778141358</v>
      </c>
      <c r="K4057" s="75">
        <f>'THAM_SO_MOI'!$C$31*J4057/E4057</f>
        <v>430.128882038084</v>
      </c>
      <c r="L4057" s="75">
        <f>K4057*'THAM_SO_MOI'!$C$53*'THAM_SO_MOI'!$C$17/'THAM_SO_MOI'!$C$26</f>
        <v>3772.2319785547875</v>
      </c>
      <c r="M4057" s="75">
        <f>'THAM_SO_MOI'!$C$15*'THAM_SO_MOI'!$C$16*F4057^2</f>
        <v>1410.0656870388864</v>
      </c>
      <c r="N4057" s="75">
        <f>'THAM_SO_MOI'!$C$12*I4057</f>
        <v>1130.112</v>
      </c>
      <c r="O4057" s="75">
        <f>M4057+N4057</f>
        <v>2540.1776870388867</v>
      </c>
      <c r="P4057" s="75">
        <f>(MIN(L4057,'THAM_SO_MOI'!$C$41)-O4057)/('THAM_SO_MOI'!$C$11*H4057)</f>
        <v>0.14583975988587847</v>
      </c>
      <c r="Q4057" s="75">
        <f>IF(P4057&gt;0,1/P4057,NA())</f>
        <v>6.856840691334881</v>
      </c>
      <c r="R4057" s="75">
        <f>F4057-F4056</f>
        <v>0.0073885545698715305</v>
      </c>
      <c r="S4057" s="75">
        <f>0.5*(Q4056+Q4057)*R4057</f>
        <v>0.050642696116024975</v>
      </c>
      <c r="T4057" s="75">
        <f>0.5*(F4056*Q4056+F4057*Q4057)*R4057</f>
        <v>1.1117330187649295</v>
      </c>
      <c r="U4057" s="76">
        <f>U4056+S4057</f>
        <v>60.13445796565903</v>
      </c>
      <c r="V4057" s="76">
        <f>V4056+T4057</f>
        <v>894.6954495832708</v>
      </c>
    </row>
    <row r="4058" spans="1:22" ht="19" customHeight="1">
      <c r="A4058" s="68" t="s">
        <v>378</v>
      </c>
      <c r="B4058" s="74">
        <v>5</v>
      </c>
      <c r="C4058" s="68" t="s">
        <v>363</v>
      </c>
      <c r="D4058" s="68" t="s">
        <v>364</v>
      </c>
      <c r="E4058" s="75">
        <f>60*F4058*'THAM_SO_MOI'!$C$53/(2*PI()*'THAM_SO_MOI'!$C$26)</f>
        <v>2163.989264581388</v>
      </c>
      <c r="F4058" s="75">
        <f>'HANH_TRINH'!$F$3289+('THAM_SO_MOI'!$C$14-'HANH_TRINH'!$F$3289)*768/'THAM_SO_MOI'!$C$42</f>
        <v>21.963566253764093</v>
      </c>
      <c r="G4058" s="75">
        <f>3.6*F4058</f>
        <v>79.06883851355073</v>
      </c>
      <c r="H4058" s="75">
        <f>'THAM_SO_MOI'!$D$53</f>
        <v>1.1</v>
      </c>
      <c r="I4058" s="75">
        <f>IF(F4058&gt;'THAM_SO_MOI'!$C$14,'THAM_SO_MOI'!$C$13*(1+F4058^2/1500),'THAM_SO_MOI'!$C$13)</f>
        <v>0.015</v>
      </c>
      <c r="J4058" s="75">
        <f>'THAM_SO_MOI'!$C$40*('THAM_SO_MOI'!$C$23*(E4058/'THAM_SO_MOI'!$C$22)+'THAM_SO_MOI'!$C$24*(E4058/'THAM_SO_MOI'!$C$22)^2-'THAM_SO_MOI'!$C$25*(E4058/'THAM_SO_MOI'!$C$22)^3)</f>
        <v>97.4542101080946</v>
      </c>
      <c r="K4058" s="75">
        <f>'THAM_SO_MOI'!$C$31*J4058/E4058</f>
        <v>430.12909683189787</v>
      </c>
      <c r="L4058" s="75">
        <f>K4058*'THAM_SO_MOI'!$C$53*'THAM_SO_MOI'!$C$17/'THAM_SO_MOI'!$C$26</f>
        <v>3772.2338622973757</v>
      </c>
      <c r="M4058" s="75">
        <f>'THAM_SO_MOI'!$C$15*'THAM_SO_MOI'!$C$16*F4058^2</f>
        <v>1411.0148595566932</v>
      </c>
      <c r="N4058" s="75">
        <f>'THAM_SO_MOI'!$C$12*I4058</f>
        <v>1130.112</v>
      </c>
      <c r="O4058" s="75">
        <f>M4058+N4058</f>
        <v>2541.1268595566935</v>
      </c>
      <c r="P4058" s="75">
        <f>(MIN(L4058,'THAM_SO_MOI'!$C$41)-O4058)/('THAM_SO_MOI'!$C$11*H4058)</f>
        <v>0.14572762816532697</v>
      </c>
      <c r="Q4058" s="75">
        <f>IF(P4058&gt;0,1/P4058,NA())</f>
        <v>6.862116762550386</v>
      </c>
      <c r="R4058" s="75">
        <f>F4058-F4057</f>
        <v>0.0073885545698715305</v>
      </c>
      <c r="S4058" s="75">
        <f>0.5*(Q4057+Q4058)*R4058</f>
        <v>0.05068163289488854</v>
      </c>
      <c r="T4058" s="75">
        <f>0.5*(F4057*Q4057+F4058*Q4058)*R4058</f>
        <v>1.1129622419368232</v>
      </c>
      <c r="U4058" s="76">
        <f>U4057+S4058</f>
        <v>60.18513959855392</v>
      </c>
      <c r="V4058" s="76">
        <f>V4057+T4058</f>
        <v>895.8084118252076</v>
      </c>
    </row>
    <row r="4059" spans="1:22" ht="19" customHeight="1">
      <c r="A4059" s="68" t="s">
        <v>378</v>
      </c>
      <c r="B4059" s="74">
        <v>5</v>
      </c>
      <c r="C4059" s="68" t="s">
        <v>363</v>
      </c>
      <c r="D4059" s="68" t="s">
        <v>364</v>
      </c>
      <c r="E4059" s="75">
        <f>60*F4059*'THAM_SO_MOI'!$C$53/(2*PI()*'THAM_SO_MOI'!$C$26)</f>
        <v>2164.717231642167</v>
      </c>
      <c r="F4059" s="75">
        <f>'HANH_TRINH'!$F$3289+('THAM_SO_MOI'!$C$14-'HANH_TRINH'!$F$3289)*769/'THAM_SO_MOI'!$C$42</f>
        <v>21.970954808333964</v>
      </c>
      <c r="G4059" s="75">
        <f>3.6*F4059</f>
        <v>79.09543731000227</v>
      </c>
      <c r="H4059" s="75">
        <f>'THAM_SO_MOI'!$D$53</f>
        <v>1.1</v>
      </c>
      <c r="I4059" s="75">
        <f>IF(F4059&gt;'THAM_SO_MOI'!$C$14,'THAM_SO_MOI'!$C$13*(1+F4059^2/1500),'THAM_SO_MOI'!$C$13)</f>
        <v>0.015</v>
      </c>
      <c r="J4059" s="75">
        <f>'THAM_SO_MOI'!$C$40*('THAM_SO_MOI'!$C$23*(E4059/'THAM_SO_MOI'!$C$22)+'THAM_SO_MOI'!$C$24*(E4059/'THAM_SO_MOI'!$C$22)^2-'THAM_SO_MOI'!$C$25*(E4059/'THAM_SO_MOI'!$C$22)^3)</f>
        <v>97.48703078254385</v>
      </c>
      <c r="K4059" s="75">
        <f>'THAM_SO_MOI'!$C$31*J4059/E4059</f>
        <v>430.12926021400637</v>
      </c>
      <c r="L4059" s="75">
        <f>K4059*'THAM_SO_MOI'!$C$53*'THAM_SO_MOI'!$C$17/'THAM_SO_MOI'!$C$26</f>
        <v>3772.235295159106</v>
      </c>
      <c r="M4059" s="75">
        <f>'THAM_SO_MOI'!$C$15*'THAM_SO_MOI'!$C$16*F4059^2</f>
        <v>1411.9643514303211</v>
      </c>
      <c r="N4059" s="75">
        <f>'THAM_SO_MOI'!$C$12*I4059</f>
        <v>1130.112</v>
      </c>
      <c r="O4059" s="75">
        <f>M4059+N4059</f>
        <v>2542.076351430321</v>
      </c>
      <c r="P4059" s="75">
        <f>(MIN(L4059,'THAM_SO_MOI'!$C$41)-O4059)/('THAM_SO_MOI'!$C$11*H4059)</f>
        <v>0.14561540527092623</v>
      </c>
      <c r="Q4059" s="75">
        <f>IF(P4059&gt;0,1/P4059,NA())</f>
        <v>6.8674052593504085</v>
      </c>
      <c r="R4059" s="75">
        <f>F4059-F4058</f>
        <v>0.0073885545698715305</v>
      </c>
      <c r="S4059" s="75">
        <f>0.5*(Q4058+Q4059)*R4059</f>
        <v>0.050720661338533465</v>
      </c>
      <c r="T4059" s="75">
        <f>0.5*(F4058*Q4058+F4059*Q4059)*R4059</f>
        <v>1.1141940541064073</v>
      </c>
      <c r="U4059" s="76">
        <f>U4058+S4059</f>
        <v>60.23586025989245</v>
      </c>
      <c r="V4059" s="76">
        <f>V4058+T4059</f>
        <v>896.922605879314</v>
      </c>
    </row>
    <row r="4060" spans="1:22" ht="19" customHeight="1">
      <c r="A4060" s="68" t="s">
        <v>378</v>
      </c>
      <c r="B4060" s="74">
        <v>5</v>
      </c>
      <c r="C4060" s="68" t="s">
        <v>363</v>
      </c>
      <c r="D4060" s="68" t="s">
        <v>364</v>
      </c>
      <c r="E4060" s="75">
        <f>60*F4060*'THAM_SO_MOI'!$C$53/(2*PI()*'THAM_SO_MOI'!$C$26)</f>
        <v>2165.445198702946</v>
      </c>
      <c r="F4060" s="75">
        <f>'HANH_TRINH'!$F$3289+('THAM_SO_MOI'!$C$14-'HANH_TRINH'!$F$3289)*770/'THAM_SO_MOI'!$C$42</f>
        <v>21.97834336290384</v>
      </c>
      <c r="G4060" s="75">
        <f>3.6*F4060</f>
        <v>79.12203610645382</v>
      </c>
      <c r="H4060" s="75">
        <f>'THAM_SO_MOI'!$D$53</f>
        <v>1.1</v>
      </c>
      <c r="I4060" s="75">
        <f>IF(F4060&gt;'THAM_SO_MOI'!$C$14,'THAM_SO_MOI'!$C$13*(1+F4060^2/1500),'THAM_SO_MOI'!$C$13)</f>
        <v>0.015</v>
      </c>
      <c r="J4060" s="75">
        <f>'THAM_SO_MOI'!$C$40*('THAM_SO_MOI'!$C$23*(E4060/'THAM_SO_MOI'!$C$22)+'THAM_SO_MOI'!$C$24*(E4060/'THAM_SO_MOI'!$C$22)^2-'THAM_SO_MOI'!$C$25*(E4060/'THAM_SO_MOI'!$C$22)^3)</f>
        <v>97.51983982572804</v>
      </c>
      <c r="K4060" s="75">
        <f>'THAM_SO_MOI'!$C$31*J4060/E4060</f>
        <v>430.1293721844094</v>
      </c>
      <c r="L4060" s="75">
        <f>K4060*'THAM_SO_MOI'!$C$53*'THAM_SO_MOI'!$C$17/'THAM_SO_MOI'!$C$26</f>
        <v>3772.23627713998</v>
      </c>
      <c r="M4060" s="75">
        <f>'THAM_SO_MOI'!$C$15*'THAM_SO_MOI'!$C$16*F4060^2</f>
        <v>1412.9141626597705</v>
      </c>
      <c r="N4060" s="75">
        <f>'THAM_SO_MOI'!$C$12*I4060</f>
        <v>1130.112</v>
      </c>
      <c r="O4060" s="75">
        <f>M4060+N4060</f>
        <v>2543.0261626597703</v>
      </c>
      <c r="P4060" s="75">
        <f>(MIN(L4060,'THAM_SO_MOI'!$C$41)-O4060)/('THAM_SO_MOI'!$C$11*H4060)</f>
        <v>0.14550309120267627</v>
      </c>
      <c r="Q4060" s="75">
        <f>IF(P4060&gt;0,1/P4060,NA())</f>
        <v>6.872706220427067</v>
      </c>
      <c r="R4060" s="75">
        <f>F4060-F4059</f>
        <v>0.007388554569875083</v>
      </c>
      <c r="S4060" s="75">
        <f>0.5*(Q4059+Q4060)*R4060</f>
        <v>0.05075978173225148</v>
      </c>
      <c r="T4060" s="75">
        <f>0.5*(F4059*Q4059+F4060*Q4060)*R4060</f>
        <v>1.11542846357468</v>
      </c>
      <c r="U4060" s="76">
        <f>U4059+S4060</f>
        <v>60.2866200416247</v>
      </c>
      <c r="V4060" s="76">
        <f>V4059+T4060</f>
        <v>898.0380343428886</v>
      </c>
    </row>
    <row r="4061" spans="1:22" ht="19" customHeight="1">
      <c r="A4061" s="68" t="s">
        <v>378</v>
      </c>
      <c r="B4061" s="74">
        <v>5</v>
      </c>
      <c r="C4061" s="68" t="s">
        <v>363</v>
      </c>
      <c r="D4061" s="68" t="s">
        <v>364</v>
      </c>
      <c r="E4061" s="75">
        <f>60*F4061*'THAM_SO_MOI'!$C$53/(2*PI()*'THAM_SO_MOI'!$C$26)</f>
        <v>2166.173165763725</v>
      </c>
      <c r="F4061" s="75">
        <f>'HANH_TRINH'!$F$3289+('THAM_SO_MOI'!$C$14-'HANH_TRINH'!$F$3289)*771/'THAM_SO_MOI'!$C$42</f>
        <v>21.98573191747371</v>
      </c>
      <c r="G4061" s="75">
        <f>3.6*F4061</f>
        <v>79.14863490290536</v>
      </c>
      <c r="H4061" s="75">
        <f>'THAM_SO_MOI'!$D$53</f>
        <v>1.1</v>
      </c>
      <c r="I4061" s="75">
        <f>IF(F4061&gt;'THAM_SO_MOI'!$C$14,'THAM_SO_MOI'!$C$13*(1+F4061^2/1500),'THAM_SO_MOI'!$C$13)</f>
        <v>0.015</v>
      </c>
      <c r="J4061" s="75">
        <f>'THAM_SO_MOI'!$C$40*('THAM_SO_MOI'!$C$23*(E4061/'THAM_SO_MOI'!$C$22)+'THAM_SO_MOI'!$C$24*(E4061/'THAM_SO_MOI'!$C$22)^2-'THAM_SO_MOI'!$C$25*(E4061/'THAM_SO_MOI'!$C$22)^3)</f>
        <v>97.55263722589159</v>
      </c>
      <c r="K4061" s="75">
        <f>'THAM_SO_MOI'!$C$31*J4061/E4061</f>
        <v>430.129432743107</v>
      </c>
      <c r="L4061" s="75">
        <f>K4061*'THAM_SO_MOI'!$C$53*'THAM_SO_MOI'!$C$17/'THAM_SO_MOI'!$C$26</f>
        <v>3772.2368082399944</v>
      </c>
      <c r="M4061" s="75">
        <f>'THAM_SO_MOI'!$C$15*'THAM_SO_MOI'!$C$16*F4061^2</f>
        <v>1413.8642932450402</v>
      </c>
      <c r="N4061" s="75">
        <f>'THAM_SO_MOI'!$C$12*I4061</f>
        <v>1130.112</v>
      </c>
      <c r="O4061" s="75">
        <f>M4061+N4061</f>
        <v>2543.9762932450403</v>
      </c>
      <c r="P4061" s="75">
        <f>(MIN(L4061,'THAM_SO_MOI'!$C$41)-O4061)/('THAM_SO_MOI'!$C$11*H4061)</f>
        <v>0.14539068596057694</v>
      </c>
      <c r="Q4061" s="75">
        <f>IF(P4061&gt;0,1/P4061,NA())</f>
        <v>6.878019684638895</v>
      </c>
      <c r="R4061" s="75">
        <f>F4061-F4060</f>
        <v>0.0073885545698715305</v>
      </c>
      <c r="S4061" s="75">
        <f>0.5*(Q4060+Q4061)*R4061</f>
        <v>0.050798994362462976</v>
      </c>
      <c r="T4061" s="75">
        <f>0.5*(F4060*Q4060+F4061*Q4061)*R4061</f>
        <v>1.1166654786758825</v>
      </c>
      <c r="U4061" s="76">
        <f>U4060+S4061</f>
        <v>60.33741903598717</v>
      </c>
      <c r="V4061" s="76">
        <f>V4060+T4061</f>
        <v>899.1546998215645</v>
      </c>
    </row>
    <row r="4062" spans="1:22" ht="19" customHeight="1">
      <c r="A4062" s="68" t="s">
        <v>378</v>
      </c>
      <c r="B4062" s="74">
        <v>5</v>
      </c>
      <c r="C4062" s="68" t="s">
        <v>363</v>
      </c>
      <c r="D4062" s="68" t="s">
        <v>364</v>
      </c>
      <c r="E4062" s="75">
        <f>60*F4062*'THAM_SO_MOI'!$C$53/(2*PI()*'THAM_SO_MOI'!$C$26)</f>
        <v>2166.901132824504</v>
      </c>
      <c r="F4062" s="75">
        <f>'HANH_TRINH'!$F$3289+('THAM_SO_MOI'!$C$14-'HANH_TRINH'!$F$3289)*772/'THAM_SO_MOI'!$C$42</f>
        <v>21.993120472043582</v>
      </c>
      <c r="G4062" s="75">
        <f>3.6*F4062</f>
        <v>79.1752336993569</v>
      </c>
      <c r="H4062" s="75">
        <f>'THAM_SO_MOI'!$D$53</f>
        <v>1.1</v>
      </c>
      <c r="I4062" s="75">
        <f>IF(F4062&gt;'THAM_SO_MOI'!$C$14,'THAM_SO_MOI'!$C$13*(1+F4062^2/1500),'THAM_SO_MOI'!$C$13)</f>
        <v>0.015</v>
      </c>
      <c r="J4062" s="75">
        <f>'THAM_SO_MOI'!$C$40*('THAM_SO_MOI'!$C$23*(E4062/'THAM_SO_MOI'!$C$22)+'THAM_SO_MOI'!$C$24*(E4062/'THAM_SO_MOI'!$C$22)^2-'THAM_SO_MOI'!$C$25*(E4062/'THAM_SO_MOI'!$C$22)^3)</f>
        <v>97.585422971279</v>
      </c>
      <c r="K4062" s="75">
        <f>'THAM_SO_MOI'!$C$31*J4062/E4062</f>
        <v>430.129441890099</v>
      </c>
      <c r="L4062" s="75">
        <f>K4062*'THAM_SO_MOI'!$C$53*'THAM_SO_MOI'!$C$17/'THAM_SO_MOI'!$C$26</f>
        <v>3772.236888459149</v>
      </c>
      <c r="M4062" s="75">
        <f>'THAM_SO_MOI'!$C$15*'THAM_SO_MOI'!$C$16*F4062^2</f>
        <v>1414.814743186131</v>
      </c>
      <c r="N4062" s="75">
        <f>'THAM_SO_MOI'!$C$12*I4062</f>
        <v>1130.112</v>
      </c>
      <c r="O4062" s="75">
        <f>M4062+N4062</f>
        <v>2544.926743186131</v>
      </c>
      <c r="P4062" s="75">
        <f>(MIN(L4062,'THAM_SO_MOI'!$C$41)-O4062)/('THAM_SO_MOI'!$C$11*H4062)</f>
        <v>0.14527818954462807</v>
      </c>
      <c r="Q4062" s="75">
        <f>IF(P4062&gt;0,1/P4062,NA())</f>
        <v>6.883345691011724</v>
      </c>
      <c r="R4062" s="75">
        <f>F4062-F4061</f>
        <v>0.0073885545698715305</v>
      </c>
      <c r="S4062" s="75">
        <f>0.5*(Q4061+Q4062)*R4062</f>
        <v>0.05083829951696762</v>
      </c>
      <c r="T4062" s="75">
        <f>0.5*(F4061*Q4061+F4062*Q4062)*R4062</f>
        <v>1.1179051077830489</v>
      </c>
      <c r="U4062" s="76">
        <f>U4061+S4062</f>
        <v>60.388257335504136</v>
      </c>
      <c r="V4062" s="76">
        <f>V4061+T4062</f>
        <v>900.2726049293475</v>
      </c>
    </row>
    <row r="4063" spans="1:22" ht="19" customHeight="1">
      <c r="A4063" s="68" t="s">
        <v>378</v>
      </c>
      <c r="B4063" s="74">
        <v>5</v>
      </c>
      <c r="C4063" s="68" t="s">
        <v>363</v>
      </c>
      <c r="D4063" s="68" t="s">
        <v>364</v>
      </c>
      <c r="E4063" s="75">
        <f>60*F4063*'THAM_SO_MOI'!$C$53/(2*PI()*'THAM_SO_MOI'!$C$26)</f>
        <v>2167.629099885283</v>
      </c>
      <c r="F4063" s="75">
        <f>'HANH_TRINH'!$F$3289+('THAM_SO_MOI'!$C$14-'HANH_TRINH'!$F$3289)*773/'THAM_SO_MOI'!$C$42</f>
        <v>22.000509026613454</v>
      </c>
      <c r="G4063" s="75">
        <f>3.6*F4063</f>
        <v>79.20183249580843</v>
      </c>
      <c r="H4063" s="75">
        <f>'THAM_SO_MOI'!$D$53</f>
        <v>1.1</v>
      </c>
      <c r="I4063" s="75">
        <f>IF(F4063&gt;'THAM_SO_MOI'!$C$14,'THAM_SO_MOI'!$C$13*(1+F4063^2/1500),'THAM_SO_MOI'!$C$13)</f>
        <v>0.015</v>
      </c>
      <c r="J4063" s="75">
        <f>'THAM_SO_MOI'!$C$40*('THAM_SO_MOI'!$C$23*(E4063/'THAM_SO_MOI'!$C$22)+'THAM_SO_MOI'!$C$24*(E4063/'THAM_SO_MOI'!$C$22)^2-'THAM_SO_MOI'!$C$25*(E4063/'THAM_SO_MOI'!$C$22)^3)</f>
        <v>97.61819705013481</v>
      </c>
      <c r="K4063" s="75">
        <f>'THAM_SO_MOI'!$C$31*J4063/E4063</f>
        <v>430.1293996253858</v>
      </c>
      <c r="L4063" s="75">
        <f>K4063*'THAM_SO_MOI'!$C$53*'THAM_SO_MOI'!$C$17/'THAM_SO_MOI'!$C$26</f>
        <v>3772.2365177974502</v>
      </c>
      <c r="M4063" s="75">
        <f>'THAM_SO_MOI'!$C$15*'THAM_SO_MOI'!$C$16*F4063^2</f>
        <v>1415.7655124830426</v>
      </c>
      <c r="N4063" s="75">
        <f>'THAM_SO_MOI'!$C$12*I4063</f>
        <v>1130.112</v>
      </c>
      <c r="O4063" s="75">
        <f>M4063+N4063</f>
        <v>2545.8775124830427</v>
      </c>
      <c r="P4063" s="75">
        <f>(MIN(L4063,'THAM_SO_MOI'!$C$41)-O4063)/('THAM_SO_MOI'!$C$11*H4063)</f>
        <v>0.14516560195483044</v>
      </c>
      <c r="Q4063" s="75">
        <f>IF(P4063&gt;0,1/P4063,NA())</f>
        <v>6.888684278739524</v>
      </c>
      <c r="R4063" s="75">
        <f>F4063-F4062</f>
        <v>0.0073885545698715305</v>
      </c>
      <c r="S4063" s="75">
        <f>0.5*(Q4062+Q4063)*R4063</f>
        <v>0.05087769748470663</v>
      </c>
      <c r="T4063" s="75">
        <f>0.5*(F4062*Q4062+F4063*Q4063)*R4063</f>
        <v>1.119147359302831</v>
      </c>
      <c r="U4063" s="76">
        <f>U4062+S4063</f>
        <v>60.439135032988844</v>
      </c>
      <c r="V4063" s="76">
        <f>V4062+T4063</f>
        <v>901.3917522886503</v>
      </c>
    </row>
    <row r="4064" spans="1:22" ht="19" customHeight="1">
      <c r="A4064" s="68" t="s">
        <v>378</v>
      </c>
      <c r="B4064" s="74">
        <v>5</v>
      </c>
      <c r="C4064" s="68" t="s">
        <v>363</v>
      </c>
      <c r="D4064" s="68" t="s">
        <v>364</v>
      </c>
      <c r="E4064" s="75">
        <f>60*F4064*'THAM_SO_MOI'!$C$53/(2*PI()*'THAM_SO_MOI'!$C$26)</f>
        <v>2168.3570669460623</v>
      </c>
      <c r="F4064" s="75">
        <f>'HANH_TRINH'!$F$3289+('THAM_SO_MOI'!$C$14-'HANH_TRINH'!$F$3289)*774/'THAM_SO_MOI'!$C$42</f>
        <v>22.00789758118333</v>
      </c>
      <c r="G4064" s="75">
        <f>3.6*F4064</f>
        <v>79.22843129225998</v>
      </c>
      <c r="H4064" s="75">
        <f>'THAM_SO_MOI'!$D$53</f>
        <v>1.1</v>
      </c>
      <c r="I4064" s="75">
        <f>IF(F4064&gt;'THAM_SO_MOI'!$C$14,'THAM_SO_MOI'!$C$13*(1+F4064^2/1500),'THAM_SO_MOI'!$C$13)</f>
        <v>0.015</v>
      </c>
      <c r="J4064" s="75">
        <f>'THAM_SO_MOI'!$C$40*('THAM_SO_MOI'!$C$23*(E4064/'THAM_SO_MOI'!$C$22)+'THAM_SO_MOI'!$C$24*(E4064/'THAM_SO_MOI'!$C$22)^2-'THAM_SO_MOI'!$C$25*(E4064/'THAM_SO_MOI'!$C$22)^3)</f>
        <v>97.65095945070348</v>
      </c>
      <c r="K4064" s="75">
        <f>'THAM_SO_MOI'!$C$31*J4064/E4064</f>
        <v>430.1293059489671</v>
      </c>
      <c r="L4064" s="75">
        <f>K4064*'THAM_SO_MOI'!$C$53*'THAM_SO_MOI'!$C$17/'THAM_SO_MOI'!$C$26</f>
        <v>3772.235696254891</v>
      </c>
      <c r="M4064" s="75">
        <f>'THAM_SO_MOI'!$C$15*'THAM_SO_MOI'!$C$16*F4064^2</f>
        <v>1416.7166011357758</v>
      </c>
      <c r="N4064" s="75">
        <f>'THAM_SO_MOI'!$C$12*I4064</f>
        <v>1130.112</v>
      </c>
      <c r="O4064" s="75">
        <f>M4064+N4064</f>
        <v>2546.828601135776</v>
      </c>
      <c r="P4064" s="75">
        <f>(MIN(L4064,'THAM_SO_MOI'!$C$41)-O4064)/('THAM_SO_MOI'!$C$11*H4064)</f>
        <v>0.14505292319118315</v>
      </c>
      <c r="Q4064" s="75">
        <f>IF(P4064&gt;0,1/P4064,NA())</f>
        <v>6.894035487185437</v>
      </c>
      <c r="R4064" s="75">
        <f>F4064-F4063</f>
        <v>0.007388554569875083</v>
      </c>
      <c r="S4064" s="75">
        <f>0.5*(Q4063+Q4064)*R4064</f>
        <v>0.05091718855591625</v>
      </c>
      <c r="T4064" s="75">
        <f>0.5*(F4063*Q4063+F4064*Q4064)*R4064</f>
        <v>1.1203922416789152</v>
      </c>
      <c r="U4064" s="76">
        <f>U4063+S4064</f>
        <v>60.49005222154476</v>
      </c>
      <c r="V4064" s="76">
        <f>V4063+T4064</f>
        <v>902.5121445303292</v>
      </c>
    </row>
    <row r="4065" spans="1:22" ht="19" customHeight="1">
      <c r="A4065" s="68" t="s">
        <v>378</v>
      </c>
      <c r="B4065" s="74">
        <v>5</v>
      </c>
      <c r="C4065" s="68" t="s">
        <v>363</v>
      </c>
      <c r="D4065" s="68" t="s">
        <v>364</v>
      </c>
      <c r="E4065" s="75">
        <f>60*F4065*'THAM_SO_MOI'!$C$53/(2*PI()*'THAM_SO_MOI'!$C$26)</f>
        <v>2169.0850340068414</v>
      </c>
      <c r="F4065" s="75">
        <f>'HANH_TRINH'!$F$3289+('THAM_SO_MOI'!$C$14-'HANH_TRINH'!$F$3289)*775/'THAM_SO_MOI'!$C$42</f>
        <v>22.0152861357532</v>
      </c>
      <c r="G4065" s="75">
        <f>3.6*F4065</f>
        <v>79.25503008871152</v>
      </c>
      <c r="H4065" s="75">
        <f>'THAM_SO_MOI'!$D$53</f>
        <v>1.1</v>
      </c>
      <c r="I4065" s="75">
        <f>IF(F4065&gt;'THAM_SO_MOI'!$C$14,'THAM_SO_MOI'!$C$13*(1+F4065^2/1500),'THAM_SO_MOI'!$C$13)</f>
        <v>0.015</v>
      </c>
      <c r="J4065" s="75">
        <f>'THAM_SO_MOI'!$C$40*('THAM_SO_MOI'!$C$23*(E4065/'THAM_SO_MOI'!$C$22)+'THAM_SO_MOI'!$C$24*(E4065/'THAM_SO_MOI'!$C$22)^2-'THAM_SO_MOI'!$C$25*(E4065/'THAM_SO_MOI'!$C$22)^3)</f>
        <v>97.68371016122954</v>
      </c>
      <c r="K4065" s="75">
        <f>'THAM_SO_MOI'!$C$31*J4065/E4065</f>
        <v>430.1291608608432</v>
      </c>
      <c r="L4065" s="75">
        <f>K4065*'THAM_SO_MOI'!$C$53*'THAM_SO_MOI'!$C$17/'THAM_SO_MOI'!$C$26</f>
        <v>3772.234423831477</v>
      </c>
      <c r="M4065" s="75">
        <f>'THAM_SO_MOI'!$C$15*'THAM_SO_MOI'!$C$16*F4065^2</f>
        <v>1417.66800914433</v>
      </c>
      <c r="N4065" s="75">
        <f>'THAM_SO_MOI'!$C$12*I4065</f>
        <v>1130.112</v>
      </c>
      <c r="O4065" s="75">
        <f>M4065+N4065</f>
        <v>2547.78000914433</v>
      </c>
      <c r="P4065" s="75">
        <f>(MIN(L4065,'THAM_SO_MOI'!$C$41)-O4065)/('THAM_SO_MOI'!$C$11*H4065)</f>
        <v>0.14494015325368692</v>
      </c>
      <c r="Q4065" s="75">
        <f>IF(P4065&gt;0,1/P4065,NA())</f>
        <v>6.899399355882511</v>
      </c>
      <c r="R4065" s="75">
        <f>F4065-F4064</f>
        <v>0.0073885545698715305</v>
      </c>
      <c r="S4065" s="75">
        <f>0.5*(Q4064+Q4065)*R4065</f>
        <v>0.050956773021987437</v>
      </c>
      <c r="T4065" s="75">
        <f>0.5*(F4064*Q4064+F4065*Q4065)*R4065</f>
        <v>1.1216397633889825</v>
      </c>
      <c r="U4065" s="76">
        <f>U4064+S4065</f>
        <v>60.541008994566745</v>
      </c>
      <c r="V4065" s="76">
        <f>V4064+T4065</f>
        <v>903.6337842937182</v>
      </c>
    </row>
    <row r="4066" spans="1:22" ht="19" customHeight="1">
      <c r="A4066" s="68" t="s">
        <v>378</v>
      </c>
      <c r="B4066" s="74">
        <v>5</v>
      </c>
      <c r="C4066" s="68" t="s">
        <v>363</v>
      </c>
      <c r="D4066" s="68" t="s">
        <v>364</v>
      </c>
      <c r="E4066" s="75">
        <f>60*F4066*'THAM_SO_MOI'!$C$53/(2*PI()*'THAM_SO_MOI'!$C$26)</f>
        <v>2169.81300106762</v>
      </c>
      <c r="F4066" s="75">
        <f>'HANH_TRINH'!$F$3289+('THAM_SO_MOI'!$C$14-'HANH_TRINH'!$F$3289)*776/'THAM_SO_MOI'!$C$42</f>
        <v>22.022674690323072</v>
      </c>
      <c r="G4066" s="75">
        <f>3.6*F4066</f>
        <v>79.28162888516306</v>
      </c>
      <c r="H4066" s="75">
        <f>'THAM_SO_MOI'!$D$53</f>
        <v>1.1</v>
      </c>
      <c r="I4066" s="75">
        <f>IF(F4066&gt;'THAM_SO_MOI'!$C$14,'THAM_SO_MOI'!$C$13*(1+F4066^2/1500),'THAM_SO_MOI'!$C$13)</f>
        <v>0.015</v>
      </c>
      <c r="J4066" s="75">
        <f>'THAM_SO_MOI'!$C$40*('THAM_SO_MOI'!$C$23*(E4066/'THAM_SO_MOI'!$C$22)+'THAM_SO_MOI'!$C$24*(E4066/'THAM_SO_MOI'!$C$22)^2-'THAM_SO_MOI'!$C$25*(E4066/'THAM_SO_MOI'!$C$22)^3)</f>
        <v>97.71644916995731</v>
      </c>
      <c r="K4066" s="75">
        <f>'THAM_SO_MOI'!$C$31*J4066/E4066</f>
        <v>430.1289643610135</v>
      </c>
      <c r="L4066" s="75">
        <f>K4066*'THAM_SO_MOI'!$C$53*'THAM_SO_MOI'!$C$17/'THAM_SO_MOI'!$C$26</f>
        <v>3772.2327005272014</v>
      </c>
      <c r="M4066" s="75">
        <f>'THAM_SO_MOI'!$C$15*'THAM_SO_MOI'!$C$16*F4066^2</f>
        <v>1418.6197365087046</v>
      </c>
      <c r="N4066" s="75">
        <f>'THAM_SO_MOI'!$C$12*I4066</f>
        <v>1130.112</v>
      </c>
      <c r="O4066" s="75">
        <f>M4066+N4066</f>
        <v>2548.7317365087047</v>
      </c>
      <c r="P4066" s="75">
        <f>(MIN(L4066,'THAM_SO_MOI'!$C$41)-O4066)/('THAM_SO_MOI'!$C$11*H4066)</f>
        <v>0.144827292142341</v>
      </c>
      <c r="Q4066" s="75">
        <f>IF(P4066&gt;0,1/P4066,NA())</f>
        <v>6.904775924534771</v>
      </c>
      <c r="R4066" s="75">
        <f>F4066-F4065</f>
        <v>0.0073885545698715305</v>
      </c>
      <c r="S4066" s="75">
        <f>0.5*(Q4065+Q4066)*R4066</f>
        <v>0.05099645117571737</v>
      </c>
      <c r="T4066" s="75">
        <f>0.5*(F4065*Q4065+F4066*Q4066)*R4066</f>
        <v>1.1228899329502897</v>
      </c>
      <c r="U4066" s="76">
        <f>U4065+S4066</f>
        <v>60.592005445742465</v>
      </c>
      <c r="V4066" s="76">
        <f>V4065+T4066</f>
        <v>904.7566742266686</v>
      </c>
    </row>
    <row r="4067" spans="1:22" ht="19" customHeight="1">
      <c r="A4067" s="68" t="s">
        <v>378</v>
      </c>
      <c r="B4067" s="74">
        <v>5</v>
      </c>
      <c r="C4067" s="68" t="s">
        <v>363</v>
      </c>
      <c r="D4067" s="68" t="s">
        <v>364</v>
      </c>
      <c r="E4067" s="75">
        <f>60*F4067*'THAM_SO_MOI'!$C$53/(2*PI()*'THAM_SO_MOI'!$C$26)</f>
        <v>2170.5409681283986</v>
      </c>
      <c r="F4067" s="75">
        <f>'HANH_TRINH'!$F$3289+('THAM_SO_MOI'!$C$14-'HANH_TRINH'!$F$3289)*777/'THAM_SO_MOI'!$C$42</f>
        <v>22.030063244892943</v>
      </c>
      <c r="G4067" s="75">
        <f>3.6*F4067</f>
        <v>79.3082276816146</v>
      </c>
      <c r="H4067" s="75">
        <f>'THAM_SO_MOI'!$D$53</f>
        <v>1.1</v>
      </c>
      <c r="I4067" s="75">
        <f>IF(F4067&gt;'THAM_SO_MOI'!$C$14,'THAM_SO_MOI'!$C$13*(1+F4067^2/1500),'THAM_SO_MOI'!$C$13)</f>
        <v>0.015</v>
      </c>
      <c r="J4067" s="75">
        <f>'THAM_SO_MOI'!$C$40*('THAM_SO_MOI'!$C$23*(E4067/'THAM_SO_MOI'!$C$22)+'THAM_SO_MOI'!$C$24*(E4067/'THAM_SO_MOI'!$C$22)^2-'THAM_SO_MOI'!$C$25*(E4067/'THAM_SO_MOI'!$C$22)^3)</f>
        <v>97.74917646513143</v>
      </c>
      <c r="K4067" s="75">
        <f>'THAM_SO_MOI'!$C$31*J4067/E4067</f>
        <v>430.12871644947865</v>
      </c>
      <c r="L4067" s="75">
        <f>K4067*'THAM_SO_MOI'!$C$53*'THAM_SO_MOI'!$C$17/'THAM_SO_MOI'!$C$26</f>
        <v>3772.230526342071</v>
      </c>
      <c r="M4067" s="75">
        <f>'THAM_SO_MOI'!$C$15*'THAM_SO_MOI'!$C$16*F4067^2</f>
        <v>1419.5717832289004</v>
      </c>
      <c r="N4067" s="75">
        <f>'THAM_SO_MOI'!$C$12*I4067</f>
        <v>1130.112</v>
      </c>
      <c r="O4067" s="75">
        <f>M4067+N4067</f>
        <v>2549.6837832289</v>
      </c>
      <c r="P4067" s="75">
        <f>(MIN(L4067,'THAM_SO_MOI'!$C$41)-O4067)/('THAM_SO_MOI'!$C$11*H4067)</f>
        <v>0.14471433985714607</v>
      </c>
      <c r="Q4067" s="75">
        <f>IF(P4067&gt;0,1/P4067,NA())</f>
        <v>6.910165233017987</v>
      </c>
      <c r="R4067" s="75">
        <f>F4067-F4066</f>
        <v>0.0073885545698715305</v>
      </c>
      <c r="S4067" s="75">
        <f>0.5*(Q4066+Q4067)*R4067</f>
        <v>0.05103622331107137</v>
      </c>
      <c r="T4067" s="75">
        <f>0.5*(F4066*Q4066+F4067*Q4067)*R4067</f>
        <v>1.1241427589144772</v>
      </c>
      <c r="U4067" s="76">
        <f>U4066+S4067</f>
        <v>60.64304166905354</v>
      </c>
      <c r="V4067" s="76">
        <f>V4066+T4067</f>
        <v>905.880816985583</v>
      </c>
    </row>
    <row r="4068" spans="1:22" ht="19" customHeight="1">
      <c r="A4068" s="68" t="s">
        <v>378</v>
      </c>
      <c r="B4068" s="74">
        <v>5</v>
      </c>
      <c r="C4068" s="68" t="s">
        <v>363</v>
      </c>
      <c r="D4068" s="68" t="s">
        <v>364</v>
      </c>
      <c r="E4068" s="75">
        <f>60*F4068*'THAM_SO_MOI'!$C$53/(2*PI()*'THAM_SO_MOI'!$C$26)</f>
        <v>2171.2689351891777</v>
      </c>
      <c r="F4068" s="75">
        <f>'HANH_TRINH'!$F$3289+('THAM_SO_MOI'!$C$14-'HANH_TRINH'!$F$3289)*778/'THAM_SO_MOI'!$C$42</f>
        <v>22.037451799462815</v>
      </c>
      <c r="G4068" s="75">
        <f>3.6*F4068</f>
        <v>79.33482647806613</v>
      </c>
      <c r="H4068" s="75">
        <f>'THAM_SO_MOI'!$D$53</f>
        <v>1.1</v>
      </c>
      <c r="I4068" s="75">
        <f>IF(F4068&gt;'THAM_SO_MOI'!$C$14,'THAM_SO_MOI'!$C$13*(1+F4068^2/1500),'THAM_SO_MOI'!$C$13)</f>
        <v>0.015</v>
      </c>
      <c r="J4068" s="75">
        <f>'THAM_SO_MOI'!$C$40*('THAM_SO_MOI'!$C$23*(E4068/'THAM_SO_MOI'!$C$22)+'THAM_SO_MOI'!$C$24*(E4068/'THAM_SO_MOI'!$C$22)^2-'THAM_SO_MOI'!$C$25*(E4068/'THAM_SO_MOI'!$C$22)^3)</f>
        <v>97.78189203499632</v>
      </c>
      <c r="K4068" s="75">
        <f>'THAM_SO_MOI'!$C$31*J4068/E4068</f>
        <v>430.1284171262381</v>
      </c>
      <c r="L4068" s="75">
        <f>K4068*'THAM_SO_MOI'!$C$53*'THAM_SO_MOI'!$C$17/'THAM_SO_MOI'!$C$26</f>
        <v>3772.22790127608</v>
      </c>
      <c r="M4068" s="75">
        <f>'THAM_SO_MOI'!$C$15*'THAM_SO_MOI'!$C$16*F4068^2</f>
        <v>1420.524149304917</v>
      </c>
      <c r="N4068" s="75">
        <f>'THAM_SO_MOI'!$C$12*I4068</f>
        <v>1130.112</v>
      </c>
      <c r="O4068" s="75">
        <f>M4068+N4068</f>
        <v>2550.636149304917</v>
      </c>
      <c r="P4068" s="75">
        <f>(MIN(L4068,'THAM_SO_MOI'!$C$41)-O4068)/('THAM_SO_MOI'!$C$11*H4068)</f>
        <v>0.14460129639810168</v>
      </c>
      <c r="Q4068" s="75">
        <f>IF(P4068&gt;0,1/P4068,NA())</f>
        <v>6.915567321380723</v>
      </c>
      <c r="R4068" s="75">
        <f>F4068-F4067</f>
        <v>0.0073885545698715305</v>
      </c>
      <c r="S4068" s="75">
        <f>0.5*(Q4067+Q4068)*R4068</f>
        <v>0.05107608972331209</v>
      </c>
      <c r="T4068" s="75">
        <f>0.5*(F4067*Q4067+F4068*Q4068)*R4068</f>
        <v>1.1253982498704587</v>
      </c>
      <c r="U4068" s="76">
        <f>U4067+S4068</f>
        <v>60.69411775877685</v>
      </c>
      <c r="V4068" s="76">
        <f>V4067+T4068</f>
        <v>907.0062152354535</v>
      </c>
    </row>
    <row r="4069" spans="1:22" ht="19" customHeight="1">
      <c r="A4069" s="68" t="s">
        <v>378</v>
      </c>
      <c r="B4069" s="74">
        <v>5</v>
      </c>
      <c r="C4069" s="68" t="s">
        <v>363</v>
      </c>
      <c r="D4069" s="68" t="s">
        <v>364</v>
      </c>
      <c r="E4069" s="75">
        <f>60*F4069*'THAM_SO_MOI'!$C$53/(2*PI()*'THAM_SO_MOI'!$C$26)</f>
        <v>2171.996902249957</v>
      </c>
      <c r="F4069" s="75">
        <f>'HANH_TRINH'!$F$3289+('THAM_SO_MOI'!$C$14-'HANH_TRINH'!$F$3289)*779/'THAM_SO_MOI'!$C$42</f>
        <v>22.044840354032686</v>
      </c>
      <c r="G4069" s="75">
        <f>3.6*F4069</f>
        <v>79.36142527451767</v>
      </c>
      <c r="H4069" s="75">
        <f>'THAM_SO_MOI'!$D$53</f>
        <v>1.1</v>
      </c>
      <c r="I4069" s="75">
        <f>IF(F4069&gt;'THAM_SO_MOI'!$C$14,'THAM_SO_MOI'!$C$13*(1+F4069^2/1500),'THAM_SO_MOI'!$C$13)</f>
        <v>0.015</v>
      </c>
      <c r="J4069" s="75">
        <f>'THAM_SO_MOI'!$C$40*('THAM_SO_MOI'!$C$23*(E4069/'THAM_SO_MOI'!$C$22)+'THAM_SO_MOI'!$C$24*(E4069/'THAM_SO_MOI'!$C$22)^2-'THAM_SO_MOI'!$C$25*(E4069/'THAM_SO_MOI'!$C$22)^3)</f>
        <v>97.81459586779654</v>
      </c>
      <c r="K4069" s="75">
        <f>'THAM_SO_MOI'!$C$31*J4069/E4069</f>
        <v>430.1280663912924</v>
      </c>
      <c r="L4069" s="75">
        <f>K4069*'THAM_SO_MOI'!$C$53*'THAM_SO_MOI'!$C$17/'THAM_SO_MOI'!$C$26</f>
        <v>3772.2248253292337</v>
      </c>
      <c r="M4069" s="75">
        <f>'THAM_SO_MOI'!$C$15*'THAM_SO_MOI'!$C$16*F4069^2</f>
        <v>1421.476834736755</v>
      </c>
      <c r="N4069" s="75">
        <f>'THAM_SO_MOI'!$C$12*I4069</f>
        <v>1130.112</v>
      </c>
      <c r="O4069" s="75">
        <f>M4069+N4069</f>
        <v>2551.5888347367554</v>
      </c>
      <c r="P4069" s="75">
        <f>(MIN(L4069,'THAM_SO_MOI'!$C$41)-O4069)/('THAM_SO_MOI'!$C$11*H4069)</f>
        <v>0.14448816176520812</v>
      </c>
      <c r="Q4069" s="75">
        <f>IF(P4069&gt;0,1/P4069,NA())</f>
        <v>6.920982229845172</v>
      </c>
      <c r="R4069" s="75">
        <f>F4069-F4068</f>
        <v>0.0073885545698715305</v>
      </c>
      <c r="S4069" s="75">
        <f>0.5*(Q4068+Q4069)*R4069</f>
        <v>0.05111605070898198</v>
      </c>
      <c r="T4069" s="75">
        <f>0.5*(F4068*Q4068+F4069*Q4069)*R4069</f>
        <v>1.1266564144440805</v>
      </c>
      <c r="U4069" s="76">
        <f>U4068+S4069</f>
        <v>60.74523380948583</v>
      </c>
      <c r="V4069" s="76">
        <f>V4068+T4069</f>
        <v>908.1328716498975</v>
      </c>
    </row>
    <row r="4070" spans="1:22" ht="19" customHeight="1">
      <c r="A4070" s="68" t="s">
        <v>378</v>
      </c>
      <c r="B4070" s="74">
        <v>5</v>
      </c>
      <c r="C4070" s="68" t="s">
        <v>363</v>
      </c>
      <c r="D4070" s="68" t="s">
        <v>364</v>
      </c>
      <c r="E4070" s="75">
        <f>60*F4070*'THAM_SO_MOI'!$C$53/(2*PI()*'THAM_SO_MOI'!$C$26)</f>
        <v>2172.724869310736</v>
      </c>
      <c r="F4070" s="75">
        <f>'HANH_TRINH'!$F$3289+('THAM_SO_MOI'!$C$14-'HANH_TRINH'!$F$3289)*780/'THAM_SO_MOI'!$C$42</f>
        <v>22.052228908602558</v>
      </c>
      <c r="G4070" s="75">
        <f>3.6*F4070</f>
        <v>79.38802407096921</v>
      </c>
      <c r="H4070" s="75">
        <f>'THAM_SO_MOI'!$D$53</f>
        <v>1.1</v>
      </c>
      <c r="I4070" s="75">
        <f>IF(F4070&gt;'THAM_SO_MOI'!$C$14,'THAM_SO_MOI'!$C$13*(1+F4070^2/1500),'THAM_SO_MOI'!$C$13)</f>
        <v>0.015</v>
      </c>
      <c r="J4070" s="75">
        <f>'THAM_SO_MOI'!$C$40*('THAM_SO_MOI'!$C$23*(E4070/'THAM_SO_MOI'!$C$22)+'THAM_SO_MOI'!$C$24*(E4070/'THAM_SO_MOI'!$C$22)^2-'THAM_SO_MOI'!$C$25*(E4070/'THAM_SO_MOI'!$C$22)^3)</f>
        <v>97.84728795177645</v>
      </c>
      <c r="K4070" s="75">
        <f>'THAM_SO_MOI'!$C$31*J4070/E4070</f>
        <v>430.12766424464104</v>
      </c>
      <c r="L4070" s="75">
        <f>K4070*'THAM_SO_MOI'!$C$53*'THAM_SO_MOI'!$C$17/'THAM_SO_MOI'!$C$26</f>
        <v>3772.221298501528</v>
      </c>
      <c r="M4070" s="75">
        <f>'THAM_SO_MOI'!$C$15*'THAM_SO_MOI'!$C$16*F4070^2</f>
        <v>1422.4298395244139</v>
      </c>
      <c r="N4070" s="75">
        <f>'THAM_SO_MOI'!$C$12*I4070</f>
        <v>1130.112</v>
      </c>
      <c r="O4070" s="75">
        <f>M4070+N4070</f>
        <v>2552.541839524414</v>
      </c>
      <c r="P4070" s="75">
        <f>(MIN(L4070,'THAM_SO_MOI'!$C$41)-O4070)/('THAM_SO_MOI'!$C$11*H4070)</f>
        <v>0.14437493595846523</v>
      </c>
      <c r="Q4070" s="75">
        <f>IF(P4070&gt;0,1/P4070,NA())</f>
        <v>6.9264099988081504</v>
      </c>
      <c r="R4070" s="75">
        <f>F4070-F4069</f>
        <v>0.0073885545698715305</v>
      </c>
      <c r="S4070" s="75">
        <f>0.5*(Q4069+Q4070)*R4070</f>
        <v>0.05115610656591001</v>
      </c>
      <c r="T4070" s="75">
        <f>0.5*(F4069*Q4069+F4070*Q4070)*R4070</f>
        <v>1.127917261298321</v>
      </c>
      <c r="U4070" s="76">
        <f>U4069+S4070</f>
        <v>60.796389916051744</v>
      </c>
      <c r="V4070" s="76">
        <f>V4069+T4070</f>
        <v>909.2607889111958</v>
      </c>
    </row>
    <row r="4071" spans="1:22" ht="19" customHeight="1">
      <c r="A4071" s="68" t="s">
        <v>378</v>
      </c>
      <c r="B4071" s="74">
        <v>5</v>
      </c>
      <c r="C4071" s="68" t="s">
        <v>363</v>
      </c>
      <c r="D4071" s="68" t="s">
        <v>364</v>
      </c>
      <c r="E4071" s="75">
        <f>60*F4071*'THAM_SO_MOI'!$C$53/(2*PI()*'THAM_SO_MOI'!$C$26)</f>
        <v>2173.4528363715144</v>
      </c>
      <c r="F4071" s="75">
        <f>'HANH_TRINH'!$F$3289+('THAM_SO_MOI'!$C$14-'HANH_TRINH'!$F$3289)*781/'THAM_SO_MOI'!$C$42</f>
        <v>22.05961746317243</v>
      </c>
      <c r="G4071" s="75">
        <f>3.6*F4071</f>
        <v>79.41462286742075</v>
      </c>
      <c r="H4071" s="75">
        <f>'THAM_SO_MOI'!$D$53</f>
        <v>1.1</v>
      </c>
      <c r="I4071" s="75">
        <f>IF(F4071&gt;'THAM_SO_MOI'!$C$14,'THAM_SO_MOI'!$C$13*(1+F4071^2/1500),'THAM_SO_MOI'!$C$13)</f>
        <v>0.015</v>
      </c>
      <c r="J4071" s="75">
        <f>'THAM_SO_MOI'!$C$40*('THAM_SO_MOI'!$C$23*(E4071/'THAM_SO_MOI'!$C$22)+'THAM_SO_MOI'!$C$24*(E4071/'THAM_SO_MOI'!$C$22)^2-'THAM_SO_MOI'!$C$25*(E4071/'THAM_SO_MOI'!$C$22)^3)</f>
        <v>97.87996827518062</v>
      </c>
      <c r="K4071" s="75">
        <f>'THAM_SO_MOI'!$C$31*J4071/E4071</f>
        <v>430.12721068628434</v>
      </c>
      <c r="L4071" s="75">
        <f>K4071*'THAM_SO_MOI'!$C$53*'THAM_SO_MOI'!$C$17/'THAM_SO_MOI'!$C$26</f>
        <v>3772.2173207929645</v>
      </c>
      <c r="M4071" s="75">
        <f>'THAM_SO_MOI'!$C$15*'THAM_SO_MOI'!$C$16*F4071^2</f>
        <v>1423.3831636678935</v>
      </c>
      <c r="N4071" s="75">
        <f>'THAM_SO_MOI'!$C$12*I4071</f>
        <v>1130.112</v>
      </c>
      <c r="O4071" s="75">
        <f>M4071+N4071</f>
        <v>2553.4951636678934</v>
      </c>
      <c r="P4071" s="75">
        <f>(MIN(L4071,'THAM_SO_MOI'!$C$41)-O4071)/('THAM_SO_MOI'!$C$11*H4071)</f>
        <v>0.144261618977873</v>
      </c>
      <c r="Q4071" s="75">
        <f>IF(P4071&gt;0,1/P4071,NA())</f>
        <v>6.931850668842008</v>
      </c>
      <c r="R4071" s="75">
        <f>F4071-F4070</f>
        <v>0.0073885545698715305</v>
      </c>
      <c r="S4071" s="75">
        <f>0.5*(Q4070+Q4071)*R4071</f>
        <v>0.05119625759321873</v>
      </c>
      <c r="T4071" s="75">
        <f>0.5*(F4070*Q4070+F4071*Q4071)*R4071</f>
        <v>1.1291807991334906</v>
      </c>
      <c r="U4071" s="76">
        <f>U4070+S4071</f>
        <v>60.84758617364496</v>
      </c>
      <c r="V4071" s="76">
        <f>V4070+T4071</f>
        <v>910.3899697103293</v>
      </c>
    </row>
    <row r="4072" spans="1:22" ht="19" customHeight="1">
      <c r="A4072" s="68" t="s">
        <v>378</v>
      </c>
      <c r="B4072" s="74">
        <v>5</v>
      </c>
      <c r="C4072" s="68" t="s">
        <v>363</v>
      </c>
      <c r="D4072" s="68" t="s">
        <v>364</v>
      </c>
      <c r="E4072" s="75">
        <f>60*F4072*'THAM_SO_MOI'!$C$53/(2*PI()*'THAM_SO_MOI'!$C$26)</f>
        <v>2174.1808034322935</v>
      </c>
      <c r="F4072" s="75">
        <f>'HANH_TRINH'!$F$3289+('THAM_SO_MOI'!$C$14-'HANH_TRINH'!$F$3289)*782/'THAM_SO_MOI'!$C$42</f>
        <v>22.0670060177423</v>
      </c>
      <c r="G4072" s="75">
        <f>3.6*F4072</f>
        <v>79.44122166387228</v>
      </c>
      <c r="H4072" s="75">
        <f>'THAM_SO_MOI'!$D$53</f>
        <v>1.1</v>
      </c>
      <c r="I4072" s="75">
        <f>IF(F4072&gt;'THAM_SO_MOI'!$C$14,'THAM_SO_MOI'!$C$13*(1+F4072^2/1500),'THAM_SO_MOI'!$C$13)</f>
        <v>0.015</v>
      </c>
      <c r="J4072" s="75">
        <f>'THAM_SO_MOI'!$C$40*('THAM_SO_MOI'!$C$23*(E4072/'THAM_SO_MOI'!$C$22)+'THAM_SO_MOI'!$C$24*(E4072/'THAM_SO_MOI'!$C$22)^2-'THAM_SO_MOI'!$C$25*(E4072/'THAM_SO_MOI'!$C$22)^3)</f>
        <v>97.91263682625355</v>
      </c>
      <c r="K4072" s="75">
        <f>'THAM_SO_MOI'!$C$31*J4072/E4072</f>
        <v>430.1267057162223</v>
      </c>
      <c r="L4072" s="75">
        <f>K4072*'THAM_SO_MOI'!$C$53*'THAM_SO_MOI'!$C$17/'THAM_SO_MOI'!$C$26</f>
        <v>3772.2128922035445</v>
      </c>
      <c r="M4072" s="75">
        <f>'THAM_SO_MOI'!$C$15*'THAM_SO_MOI'!$C$16*F4072^2</f>
        <v>1424.3368071671941</v>
      </c>
      <c r="N4072" s="75">
        <f>'THAM_SO_MOI'!$C$12*I4072</f>
        <v>1130.112</v>
      </c>
      <c r="O4072" s="75">
        <f>M4072+N4072</f>
        <v>2554.448807167194</v>
      </c>
      <c r="P4072" s="75">
        <f>(MIN(L4072,'THAM_SO_MOI'!$C$41)-O4072)/('THAM_SO_MOI'!$C$11*H4072)</f>
        <v>0.14414821082343163</v>
      </c>
      <c r="Q4072" s="75">
        <f>IF(P4072&gt;0,1/P4072,NA())</f>
        <v>6.937304280695572</v>
      </c>
      <c r="R4072" s="75">
        <f>F4072-F4071</f>
        <v>0.0073885545698715305</v>
      </c>
      <c r="S4072" s="75">
        <f>0.5*(Q4071+Q4072)*R4072</f>
        <v>0.051236504091331125</v>
      </c>
      <c r="T4072" s="75">
        <f>0.5*(F4071*Q4071+F4072*Q4072)*R4072</f>
        <v>1.1304470366874326</v>
      </c>
      <c r="U4072" s="76">
        <f>U4071+S4072</f>
        <v>60.89882267773629</v>
      </c>
      <c r="V4072" s="76">
        <f>V4071+T4072</f>
        <v>911.5204167470167</v>
      </c>
    </row>
    <row r="4073" spans="1:22" ht="19" customHeight="1">
      <c r="A4073" s="68" t="s">
        <v>378</v>
      </c>
      <c r="B4073" s="74">
        <v>5</v>
      </c>
      <c r="C4073" s="68" t="s">
        <v>363</v>
      </c>
      <c r="D4073" s="68" t="s">
        <v>364</v>
      </c>
      <c r="E4073" s="75">
        <f>60*F4073*'THAM_SO_MOI'!$C$53/(2*PI()*'THAM_SO_MOI'!$C$26)</f>
        <v>2174.9087704930726</v>
      </c>
      <c r="F4073" s="75">
        <f>'HANH_TRINH'!$F$3289+('THAM_SO_MOI'!$C$14-'HANH_TRINH'!$F$3289)*783/'THAM_SO_MOI'!$C$42</f>
        <v>22.074394572312173</v>
      </c>
      <c r="G4073" s="75">
        <f>3.6*F4073</f>
        <v>79.46782046032382</v>
      </c>
      <c r="H4073" s="75">
        <f>'THAM_SO_MOI'!$D$53</f>
        <v>1.1</v>
      </c>
      <c r="I4073" s="75">
        <f>IF(F4073&gt;'THAM_SO_MOI'!$C$14,'THAM_SO_MOI'!$C$13*(1+F4073^2/1500),'THAM_SO_MOI'!$C$13)</f>
        <v>0.015</v>
      </c>
      <c r="J4073" s="75">
        <f>'THAM_SO_MOI'!$C$40*('THAM_SO_MOI'!$C$23*(E4073/'THAM_SO_MOI'!$C$22)+'THAM_SO_MOI'!$C$24*(E4073/'THAM_SO_MOI'!$C$22)^2-'THAM_SO_MOI'!$C$25*(E4073/'THAM_SO_MOI'!$C$22)^3)</f>
        <v>97.94529359323967</v>
      </c>
      <c r="K4073" s="75">
        <f>'THAM_SO_MOI'!$C$31*J4073/E4073</f>
        <v>430.12614933445474</v>
      </c>
      <c r="L4073" s="75">
        <f>K4073*'THAM_SO_MOI'!$C$53*'THAM_SO_MOI'!$C$17/'THAM_SO_MOI'!$C$26</f>
        <v>3772.208012733266</v>
      </c>
      <c r="M4073" s="75">
        <f>'THAM_SO_MOI'!$C$15*'THAM_SO_MOI'!$C$16*F4073^2</f>
        <v>1425.290770022316</v>
      </c>
      <c r="N4073" s="75">
        <f>'THAM_SO_MOI'!$C$12*I4073</f>
        <v>1130.112</v>
      </c>
      <c r="O4073" s="75">
        <f>M4073+N4073</f>
        <v>2555.402770022316</v>
      </c>
      <c r="P4073" s="75">
        <f>(MIN(L4073,'THAM_SO_MOI'!$C$41)-O4073)/('THAM_SO_MOI'!$C$11*H4073)</f>
        <v>0.14403471149514083</v>
      </c>
      <c r="Q4073" s="75">
        <f>IF(P4073&gt;0,1/P4073,NA())</f>
        <v>6.942770875295127</v>
      </c>
      <c r="R4073" s="75">
        <f>F4073-F4072</f>
        <v>0.0073885545698715305</v>
      </c>
      <c r="S4073" s="75">
        <f>0.5*(Q4072+Q4073)*R4073</f>
        <v>0.05127684636197769</v>
      </c>
      <c r="T4073" s="75">
        <f>0.5*(F4072*Q4072+F4073*Q4073)*R4073</f>
        <v>1.1317159827357266</v>
      </c>
      <c r="U4073" s="76">
        <f>U4072+S4073</f>
        <v>60.95009952409827</v>
      </c>
      <c r="V4073" s="76">
        <f>V4072+T4073</f>
        <v>912.6521327297525</v>
      </c>
    </row>
    <row r="4074" spans="1:22" ht="19" customHeight="1">
      <c r="A4074" s="68" t="s">
        <v>378</v>
      </c>
      <c r="B4074" s="74">
        <v>5</v>
      </c>
      <c r="C4074" s="68" t="s">
        <v>363</v>
      </c>
      <c r="D4074" s="68" t="s">
        <v>364</v>
      </c>
      <c r="E4074" s="75">
        <f>60*F4074*'THAM_SO_MOI'!$C$53/(2*PI()*'THAM_SO_MOI'!$C$26)</f>
        <v>2175.636737553852</v>
      </c>
      <c r="F4074" s="75">
        <f>'HANH_TRINH'!$F$3289+('THAM_SO_MOI'!$C$14-'HANH_TRINH'!$F$3289)*784/'THAM_SO_MOI'!$C$42</f>
        <v>22.081783126882048</v>
      </c>
      <c r="G4074" s="75">
        <f>3.6*F4074</f>
        <v>79.49441925677537</v>
      </c>
      <c r="H4074" s="75">
        <f>'THAM_SO_MOI'!$D$53</f>
        <v>1.1</v>
      </c>
      <c r="I4074" s="75">
        <f>IF(F4074&gt;'THAM_SO_MOI'!$C$14,'THAM_SO_MOI'!$C$13*(1+F4074^2/1500),'THAM_SO_MOI'!$C$13)</f>
        <v>0.015</v>
      </c>
      <c r="J4074" s="75">
        <f>'THAM_SO_MOI'!$C$40*('THAM_SO_MOI'!$C$23*(E4074/'THAM_SO_MOI'!$C$22)+'THAM_SO_MOI'!$C$24*(E4074/'THAM_SO_MOI'!$C$22)^2-'THAM_SO_MOI'!$C$25*(E4074/'THAM_SO_MOI'!$C$22)^3)</f>
        <v>97.97793856438349</v>
      </c>
      <c r="K4074" s="75">
        <f>'THAM_SO_MOI'!$C$31*J4074/E4074</f>
        <v>430.12554154098166</v>
      </c>
      <c r="L4074" s="75">
        <f>K4074*'THAM_SO_MOI'!$C$53*'THAM_SO_MOI'!$C$17/'THAM_SO_MOI'!$C$26</f>
        <v>3772.2026823821284</v>
      </c>
      <c r="M4074" s="75">
        <f>'THAM_SO_MOI'!$C$15*'THAM_SO_MOI'!$C$16*F4074^2</f>
        <v>1426.2450522332595</v>
      </c>
      <c r="N4074" s="75">
        <f>'THAM_SO_MOI'!$C$12*I4074</f>
        <v>1130.112</v>
      </c>
      <c r="O4074" s="75">
        <f>M4074+N4074</f>
        <v>2556.3570522332593</v>
      </c>
      <c r="P4074" s="75">
        <f>(MIN(L4074,'THAM_SO_MOI'!$C$41)-O4074)/('THAM_SO_MOI'!$C$11*H4074)</f>
        <v>0.14392112099300056</v>
      </c>
      <c r="Q4074" s="75">
        <f>IF(P4074&gt;0,1/P4074,NA())</f>
        <v>6.9482504937453475</v>
      </c>
      <c r="R4074" s="75">
        <f>F4074-F4073</f>
        <v>0.007388554569875083</v>
      </c>
      <c r="S4074" s="75">
        <f>0.5*(Q4073+Q4074)*R4074</f>
        <v>0.05131728470822822</v>
      </c>
      <c r="T4074" s="75">
        <f>0.5*(F4073*Q4073+F4074*Q4074)*R4074</f>
        <v>1.1329876460924384</v>
      </c>
      <c r="U4074" s="76">
        <f>U4073+S4074</f>
        <v>61.001416808806496</v>
      </c>
      <c r="V4074" s="76">
        <f>V4073+T4074</f>
        <v>913.7851203758449</v>
      </c>
    </row>
    <row r="4075" spans="1:22" ht="19" customHeight="1">
      <c r="A4075" s="68" t="s">
        <v>378</v>
      </c>
      <c r="B4075" s="74">
        <v>5</v>
      </c>
      <c r="C4075" s="68" t="s">
        <v>363</v>
      </c>
      <c r="D4075" s="68" t="s">
        <v>364</v>
      </c>
      <c r="E4075" s="75">
        <f>60*F4075*'THAM_SO_MOI'!$C$53/(2*PI()*'THAM_SO_MOI'!$C$26)</f>
        <v>2176.36470461463</v>
      </c>
      <c r="F4075" s="75">
        <f>'HANH_TRINH'!$F$3289+('THAM_SO_MOI'!$C$14-'HANH_TRINH'!$F$3289)*785/'THAM_SO_MOI'!$C$42</f>
        <v>22.08917168145192</v>
      </c>
      <c r="G4075" s="75">
        <f>3.6*F4075</f>
        <v>79.52101805322691</v>
      </c>
      <c r="H4075" s="75">
        <f>'THAM_SO_MOI'!$D$53</f>
        <v>1.1</v>
      </c>
      <c r="I4075" s="75">
        <f>IF(F4075&gt;'THAM_SO_MOI'!$C$14,'THAM_SO_MOI'!$C$13*(1+F4075^2/1500),'THAM_SO_MOI'!$C$13)</f>
        <v>0.015</v>
      </c>
      <c r="J4075" s="75">
        <f>'THAM_SO_MOI'!$C$40*('THAM_SO_MOI'!$C$23*(E4075/'THAM_SO_MOI'!$C$22)+'THAM_SO_MOI'!$C$24*(E4075/'THAM_SO_MOI'!$C$22)^2-'THAM_SO_MOI'!$C$25*(E4075/'THAM_SO_MOI'!$C$22)^3)</f>
        <v>98.01057172792946</v>
      </c>
      <c r="K4075" s="75">
        <f>'THAM_SO_MOI'!$C$31*J4075/E4075</f>
        <v>430.12488233580325</v>
      </c>
      <c r="L4075" s="75">
        <f>K4075*'THAM_SO_MOI'!$C$53*'THAM_SO_MOI'!$C$17/'THAM_SO_MOI'!$C$26</f>
        <v>3772.1969011501346</v>
      </c>
      <c r="M4075" s="75">
        <f>'THAM_SO_MOI'!$C$15*'THAM_SO_MOI'!$C$16*F4075^2</f>
        <v>1427.199653800023</v>
      </c>
      <c r="N4075" s="75">
        <f>'THAM_SO_MOI'!$C$12*I4075</f>
        <v>1130.112</v>
      </c>
      <c r="O4075" s="75">
        <f>M4075+N4075</f>
        <v>2557.311653800023</v>
      </c>
      <c r="P4075" s="75">
        <f>(MIN(L4075,'THAM_SO_MOI'!$C$41)-O4075)/('THAM_SO_MOI'!$C$11*H4075)</f>
        <v>0.14380743931701132</v>
      </c>
      <c r="Q4075" s="75">
        <f>IF(P4075&gt;0,1/P4075,NA())</f>
        <v>6.9537431773302405</v>
      </c>
      <c r="R4075" s="75">
        <f>F4075-F4074</f>
        <v>0.0073885545698715305</v>
      </c>
      <c r="S4075" s="75">
        <f>0.5*(Q4074+Q4075)*R4075</f>
        <v>0.05135781943437531</v>
      </c>
      <c r="T4075" s="75">
        <f>0.5*(F4074*Q4074+F4075*Q4075)*R4075</f>
        <v>1.1342620356075974</v>
      </c>
      <c r="U4075" s="76">
        <f>U4074+S4075</f>
        <v>61.05277462824087</v>
      </c>
      <c r="V4075" s="76">
        <f>V4074+T4075</f>
        <v>914.9193824114525</v>
      </c>
    </row>
    <row r="4076" spans="1:22" ht="19" customHeight="1">
      <c r="A4076" s="68" t="s">
        <v>378</v>
      </c>
      <c r="B4076" s="74">
        <v>5</v>
      </c>
      <c r="C4076" s="68" t="s">
        <v>363</v>
      </c>
      <c r="D4076" s="68" t="s">
        <v>364</v>
      </c>
      <c r="E4076" s="75">
        <f>60*F4076*'THAM_SO_MOI'!$C$53/(2*PI()*'THAM_SO_MOI'!$C$26)</f>
        <v>2177.0926716754097</v>
      </c>
      <c r="F4076" s="75">
        <f>'HANH_TRINH'!$F$3289+('THAM_SO_MOI'!$C$14-'HANH_TRINH'!$F$3289)*786/'THAM_SO_MOI'!$C$42</f>
        <v>22.09656023602179</v>
      </c>
      <c r="G4076" s="75">
        <f>3.6*F4076</f>
        <v>79.54761684967845</v>
      </c>
      <c r="H4076" s="75">
        <f>'THAM_SO_MOI'!$D$53</f>
        <v>1.1</v>
      </c>
      <c r="I4076" s="75">
        <f>IF(F4076&gt;'THAM_SO_MOI'!$C$14,'THAM_SO_MOI'!$C$13*(1+F4076^2/1500),'THAM_SO_MOI'!$C$13)</f>
        <v>0.015</v>
      </c>
      <c r="J4076" s="75">
        <f>'THAM_SO_MOI'!$C$40*('THAM_SO_MOI'!$C$23*(E4076/'THAM_SO_MOI'!$C$22)+'THAM_SO_MOI'!$C$24*(E4076/'THAM_SO_MOI'!$C$22)^2-'THAM_SO_MOI'!$C$25*(E4076/'THAM_SO_MOI'!$C$22)^3)</f>
        <v>98.04319307212215</v>
      </c>
      <c r="K4076" s="75">
        <f>'THAM_SO_MOI'!$C$31*J4076/E4076</f>
        <v>430.1241717189194</v>
      </c>
      <c r="L4076" s="75">
        <f>K4076*'THAM_SO_MOI'!$C$53*'THAM_SO_MOI'!$C$17/'THAM_SO_MOI'!$C$26</f>
        <v>3772.190669037283</v>
      </c>
      <c r="M4076" s="75">
        <f>'THAM_SO_MOI'!$C$15*'THAM_SO_MOI'!$C$16*F4076^2</f>
        <v>1428.1545747226078</v>
      </c>
      <c r="N4076" s="75">
        <f>'THAM_SO_MOI'!$C$12*I4076</f>
        <v>1130.112</v>
      </c>
      <c r="O4076" s="75">
        <f>M4076+N4076</f>
        <v>2558.266574722608</v>
      </c>
      <c r="P4076" s="75">
        <f>(MIN(L4076,'THAM_SO_MOI'!$C$41)-O4076)/('THAM_SO_MOI'!$C$11*H4076)</f>
        <v>0.14369366646717271</v>
      </c>
      <c r="Q4076" s="75">
        <f>IF(P4076&gt;0,1/P4076,NA())</f>
        <v>6.959248967514189</v>
      </c>
      <c r="R4076" s="75">
        <f>F4076-F4075</f>
        <v>0.0073885545698715305</v>
      </c>
      <c r="S4076" s="75">
        <f>0.5*(Q4075+Q4076)*R4076</f>
        <v>0.05139845084618851</v>
      </c>
      <c r="T4076" s="75">
        <f>0.5*(F4075*Q4075+F4076*Q4076)*R4076</f>
        <v>1.1355391601728557</v>
      </c>
      <c r="U4076" s="76">
        <f>U4075+S4076</f>
        <v>61.104173079087055</v>
      </c>
      <c r="V4076" s="76">
        <f>V4075+T4076</f>
        <v>916.0549215716253</v>
      </c>
    </row>
    <row r="4077" spans="1:22" ht="19" customHeight="1">
      <c r="A4077" s="68" t="s">
        <v>378</v>
      </c>
      <c r="B4077" s="74">
        <v>5</v>
      </c>
      <c r="C4077" s="68" t="s">
        <v>363</v>
      </c>
      <c r="D4077" s="68" t="s">
        <v>364</v>
      </c>
      <c r="E4077" s="75">
        <f>60*F4077*'THAM_SO_MOI'!$C$53/(2*PI()*'THAM_SO_MOI'!$C$26)</f>
        <v>2177.8206387361884</v>
      </c>
      <c r="F4077" s="75">
        <f>'HANH_TRINH'!$F$3289+('THAM_SO_MOI'!$C$14-'HANH_TRINH'!$F$3289)*787/'THAM_SO_MOI'!$C$42</f>
        <v>22.103948790591662</v>
      </c>
      <c r="G4077" s="75">
        <f>3.6*F4077</f>
        <v>79.57421564612999</v>
      </c>
      <c r="H4077" s="75">
        <f>'THAM_SO_MOI'!$D$53</f>
        <v>1.1</v>
      </c>
      <c r="I4077" s="75">
        <f>IF(F4077&gt;'THAM_SO_MOI'!$C$14,'THAM_SO_MOI'!$C$13*(1+F4077^2/1500),'THAM_SO_MOI'!$C$13)</f>
        <v>0.015</v>
      </c>
      <c r="J4077" s="75">
        <f>'THAM_SO_MOI'!$C$40*('THAM_SO_MOI'!$C$23*(E4077/'THAM_SO_MOI'!$C$22)+'THAM_SO_MOI'!$C$24*(E4077/'THAM_SO_MOI'!$C$22)^2-'THAM_SO_MOI'!$C$25*(E4077/'THAM_SO_MOI'!$C$22)^3)</f>
        <v>98.07580258520593</v>
      </c>
      <c r="K4077" s="75">
        <f>'THAM_SO_MOI'!$C$31*J4077/E4077</f>
        <v>430.1234096903301</v>
      </c>
      <c r="L4077" s="75">
        <f>K4077*'THAM_SO_MOI'!$C$53*'THAM_SO_MOI'!$C$17/'THAM_SO_MOI'!$C$26</f>
        <v>3772.183986043573</v>
      </c>
      <c r="M4077" s="75">
        <f>'THAM_SO_MOI'!$C$15*'THAM_SO_MOI'!$C$16*F4077^2</f>
        <v>1429.1098150010134</v>
      </c>
      <c r="N4077" s="75">
        <f>'THAM_SO_MOI'!$C$12*I4077</f>
        <v>1130.112</v>
      </c>
      <c r="O4077" s="75">
        <f>M4077+N4077</f>
        <v>2559.2218150010135</v>
      </c>
      <c r="P4077" s="75">
        <f>(MIN(L4077,'THAM_SO_MOI'!$C$41)-O4077)/('THAM_SO_MOI'!$C$11*H4077)</f>
        <v>0.14357980244348478</v>
      </c>
      <c r="Q4077" s="75">
        <f>IF(P4077&gt;0,1/P4077,NA())</f>
        <v>6.964767905942867</v>
      </c>
      <c r="R4077" s="75">
        <f>F4077-F4076</f>
        <v>0.0073885545698715305</v>
      </c>
      <c r="S4077" s="75">
        <f>0.5*(Q4076+Q4077)*R4077</f>
        <v>0.05143917925067472</v>
      </c>
      <c r="T4077" s="75">
        <f>0.5*(F4076*Q4076+F4077*Q4077)*R4077</f>
        <v>1.1368190287162487</v>
      </c>
      <c r="U4077" s="76">
        <f>U4076+S4077</f>
        <v>61.155612258337726</v>
      </c>
      <c r="V4077" s="76">
        <f>V4076+T4077</f>
        <v>917.1917406003415</v>
      </c>
    </row>
    <row r="4078" spans="1:22" ht="19" customHeight="1">
      <c r="A4078" s="68" t="s">
        <v>378</v>
      </c>
      <c r="B4078" s="74">
        <v>5</v>
      </c>
      <c r="C4078" s="68" t="s">
        <v>363</v>
      </c>
      <c r="D4078" s="68" t="s">
        <v>364</v>
      </c>
      <c r="E4078" s="75">
        <f>60*F4078*'THAM_SO_MOI'!$C$53/(2*PI()*'THAM_SO_MOI'!$C$26)</f>
        <v>2178.548605796968</v>
      </c>
      <c r="F4078" s="75">
        <f>'HANH_TRINH'!$F$3289+('THAM_SO_MOI'!$C$14-'HANH_TRINH'!$F$3289)*788/'THAM_SO_MOI'!$C$42</f>
        <v>22.111337345161537</v>
      </c>
      <c r="G4078" s="75">
        <f>3.6*F4078</f>
        <v>79.60081444258154</v>
      </c>
      <c r="H4078" s="75">
        <f>'THAM_SO_MOI'!$D$53</f>
        <v>1.1</v>
      </c>
      <c r="I4078" s="75">
        <f>IF(F4078&gt;'THAM_SO_MOI'!$C$14,'THAM_SO_MOI'!$C$13*(1+F4078^2/1500),'THAM_SO_MOI'!$C$13)</f>
        <v>0.015</v>
      </c>
      <c r="J4078" s="75">
        <f>'THAM_SO_MOI'!$C$40*('THAM_SO_MOI'!$C$23*(E4078/'THAM_SO_MOI'!$C$22)+'THAM_SO_MOI'!$C$24*(E4078/'THAM_SO_MOI'!$C$22)^2-'THAM_SO_MOI'!$C$25*(E4078/'THAM_SO_MOI'!$C$22)^3)</f>
        <v>98.10840025542542</v>
      </c>
      <c r="K4078" s="75">
        <f>'THAM_SO_MOI'!$C$31*J4078/E4078</f>
        <v>430.12259625003543</v>
      </c>
      <c r="L4078" s="75">
        <f>K4078*'THAM_SO_MOI'!$C$53*'THAM_SO_MOI'!$C$17/'THAM_SO_MOI'!$C$26</f>
        <v>3772.176852169006</v>
      </c>
      <c r="M4078" s="75">
        <f>'THAM_SO_MOI'!$C$15*'THAM_SO_MOI'!$C$16*F4078^2</f>
        <v>1430.0653746352407</v>
      </c>
      <c r="N4078" s="75">
        <f>'THAM_SO_MOI'!$C$12*I4078</f>
        <v>1130.112</v>
      </c>
      <c r="O4078" s="75">
        <f>M4078+N4078</f>
        <v>2560.177374635241</v>
      </c>
      <c r="P4078" s="75">
        <f>(MIN(L4078,'THAM_SO_MOI'!$C$41)-O4078)/('THAM_SO_MOI'!$C$11*H4078)</f>
        <v>0.1434658472459476</v>
      </c>
      <c r="Q4078" s="75">
        <f>IF(P4078&gt;0,1/P4078,NA())</f>
        <v>6.970300034444236</v>
      </c>
      <c r="R4078" s="75">
        <f>F4078-F4077</f>
        <v>0.007388554569875083</v>
      </c>
      <c r="S4078" s="75">
        <f>0.5*(Q4077+Q4078)*R4078</f>
        <v>0.05148000495623345</v>
      </c>
      <c r="T4078" s="75">
        <f>0.5*(F4077*Q4077+F4078*Q4078)*R4078</f>
        <v>1.1381016502056727</v>
      </c>
      <c r="U4078" s="76">
        <f>U4077+S4078</f>
        <v>61.20709226329396</v>
      </c>
      <c r="V4078" s="76">
        <f>V4077+T4078</f>
        <v>918.3298422505472</v>
      </c>
    </row>
    <row r="4079" spans="1:22" ht="19" customHeight="1">
      <c r="A4079" s="68" t="s">
        <v>378</v>
      </c>
      <c r="B4079" s="74">
        <v>5</v>
      </c>
      <c r="C4079" s="68" t="s">
        <v>363</v>
      </c>
      <c r="D4079" s="68" t="s">
        <v>364</v>
      </c>
      <c r="E4079" s="75">
        <f>60*F4079*'THAM_SO_MOI'!$C$53/(2*PI()*'THAM_SO_MOI'!$C$26)</f>
        <v>2179.276572857747</v>
      </c>
      <c r="F4079" s="75">
        <f>'HANH_TRINH'!$F$3289+('THAM_SO_MOI'!$C$14-'HANH_TRINH'!$F$3289)*789/'THAM_SO_MOI'!$C$42</f>
        <v>22.11872589973141</v>
      </c>
      <c r="G4079" s="75">
        <f>3.6*F4079</f>
        <v>79.62741323903307</v>
      </c>
      <c r="H4079" s="75">
        <f>'THAM_SO_MOI'!$D$53</f>
        <v>1.1</v>
      </c>
      <c r="I4079" s="75">
        <f>IF(F4079&gt;'THAM_SO_MOI'!$C$14,'THAM_SO_MOI'!$C$13*(1+F4079^2/1500),'THAM_SO_MOI'!$C$13)</f>
        <v>0.015</v>
      </c>
      <c r="J4079" s="75">
        <f>'THAM_SO_MOI'!$C$40*('THAM_SO_MOI'!$C$23*(E4079/'THAM_SO_MOI'!$C$22)+'THAM_SO_MOI'!$C$24*(E4079/'THAM_SO_MOI'!$C$22)^2-'THAM_SO_MOI'!$C$25*(E4079/'THAM_SO_MOI'!$C$22)^3)</f>
        <v>98.140986071025</v>
      </c>
      <c r="K4079" s="75">
        <f>'THAM_SO_MOI'!$C$31*J4079/E4079</f>
        <v>430.1217313980353</v>
      </c>
      <c r="L4079" s="75">
        <f>K4079*'THAM_SO_MOI'!$C$53*'THAM_SO_MOI'!$C$17/'THAM_SO_MOI'!$C$26</f>
        <v>3772.16926741358</v>
      </c>
      <c r="M4079" s="75">
        <f>'THAM_SO_MOI'!$C$15*'THAM_SO_MOI'!$C$16*F4079^2</f>
        <v>1431.0212536252886</v>
      </c>
      <c r="N4079" s="75">
        <f>'THAM_SO_MOI'!$C$12*I4079</f>
        <v>1130.112</v>
      </c>
      <c r="O4079" s="75">
        <f>M4079+N4079</f>
        <v>2561.1332536252885</v>
      </c>
      <c r="P4079" s="75">
        <f>(MIN(L4079,'THAM_SO_MOI'!$C$41)-O4079)/('THAM_SO_MOI'!$C$11*H4079)</f>
        <v>0.14335180087456104</v>
      </c>
      <c r="Q4079" s="75">
        <f>IF(P4079&gt;0,1/P4079,NA())</f>
        <v>6.975845395029553</v>
      </c>
      <c r="R4079" s="75">
        <f>F4079-F4078</f>
        <v>0.0073885545698715305</v>
      </c>
      <c r="S4079" s="75">
        <f>0.5*(Q4078+Q4079)*R4079</f>
        <v>0.051520928272515754</v>
      </c>
      <c r="T4079" s="75">
        <f>0.5*(F4078*Q4078+F4079*Q4079)*R4079</f>
        <v>1.1393870336458152</v>
      </c>
      <c r="U4079" s="76">
        <f>U4078+S4079</f>
        <v>61.258613191566475</v>
      </c>
      <c r="V4079" s="76">
        <f>V4078+T4079</f>
        <v>919.469229284193</v>
      </c>
    </row>
    <row r="4080" spans="1:22" ht="19" customHeight="1">
      <c r="A4080" s="68" t="s">
        <v>378</v>
      </c>
      <c r="B4080" s="74">
        <v>5</v>
      </c>
      <c r="C4080" s="68" t="s">
        <v>363</v>
      </c>
      <c r="D4080" s="68" t="s">
        <v>364</v>
      </c>
      <c r="E4080" s="75">
        <f>60*F4080*'THAM_SO_MOI'!$C$53/(2*PI()*'THAM_SO_MOI'!$C$26)</f>
        <v>2180.0045399185256</v>
      </c>
      <c r="F4080" s="75">
        <f>'HANH_TRINH'!$F$3289+('THAM_SO_MOI'!$C$14-'HANH_TRINH'!$F$3289)*790/'THAM_SO_MOI'!$C$42</f>
        <v>22.12611445430128</v>
      </c>
      <c r="G4080" s="75">
        <f>3.6*F4080</f>
        <v>79.65401203548461</v>
      </c>
      <c r="H4080" s="75">
        <f>'THAM_SO_MOI'!$D$53</f>
        <v>1.1</v>
      </c>
      <c r="I4080" s="75">
        <f>IF(F4080&gt;'THAM_SO_MOI'!$C$14,'THAM_SO_MOI'!$C$13*(1+F4080^2/1500),'THAM_SO_MOI'!$C$13)</f>
        <v>0.015</v>
      </c>
      <c r="J4080" s="75">
        <f>'THAM_SO_MOI'!$C$40*('THAM_SO_MOI'!$C$23*(E4080/'THAM_SO_MOI'!$C$22)+'THAM_SO_MOI'!$C$24*(E4080/'THAM_SO_MOI'!$C$22)^2-'THAM_SO_MOI'!$C$25*(E4080/'THAM_SO_MOI'!$C$22)^3)</f>
        <v>98.17356002024914</v>
      </c>
      <c r="K4080" s="75">
        <f>'THAM_SO_MOI'!$C$31*J4080/E4080</f>
        <v>430.1208151343297</v>
      </c>
      <c r="L4080" s="75">
        <f>K4080*'THAM_SO_MOI'!$C$53*'THAM_SO_MOI'!$C$17/'THAM_SO_MOI'!$C$26</f>
        <v>3772.161231777297</v>
      </c>
      <c r="M4080" s="75">
        <f>'THAM_SO_MOI'!$C$15*'THAM_SO_MOI'!$C$16*F4080^2</f>
        <v>1431.9774519711573</v>
      </c>
      <c r="N4080" s="75">
        <f>'THAM_SO_MOI'!$C$12*I4080</f>
        <v>1130.112</v>
      </c>
      <c r="O4080" s="75">
        <f>M4080+N4080</f>
        <v>2562.0894519711574</v>
      </c>
      <c r="P4080" s="75">
        <f>(MIN(L4080,'THAM_SO_MOI'!$C$41)-O4080)/('THAM_SO_MOI'!$C$11*H4080)</f>
        <v>0.14323766332932525</v>
      </c>
      <c r="Q4080" s="75">
        <f>IF(P4080&gt;0,1/P4080,NA())</f>
        <v>6.98140402989434</v>
      </c>
      <c r="R4080" s="75">
        <f>F4080-F4079</f>
        <v>0.0073885545698715305</v>
      </c>
      <c r="S4080" s="75">
        <f>0.5*(Q4079+Q4080)*R4080</f>
        <v>0.051561949510679106</v>
      </c>
      <c r="T4080" s="75">
        <f>0.5*(F4079*Q4079+F4080*Q4080)*R4080</f>
        <v>1.1406751880838413</v>
      </c>
      <c r="U4080" s="76">
        <f>U4079+S4080</f>
        <v>61.31017514107715</v>
      </c>
      <c r="V4080" s="76">
        <f>V4079+T4080</f>
        <v>920.6099044722769</v>
      </c>
    </row>
    <row r="4081" spans="1:22" ht="19" customHeight="1">
      <c r="A4081" s="68" t="s">
        <v>378</v>
      </c>
      <c r="B4081" s="74">
        <v>5</v>
      </c>
      <c r="C4081" s="68" t="s">
        <v>363</v>
      </c>
      <c r="D4081" s="68" t="s">
        <v>364</v>
      </c>
      <c r="E4081" s="75">
        <f>60*F4081*'THAM_SO_MOI'!$C$53/(2*PI()*'THAM_SO_MOI'!$C$26)</f>
        <v>2180.7325069793046</v>
      </c>
      <c r="F4081" s="75">
        <f>'HANH_TRINH'!$F$3289+('THAM_SO_MOI'!$C$14-'HANH_TRINH'!$F$3289)*791/'THAM_SO_MOI'!$C$42</f>
        <v>22.133503008871152</v>
      </c>
      <c r="G4081" s="75">
        <f>3.6*F4081</f>
        <v>79.68061083193615</v>
      </c>
      <c r="H4081" s="75">
        <f>'THAM_SO_MOI'!$D$53</f>
        <v>1.1</v>
      </c>
      <c r="I4081" s="75">
        <f>IF(F4081&gt;'THAM_SO_MOI'!$C$14,'THAM_SO_MOI'!$C$13*(1+F4081^2/1500),'THAM_SO_MOI'!$C$13)</f>
        <v>0.015</v>
      </c>
      <c r="J4081" s="75">
        <f>'THAM_SO_MOI'!$C$40*('THAM_SO_MOI'!$C$23*(E4081/'THAM_SO_MOI'!$C$22)+'THAM_SO_MOI'!$C$24*(E4081/'THAM_SO_MOI'!$C$22)^2-'THAM_SO_MOI'!$C$25*(E4081/'THAM_SO_MOI'!$C$22)^3)</f>
        <v>98.20612209134242</v>
      </c>
      <c r="K4081" s="75">
        <f>'THAM_SO_MOI'!$C$31*J4081/E4081</f>
        <v>430.1198474589188</v>
      </c>
      <c r="L4081" s="75">
        <f>K4081*'THAM_SO_MOI'!$C$53*'THAM_SO_MOI'!$C$17/'THAM_SO_MOI'!$C$26</f>
        <v>3772.1527452601567</v>
      </c>
      <c r="M4081" s="75">
        <f>'THAM_SO_MOI'!$C$15*'THAM_SO_MOI'!$C$16*F4081^2</f>
        <v>1432.933969672847</v>
      </c>
      <c r="N4081" s="75">
        <f>'THAM_SO_MOI'!$C$12*I4081</f>
        <v>1130.112</v>
      </c>
      <c r="O4081" s="75">
        <f>M4081+N4081</f>
        <v>2563.045969672847</v>
      </c>
      <c r="P4081" s="75">
        <f>(MIN(L4081,'THAM_SO_MOI'!$C$41)-O4081)/('THAM_SO_MOI'!$C$11*H4081)</f>
        <v>0.14312343461024024</v>
      </c>
      <c r="Q4081" s="75">
        <f>IF(P4081&gt;0,1/P4081,NA())</f>
        <v>6.98697598141941</v>
      </c>
      <c r="R4081" s="75">
        <f>F4081-F4080</f>
        <v>0.0073885545698715305</v>
      </c>
      <c r="S4081" s="75">
        <f>0.5*(Q4080+Q4081)*R4081</f>
        <v>0.05160306898314717</v>
      </c>
      <c r="T4081" s="75">
        <f>0.5*(F4080*Q4080+F4081*Q4081)*R4081</f>
        <v>1.1419661226041335</v>
      </c>
      <c r="U4081" s="76">
        <f>U4080+S4081</f>
        <v>61.3617782100603</v>
      </c>
      <c r="V4081" s="76">
        <f>V4080+T4081</f>
        <v>921.751870594881</v>
      </c>
    </row>
    <row r="4082" spans="1:22" ht="19" customHeight="1">
      <c r="A4082" s="68" t="s">
        <v>378</v>
      </c>
      <c r="B4082" s="74">
        <v>5</v>
      </c>
      <c r="C4082" s="68" t="s">
        <v>363</v>
      </c>
      <c r="D4082" s="68" t="s">
        <v>364</v>
      </c>
      <c r="E4082" s="75">
        <f>60*F4082*'THAM_SO_MOI'!$C$53/(2*PI()*'THAM_SO_MOI'!$C$26)</f>
        <v>2181.4604740400837</v>
      </c>
      <c r="F4082" s="75">
        <f>'HANH_TRINH'!$F$3289+('THAM_SO_MOI'!$C$14-'HANH_TRINH'!$F$3289)*792/'THAM_SO_MOI'!$C$42</f>
        <v>22.140891563441023</v>
      </c>
      <c r="G4082" s="75">
        <f>3.6*F4082</f>
        <v>79.70720962838769</v>
      </c>
      <c r="H4082" s="75">
        <f>'THAM_SO_MOI'!$D$53</f>
        <v>1.1</v>
      </c>
      <c r="I4082" s="75">
        <f>IF(F4082&gt;'THAM_SO_MOI'!$C$14,'THAM_SO_MOI'!$C$13*(1+F4082^2/1500),'THAM_SO_MOI'!$C$13)</f>
        <v>0.015</v>
      </c>
      <c r="J4082" s="75">
        <f>'THAM_SO_MOI'!$C$40*('THAM_SO_MOI'!$C$23*(E4082/'THAM_SO_MOI'!$C$22)+'THAM_SO_MOI'!$C$24*(E4082/'THAM_SO_MOI'!$C$22)^2-'THAM_SO_MOI'!$C$25*(E4082/'THAM_SO_MOI'!$C$22)^3)</f>
        <v>98.23867227254925</v>
      </c>
      <c r="K4082" s="75">
        <f>'THAM_SO_MOI'!$C$31*J4082/E4082</f>
        <v>430.11882837180235</v>
      </c>
      <c r="L4082" s="75">
        <f>K4082*'THAM_SO_MOI'!$C$53*'THAM_SO_MOI'!$C$17/'THAM_SO_MOI'!$C$26</f>
        <v>3772.143807862158</v>
      </c>
      <c r="M4082" s="75">
        <f>'THAM_SO_MOI'!$C$15*'THAM_SO_MOI'!$C$16*F4082^2</f>
        <v>1433.8908067303576</v>
      </c>
      <c r="N4082" s="75">
        <f>'THAM_SO_MOI'!$C$12*I4082</f>
        <v>1130.112</v>
      </c>
      <c r="O4082" s="75">
        <f>M4082+N4082</f>
        <v>2564.0028067303574</v>
      </c>
      <c r="P4082" s="75">
        <f>(MIN(L4082,'THAM_SO_MOI'!$C$41)-O4082)/('THAM_SO_MOI'!$C$11*H4082)</f>
        <v>0.1430091147173059</v>
      </c>
      <c r="Q4082" s="75">
        <f>IF(P4082&gt;0,1/P4082,NA())</f>
        <v>6.992561292171872</v>
      </c>
      <c r="R4082" s="75">
        <f>F4082-F4081</f>
        <v>0.0073885545698715305</v>
      </c>
      <c r="S4082" s="75">
        <f>0.5*(Q4081+Q4082)*R4082</f>
        <v>0.05164428700374113</v>
      </c>
      <c r="T4082" s="75">
        <f>0.5*(F4081*Q4081+F4082*Q4082)*R4082</f>
        <v>1.1432598463312442</v>
      </c>
      <c r="U4082" s="76">
        <f>U4081+S4082</f>
        <v>61.41342249706404</v>
      </c>
      <c r="V4082" s="76">
        <f>V4081+T4082</f>
        <v>922.8951304412122</v>
      </c>
    </row>
    <row r="4083" spans="1:22" ht="19" customHeight="1">
      <c r="A4083" s="68" t="s">
        <v>378</v>
      </c>
      <c r="B4083" s="74">
        <v>5</v>
      </c>
      <c r="C4083" s="68" t="s">
        <v>363</v>
      </c>
      <c r="D4083" s="68" t="s">
        <v>364</v>
      </c>
      <c r="E4083" s="75">
        <f>60*F4083*'THAM_SO_MOI'!$C$53/(2*PI()*'THAM_SO_MOI'!$C$26)</f>
        <v>2182.1884411008623</v>
      </c>
      <c r="F4083" s="75">
        <f>'HANH_TRINH'!$F$3289+('THAM_SO_MOI'!$C$14-'HANH_TRINH'!$F$3289)*793/'THAM_SO_MOI'!$C$42</f>
        <v>22.148280118010895</v>
      </c>
      <c r="G4083" s="75">
        <f>3.6*F4083</f>
        <v>79.73380842483922</v>
      </c>
      <c r="H4083" s="75">
        <f>'THAM_SO_MOI'!$D$53</f>
        <v>1.1</v>
      </c>
      <c r="I4083" s="75">
        <f>IF(F4083&gt;'THAM_SO_MOI'!$C$14,'THAM_SO_MOI'!$C$13*(1+F4083^2/1500),'THAM_SO_MOI'!$C$13)</f>
        <v>0.015</v>
      </c>
      <c r="J4083" s="75">
        <f>'THAM_SO_MOI'!$C$40*('THAM_SO_MOI'!$C$23*(E4083/'THAM_SO_MOI'!$C$22)+'THAM_SO_MOI'!$C$24*(E4083/'THAM_SO_MOI'!$C$22)^2-'THAM_SO_MOI'!$C$25*(E4083/'THAM_SO_MOI'!$C$22)^3)</f>
        <v>98.27121055211411</v>
      </c>
      <c r="K4083" s="75">
        <f>'THAM_SO_MOI'!$C$31*J4083/E4083</f>
        <v>430.1177578729804</v>
      </c>
      <c r="L4083" s="75">
        <f>K4083*'THAM_SO_MOI'!$C$53*'THAM_SO_MOI'!$C$17/'THAM_SO_MOI'!$C$26</f>
        <v>3772.1344195833008</v>
      </c>
      <c r="M4083" s="75">
        <f>'THAM_SO_MOI'!$C$15*'THAM_SO_MOI'!$C$16*F4083^2</f>
        <v>1434.8479631436896</v>
      </c>
      <c r="N4083" s="75">
        <f>'THAM_SO_MOI'!$C$12*I4083</f>
        <v>1130.112</v>
      </c>
      <c r="O4083" s="75">
        <f>M4083+N4083</f>
        <v>2564.9599631436895</v>
      </c>
      <c r="P4083" s="75">
        <f>(MIN(L4083,'THAM_SO_MOI'!$C$41)-O4083)/('THAM_SO_MOI'!$C$11*H4083)</f>
        <v>0.14289470365052218</v>
      </c>
      <c r="Q4083" s="75">
        <f>IF(P4083&gt;0,1/P4083,NA())</f>
        <v>6.9981600049061425</v>
      </c>
      <c r="R4083" s="75">
        <f>F4083-F4082</f>
        <v>0.0073885545698715305</v>
      </c>
      <c r="S4083" s="75">
        <f>0.5*(Q4082+Q4083)*R4083</f>
        <v>0.05168560388766236</v>
      </c>
      <c r="T4083" s="75">
        <f>0.5*(F4082*Q4082+F4083*Q4083)*R4083</f>
        <v>1.1445563684295643</v>
      </c>
      <c r="U4083" s="76">
        <f>U4082+S4083</f>
        <v>61.4651081009517</v>
      </c>
      <c r="V4083" s="76">
        <f>V4082+T4083</f>
        <v>924.0396868096418</v>
      </c>
    </row>
    <row r="4084" spans="1:22" ht="19" customHeight="1">
      <c r="A4084" s="68" t="s">
        <v>378</v>
      </c>
      <c r="B4084" s="74">
        <v>5</v>
      </c>
      <c r="C4084" s="68" t="s">
        <v>363</v>
      </c>
      <c r="D4084" s="68" t="s">
        <v>364</v>
      </c>
      <c r="E4084" s="75">
        <f>60*F4084*'THAM_SO_MOI'!$C$53/(2*PI()*'THAM_SO_MOI'!$C$26)</f>
        <v>2182.9164081616414</v>
      </c>
      <c r="F4084" s="75">
        <f>'HANH_TRINH'!$F$3289+('THAM_SO_MOI'!$C$14-'HANH_TRINH'!$F$3289)*794/'THAM_SO_MOI'!$C$42</f>
        <v>22.155668672580767</v>
      </c>
      <c r="G4084" s="75">
        <f>3.6*F4084</f>
        <v>79.76040722129076</v>
      </c>
      <c r="H4084" s="75">
        <f>'THAM_SO_MOI'!$D$53</f>
        <v>1.1</v>
      </c>
      <c r="I4084" s="75">
        <f>IF(F4084&gt;'THAM_SO_MOI'!$C$14,'THAM_SO_MOI'!$C$13*(1+F4084^2/1500),'THAM_SO_MOI'!$C$13)</f>
        <v>0.015</v>
      </c>
      <c r="J4084" s="75">
        <f>'THAM_SO_MOI'!$C$40*('THAM_SO_MOI'!$C$23*(E4084/'THAM_SO_MOI'!$C$22)+'THAM_SO_MOI'!$C$24*(E4084/'THAM_SO_MOI'!$C$22)^2-'THAM_SO_MOI'!$C$25*(E4084/'THAM_SO_MOI'!$C$22)^3)</f>
        <v>98.30373691828153</v>
      </c>
      <c r="K4084" s="75">
        <f>'THAM_SO_MOI'!$C$31*J4084/E4084</f>
        <v>430.116635962453</v>
      </c>
      <c r="L4084" s="75">
        <f>K4084*'THAM_SO_MOI'!$C$53*'THAM_SO_MOI'!$C$17/'THAM_SO_MOI'!$C$26</f>
        <v>3772.1245804235855</v>
      </c>
      <c r="M4084" s="75">
        <f>'THAM_SO_MOI'!$C$15*'THAM_SO_MOI'!$C$16*F4084^2</f>
        <v>1435.8054389128422</v>
      </c>
      <c r="N4084" s="75">
        <f>'THAM_SO_MOI'!$C$12*I4084</f>
        <v>1130.112</v>
      </c>
      <c r="O4084" s="75">
        <f>M4084+N4084</f>
        <v>2565.917438912842</v>
      </c>
      <c r="P4084" s="75">
        <f>(MIN(L4084,'THAM_SO_MOI'!$C$41)-O4084)/('THAM_SO_MOI'!$C$11*H4084)</f>
        <v>0.1427802014098891</v>
      </c>
      <c r="Q4084" s="75">
        <f>IF(P4084&gt;0,1/P4084,NA())</f>
        <v>7.003772162564964</v>
      </c>
      <c r="R4084" s="75">
        <f>F4084-F4083</f>
        <v>0.0073885545698715305</v>
      </c>
      <c r="S4084" s="75">
        <f>0.5*(Q4083+Q4084)*R4084</f>
        <v>0.05172701995149992</v>
      </c>
      <c r="T4084" s="75">
        <f>0.5*(F4083*Q4083+F4084*Q4084)*R4084</f>
        <v>1.1458556981035406</v>
      </c>
      <c r="U4084" s="76">
        <f>U4083+S4084</f>
        <v>61.5168351209032</v>
      </c>
      <c r="V4084" s="76">
        <f>V4083+T4084</f>
        <v>925.1855425077454</v>
      </c>
    </row>
    <row r="4085" spans="1:22" ht="19" customHeight="1">
      <c r="A4085" s="68" t="s">
        <v>378</v>
      </c>
      <c r="B4085" s="74">
        <v>5</v>
      </c>
      <c r="C4085" s="68" t="s">
        <v>363</v>
      </c>
      <c r="D4085" s="68" t="s">
        <v>364</v>
      </c>
      <c r="E4085" s="75">
        <f>60*F4085*'THAM_SO_MOI'!$C$53/(2*PI()*'THAM_SO_MOI'!$C$26)</f>
        <v>2183.64437522242</v>
      </c>
      <c r="F4085" s="75">
        <f>'HANH_TRINH'!$F$3289+('THAM_SO_MOI'!$C$14-'HANH_TRINH'!$F$3289)*795/'THAM_SO_MOI'!$C$42</f>
        <v>22.163057227150638</v>
      </c>
      <c r="G4085" s="75">
        <f>3.6*F4085</f>
        <v>79.7870060177423</v>
      </c>
      <c r="H4085" s="75">
        <f>'THAM_SO_MOI'!$D$53</f>
        <v>1.1</v>
      </c>
      <c r="I4085" s="75">
        <f>IF(F4085&gt;'THAM_SO_MOI'!$C$14,'THAM_SO_MOI'!$C$13*(1+F4085^2/1500),'THAM_SO_MOI'!$C$13)</f>
        <v>0.015</v>
      </c>
      <c r="J4085" s="75">
        <f>'THAM_SO_MOI'!$C$40*('THAM_SO_MOI'!$C$23*(E4085/'THAM_SO_MOI'!$C$22)+'THAM_SO_MOI'!$C$24*(E4085/'THAM_SO_MOI'!$C$22)^2-'THAM_SO_MOI'!$C$25*(E4085/'THAM_SO_MOI'!$C$22)^3)</f>
        <v>98.336251359296</v>
      </c>
      <c r="K4085" s="75">
        <f>'THAM_SO_MOI'!$C$31*J4085/E4085</f>
        <v>430.1154626402204</v>
      </c>
      <c r="L4085" s="75">
        <f>K4085*'THAM_SO_MOI'!$C$53*'THAM_SO_MOI'!$C$17/'THAM_SO_MOI'!$C$26</f>
        <v>3772.114290383014</v>
      </c>
      <c r="M4085" s="75">
        <f>'THAM_SO_MOI'!$C$15*'THAM_SO_MOI'!$C$16*F4085^2</f>
        <v>1436.763234037816</v>
      </c>
      <c r="N4085" s="75">
        <f>'THAM_SO_MOI'!$C$12*I4085</f>
        <v>1130.112</v>
      </c>
      <c r="O4085" s="75">
        <f>M4085+N4085</f>
        <v>2566.875234037816</v>
      </c>
      <c r="P4085" s="75">
        <f>(MIN(L4085,'THAM_SO_MOI'!$C$41)-O4085)/('THAM_SO_MOI'!$C$11*H4085)</f>
        <v>0.14266560799540698</v>
      </c>
      <c r="Q4085" s="75">
        <f>IF(P4085&gt;0,1/P4085,NA())</f>
        <v>7.009397808280426</v>
      </c>
      <c r="R4085" s="75">
        <f>F4085-F4084</f>
        <v>0.0073885545698715305</v>
      </c>
      <c r="S4085" s="75">
        <f>0.5*(Q4084+Q4085)*R4085</f>
        <v>0.0517685355132381</v>
      </c>
      <c r="T4085" s="75">
        <f>0.5*(F4084*Q4084+F4085*Q4085)*R4085</f>
        <v>1.147157844597894</v>
      </c>
      <c r="U4085" s="76">
        <f>U4084+S4085</f>
        <v>61.56860365641644</v>
      </c>
      <c r="V4085" s="76">
        <f>V4084+T4085</f>
        <v>926.3327003523433</v>
      </c>
    </row>
    <row r="4086" spans="1:22" ht="19" customHeight="1">
      <c r="A4086" s="68" t="s">
        <v>378</v>
      </c>
      <c r="B4086" s="74">
        <v>5</v>
      </c>
      <c r="C4086" s="68" t="s">
        <v>363</v>
      </c>
      <c r="D4086" s="68" t="s">
        <v>364</v>
      </c>
      <c r="E4086" s="75">
        <f>60*F4086*'THAM_SO_MOI'!$C$53/(2*PI()*'THAM_SO_MOI'!$C$26)</f>
        <v>2184.3723422831995</v>
      </c>
      <c r="F4086" s="75">
        <f>'HANH_TRINH'!$F$3289+('THAM_SO_MOI'!$C$14-'HANH_TRINH'!$F$3289)*796/'THAM_SO_MOI'!$C$42</f>
        <v>22.17044578172051</v>
      </c>
      <c r="G4086" s="75">
        <f>3.6*F4086</f>
        <v>79.81360481419384</v>
      </c>
      <c r="H4086" s="75">
        <f>'THAM_SO_MOI'!$D$53</f>
        <v>1.1</v>
      </c>
      <c r="I4086" s="75">
        <f>IF(F4086&gt;'THAM_SO_MOI'!$C$14,'THAM_SO_MOI'!$C$13*(1+F4086^2/1500),'THAM_SO_MOI'!$C$13)</f>
        <v>0.015</v>
      </c>
      <c r="J4086" s="75">
        <f>'THAM_SO_MOI'!$C$40*('THAM_SO_MOI'!$C$23*(E4086/'THAM_SO_MOI'!$C$22)+'THAM_SO_MOI'!$C$24*(E4086/'THAM_SO_MOI'!$C$22)^2-'THAM_SO_MOI'!$C$25*(E4086/'THAM_SO_MOI'!$C$22)^3)</f>
        <v>98.36875386340199</v>
      </c>
      <c r="K4086" s="75">
        <f>'THAM_SO_MOI'!$C$31*J4086/E4086</f>
        <v>430.1142379062823</v>
      </c>
      <c r="L4086" s="75">
        <f>K4086*'THAM_SO_MOI'!$C$53*'THAM_SO_MOI'!$C$17/'THAM_SO_MOI'!$C$26</f>
        <v>3772.103549461585</v>
      </c>
      <c r="M4086" s="75">
        <f>'THAM_SO_MOI'!$C$15*'THAM_SO_MOI'!$C$16*F4086^2</f>
        <v>1437.7213485186105</v>
      </c>
      <c r="N4086" s="75">
        <f>'THAM_SO_MOI'!$C$12*I4086</f>
        <v>1130.112</v>
      </c>
      <c r="O4086" s="75">
        <f>M4086+N4086</f>
        <v>2567.8333485186104</v>
      </c>
      <c r="P4086" s="75">
        <f>(MIN(L4086,'THAM_SO_MOI'!$C$41)-O4086)/('THAM_SO_MOI'!$C$11*H4086)</f>
        <v>0.14255092340707554</v>
      </c>
      <c r="Q4086" s="75">
        <f>IF(P4086&gt;0,1/P4086,NA())</f>
        <v>7.015036985375044</v>
      </c>
      <c r="R4086" s="75">
        <f>F4086-F4085</f>
        <v>0.0073885545698715305</v>
      </c>
      <c r="S4086" s="75">
        <f>0.5*(Q4085+Q4086)*R4086</f>
        <v>0.051810150892264206</v>
      </c>
      <c r="T4086" s="75">
        <f>0.5*(F4085*Q4085+F4086*Q4086)*R4086</f>
        <v>1.1484628171978426</v>
      </c>
      <c r="U4086" s="76">
        <f>U4085+S4086</f>
        <v>61.62041380730871</v>
      </c>
      <c r="V4086" s="76">
        <f>V4085+T4086</f>
        <v>927.4811631695411</v>
      </c>
    </row>
    <row r="4087" spans="1:22" ht="19" customHeight="1">
      <c r="A4087" s="68" t="s">
        <v>378</v>
      </c>
      <c r="B4087" s="74">
        <v>5</v>
      </c>
      <c r="C4087" s="68" t="s">
        <v>363</v>
      </c>
      <c r="D4087" s="68" t="s">
        <v>364</v>
      </c>
      <c r="E4087" s="75">
        <f>60*F4087*'THAM_SO_MOI'!$C$53/(2*PI()*'THAM_SO_MOI'!$C$26)</f>
        <v>2185.100309343978</v>
      </c>
      <c r="F4087" s="75">
        <f>'HANH_TRINH'!$F$3289+('THAM_SO_MOI'!$C$14-'HANH_TRINH'!$F$3289)*797/'THAM_SO_MOI'!$C$42</f>
        <v>22.17783433629038</v>
      </c>
      <c r="G4087" s="75">
        <f>3.6*F4087</f>
        <v>79.84020361064537</v>
      </c>
      <c r="H4087" s="75">
        <f>'THAM_SO_MOI'!$D$53</f>
        <v>1.1</v>
      </c>
      <c r="I4087" s="75">
        <f>IF(F4087&gt;'THAM_SO_MOI'!$C$14,'THAM_SO_MOI'!$C$13*(1+F4087^2/1500),'THAM_SO_MOI'!$C$13)</f>
        <v>0.015</v>
      </c>
      <c r="J4087" s="75">
        <f>'THAM_SO_MOI'!$C$40*('THAM_SO_MOI'!$C$23*(E4087/'THAM_SO_MOI'!$C$22)+'THAM_SO_MOI'!$C$24*(E4087/'THAM_SO_MOI'!$C$22)^2-'THAM_SO_MOI'!$C$25*(E4087/'THAM_SO_MOI'!$C$22)^3)</f>
        <v>98.40124441884394</v>
      </c>
      <c r="K4087" s="75">
        <f>'THAM_SO_MOI'!$C$31*J4087/E4087</f>
        <v>430.1129617606387</v>
      </c>
      <c r="L4087" s="75">
        <f>K4087*'THAM_SO_MOI'!$C$53*'THAM_SO_MOI'!$C$17/'THAM_SO_MOI'!$C$26</f>
        <v>3772.0923576592972</v>
      </c>
      <c r="M4087" s="75">
        <f>'THAM_SO_MOI'!$C$15*'THAM_SO_MOI'!$C$16*F4087^2</f>
        <v>1438.6797823552265</v>
      </c>
      <c r="N4087" s="75">
        <f>'THAM_SO_MOI'!$C$12*I4087</f>
        <v>1130.112</v>
      </c>
      <c r="O4087" s="75">
        <f>M4087+N4087</f>
        <v>2568.7917823552266</v>
      </c>
      <c r="P4087" s="75">
        <f>(MIN(L4087,'THAM_SO_MOI'!$C$41)-O4087)/('THAM_SO_MOI'!$C$11*H4087)</f>
        <v>0.14243614764489473</v>
      </c>
      <c r="Q4087" s="75">
        <f>IF(P4087&gt;0,1/P4087,NA())</f>
        <v>7.020689737362765</v>
      </c>
      <c r="R4087" s="75">
        <f>F4087-F4086</f>
        <v>0.0073885545698715305</v>
      </c>
      <c r="S4087" s="75">
        <f>0.5*(Q4086+Q4087)*R4087</f>
        <v>0.0518518664093762</v>
      </c>
      <c r="T4087" s="75">
        <f>0.5*(F4086*Q4086+F4087*Q4087)*R4087</f>
        <v>1.1497706252293243</v>
      </c>
      <c r="U4087" s="76">
        <f>U4086+S4087</f>
        <v>61.67226567371809</v>
      </c>
      <c r="V4087" s="76">
        <f>V4086+T4087</f>
        <v>928.6309337947704</v>
      </c>
    </row>
    <row r="4088" spans="1:22" ht="19" customHeight="1">
      <c r="A4088" s="68" t="s">
        <v>378</v>
      </c>
      <c r="B4088" s="74">
        <v>5</v>
      </c>
      <c r="C4088" s="68" t="s">
        <v>363</v>
      </c>
      <c r="D4088" s="68" t="s">
        <v>364</v>
      </c>
      <c r="E4088" s="75">
        <f>60*F4088*'THAM_SO_MOI'!$C$53/(2*PI()*'THAM_SO_MOI'!$C$26)</f>
        <v>2185.8282764047576</v>
      </c>
      <c r="F4088" s="75">
        <f>'HANH_TRINH'!$F$3289+('THAM_SO_MOI'!$C$14-'HANH_TRINH'!$F$3289)*798/'THAM_SO_MOI'!$C$42</f>
        <v>22.185222890860256</v>
      </c>
      <c r="G4088" s="75">
        <f>3.6*F4088</f>
        <v>79.86680240709693</v>
      </c>
      <c r="H4088" s="75">
        <f>'THAM_SO_MOI'!$D$53</f>
        <v>1.1</v>
      </c>
      <c r="I4088" s="75">
        <f>IF(F4088&gt;'THAM_SO_MOI'!$C$14,'THAM_SO_MOI'!$C$13*(1+F4088^2/1500),'THAM_SO_MOI'!$C$13)</f>
        <v>0.015</v>
      </c>
      <c r="J4088" s="75">
        <f>'THAM_SO_MOI'!$C$40*('THAM_SO_MOI'!$C$23*(E4088/'THAM_SO_MOI'!$C$22)+'THAM_SO_MOI'!$C$24*(E4088/'THAM_SO_MOI'!$C$22)^2-'THAM_SO_MOI'!$C$25*(E4088/'THAM_SO_MOI'!$C$22)^3)</f>
        <v>98.43372301386643</v>
      </c>
      <c r="K4088" s="75">
        <f>'THAM_SO_MOI'!$C$31*J4088/E4088</f>
        <v>430.1116342032898</v>
      </c>
      <c r="L4088" s="75">
        <f>K4088*'THAM_SO_MOI'!$C$53*'THAM_SO_MOI'!$C$17/'THAM_SO_MOI'!$C$26</f>
        <v>3772.080714976152</v>
      </c>
      <c r="M4088" s="75">
        <f>'THAM_SO_MOI'!$C$15*'THAM_SO_MOI'!$C$16*F4088^2</f>
        <v>1439.6385355476637</v>
      </c>
      <c r="N4088" s="75">
        <f>'THAM_SO_MOI'!$C$12*I4088</f>
        <v>1130.112</v>
      </c>
      <c r="O4088" s="75">
        <f>M4088+N4088</f>
        <v>2569.7505355476637</v>
      </c>
      <c r="P4088" s="75">
        <f>(MIN(L4088,'THAM_SO_MOI'!$C$41)-O4088)/('THAM_SO_MOI'!$C$11*H4088)</f>
        <v>0.14232128070886463</v>
      </c>
      <c r="Q4088" s="75">
        <f>IF(P4088&gt;0,1/P4088,NA())</f>
        <v>7.026356107950018</v>
      </c>
      <c r="R4088" s="75">
        <f>F4088-F4087</f>
        <v>0.007388554569875083</v>
      </c>
      <c r="S4088" s="75">
        <f>0.5*(Q4087+Q4088)*R4088</f>
        <v>0.05189368238681528</v>
      </c>
      <c r="T4088" s="75">
        <f>0.5*(F4087*Q4087+F4088*Q4088)*R4088</f>
        <v>1.1510812780597717</v>
      </c>
      <c r="U4088" s="76">
        <f>U4087+S4088</f>
        <v>61.724159356104906</v>
      </c>
      <c r="V4088" s="76">
        <f>V4087+T4088</f>
        <v>929.7820150728302</v>
      </c>
    </row>
    <row r="4089" spans="1:22" ht="19" customHeight="1">
      <c r="A4089" s="68" t="s">
        <v>378</v>
      </c>
      <c r="B4089" s="74">
        <v>5</v>
      </c>
      <c r="C4089" s="68" t="s">
        <v>363</v>
      </c>
      <c r="D4089" s="68" t="s">
        <v>364</v>
      </c>
      <c r="E4089" s="75">
        <f>60*F4089*'THAM_SO_MOI'!$C$53/(2*PI()*'THAM_SO_MOI'!$C$26)</f>
        <v>2186.556243465536</v>
      </c>
      <c r="F4089" s="75">
        <f>'HANH_TRINH'!$F$3289+('THAM_SO_MOI'!$C$14-'HANH_TRINH'!$F$3289)*799/'THAM_SO_MOI'!$C$42</f>
        <v>22.192611445430128</v>
      </c>
      <c r="G4089" s="75">
        <f>3.6*F4089</f>
        <v>79.89340120354846</v>
      </c>
      <c r="H4089" s="75">
        <f>'THAM_SO_MOI'!$D$53</f>
        <v>1.1</v>
      </c>
      <c r="I4089" s="75">
        <f>IF(F4089&gt;'THAM_SO_MOI'!$C$14,'THAM_SO_MOI'!$C$13*(1+F4089^2/1500),'THAM_SO_MOI'!$C$13)</f>
        <v>0.015</v>
      </c>
      <c r="J4089" s="75">
        <f>'THAM_SO_MOI'!$C$40*('THAM_SO_MOI'!$C$23*(E4089/'THAM_SO_MOI'!$C$22)+'THAM_SO_MOI'!$C$24*(E4089/'THAM_SO_MOI'!$C$22)^2-'THAM_SO_MOI'!$C$25*(E4089/'THAM_SO_MOI'!$C$22)^3)</f>
        <v>98.46618963671379</v>
      </c>
      <c r="K4089" s="75">
        <f>'THAM_SO_MOI'!$C$31*J4089/E4089</f>
        <v>430.1102552342352</v>
      </c>
      <c r="L4089" s="75">
        <f>K4089*'THAM_SO_MOI'!$C$53*'THAM_SO_MOI'!$C$17/'THAM_SO_MOI'!$C$26</f>
        <v>3772.0686214121474</v>
      </c>
      <c r="M4089" s="75">
        <f>'THAM_SO_MOI'!$C$15*'THAM_SO_MOI'!$C$16*F4089^2</f>
        <v>1440.5976080959213</v>
      </c>
      <c r="N4089" s="75">
        <f>'THAM_SO_MOI'!$C$12*I4089</f>
        <v>1130.112</v>
      </c>
      <c r="O4089" s="75">
        <f>M4089+N4089</f>
        <v>2570.7096080959213</v>
      </c>
      <c r="P4089" s="75">
        <f>(MIN(L4089,'THAM_SO_MOI'!$C$41)-O4089)/('THAM_SO_MOI'!$C$11*H4089)</f>
        <v>0.1422063225989851</v>
      </c>
      <c r="Q4089" s="75">
        <f>IF(P4089&gt;0,1/P4089,NA())</f>
        <v>7.032036141036789</v>
      </c>
      <c r="R4089" s="75">
        <f>F4089-F4088</f>
        <v>0.0073885545698715305</v>
      </c>
      <c r="S4089" s="75">
        <f>0.5*(Q4088+Q4089)*R4089</f>
        <v>0.051935599148148985</v>
      </c>
      <c r="T4089" s="75">
        <f>0.5*(F4088*Q4088+F4089*Q4089)*R4089</f>
        <v>1.1523947850955705</v>
      </c>
      <c r="U4089" s="76">
        <f>U4088+S4089</f>
        <v>61.77609495525306</v>
      </c>
      <c r="V4089" s="76">
        <f>V4088+T4089</f>
        <v>930.9344098579257</v>
      </c>
    </row>
    <row r="4090" spans="1:22" ht="19" customHeight="1">
      <c r="A4090" s="68" t="s">
        <v>378</v>
      </c>
      <c r="B4090" s="74">
        <v>5</v>
      </c>
      <c r="C4090" s="68" t="s">
        <v>363</v>
      </c>
      <c r="D4090" s="68" t="s">
        <v>364</v>
      </c>
      <c r="E4090" s="75">
        <f>60*F4090*'THAM_SO_MOI'!$C$53/(2*PI()*'THAM_SO_MOI'!$C$26)</f>
        <v>2187.2842105263153</v>
      </c>
      <c r="F4090" s="75">
        <f>'HANH_TRINH'!$F$3289+('THAM_SO_MOI'!$C$14-'HANH_TRINH'!$F$3289)*800/'THAM_SO_MOI'!$C$42</f>
        <v>22.2</v>
      </c>
      <c r="G4090" s="75">
        <f>3.6*F4090</f>
        <v>79.92</v>
      </c>
      <c r="H4090" s="75">
        <f>'THAM_SO_MOI'!$D$53</f>
        <v>1.1</v>
      </c>
      <c r="I4090" s="75">
        <f>IF(F4090&gt;'THAM_SO_MOI'!$C$14,'THAM_SO_MOI'!$C$13*(1+F4090^2/1500),'THAM_SO_MOI'!$C$13)</f>
        <v>0.015</v>
      </c>
      <c r="J4090" s="75">
        <f>'THAM_SO_MOI'!$C$40*('THAM_SO_MOI'!$C$23*(E4090/'THAM_SO_MOI'!$C$22)+'THAM_SO_MOI'!$C$24*(E4090/'THAM_SO_MOI'!$C$22)^2-'THAM_SO_MOI'!$C$25*(E4090/'THAM_SO_MOI'!$C$22)^3)</f>
        <v>98.4986442756307</v>
      </c>
      <c r="K4090" s="75">
        <f>'THAM_SO_MOI'!$C$31*J4090/E4090</f>
        <v>430.10882485347554</v>
      </c>
      <c r="L4090" s="75">
        <f>K4090*'THAM_SO_MOI'!$C$53*'THAM_SO_MOI'!$C$17/'THAM_SO_MOI'!$C$26</f>
        <v>3772.0560769672884</v>
      </c>
      <c r="M4090" s="75">
        <f>'THAM_SO_MOI'!$C$15*'THAM_SO_MOI'!$C$16*F4090^2</f>
        <v>1441.557</v>
      </c>
      <c r="N4090" s="75">
        <f>'THAM_SO_MOI'!$C$12*I4090</f>
        <v>1130.112</v>
      </c>
      <c r="O4090" s="75">
        <f>M4090+N4090</f>
        <v>2571.669</v>
      </c>
      <c r="P4090" s="75">
        <f>(MIN(L4090,'THAM_SO_MOI'!$C$41)-O4090)/('THAM_SO_MOI'!$C$11*H4090)</f>
        <v>0.1420912733152567</v>
      </c>
      <c r="Q4090" s="75">
        <f>IF(P4090&gt;0,1/P4090,NA())</f>
        <v>7.037729880717646</v>
      </c>
      <c r="R4090" s="75">
        <f>F4090-F4089</f>
        <v>0.0073885545698715305</v>
      </c>
      <c r="S4090" s="75">
        <f>0.5*(Q4089+Q4090)*R4090</f>
        <v>0.05197761701852846</v>
      </c>
      <c r="T4090" s="75">
        <f>0.5*(F4089*Q4089+F4090*Q4090)*R4090</f>
        <v>1.1537111557878186</v>
      </c>
      <c r="U4090" s="76">
        <f>U4089+S4090</f>
        <v>61.82807257227159</v>
      </c>
      <c r="V4090" s="76">
        <f>V4089+T4090</f>
        <v>932.0881210137136</v>
      </c>
    </row>
    <row r="4091" spans="1:22" ht="19" customHeight="1">
      <c r="A4091" s="68" t="s">
        <v>378</v>
      </c>
      <c r="B4091" s="74">
        <v>5</v>
      </c>
      <c r="C4091" s="68" t="s">
        <v>363</v>
      </c>
      <c r="D4091" s="68" t="s">
        <v>365</v>
      </c>
      <c r="E4091" s="75">
        <f>60*F4091*'THAM_SO_MOI'!$C$53/(2*PI()*'THAM_SO_MOI'!$C$26)</f>
        <v>2187.2842105263153</v>
      </c>
      <c r="F4091" s="75">
        <f>'THAM_SO_MOI'!$C$14+('THAM_SO_MOI'!$C$37-'THAM_SO_MOI'!$C$14)*0/'THAM_SO_MOI'!$C$42</f>
        <v>22.2</v>
      </c>
      <c r="G4091" s="75">
        <f>3.6*F4091</f>
        <v>79.92</v>
      </c>
      <c r="H4091" s="75">
        <f>'THAM_SO_MOI'!$D$53</f>
        <v>1.1</v>
      </c>
      <c r="I4091" s="75">
        <f>IF(F4091&gt;='THAM_SO_MOI'!$C$14,'THAM_SO_MOI'!$C$13*(1+F4091^2/1500),'THAM_SO_MOI'!$C$13)</f>
        <v>0.0199284</v>
      </c>
      <c r="J4091" s="75">
        <f>'THAM_SO_MOI'!$C$40*('THAM_SO_MOI'!$C$23*(E4091/'THAM_SO_MOI'!$C$22)+'THAM_SO_MOI'!$C$24*(E4091/'THAM_SO_MOI'!$C$22)^2-'THAM_SO_MOI'!$C$25*(E4091/'THAM_SO_MOI'!$C$22)^3)</f>
        <v>98.4986442756307</v>
      </c>
      <c r="K4091" s="75">
        <f>'THAM_SO_MOI'!$C$31*J4091/E4091</f>
        <v>430.10882485347554</v>
      </c>
      <c r="L4091" s="75">
        <f>K4091*'THAM_SO_MOI'!$C$53*'THAM_SO_MOI'!$C$17/'THAM_SO_MOI'!$C$26</f>
        <v>3772.0560769672884</v>
      </c>
      <c r="M4091" s="75">
        <f>'THAM_SO_MOI'!$C$15*'THAM_SO_MOI'!$C$16*F4091^2</f>
        <v>1441.557</v>
      </c>
      <c r="N4091" s="75">
        <f>'THAM_SO_MOI'!$C$12*I4091</f>
        <v>1501.42159872</v>
      </c>
      <c r="O4091" s="75">
        <f>M4091+N4091</f>
        <v>2942.9785987200003</v>
      </c>
      <c r="P4091" s="75">
        <f>(MIN(L4091,'THAM_SO_MOI'!$C$41)-O4091)/('THAM_SO_MOI'!$C$11*H4091)</f>
        <v>0.09813890604252942</v>
      </c>
      <c r="Q4091" s="75">
        <f>IF(P4091&gt;0,1/P4091,NA())</f>
        <v>10.189638751084514</v>
      </c>
      <c r="R4091" s="75">
        <f>0</f>
        <v>0.0</v>
      </c>
      <c r="S4091" s="75">
        <f>0</f>
        <v>0.0</v>
      </c>
      <c r="T4091" s="75">
        <f>0</f>
        <v>0.0</v>
      </c>
      <c r="U4091" s="76">
        <f>U4090+S4091</f>
        <v>61.82807257227159</v>
      </c>
      <c r="V4091" s="76">
        <f>V4090+T4091</f>
        <v>932.0881210137136</v>
      </c>
    </row>
    <row r="4092" spans="1:22" ht="19" customHeight="1">
      <c r="A4092" s="68" t="s">
        <v>378</v>
      </c>
      <c r="B4092" s="74">
        <v>5</v>
      </c>
      <c r="C4092" s="68" t="s">
        <v>363</v>
      </c>
      <c r="D4092" s="68" t="s">
        <v>365</v>
      </c>
      <c r="E4092" s="75">
        <f>60*F4092*'THAM_SO_MOI'!$C$53/(2*PI()*'THAM_SO_MOI'!$C$26)</f>
        <v>2187.637605263157</v>
      </c>
      <c r="F4092" s="75">
        <f>'THAM_SO_MOI'!$C$14+('THAM_SO_MOI'!$C$37-'THAM_SO_MOI'!$C$14)*1/'THAM_SO_MOI'!$C$42</f>
        <v>22.203586805555556</v>
      </c>
      <c r="G4092" s="75">
        <f>3.6*F4092</f>
        <v>79.9329125</v>
      </c>
      <c r="H4092" s="75">
        <f>'THAM_SO_MOI'!$D$53</f>
        <v>1.1</v>
      </c>
      <c r="I4092" s="75">
        <f>IF(F4092&gt;='THAM_SO_MOI'!$C$14,'THAM_SO_MOI'!$C$13*(1+F4092^2/1500),'THAM_SO_MOI'!$C$13)</f>
        <v>0.01992999267031841</v>
      </c>
      <c r="J4092" s="75">
        <f>'THAM_SO_MOI'!$C$40*('THAM_SO_MOI'!$C$23*(E4092/'THAM_SO_MOI'!$C$22)+'THAM_SO_MOI'!$C$24*(E4092/'THAM_SO_MOI'!$C$22)^2-'THAM_SO_MOI'!$C$25*(E4092/'THAM_SO_MOI'!$C$22)^3)</f>
        <v>98.51439519507228</v>
      </c>
      <c r="K4092" s="75">
        <f>'THAM_SO_MOI'!$C$31*J4092/E4092</f>
        <v>430.1081119319822</v>
      </c>
      <c r="L4092" s="75">
        <f>K4092*'THAM_SO_MOI'!$C$53*'THAM_SO_MOI'!$C$17/'THAM_SO_MOI'!$C$26</f>
        <v>3772.049824643002</v>
      </c>
      <c r="M4092" s="75">
        <f>'THAM_SO_MOI'!$C$15*'THAM_SO_MOI'!$C$16*F4092^2</f>
        <v>1442.0228560681346</v>
      </c>
      <c r="N4092" s="75">
        <f>'THAM_SO_MOI'!$C$12*I4092</f>
        <v>1501.5415917759253</v>
      </c>
      <c r="O4092" s="75">
        <f>M4092+N4092</f>
        <v>2943.56444784406</v>
      </c>
      <c r="P4092" s="75">
        <f>(MIN(L4092,'THAM_SO_MOI'!$C$41)-O4092)/('THAM_SO_MOI'!$C$11*H4092)</f>
        <v>0.0980688182763899</v>
      </c>
      <c r="Q4092" s="75">
        <f>IF(P4092&gt;0,1/P4092,NA())</f>
        <v>10.196921076194412</v>
      </c>
      <c r="R4092" s="75">
        <f>F4092-F4091</f>
        <v>0.0035868055555567935</v>
      </c>
      <c r="S4092" s="75">
        <f>0.5*(Q4091+Q4092)*R4092</f>
        <v>0.0365613130235875</v>
      </c>
      <c r="T4092" s="75">
        <f>0.5*(F4091*Q4091+F4092*Q4092)*R4092</f>
        <v>0.8117267417060733</v>
      </c>
      <c r="U4092" s="76">
        <f>U4091+S4092</f>
        <v>61.86463388529518</v>
      </c>
      <c r="V4092" s="76">
        <f>V4091+T4092</f>
        <v>932.8998477554196</v>
      </c>
    </row>
    <row r="4093" spans="1:22" ht="19" customHeight="1">
      <c r="A4093" s="68" t="s">
        <v>378</v>
      </c>
      <c r="B4093" s="74">
        <v>5</v>
      </c>
      <c r="C4093" s="68" t="s">
        <v>363</v>
      </c>
      <c r="D4093" s="68" t="s">
        <v>365</v>
      </c>
      <c r="E4093" s="75">
        <f>60*F4093*'THAM_SO_MOI'!$C$53/(2*PI()*'THAM_SO_MOI'!$C$26)</f>
        <v>2187.9909999999995</v>
      </c>
      <c r="F4093" s="75">
        <f>'THAM_SO_MOI'!$C$14+('THAM_SO_MOI'!$C$37-'THAM_SO_MOI'!$C$14)*2/'THAM_SO_MOI'!$C$42</f>
        <v>22.20717361111111</v>
      </c>
      <c r="G4093" s="75">
        <f>3.6*F4093</f>
        <v>79.945825</v>
      </c>
      <c r="H4093" s="75">
        <f>'THAM_SO_MOI'!$D$53</f>
        <v>1.1</v>
      </c>
      <c r="I4093" s="75">
        <f>IF(F4093&gt;='THAM_SO_MOI'!$C$14,'THAM_SO_MOI'!$C$13*(1+F4093^2/1500),'THAM_SO_MOI'!$C$13)</f>
        <v>0.019931585597940296</v>
      </c>
      <c r="J4093" s="75">
        <f>'THAM_SO_MOI'!$C$40*('THAM_SO_MOI'!$C$23*(E4093/'THAM_SO_MOI'!$C$22)+'THAM_SO_MOI'!$C$24*(E4093/'THAM_SO_MOI'!$C$22)^2-'THAM_SO_MOI'!$C$25*(E4093/'THAM_SO_MOI'!$C$22)^3)</f>
        <v>98.53014328619514</v>
      </c>
      <c r="K4093" s="75">
        <f>'THAM_SO_MOI'!$C$31*J4093/E4093</f>
        <v>430.1073868945042</v>
      </c>
      <c r="L4093" s="75">
        <f>K4093*'THAM_SO_MOI'!$C$53*'THAM_SO_MOI'!$C$17/'THAM_SO_MOI'!$C$26</f>
        <v>3772.0434660614833</v>
      </c>
      <c r="M4093" s="75">
        <f>'THAM_SO_MOI'!$C$15*'THAM_SO_MOI'!$C$16*F4093^2</f>
        <v>1442.4887873975367</v>
      </c>
      <c r="N4093" s="75">
        <f>'THAM_SO_MOI'!$C$12*I4093</f>
        <v>1501.6616042173002</v>
      </c>
      <c r="O4093" s="75">
        <f>M4093+N4093</f>
        <v>2944.1503916148367</v>
      </c>
      <c r="P4093" s="75">
        <f>(MIN(L4093,'THAM_SO_MOI'!$C$41)-O4093)/('THAM_SO_MOI'!$C$11*H4093)</f>
        <v>0.09799870672900643</v>
      </c>
      <c r="Q4093" s="75">
        <f>IF(P4093&gt;0,1/P4093,NA())</f>
        <v>10.204216294050461</v>
      </c>
      <c r="R4093" s="75">
        <f>F4093-F4092</f>
        <v>0.0035868055555532408</v>
      </c>
      <c r="S4093" s="75">
        <f>0.5*(Q4092+Q4093)*R4093</f>
        <v>0.036587456429599576</v>
      </c>
      <c r="T4093" s="75">
        <f>0.5*(F4092*Q4092+F4093*Q4093)*R4093</f>
        <v>0.8124384043386504</v>
      </c>
      <c r="U4093" s="76">
        <f>U4092+S4093</f>
        <v>61.90122134172478</v>
      </c>
      <c r="V4093" s="76">
        <f>V4092+T4093</f>
        <v>933.7122861597583</v>
      </c>
    </row>
    <row r="4094" spans="1:22" ht="19" customHeight="1">
      <c r="A4094" s="68" t="s">
        <v>378</v>
      </c>
      <c r="B4094" s="74">
        <v>5</v>
      </c>
      <c r="C4094" s="68" t="s">
        <v>363</v>
      </c>
      <c r="D4094" s="68" t="s">
        <v>365</v>
      </c>
      <c r="E4094" s="75">
        <f>60*F4094*'THAM_SO_MOI'!$C$53/(2*PI()*'THAM_SO_MOI'!$C$26)</f>
        <v>2188.3443947368414</v>
      </c>
      <c r="F4094" s="75">
        <f>'THAM_SO_MOI'!$C$14+('THAM_SO_MOI'!$C$37-'THAM_SO_MOI'!$C$14)*3/'THAM_SO_MOI'!$C$42</f>
        <v>22.210760416666666</v>
      </c>
      <c r="G4094" s="75">
        <f>3.6*F4094</f>
        <v>79.9587375</v>
      </c>
      <c r="H4094" s="75">
        <f>'THAM_SO_MOI'!$D$53</f>
        <v>1.1</v>
      </c>
      <c r="I4094" s="75">
        <f>IF(F4094&gt;='THAM_SO_MOI'!$C$14,'THAM_SO_MOI'!$C$13*(1+F4094^2/1500),'THAM_SO_MOI'!$C$13)</f>
        <v>0.019933178782865667</v>
      </c>
      <c r="J4094" s="75">
        <f>'THAM_SO_MOI'!$C$40*('THAM_SO_MOI'!$C$23*(E4094/'THAM_SO_MOI'!$C$22)+'THAM_SO_MOI'!$C$24*(E4094/'THAM_SO_MOI'!$C$22)^2-'THAM_SO_MOI'!$C$25*(E4094/'THAM_SO_MOI'!$C$22)^3)</f>
        <v>98.54588854765443</v>
      </c>
      <c r="K4094" s="75">
        <f>'THAM_SO_MOI'!$C$31*J4094/E4094</f>
        <v>430.1066497410421</v>
      </c>
      <c r="L4094" s="75">
        <f>K4094*'THAM_SO_MOI'!$C$53*'THAM_SO_MOI'!$C$17/'THAM_SO_MOI'!$C$26</f>
        <v>3772.0370012227363</v>
      </c>
      <c r="M4094" s="75">
        <f>'THAM_SO_MOI'!$C$15*'THAM_SO_MOI'!$C$16*F4094^2</f>
        <v>1442.9547939882082</v>
      </c>
      <c r="N4094" s="75">
        <f>'THAM_SO_MOI'!$C$12*I4094</f>
        <v>1501.7816360441257</v>
      </c>
      <c r="O4094" s="75">
        <f>M4094+N4094</f>
        <v>2944.736430032334</v>
      </c>
      <c r="P4094" s="75">
        <f>(MIN(L4094,'THAM_SO_MOI'!$C$41)-O4094)/('THAM_SO_MOI'!$C$11*H4094)</f>
        <v>0.09792857140037908</v>
      </c>
      <c r="Q4094" s="75">
        <f>IF(P4094&gt;0,1/P4094,NA())</f>
        <v>10.211524437658946</v>
      </c>
      <c r="R4094" s="75">
        <f>F4094-F4093</f>
        <v>0.0035868055555567935</v>
      </c>
      <c r="S4094" s="75">
        <f>0.5*(Q4093+Q4094)*R4094</f>
        <v>0.03661364613865121</v>
      </c>
      <c r="T4094" s="75">
        <f>0.5*(F4093*Q4093+F4094*Q4094)*R4094</f>
        <v>0.8131512828566398</v>
      </c>
      <c r="U4094" s="76">
        <f>U4093+S4094</f>
        <v>61.93783498786343</v>
      </c>
      <c r="V4094" s="76">
        <f>V4093+T4094</f>
        <v>934.5254374426149</v>
      </c>
    </row>
    <row r="4095" spans="1:22" ht="19" customHeight="1">
      <c r="A4095" s="68" t="s">
        <v>378</v>
      </c>
      <c r="B4095" s="74">
        <v>5</v>
      </c>
      <c r="C4095" s="68" t="s">
        <v>363</v>
      </c>
      <c r="D4095" s="68" t="s">
        <v>365</v>
      </c>
      <c r="E4095" s="75">
        <f>60*F4095*'THAM_SO_MOI'!$C$53/(2*PI()*'THAM_SO_MOI'!$C$26)</f>
        <v>2188.6977894736838</v>
      </c>
      <c r="F4095" s="75">
        <f>'THAM_SO_MOI'!$C$14+('THAM_SO_MOI'!$C$37-'THAM_SO_MOI'!$C$14)*4/'THAM_SO_MOI'!$C$42</f>
        <v>22.214347222222223</v>
      </c>
      <c r="G4095" s="75">
        <f>3.6*F4095</f>
        <v>79.97165000000001</v>
      </c>
      <c r="H4095" s="75">
        <f>'THAM_SO_MOI'!$D$53</f>
        <v>1.1</v>
      </c>
      <c r="I4095" s="75">
        <f>IF(F4095&gt;='THAM_SO_MOI'!$C$14,'THAM_SO_MOI'!$C$13*(1+F4095^2/1500),'THAM_SO_MOI'!$C$13)</f>
        <v>0.019934772225094523</v>
      </c>
      <c r="J4095" s="75">
        <f>'THAM_SO_MOI'!$C$40*('THAM_SO_MOI'!$C$23*(E4095/'THAM_SO_MOI'!$C$22)+'THAM_SO_MOI'!$C$24*(E4095/'THAM_SO_MOI'!$C$22)^2-'THAM_SO_MOI'!$C$25*(E4095/'THAM_SO_MOI'!$C$22)^3)</f>
        <v>98.56163097810521</v>
      </c>
      <c r="K4095" s="75">
        <f>'THAM_SO_MOI'!$C$31*J4095/E4095</f>
        <v>430.10590047159536</v>
      </c>
      <c r="L4095" s="75">
        <f>K4095*'THAM_SO_MOI'!$C$53*'THAM_SO_MOI'!$C$17/'THAM_SO_MOI'!$C$26</f>
        <v>3772.030430126756</v>
      </c>
      <c r="M4095" s="75">
        <f>'THAM_SO_MOI'!$C$15*'THAM_SO_MOI'!$C$16*F4095^2</f>
        <v>1443.4208758401478</v>
      </c>
      <c r="N4095" s="75">
        <f>'THAM_SO_MOI'!$C$12*I4095</f>
        <v>1501.9016872564014</v>
      </c>
      <c r="O4095" s="75">
        <f>M4095+N4095</f>
        <v>2945.322563096549</v>
      </c>
      <c r="P4095" s="75">
        <f>(MIN(L4095,'THAM_SO_MOI'!$C$41)-O4095)/('THAM_SO_MOI'!$C$11*H4095)</f>
        <v>0.09785841229050744</v>
      </c>
      <c r="Q4095" s="75">
        <f>IF(P4095&gt;0,1/P4095,NA())</f>
        <v>10.21884554013966</v>
      </c>
      <c r="R4095" s="75">
        <f>F4095-F4094</f>
        <v>0.0035868055555567935</v>
      </c>
      <c r="S4095" s="75">
        <f>0.5*(Q4094+Q4095)*R4095</f>
        <v>0.03663988226922438</v>
      </c>
      <c r="T4095" s="75">
        <f>0.5*(F4094*Q4094+F4095*Q4095)*R4095</f>
        <v>0.8138653803900693</v>
      </c>
      <c r="U4095" s="76">
        <f>U4094+S4095</f>
        <v>61.97447487013266</v>
      </c>
      <c r="V4095" s="76">
        <f>V4094+T4095</f>
        <v>935.339302823005</v>
      </c>
    </row>
    <row r="4096" spans="1:22" ht="19" customHeight="1">
      <c r="A4096" s="68" t="s">
        <v>378</v>
      </c>
      <c r="B4096" s="74">
        <v>5</v>
      </c>
      <c r="C4096" s="68" t="s">
        <v>363</v>
      </c>
      <c r="D4096" s="68" t="s">
        <v>365</v>
      </c>
      <c r="E4096" s="75">
        <f>60*F4096*'THAM_SO_MOI'!$C$53/(2*PI()*'THAM_SO_MOI'!$C$26)</f>
        <v>2189.0511842105257</v>
      </c>
      <c r="F4096" s="75">
        <f>'THAM_SO_MOI'!$C$14+('THAM_SO_MOI'!$C$37-'THAM_SO_MOI'!$C$14)*5/'THAM_SO_MOI'!$C$42</f>
        <v>22.217934027777776</v>
      </c>
      <c r="G4096" s="75">
        <f>3.6*F4096</f>
        <v>79.9845625</v>
      </c>
      <c r="H4096" s="75">
        <f>'THAM_SO_MOI'!$D$53</f>
        <v>1.1</v>
      </c>
      <c r="I4096" s="75">
        <f>IF(F4096&gt;='THAM_SO_MOI'!$C$14,'THAM_SO_MOI'!$C$13*(1+F4096^2/1500),'THAM_SO_MOI'!$C$13)</f>
        <v>0.019936365924626855</v>
      </c>
      <c r="J4096" s="75">
        <f>'THAM_SO_MOI'!$C$40*('THAM_SO_MOI'!$C$23*(E4096/'THAM_SO_MOI'!$C$22)+'THAM_SO_MOI'!$C$24*(E4096/'THAM_SO_MOI'!$C$22)^2-'THAM_SO_MOI'!$C$25*(E4096/'THAM_SO_MOI'!$C$22)^3)</f>
        <v>98.57737057620258</v>
      </c>
      <c r="K4096" s="75">
        <f>'THAM_SO_MOI'!$C$31*J4096/E4096</f>
        <v>430.1051390861643</v>
      </c>
      <c r="L4096" s="75">
        <f>K4096*'THAM_SO_MOI'!$C$53*'THAM_SO_MOI'!$C$17/'THAM_SO_MOI'!$C$26</f>
        <v>3772.023752773546</v>
      </c>
      <c r="M4096" s="75">
        <f>'THAM_SO_MOI'!$C$15*'THAM_SO_MOI'!$C$16*F4096^2</f>
        <v>1443.8870329533556</v>
      </c>
      <c r="N4096" s="75">
        <f>'THAM_SO_MOI'!$C$12*I4096</f>
        <v>1502.0217578541271</v>
      </c>
      <c r="O4096" s="75">
        <f>M4096+N4096</f>
        <v>2945.9087908074825</v>
      </c>
      <c r="P4096" s="75">
        <f>(MIN(L4096,'THAM_SO_MOI'!$C$41)-O4096)/('THAM_SO_MOI'!$C$11*H4096)</f>
        <v>0.09778822939939198</v>
      </c>
      <c r="Q4096" s="75">
        <f>IF(P4096&gt;0,1/P4096,NA())</f>
        <v>10.22617963472624</v>
      </c>
      <c r="R4096" s="75">
        <f>F4096-F4095</f>
        <v>0.0035868055555532408</v>
      </c>
      <c r="S4096" s="75">
        <f>0.5*(Q4095+Q4096)*R4096</f>
        <v>0.036666164940317436</v>
      </c>
      <c r="T4096" s="75">
        <f>0.5*(F4095*Q4095+F4096*Q4096)*R4096</f>
        <v>0.8145807000821379</v>
      </c>
      <c r="U4096" s="76">
        <f>U4095+S4096</f>
        <v>62.011141035072974</v>
      </c>
      <c r="V4096" s="76">
        <f>V4095+T4096</f>
        <v>936.1538835230872</v>
      </c>
    </row>
    <row r="4097" spans="1:22" ht="19" customHeight="1">
      <c r="A4097" s="68" t="s">
        <v>378</v>
      </c>
      <c r="B4097" s="74">
        <v>5</v>
      </c>
      <c r="C4097" s="68" t="s">
        <v>363</v>
      </c>
      <c r="D4097" s="68" t="s">
        <v>365</v>
      </c>
      <c r="E4097" s="75">
        <f>60*F4097*'THAM_SO_MOI'!$C$53/(2*PI()*'THAM_SO_MOI'!$C$26)</f>
        <v>2189.404578947368</v>
      </c>
      <c r="F4097" s="75">
        <f>'THAM_SO_MOI'!$C$14+('THAM_SO_MOI'!$C$37-'THAM_SO_MOI'!$C$14)*6/'THAM_SO_MOI'!$C$42</f>
        <v>22.221520833333333</v>
      </c>
      <c r="G4097" s="75">
        <f>3.6*F4097</f>
        <v>79.997475</v>
      </c>
      <c r="H4097" s="75">
        <f>'THAM_SO_MOI'!$D$53</f>
        <v>1.1</v>
      </c>
      <c r="I4097" s="75">
        <f>IF(F4097&gt;='THAM_SO_MOI'!$C$14,'THAM_SO_MOI'!$C$13*(1+F4097^2/1500),'THAM_SO_MOI'!$C$13)</f>
        <v>0.019937959881462672</v>
      </c>
      <c r="J4097" s="75">
        <f>'THAM_SO_MOI'!$C$40*('THAM_SO_MOI'!$C$23*(E4097/'THAM_SO_MOI'!$C$22)+'THAM_SO_MOI'!$C$24*(E4097/'THAM_SO_MOI'!$C$22)^2-'THAM_SO_MOI'!$C$25*(E4097/'THAM_SO_MOI'!$C$22)^3)</f>
        <v>98.59310734060168</v>
      </c>
      <c r="K4097" s="75">
        <f>'THAM_SO_MOI'!$C$31*J4097/E4097</f>
        <v>430.10436558474856</v>
      </c>
      <c r="L4097" s="75">
        <f>K4097*'THAM_SO_MOI'!$C$53*'THAM_SO_MOI'!$C$17/'THAM_SO_MOI'!$C$26</f>
        <v>3772.016969163104</v>
      </c>
      <c r="M4097" s="75">
        <f>'THAM_SO_MOI'!$C$15*'THAM_SO_MOI'!$C$16*F4097^2</f>
        <v>1444.353265327832</v>
      </c>
      <c r="N4097" s="75">
        <f>'THAM_SO_MOI'!$C$12*I4097</f>
        <v>1502.141847837303</v>
      </c>
      <c r="O4097" s="75">
        <f>M4097+N4097</f>
        <v>2946.495113165135</v>
      </c>
      <c r="P4097" s="75">
        <f>(MIN(L4097,'THAM_SO_MOI'!$C$41)-O4097)/('THAM_SO_MOI'!$C$11*H4097)</f>
        <v>0.09771802272703231</v>
      </c>
      <c r="Q4097" s="75">
        <f>IF(P4097&gt;0,1/P4097,NA())</f>
        <v>10.233526754766848</v>
      </c>
      <c r="R4097" s="75">
        <f>F4097-F4096</f>
        <v>0.0035868055555567935</v>
      </c>
      <c r="S4097" s="75">
        <f>0.5*(Q4096+Q4097)*R4097</f>
        <v>0.036692494271447315</v>
      </c>
      <c r="T4097" s="75">
        <f>0.5*(F4096*Q4096+F4097*Q4097)*R4097</f>
        <v>0.815297245089275</v>
      </c>
      <c r="U4097" s="76">
        <f>U4096+S4097</f>
        <v>62.04783352934442</v>
      </c>
      <c r="V4097" s="76">
        <f>V4096+T4097</f>
        <v>936.9691807681764</v>
      </c>
    </row>
    <row r="4098" spans="1:22" ht="19" customHeight="1">
      <c r="A4098" s="68" t="s">
        <v>378</v>
      </c>
      <c r="B4098" s="74">
        <v>5</v>
      </c>
      <c r="C4098" s="68" t="s">
        <v>363</v>
      </c>
      <c r="D4098" s="68" t="s">
        <v>365</v>
      </c>
      <c r="E4098" s="75">
        <f>60*F4098*'THAM_SO_MOI'!$C$53/(2*PI()*'THAM_SO_MOI'!$C$26)</f>
        <v>2189.75797368421</v>
      </c>
      <c r="F4098" s="75">
        <f>'THAM_SO_MOI'!$C$14+('THAM_SO_MOI'!$C$37-'THAM_SO_MOI'!$C$14)*7/'THAM_SO_MOI'!$C$42</f>
        <v>22.22510763888889</v>
      </c>
      <c r="G4098" s="75">
        <f>3.6*F4098</f>
        <v>80.01038750000001</v>
      </c>
      <c r="H4098" s="75">
        <f>'THAM_SO_MOI'!$D$53</f>
        <v>1.1</v>
      </c>
      <c r="I4098" s="75">
        <f>IF(F4098&gt;='THAM_SO_MOI'!$C$14,'THAM_SO_MOI'!$C$13*(1+F4098^2/1500),'THAM_SO_MOI'!$C$13)</f>
        <v>0.019939554095601972</v>
      </c>
      <c r="J4098" s="75">
        <f>'THAM_SO_MOI'!$C$40*('THAM_SO_MOI'!$C$23*(E4098/'THAM_SO_MOI'!$C$22)+'THAM_SO_MOI'!$C$24*(E4098/'THAM_SO_MOI'!$C$22)^2-'THAM_SO_MOI'!$C$25*(E4098/'THAM_SO_MOI'!$C$22)^3)</f>
        <v>98.6088412699576</v>
      </c>
      <c r="K4098" s="75">
        <f>'THAM_SO_MOI'!$C$31*J4098/E4098</f>
        <v>430.10357996734854</v>
      </c>
      <c r="L4098" s="75">
        <f>K4098*'THAM_SO_MOI'!$C$53*'THAM_SO_MOI'!$C$17/'THAM_SO_MOI'!$C$26</f>
        <v>3772.0100792954313</v>
      </c>
      <c r="M4098" s="75">
        <f>'THAM_SO_MOI'!$C$15*'THAM_SO_MOI'!$C$16*F4098^2</f>
        <v>1444.8195729635772</v>
      </c>
      <c r="N4098" s="75">
        <f>'THAM_SO_MOI'!$C$12*I4098</f>
        <v>1502.261957205929</v>
      </c>
      <c r="O4098" s="75">
        <f>M4098+N4098</f>
        <v>2947.0815301695066</v>
      </c>
      <c r="P4098" s="75">
        <f>(MIN(L4098,'THAM_SO_MOI'!$C$41)-O4098)/('THAM_SO_MOI'!$C$11*H4098)</f>
        <v>0.09764779227342862</v>
      </c>
      <c r="Q4098" s="75">
        <f>IF(P4098&gt;0,1/P4098,NA())</f>
        <v>10.240886933724505</v>
      </c>
      <c r="R4098" s="75">
        <f>F4098-F4097</f>
        <v>0.0035868055555567935</v>
      </c>
      <c r="S4098" s="75">
        <f>0.5*(Q4097+Q4098)*R4098</f>
        <v>0.03671887038232442</v>
      </c>
      <c r="T4098" s="75">
        <f>0.5*(F4097*Q4097+F4098*Q4098)*R4098</f>
        <v>0.8160150185739249</v>
      </c>
      <c r="U4098" s="76">
        <f>U4097+S4098</f>
        <v>62.084552399726746</v>
      </c>
      <c r="V4098" s="76">
        <f>V4097+T4098</f>
        <v>937.7851957867504</v>
      </c>
    </row>
    <row r="4099" spans="1:22" ht="19" customHeight="1">
      <c r="A4099" s="68" t="s">
        <v>378</v>
      </c>
      <c r="B4099" s="74">
        <v>5</v>
      </c>
      <c r="C4099" s="68" t="s">
        <v>363</v>
      </c>
      <c r="D4099" s="68" t="s">
        <v>365</v>
      </c>
      <c r="E4099" s="75">
        <f>60*F4099*'THAM_SO_MOI'!$C$53/(2*PI()*'THAM_SO_MOI'!$C$26)</f>
        <v>2190.1113684210522</v>
      </c>
      <c r="F4099" s="75">
        <f>'THAM_SO_MOI'!$C$14+('THAM_SO_MOI'!$C$37-'THAM_SO_MOI'!$C$14)*8/'THAM_SO_MOI'!$C$42</f>
        <v>22.228694444444443</v>
      </c>
      <c r="G4099" s="75">
        <f>3.6*F4099</f>
        <v>80.02329999999999</v>
      </c>
      <c r="H4099" s="75">
        <f>'THAM_SO_MOI'!$D$53</f>
        <v>1.1</v>
      </c>
      <c r="I4099" s="75">
        <f>IF(F4099&gt;='THAM_SO_MOI'!$C$14,'THAM_SO_MOI'!$C$13*(1+F4099^2/1500),'THAM_SO_MOI'!$C$13)</f>
        <v>0.01994114856704475</v>
      </c>
      <c r="J4099" s="75">
        <f>'THAM_SO_MOI'!$C$40*('THAM_SO_MOI'!$C$23*(E4099/'THAM_SO_MOI'!$C$22)+'THAM_SO_MOI'!$C$24*(E4099/'THAM_SO_MOI'!$C$22)^2-'THAM_SO_MOI'!$C$25*(E4099/'THAM_SO_MOI'!$C$22)^3)</f>
        <v>98.62457236292549</v>
      </c>
      <c r="K4099" s="75">
        <f>'THAM_SO_MOI'!$C$31*J4099/E4099</f>
        <v>430.1027822339641</v>
      </c>
      <c r="L4099" s="75">
        <f>K4099*'THAM_SO_MOI'!$C$53*'THAM_SO_MOI'!$C$17/'THAM_SO_MOI'!$C$26</f>
        <v>3772.003083170528</v>
      </c>
      <c r="M4099" s="75">
        <f>'THAM_SO_MOI'!$C$15*'THAM_SO_MOI'!$C$16*F4099^2</f>
        <v>1445.2859558605903</v>
      </c>
      <c r="N4099" s="75">
        <f>'THAM_SO_MOI'!$C$12*I4099</f>
        <v>1502.3820859600053</v>
      </c>
      <c r="O4099" s="75">
        <f>M4099+N4099</f>
        <v>2947.6680418205956</v>
      </c>
      <c r="P4099" s="75">
        <f>(MIN(L4099,'THAM_SO_MOI'!$C$41)-O4099)/('THAM_SO_MOI'!$C$11*H4099)</f>
        <v>0.09757753803858099</v>
      </c>
      <c r="Q4099" s="75">
        <f>IF(P4099&gt;0,1/P4099,NA())</f>
        <v>10.24826020517767</v>
      </c>
      <c r="R4099" s="75">
        <f>F4099-F4098</f>
        <v>0.0035868055555532408</v>
      </c>
      <c r="S4099" s="75">
        <f>0.5*(Q4098+Q4099)*R4099</f>
        <v>0.036745293393181055</v>
      </c>
      <c r="T4099" s="75">
        <f>0.5*(F4098*Q4098+F4099*Q4099)*R4099</f>
        <v>0.8167340237118484</v>
      </c>
      <c r="U4099" s="76">
        <f>U4098+S4099</f>
        <v>62.12129769311993</v>
      </c>
      <c r="V4099" s="76">
        <f>V4098+T4099</f>
        <v>938.6019298104623</v>
      </c>
    </row>
    <row r="4100" spans="1:22" ht="19" customHeight="1">
      <c r="A4100" s="68" t="s">
        <v>378</v>
      </c>
      <c r="B4100" s="74">
        <v>5</v>
      </c>
      <c r="C4100" s="68" t="s">
        <v>363</v>
      </c>
      <c r="D4100" s="68" t="s">
        <v>365</v>
      </c>
      <c r="E4100" s="75">
        <f>60*F4100*'THAM_SO_MOI'!$C$53/(2*PI()*'THAM_SO_MOI'!$C$26)</f>
        <v>2190.464763157894</v>
      </c>
      <c r="F4100" s="75">
        <f>'THAM_SO_MOI'!$C$14+('THAM_SO_MOI'!$C$37-'THAM_SO_MOI'!$C$14)*9/'THAM_SO_MOI'!$C$42</f>
        <v>22.23228125</v>
      </c>
      <c r="G4100" s="75">
        <f>3.6*F4100</f>
        <v>80.0362125</v>
      </c>
      <c r="H4100" s="75">
        <f>'THAM_SO_MOI'!$D$53</f>
        <v>1.1</v>
      </c>
      <c r="I4100" s="75">
        <f>IF(F4100&gt;='THAM_SO_MOI'!$C$14,'THAM_SO_MOI'!$C$13*(1+F4100^2/1500),'THAM_SO_MOI'!$C$13)</f>
        <v>0.019942743295791016</v>
      </c>
      <c r="J4100" s="75">
        <f>'THAM_SO_MOI'!$C$40*('THAM_SO_MOI'!$C$23*(E4100/'THAM_SO_MOI'!$C$22)+'THAM_SO_MOI'!$C$24*(E4100/'THAM_SO_MOI'!$C$22)^2-'THAM_SO_MOI'!$C$25*(E4100/'THAM_SO_MOI'!$C$22)^3)</f>
        <v>98.6403006181604</v>
      </c>
      <c r="K4100" s="75">
        <f>'THAM_SO_MOI'!$C$31*J4100/E4100</f>
        <v>430.1019723845951</v>
      </c>
      <c r="L4100" s="75">
        <f>K4100*'THAM_SO_MOI'!$C$53*'THAM_SO_MOI'!$C$17/'THAM_SO_MOI'!$C$26</f>
        <v>3771.995980788394</v>
      </c>
      <c r="M4100" s="75">
        <f>'THAM_SO_MOI'!$C$15*'THAM_SO_MOI'!$C$16*F4100^2</f>
        <v>1445.7524140188723</v>
      </c>
      <c r="N4100" s="75">
        <f>'THAM_SO_MOI'!$C$12*I4100</f>
        <v>1502.5022340995317</v>
      </c>
      <c r="O4100" s="75">
        <f>M4100+N4100</f>
        <v>2948.254648118404</v>
      </c>
      <c r="P4100" s="75">
        <f>(MIN(L4100,'THAM_SO_MOI'!$C$41)-O4100)/('THAM_SO_MOI'!$C$11*H4100)</f>
        <v>0.09750726002248934</v>
      </c>
      <c r="Q4100" s="75">
        <f>IF(P4100&gt;0,1/P4100,NA())</f>
        <v>10.255646602820725</v>
      </c>
      <c r="R4100" s="75">
        <f>F4100-F4099</f>
        <v>0.0035868055555567935</v>
      </c>
      <c r="S4100" s="75">
        <f>0.5*(Q4099+Q4100)*R4100</f>
        <v>0.03677176342477371</v>
      </c>
      <c r="T4100" s="75">
        <f>0.5*(F4099*Q4099+F4100*Q4100)*R4100</f>
        <v>0.8174542636921852</v>
      </c>
      <c r="U4100" s="76">
        <f>U4099+S4100</f>
        <v>62.1580694565447</v>
      </c>
      <c r="V4100" s="76">
        <f>V4099+T4100</f>
        <v>939.4193840741544</v>
      </c>
    </row>
    <row r="4101" spans="1:22" ht="19" customHeight="1">
      <c r="A4101" s="68" t="s">
        <v>378</v>
      </c>
      <c r="B4101" s="74">
        <v>5</v>
      </c>
      <c r="C4101" s="68" t="s">
        <v>363</v>
      </c>
      <c r="D4101" s="68" t="s">
        <v>365</v>
      </c>
      <c r="E4101" s="75">
        <f>60*F4101*'THAM_SO_MOI'!$C$53/(2*PI()*'THAM_SO_MOI'!$C$26)</f>
        <v>2190.8181578947365</v>
      </c>
      <c r="F4101" s="75">
        <f>'THAM_SO_MOI'!$C$14+('THAM_SO_MOI'!$C$37-'THAM_SO_MOI'!$C$14)*10/'THAM_SO_MOI'!$C$42</f>
        <v>22.235868055555557</v>
      </c>
      <c r="G4101" s="75">
        <f>3.6*F4101</f>
        <v>80.049125</v>
      </c>
      <c r="H4101" s="75">
        <f>'THAM_SO_MOI'!$D$53</f>
        <v>1.1</v>
      </c>
      <c r="I4101" s="75">
        <f>IF(F4101&gt;='THAM_SO_MOI'!$C$14,'THAM_SO_MOI'!$C$13*(1+F4101^2/1500),'THAM_SO_MOI'!$C$13)</f>
        <v>0.01994433828184076</v>
      </c>
      <c r="J4101" s="75">
        <f>'THAM_SO_MOI'!$C$40*('THAM_SO_MOI'!$C$23*(E4101/'THAM_SO_MOI'!$C$22)+'THAM_SO_MOI'!$C$24*(E4101/'THAM_SO_MOI'!$C$22)^2-'THAM_SO_MOI'!$C$25*(E4101/'THAM_SO_MOI'!$C$22)^3)</f>
        <v>98.65602603431745</v>
      </c>
      <c r="K4101" s="75">
        <f>'THAM_SO_MOI'!$C$31*J4101/E4101</f>
        <v>430.10115041924155</v>
      </c>
      <c r="L4101" s="75">
        <f>K4101*'THAM_SO_MOI'!$C$53*'THAM_SO_MOI'!$C$17/'THAM_SO_MOI'!$C$26</f>
        <v>3771.9887721490268</v>
      </c>
      <c r="M4101" s="75">
        <f>'THAM_SO_MOI'!$C$15*'THAM_SO_MOI'!$C$16*F4101^2</f>
        <v>1446.2189474384224</v>
      </c>
      <c r="N4101" s="75">
        <f>'THAM_SO_MOI'!$C$12*I4101</f>
        <v>1502.6224016245085</v>
      </c>
      <c r="O4101" s="75">
        <f>M4101+N4101</f>
        <v>2948.841349062931</v>
      </c>
      <c r="P4101" s="75">
        <f>(MIN(L4101,'THAM_SO_MOI'!$C$41)-O4101)/('THAM_SO_MOI'!$C$11*H4101)</f>
        <v>0.09743695822515341</v>
      </c>
      <c r="Q4101" s="75">
        <f>IF(P4101&gt;0,1/P4101,NA())</f>
        <v>10.263046160464494</v>
      </c>
      <c r="R4101" s="75">
        <f>F4101-F4100</f>
        <v>0.0035868055555567935</v>
      </c>
      <c r="S4101" s="75">
        <f>0.5*(Q4100+Q4101)*R4101</f>
        <v>0.0367982805980572</v>
      </c>
      <c r="T4101" s="75">
        <f>0.5*(F4100*Q4100+F4101*Q4101)*R4101</f>
        <v>0.8181757417102173</v>
      </c>
      <c r="U4101" s="76">
        <f>U4100+S4101</f>
        <v>62.19486773714276</v>
      </c>
      <c r="V4101" s="76">
        <f>V4100+T4101</f>
        <v>940.2375598158646</v>
      </c>
    </row>
    <row r="4102" spans="1:22" ht="19" customHeight="1">
      <c r="A4102" s="68" t="s">
        <v>378</v>
      </c>
      <c r="B4102" s="74">
        <v>5</v>
      </c>
      <c r="C4102" s="68" t="s">
        <v>363</v>
      </c>
      <c r="D4102" s="68" t="s">
        <v>365</v>
      </c>
      <c r="E4102" s="75">
        <f>60*F4102*'THAM_SO_MOI'!$C$53/(2*PI()*'THAM_SO_MOI'!$C$26)</f>
        <v>2191.1715526315784</v>
      </c>
      <c r="F4102" s="75">
        <f>'THAM_SO_MOI'!$C$14+('THAM_SO_MOI'!$C$37-'THAM_SO_MOI'!$C$14)*11/'THAM_SO_MOI'!$C$42</f>
        <v>22.23945486111111</v>
      </c>
      <c r="G4102" s="75">
        <f>3.6*F4102</f>
        <v>80.0620375</v>
      </c>
      <c r="H4102" s="75">
        <f>'THAM_SO_MOI'!$D$53</f>
        <v>1.1</v>
      </c>
      <c r="I4102" s="75">
        <f>IF(F4102&gt;='THAM_SO_MOI'!$C$14,'THAM_SO_MOI'!$C$13*(1+F4102^2/1500),'THAM_SO_MOI'!$C$13)</f>
        <v>0.019945933525193985</v>
      </c>
      <c r="J4102" s="75">
        <f>'THAM_SO_MOI'!$C$40*('THAM_SO_MOI'!$C$23*(E4102/'THAM_SO_MOI'!$C$22)+'THAM_SO_MOI'!$C$24*(E4102/'THAM_SO_MOI'!$C$22)^2-'THAM_SO_MOI'!$C$25*(E4102/'THAM_SO_MOI'!$C$22)^3)</f>
        <v>98.67174861005178</v>
      </c>
      <c r="K4102" s="75">
        <f>'THAM_SO_MOI'!$C$31*J4102/E4102</f>
        <v>430.1003163379037</v>
      </c>
      <c r="L4102" s="75">
        <f>K4102*'THAM_SO_MOI'!$C$53*'THAM_SO_MOI'!$C$17/'THAM_SO_MOI'!$C$26</f>
        <v>3771.9814572524297</v>
      </c>
      <c r="M4102" s="75">
        <f>'THAM_SO_MOI'!$C$15*'THAM_SO_MOI'!$C$16*F4102^2</f>
        <v>1446.6855561192408</v>
      </c>
      <c r="N4102" s="75">
        <f>'THAM_SO_MOI'!$C$12*I4102</f>
        <v>1502.742588534935</v>
      </c>
      <c r="O4102" s="75">
        <f>M4102+N4102</f>
        <v>2949.428144654176</v>
      </c>
      <c r="P4102" s="75">
        <f>(MIN(L4102,'THAM_SO_MOI'!$C$41)-O4102)/('THAM_SO_MOI'!$C$11*H4102)</f>
        <v>0.09736663264657358</v>
      </c>
      <c r="Q4102" s="75">
        <f>IF(P4102&gt;0,1/P4102,NA())</f>
        <v>10.270458912036647</v>
      </c>
      <c r="R4102" s="75">
        <f>F4102-F4101</f>
        <v>0.0035868055555532408</v>
      </c>
      <c r="S4102" s="75">
        <f>0.5*(Q4101+Q4102)*R4102</f>
        <v>0.03682484503451387</v>
      </c>
      <c r="T4102" s="75">
        <f>0.5*(F4101*Q4101+F4102*Q4102)*R4102</f>
        <v>0.8188984609746917</v>
      </c>
      <c r="U4102" s="76">
        <f>U4101+S4102</f>
        <v>62.231692582177274</v>
      </c>
      <c r="V4102" s="76">
        <f>V4101+T4102</f>
        <v>941.0564582768393</v>
      </c>
    </row>
    <row r="4103" spans="1:22" ht="19" customHeight="1">
      <c r="A4103" s="68" t="s">
        <v>378</v>
      </c>
      <c r="B4103" s="74">
        <v>5</v>
      </c>
      <c r="C4103" s="68" t="s">
        <v>363</v>
      </c>
      <c r="D4103" s="68" t="s">
        <v>365</v>
      </c>
      <c r="E4103" s="75">
        <f>60*F4103*'THAM_SO_MOI'!$C$53/(2*PI()*'THAM_SO_MOI'!$C$26)</f>
        <v>2191.5249473684207</v>
      </c>
      <c r="F4103" s="75">
        <f>'THAM_SO_MOI'!$C$14+('THAM_SO_MOI'!$C$37-'THAM_SO_MOI'!$C$14)*12/'THAM_SO_MOI'!$C$42</f>
        <v>22.243041666666667</v>
      </c>
      <c r="G4103" s="75">
        <f>3.6*F4103</f>
        <v>80.07495</v>
      </c>
      <c r="H4103" s="75">
        <f>'THAM_SO_MOI'!$D$53</f>
        <v>1.1</v>
      </c>
      <c r="I4103" s="75">
        <f>IF(F4103&gt;='THAM_SO_MOI'!$C$14,'THAM_SO_MOI'!$C$13*(1+F4103^2/1500),'THAM_SO_MOI'!$C$13)</f>
        <v>0.019947529025850695</v>
      </c>
      <c r="J4103" s="75">
        <f>'THAM_SO_MOI'!$C$40*('THAM_SO_MOI'!$C$23*(E4103/'THAM_SO_MOI'!$C$22)+'THAM_SO_MOI'!$C$24*(E4103/'THAM_SO_MOI'!$C$22)^2-'THAM_SO_MOI'!$C$25*(E4103/'THAM_SO_MOI'!$C$22)^3)</f>
        <v>98.6874683440185</v>
      </c>
      <c r="K4103" s="75">
        <f>'THAM_SO_MOI'!$C$31*J4103/E4103</f>
        <v>430.0994701405813</v>
      </c>
      <c r="L4103" s="75">
        <f>K4103*'THAM_SO_MOI'!$C$53*'THAM_SO_MOI'!$C$17/'THAM_SO_MOI'!$C$26</f>
        <v>3771.974036098601</v>
      </c>
      <c r="M4103" s="75">
        <f>'THAM_SO_MOI'!$C$15*'THAM_SO_MOI'!$C$16*F4103^2</f>
        <v>1447.1522400613285</v>
      </c>
      <c r="N4103" s="75">
        <f>'THAM_SO_MOI'!$C$12*I4103</f>
        <v>1502.8627948308122</v>
      </c>
      <c r="O4103" s="75">
        <f>M4103+N4103</f>
        <v>2950.0150348921406</v>
      </c>
      <c r="P4103" s="75">
        <f>(MIN(L4103,'THAM_SO_MOI'!$C$41)-O4103)/('THAM_SO_MOI'!$C$11*H4103)</f>
        <v>0.09729628328674958</v>
      </c>
      <c r="Q4103" s="75">
        <f>IF(P4103&gt;0,1/P4103,NA())</f>
        <v>10.277884891582351</v>
      </c>
      <c r="R4103" s="75">
        <f>F4103-F4102</f>
        <v>0.0035868055555567935</v>
      </c>
      <c r="S4103" s="75">
        <f>0.5*(Q4102+Q4103)*R4103</f>
        <v>0.03685145685615582</v>
      </c>
      <c r="T4103" s="75">
        <f>0.5*(F4102*Q4102+F4103*Q4103)*R4103</f>
        <v>0.8196224247078818</v>
      </c>
      <c r="U4103" s="76">
        <f>U4102+S4103</f>
        <v>62.26854403903343</v>
      </c>
      <c r="V4103" s="76">
        <f>V4102+T4103</f>
        <v>941.8760807015472</v>
      </c>
    </row>
    <row r="4104" spans="1:22" ht="19" customHeight="1">
      <c r="A4104" s="68" t="s">
        <v>378</v>
      </c>
      <c r="B4104" s="74">
        <v>5</v>
      </c>
      <c r="C4104" s="68" t="s">
        <v>363</v>
      </c>
      <c r="D4104" s="68" t="s">
        <v>365</v>
      </c>
      <c r="E4104" s="75">
        <f>60*F4104*'THAM_SO_MOI'!$C$53/(2*PI()*'THAM_SO_MOI'!$C$26)</f>
        <v>2191.8783421052626</v>
      </c>
      <c r="F4104" s="75">
        <f>'THAM_SO_MOI'!$C$14+('THAM_SO_MOI'!$C$37-'THAM_SO_MOI'!$C$14)*13/'THAM_SO_MOI'!$C$42</f>
        <v>22.24662847222222</v>
      </c>
      <c r="G4104" s="75">
        <f>3.6*F4104</f>
        <v>80.0878625</v>
      </c>
      <c r="H4104" s="75">
        <f>'THAM_SO_MOI'!$D$53</f>
        <v>1.1</v>
      </c>
      <c r="I4104" s="75">
        <f>IF(F4104&gt;='THAM_SO_MOI'!$C$14,'THAM_SO_MOI'!$C$13*(1+F4104^2/1500),'THAM_SO_MOI'!$C$13)</f>
        <v>0.019949124783810886</v>
      </c>
      <c r="J4104" s="75">
        <f>'THAM_SO_MOI'!$C$40*('THAM_SO_MOI'!$C$23*(E4104/'THAM_SO_MOI'!$C$22)+'THAM_SO_MOI'!$C$24*(E4104/'THAM_SO_MOI'!$C$22)^2-'THAM_SO_MOI'!$C$25*(E4104/'THAM_SO_MOI'!$C$22)^3)</f>
        <v>98.70318523487269</v>
      </c>
      <c r="K4104" s="75">
        <f>'THAM_SO_MOI'!$C$31*J4104/E4104</f>
        <v>430.09861182727445</v>
      </c>
      <c r="L4104" s="75">
        <f>K4104*'THAM_SO_MOI'!$C$53*'THAM_SO_MOI'!$C$17/'THAM_SO_MOI'!$C$26</f>
        <v>3771.9665086875416</v>
      </c>
      <c r="M4104" s="75">
        <f>'THAM_SO_MOI'!$C$15*'THAM_SO_MOI'!$C$16*F4104^2</f>
        <v>1447.6189992646835</v>
      </c>
      <c r="N4104" s="75">
        <f>'THAM_SO_MOI'!$C$12*I4104</f>
        <v>1502.9830205121393</v>
      </c>
      <c r="O4104" s="75">
        <f>M4104+N4104</f>
        <v>2950.602019776823</v>
      </c>
      <c r="P4104" s="75">
        <f>(MIN(L4104,'THAM_SO_MOI'!$C$41)-O4104)/('THAM_SO_MOI'!$C$11*H4104)</f>
        <v>0.09722591014568165</v>
      </c>
      <c r="Q4104" s="75">
        <f>IF(P4104&gt;0,1/P4104,NA())</f>
        <v>10.285324133264652</v>
      </c>
      <c r="R4104" s="75">
        <f>F4104-F4103</f>
        <v>0.0035868055555532408</v>
      </c>
      <c r="S4104" s="75">
        <f>0.5*(Q4103+Q4104)*R4104</f>
        <v>0.03687811618516189</v>
      </c>
      <c r="T4104" s="75">
        <f>0.5*(F4103*Q4103+F4104*Q4104)*R4104</f>
        <v>0.8203476361375207</v>
      </c>
      <c r="U4104" s="76">
        <f>U4103+S4104</f>
        <v>62.305422155218594</v>
      </c>
      <c r="V4104" s="76">
        <f>V4103+T4104</f>
        <v>942.6964283376847</v>
      </c>
    </row>
    <row r="4105" spans="1:22" ht="19" customHeight="1">
      <c r="A4105" s="68" t="s">
        <v>378</v>
      </c>
      <c r="B4105" s="74">
        <v>5</v>
      </c>
      <c r="C4105" s="68" t="s">
        <v>363</v>
      </c>
      <c r="D4105" s="68" t="s">
        <v>365</v>
      </c>
      <c r="E4105" s="75">
        <f>60*F4105*'THAM_SO_MOI'!$C$53/(2*PI()*'THAM_SO_MOI'!$C$26)</f>
        <v>2192.2317368421045</v>
      </c>
      <c r="F4105" s="75">
        <f>'THAM_SO_MOI'!$C$14+('THAM_SO_MOI'!$C$37-'THAM_SO_MOI'!$C$14)*14/'THAM_SO_MOI'!$C$42</f>
        <v>22.250215277777777</v>
      </c>
      <c r="G4105" s="75">
        <f>3.6*F4105</f>
        <v>80.100775</v>
      </c>
      <c r="H4105" s="75">
        <f>'THAM_SO_MOI'!$D$53</f>
        <v>1.1</v>
      </c>
      <c r="I4105" s="75">
        <f>IF(F4105&gt;='THAM_SO_MOI'!$C$14,'THAM_SO_MOI'!$C$13*(1+F4105^2/1500),'THAM_SO_MOI'!$C$13)</f>
        <v>0.019950720799074555</v>
      </c>
      <c r="J4105" s="75">
        <f>'THAM_SO_MOI'!$C$40*('THAM_SO_MOI'!$C$23*(E4105/'THAM_SO_MOI'!$C$22)+'THAM_SO_MOI'!$C$24*(E4105/'THAM_SO_MOI'!$C$22)^2-'THAM_SO_MOI'!$C$25*(E4105/'THAM_SO_MOI'!$C$22)^3)</f>
        <v>98.71889928126947</v>
      </c>
      <c r="K4105" s="75">
        <f>'THAM_SO_MOI'!$C$31*J4105/E4105</f>
        <v>430.0977413979831</v>
      </c>
      <c r="L4105" s="75">
        <f>K4105*'THAM_SO_MOI'!$C$53*'THAM_SO_MOI'!$C$17/'THAM_SO_MOI'!$C$26</f>
        <v>3771.9588750192506</v>
      </c>
      <c r="M4105" s="75">
        <f>'THAM_SO_MOI'!$C$15*'THAM_SO_MOI'!$C$16*F4105^2</f>
        <v>1448.0858337293078</v>
      </c>
      <c r="N4105" s="75">
        <f>'THAM_SO_MOI'!$C$12*I4105</f>
        <v>1503.1032655789163</v>
      </c>
      <c r="O4105" s="75">
        <f>M4105+N4105</f>
        <v>2951.1890993082243</v>
      </c>
      <c r="P4105" s="75">
        <f>(MIN(L4105,'THAM_SO_MOI'!$C$41)-O4105)/('THAM_SO_MOI'!$C$11*H4105)</f>
        <v>0.09715551322336966</v>
      </c>
      <c r="Q4105" s="75">
        <f>IF(P4105&gt;0,1/P4105,NA())</f>
        <v>10.292776671365072</v>
      </c>
      <c r="R4105" s="75">
        <f>F4105-F4104</f>
        <v>0.0035868055555567935</v>
      </c>
      <c r="S4105" s="75">
        <f>0.5*(Q4104+Q4105)*R4105</f>
        <v>0.03690482314442681</v>
      </c>
      <c r="T4105" s="75">
        <f>0.5*(F4104*Q4104+F4105*Q4105)*R4105</f>
        <v>0.8210740985090217</v>
      </c>
      <c r="U4105" s="76">
        <f>U4104+S4105</f>
        <v>62.34232697836302</v>
      </c>
      <c r="V4105" s="76">
        <f>V4104+T4105</f>
        <v>943.5175024361937</v>
      </c>
    </row>
    <row r="4106" spans="1:22" ht="19" customHeight="1">
      <c r="A4106" s="68" t="s">
        <v>378</v>
      </c>
      <c r="B4106" s="74">
        <v>5</v>
      </c>
      <c r="C4106" s="68" t="s">
        <v>363</v>
      </c>
      <c r="D4106" s="68" t="s">
        <v>365</v>
      </c>
      <c r="E4106" s="75">
        <f>60*F4106*'THAM_SO_MOI'!$C$53/(2*PI()*'THAM_SO_MOI'!$C$26)</f>
        <v>2192.585131578947</v>
      </c>
      <c r="F4106" s="75">
        <f>'THAM_SO_MOI'!$C$14+('THAM_SO_MOI'!$C$37-'THAM_SO_MOI'!$C$14)*15/'THAM_SO_MOI'!$C$42</f>
        <v>22.253802083333333</v>
      </c>
      <c r="G4106" s="75">
        <f>3.6*F4106</f>
        <v>80.1136875</v>
      </c>
      <c r="H4106" s="75">
        <f>'THAM_SO_MOI'!$D$53</f>
        <v>1.1</v>
      </c>
      <c r="I4106" s="75">
        <f>IF(F4106&gt;='THAM_SO_MOI'!$C$14,'THAM_SO_MOI'!$C$13*(1+F4106^2/1500),'THAM_SO_MOI'!$C$13)</f>
        <v>0.01995231707164171</v>
      </c>
      <c r="J4106" s="75">
        <f>'THAM_SO_MOI'!$C$40*('THAM_SO_MOI'!$C$23*(E4106/'THAM_SO_MOI'!$C$22)+'THAM_SO_MOI'!$C$24*(E4106/'THAM_SO_MOI'!$C$22)^2-'THAM_SO_MOI'!$C$25*(E4106/'THAM_SO_MOI'!$C$22)^3)</f>
        <v>98.73461048186404</v>
      </c>
      <c r="K4106" s="75">
        <f>'THAM_SO_MOI'!$C$31*J4106/E4106</f>
        <v>430.09685885270756</v>
      </c>
      <c r="L4106" s="75">
        <f>K4106*'THAM_SO_MOI'!$C$53*'THAM_SO_MOI'!$C$17/'THAM_SO_MOI'!$C$26</f>
        <v>3771.951135093731</v>
      </c>
      <c r="M4106" s="75">
        <f>'THAM_SO_MOI'!$C$15*'THAM_SO_MOI'!$C$16*F4106^2</f>
        <v>1448.5527434552002</v>
      </c>
      <c r="N4106" s="75">
        <f>'THAM_SO_MOI'!$C$12*I4106</f>
        <v>1503.2235300311438</v>
      </c>
      <c r="O4106" s="75">
        <f>M4106+N4106</f>
        <v>2951.776273486344</v>
      </c>
      <c r="P4106" s="75">
        <f>(MIN(L4106,'THAM_SO_MOI'!$C$41)-O4106)/('THAM_SO_MOI'!$C$11*H4106)</f>
        <v>0.09708509251981376</v>
      </c>
      <c r="Q4106" s="75">
        <f>IF(P4106&gt;0,1/P4106,NA())</f>
        <v>10.300242540284065</v>
      </c>
      <c r="R4106" s="75">
        <f>F4106-F4105</f>
        <v>0.0035868055555567935</v>
      </c>
      <c r="S4106" s="75">
        <f>0.5*(Q4105+Q4106)*R4106</f>
        <v>0.03693157785701545</v>
      </c>
      <c r="T4106" s="75">
        <f>0.5*(F4105*Q4105+F4106*Q4106)*R4106</f>
        <v>0.8218018150733469</v>
      </c>
      <c r="U4106" s="76">
        <f>U4105+S4106</f>
        <v>62.37925855622004</v>
      </c>
      <c r="V4106" s="76">
        <f>V4105+T4106</f>
        <v>944.3393042512671</v>
      </c>
    </row>
    <row r="4107" spans="1:22" ht="19" customHeight="1">
      <c r="A4107" s="68" t="s">
        <v>378</v>
      </c>
      <c r="B4107" s="74">
        <v>5</v>
      </c>
      <c r="C4107" s="68" t="s">
        <v>363</v>
      </c>
      <c r="D4107" s="68" t="s">
        <v>365</v>
      </c>
      <c r="E4107" s="75">
        <f>60*F4107*'THAM_SO_MOI'!$C$53/(2*PI()*'THAM_SO_MOI'!$C$26)</f>
        <v>2192.9385263157887</v>
      </c>
      <c r="F4107" s="75">
        <f>'THAM_SO_MOI'!$C$14+('THAM_SO_MOI'!$C$37-'THAM_SO_MOI'!$C$14)*16/'THAM_SO_MOI'!$C$42</f>
        <v>22.257388888888887</v>
      </c>
      <c r="G4107" s="75">
        <f>3.6*F4107</f>
        <v>80.1266</v>
      </c>
      <c r="H4107" s="75">
        <f>'THAM_SO_MOI'!$D$53</f>
        <v>1.1</v>
      </c>
      <c r="I4107" s="75">
        <f>IF(F4107&gt;='THAM_SO_MOI'!$C$14,'THAM_SO_MOI'!$C$13*(1+F4107^2/1500),'THAM_SO_MOI'!$C$13)</f>
        <v>0.019953913601512344</v>
      </c>
      <c r="J4107" s="75">
        <f>'THAM_SO_MOI'!$C$40*('THAM_SO_MOI'!$C$23*(E4107/'THAM_SO_MOI'!$C$22)+'THAM_SO_MOI'!$C$24*(E4107/'THAM_SO_MOI'!$C$22)^2-'THAM_SO_MOI'!$C$25*(E4107/'THAM_SO_MOI'!$C$22)^3)</f>
        <v>98.75031883531136</v>
      </c>
      <c r="K4107" s="75">
        <f>'THAM_SO_MOI'!$C$31*J4107/E4107</f>
        <v>430.0959641914473</v>
      </c>
      <c r="L4107" s="75">
        <f>K4107*'THAM_SO_MOI'!$C$53*'THAM_SO_MOI'!$C$17/'THAM_SO_MOI'!$C$26</f>
        <v>3771.9432889109776</v>
      </c>
      <c r="M4107" s="75">
        <f>'THAM_SO_MOI'!$C$15*'THAM_SO_MOI'!$C$16*F4107^2</f>
        <v>1449.019728442361</v>
      </c>
      <c r="N4107" s="75">
        <f>'THAM_SO_MOI'!$C$12*I4107</f>
        <v>1503.3438138688211</v>
      </c>
      <c r="O4107" s="75">
        <f>M4107+N4107</f>
        <v>2952.363542311182</v>
      </c>
      <c r="P4107" s="75">
        <f>(MIN(L4107,'THAM_SO_MOI'!$C$41)-O4107)/('THAM_SO_MOI'!$C$11*H4107)</f>
        <v>0.09701464803501364</v>
      </c>
      <c r="Q4107" s="75">
        <f>IF(P4107&gt;0,1/P4107,NA())</f>
        <v>10.307721774541605</v>
      </c>
      <c r="R4107" s="75">
        <f>F4107-F4106</f>
        <v>0.0035868055555532408</v>
      </c>
      <c r="S4107" s="75">
        <f>0.5*(Q4106+Q4107)*R4107</f>
        <v>0.036958380446529826</v>
      </c>
      <c r="T4107" s="75">
        <f>0.5*(F4106*Q4106+F4107*Q4107)*R4107</f>
        <v>0.822530789095179</v>
      </c>
      <c r="U4107" s="76">
        <f>U4106+S4107</f>
        <v>62.416216936666565</v>
      </c>
      <c r="V4107" s="76">
        <f>V4106+T4107</f>
        <v>945.1618350403622</v>
      </c>
    </row>
    <row r="4108" spans="1:22" ht="19" customHeight="1">
      <c r="A4108" s="68" t="s">
        <v>378</v>
      </c>
      <c r="B4108" s="74">
        <v>5</v>
      </c>
      <c r="C4108" s="68" t="s">
        <v>363</v>
      </c>
      <c r="D4108" s="68" t="s">
        <v>365</v>
      </c>
      <c r="E4108" s="75">
        <f>60*F4108*'THAM_SO_MOI'!$C$53/(2*PI()*'THAM_SO_MOI'!$C$26)</f>
        <v>2193.291921052631</v>
      </c>
      <c r="F4108" s="75">
        <f>'THAM_SO_MOI'!$C$14+('THAM_SO_MOI'!$C$37-'THAM_SO_MOI'!$C$14)*17/'THAM_SO_MOI'!$C$42</f>
        <v>22.260975694444443</v>
      </c>
      <c r="G4108" s="75">
        <f>3.6*F4108</f>
        <v>80.1395125</v>
      </c>
      <c r="H4108" s="75">
        <f>'THAM_SO_MOI'!$D$53</f>
        <v>1.1</v>
      </c>
      <c r="I4108" s="75">
        <f>IF(F4108&gt;='THAM_SO_MOI'!$C$14,'THAM_SO_MOI'!$C$13*(1+F4108^2/1500),'THAM_SO_MOI'!$C$13)</f>
        <v>0.01995551038868646</v>
      </c>
      <c r="J4108" s="75">
        <f>'THAM_SO_MOI'!$C$40*('THAM_SO_MOI'!$C$23*(E4108/'THAM_SO_MOI'!$C$22)+'THAM_SO_MOI'!$C$24*(E4108/'THAM_SO_MOI'!$C$22)^2-'THAM_SO_MOI'!$C$25*(E4108/'THAM_SO_MOI'!$C$22)^3)</f>
        <v>98.76602434026663</v>
      </c>
      <c r="K4108" s="75">
        <f>'THAM_SO_MOI'!$C$31*J4108/E4108</f>
        <v>430.09505741420264</v>
      </c>
      <c r="L4108" s="75">
        <f>K4108*'THAM_SO_MOI'!$C$53*'THAM_SO_MOI'!$C$17/'THAM_SO_MOI'!$C$26</f>
        <v>3771.9353364709937</v>
      </c>
      <c r="M4108" s="75">
        <f>'THAM_SO_MOI'!$C$15*'THAM_SO_MOI'!$C$16*F4108^2</f>
        <v>1449.4867886907903</v>
      </c>
      <c r="N4108" s="75">
        <f>'THAM_SO_MOI'!$C$12*I4108</f>
        <v>1503.464117091949</v>
      </c>
      <c r="O4108" s="75">
        <f>M4108+N4108</f>
        <v>2952.950905782739</v>
      </c>
      <c r="P4108" s="75">
        <f>(MIN(L4108,'THAM_SO_MOI'!$C$41)-O4108)/('THAM_SO_MOI'!$C$11*H4108)</f>
        <v>0.09694417976896953</v>
      </c>
      <c r="Q4108" s="75">
        <f>IF(P4108&gt;0,1/P4108,NA())</f>
        <v>10.315214408777596</v>
      </c>
      <c r="R4108" s="75">
        <f>F4108-F4107</f>
        <v>0.0035868055555567935</v>
      </c>
      <c r="S4108" s="75">
        <f>0.5*(Q4107+Q4108)*R4108</f>
        <v>0.03698523103711126</v>
      </c>
      <c r="T4108" s="75">
        <f>0.5*(F4107*Q4107+F4108*Q4108)*R4108</f>
        <v>0.8232610238529783</v>
      </c>
      <c r="U4108" s="76">
        <f>U4107+S4108</f>
        <v>62.45320216770368</v>
      </c>
      <c r="V4108" s="76">
        <f>V4107+T4108</f>
        <v>945.9850960642152</v>
      </c>
    </row>
    <row r="4109" spans="1:22" ht="19" customHeight="1">
      <c r="A4109" s="68" t="s">
        <v>378</v>
      </c>
      <c r="B4109" s="74">
        <v>5</v>
      </c>
      <c r="C4109" s="68" t="s">
        <v>363</v>
      </c>
      <c r="D4109" s="68" t="s">
        <v>365</v>
      </c>
      <c r="E4109" s="75">
        <f>60*F4109*'THAM_SO_MOI'!$C$53/(2*PI()*'THAM_SO_MOI'!$C$26)</f>
        <v>2193.6453157894734</v>
      </c>
      <c r="F4109" s="75">
        <f>'THAM_SO_MOI'!$C$14+('THAM_SO_MOI'!$C$37-'THAM_SO_MOI'!$C$14)*18/'THAM_SO_MOI'!$C$42</f>
        <v>22.2645625</v>
      </c>
      <c r="G4109" s="75">
        <f>3.6*F4109</f>
        <v>80.15242500000001</v>
      </c>
      <c r="H4109" s="75">
        <f>'THAM_SO_MOI'!$D$53</f>
        <v>1.1</v>
      </c>
      <c r="I4109" s="75">
        <f>IF(F4109&gt;='THAM_SO_MOI'!$C$14,'THAM_SO_MOI'!$C$13*(1+F4109^2/1500),'THAM_SO_MOI'!$C$13)</f>
        <v>0.019957107433164062</v>
      </c>
      <c r="J4109" s="75">
        <f>'THAM_SO_MOI'!$C$40*('THAM_SO_MOI'!$C$23*(E4109/'THAM_SO_MOI'!$C$22)+'THAM_SO_MOI'!$C$24*(E4109/'THAM_SO_MOI'!$C$22)^2-'THAM_SO_MOI'!$C$25*(E4109/'THAM_SO_MOI'!$C$22)^3)</f>
        <v>98.78172699538491</v>
      </c>
      <c r="K4109" s="75">
        <f>'THAM_SO_MOI'!$C$31*J4109/E4109</f>
        <v>430.09413852097344</v>
      </c>
      <c r="L4109" s="75">
        <f>K4109*'THAM_SO_MOI'!$C$53*'THAM_SO_MOI'!$C$17/'THAM_SO_MOI'!$C$26</f>
        <v>3771.9272777737774</v>
      </c>
      <c r="M4109" s="75">
        <f>'THAM_SO_MOI'!$C$15*'THAM_SO_MOI'!$C$16*F4109^2</f>
        <v>1449.9539242004885</v>
      </c>
      <c r="N4109" s="75">
        <f>'THAM_SO_MOI'!$C$12*I4109</f>
        <v>1503.584439700527</v>
      </c>
      <c r="O4109" s="75">
        <f>M4109+N4109</f>
        <v>2953.538363901015</v>
      </c>
      <c r="P4109" s="75">
        <f>(MIN(L4109,'THAM_SO_MOI'!$C$41)-O4109)/('THAM_SO_MOI'!$C$11*H4109)</f>
        <v>0.09687368772168112</v>
      </c>
      <c r="Q4109" s="75">
        <f>IF(P4109&gt;0,1/P4109,NA())</f>
        <v>10.322720477752515</v>
      </c>
      <c r="R4109" s="75">
        <f>F4109-F4108</f>
        <v>0.0035868055555567935</v>
      </c>
      <c r="S4109" s="75">
        <f>0.5*(Q4108+Q4109)*R4109</f>
        <v>0.037012129753112785</v>
      </c>
      <c r="T4109" s="75">
        <f>0.5*(F4108*Q4108+F4109*Q4109)*R4109</f>
        <v>0.8239925226316994</v>
      </c>
      <c r="U4109" s="76">
        <f>U4108+S4109</f>
        <v>62.490214297456795</v>
      </c>
      <c r="V4109" s="76">
        <f>V4108+T4109</f>
        <v>946.8090885868469</v>
      </c>
    </row>
    <row r="4110" spans="1:22" ht="19" customHeight="1">
      <c r="A4110" s="68" t="s">
        <v>378</v>
      </c>
      <c r="B4110" s="74">
        <v>5</v>
      </c>
      <c r="C4110" s="68" t="s">
        <v>363</v>
      </c>
      <c r="D4110" s="68" t="s">
        <v>365</v>
      </c>
      <c r="E4110" s="75">
        <f>60*F4110*'THAM_SO_MOI'!$C$53/(2*PI()*'THAM_SO_MOI'!$C$26)</f>
        <v>2193.9987105263153</v>
      </c>
      <c r="F4110" s="75">
        <f>'THAM_SO_MOI'!$C$14+('THAM_SO_MOI'!$C$37-'THAM_SO_MOI'!$C$14)*19/'THAM_SO_MOI'!$C$42</f>
        <v>22.268149305555553</v>
      </c>
      <c r="G4110" s="75">
        <f>3.6*F4110</f>
        <v>80.16533749999999</v>
      </c>
      <c r="H4110" s="75">
        <f>'THAM_SO_MOI'!$D$53</f>
        <v>1.1</v>
      </c>
      <c r="I4110" s="75">
        <f>IF(F4110&gt;='THAM_SO_MOI'!$C$14,'THAM_SO_MOI'!$C$13*(1+F4110^2/1500),'THAM_SO_MOI'!$C$13)</f>
        <v>0.01995870473494514</v>
      </c>
      <c r="J4110" s="75">
        <f>'THAM_SO_MOI'!$C$40*('THAM_SO_MOI'!$C$23*(E4110/'THAM_SO_MOI'!$C$22)+'THAM_SO_MOI'!$C$24*(E4110/'THAM_SO_MOI'!$C$22)^2-'THAM_SO_MOI'!$C$25*(E4110/'THAM_SO_MOI'!$C$22)^3)</f>
        <v>98.79742679932139</v>
      </c>
      <c r="K4110" s="75">
        <f>'THAM_SO_MOI'!$C$31*J4110/E4110</f>
        <v>430.09320751175994</v>
      </c>
      <c r="L4110" s="75">
        <f>K4110*'THAM_SO_MOI'!$C$53*'THAM_SO_MOI'!$C$17/'THAM_SO_MOI'!$C$26</f>
        <v>3771.9191128193324</v>
      </c>
      <c r="M4110" s="75">
        <f>'THAM_SO_MOI'!$C$15*'THAM_SO_MOI'!$C$16*F4110^2</f>
        <v>1450.4211349714546</v>
      </c>
      <c r="N4110" s="75">
        <f>'THAM_SO_MOI'!$C$12*I4110</f>
        <v>1503.7047816945549</v>
      </c>
      <c r="O4110" s="75">
        <f>M4110+N4110</f>
        <v>2954.1259166660093</v>
      </c>
      <c r="P4110" s="75">
        <f>(MIN(L4110,'THAM_SO_MOI'!$C$41)-O4110)/('THAM_SO_MOI'!$C$11*H4110)</f>
        <v>0.09680317189314902</v>
      </c>
      <c r="Q4110" s="75">
        <f>IF(P4110&gt;0,1/P4110,NA())</f>
        <v>10.330240016347773</v>
      </c>
      <c r="R4110" s="75">
        <f>F4110-F4109</f>
        <v>0.0035868055555532408</v>
      </c>
      <c r="S4110" s="75">
        <f>0.5*(Q4109+Q4110)*R4110</f>
        <v>0.037039076719430256</v>
      </c>
      <c r="T4110" s="75">
        <f>0.5*(F4109*Q4109+F4110*Q4110)*R4110</f>
        <v>0.824725288730168</v>
      </c>
      <c r="U4110" s="76">
        <f>U4109+S4110</f>
        <v>62.527253374176226</v>
      </c>
      <c r="V4110" s="76">
        <f>V4109+T4110</f>
        <v>947.6338138755771</v>
      </c>
    </row>
    <row r="4111" spans="1:22" ht="19" customHeight="1">
      <c r="A4111" s="68" t="s">
        <v>378</v>
      </c>
      <c r="B4111" s="74">
        <v>5</v>
      </c>
      <c r="C4111" s="68" t="s">
        <v>363</v>
      </c>
      <c r="D4111" s="68" t="s">
        <v>365</v>
      </c>
      <c r="E4111" s="75">
        <f>60*F4111*'THAM_SO_MOI'!$C$53/(2*PI()*'THAM_SO_MOI'!$C$26)</f>
        <v>2194.3521052631572</v>
      </c>
      <c r="F4111" s="75">
        <f>'THAM_SO_MOI'!$C$14+('THAM_SO_MOI'!$C$37-'THAM_SO_MOI'!$C$14)*20/'THAM_SO_MOI'!$C$42</f>
        <v>22.27173611111111</v>
      </c>
      <c r="G4111" s="75">
        <f>3.6*F4111</f>
        <v>80.17825</v>
      </c>
      <c r="H4111" s="75">
        <f>'THAM_SO_MOI'!$D$53</f>
        <v>1.1</v>
      </c>
      <c r="I4111" s="75">
        <f>IF(F4111&gt;='THAM_SO_MOI'!$C$14,'THAM_SO_MOI'!$C$13*(1+F4111^2/1500),'THAM_SO_MOI'!$C$13)</f>
        <v>0.019960302294029706</v>
      </c>
      <c r="J4111" s="75">
        <f>'THAM_SO_MOI'!$C$40*('THAM_SO_MOI'!$C$23*(E4111/'THAM_SO_MOI'!$C$22)+'THAM_SO_MOI'!$C$24*(E4111/'THAM_SO_MOI'!$C$22)^2-'THAM_SO_MOI'!$C$25*(E4111/'THAM_SO_MOI'!$C$22)^3)</f>
        <v>98.81312375073108</v>
      </c>
      <c r="K4111" s="75">
        <f>'THAM_SO_MOI'!$C$31*J4111/E4111</f>
        <v>430.0922643865619</v>
      </c>
      <c r="L4111" s="75">
        <f>K4111*'THAM_SO_MOI'!$C$53*'THAM_SO_MOI'!$C$17/'THAM_SO_MOI'!$C$26</f>
        <v>3771.9108416076556</v>
      </c>
      <c r="M4111" s="75">
        <f>'THAM_SO_MOI'!$C$15*'THAM_SO_MOI'!$C$16*F4111^2</f>
        <v>1450.8884210036892</v>
      </c>
      <c r="N4111" s="75">
        <f>'THAM_SO_MOI'!$C$12*I4111</f>
        <v>1503.8251430740333</v>
      </c>
      <c r="O4111" s="75">
        <f>M4111+N4111</f>
        <v>2954.7135640777224</v>
      </c>
      <c r="P4111" s="75">
        <f>(MIN(L4111,'THAM_SO_MOI'!$C$41)-O4111)/('THAM_SO_MOI'!$C$11*H4111)</f>
        <v>0.09673263228337278</v>
      </c>
      <c r="Q4111" s="75">
        <f>IF(P4111&gt;0,1/P4111,NA())</f>
        <v>10.33777305956646</v>
      </c>
      <c r="R4111" s="75">
        <f>F4111-F4110</f>
        <v>0.0035868055555567935</v>
      </c>
      <c r="S4111" s="75">
        <f>0.5*(Q4110+Q4111)*R4111</f>
        <v>0.03706607206150481</v>
      </c>
      <c r="T4111" s="75">
        <f>0.5*(F4110*Q4110+F4111*Q4111)*R4111</f>
        <v>0.825459325461145</v>
      </c>
      <c r="U4111" s="76">
        <f>U4110+S4111</f>
        <v>62.56431944623773</v>
      </c>
      <c r="V4111" s="76">
        <f>V4110+T4111</f>
        <v>948.4592732010382</v>
      </c>
    </row>
    <row r="4112" spans="1:22" ht="19" customHeight="1">
      <c r="A4112" s="68" t="s">
        <v>378</v>
      </c>
      <c r="B4112" s="74">
        <v>5</v>
      </c>
      <c r="C4112" s="68" t="s">
        <v>363</v>
      </c>
      <c r="D4112" s="68" t="s">
        <v>365</v>
      </c>
      <c r="E4112" s="75">
        <f>60*F4112*'THAM_SO_MOI'!$C$53/(2*PI()*'THAM_SO_MOI'!$C$26)</f>
        <v>2194.7054999999996</v>
      </c>
      <c r="F4112" s="75">
        <f>'THAM_SO_MOI'!$C$14+('THAM_SO_MOI'!$C$37-'THAM_SO_MOI'!$C$14)*21/'THAM_SO_MOI'!$C$42</f>
        <v>22.275322916666667</v>
      </c>
      <c r="G4112" s="75">
        <f>3.6*F4112</f>
        <v>80.1911625</v>
      </c>
      <c r="H4112" s="75">
        <f>'THAM_SO_MOI'!$D$53</f>
        <v>1.1</v>
      </c>
      <c r="I4112" s="75">
        <f>IF(F4112&gt;='THAM_SO_MOI'!$C$14,'THAM_SO_MOI'!$C$13*(1+F4112^2/1500),'THAM_SO_MOI'!$C$13)</f>
        <v>0.01996190011041775</v>
      </c>
      <c r="J4112" s="75">
        <f>'THAM_SO_MOI'!$C$40*('THAM_SO_MOI'!$C$23*(E4112/'THAM_SO_MOI'!$C$22)+'THAM_SO_MOI'!$C$24*(E4112/'THAM_SO_MOI'!$C$22)^2-'THAM_SO_MOI'!$C$25*(E4112/'THAM_SO_MOI'!$C$22)^3)</f>
        <v>98.82881784826918</v>
      </c>
      <c r="K4112" s="75">
        <f>'THAM_SO_MOI'!$C$31*J4112/E4112</f>
        <v>430.09130914537946</v>
      </c>
      <c r="L4112" s="75">
        <f>K4112*'THAM_SO_MOI'!$C$53*'THAM_SO_MOI'!$C$17/'THAM_SO_MOI'!$C$26</f>
        <v>3771.9024641387473</v>
      </c>
      <c r="M4112" s="75">
        <f>'THAM_SO_MOI'!$C$15*'THAM_SO_MOI'!$C$16*F4112^2</f>
        <v>1451.3557822971925</v>
      </c>
      <c r="N4112" s="75">
        <f>'THAM_SO_MOI'!$C$12*I4112</f>
        <v>1503.9455238389617</v>
      </c>
      <c r="O4112" s="75">
        <f>M4112+N4112</f>
        <v>2955.3013061361544</v>
      </c>
      <c r="P4112" s="75">
        <f>(MIN(L4112,'THAM_SO_MOI'!$C$41)-O4112)/('THAM_SO_MOI'!$C$11*H4112)</f>
        <v>0.0966620688923524</v>
      </c>
      <c r="Q4112" s="75">
        <f>IF(P4112&gt;0,1/P4112,NA())</f>
        <v>10.34531964253371</v>
      </c>
      <c r="R4112" s="75">
        <f>F4112-F4111</f>
        <v>0.0035868055555567935</v>
      </c>
      <c r="S4112" s="75">
        <f>0.5*(Q4111+Q4112)*R4112</f>
        <v>0.03709311590499453</v>
      </c>
      <c r="T4112" s="75">
        <f>0.5*(F4111*Q4111+F4112*Q4112)*R4112</f>
        <v>0.8261946361440229</v>
      </c>
      <c r="U4112" s="76">
        <f>U4111+S4112</f>
        <v>62.60141256214273</v>
      </c>
      <c r="V4112" s="76">
        <f>V4111+T4112</f>
        <v>949.2854678371822</v>
      </c>
    </row>
    <row r="4113" spans="1:22" ht="19" customHeight="1">
      <c r="A4113" s="68" t="s">
        <v>378</v>
      </c>
      <c r="B4113" s="74">
        <v>5</v>
      </c>
      <c r="C4113" s="68" t="s">
        <v>363</v>
      </c>
      <c r="D4113" s="68" t="s">
        <v>365</v>
      </c>
      <c r="E4113" s="75">
        <f>60*F4113*'THAM_SO_MOI'!$C$53/(2*PI()*'THAM_SO_MOI'!$C$26)</f>
        <v>2195.0588947368415</v>
      </c>
      <c r="F4113" s="75">
        <f>'THAM_SO_MOI'!$C$14+('THAM_SO_MOI'!$C$37-'THAM_SO_MOI'!$C$14)*22/'THAM_SO_MOI'!$C$42</f>
        <v>22.27890972222222</v>
      </c>
      <c r="G4113" s="75">
        <f>3.6*F4113</f>
        <v>80.20407499999999</v>
      </c>
      <c r="H4113" s="75">
        <f>'THAM_SO_MOI'!$D$53</f>
        <v>1.1</v>
      </c>
      <c r="I4113" s="75">
        <f>IF(F4113&gt;='THAM_SO_MOI'!$C$14,'THAM_SO_MOI'!$C$13*(1+F4113^2/1500),'THAM_SO_MOI'!$C$13)</f>
        <v>0.019963498184109276</v>
      </c>
      <c r="J4113" s="75">
        <f>'THAM_SO_MOI'!$C$40*('THAM_SO_MOI'!$C$23*(E4113/'THAM_SO_MOI'!$C$22)+'THAM_SO_MOI'!$C$24*(E4113/'THAM_SO_MOI'!$C$22)^2-'THAM_SO_MOI'!$C$25*(E4113/'THAM_SO_MOI'!$C$22)^3)</f>
        <v>98.84450909059075</v>
      </c>
      <c r="K4113" s="75">
        <f>'THAM_SO_MOI'!$C$31*J4113/E4113</f>
        <v>430.0903417882126</v>
      </c>
      <c r="L4113" s="75">
        <f>K4113*'THAM_SO_MOI'!$C$53*'THAM_SO_MOI'!$C$17/'THAM_SO_MOI'!$C$26</f>
        <v>3771.893980412608</v>
      </c>
      <c r="M4113" s="75">
        <f>'THAM_SO_MOI'!$C$15*'THAM_SO_MOI'!$C$16*F4113^2</f>
        <v>1451.8232188519637</v>
      </c>
      <c r="N4113" s="75">
        <f>'THAM_SO_MOI'!$C$12*I4113</f>
        <v>1504.0659239893403</v>
      </c>
      <c r="O4113" s="75">
        <f>M4113+N4113</f>
        <v>2955.889142841304</v>
      </c>
      <c r="P4113" s="75">
        <f>(MIN(L4113,'THAM_SO_MOI'!$C$41)-O4113)/('THAM_SO_MOI'!$C$11*H4113)</f>
        <v>0.09659148172008808</v>
      </c>
      <c r="Q4113" s="75">
        <f>IF(P4113&gt;0,1/P4113,NA())</f>
        <v>10.352879800497258</v>
      </c>
      <c r="R4113" s="75">
        <f>F4113-F4112</f>
        <v>0.0035868055555532408</v>
      </c>
      <c r="S4113" s="75">
        <f>0.5*(Q4112+Q4113)*R4113</f>
        <v>0.03712020837610623</v>
      </c>
      <c r="T4113" s="75">
        <f>0.5*(F4112*Q4112+F4113*Q4113)*R4113</f>
        <v>0.8269312241122216</v>
      </c>
      <c r="U4113" s="76">
        <f>U4112+S4113</f>
        <v>62.638532770518836</v>
      </c>
      <c r="V4113" s="76">
        <f>V4112+T4113</f>
        <v>950.1123990612944</v>
      </c>
    </row>
    <row r="4114" spans="1:22" ht="19" customHeight="1">
      <c r="A4114" s="68" t="s">
        <v>378</v>
      </c>
      <c r="B4114" s="74">
        <v>5</v>
      </c>
      <c r="C4114" s="68" t="s">
        <v>363</v>
      </c>
      <c r="D4114" s="68" t="s">
        <v>365</v>
      </c>
      <c r="E4114" s="75">
        <f>60*F4114*'THAM_SO_MOI'!$C$53/(2*PI()*'THAM_SO_MOI'!$C$26)</f>
        <v>2195.412289473684</v>
      </c>
      <c r="F4114" s="75">
        <f>'THAM_SO_MOI'!$C$14+('THAM_SO_MOI'!$C$37-'THAM_SO_MOI'!$C$14)*23/'THAM_SO_MOI'!$C$42</f>
        <v>22.282496527777777</v>
      </c>
      <c r="G4114" s="75">
        <f>3.6*F4114</f>
        <v>80.2169875</v>
      </c>
      <c r="H4114" s="75">
        <f>'THAM_SO_MOI'!$D$53</f>
        <v>1.1</v>
      </c>
      <c r="I4114" s="75">
        <f>IF(F4114&gt;='THAM_SO_MOI'!$C$14,'THAM_SO_MOI'!$C$13*(1+F4114^2/1500),'THAM_SO_MOI'!$C$13)</f>
        <v>0.019965096515104287</v>
      </c>
      <c r="J4114" s="75">
        <f>'THAM_SO_MOI'!$C$40*('THAM_SO_MOI'!$C$23*(E4114/'THAM_SO_MOI'!$C$22)+'THAM_SO_MOI'!$C$24*(E4114/'THAM_SO_MOI'!$C$22)^2-'THAM_SO_MOI'!$C$25*(E4114/'THAM_SO_MOI'!$C$22)^3)</f>
        <v>98.86019747635089</v>
      </c>
      <c r="K4114" s="75">
        <f>'THAM_SO_MOI'!$C$31*J4114/E4114</f>
        <v>430.08936231506107</v>
      </c>
      <c r="L4114" s="75">
        <f>K4114*'THAM_SO_MOI'!$C$53*'THAM_SO_MOI'!$C$17/'THAM_SO_MOI'!$C$26</f>
        <v>3771.8853904292373</v>
      </c>
      <c r="M4114" s="75">
        <f>'THAM_SO_MOI'!$C$15*'THAM_SO_MOI'!$C$16*F4114^2</f>
        <v>1452.2907306680042</v>
      </c>
      <c r="N4114" s="75">
        <f>'THAM_SO_MOI'!$C$12*I4114</f>
        <v>1504.1863435251691</v>
      </c>
      <c r="O4114" s="75">
        <f>M4114+N4114</f>
        <v>2956.4770741931734</v>
      </c>
      <c r="P4114" s="75">
        <f>(MIN(L4114,'THAM_SO_MOI'!$C$41)-O4114)/('THAM_SO_MOI'!$C$11*H4114)</f>
        <v>0.0965208707665795</v>
      </c>
      <c r="Q4114" s="75">
        <f>IF(P4114&gt;0,1/P4114,NA())</f>
        <v>10.360453568828055</v>
      </c>
      <c r="R4114" s="75">
        <f>F4114-F4113</f>
        <v>0.0035868055555567935</v>
      </c>
      <c r="S4114" s="75">
        <f>0.5*(Q4113+Q4114)*R4114</f>
        <v>0.037147349601597976</v>
      </c>
      <c r="T4114" s="75">
        <f>0.5*(F4113*Q4113+F4114*Q4114)*R4114</f>
        <v>0.8276690927132534</v>
      </c>
      <c r="U4114" s="76">
        <f>U4113+S4114</f>
        <v>62.67568012012043</v>
      </c>
      <c r="V4114" s="76">
        <f>V4113+T4114</f>
        <v>950.9400681540076</v>
      </c>
    </row>
    <row r="4115" spans="1:22" ht="19" customHeight="1">
      <c r="A4115" s="68" t="s">
        <v>378</v>
      </c>
      <c r="B4115" s="74">
        <v>5</v>
      </c>
      <c r="C4115" s="68" t="s">
        <v>363</v>
      </c>
      <c r="D4115" s="68" t="s">
        <v>365</v>
      </c>
      <c r="E4115" s="75">
        <f>60*F4115*'THAM_SO_MOI'!$C$53/(2*PI()*'THAM_SO_MOI'!$C$26)</f>
        <v>2195.7656842105257</v>
      </c>
      <c r="F4115" s="75">
        <f>'THAM_SO_MOI'!$C$14+('THAM_SO_MOI'!$C$37-'THAM_SO_MOI'!$C$14)*24/'THAM_SO_MOI'!$C$42</f>
        <v>22.286083333333334</v>
      </c>
      <c r="G4115" s="75">
        <f>3.6*F4115</f>
        <v>80.2299</v>
      </c>
      <c r="H4115" s="75">
        <f>'THAM_SO_MOI'!$D$53</f>
        <v>1.1</v>
      </c>
      <c r="I4115" s="75">
        <f>IF(F4115&gt;='THAM_SO_MOI'!$C$14,'THAM_SO_MOI'!$C$13*(1+F4115^2/1500),'THAM_SO_MOI'!$C$13)</f>
        <v>0.019966695103402776</v>
      </c>
      <c r="J4115" s="75">
        <f>'THAM_SO_MOI'!$C$40*('THAM_SO_MOI'!$C$23*(E4115/'THAM_SO_MOI'!$C$22)+'THAM_SO_MOI'!$C$24*(E4115/'THAM_SO_MOI'!$C$22)^2-'THAM_SO_MOI'!$C$25*(E4115/'THAM_SO_MOI'!$C$22)^3)</f>
        <v>98.87588300420472</v>
      </c>
      <c r="K4115" s="75">
        <f>'THAM_SO_MOI'!$C$31*J4115/E4115</f>
        <v>430.08837072592513</v>
      </c>
      <c r="L4115" s="75">
        <f>K4115*'THAM_SO_MOI'!$C$53*'THAM_SO_MOI'!$C$17/'THAM_SO_MOI'!$C$26</f>
        <v>3771.8766941886347</v>
      </c>
      <c r="M4115" s="75">
        <f>'THAM_SO_MOI'!$C$15*'THAM_SO_MOI'!$C$16*F4115^2</f>
        <v>1452.7583177453128</v>
      </c>
      <c r="N4115" s="75">
        <f>'THAM_SO_MOI'!$C$12*I4115</f>
        <v>1504.3067824464479</v>
      </c>
      <c r="O4115" s="75">
        <f>M4115+N4115</f>
        <v>2957.0651001917604</v>
      </c>
      <c r="P4115" s="75">
        <f>(MIN(L4115,'THAM_SO_MOI'!$C$41)-O4115)/('THAM_SO_MOI'!$C$11*H4115)</f>
        <v>0.09645023603182692</v>
      </c>
      <c r="Q4115" s="75">
        <f>IF(P4115&gt;0,1/P4115,NA())</f>
        <v>10.368040983020686</v>
      </c>
      <c r="R4115" s="75">
        <f>F4115-F4114</f>
        <v>0.0035868055555567935</v>
      </c>
      <c r="S4115" s="75">
        <f>0.5*(Q4114+Q4115)*R4115</f>
        <v>0.037174539708449895</v>
      </c>
      <c r="T4115" s="75">
        <f>0.5*(F4114*Q4114+F4115*Q4115)*R4115</f>
        <v>0.8284082453013987</v>
      </c>
      <c r="U4115" s="76">
        <f>U4114+S4115</f>
        <v>62.712854659828885</v>
      </c>
      <c r="V4115" s="76">
        <f>V4114+T4115</f>
        <v>951.768476399309</v>
      </c>
    </row>
    <row r="4116" spans="1:22" ht="19" customHeight="1">
      <c r="A4116" s="68" t="s">
        <v>378</v>
      </c>
      <c r="B4116" s="74">
        <v>5</v>
      </c>
      <c r="C4116" s="68" t="s">
        <v>363</v>
      </c>
      <c r="D4116" s="68" t="s">
        <v>365</v>
      </c>
      <c r="E4116" s="75">
        <f>60*F4116*'THAM_SO_MOI'!$C$53/(2*PI()*'THAM_SO_MOI'!$C$26)</f>
        <v>2196.119078947368</v>
      </c>
      <c r="F4116" s="75">
        <f>'THAM_SO_MOI'!$C$14+('THAM_SO_MOI'!$C$37-'THAM_SO_MOI'!$C$14)*25/'THAM_SO_MOI'!$C$42</f>
        <v>22.289670138888887</v>
      </c>
      <c r="G4116" s="75">
        <f>3.6*F4116</f>
        <v>80.2428125</v>
      </c>
      <c r="H4116" s="75">
        <f>'THAM_SO_MOI'!$D$53</f>
        <v>1.1</v>
      </c>
      <c r="I4116" s="75">
        <f>IF(F4116&gt;='THAM_SO_MOI'!$C$14,'THAM_SO_MOI'!$C$13*(1+F4116^2/1500),'THAM_SO_MOI'!$C$13)</f>
        <v>0.019968293949004748</v>
      </c>
      <c r="J4116" s="75">
        <f>'THAM_SO_MOI'!$C$40*('THAM_SO_MOI'!$C$23*(E4116/'THAM_SO_MOI'!$C$22)+'THAM_SO_MOI'!$C$24*(E4116/'THAM_SO_MOI'!$C$22)^2-'THAM_SO_MOI'!$C$25*(E4116/'THAM_SO_MOI'!$C$22)^3)</f>
        <v>98.89156567280743</v>
      </c>
      <c r="K4116" s="75">
        <f>'THAM_SO_MOI'!$C$31*J4116/E4116</f>
        <v>430.08736702080495</v>
      </c>
      <c r="L4116" s="75">
        <f>K4116*'THAM_SO_MOI'!$C$53*'THAM_SO_MOI'!$C$17/'THAM_SO_MOI'!$C$26</f>
        <v>3771.867891690804</v>
      </c>
      <c r="M4116" s="75">
        <f>'THAM_SO_MOI'!$C$15*'THAM_SO_MOI'!$C$16*F4116^2</f>
        <v>1453.2259800838895</v>
      </c>
      <c r="N4116" s="75">
        <f>'THAM_SO_MOI'!$C$12*I4116</f>
        <v>1504.4272407531769</v>
      </c>
      <c r="O4116" s="75">
        <f>M4116+N4116</f>
        <v>2957.6532208370663</v>
      </c>
      <c r="P4116" s="75">
        <f>(MIN(L4116,'THAM_SO_MOI'!$C$41)-O4116)/('THAM_SO_MOI'!$C$11*H4116)</f>
        <v>0.0963795775158307</v>
      </c>
      <c r="Q4116" s="75">
        <f>IF(P4116&gt;0,1/P4116,NA())</f>
        <v>10.375642078693966</v>
      </c>
      <c r="R4116" s="75">
        <f>F4116-F4115</f>
        <v>0.0035868055555532408</v>
      </c>
      <c r="S4116" s="75">
        <f>0.5*(Q4115+Q4116)*R4116</f>
        <v>0.03720177882419689</v>
      </c>
      <c r="T4116" s="75">
        <f>0.5*(F4115*Q4115+F4116*Q4116)*R4116</f>
        <v>0.8291486852451235</v>
      </c>
      <c r="U4116" s="76">
        <f>U4115+S4116</f>
        <v>62.75005643865308</v>
      </c>
      <c r="V4116" s="76">
        <f>V4115+T4116</f>
        <v>952.5976250845541</v>
      </c>
    </row>
    <row r="4117" spans="1:22" ht="19" customHeight="1">
      <c r="A4117" s="68" t="s">
        <v>378</v>
      </c>
      <c r="B4117" s="74">
        <v>5</v>
      </c>
      <c r="C4117" s="68" t="s">
        <v>363</v>
      </c>
      <c r="D4117" s="68" t="s">
        <v>365</v>
      </c>
      <c r="E4117" s="75">
        <f>60*F4117*'THAM_SO_MOI'!$C$53/(2*PI()*'THAM_SO_MOI'!$C$26)</f>
        <v>2196.47247368421</v>
      </c>
      <c r="F4117" s="75">
        <f>'THAM_SO_MOI'!$C$14+('THAM_SO_MOI'!$C$37-'THAM_SO_MOI'!$C$14)*26/'THAM_SO_MOI'!$C$42</f>
        <v>22.293256944444444</v>
      </c>
      <c r="G4117" s="75">
        <f>3.6*F4117</f>
        <v>80.255725</v>
      </c>
      <c r="H4117" s="75">
        <f>'THAM_SO_MOI'!$D$53</f>
        <v>1.1</v>
      </c>
      <c r="I4117" s="75">
        <f>IF(F4117&gt;='THAM_SO_MOI'!$C$14,'THAM_SO_MOI'!$C$13*(1+F4117^2/1500),'THAM_SO_MOI'!$C$13)</f>
        <v>0.019969893051910204</v>
      </c>
      <c r="J4117" s="75">
        <f>'THAM_SO_MOI'!$C$40*('THAM_SO_MOI'!$C$23*(E4117/'THAM_SO_MOI'!$C$22)+'THAM_SO_MOI'!$C$24*(E4117/'THAM_SO_MOI'!$C$22)^2-'THAM_SO_MOI'!$C$25*(E4117/'THAM_SO_MOI'!$C$22)^3)</f>
        <v>98.90724548081398</v>
      </c>
      <c r="K4117" s="75">
        <f>'THAM_SO_MOI'!$C$31*J4117/E4117</f>
        <v>430.0863511997001</v>
      </c>
      <c r="L4117" s="75">
        <f>K4117*'THAM_SO_MOI'!$C$53*'THAM_SO_MOI'!$C$17/'THAM_SO_MOI'!$C$26</f>
        <v>3771.8589829357393</v>
      </c>
      <c r="M4117" s="75">
        <f>'THAM_SO_MOI'!$C$15*'THAM_SO_MOI'!$C$16*F4117^2</f>
        <v>1453.6937176837348</v>
      </c>
      <c r="N4117" s="75">
        <f>'THAM_SO_MOI'!$C$12*I4117</f>
        <v>1504.5477184453564</v>
      </c>
      <c r="O4117" s="75">
        <f>M4117+N4117</f>
        <v>2958.241436129091</v>
      </c>
      <c r="P4117" s="75">
        <f>(MIN(L4117,'THAM_SO_MOI'!$C$41)-O4117)/('THAM_SO_MOI'!$C$11*H4117)</f>
        <v>0.09630889521858994</v>
      </c>
      <c r="Q4117" s="75">
        <f>IF(P4117&gt;0,1/P4117,NA())</f>
        <v>10.383256891591628</v>
      </c>
      <c r="R4117" s="75">
        <f>F4117-F4116</f>
        <v>0.0035868055555567935</v>
      </c>
      <c r="S4117" s="75">
        <f>0.5*(Q4116+Q4117)*R4117</f>
        <v>0.03722906707693128</v>
      </c>
      <c r="T4117" s="75">
        <f>0.5*(F4116*Q4116+F4117*Q4117)*R4117</f>
        <v>0.82989041592715</v>
      </c>
      <c r="U4117" s="76">
        <f>U4116+S4117</f>
        <v>62.78728550573001</v>
      </c>
      <c r="V4117" s="76">
        <f>V4116+T4117</f>
        <v>953.4275155004813</v>
      </c>
    </row>
    <row r="4118" spans="1:22" ht="19" customHeight="1">
      <c r="A4118" s="68" t="s">
        <v>378</v>
      </c>
      <c r="B4118" s="74">
        <v>5</v>
      </c>
      <c r="C4118" s="68" t="s">
        <v>363</v>
      </c>
      <c r="D4118" s="68" t="s">
        <v>365</v>
      </c>
      <c r="E4118" s="75">
        <f>60*F4118*'THAM_SO_MOI'!$C$53/(2*PI()*'THAM_SO_MOI'!$C$26)</f>
        <v>2196.8258684210523</v>
      </c>
      <c r="F4118" s="75">
        <f>'THAM_SO_MOI'!$C$14+('THAM_SO_MOI'!$C$37-'THAM_SO_MOI'!$C$14)*27/'THAM_SO_MOI'!$C$42</f>
        <v>22.29684375</v>
      </c>
      <c r="G4118" s="75">
        <f>3.6*F4118</f>
        <v>80.26863750000001</v>
      </c>
      <c r="H4118" s="75">
        <f>'THAM_SO_MOI'!$D$53</f>
        <v>1.1</v>
      </c>
      <c r="I4118" s="75">
        <f>IF(F4118&gt;='THAM_SO_MOI'!$C$14,'THAM_SO_MOI'!$C$13*(1+F4118^2/1500),'THAM_SO_MOI'!$C$13)</f>
        <v>0.01997149241211914</v>
      </c>
      <c r="J4118" s="75">
        <f>'THAM_SO_MOI'!$C$40*('THAM_SO_MOI'!$C$23*(E4118/'THAM_SO_MOI'!$C$22)+'THAM_SO_MOI'!$C$24*(E4118/'THAM_SO_MOI'!$C$22)^2-'THAM_SO_MOI'!$C$25*(E4118/'THAM_SO_MOI'!$C$22)^3)</f>
        <v>98.92292242687962</v>
      </c>
      <c r="K4118" s="75">
        <f>'THAM_SO_MOI'!$C$31*J4118/E4118</f>
        <v>430.0853232626109</v>
      </c>
      <c r="L4118" s="75">
        <f>K4118*'THAM_SO_MOI'!$C$53*'THAM_SO_MOI'!$C$17/'THAM_SO_MOI'!$C$26</f>
        <v>3771.8499679234446</v>
      </c>
      <c r="M4118" s="75">
        <f>'THAM_SO_MOI'!$C$15*'THAM_SO_MOI'!$C$16*F4118^2</f>
        <v>1454.161530544849</v>
      </c>
      <c r="N4118" s="75">
        <f>'THAM_SO_MOI'!$C$12*I4118</f>
        <v>1504.6682155229857</v>
      </c>
      <c r="O4118" s="75">
        <f>M4118+N4118</f>
        <v>2958.829746067835</v>
      </c>
      <c r="P4118" s="75">
        <f>(MIN(L4118,'THAM_SO_MOI'!$C$41)-O4118)/('THAM_SO_MOI'!$C$11*H4118)</f>
        <v>0.09623818914010533</v>
      </c>
      <c r="Q4118" s="75">
        <f>IF(P4118&gt;0,1/P4118,NA())</f>
        <v>10.390885457582556</v>
      </c>
      <c r="R4118" s="75">
        <f>F4118-F4117</f>
        <v>0.0035868055555567935</v>
      </c>
      <c r="S4118" s="75">
        <f>0.5*(Q4117+Q4118)*R4118</f>
        <v>0.03725640459497281</v>
      </c>
      <c r="T4118" s="75">
        <f>0.5*(F4117*Q4117+F4118*Q4118)*R4118</f>
        <v>0.8306334407371075</v>
      </c>
      <c r="U4118" s="76">
        <f>U4117+S4118</f>
        <v>62.82454191032498</v>
      </c>
      <c r="V4118" s="76">
        <f>V4117+T4118</f>
        <v>954.2581489412183</v>
      </c>
    </row>
    <row r="4119" spans="1:22" ht="19" customHeight="1">
      <c r="A4119" s="68" t="s">
        <v>378</v>
      </c>
      <c r="B4119" s="74">
        <v>5</v>
      </c>
      <c r="C4119" s="68" t="s">
        <v>363</v>
      </c>
      <c r="D4119" s="68" t="s">
        <v>365</v>
      </c>
      <c r="E4119" s="75">
        <f>60*F4119*'THAM_SO_MOI'!$C$53/(2*PI()*'THAM_SO_MOI'!$C$26)</f>
        <v>2197.1792631578937</v>
      </c>
      <c r="F4119" s="75">
        <f>'THAM_SO_MOI'!$C$14+('THAM_SO_MOI'!$C$37-'THAM_SO_MOI'!$C$14)*28/'THAM_SO_MOI'!$C$42</f>
        <v>22.300430555555554</v>
      </c>
      <c r="G4119" s="75">
        <f>3.6*F4119</f>
        <v>80.28155</v>
      </c>
      <c r="H4119" s="75">
        <f>'THAM_SO_MOI'!$D$53</f>
        <v>1.1</v>
      </c>
      <c r="I4119" s="75">
        <f>IF(F4119&gt;='THAM_SO_MOI'!$C$14,'THAM_SO_MOI'!$C$13*(1+F4119^2/1500),'THAM_SO_MOI'!$C$13)</f>
        <v>0.019973092029631555</v>
      </c>
      <c r="J4119" s="75">
        <f>'THAM_SO_MOI'!$C$40*('THAM_SO_MOI'!$C$23*(E4119/'THAM_SO_MOI'!$C$22)+'THAM_SO_MOI'!$C$24*(E4119/'THAM_SO_MOI'!$C$22)^2-'THAM_SO_MOI'!$C$25*(E4119/'THAM_SO_MOI'!$C$22)^3)</f>
        <v>98.93859650965938</v>
      </c>
      <c r="K4119" s="75">
        <f>'THAM_SO_MOI'!$C$31*J4119/E4119</f>
        <v>430.0842832095374</v>
      </c>
      <c r="L4119" s="75">
        <f>K4119*'THAM_SO_MOI'!$C$53*'THAM_SO_MOI'!$C$17/'THAM_SO_MOI'!$C$26</f>
        <v>3771.84084665392</v>
      </c>
      <c r="M4119" s="75">
        <f>'THAM_SO_MOI'!$C$15*'THAM_SO_MOI'!$C$16*F4119^2</f>
        <v>1454.6294186672308</v>
      </c>
      <c r="N4119" s="75">
        <f>'THAM_SO_MOI'!$C$12*I4119</f>
        <v>1504.7887319860652</v>
      </c>
      <c r="O4119" s="75">
        <f>M4119+N4119</f>
        <v>2959.418150653296</v>
      </c>
      <c r="P4119" s="75">
        <f>(MIN(L4119,'THAM_SO_MOI'!$C$41)-O4119)/('THAM_SO_MOI'!$C$11*H4119)</f>
        <v>0.0961674592803769</v>
      </c>
      <c r="Q4119" s="75">
        <f>IF(P4119&gt;0,1/P4119,NA())</f>
        <v>10.39852781266159</v>
      </c>
      <c r="R4119" s="75">
        <f>F4119-F4118</f>
        <v>0.0035868055555532408</v>
      </c>
      <c r="S4119" s="75">
        <f>0.5*(Q4118+Q4119)*R4119</f>
        <v>0.037283791507201985</v>
      </c>
      <c r="T4119" s="75">
        <f>0.5*(F4118*Q4118+F4119*Q4119)*R4119</f>
        <v>0.8313777630789718</v>
      </c>
      <c r="U4119" s="76">
        <f>U4118+S4119</f>
        <v>62.86182570183218</v>
      </c>
      <c r="V4119" s="76">
        <f>V4118+T4119</f>
        <v>955.0895267042973</v>
      </c>
    </row>
    <row r="4120" spans="1:22" ht="19" customHeight="1">
      <c r="A4120" s="68" t="s">
        <v>378</v>
      </c>
      <c r="B4120" s="74">
        <v>5</v>
      </c>
      <c r="C4120" s="68" t="s">
        <v>363</v>
      </c>
      <c r="D4120" s="68" t="s">
        <v>365</v>
      </c>
      <c r="E4120" s="75">
        <f>60*F4120*'THAM_SO_MOI'!$C$53/(2*PI()*'THAM_SO_MOI'!$C$26)</f>
        <v>2197.532657894736</v>
      </c>
      <c r="F4120" s="75">
        <f>'THAM_SO_MOI'!$C$14+('THAM_SO_MOI'!$C$37-'THAM_SO_MOI'!$C$14)*29/'THAM_SO_MOI'!$C$42</f>
        <v>22.30401736111111</v>
      </c>
      <c r="G4120" s="75">
        <f>3.6*F4120</f>
        <v>80.2944625</v>
      </c>
      <c r="H4120" s="75">
        <f>'THAM_SO_MOI'!$D$53</f>
        <v>1.1</v>
      </c>
      <c r="I4120" s="75">
        <f>IF(F4120&gt;='THAM_SO_MOI'!$C$14,'THAM_SO_MOI'!$C$13*(1+F4120^2/1500),'THAM_SO_MOI'!$C$13)</f>
        <v>0.019974691904447457</v>
      </c>
      <c r="J4120" s="75">
        <f>'THAM_SO_MOI'!$C$40*('THAM_SO_MOI'!$C$23*(E4120/'THAM_SO_MOI'!$C$22)+'THAM_SO_MOI'!$C$24*(E4120/'THAM_SO_MOI'!$C$22)^2-'THAM_SO_MOI'!$C$25*(E4120/'THAM_SO_MOI'!$C$22)^3)</f>
        <v>98.95426772780836</v>
      </c>
      <c r="K4120" s="75">
        <f>'THAM_SO_MOI'!$C$31*J4120/E4120</f>
        <v>430.08323104047906</v>
      </c>
      <c r="L4120" s="75">
        <f>K4120*'THAM_SO_MOI'!$C$53*'THAM_SO_MOI'!$C$17/'THAM_SO_MOI'!$C$26</f>
        <v>3771.8316191271615</v>
      </c>
      <c r="M4120" s="75">
        <f>'THAM_SO_MOI'!$C$15*'THAM_SO_MOI'!$C$16*F4120^2</f>
        <v>1455.0973820508818</v>
      </c>
      <c r="N4120" s="75">
        <f>'THAM_SO_MOI'!$C$12*I4120</f>
        <v>1504.909267834595</v>
      </c>
      <c r="O4120" s="75">
        <f>M4120+N4120</f>
        <v>2960.0066498854767</v>
      </c>
      <c r="P4120" s="75">
        <f>(MIN(L4120,'THAM_SO_MOI'!$C$41)-O4120)/('THAM_SO_MOI'!$C$11*H4120)</f>
        <v>0.09609670563940398</v>
      </c>
      <c r="Q4120" s="75">
        <f>IF(P4120&gt;0,1/P4120,NA())</f>
        <v>10.406183992950066</v>
      </c>
      <c r="R4120" s="75">
        <f>F4120-F4119</f>
        <v>0.0035868055555567935</v>
      </c>
      <c r="S4120" s="75">
        <f>0.5*(Q4119+Q4120)*R4120</f>
        <v>0.03731122794306294</v>
      </c>
      <c r="T4120" s="75">
        <f>0.5*(F4119*Q4119+F4120*Q4120)*R4120</f>
        <v>0.8321233863711376</v>
      </c>
      <c r="U4120" s="76">
        <f>U4119+S4120</f>
        <v>62.899136929775246</v>
      </c>
      <c r="V4120" s="76">
        <f>V4119+T4120</f>
        <v>955.9216500906684</v>
      </c>
    </row>
    <row r="4121" spans="1:22" ht="19" customHeight="1">
      <c r="A4121" s="68" t="s">
        <v>378</v>
      </c>
      <c r="B4121" s="74">
        <v>5</v>
      </c>
      <c r="C4121" s="68" t="s">
        <v>363</v>
      </c>
      <c r="D4121" s="68" t="s">
        <v>365</v>
      </c>
      <c r="E4121" s="75">
        <f>60*F4121*'THAM_SO_MOI'!$C$53/(2*PI()*'THAM_SO_MOI'!$C$26)</f>
        <v>2197.8860526315784</v>
      </c>
      <c r="F4121" s="75">
        <f>'THAM_SO_MOI'!$C$14+('THAM_SO_MOI'!$C$37-'THAM_SO_MOI'!$C$14)*30/'THAM_SO_MOI'!$C$42</f>
        <v>22.307604166666668</v>
      </c>
      <c r="G4121" s="75">
        <f>3.6*F4121</f>
        <v>80.30737500000001</v>
      </c>
      <c r="H4121" s="75">
        <f>'THAM_SO_MOI'!$D$53</f>
        <v>1.1</v>
      </c>
      <c r="I4121" s="75">
        <f>IF(F4121&gt;='THAM_SO_MOI'!$C$14,'THAM_SO_MOI'!$C$13*(1+F4121^2/1500),'THAM_SO_MOI'!$C$13)</f>
        <v>0.01997629203656684</v>
      </c>
      <c r="J4121" s="75">
        <f>'THAM_SO_MOI'!$C$40*('THAM_SO_MOI'!$C$23*(E4121/'THAM_SO_MOI'!$C$22)+'THAM_SO_MOI'!$C$24*(E4121/'THAM_SO_MOI'!$C$22)^2-'THAM_SO_MOI'!$C$25*(E4121/'THAM_SO_MOI'!$C$22)^3)</f>
        <v>98.96993607998176</v>
      </c>
      <c r="K4121" s="75">
        <f>'THAM_SO_MOI'!$C$31*J4121/E4121</f>
        <v>430.0821667554365</v>
      </c>
      <c r="L4121" s="75">
        <f>K4121*'THAM_SO_MOI'!$C$53*'THAM_SO_MOI'!$C$17/'THAM_SO_MOI'!$C$26</f>
        <v>3771.822285343174</v>
      </c>
      <c r="M4121" s="75">
        <f>'THAM_SO_MOI'!$C$15*'THAM_SO_MOI'!$C$16*F4121^2</f>
        <v>1455.5654206958009</v>
      </c>
      <c r="N4121" s="75">
        <f>'THAM_SO_MOI'!$C$12*I4121</f>
        <v>1505.029823068575</v>
      </c>
      <c r="O4121" s="75">
        <f>M4121+N4121</f>
        <v>2960.595243764376</v>
      </c>
      <c r="P4121" s="75">
        <f>(MIN(L4121,'THAM_SO_MOI'!$C$41)-O4121)/('THAM_SO_MOI'!$C$11*H4121)</f>
        <v>0.09602592821718724</v>
      </c>
      <c r="Q4121" s="75">
        <f>IF(P4121&gt;0,1/P4121,NA())</f>
        <v>10.413854034696168</v>
      </c>
      <c r="R4121" s="75">
        <f>F4121-F4120</f>
        <v>0.0035868055555567935</v>
      </c>
      <c r="S4121" s="75">
        <f>0.5*(Q4120+Q4121)*R4121</f>
        <v>0.03733871403223261</v>
      </c>
      <c r="T4121" s="75">
        <f>0.5*(F4120*Q4120+F4121*Q4121)*R4121</f>
        <v>0.8328703140390489</v>
      </c>
      <c r="U4121" s="76">
        <f>U4120+S4121</f>
        <v>62.936475643807476</v>
      </c>
      <c r="V4121" s="76">
        <f>V4120+T4121</f>
        <v>956.7545204047075</v>
      </c>
    </row>
    <row r="4122" spans="1:22" ht="19" customHeight="1">
      <c r="A4122" s="68" t="s">
        <v>378</v>
      </c>
      <c r="B4122" s="74">
        <v>5</v>
      </c>
      <c r="C4122" s="68" t="s">
        <v>363</v>
      </c>
      <c r="D4122" s="68" t="s">
        <v>365</v>
      </c>
      <c r="E4122" s="75">
        <f>60*F4122*'THAM_SO_MOI'!$C$53/(2*PI()*'THAM_SO_MOI'!$C$26)</f>
        <v>2198.2394473684208</v>
      </c>
      <c r="F4122" s="75">
        <f>'THAM_SO_MOI'!$C$14+('THAM_SO_MOI'!$C$37-'THAM_SO_MOI'!$C$14)*31/'THAM_SO_MOI'!$C$42</f>
        <v>22.31119097222222</v>
      </c>
      <c r="G4122" s="75">
        <f>3.6*F4122</f>
        <v>80.32028749999999</v>
      </c>
      <c r="H4122" s="75">
        <f>'THAM_SO_MOI'!$D$53</f>
        <v>1.1</v>
      </c>
      <c r="I4122" s="75">
        <f>IF(F4122&gt;='THAM_SO_MOI'!$C$14,'THAM_SO_MOI'!$C$13*(1+F4122^2/1500),'THAM_SO_MOI'!$C$13)</f>
        <v>0.019977892425989706</v>
      </c>
      <c r="J4122" s="75">
        <f>'THAM_SO_MOI'!$C$40*('THAM_SO_MOI'!$C$23*(E4122/'THAM_SO_MOI'!$C$22)+'THAM_SO_MOI'!$C$24*(E4122/'THAM_SO_MOI'!$C$22)^2-'THAM_SO_MOI'!$C$25*(E4122/'THAM_SO_MOI'!$C$22)^3)</f>
        <v>98.98560156483461</v>
      </c>
      <c r="K4122" s="75">
        <f>'THAM_SO_MOI'!$C$31*J4122/E4122</f>
        <v>430.08109035440947</v>
      </c>
      <c r="L4122" s="75">
        <f>K4122*'THAM_SO_MOI'!$C$53*'THAM_SO_MOI'!$C$17/'THAM_SO_MOI'!$C$26</f>
        <v>3771.812845301955</v>
      </c>
      <c r="M4122" s="75">
        <f>'THAM_SO_MOI'!$C$15*'THAM_SO_MOI'!$C$16*F4122^2</f>
        <v>1456.0335346019883</v>
      </c>
      <c r="N4122" s="75">
        <f>'THAM_SO_MOI'!$C$12*I4122</f>
        <v>1505.1503976880053</v>
      </c>
      <c r="O4122" s="75">
        <f>M4122+N4122</f>
        <v>2961.1839322899937</v>
      </c>
      <c r="P4122" s="75">
        <f>(MIN(L4122,'THAM_SO_MOI'!$C$41)-O4122)/('THAM_SO_MOI'!$C$11*H4122)</f>
        <v>0.09595512701372647</v>
      </c>
      <c r="Q4122" s="75">
        <f>IF(P4122&gt;0,1/P4122,NA())</f>
        <v>10.421537974275717</v>
      </c>
      <c r="R4122" s="75">
        <f>F4122-F4121</f>
        <v>0.0035868055555532408</v>
      </c>
      <c r="S4122" s="75">
        <f>0.5*(Q4121+Q4122)*R4122</f>
        <v>0.03736624990495498</v>
      </c>
      <c r="T4122" s="75">
        <f>0.5*(F4121*Q4121+F4122*Q4122)*R4122</f>
        <v>0.8336185495226613</v>
      </c>
      <c r="U4122" s="76">
        <f>U4121+S4122</f>
        <v>62.97384189371243</v>
      </c>
      <c r="V4122" s="76">
        <f>V4121+T4122</f>
        <v>957.5881389542301</v>
      </c>
    </row>
    <row r="4123" spans="1:22" ht="19" customHeight="1">
      <c r="A4123" s="68" t="s">
        <v>378</v>
      </c>
      <c r="B4123" s="74">
        <v>5</v>
      </c>
      <c r="C4123" s="68" t="s">
        <v>363</v>
      </c>
      <c r="D4123" s="68" t="s">
        <v>365</v>
      </c>
      <c r="E4123" s="75">
        <f>60*F4123*'THAM_SO_MOI'!$C$53/(2*PI()*'THAM_SO_MOI'!$C$26)</f>
        <v>2198.592842105263</v>
      </c>
      <c r="F4123" s="75">
        <f>'THAM_SO_MOI'!$C$14+('THAM_SO_MOI'!$C$37-'THAM_SO_MOI'!$C$14)*32/'THAM_SO_MOI'!$C$42</f>
        <v>22.314777777777778</v>
      </c>
      <c r="G4123" s="75">
        <f>3.6*F4123</f>
        <v>80.3332</v>
      </c>
      <c r="H4123" s="75">
        <f>'THAM_SO_MOI'!$D$53</f>
        <v>1.1</v>
      </c>
      <c r="I4123" s="75">
        <f>IF(F4123&gt;='THAM_SO_MOI'!$C$14,'THAM_SO_MOI'!$C$13*(1+F4123^2/1500),'THAM_SO_MOI'!$C$13)</f>
        <v>0.019979493072716046</v>
      </c>
      <c r="J4123" s="75">
        <f>'THAM_SO_MOI'!$C$40*('THAM_SO_MOI'!$C$23*(E4123/'THAM_SO_MOI'!$C$22)+'THAM_SO_MOI'!$C$24*(E4123/'THAM_SO_MOI'!$C$22)^2-'THAM_SO_MOI'!$C$25*(E4123/'THAM_SO_MOI'!$C$22)^3)</f>
        <v>99.00126418102204</v>
      </c>
      <c r="K4123" s="75">
        <f>'THAM_SO_MOI'!$C$31*J4123/E4123</f>
        <v>430.0800018373979</v>
      </c>
      <c r="L4123" s="75">
        <f>K4123*'THAM_SO_MOI'!$C$53*'THAM_SO_MOI'!$C$17/'THAM_SO_MOI'!$C$26</f>
        <v>3771.8032990035035</v>
      </c>
      <c r="M4123" s="75">
        <f>'THAM_SO_MOI'!$C$15*'THAM_SO_MOI'!$C$16*F4123^2</f>
        <v>1456.5017237694444</v>
      </c>
      <c r="N4123" s="75">
        <f>'THAM_SO_MOI'!$C$12*I4123</f>
        <v>1505.2709916928852</v>
      </c>
      <c r="O4123" s="75">
        <f>M4123+N4123</f>
        <v>2961.77271546233</v>
      </c>
      <c r="P4123" s="75">
        <f>(MIN(L4123,'THAM_SO_MOI'!$C$41)-O4123)/('THAM_SO_MOI'!$C$11*H4123)</f>
        <v>0.0958843020290215</v>
      </c>
      <c r="Q4123" s="75">
        <f>IF(P4123&gt;0,1/P4123,NA())</f>
        <v>10.429235848192626</v>
      </c>
      <c r="R4123" s="75">
        <f>F4123-F4122</f>
        <v>0.0035868055555567935</v>
      </c>
      <c r="S4123" s="75">
        <f>0.5*(Q4122+Q4123)*R4123</f>
        <v>0.037393835692043804</v>
      </c>
      <c r="T4123" s="75">
        <f>0.5*(F4122*Q4122+F4123*Q4123)*R4123</f>
        <v>0.8343680962765126</v>
      </c>
      <c r="U4123" s="76">
        <f>U4122+S4123</f>
        <v>63.011235729404476</v>
      </c>
      <c r="V4123" s="76">
        <f>V4122+T4123</f>
        <v>958.4225070505066</v>
      </c>
    </row>
    <row r="4124" spans="1:22" ht="19" customHeight="1">
      <c r="A4124" s="68" t="s">
        <v>378</v>
      </c>
      <c r="B4124" s="74">
        <v>5</v>
      </c>
      <c r="C4124" s="68" t="s">
        <v>363</v>
      </c>
      <c r="D4124" s="68" t="s">
        <v>365</v>
      </c>
      <c r="E4124" s="75">
        <f>60*F4124*'THAM_SO_MOI'!$C$53/(2*PI()*'THAM_SO_MOI'!$C$26)</f>
        <v>2198.9462368421046</v>
      </c>
      <c r="F4124" s="75">
        <f>'THAM_SO_MOI'!$C$14+('THAM_SO_MOI'!$C$37-'THAM_SO_MOI'!$C$14)*33/'THAM_SO_MOI'!$C$42</f>
        <v>22.31836458333333</v>
      </c>
      <c r="G4124" s="75">
        <f>3.6*F4124</f>
        <v>80.34611249999999</v>
      </c>
      <c r="H4124" s="75">
        <f>'THAM_SO_MOI'!$D$53</f>
        <v>1.1</v>
      </c>
      <c r="I4124" s="75">
        <f>IF(F4124&gt;='THAM_SO_MOI'!$C$14,'THAM_SO_MOI'!$C$13*(1+F4124^2/1500),'THAM_SO_MOI'!$C$13)</f>
        <v>0.019981093976745877</v>
      </c>
      <c r="J4124" s="75">
        <f>'THAM_SO_MOI'!$C$40*('THAM_SO_MOI'!$C$23*(E4124/'THAM_SO_MOI'!$C$22)+'THAM_SO_MOI'!$C$24*(E4124/'THAM_SO_MOI'!$C$22)^2-'THAM_SO_MOI'!$C$25*(E4124/'THAM_SO_MOI'!$C$22)^3)</f>
        <v>99.01692392719913</v>
      </c>
      <c r="K4124" s="75">
        <f>'THAM_SO_MOI'!$C$31*J4124/E4124</f>
        <v>430.0789012044019</v>
      </c>
      <c r="L4124" s="75">
        <f>K4124*'THAM_SO_MOI'!$C$53*'THAM_SO_MOI'!$C$17/'THAM_SO_MOI'!$C$26</f>
        <v>3771.793646447822</v>
      </c>
      <c r="M4124" s="75">
        <f>'THAM_SO_MOI'!$C$15*'THAM_SO_MOI'!$C$16*F4124^2</f>
        <v>1456.9699881981687</v>
      </c>
      <c r="N4124" s="75">
        <f>'THAM_SO_MOI'!$C$12*I4124</f>
        <v>1505.3916050832158</v>
      </c>
      <c r="O4124" s="75">
        <f>M4124+N4124</f>
        <v>2962.3615932813846</v>
      </c>
      <c r="P4124" s="75">
        <f>(MIN(L4124,'THAM_SO_MOI'!$C$41)-O4124)/('THAM_SO_MOI'!$C$11*H4124)</f>
        <v>0.09581345326307263</v>
      </c>
      <c r="Q4124" s="75">
        <f>IF(P4124&gt;0,1/P4124,NA())</f>
        <v>10.436947693079434</v>
      </c>
      <c r="R4124" s="75">
        <f>F4124-F4123</f>
        <v>0.0035868055555532408</v>
      </c>
      <c r="S4124" s="75">
        <f>0.5*(Q4123+Q4124)*R4124</f>
        <v>0.037421471524514104</v>
      </c>
      <c r="T4124" s="75">
        <f>0.5*(F4123*Q4123+F4124*Q4124)*R4124</f>
        <v>0.8351189577615086</v>
      </c>
      <c r="U4124" s="76">
        <f>U4123+S4124</f>
        <v>63.04865720092899</v>
      </c>
      <c r="V4124" s="76">
        <f>V4123+T4124</f>
        <v>959.2576260082682</v>
      </c>
    </row>
    <row r="4125" spans="1:22" ht="19" customHeight="1">
      <c r="A4125" s="68" t="s">
        <v>378</v>
      </c>
      <c r="B4125" s="74">
        <v>5</v>
      </c>
      <c r="C4125" s="68" t="s">
        <v>363</v>
      </c>
      <c r="D4125" s="68" t="s">
        <v>365</v>
      </c>
      <c r="E4125" s="75">
        <f>60*F4125*'THAM_SO_MOI'!$C$53/(2*PI()*'THAM_SO_MOI'!$C$26)</f>
        <v>2199.299631578947</v>
      </c>
      <c r="F4125" s="75">
        <f>'THAM_SO_MOI'!$C$14+('THAM_SO_MOI'!$C$37-'THAM_SO_MOI'!$C$14)*34/'THAM_SO_MOI'!$C$42</f>
        <v>22.321951388888888</v>
      </c>
      <c r="G4125" s="75">
        <f>3.6*F4125</f>
        <v>80.359025</v>
      </c>
      <c r="H4125" s="75">
        <f>'THAM_SO_MOI'!$D$53</f>
        <v>1.1</v>
      </c>
      <c r="I4125" s="75">
        <f>IF(F4125&gt;='THAM_SO_MOI'!$C$14,'THAM_SO_MOI'!$C$13*(1+F4125^2/1500),'THAM_SO_MOI'!$C$13)</f>
        <v>0.019982695138079185</v>
      </c>
      <c r="J4125" s="75">
        <f>'THAM_SO_MOI'!$C$40*('THAM_SO_MOI'!$C$23*(E4125/'THAM_SO_MOI'!$C$22)+'THAM_SO_MOI'!$C$24*(E4125/'THAM_SO_MOI'!$C$22)^2-'THAM_SO_MOI'!$C$25*(E4125/'THAM_SO_MOI'!$C$22)^3)</f>
        <v>99.03258080202109</v>
      </c>
      <c r="K4125" s="75">
        <f>'THAM_SO_MOI'!$C$31*J4125/E4125</f>
        <v>430.0777884554216</v>
      </c>
      <c r="L4125" s="75">
        <f>K4125*'THAM_SO_MOI'!$C$53*'THAM_SO_MOI'!$C$17/'THAM_SO_MOI'!$C$26</f>
        <v>3771.7838876349115</v>
      </c>
      <c r="M4125" s="75">
        <f>'THAM_SO_MOI'!$C$15*'THAM_SO_MOI'!$C$16*F4125^2</f>
        <v>1457.438327888162</v>
      </c>
      <c r="N4125" s="75">
        <f>'THAM_SO_MOI'!$C$12*I4125</f>
        <v>1505.5122378589963</v>
      </c>
      <c r="O4125" s="75">
        <f>M4125+N4125</f>
        <v>2962.950565747158</v>
      </c>
      <c r="P4125" s="75">
        <f>(MIN(L4125,'THAM_SO_MOI'!$C$41)-O4125)/('THAM_SO_MOI'!$C$11*H4125)</f>
        <v>0.09574258071587989</v>
      </c>
      <c r="Q4125" s="75">
        <f>IF(P4125&gt;0,1/P4125,NA())</f>
        <v>10.444673545697935</v>
      </c>
      <c r="R4125" s="75">
        <f>F4125-F4124</f>
        <v>0.0035868055555567935</v>
      </c>
      <c r="S4125" s="75">
        <f>0.5*(Q4124+Q4125)*R4125</f>
        <v>0.0374491575341397</v>
      </c>
      <c r="T4125" s="75">
        <f>0.5*(F4124*Q4124+F4125*Q4125)*R4125</f>
        <v>0.8358711374573708</v>
      </c>
      <c r="U4125" s="76">
        <f>U4124+S4125</f>
        <v>63.086106358463134</v>
      </c>
      <c r="V4125" s="76">
        <f>V4124+T4125</f>
        <v>960.0934971457256</v>
      </c>
    </row>
    <row r="4126" spans="1:22" ht="19" customHeight="1">
      <c r="A4126" s="68" t="s">
        <v>378</v>
      </c>
      <c r="B4126" s="74">
        <v>5</v>
      </c>
      <c r="C4126" s="68" t="s">
        <v>363</v>
      </c>
      <c r="D4126" s="68" t="s">
        <v>365</v>
      </c>
      <c r="E4126" s="75">
        <f>60*F4126*'THAM_SO_MOI'!$C$53/(2*PI()*'THAM_SO_MOI'!$C$26)</f>
        <v>2199.653026315789</v>
      </c>
      <c r="F4126" s="75">
        <f>'THAM_SO_MOI'!$C$14+('THAM_SO_MOI'!$C$37-'THAM_SO_MOI'!$C$14)*35/'THAM_SO_MOI'!$C$42</f>
        <v>22.325538194444444</v>
      </c>
      <c r="G4126" s="75">
        <f>3.6*F4126</f>
        <v>80.3719375</v>
      </c>
      <c r="H4126" s="75">
        <f>'THAM_SO_MOI'!$D$53</f>
        <v>1.1</v>
      </c>
      <c r="I4126" s="75">
        <f>IF(F4126&gt;='THAM_SO_MOI'!$C$14,'THAM_SO_MOI'!$C$13*(1+F4126^2/1500),'THAM_SO_MOI'!$C$13)</f>
        <v>0.019984296556715977</v>
      </c>
      <c r="J4126" s="75">
        <f>'THAM_SO_MOI'!$C$40*('THAM_SO_MOI'!$C$23*(E4126/'THAM_SO_MOI'!$C$22)+'THAM_SO_MOI'!$C$24*(E4126/'THAM_SO_MOI'!$C$22)^2-'THAM_SO_MOI'!$C$25*(E4126/'THAM_SO_MOI'!$C$22)^3)</f>
        <v>99.04823480414291</v>
      </c>
      <c r="K4126" s="75">
        <f>'THAM_SO_MOI'!$C$31*J4126/E4126</f>
        <v>430.07666359045675</v>
      </c>
      <c r="L4126" s="75">
        <f>K4126*'THAM_SO_MOI'!$C$53*'THAM_SO_MOI'!$C$17/'THAM_SO_MOI'!$C$26</f>
        <v>3771.774022564767</v>
      </c>
      <c r="M4126" s="75">
        <f>'THAM_SO_MOI'!$C$15*'THAM_SO_MOI'!$C$16*F4126^2</f>
        <v>1457.9067428394235</v>
      </c>
      <c r="N4126" s="75">
        <f>'THAM_SO_MOI'!$C$12*I4126</f>
        <v>1505.6328900202273</v>
      </c>
      <c r="O4126" s="75">
        <f>M4126+N4126</f>
        <v>2963.5396328596507</v>
      </c>
      <c r="P4126" s="75">
        <f>(MIN(L4126,'THAM_SO_MOI'!$C$41)-O4126)/('THAM_SO_MOI'!$C$11*H4126)</f>
        <v>0.09567168438744278</v>
      </c>
      <c r="Q4126" s="75">
        <f>IF(P4126&gt;0,1/P4126,NA())</f>
        <v>10.452413442939793</v>
      </c>
      <c r="R4126" s="75">
        <f>F4126-F4125</f>
        <v>0.0035868055555567935</v>
      </c>
      <c r="S4126" s="75">
        <f>0.5*(Q4125+Q4126)*R4126</f>
        <v>0.03747689385289969</v>
      </c>
      <c r="T4126" s="75">
        <f>0.5*(F4125*Q4125+F4126*Q4126)*R4126</f>
        <v>0.8366246388502954</v>
      </c>
      <c r="U4126" s="76">
        <f>U4125+S4126</f>
        <v>63.12358325231603</v>
      </c>
      <c r="V4126" s="76">
        <f>V4125+T4126</f>
        <v>960.9301217845758</v>
      </c>
    </row>
    <row r="4127" spans="1:22" ht="19" customHeight="1">
      <c r="A4127" s="68" t="s">
        <v>378</v>
      </c>
      <c r="B4127" s="74">
        <v>5</v>
      </c>
      <c r="C4127" s="68" t="s">
        <v>363</v>
      </c>
      <c r="D4127" s="68" t="s">
        <v>365</v>
      </c>
      <c r="E4127" s="75">
        <f>60*F4127*'THAM_SO_MOI'!$C$53/(2*PI()*'THAM_SO_MOI'!$C$26)</f>
        <v>2200.006421052631</v>
      </c>
      <c r="F4127" s="75">
        <f>'THAM_SO_MOI'!$C$14+('THAM_SO_MOI'!$C$37-'THAM_SO_MOI'!$C$14)*36/'THAM_SO_MOI'!$C$42</f>
        <v>22.329124999999998</v>
      </c>
      <c r="G4127" s="75">
        <f>3.6*F4127</f>
        <v>80.38485</v>
      </c>
      <c r="H4127" s="75">
        <f>'THAM_SO_MOI'!$D$53</f>
        <v>1.1</v>
      </c>
      <c r="I4127" s="75">
        <f>IF(F4127&gt;='THAM_SO_MOI'!$C$14,'THAM_SO_MOI'!$C$13*(1+F4127^2/1500),'THAM_SO_MOI'!$C$13)</f>
        <v>0.019985898232656247</v>
      </c>
      <c r="J4127" s="75">
        <f>'THAM_SO_MOI'!$C$40*('THAM_SO_MOI'!$C$23*(E4127/'THAM_SO_MOI'!$C$22)+'THAM_SO_MOI'!$C$24*(E4127/'THAM_SO_MOI'!$C$22)^2-'THAM_SO_MOI'!$C$25*(E4127/'THAM_SO_MOI'!$C$22)^3)</f>
        <v>99.06388593221976</v>
      </c>
      <c r="K4127" s="75">
        <f>'THAM_SO_MOI'!$C$31*J4127/E4127</f>
        <v>430.07552660950734</v>
      </c>
      <c r="L4127" s="75">
        <f>K4127*'THAM_SO_MOI'!$C$53*'THAM_SO_MOI'!$C$17/'THAM_SO_MOI'!$C$26</f>
        <v>3771.7640512373923</v>
      </c>
      <c r="M4127" s="75">
        <f>'THAM_SO_MOI'!$C$15*'THAM_SO_MOI'!$C$16*F4127^2</f>
        <v>1458.375233051953</v>
      </c>
      <c r="N4127" s="75">
        <f>'THAM_SO_MOI'!$C$12*I4127</f>
        <v>1505.7535615669078</v>
      </c>
      <c r="O4127" s="75">
        <f>M4127+N4127</f>
        <v>2964.128794618861</v>
      </c>
      <c r="P4127" s="75">
        <f>(MIN(L4127,'THAM_SO_MOI'!$C$41)-O4127)/('THAM_SO_MOI'!$C$11*H4127)</f>
        <v>0.09560076427776175</v>
      </c>
      <c r="Q4127" s="75">
        <f>IF(P4127&gt;0,1/P4127,NA())</f>
        <v>10.460167421826938</v>
      </c>
      <c r="R4127" s="75">
        <f>F4127-F4126</f>
        <v>0.0035868055555532408</v>
      </c>
      <c r="S4127" s="75">
        <f>0.5*(Q4126+Q4127)*R4127</f>
        <v>0.037504680613350855</v>
      </c>
      <c r="T4127" s="75">
        <f>0.5*(F4126*Q4126+F4127*Q4127)*R4127</f>
        <v>0.8373794654412683</v>
      </c>
      <c r="U4127" s="76">
        <f>U4126+S4127</f>
        <v>63.161087932929384</v>
      </c>
      <c r="V4127" s="76">
        <f>V4126+T4127</f>
        <v>961.7675012500171</v>
      </c>
    </row>
    <row r="4128" spans="1:22" ht="19" customHeight="1">
      <c r="A4128" s="68" t="s">
        <v>378</v>
      </c>
      <c r="B4128" s="74">
        <v>5</v>
      </c>
      <c r="C4128" s="68" t="s">
        <v>363</v>
      </c>
      <c r="D4128" s="68" t="s">
        <v>365</v>
      </c>
      <c r="E4128" s="75">
        <f>60*F4128*'THAM_SO_MOI'!$C$53/(2*PI()*'THAM_SO_MOI'!$C$26)</f>
        <v>2200.359815789473</v>
      </c>
      <c r="F4128" s="75">
        <f>'THAM_SO_MOI'!$C$14+('THAM_SO_MOI'!$C$37-'THAM_SO_MOI'!$C$14)*37/'THAM_SO_MOI'!$C$42</f>
        <v>22.332711805555554</v>
      </c>
      <c r="G4128" s="75">
        <f>3.6*F4128</f>
        <v>80.3977625</v>
      </c>
      <c r="H4128" s="75">
        <f>'THAM_SO_MOI'!$D$53</f>
        <v>1.1</v>
      </c>
      <c r="I4128" s="75">
        <f>IF(F4128&gt;='THAM_SO_MOI'!$C$14,'THAM_SO_MOI'!$C$13*(1+F4128^2/1500),'THAM_SO_MOI'!$C$13)</f>
        <v>0.019987500165900004</v>
      </c>
      <c r="J4128" s="75">
        <f>'THAM_SO_MOI'!$C$40*('THAM_SO_MOI'!$C$23*(E4128/'THAM_SO_MOI'!$C$22)+'THAM_SO_MOI'!$C$24*(E4128/'THAM_SO_MOI'!$C$22)^2-'THAM_SO_MOI'!$C$25*(E4128/'THAM_SO_MOI'!$C$22)^3)</f>
        <v>99.07953418490672</v>
      </c>
      <c r="K4128" s="75">
        <f>'THAM_SO_MOI'!$C$31*J4128/E4128</f>
        <v>430.0743775125735</v>
      </c>
      <c r="L4128" s="75">
        <f>K4128*'THAM_SO_MOI'!$C$53*'THAM_SO_MOI'!$C$17/'THAM_SO_MOI'!$C$26</f>
        <v>3771.753973652786</v>
      </c>
      <c r="M4128" s="75">
        <f>'THAM_SO_MOI'!$C$15*'THAM_SO_MOI'!$C$16*F4128^2</f>
        <v>1458.8437985257513</v>
      </c>
      <c r="N4128" s="75">
        <f>'THAM_SO_MOI'!$C$12*I4128</f>
        <v>1505.8742524990391</v>
      </c>
      <c r="O4128" s="75">
        <f>M4128+N4128</f>
        <v>2964.7180510247904</v>
      </c>
      <c r="P4128" s="75">
        <f>(MIN(L4128,'THAM_SO_MOI'!$C$41)-O4128)/('THAM_SO_MOI'!$C$11*H4128)</f>
        <v>0.09552982038683658</v>
      </c>
      <c r="Q4128" s="75">
        <f>IF(P4128&gt;0,1/P4128,NA())</f>
        <v>10.467935519512332</v>
      </c>
      <c r="R4128" s="75">
        <f>F4128-F4127</f>
        <v>0.0035868055555567935</v>
      </c>
      <c r="S4128" s="75">
        <f>0.5*(Q4127+Q4128)*R4128</f>
        <v>0.03753251794863008</v>
      </c>
      <c r="T4128" s="75">
        <f>0.5*(F4127*Q4127+F4128*Q4128)*R4128</f>
        <v>0.8381356207461329</v>
      </c>
      <c r="U4128" s="76">
        <f>U4127+S4128</f>
        <v>63.19862045087801</v>
      </c>
      <c r="V4128" s="76">
        <f>V4127+T4128</f>
        <v>962.6056368707632</v>
      </c>
    </row>
    <row r="4129" spans="1:22" ht="19" customHeight="1">
      <c r="A4129" s="68" t="s">
        <v>378</v>
      </c>
      <c r="B4129" s="74">
        <v>5</v>
      </c>
      <c r="C4129" s="68" t="s">
        <v>363</v>
      </c>
      <c r="D4129" s="68" t="s">
        <v>365</v>
      </c>
      <c r="E4129" s="75">
        <f>60*F4129*'THAM_SO_MOI'!$C$53/(2*PI()*'THAM_SO_MOI'!$C$26)</f>
        <v>2200.713210526316</v>
      </c>
      <c r="F4129" s="75">
        <f>'THAM_SO_MOI'!$C$14+('THAM_SO_MOI'!$C$37-'THAM_SO_MOI'!$C$14)*38/'THAM_SO_MOI'!$C$42</f>
        <v>22.33629861111111</v>
      </c>
      <c r="G4129" s="75">
        <f>3.6*F4129</f>
        <v>80.410675</v>
      </c>
      <c r="H4129" s="75">
        <f>'THAM_SO_MOI'!$D$53</f>
        <v>1.1</v>
      </c>
      <c r="I4129" s="75">
        <f>IF(F4129&gt;='THAM_SO_MOI'!$C$14,'THAM_SO_MOI'!$C$13*(1+F4129^2/1500),'THAM_SO_MOI'!$C$13)</f>
        <v>0.01998910235644724</v>
      </c>
      <c r="J4129" s="75">
        <f>'THAM_SO_MOI'!$C$40*('THAM_SO_MOI'!$C$23*(E4129/'THAM_SO_MOI'!$C$22)+'THAM_SO_MOI'!$C$24*(E4129/'THAM_SO_MOI'!$C$22)^2-'THAM_SO_MOI'!$C$25*(E4129/'THAM_SO_MOI'!$C$22)^3)</f>
        <v>99.09517956085898</v>
      </c>
      <c r="K4129" s="75">
        <f>'THAM_SO_MOI'!$C$31*J4129/E4129</f>
        <v>430.0732162996552</v>
      </c>
      <c r="L4129" s="75">
        <f>K4129*'THAM_SO_MOI'!$C$53*'THAM_SO_MOI'!$C$17/'THAM_SO_MOI'!$C$26</f>
        <v>3771.743789810949</v>
      </c>
      <c r="M4129" s="75">
        <f>'THAM_SO_MOI'!$C$15*'THAM_SO_MOI'!$C$16*F4129^2</f>
        <v>1459.3124392608183</v>
      </c>
      <c r="N4129" s="75">
        <f>'THAM_SO_MOI'!$C$12*I4129</f>
        <v>1505.9949628166203</v>
      </c>
      <c r="O4129" s="75">
        <f>M4129+N4129</f>
        <v>2965.3074020774384</v>
      </c>
      <c r="P4129" s="75">
        <f>(MIN(L4129,'THAM_SO_MOI'!$C$41)-O4129)/('THAM_SO_MOI'!$C$11*H4129)</f>
        <v>0.09545885271466739</v>
      </c>
      <c r="Q4129" s="75">
        <f>IF(P4129&gt;0,1/P4129,NA())</f>
        <v>10.47571777328043</v>
      </c>
      <c r="R4129" s="75">
        <f>F4129-F4128</f>
        <v>0.0035868055555567935</v>
      </c>
      <c r="S4129" s="75">
        <f>0.5*(Q4128+Q4129)*R4129</f>
        <v>0.0375604059921222</v>
      </c>
      <c r="T4129" s="75">
        <f>0.5*(F4128*Q4128+F4129*Q4129)*R4129</f>
        <v>0.8388931082881803</v>
      </c>
      <c r="U4129" s="76">
        <f>U4128+S4129</f>
        <v>63.236180856870135</v>
      </c>
      <c r="V4129" s="76">
        <f>V4128+T4129</f>
        <v>963.4445299790514</v>
      </c>
    </row>
    <row r="4130" spans="1:22" ht="19" customHeight="1">
      <c r="A4130" s="68" t="s">
        <v>378</v>
      </c>
      <c r="B4130" s="74">
        <v>5</v>
      </c>
      <c r="C4130" s="68" t="s">
        <v>363</v>
      </c>
      <c r="D4130" s="68" t="s">
        <v>365</v>
      </c>
      <c r="E4130" s="75">
        <f>60*F4130*'THAM_SO_MOI'!$C$53/(2*PI()*'THAM_SO_MOI'!$C$26)</f>
        <v>2201.0666052631573</v>
      </c>
      <c r="F4130" s="75">
        <f>'THAM_SO_MOI'!$C$14+('THAM_SO_MOI'!$C$37-'THAM_SO_MOI'!$C$14)*39/'THAM_SO_MOI'!$C$42</f>
        <v>22.339885416666664</v>
      </c>
      <c r="G4130" s="75">
        <f>3.6*F4130</f>
        <v>80.4235875</v>
      </c>
      <c r="H4130" s="75">
        <f>'THAM_SO_MOI'!$D$53</f>
        <v>1.1</v>
      </c>
      <c r="I4130" s="75">
        <f>IF(F4130&gt;='THAM_SO_MOI'!$C$14,'THAM_SO_MOI'!$C$13*(1+F4130^2/1500),'THAM_SO_MOI'!$C$13)</f>
        <v>0.01999070480429796</v>
      </c>
      <c r="J4130" s="75">
        <f>'THAM_SO_MOI'!$C$40*('THAM_SO_MOI'!$C$23*(E4130/'THAM_SO_MOI'!$C$22)+'THAM_SO_MOI'!$C$24*(E4130/'THAM_SO_MOI'!$C$22)^2-'THAM_SO_MOI'!$C$25*(E4130/'THAM_SO_MOI'!$C$22)^3)</f>
        <v>99.11082205873156</v>
      </c>
      <c r="K4130" s="75">
        <f>'THAM_SO_MOI'!$C$31*J4130/E4130</f>
        <v>430.0720429707526</v>
      </c>
      <c r="L4130" s="75">
        <f>K4130*'THAM_SO_MOI'!$C$53*'THAM_SO_MOI'!$C$17/'THAM_SO_MOI'!$C$26</f>
        <v>3771.7334997118814</v>
      </c>
      <c r="M4130" s="75">
        <f>'THAM_SO_MOI'!$C$15*'THAM_SO_MOI'!$C$16*F4130^2</f>
        <v>1459.781155257153</v>
      </c>
      <c r="N4130" s="75">
        <f>'THAM_SO_MOI'!$C$12*I4130</f>
        <v>1506.1156925196517</v>
      </c>
      <c r="O4130" s="75">
        <f>M4130+N4130</f>
        <v>2965.896847776805</v>
      </c>
      <c r="P4130" s="75">
        <f>(MIN(L4130,'THAM_SO_MOI'!$C$41)-O4130)/('THAM_SO_MOI'!$C$11*H4130)</f>
        <v>0.09538786126125436</v>
      </c>
      <c r="Q4130" s="75">
        <f>IF(P4130&gt;0,1/P4130,NA())</f>
        <v>10.483514220547793</v>
      </c>
      <c r="R4130" s="75">
        <f>F4130-F4129</f>
        <v>0.0035868055555532408</v>
      </c>
      <c r="S4130" s="75">
        <f>0.5*(Q4129+Q4130)*R4130</f>
        <v>0.03758834487779615</v>
      </c>
      <c r="T4130" s="75">
        <f>0.5*(F4129*Q4129+F4130*Q4130)*R4130</f>
        <v>0.8396519316056623</v>
      </c>
      <c r="U4130" s="76">
        <f>U4129+S4130</f>
        <v>63.27376920174793</v>
      </c>
      <c r="V4130" s="76">
        <f>V4129+T4130</f>
        <v>964.284181910657</v>
      </c>
    </row>
    <row r="4131" spans="1:22" ht="19" customHeight="1">
      <c r="A4131" s="68" t="s">
        <v>378</v>
      </c>
      <c r="B4131" s="74">
        <v>5</v>
      </c>
      <c r="C4131" s="68" t="s">
        <v>363</v>
      </c>
      <c r="D4131" s="68" t="s">
        <v>365</v>
      </c>
      <c r="E4131" s="75">
        <f>60*F4131*'THAM_SO_MOI'!$C$53/(2*PI()*'THAM_SO_MOI'!$C$26)</f>
        <v>2201.4199999999996</v>
      </c>
      <c r="F4131" s="75">
        <f>'THAM_SO_MOI'!$C$14+('THAM_SO_MOI'!$C$37-'THAM_SO_MOI'!$C$14)*40/'THAM_SO_MOI'!$C$42</f>
        <v>22.34347222222222</v>
      </c>
      <c r="G4131" s="75">
        <f>3.6*F4131</f>
        <v>80.4365</v>
      </c>
      <c r="H4131" s="75">
        <f>'THAM_SO_MOI'!$D$53</f>
        <v>1.1</v>
      </c>
      <c r="I4131" s="75">
        <f>IF(F4131&gt;='THAM_SO_MOI'!$C$14,'THAM_SO_MOI'!$C$13*(1+F4131^2/1500),'THAM_SO_MOI'!$C$13)</f>
        <v>0.01999230750945216</v>
      </c>
      <c r="J4131" s="75">
        <f>'THAM_SO_MOI'!$C$40*('THAM_SO_MOI'!$C$23*(E4131/'THAM_SO_MOI'!$C$22)+'THAM_SO_MOI'!$C$24*(E4131/'THAM_SO_MOI'!$C$22)^2-'THAM_SO_MOI'!$C$25*(E4131/'THAM_SO_MOI'!$C$22)^3)</f>
        <v>99.1264616771796</v>
      </c>
      <c r="K4131" s="75">
        <f>'THAM_SO_MOI'!$C$31*J4131/E4131</f>
        <v>430.0708575258654</v>
      </c>
      <c r="L4131" s="75">
        <f>K4131*'THAM_SO_MOI'!$C$53*'THAM_SO_MOI'!$C$17/'THAM_SO_MOI'!$C$26</f>
        <v>3771.7231033555827</v>
      </c>
      <c r="M4131" s="75">
        <f>'THAM_SO_MOI'!$C$15*'THAM_SO_MOI'!$C$16*F4131^2</f>
        <v>1460.249946514757</v>
      </c>
      <c r="N4131" s="75">
        <f>'THAM_SO_MOI'!$C$12*I4131</f>
        <v>1506.2364416081332</v>
      </c>
      <c r="O4131" s="75">
        <f>M4131+N4131</f>
        <v>2966.4863881228903</v>
      </c>
      <c r="P4131" s="75">
        <f>(MIN(L4131,'THAM_SO_MOI'!$C$41)-O4131)/('THAM_SO_MOI'!$C$11*H4131)</f>
        <v>0.09531684602659711</v>
      </c>
      <c r="Q4131" s="75">
        <f>IF(P4131&gt;0,1/P4131,NA())</f>
        <v>10.491324898863745</v>
      </c>
      <c r="R4131" s="75">
        <f>F4131-F4130</f>
        <v>0.0035868055555567935</v>
      </c>
      <c r="S4131" s="75">
        <f>0.5*(Q4130+Q4131)*R4131</f>
        <v>0.03761633474020763</v>
      </c>
      <c r="T4131" s="75">
        <f>0.5*(F4130*Q4130+F4131*Q4131)*R4131</f>
        <v>0.840412094251863</v>
      </c>
      <c r="U4131" s="76">
        <f>U4130+S4131</f>
        <v>63.31138553648814</v>
      </c>
      <c r="V4131" s="76">
        <f>V4130+T4131</f>
        <v>965.1245940049089</v>
      </c>
    </row>
    <row r="4132" spans="1:22" ht="19" customHeight="1">
      <c r="A4132" s="68" t="s">
        <v>378</v>
      </c>
      <c r="B4132" s="74">
        <v>5</v>
      </c>
      <c r="C4132" s="68" t="s">
        <v>363</v>
      </c>
      <c r="D4132" s="68" t="s">
        <v>365</v>
      </c>
      <c r="E4132" s="75">
        <f>60*F4132*'THAM_SO_MOI'!$C$53/(2*PI()*'THAM_SO_MOI'!$C$26)</f>
        <v>2201.7733947368415</v>
      </c>
      <c r="F4132" s="75">
        <f>'THAM_SO_MOI'!$C$14+('THAM_SO_MOI'!$C$37-'THAM_SO_MOI'!$C$14)*41/'THAM_SO_MOI'!$C$42</f>
        <v>22.347059027777778</v>
      </c>
      <c r="G4132" s="75">
        <f>3.6*F4132</f>
        <v>80.44941250000001</v>
      </c>
      <c r="H4132" s="75">
        <f>'THAM_SO_MOI'!$D$53</f>
        <v>1.1</v>
      </c>
      <c r="I4132" s="75">
        <f>IF(F4132&gt;='THAM_SO_MOI'!$C$14,'THAM_SO_MOI'!$C$13*(1+F4132^2/1500),'THAM_SO_MOI'!$C$13)</f>
        <v>0.01999391047190984</v>
      </c>
      <c r="J4132" s="75">
        <f>'THAM_SO_MOI'!$C$40*('THAM_SO_MOI'!$C$23*(E4132/'THAM_SO_MOI'!$C$22)+'THAM_SO_MOI'!$C$24*(E4132/'THAM_SO_MOI'!$C$22)^2-'THAM_SO_MOI'!$C$25*(E4132/'THAM_SO_MOI'!$C$22)^3)</f>
        <v>99.1420984148582</v>
      </c>
      <c r="K4132" s="75">
        <f>'THAM_SO_MOI'!$C$31*J4132/E4132</f>
        <v>430.06965996499366</v>
      </c>
      <c r="L4132" s="75">
        <f>K4132*'THAM_SO_MOI'!$C$53*'THAM_SO_MOI'!$C$17/'THAM_SO_MOI'!$C$26</f>
        <v>3771.712600742051</v>
      </c>
      <c r="M4132" s="75">
        <f>'THAM_SO_MOI'!$C$15*'THAM_SO_MOI'!$C$16*F4132^2</f>
        <v>1460.718813033629</v>
      </c>
      <c r="N4132" s="75">
        <f>'THAM_SO_MOI'!$C$12*I4132</f>
        <v>1506.357210082065</v>
      </c>
      <c r="O4132" s="75">
        <f>M4132+N4132</f>
        <v>2967.0760231156937</v>
      </c>
      <c r="P4132" s="75">
        <f>(MIN(L4132,'THAM_SO_MOI'!$C$41)-O4132)/('THAM_SO_MOI'!$C$11*H4132)</f>
        <v>0.09524580701069568</v>
      </c>
      <c r="Q4132" s="75">
        <f>IF(P4132&gt;0,1/P4132,NA())</f>
        <v>10.499149845910848</v>
      </c>
      <c r="R4132" s="75">
        <f>F4132-F4131</f>
        <v>0.0035868055555567935</v>
      </c>
      <c r="S4132" s="75">
        <f>0.5*(Q4131+Q4132)*R4132</f>
        <v>0.03764437571416604</v>
      </c>
      <c r="T4132" s="75">
        <f>0.5*(F4131*Q4131+F4132*Q4132)*R4132</f>
        <v>0.8411735997876657</v>
      </c>
      <c r="U4132" s="76">
        <f>U4131+S4132</f>
        <v>63.349029912202305</v>
      </c>
      <c r="V4132" s="76">
        <f>V4131+T4132</f>
        <v>965.9657676046966</v>
      </c>
    </row>
    <row r="4133" spans="1:22" ht="19" customHeight="1">
      <c r="A4133" s="68" t="s">
        <v>378</v>
      </c>
      <c r="B4133" s="74">
        <v>5</v>
      </c>
      <c r="C4133" s="68" t="s">
        <v>363</v>
      </c>
      <c r="D4133" s="68" t="s">
        <v>365</v>
      </c>
      <c r="E4133" s="75">
        <f>60*F4133*'THAM_SO_MOI'!$C$53/(2*PI()*'THAM_SO_MOI'!$C$26)</f>
        <v>2202.1267894736834</v>
      </c>
      <c r="F4133" s="75">
        <f>'THAM_SO_MOI'!$C$14+('THAM_SO_MOI'!$C$37-'THAM_SO_MOI'!$C$14)*42/'THAM_SO_MOI'!$C$42</f>
        <v>22.35064583333333</v>
      </c>
      <c r="G4133" s="75">
        <f>3.6*F4133</f>
        <v>80.46232499999999</v>
      </c>
      <c r="H4133" s="75">
        <f>'THAM_SO_MOI'!$D$53</f>
        <v>1.1</v>
      </c>
      <c r="I4133" s="75">
        <f>IF(F4133&gt;='THAM_SO_MOI'!$C$14,'THAM_SO_MOI'!$C$13*(1+F4133^2/1500),'THAM_SO_MOI'!$C$13)</f>
        <v>0.019995513691671005</v>
      </c>
      <c r="J4133" s="75">
        <f>'THAM_SO_MOI'!$C$40*('THAM_SO_MOI'!$C$23*(E4133/'THAM_SO_MOI'!$C$22)+'THAM_SO_MOI'!$C$24*(E4133/'THAM_SO_MOI'!$C$22)^2-'THAM_SO_MOI'!$C$25*(E4133/'THAM_SO_MOI'!$C$22)^3)</f>
        <v>99.15773227042247</v>
      </c>
      <c r="K4133" s="75">
        <f>'THAM_SO_MOI'!$C$31*J4133/E4133</f>
        <v>430.06845028813757</v>
      </c>
      <c r="L4133" s="75">
        <f>K4133*'THAM_SO_MOI'!$C$53*'THAM_SO_MOI'!$C$17/'THAM_SO_MOI'!$C$26</f>
        <v>3771.70199187129</v>
      </c>
      <c r="M4133" s="75">
        <f>'THAM_SO_MOI'!$C$15*'THAM_SO_MOI'!$C$16*F4133^2</f>
        <v>1461.1877548137693</v>
      </c>
      <c r="N4133" s="75">
        <f>'THAM_SO_MOI'!$C$12*I4133</f>
        <v>1506.4779979414468</v>
      </c>
      <c r="O4133" s="75">
        <f>M4133+N4133</f>
        <v>2967.665752755216</v>
      </c>
      <c r="P4133" s="75">
        <f>(MIN(L4133,'THAM_SO_MOI'!$C$41)-O4133)/('THAM_SO_MOI'!$C$11*H4133)</f>
        <v>0.09517474421355038</v>
      </c>
      <c r="Q4133" s="75">
        <f>IF(P4133&gt;0,1/P4133,NA())</f>
        <v>10.506989099505521</v>
      </c>
      <c r="R4133" s="75">
        <f>F4133-F4132</f>
        <v>0.0035868055555532408</v>
      </c>
      <c r="S4133" s="75">
        <f>0.5*(Q4132+Q4133)*R4133</f>
        <v>0.03767246793507136</v>
      </c>
      <c r="T4133" s="75">
        <f>0.5*(F4132*Q4132+F4133*Q4133)*R4133</f>
        <v>0.8419364517890864</v>
      </c>
      <c r="U4133" s="76">
        <f>U4132+S4133</f>
        <v>63.38670238013738</v>
      </c>
      <c r="V4133" s="76">
        <f>V4132+T4133</f>
        <v>966.8077040564857</v>
      </c>
    </row>
    <row r="4134" spans="1:22" ht="19" customHeight="1">
      <c r="A4134" s="68" t="s">
        <v>378</v>
      </c>
      <c r="B4134" s="74">
        <v>5</v>
      </c>
      <c r="C4134" s="68" t="s">
        <v>363</v>
      </c>
      <c r="D4134" s="68" t="s">
        <v>365</v>
      </c>
      <c r="E4134" s="75">
        <f>60*F4134*'THAM_SO_MOI'!$C$53/(2*PI()*'THAM_SO_MOI'!$C$26)</f>
        <v>2202.4801842105257</v>
      </c>
      <c r="F4134" s="75">
        <f>'THAM_SO_MOI'!$C$14+('THAM_SO_MOI'!$C$37-'THAM_SO_MOI'!$C$14)*43/'THAM_SO_MOI'!$C$42</f>
        <v>22.354232638888888</v>
      </c>
      <c r="G4134" s="75">
        <f>3.6*F4134</f>
        <v>80.4752375</v>
      </c>
      <c r="H4134" s="75">
        <f>'THAM_SO_MOI'!$D$53</f>
        <v>1.1</v>
      </c>
      <c r="I4134" s="75">
        <f>IF(F4134&gt;='THAM_SO_MOI'!$C$14,'THAM_SO_MOI'!$C$13*(1+F4134^2/1500),'THAM_SO_MOI'!$C$13)</f>
        <v>0.019997117168735652</v>
      </c>
      <c r="J4134" s="75">
        <f>'THAM_SO_MOI'!$C$40*('THAM_SO_MOI'!$C$23*(E4134/'THAM_SO_MOI'!$C$22)+'THAM_SO_MOI'!$C$24*(E4134/'THAM_SO_MOI'!$C$22)^2-'THAM_SO_MOI'!$C$25*(E4134/'THAM_SO_MOI'!$C$22)^3)</f>
        <v>99.17336324252759</v>
      </c>
      <c r="K4134" s="75">
        <f>'THAM_SO_MOI'!$C$31*J4134/E4134</f>
        <v>430.067228495297</v>
      </c>
      <c r="L4134" s="75">
        <f>K4134*'THAM_SO_MOI'!$C$53*'THAM_SO_MOI'!$C$17/'THAM_SO_MOI'!$C$26</f>
        <v>3771.6912767432973</v>
      </c>
      <c r="M4134" s="75">
        <f>'THAM_SO_MOI'!$C$15*'THAM_SO_MOI'!$C$16*F4134^2</f>
        <v>1461.6567718551785</v>
      </c>
      <c r="N4134" s="75">
        <f>'THAM_SO_MOI'!$C$12*I4134</f>
        <v>1506.5988051862792</v>
      </c>
      <c r="O4134" s="75">
        <f>M4134+N4134</f>
        <v>2968.2555770414574</v>
      </c>
      <c r="P4134" s="75">
        <f>(MIN(L4134,'THAM_SO_MOI'!$C$41)-O4134)/('THAM_SO_MOI'!$C$11*H4134)</f>
        <v>0.09510365763516097</v>
      </c>
      <c r="Q4134" s="75">
        <f>IF(P4134&gt;0,1/P4134,NA())</f>
        <v>10.514842697598707</v>
      </c>
      <c r="R4134" s="75">
        <f>F4134-F4133</f>
        <v>0.0035868055555567935</v>
      </c>
      <c r="S4134" s="75">
        <f>0.5*(Q4133+Q4134)*R4134</f>
        <v>0.03770061153891695</v>
      </c>
      <c r="T4134" s="75">
        <f>0.5*(F4133*Q4133+F4134*Q4134)*R4134</f>
        <v>0.8427006538473472</v>
      </c>
      <c r="U4134" s="76">
        <f>U4133+S4134</f>
        <v>63.424402991676295</v>
      </c>
      <c r="V4134" s="76">
        <f>V4133+T4134</f>
        <v>967.6504047103331</v>
      </c>
    </row>
    <row r="4135" spans="1:22" ht="19" customHeight="1">
      <c r="A4135" s="68" t="s">
        <v>378</v>
      </c>
      <c r="B4135" s="74">
        <v>5</v>
      </c>
      <c r="C4135" s="68" t="s">
        <v>363</v>
      </c>
      <c r="D4135" s="68" t="s">
        <v>365</v>
      </c>
      <c r="E4135" s="75">
        <f>60*F4135*'THAM_SO_MOI'!$C$53/(2*PI()*'THAM_SO_MOI'!$C$26)</f>
        <v>2202.833578947368</v>
      </c>
      <c r="F4135" s="75">
        <f>'THAM_SO_MOI'!$C$14+('THAM_SO_MOI'!$C$37-'THAM_SO_MOI'!$C$14)*44/'THAM_SO_MOI'!$C$42</f>
        <v>22.357819444444445</v>
      </c>
      <c r="G4135" s="75">
        <f>3.6*F4135</f>
        <v>80.48815</v>
      </c>
      <c r="H4135" s="75">
        <f>'THAM_SO_MOI'!$D$53</f>
        <v>1.1</v>
      </c>
      <c r="I4135" s="75">
        <f>IF(F4135&gt;='THAM_SO_MOI'!$C$14,'THAM_SO_MOI'!$C$13*(1+F4135^2/1500),'THAM_SO_MOI'!$C$13)</f>
        <v>0.01999872090310378</v>
      </c>
      <c r="J4135" s="75">
        <f>'THAM_SO_MOI'!$C$40*('THAM_SO_MOI'!$C$23*(E4135/'THAM_SO_MOI'!$C$22)+'THAM_SO_MOI'!$C$24*(E4135/'THAM_SO_MOI'!$C$22)^2-'THAM_SO_MOI'!$C$25*(E4135/'THAM_SO_MOI'!$C$22)^3)</f>
        <v>99.1889913298286</v>
      </c>
      <c r="K4135" s="75">
        <f>'THAM_SO_MOI'!$C$31*J4135/E4135</f>
        <v>430.065994586472</v>
      </c>
      <c r="L4135" s="75">
        <f>K4135*'THAM_SO_MOI'!$C$53*'THAM_SO_MOI'!$C$17/'THAM_SO_MOI'!$C$26</f>
        <v>3771.6804553580737</v>
      </c>
      <c r="M4135" s="75">
        <f>'THAM_SO_MOI'!$C$15*'THAM_SO_MOI'!$C$16*F4135^2</f>
        <v>1462.125864157856</v>
      </c>
      <c r="N4135" s="75">
        <f>'THAM_SO_MOI'!$C$12*I4135</f>
        <v>1506.7196318165613</v>
      </c>
      <c r="O4135" s="75">
        <f>M4135+N4135</f>
        <v>2968.8454959744176</v>
      </c>
      <c r="P4135" s="75">
        <f>(MIN(L4135,'THAM_SO_MOI'!$C$41)-O4135)/('THAM_SO_MOI'!$C$11*H4135)</f>
        <v>0.0950325472755275</v>
      </c>
      <c r="Q4135" s="75">
        <f>IF(P4135&gt;0,1/P4135,NA())</f>
        <v>10.5227106782764</v>
      </c>
      <c r="R4135" s="75">
        <f>F4135-F4134</f>
        <v>0.0035868055555567935</v>
      </c>
      <c r="S4135" s="75">
        <f>0.5*(Q4134+Q4135)*R4135</f>
        <v>0.0377288066619557</v>
      </c>
      <c r="T4135" s="75">
        <f>0.5*(F4134*Q4134+F4135*Q4135)*R4135</f>
        <v>0.8434662095614239</v>
      </c>
      <c r="U4135" s="76">
        <f>U4134+S4135</f>
        <v>63.46213179833825</v>
      </c>
      <c r="V4135" s="76">
        <f>V4134+T4135</f>
        <v>968.4938709198944</v>
      </c>
    </row>
    <row r="4136" spans="1:22" ht="19" customHeight="1">
      <c r="A4136" s="68" t="s">
        <v>378</v>
      </c>
      <c r="B4136" s="74">
        <v>5</v>
      </c>
      <c r="C4136" s="68" t="s">
        <v>363</v>
      </c>
      <c r="D4136" s="68" t="s">
        <v>365</v>
      </c>
      <c r="E4136" s="75">
        <f>60*F4136*'THAM_SO_MOI'!$C$53/(2*PI()*'THAM_SO_MOI'!$C$26)</f>
        <v>2203.18697368421</v>
      </c>
      <c r="F4136" s="75">
        <f>'THAM_SO_MOI'!$C$14+('THAM_SO_MOI'!$C$37-'THAM_SO_MOI'!$C$14)*45/'THAM_SO_MOI'!$C$42</f>
        <v>22.361406249999998</v>
      </c>
      <c r="G4136" s="75">
        <f>3.6*F4136</f>
        <v>80.50106249999999</v>
      </c>
      <c r="H4136" s="75">
        <f>'THAM_SO_MOI'!$D$53</f>
        <v>1.1</v>
      </c>
      <c r="I4136" s="75">
        <f>IF(F4136&gt;='THAM_SO_MOI'!$C$14,'THAM_SO_MOI'!$C$13*(1+F4136^2/1500),'THAM_SO_MOI'!$C$13)</f>
        <v>0.020000324894775393</v>
      </c>
      <c r="J4136" s="75">
        <f>'THAM_SO_MOI'!$C$40*('THAM_SO_MOI'!$C$23*(E4136/'THAM_SO_MOI'!$C$22)+'THAM_SO_MOI'!$C$24*(E4136/'THAM_SO_MOI'!$C$22)^2-'THAM_SO_MOI'!$C$25*(E4136/'THAM_SO_MOI'!$C$22)^3)</f>
        <v>99.20461653098059</v>
      </c>
      <c r="K4136" s="75">
        <f>'THAM_SO_MOI'!$C$31*J4136/E4136</f>
        <v>430.06474856166255</v>
      </c>
      <c r="L4136" s="75">
        <f>K4136*'THAM_SO_MOI'!$C$53*'THAM_SO_MOI'!$C$17/'THAM_SO_MOI'!$C$26</f>
        <v>3771.669527715619</v>
      </c>
      <c r="M4136" s="75">
        <f>'THAM_SO_MOI'!$C$15*'THAM_SO_MOI'!$C$16*F4136^2</f>
        <v>1462.5950317218017</v>
      </c>
      <c r="N4136" s="75">
        <f>'THAM_SO_MOI'!$C$12*I4136</f>
        <v>1506.840477832294</v>
      </c>
      <c r="O4136" s="75">
        <f>M4136+N4136</f>
        <v>2969.435509554096</v>
      </c>
      <c r="P4136" s="75">
        <f>(MIN(L4136,'THAM_SO_MOI'!$C$41)-O4136)/('THAM_SO_MOI'!$C$11*H4136)</f>
        <v>0.09496141313465002</v>
      </c>
      <c r="Q4136" s="75">
        <f>IF(P4136&gt;0,1/P4136,NA())</f>
        <v>10.530593079760253</v>
      </c>
      <c r="R4136" s="75">
        <f>F4136-F4135</f>
        <v>0.0035868055555532408</v>
      </c>
      <c r="S4136" s="75">
        <f>0.5*(Q4135+Q4136)*R4136</f>
        <v>0.0377570534410379</v>
      </c>
      <c r="T4136" s="75">
        <f>0.5*(F4135*Q4135+F4136*Q4136)*R4136</f>
        <v>0.8442331225456039</v>
      </c>
      <c r="U4136" s="76">
        <f>U4135+S4136</f>
        <v>63.49988885177929</v>
      </c>
      <c r="V4136" s="76">
        <f>V4135+T4136</f>
        <v>969.33810404244</v>
      </c>
    </row>
    <row r="4137" spans="1:22" ht="19" customHeight="1">
      <c r="A4137" s="68" t="s">
        <v>378</v>
      </c>
      <c r="B4137" s="74">
        <v>5</v>
      </c>
      <c r="C4137" s="68" t="s">
        <v>363</v>
      </c>
      <c r="D4137" s="68" t="s">
        <v>365</v>
      </c>
      <c r="E4137" s="75">
        <f>60*F4137*'THAM_SO_MOI'!$C$53/(2*PI()*'THAM_SO_MOI'!$C$26)</f>
        <v>2203.5403684210523</v>
      </c>
      <c r="F4137" s="75">
        <f>'THAM_SO_MOI'!$C$14+('THAM_SO_MOI'!$C$37-'THAM_SO_MOI'!$C$14)*46/'THAM_SO_MOI'!$C$42</f>
        <v>22.364993055555555</v>
      </c>
      <c r="G4137" s="75">
        <f>3.6*F4137</f>
        <v>80.513975</v>
      </c>
      <c r="H4137" s="75">
        <f>'THAM_SO_MOI'!$D$53</f>
        <v>1.1</v>
      </c>
      <c r="I4137" s="75">
        <f>IF(F4137&gt;='THAM_SO_MOI'!$C$14,'THAM_SO_MOI'!$C$13*(1+F4137^2/1500),'THAM_SO_MOI'!$C$13)</f>
        <v>0.020001929143750482</v>
      </c>
      <c r="J4137" s="75">
        <f>'THAM_SO_MOI'!$C$40*('THAM_SO_MOI'!$C$23*(E4137/'THAM_SO_MOI'!$C$22)+'THAM_SO_MOI'!$C$24*(E4137/'THAM_SO_MOI'!$C$22)^2-'THAM_SO_MOI'!$C$25*(E4137/'THAM_SO_MOI'!$C$22)^3)</f>
        <v>99.22023884463877</v>
      </c>
      <c r="K4137" s="75">
        <f>'THAM_SO_MOI'!$C$31*J4137/E4137</f>
        <v>430.0634904208688</v>
      </c>
      <c r="L4137" s="75">
        <f>K4137*'THAM_SO_MOI'!$C$53*'THAM_SO_MOI'!$C$17/'THAM_SO_MOI'!$C$26</f>
        <v>3771.658493815935</v>
      </c>
      <c r="M4137" s="75">
        <f>'THAM_SO_MOI'!$C$15*'THAM_SO_MOI'!$C$16*F4137^2</f>
        <v>1463.064274547016</v>
      </c>
      <c r="N4137" s="75">
        <f>'THAM_SO_MOI'!$C$12*I4137</f>
        <v>1506.9613432334763</v>
      </c>
      <c r="O4137" s="75">
        <f>M4137+N4137</f>
        <v>2970.025617780492</v>
      </c>
      <c r="P4137" s="75">
        <f>(MIN(L4137,'THAM_SO_MOI'!$C$41)-O4137)/('THAM_SO_MOI'!$C$11*H4137)</f>
        <v>0.09489025521252872</v>
      </c>
      <c r="Q4137" s="75">
        <f>IF(P4137&gt;0,1/P4137,NA())</f>
        <v>10.538489940408192</v>
      </c>
      <c r="R4137" s="75">
        <f>F4137-F4136</f>
        <v>0.0035868055555567935</v>
      </c>
      <c r="S4137" s="75">
        <f>0.5*(Q4136+Q4137)*R4137</f>
        <v>0.03778535201361374</v>
      </c>
      <c r="T4137" s="75">
        <f>0.5*(F4136*Q4136+F4137*Q4137)*R4137</f>
        <v>0.8450013964295546</v>
      </c>
      <c r="U4137" s="76">
        <f>U4136+S4137</f>
        <v>63.5376742037929</v>
      </c>
      <c r="V4137" s="76">
        <f>V4136+T4137</f>
        <v>970.1831054388696</v>
      </c>
    </row>
    <row r="4138" spans="1:22" ht="19" customHeight="1">
      <c r="A4138" s="68" t="s">
        <v>378</v>
      </c>
      <c r="B4138" s="74">
        <v>5</v>
      </c>
      <c r="C4138" s="68" t="s">
        <v>363</v>
      </c>
      <c r="D4138" s="68" t="s">
        <v>365</v>
      </c>
      <c r="E4138" s="75">
        <f>60*F4138*'THAM_SO_MOI'!$C$53/(2*PI()*'THAM_SO_MOI'!$C$26)</f>
        <v>2203.893763157894</v>
      </c>
      <c r="F4138" s="75">
        <f>'THAM_SO_MOI'!$C$14+('THAM_SO_MOI'!$C$37-'THAM_SO_MOI'!$C$14)*47/'THAM_SO_MOI'!$C$42</f>
        <v>22.36857986111111</v>
      </c>
      <c r="G4138" s="75">
        <f>3.6*F4138</f>
        <v>80.5268875</v>
      </c>
      <c r="H4138" s="75">
        <f>'THAM_SO_MOI'!$D$53</f>
        <v>1.1</v>
      </c>
      <c r="I4138" s="75">
        <f>IF(F4138&gt;='THAM_SO_MOI'!$C$14,'THAM_SO_MOI'!$C$13*(1+F4138^2/1500),'THAM_SO_MOI'!$C$13)</f>
        <v>0.020003533650029055</v>
      </c>
      <c r="J4138" s="75">
        <f>'THAM_SO_MOI'!$C$40*('THAM_SO_MOI'!$C$23*(E4138/'THAM_SO_MOI'!$C$22)+'THAM_SO_MOI'!$C$24*(E4138/'THAM_SO_MOI'!$C$22)^2-'THAM_SO_MOI'!$C$25*(E4138/'THAM_SO_MOI'!$C$22)^3)</f>
        <v>99.2358582694581</v>
      </c>
      <c r="K4138" s="75">
        <f>'THAM_SO_MOI'!$C$31*J4138/E4138</f>
        <v>430.06222016409026</v>
      </c>
      <c r="L4138" s="75">
        <f>K4138*'THAM_SO_MOI'!$C$53*'THAM_SO_MOI'!$C$17/'THAM_SO_MOI'!$C$26</f>
        <v>3771.647353659017</v>
      </c>
      <c r="M4138" s="75">
        <f>'THAM_SO_MOI'!$C$15*'THAM_SO_MOI'!$C$16*F4138^2</f>
        <v>1463.5335926334992</v>
      </c>
      <c r="N4138" s="75">
        <f>'THAM_SO_MOI'!$C$12*I4138</f>
        <v>1507.0822280201091</v>
      </c>
      <c r="O4138" s="75">
        <f>M4138+N4138</f>
        <v>2970.6158206536084</v>
      </c>
      <c r="P4138" s="75">
        <f>(MIN(L4138,'THAM_SO_MOI'!$C$41)-O4138)/('THAM_SO_MOI'!$C$11*H4138)</f>
        <v>0.09481907350916295</v>
      </c>
      <c r="Q4138" s="75">
        <f>IF(P4138&gt;0,1/P4138,NA())</f>
        <v>10.546401298715114</v>
      </c>
      <c r="R4138" s="75">
        <f>F4138-F4137</f>
        <v>0.0035868055555567935</v>
      </c>
      <c r="S4138" s="75">
        <f>0.5*(Q4137+Q4138)*R4138</f>
        <v>0.03781370251739912</v>
      </c>
      <c r="T4138" s="75">
        <f>0.5*(F4137*Q4137+F4138*Q4138)*R4138</f>
        <v>0.8457710348508581</v>
      </c>
      <c r="U4138" s="76">
        <f>U4137+S4138</f>
        <v>63.5754879063103</v>
      </c>
      <c r="V4138" s="76">
        <f>V4137+T4138</f>
        <v>971.0288764737204</v>
      </c>
    </row>
    <row r="4139" spans="1:22" ht="19" customHeight="1">
      <c r="A4139" s="68" t="s">
        <v>378</v>
      </c>
      <c r="B4139" s="74">
        <v>5</v>
      </c>
      <c r="C4139" s="68" t="s">
        <v>363</v>
      </c>
      <c r="D4139" s="68" t="s">
        <v>365</v>
      </c>
      <c r="E4139" s="75">
        <f>60*F4139*'THAM_SO_MOI'!$C$53/(2*PI()*'THAM_SO_MOI'!$C$26)</f>
        <v>2204.247157894736</v>
      </c>
      <c r="F4139" s="75">
        <f>'THAM_SO_MOI'!$C$14+('THAM_SO_MOI'!$C$37-'THAM_SO_MOI'!$C$14)*48/'THAM_SO_MOI'!$C$42</f>
        <v>22.372166666666665</v>
      </c>
      <c r="G4139" s="75">
        <f>3.6*F4139</f>
        <v>80.5398</v>
      </c>
      <c r="H4139" s="75">
        <f>'THAM_SO_MOI'!$D$53</f>
        <v>1.1</v>
      </c>
      <c r="I4139" s="75">
        <f>IF(F4139&gt;='THAM_SO_MOI'!$C$14,'THAM_SO_MOI'!$C$13*(1+F4139^2/1500),'THAM_SO_MOI'!$C$13)</f>
        <v>0.02000513841361111</v>
      </c>
      <c r="J4139" s="75">
        <f>'THAM_SO_MOI'!$C$40*('THAM_SO_MOI'!$C$23*(E4139/'THAM_SO_MOI'!$C$22)+'THAM_SO_MOI'!$C$24*(E4139/'THAM_SO_MOI'!$C$22)^2-'THAM_SO_MOI'!$C$25*(E4139/'THAM_SO_MOI'!$C$22)^3)</f>
        <v>99.2514748040938</v>
      </c>
      <c r="K4139" s="75">
        <f>'THAM_SO_MOI'!$C$31*J4139/E4139</f>
        <v>430.06093779132743</v>
      </c>
      <c r="L4139" s="75">
        <f>K4139*'THAM_SO_MOI'!$C$53*'THAM_SO_MOI'!$C$17/'THAM_SO_MOI'!$C$26</f>
        <v>3771.6361072448685</v>
      </c>
      <c r="M4139" s="75">
        <f>'THAM_SO_MOI'!$C$15*'THAM_SO_MOI'!$C$16*F4139^2</f>
        <v>1464.0029859812498</v>
      </c>
      <c r="N4139" s="75">
        <f>'THAM_SO_MOI'!$C$12*I4139</f>
        <v>1507.203132192192</v>
      </c>
      <c r="O4139" s="75">
        <f>M4139+N4139</f>
        <v>2971.2061181734416</v>
      </c>
      <c r="P4139" s="75">
        <f>(MIN(L4139,'THAM_SO_MOI'!$C$41)-O4139)/('THAM_SO_MOI'!$C$11*H4139)</f>
        <v>0.09474786802455334</v>
      </c>
      <c r="Q4139" s="75">
        <f>IF(P4139&gt;0,1/P4139,NA())</f>
        <v>10.554327193313268</v>
      </c>
      <c r="R4139" s="75">
        <f>F4139-F4138</f>
        <v>0.0035868055555532408</v>
      </c>
      <c r="S4139" s="75">
        <f>0.5*(Q4138+Q4139)*R4139</f>
        <v>0.03784210509071398</v>
      </c>
      <c r="T4139" s="75">
        <f>0.5*(F4138*Q4138+F4139*Q4139)*R4139</f>
        <v>0.846542041462585</v>
      </c>
      <c r="U4139" s="76">
        <f>U4138+S4139</f>
        <v>63.61333001140101</v>
      </c>
      <c r="V4139" s="76">
        <f>V4138+T4139</f>
        <v>971.875418515183</v>
      </c>
    </row>
    <row r="4140" spans="1:22" ht="19" customHeight="1">
      <c r="A4140" s="68" t="s">
        <v>378</v>
      </c>
      <c r="B4140" s="74">
        <v>5</v>
      </c>
      <c r="C4140" s="68" t="s">
        <v>363</v>
      </c>
      <c r="D4140" s="68" t="s">
        <v>365</v>
      </c>
      <c r="E4140" s="75">
        <f>60*F4140*'THAM_SO_MOI'!$C$53/(2*PI()*'THAM_SO_MOI'!$C$26)</f>
        <v>2204.600552631578</v>
      </c>
      <c r="F4140" s="75">
        <f>'THAM_SO_MOI'!$C$14+('THAM_SO_MOI'!$C$37-'THAM_SO_MOI'!$C$14)*49/'THAM_SO_MOI'!$C$42</f>
        <v>22.37575347222222</v>
      </c>
      <c r="G4140" s="75">
        <f>3.6*F4140</f>
        <v>80.5527125</v>
      </c>
      <c r="H4140" s="75">
        <f>'THAM_SO_MOI'!$D$53</f>
        <v>1.1</v>
      </c>
      <c r="I4140" s="75">
        <f>IF(F4140&gt;='THAM_SO_MOI'!$C$14,'THAM_SO_MOI'!$C$13*(1+F4140^2/1500),'THAM_SO_MOI'!$C$13)</f>
        <v>0.020006743434496647</v>
      </c>
      <c r="J4140" s="75">
        <f>'THAM_SO_MOI'!$C$40*('THAM_SO_MOI'!$C$23*(E4140/'THAM_SO_MOI'!$C$22)+'THAM_SO_MOI'!$C$24*(E4140/'THAM_SO_MOI'!$C$22)^2-'THAM_SO_MOI'!$C$25*(E4140/'THAM_SO_MOI'!$C$22)^3)</f>
        <v>99.26708844720096</v>
      </c>
      <c r="K4140" s="75">
        <f>'THAM_SO_MOI'!$C$31*J4140/E4140</f>
        <v>430.0596433025802</v>
      </c>
      <c r="L4140" s="75">
        <f>K4140*'THAM_SO_MOI'!$C$53*'THAM_SO_MOI'!$C$17/'THAM_SO_MOI'!$C$26</f>
        <v>3771.6247545734905</v>
      </c>
      <c r="M4140" s="75">
        <f>'THAM_SO_MOI'!$C$15*'THAM_SO_MOI'!$C$16*F4140^2</f>
        <v>1464.4724545902698</v>
      </c>
      <c r="N4140" s="75">
        <f>'THAM_SO_MOI'!$C$12*I4140</f>
        <v>1507.3240557497252</v>
      </c>
      <c r="O4140" s="75">
        <f>M4140+N4140</f>
        <v>2971.7965103399947</v>
      </c>
      <c r="P4140" s="75">
        <f>(MIN(L4140,'THAM_SO_MOI'!$C$41)-O4140)/('THAM_SO_MOI'!$C$11*H4140)</f>
        <v>0.09467663875869972</v>
      </c>
      <c r="Q4140" s="75">
        <f>IF(P4140&gt;0,1/P4140,NA())</f>
        <v>10.562267662973102</v>
      </c>
      <c r="R4140" s="75">
        <f>F4140-F4139</f>
        <v>0.0035868055555567935</v>
      </c>
      <c r="S4140" s="75">
        <f>0.5*(Q4139+Q4140)*R4140</f>
        <v>0.03787055987248498</v>
      </c>
      <c r="T4140" s="75">
        <f>0.5*(F4139*Q4139+F4140*Q4140)*R4140</f>
        <v>0.8473144199333652</v>
      </c>
      <c r="U4140" s="76">
        <f>U4139+S4140</f>
        <v>63.6512005712735</v>
      </c>
      <c r="V4140" s="76">
        <f>V4139+T4140</f>
        <v>972.7227329351164</v>
      </c>
    </row>
    <row r="4141" spans="1:22" ht="19" customHeight="1">
      <c r="A4141" s="68" t="s">
        <v>378</v>
      </c>
      <c r="B4141" s="74">
        <v>5</v>
      </c>
      <c r="C4141" s="68" t="s">
        <v>363</v>
      </c>
      <c r="D4141" s="68" t="s">
        <v>365</v>
      </c>
      <c r="E4141" s="75">
        <f>60*F4141*'THAM_SO_MOI'!$C$53/(2*PI()*'THAM_SO_MOI'!$C$26)</f>
        <v>2204.9539473684204</v>
      </c>
      <c r="F4141" s="75">
        <f>'THAM_SO_MOI'!$C$14+('THAM_SO_MOI'!$C$37-'THAM_SO_MOI'!$C$14)*50/'THAM_SO_MOI'!$C$42</f>
        <v>22.37934027777778</v>
      </c>
      <c r="G4141" s="75">
        <f>3.6*F4141</f>
        <v>80.56562500000001</v>
      </c>
      <c r="H4141" s="75">
        <f>'THAM_SO_MOI'!$D$53</f>
        <v>1.1</v>
      </c>
      <c r="I4141" s="75">
        <f>IF(F4141&gt;='THAM_SO_MOI'!$C$14,'THAM_SO_MOI'!$C$13*(1+F4141^2/1500),'THAM_SO_MOI'!$C$13)</f>
        <v>0.020008348712685666</v>
      </c>
      <c r="J4141" s="75">
        <f>'THAM_SO_MOI'!$C$40*('THAM_SO_MOI'!$C$23*(E4141/'THAM_SO_MOI'!$C$22)+'THAM_SO_MOI'!$C$24*(E4141/'THAM_SO_MOI'!$C$22)^2-'THAM_SO_MOI'!$C$25*(E4141/'THAM_SO_MOI'!$C$22)^3)</f>
        <v>99.28269919743471</v>
      </c>
      <c r="K4141" s="75">
        <f>'THAM_SO_MOI'!$C$31*J4141/E4141</f>
        <v>430.05833669784846</v>
      </c>
      <c r="L4141" s="75">
        <f>K4141*'THAM_SO_MOI'!$C$53*'THAM_SO_MOI'!$C$17/'THAM_SO_MOI'!$C$26</f>
        <v>3771.6132956448805</v>
      </c>
      <c r="M4141" s="75">
        <f>'THAM_SO_MOI'!$C$15*'THAM_SO_MOI'!$C$16*F4141^2</f>
        <v>1464.941998460558</v>
      </c>
      <c r="N4141" s="75">
        <f>'THAM_SO_MOI'!$C$12*I4141</f>
        <v>1507.4449986927084</v>
      </c>
      <c r="O4141" s="75">
        <f>M4141+N4141</f>
        <v>2972.3869971532663</v>
      </c>
      <c r="P4141" s="75">
        <f>(MIN(L4141,'THAM_SO_MOI'!$C$41)-O4141)/('THAM_SO_MOI'!$C$11*H4141)</f>
        <v>0.09460538571160206</v>
      </c>
      <c r="Q4141" s="75">
        <f>IF(P4141&gt;0,1/P4141,NA())</f>
        <v>10.570222746603777</v>
      </c>
      <c r="R4141" s="75">
        <f>F4141-F4140</f>
        <v>0.0035868055555567935</v>
      </c>
      <c r="S4141" s="75">
        <f>0.5*(Q4140+Q4141)*R4141</f>
        <v>0.03789906700191051</v>
      </c>
      <c r="T4141" s="75">
        <f>0.5*(F4140*Q4140+F4141*Q4141)*R4141</f>
        <v>0.848088173939902</v>
      </c>
      <c r="U4141" s="76">
        <f>U4140+S4141</f>
        <v>63.68909963827541</v>
      </c>
      <c r="V4141" s="76">
        <f>V4140+T4141</f>
        <v>973.5708211090563</v>
      </c>
    </row>
    <row r="4142" spans="1:22" ht="19" customHeight="1">
      <c r="A4142" s="68" t="s">
        <v>378</v>
      </c>
      <c r="B4142" s="74">
        <v>5</v>
      </c>
      <c r="C4142" s="68" t="s">
        <v>363</v>
      </c>
      <c r="D4142" s="68" t="s">
        <v>365</v>
      </c>
      <c r="E4142" s="75">
        <f>60*F4142*'THAM_SO_MOI'!$C$53/(2*PI()*'THAM_SO_MOI'!$C$26)</f>
        <v>2205.3073421052627</v>
      </c>
      <c r="F4142" s="75">
        <f>'THAM_SO_MOI'!$C$14+('THAM_SO_MOI'!$C$37-'THAM_SO_MOI'!$C$14)*51/'THAM_SO_MOI'!$C$42</f>
        <v>22.382927083333332</v>
      </c>
      <c r="G4142" s="75">
        <f>3.6*F4142</f>
        <v>80.5785375</v>
      </c>
      <c r="H4142" s="75">
        <f>'THAM_SO_MOI'!$D$53</f>
        <v>1.1</v>
      </c>
      <c r="I4142" s="75">
        <f>IF(F4142&gt;='THAM_SO_MOI'!$C$14,'THAM_SO_MOI'!$C$13*(1+F4142^2/1500),'THAM_SO_MOI'!$C$13)</f>
        <v>0.02000995424817817</v>
      </c>
      <c r="J4142" s="75">
        <f>'THAM_SO_MOI'!$C$40*('THAM_SO_MOI'!$C$23*(E4142/'THAM_SO_MOI'!$C$22)+'THAM_SO_MOI'!$C$24*(E4142/'THAM_SO_MOI'!$C$22)^2-'THAM_SO_MOI'!$C$25*(E4142/'THAM_SO_MOI'!$C$22)^3)</f>
        <v>99.2983070534501</v>
      </c>
      <c r="K4142" s="75">
        <f>'THAM_SO_MOI'!$C$31*J4142/E4142</f>
        <v>430.05701797713215</v>
      </c>
      <c r="L4142" s="75">
        <f>K4142*'THAM_SO_MOI'!$C$53*'THAM_SO_MOI'!$C$17/'THAM_SO_MOI'!$C$26</f>
        <v>3771.601730459038</v>
      </c>
      <c r="M4142" s="75">
        <f>'THAM_SO_MOI'!$C$15*'THAM_SO_MOI'!$C$16*F4142^2</f>
        <v>1465.4116175921142</v>
      </c>
      <c r="N4142" s="75">
        <f>'THAM_SO_MOI'!$C$12*I4142</f>
        <v>1507.565961021142</v>
      </c>
      <c r="O4142" s="75">
        <f>M4142+N4142</f>
        <v>2972.977578613256</v>
      </c>
      <c r="P4142" s="75">
        <f>(MIN(L4142,'THAM_SO_MOI'!$C$41)-O4142)/('THAM_SO_MOI'!$C$11*H4142)</f>
        <v>0.09453410888326022</v>
      </c>
      <c r="Q4142" s="75">
        <f>IF(P4142&gt;0,1/P4142,NA())</f>
        <v>10.578192483253805</v>
      </c>
      <c r="R4142" s="75">
        <f>F4142-F4141</f>
        <v>0.0035868055555532408</v>
      </c>
      <c r="S4142" s="75">
        <f>0.5*(Q4141+Q4142)*R4142</f>
        <v>0.037927626618799976</v>
      </c>
      <c r="T4142" s="75">
        <f>0.5*(F4141*Q4141+F4142*Q4142)*R4142</f>
        <v>0.8488633071745718</v>
      </c>
      <c r="U4142" s="76">
        <f>U4141+S4142</f>
        <v>63.72702726489421</v>
      </c>
      <c r="V4142" s="76">
        <f>V4141+T4142</f>
        <v>974.4196844162309</v>
      </c>
    </row>
    <row r="4143" spans="1:22" ht="19" customHeight="1">
      <c r="A4143" s="68" t="s">
        <v>378</v>
      </c>
      <c r="B4143" s="74">
        <v>5</v>
      </c>
      <c r="C4143" s="68" t="s">
        <v>363</v>
      </c>
      <c r="D4143" s="68" t="s">
        <v>365</v>
      </c>
      <c r="E4143" s="75">
        <f>60*F4143*'THAM_SO_MOI'!$C$53/(2*PI()*'THAM_SO_MOI'!$C$26)</f>
        <v>2205.660736842105</v>
      </c>
      <c r="F4143" s="75">
        <f>'THAM_SO_MOI'!$C$14+('THAM_SO_MOI'!$C$37-'THAM_SO_MOI'!$C$14)*52/'THAM_SO_MOI'!$C$42</f>
        <v>22.38651388888889</v>
      </c>
      <c r="G4143" s="75">
        <f>3.6*F4143</f>
        <v>80.59145</v>
      </c>
      <c r="H4143" s="75">
        <f>'THAM_SO_MOI'!$D$53</f>
        <v>1.1</v>
      </c>
      <c r="I4143" s="75">
        <f>IF(F4143&gt;='THAM_SO_MOI'!$C$14,'THAM_SO_MOI'!$C$13*(1+F4143^2/1500),'THAM_SO_MOI'!$C$13)</f>
        <v>0.02001156004097415</v>
      </c>
      <c r="J4143" s="75">
        <f>'THAM_SO_MOI'!$C$40*('THAM_SO_MOI'!$C$23*(E4143/'THAM_SO_MOI'!$C$22)+'THAM_SO_MOI'!$C$24*(E4143/'THAM_SO_MOI'!$C$22)^2-'THAM_SO_MOI'!$C$25*(E4143/'THAM_SO_MOI'!$C$22)^3)</f>
        <v>99.3139120139023</v>
      </c>
      <c r="K4143" s="75">
        <f>'THAM_SO_MOI'!$C$31*J4143/E4143</f>
        <v>430.0556871404315</v>
      </c>
      <c r="L4143" s="75">
        <f>K4143*'THAM_SO_MOI'!$C$53*'THAM_SO_MOI'!$C$17/'THAM_SO_MOI'!$C$26</f>
        <v>3771.590059015966</v>
      </c>
      <c r="M4143" s="75">
        <f>'THAM_SO_MOI'!$C$15*'THAM_SO_MOI'!$C$16*F4143^2</f>
        <v>1465.8813119849392</v>
      </c>
      <c r="N4143" s="75">
        <f>'THAM_SO_MOI'!$C$12*I4143</f>
        <v>1507.6869427350252</v>
      </c>
      <c r="O4143" s="75">
        <f>M4143+N4143</f>
        <v>2973.5682547199644</v>
      </c>
      <c r="P4143" s="75">
        <f>(MIN(L4143,'THAM_SO_MOI'!$C$41)-O4143)/('THAM_SO_MOI'!$C$11*H4143)</f>
        <v>0.09446280827367441</v>
      </c>
      <c r="Q4143" s="75">
        <f>IF(P4143&gt;0,1/P4143,NA())</f>
        <v>10.586176912111634</v>
      </c>
      <c r="R4143" s="75">
        <f>F4143-F4142</f>
        <v>0.0035868055555567935</v>
      </c>
      <c r="S4143" s="75">
        <f>0.5*(Q4142+Q4143)*R4143</f>
        <v>0.03795623886357647</v>
      </c>
      <c r="T4143" s="75">
        <f>0.5*(F4142*Q4142+F4143*Q4143)*R4143</f>
        <v>0.8496398233454936</v>
      </c>
      <c r="U4143" s="76">
        <f>U4142+S4143</f>
        <v>63.76498350375779</v>
      </c>
      <c r="V4143" s="76">
        <f>V4142+T4143</f>
        <v>975.2693242395763</v>
      </c>
    </row>
    <row r="4144" spans="1:22" ht="19" customHeight="1">
      <c r="A4144" s="68" t="s">
        <v>378</v>
      </c>
      <c r="B4144" s="74">
        <v>5</v>
      </c>
      <c r="C4144" s="68" t="s">
        <v>363</v>
      </c>
      <c r="D4144" s="68" t="s">
        <v>365</v>
      </c>
      <c r="E4144" s="75">
        <f>60*F4144*'THAM_SO_MOI'!$C$53/(2*PI()*'THAM_SO_MOI'!$C$26)</f>
        <v>2206.014131578947</v>
      </c>
      <c r="F4144" s="75">
        <f>'THAM_SO_MOI'!$C$14+('THAM_SO_MOI'!$C$37-'THAM_SO_MOI'!$C$14)*53/'THAM_SO_MOI'!$C$42</f>
        <v>22.390100694444445</v>
      </c>
      <c r="G4144" s="75">
        <f>3.6*F4144</f>
        <v>80.60436250000001</v>
      </c>
      <c r="H4144" s="75">
        <f>'THAM_SO_MOI'!$D$53</f>
        <v>1.1</v>
      </c>
      <c r="I4144" s="75">
        <f>IF(F4144&gt;='THAM_SO_MOI'!$C$14,'THAM_SO_MOI'!$C$13*(1+F4144^2/1500),'THAM_SO_MOI'!$C$13)</f>
        <v>0.020013166091073616</v>
      </c>
      <c r="J4144" s="75">
        <f>'THAM_SO_MOI'!$C$40*('THAM_SO_MOI'!$C$23*(E4144/'THAM_SO_MOI'!$C$22)+'THAM_SO_MOI'!$C$24*(E4144/'THAM_SO_MOI'!$C$22)^2-'THAM_SO_MOI'!$C$25*(E4144/'THAM_SO_MOI'!$C$22)^3)</f>
        <v>99.32951407744639</v>
      </c>
      <c r="K4144" s="75">
        <f>'THAM_SO_MOI'!$C$31*J4144/E4144</f>
        <v>430.05434418774644</v>
      </c>
      <c r="L4144" s="75">
        <f>K4144*'THAM_SO_MOI'!$C$53*'THAM_SO_MOI'!$C$17/'THAM_SO_MOI'!$C$26</f>
        <v>3771.578281315663</v>
      </c>
      <c r="M4144" s="75">
        <f>'THAM_SO_MOI'!$C$15*'THAM_SO_MOI'!$C$16*F4144^2</f>
        <v>1466.351081639033</v>
      </c>
      <c r="N4144" s="75">
        <f>'THAM_SO_MOI'!$C$12*I4144</f>
        <v>1507.807943834359</v>
      </c>
      <c r="O4144" s="75">
        <f>M4144+N4144</f>
        <v>2974.159025473392</v>
      </c>
      <c r="P4144" s="75">
        <f>(MIN(L4144,'THAM_SO_MOI'!$C$41)-O4144)/('THAM_SO_MOI'!$C$11*H4144)</f>
        <v>0.09439148388284456</v>
      </c>
      <c r="Q4144" s="75">
        <f>IF(P4144&gt;0,1/P4144,NA())</f>
        <v>10.594176072506343</v>
      </c>
      <c r="R4144" s="75">
        <f>F4144-F4143</f>
        <v>0.0035868055555567935</v>
      </c>
      <c r="S4144" s="75">
        <f>0.5*(Q4143+Q4144)*R4144</f>
        <v>0.03798490387694083</v>
      </c>
      <c r="T4144" s="75">
        <f>0.5*(F4143*Q4143+F4144*Q4144)*R4144</f>
        <v>0.8504177261690198</v>
      </c>
      <c r="U4144" s="76">
        <f>U4143+S4144</f>
        <v>63.80296840763473</v>
      </c>
      <c r="V4144" s="76">
        <f>V4143+T4144</f>
        <v>976.1197419657453</v>
      </c>
    </row>
    <row r="4145" spans="1:22" ht="19" customHeight="1">
      <c r="A4145" s="68" t="s">
        <v>378</v>
      </c>
      <c r="B4145" s="74">
        <v>5</v>
      </c>
      <c r="C4145" s="68" t="s">
        <v>363</v>
      </c>
      <c r="D4145" s="68" t="s">
        <v>365</v>
      </c>
      <c r="E4145" s="75">
        <f>60*F4145*'THAM_SO_MOI'!$C$53/(2*PI()*'THAM_SO_MOI'!$C$26)</f>
        <v>2206.367526315789</v>
      </c>
      <c r="F4145" s="75">
        <f>'THAM_SO_MOI'!$C$14+('THAM_SO_MOI'!$C$37-'THAM_SO_MOI'!$C$14)*54/'THAM_SO_MOI'!$C$42</f>
        <v>22.3936875</v>
      </c>
      <c r="G4145" s="75">
        <f>3.6*F4145</f>
        <v>80.61727499999999</v>
      </c>
      <c r="H4145" s="75">
        <f>'THAM_SO_MOI'!$D$53</f>
        <v>1.1</v>
      </c>
      <c r="I4145" s="75">
        <f>IF(F4145&gt;='THAM_SO_MOI'!$C$14,'THAM_SO_MOI'!$C$13*(1+F4145^2/1500),'THAM_SO_MOI'!$C$13)</f>
        <v>0.02001477239847656</v>
      </c>
      <c r="J4145" s="75">
        <f>'THAM_SO_MOI'!$C$40*('THAM_SO_MOI'!$C$23*(E4145/'THAM_SO_MOI'!$C$22)+'THAM_SO_MOI'!$C$24*(E4145/'THAM_SO_MOI'!$C$22)^2-'THAM_SO_MOI'!$C$25*(E4145/'THAM_SO_MOI'!$C$22)^3)</f>
        <v>99.34511324273747</v>
      </c>
      <c r="K4145" s="75">
        <f>'THAM_SO_MOI'!$C$31*J4145/E4145</f>
        <v>430.05298911907687</v>
      </c>
      <c r="L4145" s="75">
        <f>K4145*'THAM_SO_MOI'!$C$53*'THAM_SO_MOI'!$C$17/'THAM_SO_MOI'!$C$26</f>
        <v>3771.566397358128</v>
      </c>
      <c r="M4145" s="75">
        <f>'THAM_SO_MOI'!$C$15*'THAM_SO_MOI'!$C$16*F4145^2</f>
        <v>1466.8209265543946</v>
      </c>
      <c r="N4145" s="75">
        <f>'THAM_SO_MOI'!$C$12*I4145</f>
        <v>1507.928964319143</v>
      </c>
      <c r="O4145" s="75">
        <f>M4145+N4145</f>
        <v>2974.749890873538</v>
      </c>
      <c r="P4145" s="75">
        <f>(MIN(L4145,'THAM_SO_MOI'!$C$41)-O4145)/('THAM_SO_MOI'!$C$11*H4145)</f>
        <v>0.09432013571077065</v>
      </c>
      <c r="Q4145" s="75">
        <f>IF(P4145&gt;0,1/P4145,NA())</f>
        <v>10.602190003908227</v>
      </c>
      <c r="R4145" s="75">
        <f>F4145-F4144</f>
        <v>0.0035868055555532408</v>
      </c>
      <c r="S4145" s="75">
        <f>0.5*(Q4144+Q4145)*R4145</f>
        <v>0.03801362180021201</v>
      </c>
      <c r="T4145" s="75">
        <f>0.5*(F4144*Q4144+F4145*Q4145)*R4145</f>
        <v>0.851197019377361</v>
      </c>
      <c r="U4145" s="76">
        <f>U4144+S4145</f>
        <v>63.84098202943494</v>
      </c>
      <c r="V4145" s="76">
        <f>V4144+T4145</f>
        <v>976.9709389851226</v>
      </c>
    </row>
    <row r="4146" spans="1:22" ht="19" customHeight="1">
      <c r="A4146" s="68" t="s">
        <v>378</v>
      </c>
      <c r="B4146" s="74">
        <v>5</v>
      </c>
      <c r="C4146" s="68" t="s">
        <v>363</v>
      </c>
      <c r="D4146" s="68" t="s">
        <v>365</v>
      </c>
      <c r="E4146" s="75">
        <f>60*F4146*'THAM_SO_MOI'!$C$53/(2*PI()*'THAM_SO_MOI'!$C$26)</f>
        <v>2206.7209210526307</v>
      </c>
      <c r="F4146" s="75">
        <f>'THAM_SO_MOI'!$C$14+('THAM_SO_MOI'!$C$37-'THAM_SO_MOI'!$C$14)*55/'THAM_SO_MOI'!$C$42</f>
        <v>22.397274305555555</v>
      </c>
      <c r="G4146" s="75">
        <f>3.6*F4146</f>
        <v>80.6301875</v>
      </c>
      <c r="H4146" s="75">
        <f>'THAM_SO_MOI'!$D$53</f>
        <v>1.1</v>
      </c>
      <c r="I4146" s="75">
        <f>IF(F4146&gt;='THAM_SO_MOI'!$C$14,'THAM_SO_MOI'!$C$13*(1+F4146^2/1500),'THAM_SO_MOI'!$C$13)</f>
        <v>0.02001637896318299</v>
      </c>
      <c r="J4146" s="75">
        <f>'THAM_SO_MOI'!$C$40*('THAM_SO_MOI'!$C$23*(E4146/'THAM_SO_MOI'!$C$22)+'THAM_SO_MOI'!$C$24*(E4146/'THAM_SO_MOI'!$C$22)^2-'THAM_SO_MOI'!$C$25*(E4146/'THAM_SO_MOI'!$C$22)^3)</f>
        <v>99.36070950843066</v>
      </c>
      <c r="K4146" s="75">
        <f>'THAM_SO_MOI'!$C$31*J4146/E4146</f>
        <v>430.0516219344228</v>
      </c>
      <c r="L4146" s="75">
        <f>K4146*'THAM_SO_MOI'!$C$53*'THAM_SO_MOI'!$C$17/'THAM_SO_MOI'!$C$26</f>
        <v>3771.554407143363</v>
      </c>
      <c r="M4146" s="75">
        <f>'THAM_SO_MOI'!$C$15*'THAM_SO_MOI'!$C$16*F4146^2</f>
        <v>1467.2908467310249</v>
      </c>
      <c r="N4146" s="75">
        <f>'THAM_SO_MOI'!$C$12*I4146</f>
        <v>1508.050004189377</v>
      </c>
      <c r="O4146" s="75">
        <f>M4146+N4146</f>
        <v>2975.340850920402</v>
      </c>
      <c r="P4146" s="75">
        <f>(MIN(L4146,'THAM_SO_MOI'!$C$41)-O4146)/('THAM_SO_MOI'!$C$11*H4146)</f>
        <v>0.09424876375745277</v>
      </c>
      <c r="Q4146" s="75">
        <f>IF(P4146&gt;0,1/P4146,NA())</f>
        <v>10.610218745929433</v>
      </c>
      <c r="R4146" s="75">
        <f>F4146-F4145</f>
        <v>0.0035868055555567935</v>
      </c>
      <c r="S4146" s="75">
        <f>0.5*(Q4145+Q4146)*R4146</f>
        <v>0.03804239277532963</v>
      </c>
      <c r="T4146" s="75">
        <f>0.5*(F4145*Q4145+F4146*Q4146)*R4146</f>
        <v>0.8519777067186569</v>
      </c>
      <c r="U4146" s="76">
        <f>U4145+S4146</f>
        <v>63.87902442221027</v>
      </c>
      <c r="V4146" s="76">
        <f>V4145+T4146</f>
        <v>977.8229166918413</v>
      </c>
    </row>
    <row r="4147" spans="1:22" ht="19" customHeight="1">
      <c r="A4147" s="68" t="s">
        <v>378</v>
      </c>
      <c r="B4147" s="74">
        <v>5</v>
      </c>
      <c r="C4147" s="68" t="s">
        <v>363</v>
      </c>
      <c r="D4147" s="68" t="s">
        <v>365</v>
      </c>
      <c r="E4147" s="75">
        <f>60*F4147*'THAM_SO_MOI'!$C$53/(2*PI()*'THAM_SO_MOI'!$C$26)</f>
        <v>2207.0743157894726</v>
      </c>
      <c r="F4147" s="75">
        <f>'THAM_SO_MOI'!$C$14+('THAM_SO_MOI'!$C$37-'THAM_SO_MOI'!$C$14)*56/'THAM_SO_MOI'!$C$42</f>
        <v>22.40086111111111</v>
      </c>
      <c r="G4147" s="75">
        <f>3.6*F4147</f>
        <v>80.64309999999999</v>
      </c>
      <c r="H4147" s="75">
        <f>'THAM_SO_MOI'!$D$53</f>
        <v>1.1</v>
      </c>
      <c r="I4147" s="75">
        <f>IF(F4147&gt;='THAM_SO_MOI'!$C$14,'THAM_SO_MOI'!$C$13*(1+F4147^2/1500),'THAM_SO_MOI'!$C$13)</f>
        <v>0.0200179857851929</v>
      </c>
      <c r="J4147" s="75">
        <f>'THAM_SO_MOI'!$C$40*('THAM_SO_MOI'!$C$23*(E4147/'THAM_SO_MOI'!$C$22)+'THAM_SO_MOI'!$C$24*(E4147/'THAM_SO_MOI'!$C$22)^2-'THAM_SO_MOI'!$C$25*(E4147/'THAM_SO_MOI'!$C$22)^3)</f>
        <v>99.37630287318107</v>
      </c>
      <c r="K4147" s="75">
        <f>'THAM_SO_MOI'!$C$31*J4147/E4147</f>
        <v>430.0502426337843</v>
      </c>
      <c r="L4147" s="75">
        <f>K4147*'THAM_SO_MOI'!$C$53*'THAM_SO_MOI'!$C$17/'THAM_SO_MOI'!$C$26</f>
        <v>3771.5423106713656</v>
      </c>
      <c r="M4147" s="75">
        <f>'THAM_SO_MOI'!$C$15*'THAM_SO_MOI'!$C$16*F4147^2</f>
        <v>1467.7608421689235</v>
      </c>
      <c r="N4147" s="75">
        <f>'THAM_SO_MOI'!$C$12*I4147</f>
        <v>1508.1710634450612</v>
      </c>
      <c r="O4147" s="75">
        <f>M4147+N4147</f>
        <v>2975.931905613985</v>
      </c>
      <c r="P4147" s="75">
        <f>(MIN(L4147,'THAM_SO_MOI'!$C$41)-O4147)/('THAM_SO_MOI'!$C$11*H4147)</f>
        <v>0.09417736802289076</v>
      </c>
      <c r="Q4147" s="75">
        <f>IF(P4147&gt;0,1/P4147,NA())</f>
        <v>10.618262338324637</v>
      </c>
      <c r="R4147" s="75">
        <f>F4147-F4146</f>
        <v>0.0035868055555532408</v>
      </c>
      <c r="S4147" s="75">
        <f>0.5*(Q4146+Q4147)*R4147</f>
        <v>0.038071216944479694</v>
      </c>
      <c r="T4147" s="75">
        <f>0.5*(F4146*Q4146+F4147*Q4147)*R4147</f>
        <v>0.852759791948602</v>
      </c>
      <c r="U4147" s="76">
        <f>U4146+S4147</f>
        <v>63.91709563915475</v>
      </c>
      <c r="V4147" s="76">
        <f>V4146+T4147</f>
        <v>978.67567648379</v>
      </c>
    </row>
    <row r="4148" spans="1:22" ht="19" customHeight="1">
      <c r="A4148" s="68" t="s">
        <v>378</v>
      </c>
      <c r="B4148" s="74">
        <v>5</v>
      </c>
      <c r="C4148" s="68" t="s">
        <v>363</v>
      </c>
      <c r="D4148" s="68" t="s">
        <v>365</v>
      </c>
      <c r="E4148" s="75">
        <f>60*F4148*'THAM_SO_MOI'!$C$53/(2*PI()*'THAM_SO_MOI'!$C$26)</f>
        <v>2207.4277105263154</v>
      </c>
      <c r="F4148" s="75">
        <f>'THAM_SO_MOI'!$C$14+('THAM_SO_MOI'!$C$37-'THAM_SO_MOI'!$C$14)*57/'THAM_SO_MOI'!$C$42</f>
        <v>22.404447916666665</v>
      </c>
      <c r="G4148" s="75">
        <f>3.6*F4148</f>
        <v>80.6560125</v>
      </c>
      <c r="H4148" s="75">
        <f>'THAM_SO_MOI'!$D$53</f>
        <v>1.1</v>
      </c>
      <c r="I4148" s="75">
        <f>IF(F4148&gt;='THAM_SO_MOI'!$C$14,'THAM_SO_MOI'!$C$13*(1+F4148^2/1500),'THAM_SO_MOI'!$C$13)</f>
        <v>0.020019592864506296</v>
      </c>
      <c r="J4148" s="75">
        <f>'THAM_SO_MOI'!$C$40*('THAM_SO_MOI'!$C$23*(E4148/'THAM_SO_MOI'!$C$22)+'THAM_SO_MOI'!$C$24*(E4148/'THAM_SO_MOI'!$C$22)^2-'THAM_SO_MOI'!$C$25*(E4148/'THAM_SO_MOI'!$C$22)^3)</f>
        <v>99.39189333564387</v>
      </c>
      <c r="K4148" s="75">
        <f>'THAM_SO_MOI'!$C$31*J4148/E4148</f>
        <v>430.04885121716137</v>
      </c>
      <c r="L4148" s="75">
        <f>K4148*'THAM_SO_MOI'!$C$53*'THAM_SO_MOI'!$C$17/'THAM_SO_MOI'!$C$26</f>
        <v>3771.530107942138</v>
      </c>
      <c r="M4148" s="75">
        <f>'THAM_SO_MOI'!$C$15*'THAM_SO_MOI'!$C$16*F4148^2</f>
        <v>1468.2309128680909</v>
      </c>
      <c r="N4148" s="75">
        <f>'THAM_SO_MOI'!$C$12*I4148</f>
        <v>1508.292142086196</v>
      </c>
      <c r="O4148" s="75">
        <f>M4148+N4148</f>
        <v>2976.5230549542866</v>
      </c>
      <c r="P4148" s="75">
        <f>(MIN(L4148,'THAM_SO_MOI'!$C$41)-O4148)/('THAM_SO_MOI'!$C$11*H4148)</f>
        <v>0.09410594850708463</v>
      </c>
      <c r="Q4148" s="75">
        <f>IF(P4148&gt;0,1/P4148,NA())</f>
        <v>10.626320820991634</v>
      </c>
      <c r="R4148" s="75">
        <f>F4148-F4147</f>
        <v>0.0035868055555567935</v>
      </c>
      <c r="S4148" s="75">
        <f>0.5*(Q4147+Q4148)*R4148</f>
        <v>0.038100094450661946</v>
      </c>
      <c r="T4148" s="75">
        <f>0.5*(F4147*Q4147+F4148*Q4148)*R4148</f>
        <v>0.8535432788431604</v>
      </c>
      <c r="U4148" s="76">
        <f>U4147+S4148</f>
        <v>63.955195733605414</v>
      </c>
      <c r="V4148" s="76">
        <f>V4147+T4148</f>
        <v>979.5292197626331</v>
      </c>
    </row>
    <row r="4149" spans="1:22" ht="19" customHeight="1">
      <c r="A4149" s="68" t="s">
        <v>378</v>
      </c>
      <c r="B4149" s="74">
        <v>5</v>
      </c>
      <c r="C4149" s="68" t="s">
        <v>363</v>
      </c>
      <c r="D4149" s="68" t="s">
        <v>365</v>
      </c>
      <c r="E4149" s="75">
        <f>60*F4149*'THAM_SO_MOI'!$C$53/(2*PI()*'THAM_SO_MOI'!$C$26)</f>
        <v>2207.7811052631573</v>
      </c>
      <c r="F4149" s="75">
        <f>'THAM_SO_MOI'!$C$14+('THAM_SO_MOI'!$C$37-'THAM_SO_MOI'!$C$14)*58/'THAM_SO_MOI'!$C$42</f>
        <v>22.408034722222222</v>
      </c>
      <c r="G4149" s="75">
        <f>3.6*F4149</f>
        <v>80.668925</v>
      </c>
      <c r="H4149" s="75">
        <f>'THAM_SO_MOI'!$D$53</f>
        <v>1.1</v>
      </c>
      <c r="I4149" s="75">
        <f>IF(F4149&gt;='THAM_SO_MOI'!$C$14,'THAM_SO_MOI'!$C$13*(1+F4149^2/1500),'THAM_SO_MOI'!$C$13)</f>
        <v>0.020021200201123166</v>
      </c>
      <c r="J4149" s="75">
        <f>'THAM_SO_MOI'!$C$40*('THAM_SO_MOI'!$C$23*(E4149/'THAM_SO_MOI'!$C$22)+'THAM_SO_MOI'!$C$24*(E4149/'THAM_SO_MOI'!$C$22)^2-'THAM_SO_MOI'!$C$25*(E4149/'THAM_SO_MOI'!$C$22)^3)</f>
        <v>99.40748089447405</v>
      </c>
      <c r="K4149" s="75">
        <f>'THAM_SO_MOI'!$C$31*J4149/E4149</f>
        <v>430.0474476845539</v>
      </c>
      <c r="L4149" s="75">
        <f>K4149*'THAM_SO_MOI'!$C$53*'THAM_SO_MOI'!$C$17/'THAM_SO_MOI'!$C$26</f>
        <v>3771.5177989556782</v>
      </c>
      <c r="M4149" s="75">
        <f>'THAM_SO_MOI'!$C$15*'THAM_SO_MOI'!$C$16*F4149^2</f>
        <v>1468.7010588285268</v>
      </c>
      <c r="N4149" s="75">
        <f>'THAM_SO_MOI'!$C$12*I4149</f>
        <v>1508.4132401127804</v>
      </c>
      <c r="O4149" s="75">
        <f>M4149+N4149</f>
        <v>2977.1142989413074</v>
      </c>
      <c r="P4149" s="75">
        <f>(MIN(L4149,'THAM_SO_MOI'!$C$41)-O4149)/('THAM_SO_MOI'!$C$11*H4149)</f>
        <v>0.09403450521003442</v>
      </c>
      <c r="Q4149" s="75">
        <f>IF(P4149&gt;0,1/P4149,NA())</f>
        <v>10.634394233972</v>
      </c>
      <c r="R4149" s="75">
        <f>F4149-F4148</f>
        <v>0.0035868055555567935</v>
      </c>
      <c r="S4149" s="75">
        <f>0.5*(Q4148+Q4149)*R4149</f>
        <v>0.038129025437126755</v>
      </c>
      <c r="T4149" s="75">
        <f>0.5*(F4148*Q4148+F4149*Q4149)*R4149</f>
        <v>0.8543281711859637</v>
      </c>
      <c r="U4149" s="76">
        <f>U4148+S4149</f>
        <v>63.993324759042544</v>
      </c>
      <c r="V4149" s="76">
        <f>V4148+T4149</f>
        <v>980.3835479338192</v>
      </c>
    </row>
    <row r="4150" spans="1:22" ht="19" customHeight="1">
      <c r="A4150" s="68" t="s">
        <v>378</v>
      </c>
      <c r="B4150" s="74">
        <v>5</v>
      </c>
      <c r="C4150" s="68" t="s">
        <v>363</v>
      </c>
      <c r="D4150" s="68" t="s">
        <v>365</v>
      </c>
      <c r="E4150" s="75">
        <f>60*F4150*'THAM_SO_MOI'!$C$53/(2*PI()*'THAM_SO_MOI'!$C$26)</f>
        <v>2208.1344999999997</v>
      </c>
      <c r="F4150" s="75">
        <f>'THAM_SO_MOI'!$C$14+('THAM_SO_MOI'!$C$37-'THAM_SO_MOI'!$C$14)*59/'THAM_SO_MOI'!$C$42</f>
        <v>22.411621527777775</v>
      </c>
      <c r="G4150" s="75">
        <f>3.6*F4150</f>
        <v>80.6818375</v>
      </c>
      <c r="H4150" s="75">
        <f>'THAM_SO_MOI'!$D$53</f>
        <v>1.1</v>
      </c>
      <c r="I4150" s="75">
        <f>IF(F4150&gt;='THAM_SO_MOI'!$C$14,'THAM_SO_MOI'!$C$13*(1+F4150^2/1500),'THAM_SO_MOI'!$C$13)</f>
        <v>0.02002280779504352</v>
      </c>
      <c r="J4150" s="75">
        <f>'THAM_SO_MOI'!$C$40*('THAM_SO_MOI'!$C$23*(E4150/'THAM_SO_MOI'!$C$22)+'THAM_SO_MOI'!$C$24*(E4150/'THAM_SO_MOI'!$C$22)^2-'THAM_SO_MOI'!$C$25*(E4150/'THAM_SO_MOI'!$C$22)^3)</f>
        <v>99.42306554832683</v>
      </c>
      <c r="K4150" s="75">
        <f>'THAM_SO_MOI'!$C$31*J4150/E4150</f>
        <v>430.04603203596207</v>
      </c>
      <c r="L4150" s="75">
        <f>K4150*'THAM_SO_MOI'!$C$53*'THAM_SO_MOI'!$C$17/'THAM_SO_MOI'!$C$26</f>
        <v>3771.505383711989</v>
      </c>
      <c r="M4150" s="75">
        <f>'THAM_SO_MOI'!$C$15*'THAM_SO_MOI'!$C$16*F4150^2</f>
        <v>1469.1712800502303</v>
      </c>
      <c r="N4150" s="75">
        <f>'THAM_SO_MOI'!$C$12*I4150</f>
        <v>1508.534357524815</v>
      </c>
      <c r="O4150" s="75">
        <f>M4150+N4150</f>
        <v>2977.7056375750453</v>
      </c>
      <c r="P4150" s="75">
        <f>(MIN(L4150,'THAM_SO_MOI'!$C$41)-O4150)/('THAM_SO_MOI'!$C$11*H4150)</f>
        <v>0.09396303813174046</v>
      </c>
      <c r="Q4150" s="75">
        <f>IF(P4150&gt;0,1/P4150,NA())</f>
        <v>10.642482617451709</v>
      </c>
      <c r="R4150" s="75">
        <f>F4150-F4149</f>
        <v>0.0035868055555532408</v>
      </c>
      <c r="S4150" s="75">
        <f>0.5*(Q4149+Q4150)*R4150</f>
        <v>0.03815801004775435</v>
      </c>
      <c r="T4150" s="75">
        <f>0.5*(F4149*Q4149+F4150*Q4150)*R4150</f>
        <v>0.8551144727768134</v>
      </c>
      <c r="U4150" s="76">
        <f>U4149+S4150</f>
        <v>64.0314827690903</v>
      </c>
      <c r="V4150" s="76">
        <f>V4149+T4150</f>
        <v>981.238662406596</v>
      </c>
    </row>
    <row r="4151" spans="1:22" ht="19" customHeight="1">
      <c r="A4151" s="68" t="s">
        <v>378</v>
      </c>
      <c r="B4151" s="74">
        <v>5</v>
      </c>
      <c r="C4151" s="68" t="s">
        <v>363</v>
      </c>
      <c r="D4151" s="68" t="s">
        <v>365</v>
      </c>
      <c r="E4151" s="75">
        <f>60*F4151*'THAM_SO_MOI'!$C$53/(2*PI()*'THAM_SO_MOI'!$C$26)</f>
        <v>2208.4878947368416</v>
      </c>
      <c r="F4151" s="75">
        <f>'THAM_SO_MOI'!$C$14+('THAM_SO_MOI'!$C$37-'THAM_SO_MOI'!$C$14)*60/'THAM_SO_MOI'!$C$42</f>
        <v>22.415208333333332</v>
      </c>
      <c r="G4151" s="75">
        <f>3.6*F4151</f>
        <v>80.69475</v>
      </c>
      <c r="H4151" s="75">
        <f>'THAM_SO_MOI'!$D$53</f>
        <v>1.1</v>
      </c>
      <c r="I4151" s="75">
        <f>IF(F4151&gt;='THAM_SO_MOI'!$C$14,'THAM_SO_MOI'!$C$13*(1+F4151^2/1500),'THAM_SO_MOI'!$C$13)</f>
        <v>0.02002441564626736</v>
      </c>
      <c r="J4151" s="75">
        <f>'THAM_SO_MOI'!$C$40*('THAM_SO_MOI'!$C$23*(E4151/'THAM_SO_MOI'!$C$22)+'THAM_SO_MOI'!$C$24*(E4151/'THAM_SO_MOI'!$C$22)^2-'THAM_SO_MOI'!$C$25*(E4151/'THAM_SO_MOI'!$C$22)^3)</f>
        <v>99.43864729585725</v>
      </c>
      <c r="K4151" s="75">
        <f>'THAM_SO_MOI'!$C$31*J4151/E4151</f>
        <v>430.04460427138577</v>
      </c>
      <c r="L4151" s="75">
        <f>K4151*'THAM_SO_MOI'!$C$53*'THAM_SO_MOI'!$C$17/'THAM_SO_MOI'!$C$26</f>
        <v>3771.492862211068</v>
      </c>
      <c r="M4151" s="75">
        <f>'THAM_SO_MOI'!$C$15*'THAM_SO_MOI'!$C$16*F4151^2</f>
        <v>1469.6415765332033</v>
      </c>
      <c r="N4151" s="75">
        <f>'THAM_SO_MOI'!$C$12*I4151</f>
        <v>1508.6554943223</v>
      </c>
      <c r="O4151" s="75">
        <f>M4151+N4151</f>
        <v>2978.297070855503</v>
      </c>
      <c r="P4151" s="75">
        <f>(MIN(L4151,'THAM_SO_MOI'!$C$41)-O4151)/('THAM_SO_MOI'!$C$11*H4151)</f>
        <v>0.09389154727220221</v>
      </c>
      <c r="Q4151" s="75">
        <f>IF(P4151&gt;0,1/P4151,NA())</f>
        <v>10.65058601176192</v>
      </c>
      <c r="R4151" s="75">
        <f>F4151-F4150</f>
        <v>0.0035868055555567935</v>
      </c>
      <c r="S4151" s="75">
        <f>0.5*(Q4150+Q4151)*R4151</f>
        <v>0.03818704842705776</v>
      </c>
      <c r="T4151" s="75">
        <f>0.5*(F4150*Q4150+F4151*Q4151)*R4151</f>
        <v>0.8559021874317589</v>
      </c>
      <c r="U4151" s="76">
        <f>U4150+S4151</f>
        <v>64.06966981751737</v>
      </c>
      <c r="V4151" s="76">
        <f>V4150+T4151</f>
        <v>982.0945645940277</v>
      </c>
    </row>
    <row r="4152" spans="1:22" ht="19" customHeight="1">
      <c r="A4152" s="68" t="s">
        <v>378</v>
      </c>
      <c r="B4152" s="74">
        <v>5</v>
      </c>
      <c r="C4152" s="68" t="s">
        <v>363</v>
      </c>
      <c r="D4152" s="68" t="s">
        <v>365</v>
      </c>
      <c r="E4152" s="75">
        <f>60*F4152*'THAM_SO_MOI'!$C$53/(2*PI()*'THAM_SO_MOI'!$C$26)</f>
        <v>2208.841289473684</v>
      </c>
      <c r="F4152" s="75">
        <f>'THAM_SO_MOI'!$C$14+('THAM_SO_MOI'!$C$37-'THAM_SO_MOI'!$C$14)*61/'THAM_SO_MOI'!$C$42</f>
        <v>22.41879513888889</v>
      </c>
      <c r="G4152" s="75">
        <f>3.6*F4152</f>
        <v>80.7076625</v>
      </c>
      <c r="H4152" s="75">
        <f>'THAM_SO_MOI'!$D$53</f>
        <v>1.1</v>
      </c>
      <c r="I4152" s="75">
        <f>IF(F4152&gt;='THAM_SO_MOI'!$C$14,'THAM_SO_MOI'!$C$13*(1+F4152^2/1500),'THAM_SO_MOI'!$C$13)</f>
        <v>0.02002602375479468</v>
      </c>
      <c r="J4152" s="75">
        <f>'THAM_SO_MOI'!$C$40*('THAM_SO_MOI'!$C$23*(E4152/'THAM_SO_MOI'!$C$22)+'THAM_SO_MOI'!$C$24*(E4152/'THAM_SO_MOI'!$C$22)^2-'THAM_SO_MOI'!$C$25*(E4152/'THAM_SO_MOI'!$C$22)^3)</f>
        <v>99.45422613572049</v>
      </c>
      <c r="K4152" s="75">
        <f>'THAM_SO_MOI'!$C$31*J4152/E4152</f>
        <v>430.0431643908251</v>
      </c>
      <c r="L4152" s="75">
        <f>K4152*'THAM_SO_MOI'!$C$53*'THAM_SO_MOI'!$C$17/'THAM_SO_MOI'!$C$26</f>
        <v>3771.4802344529166</v>
      </c>
      <c r="M4152" s="75">
        <f>'THAM_SO_MOI'!$C$15*'THAM_SO_MOI'!$C$16*F4152^2</f>
        <v>1470.1119482774443</v>
      </c>
      <c r="N4152" s="75">
        <f>'THAM_SO_MOI'!$C$12*I4152</f>
        <v>1508.776650505235</v>
      </c>
      <c r="O4152" s="75">
        <f>M4152+N4152</f>
        <v>2978.8885987826793</v>
      </c>
      <c r="P4152" s="75">
        <f>(MIN(L4152,'THAM_SO_MOI'!$C$41)-O4152)/('THAM_SO_MOI'!$C$11*H4152)</f>
        <v>0.09382003263142014</v>
      </c>
      <c r="Q4152" s="75">
        <f>IF(P4152&gt;0,1/P4152,NA())</f>
        <v>10.658704457379415</v>
      </c>
      <c r="R4152" s="75">
        <f>F4152-F4151</f>
        <v>0.0035868055555567935</v>
      </c>
      <c r="S4152" s="75">
        <f>0.5*(Q4151+Q4152)*R4152</f>
        <v>0.038216140719844784</v>
      </c>
      <c r="T4152" s="75">
        <f>0.5*(F4151*Q4151+F4152*Q4152)*R4152</f>
        <v>0.8566913189755311</v>
      </c>
      <c r="U4152" s="76">
        <f>U4151+S4152</f>
        <v>64.1078859582372</v>
      </c>
      <c r="V4152" s="76">
        <f>V4151+T4152</f>
        <v>982.9512559130033</v>
      </c>
    </row>
    <row r="4153" spans="1:22" ht="19" customHeight="1">
      <c r="A4153" s="68" t="s">
        <v>378</v>
      </c>
      <c r="B4153" s="74">
        <v>5</v>
      </c>
      <c r="C4153" s="68" t="s">
        <v>363</v>
      </c>
      <c r="D4153" s="68" t="s">
        <v>365</v>
      </c>
      <c r="E4153" s="75">
        <f>60*F4153*'THAM_SO_MOI'!$C$53/(2*PI()*'THAM_SO_MOI'!$C$26)</f>
        <v>2209.1946842105253</v>
      </c>
      <c r="F4153" s="75">
        <f>'THAM_SO_MOI'!$C$14+('THAM_SO_MOI'!$C$37-'THAM_SO_MOI'!$C$14)*62/'THAM_SO_MOI'!$C$42</f>
        <v>22.422381944444442</v>
      </c>
      <c r="G4153" s="75">
        <f>3.6*F4153</f>
        <v>80.720575</v>
      </c>
      <c r="H4153" s="75">
        <f>'THAM_SO_MOI'!$D$53</f>
        <v>1.1</v>
      </c>
      <c r="I4153" s="75">
        <f>IF(F4153&gt;='THAM_SO_MOI'!$C$14,'THAM_SO_MOI'!$C$13*(1+F4153^2/1500),'THAM_SO_MOI'!$C$13)</f>
        <v>0.020027632120625482</v>
      </c>
      <c r="J4153" s="75">
        <f>'THAM_SO_MOI'!$C$40*('THAM_SO_MOI'!$C$23*(E4153/'THAM_SO_MOI'!$C$22)+'THAM_SO_MOI'!$C$24*(E4153/'THAM_SO_MOI'!$C$22)^2-'THAM_SO_MOI'!$C$25*(E4153/'THAM_SO_MOI'!$C$22)^3)</f>
        <v>99.46980206657155</v>
      </c>
      <c r="K4153" s="75">
        <f>'THAM_SO_MOI'!$C$31*J4153/E4153</f>
        <v>430.0417123942798</v>
      </c>
      <c r="L4153" s="75">
        <f>K4153*'THAM_SO_MOI'!$C$53*'THAM_SO_MOI'!$C$17/'THAM_SO_MOI'!$C$26</f>
        <v>3771.467500437532</v>
      </c>
      <c r="M4153" s="75">
        <f>'THAM_SO_MOI'!$C$15*'THAM_SO_MOI'!$C$16*F4153^2</f>
        <v>1470.5823952829535</v>
      </c>
      <c r="N4153" s="75">
        <f>'THAM_SO_MOI'!$C$12*I4153</f>
        <v>1508.8978260736203</v>
      </c>
      <c r="O4153" s="75">
        <f>M4153+N4153</f>
        <v>2979.4802213565736</v>
      </c>
      <c r="P4153" s="75">
        <f>(MIN(L4153,'THAM_SO_MOI'!$C$41)-O4153)/('THAM_SO_MOI'!$C$11*H4153)</f>
        <v>0.09374849420939378</v>
      </c>
      <c r="Q4153" s="75">
        <f>IF(P4153&gt;0,1/P4153,NA())</f>
        <v>10.666837994927475</v>
      </c>
      <c r="R4153" s="75">
        <f>F4153-F4152</f>
        <v>0.0035868055555532408</v>
      </c>
      <c r="S4153" s="75">
        <f>0.5*(Q4152+Q4153)*R4153</f>
        <v>0.03824528707156042</v>
      </c>
      <c r="T4153" s="75">
        <f>0.5*(F4152*Q4152+F4153*Q4153)*R4153</f>
        <v>0.8574818712492239</v>
      </c>
      <c r="U4153" s="76">
        <f>U4152+S4153</f>
        <v>64.14613124530877</v>
      </c>
      <c r="V4153" s="76">
        <f>V4152+T4153</f>
        <v>983.8087377842525</v>
      </c>
    </row>
    <row r="4154" spans="1:22" ht="19" customHeight="1">
      <c r="A4154" s="68" t="s">
        <v>378</v>
      </c>
      <c r="B4154" s="74">
        <v>5</v>
      </c>
      <c r="C4154" s="68" t="s">
        <v>363</v>
      </c>
      <c r="D4154" s="68" t="s">
        <v>365</v>
      </c>
      <c r="E4154" s="75">
        <f>60*F4154*'THAM_SO_MOI'!$C$53/(2*PI()*'THAM_SO_MOI'!$C$26)</f>
        <v>2209.5480789473677</v>
      </c>
      <c r="F4154" s="75">
        <f>'THAM_SO_MOI'!$C$14+('THAM_SO_MOI'!$C$37-'THAM_SO_MOI'!$C$14)*63/'THAM_SO_MOI'!$C$42</f>
        <v>22.42596875</v>
      </c>
      <c r="G4154" s="75">
        <f>3.6*F4154</f>
        <v>80.7334875</v>
      </c>
      <c r="H4154" s="75">
        <f>'THAM_SO_MOI'!$D$53</f>
        <v>1.1</v>
      </c>
      <c r="I4154" s="75">
        <f>IF(F4154&gt;='THAM_SO_MOI'!$C$14,'THAM_SO_MOI'!$C$13*(1+F4154^2/1500),'THAM_SO_MOI'!$C$13)</f>
        <v>0.020029240743759766</v>
      </c>
      <c r="J4154" s="75">
        <f>'THAM_SO_MOI'!$C$40*('THAM_SO_MOI'!$C$23*(E4154/'THAM_SO_MOI'!$C$22)+'THAM_SO_MOI'!$C$24*(E4154/'THAM_SO_MOI'!$C$22)^2-'THAM_SO_MOI'!$C$25*(E4154/'THAM_SO_MOI'!$C$22)^3)</f>
        <v>99.48537508706562</v>
      </c>
      <c r="K4154" s="75">
        <f>'THAM_SO_MOI'!$C$31*J4154/E4154</f>
        <v>430.04024828175005</v>
      </c>
      <c r="L4154" s="75">
        <f>K4154*'THAM_SO_MOI'!$C$53*'THAM_SO_MOI'!$C$17/'THAM_SO_MOI'!$C$26</f>
        <v>3771.454660164917</v>
      </c>
      <c r="M4154" s="75">
        <f>'THAM_SO_MOI'!$C$15*'THAM_SO_MOI'!$C$16*F4154^2</f>
        <v>1471.0529175497313</v>
      </c>
      <c r="N4154" s="75">
        <f>'THAM_SO_MOI'!$C$12*I4154</f>
        <v>1509.019021027456</v>
      </c>
      <c r="O4154" s="75">
        <f>M4154+N4154</f>
        <v>2980.071938577187</v>
      </c>
      <c r="P4154" s="75">
        <f>(MIN(L4154,'THAM_SO_MOI'!$C$41)-O4154)/('THAM_SO_MOI'!$C$11*H4154)</f>
        <v>0.09367693200612334</v>
      </c>
      <c r="Q4154" s="75">
        <f>IF(P4154&gt;0,1/P4154,NA())</f>
        <v>10.674986665176368</v>
      </c>
      <c r="R4154" s="75">
        <f>F4154-F4153</f>
        <v>0.0035868055555567935</v>
      </c>
      <c r="S4154" s="75">
        <f>0.5*(Q4153+Q4154)*R4154</f>
        <v>0.03827448762828972</v>
      </c>
      <c r="T4154" s="75">
        <f>0.5*(F4153*Q4153+F4154*Q4154)*R4154</f>
        <v>0.8582738481103716</v>
      </c>
      <c r="U4154" s="76">
        <f>U4153+S4154</f>
        <v>64.18440573293705</v>
      </c>
      <c r="V4154" s="76">
        <f>V4153+T4154</f>
        <v>984.6670116323628</v>
      </c>
    </row>
    <row r="4155" spans="1:22" ht="19" customHeight="1">
      <c r="A4155" s="68" t="s">
        <v>378</v>
      </c>
      <c r="B4155" s="74">
        <v>5</v>
      </c>
      <c r="C4155" s="68" t="s">
        <v>363</v>
      </c>
      <c r="D4155" s="68" t="s">
        <v>365</v>
      </c>
      <c r="E4155" s="75">
        <f>60*F4155*'THAM_SO_MOI'!$C$53/(2*PI()*'THAM_SO_MOI'!$C$26)</f>
        <v>2209.90147368421</v>
      </c>
      <c r="F4155" s="75">
        <f>'THAM_SO_MOI'!$C$14+('THAM_SO_MOI'!$C$37-'THAM_SO_MOI'!$C$14)*64/'THAM_SO_MOI'!$C$42</f>
        <v>22.429555555555556</v>
      </c>
      <c r="G4155" s="75">
        <f>3.6*F4155</f>
        <v>80.74640000000001</v>
      </c>
      <c r="H4155" s="75">
        <f>'THAM_SO_MOI'!$D$53</f>
        <v>1.1</v>
      </c>
      <c r="I4155" s="75">
        <f>IF(F4155&gt;='THAM_SO_MOI'!$C$14,'THAM_SO_MOI'!$C$13*(1+F4155^2/1500),'THAM_SO_MOI'!$C$13)</f>
        <v>0.02003084962419753</v>
      </c>
      <c r="J4155" s="75">
        <f>'THAM_SO_MOI'!$C$40*('THAM_SO_MOI'!$C$23*(E4155/'THAM_SO_MOI'!$C$22)+'THAM_SO_MOI'!$C$24*(E4155/'THAM_SO_MOI'!$C$22)^2-'THAM_SO_MOI'!$C$25*(E4155/'THAM_SO_MOI'!$C$22)^3)</f>
        <v>99.50094519585782</v>
      </c>
      <c r="K4155" s="75">
        <f>'THAM_SO_MOI'!$C$31*J4155/E4155</f>
        <v>430.03877205323585</v>
      </c>
      <c r="L4155" s="75">
        <f>K4155*'THAM_SO_MOI'!$C$53*'THAM_SO_MOI'!$C$17/'THAM_SO_MOI'!$C$26</f>
        <v>3771.4417136350717</v>
      </c>
      <c r="M4155" s="75">
        <f>'THAM_SO_MOI'!$C$15*'THAM_SO_MOI'!$C$16*F4155^2</f>
        <v>1471.523515077778</v>
      </c>
      <c r="N4155" s="75">
        <f>'THAM_SO_MOI'!$C$12*I4155</f>
        <v>1509.1402353667413</v>
      </c>
      <c r="O4155" s="75">
        <f>M4155+N4155</f>
        <v>2980.6637504445193</v>
      </c>
      <c r="P4155" s="75">
        <f>(MIN(L4155,'THAM_SO_MOI'!$C$41)-O4155)/('THAM_SO_MOI'!$C$11*H4155)</f>
        <v>0.09360534602160894</v>
      </c>
      <c r="Q4155" s="75">
        <f>IF(P4155&gt;0,1/P4155,NA())</f>
        <v>10.683150509044092</v>
      </c>
      <c r="R4155" s="75">
        <f>F4155-F4154</f>
        <v>0.0035868055555567935</v>
      </c>
      <c r="S4155" s="75">
        <f>0.5*(Q4154+Q4155)*R4155</f>
        <v>0.03830374253641901</v>
      </c>
      <c r="T4155" s="75">
        <f>0.5*(F4154*Q4154+F4155*Q4155)*R4155</f>
        <v>0.8590672534253607</v>
      </c>
      <c r="U4155" s="76">
        <f>U4154+S4155</f>
        <v>64.22270947547347</v>
      </c>
      <c r="V4155" s="76">
        <f>V4154+T4155</f>
        <v>985.5260788857881</v>
      </c>
    </row>
    <row r="4156" spans="1:22" ht="19" customHeight="1">
      <c r="A4156" s="68" t="s">
        <v>378</v>
      </c>
      <c r="B4156" s="74">
        <v>5</v>
      </c>
      <c r="C4156" s="68" t="s">
        <v>363</v>
      </c>
      <c r="D4156" s="68" t="s">
        <v>365</v>
      </c>
      <c r="E4156" s="75">
        <f>60*F4156*'THAM_SO_MOI'!$C$53/(2*PI()*'THAM_SO_MOI'!$C$26)</f>
        <v>2210.2548684210524</v>
      </c>
      <c r="F4156" s="75">
        <f>'THAM_SO_MOI'!$C$14+('THAM_SO_MOI'!$C$37-'THAM_SO_MOI'!$C$14)*65/'THAM_SO_MOI'!$C$42</f>
        <v>22.43314236111111</v>
      </c>
      <c r="G4156" s="75">
        <f>3.6*F4156</f>
        <v>80.7593125</v>
      </c>
      <c r="H4156" s="75">
        <f>'THAM_SO_MOI'!$D$53</f>
        <v>1.1</v>
      </c>
      <c r="I4156" s="75">
        <f>IF(F4156&gt;='THAM_SO_MOI'!$C$14,'THAM_SO_MOI'!$C$13*(1+F4156^2/1500),'THAM_SO_MOI'!$C$13)</f>
        <v>0.020032458761938775</v>
      </c>
      <c r="J4156" s="75">
        <f>'THAM_SO_MOI'!$C$40*('THAM_SO_MOI'!$C$23*(E4156/'THAM_SO_MOI'!$C$22)+'THAM_SO_MOI'!$C$24*(E4156/'THAM_SO_MOI'!$C$22)^2-'THAM_SO_MOI'!$C$25*(E4156/'THAM_SO_MOI'!$C$22)^3)</f>
        <v>99.51651239160324</v>
      </c>
      <c r="K4156" s="75">
        <f>'THAM_SO_MOI'!$C$31*J4156/E4156</f>
        <v>430.0372837087373</v>
      </c>
      <c r="L4156" s="75">
        <f>K4156*'THAM_SO_MOI'!$C$53*'THAM_SO_MOI'!$C$17/'THAM_SO_MOI'!$C$26</f>
        <v>3771.4286608479956</v>
      </c>
      <c r="M4156" s="75">
        <f>'THAM_SO_MOI'!$C$15*'THAM_SO_MOI'!$C$16*F4156^2</f>
        <v>1471.9941878670925</v>
      </c>
      <c r="N4156" s="75">
        <f>'THAM_SO_MOI'!$C$12*I4156</f>
        <v>1509.261469091477</v>
      </c>
      <c r="O4156" s="75">
        <f>M4156+N4156</f>
        <v>2981.2556569585695</v>
      </c>
      <c r="P4156" s="75">
        <f>(MIN(L4156,'THAM_SO_MOI'!$C$41)-O4156)/('THAM_SO_MOI'!$C$11*H4156)</f>
        <v>0.09353373625585062</v>
      </c>
      <c r="Q4156" s="75">
        <f>IF(P4156&gt;0,1/P4156,NA())</f>
        <v>10.69132956759705</v>
      </c>
      <c r="R4156" s="75">
        <f>F4156-F4155</f>
        <v>0.0035868055555532408</v>
      </c>
      <c r="S4156" s="75">
        <f>0.5*(Q4155+Q4156)*R4156</f>
        <v>0.03833305194297925</v>
      </c>
      <c r="T4156" s="75">
        <f>0.5*(F4155*Q4155+F4156*Q4156)*R4156</f>
        <v>0.8598620910771383</v>
      </c>
      <c r="U4156" s="76">
        <f>U4155+S4156</f>
        <v>64.26104252741645</v>
      </c>
      <c r="V4156" s="76">
        <f>V4155+T4156</f>
        <v>986.3859409768653</v>
      </c>
    </row>
    <row r="4157" spans="1:22" ht="19" customHeight="1">
      <c r="A4157" s="68" t="s">
        <v>378</v>
      </c>
      <c r="B4157" s="74">
        <v>5</v>
      </c>
      <c r="C4157" s="68" t="s">
        <v>363</v>
      </c>
      <c r="D4157" s="68" t="s">
        <v>365</v>
      </c>
      <c r="E4157" s="75">
        <f>60*F4157*'THAM_SO_MOI'!$C$53/(2*PI()*'THAM_SO_MOI'!$C$26)</f>
        <v>2210.6082631578943</v>
      </c>
      <c r="F4157" s="75">
        <f>'THAM_SO_MOI'!$C$14+('THAM_SO_MOI'!$C$37-'THAM_SO_MOI'!$C$14)*66/'THAM_SO_MOI'!$C$42</f>
        <v>22.436729166666666</v>
      </c>
      <c r="G4157" s="75">
        <f>3.6*F4157</f>
        <v>80.772225</v>
      </c>
      <c r="H4157" s="75">
        <f>'THAM_SO_MOI'!$D$53</f>
        <v>1.1</v>
      </c>
      <c r="I4157" s="75">
        <f>IF(F4157&gt;='THAM_SO_MOI'!$C$14,'THAM_SO_MOI'!$C$13*(1+F4157^2/1500),'THAM_SO_MOI'!$C$13)</f>
        <v>0.020034068156983505</v>
      </c>
      <c r="J4157" s="75">
        <f>'THAM_SO_MOI'!$C$40*('THAM_SO_MOI'!$C$23*(E4157/'THAM_SO_MOI'!$C$22)+'THAM_SO_MOI'!$C$24*(E4157/'THAM_SO_MOI'!$C$22)^2-'THAM_SO_MOI'!$C$25*(E4157/'THAM_SO_MOI'!$C$22)^3)</f>
        <v>99.53207667295696</v>
      </c>
      <c r="K4157" s="75">
        <f>'THAM_SO_MOI'!$C$31*J4157/E4157</f>
        <v>430.0357832482542</v>
      </c>
      <c r="L4157" s="75">
        <f>K4157*'THAM_SO_MOI'!$C$53*'THAM_SO_MOI'!$C$17/'THAM_SO_MOI'!$C$26</f>
        <v>3771.4155018036877</v>
      </c>
      <c r="M4157" s="75">
        <f>'THAM_SO_MOI'!$C$15*'THAM_SO_MOI'!$C$16*F4157^2</f>
        <v>1472.4649359176758</v>
      </c>
      <c r="N4157" s="75">
        <f>'THAM_SO_MOI'!$C$12*I4157</f>
        <v>1509.382722201663</v>
      </c>
      <c r="O4157" s="75">
        <f>M4157+N4157</f>
        <v>2981.847658119339</v>
      </c>
      <c r="P4157" s="75">
        <f>(MIN(L4157,'THAM_SO_MOI'!$C$41)-O4157)/('THAM_SO_MOI'!$C$11*H4157)</f>
        <v>0.09346210270884808</v>
      </c>
      <c r="Q4157" s="75">
        <f>IF(P4157&gt;0,1/P4157,NA())</f>
        <v>10.699523882050748</v>
      </c>
      <c r="R4157" s="75">
        <f>F4157-F4156</f>
        <v>0.0035868055555567935</v>
      </c>
      <c r="S4157" s="75">
        <f>0.5*(Q4156+Q4157)*R4157</f>
        <v>0.03836241599564896</v>
      </c>
      <c r="T4157" s="75">
        <f>0.5*(F4156*Q4156+F4157*Q4157)*R4157</f>
        <v>0.8606583649652886</v>
      </c>
      <c r="U4157" s="76">
        <f>U4156+S4157</f>
        <v>64.2994049434121</v>
      </c>
      <c r="V4157" s="76">
        <f>V4156+T4157</f>
        <v>987.2465993418306</v>
      </c>
    </row>
    <row r="4158" spans="1:22" ht="19" customHeight="1">
      <c r="A4158" s="68" t="s">
        <v>378</v>
      </c>
      <c r="B4158" s="74">
        <v>5</v>
      </c>
      <c r="C4158" s="68" t="s">
        <v>363</v>
      </c>
      <c r="D4158" s="68" t="s">
        <v>365</v>
      </c>
      <c r="E4158" s="75">
        <f>60*F4158*'THAM_SO_MOI'!$C$53/(2*PI()*'THAM_SO_MOI'!$C$26)</f>
        <v>2210.9616578947366</v>
      </c>
      <c r="F4158" s="75">
        <f>'THAM_SO_MOI'!$C$14+('THAM_SO_MOI'!$C$37-'THAM_SO_MOI'!$C$14)*67/'THAM_SO_MOI'!$C$42</f>
        <v>22.440315972222223</v>
      </c>
      <c r="G4158" s="75">
        <f>3.6*F4158</f>
        <v>80.7851375</v>
      </c>
      <c r="H4158" s="75">
        <f>'THAM_SO_MOI'!$D$53</f>
        <v>1.1</v>
      </c>
      <c r="I4158" s="75">
        <f>IF(F4158&gt;='THAM_SO_MOI'!$C$14,'THAM_SO_MOI'!$C$13*(1+F4158^2/1500),'THAM_SO_MOI'!$C$13)</f>
        <v>0.020035677809331714</v>
      </c>
      <c r="J4158" s="75">
        <f>'THAM_SO_MOI'!$C$40*('THAM_SO_MOI'!$C$23*(E4158/'THAM_SO_MOI'!$C$22)+'THAM_SO_MOI'!$C$24*(E4158/'THAM_SO_MOI'!$C$22)^2-'THAM_SO_MOI'!$C$25*(E4158/'THAM_SO_MOI'!$C$22)^3)</f>
        <v>99.54763803857415</v>
      </c>
      <c r="K4158" s="75">
        <f>'THAM_SO_MOI'!$C$31*J4158/E4158</f>
        <v>430.0342706717867</v>
      </c>
      <c r="L4158" s="75">
        <f>K4158*'THAM_SO_MOI'!$C$53*'THAM_SO_MOI'!$C$17/'THAM_SO_MOI'!$C$26</f>
        <v>3771.402236502149</v>
      </c>
      <c r="M4158" s="75">
        <f>'THAM_SO_MOI'!$C$15*'THAM_SO_MOI'!$C$16*F4158^2</f>
        <v>1472.9357592295275</v>
      </c>
      <c r="N4158" s="75">
        <f>'THAM_SO_MOI'!$C$12*I4158</f>
        <v>1509.5039946972988</v>
      </c>
      <c r="O4158" s="75">
        <f>M4158+N4158</f>
        <v>2982.4397539268266</v>
      </c>
      <c r="P4158" s="75">
        <f>(MIN(L4158,'THAM_SO_MOI'!$C$41)-O4158)/('THAM_SO_MOI'!$C$11*H4158)</f>
        <v>0.09339044538060169</v>
      </c>
      <c r="Q4158" s="75">
        <f>IF(P4158&gt;0,1/P4158,NA())</f>
        <v>10.707733493770359</v>
      </c>
      <c r="R4158" s="75">
        <f>F4158-F4157</f>
        <v>0.0035868055555567935</v>
      </c>
      <c r="S4158" s="75">
        <f>0.5*(Q4157+Q4158)*R4158</f>
        <v>0.038391834842414645</v>
      </c>
      <c r="T4158" s="75">
        <f>0.5*(F4157*Q4157+F4158*Q4158)*R4158</f>
        <v>0.8614560789984256</v>
      </c>
      <c r="U4158" s="76">
        <f>U4157+S4158</f>
        <v>64.33779677825451</v>
      </c>
      <c r="V4158" s="76">
        <f>V4157+T4158</f>
        <v>988.108055420829</v>
      </c>
    </row>
    <row r="4159" spans="1:22" ht="19" customHeight="1">
      <c r="A4159" s="68" t="s">
        <v>378</v>
      </c>
      <c r="B4159" s="74">
        <v>5</v>
      </c>
      <c r="C4159" s="68" t="s">
        <v>363</v>
      </c>
      <c r="D4159" s="68" t="s">
        <v>365</v>
      </c>
      <c r="E4159" s="75">
        <f>60*F4159*'THAM_SO_MOI'!$C$53/(2*PI()*'THAM_SO_MOI'!$C$26)</f>
        <v>2211.315052631578</v>
      </c>
      <c r="F4159" s="75">
        <f>'THAM_SO_MOI'!$C$14+('THAM_SO_MOI'!$C$37-'THAM_SO_MOI'!$C$14)*68/'THAM_SO_MOI'!$C$42</f>
        <v>22.443902777777776</v>
      </c>
      <c r="G4159" s="75">
        <f>3.6*F4159</f>
        <v>80.79804999999999</v>
      </c>
      <c r="H4159" s="75">
        <f>'THAM_SO_MOI'!$D$53</f>
        <v>1.1</v>
      </c>
      <c r="I4159" s="75">
        <f>IF(F4159&gt;='THAM_SO_MOI'!$C$14,'THAM_SO_MOI'!$C$13*(1+F4159^2/1500),'THAM_SO_MOI'!$C$13)</f>
        <v>0.02003728771898341</v>
      </c>
      <c r="J4159" s="75">
        <f>'THAM_SO_MOI'!$C$40*('THAM_SO_MOI'!$C$23*(E4159/'THAM_SO_MOI'!$C$22)+'THAM_SO_MOI'!$C$24*(E4159/'THAM_SO_MOI'!$C$22)^2-'THAM_SO_MOI'!$C$25*(E4159/'THAM_SO_MOI'!$C$22)^3)</f>
        <v>99.56319648710979</v>
      </c>
      <c r="K4159" s="75">
        <f>'THAM_SO_MOI'!$C$31*J4159/E4159</f>
        <v>430.03274597933455</v>
      </c>
      <c r="L4159" s="75">
        <f>K4159*'THAM_SO_MOI'!$C$53*'THAM_SO_MOI'!$C$17/'THAM_SO_MOI'!$C$26</f>
        <v>3771.3888649433775</v>
      </c>
      <c r="M4159" s="75">
        <f>'THAM_SO_MOI'!$C$15*'THAM_SO_MOI'!$C$16*F4159^2</f>
        <v>1473.4066578026475</v>
      </c>
      <c r="N4159" s="75">
        <f>'THAM_SO_MOI'!$C$12*I4159</f>
        <v>1509.6252865783852</v>
      </c>
      <c r="O4159" s="75">
        <f>M4159+N4159</f>
        <v>2983.0319443810326</v>
      </c>
      <c r="P4159" s="75">
        <f>(MIN(L4159,'THAM_SO_MOI'!$C$41)-O4159)/('THAM_SO_MOI'!$C$11*H4159)</f>
        <v>0.09331876427111087</v>
      </c>
      <c r="Q4159" s="75">
        <f>IF(P4159&gt;0,1/P4159,NA())</f>
        <v>10.715958444271585</v>
      </c>
      <c r="R4159" s="75">
        <f>F4159-F4158</f>
        <v>0.0035868055555532408</v>
      </c>
      <c r="S4159" s="75">
        <f>0.5*(Q4158+Q4159)*R4159</f>
        <v>0.03842130863191501</v>
      </c>
      <c r="T4159" s="75">
        <f>0.5*(F4158*Q4158+F4159*Q4159)*R4159</f>
        <v>0.8622552371019233</v>
      </c>
      <c r="U4159" s="76">
        <f>U4158+S4159</f>
        <v>64.37621808688642</v>
      </c>
      <c r="V4159" s="76">
        <f>V4158+T4159</f>
        <v>988.970310657931</v>
      </c>
    </row>
    <row r="4160" spans="1:22" ht="19" customHeight="1">
      <c r="A4160" s="68" t="s">
        <v>378</v>
      </c>
      <c r="B4160" s="74">
        <v>5</v>
      </c>
      <c r="C4160" s="68" t="s">
        <v>363</v>
      </c>
      <c r="D4160" s="68" t="s">
        <v>365</v>
      </c>
      <c r="E4160" s="75">
        <f>60*F4160*'THAM_SO_MOI'!$C$53/(2*PI()*'THAM_SO_MOI'!$C$26)</f>
        <v>2211.6684473684204</v>
      </c>
      <c r="F4160" s="75">
        <f>'THAM_SO_MOI'!$C$14+('THAM_SO_MOI'!$C$37-'THAM_SO_MOI'!$C$14)*69/'THAM_SO_MOI'!$C$42</f>
        <v>22.447489583333333</v>
      </c>
      <c r="G4160" s="75">
        <f>3.6*F4160</f>
        <v>80.8109625</v>
      </c>
      <c r="H4160" s="75">
        <f>'THAM_SO_MOI'!$D$53</f>
        <v>1.1</v>
      </c>
      <c r="I4160" s="75">
        <f>IF(F4160&gt;='THAM_SO_MOI'!$C$14,'THAM_SO_MOI'!$C$13*(1+F4160^2/1500),'THAM_SO_MOI'!$C$13)</f>
        <v>0.020038897885938583</v>
      </c>
      <c r="J4160" s="75">
        <f>'THAM_SO_MOI'!$C$40*('THAM_SO_MOI'!$C$23*(E4160/'THAM_SO_MOI'!$C$22)+'THAM_SO_MOI'!$C$24*(E4160/'THAM_SO_MOI'!$C$22)^2-'THAM_SO_MOI'!$C$25*(E4160/'THAM_SO_MOI'!$C$22)^3)</f>
        <v>99.57875201721923</v>
      </c>
      <c r="K4160" s="75">
        <f>'THAM_SO_MOI'!$C$31*J4160/E4160</f>
        <v>430.0312091708983</v>
      </c>
      <c r="L4160" s="75">
        <f>K4160*'THAM_SO_MOI'!$C$53*'THAM_SO_MOI'!$C$17/'THAM_SO_MOI'!$C$26</f>
        <v>3771.3753871273784</v>
      </c>
      <c r="M4160" s="75">
        <f>'THAM_SO_MOI'!$C$15*'THAM_SO_MOI'!$C$16*F4160^2</f>
        <v>1473.8776316370363</v>
      </c>
      <c r="N4160" s="75">
        <f>'THAM_SO_MOI'!$C$12*I4160</f>
        <v>1509.7465978449216</v>
      </c>
      <c r="O4160" s="75">
        <f>M4160+N4160</f>
        <v>2983.6242294819576</v>
      </c>
      <c r="P4160" s="75">
        <f>(MIN(L4160,'THAM_SO_MOI'!$C$41)-O4160)/('THAM_SO_MOI'!$C$11*H4160)</f>
        <v>0.09324705938037649</v>
      </c>
      <c r="Q4160" s="75">
        <f>IF(P4160&gt;0,1/P4160,NA())</f>
        <v>10.72419877522107</v>
      </c>
      <c r="R4160" s="75">
        <f>F4160-F4159</f>
        <v>0.0035868055555567935</v>
      </c>
      <c r="S4160" s="75">
        <f>0.5*(Q4159+Q4160)*R4160</f>
        <v>0.03845083751344367</v>
      </c>
      <c r="T4160" s="75">
        <f>0.5*(F4159*Q4159+F4160*Q4160)*R4160</f>
        <v>0.863055843217988</v>
      </c>
      <c r="U4160" s="76">
        <f>U4159+S4160</f>
        <v>64.41466892439986</v>
      </c>
      <c r="V4160" s="76">
        <f>V4159+T4160</f>
        <v>989.833366501149</v>
      </c>
    </row>
    <row r="4161" spans="1:22" ht="19" customHeight="1">
      <c r="A4161" s="68" t="s">
        <v>378</v>
      </c>
      <c r="B4161" s="74">
        <v>5</v>
      </c>
      <c r="C4161" s="68" t="s">
        <v>363</v>
      </c>
      <c r="D4161" s="68" t="s">
        <v>365</v>
      </c>
      <c r="E4161" s="75">
        <f>60*F4161*'THAM_SO_MOI'!$C$53/(2*PI()*'THAM_SO_MOI'!$C$26)</f>
        <v>2212.0218421052627</v>
      </c>
      <c r="F4161" s="75">
        <f>'THAM_SO_MOI'!$C$14+('THAM_SO_MOI'!$C$37-'THAM_SO_MOI'!$C$14)*70/'THAM_SO_MOI'!$C$42</f>
        <v>22.45107638888889</v>
      </c>
      <c r="G4161" s="75">
        <f>3.6*F4161</f>
        <v>80.823875</v>
      </c>
      <c r="H4161" s="75">
        <f>'THAM_SO_MOI'!$D$53</f>
        <v>1.1</v>
      </c>
      <c r="I4161" s="75">
        <f>IF(F4161&gt;='THAM_SO_MOI'!$C$14,'THAM_SO_MOI'!$C$13*(1+F4161^2/1500),'THAM_SO_MOI'!$C$13)</f>
        <v>0.02004050831019724</v>
      </c>
      <c r="J4161" s="75">
        <f>'THAM_SO_MOI'!$C$40*('THAM_SO_MOI'!$C$23*(E4161/'THAM_SO_MOI'!$C$22)+'THAM_SO_MOI'!$C$24*(E4161/'THAM_SO_MOI'!$C$22)^2-'THAM_SO_MOI'!$C$25*(E4161/'THAM_SO_MOI'!$C$22)^3)</f>
        <v>99.59430462755736</v>
      </c>
      <c r="K4161" s="75">
        <f>'THAM_SO_MOI'!$C$31*J4161/E4161</f>
        <v>430.0296602464773</v>
      </c>
      <c r="L4161" s="75">
        <f>K4161*'THAM_SO_MOI'!$C$53*'THAM_SO_MOI'!$C$17/'THAM_SO_MOI'!$C$26</f>
        <v>3771.3618030541456</v>
      </c>
      <c r="M4161" s="75">
        <f>'THAM_SO_MOI'!$C$15*'THAM_SO_MOI'!$C$16*F4161^2</f>
        <v>1474.3486807326933</v>
      </c>
      <c r="N4161" s="75">
        <f>'THAM_SO_MOI'!$C$12*I4161</f>
        <v>1509.8679284969085</v>
      </c>
      <c r="O4161" s="75">
        <f>M4161+N4161</f>
        <v>2984.216609229602</v>
      </c>
      <c r="P4161" s="75">
        <f>(MIN(L4161,'THAM_SO_MOI'!$C$41)-O4161)/('THAM_SO_MOI'!$C$11*H4161)</f>
        <v>0.09317533070839769</v>
      </c>
      <c r="Q4161" s="75">
        <f>IF(P4161&gt;0,1/P4161,NA())</f>
        <v>10.732454528437453</v>
      </c>
      <c r="R4161" s="75">
        <f>F4161-F4160</f>
        <v>0.0035868055555567935</v>
      </c>
      <c r="S4161" s="75">
        <f>0.5*(Q4160+Q4161)*R4161</f>
        <v>0.03848042163660921</v>
      </c>
      <c r="T4161" s="75">
        <f>0.5*(F4160*Q4160+F4161*Q4161)*R4161</f>
        <v>0.8638579012980385</v>
      </c>
      <c r="U4161" s="76">
        <f>U4160+S4161</f>
        <v>64.45314934603647</v>
      </c>
      <c r="V4161" s="76">
        <f>V4160+T4161</f>
        <v>990.6972244024471</v>
      </c>
    </row>
    <row r="4162" spans="1:22" ht="19" customHeight="1">
      <c r="A4162" s="68" t="s">
        <v>378</v>
      </c>
      <c r="B4162" s="74">
        <v>5</v>
      </c>
      <c r="C4162" s="68" t="s">
        <v>363</v>
      </c>
      <c r="D4162" s="68" t="s">
        <v>365</v>
      </c>
      <c r="E4162" s="75">
        <f>60*F4162*'THAM_SO_MOI'!$C$53/(2*PI()*'THAM_SO_MOI'!$C$26)</f>
        <v>2212.3752368421046</v>
      </c>
      <c r="F4162" s="75">
        <f>'THAM_SO_MOI'!$C$14+('THAM_SO_MOI'!$C$37-'THAM_SO_MOI'!$C$14)*71/'THAM_SO_MOI'!$C$42</f>
        <v>22.454663194444443</v>
      </c>
      <c r="G4162" s="75">
        <f>3.6*F4162</f>
        <v>80.8367875</v>
      </c>
      <c r="H4162" s="75">
        <f>'THAM_SO_MOI'!$D$53</f>
        <v>1.1</v>
      </c>
      <c r="I4162" s="75">
        <f>IF(F4162&gt;='THAM_SO_MOI'!$C$14,'THAM_SO_MOI'!$C$13*(1+F4162^2/1500),'THAM_SO_MOI'!$C$13)</f>
        <v>0.02004211899175938</v>
      </c>
      <c r="J4162" s="75">
        <f>'THAM_SO_MOI'!$C$40*('THAM_SO_MOI'!$C$23*(E4162/'THAM_SO_MOI'!$C$22)+'THAM_SO_MOI'!$C$24*(E4162/'THAM_SO_MOI'!$C$22)^2-'THAM_SO_MOI'!$C$25*(E4162/'THAM_SO_MOI'!$C$22)^3)</f>
        <v>99.60985431677938</v>
      </c>
      <c r="K4162" s="75">
        <f>'THAM_SO_MOI'!$C$31*J4162/E4162</f>
        <v>430.028099206072</v>
      </c>
      <c r="L4162" s="75">
        <f>K4162*'THAM_SO_MOI'!$C$53*'THAM_SO_MOI'!$C$17/'THAM_SO_MOI'!$C$26</f>
        <v>3771.348112723683</v>
      </c>
      <c r="M4162" s="75">
        <f>'THAM_SO_MOI'!$C$15*'THAM_SO_MOI'!$C$16*F4162^2</f>
        <v>1474.8198050896185</v>
      </c>
      <c r="N4162" s="75">
        <f>'THAM_SO_MOI'!$C$12*I4162</f>
        <v>1509.9892785343452</v>
      </c>
      <c r="O4162" s="75">
        <f>M4162+N4162</f>
        <v>2984.8090836239635</v>
      </c>
      <c r="P4162" s="75">
        <f>(MIN(L4162,'THAM_SO_MOI'!$C$41)-O4162)/('THAM_SO_MOI'!$C$11*H4162)</f>
        <v>0.09310357825517508</v>
      </c>
      <c r="Q4162" s="75">
        <f>IF(P4162&gt;0,1/P4162,NA())</f>
        <v>10.740725745891682</v>
      </c>
      <c r="R4162" s="75">
        <f>F4162-F4161</f>
        <v>0.0035868055555532408</v>
      </c>
      <c r="S4162" s="75">
        <f>0.5*(Q4161+Q4162)*R4162</f>
        <v>0.03851006115168</v>
      </c>
      <c r="T4162" s="75">
        <f>0.5*(F4161*Q4161+F4162*Q4162)*R4162</f>
        <v>0.864661415310455</v>
      </c>
      <c r="U4162" s="76">
        <f>U4161+S4162</f>
        <v>64.49165940718815</v>
      </c>
      <c r="V4162" s="76">
        <f>V4161+T4162</f>
        <v>991.5618858177576</v>
      </c>
    </row>
    <row r="4163" spans="1:22" ht="19" customHeight="1">
      <c r="A4163" s="68" t="s">
        <v>378</v>
      </c>
      <c r="B4163" s="74">
        <v>5</v>
      </c>
      <c r="C4163" s="68" t="s">
        <v>363</v>
      </c>
      <c r="D4163" s="68" t="s">
        <v>365</v>
      </c>
      <c r="E4163" s="75">
        <f>60*F4163*'THAM_SO_MOI'!$C$53/(2*PI()*'THAM_SO_MOI'!$C$26)</f>
        <v>2212.728631578947</v>
      </c>
      <c r="F4163" s="75">
        <f>'THAM_SO_MOI'!$C$14+('THAM_SO_MOI'!$C$37-'THAM_SO_MOI'!$C$14)*72/'THAM_SO_MOI'!$C$42</f>
        <v>22.45825</v>
      </c>
      <c r="G4163" s="75">
        <f>3.6*F4163</f>
        <v>80.8497</v>
      </c>
      <c r="H4163" s="75">
        <f>'THAM_SO_MOI'!$D$53</f>
        <v>1.1</v>
      </c>
      <c r="I4163" s="75">
        <f>IF(F4163&gt;='THAM_SO_MOI'!$C$14,'THAM_SO_MOI'!$C$13*(1+F4163^2/1500),'THAM_SO_MOI'!$C$13)</f>
        <v>0.020043729930625</v>
      </c>
      <c r="J4163" s="75">
        <f>'THAM_SO_MOI'!$C$40*('THAM_SO_MOI'!$C$23*(E4163/'THAM_SO_MOI'!$C$22)+'THAM_SO_MOI'!$C$24*(E4163/'THAM_SO_MOI'!$C$22)^2-'THAM_SO_MOI'!$C$25*(E4163/'THAM_SO_MOI'!$C$22)^3)</f>
        <v>99.62540108354038</v>
      </c>
      <c r="K4163" s="75">
        <f>'THAM_SO_MOI'!$C$31*J4163/E4163</f>
        <v>430.02652604968216</v>
      </c>
      <c r="L4163" s="75">
        <f>K4163*'THAM_SO_MOI'!$C$53*'THAM_SO_MOI'!$C$17/'THAM_SO_MOI'!$C$26</f>
        <v>3771.334316135988</v>
      </c>
      <c r="M4163" s="75">
        <f>'THAM_SO_MOI'!$C$15*'THAM_SO_MOI'!$C$16*F4163^2</f>
        <v>1475.2910047078126</v>
      </c>
      <c r="N4163" s="75">
        <f>'THAM_SO_MOI'!$C$12*I4163</f>
        <v>1510.110647957232</v>
      </c>
      <c r="O4163" s="75">
        <f>M4163+N4163</f>
        <v>2985.401652665045</v>
      </c>
      <c r="P4163" s="75">
        <f>(MIN(L4163,'THAM_SO_MOI'!$C$41)-O4163)/('THAM_SO_MOI'!$C$11*H4163)</f>
        <v>0.09303180202070827</v>
      </c>
      <c r="Q4163" s="75">
        <f>IF(P4163&gt;0,1/P4163,NA())</f>
        <v>10.74901246970801</v>
      </c>
      <c r="R4163" s="75">
        <f>F4163-F4162</f>
        <v>0.0035868055555567935</v>
      </c>
      <c r="S4163" s="75">
        <f>0.5*(Q4162+Q4163)*R4163</f>
        <v>0.03853975620958706</v>
      </c>
      <c r="T4163" s="75">
        <f>0.5*(F4162*Q4162+F4163*Q4163)*R4163</f>
        <v>0.8654663892406534</v>
      </c>
      <c r="U4163" s="76">
        <f>U4162+S4163</f>
        <v>64.53019916339774</v>
      </c>
      <c r="V4163" s="76">
        <f>V4162+T4163</f>
        <v>992.4273522069982</v>
      </c>
    </row>
    <row r="4164" spans="1:22" ht="19" customHeight="1">
      <c r="A4164" s="68" t="s">
        <v>378</v>
      </c>
      <c r="B4164" s="74">
        <v>5</v>
      </c>
      <c r="C4164" s="68" t="s">
        <v>363</v>
      </c>
      <c r="D4164" s="68" t="s">
        <v>365</v>
      </c>
      <c r="E4164" s="75">
        <f>60*F4164*'THAM_SO_MOI'!$C$53/(2*PI()*'THAM_SO_MOI'!$C$26)</f>
        <v>2213.0820263157893</v>
      </c>
      <c r="F4164" s="75">
        <f>'THAM_SO_MOI'!$C$14+('THAM_SO_MOI'!$C$37-'THAM_SO_MOI'!$C$14)*73/'THAM_SO_MOI'!$C$42</f>
        <v>22.461836805555556</v>
      </c>
      <c r="G4164" s="75">
        <f>3.6*F4164</f>
        <v>80.86261250000001</v>
      </c>
      <c r="H4164" s="75">
        <f>'THAM_SO_MOI'!$D$53</f>
        <v>1.1</v>
      </c>
      <c r="I4164" s="75">
        <f>IF(F4164&gt;='THAM_SO_MOI'!$C$14,'THAM_SO_MOI'!$C$13*(1+F4164^2/1500),'THAM_SO_MOI'!$C$13)</f>
        <v>0.0200453411267941</v>
      </c>
      <c r="J4164" s="75">
        <f>'THAM_SO_MOI'!$C$40*('THAM_SO_MOI'!$C$23*(E4164/'THAM_SO_MOI'!$C$22)+'THAM_SO_MOI'!$C$24*(E4164/'THAM_SO_MOI'!$C$22)^2-'THAM_SO_MOI'!$C$25*(E4164/'THAM_SO_MOI'!$C$22)^3)</f>
        <v>99.6409449264955</v>
      </c>
      <c r="K4164" s="75">
        <f>'THAM_SO_MOI'!$C$31*J4164/E4164</f>
        <v>430.02494077730785</v>
      </c>
      <c r="L4164" s="75">
        <f>K4164*'THAM_SO_MOI'!$C$53*'THAM_SO_MOI'!$C$17/'THAM_SO_MOI'!$C$26</f>
        <v>3771.320413291062</v>
      </c>
      <c r="M4164" s="75">
        <f>'THAM_SO_MOI'!$C$15*'THAM_SO_MOI'!$C$16*F4164^2</f>
        <v>1475.762279587275</v>
      </c>
      <c r="N4164" s="75">
        <f>'THAM_SO_MOI'!$C$12*I4164</f>
        <v>1510.232036765569</v>
      </c>
      <c r="O4164" s="75">
        <f>M4164+N4164</f>
        <v>2985.994316352844</v>
      </c>
      <c r="P4164" s="75">
        <f>(MIN(L4164,'THAM_SO_MOI'!$C$41)-O4164)/('THAM_SO_MOI'!$C$11*H4164)</f>
        <v>0.09296000200499734</v>
      </c>
      <c r="Q4164" s="75">
        <f>IF(P4164&gt;0,1/P4164,NA())</f>
        <v>10.757314742164507</v>
      </c>
      <c r="R4164" s="75">
        <f>F4164-F4163</f>
        <v>0.0035868055555567935</v>
      </c>
      <c r="S4164" s="75">
        <f>0.5*(Q4163+Q4164)*R4164</f>
        <v>0.038569506961583296</v>
      </c>
      <c r="T4164" s="75">
        <f>0.5*(F4163*Q4163+F4164*Q4164)*R4164</f>
        <v>0.8662728270834454</v>
      </c>
      <c r="U4164" s="76">
        <f>U4163+S4164</f>
        <v>64.56876867035932</v>
      </c>
      <c r="V4164" s="76">
        <f>V4163+T4164</f>
        <v>993.2936250340816</v>
      </c>
    </row>
    <row r="4165" spans="1:22" ht="19" customHeight="1">
      <c r="A4165" s="68" t="s">
        <v>378</v>
      </c>
      <c r="B4165" s="74">
        <v>5</v>
      </c>
      <c r="C4165" s="68" t="s">
        <v>363</v>
      </c>
      <c r="D4165" s="68" t="s">
        <v>365</v>
      </c>
      <c r="E4165" s="75">
        <f>60*F4165*'THAM_SO_MOI'!$C$53/(2*PI()*'THAM_SO_MOI'!$C$26)</f>
        <v>2213.4354210526308</v>
      </c>
      <c r="F4165" s="75">
        <f>'THAM_SO_MOI'!$C$14+('THAM_SO_MOI'!$C$37-'THAM_SO_MOI'!$C$14)*74/'THAM_SO_MOI'!$C$42</f>
        <v>22.46542361111111</v>
      </c>
      <c r="G4165" s="75">
        <f>3.6*F4165</f>
        <v>80.875525</v>
      </c>
      <c r="H4165" s="75">
        <f>'THAM_SO_MOI'!$D$53</f>
        <v>1.1</v>
      </c>
      <c r="I4165" s="75">
        <f>IF(F4165&gt;='THAM_SO_MOI'!$C$14,'THAM_SO_MOI'!$C$13*(1+F4165^2/1500),'THAM_SO_MOI'!$C$13)</f>
        <v>0.020046952580266682</v>
      </c>
      <c r="J4165" s="75">
        <f>'THAM_SO_MOI'!$C$40*('THAM_SO_MOI'!$C$23*(E4165/'THAM_SO_MOI'!$C$22)+'THAM_SO_MOI'!$C$24*(E4165/'THAM_SO_MOI'!$C$22)^2-'THAM_SO_MOI'!$C$25*(E4165/'THAM_SO_MOI'!$C$22)^3)</f>
        <v>99.65648584429977</v>
      </c>
      <c r="K4165" s="75">
        <f>'THAM_SO_MOI'!$C$31*J4165/E4165</f>
        <v>430.0233433889491</v>
      </c>
      <c r="L4165" s="75">
        <f>K4165*'THAM_SO_MOI'!$C$53*'THAM_SO_MOI'!$C$17/'THAM_SO_MOI'!$C$26</f>
        <v>3771.306404188905</v>
      </c>
      <c r="M4165" s="75">
        <f>'THAM_SO_MOI'!$C$15*'THAM_SO_MOI'!$C$16*F4165^2</f>
        <v>1476.2336297280056</v>
      </c>
      <c r="N4165" s="75">
        <f>'THAM_SO_MOI'!$C$12*I4165</f>
        <v>1510.353444959356</v>
      </c>
      <c r="O4165" s="75">
        <f>M4165+N4165</f>
        <v>2986.5870746873616</v>
      </c>
      <c r="P4165" s="75">
        <f>(MIN(L4165,'THAM_SO_MOI'!$C$41)-O4165)/('THAM_SO_MOI'!$C$11*H4165)</f>
        <v>0.09288817820804254</v>
      </c>
      <c r="Q4165" s="75">
        <f>IF(P4165&gt;0,1/P4165,NA())</f>
        <v>10.76563260569381</v>
      </c>
      <c r="R4165" s="75">
        <f>F4165-F4164</f>
        <v>0.0035868055555532408</v>
      </c>
      <c r="S4165" s="75">
        <f>0.5*(Q4164+Q4165)*R4165</f>
        <v>0.03859931355958905</v>
      </c>
      <c r="T4165" s="75">
        <f>0.5*(F4164*Q4164+F4165*Q4165)*R4165</f>
        <v>0.8670807328508056</v>
      </c>
      <c r="U4165" s="76">
        <f>U4164+S4165</f>
        <v>64.6073679839189</v>
      </c>
      <c r="V4165" s="76">
        <f>V4164+T4165</f>
        <v>994.1607057669324</v>
      </c>
    </row>
    <row r="4166" spans="1:22" ht="19" customHeight="1">
      <c r="A4166" s="68" t="s">
        <v>378</v>
      </c>
      <c r="B4166" s="74">
        <v>5</v>
      </c>
      <c r="C4166" s="68" t="s">
        <v>363</v>
      </c>
      <c r="D4166" s="68" t="s">
        <v>365</v>
      </c>
      <c r="E4166" s="75">
        <f>60*F4166*'THAM_SO_MOI'!$C$53/(2*PI()*'THAM_SO_MOI'!$C$26)</f>
        <v>2213.788815789473</v>
      </c>
      <c r="F4166" s="75">
        <f>'THAM_SO_MOI'!$C$14+('THAM_SO_MOI'!$C$37-'THAM_SO_MOI'!$C$14)*75/'THAM_SO_MOI'!$C$42</f>
        <v>22.469010416666666</v>
      </c>
      <c r="G4166" s="75">
        <f>3.6*F4166</f>
        <v>80.8884375</v>
      </c>
      <c r="H4166" s="75">
        <f>'THAM_SO_MOI'!$D$53</f>
        <v>1.1</v>
      </c>
      <c r="I4166" s="75">
        <f>IF(F4166&gt;='THAM_SO_MOI'!$C$14,'THAM_SO_MOI'!$C$13*(1+F4166^2/1500),'THAM_SO_MOI'!$C$13)</f>
        <v>0.02004856429104275</v>
      </c>
      <c r="J4166" s="75">
        <f>'THAM_SO_MOI'!$C$40*('THAM_SO_MOI'!$C$23*(E4166/'THAM_SO_MOI'!$C$22)+'THAM_SO_MOI'!$C$24*(E4166/'THAM_SO_MOI'!$C$22)^2-'THAM_SO_MOI'!$C$25*(E4166/'THAM_SO_MOI'!$C$22)^3)</f>
        <v>99.67202383560843</v>
      </c>
      <c r="K4166" s="75">
        <f>'THAM_SO_MOI'!$C$31*J4166/E4166</f>
        <v>430.021733884606</v>
      </c>
      <c r="L4166" s="75">
        <f>K4166*'THAM_SO_MOI'!$C$53*'THAM_SO_MOI'!$C$17/'THAM_SO_MOI'!$C$26</f>
        <v>3771.2922888295184</v>
      </c>
      <c r="M4166" s="75">
        <f>'THAM_SO_MOI'!$C$15*'THAM_SO_MOI'!$C$16*F4166^2</f>
        <v>1476.7050551300051</v>
      </c>
      <c r="N4166" s="75">
        <f>'THAM_SO_MOI'!$C$12*I4166</f>
        <v>1510.4748725385937</v>
      </c>
      <c r="O4166" s="75">
        <f>M4166+N4166</f>
        <v>2987.179927668599</v>
      </c>
      <c r="P4166" s="75">
        <f>(MIN(L4166,'THAM_SO_MOI'!$C$41)-O4166)/('THAM_SO_MOI'!$C$11*H4166)</f>
        <v>0.09281633062984374</v>
      </c>
      <c r="Q4166" s="75">
        <f>IF(P4166&gt;0,1/P4166,NA())</f>
        <v>10.773966102883888</v>
      </c>
      <c r="R4166" s="75">
        <f>F4166-F4165</f>
        <v>0.0035868055555567935</v>
      </c>
      <c r="S4166" s="75">
        <f>0.5*(Q4165+Q4166)*R4166</f>
        <v>0.03862917615619521</v>
      </c>
      <c r="T4166" s="75">
        <f>0.5*(F4165*Q4165+F4166*Q4166)*R4166</f>
        <v>0.867890110571953</v>
      </c>
      <c r="U4166" s="76">
        <f>U4165+S4166</f>
        <v>64.6459971600751</v>
      </c>
      <c r="V4166" s="76">
        <f>V4165+T4166</f>
        <v>995.0285958775044</v>
      </c>
    </row>
    <row r="4167" spans="1:22" ht="19" customHeight="1">
      <c r="A4167" s="68" t="s">
        <v>378</v>
      </c>
      <c r="B4167" s="74">
        <v>5</v>
      </c>
      <c r="C4167" s="68" t="s">
        <v>363</v>
      </c>
      <c r="D4167" s="68" t="s">
        <v>365</v>
      </c>
      <c r="E4167" s="75">
        <f>60*F4167*'THAM_SO_MOI'!$C$53/(2*PI()*'THAM_SO_MOI'!$C$26)</f>
        <v>2214.1422105263146</v>
      </c>
      <c r="F4167" s="75">
        <f>'THAM_SO_MOI'!$C$14+('THAM_SO_MOI'!$C$37-'THAM_SO_MOI'!$C$14)*76/'THAM_SO_MOI'!$C$42</f>
        <v>22.47259722222222</v>
      </c>
      <c r="G4167" s="75">
        <f>3.6*F4167</f>
        <v>80.90135</v>
      </c>
      <c r="H4167" s="75">
        <f>'THAM_SO_MOI'!$D$53</f>
        <v>1.1</v>
      </c>
      <c r="I4167" s="75">
        <f>IF(F4167&gt;='THAM_SO_MOI'!$C$14,'THAM_SO_MOI'!$C$13*(1+F4167^2/1500),'THAM_SO_MOI'!$C$13)</f>
        <v>0.020050176259122296</v>
      </c>
      <c r="J4167" s="75">
        <f>'THAM_SO_MOI'!$C$40*('THAM_SO_MOI'!$C$23*(E4167/'THAM_SO_MOI'!$C$22)+'THAM_SO_MOI'!$C$24*(E4167/'THAM_SO_MOI'!$C$22)^2-'THAM_SO_MOI'!$C$25*(E4167/'THAM_SO_MOI'!$C$22)^3)</f>
        <v>99.68755889907644</v>
      </c>
      <c r="K4167" s="75">
        <f>'THAM_SO_MOI'!$C$31*J4167/E4167</f>
        <v>430.02011226427834</v>
      </c>
      <c r="L4167" s="75">
        <f>K4167*'THAM_SO_MOI'!$C$53*'THAM_SO_MOI'!$C$17/'THAM_SO_MOI'!$C$26</f>
        <v>3771.2780672128993</v>
      </c>
      <c r="M4167" s="75">
        <f>'THAM_SO_MOI'!$C$15*'THAM_SO_MOI'!$C$16*F4167^2</f>
        <v>1477.1765557932724</v>
      </c>
      <c r="N4167" s="75">
        <f>'THAM_SO_MOI'!$C$12*I4167</f>
        <v>1510.5963195032812</v>
      </c>
      <c r="O4167" s="75">
        <f>M4167+N4167</f>
        <v>2987.7728752965536</v>
      </c>
      <c r="P4167" s="75">
        <f>(MIN(L4167,'THAM_SO_MOI'!$C$41)-O4167)/('THAM_SO_MOI'!$C$11*H4167)</f>
        <v>0.09274445927040079</v>
      </c>
      <c r="Q4167" s="75">
        <f>IF(P4167&gt;0,1/P4167,NA())</f>
        <v>10.78231527647871</v>
      </c>
      <c r="R4167" s="75">
        <f>F4167-F4166</f>
        <v>0.0035868055555532408</v>
      </c>
      <c r="S4167" s="75">
        <f>0.5*(Q4166+Q4167)*R4167</f>
        <v>0.03865909490428332</v>
      </c>
      <c r="T4167" s="75">
        <f>0.5*(F4166*Q4166+F4167*Q4167)*R4167</f>
        <v>0.8687009642848278</v>
      </c>
      <c r="U4167" s="76">
        <f>U4166+S4167</f>
        <v>64.68465625497939</v>
      </c>
      <c r="V4167" s="76">
        <f>V4166+T4167</f>
        <v>995.8972968417892</v>
      </c>
    </row>
    <row r="4168" spans="1:22" ht="19" customHeight="1">
      <c r="A4168" s="68" t="s">
        <v>378</v>
      </c>
      <c r="B4168" s="74">
        <v>5</v>
      </c>
      <c r="C4168" s="68" t="s">
        <v>363</v>
      </c>
      <c r="D4168" s="68" t="s">
        <v>365</v>
      </c>
      <c r="E4168" s="75">
        <f>60*F4168*'THAM_SO_MOI'!$C$53/(2*PI()*'THAM_SO_MOI'!$C$26)</f>
        <v>2214.4956052631574</v>
      </c>
      <c r="F4168" s="75">
        <f>'THAM_SO_MOI'!$C$14+('THAM_SO_MOI'!$C$37-'THAM_SO_MOI'!$C$14)*77/'THAM_SO_MOI'!$C$42</f>
        <v>22.476184027777776</v>
      </c>
      <c r="G4168" s="75">
        <f>3.6*F4168</f>
        <v>80.91426249999999</v>
      </c>
      <c r="H4168" s="75">
        <f>'THAM_SO_MOI'!$D$53</f>
        <v>1.1</v>
      </c>
      <c r="I4168" s="75">
        <f>IF(F4168&gt;='THAM_SO_MOI'!$C$14,'THAM_SO_MOI'!$C$13*(1+F4168^2/1500),'THAM_SO_MOI'!$C$13)</f>
        <v>0.020051788484505326</v>
      </c>
      <c r="J4168" s="75">
        <f>'THAM_SO_MOI'!$C$40*('THAM_SO_MOI'!$C$23*(E4168/'THAM_SO_MOI'!$C$22)+'THAM_SO_MOI'!$C$24*(E4168/'THAM_SO_MOI'!$C$22)^2-'THAM_SO_MOI'!$C$25*(E4168/'THAM_SO_MOI'!$C$22)^3)</f>
        <v>99.70309103335907</v>
      </c>
      <c r="K4168" s="75">
        <f>'THAM_SO_MOI'!$C$31*J4168/E4168</f>
        <v>430.0184785279663</v>
      </c>
      <c r="L4168" s="75">
        <f>K4168*'THAM_SO_MOI'!$C$53*'THAM_SO_MOI'!$C$17/'THAM_SO_MOI'!$C$26</f>
        <v>3771.26373933905</v>
      </c>
      <c r="M4168" s="75">
        <f>'THAM_SO_MOI'!$C$15*'THAM_SO_MOI'!$C$16*F4168^2</f>
        <v>1477.6481317178086</v>
      </c>
      <c r="N4168" s="75">
        <f>'THAM_SO_MOI'!$C$12*I4168</f>
        <v>1510.717785853419</v>
      </c>
      <c r="O4168" s="75">
        <f>M4168+N4168</f>
        <v>2988.3659175712273</v>
      </c>
      <c r="P4168" s="75">
        <f>(MIN(L4168,'THAM_SO_MOI'!$C$41)-O4168)/('THAM_SO_MOI'!$C$11*H4168)</f>
        <v>0.09267256412971384</v>
      </c>
      <c r="Q4168" s="75">
        <f>IF(P4168&gt;0,1/P4168,NA())</f>
        <v>10.790680169378927</v>
      </c>
      <c r="R4168" s="75">
        <f>F4168-F4167</f>
        <v>0.0035868055555567935</v>
      </c>
      <c r="S4168" s="75">
        <f>0.5*(Q4167+Q4168)*R4168</f>
        <v>0.03868906995760179</v>
      </c>
      <c r="T4168" s="75">
        <f>0.5*(F4167*Q4167+F4168*Q4168)*R4168</f>
        <v>0.8695132980490455</v>
      </c>
      <c r="U4168" s="76">
        <f>U4167+S4168</f>
        <v>64.72334532493699</v>
      </c>
      <c r="V4168" s="76">
        <f>V4167+T4168</f>
        <v>996.7668101398382</v>
      </c>
    </row>
    <row r="4169" spans="1:22" ht="19" customHeight="1">
      <c r="A4169" s="68" t="s">
        <v>378</v>
      </c>
      <c r="B4169" s="74">
        <v>5</v>
      </c>
      <c r="C4169" s="68" t="s">
        <v>363</v>
      </c>
      <c r="D4169" s="68" t="s">
        <v>365</v>
      </c>
      <c r="E4169" s="75">
        <f>60*F4169*'THAM_SO_MOI'!$C$53/(2*PI()*'THAM_SO_MOI'!$C$26)</f>
        <v>2214.8489999999997</v>
      </c>
      <c r="F4169" s="75">
        <f>'THAM_SO_MOI'!$C$14+('THAM_SO_MOI'!$C$37-'THAM_SO_MOI'!$C$14)*78/'THAM_SO_MOI'!$C$42</f>
        <v>22.479770833333333</v>
      </c>
      <c r="G4169" s="75">
        <f>3.6*F4169</f>
        <v>80.927175</v>
      </c>
      <c r="H4169" s="75">
        <f>'THAM_SO_MOI'!$D$53</f>
        <v>1.1</v>
      </c>
      <c r="I4169" s="75">
        <f>IF(F4169&gt;='THAM_SO_MOI'!$C$14,'THAM_SO_MOI'!$C$13*(1+F4169^2/1500),'THAM_SO_MOI'!$C$13)</f>
        <v>0.02005340096719184</v>
      </c>
      <c r="J4169" s="75">
        <f>'THAM_SO_MOI'!$C$40*('THAM_SO_MOI'!$C$23*(E4169/'THAM_SO_MOI'!$C$22)+'THAM_SO_MOI'!$C$24*(E4169/'THAM_SO_MOI'!$C$22)^2-'THAM_SO_MOI'!$C$25*(E4169/'THAM_SO_MOI'!$C$22)^3)</f>
        <v>99.71862023711132</v>
      </c>
      <c r="K4169" s="75">
        <f>'THAM_SO_MOI'!$C$31*J4169/E4169</f>
        <v>430.0168326756697</v>
      </c>
      <c r="L4169" s="75">
        <f>K4169*'THAM_SO_MOI'!$C$53*'THAM_SO_MOI'!$C$17/'THAM_SO_MOI'!$C$26</f>
        <v>3771.249305207969</v>
      </c>
      <c r="M4169" s="75">
        <f>'THAM_SO_MOI'!$C$15*'THAM_SO_MOI'!$C$16*F4169^2</f>
        <v>1478.1197829036132</v>
      </c>
      <c r="N4169" s="75">
        <f>'THAM_SO_MOI'!$C$12*I4169</f>
        <v>1510.839271589007</v>
      </c>
      <c r="O4169" s="75">
        <f>M4169+N4169</f>
        <v>2988.9590544926205</v>
      </c>
      <c r="P4169" s="75">
        <f>(MIN(L4169,'THAM_SO_MOI'!$C$41)-O4169)/('THAM_SO_MOI'!$C$11*H4169)</f>
        <v>0.09260064520778276</v>
      </c>
      <c r="Q4169" s="75">
        <f>IF(P4169&gt;0,1/P4169,NA())</f>
        <v>10.79906082464265</v>
      </c>
      <c r="R4169" s="75">
        <f>F4169-F4168</f>
        <v>0.0035868055555567935</v>
      </c>
      <c r="S4169" s="75">
        <f>0.5*(Q4168+Q4169)*R4169</f>
        <v>0.03871910147019442</v>
      </c>
      <c r="T4169" s="75">
        <f>0.5*(F4168*Q4168+F4169*Q4169)*R4169</f>
        <v>0.8703271159330679</v>
      </c>
      <c r="U4169" s="76">
        <f>U4168+S4169</f>
        <v>64.76206442640718</v>
      </c>
      <c r="V4169" s="76">
        <f>V4168+T4169</f>
        <v>997.6371372557712</v>
      </c>
    </row>
    <row r="4170" spans="1:22" ht="19" customHeight="1">
      <c r="A4170" s="68" t="s">
        <v>378</v>
      </c>
      <c r="B4170" s="74">
        <v>5</v>
      </c>
      <c r="C4170" s="68" t="s">
        <v>363</v>
      </c>
      <c r="D4170" s="68" t="s">
        <v>365</v>
      </c>
      <c r="E4170" s="75">
        <f>60*F4170*'THAM_SO_MOI'!$C$53/(2*PI()*'THAM_SO_MOI'!$C$26)</f>
        <v>2215.2023947368416</v>
      </c>
      <c r="F4170" s="75">
        <f>'THAM_SO_MOI'!$C$14+('THAM_SO_MOI'!$C$37-'THAM_SO_MOI'!$C$14)*79/'THAM_SO_MOI'!$C$42</f>
        <v>22.483357638888886</v>
      </c>
      <c r="G4170" s="75">
        <f>3.6*F4170</f>
        <v>80.94008749999999</v>
      </c>
      <c r="H4170" s="75">
        <f>'THAM_SO_MOI'!$D$53</f>
        <v>1.1</v>
      </c>
      <c r="I4170" s="75">
        <f>IF(F4170&gt;='THAM_SO_MOI'!$C$14,'THAM_SO_MOI'!$C$13*(1+F4170^2/1500),'THAM_SO_MOI'!$C$13)</f>
        <v>0.02005501370718183</v>
      </c>
      <c r="J4170" s="75">
        <f>'THAM_SO_MOI'!$C$40*('THAM_SO_MOI'!$C$23*(E4170/'THAM_SO_MOI'!$C$22)+'THAM_SO_MOI'!$C$24*(E4170/'THAM_SO_MOI'!$C$22)^2-'THAM_SO_MOI'!$C$25*(E4170/'THAM_SO_MOI'!$C$22)^3)</f>
        <v>99.73414650898832</v>
      </c>
      <c r="K4170" s="75">
        <f>'THAM_SO_MOI'!$C$31*J4170/E4170</f>
        <v>430.0151747073887</v>
      </c>
      <c r="L4170" s="75">
        <f>K4170*'THAM_SO_MOI'!$C$53*'THAM_SO_MOI'!$C$17/'THAM_SO_MOI'!$C$26</f>
        <v>3771.234764819657</v>
      </c>
      <c r="M4170" s="75">
        <f>'THAM_SO_MOI'!$C$15*'THAM_SO_MOI'!$C$16*F4170^2</f>
        <v>1478.591509350686</v>
      </c>
      <c r="N4170" s="75">
        <f>'THAM_SO_MOI'!$C$12*I4170</f>
        <v>1510.960776710045</v>
      </c>
      <c r="O4170" s="75">
        <f>M4170+N4170</f>
        <v>2989.5522860607307</v>
      </c>
      <c r="P4170" s="75">
        <f>(MIN(L4170,'THAM_SO_MOI'!$C$41)-O4170)/('THAM_SO_MOI'!$C$11*H4170)</f>
        <v>0.09252870250460772</v>
      </c>
      <c r="Q4170" s="75">
        <f>IF(P4170&gt;0,1/P4170,NA())</f>
        <v>10.807457285486114</v>
      </c>
      <c r="R4170" s="75">
        <f>F4170-F4169</f>
        <v>0.0035868055555532408</v>
      </c>
      <c r="S4170" s="75">
        <f>0.5*(Q4169+Q4170)*R4170</f>
        <v>0.03874918959678578</v>
      </c>
      <c r="T4170" s="75">
        <f>0.5*(F4169*Q4169+F4170*Q4170)*R4170</f>
        <v>0.8711424220228705</v>
      </c>
      <c r="U4170" s="76">
        <f>U4169+S4170</f>
        <v>64.80081361600396</v>
      </c>
      <c r="V4170" s="76">
        <f>V4169+T4170</f>
        <v>998.5082796777941</v>
      </c>
    </row>
    <row r="4171" spans="1:22" ht="19" customHeight="1">
      <c r="A4171" s="68" t="s">
        <v>378</v>
      </c>
      <c r="B4171" s="74">
        <v>5</v>
      </c>
      <c r="C4171" s="68" t="s">
        <v>363</v>
      </c>
      <c r="D4171" s="68" t="s">
        <v>365</v>
      </c>
      <c r="E4171" s="75">
        <f>60*F4171*'THAM_SO_MOI'!$C$53/(2*PI()*'THAM_SO_MOI'!$C$26)</f>
        <v>2215.555789473684</v>
      </c>
      <c r="F4171" s="75">
        <f>'THAM_SO_MOI'!$C$14+('THAM_SO_MOI'!$C$37-'THAM_SO_MOI'!$C$14)*80/'THAM_SO_MOI'!$C$42</f>
        <v>22.486944444444443</v>
      </c>
      <c r="G4171" s="75">
        <f>3.6*F4171</f>
        <v>80.953</v>
      </c>
      <c r="H4171" s="75">
        <f>'THAM_SO_MOI'!$D$53</f>
        <v>1.1</v>
      </c>
      <c r="I4171" s="75">
        <f>IF(F4171&gt;='THAM_SO_MOI'!$C$14,'THAM_SO_MOI'!$C$13*(1+F4171^2/1500),'THAM_SO_MOI'!$C$13)</f>
        <v>0.020056626704475305</v>
      </c>
      <c r="J4171" s="75">
        <f>'THAM_SO_MOI'!$C$40*('THAM_SO_MOI'!$C$23*(E4171/'THAM_SO_MOI'!$C$22)+'THAM_SO_MOI'!$C$24*(E4171/'THAM_SO_MOI'!$C$22)^2-'THAM_SO_MOI'!$C$25*(E4171/'THAM_SO_MOI'!$C$22)^3)</f>
        <v>99.74966984764517</v>
      </c>
      <c r="K4171" s="75">
        <f>'THAM_SO_MOI'!$C$31*J4171/E4171</f>
        <v>430.01350462312314</v>
      </c>
      <c r="L4171" s="75">
        <f>K4171*'THAM_SO_MOI'!$C$53*'THAM_SO_MOI'!$C$17/'THAM_SO_MOI'!$C$26</f>
        <v>3771.220118174113</v>
      </c>
      <c r="M4171" s="75">
        <f>'THAM_SO_MOI'!$C$15*'THAM_SO_MOI'!$C$16*F4171^2</f>
        <v>1479.063311059028</v>
      </c>
      <c r="N4171" s="75">
        <f>'THAM_SO_MOI'!$C$12*I4171</f>
        <v>1511.082301216533</v>
      </c>
      <c r="O4171" s="75">
        <f>M4171+N4171</f>
        <v>2990.145612275561</v>
      </c>
      <c r="P4171" s="75">
        <f>(MIN(L4171,'THAM_SO_MOI'!$C$41)-O4171)/('THAM_SO_MOI'!$C$11*H4171)</f>
        <v>0.09245673602018845</v>
      </c>
      <c r="Q4171" s="75">
        <f>IF(P4171&gt;0,1/P4171,NA())</f>
        <v>10.815869595284484</v>
      </c>
      <c r="R4171" s="75">
        <f>F4171-F4170</f>
        <v>0.0035868055555567935</v>
      </c>
      <c r="S4171" s="75">
        <f>0.5*(Q4170+Q4171)*R4171</f>
        <v>0.03877933449278426</v>
      </c>
      <c r="T4171" s="75">
        <f>0.5*(F4170*Q4170+F4171*Q4171)*R4171</f>
        <v>0.8719592204220257</v>
      </c>
      <c r="U4171" s="76">
        <f>U4170+S4171</f>
        <v>64.83959295049675</v>
      </c>
      <c r="V4171" s="76">
        <f>V4170+T4171</f>
        <v>999.3802388982161</v>
      </c>
    </row>
    <row r="4172" spans="1:22" ht="19" customHeight="1">
      <c r="A4172" s="68" t="s">
        <v>378</v>
      </c>
      <c r="B4172" s="74">
        <v>5</v>
      </c>
      <c r="C4172" s="68" t="s">
        <v>363</v>
      </c>
      <c r="D4172" s="68" t="s">
        <v>365</v>
      </c>
      <c r="E4172" s="75">
        <f>60*F4172*'THAM_SO_MOI'!$C$53/(2*PI()*'THAM_SO_MOI'!$C$26)</f>
        <v>2215.909184210526</v>
      </c>
      <c r="F4172" s="75">
        <f>'THAM_SO_MOI'!$C$14+('THAM_SO_MOI'!$C$37-'THAM_SO_MOI'!$C$14)*81/'THAM_SO_MOI'!$C$42</f>
        <v>22.49053125</v>
      </c>
      <c r="G4172" s="75">
        <f>3.6*F4172</f>
        <v>80.9659125</v>
      </c>
      <c r="H4172" s="75">
        <f>'THAM_SO_MOI'!$D$53</f>
        <v>1.1</v>
      </c>
      <c r="I4172" s="75">
        <f>IF(F4172&gt;='THAM_SO_MOI'!$C$14,'THAM_SO_MOI'!$C$13*(1+F4172^2/1500),'THAM_SO_MOI'!$C$13)</f>
        <v>0.020058239959072265</v>
      </c>
      <c r="J4172" s="75">
        <f>'THAM_SO_MOI'!$C$40*('THAM_SO_MOI'!$C$23*(E4172/'THAM_SO_MOI'!$C$22)+'THAM_SO_MOI'!$C$24*(E4172/'THAM_SO_MOI'!$C$22)^2-'THAM_SO_MOI'!$C$25*(E4172/'THAM_SO_MOI'!$C$22)^3)</f>
        <v>99.76519025173701</v>
      </c>
      <c r="K4172" s="75">
        <f>'THAM_SO_MOI'!$C$31*J4172/E4172</f>
        <v>430.01182242287325</v>
      </c>
      <c r="L4172" s="75">
        <f>K4172*'THAM_SO_MOI'!$C$53*'THAM_SO_MOI'!$C$17/'THAM_SO_MOI'!$C$26</f>
        <v>3771.2053652713394</v>
      </c>
      <c r="M4172" s="75">
        <f>'THAM_SO_MOI'!$C$15*'THAM_SO_MOI'!$C$16*F4172^2</f>
        <v>1479.5351880286378</v>
      </c>
      <c r="N4172" s="75">
        <f>'THAM_SO_MOI'!$C$12*I4172</f>
        <v>1511.2038451084718</v>
      </c>
      <c r="O4172" s="75">
        <f>M4172+N4172</f>
        <v>2990.73903313711</v>
      </c>
      <c r="P4172" s="75">
        <f>(MIN(L4172,'THAM_SO_MOI'!$C$41)-O4172)/('THAM_SO_MOI'!$C$11*H4172)</f>
        <v>0.09238474575452528</v>
      </c>
      <c r="Q4172" s="75">
        <f>IF(P4172&gt;0,1/P4172,NA())</f>
        <v>10.824297797572463</v>
      </c>
      <c r="R4172" s="75">
        <f>F4172-F4171</f>
        <v>0.0035868055555567935</v>
      </c>
      <c r="S4172" s="75">
        <f>0.5*(Q4171+Q4172)*R4172</f>
        <v>0.03880953631393913</v>
      </c>
      <c r="T4172" s="75">
        <f>0.5*(F4171*Q4171+F4172*Q4172)*R4172</f>
        <v>0.8727775152440007</v>
      </c>
      <c r="U4172" s="76">
        <f>U4171+S4172</f>
        <v>64.87840248681069</v>
      </c>
      <c r="V4172" s="76">
        <f>V4171+T4172</f>
        <v>1000.2530164134602</v>
      </c>
    </row>
    <row r="4173" spans="1:22" ht="19" customHeight="1">
      <c r="A4173" s="68" t="s">
        <v>378</v>
      </c>
      <c r="B4173" s="74">
        <v>5</v>
      </c>
      <c r="C4173" s="68" t="s">
        <v>363</v>
      </c>
      <c r="D4173" s="68" t="s">
        <v>365</v>
      </c>
      <c r="E4173" s="75">
        <f>60*F4173*'THAM_SO_MOI'!$C$53/(2*PI()*'THAM_SO_MOI'!$C$26)</f>
        <v>2216.2625789473677</v>
      </c>
      <c r="F4173" s="75">
        <f>'THAM_SO_MOI'!$C$14+('THAM_SO_MOI'!$C$37-'THAM_SO_MOI'!$C$14)*82/'THAM_SO_MOI'!$C$42</f>
        <v>22.494118055555553</v>
      </c>
      <c r="G4173" s="75">
        <f>3.6*F4173</f>
        <v>80.978825</v>
      </c>
      <c r="H4173" s="75">
        <f>'THAM_SO_MOI'!$D$53</f>
        <v>1.1</v>
      </c>
      <c r="I4173" s="75">
        <f>IF(F4173&gt;='THAM_SO_MOI'!$C$14,'THAM_SO_MOI'!$C$13*(1+F4173^2/1500),'THAM_SO_MOI'!$C$13)</f>
        <v>0.020059853470972704</v>
      </c>
      <c r="J4173" s="75">
        <f>'THAM_SO_MOI'!$C$40*('THAM_SO_MOI'!$C$23*(E4173/'THAM_SO_MOI'!$C$22)+'THAM_SO_MOI'!$C$24*(E4173/'THAM_SO_MOI'!$C$22)^2-'THAM_SO_MOI'!$C$25*(E4173/'THAM_SO_MOI'!$C$22)^3)</f>
        <v>99.78070771991894</v>
      </c>
      <c r="K4173" s="75">
        <f>'THAM_SO_MOI'!$C$31*J4173/E4173</f>
        <v>430.0101281066389</v>
      </c>
      <c r="L4173" s="75">
        <f>K4173*'THAM_SO_MOI'!$C$53*'THAM_SO_MOI'!$C$17/'THAM_SO_MOI'!$C$26</f>
        <v>3771.190506111334</v>
      </c>
      <c r="M4173" s="75">
        <f>'THAM_SO_MOI'!$C$15*'THAM_SO_MOI'!$C$16*F4173^2</f>
        <v>1480.007140259516</v>
      </c>
      <c r="N4173" s="75">
        <f>'THAM_SO_MOI'!$C$12*I4173</f>
        <v>1511.3254083858603</v>
      </c>
      <c r="O4173" s="75">
        <f>M4173+N4173</f>
        <v>2991.3325486453764</v>
      </c>
      <c r="P4173" s="75">
        <f>(MIN(L4173,'THAM_SO_MOI'!$C$41)-O4173)/('THAM_SO_MOI'!$C$11*H4173)</f>
        <v>0.0923127317076181</v>
      </c>
      <c r="Q4173" s="75">
        <f>IF(P4173&gt;0,1/P4173,NA())</f>
        <v>10.832741936045156</v>
      </c>
      <c r="R4173" s="75">
        <f>F4173-F4172</f>
        <v>0.0035868055555532408</v>
      </c>
      <c r="S4173" s="75">
        <f>0.5*(Q4172+Q4173)*R4173</f>
        <v>0.038839795216688476</v>
      </c>
      <c r="T4173" s="75">
        <f>0.5*(F4172*Q4172+F4173*Q4173)*R4173</f>
        <v>0.8735973106199905</v>
      </c>
      <c r="U4173" s="76">
        <f>U4172+S4173</f>
        <v>64.91724228202737</v>
      </c>
      <c r="V4173" s="76">
        <f>V4172+T4173</f>
        <v>1001.1266137240801</v>
      </c>
    </row>
    <row r="4174" spans="1:22" ht="19" customHeight="1">
      <c r="A4174" s="68" t="s">
        <v>378</v>
      </c>
      <c r="B4174" s="74">
        <v>5</v>
      </c>
      <c r="C4174" s="68" t="s">
        <v>363</v>
      </c>
      <c r="D4174" s="68" t="s">
        <v>365</v>
      </c>
      <c r="E4174" s="75">
        <f>60*F4174*'THAM_SO_MOI'!$C$53/(2*PI()*'THAM_SO_MOI'!$C$26)</f>
        <v>2216.61597368421</v>
      </c>
      <c r="F4174" s="75">
        <f>'THAM_SO_MOI'!$C$14+('THAM_SO_MOI'!$C$37-'THAM_SO_MOI'!$C$14)*83/'THAM_SO_MOI'!$C$42</f>
        <v>22.49770486111111</v>
      </c>
      <c r="G4174" s="75">
        <f>3.6*F4174</f>
        <v>80.9917375</v>
      </c>
      <c r="H4174" s="75">
        <f>'THAM_SO_MOI'!$D$53</f>
        <v>1.1</v>
      </c>
      <c r="I4174" s="75">
        <f>IF(F4174&gt;='THAM_SO_MOI'!$C$14,'THAM_SO_MOI'!$C$13*(1+F4174^2/1500),'THAM_SO_MOI'!$C$13)</f>
        <v>0.020061467240176625</v>
      </c>
      <c r="J4174" s="75">
        <f>'THAM_SO_MOI'!$C$40*('THAM_SO_MOI'!$C$23*(E4174/'THAM_SO_MOI'!$C$22)+'THAM_SO_MOI'!$C$24*(E4174/'THAM_SO_MOI'!$C$22)^2-'THAM_SO_MOI'!$C$25*(E4174/'THAM_SO_MOI'!$C$22)^3)</f>
        <v>99.79622225084607</v>
      </c>
      <c r="K4174" s="75">
        <f>'THAM_SO_MOI'!$C$31*J4174/E4174</f>
        <v>430.00842167442</v>
      </c>
      <c r="L4174" s="75">
        <f>K4174*'THAM_SO_MOI'!$C$53*'THAM_SO_MOI'!$C$17/'THAM_SO_MOI'!$C$26</f>
        <v>3771.1755406940965</v>
      </c>
      <c r="M4174" s="75">
        <f>'THAM_SO_MOI'!$C$15*'THAM_SO_MOI'!$C$16*F4174^2</f>
        <v>1480.4791677516628</v>
      </c>
      <c r="N4174" s="75">
        <f>'THAM_SO_MOI'!$C$12*I4174</f>
        <v>1511.4469910486991</v>
      </c>
      <c r="O4174" s="75">
        <f>M4174+N4174</f>
        <v>2991.926158800362</v>
      </c>
      <c r="P4174" s="75">
        <f>(MIN(L4174,'THAM_SO_MOI'!$C$41)-O4174)/('THAM_SO_MOI'!$C$11*H4174)</f>
        <v>0.09224069387946669</v>
      </c>
      <c r="Q4174" s="75">
        <f>IF(P4174&gt;0,1/P4174,NA())</f>
        <v>10.84120205455876</v>
      </c>
      <c r="R4174" s="75">
        <f>F4174-F4173</f>
        <v>0.0035868055555567935</v>
      </c>
      <c r="S4174" s="75">
        <f>0.5*(Q4173+Q4174)*R4174</f>
        <v>0.03887011135816245</v>
      </c>
      <c r="T4174" s="75">
        <f>0.5*(F4173*Q4173+F4174*Q4174)*R4174</f>
        <v>0.8744186106990038</v>
      </c>
      <c r="U4174" s="76">
        <f>U4173+S4174</f>
        <v>64.95611239338554</v>
      </c>
      <c r="V4174" s="76">
        <f>V4173+T4174</f>
        <v>1002.0010323347791</v>
      </c>
    </row>
    <row r="4175" spans="1:22" ht="19" customHeight="1">
      <c r="A4175" s="68" t="s">
        <v>378</v>
      </c>
      <c r="B4175" s="74">
        <v>5</v>
      </c>
      <c r="C4175" s="68" t="s">
        <v>363</v>
      </c>
      <c r="D4175" s="68" t="s">
        <v>365</v>
      </c>
      <c r="E4175" s="75">
        <f>60*F4175*'THAM_SO_MOI'!$C$53/(2*PI()*'THAM_SO_MOI'!$C$26)</f>
        <v>2216.9693684210524</v>
      </c>
      <c r="F4175" s="75">
        <f>'THAM_SO_MOI'!$C$14+('THAM_SO_MOI'!$C$37-'THAM_SO_MOI'!$C$14)*84/'THAM_SO_MOI'!$C$42</f>
        <v>22.501291666666667</v>
      </c>
      <c r="G4175" s="75">
        <f>3.6*F4175</f>
        <v>81.00465</v>
      </c>
      <c r="H4175" s="75">
        <f>'THAM_SO_MOI'!$D$53</f>
        <v>1.1</v>
      </c>
      <c r="I4175" s="75">
        <f>IF(F4175&gt;='THAM_SO_MOI'!$C$14,'THAM_SO_MOI'!$C$13*(1+F4175^2/1500),'THAM_SO_MOI'!$C$13)</f>
        <v>0.020063081266684026</v>
      </c>
      <c r="J4175" s="75">
        <f>'THAM_SO_MOI'!$C$40*('THAM_SO_MOI'!$C$23*(E4175/'THAM_SO_MOI'!$C$22)+'THAM_SO_MOI'!$C$24*(E4175/'THAM_SO_MOI'!$C$22)^2-'THAM_SO_MOI'!$C$25*(E4175/'THAM_SO_MOI'!$C$22)^3)</f>
        <v>99.81173384317356</v>
      </c>
      <c r="K4175" s="75">
        <f>'THAM_SO_MOI'!$C$31*J4175/E4175</f>
        <v>430.00670312621685</v>
      </c>
      <c r="L4175" s="75">
        <f>K4175*'THAM_SO_MOI'!$C$53*'THAM_SO_MOI'!$C$17/'THAM_SO_MOI'!$C$26</f>
        <v>3771.1604690196305</v>
      </c>
      <c r="M4175" s="75">
        <f>'THAM_SO_MOI'!$C$15*'THAM_SO_MOI'!$C$16*F4175^2</f>
        <v>1480.9512705050784</v>
      </c>
      <c r="N4175" s="75">
        <f>'THAM_SO_MOI'!$C$12*I4175</f>
        <v>1511.5685930969878</v>
      </c>
      <c r="O4175" s="75">
        <f>M4175+N4175</f>
        <v>2992.519863602066</v>
      </c>
      <c r="P4175" s="75">
        <f>(MIN(L4175,'THAM_SO_MOI'!$C$41)-O4175)/('THAM_SO_MOI'!$C$11*H4175)</f>
        <v>0.09216863227007153</v>
      </c>
      <c r="Q4175" s="75">
        <f>IF(P4175&gt;0,1/P4175,NA())</f>
        <v>10.849678197131219</v>
      </c>
      <c r="R4175" s="75">
        <f>F4175-F4174</f>
        <v>0.0035868055555567935</v>
      </c>
      <c r="S4175" s="75">
        <f>0.5*(Q4174+Q4175)*R4175</f>
        <v>0.03890048489583938</v>
      </c>
      <c r="T4175" s="75">
        <f>0.5*(F4174*Q4174+F4175*Q4175)*R4175</f>
        <v>0.8752414196401365</v>
      </c>
      <c r="U4175" s="76">
        <f>U4174+S4175</f>
        <v>64.99501287828137</v>
      </c>
      <c r="V4175" s="76">
        <f>V4174+T4175</f>
        <v>1002.8762737544192</v>
      </c>
    </row>
    <row r="4176" spans="1:22" ht="19" customHeight="1">
      <c r="A4176" s="68" t="s">
        <v>378</v>
      </c>
      <c r="B4176" s="74">
        <v>5</v>
      </c>
      <c r="C4176" s="68" t="s">
        <v>363</v>
      </c>
      <c r="D4176" s="68" t="s">
        <v>365</v>
      </c>
      <c r="E4176" s="75">
        <f>60*F4176*'THAM_SO_MOI'!$C$53/(2*PI()*'THAM_SO_MOI'!$C$26)</f>
        <v>2217.322763157894</v>
      </c>
      <c r="F4176" s="75">
        <f>'THAM_SO_MOI'!$C$14+('THAM_SO_MOI'!$C$37-'THAM_SO_MOI'!$C$14)*85/'THAM_SO_MOI'!$C$42</f>
        <v>22.50487847222222</v>
      </c>
      <c r="G4176" s="75">
        <f>3.6*F4176</f>
        <v>81.0175625</v>
      </c>
      <c r="H4176" s="75">
        <f>'THAM_SO_MOI'!$D$53</f>
        <v>1.1</v>
      </c>
      <c r="I4176" s="75">
        <f>IF(F4176&gt;='THAM_SO_MOI'!$C$14,'THAM_SO_MOI'!$C$13*(1+F4176^2/1500),'THAM_SO_MOI'!$C$13)</f>
        <v>0.02006469555049491</v>
      </c>
      <c r="J4176" s="75">
        <f>'THAM_SO_MOI'!$C$40*('THAM_SO_MOI'!$C$23*(E4176/'THAM_SO_MOI'!$C$22)+'THAM_SO_MOI'!$C$24*(E4176/'THAM_SO_MOI'!$C$22)^2-'THAM_SO_MOI'!$C$25*(E4176/'THAM_SO_MOI'!$C$22)^3)</f>
        <v>99.82724249555638</v>
      </c>
      <c r="K4176" s="75">
        <f>'THAM_SO_MOI'!$C$31*J4176/E4176</f>
        <v>430.00497246202906</v>
      </c>
      <c r="L4176" s="75">
        <f>K4176*'THAM_SO_MOI'!$C$53*'THAM_SO_MOI'!$C$17/'THAM_SO_MOI'!$C$26</f>
        <v>3771.145291087932</v>
      </c>
      <c r="M4176" s="75">
        <f>'THAM_SO_MOI'!$C$15*'THAM_SO_MOI'!$C$16*F4176^2</f>
        <v>1481.4234485197615</v>
      </c>
      <c r="N4176" s="75">
        <f>'THAM_SO_MOI'!$C$12*I4176</f>
        <v>1511.690214530727</v>
      </c>
      <c r="O4176" s="75">
        <f>M4176+N4176</f>
        <v>2993.1136630504884</v>
      </c>
      <c r="P4176" s="75">
        <f>(MIN(L4176,'THAM_SO_MOI'!$C$41)-O4176)/('THAM_SO_MOI'!$C$11*H4176)</f>
        <v>0.09209654687943222</v>
      </c>
      <c r="Q4176" s="75">
        <f>IF(P4176&gt;0,1/P4176,NA())</f>
        <v>10.85817040794315</v>
      </c>
      <c r="R4176" s="75">
        <f>F4176-F4175</f>
        <v>0.0035868055555532408</v>
      </c>
      <c r="S4176" s="75">
        <f>0.5*(Q4175+Q4176)*R4176</f>
        <v>0.03893091598789471</v>
      </c>
      <c r="T4176" s="75">
        <f>0.5*(F4175*Q4175+F4176*Q4176)*R4176</f>
        <v>0.876065741620432</v>
      </c>
      <c r="U4176" s="76">
        <f>U4175+S4176</f>
        <v>65.03394379426926</v>
      </c>
      <c r="V4176" s="76">
        <f>V4175+T4176</f>
        <v>1003.7523394960397</v>
      </c>
    </row>
    <row r="4177" spans="1:22" ht="19" customHeight="1">
      <c r="A4177" s="68" t="s">
        <v>378</v>
      </c>
      <c r="B4177" s="74">
        <v>5</v>
      </c>
      <c r="C4177" s="68" t="s">
        <v>363</v>
      </c>
      <c r="D4177" s="68" t="s">
        <v>365</v>
      </c>
      <c r="E4177" s="75">
        <f>60*F4177*'THAM_SO_MOI'!$C$53/(2*PI()*'THAM_SO_MOI'!$C$26)</f>
        <v>2217.676157894736</v>
      </c>
      <c r="F4177" s="75">
        <f>'THAM_SO_MOI'!$C$14+('THAM_SO_MOI'!$C$37-'THAM_SO_MOI'!$C$14)*86/'THAM_SO_MOI'!$C$42</f>
        <v>22.508465277777777</v>
      </c>
      <c r="G4177" s="75">
        <f>3.6*F4177</f>
        <v>81.030475</v>
      </c>
      <c r="H4177" s="75">
        <f>'THAM_SO_MOI'!$D$53</f>
        <v>1.1</v>
      </c>
      <c r="I4177" s="75">
        <f>IF(F4177&gt;='THAM_SO_MOI'!$C$14,'THAM_SO_MOI'!$C$13*(1+F4177^2/1500),'THAM_SO_MOI'!$C$13)</f>
        <v>0.020066310091609276</v>
      </c>
      <c r="J4177" s="75">
        <f>'THAM_SO_MOI'!$C$40*('THAM_SO_MOI'!$C$23*(E4177/'THAM_SO_MOI'!$C$22)+'THAM_SO_MOI'!$C$24*(E4177/'THAM_SO_MOI'!$C$22)^2-'THAM_SO_MOI'!$C$25*(E4177/'THAM_SO_MOI'!$C$22)^3)</f>
        <v>99.84274820664977</v>
      </c>
      <c r="K4177" s="75">
        <f>'THAM_SO_MOI'!$C$31*J4177/E4177</f>
        <v>430.0032296818568</v>
      </c>
      <c r="L4177" s="75">
        <f>K4177*'THAM_SO_MOI'!$C$53*'THAM_SO_MOI'!$C$17/'THAM_SO_MOI'!$C$26</f>
        <v>3771.1300068990013</v>
      </c>
      <c r="M4177" s="75">
        <f>'THAM_SO_MOI'!$C$15*'THAM_SO_MOI'!$C$16*F4177^2</f>
        <v>1481.895701795714</v>
      </c>
      <c r="N4177" s="75">
        <f>'THAM_SO_MOI'!$C$12*I4177</f>
        <v>1511.8118553499162</v>
      </c>
      <c r="O4177" s="75">
        <f>M4177+N4177</f>
        <v>2993.7075571456303</v>
      </c>
      <c r="P4177" s="75">
        <f>(MIN(L4177,'THAM_SO_MOI'!$C$41)-O4177)/('THAM_SO_MOI'!$C$11*H4177)</f>
        <v>0.09202443770754865</v>
      </c>
      <c r="Q4177" s="75">
        <f>IF(P4177&gt;0,1/P4177,NA())</f>
        <v>10.866678731338462</v>
      </c>
      <c r="R4177" s="75">
        <f>F4177-F4176</f>
        <v>0.0035868055555567935</v>
      </c>
      <c r="S4177" s="75">
        <f>0.5*(Q4176+Q4177)*R4177</f>
        <v>0.03896140479320426</v>
      </c>
      <c r="T4177" s="75">
        <f>0.5*(F4176*Q4176+F4177*Q4177)*R4177</f>
        <v>0.8768915808349658</v>
      </c>
      <c r="U4177" s="76">
        <f>U4176+S4177</f>
        <v>65.07290519906246</v>
      </c>
      <c r="V4177" s="76">
        <f>V4176+T4177</f>
        <v>1004.6292310768746</v>
      </c>
    </row>
    <row r="4178" spans="1:22" ht="19" customHeight="1">
      <c r="A4178" s="68" t="s">
        <v>378</v>
      </c>
      <c r="B4178" s="74">
        <v>5</v>
      </c>
      <c r="C4178" s="68" t="s">
        <v>363</v>
      </c>
      <c r="D4178" s="68" t="s">
        <v>365</v>
      </c>
      <c r="E4178" s="75">
        <f>60*F4178*'THAM_SO_MOI'!$C$53/(2*PI()*'THAM_SO_MOI'!$C$26)</f>
        <v>2218.0295526315786</v>
      </c>
      <c r="F4178" s="75">
        <f>'THAM_SO_MOI'!$C$14+('THAM_SO_MOI'!$C$37-'THAM_SO_MOI'!$C$14)*87/'THAM_SO_MOI'!$C$42</f>
        <v>22.512052083333334</v>
      </c>
      <c r="G4178" s="75">
        <f>3.6*F4178</f>
        <v>81.04338750000001</v>
      </c>
      <c r="H4178" s="75">
        <f>'THAM_SO_MOI'!$D$53</f>
        <v>1.1</v>
      </c>
      <c r="I4178" s="75">
        <f>IF(F4178&gt;='THAM_SO_MOI'!$C$14,'THAM_SO_MOI'!$C$13*(1+F4178^2/1500),'THAM_SO_MOI'!$C$13)</f>
        <v>0.020067924890027126</v>
      </c>
      <c r="J4178" s="75">
        <f>'THAM_SO_MOI'!$C$40*('THAM_SO_MOI'!$C$23*(E4178/'THAM_SO_MOI'!$C$22)+'THAM_SO_MOI'!$C$24*(E4178/'THAM_SO_MOI'!$C$22)^2-'THAM_SO_MOI'!$C$25*(E4178/'THAM_SO_MOI'!$C$22)^3)</f>
        <v>99.85825097510882</v>
      </c>
      <c r="K4178" s="75">
        <f>'THAM_SO_MOI'!$C$31*J4178/E4178</f>
        <v>430.00147478570017</v>
      </c>
      <c r="L4178" s="75">
        <f>K4178*'THAM_SO_MOI'!$C$53*'THAM_SO_MOI'!$C$17/'THAM_SO_MOI'!$C$26</f>
        <v>3771.114616452841</v>
      </c>
      <c r="M4178" s="75">
        <f>'THAM_SO_MOI'!$C$15*'THAM_SO_MOI'!$C$16*F4178^2</f>
        <v>1482.3680303329347</v>
      </c>
      <c r="N4178" s="75">
        <f>'THAM_SO_MOI'!$C$12*I4178</f>
        <v>1511.9335155545557</v>
      </c>
      <c r="O4178" s="75">
        <f>M4178+N4178</f>
        <v>2994.3015458874906</v>
      </c>
      <c r="P4178" s="75">
        <f>(MIN(L4178,'THAM_SO_MOI'!$C$41)-O4178)/('THAM_SO_MOI'!$C$11*H4178)</f>
        <v>0.09195230475442122</v>
      </c>
      <c r="Q4178" s="75">
        <f>IF(P4178&gt;0,1/P4178,NA())</f>
        <v>10.875203211825077</v>
      </c>
      <c r="R4178" s="75">
        <f>F4178-F4177</f>
        <v>0.0035868055555567935</v>
      </c>
      <c r="S4178" s="75">
        <f>0.5*(Q4177+Q4178)*R4178</f>
        <v>0.03899195147099946</v>
      </c>
      <c r="T4178" s="75">
        <f>0.5*(F4177*Q4177+F4178*Q4178)*R4178</f>
        <v>0.8777189414890979</v>
      </c>
      <c r="U4178" s="76">
        <f>U4177+S4178</f>
        <v>65.11189715053347</v>
      </c>
      <c r="V4178" s="76">
        <f>V4177+T4178</f>
        <v>1005.5069500183637</v>
      </c>
    </row>
    <row r="4179" spans="1:22" ht="19" customHeight="1">
      <c r="A4179" s="68" t="s">
        <v>378</v>
      </c>
      <c r="B4179" s="74">
        <v>5</v>
      </c>
      <c r="C4179" s="68" t="s">
        <v>363</v>
      </c>
      <c r="D4179" s="68" t="s">
        <v>365</v>
      </c>
      <c r="E4179" s="75">
        <f>60*F4179*'THAM_SO_MOI'!$C$53/(2*PI()*'THAM_SO_MOI'!$C$26)</f>
        <v>2218.3829473684204</v>
      </c>
      <c r="F4179" s="75">
        <f>'THAM_SO_MOI'!$C$14+('THAM_SO_MOI'!$C$37-'THAM_SO_MOI'!$C$14)*88/'THAM_SO_MOI'!$C$42</f>
        <v>22.515638888888887</v>
      </c>
      <c r="G4179" s="75">
        <f>3.6*F4179</f>
        <v>81.0563</v>
      </c>
      <c r="H4179" s="75">
        <f>'THAM_SO_MOI'!$D$53</f>
        <v>1.1</v>
      </c>
      <c r="I4179" s="75">
        <f>IF(F4179&gt;='THAM_SO_MOI'!$C$14,'THAM_SO_MOI'!$C$13*(1+F4179^2/1500),'THAM_SO_MOI'!$C$13)</f>
        <v>0.020069539945748456</v>
      </c>
      <c r="J4179" s="75">
        <f>'THAM_SO_MOI'!$C$40*('THAM_SO_MOI'!$C$23*(E4179/'THAM_SO_MOI'!$C$22)+'THAM_SO_MOI'!$C$24*(E4179/'THAM_SO_MOI'!$C$22)^2-'THAM_SO_MOI'!$C$25*(E4179/'THAM_SO_MOI'!$C$22)^3)</f>
        <v>99.87375079958855</v>
      </c>
      <c r="K4179" s="75">
        <f>'THAM_SO_MOI'!$C$31*J4179/E4179</f>
        <v>429.9997077735589</v>
      </c>
      <c r="L4179" s="75">
        <f>K4179*'THAM_SO_MOI'!$C$53*'THAM_SO_MOI'!$C$17/'THAM_SO_MOI'!$C$26</f>
        <v>3771.0991197494477</v>
      </c>
      <c r="M4179" s="75">
        <f>'THAM_SO_MOI'!$C$15*'THAM_SO_MOI'!$C$16*F4179^2</f>
        <v>1482.8404341314235</v>
      </c>
      <c r="N4179" s="75">
        <f>'THAM_SO_MOI'!$C$12*I4179</f>
        <v>1512.0551951446453</v>
      </c>
      <c r="O4179" s="75">
        <f>M4179+N4179</f>
        <v>2994.8956292760686</v>
      </c>
      <c r="P4179" s="75">
        <f>(MIN(L4179,'THAM_SO_MOI'!$C$41)-O4179)/('THAM_SO_MOI'!$C$11*H4179)</f>
        <v>0.09188014802004958</v>
      </c>
      <c r="Q4179" s="75">
        <f>IF(P4179&gt;0,1/P4179,NA())</f>
        <v>10.88374389407585</v>
      </c>
      <c r="R4179" s="75">
        <f>F4179-F4178</f>
        <v>0.0035868055555532408</v>
      </c>
      <c r="S4179" s="75">
        <f>0.5*(Q4178+Q4179)*R4179</f>
        <v>0.039022556181217284</v>
      </c>
      <c r="T4179" s="75">
        <f>0.5*(F4178*Q4178+F4179*Q4179)*R4179</f>
        <v>0.878547827806357</v>
      </c>
      <c r="U4179" s="76">
        <f>U4178+S4179</f>
        <v>65.15091970671469</v>
      </c>
      <c r="V4179" s="76">
        <f>V4178+T4179</f>
        <v>1006.38549784617</v>
      </c>
    </row>
    <row r="4180" spans="1:22" ht="19" customHeight="1">
      <c r="A4180" s="68" t="s">
        <v>378</v>
      </c>
      <c r="B4180" s="74">
        <v>5</v>
      </c>
      <c r="C4180" s="68" t="s">
        <v>363</v>
      </c>
      <c r="D4180" s="68" t="s">
        <v>365</v>
      </c>
      <c r="E4180" s="75">
        <f>60*F4180*'THAM_SO_MOI'!$C$53/(2*PI()*'THAM_SO_MOI'!$C$26)</f>
        <v>2218.7363421052623</v>
      </c>
      <c r="F4180" s="75">
        <f>'THAM_SO_MOI'!$C$14+('THAM_SO_MOI'!$C$37-'THAM_SO_MOI'!$C$14)*89/'THAM_SO_MOI'!$C$42</f>
        <v>22.519225694444444</v>
      </c>
      <c r="G4180" s="75">
        <f>3.6*F4180</f>
        <v>81.0692125</v>
      </c>
      <c r="H4180" s="75">
        <f>'THAM_SO_MOI'!$D$53</f>
        <v>1.1</v>
      </c>
      <c r="I4180" s="75">
        <f>IF(F4180&gt;='THAM_SO_MOI'!$C$14,'THAM_SO_MOI'!$C$13*(1+F4180^2/1500),'THAM_SO_MOI'!$C$13)</f>
        <v>0.020071155258773267</v>
      </c>
      <c r="J4180" s="75">
        <f>'THAM_SO_MOI'!$C$40*('THAM_SO_MOI'!$C$23*(E4180/'THAM_SO_MOI'!$C$22)+'THAM_SO_MOI'!$C$24*(E4180/'THAM_SO_MOI'!$C$22)^2-'THAM_SO_MOI'!$C$25*(E4180/'THAM_SO_MOI'!$C$22)^3)</f>
        <v>99.88924767874417</v>
      </c>
      <c r="K4180" s="75">
        <f>'THAM_SO_MOI'!$C$31*J4180/E4180</f>
        <v>429.99792864543326</v>
      </c>
      <c r="L4180" s="75">
        <f>K4180*'THAM_SO_MOI'!$C$53*'THAM_SO_MOI'!$C$17/'THAM_SO_MOI'!$C$26</f>
        <v>3771.083516788824</v>
      </c>
      <c r="M4180" s="75">
        <f>'THAM_SO_MOI'!$C$15*'THAM_SO_MOI'!$C$16*F4180^2</f>
        <v>1483.312913191181</v>
      </c>
      <c r="N4180" s="75">
        <f>'THAM_SO_MOI'!$C$12*I4180</f>
        <v>1512.176894120185</v>
      </c>
      <c r="O4180" s="75">
        <f>M4180+N4180</f>
        <v>2995.489807311366</v>
      </c>
      <c r="P4180" s="75">
        <f>(MIN(L4180,'THAM_SO_MOI'!$C$41)-O4180)/('THAM_SO_MOI'!$C$11*H4180)</f>
        <v>0.09180796750443396</v>
      </c>
      <c r="Q4180" s="75">
        <f>IF(P4180&gt;0,1/P4180,NA())</f>
        <v>10.892300822929165</v>
      </c>
      <c r="R4180" s="75">
        <f>F4180-F4179</f>
        <v>0.0035868055555567935</v>
      </c>
      <c r="S4180" s="75">
        <f>0.5*(Q4179+Q4180)*R4180</f>
        <v>0.03905321908450338</v>
      </c>
      <c r="T4180" s="75">
        <f>0.5*(F4179*Q4179+F4180*Q4180)*R4180</f>
        <v>0.879378244028524</v>
      </c>
      <c r="U4180" s="76">
        <f>U4179+S4180</f>
        <v>65.1899729257992</v>
      </c>
      <c r="V4180" s="76">
        <f>V4179+T4180</f>
        <v>1007.2648760901985</v>
      </c>
    </row>
    <row r="4181" spans="1:22" ht="19" customHeight="1">
      <c r="A4181" s="68" t="s">
        <v>378</v>
      </c>
      <c r="B4181" s="74">
        <v>5</v>
      </c>
      <c r="C4181" s="68" t="s">
        <v>363</v>
      </c>
      <c r="D4181" s="68" t="s">
        <v>365</v>
      </c>
      <c r="E4181" s="75">
        <f>60*F4181*'THAM_SO_MOI'!$C$53/(2*PI()*'THAM_SO_MOI'!$C$26)</f>
        <v>2219.089736842105</v>
      </c>
      <c r="F4181" s="75">
        <f>'THAM_SO_MOI'!$C$14+('THAM_SO_MOI'!$C$37-'THAM_SO_MOI'!$C$14)*90/'THAM_SO_MOI'!$C$42</f>
        <v>22.5228125</v>
      </c>
      <c r="G4181" s="75">
        <f>3.6*F4181</f>
        <v>81.082125</v>
      </c>
      <c r="H4181" s="75">
        <f>'THAM_SO_MOI'!$D$53</f>
        <v>1.1</v>
      </c>
      <c r="I4181" s="75">
        <f>IF(F4181&gt;='THAM_SO_MOI'!$C$14,'THAM_SO_MOI'!$C$13*(1+F4181^2/1500),'THAM_SO_MOI'!$C$13)</f>
        <v>0.020072770829101562</v>
      </c>
      <c r="J4181" s="75">
        <f>'THAM_SO_MOI'!$C$40*('THAM_SO_MOI'!$C$23*(E4181/'THAM_SO_MOI'!$C$22)+'THAM_SO_MOI'!$C$24*(E4181/'THAM_SO_MOI'!$C$22)^2-'THAM_SO_MOI'!$C$25*(E4181/'THAM_SO_MOI'!$C$22)^3)</f>
        <v>99.9047416112308</v>
      </c>
      <c r="K4181" s="75">
        <f>'THAM_SO_MOI'!$C$31*J4181/E4181</f>
        <v>429.9961374013232</v>
      </c>
      <c r="L4181" s="75">
        <f>K4181*'THAM_SO_MOI'!$C$53*'THAM_SO_MOI'!$C$17/'THAM_SO_MOI'!$C$26</f>
        <v>3771.06780757097</v>
      </c>
      <c r="M4181" s="75">
        <f>'THAM_SO_MOI'!$C$15*'THAM_SO_MOI'!$C$16*F4181^2</f>
        <v>1483.7854675122073</v>
      </c>
      <c r="N4181" s="75">
        <f>'THAM_SO_MOI'!$C$12*I4181</f>
        <v>1512.298612481175</v>
      </c>
      <c r="O4181" s="75">
        <f>M4181+N4181</f>
        <v>2996.084079993382</v>
      </c>
      <c r="P4181" s="75">
        <f>(MIN(L4181,'THAM_SO_MOI'!$C$41)-O4181)/('THAM_SO_MOI'!$C$11*H4181)</f>
        <v>0.09173576320757434</v>
      </c>
      <c r="Q4181" s="75">
        <f>IF(P4181&gt;0,1/P4181,NA())</f>
        <v>10.900874043389798</v>
      </c>
      <c r="R4181" s="75">
        <f>F4181-F4180</f>
        <v>0.0035868055555567935</v>
      </c>
      <c r="S4181" s="75">
        <f>0.5*(Q4180+Q4181)*R4181</f>
        <v>0.03908394034186677</v>
      </c>
      <c r="T4181" s="75">
        <f>0.5*(F4180*Q4180+F4181*Q4181)*R4181</f>
        <v>0.8802101944078691</v>
      </c>
      <c r="U4181" s="76">
        <f>U4180+S4181</f>
        <v>65.22905686614106</v>
      </c>
      <c r="V4181" s="76">
        <f>V4180+T4181</f>
        <v>1008.1450862846064</v>
      </c>
    </row>
    <row r="4182" spans="1:22" ht="19" customHeight="1">
      <c r="A4182" s="68" t="s">
        <v>378</v>
      </c>
      <c r="B4182" s="74">
        <v>5</v>
      </c>
      <c r="C4182" s="68" t="s">
        <v>363</v>
      </c>
      <c r="D4182" s="68" t="s">
        <v>365</v>
      </c>
      <c r="E4182" s="75">
        <f>60*F4182*'THAM_SO_MOI'!$C$53/(2*PI()*'THAM_SO_MOI'!$C$26)</f>
        <v>2219.4431315789466</v>
      </c>
      <c r="F4182" s="75">
        <f>'THAM_SO_MOI'!$C$14+('THAM_SO_MOI'!$C$37-'THAM_SO_MOI'!$C$14)*91/'THAM_SO_MOI'!$C$42</f>
        <v>22.526399305555554</v>
      </c>
      <c r="G4182" s="75">
        <f>3.6*F4182</f>
        <v>81.09503749999999</v>
      </c>
      <c r="H4182" s="75">
        <f>'THAM_SO_MOI'!$D$53</f>
        <v>1.1</v>
      </c>
      <c r="I4182" s="75">
        <f>IF(F4182&gt;='THAM_SO_MOI'!$C$14,'THAM_SO_MOI'!$C$13*(1+F4182^2/1500),'THAM_SO_MOI'!$C$13)</f>
        <v>0.020074386656733337</v>
      </c>
      <c r="J4182" s="75">
        <f>'THAM_SO_MOI'!$C$40*('THAM_SO_MOI'!$C$23*(E4182/'THAM_SO_MOI'!$C$22)+'THAM_SO_MOI'!$C$24*(E4182/'THAM_SO_MOI'!$C$22)^2-'THAM_SO_MOI'!$C$25*(E4182/'THAM_SO_MOI'!$C$22)^3)</f>
        <v>99.92023259570348</v>
      </c>
      <c r="K4182" s="75">
        <f>'THAM_SO_MOI'!$C$31*J4182/E4182</f>
        <v>429.9943340412288</v>
      </c>
      <c r="L4182" s="75">
        <f>K4182*'THAM_SO_MOI'!$C$53*'THAM_SO_MOI'!$C$17/'THAM_SO_MOI'!$C$26</f>
        <v>3771.0519920958855</v>
      </c>
      <c r="M4182" s="75">
        <f>'THAM_SO_MOI'!$C$15*'THAM_SO_MOI'!$C$16*F4182^2</f>
        <v>1484.2580970945014</v>
      </c>
      <c r="N4182" s="75">
        <f>'THAM_SO_MOI'!$C$12*I4182</f>
        <v>1512.420350227615</v>
      </c>
      <c r="O4182" s="75">
        <f>M4182+N4182</f>
        <v>2996.6784473221164</v>
      </c>
      <c r="P4182" s="75">
        <f>(MIN(L4182,'THAM_SO_MOI'!$C$41)-O4182)/('THAM_SO_MOI'!$C$11*H4182)</f>
        <v>0.09166353512947077</v>
      </c>
      <c r="Q4182" s="75">
        <f>IF(P4182&gt;0,1/P4182,NA())</f>
        <v>10.909463600629666</v>
      </c>
      <c r="R4182" s="75">
        <f>F4182-F4181</f>
        <v>0.0035868055555532408</v>
      </c>
      <c r="S4182" s="75">
        <f>0.5*(Q4181+Q4182)*R4182</f>
        <v>0.03911472011503049</v>
      </c>
      <c r="T4182" s="75">
        <f>0.5*(F4181*Q4181+F4182*Q4182)*R4182</f>
        <v>0.8810436832150539</v>
      </c>
      <c r="U4182" s="76">
        <f>U4181+S4182</f>
        <v>65.2681715862561</v>
      </c>
      <c r="V4182" s="76">
        <f>V4181+T4182</f>
        <v>1009.0261299678214</v>
      </c>
    </row>
    <row r="4183" spans="1:22" ht="19" customHeight="1">
      <c r="A4183" s="68" t="s">
        <v>378</v>
      </c>
      <c r="B4183" s="74">
        <v>5</v>
      </c>
      <c r="C4183" s="68" t="s">
        <v>363</v>
      </c>
      <c r="D4183" s="68" t="s">
        <v>365</v>
      </c>
      <c r="E4183" s="75">
        <f>60*F4183*'THAM_SO_MOI'!$C$53/(2*PI()*'THAM_SO_MOI'!$C$26)</f>
        <v>2219.796526315789</v>
      </c>
      <c r="F4183" s="75">
        <f>'THAM_SO_MOI'!$C$14+('THAM_SO_MOI'!$C$37-'THAM_SO_MOI'!$C$14)*92/'THAM_SO_MOI'!$C$42</f>
        <v>22.52998611111111</v>
      </c>
      <c r="G4183" s="75">
        <f>3.6*F4183</f>
        <v>81.10795</v>
      </c>
      <c r="H4183" s="75">
        <f>'THAM_SO_MOI'!$D$53</f>
        <v>1.1</v>
      </c>
      <c r="I4183" s="75">
        <f>IF(F4183&gt;='THAM_SO_MOI'!$C$14,'THAM_SO_MOI'!$C$13*(1+F4183^2/1500),'THAM_SO_MOI'!$C$13)</f>
        <v>0.020076002741668594</v>
      </c>
      <c r="J4183" s="75">
        <f>'THAM_SO_MOI'!$C$40*('THAM_SO_MOI'!$C$23*(E4183/'THAM_SO_MOI'!$C$22)+'THAM_SO_MOI'!$C$24*(E4183/'THAM_SO_MOI'!$C$22)^2-'THAM_SO_MOI'!$C$25*(E4183/'THAM_SO_MOI'!$C$22)^3)</f>
        <v>99.93572063081736</v>
      </c>
      <c r="K4183" s="75">
        <f>'THAM_SO_MOI'!$C$31*J4183/E4183</f>
        <v>429.9925185651498</v>
      </c>
      <c r="L4183" s="75">
        <f>K4183*'THAM_SO_MOI'!$C$53*'THAM_SO_MOI'!$C$17/'THAM_SO_MOI'!$C$26</f>
        <v>3771.036070363569</v>
      </c>
      <c r="M4183" s="75">
        <f>'THAM_SO_MOI'!$C$15*'THAM_SO_MOI'!$C$16*F4183^2</f>
        <v>1484.7308019380644</v>
      </c>
      <c r="N4183" s="75">
        <f>'THAM_SO_MOI'!$C$12*I4183</f>
        <v>1512.5421073595053</v>
      </c>
      <c r="O4183" s="75">
        <f>M4183+N4183</f>
        <v>2997.2729092975696</v>
      </c>
      <c r="P4183" s="75">
        <f>(MIN(L4183,'THAM_SO_MOI'!$C$41)-O4183)/('THAM_SO_MOI'!$C$11*H4183)</f>
        <v>0.091591283270123</v>
      </c>
      <c r="Q4183" s="75">
        <f>IF(P4183&gt;0,1/P4183,NA())</f>
        <v>10.918069539988629</v>
      </c>
      <c r="R4183" s="75">
        <f>F4183-F4182</f>
        <v>0.0035868055555567935</v>
      </c>
      <c r="S4183" s="75">
        <f>0.5*(Q4182+Q4183)*R4183</f>
        <v>0.03914555856643486</v>
      </c>
      <c r="T4183" s="75">
        <f>0.5*(F4182*Q4182+F4183*Q4183)*R4183</f>
        <v>0.8818787147392203</v>
      </c>
      <c r="U4183" s="76">
        <f>U4182+S4183</f>
        <v>65.30731714482253</v>
      </c>
      <c r="V4183" s="76">
        <f>V4182+T4183</f>
        <v>1009.9080086825605</v>
      </c>
    </row>
    <row r="4184" spans="1:22" ht="19" customHeight="1">
      <c r="A4184" s="68" t="s">
        <v>378</v>
      </c>
      <c r="B4184" s="74">
        <v>5</v>
      </c>
      <c r="C4184" s="68" t="s">
        <v>363</v>
      </c>
      <c r="D4184" s="68" t="s">
        <v>365</v>
      </c>
      <c r="E4184" s="75">
        <f>60*F4184*'THAM_SO_MOI'!$C$53/(2*PI()*'THAM_SO_MOI'!$C$26)</f>
        <v>2220.1499210526313</v>
      </c>
      <c r="F4184" s="75">
        <f>'THAM_SO_MOI'!$C$14+('THAM_SO_MOI'!$C$37-'THAM_SO_MOI'!$C$14)*93/'THAM_SO_MOI'!$C$42</f>
        <v>22.533572916666667</v>
      </c>
      <c r="G4184" s="75">
        <f>3.6*F4184</f>
        <v>81.1208625</v>
      </c>
      <c r="H4184" s="75">
        <f>'THAM_SO_MOI'!$D$53</f>
        <v>1.1</v>
      </c>
      <c r="I4184" s="75">
        <f>IF(F4184&gt;='THAM_SO_MOI'!$C$14,'THAM_SO_MOI'!$C$13*(1+F4184^2/1500),'THAM_SO_MOI'!$C$13)</f>
        <v>0.020077619083907334</v>
      </c>
      <c r="J4184" s="75">
        <f>'THAM_SO_MOI'!$C$40*('THAM_SO_MOI'!$C$23*(E4184/'THAM_SO_MOI'!$C$22)+'THAM_SO_MOI'!$C$24*(E4184/'THAM_SO_MOI'!$C$22)^2-'THAM_SO_MOI'!$C$25*(E4184/'THAM_SO_MOI'!$C$22)^3)</f>
        <v>99.95120571522754</v>
      </c>
      <c r="K4184" s="75">
        <f>'THAM_SO_MOI'!$C$31*J4184/E4184</f>
        <v>429.9906909730864</v>
      </c>
      <c r="L4184" s="75">
        <f>K4184*'THAM_SO_MOI'!$C$53*'THAM_SO_MOI'!$C$17/'THAM_SO_MOI'!$C$26</f>
        <v>3771.020042374021</v>
      </c>
      <c r="M4184" s="75">
        <f>'THAM_SO_MOI'!$C$15*'THAM_SO_MOI'!$C$16*F4184^2</f>
        <v>1485.203582042896</v>
      </c>
      <c r="N4184" s="75">
        <f>'THAM_SO_MOI'!$C$12*I4184</f>
        <v>1512.6638838768458</v>
      </c>
      <c r="O4184" s="75">
        <f>M4184+N4184</f>
        <v>2997.867465919742</v>
      </c>
      <c r="P4184" s="75">
        <f>(MIN(L4184,'THAM_SO_MOI'!$C$41)-O4184)/('THAM_SO_MOI'!$C$11*H4184)</f>
        <v>0.09151900762953118</v>
      </c>
      <c r="Q4184" s="75">
        <f>IF(P4184&gt;0,1/P4184,NA())</f>
        <v>10.9266919069752</v>
      </c>
      <c r="R4184" s="75">
        <f>F4184-F4183</f>
        <v>0.0035868055555567935</v>
      </c>
      <c r="S4184" s="75">
        <f>0.5*(Q4183+Q4184)*R4184</f>
        <v>0.03917645585889136</v>
      </c>
      <c r="T4184" s="75">
        <f>0.5*(F4183*Q4183+F4184*Q4184)*R4184</f>
        <v>0.8827152932802039</v>
      </c>
      <c r="U4184" s="76">
        <f>U4183+S4184</f>
        <v>65.34649360068143</v>
      </c>
      <c r="V4184" s="76">
        <f>V4183+T4184</f>
        <v>1010.7907239758407</v>
      </c>
    </row>
    <row r="4185" spans="1:22" ht="19" customHeight="1">
      <c r="A4185" s="68" t="s">
        <v>378</v>
      </c>
      <c r="B4185" s="74">
        <v>5</v>
      </c>
      <c r="C4185" s="68" t="s">
        <v>363</v>
      </c>
      <c r="D4185" s="68" t="s">
        <v>365</v>
      </c>
      <c r="E4185" s="75">
        <f>60*F4185*'THAM_SO_MOI'!$C$53/(2*PI()*'THAM_SO_MOI'!$C$26)</f>
        <v>2220.503315789473</v>
      </c>
      <c r="F4185" s="75">
        <f>'THAM_SO_MOI'!$C$14+('THAM_SO_MOI'!$C$37-'THAM_SO_MOI'!$C$14)*94/'THAM_SO_MOI'!$C$42</f>
        <v>22.53715972222222</v>
      </c>
      <c r="G4185" s="75">
        <f>3.6*F4185</f>
        <v>81.133775</v>
      </c>
      <c r="H4185" s="75">
        <f>'THAM_SO_MOI'!$D$53</f>
        <v>1.1</v>
      </c>
      <c r="I4185" s="75">
        <f>IF(F4185&gt;='THAM_SO_MOI'!$C$14,'THAM_SO_MOI'!$C$13*(1+F4185^2/1500),'THAM_SO_MOI'!$C$13)</f>
        <v>0.020079235683449555</v>
      </c>
      <c r="J4185" s="75">
        <f>'THAM_SO_MOI'!$C$40*('THAM_SO_MOI'!$C$23*(E4185/'THAM_SO_MOI'!$C$22)+'THAM_SO_MOI'!$C$24*(E4185/'THAM_SO_MOI'!$C$22)^2-'THAM_SO_MOI'!$C$25*(E4185/'THAM_SO_MOI'!$C$22)^3)</f>
        <v>99.96668784758911</v>
      </c>
      <c r="K4185" s="75">
        <f>'THAM_SO_MOI'!$C$31*J4185/E4185</f>
        <v>429.98885126503853</v>
      </c>
      <c r="L4185" s="75">
        <f>K4185*'THAM_SO_MOI'!$C$53*'THAM_SO_MOI'!$C$17/'THAM_SO_MOI'!$C$26</f>
        <v>3771.0039081272425</v>
      </c>
      <c r="M4185" s="75">
        <f>'THAM_SO_MOI'!$C$15*'THAM_SO_MOI'!$C$16*F4185^2</f>
        <v>1485.676437408995</v>
      </c>
      <c r="N4185" s="75">
        <f>'THAM_SO_MOI'!$C$12*I4185</f>
        <v>1512.7856797796362</v>
      </c>
      <c r="O4185" s="75">
        <f>M4185+N4185</f>
        <v>2998.462117188631</v>
      </c>
      <c r="P4185" s="75">
        <f>(MIN(L4185,'THAM_SO_MOI'!$C$41)-O4185)/('THAM_SO_MOI'!$C$11*H4185)</f>
        <v>0.09144670820769543</v>
      </c>
      <c r="Q4185" s="75">
        <f>IF(P4185&gt;0,1/P4185,NA())</f>
        <v>10.935330747267379</v>
      </c>
      <c r="R4185" s="75">
        <f>F4185-F4184</f>
        <v>0.0035868055555532408</v>
      </c>
      <c r="S4185" s="75">
        <f>0.5*(Q4184+Q4185)*R4185</f>
        <v>0.03920741215593405</v>
      </c>
      <c r="T4185" s="75">
        <f>0.5*(F4184*Q4184+F4185*Q4185)*R4185</f>
        <v>0.8835534231564589</v>
      </c>
      <c r="U4185" s="76">
        <f>U4184+S4185</f>
        <v>65.38570101283736</v>
      </c>
      <c r="V4185" s="76">
        <f>V4184+T4185</f>
        <v>1011.6742773989972</v>
      </c>
    </row>
    <row r="4186" spans="1:22" ht="19" customHeight="1">
      <c r="A4186" s="68" t="s">
        <v>378</v>
      </c>
      <c r="B4186" s="74">
        <v>5</v>
      </c>
      <c r="C4186" s="68" t="s">
        <v>363</v>
      </c>
      <c r="D4186" s="68" t="s">
        <v>365</v>
      </c>
      <c r="E4186" s="75">
        <f>60*F4186*'THAM_SO_MOI'!$C$53/(2*PI()*'THAM_SO_MOI'!$C$26)</f>
        <v>2220.856710526315</v>
      </c>
      <c r="F4186" s="75">
        <f>'THAM_SO_MOI'!$C$14+('THAM_SO_MOI'!$C$37-'THAM_SO_MOI'!$C$14)*95/'THAM_SO_MOI'!$C$42</f>
        <v>22.540746527777777</v>
      </c>
      <c r="G4186" s="75">
        <f>3.6*F4186</f>
        <v>81.1466875</v>
      </c>
      <c r="H4186" s="75">
        <f>'THAM_SO_MOI'!$D$53</f>
        <v>1.1</v>
      </c>
      <c r="I4186" s="75">
        <f>IF(F4186&gt;='THAM_SO_MOI'!$C$14,'THAM_SO_MOI'!$C$13*(1+F4186^2/1500),'THAM_SO_MOI'!$C$13)</f>
        <v>0.02008085254029526</v>
      </c>
      <c r="J4186" s="75">
        <f>'THAM_SO_MOI'!$C$40*('THAM_SO_MOI'!$C$23*(E4186/'THAM_SO_MOI'!$C$22)+'THAM_SO_MOI'!$C$24*(E4186/'THAM_SO_MOI'!$C$22)^2-'THAM_SO_MOI'!$C$25*(E4186/'THAM_SO_MOI'!$C$22)^3)</f>
        <v>99.98216702655719</v>
      </c>
      <c r="K4186" s="75">
        <f>'THAM_SO_MOI'!$C$31*J4186/E4186</f>
        <v>429.9869994410061</v>
      </c>
      <c r="L4186" s="75">
        <f>K4186*'THAM_SO_MOI'!$C$53*'THAM_SO_MOI'!$C$17/'THAM_SO_MOI'!$C$26</f>
        <v>3770.987667623232</v>
      </c>
      <c r="M4186" s="75">
        <f>'THAM_SO_MOI'!$C$15*'THAM_SO_MOI'!$C$16*F4186^2</f>
        <v>1486.1493680363635</v>
      </c>
      <c r="N4186" s="75">
        <f>'THAM_SO_MOI'!$C$12*I4186</f>
        <v>1512.907495067877</v>
      </c>
      <c r="O4186" s="75">
        <f>M4186+N4186</f>
        <v>2999.0568631042406</v>
      </c>
      <c r="P4186" s="75">
        <f>(MIN(L4186,'THAM_SO_MOI'!$C$41)-O4186)/('THAM_SO_MOI'!$C$11*H4186)</f>
        <v>0.09137438500461549</v>
      </c>
      <c r="Q4186" s="75">
        <f>IF(P4186&gt;0,1/P4186,NA())</f>
        <v>10.943986106713474</v>
      </c>
      <c r="R4186" s="75">
        <f>F4186-F4185</f>
        <v>0.0035868055555567935</v>
      </c>
      <c r="S4186" s="75">
        <f>0.5*(Q4185+Q4186)*R4186</f>
        <v>0.039238427621822954</v>
      </c>
      <c r="T4186" s="75">
        <f>0.5*(F4185*Q4185+F4186*Q4186)*R4186</f>
        <v>0.8843931087051493</v>
      </c>
      <c r="U4186" s="76">
        <f>U4185+S4186</f>
        <v>65.42493944045918</v>
      </c>
      <c r="V4186" s="76">
        <f>V4185+T4186</f>
        <v>1012.5586705077023</v>
      </c>
    </row>
    <row r="4187" spans="1:22" ht="19" customHeight="1">
      <c r="A4187" s="68" t="s">
        <v>378</v>
      </c>
      <c r="B4187" s="74">
        <v>5</v>
      </c>
      <c r="C4187" s="68" t="s">
        <v>363</v>
      </c>
      <c r="D4187" s="68" t="s">
        <v>365</v>
      </c>
      <c r="E4187" s="75">
        <f>60*F4187*'THAM_SO_MOI'!$C$53/(2*PI()*'THAM_SO_MOI'!$C$26)</f>
        <v>2221.210105263158</v>
      </c>
      <c r="F4187" s="75">
        <f>'THAM_SO_MOI'!$C$14+('THAM_SO_MOI'!$C$37-'THAM_SO_MOI'!$C$14)*96/'THAM_SO_MOI'!$C$42</f>
        <v>22.544333333333334</v>
      </c>
      <c r="G4187" s="75">
        <f>3.6*F4187</f>
        <v>81.15960000000001</v>
      </c>
      <c r="H4187" s="75">
        <f>'THAM_SO_MOI'!$D$53</f>
        <v>1.1</v>
      </c>
      <c r="I4187" s="75">
        <f>IF(F4187&gt;='THAM_SO_MOI'!$C$14,'THAM_SO_MOI'!$C$13*(1+F4187^2/1500),'THAM_SO_MOI'!$C$13)</f>
        <v>0.020082469654444445</v>
      </c>
      <c r="J4187" s="75">
        <f>'THAM_SO_MOI'!$C$40*('THAM_SO_MOI'!$C$23*(E4187/'THAM_SO_MOI'!$C$22)+'THAM_SO_MOI'!$C$24*(E4187/'THAM_SO_MOI'!$C$22)^2-'THAM_SO_MOI'!$C$25*(E4187/'THAM_SO_MOI'!$C$22)^3)</f>
        <v>99.99764325078696</v>
      </c>
      <c r="K4187" s="75">
        <f>'THAM_SO_MOI'!$C$31*J4187/E4187</f>
        <v>429.9851355009893</v>
      </c>
      <c r="L4187" s="75">
        <f>K4187*'THAM_SO_MOI'!$C$53*'THAM_SO_MOI'!$C$17/'THAM_SO_MOI'!$C$26</f>
        <v>3770.971320861992</v>
      </c>
      <c r="M4187" s="75">
        <f>'THAM_SO_MOI'!$C$15*'THAM_SO_MOI'!$C$16*F4187^2</f>
        <v>1486.6223739250001</v>
      </c>
      <c r="N4187" s="75">
        <f>'THAM_SO_MOI'!$C$12*I4187</f>
        <v>1513.029329741568</v>
      </c>
      <c r="O4187" s="75">
        <f>M4187+N4187</f>
        <v>2999.651703666568</v>
      </c>
      <c r="P4187" s="75">
        <f>(MIN(L4187,'THAM_SO_MOI'!$C$41)-O4187)/('THAM_SO_MOI'!$C$11*H4187)</f>
        <v>0.0913020380202916</v>
      </c>
      <c r="Q4187" s="75">
        <f>IF(P4187&gt;0,1/P4187,NA())</f>
        <v>10.952658031332806</v>
      </c>
      <c r="R4187" s="75">
        <f>F4187-F4186</f>
        <v>0.0035868055555567935</v>
      </c>
      <c r="S4187" s="75">
        <f>0.5*(Q4186+Q4187)*R4187</f>
        <v>0.03926950242119725</v>
      </c>
      <c r="T4187" s="75">
        <f>0.5*(F4186*Q4186+F4187*Q4187)*R4187</f>
        <v>0.8852343542743419</v>
      </c>
      <c r="U4187" s="76">
        <f>U4186+S4187</f>
        <v>65.46420894288038</v>
      </c>
      <c r="V4187" s="76">
        <f>V4186+T4187</f>
        <v>1013.4439048619766</v>
      </c>
    </row>
    <row r="4188" spans="1:22" ht="19" customHeight="1">
      <c r="A4188" s="68" t="s">
        <v>378</v>
      </c>
      <c r="B4188" s="74">
        <v>5</v>
      </c>
      <c r="C4188" s="68" t="s">
        <v>363</v>
      </c>
      <c r="D4188" s="68" t="s">
        <v>365</v>
      </c>
      <c r="E4188" s="75">
        <f>60*F4188*'THAM_SO_MOI'!$C$53/(2*PI()*'THAM_SO_MOI'!$C$26)</f>
        <v>2221.5634999999993</v>
      </c>
      <c r="F4188" s="75">
        <f>'THAM_SO_MOI'!$C$14+('THAM_SO_MOI'!$C$37-'THAM_SO_MOI'!$C$14)*97/'THAM_SO_MOI'!$C$42</f>
        <v>22.547920138888887</v>
      </c>
      <c r="G4188" s="75">
        <f>3.6*F4188</f>
        <v>81.1725125</v>
      </c>
      <c r="H4188" s="75">
        <f>'THAM_SO_MOI'!$D$53</f>
        <v>1.1</v>
      </c>
      <c r="I4188" s="75">
        <f>IF(F4188&gt;='THAM_SO_MOI'!$C$14,'THAM_SO_MOI'!$C$13*(1+F4188^2/1500),'THAM_SO_MOI'!$C$13)</f>
        <v>0.02008408702589711</v>
      </c>
      <c r="J4188" s="75">
        <f>'THAM_SO_MOI'!$C$40*('THAM_SO_MOI'!$C$23*(E4188/'THAM_SO_MOI'!$C$22)+'THAM_SO_MOI'!$C$24*(E4188/'THAM_SO_MOI'!$C$22)^2-'THAM_SO_MOI'!$C$25*(E4188/'THAM_SO_MOI'!$C$22)^3)</f>
        <v>100.01311651893343</v>
      </c>
      <c r="K4188" s="75">
        <f>'THAM_SO_MOI'!$C$31*J4188/E4188</f>
        <v>429.98325944498816</v>
      </c>
      <c r="L4188" s="75">
        <f>K4188*'THAM_SO_MOI'!$C$53*'THAM_SO_MOI'!$C$17/'THAM_SO_MOI'!$C$26</f>
        <v>3770.954867843521</v>
      </c>
      <c r="M4188" s="75">
        <f>'THAM_SO_MOI'!$C$15*'THAM_SO_MOI'!$C$16*F4188^2</f>
        <v>1487.095455074905</v>
      </c>
      <c r="N4188" s="75">
        <f>'THAM_SO_MOI'!$C$12*I4188</f>
        <v>1513.151183800709</v>
      </c>
      <c r="O4188" s="75">
        <f>M4188+N4188</f>
        <v>3000.246638875614</v>
      </c>
      <c r="P4188" s="75">
        <f>(MIN(L4188,'THAM_SO_MOI'!$C$41)-O4188)/('THAM_SO_MOI'!$C$11*H4188)</f>
        <v>0.09122966725472378</v>
      </c>
      <c r="Q4188" s="75">
        <f>IF(P4188&gt;0,1/P4188,NA())</f>
        <v>10.961346567316577</v>
      </c>
      <c r="R4188" s="75">
        <f>F4188-F4187</f>
        <v>0.0035868055555532408</v>
      </c>
      <c r="S4188" s="75">
        <f>0.5*(Q4187+Q4188)*R4188</f>
        <v>0.03930063671942744</v>
      </c>
      <c r="T4188" s="75">
        <f>0.5*(F4187*Q4187+F4188*Q4188)*R4188</f>
        <v>0.886077164230955</v>
      </c>
      <c r="U4188" s="76">
        <f>U4187+S4188</f>
        <v>65.50350957959981</v>
      </c>
      <c r="V4188" s="76">
        <f>V4187+T4188</f>
        <v>1014.3299820262076</v>
      </c>
    </row>
    <row r="4189" spans="1:22" ht="19" customHeight="1">
      <c r="A4189" s="68" t="s">
        <v>378</v>
      </c>
      <c r="B4189" s="74">
        <v>5</v>
      </c>
      <c r="C4189" s="68" t="s">
        <v>363</v>
      </c>
      <c r="D4189" s="68" t="s">
        <v>365</v>
      </c>
      <c r="E4189" s="75">
        <f>60*F4189*'THAM_SO_MOI'!$C$53/(2*PI()*'THAM_SO_MOI'!$C$26)</f>
        <v>2221.9168947368416</v>
      </c>
      <c r="F4189" s="75">
        <f>'THAM_SO_MOI'!$C$14+('THAM_SO_MOI'!$C$37-'THAM_SO_MOI'!$C$14)*98/'THAM_SO_MOI'!$C$42</f>
        <v>22.551506944444444</v>
      </c>
      <c r="G4189" s="75">
        <f>3.6*F4189</f>
        <v>81.185425</v>
      </c>
      <c r="H4189" s="75">
        <f>'THAM_SO_MOI'!$D$53</f>
        <v>1.1</v>
      </c>
      <c r="I4189" s="75">
        <f>IF(F4189&gt;='THAM_SO_MOI'!$C$14,'THAM_SO_MOI'!$C$13*(1+F4189^2/1500),'THAM_SO_MOI'!$C$13)</f>
        <v>0.020085704654653258</v>
      </c>
      <c r="J4189" s="75">
        <f>'THAM_SO_MOI'!$C$40*('THAM_SO_MOI'!$C$23*(E4189/'THAM_SO_MOI'!$C$22)+'THAM_SO_MOI'!$C$24*(E4189/'THAM_SO_MOI'!$C$22)^2-'THAM_SO_MOI'!$C$25*(E4189/'THAM_SO_MOI'!$C$22)^3)</f>
        <v>100.02858682965177</v>
      </c>
      <c r="K4189" s="75">
        <f>'THAM_SO_MOI'!$C$31*J4189/E4189</f>
        <v>429.9813712730025</v>
      </c>
      <c r="L4189" s="75">
        <f>K4189*'THAM_SO_MOI'!$C$53*'THAM_SO_MOI'!$C$17/'THAM_SO_MOI'!$C$26</f>
        <v>3770.938308567818</v>
      </c>
      <c r="M4189" s="75">
        <f>'THAM_SO_MOI'!$C$15*'THAM_SO_MOI'!$C$16*F4189^2</f>
        <v>1487.5686114860785</v>
      </c>
      <c r="N4189" s="75">
        <f>'THAM_SO_MOI'!$C$12*I4189</f>
        <v>1513.2730572453002</v>
      </c>
      <c r="O4189" s="75">
        <f>M4189+N4189</f>
        <v>3000.8416687313784</v>
      </c>
      <c r="P4189" s="75">
        <f>(MIN(L4189,'THAM_SO_MOI'!$C$41)-O4189)/('THAM_SO_MOI'!$C$11*H4189)</f>
        <v>0.09115727270791181</v>
      </c>
      <c r="Q4189" s="75">
        <f>IF(P4189&gt;0,1/P4189,NA())</f>
        <v>10.970051761028685</v>
      </c>
      <c r="R4189" s="75">
        <f>F4189-F4188</f>
        <v>0.0035868055555567935</v>
      </c>
      <c r="S4189" s="75">
        <f>0.5*(Q4188+Q4189)*R4189</f>
        <v>0.039331830682618876</v>
      </c>
      <c r="T4189" s="75">
        <f>0.5*(F4188*Q4188+F4189*Q4189)*R4189</f>
        <v>0.8869215429608496</v>
      </c>
      <c r="U4189" s="76">
        <f>U4188+S4189</f>
        <v>65.54284141028242</v>
      </c>
      <c r="V4189" s="76">
        <f>V4188+T4189</f>
        <v>1015.2169035691685</v>
      </c>
    </row>
    <row r="4190" spans="1:22" ht="19" customHeight="1">
      <c r="A4190" s="68" t="s">
        <v>378</v>
      </c>
      <c r="B4190" s="74">
        <v>5</v>
      </c>
      <c r="C4190" s="68" t="s">
        <v>363</v>
      </c>
      <c r="D4190" s="68" t="s">
        <v>365</v>
      </c>
      <c r="E4190" s="75">
        <f>60*F4190*'THAM_SO_MOI'!$C$53/(2*PI()*'THAM_SO_MOI'!$C$26)</f>
        <v>2222.2702894736835</v>
      </c>
      <c r="F4190" s="75">
        <f>'THAM_SO_MOI'!$C$14+('THAM_SO_MOI'!$C$37-'THAM_SO_MOI'!$C$14)*99/'THAM_SO_MOI'!$C$42</f>
        <v>22.555093749999997</v>
      </c>
      <c r="G4190" s="75">
        <f>3.6*F4190</f>
        <v>81.1983375</v>
      </c>
      <c r="H4190" s="75">
        <f>'THAM_SO_MOI'!$D$53</f>
        <v>1.1</v>
      </c>
      <c r="I4190" s="75">
        <f>IF(F4190&gt;='THAM_SO_MOI'!$C$14,'THAM_SO_MOI'!$C$13*(1+F4190^2/1500),'THAM_SO_MOI'!$C$13)</f>
        <v>0.02008732254071289</v>
      </c>
      <c r="J4190" s="75">
        <f>'THAM_SO_MOI'!$C$40*('THAM_SO_MOI'!$C$23*(E4190/'THAM_SO_MOI'!$C$22)+'THAM_SO_MOI'!$C$24*(E4190/'THAM_SO_MOI'!$C$22)^2-'THAM_SO_MOI'!$C$25*(E4190/'THAM_SO_MOI'!$C$22)^3)</f>
        <v>100.04405418159705</v>
      </c>
      <c r="K4190" s="75">
        <f>'THAM_SO_MOI'!$C$31*J4190/E4190</f>
        <v>429.9794709850323</v>
      </c>
      <c r="L4190" s="75">
        <f>K4190*'THAM_SO_MOI'!$C$53*'THAM_SO_MOI'!$C$17/'THAM_SO_MOI'!$C$26</f>
        <v>3770.921643034884</v>
      </c>
      <c r="M4190" s="75">
        <f>'THAM_SO_MOI'!$C$15*'THAM_SO_MOI'!$C$16*F4190^2</f>
        <v>1488.0418431585204</v>
      </c>
      <c r="N4190" s="75">
        <f>'THAM_SO_MOI'!$C$12*I4190</f>
        <v>1513.3949500753417</v>
      </c>
      <c r="O4190" s="75">
        <f>M4190+N4190</f>
        <v>3001.436793233862</v>
      </c>
      <c r="P4190" s="75">
        <f>(MIN(L4190,'THAM_SO_MOI'!$C$41)-O4190)/('THAM_SO_MOI'!$C$11*H4190)</f>
        <v>0.09108485437985579</v>
      </c>
      <c r="Q4190" s="75">
        <f>IF(P4190&gt;0,1/P4190,NA())</f>
        <v>10.97877365900646</v>
      </c>
      <c r="R4190" s="75">
        <f>F4190-F4189</f>
        <v>0.0035868055555532408</v>
      </c>
      <c r="S4190" s="75">
        <f>0.5*(Q4189+Q4190)*R4190</f>
        <v>0.03936308447722513</v>
      </c>
      <c r="T4190" s="75">
        <f>0.5*(F4189*Q4189+F4190*Q4190)*R4190</f>
        <v>0.887767494860123</v>
      </c>
      <c r="U4190" s="76">
        <f>U4189+S4190</f>
        <v>65.58220449475965</v>
      </c>
      <c r="V4190" s="76">
        <f>V4189+T4190</f>
        <v>1016.1046710640286</v>
      </c>
    </row>
    <row r="4191" spans="1:22" ht="19" customHeight="1">
      <c r="A4191" s="68" t="s">
        <v>378</v>
      </c>
      <c r="B4191" s="74">
        <v>5</v>
      </c>
      <c r="C4191" s="68" t="s">
        <v>363</v>
      </c>
      <c r="D4191" s="68" t="s">
        <v>365</v>
      </c>
      <c r="E4191" s="75">
        <f>60*F4191*'THAM_SO_MOI'!$C$53/(2*PI()*'THAM_SO_MOI'!$C$26)</f>
        <v>2222.623684210526</v>
      </c>
      <c r="F4191" s="75">
        <f>'THAM_SO_MOI'!$C$14+('THAM_SO_MOI'!$C$37-'THAM_SO_MOI'!$C$14)*100/'THAM_SO_MOI'!$C$42</f>
        <v>22.558680555555554</v>
      </c>
      <c r="G4191" s="75">
        <f>3.6*F4191</f>
        <v>81.21124999999999</v>
      </c>
      <c r="H4191" s="75">
        <f>'THAM_SO_MOI'!$D$53</f>
        <v>1.1</v>
      </c>
      <c r="I4191" s="75">
        <f>IF(F4191&gt;='THAM_SO_MOI'!$C$14,'THAM_SO_MOI'!$C$13*(1+F4191^2/1500),'THAM_SO_MOI'!$C$13)</f>
        <v>0.020088940684076004</v>
      </c>
      <c r="J4191" s="75">
        <f>'THAM_SO_MOI'!$C$40*('THAM_SO_MOI'!$C$23*(E4191/'THAM_SO_MOI'!$C$22)+'THAM_SO_MOI'!$C$24*(E4191/'THAM_SO_MOI'!$C$22)^2-'THAM_SO_MOI'!$C$25*(E4191/'THAM_SO_MOI'!$C$22)^3)</f>
        <v>100.05951857342438</v>
      </c>
      <c r="K4191" s="75">
        <f>'THAM_SO_MOI'!$C$31*J4191/E4191</f>
        <v>429.9775585810776</v>
      </c>
      <c r="L4191" s="75">
        <f>K4191*'THAM_SO_MOI'!$C$53*'THAM_SO_MOI'!$C$17/'THAM_SO_MOI'!$C$26</f>
        <v>3770.9048712447175</v>
      </c>
      <c r="M4191" s="75">
        <f>'THAM_SO_MOI'!$C$15*'THAM_SO_MOI'!$C$16*F4191^2</f>
        <v>1488.5151500922311</v>
      </c>
      <c r="N4191" s="75">
        <f>'THAM_SO_MOI'!$C$12*I4191</f>
        <v>1513.5168622908334</v>
      </c>
      <c r="O4191" s="75">
        <f>M4191+N4191</f>
        <v>3002.0320123830643</v>
      </c>
      <c r="P4191" s="75">
        <f>(MIN(L4191,'THAM_SO_MOI'!$C$41)-O4191)/('THAM_SO_MOI'!$C$11*H4191)</f>
        <v>0.09101241227055551</v>
      </c>
      <c r="Q4191" s="75">
        <f>IF(P4191&gt;0,1/P4191,NA())</f>
        <v>10.987512307961556</v>
      </c>
      <c r="R4191" s="75">
        <f>F4191-F4190</f>
        <v>0.0035868055555567935</v>
      </c>
      <c r="S4191" s="75">
        <f>0.5*(Q4190+Q4191)*R4191</f>
        <v>0.03939439827063505</v>
      </c>
      <c r="T4191" s="75">
        <f>0.5*(F4190*Q4190+F4191*Q4191)*R4191</f>
        <v>0.8886150243483589</v>
      </c>
      <c r="U4191" s="76">
        <f>U4190+S4191</f>
        <v>65.62159889303028</v>
      </c>
      <c r="V4191" s="76">
        <f>V4190+T4191</f>
        <v>1016.993286088377</v>
      </c>
    </row>
    <row r="4192" spans="1:22" ht="19" customHeight="1">
      <c r="A4192" s="68" t="s">
        <v>378</v>
      </c>
      <c r="B4192" s="74">
        <v>5</v>
      </c>
      <c r="C4192" s="68" t="s">
        <v>363</v>
      </c>
      <c r="D4192" s="68" t="s">
        <v>365</v>
      </c>
      <c r="E4192" s="75">
        <f>60*F4192*'THAM_SO_MOI'!$C$53/(2*PI()*'THAM_SO_MOI'!$C$26)</f>
        <v>2222.9770789473678</v>
      </c>
      <c r="F4192" s="75">
        <f>'THAM_SO_MOI'!$C$14+('THAM_SO_MOI'!$C$37-'THAM_SO_MOI'!$C$14)*101/'THAM_SO_MOI'!$C$42</f>
        <v>22.56226736111111</v>
      </c>
      <c r="G4192" s="75">
        <f>3.6*F4192</f>
        <v>81.2241625</v>
      </c>
      <c r="H4192" s="75">
        <f>'THAM_SO_MOI'!$D$53</f>
        <v>1.1</v>
      </c>
      <c r="I4192" s="75">
        <f>IF(F4192&gt;='THAM_SO_MOI'!$C$14,'THAM_SO_MOI'!$C$13*(1+F4192^2/1500),'THAM_SO_MOI'!$C$13)</f>
        <v>0.020090559084742596</v>
      </c>
      <c r="J4192" s="75">
        <f>'THAM_SO_MOI'!$C$40*('THAM_SO_MOI'!$C$23*(E4192/'THAM_SO_MOI'!$C$22)+'THAM_SO_MOI'!$C$24*(E4192/'THAM_SO_MOI'!$C$22)^2-'THAM_SO_MOI'!$C$25*(E4192/'THAM_SO_MOI'!$C$22)^3)</f>
        <v>100.07498000378892</v>
      </c>
      <c r="K4192" s="75">
        <f>'THAM_SO_MOI'!$C$31*J4192/E4192</f>
        <v>429.9756340611385</v>
      </c>
      <c r="L4192" s="75">
        <f>K4192*'THAM_SO_MOI'!$C$53*'THAM_SO_MOI'!$C$17/'THAM_SO_MOI'!$C$26</f>
        <v>3770.8879931973215</v>
      </c>
      <c r="M4192" s="75">
        <f>'THAM_SO_MOI'!$C$15*'THAM_SO_MOI'!$C$16*F4192^2</f>
        <v>1488.9885322872099</v>
      </c>
      <c r="N4192" s="75">
        <f>'THAM_SO_MOI'!$C$12*I4192</f>
        <v>1513.638793891775</v>
      </c>
      <c r="O4192" s="75">
        <f>M4192+N4192</f>
        <v>3002.6273261789847</v>
      </c>
      <c r="P4192" s="75">
        <f>(MIN(L4192,'THAM_SO_MOI'!$C$41)-O4192)/('THAM_SO_MOI'!$C$11*H4192)</f>
        <v>0.09093994638001146</v>
      </c>
      <c r="Q4192" s="75">
        <f>IF(P4192&gt;0,1/P4192,NA())</f>
        <v>10.996267754780636</v>
      </c>
      <c r="R4192" s="75">
        <f>F4192-F4191</f>
        <v>0.0035868055555567935</v>
      </c>
      <c r="S4192" s="75">
        <f>0.5*(Q4191+Q4192)*R4192</f>
        <v>0.03942577223059118</v>
      </c>
      <c r="T4192" s="75">
        <f>0.5*(F4191*Q4191+F4192*Q4192)*R4192</f>
        <v>0.8894641358555206</v>
      </c>
      <c r="U4192" s="76">
        <f>U4191+S4192</f>
        <v>65.66102466526087</v>
      </c>
      <c r="V4192" s="76">
        <f>V4191+T4192</f>
        <v>1017.8827502242325</v>
      </c>
    </row>
    <row r="4193" spans="1:22" ht="19" customHeight="1">
      <c r="A4193" s="68" t="s">
        <v>378</v>
      </c>
      <c r="B4193" s="74">
        <v>5</v>
      </c>
      <c r="C4193" s="68" t="s">
        <v>363</v>
      </c>
      <c r="D4193" s="68" t="s">
        <v>365</v>
      </c>
      <c r="E4193" s="75">
        <f>60*F4193*'THAM_SO_MOI'!$C$53/(2*PI()*'THAM_SO_MOI'!$C$26)</f>
        <v>2223.3304736842097</v>
      </c>
      <c r="F4193" s="75">
        <f>'THAM_SO_MOI'!$C$14+('THAM_SO_MOI'!$C$37-'THAM_SO_MOI'!$C$14)*102/'THAM_SO_MOI'!$C$42</f>
        <v>22.565854166666664</v>
      </c>
      <c r="G4193" s="75">
        <f>3.6*F4193</f>
        <v>81.23707499999999</v>
      </c>
      <c r="H4193" s="75">
        <f>'THAM_SO_MOI'!$D$53</f>
        <v>1.1</v>
      </c>
      <c r="I4193" s="75">
        <f>IF(F4193&gt;='THAM_SO_MOI'!$C$14,'THAM_SO_MOI'!$C$13*(1+F4193^2/1500),'THAM_SO_MOI'!$C$13)</f>
        <v>0.020092177742712672</v>
      </c>
      <c r="J4193" s="75">
        <f>'THAM_SO_MOI'!$C$40*('THAM_SO_MOI'!$C$23*(E4193/'THAM_SO_MOI'!$C$22)+'THAM_SO_MOI'!$C$24*(E4193/'THAM_SO_MOI'!$C$22)^2-'THAM_SO_MOI'!$C$25*(E4193/'THAM_SO_MOI'!$C$22)^3)</f>
        <v>100.09043847134572</v>
      </c>
      <c r="K4193" s="75">
        <f>'THAM_SO_MOI'!$C$31*J4193/E4193</f>
        <v>429.9736974252149</v>
      </c>
      <c r="L4193" s="75">
        <f>K4193*'THAM_SO_MOI'!$C$53*'THAM_SO_MOI'!$C$17/'THAM_SO_MOI'!$C$26</f>
        <v>3770.871008892693</v>
      </c>
      <c r="M4193" s="75">
        <f>'THAM_SO_MOI'!$C$15*'THAM_SO_MOI'!$C$16*F4193^2</f>
        <v>1489.461989743457</v>
      </c>
      <c r="N4193" s="75">
        <f>'THAM_SO_MOI'!$C$12*I4193</f>
        <v>1513.7607448781669</v>
      </c>
      <c r="O4193" s="75">
        <f>M4193+N4193</f>
        <v>3003.222734621624</v>
      </c>
      <c r="P4193" s="75">
        <f>(MIN(L4193,'THAM_SO_MOI'!$C$41)-O4193)/('THAM_SO_MOI'!$C$11*H4193)</f>
        <v>0.09086745670822315</v>
      </c>
      <c r="Q4193" s="75">
        <f>IF(P4193&gt;0,1/P4193,NA())</f>
        <v>11.005040046526403</v>
      </c>
      <c r="R4193" s="75">
        <f>F4193-F4192</f>
        <v>0.0035868055555532408</v>
      </c>
      <c r="S4193" s="75">
        <f>0.5*(Q4192+Q4193)*R4193</f>
        <v>0.039457206525582475</v>
      </c>
      <c r="T4193" s="75">
        <f>0.5*(F4192*Q4192+F4193*Q4193)*R4193</f>
        <v>0.8903148338308212</v>
      </c>
      <c r="U4193" s="76">
        <f>U4192+S4193</f>
        <v>65.70048187178645</v>
      </c>
      <c r="V4193" s="76">
        <f>V4192+T4193</f>
        <v>1018.7730650580634</v>
      </c>
    </row>
    <row r="4194" spans="1:22" ht="19" customHeight="1">
      <c r="A4194" s="68" t="s">
        <v>378</v>
      </c>
      <c r="B4194" s="74">
        <v>5</v>
      </c>
      <c r="C4194" s="68" t="s">
        <v>363</v>
      </c>
      <c r="D4194" s="68" t="s">
        <v>365</v>
      </c>
      <c r="E4194" s="75">
        <f>60*F4194*'THAM_SO_MOI'!$C$53/(2*PI()*'THAM_SO_MOI'!$C$26)</f>
        <v>2223.6838684210525</v>
      </c>
      <c r="F4194" s="75">
        <f>'THAM_SO_MOI'!$C$14+('THAM_SO_MOI'!$C$37-'THAM_SO_MOI'!$C$14)*103/'THAM_SO_MOI'!$C$42</f>
        <v>22.56944097222222</v>
      </c>
      <c r="G4194" s="75">
        <f>3.6*F4194</f>
        <v>81.2499875</v>
      </c>
      <c r="H4194" s="75">
        <f>'THAM_SO_MOI'!$D$53</f>
        <v>1.1</v>
      </c>
      <c r="I4194" s="75">
        <f>IF(F4194&gt;='THAM_SO_MOI'!$C$14,'THAM_SO_MOI'!$C$13*(1+F4194^2/1500),'THAM_SO_MOI'!$C$13)</f>
        <v>0.020093796657986232</v>
      </c>
      <c r="J4194" s="75">
        <f>'THAM_SO_MOI'!$C$40*('THAM_SO_MOI'!$C$23*(E4194/'THAM_SO_MOI'!$C$22)+'THAM_SO_MOI'!$C$24*(E4194/'THAM_SO_MOI'!$C$22)^2-'THAM_SO_MOI'!$C$25*(E4194/'THAM_SO_MOI'!$C$22)^3)</f>
        <v>100.10589397475002</v>
      </c>
      <c r="K4194" s="75">
        <f>'THAM_SO_MOI'!$C$31*J4194/E4194</f>
        <v>429.97174867330705</v>
      </c>
      <c r="L4194" s="75">
        <f>K4194*'THAM_SO_MOI'!$C$53*'THAM_SO_MOI'!$C$17/'THAM_SO_MOI'!$C$26</f>
        <v>3770.8539183308353</v>
      </c>
      <c r="M4194" s="75">
        <f>'THAM_SO_MOI'!$C$15*'THAM_SO_MOI'!$C$16*F4194^2</f>
        <v>1489.9355224609726</v>
      </c>
      <c r="N4194" s="75">
        <f>'THAM_SO_MOI'!$C$12*I4194</f>
        <v>1513.8827152500091</v>
      </c>
      <c r="O4194" s="75">
        <f>M4194+N4194</f>
        <v>3003.8182377109815</v>
      </c>
      <c r="P4194" s="75">
        <f>(MIN(L4194,'THAM_SO_MOI'!$C$41)-O4194)/('THAM_SO_MOI'!$C$11*H4194)</f>
        <v>0.090794943255191</v>
      </c>
      <c r="Q4194" s="75">
        <f>IF(P4194&gt;0,1/P4194,NA())</f>
        <v>11.013829230438196</v>
      </c>
      <c r="R4194" s="75">
        <f>F4194-F4193</f>
        <v>0.0035868055555567935</v>
      </c>
      <c r="S4194" s="75">
        <f>0.5*(Q4193+Q4194)*R4194</f>
        <v>0.03948870132484771</v>
      </c>
      <c r="T4194" s="75">
        <f>0.5*(F4193*Q4193+F4194*Q4194)*R4194</f>
        <v>0.8911671227428123</v>
      </c>
      <c r="U4194" s="76">
        <f>U4193+S4194</f>
        <v>65.7399705731113</v>
      </c>
      <c r="V4194" s="76">
        <f>V4193+T4194</f>
        <v>1019.6642321808062</v>
      </c>
    </row>
    <row r="4195" spans="1:22" ht="19" customHeight="1">
      <c r="A4195" s="68" t="s">
        <v>378</v>
      </c>
      <c r="B4195" s="74">
        <v>5</v>
      </c>
      <c r="C4195" s="68" t="s">
        <v>363</v>
      </c>
      <c r="D4195" s="68" t="s">
        <v>365</v>
      </c>
      <c r="E4195" s="75">
        <f>60*F4195*'THAM_SO_MOI'!$C$53/(2*PI()*'THAM_SO_MOI'!$C$26)</f>
        <v>2224.0372631578944</v>
      </c>
      <c r="F4195" s="75">
        <f>'THAM_SO_MOI'!$C$14+('THAM_SO_MOI'!$C$37-'THAM_SO_MOI'!$C$14)*104/'THAM_SO_MOI'!$C$42</f>
        <v>22.573027777777778</v>
      </c>
      <c r="G4195" s="75">
        <f>3.6*F4195</f>
        <v>81.2629</v>
      </c>
      <c r="H4195" s="75">
        <f>'THAM_SO_MOI'!$D$53</f>
        <v>1.1</v>
      </c>
      <c r="I4195" s="75">
        <f>IF(F4195&gt;='THAM_SO_MOI'!$C$14,'THAM_SO_MOI'!$C$13*(1+F4195^2/1500),'THAM_SO_MOI'!$C$13)</f>
        <v>0.02009541583056327</v>
      </c>
      <c r="J4195" s="75">
        <f>'THAM_SO_MOI'!$C$40*('THAM_SO_MOI'!$C$23*(E4195/'THAM_SO_MOI'!$C$22)+'THAM_SO_MOI'!$C$24*(E4195/'THAM_SO_MOI'!$C$22)^2-'THAM_SO_MOI'!$C$25*(E4195/'THAM_SO_MOI'!$C$22)^3)</f>
        <v>100.12134651265673</v>
      </c>
      <c r="K4195" s="75">
        <f>'THAM_SO_MOI'!$C$31*J4195/E4195</f>
        <v>429.9697878054145</v>
      </c>
      <c r="L4195" s="75">
        <f>K4195*'THAM_SO_MOI'!$C$53*'THAM_SO_MOI'!$C$17/'THAM_SO_MOI'!$C$26</f>
        <v>3770.8367215117455</v>
      </c>
      <c r="M4195" s="75">
        <f>'THAM_SO_MOI'!$C$15*'THAM_SO_MOI'!$C$16*F4195^2</f>
        <v>1490.4091304397573</v>
      </c>
      <c r="N4195" s="75">
        <f>'THAM_SO_MOI'!$C$12*I4195</f>
        <v>1514.0047050073013</v>
      </c>
      <c r="O4195" s="75">
        <f>M4195+N4195</f>
        <v>3004.413835447059</v>
      </c>
      <c r="P4195" s="75">
        <f>(MIN(L4195,'THAM_SO_MOI'!$C$41)-O4195)/('THAM_SO_MOI'!$C$11*H4195)</f>
        <v>0.09072240602091462</v>
      </c>
      <c r="Q4195" s="75">
        <f>IF(P4195&gt;0,1/P4195,NA())</f>
        <v>11.022635353933026</v>
      </c>
      <c r="R4195" s="75">
        <f>F4195-F4194</f>
        <v>0.0035868055555567935</v>
      </c>
      <c r="S4195" s="75">
        <f>0.5*(Q4194+Q4195)*R4195</f>
        <v>0.039520256798026614</v>
      </c>
      <c r="T4195" s="75">
        <f>0.5*(F4194*Q4194+F4195*Q4195)*R4195</f>
        <v>0.8920210070715237</v>
      </c>
      <c r="U4195" s="76">
        <f>U4194+S4195</f>
        <v>65.77949082990932</v>
      </c>
      <c r="V4195" s="76">
        <f>V4194+T4195</f>
        <v>1020.5562531878777</v>
      </c>
    </row>
    <row r="4196" spans="1:22" ht="19" customHeight="1">
      <c r="A4196" s="68" t="s">
        <v>378</v>
      </c>
      <c r="B4196" s="74">
        <v>5</v>
      </c>
      <c r="C4196" s="68" t="s">
        <v>363</v>
      </c>
      <c r="D4196" s="68" t="s">
        <v>365</v>
      </c>
      <c r="E4196" s="75">
        <f>60*F4196*'THAM_SO_MOI'!$C$53/(2*PI()*'THAM_SO_MOI'!$C$26)</f>
        <v>2224.3906578947363</v>
      </c>
      <c r="F4196" s="75">
        <f>'THAM_SO_MOI'!$C$14+('THAM_SO_MOI'!$C$37-'THAM_SO_MOI'!$C$14)*105/'THAM_SO_MOI'!$C$42</f>
        <v>22.57661458333333</v>
      </c>
      <c r="G4196" s="75">
        <f>3.6*F4196</f>
        <v>81.2758125</v>
      </c>
      <c r="H4196" s="75">
        <f>'THAM_SO_MOI'!$D$53</f>
        <v>1.1</v>
      </c>
      <c r="I4196" s="75">
        <f>IF(F4196&gt;='THAM_SO_MOI'!$C$14,'THAM_SO_MOI'!$C$13*(1+F4196^2/1500),'THAM_SO_MOI'!$C$13)</f>
        <v>0.02009703526044379</v>
      </c>
      <c r="J4196" s="75">
        <f>'THAM_SO_MOI'!$C$40*('THAM_SO_MOI'!$C$23*(E4196/'THAM_SO_MOI'!$C$22)+'THAM_SO_MOI'!$C$24*(E4196/'THAM_SO_MOI'!$C$22)^2-'THAM_SO_MOI'!$C$25*(E4196/'THAM_SO_MOI'!$C$22)^3)</f>
        <v>100.1367960837211</v>
      </c>
      <c r="K4196" s="75">
        <f>'THAM_SO_MOI'!$C$31*J4196/E4196</f>
        <v>429.9678148215376</v>
      </c>
      <c r="L4196" s="75">
        <f>K4196*'THAM_SO_MOI'!$C$53*'THAM_SO_MOI'!$C$17/'THAM_SO_MOI'!$C$26</f>
        <v>3770.8194184354247</v>
      </c>
      <c r="M4196" s="75">
        <f>'THAM_SO_MOI'!$C$15*'THAM_SO_MOI'!$C$16*F4196^2</f>
        <v>1490.8828136798093</v>
      </c>
      <c r="N4196" s="75">
        <f>'THAM_SO_MOI'!$C$12*I4196</f>
        <v>1514.1267141500437</v>
      </c>
      <c r="O4196" s="75">
        <f>M4196+N4196</f>
        <v>3005.009527829853</v>
      </c>
      <c r="P4196" s="75">
        <f>(MIN(L4196,'THAM_SO_MOI'!$C$41)-O4196)/('THAM_SO_MOI'!$C$11*H4196)</f>
        <v>0.09064984500539439</v>
      </c>
      <c r="Q4196" s="75">
        <f>IF(P4196&gt;0,1/P4196,NA())</f>
        <v>11.031458464606223</v>
      </c>
      <c r="R4196" s="75">
        <f>F4196-F4195</f>
        <v>0.0035868055555532408</v>
      </c>
      <c r="S4196" s="75">
        <f>0.5*(Q4195+Q4196)*R4196</f>
        <v>0.03955187311551449</v>
      </c>
      <c r="T4196" s="75">
        <f>0.5*(F4195*Q4195+F4196*Q4196)*R4196</f>
        <v>0.8928764913164758</v>
      </c>
      <c r="U4196" s="76">
        <f>U4195+S4196</f>
        <v>65.81904270302483</v>
      </c>
      <c r="V4196" s="76">
        <f>V4195+T4196</f>
        <v>1021.4491296791941</v>
      </c>
    </row>
    <row r="4197" spans="1:22" ht="19" customHeight="1">
      <c r="A4197" s="68" t="s">
        <v>378</v>
      </c>
      <c r="B4197" s="74">
        <v>5</v>
      </c>
      <c r="C4197" s="68" t="s">
        <v>363</v>
      </c>
      <c r="D4197" s="68" t="s">
        <v>365</v>
      </c>
      <c r="E4197" s="75">
        <f>60*F4197*'THAM_SO_MOI'!$C$53/(2*PI()*'THAM_SO_MOI'!$C$26)</f>
        <v>2224.744052631578</v>
      </c>
      <c r="F4197" s="75">
        <f>'THAM_SO_MOI'!$C$14+('THAM_SO_MOI'!$C$37-'THAM_SO_MOI'!$C$14)*106/'THAM_SO_MOI'!$C$42</f>
        <v>22.580201388888888</v>
      </c>
      <c r="G4197" s="75">
        <f>3.6*F4197</f>
        <v>81.288725</v>
      </c>
      <c r="H4197" s="75">
        <f>'THAM_SO_MOI'!$D$53</f>
        <v>1.1</v>
      </c>
      <c r="I4197" s="75">
        <f>IF(F4197&gt;='THAM_SO_MOI'!$C$14,'THAM_SO_MOI'!$C$13*(1+F4197^2/1500),'THAM_SO_MOI'!$C$13)</f>
        <v>0.020098654947627796</v>
      </c>
      <c r="J4197" s="75">
        <f>'THAM_SO_MOI'!$C$40*('THAM_SO_MOI'!$C$23*(E4197/'THAM_SO_MOI'!$C$22)+'THAM_SO_MOI'!$C$24*(E4197/'THAM_SO_MOI'!$C$22)^2-'THAM_SO_MOI'!$C$25*(E4197/'THAM_SO_MOI'!$C$22)^3)</f>
        <v>100.15224268659816</v>
      </c>
      <c r="K4197" s="75">
        <f>'THAM_SO_MOI'!$C$31*J4197/E4197</f>
        <v>429.9658297216762</v>
      </c>
      <c r="L4197" s="75">
        <f>K4197*'THAM_SO_MOI'!$C$53*'THAM_SO_MOI'!$C$17/'THAM_SO_MOI'!$C$26</f>
        <v>3770.802009101873</v>
      </c>
      <c r="M4197" s="75">
        <f>'THAM_SO_MOI'!$C$15*'THAM_SO_MOI'!$C$16*F4197^2</f>
        <v>1491.3565721811308</v>
      </c>
      <c r="N4197" s="75">
        <f>'THAM_SO_MOI'!$C$12*I4197</f>
        <v>1514.2487426782363</v>
      </c>
      <c r="O4197" s="75">
        <f>M4197+N4197</f>
        <v>3005.6053148593674</v>
      </c>
      <c r="P4197" s="75">
        <f>(MIN(L4197,'THAM_SO_MOI'!$C$41)-O4197)/('THAM_SO_MOI'!$C$11*H4197)</f>
        <v>0.09057726020862998</v>
      </c>
      <c r="Q4197" s="75">
        <f>IF(P4197&gt;0,1/P4197,NA())</f>
        <v>11.040298610232444</v>
      </c>
      <c r="R4197" s="75">
        <f>F4197-F4196</f>
        <v>0.0035868055555567935</v>
      </c>
      <c r="S4197" s="75">
        <f>0.5*(Q4196+Q4197)*R4197</f>
        <v>0.03958355044846564</v>
      </c>
      <c r="T4197" s="75">
        <f>0.5*(F4196*Q4196+F4197*Q4197)*R4197</f>
        <v>0.8937335799967718</v>
      </c>
      <c r="U4197" s="76">
        <f>U4196+S4197</f>
        <v>65.8586262534733</v>
      </c>
      <c r="V4197" s="76">
        <f>V4196+T4197</f>
        <v>1022.342863259191</v>
      </c>
    </row>
    <row r="4198" spans="1:22" ht="19" customHeight="1">
      <c r="A4198" s="68" t="s">
        <v>378</v>
      </c>
      <c r="B4198" s="74">
        <v>5</v>
      </c>
      <c r="C4198" s="68" t="s">
        <v>363</v>
      </c>
      <c r="D4198" s="68" t="s">
        <v>365</v>
      </c>
      <c r="E4198" s="75">
        <f>60*F4198*'THAM_SO_MOI'!$C$53/(2*PI()*'THAM_SO_MOI'!$C$26)</f>
        <v>2225.0974473684205</v>
      </c>
      <c r="F4198" s="75">
        <f>'THAM_SO_MOI'!$C$14+('THAM_SO_MOI'!$C$37-'THAM_SO_MOI'!$C$14)*107/'THAM_SO_MOI'!$C$42</f>
        <v>22.583788194444445</v>
      </c>
      <c r="G4198" s="75">
        <f>3.6*F4198</f>
        <v>81.3016375</v>
      </c>
      <c r="H4198" s="75">
        <f>'THAM_SO_MOI'!$D$53</f>
        <v>1.1</v>
      </c>
      <c r="I4198" s="75">
        <f>IF(F4198&gt;='THAM_SO_MOI'!$C$14,'THAM_SO_MOI'!$C$13*(1+F4198^2/1500),'THAM_SO_MOI'!$C$13)</f>
        <v>0.020100274892115282</v>
      </c>
      <c r="J4198" s="75">
        <f>'THAM_SO_MOI'!$C$40*('THAM_SO_MOI'!$C$23*(E4198/'THAM_SO_MOI'!$C$22)+'THAM_SO_MOI'!$C$24*(E4198/'THAM_SO_MOI'!$C$22)^2-'THAM_SO_MOI'!$C$25*(E4198/'THAM_SO_MOI'!$C$22)^3)</f>
        <v>100.16768631994312</v>
      </c>
      <c r="K4198" s="75">
        <f>'THAM_SO_MOI'!$C$31*J4198/E4198</f>
        <v>429.9638325058304</v>
      </c>
      <c r="L4198" s="75">
        <f>K4198*'THAM_SO_MOI'!$C$53*'THAM_SO_MOI'!$C$17/'THAM_SO_MOI'!$C$26</f>
        <v>3770.7844935110897</v>
      </c>
      <c r="M4198" s="75">
        <f>'THAM_SO_MOI'!$C$15*'THAM_SO_MOI'!$C$16*F4198^2</f>
        <v>1491.8304059437203</v>
      </c>
      <c r="N4198" s="75">
        <f>'THAM_SO_MOI'!$C$12*I4198</f>
        <v>1514.370790591879</v>
      </c>
      <c r="O4198" s="75">
        <f>M4198+N4198</f>
        <v>3006.2011965355996</v>
      </c>
      <c r="P4198" s="75">
        <f>(MIN(L4198,'THAM_SO_MOI'!$C$41)-O4198)/('THAM_SO_MOI'!$C$11*H4198)</f>
        <v>0.09050465163062146</v>
      </c>
      <c r="Q4198" s="75">
        <f>IF(P4198&gt;0,1/P4198,NA())</f>
        <v>11.0491558387664</v>
      </c>
      <c r="R4198" s="75">
        <f>F4198-F4197</f>
        <v>0.0035868055555567935</v>
      </c>
      <c r="S4198" s="75">
        <f>0.5*(Q4197+Q4198)*R4198</f>
        <v>0.03961528896844389</v>
      </c>
      <c r="T4198" s="75">
        <f>0.5*(F4197*Q4197+F4198*Q4198)*R4198</f>
        <v>0.8945922776432166</v>
      </c>
      <c r="U4198" s="76">
        <f>U4197+S4198</f>
        <v>65.89824154244175</v>
      </c>
      <c r="V4198" s="76">
        <f>V4197+T4198</f>
        <v>1023.2374555368342</v>
      </c>
    </row>
    <row r="4199" spans="1:22" ht="19" customHeight="1">
      <c r="A4199" s="68" t="s">
        <v>378</v>
      </c>
      <c r="B4199" s="74">
        <v>5</v>
      </c>
      <c r="C4199" s="68" t="s">
        <v>363</v>
      </c>
      <c r="D4199" s="68" t="s">
        <v>365</v>
      </c>
      <c r="E4199" s="75">
        <f>60*F4199*'THAM_SO_MOI'!$C$53/(2*PI()*'THAM_SO_MOI'!$C$26)</f>
        <v>2225.4508421052624</v>
      </c>
      <c r="F4199" s="75">
        <f>'THAM_SO_MOI'!$C$14+('THAM_SO_MOI'!$C$37-'THAM_SO_MOI'!$C$14)*108/'THAM_SO_MOI'!$C$42</f>
        <v>22.587374999999998</v>
      </c>
      <c r="G4199" s="75">
        <f>3.6*F4199</f>
        <v>81.31455</v>
      </c>
      <c r="H4199" s="75">
        <f>'THAM_SO_MOI'!$D$53</f>
        <v>1.1</v>
      </c>
      <c r="I4199" s="75">
        <f>IF(F4199&gt;='THAM_SO_MOI'!$C$14,'THAM_SO_MOI'!$C$13*(1+F4199^2/1500),'THAM_SO_MOI'!$C$13)</f>
        <v>0.02010189509390625</v>
      </c>
      <c r="J4199" s="75">
        <f>'THAM_SO_MOI'!$C$40*('THAM_SO_MOI'!$C$23*(E4199/'THAM_SO_MOI'!$C$22)+'THAM_SO_MOI'!$C$24*(E4199/'THAM_SO_MOI'!$C$22)^2-'THAM_SO_MOI'!$C$25*(E4199/'THAM_SO_MOI'!$C$22)^3)</f>
        <v>100.18312698241104</v>
      </c>
      <c r="K4199" s="75">
        <f>'THAM_SO_MOI'!$C$31*J4199/E4199</f>
        <v>429.9618231740003</v>
      </c>
      <c r="L4199" s="75">
        <f>K4199*'THAM_SO_MOI'!$C$53*'THAM_SO_MOI'!$C$17/'THAM_SO_MOI'!$C$26</f>
        <v>3770.766871663078</v>
      </c>
      <c r="M4199" s="75">
        <f>'THAM_SO_MOI'!$C$15*'THAM_SO_MOI'!$C$16*F4199^2</f>
        <v>1492.304314967578</v>
      </c>
      <c r="N4199" s="75">
        <f>'THAM_SO_MOI'!$C$12*I4199</f>
        <v>1514.492857890972</v>
      </c>
      <c r="O4199" s="75">
        <f>M4199+N4199</f>
        <v>3006.79717285855</v>
      </c>
      <c r="P4199" s="75">
        <f>(MIN(L4199,'THAM_SO_MOI'!$C$41)-O4199)/('THAM_SO_MOI'!$C$11*H4199)</f>
        <v>0.09043201927136935</v>
      </c>
      <c r="Q4199" s="75">
        <f>IF(P4199&gt;0,1/P4199,NA())</f>
        <v>11.058030198343682</v>
      </c>
      <c r="R4199" s="75">
        <f>F4199-F4198</f>
        <v>0.0035868055555532408</v>
      </c>
      <c r="S4199" s="75">
        <f>0.5*(Q4198+Q4199)*R4199</f>
        <v>0.03964708884777774</v>
      </c>
      <c r="T4199" s="75">
        <f>0.5*(F4198*Q4198+F4199*Q4199)*R4199</f>
        <v>0.8954525888063484</v>
      </c>
      <c r="U4199" s="76">
        <f>U4198+S4199</f>
        <v>65.93788863128952</v>
      </c>
      <c r="V4199" s="76">
        <f>V4198+T4199</f>
        <v>1024.1329081256406</v>
      </c>
    </row>
    <row r="4200" spans="1:22" ht="19" customHeight="1">
      <c r="A4200" s="68" t="s">
        <v>378</v>
      </c>
      <c r="B4200" s="74">
        <v>5</v>
      </c>
      <c r="C4200" s="68" t="s">
        <v>363</v>
      </c>
      <c r="D4200" s="68" t="s">
        <v>365</v>
      </c>
      <c r="E4200" s="75">
        <f>60*F4200*'THAM_SO_MOI'!$C$53/(2*PI()*'THAM_SO_MOI'!$C$26)</f>
        <v>2225.804236842105</v>
      </c>
      <c r="F4200" s="75">
        <f>'THAM_SO_MOI'!$C$14+('THAM_SO_MOI'!$C$37-'THAM_SO_MOI'!$C$14)*109/'THAM_SO_MOI'!$C$42</f>
        <v>22.590961805555555</v>
      </c>
      <c r="G4200" s="75">
        <f>3.6*F4200</f>
        <v>81.3274625</v>
      </c>
      <c r="H4200" s="75">
        <f>'THAM_SO_MOI'!$D$53</f>
        <v>1.1</v>
      </c>
      <c r="I4200" s="75">
        <f>IF(F4200&gt;='THAM_SO_MOI'!$C$14,'THAM_SO_MOI'!$C$13*(1+F4200^2/1500),'THAM_SO_MOI'!$C$13)</f>
        <v>0.020103515553000696</v>
      </c>
      <c r="J4200" s="75">
        <f>'THAM_SO_MOI'!$C$40*('THAM_SO_MOI'!$C$23*(E4200/'THAM_SO_MOI'!$C$22)+'THAM_SO_MOI'!$C$24*(E4200/'THAM_SO_MOI'!$C$22)^2-'THAM_SO_MOI'!$C$25*(E4200/'THAM_SO_MOI'!$C$22)^3)</f>
        <v>100.19856467265697</v>
      </c>
      <c r="K4200" s="75">
        <f>'THAM_SO_MOI'!$C$31*J4200/E4200</f>
        <v>429.9598017261854</v>
      </c>
      <c r="L4200" s="75">
        <f>K4200*'THAM_SO_MOI'!$C$53*'THAM_SO_MOI'!$C$17/'THAM_SO_MOI'!$C$26</f>
        <v>3770.7491435578313</v>
      </c>
      <c r="M4200" s="75">
        <f>'THAM_SO_MOI'!$C$15*'THAM_SO_MOI'!$C$16*F4200^2</f>
        <v>1492.7782992527045</v>
      </c>
      <c r="N4200" s="75">
        <f>'THAM_SO_MOI'!$C$12*I4200</f>
        <v>1514.614944575515</v>
      </c>
      <c r="O4200" s="75">
        <f>M4200+N4200</f>
        <v>3007.3932438282195</v>
      </c>
      <c r="P4200" s="75">
        <f>(MIN(L4200,'THAM_SO_MOI'!$C$41)-O4200)/('THAM_SO_MOI'!$C$11*H4200)</f>
        <v>0.0903593631308726</v>
      </c>
      <c r="Q4200" s="75">
        <f>IF(P4200&gt;0,1/P4200,NA())</f>
        <v>11.06692173728187</v>
      </c>
      <c r="R4200" s="75">
        <f>F4200-F4199</f>
        <v>0.0035868055555567935</v>
      </c>
      <c r="S4200" s="75">
        <f>0.5*(Q4199+Q4200)*R4200</f>
        <v>0.03967895025956438</v>
      </c>
      <c r="T4200" s="75">
        <f>0.5*(F4199*Q4199+F4200*Q4200)*R4200</f>
        <v>0.8963145180565418</v>
      </c>
      <c r="U4200" s="76">
        <f>U4199+S4200</f>
        <v>65.9775675815491</v>
      </c>
      <c r="V4200" s="76">
        <f>V4199+T4200</f>
        <v>1025.029222643697</v>
      </c>
    </row>
    <row r="4201" spans="1:22" ht="19" customHeight="1">
      <c r="A4201" s="68" t="s">
        <v>378</v>
      </c>
      <c r="B4201" s="74">
        <v>5</v>
      </c>
      <c r="C4201" s="68" t="s">
        <v>363</v>
      </c>
      <c r="D4201" s="68" t="s">
        <v>365</v>
      </c>
      <c r="E4201" s="75">
        <f>60*F4201*'THAM_SO_MOI'!$C$53/(2*PI()*'THAM_SO_MOI'!$C$26)</f>
        <v>2226.157631578947</v>
      </c>
      <c r="F4201" s="75">
        <f>'THAM_SO_MOI'!$C$14+('THAM_SO_MOI'!$C$37-'THAM_SO_MOI'!$C$14)*110/'THAM_SO_MOI'!$C$42</f>
        <v>22.59454861111111</v>
      </c>
      <c r="G4201" s="75">
        <f>3.6*F4201</f>
        <v>81.34037500000001</v>
      </c>
      <c r="H4201" s="75">
        <f>'THAM_SO_MOI'!$D$53</f>
        <v>1.1</v>
      </c>
      <c r="I4201" s="75">
        <f>IF(F4201&gt;='THAM_SO_MOI'!$C$14,'THAM_SO_MOI'!$C$13*(1+F4201^2/1500),'THAM_SO_MOI'!$C$13)</f>
        <v>0.020105136269398628</v>
      </c>
      <c r="J4201" s="75">
        <f>'THAM_SO_MOI'!$C$40*('THAM_SO_MOI'!$C$23*(E4201/'THAM_SO_MOI'!$C$22)+'THAM_SO_MOI'!$C$24*(E4201/'THAM_SO_MOI'!$C$22)^2-'THAM_SO_MOI'!$C$25*(E4201/'THAM_SO_MOI'!$C$22)^3)</f>
        <v>100.21399938933608</v>
      </c>
      <c r="K4201" s="75">
        <f>'THAM_SO_MOI'!$C$31*J4201/E4201</f>
        <v>429.9577681623862</v>
      </c>
      <c r="L4201" s="75">
        <f>K4201*'THAM_SO_MOI'!$C$53*'THAM_SO_MOI'!$C$17/'THAM_SO_MOI'!$C$26</f>
        <v>3770.7313091953542</v>
      </c>
      <c r="M4201" s="75">
        <f>'THAM_SO_MOI'!$C$15*'THAM_SO_MOI'!$C$16*F4201^2</f>
        <v>1493.2523587990997</v>
      </c>
      <c r="N4201" s="75">
        <f>'THAM_SO_MOI'!$C$12*I4201</f>
        <v>1514.7370506455081</v>
      </c>
      <c r="O4201" s="75">
        <f>M4201+N4201</f>
        <v>3007.989409444608</v>
      </c>
      <c r="P4201" s="75">
        <f>(MIN(L4201,'THAM_SO_MOI'!$C$41)-O4201)/('THAM_SO_MOI'!$C$11*H4201)</f>
        <v>0.09028668320913194</v>
      </c>
      <c r="Q4201" s="75">
        <f>IF(P4201&gt;0,1/P4201,NA())</f>
        <v>11.075830504080985</v>
      </c>
      <c r="R4201" s="75">
        <f>F4201-F4200</f>
        <v>0.0035868055555567935</v>
      </c>
      <c r="S4201" s="75">
        <f>0.5*(Q4200+Q4201)*R4201</f>
        <v>0.03971087337731897</v>
      </c>
      <c r="T4201" s="75">
        <f>0.5*(F4200*Q4200+F4201*Q4201)*R4201</f>
        <v>0.8971780699760974</v>
      </c>
      <c r="U4201" s="76">
        <f>U4200+S4201</f>
        <v>66.01727845492641</v>
      </c>
      <c r="V4201" s="76">
        <f>V4200+T4201</f>
        <v>1025.926400713673</v>
      </c>
    </row>
    <row r="4202" spans="1:22" ht="19" customHeight="1">
      <c r="A4202" s="68" t="s">
        <v>378</v>
      </c>
      <c r="B4202" s="74">
        <v>5</v>
      </c>
      <c r="C4202" s="68" t="s">
        <v>363</v>
      </c>
      <c r="D4202" s="68" t="s">
        <v>365</v>
      </c>
      <c r="E4202" s="75">
        <f>60*F4202*'THAM_SO_MOI'!$C$53/(2*PI()*'THAM_SO_MOI'!$C$26)</f>
        <v>2226.511026315789</v>
      </c>
      <c r="F4202" s="75">
        <f>'THAM_SO_MOI'!$C$14+('THAM_SO_MOI'!$C$37-'THAM_SO_MOI'!$C$14)*111/'THAM_SO_MOI'!$C$42</f>
        <v>22.598135416666665</v>
      </c>
      <c r="G4202" s="75">
        <f>3.6*F4202</f>
        <v>81.3532875</v>
      </c>
      <c r="H4202" s="75">
        <f>'THAM_SO_MOI'!$D$53</f>
        <v>1.1</v>
      </c>
      <c r="I4202" s="75">
        <f>IF(F4202&gt;='THAM_SO_MOI'!$C$14,'THAM_SO_MOI'!$C$13*(1+F4202^2/1500),'THAM_SO_MOI'!$C$13)</f>
        <v>0.02010675724310004</v>
      </c>
      <c r="J4202" s="75">
        <f>'THAM_SO_MOI'!$C$40*('THAM_SO_MOI'!$C$23*(E4202/'THAM_SO_MOI'!$C$22)+'THAM_SO_MOI'!$C$24*(E4202/'THAM_SO_MOI'!$C$22)^2-'THAM_SO_MOI'!$C$25*(E4202/'THAM_SO_MOI'!$C$22)^3)</f>
        <v>100.22943113110348</v>
      </c>
      <c r="K4202" s="75">
        <f>'THAM_SO_MOI'!$C$31*J4202/E4202</f>
        <v>429.95572248260254</v>
      </c>
      <c r="L4202" s="75">
        <f>K4202*'THAM_SO_MOI'!$C$53*'THAM_SO_MOI'!$C$17/'THAM_SO_MOI'!$C$26</f>
        <v>3770.7133685756476</v>
      </c>
      <c r="M4202" s="75">
        <f>'THAM_SO_MOI'!$C$15*'THAM_SO_MOI'!$C$16*F4202^2</f>
        <v>1493.7264936067627</v>
      </c>
      <c r="N4202" s="75">
        <f>'THAM_SO_MOI'!$C$12*I4202</f>
        <v>1514.8591761009516</v>
      </c>
      <c r="O4202" s="75">
        <f>M4202+N4202</f>
        <v>3008.5856697077143</v>
      </c>
      <c r="P4202" s="75">
        <f>(MIN(L4202,'THAM_SO_MOI'!$C$41)-O4202)/('THAM_SO_MOI'!$C$11*H4202)</f>
        <v>0.0902139795061474</v>
      </c>
      <c r="Q4202" s="75">
        <f>IF(P4202&gt;0,1/P4202,NA())</f>
        <v>11.084756547424643</v>
      </c>
      <c r="R4202" s="75">
        <f>F4202-F4201</f>
        <v>0.0035868055555532408</v>
      </c>
      <c r="S4202" s="75">
        <f>0.5*(Q4201+Q4202)*R4202</f>
        <v>0.0397428583753308</v>
      </c>
      <c r="T4202" s="75">
        <f>0.5*(F4201*Q4201+F4202*Q4202)*R4202</f>
        <v>0.8980432491672986</v>
      </c>
      <c r="U4202" s="76">
        <f>U4201+S4202</f>
        <v>66.05702131330175</v>
      </c>
      <c r="V4202" s="76">
        <f>V4201+T4202</f>
        <v>1026.8244439628404</v>
      </c>
    </row>
    <row r="4203" spans="1:22" ht="19" customHeight="1">
      <c r="A4203" s="68" t="s">
        <v>378</v>
      </c>
      <c r="B4203" s="74">
        <v>5</v>
      </c>
      <c r="C4203" s="68" t="s">
        <v>363</v>
      </c>
      <c r="D4203" s="68" t="s">
        <v>365</v>
      </c>
      <c r="E4203" s="75">
        <f>60*F4203*'THAM_SO_MOI'!$C$53/(2*PI()*'THAM_SO_MOI'!$C$26)</f>
        <v>2226.864421052631</v>
      </c>
      <c r="F4203" s="75">
        <f>'THAM_SO_MOI'!$C$14+('THAM_SO_MOI'!$C$37-'THAM_SO_MOI'!$C$14)*112/'THAM_SO_MOI'!$C$42</f>
        <v>22.60172222222222</v>
      </c>
      <c r="G4203" s="75">
        <f>3.6*F4203</f>
        <v>81.3662</v>
      </c>
      <c r="H4203" s="75">
        <f>'THAM_SO_MOI'!$D$53</f>
        <v>1.1</v>
      </c>
      <c r="I4203" s="75">
        <f>IF(F4203&gt;='THAM_SO_MOI'!$C$14,'THAM_SO_MOI'!$C$13*(1+F4203^2/1500),'THAM_SO_MOI'!$C$13)</f>
        <v>0.02010837847410494</v>
      </c>
      <c r="J4203" s="75">
        <f>'THAM_SO_MOI'!$C$40*('THAM_SO_MOI'!$C$23*(E4203/'THAM_SO_MOI'!$C$22)+'THAM_SO_MOI'!$C$24*(E4203/'THAM_SO_MOI'!$C$22)^2-'THAM_SO_MOI'!$C$25*(E4203/'THAM_SO_MOI'!$C$22)^3)</f>
        <v>100.24485989661429</v>
      </c>
      <c r="K4203" s="75">
        <f>'THAM_SO_MOI'!$C$31*J4203/E4203</f>
        <v>429.9536646868345</v>
      </c>
      <c r="L4203" s="75">
        <f>K4203*'THAM_SO_MOI'!$C$53*'THAM_SO_MOI'!$C$17/'THAM_SO_MOI'!$C$26</f>
        <v>3770.69532169871</v>
      </c>
      <c r="M4203" s="75">
        <f>'THAM_SO_MOI'!$C$15*'THAM_SO_MOI'!$C$16*F4203^2</f>
        <v>1494.2007036756945</v>
      </c>
      <c r="N4203" s="75">
        <f>'THAM_SO_MOI'!$C$12*I4203</f>
        <v>1514.9813209418455</v>
      </c>
      <c r="O4203" s="75">
        <f>M4203+N4203</f>
        <v>3009.1820246175403</v>
      </c>
      <c r="P4203" s="75">
        <f>(MIN(L4203,'THAM_SO_MOI'!$C$41)-O4203)/('THAM_SO_MOI'!$C$11*H4203)</f>
        <v>0.09014125202191878</v>
      </c>
      <c r="Q4203" s="75">
        <f>IF(P4203&gt;0,1/P4203,NA())</f>
        <v>11.093699916180881</v>
      </c>
      <c r="R4203" s="75">
        <f>F4203-F4202</f>
        <v>0.0035868055555567935</v>
      </c>
      <c r="S4203" s="75">
        <f>0.5*(Q4202+Q4203)*R4203</f>
        <v>0.039774905428667386</v>
      </c>
      <c r="T4203" s="75">
        <f>0.5*(F4202*Q4202+F4203*Q4203)*R4203</f>
        <v>0.8989100602525162</v>
      </c>
      <c r="U4203" s="76">
        <f>U4202+S4203</f>
        <v>66.09679621873042</v>
      </c>
      <c r="V4203" s="76">
        <f>V4202+T4203</f>
        <v>1027.723354023093</v>
      </c>
    </row>
    <row r="4204" spans="1:22" ht="19" customHeight="1">
      <c r="A4204" s="68" t="s">
        <v>378</v>
      </c>
      <c r="B4204" s="74">
        <v>5</v>
      </c>
      <c r="C4204" s="68" t="s">
        <v>363</v>
      </c>
      <c r="D4204" s="68" t="s">
        <v>365</v>
      </c>
      <c r="E4204" s="75">
        <f>60*F4204*'THAM_SO_MOI'!$C$53/(2*PI()*'THAM_SO_MOI'!$C$26)</f>
        <v>2227.217815789473</v>
      </c>
      <c r="F4204" s="75">
        <f>'THAM_SO_MOI'!$C$14+('THAM_SO_MOI'!$C$37-'THAM_SO_MOI'!$C$14)*113/'THAM_SO_MOI'!$C$42</f>
        <v>22.60530902777778</v>
      </c>
      <c r="G4204" s="75">
        <f>3.6*F4204</f>
        <v>81.3791125</v>
      </c>
      <c r="H4204" s="75">
        <f>'THAM_SO_MOI'!$D$53</f>
        <v>1.1</v>
      </c>
      <c r="I4204" s="75">
        <f>IF(F4204&gt;='THAM_SO_MOI'!$C$14,'THAM_SO_MOI'!$C$13*(1+F4204^2/1500),'THAM_SO_MOI'!$C$13)</f>
        <v>0.020109999962413316</v>
      </c>
      <c r="J4204" s="75">
        <f>'THAM_SO_MOI'!$C$40*('THAM_SO_MOI'!$C$23*(E4204/'THAM_SO_MOI'!$C$22)+'THAM_SO_MOI'!$C$24*(E4204/'THAM_SO_MOI'!$C$22)^2-'THAM_SO_MOI'!$C$25*(E4204/'THAM_SO_MOI'!$C$22)^3)</f>
        <v>100.26028568452357</v>
      </c>
      <c r="K4204" s="75">
        <f>'THAM_SO_MOI'!$C$31*J4204/E4204</f>
        <v>429.9515947750818</v>
      </c>
      <c r="L4204" s="75">
        <f>K4204*'THAM_SO_MOI'!$C$53*'THAM_SO_MOI'!$C$17/'THAM_SO_MOI'!$C$26</f>
        <v>3770.677168564539</v>
      </c>
      <c r="M4204" s="75">
        <f>'THAM_SO_MOI'!$C$15*'THAM_SO_MOI'!$C$16*F4204^2</f>
        <v>1494.6749890058948</v>
      </c>
      <c r="N4204" s="75">
        <f>'THAM_SO_MOI'!$C$12*I4204</f>
        <v>1515.103485168189</v>
      </c>
      <c r="O4204" s="75">
        <f>M4204+N4204</f>
        <v>3009.778474174084</v>
      </c>
      <c r="P4204" s="75">
        <f>(MIN(L4204,'THAM_SO_MOI'!$C$41)-O4204)/('THAM_SO_MOI'!$C$11*H4204)</f>
        <v>0.09006850075644594</v>
      </c>
      <c r="Q4204" s="75">
        <f>IF(P4204&gt;0,1/P4204,NA())</f>
        <v>11.10266065940298</v>
      </c>
      <c r="R4204" s="75">
        <f>F4204-F4203</f>
        <v>0.0035868055555567935</v>
      </c>
      <c r="S4204" s="75">
        <f>0.5*(Q4203+Q4204)*R4204</f>
        <v>0.03980701471282299</v>
      </c>
      <c r="T4204" s="75">
        <f>0.5*(F4203*Q4203+F4204*Q4204)*R4204</f>
        <v>0.8997785078662797</v>
      </c>
      <c r="U4204" s="76">
        <f>U4203+S4204</f>
        <v>66.13660323344324</v>
      </c>
      <c r="V4204" s="76">
        <f>V4203+T4204</f>
        <v>1028.6231325309593</v>
      </c>
    </row>
    <row r="4205" spans="1:22" ht="19" customHeight="1">
      <c r="A4205" s="68" t="s">
        <v>378</v>
      </c>
      <c r="B4205" s="74">
        <v>5</v>
      </c>
      <c r="C4205" s="68" t="s">
        <v>363</v>
      </c>
      <c r="D4205" s="68" t="s">
        <v>365</v>
      </c>
      <c r="E4205" s="75">
        <f>60*F4205*'THAM_SO_MOI'!$C$53/(2*PI()*'THAM_SO_MOI'!$C$26)</f>
        <v>2227.571210526315</v>
      </c>
      <c r="F4205" s="75">
        <f>'THAM_SO_MOI'!$C$14+('THAM_SO_MOI'!$C$37-'THAM_SO_MOI'!$C$14)*114/'THAM_SO_MOI'!$C$42</f>
        <v>22.60889583333333</v>
      </c>
      <c r="G4205" s="75">
        <f>3.6*F4205</f>
        <v>81.39202499999999</v>
      </c>
      <c r="H4205" s="75">
        <f>'THAM_SO_MOI'!$D$53</f>
        <v>1.1</v>
      </c>
      <c r="I4205" s="75">
        <f>IF(F4205&gt;='THAM_SO_MOI'!$C$14,'THAM_SO_MOI'!$C$13*(1+F4205^2/1500),'THAM_SO_MOI'!$C$13)</f>
        <v>0.02011162170802517</v>
      </c>
      <c r="J4205" s="75">
        <f>'THAM_SO_MOI'!$C$40*('THAM_SO_MOI'!$C$23*(E4205/'THAM_SO_MOI'!$C$22)+'THAM_SO_MOI'!$C$24*(E4205/'THAM_SO_MOI'!$C$22)^2-'THAM_SO_MOI'!$C$25*(E4205/'THAM_SO_MOI'!$C$22)^3)</f>
        <v>100.27570849348648</v>
      </c>
      <c r="K4205" s="75">
        <f>'THAM_SO_MOI'!$C$31*J4205/E4205</f>
        <v>429.9495127473448</v>
      </c>
      <c r="L4205" s="75">
        <f>K4205*'THAM_SO_MOI'!$C$53*'THAM_SO_MOI'!$C$17/'THAM_SO_MOI'!$C$26</f>
        <v>3770.6589091731385</v>
      </c>
      <c r="M4205" s="75">
        <f>'THAM_SO_MOI'!$C$15*'THAM_SO_MOI'!$C$16*F4205^2</f>
        <v>1495.1493495973632</v>
      </c>
      <c r="N4205" s="75">
        <f>'THAM_SO_MOI'!$C$12*I4205</f>
        <v>1515.2256687799827</v>
      </c>
      <c r="O4205" s="75">
        <f>M4205+N4205</f>
        <v>3010.375018377346</v>
      </c>
      <c r="P4205" s="75">
        <f>(MIN(L4205,'THAM_SO_MOI'!$C$41)-O4205)/('THAM_SO_MOI'!$C$11*H4205)</f>
        <v>0.08999572570972923</v>
      </c>
      <c r="Q4205" s="75">
        <f>IF(P4205&gt;0,1/P4205,NA())</f>
        <v>11.111638826330308</v>
      </c>
      <c r="R4205" s="75">
        <f>F4205-F4204</f>
        <v>0.0035868055555532408</v>
      </c>
      <c r="S4205" s="75">
        <f>0.5*(Q4204+Q4205)*R4205</f>
        <v>0.03983918640407583</v>
      </c>
      <c r="T4205" s="75">
        <f>0.5*(F4204*Q4204+F4205*Q4205)*R4205</f>
        <v>0.9006485966633586</v>
      </c>
      <c r="U4205" s="76">
        <f>U4204+S4205</f>
        <v>66.17644241984732</v>
      </c>
      <c r="V4205" s="76">
        <f>V4204+T4205</f>
        <v>1029.5237811276227</v>
      </c>
    </row>
    <row r="4206" spans="1:22" ht="19" customHeight="1">
      <c r="A4206" s="68" t="s">
        <v>378</v>
      </c>
      <c r="B4206" s="74">
        <v>5</v>
      </c>
      <c r="C4206" s="68" t="s">
        <v>363</v>
      </c>
      <c r="D4206" s="68" t="s">
        <v>365</v>
      </c>
      <c r="E4206" s="75">
        <f>60*F4206*'THAM_SO_MOI'!$C$53/(2*PI()*'THAM_SO_MOI'!$C$26)</f>
        <v>2227.9246052631574</v>
      </c>
      <c r="F4206" s="75">
        <f>'THAM_SO_MOI'!$C$14+('THAM_SO_MOI'!$C$37-'THAM_SO_MOI'!$C$14)*115/'THAM_SO_MOI'!$C$42</f>
        <v>22.61248263888889</v>
      </c>
      <c r="G4206" s="75">
        <f>3.6*F4206</f>
        <v>81.4049375</v>
      </c>
      <c r="H4206" s="75">
        <f>'THAM_SO_MOI'!$D$53</f>
        <v>1.1</v>
      </c>
      <c r="I4206" s="75">
        <f>IF(F4206&gt;='THAM_SO_MOI'!$C$14,'THAM_SO_MOI'!$C$13*(1+F4206^2/1500),'THAM_SO_MOI'!$C$13)</f>
        <v>0.020113243710940514</v>
      </c>
      <c r="J4206" s="75">
        <f>'THAM_SO_MOI'!$C$40*('THAM_SO_MOI'!$C$23*(E4206/'THAM_SO_MOI'!$C$22)+'THAM_SO_MOI'!$C$24*(E4206/'THAM_SO_MOI'!$C$22)^2-'THAM_SO_MOI'!$C$25*(E4206/'THAM_SO_MOI'!$C$22)^3)</f>
        <v>100.29112832215814</v>
      </c>
      <c r="K4206" s="75">
        <f>'THAM_SO_MOI'!$C$31*J4206/E4206</f>
        <v>429.9474186036234</v>
      </c>
      <c r="L4206" s="75">
        <f>K4206*'THAM_SO_MOI'!$C$53*'THAM_SO_MOI'!$C$17/'THAM_SO_MOI'!$C$26</f>
        <v>3770.640543524508</v>
      </c>
      <c r="M4206" s="75">
        <f>'THAM_SO_MOI'!$C$15*'THAM_SO_MOI'!$C$16*F4206^2</f>
        <v>1495.6237854501005</v>
      </c>
      <c r="N4206" s="75">
        <f>'THAM_SO_MOI'!$C$12*I4206</f>
        <v>1515.347871777227</v>
      </c>
      <c r="O4206" s="75">
        <f>M4206+N4206</f>
        <v>3010.9716572273273</v>
      </c>
      <c r="P4206" s="75">
        <f>(MIN(L4206,'THAM_SO_MOI'!$C$41)-O4206)/('THAM_SO_MOI'!$C$11*H4206)</f>
        <v>0.0899229268817685</v>
      </c>
      <c r="Q4206" s="75">
        <f>IF(P4206&gt;0,1/P4206,NA())</f>
        <v>11.120634466389303</v>
      </c>
      <c r="R4206" s="75">
        <f>F4206-F4205</f>
        <v>0.0035868055555567935</v>
      </c>
      <c r="S4206" s="75">
        <f>0.5*(Q4205+Q4206)*R4206</f>
        <v>0.039871420679491815</v>
      </c>
      <c r="T4206" s="75">
        <f>0.5*(F4205*Q4205+F4206*Q4206)*R4206</f>
        <v>0.9015203313188623</v>
      </c>
      <c r="U4206" s="76">
        <f>U4205+S4206</f>
        <v>66.21631384052681</v>
      </c>
      <c r="V4206" s="76">
        <f>V4205+T4206</f>
        <v>1030.4253014589415</v>
      </c>
    </row>
    <row r="4207" spans="1:22" ht="19" customHeight="1">
      <c r="A4207" s="68" t="s">
        <v>378</v>
      </c>
      <c r="B4207" s="74">
        <v>5</v>
      </c>
      <c r="C4207" s="68" t="s">
        <v>363</v>
      </c>
      <c r="D4207" s="68" t="s">
        <v>365</v>
      </c>
      <c r="E4207" s="75">
        <f>60*F4207*'THAM_SO_MOI'!$C$53/(2*PI()*'THAM_SO_MOI'!$C$26)</f>
        <v>2228.278</v>
      </c>
      <c r="F4207" s="75">
        <f>'THAM_SO_MOI'!$C$14+('THAM_SO_MOI'!$C$37-'THAM_SO_MOI'!$C$14)*116/'THAM_SO_MOI'!$C$42</f>
        <v>22.616069444444445</v>
      </c>
      <c r="G4207" s="75">
        <f>3.6*F4207</f>
        <v>81.41785</v>
      </c>
      <c r="H4207" s="75">
        <f>'THAM_SO_MOI'!$D$53</f>
        <v>1.1</v>
      </c>
      <c r="I4207" s="75">
        <f>IF(F4207&gt;='THAM_SO_MOI'!$C$14,'THAM_SO_MOI'!$C$13*(1+F4207^2/1500),'THAM_SO_MOI'!$C$13)</f>
        <v>0.020114865971159336</v>
      </c>
      <c r="J4207" s="75">
        <f>'THAM_SO_MOI'!$C$40*('THAM_SO_MOI'!$C$23*(E4207/'THAM_SO_MOI'!$C$22)+'THAM_SO_MOI'!$C$24*(E4207/'THAM_SO_MOI'!$C$22)^2-'THAM_SO_MOI'!$C$25*(E4207/'THAM_SO_MOI'!$C$22)^3)</f>
        <v>100.30654516919361</v>
      </c>
      <c r="K4207" s="75">
        <f>'THAM_SO_MOI'!$C$31*J4207/E4207</f>
        <v>429.9453123439174</v>
      </c>
      <c r="L4207" s="75">
        <f>K4207*'THAM_SO_MOI'!$C$53*'THAM_SO_MOI'!$C$17/'THAM_SO_MOI'!$C$26</f>
        <v>3770.6220716186444</v>
      </c>
      <c r="M4207" s="75">
        <f>'THAM_SO_MOI'!$C$15*'THAM_SO_MOI'!$C$16*F4207^2</f>
        <v>1496.098296564106</v>
      </c>
      <c r="N4207" s="75">
        <f>'THAM_SO_MOI'!$C$12*I4207</f>
        <v>1515.4700941599215</v>
      </c>
      <c r="O4207" s="75">
        <f>M4207+N4207</f>
        <v>3011.5683907240273</v>
      </c>
      <c r="P4207" s="75">
        <f>(MIN(L4207,'THAM_SO_MOI'!$C$41)-O4207)/('THAM_SO_MOI'!$C$11*H4207)</f>
        <v>0.08985010427256356</v>
      </c>
      <c r="Q4207" s="75">
        <f>IF(P4207&gt;0,1/P4207,NA())</f>
        <v>11.129647629194327</v>
      </c>
      <c r="R4207" s="75">
        <f>F4207-F4206</f>
        <v>0.0035868055555567935</v>
      </c>
      <c r="S4207" s="75">
        <f>0.5*(Q4206+Q4207)*R4207</f>
        <v>0.039903717716572605</v>
      </c>
      <c r="T4207" s="75">
        <f>0.5*(F4206*Q4206+F4207*Q4207)*R4207</f>
        <v>0.9023937165202948</v>
      </c>
      <c r="U4207" s="76">
        <f>U4206+S4207</f>
        <v>66.25621755824338</v>
      </c>
      <c r="V4207" s="76">
        <f>V4206+T4207</f>
        <v>1031.3276951754617</v>
      </c>
    </row>
    <row r="4208" spans="1:22" ht="19" customHeight="1">
      <c r="A4208" s="68" t="s">
        <v>378</v>
      </c>
      <c r="B4208" s="74">
        <v>5</v>
      </c>
      <c r="C4208" s="68" t="s">
        <v>363</v>
      </c>
      <c r="D4208" s="68" t="s">
        <v>365</v>
      </c>
      <c r="E4208" s="75">
        <f>60*F4208*'THAM_SO_MOI'!$C$53/(2*PI()*'THAM_SO_MOI'!$C$26)</f>
        <v>2228.6313947368417</v>
      </c>
      <c r="F4208" s="75">
        <f>'THAM_SO_MOI'!$C$14+('THAM_SO_MOI'!$C$37-'THAM_SO_MOI'!$C$14)*117/'THAM_SO_MOI'!$C$42</f>
        <v>22.61965625</v>
      </c>
      <c r="G4208" s="75">
        <f>3.6*F4208</f>
        <v>81.4307625</v>
      </c>
      <c r="H4208" s="75">
        <f>'THAM_SO_MOI'!$D$53</f>
        <v>1.1</v>
      </c>
      <c r="I4208" s="75">
        <f>IF(F4208&gt;='THAM_SO_MOI'!$C$14,'THAM_SO_MOI'!$C$13*(1+F4208^2/1500),'THAM_SO_MOI'!$C$13)</f>
        <v>0.02011648848868164</v>
      </c>
      <c r="J4208" s="75">
        <f>'THAM_SO_MOI'!$C$40*('THAM_SO_MOI'!$C$23*(E4208/'THAM_SO_MOI'!$C$22)+'THAM_SO_MOI'!$C$24*(E4208/'THAM_SO_MOI'!$C$22)^2-'THAM_SO_MOI'!$C$25*(E4208/'THAM_SO_MOI'!$C$22)^3)</f>
        <v>100.32195903324799</v>
      </c>
      <c r="K4208" s="75">
        <f>'THAM_SO_MOI'!$C$31*J4208/E4208</f>
        <v>429.9431939682269</v>
      </c>
      <c r="L4208" s="75">
        <f>K4208*'THAM_SO_MOI'!$C$53*'THAM_SO_MOI'!$C$17/'THAM_SO_MOI'!$C$26</f>
        <v>3770.603493455549</v>
      </c>
      <c r="M4208" s="75">
        <f>'THAM_SO_MOI'!$C$15*'THAM_SO_MOI'!$C$16*F4208^2</f>
        <v>1496.57288293938</v>
      </c>
      <c r="N4208" s="75">
        <f>'THAM_SO_MOI'!$C$12*I4208</f>
        <v>1515.5923359280657</v>
      </c>
      <c r="O4208" s="75">
        <f>M4208+N4208</f>
        <v>3012.1652188674457</v>
      </c>
      <c r="P4208" s="75">
        <f>(MIN(L4208,'THAM_SO_MOI'!$C$41)-O4208)/('THAM_SO_MOI'!$C$11*H4208)</f>
        <v>0.08977725788211449</v>
      </c>
      <c r="Q4208" s="75">
        <f>IF(P4208&gt;0,1/P4208,NA())</f>
        <v>11.1386783645485</v>
      </c>
      <c r="R4208" s="75">
        <f>F4208-F4207</f>
        <v>0.0035868055555532408</v>
      </c>
      <c r="S4208" s="75">
        <f>0.5*(Q4207+Q4208)*R4208</f>
        <v>0.03993607769361371</v>
      </c>
      <c r="T4208" s="75">
        <f>0.5*(F4207*Q4207+F4208*Q4208)*R4208</f>
        <v>0.9032687569756612</v>
      </c>
      <c r="U4208" s="76">
        <f>U4207+S4208</f>
        <v>66.29615363593699</v>
      </c>
      <c r="V4208" s="76">
        <f>V4207+T4208</f>
        <v>1032.2309639324374</v>
      </c>
    </row>
    <row r="4209" spans="1:22" ht="19" customHeight="1">
      <c r="A4209" s="68" t="s">
        <v>378</v>
      </c>
      <c r="B4209" s="74">
        <v>5</v>
      </c>
      <c r="C4209" s="68" t="s">
        <v>363</v>
      </c>
      <c r="D4209" s="68" t="s">
        <v>365</v>
      </c>
      <c r="E4209" s="75">
        <f>60*F4209*'THAM_SO_MOI'!$C$53/(2*PI()*'THAM_SO_MOI'!$C$26)</f>
        <v>2228.9847894736836</v>
      </c>
      <c r="F4209" s="75">
        <f>'THAM_SO_MOI'!$C$14+('THAM_SO_MOI'!$C$37-'THAM_SO_MOI'!$C$14)*118/'THAM_SO_MOI'!$C$42</f>
        <v>22.623243055555555</v>
      </c>
      <c r="G4209" s="75">
        <f>3.6*F4209</f>
        <v>81.443675</v>
      </c>
      <c r="H4209" s="75">
        <f>'THAM_SO_MOI'!$D$53</f>
        <v>1.1</v>
      </c>
      <c r="I4209" s="75">
        <f>IF(F4209&gt;='THAM_SO_MOI'!$C$14,'THAM_SO_MOI'!$C$13*(1+F4209^2/1500),'THAM_SO_MOI'!$C$13)</f>
        <v>0.020118111263507425</v>
      </c>
      <c r="J4209" s="75">
        <f>'THAM_SO_MOI'!$C$40*('THAM_SO_MOI'!$C$23*(E4209/'THAM_SO_MOI'!$C$22)+'THAM_SO_MOI'!$C$24*(E4209/'THAM_SO_MOI'!$C$22)^2-'THAM_SO_MOI'!$C$25*(E4209/'THAM_SO_MOI'!$C$22)^3)</f>
        <v>100.33736991297646</v>
      </c>
      <c r="K4209" s="75">
        <f>'THAM_SO_MOI'!$C$31*J4209/E4209</f>
        <v>429.94106347655213</v>
      </c>
      <c r="L4209" s="75">
        <f>K4209*'THAM_SO_MOI'!$C$53*'THAM_SO_MOI'!$C$17/'THAM_SO_MOI'!$C$26</f>
        <v>3770.5848090352247</v>
      </c>
      <c r="M4209" s="75">
        <f>'THAM_SO_MOI'!$C$15*'THAM_SO_MOI'!$C$16*F4209^2</f>
        <v>1497.0475445759223</v>
      </c>
      <c r="N4209" s="75">
        <f>'THAM_SO_MOI'!$C$12*I4209</f>
        <v>1515.7145970816603</v>
      </c>
      <c r="O4209" s="75">
        <f>M4209+N4209</f>
        <v>3012.7621416575826</v>
      </c>
      <c r="P4209" s="75">
        <f>(MIN(L4209,'THAM_SO_MOI'!$C$41)-O4209)/('THAM_SO_MOI'!$C$11*H4209)</f>
        <v>0.08970438771042168</v>
      </c>
      <c r="Q4209" s="75">
        <f>IF(P4209&gt;0,1/P4209,NA())</f>
        <v>11.147726722444615</v>
      </c>
      <c r="R4209" s="75">
        <f>F4209-F4208</f>
        <v>0.0035868055555567935</v>
      </c>
      <c r="S4209" s="75">
        <f>0.5*(Q4208+Q4209)*R4209</f>
        <v>0.03996850078970804</v>
      </c>
      <c r="T4209" s="75">
        <f>0.5*(F4208*Q4208+F4209*Q4209)*R4209</f>
        <v>0.9041454574135642</v>
      </c>
      <c r="U4209" s="76">
        <f>U4208+S4209</f>
        <v>66.3361221367267</v>
      </c>
      <c r="V4209" s="76">
        <f>V4208+T4209</f>
        <v>1033.1351093898509</v>
      </c>
    </row>
    <row r="4210" spans="1:22" ht="19" customHeight="1">
      <c r="A4210" s="68" t="s">
        <v>378</v>
      </c>
      <c r="B4210" s="74">
        <v>5</v>
      </c>
      <c r="C4210" s="68" t="s">
        <v>363</v>
      </c>
      <c r="D4210" s="68" t="s">
        <v>365</v>
      </c>
      <c r="E4210" s="75">
        <f>60*F4210*'THAM_SO_MOI'!$C$53/(2*PI()*'THAM_SO_MOI'!$C$26)</f>
        <v>2229.338184210526</v>
      </c>
      <c r="F4210" s="75">
        <f>'THAM_SO_MOI'!$C$14+('THAM_SO_MOI'!$C$37-'THAM_SO_MOI'!$C$14)*119/'THAM_SO_MOI'!$C$42</f>
        <v>22.626829861111112</v>
      </c>
      <c r="G4210" s="75">
        <f>3.6*F4210</f>
        <v>81.45658750000001</v>
      </c>
      <c r="H4210" s="75">
        <f>'THAM_SO_MOI'!$D$53</f>
        <v>1.1</v>
      </c>
      <c r="I4210" s="75">
        <f>IF(F4210&gt;='THAM_SO_MOI'!$C$14,'THAM_SO_MOI'!$C$13*(1+F4210^2/1500),'THAM_SO_MOI'!$C$13)</f>
        <v>0.020119734295636692</v>
      </c>
      <c r="J4210" s="75">
        <f>'THAM_SO_MOI'!$C$40*('THAM_SO_MOI'!$C$23*(E4210/'THAM_SO_MOI'!$C$22)+'THAM_SO_MOI'!$C$24*(E4210/'THAM_SO_MOI'!$C$22)^2-'THAM_SO_MOI'!$C$25*(E4210/'THAM_SO_MOI'!$C$22)^3)</f>
        <v>100.3527778070341</v>
      </c>
      <c r="K4210" s="75">
        <f>'THAM_SO_MOI'!$C$31*J4210/E4210</f>
        <v>429.9389208688928</v>
      </c>
      <c r="L4210" s="75">
        <f>K4210*'THAM_SO_MOI'!$C$53*'THAM_SO_MOI'!$C$17/'THAM_SO_MOI'!$C$26</f>
        <v>3770.5660183576692</v>
      </c>
      <c r="M4210" s="75">
        <f>'THAM_SO_MOI'!$C$15*'THAM_SO_MOI'!$C$16*F4210^2</f>
        <v>1497.5222814737335</v>
      </c>
      <c r="N4210" s="75">
        <f>'THAM_SO_MOI'!$C$12*I4210</f>
        <v>1515.836877620705</v>
      </c>
      <c r="O4210" s="75">
        <f>M4210+N4210</f>
        <v>3013.359159094439</v>
      </c>
      <c r="P4210" s="75">
        <f>(MIN(L4210,'THAM_SO_MOI'!$C$41)-O4210)/('THAM_SO_MOI'!$C$11*H4210)</f>
        <v>0.08963149375748469</v>
      </c>
      <c r="Q4210" s="75">
        <f>IF(P4210&gt;0,1/P4210,NA())</f>
        <v>11.15679275306616</v>
      </c>
      <c r="R4210" s="75">
        <f>F4210-F4209</f>
        <v>0.0035868055555567935</v>
      </c>
      <c r="S4210" s="75">
        <f>0.5*(Q4209+Q4210)*R4210</f>
        <v>0.04000098718439337</v>
      </c>
      <c r="T4210" s="75">
        <f>0.5*(F4209*Q4209+F4210*Q4210)*R4210</f>
        <v>0.9050238225752401</v>
      </c>
      <c r="U4210" s="76">
        <f>U4209+S4210</f>
        <v>66.3761231239111</v>
      </c>
      <c r="V4210" s="76">
        <f>V4209+T4210</f>
        <v>1034.040133212426</v>
      </c>
    </row>
    <row r="4211" spans="1:22" ht="19" customHeight="1">
      <c r="A4211" s="68" t="s">
        <v>378</v>
      </c>
      <c r="B4211" s="74">
        <v>5</v>
      </c>
      <c r="C4211" s="68" t="s">
        <v>363</v>
      </c>
      <c r="D4211" s="68" t="s">
        <v>365</v>
      </c>
      <c r="E4211" s="75">
        <f>60*F4211*'THAM_SO_MOI'!$C$53/(2*PI()*'THAM_SO_MOI'!$C$26)</f>
        <v>2229.6915789473674</v>
      </c>
      <c r="F4211" s="75">
        <f>'THAM_SO_MOI'!$C$14+('THAM_SO_MOI'!$C$37-'THAM_SO_MOI'!$C$14)*120/'THAM_SO_MOI'!$C$42</f>
        <v>22.630416666666665</v>
      </c>
      <c r="G4211" s="75">
        <f>3.6*F4211</f>
        <v>81.4695</v>
      </c>
      <c r="H4211" s="75">
        <f>'THAM_SO_MOI'!$D$53</f>
        <v>1.1</v>
      </c>
      <c r="I4211" s="75">
        <f>IF(F4211&gt;='THAM_SO_MOI'!$C$14,'THAM_SO_MOI'!$C$13*(1+F4211^2/1500),'THAM_SO_MOI'!$C$13)</f>
        <v>0.020121357585069444</v>
      </c>
      <c r="J4211" s="75">
        <f>'THAM_SO_MOI'!$C$40*('THAM_SO_MOI'!$C$23*(E4211/'THAM_SO_MOI'!$C$22)+'THAM_SO_MOI'!$C$24*(E4211/'THAM_SO_MOI'!$C$22)^2-'THAM_SO_MOI'!$C$25*(E4211/'THAM_SO_MOI'!$C$22)^3)</f>
        <v>100.36818271407597</v>
      </c>
      <c r="K4211" s="75">
        <f>'THAM_SO_MOI'!$C$31*J4211/E4211</f>
        <v>429.936766145249</v>
      </c>
      <c r="L4211" s="75">
        <f>K4211*'THAM_SO_MOI'!$C$53*'THAM_SO_MOI'!$C$17/'THAM_SO_MOI'!$C$26</f>
        <v>3770.547121422881</v>
      </c>
      <c r="M4211" s="75">
        <f>'THAM_SO_MOI'!$C$15*'THAM_SO_MOI'!$C$16*F4211^2</f>
        <v>1497.9970936328123</v>
      </c>
      <c r="N4211" s="75">
        <f>'THAM_SO_MOI'!$C$12*I4211</f>
        <v>1515.9591775452</v>
      </c>
      <c r="O4211" s="75">
        <f>M4211+N4211</f>
        <v>3013.9562711780122</v>
      </c>
      <c r="P4211" s="75">
        <f>(MIN(L4211,'THAM_SO_MOI'!$C$41)-O4211)/('THAM_SO_MOI'!$C$11*H4211)</f>
        <v>0.0895585760233036</v>
      </c>
      <c r="Q4211" s="75">
        <f>IF(P4211&gt;0,1/P4211,NA())</f>
        <v>11.16587650678808</v>
      </c>
      <c r="R4211" s="75">
        <f>F4211-F4210</f>
        <v>0.0035868055555532408</v>
      </c>
      <c r="S4211" s="75">
        <f>0.5*(Q4210+Q4211)*R4211</f>
        <v>0.04003353705801137</v>
      </c>
      <c r="T4211" s="75">
        <f>0.5*(F4210*Q4210+F4211*Q4211)*R4211</f>
        <v>0.9059038572226923</v>
      </c>
      <c r="U4211" s="76">
        <f>U4210+S4211</f>
        <v>66.41615666096911</v>
      </c>
      <c r="V4211" s="76">
        <f>V4210+T4211</f>
        <v>1034.9460370696488</v>
      </c>
    </row>
    <row r="4212" spans="1:22" ht="19" customHeight="1">
      <c r="A4212" s="68" t="s">
        <v>378</v>
      </c>
      <c r="B4212" s="74">
        <v>5</v>
      </c>
      <c r="C4212" s="68" t="s">
        <v>363</v>
      </c>
      <c r="D4212" s="68" t="s">
        <v>365</v>
      </c>
      <c r="E4212" s="75">
        <f>60*F4212*'THAM_SO_MOI'!$C$53/(2*PI()*'THAM_SO_MOI'!$C$26)</f>
        <v>2230.04497368421</v>
      </c>
      <c r="F4212" s="75">
        <f>'THAM_SO_MOI'!$C$14+('THAM_SO_MOI'!$C$37-'THAM_SO_MOI'!$C$14)*121/'THAM_SO_MOI'!$C$42</f>
        <v>22.634003472222222</v>
      </c>
      <c r="G4212" s="75">
        <f>3.6*F4212</f>
        <v>81.4824125</v>
      </c>
      <c r="H4212" s="75">
        <f>'THAM_SO_MOI'!$D$53</f>
        <v>1.1</v>
      </c>
      <c r="I4212" s="75">
        <f>IF(F4212&gt;='THAM_SO_MOI'!$C$14,'THAM_SO_MOI'!$C$13*(1+F4212^2/1500),'THAM_SO_MOI'!$C$13)</f>
        <v>0.020122981131805676</v>
      </c>
      <c r="J4212" s="75">
        <f>'THAM_SO_MOI'!$C$40*('THAM_SO_MOI'!$C$23*(E4212/'THAM_SO_MOI'!$C$22)+'THAM_SO_MOI'!$C$24*(E4212/'THAM_SO_MOI'!$C$22)^2-'THAM_SO_MOI'!$C$25*(E4212/'THAM_SO_MOI'!$C$22)^3)</f>
        <v>100.38358463275729</v>
      </c>
      <c r="K4212" s="75">
        <f>'THAM_SO_MOI'!$C$31*J4212/E4212</f>
        <v>429.93459930562085</v>
      </c>
      <c r="L4212" s="75">
        <f>K4212*'THAM_SO_MOI'!$C$53*'THAM_SO_MOI'!$C$17/'THAM_SO_MOI'!$C$26</f>
        <v>3770.5281182308636</v>
      </c>
      <c r="M4212" s="75">
        <f>'THAM_SO_MOI'!$C$15*'THAM_SO_MOI'!$C$16*F4212^2</f>
        <v>1498.4719810531603</v>
      </c>
      <c r="N4212" s="75">
        <f>'THAM_SO_MOI'!$C$12*I4212</f>
        <v>1516.0814968551451</v>
      </c>
      <c r="O4212" s="75">
        <f>M4212+N4212</f>
        <v>3014.5534779083055</v>
      </c>
      <c r="P4212" s="75">
        <f>(MIN(L4212,'THAM_SO_MOI'!$C$41)-O4212)/('THAM_SO_MOI'!$C$11*H4212)</f>
        <v>0.08948563450787854</v>
      </c>
      <c r="Q4212" s="75">
        <f>IF(P4212&gt;0,1/P4212,NA())</f>
        <v>11.174978034177737</v>
      </c>
      <c r="R4212" s="75">
        <f>F4212-F4211</f>
        <v>0.0035868055555567935</v>
      </c>
      <c r="S4212" s="75">
        <f>0.5*(Q4211+Q4212)*R4212</f>
        <v>0.04006615059171121</v>
      </c>
      <c r="T4212" s="75">
        <f>0.5*(F4211*Q4211+F4212*Q4212)*R4212</f>
        <v>0.9067855661387875</v>
      </c>
      <c r="U4212" s="76">
        <f>U4211+S4212</f>
        <v>66.45622281156082</v>
      </c>
      <c r="V4212" s="76">
        <f>V4211+T4212</f>
        <v>1035.8528226357876</v>
      </c>
    </row>
    <row r="4213" spans="1:22" ht="19" customHeight="1">
      <c r="A4213" s="68" t="s">
        <v>378</v>
      </c>
      <c r="B4213" s="74">
        <v>5</v>
      </c>
      <c r="C4213" s="68" t="s">
        <v>363</v>
      </c>
      <c r="D4213" s="68" t="s">
        <v>365</v>
      </c>
      <c r="E4213" s="75">
        <f>60*F4213*'THAM_SO_MOI'!$C$53/(2*PI()*'THAM_SO_MOI'!$C$26)</f>
        <v>2230.398368421052</v>
      </c>
      <c r="F4213" s="75">
        <f>'THAM_SO_MOI'!$C$14+('THAM_SO_MOI'!$C$37-'THAM_SO_MOI'!$C$14)*122/'THAM_SO_MOI'!$C$42</f>
        <v>22.637590277777775</v>
      </c>
      <c r="G4213" s="75">
        <f>3.6*F4213</f>
        <v>81.495325</v>
      </c>
      <c r="H4213" s="75">
        <f>'THAM_SO_MOI'!$D$53</f>
        <v>1.1</v>
      </c>
      <c r="I4213" s="75">
        <f>IF(F4213&gt;='THAM_SO_MOI'!$C$14,'THAM_SO_MOI'!$C$13*(1+F4213^2/1500),'THAM_SO_MOI'!$C$13)</f>
        <v>0.020124604935845388</v>
      </c>
      <c r="J4213" s="75">
        <f>'THAM_SO_MOI'!$C$40*('THAM_SO_MOI'!$C$23*(E4213/'THAM_SO_MOI'!$C$22)+'THAM_SO_MOI'!$C$24*(E4213/'THAM_SO_MOI'!$C$22)^2-'THAM_SO_MOI'!$C$25*(E4213/'THAM_SO_MOI'!$C$22)^3)</f>
        <v>100.39898356173306</v>
      </c>
      <c r="K4213" s="75">
        <f>'THAM_SO_MOI'!$C$31*J4213/E4213</f>
        <v>429.93242035000816</v>
      </c>
      <c r="L4213" s="75">
        <f>K4213*'THAM_SO_MOI'!$C$53*'THAM_SO_MOI'!$C$17/'THAM_SO_MOI'!$C$26</f>
        <v>3770.509008781614</v>
      </c>
      <c r="M4213" s="75">
        <f>'THAM_SO_MOI'!$C$15*'THAM_SO_MOI'!$C$16*F4213^2</f>
        <v>1498.9469437347764</v>
      </c>
      <c r="N4213" s="75">
        <f>'THAM_SO_MOI'!$C$12*I4213</f>
        <v>1516.2038355505404</v>
      </c>
      <c r="O4213" s="75">
        <f>M4213+N4213</f>
        <v>3015.1507792853167</v>
      </c>
      <c r="P4213" s="75">
        <f>(MIN(L4213,'THAM_SO_MOI'!$C$41)-O4213)/('THAM_SO_MOI'!$C$11*H4213)</f>
        <v>0.08941266921120938</v>
      </c>
      <c r="Q4213" s="75">
        <f>IF(P4213&gt;0,1/P4213,NA())</f>
        <v>11.184097385995868</v>
      </c>
      <c r="R4213" s="75">
        <f>F4213-F4212</f>
        <v>0.0035868055555532408</v>
      </c>
      <c r="S4213" s="75">
        <f>0.5*(Q4212+Q4213)*R4213</f>
        <v>0.04009882796705629</v>
      </c>
      <c r="T4213" s="75">
        <f>0.5*(F4212*Q4212+F4213*Q4213)*R4213</f>
        <v>0.9076689541183677</v>
      </c>
      <c r="U4213" s="76">
        <f>U4212+S4213</f>
        <v>66.49632163952788</v>
      </c>
      <c r="V4213" s="76">
        <f>V4212+T4213</f>
        <v>1036.760491589906</v>
      </c>
    </row>
    <row r="4214" spans="1:22" ht="19" customHeight="1">
      <c r="A4214" s="68" t="s">
        <v>378</v>
      </c>
      <c r="B4214" s="74">
        <v>5</v>
      </c>
      <c r="C4214" s="68" t="s">
        <v>363</v>
      </c>
      <c r="D4214" s="68" t="s">
        <v>365</v>
      </c>
      <c r="E4214" s="75">
        <f>60*F4214*'THAM_SO_MOI'!$C$53/(2*PI()*'THAM_SO_MOI'!$C$26)</f>
        <v>2230.7517631578944</v>
      </c>
      <c r="F4214" s="75">
        <f>'THAM_SO_MOI'!$C$14+('THAM_SO_MOI'!$C$37-'THAM_SO_MOI'!$C$14)*123/'THAM_SO_MOI'!$C$42</f>
        <v>22.641177083333332</v>
      </c>
      <c r="G4214" s="75">
        <f>3.6*F4214</f>
        <v>81.50823749999999</v>
      </c>
      <c r="H4214" s="75">
        <f>'THAM_SO_MOI'!$D$53</f>
        <v>1.1</v>
      </c>
      <c r="I4214" s="75">
        <f>IF(F4214&gt;='THAM_SO_MOI'!$C$14,'THAM_SO_MOI'!$C$13*(1+F4214^2/1500),'THAM_SO_MOI'!$C$13)</f>
        <v>0.02012622899718858</v>
      </c>
      <c r="J4214" s="75">
        <f>'THAM_SO_MOI'!$C$40*('THAM_SO_MOI'!$C$23*(E4214/'THAM_SO_MOI'!$C$22)+'THAM_SO_MOI'!$C$24*(E4214/'THAM_SO_MOI'!$C$22)^2-'THAM_SO_MOI'!$C$25*(E4214/'THAM_SO_MOI'!$C$22)^3)</f>
        <v>100.41437949965845</v>
      </c>
      <c r="K4214" s="75">
        <f>'THAM_SO_MOI'!$C$31*J4214/E4214</f>
        <v>429.930229278411</v>
      </c>
      <c r="L4214" s="75">
        <f>K4214*'THAM_SO_MOI'!$C$53*'THAM_SO_MOI'!$C$17/'THAM_SO_MOI'!$C$26</f>
        <v>3770.4897930751335</v>
      </c>
      <c r="M4214" s="75">
        <f>'THAM_SO_MOI'!$C$15*'THAM_SO_MOI'!$C$16*F4214^2</f>
        <v>1499.421981677661</v>
      </c>
      <c r="N4214" s="75">
        <f>'THAM_SO_MOI'!$C$12*I4214</f>
        <v>1516.3261936313854</v>
      </c>
      <c r="O4214" s="75">
        <f>M4214+N4214</f>
        <v>3015.7481753090465</v>
      </c>
      <c r="P4214" s="75">
        <f>(MIN(L4214,'THAM_SO_MOI'!$C$41)-O4214)/('THAM_SO_MOI'!$C$11*H4214)</f>
        <v>0.08933968013329632</v>
      </c>
      <c r="Q4214" s="75">
        <f>IF(P4214&gt;0,1/P4214,NA())</f>
        <v>11.19323461319744</v>
      </c>
      <c r="R4214" s="75">
        <f>F4214-F4213</f>
        <v>0.0035868055555567935</v>
      </c>
      <c r="S4214" s="75">
        <f>0.5*(Q4213+Q4214)*R4214</f>
        <v>0.04013156936662268</v>
      </c>
      <c r="T4214" s="75">
        <f>0.5*(F4213*Q4213+F4214*Q4214)*R4214</f>
        <v>0.9085540259818053</v>
      </c>
      <c r="U4214" s="76">
        <f>U4213+S4214</f>
        <v>66.5364532088945</v>
      </c>
      <c r="V4214" s="76">
        <f>V4213+T4214</f>
        <v>1037.6690456158879</v>
      </c>
    </row>
    <row r="4215" spans="1:22" ht="19" customHeight="1">
      <c r="A4215" s="68" t="s">
        <v>378</v>
      </c>
      <c r="B4215" s="74">
        <v>5</v>
      </c>
      <c r="C4215" s="68" t="s">
        <v>363</v>
      </c>
      <c r="D4215" s="68" t="s">
        <v>365</v>
      </c>
      <c r="E4215" s="75">
        <f>60*F4215*'THAM_SO_MOI'!$C$53/(2*PI()*'THAM_SO_MOI'!$C$26)</f>
        <v>2231.1051578947367</v>
      </c>
      <c r="F4215" s="75">
        <f>'THAM_SO_MOI'!$C$14+('THAM_SO_MOI'!$C$37-'THAM_SO_MOI'!$C$14)*124/'THAM_SO_MOI'!$C$42</f>
        <v>22.64476388888889</v>
      </c>
      <c r="G4215" s="75">
        <f>3.6*F4215</f>
        <v>81.52115</v>
      </c>
      <c r="H4215" s="75">
        <f>'THAM_SO_MOI'!$D$53</f>
        <v>1.1</v>
      </c>
      <c r="I4215" s="75">
        <f>IF(F4215&gt;='THAM_SO_MOI'!$C$14,'THAM_SO_MOI'!$C$13*(1+F4215^2/1500),'THAM_SO_MOI'!$C$13)</f>
        <v>0.020127853315835262</v>
      </c>
      <c r="J4215" s="75">
        <f>'THAM_SO_MOI'!$C$40*('THAM_SO_MOI'!$C$23*(E4215/'THAM_SO_MOI'!$C$22)+'THAM_SO_MOI'!$C$24*(E4215/'THAM_SO_MOI'!$C$22)^2-'THAM_SO_MOI'!$C$25*(E4215/'THAM_SO_MOI'!$C$22)^3)</f>
        <v>100.42977244518853</v>
      </c>
      <c r="K4215" s="75">
        <f>'THAM_SO_MOI'!$C$31*J4215/E4215</f>
        <v>429.92802609082923</v>
      </c>
      <c r="L4215" s="75">
        <f>K4215*'THAM_SO_MOI'!$C$53*'THAM_SO_MOI'!$C$17/'THAM_SO_MOI'!$C$26</f>
        <v>3770.47047111142</v>
      </c>
      <c r="M4215" s="75">
        <f>'THAM_SO_MOI'!$C$15*'THAM_SO_MOI'!$C$16*F4215^2</f>
        <v>1499.8970948818142</v>
      </c>
      <c r="N4215" s="75">
        <f>'THAM_SO_MOI'!$C$12*I4215</f>
        <v>1516.4485710976815</v>
      </c>
      <c r="O4215" s="75">
        <f>M4215+N4215</f>
        <v>3016.3456659794956</v>
      </c>
      <c r="P4215" s="75">
        <f>(MIN(L4215,'THAM_SO_MOI'!$C$41)-O4215)/('THAM_SO_MOI'!$C$11*H4215)</f>
        <v>0.08926666727413878</v>
      </c>
      <c r="Q4215" s="75">
        <f>IF(P4215&gt;0,1/P4215,NA())</f>
        <v>11.202389766932718</v>
      </c>
      <c r="R4215" s="75">
        <f>F4215-F4214</f>
        <v>0.0035868055555567935</v>
      </c>
      <c r="S4215" s="75">
        <f>0.5*(Q4214+Q4215)*R4215</f>
        <v>0.04016437497340701</v>
      </c>
      <c r="T4215" s="75">
        <f>0.5*(F4214*Q4214+F4215*Q4215)*R4215</f>
        <v>0.9094407865616163</v>
      </c>
      <c r="U4215" s="76">
        <f>U4214+S4215</f>
        <v>66.5766175838679</v>
      </c>
      <c r="V4215" s="76">
        <f>V4214+T4215</f>
        <v>1038.5784864024495</v>
      </c>
    </row>
    <row r="4216" spans="1:22" ht="19" customHeight="1">
      <c r="A4216" s="68" t="s">
        <v>378</v>
      </c>
      <c r="B4216" s="74">
        <v>5</v>
      </c>
      <c r="C4216" s="68" t="s">
        <v>363</v>
      </c>
      <c r="D4216" s="68" t="s">
        <v>365</v>
      </c>
      <c r="E4216" s="75">
        <f>60*F4216*'THAM_SO_MOI'!$C$53/(2*PI()*'THAM_SO_MOI'!$C$26)</f>
        <v>2231.458552631578</v>
      </c>
      <c r="F4216" s="75">
        <f>'THAM_SO_MOI'!$C$14+('THAM_SO_MOI'!$C$37-'THAM_SO_MOI'!$C$14)*125/'THAM_SO_MOI'!$C$42</f>
        <v>22.648350694444442</v>
      </c>
      <c r="G4216" s="75">
        <f>3.6*F4216</f>
        <v>81.53406249999999</v>
      </c>
      <c r="H4216" s="75">
        <f>'THAM_SO_MOI'!$D$53</f>
        <v>1.1</v>
      </c>
      <c r="I4216" s="75">
        <f>IF(F4216&gt;='THAM_SO_MOI'!$C$14,'THAM_SO_MOI'!$C$13*(1+F4216^2/1500),'THAM_SO_MOI'!$C$13)</f>
        <v>0.02012947789178542</v>
      </c>
      <c r="J4216" s="75">
        <f>'THAM_SO_MOI'!$C$40*('THAM_SO_MOI'!$C$23*(E4216/'THAM_SO_MOI'!$C$22)+'THAM_SO_MOI'!$C$24*(E4216/'THAM_SO_MOI'!$C$22)^2-'THAM_SO_MOI'!$C$25*(E4216/'THAM_SO_MOI'!$C$22)^3)</f>
        <v>100.44516239697843</v>
      </c>
      <c r="K4216" s="75">
        <f>'THAM_SO_MOI'!$C$31*J4216/E4216</f>
        <v>429.92581078726323</v>
      </c>
      <c r="L4216" s="75">
        <f>K4216*'THAM_SO_MOI'!$C$53*'THAM_SO_MOI'!$C$17/'THAM_SO_MOI'!$C$26</f>
        <v>3770.451042890478</v>
      </c>
      <c r="M4216" s="75">
        <f>'THAM_SO_MOI'!$C$15*'THAM_SO_MOI'!$C$16*F4216^2</f>
        <v>1500.3722833472355</v>
      </c>
      <c r="N4216" s="75">
        <f>'THAM_SO_MOI'!$C$12*I4216</f>
        <v>1516.570967949427</v>
      </c>
      <c r="O4216" s="75">
        <f>M4216+N4216</f>
        <v>3016.9432512966623</v>
      </c>
      <c r="P4216" s="75">
        <f>(MIN(L4216,'THAM_SO_MOI'!$C$41)-O4216)/('THAM_SO_MOI'!$C$11*H4216)</f>
        <v>0.08919363063373768</v>
      </c>
      <c r="Q4216" s="75">
        <f>IF(P4216&gt;0,1/P4216,NA())</f>
        <v>11.211562898547912</v>
      </c>
      <c r="R4216" s="75">
        <f>F4216-F4215</f>
        <v>0.0035868055555532408</v>
      </c>
      <c r="S4216" s="75">
        <f>0.5*(Q4215+Q4216)*R4216</f>
        <v>0.04019724497122665</v>
      </c>
      <c r="T4216" s="75">
        <f>0.5*(F4215*Q4215+F4216*Q4216)*R4216</f>
        <v>0.9103292407115278</v>
      </c>
      <c r="U4216" s="76">
        <f>U4215+S4216</f>
        <v>66.61681482883913</v>
      </c>
      <c r="V4216" s="76">
        <f>V4215+T4216</f>
        <v>1039.488815643161</v>
      </c>
    </row>
    <row r="4217" spans="1:22" ht="19" customHeight="1">
      <c r="A4217" s="68" t="s">
        <v>378</v>
      </c>
      <c r="B4217" s="74">
        <v>5</v>
      </c>
      <c r="C4217" s="68" t="s">
        <v>363</v>
      </c>
      <c r="D4217" s="68" t="s">
        <v>365</v>
      </c>
      <c r="E4217" s="75">
        <f>60*F4217*'THAM_SO_MOI'!$C$53/(2*PI()*'THAM_SO_MOI'!$C$26)</f>
        <v>2231.8119473684205</v>
      </c>
      <c r="F4217" s="75">
        <f>'THAM_SO_MOI'!$C$14+('THAM_SO_MOI'!$C$37-'THAM_SO_MOI'!$C$14)*126/'THAM_SO_MOI'!$C$42</f>
        <v>22.6519375</v>
      </c>
      <c r="G4217" s="75">
        <f>3.6*F4217</f>
        <v>81.546975</v>
      </c>
      <c r="H4217" s="75">
        <f>'THAM_SO_MOI'!$D$53</f>
        <v>1.1</v>
      </c>
      <c r="I4217" s="75">
        <f>IF(F4217&gt;='THAM_SO_MOI'!$C$14,'THAM_SO_MOI'!$C$13*(1+F4217^2/1500),'THAM_SO_MOI'!$C$13)</f>
        <v>0.02013110272503906</v>
      </c>
      <c r="J4217" s="75">
        <f>'THAM_SO_MOI'!$C$40*('THAM_SO_MOI'!$C$23*(E4217/'THAM_SO_MOI'!$C$22)+'THAM_SO_MOI'!$C$24*(E4217/'THAM_SO_MOI'!$C$22)^2-'THAM_SO_MOI'!$C$25*(E4217/'THAM_SO_MOI'!$C$22)^3)</f>
        <v>100.4605493536833</v>
      </c>
      <c r="K4217" s="75">
        <f>'THAM_SO_MOI'!$C$31*J4217/E4217</f>
        <v>429.92358336771275</v>
      </c>
      <c r="L4217" s="75">
        <f>K4217*'THAM_SO_MOI'!$C$53*'THAM_SO_MOI'!$C$17/'THAM_SO_MOI'!$C$26</f>
        <v>3770.431508412304</v>
      </c>
      <c r="M4217" s="75">
        <f>'THAM_SO_MOI'!$C$15*'THAM_SO_MOI'!$C$16*F4217^2</f>
        <v>1500.8475470739259</v>
      </c>
      <c r="N4217" s="75">
        <f>'THAM_SO_MOI'!$C$12*I4217</f>
        <v>1516.693384186623</v>
      </c>
      <c r="O4217" s="75">
        <f>M4217+N4217</f>
        <v>3017.540931260549</v>
      </c>
      <c r="P4217" s="75">
        <f>(MIN(L4217,'THAM_SO_MOI'!$C$41)-O4217)/('THAM_SO_MOI'!$C$11*H4217)</f>
        <v>0.08912057021209224</v>
      </c>
      <c r="Q4217" s="75">
        <f>IF(P4217&gt;0,1/P4217,NA())</f>
        <v>11.220754059586525</v>
      </c>
      <c r="R4217" s="75">
        <f>F4217-F4216</f>
        <v>0.0035868055555567935</v>
      </c>
      <c r="S4217" s="75">
        <f>0.5*(Q4216+Q4217)*R4217</f>
        <v>0.04023017954472373</v>
      </c>
      <c r="T4217" s="75">
        <f>0.5*(F4216*Q4216+F4217*Q4217)*R4217</f>
        <v>0.9112193933065862</v>
      </c>
      <c r="U4217" s="76">
        <f>U4216+S4217</f>
        <v>66.65704500838385</v>
      </c>
      <c r="V4217" s="76">
        <f>V4216+T4217</f>
        <v>1040.4000350364674</v>
      </c>
    </row>
    <row r="4218" spans="1:22" ht="19" customHeight="1">
      <c r="A4218" s="68" t="s">
        <v>378</v>
      </c>
      <c r="B4218" s="74">
        <v>5</v>
      </c>
      <c r="C4218" s="68" t="s">
        <v>363</v>
      </c>
      <c r="D4218" s="68" t="s">
        <v>365</v>
      </c>
      <c r="E4218" s="75">
        <f>60*F4218*'THAM_SO_MOI'!$C$53/(2*PI()*'THAM_SO_MOI'!$C$26)</f>
        <v>2232.1653421052624</v>
      </c>
      <c r="F4218" s="75">
        <f>'THAM_SO_MOI'!$C$14+('THAM_SO_MOI'!$C$37-'THAM_SO_MOI'!$C$14)*127/'THAM_SO_MOI'!$C$42</f>
        <v>22.655524305555556</v>
      </c>
      <c r="G4218" s="75">
        <f>3.6*F4218</f>
        <v>81.5598875</v>
      </c>
      <c r="H4218" s="75">
        <f>'THAM_SO_MOI'!$D$53</f>
        <v>1.1</v>
      </c>
      <c r="I4218" s="75">
        <f>IF(F4218&gt;='THAM_SO_MOI'!$C$14,'THAM_SO_MOI'!$C$13*(1+F4218^2/1500),'THAM_SO_MOI'!$C$13)</f>
        <v>0.020132727815596184</v>
      </c>
      <c r="J4218" s="75">
        <f>'THAM_SO_MOI'!$C$40*('THAM_SO_MOI'!$C$23*(E4218/'THAM_SO_MOI'!$C$22)+'THAM_SO_MOI'!$C$24*(E4218/'THAM_SO_MOI'!$C$22)^2-'THAM_SO_MOI'!$C$25*(E4218/'THAM_SO_MOI'!$C$22)^3)</f>
        <v>100.47593331395822</v>
      </c>
      <c r="K4218" s="75">
        <f>'THAM_SO_MOI'!$C$31*J4218/E4218</f>
        <v>429.92134383217785</v>
      </c>
      <c r="L4218" s="75">
        <f>K4218*'THAM_SO_MOI'!$C$53*'THAM_SO_MOI'!$C$17/'THAM_SO_MOI'!$C$26</f>
        <v>3770.4118676769003</v>
      </c>
      <c r="M4218" s="75">
        <f>'THAM_SO_MOI'!$C$15*'THAM_SO_MOI'!$C$16*F4218^2</f>
        <v>1501.3228860618844</v>
      </c>
      <c r="N4218" s="75">
        <f>'THAM_SO_MOI'!$C$12*I4218</f>
        <v>1516.815819809269</v>
      </c>
      <c r="O4218" s="75">
        <f>M4218+N4218</f>
        <v>3018.1387058711534</v>
      </c>
      <c r="P4218" s="75">
        <f>(MIN(L4218,'THAM_SO_MOI'!$C$41)-O4218)/('THAM_SO_MOI'!$C$11*H4218)</f>
        <v>0.08904748600920297</v>
      </c>
      <c r="Q4218" s="75">
        <f>IF(P4218&gt;0,1/P4218,NA())</f>
        <v>11.229963301789912</v>
      </c>
      <c r="R4218" s="75">
        <f>F4218-F4217</f>
        <v>0.0035868055555567935</v>
      </c>
      <c r="S4218" s="75">
        <f>0.5*(Q4217+Q4218)*R4218</f>
        <v>0.04026317887901018</v>
      </c>
      <c r="T4218" s="75">
        <f>0.5*(F4217*Q4217+F4218*Q4218)*R4218</f>
        <v>0.9121112492351284</v>
      </c>
      <c r="U4218" s="76">
        <f>U4217+S4218</f>
        <v>66.69730818726286</v>
      </c>
      <c r="V4218" s="76">
        <f>V4217+T4218</f>
        <v>1041.3121462857025</v>
      </c>
    </row>
    <row r="4219" spans="1:22" ht="19" customHeight="1">
      <c r="A4219" s="68" t="s">
        <v>378</v>
      </c>
      <c r="B4219" s="74">
        <v>5</v>
      </c>
      <c r="C4219" s="68" t="s">
        <v>363</v>
      </c>
      <c r="D4219" s="68" t="s">
        <v>365</v>
      </c>
      <c r="E4219" s="75">
        <f>60*F4219*'THAM_SO_MOI'!$C$53/(2*PI()*'THAM_SO_MOI'!$C$26)</f>
        <v>2232.5187368421048</v>
      </c>
      <c r="F4219" s="75">
        <f>'THAM_SO_MOI'!$C$14+('THAM_SO_MOI'!$C$37-'THAM_SO_MOI'!$C$14)*128/'THAM_SO_MOI'!$C$42</f>
        <v>22.65911111111111</v>
      </c>
      <c r="G4219" s="75">
        <f>3.6*F4219</f>
        <v>81.5728</v>
      </c>
      <c r="H4219" s="75">
        <f>'THAM_SO_MOI'!$D$53</f>
        <v>1.1</v>
      </c>
      <c r="I4219" s="75">
        <f>IF(F4219&gt;='THAM_SO_MOI'!$C$14,'THAM_SO_MOI'!$C$13*(1+F4219^2/1500),'THAM_SO_MOI'!$C$13)</f>
        <v>0.02013435316345679</v>
      </c>
      <c r="J4219" s="75">
        <f>'THAM_SO_MOI'!$C$40*('THAM_SO_MOI'!$C$23*(E4219/'THAM_SO_MOI'!$C$22)+'THAM_SO_MOI'!$C$24*(E4219/'THAM_SO_MOI'!$C$22)^2-'THAM_SO_MOI'!$C$25*(E4219/'THAM_SO_MOI'!$C$22)^3)</f>
        <v>100.49131427645827</v>
      </c>
      <c r="K4219" s="75">
        <f>'THAM_SO_MOI'!$C$31*J4219/E4219</f>
        <v>429.91909218065837</v>
      </c>
      <c r="L4219" s="75">
        <f>K4219*'THAM_SO_MOI'!$C$53*'THAM_SO_MOI'!$C$17/'THAM_SO_MOI'!$C$26</f>
        <v>3770.3921206842633</v>
      </c>
      <c r="M4219" s="75">
        <f>'THAM_SO_MOI'!$C$15*'THAM_SO_MOI'!$C$16*F4219^2</f>
        <v>1501.798300311111</v>
      </c>
      <c r="N4219" s="75">
        <f>'THAM_SO_MOI'!$C$12*I4219</f>
        <v>1516.9382748173655</v>
      </c>
      <c r="O4219" s="75">
        <f>M4219+N4219</f>
        <v>3018.7365751284765</v>
      </c>
      <c r="P4219" s="75">
        <f>(MIN(L4219,'THAM_SO_MOI'!$C$41)-O4219)/('THAM_SO_MOI'!$C$11*H4219)</f>
        <v>0.08897437802506944</v>
      </c>
      <c r="Q4219" s="75">
        <f>IF(P4219&gt;0,1/P4219,NA())</f>
        <v>11.239190677098522</v>
      </c>
      <c r="R4219" s="75">
        <f>F4219-F4218</f>
        <v>0.0035868055555532408</v>
      </c>
      <c r="S4219" s="75">
        <f>0.5*(Q4218+Q4219)*R4219</f>
        <v>0.040296243160029124</v>
      </c>
      <c r="T4219" s="75">
        <f>0.5*(F4218*Q4218+F4219*Q4219)*R4219</f>
        <v>0.9130048134069813</v>
      </c>
      <c r="U4219" s="76">
        <f>U4218+S4219</f>
        <v>66.73760443042289</v>
      </c>
      <c r="V4219" s="76">
        <f>V4218+T4219</f>
        <v>1042.2251510991096</v>
      </c>
    </row>
    <row r="4220" spans="1:22" ht="19" customHeight="1">
      <c r="A4220" s="68" t="s">
        <v>378</v>
      </c>
      <c r="B4220" s="74">
        <v>5</v>
      </c>
      <c r="C4220" s="68" t="s">
        <v>363</v>
      </c>
      <c r="D4220" s="68" t="s">
        <v>365</v>
      </c>
      <c r="E4220" s="75">
        <f>60*F4220*'THAM_SO_MOI'!$C$53/(2*PI()*'THAM_SO_MOI'!$C$26)</f>
        <v>2232.872131578947</v>
      </c>
      <c r="F4220" s="75">
        <f>'THAM_SO_MOI'!$C$14+('THAM_SO_MOI'!$C$37-'THAM_SO_MOI'!$C$14)*129/'THAM_SO_MOI'!$C$42</f>
        <v>22.662697916666666</v>
      </c>
      <c r="G4220" s="75">
        <f>3.6*F4220</f>
        <v>81.5857125</v>
      </c>
      <c r="H4220" s="75">
        <f>'THAM_SO_MOI'!$D$53</f>
        <v>1.1</v>
      </c>
      <c r="I4220" s="75">
        <f>IF(F4220&gt;='THAM_SO_MOI'!$C$14,'THAM_SO_MOI'!$C$13*(1+F4220^2/1500),'THAM_SO_MOI'!$C$13)</f>
        <v>0.020135978768620874</v>
      </c>
      <c r="J4220" s="75">
        <f>'THAM_SO_MOI'!$C$40*('THAM_SO_MOI'!$C$23*(E4220/'THAM_SO_MOI'!$C$22)+'THAM_SO_MOI'!$C$24*(E4220/'THAM_SO_MOI'!$C$22)^2-'THAM_SO_MOI'!$C$25*(E4220/'THAM_SO_MOI'!$C$22)^3)</f>
        <v>100.5066922398386</v>
      </c>
      <c r="K4220" s="75">
        <f>'THAM_SO_MOI'!$C$31*J4220/E4220</f>
        <v>429.91682841315446</v>
      </c>
      <c r="L4220" s="75">
        <f>K4220*'THAM_SO_MOI'!$C$53*'THAM_SO_MOI'!$C$17/'THAM_SO_MOI'!$C$26</f>
        <v>3770.3722674343962</v>
      </c>
      <c r="M4220" s="75">
        <f>'THAM_SO_MOI'!$C$15*'THAM_SO_MOI'!$C$16*F4220^2</f>
        <v>1502.2737898216064</v>
      </c>
      <c r="N4220" s="75">
        <f>'THAM_SO_MOI'!$C$12*I4220</f>
        <v>1517.0607492109116</v>
      </c>
      <c r="O4220" s="75">
        <f>M4220+N4220</f>
        <v>3019.334539032518</v>
      </c>
      <c r="P4220" s="75">
        <f>(MIN(L4220,'THAM_SO_MOI'!$C$41)-O4220)/('THAM_SO_MOI'!$C$11*H4220)</f>
        <v>0.08890124625969202</v>
      </c>
      <c r="Q4220" s="75">
        <f>IF(P4220&gt;0,1/P4220,NA())</f>
        <v>11.24843623765263</v>
      </c>
      <c r="R4220" s="75">
        <f>F4220-F4219</f>
        <v>0.0035868055555567935</v>
      </c>
      <c r="S4220" s="75">
        <f>0.5*(Q4219+Q4220)*R4220</f>
        <v>0.04032937257455896</v>
      </c>
      <c r="T4220" s="75">
        <f>0.5*(F4219*Q4219+F4220*Q4220)*R4220</f>
        <v>0.9139000907535663</v>
      </c>
      <c r="U4220" s="76">
        <f>U4219+S4220</f>
        <v>66.77793380299745</v>
      </c>
      <c r="V4220" s="76">
        <f>V4219+T4220</f>
        <v>1043.139051189863</v>
      </c>
    </row>
    <row r="4221" spans="1:22" ht="19" customHeight="1">
      <c r="A4221" s="68" t="s">
        <v>378</v>
      </c>
      <c r="B4221" s="74">
        <v>5</v>
      </c>
      <c r="C4221" s="68" t="s">
        <v>363</v>
      </c>
      <c r="D4221" s="68" t="s">
        <v>365</v>
      </c>
      <c r="E4221" s="75">
        <f>60*F4221*'THAM_SO_MOI'!$C$53/(2*PI()*'THAM_SO_MOI'!$C$26)</f>
        <v>2233.2255263157895</v>
      </c>
      <c r="F4221" s="75">
        <f>'THAM_SO_MOI'!$C$14+('THAM_SO_MOI'!$C$37-'THAM_SO_MOI'!$C$14)*130/'THAM_SO_MOI'!$C$42</f>
        <v>22.666284722222223</v>
      </c>
      <c r="G4221" s="75">
        <f>3.6*F4221</f>
        <v>81.598625</v>
      </c>
      <c r="H4221" s="75">
        <f>'THAM_SO_MOI'!$D$53</f>
        <v>1.1</v>
      </c>
      <c r="I4221" s="75">
        <f>IF(F4221&gt;='THAM_SO_MOI'!$C$14,'THAM_SO_MOI'!$C$13*(1+F4221^2/1500),'THAM_SO_MOI'!$C$13)</f>
        <v>0.020137604631088442</v>
      </c>
      <c r="J4221" s="75">
        <f>'THAM_SO_MOI'!$C$40*('THAM_SO_MOI'!$C$23*(E4221/'THAM_SO_MOI'!$C$22)+'THAM_SO_MOI'!$C$24*(E4221/'THAM_SO_MOI'!$C$22)^2-'THAM_SO_MOI'!$C$25*(E4221/'THAM_SO_MOI'!$C$22)^3)</f>
        <v>100.52206720275427</v>
      </c>
      <c r="K4221" s="75">
        <f>'THAM_SO_MOI'!$C$31*J4221/E4221</f>
        <v>429.914552529666</v>
      </c>
      <c r="L4221" s="75">
        <f>K4221*'THAM_SO_MOI'!$C$53*'THAM_SO_MOI'!$C$17/'THAM_SO_MOI'!$C$26</f>
        <v>3770.3523079272973</v>
      </c>
      <c r="M4221" s="75">
        <f>'THAM_SO_MOI'!$C$15*'THAM_SO_MOI'!$C$16*F4221^2</f>
        <v>1502.7493545933705</v>
      </c>
      <c r="N4221" s="75">
        <f>'THAM_SO_MOI'!$C$12*I4221</f>
        <v>1517.1832429899082</v>
      </c>
      <c r="O4221" s="75">
        <f>M4221+N4221</f>
        <v>3019.932597583279</v>
      </c>
      <c r="P4221" s="75">
        <f>(MIN(L4221,'THAM_SO_MOI'!$C$41)-O4221)/('THAM_SO_MOI'!$C$11*H4221)</f>
        <v>0.0888280907130704</v>
      </c>
      <c r="Q4221" s="75">
        <f>IF(P4221&gt;0,1/P4221,NA())</f>
        <v>11.257700035793489</v>
      </c>
      <c r="R4221" s="75">
        <f>F4221-F4220</f>
        <v>0.0035868055555567935</v>
      </c>
      <c r="S4221" s="75">
        <f>0.5*(Q4220+Q4221)*R4221</f>
        <v>0.0403625673098574</v>
      </c>
      <c r="T4221" s="75">
        <f>0.5*(F4220*Q4220+F4221*Q4221)*R4221</f>
        <v>0.9147970862198492</v>
      </c>
      <c r="U4221" s="76">
        <f>U4220+S4221</f>
        <v>66.81829637030731</v>
      </c>
      <c r="V4221" s="76">
        <f>V4220+T4221</f>
        <v>1044.0538482760828</v>
      </c>
    </row>
    <row r="4222" spans="1:22" ht="19" customHeight="1">
      <c r="A4222" s="68" t="s">
        <v>378</v>
      </c>
      <c r="B4222" s="74">
        <v>5</v>
      </c>
      <c r="C4222" s="68" t="s">
        <v>363</v>
      </c>
      <c r="D4222" s="68" t="s">
        <v>365</v>
      </c>
      <c r="E4222" s="75">
        <f>60*F4222*'THAM_SO_MOI'!$C$53/(2*PI()*'THAM_SO_MOI'!$C$26)</f>
        <v>2233.578921052631</v>
      </c>
      <c r="F4222" s="75">
        <f>'THAM_SO_MOI'!$C$14+('THAM_SO_MOI'!$C$37-'THAM_SO_MOI'!$C$14)*131/'THAM_SO_MOI'!$C$42</f>
        <v>22.669871527777776</v>
      </c>
      <c r="G4222" s="75">
        <f>3.6*F4222</f>
        <v>81.6115375</v>
      </c>
      <c r="H4222" s="75">
        <f>'THAM_SO_MOI'!$D$53</f>
        <v>1.1</v>
      </c>
      <c r="I4222" s="75">
        <f>IF(F4222&gt;='THAM_SO_MOI'!$C$14,'THAM_SO_MOI'!$C$13*(1+F4222^2/1500),'THAM_SO_MOI'!$C$13)</f>
        <v>0.020139230750859494</v>
      </c>
      <c r="J4222" s="75">
        <f>'THAM_SO_MOI'!$C$40*('THAM_SO_MOI'!$C$23*(E4222/'THAM_SO_MOI'!$C$22)+'THAM_SO_MOI'!$C$24*(E4222/'THAM_SO_MOI'!$C$22)^2-'THAM_SO_MOI'!$C$25*(E4222/'THAM_SO_MOI'!$C$22)^3)</f>
        <v>100.53743916386047</v>
      </c>
      <c r="K4222" s="75">
        <f>'THAM_SO_MOI'!$C$31*J4222/E4222</f>
        <v>429.9122645301934</v>
      </c>
      <c r="L4222" s="75">
        <f>K4222*'THAM_SO_MOI'!$C$53*'THAM_SO_MOI'!$C$17/'THAM_SO_MOI'!$C$26</f>
        <v>3770.3322421629696</v>
      </c>
      <c r="M4222" s="75">
        <f>'THAM_SO_MOI'!$C$15*'THAM_SO_MOI'!$C$16*F4222^2</f>
        <v>1503.2249946264021</v>
      </c>
      <c r="N4222" s="75">
        <f>'THAM_SO_MOI'!$C$12*I4222</f>
        <v>1517.305756154355</v>
      </c>
      <c r="O4222" s="75">
        <f>M4222+N4222</f>
        <v>3020.5307507807574</v>
      </c>
      <c r="P4222" s="75">
        <f>(MIN(L4222,'THAM_SO_MOI'!$C$41)-O4222)/('THAM_SO_MOI'!$C$11*H4222)</f>
        <v>0.08875491138520504</v>
      </c>
      <c r="Q4222" s="75">
        <f>IF(P4222&gt;0,1/P4222,NA())</f>
        <v>11.266982124064118</v>
      </c>
      <c r="R4222" s="75">
        <f>F4222-F4221</f>
        <v>0.0035868055555532408</v>
      </c>
      <c r="S4222" s="75">
        <f>0.5*(Q4221+Q4222)*R4222</f>
        <v>0.040395827554024114</v>
      </c>
      <c r="T4222" s="75">
        <f>0.5*(F4221*Q4221+F4222*Q4222)*R4222</f>
        <v>0.9156958047725667</v>
      </c>
      <c r="U4222" s="76">
        <f>U4221+S4222</f>
        <v>66.85869219786133</v>
      </c>
      <c r="V4222" s="76">
        <f>V4221+T4222</f>
        <v>1044.9695440808555</v>
      </c>
    </row>
    <row r="4223" spans="1:22" ht="19" customHeight="1">
      <c r="A4223" s="68" t="s">
        <v>378</v>
      </c>
      <c r="B4223" s="74">
        <v>5</v>
      </c>
      <c r="C4223" s="68" t="s">
        <v>363</v>
      </c>
      <c r="D4223" s="68" t="s">
        <v>365</v>
      </c>
      <c r="E4223" s="75">
        <f>60*F4223*'THAM_SO_MOI'!$C$53/(2*PI()*'THAM_SO_MOI'!$C$26)</f>
        <v>2233.9323157894733</v>
      </c>
      <c r="F4223" s="75">
        <f>'THAM_SO_MOI'!$C$14+('THAM_SO_MOI'!$C$37-'THAM_SO_MOI'!$C$14)*132/'THAM_SO_MOI'!$C$42</f>
        <v>22.673458333333333</v>
      </c>
      <c r="G4223" s="75">
        <f>3.6*F4223</f>
        <v>81.62445</v>
      </c>
      <c r="H4223" s="75">
        <f>'THAM_SO_MOI'!$D$53</f>
        <v>1.1</v>
      </c>
      <c r="I4223" s="75">
        <f>IF(F4223&gt;='THAM_SO_MOI'!$C$14,'THAM_SO_MOI'!$C$13*(1+F4223^2/1500),'THAM_SO_MOI'!$C$13)</f>
        <v>0.02014085712793403</v>
      </c>
      <c r="J4223" s="75">
        <f>'THAM_SO_MOI'!$C$40*('THAM_SO_MOI'!$C$23*(E4223/'THAM_SO_MOI'!$C$22)+'THAM_SO_MOI'!$C$24*(E4223/'THAM_SO_MOI'!$C$22)^2-'THAM_SO_MOI'!$C$25*(E4223/'THAM_SO_MOI'!$C$22)^3)</f>
        <v>100.55280812181225</v>
      </c>
      <c r="K4223" s="75">
        <f>'THAM_SO_MOI'!$C$31*J4223/E4223</f>
        <v>429.9099644147361</v>
      </c>
      <c r="L4223" s="75">
        <f>K4223*'THAM_SO_MOI'!$C$53*'THAM_SO_MOI'!$C$17/'THAM_SO_MOI'!$C$26</f>
        <v>3770.3120701414086</v>
      </c>
      <c r="M4223" s="75">
        <f>'THAM_SO_MOI'!$C$15*'THAM_SO_MOI'!$C$16*F4223^2</f>
        <v>1503.7007099207033</v>
      </c>
      <c r="N4223" s="75">
        <f>'THAM_SO_MOI'!$C$12*I4223</f>
        <v>1517.4282887042523</v>
      </c>
      <c r="O4223" s="75">
        <f>M4223+N4223</f>
        <v>3021.128998624956</v>
      </c>
      <c r="P4223" s="75">
        <f>(MIN(L4223,'THAM_SO_MOI'!$C$41)-O4223)/('THAM_SO_MOI'!$C$11*H4223)</f>
        <v>0.08868170827609527</v>
      </c>
      <c r="Q4223" s="75">
        <f>IF(P4223&gt;0,1/P4223,NA())</f>
        <v>11.276282555210503</v>
      </c>
      <c r="R4223" s="75">
        <f>F4223-F4222</f>
        <v>0.0035868055555567935</v>
      </c>
      <c r="S4223" s="75">
        <f>0.5*(Q4222+Q4223)*R4223</f>
        <v>0.040429153496004726</v>
      </c>
      <c r="T4223" s="75">
        <f>0.5*(F4222*Q4222+F4223*Q4223)*R4223</f>
        <v>0.9165962514003342</v>
      </c>
      <c r="U4223" s="76">
        <f>U4222+S4223</f>
        <v>66.89912135135734</v>
      </c>
      <c r="V4223" s="76">
        <f>V4222+T4223</f>
        <v>1045.8861403322558</v>
      </c>
    </row>
    <row r="4224" spans="1:22" ht="19" customHeight="1">
      <c r="A4224" s="68" t="s">
        <v>378</v>
      </c>
      <c r="B4224" s="74">
        <v>5</v>
      </c>
      <c r="C4224" s="68" t="s">
        <v>363</v>
      </c>
      <c r="D4224" s="68" t="s">
        <v>365</v>
      </c>
      <c r="E4224" s="75">
        <f>60*F4224*'THAM_SO_MOI'!$C$53/(2*PI()*'THAM_SO_MOI'!$C$26)</f>
        <v>2234.285710526315</v>
      </c>
      <c r="F4224" s="75">
        <f>'THAM_SO_MOI'!$C$14+('THAM_SO_MOI'!$C$37-'THAM_SO_MOI'!$C$14)*133/'THAM_SO_MOI'!$C$42</f>
        <v>22.67704513888889</v>
      </c>
      <c r="G4224" s="75">
        <f>3.6*F4224</f>
        <v>81.63736250000001</v>
      </c>
      <c r="H4224" s="75">
        <f>'THAM_SO_MOI'!$D$53</f>
        <v>1.1</v>
      </c>
      <c r="I4224" s="75">
        <f>IF(F4224&gt;='THAM_SO_MOI'!$C$14,'THAM_SO_MOI'!$C$13*(1+F4224^2/1500),'THAM_SO_MOI'!$C$13)</f>
        <v>0.020142483762312043</v>
      </c>
      <c r="J4224" s="75">
        <f>'THAM_SO_MOI'!$C$40*('THAM_SO_MOI'!$C$23*(E4224/'THAM_SO_MOI'!$C$22)+'THAM_SO_MOI'!$C$24*(E4224/'THAM_SO_MOI'!$C$22)^2-'THAM_SO_MOI'!$C$25*(E4224/'THAM_SO_MOI'!$C$22)^3)</f>
        <v>100.56817407526471</v>
      </c>
      <c r="K4224" s="75">
        <f>'THAM_SO_MOI'!$C$31*J4224/E4224</f>
        <v>429.9076521832943</v>
      </c>
      <c r="L4224" s="75">
        <f>K4224*'THAM_SO_MOI'!$C$53*'THAM_SO_MOI'!$C$17/'THAM_SO_MOI'!$C$26</f>
        <v>3770.2917918626167</v>
      </c>
      <c r="M4224" s="75">
        <f>'THAM_SO_MOI'!$C$15*'THAM_SO_MOI'!$C$16*F4224^2</f>
        <v>1504.1765004762724</v>
      </c>
      <c r="N4224" s="75">
        <f>'THAM_SO_MOI'!$C$12*I4224</f>
        <v>1517.5508406395993</v>
      </c>
      <c r="O4224" s="75">
        <f>M4224+N4224</f>
        <v>3021.7273411158717</v>
      </c>
      <c r="P4224" s="75">
        <f>(MIN(L4224,'THAM_SO_MOI'!$C$41)-O4224)/('THAM_SO_MOI'!$C$11*H4224)</f>
        <v>0.0886084813857416</v>
      </c>
      <c r="Q4224" s="75">
        <f>IF(P4224&gt;0,1/P4224,NA())</f>
        <v>11.285601382182302</v>
      </c>
      <c r="R4224" s="75">
        <f>F4224-F4223</f>
        <v>0.0035868055555567935</v>
      </c>
      <c r="S4224" s="75">
        <f>0.5*(Q4223+Q4224)*R4224</f>
        <v>0.04046254532523405</v>
      </c>
      <c r="T4224" s="75">
        <f>0.5*(F4223*Q4223+F4224*Q4224)*R4224</f>
        <v>0.9174984311055706</v>
      </c>
      <c r="U4224" s="76">
        <f>U4223+S4224</f>
        <v>66.93958389668258</v>
      </c>
      <c r="V4224" s="76">
        <f>V4223+T4224</f>
        <v>1046.8036387633613</v>
      </c>
    </row>
    <row r="4225" spans="1:22" ht="19" customHeight="1">
      <c r="A4225" s="68" t="s">
        <v>378</v>
      </c>
      <c r="B4225" s="74">
        <v>5</v>
      </c>
      <c r="C4225" s="68" t="s">
        <v>363</v>
      </c>
      <c r="D4225" s="68" t="s">
        <v>365</v>
      </c>
      <c r="E4225" s="75">
        <f>60*F4225*'THAM_SO_MOI'!$C$53/(2*PI()*'THAM_SO_MOI'!$C$26)</f>
        <v>2234.639105263157</v>
      </c>
      <c r="F4225" s="75">
        <f>'THAM_SO_MOI'!$C$14+('THAM_SO_MOI'!$C$37-'THAM_SO_MOI'!$C$14)*134/'THAM_SO_MOI'!$C$42</f>
        <v>22.680631944444443</v>
      </c>
      <c r="G4225" s="75">
        <f>3.6*F4225</f>
        <v>81.650275</v>
      </c>
      <c r="H4225" s="75">
        <f>'THAM_SO_MOI'!$D$53</f>
        <v>1.1</v>
      </c>
      <c r="I4225" s="75">
        <f>IF(F4225&gt;='THAM_SO_MOI'!$C$14,'THAM_SO_MOI'!$C$13*(1+F4225^2/1500),'THAM_SO_MOI'!$C$13)</f>
        <v>0.020144110653993536</v>
      </c>
      <c r="J4225" s="75">
        <f>'THAM_SO_MOI'!$C$40*('THAM_SO_MOI'!$C$23*(E4225/'THAM_SO_MOI'!$C$22)+'THAM_SO_MOI'!$C$24*(E4225/'THAM_SO_MOI'!$C$22)^2-'THAM_SO_MOI'!$C$25*(E4225/'THAM_SO_MOI'!$C$22)^3)</f>
        <v>100.583537022873</v>
      </c>
      <c r="K4225" s="75">
        <f>'THAM_SO_MOI'!$C$31*J4225/E4225</f>
        <v>429.9053278358682</v>
      </c>
      <c r="L4225" s="75">
        <f>K4225*'THAM_SO_MOI'!$C$53*'THAM_SO_MOI'!$C$17/'THAM_SO_MOI'!$C$26</f>
        <v>3770.2714073265947</v>
      </c>
      <c r="M4225" s="75">
        <f>'THAM_SO_MOI'!$C$15*'THAM_SO_MOI'!$C$16*F4225^2</f>
        <v>1504.6523662931097</v>
      </c>
      <c r="N4225" s="75">
        <f>'THAM_SO_MOI'!$C$12*I4225</f>
        <v>1517.6734119603964</v>
      </c>
      <c r="O4225" s="75">
        <f>M4225+N4225</f>
        <v>3022.325778253506</v>
      </c>
      <c r="P4225" s="75">
        <f>(MIN(L4225,'THAM_SO_MOI'!$C$41)-O4225)/('THAM_SO_MOI'!$C$11*H4225)</f>
        <v>0.08853523071414399</v>
      </c>
      <c r="Q4225" s="75">
        <f>IF(P4225&gt;0,1/P4225,NA())</f>
        <v>11.294938658134027</v>
      </c>
      <c r="R4225" s="75">
        <f>F4225-F4224</f>
        <v>0.0035868055555532408</v>
      </c>
      <c r="S4225" s="75">
        <f>0.5*(Q4224+Q4225)*R4225</f>
        <v>0.040496003231999506</v>
      </c>
      <c r="T4225" s="75">
        <f>0.5*(F4224*Q4224+F4225*Q4225)*R4225</f>
        <v>0.9184023489127484</v>
      </c>
      <c r="U4225" s="76">
        <f>U4224+S4225</f>
        <v>66.98007989991457</v>
      </c>
      <c r="V4225" s="76">
        <f>V4224+T4225</f>
        <v>1047.722041112274</v>
      </c>
    </row>
    <row r="4226" spans="1:22" ht="19" customHeight="1">
      <c r="A4226" s="68" t="s">
        <v>378</v>
      </c>
      <c r="B4226" s="74">
        <v>5</v>
      </c>
      <c r="C4226" s="68" t="s">
        <v>363</v>
      </c>
      <c r="D4226" s="68" t="s">
        <v>365</v>
      </c>
      <c r="E4226" s="75">
        <f>60*F4226*'THAM_SO_MOI'!$C$53/(2*PI()*'THAM_SO_MOI'!$C$26)</f>
        <v>2234.9924999999994</v>
      </c>
      <c r="F4226" s="75">
        <f>'THAM_SO_MOI'!$C$14+('THAM_SO_MOI'!$C$37-'THAM_SO_MOI'!$C$14)*135/'THAM_SO_MOI'!$C$42</f>
        <v>22.68421875</v>
      </c>
      <c r="G4226" s="75">
        <f>3.6*F4226</f>
        <v>81.6631875</v>
      </c>
      <c r="H4226" s="75">
        <f>'THAM_SO_MOI'!$D$53</f>
        <v>1.1</v>
      </c>
      <c r="I4226" s="75">
        <f>IF(F4226&gt;='THAM_SO_MOI'!$C$14,'THAM_SO_MOI'!$C$13*(1+F4226^2/1500),'THAM_SO_MOI'!$C$13)</f>
        <v>0.020145737802978514</v>
      </c>
      <c r="J4226" s="75">
        <f>'THAM_SO_MOI'!$C$40*('THAM_SO_MOI'!$C$23*(E4226/'THAM_SO_MOI'!$C$22)+'THAM_SO_MOI'!$C$24*(E4226/'THAM_SO_MOI'!$C$22)^2-'THAM_SO_MOI'!$C$25*(E4226/'THAM_SO_MOI'!$C$22)^3)</f>
        <v>100.5988969632922</v>
      </c>
      <c r="K4226" s="75">
        <f>'THAM_SO_MOI'!$C$31*J4226/E4226</f>
        <v>429.90299137245745</v>
      </c>
      <c r="L4226" s="75">
        <f>K4226*'THAM_SO_MOI'!$C$53*'THAM_SO_MOI'!$C$17/'THAM_SO_MOI'!$C$26</f>
        <v>3770.25091653334</v>
      </c>
      <c r="M4226" s="75">
        <f>'THAM_SO_MOI'!$C$15*'THAM_SO_MOI'!$C$16*F4226^2</f>
        <v>1505.1283073712161</v>
      </c>
      <c r="N4226" s="75">
        <f>'THAM_SO_MOI'!$C$12*I4226</f>
        <v>1517.7960026666437</v>
      </c>
      <c r="O4226" s="75">
        <f>M4226+N4226</f>
        <v>3022.92431003786</v>
      </c>
      <c r="P4226" s="75">
        <f>(MIN(L4226,'THAM_SO_MOI'!$C$41)-O4226)/('THAM_SO_MOI'!$C$11*H4226)</f>
        <v>0.08846195626130209</v>
      </c>
      <c r="Q4226" s="75">
        <f>IF(P4226&gt;0,1/P4226,NA())</f>
        <v>11.30429443642603</v>
      </c>
      <c r="R4226" s="75">
        <f>F4226-F4225</f>
        <v>0.0035868055555567935</v>
      </c>
      <c r="S4226" s="75">
        <f>0.5*(Q4225+Q4226)*R4226</f>
        <v>0.040529527407445476</v>
      </c>
      <c r="T4226" s="75">
        <f>0.5*(F4225*Q4225+F4226*Q4226)*R4226</f>
        <v>0.9193080098685082</v>
      </c>
      <c r="U4226" s="76">
        <f>U4225+S4226</f>
        <v>67.02060942732201</v>
      </c>
      <c r="V4226" s="76">
        <f>V4225+T4226</f>
        <v>1048.6413491221424</v>
      </c>
    </row>
    <row r="4227" spans="1:22" ht="19" customHeight="1">
      <c r="A4227" s="68" t="s">
        <v>378</v>
      </c>
      <c r="B4227" s="74">
        <v>5</v>
      </c>
      <c r="C4227" s="68" t="s">
        <v>363</v>
      </c>
      <c r="D4227" s="68" t="s">
        <v>365</v>
      </c>
      <c r="E4227" s="75">
        <f>60*F4227*'THAM_SO_MOI'!$C$53/(2*PI()*'THAM_SO_MOI'!$C$26)</f>
        <v>2235.3458947368417</v>
      </c>
      <c r="F4227" s="75">
        <f>'THAM_SO_MOI'!$C$14+('THAM_SO_MOI'!$C$37-'THAM_SO_MOI'!$C$14)*136/'THAM_SO_MOI'!$C$42</f>
        <v>22.687805555555556</v>
      </c>
      <c r="G4227" s="75">
        <f>3.6*F4227</f>
        <v>81.6761</v>
      </c>
      <c r="H4227" s="75">
        <f>'THAM_SO_MOI'!$D$53</f>
        <v>1.1</v>
      </c>
      <c r="I4227" s="75">
        <f>IF(F4227&gt;='THAM_SO_MOI'!$C$14,'THAM_SO_MOI'!$C$13*(1+F4227^2/1500),'THAM_SO_MOI'!$C$13)</f>
        <v>0.020147365209266972</v>
      </c>
      <c r="J4227" s="75">
        <f>'THAM_SO_MOI'!$C$40*('THAM_SO_MOI'!$C$23*(E4227/'THAM_SO_MOI'!$C$22)+'THAM_SO_MOI'!$C$24*(E4227/'THAM_SO_MOI'!$C$22)^2-'THAM_SO_MOI'!$C$25*(E4227/'THAM_SO_MOI'!$C$22)^3)</f>
        <v>100.61425389517747</v>
      </c>
      <c r="K4227" s="75">
        <f>'THAM_SO_MOI'!$C$31*J4227/E4227</f>
        <v>429.90064279306233</v>
      </c>
      <c r="L4227" s="75">
        <f>K4227*'THAM_SO_MOI'!$C$53*'THAM_SO_MOI'!$C$17/'THAM_SO_MOI'!$C$26</f>
        <v>3770.2303194828546</v>
      </c>
      <c r="M4227" s="75">
        <f>'THAM_SO_MOI'!$C$15*'THAM_SO_MOI'!$C$16*F4227^2</f>
        <v>1505.6043237105905</v>
      </c>
      <c r="N4227" s="75">
        <f>'THAM_SO_MOI'!$C$12*I4227</f>
        <v>1517.9186127583412</v>
      </c>
      <c r="O4227" s="75">
        <f>M4227+N4227</f>
        <v>3023.5229364689317</v>
      </c>
      <c r="P4227" s="75">
        <f>(MIN(L4227,'THAM_SO_MOI'!$C$41)-O4227)/('THAM_SO_MOI'!$C$11*H4227)</f>
        <v>0.08838865802721625</v>
      </c>
      <c r="Q4227" s="75">
        <f>IF(P4227&gt;0,1/P4227,NA())</f>
        <v>11.313668770625348</v>
      </c>
      <c r="R4227" s="75">
        <f>F4227-F4226</f>
        <v>0.0035868055555567935</v>
      </c>
      <c r="S4227" s="75">
        <f>0.5*(Q4226+Q4227)*R4227</f>
        <v>0.04056311804321552</v>
      </c>
      <c r="T4227" s="75">
        <f>0.5*(F4226*Q4226+F4227*Q4227)*R4227</f>
        <v>0.9202154190335572</v>
      </c>
      <c r="U4227" s="76">
        <f>U4226+S4227</f>
        <v>67.06117254536522</v>
      </c>
      <c r="V4227" s="76">
        <f>V4226+T4227</f>
        <v>1049.561564541176</v>
      </c>
    </row>
    <row r="4228" spans="1:22" ht="19" customHeight="1">
      <c r="A4228" s="68" t="s">
        <v>378</v>
      </c>
      <c r="B4228" s="74">
        <v>5</v>
      </c>
      <c r="C4228" s="68" t="s">
        <v>363</v>
      </c>
      <c r="D4228" s="68" t="s">
        <v>365</v>
      </c>
      <c r="E4228" s="75">
        <f>60*F4228*'THAM_SO_MOI'!$C$53/(2*PI()*'THAM_SO_MOI'!$C$26)</f>
        <v>2235.6992894736836</v>
      </c>
      <c r="F4228" s="75">
        <f>'THAM_SO_MOI'!$C$14+('THAM_SO_MOI'!$C$37-'THAM_SO_MOI'!$C$14)*137/'THAM_SO_MOI'!$C$42</f>
        <v>22.69139236111111</v>
      </c>
      <c r="G4228" s="75">
        <f>3.6*F4228</f>
        <v>81.68901249999999</v>
      </c>
      <c r="H4228" s="75">
        <f>'THAM_SO_MOI'!$D$53</f>
        <v>1.1</v>
      </c>
      <c r="I4228" s="75">
        <f>IF(F4228&gt;='THAM_SO_MOI'!$C$14,'THAM_SO_MOI'!$C$13*(1+F4228^2/1500),'THAM_SO_MOI'!$C$13)</f>
        <v>0.020148992872858915</v>
      </c>
      <c r="J4228" s="75">
        <f>'THAM_SO_MOI'!$C$40*('THAM_SO_MOI'!$C$23*(E4228/'THAM_SO_MOI'!$C$22)+'THAM_SO_MOI'!$C$24*(E4228/'THAM_SO_MOI'!$C$22)^2-'THAM_SO_MOI'!$C$25*(E4228/'THAM_SO_MOI'!$C$22)^3)</f>
        <v>100.62960781718385</v>
      </c>
      <c r="K4228" s="75">
        <f>'THAM_SO_MOI'!$C$31*J4228/E4228</f>
        <v>429.89828209768274</v>
      </c>
      <c r="L4228" s="75">
        <f>K4228*'THAM_SO_MOI'!$C$53*'THAM_SO_MOI'!$C$17/'THAM_SO_MOI'!$C$26</f>
        <v>3770.2096161751383</v>
      </c>
      <c r="M4228" s="75">
        <f>'THAM_SO_MOI'!$C$15*'THAM_SO_MOI'!$C$16*F4228^2</f>
        <v>1506.0804153112333</v>
      </c>
      <c r="N4228" s="75">
        <f>'THAM_SO_MOI'!$C$12*I4228</f>
        <v>1518.0412422354889</v>
      </c>
      <c r="O4228" s="75">
        <f>M4228+N4228</f>
        <v>3024.1216575467224</v>
      </c>
      <c r="P4228" s="75">
        <f>(MIN(L4228,'THAM_SO_MOI'!$C$41)-O4228)/('THAM_SO_MOI'!$C$11*H4228)</f>
        <v>0.08831533601188635</v>
      </c>
      <c r="Q4228" s="75">
        <f>IF(P4228&gt;0,1/P4228,NA())</f>
        <v>11.323061714506869</v>
      </c>
      <c r="R4228" s="75">
        <f>F4228-F4227</f>
        <v>0.0035868055555532408</v>
      </c>
      <c r="S4228" s="75">
        <f>0.5*(Q4227+Q4228)*R4228</f>
        <v>0.040596775331816826</v>
      </c>
      <c r="T4228" s="75">
        <f>0.5*(F4227*Q4227+F4228*Q4228)*R4228</f>
        <v>0.9211245814909479</v>
      </c>
      <c r="U4228" s="76">
        <f>U4227+S4228</f>
        <v>67.10176932069704</v>
      </c>
      <c r="V4228" s="76">
        <f>V4227+T4228</f>
        <v>1050.482689122667</v>
      </c>
    </row>
    <row r="4229" spans="1:22" ht="19" customHeight="1">
      <c r="A4229" s="68" t="s">
        <v>378</v>
      </c>
      <c r="B4229" s="74">
        <v>5</v>
      </c>
      <c r="C4229" s="68" t="s">
        <v>363</v>
      </c>
      <c r="D4229" s="68" t="s">
        <v>365</v>
      </c>
      <c r="E4229" s="75">
        <f>60*F4229*'THAM_SO_MOI'!$C$53/(2*PI()*'THAM_SO_MOI'!$C$26)</f>
        <v>2236.052684210526</v>
      </c>
      <c r="F4229" s="75">
        <f>'THAM_SO_MOI'!$C$14+('THAM_SO_MOI'!$C$37-'THAM_SO_MOI'!$C$14)*138/'THAM_SO_MOI'!$C$42</f>
        <v>22.694979166666666</v>
      </c>
      <c r="G4229" s="75">
        <f>3.6*F4229</f>
        <v>81.701925</v>
      </c>
      <c r="H4229" s="75">
        <f>'THAM_SO_MOI'!$D$53</f>
        <v>1.1</v>
      </c>
      <c r="I4229" s="75">
        <f>IF(F4229&gt;='THAM_SO_MOI'!$C$14,'THAM_SO_MOI'!$C$13*(1+F4229^2/1500),'THAM_SO_MOI'!$C$13)</f>
        <v>0.02015062079375434</v>
      </c>
      <c r="J4229" s="75">
        <f>'THAM_SO_MOI'!$C$40*('THAM_SO_MOI'!$C$23*(E4229/'THAM_SO_MOI'!$C$22)+'THAM_SO_MOI'!$C$24*(E4229/'THAM_SO_MOI'!$C$22)^2-'THAM_SO_MOI'!$C$25*(E4229/'THAM_SO_MOI'!$C$22)^3)</f>
        <v>100.64495872796654</v>
      </c>
      <c r="K4229" s="75">
        <f>'THAM_SO_MOI'!$C$31*J4229/E4229</f>
        <v>429.89590928631884</v>
      </c>
      <c r="L4229" s="75">
        <f>K4229*'THAM_SO_MOI'!$C$53*'THAM_SO_MOI'!$C$17/'THAM_SO_MOI'!$C$26</f>
        <v>3770.188806610192</v>
      </c>
      <c r="M4229" s="75">
        <f>'THAM_SO_MOI'!$C$15*'THAM_SO_MOI'!$C$16*F4229^2</f>
        <v>1506.5565821731445</v>
      </c>
      <c r="N4229" s="75">
        <f>'THAM_SO_MOI'!$C$12*I4229</f>
        <v>1518.163891098087</v>
      </c>
      <c r="O4229" s="75">
        <f>M4229+N4229</f>
        <v>3024.7204732712316</v>
      </c>
      <c r="P4229" s="75">
        <f>(MIN(L4229,'THAM_SO_MOI'!$C$41)-O4229)/('THAM_SO_MOI'!$C$11*H4229)</f>
        <v>0.08824199021531257</v>
      </c>
      <c r="Q4229" s="75">
        <f>IF(P4229&gt;0,1/P4229,NA())</f>
        <v>11.332473322054229</v>
      </c>
      <c r="R4229" s="75">
        <f>F4229-F4228</f>
        <v>0.0035868055555567935</v>
      </c>
      <c r="S4229" s="75">
        <f>0.5*(Q4228+Q4229)*R4229</f>
        <v>0.04063049946662446</v>
      </c>
      <c r="T4229" s="75">
        <f>0.5*(F4228*Q4228+F4229*Q4229)*R4229</f>
        <v>0.9220355023461897</v>
      </c>
      <c r="U4229" s="76">
        <f>U4228+S4229</f>
        <v>67.14239982016367</v>
      </c>
      <c r="V4229" s="76">
        <f>V4228+T4229</f>
        <v>1051.4047246250132</v>
      </c>
    </row>
    <row r="4230" spans="1:22" ht="19" customHeight="1">
      <c r="A4230" s="68" t="s">
        <v>378</v>
      </c>
      <c r="B4230" s="74">
        <v>5</v>
      </c>
      <c r="C4230" s="68" t="s">
        <v>363</v>
      </c>
      <c r="D4230" s="68" t="s">
        <v>365</v>
      </c>
      <c r="E4230" s="75">
        <f>60*F4230*'THAM_SO_MOI'!$C$53/(2*PI()*'THAM_SO_MOI'!$C$26)</f>
        <v>2236.406078947368</v>
      </c>
      <c r="F4230" s="75">
        <f>'THAM_SO_MOI'!$C$14+('THAM_SO_MOI'!$C$37-'THAM_SO_MOI'!$C$14)*139/'THAM_SO_MOI'!$C$42</f>
        <v>22.698565972222223</v>
      </c>
      <c r="G4230" s="75">
        <f>3.6*F4230</f>
        <v>81.7148375</v>
      </c>
      <c r="H4230" s="75">
        <f>'THAM_SO_MOI'!$D$53</f>
        <v>1.1</v>
      </c>
      <c r="I4230" s="75">
        <f>IF(F4230&gt;='THAM_SO_MOI'!$C$14,'THAM_SO_MOI'!$C$13*(1+F4230^2/1500),'THAM_SO_MOI'!$C$13)</f>
        <v>0.020152248971953245</v>
      </c>
      <c r="J4230" s="75">
        <f>'THAM_SO_MOI'!$C$40*('THAM_SO_MOI'!$C$23*(E4230/'THAM_SO_MOI'!$C$22)+'THAM_SO_MOI'!$C$24*(E4230/'THAM_SO_MOI'!$C$22)^2-'THAM_SO_MOI'!$C$25*(E4230/'THAM_SO_MOI'!$C$22)^3)</f>
        <v>100.66030662618056</v>
      </c>
      <c r="K4230" s="75">
        <f>'THAM_SO_MOI'!$C$31*J4230/E4230</f>
        <v>429.8935243589704</v>
      </c>
      <c r="L4230" s="75">
        <f>K4230*'THAM_SO_MOI'!$C$53*'THAM_SO_MOI'!$C$17/'THAM_SO_MOI'!$C$26</f>
        <v>3770.167890788014</v>
      </c>
      <c r="M4230" s="75">
        <f>'THAM_SO_MOI'!$C$15*'THAM_SO_MOI'!$C$16*F4230^2</f>
        <v>1507.0328242963246</v>
      </c>
      <c r="N4230" s="75">
        <f>'THAM_SO_MOI'!$C$12*I4230</f>
        <v>1518.2865593461352</v>
      </c>
      <c r="O4230" s="75">
        <f>M4230+N4230</f>
        <v>3025.31938364246</v>
      </c>
      <c r="P4230" s="75">
        <f>(MIN(L4230,'THAM_SO_MOI'!$C$41)-O4230)/('THAM_SO_MOI'!$C$11*H4230)</f>
        <v>0.08816862063749459</v>
      </c>
      <c r="Q4230" s="75">
        <f>IF(P4230&gt;0,1/P4230,NA())</f>
        <v>11.341903647460942</v>
      </c>
      <c r="R4230" s="75">
        <f>F4230-F4229</f>
        <v>0.0035868055555567935</v>
      </c>
      <c r="S4230" s="75">
        <f>0.5*(Q4229+Q4230)*R4230</f>
        <v>0.040664290641523014</v>
      </c>
      <c r="T4230" s="75">
        <f>0.5*(F4229*Q4229+F4230*Q4230)*R4230</f>
        <v>0.9229481867191305</v>
      </c>
      <c r="U4230" s="76">
        <f>U4229+S4230</f>
        <v>67.1830641108052</v>
      </c>
      <c r="V4230" s="76">
        <f>V4229+T4230</f>
        <v>1052.3276728117323</v>
      </c>
    </row>
    <row r="4231" spans="1:22" ht="19" customHeight="1">
      <c r="A4231" s="68" t="s">
        <v>378</v>
      </c>
      <c r="B4231" s="74">
        <v>5</v>
      </c>
      <c r="C4231" s="68" t="s">
        <v>363</v>
      </c>
      <c r="D4231" s="68" t="s">
        <v>365</v>
      </c>
      <c r="E4231" s="75">
        <f>60*F4231*'THAM_SO_MOI'!$C$53/(2*PI()*'THAM_SO_MOI'!$C$26)</f>
        <v>2236.7594736842098</v>
      </c>
      <c r="F4231" s="75">
        <f>'THAM_SO_MOI'!$C$14+('THAM_SO_MOI'!$C$37-'THAM_SO_MOI'!$C$14)*140/'THAM_SO_MOI'!$C$42</f>
        <v>22.702152777777776</v>
      </c>
      <c r="G4231" s="75">
        <f>3.6*F4231</f>
        <v>81.72775</v>
      </c>
      <c r="H4231" s="75">
        <f>'THAM_SO_MOI'!$D$53</f>
        <v>1.1</v>
      </c>
      <c r="I4231" s="75">
        <f>IF(F4231&gt;='THAM_SO_MOI'!$C$14,'THAM_SO_MOI'!$C$13*(1+F4231^2/1500),'THAM_SO_MOI'!$C$13)</f>
        <v>0.020153877407455632</v>
      </c>
      <c r="J4231" s="75">
        <f>'THAM_SO_MOI'!$C$40*('THAM_SO_MOI'!$C$23*(E4231/'THAM_SO_MOI'!$C$22)+'THAM_SO_MOI'!$C$24*(E4231/'THAM_SO_MOI'!$C$22)^2-'THAM_SO_MOI'!$C$25*(E4231/'THAM_SO_MOI'!$C$22)^3)</f>
        <v>100.67565151048105</v>
      </c>
      <c r="K4231" s="75">
        <f>'THAM_SO_MOI'!$C$31*J4231/E4231</f>
        <v>429.8911273156375</v>
      </c>
      <c r="L4231" s="75">
        <f>K4231*'THAM_SO_MOI'!$C$53*'THAM_SO_MOI'!$C$17/'THAM_SO_MOI'!$C$26</f>
        <v>3770.1468687086053</v>
      </c>
      <c r="M4231" s="75">
        <f>'THAM_SO_MOI'!$C$15*'THAM_SO_MOI'!$C$16*F4231^2</f>
        <v>1507.5091416807725</v>
      </c>
      <c r="N4231" s="75">
        <f>'THAM_SO_MOI'!$C$12*I4231</f>
        <v>1518.4092469796333</v>
      </c>
      <c r="O4231" s="75">
        <f>M4231+N4231</f>
        <v>3025.918388660406</v>
      </c>
      <c r="P4231" s="75">
        <f>(MIN(L4231,'THAM_SO_MOI'!$C$41)-O4231)/('THAM_SO_MOI'!$C$11*H4231)</f>
        <v>0.08809522727843269</v>
      </c>
      <c r="Q4231" s="75">
        <f>IF(P4231&gt;0,1/P4231,NA())</f>
        <v>11.351352745131269</v>
      </c>
      <c r="R4231" s="75">
        <f>F4231-F4230</f>
        <v>0.0035868055555532408</v>
      </c>
      <c r="S4231" s="75">
        <f>0.5*(Q4230+Q4231)*R4231</f>
        <v>0.04069814905127192</v>
      </c>
      <c r="T4231" s="75">
        <f>0.5*(F4230*Q4230+F4231*Q4231)*R4231</f>
        <v>0.9238626397522595</v>
      </c>
      <c r="U4231" s="76">
        <f>U4230+S4231</f>
        <v>67.22376225985647</v>
      </c>
      <c r="V4231" s="76">
        <f>V4230+T4231</f>
        <v>1053.2515354514846</v>
      </c>
    </row>
    <row r="4232" spans="1:22" ht="19" customHeight="1">
      <c r="A4232" s="68" t="s">
        <v>378</v>
      </c>
      <c r="B4232" s="74">
        <v>5</v>
      </c>
      <c r="C4232" s="68" t="s">
        <v>363</v>
      </c>
      <c r="D4232" s="68" t="s">
        <v>365</v>
      </c>
      <c r="E4232" s="75">
        <f>60*F4232*'THAM_SO_MOI'!$C$53/(2*PI()*'THAM_SO_MOI'!$C$26)</f>
        <v>2237.1128684210516</v>
      </c>
      <c r="F4232" s="75">
        <f>'THAM_SO_MOI'!$C$14+('THAM_SO_MOI'!$C$37-'THAM_SO_MOI'!$C$14)*141/'THAM_SO_MOI'!$C$42</f>
        <v>22.705739583333333</v>
      </c>
      <c r="G4232" s="75">
        <f>3.6*F4232</f>
        <v>81.7406625</v>
      </c>
      <c r="H4232" s="75">
        <f>'THAM_SO_MOI'!$D$53</f>
        <v>1.1</v>
      </c>
      <c r="I4232" s="75">
        <f>IF(F4232&gt;='THAM_SO_MOI'!$C$14,'THAM_SO_MOI'!$C$13*(1+F4232^2/1500),'THAM_SO_MOI'!$C$13)</f>
        <v>0.0201555061002615</v>
      </c>
      <c r="J4232" s="75">
        <f>'THAM_SO_MOI'!$C$40*('THAM_SO_MOI'!$C$23*(E4232/'THAM_SO_MOI'!$C$22)+'THAM_SO_MOI'!$C$24*(E4232/'THAM_SO_MOI'!$C$22)^2-'THAM_SO_MOI'!$C$25*(E4232/'THAM_SO_MOI'!$C$22)^3)</f>
        <v>100.6909933795231</v>
      </c>
      <c r="K4232" s="75">
        <f>'THAM_SO_MOI'!$C$31*J4232/E4232</f>
        <v>429.88871815632</v>
      </c>
      <c r="L4232" s="75">
        <f>K4232*'THAM_SO_MOI'!$C$53*'THAM_SO_MOI'!$C$17/'THAM_SO_MOI'!$C$26</f>
        <v>3770.1257403719633</v>
      </c>
      <c r="M4232" s="75">
        <f>'THAM_SO_MOI'!$C$15*'THAM_SO_MOI'!$C$16*F4232^2</f>
        <v>1507.9855343264894</v>
      </c>
      <c r="N4232" s="75">
        <f>'THAM_SO_MOI'!$C$12*I4232</f>
        <v>1518.5319539985817</v>
      </c>
      <c r="O4232" s="75">
        <f>M4232+N4232</f>
        <v>3026.517488325071</v>
      </c>
      <c r="P4232" s="75">
        <f>(MIN(L4232,'THAM_SO_MOI'!$C$41)-O4232)/('THAM_SO_MOI'!$C$11*H4232)</f>
        <v>0.08802181013812645</v>
      </c>
      <c r="Q4232" s="75">
        <f>IF(P4232&gt;0,1/P4232,NA())</f>
        <v>11.360820669681415</v>
      </c>
      <c r="R4232" s="75">
        <f>F4232-F4231</f>
        <v>0.0035868055555567935</v>
      </c>
      <c r="S4232" s="75">
        <f>0.5*(Q4231+Q4232)*R4232</f>
        <v>0.04073207489150972</v>
      </c>
      <c r="T4232" s="75">
        <f>0.5*(F4231*Q4231+F4232*Q4232)*R4232</f>
        <v>0.9247788666108195</v>
      </c>
      <c r="U4232" s="76">
        <f>U4231+S4232</f>
        <v>67.26449433474798</v>
      </c>
      <c r="V4232" s="76">
        <f>V4231+T4232</f>
        <v>1054.1763143180954</v>
      </c>
    </row>
    <row r="4233" spans="1:22" ht="19" customHeight="1">
      <c r="A4233" s="68" t="s">
        <v>378</v>
      </c>
      <c r="B4233" s="74">
        <v>5</v>
      </c>
      <c r="C4233" s="68" t="s">
        <v>363</v>
      </c>
      <c r="D4233" s="68" t="s">
        <v>365</v>
      </c>
      <c r="E4233" s="75">
        <f>60*F4233*'THAM_SO_MOI'!$C$53/(2*PI()*'THAM_SO_MOI'!$C$26)</f>
        <v>2237.466263157894</v>
      </c>
      <c r="F4233" s="75">
        <f>'THAM_SO_MOI'!$C$14+('THAM_SO_MOI'!$C$37-'THAM_SO_MOI'!$C$14)*142/'THAM_SO_MOI'!$C$42</f>
        <v>22.709326388888886</v>
      </c>
      <c r="G4233" s="75">
        <f>3.6*F4233</f>
        <v>81.753575</v>
      </c>
      <c r="H4233" s="75">
        <f>'THAM_SO_MOI'!$D$53</f>
        <v>1.1</v>
      </c>
      <c r="I4233" s="75">
        <f>IF(F4233&gt;='THAM_SO_MOI'!$C$14,'THAM_SO_MOI'!$C$13*(1+F4233^2/1500),'THAM_SO_MOI'!$C$13)</f>
        <v>0.02015713505037085</v>
      </c>
      <c r="J4233" s="75">
        <f>'THAM_SO_MOI'!$C$40*('THAM_SO_MOI'!$C$23*(E4233/'THAM_SO_MOI'!$C$22)+'THAM_SO_MOI'!$C$24*(E4233/'THAM_SO_MOI'!$C$22)^2-'THAM_SO_MOI'!$C$25*(E4233/'THAM_SO_MOI'!$C$22)^3)</f>
        <v>100.70633223196192</v>
      </c>
      <c r="K4233" s="75">
        <f>'THAM_SO_MOI'!$C$31*J4233/E4233</f>
        <v>429.88629688101827</v>
      </c>
      <c r="L4233" s="75">
        <f>K4233*'THAM_SO_MOI'!$C$53*'THAM_SO_MOI'!$C$17/'THAM_SO_MOI'!$C$26</f>
        <v>3770.104505778093</v>
      </c>
      <c r="M4233" s="75">
        <f>'THAM_SO_MOI'!$C$15*'THAM_SO_MOI'!$C$16*F4233^2</f>
        <v>1508.462002233474</v>
      </c>
      <c r="N4233" s="75">
        <f>'THAM_SO_MOI'!$C$12*I4233</f>
        <v>1518.6546804029801</v>
      </c>
      <c r="O4233" s="75">
        <f>M4233+N4233</f>
        <v>3027.1166826364542</v>
      </c>
      <c r="P4233" s="75">
        <f>(MIN(L4233,'THAM_SO_MOI'!$C$41)-O4233)/('THAM_SO_MOI'!$C$11*H4233)</f>
        <v>0.08794836921657657</v>
      </c>
      <c r="Q4233" s="75">
        <f>IF(P4233&gt;0,1/P4233,NA())</f>
        <v>11.370307475940319</v>
      </c>
      <c r="R4233" s="75">
        <f>F4233-F4232</f>
        <v>0.0035868055555532408</v>
      </c>
      <c r="S4233" s="75">
        <f>0.5*(Q4232+Q4233)*R4233</f>
        <v>0.04076606835835433</v>
      </c>
      <c r="T4233" s="75">
        <f>0.5*(F4232*Q4232+F4233*Q4233)*R4233</f>
        <v>0.9256968724737449</v>
      </c>
      <c r="U4233" s="76">
        <f>U4232+S4233</f>
        <v>67.30526040310633</v>
      </c>
      <c r="V4233" s="76">
        <f>V4232+T4233</f>
        <v>1055.102011190569</v>
      </c>
    </row>
    <row r="4234" spans="1:22" ht="19" customHeight="1">
      <c r="A4234" s="68" t="s">
        <v>378</v>
      </c>
      <c r="B4234" s="74">
        <v>5</v>
      </c>
      <c r="C4234" s="68" t="s">
        <v>363</v>
      </c>
      <c r="D4234" s="68" t="s">
        <v>365</v>
      </c>
      <c r="E4234" s="75">
        <f>60*F4234*'THAM_SO_MOI'!$C$53/(2*PI()*'THAM_SO_MOI'!$C$26)</f>
        <v>2237.8196578947363</v>
      </c>
      <c r="F4234" s="75">
        <f>'THAM_SO_MOI'!$C$14+('THAM_SO_MOI'!$C$37-'THAM_SO_MOI'!$C$14)*143/'THAM_SO_MOI'!$C$42</f>
        <v>22.712913194444443</v>
      </c>
      <c r="G4234" s="75">
        <f>3.6*F4234</f>
        <v>81.7664875</v>
      </c>
      <c r="H4234" s="75">
        <f>'THAM_SO_MOI'!$D$53</f>
        <v>1.1</v>
      </c>
      <c r="I4234" s="75">
        <f>IF(F4234&gt;='THAM_SO_MOI'!$C$14,'THAM_SO_MOI'!$C$13*(1+F4234^2/1500),'THAM_SO_MOI'!$C$13)</f>
        <v>0.020158764257783682</v>
      </c>
      <c r="J4234" s="75">
        <f>'THAM_SO_MOI'!$C$40*('THAM_SO_MOI'!$C$23*(E4234/'THAM_SO_MOI'!$C$22)+'THAM_SO_MOI'!$C$24*(E4234/'THAM_SO_MOI'!$C$22)^2-'THAM_SO_MOI'!$C$25*(E4234/'THAM_SO_MOI'!$C$22)^3)</f>
        <v>100.72166806645252</v>
      </c>
      <c r="K4234" s="75">
        <f>'THAM_SO_MOI'!$C$31*J4234/E4234</f>
        <v>429.883863489732</v>
      </c>
      <c r="L4234" s="75">
        <f>K4234*'THAM_SO_MOI'!$C$53*'THAM_SO_MOI'!$C$17/'THAM_SO_MOI'!$C$26</f>
        <v>3770.083164926991</v>
      </c>
      <c r="M4234" s="75">
        <f>'THAM_SO_MOI'!$C$15*'THAM_SO_MOI'!$C$16*F4234^2</f>
        <v>1508.9385454017279</v>
      </c>
      <c r="N4234" s="75">
        <f>'THAM_SO_MOI'!$C$12*I4234</f>
        <v>1518.777426192829</v>
      </c>
      <c r="O4234" s="75">
        <f>M4234+N4234</f>
        <v>3027.715971594557</v>
      </c>
      <c r="P4234" s="75">
        <f>(MIN(L4234,'THAM_SO_MOI'!$C$41)-O4234)/('THAM_SO_MOI'!$C$11*H4234)</f>
        <v>0.08787490451378244</v>
      </c>
      <c r="Q4234" s="75">
        <f>IF(P4234&gt;0,1/P4234,NA())</f>
        <v>11.37981321895102</v>
      </c>
      <c r="R4234" s="75">
        <f>F4234-F4233</f>
        <v>0.0035868055555567935</v>
      </c>
      <c r="S4234" s="75">
        <f>0.5*(Q4233+Q4234)*R4234</f>
        <v>0.04080012964901191</v>
      </c>
      <c r="T4234" s="75">
        <f>0.5*(F4233*Q4233+F4234*Q4234)*R4234</f>
        <v>0.9266166625475002</v>
      </c>
      <c r="U4234" s="76">
        <f>U4233+S4234</f>
        <v>67.34606053275535</v>
      </c>
      <c r="V4234" s="76">
        <f>V4233+T4234</f>
        <v>1056.0286278531166</v>
      </c>
    </row>
    <row r="4235" spans="1:22" ht="19" customHeight="1">
      <c r="A4235" s="68" t="s">
        <v>378</v>
      </c>
      <c r="B4235" s="74">
        <v>5</v>
      </c>
      <c r="C4235" s="68" t="s">
        <v>363</v>
      </c>
      <c r="D4235" s="68" t="s">
        <v>365</v>
      </c>
      <c r="E4235" s="75">
        <f>60*F4235*'THAM_SO_MOI'!$C$53/(2*PI()*'THAM_SO_MOI'!$C$26)</f>
        <v>2238.1730526315787</v>
      </c>
      <c r="F4235" s="75">
        <f>'THAM_SO_MOI'!$C$14+('THAM_SO_MOI'!$C$37-'THAM_SO_MOI'!$C$14)*144/'THAM_SO_MOI'!$C$42</f>
        <v>22.7165</v>
      </c>
      <c r="G4235" s="75">
        <f>3.6*F4235</f>
        <v>81.7794</v>
      </c>
      <c r="H4235" s="75">
        <f>'THAM_SO_MOI'!$D$53</f>
        <v>1.1</v>
      </c>
      <c r="I4235" s="75">
        <f>IF(F4235&gt;='THAM_SO_MOI'!$C$14,'THAM_SO_MOI'!$C$13*(1+F4235^2/1500),'THAM_SO_MOI'!$C$13)</f>
        <v>0.0201603937225</v>
      </c>
      <c r="J4235" s="75">
        <f>'THAM_SO_MOI'!$C$40*('THAM_SO_MOI'!$C$23*(E4235/'THAM_SO_MOI'!$C$22)+'THAM_SO_MOI'!$C$24*(E4235/'THAM_SO_MOI'!$C$22)^2-'THAM_SO_MOI'!$C$25*(E4235/'THAM_SO_MOI'!$C$22)^3)</f>
        <v>100.73700088165003</v>
      </c>
      <c r="K4235" s="75">
        <f>'THAM_SO_MOI'!$C$31*J4235/E4235</f>
        <v>429.8814179824612</v>
      </c>
      <c r="L4235" s="75">
        <f>K4235*'THAM_SO_MOI'!$C$53*'THAM_SO_MOI'!$C$17/'THAM_SO_MOI'!$C$26</f>
        <v>3770.0617178186567</v>
      </c>
      <c r="M4235" s="75">
        <f>'THAM_SO_MOI'!$C$15*'THAM_SO_MOI'!$C$16*F4235^2</f>
        <v>1509.41516383125</v>
      </c>
      <c r="N4235" s="75">
        <f>'THAM_SO_MOI'!$C$12*I4235</f>
        <v>1518.900191368128</v>
      </c>
      <c r="O4235" s="75">
        <f>M4235+N4235</f>
        <v>3028.3153551993782</v>
      </c>
      <c r="P4235" s="75">
        <f>(MIN(L4235,'THAM_SO_MOI'!$C$41)-O4235)/('THAM_SO_MOI'!$C$11*H4235)</f>
        <v>0.08780141602974416</v>
      </c>
      <c r="Q4235" s="75">
        <f>IF(P4235&gt;0,1/P4235,NA())</f>
        <v>11.389337953971422</v>
      </c>
      <c r="R4235" s="75">
        <f>F4235-F4234</f>
        <v>0.0035868055555567935</v>
      </c>
      <c r="S4235" s="75">
        <f>0.5*(Q4234+Q4235)*R4235</f>
        <v>0.040834258961175346</v>
      </c>
      <c r="T4235" s="75">
        <f>0.5*(F4234*Q4234+F4235*Q4235)*R4235</f>
        <v>0.9275382420524338</v>
      </c>
      <c r="U4235" s="76">
        <f>U4234+S4235</f>
        <v>67.38689479171651</v>
      </c>
      <c r="V4235" s="76">
        <f>V4234+T4235</f>
        <v>1056.956166095169</v>
      </c>
    </row>
    <row r="4236" spans="1:22" ht="19" customHeight="1">
      <c r="A4236" s="68" t="s">
        <v>378</v>
      </c>
      <c r="B4236" s="74">
        <v>5</v>
      </c>
      <c r="C4236" s="68" t="s">
        <v>363</v>
      </c>
      <c r="D4236" s="68" t="s">
        <v>365</v>
      </c>
      <c r="E4236" s="75">
        <f>60*F4236*'THAM_SO_MOI'!$C$53/(2*PI()*'THAM_SO_MOI'!$C$26)</f>
        <v>2238.5264473684206</v>
      </c>
      <c r="F4236" s="75">
        <f>'THAM_SO_MOI'!$C$14+('THAM_SO_MOI'!$C$37-'THAM_SO_MOI'!$C$14)*145/'THAM_SO_MOI'!$C$42</f>
        <v>22.720086805555553</v>
      </c>
      <c r="G4236" s="75">
        <f>3.6*F4236</f>
        <v>81.7923125</v>
      </c>
      <c r="H4236" s="75">
        <f>'THAM_SO_MOI'!$D$53</f>
        <v>1.1</v>
      </c>
      <c r="I4236" s="75">
        <f>IF(F4236&gt;='THAM_SO_MOI'!$C$14,'THAM_SO_MOI'!$C$13*(1+F4236^2/1500),'THAM_SO_MOI'!$C$13)</f>
        <v>0.020162023444519797</v>
      </c>
      <c r="J4236" s="75">
        <f>'THAM_SO_MOI'!$C$40*('THAM_SO_MOI'!$C$23*(E4236/'THAM_SO_MOI'!$C$22)+'THAM_SO_MOI'!$C$24*(E4236/'THAM_SO_MOI'!$C$22)^2-'THAM_SO_MOI'!$C$25*(E4236/'THAM_SO_MOI'!$C$22)^3)</f>
        <v>100.75233067620957</v>
      </c>
      <c r="K4236" s="75">
        <f>'THAM_SO_MOI'!$C$31*J4236/E4236</f>
        <v>429.878960359206</v>
      </c>
      <c r="L4236" s="75">
        <f>K4236*'THAM_SO_MOI'!$C$53*'THAM_SO_MOI'!$C$17/'THAM_SO_MOI'!$C$26</f>
        <v>3770.040164453092</v>
      </c>
      <c r="M4236" s="75">
        <f>'THAM_SO_MOI'!$C$15*'THAM_SO_MOI'!$C$16*F4236^2</f>
        <v>1509.8918575220403</v>
      </c>
      <c r="N4236" s="75">
        <f>'THAM_SO_MOI'!$C$12*I4236</f>
        <v>1519.0229759288773</v>
      </c>
      <c r="O4236" s="75">
        <f>M4236+N4236</f>
        <v>3028.9148334509173</v>
      </c>
      <c r="P4236" s="75">
        <f>(MIN(L4236,'THAM_SO_MOI'!$C$41)-O4236)/('THAM_SO_MOI'!$C$11*H4236)</f>
        <v>0.08772790376446192</v>
      </c>
      <c r="Q4236" s="75">
        <f>IF(P4236&gt;0,1/P4236,NA())</f>
        <v>11.39888173647544</v>
      </c>
      <c r="R4236" s="75">
        <f>F4236-F4235</f>
        <v>0.0035868055555532408</v>
      </c>
      <c r="S4236" s="75">
        <f>0.5*(Q4235+Q4236)*R4236</f>
        <v>0.04086845649343128</v>
      </c>
      <c r="T4236" s="75">
        <f>0.5*(F4235*Q4235+F4236*Q4236)*R4236</f>
        <v>0.9284616162320363</v>
      </c>
      <c r="U4236" s="76">
        <f>U4235+S4236</f>
        <v>67.42776324820994</v>
      </c>
      <c r="V4236" s="76">
        <f>V4235+T4236</f>
        <v>1057.884627711401</v>
      </c>
    </row>
    <row r="4237" spans="1:22" ht="19" customHeight="1">
      <c r="A4237" s="68" t="s">
        <v>378</v>
      </c>
      <c r="B4237" s="74">
        <v>5</v>
      </c>
      <c r="C4237" s="68" t="s">
        <v>363</v>
      </c>
      <c r="D4237" s="68" t="s">
        <v>365</v>
      </c>
      <c r="E4237" s="75">
        <f>60*F4237*'THAM_SO_MOI'!$C$53/(2*PI()*'THAM_SO_MOI'!$C$26)</f>
        <v>2238.8798421052625</v>
      </c>
      <c r="F4237" s="75">
        <f>'THAM_SO_MOI'!$C$14+('THAM_SO_MOI'!$C$37-'THAM_SO_MOI'!$C$14)*146/'THAM_SO_MOI'!$C$42</f>
        <v>22.72367361111111</v>
      </c>
      <c r="G4237" s="75">
        <f>3.6*F4237</f>
        <v>81.805225</v>
      </c>
      <c r="H4237" s="75">
        <f>'THAM_SO_MOI'!$D$53</f>
        <v>1.1</v>
      </c>
      <c r="I4237" s="75">
        <f>IF(F4237&gt;='THAM_SO_MOI'!$C$14,'THAM_SO_MOI'!$C$13*(1+F4237^2/1500),'THAM_SO_MOI'!$C$13)</f>
        <v>0.020163653423843072</v>
      </c>
      <c r="J4237" s="75">
        <f>'THAM_SO_MOI'!$C$40*('THAM_SO_MOI'!$C$23*(E4237/'THAM_SO_MOI'!$C$22)+'THAM_SO_MOI'!$C$24*(E4237/'THAM_SO_MOI'!$C$22)^2-'THAM_SO_MOI'!$C$25*(E4237/'THAM_SO_MOI'!$C$22)^3)</f>
        <v>100.76765744878621</v>
      </c>
      <c r="K4237" s="75">
        <f>'THAM_SO_MOI'!$C$31*J4237/E4237</f>
        <v>429.87649061996626</v>
      </c>
      <c r="L4237" s="75">
        <f>K4237*'THAM_SO_MOI'!$C$53*'THAM_SO_MOI'!$C$17/'THAM_SO_MOI'!$C$26</f>
        <v>3770.018504830295</v>
      </c>
      <c r="M4237" s="75">
        <f>'THAM_SO_MOI'!$C$15*'THAM_SO_MOI'!$C$16*F4237^2</f>
        <v>1510.3686264740995</v>
      </c>
      <c r="N4237" s="75">
        <f>'THAM_SO_MOI'!$C$12*I4237</f>
        <v>1519.1457798750762</v>
      </c>
      <c r="O4237" s="75">
        <f>M4237+N4237</f>
        <v>3029.5144063491757</v>
      </c>
      <c r="P4237" s="75">
        <f>(MIN(L4237,'THAM_SO_MOI'!$C$41)-O4237)/('THAM_SO_MOI'!$C$11*H4237)</f>
        <v>0.08765436771793554</v>
      </c>
      <c r="Q4237" s="75">
        <f>IF(P4237&gt;0,1/P4237,NA())</f>
        <v>11.408444622154104</v>
      </c>
      <c r="R4237" s="75">
        <f>F4237-F4236</f>
        <v>0.0035868055555567935</v>
      </c>
      <c r="S4237" s="75">
        <f>0.5*(Q4236+Q4237)*R4237</f>
        <v>0.040902722445264675</v>
      </c>
      <c r="T4237" s="75">
        <f>0.5*(F4236*Q4236+F4237*Q4237)*R4237</f>
        <v>0.9293867903530582</v>
      </c>
      <c r="U4237" s="76">
        <f>U4236+S4237</f>
        <v>67.46866597065521</v>
      </c>
      <c r="V4237" s="76">
        <f>V4236+T4237</f>
        <v>1058.814014501754</v>
      </c>
    </row>
    <row r="4238" spans="1:22" ht="19" customHeight="1">
      <c r="A4238" s="68" t="s">
        <v>378</v>
      </c>
      <c r="B4238" s="74">
        <v>5</v>
      </c>
      <c r="C4238" s="68" t="s">
        <v>363</v>
      </c>
      <c r="D4238" s="68" t="s">
        <v>365</v>
      </c>
      <c r="E4238" s="75">
        <f>60*F4238*'THAM_SO_MOI'!$C$53/(2*PI()*'THAM_SO_MOI'!$C$26)</f>
        <v>2239.2332368421044</v>
      </c>
      <c r="F4238" s="75">
        <f>'THAM_SO_MOI'!$C$14+('THAM_SO_MOI'!$C$37-'THAM_SO_MOI'!$C$14)*147/'THAM_SO_MOI'!$C$42</f>
        <v>22.727260416666667</v>
      </c>
      <c r="G4238" s="75">
        <f>3.6*F4238</f>
        <v>81.8181375</v>
      </c>
      <c r="H4238" s="75">
        <f>'THAM_SO_MOI'!$D$53</f>
        <v>1.1</v>
      </c>
      <c r="I4238" s="75">
        <f>IF(F4238&gt;='THAM_SO_MOI'!$C$14,'THAM_SO_MOI'!$C$13*(1+F4238^2/1500),'THAM_SO_MOI'!$C$13)</f>
        <v>0.020165283660469834</v>
      </c>
      <c r="J4238" s="75">
        <f>'THAM_SO_MOI'!$C$40*('THAM_SO_MOI'!$C$23*(E4238/'THAM_SO_MOI'!$C$22)+'THAM_SO_MOI'!$C$24*(E4238/'THAM_SO_MOI'!$C$22)^2-'THAM_SO_MOI'!$C$25*(E4238/'THAM_SO_MOI'!$C$22)^3)</f>
        <v>100.7829811980351</v>
      </c>
      <c r="K4238" s="75">
        <f>'THAM_SO_MOI'!$C$31*J4238/E4238</f>
        <v>429.8740087647421</v>
      </c>
      <c r="L4238" s="75">
        <f>K4238*'THAM_SO_MOI'!$C$53*'THAM_SO_MOI'!$C$17/'THAM_SO_MOI'!$C$26</f>
        <v>3769.9967389502676</v>
      </c>
      <c r="M4238" s="75">
        <f>'THAM_SO_MOI'!$C$15*'THAM_SO_MOI'!$C$16*F4238^2</f>
        <v>1510.845470687427</v>
      </c>
      <c r="N4238" s="75">
        <f>'THAM_SO_MOI'!$C$12*I4238</f>
        <v>1519.2686032067259</v>
      </c>
      <c r="O4238" s="75">
        <f>M4238+N4238</f>
        <v>3030.114073894153</v>
      </c>
      <c r="P4238" s="75">
        <f>(MIN(L4238,'THAM_SO_MOI'!$C$41)-O4238)/('THAM_SO_MOI'!$C$11*H4238)</f>
        <v>0.08758080789016513</v>
      </c>
      <c r="Q4238" s="75">
        <f>IF(P4238&gt;0,1/P4238,NA())</f>
        <v>11.418026666916541</v>
      </c>
      <c r="R4238" s="75">
        <f>F4238-F4237</f>
        <v>0.0035868055555567935</v>
      </c>
      <c r="S4238" s="75">
        <f>0.5*(Q4237+Q4238)*R4238</f>
        <v>0.04093705701669812</v>
      </c>
      <c r="T4238" s="75">
        <f>0.5*(F4237*Q4237+F4238*Q4238)*R4238</f>
        <v>0.9303137696973302</v>
      </c>
      <c r="U4238" s="76">
        <f>U4237+S4238</f>
        <v>67.5096030276719</v>
      </c>
      <c r="V4238" s="76">
        <f>V4237+T4238</f>
        <v>1059.7443282714512</v>
      </c>
    </row>
    <row r="4239" spans="1:22" ht="19" customHeight="1">
      <c r="A4239" s="68" t="s">
        <v>378</v>
      </c>
      <c r="B4239" s="74">
        <v>5</v>
      </c>
      <c r="C4239" s="68" t="s">
        <v>363</v>
      </c>
      <c r="D4239" s="68" t="s">
        <v>365</v>
      </c>
      <c r="E4239" s="75">
        <f>60*F4239*'THAM_SO_MOI'!$C$53/(2*PI()*'THAM_SO_MOI'!$C$26)</f>
        <v>2239.5866315789467</v>
      </c>
      <c r="F4239" s="75">
        <f>'THAM_SO_MOI'!$C$14+('THAM_SO_MOI'!$C$37-'THAM_SO_MOI'!$C$14)*148/'THAM_SO_MOI'!$C$42</f>
        <v>22.73084722222222</v>
      </c>
      <c r="G4239" s="75">
        <f>3.6*F4239</f>
        <v>81.83104999999999</v>
      </c>
      <c r="H4239" s="75">
        <f>'THAM_SO_MOI'!$D$53</f>
        <v>1.1</v>
      </c>
      <c r="I4239" s="75">
        <f>IF(F4239&gt;='THAM_SO_MOI'!$C$14,'THAM_SO_MOI'!$C$13*(1+F4239^2/1500),'THAM_SO_MOI'!$C$13)</f>
        <v>0.020166914154400074</v>
      </c>
      <c r="J4239" s="75">
        <f>'THAM_SO_MOI'!$C$40*('THAM_SO_MOI'!$C$23*(E4239/'THAM_SO_MOI'!$C$22)+'THAM_SO_MOI'!$C$24*(E4239/'THAM_SO_MOI'!$C$22)^2-'THAM_SO_MOI'!$C$25*(E4239/'THAM_SO_MOI'!$C$22)^3)</f>
        <v>100.7983019226114</v>
      </c>
      <c r="K4239" s="75">
        <f>'THAM_SO_MOI'!$C$31*J4239/E4239</f>
        <v>429.8715147935336</v>
      </c>
      <c r="L4239" s="75">
        <f>K4239*'THAM_SO_MOI'!$C$53*'THAM_SO_MOI'!$C$17/'THAM_SO_MOI'!$C$26</f>
        <v>3769.9748668130105</v>
      </c>
      <c r="M4239" s="75">
        <f>'THAM_SO_MOI'!$C$15*'THAM_SO_MOI'!$C$16*F4239^2</f>
        <v>1511.3223901620224</v>
      </c>
      <c r="N4239" s="75">
        <f>'THAM_SO_MOI'!$C$12*I4239</f>
        <v>1519.3914459238251</v>
      </c>
      <c r="O4239" s="75">
        <f>M4239+N4239</f>
        <v>3030.7138360858476</v>
      </c>
      <c r="P4239" s="75">
        <f>(MIN(L4239,'THAM_SO_MOI'!$C$41)-O4239)/('THAM_SO_MOI'!$C$11*H4239)</f>
        <v>0.08750722428115094</v>
      </c>
      <c r="Q4239" s="75">
        <f>IF(P4239&gt;0,1/P4239,NA())</f>
        <v>11.42762792689106</v>
      </c>
      <c r="R4239" s="75">
        <f>F4239-F4238</f>
        <v>0.0035868055555532408</v>
      </c>
      <c r="S4239" s="75">
        <f>0.5*(Q4238+Q4239)*R4239</f>
        <v>0.04097146040865976</v>
      </c>
      <c r="T4239" s="75">
        <f>0.5*(F4238*Q4238+F4239*Q4239)*R4239</f>
        <v>0.931242559570135</v>
      </c>
      <c r="U4239" s="76">
        <f>U4238+S4239</f>
        <v>67.55057448808056</v>
      </c>
      <c r="V4239" s="76">
        <f>V4238+T4239</f>
        <v>1060.6755708310213</v>
      </c>
    </row>
    <row r="4240" spans="1:22" ht="19" customHeight="1">
      <c r="A4240" s="68" t="s">
        <v>378</v>
      </c>
      <c r="B4240" s="74">
        <v>5</v>
      </c>
      <c r="C4240" s="68" t="s">
        <v>363</v>
      </c>
      <c r="D4240" s="68" t="s">
        <v>365</v>
      </c>
      <c r="E4240" s="75">
        <f>60*F4240*'THAM_SO_MOI'!$C$53/(2*PI()*'THAM_SO_MOI'!$C$26)</f>
        <v>2239.940026315789</v>
      </c>
      <c r="F4240" s="75">
        <f>'THAM_SO_MOI'!$C$14+('THAM_SO_MOI'!$C$37-'THAM_SO_MOI'!$C$14)*149/'THAM_SO_MOI'!$C$42</f>
        <v>22.734434027777777</v>
      </c>
      <c r="G4240" s="75">
        <f>3.6*F4240</f>
        <v>81.8439625</v>
      </c>
      <c r="H4240" s="75">
        <f>'THAM_SO_MOI'!$D$53</f>
        <v>1.1</v>
      </c>
      <c r="I4240" s="75">
        <f>IF(F4240&gt;='THAM_SO_MOI'!$C$14,'THAM_SO_MOI'!$C$13*(1+F4240^2/1500),'THAM_SO_MOI'!$C$13)</f>
        <v>0.0201685449056338</v>
      </c>
      <c r="J4240" s="75">
        <f>'THAM_SO_MOI'!$C$40*('THAM_SO_MOI'!$C$23*(E4240/'THAM_SO_MOI'!$C$22)+'THAM_SO_MOI'!$C$24*(E4240/'THAM_SO_MOI'!$C$22)^2-'THAM_SO_MOI'!$C$25*(E4240/'THAM_SO_MOI'!$C$22)^3)</f>
        <v>100.81361962117016</v>
      </c>
      <c r="K4240" s="75">
        <f>'THAM_SO_MOI'!$C$31*J4240/E4240</f>
        <v>429.8690087063406</v>
      </c>
      <c r="L4240" s="75">
        <f>K4240*'THAM_SO_MOI'!$C$53*'THAM_SO_MOI'!$C$17/'THAM_SO_MOI'!$C$26</f>
        <v>3769.952888418522</v>
      </c>
      <c r="M4240" s="75">
        <f>'THAM_SO_MOI'!$C$15*'THAM_SO_MOI'!$C$16*F4240^2</f>
        <v>1511.7993848978867</v>
      </c>
      <c r="N4240" s="75">
        <f>'THAM_SO_MOI'!$C$12*I4240</f>
        <v>1519.5143080263751</v>
      </c>
      <c r="O4240" s="75">
        <f>M4240+N4240</f>
        <v>3031.313692924262</v>
      </c>
      <c r="P4240" s="75">
        <f>(MIN(L4240,'THAM_SO_MOI'!$C$41)-O4240)/('THAM_SO_MOI'!$C$11*H4240)</f>
        <v>0.08743361689089253</v>
      </c>
      <c r="Q4240" s="75">
        <f>IF(P4240&gt;0,1/P4240,NA())</f>
        <v>11.437248458426343</v>
      </c>
      <c r="R4240" s="75">
        <f>F4240-F4239</f>
        <v>0.0035868055555567935</v>
      </c>
      <c r="S4240" s="75">
        <f>0.5*(Q4239+Q4240)*R4240</f>
        <v>0.041005932822987895</v>
      </c>
      <c r="T4240" s="75">
        <f>0.5*(F4239*Q4239+F4240*Q4240)*R4240</f>
        <v>0.9321731653003288</v>
      </c>
      <c r="U4240" s="76">
        <f>U4239+S4240</f>
        <v>67.59158042090354</v>
      </c>
      <c r="V4240" s="76">
        <f>V4239+T4240</f>
        <v>1061.6077439963217</v>
      </c>
    </row>
    <row r="4241" spans="1:22" ht="19" customHeight="1">
      <c r="A4241" s="68" t="s">
        <v>378</v>
      </c>
      <c r="B4241" s="74">
        <v>5</v>
      </c>
      <c r="C4241" s="68" t="s">
        <v>363</v>
      </c>
      <c r="D4241" s="68" t="s">
        <v>365</v>
      </c>
      <c r="E4241" s="75">
        <f>60*F4241*'THAM_SO_MOI'!$C$53/(2*PI()*'THAM_SO_MOI'!$C$26)</f>
        <v>2240.2934210526314</v>
      </c>
      <c r="F4241" s="75">
        <f>'THAM_SO_MOI'!$C$14+('THAM_SO_MOI'!$C$37-'THAM_SO_MOI'!$C$14)*150/'THAM_SO_MOI'!$C$42</f>
        <v>22.738020833333334</v>
      </c>
      <c r="G4241" s="75">
        <f>3.6*F4241</f>
        <v>81.856875</v>
      </c>
      <c r="H4241" s="75">
        <f>'THAM_SO_MOI'!$D$53</f>
        <v>1.1</v>
      </c>
      <c r="I4241" s="75">
        <f>IF(F4241&gt;='THAM_SO_MOI'!$C$14,'THAM_SO_MOI'!$C$13*(1+F4241^2/1500),'THAM_SO_MOI'!$C$13)</f>
        <v>0.020170175914171005</v>
      </c>
      <c r="J4241" s="75">
        <f>'THAM_SO_MOI'!$C$40*('THAM_SO_MOI'!$C$23*(E4241/'THAM_SO_MOI'!$C$22)+'THAM_SO_MOI'!$C$24*(E4241/'THAM_SO_MOI'!$C$22)^2-'THAM_SO_MOI'!$C$25*(E4241/'THAM_SO_MOI'!$C$22)^3)</f>
        <v>100.82893429236647</v>
      </c>
      <c r="K4241" s="75">
        <f>'THAM_SO_MOI'!$C$31*J4241/E4241</f>
        <v>429.866490503163</v>
      </c>
      <c r="L4241" s="75">
        <f>K4241*'THAM_SO_MOI'!$C$53*'THAM_SO_MOI'!$C$17/'THAM_SO_MOI'!$C$26</f>
        <v>3769.9308037668006</v>
      </c>
      <c r="M4241" s="75">
        <f>'THAM_SO_MOI'!$C$15*'THAM_SO_MOI'!$C$16*F4241^2</f>
        <v>1512.27645489502</v>
      </c>
      <c r="N4241" s="75">
        <f>'THAM_SO_MOI'!$C$12*I4241</f>
        <v>1519.637189514375</v>
      </c>
      <c r="O4241" s="75">
        <f>M4241+N4241</f>
        <v>3031.9136444093947</v>
      </c>
      <c r="P4241" s="75">
        <f>(MIN(L4241,'THAM_SO_MOI'!$C$41)-O4241)/('THAM_SO_MOI'!$C$11*H4241)</f>
        <v>0.08735998571938988</v>
      </c>
      <c r="Q4241" s="75">
        <f>IF(P4241&gt;0,1/P4241,NA())</f>
        <v>11.446888318092366</v>
      </c>
      <c r="R4241" s="75">
        <f>F4241-F4240</f>
        <v>0.0035868055555567935</v>
      </c>
      <c r="S4241" s="75">
        <f>0.5*(Q4240+Q4241)*R4241</f>
        <v>0.04104047446206942</v>
      </c>
      <c r="T4241" s="75">
        <f>0.5*(F4240*Q4240+F4241*Q4241)*R4241</f>
        <v>0.9331055922321357</v>
      </c>
      <c r="U4241" s="76">
        <f>U4240+S4241</f>
        <v>67.6326208953656</v>
      </c>
      <c r="V4241" s="76">
        <f>V4240+T4241</f>
        <v>1062.5408495885538</v>
      </c>
    </row>
    <row r="4242" spans="1:22" ht="19" customHeight="1">
      <c r="A4242" s="68" t="s">
        <v>378</v>
      </c>
      <c r="B4242" s="74">
        <v>5</v>
      </c>
      <c r="C4242" s="68" t="s">
        <v>363</v>
      </c>
      <c r="D4242" s="68" t="s">
        <v>365</v>
      </c>
      <c r="E4242" s="75">
        <f>60*F4242*'THAM_SO_MOI'!$C$53/(2*PI()*'THAM_SO_MOI'!$C$26)</f>
        <v>2240.6468157894733</v>
      </c>
      <c r="F4242" s="75">
        <f>'THAM_SO_MOI'!$C$14+('THAM_SO_MOI'!$C$37-'THAM_SO_MOI'!$C$14)*151/'THAM_SO_MOI'!$C$42</f>
        <v>22.741607638888887</v>
      </c>
      <c r="G4242" s="75">
        <f>3.6*F4242</f>
        <v>81.8697875</v>
      </c>
      <c r="H4242" s="75">
        <f>'THAM_SO_MOI'!$D$53</f>
        <v>1.1</v>
      </c>
      <c r="I4242" s="75">
        <f>IF(F4242&gt;='THAM_SO_MOI'!$C$14,'THAM_SO_MOI'!$C$13*(1+F4242^2/1500),'THAM_SO_MOI'!$C$13)</f>
        <v>0.020171807180011693</v>
      </c>
      <c r="J4242" s="75">
        <f>'THAM_SO_MOI'!$C$40*('THAM_SO_MOI'!$C$23*(E4242/'THAM_SO_MOI'!$C$22)+'THAM_SO_MOI'!$C$24*(E4242/'THAM_SO_MOI'!$C$22)^2-'THAM_SO_MOI'!$C$25*(E4242/'THAM_SO_MOI'!$C$22)^3)</f>
        <v>100.84424593485548</v>
      </c>
      <c r="K4242" s="75">
        <f>'THAM_SO_MOI'!$C$31*J4242/E4242</f>
        <v>429.8639601840011</v>
      </c>
      <c r="L4242" s="75">
        <f>K4242*'THAM_SO_MOI'!$C$53*'THAM_SO_MOI'!$C$17/'THAM_SO_MOI'!$C$26</f>
        <v>3769.908612857849</v>
      </c>
      <c r="M4242" s="75">
        <f>'THAM_SO_MOI'!$C$15*'THAM_SO_MOI'!$C$16*F4242^2</f>
        <v>1512.7536001534204</v>
      </c>
      <c r="N4242" s="75">
        <f>'THAM_SO_MOI'!$C$12*I4242</f>
        <v>1519.7600903878251</v>
      </c>
      <c r="O4242" s="75">
        <f>M4242+N4242</f>
        <v>3032.5136905412455</v>
      </c>
      <c r="P4242" s="75">
        <f>(MIN(L4242,'THAM_SO_MOI'!$C$41)-O4242)/('THAM_SO_MOI'!$C$11*H4242)</f>
        <v>0.08728633076664342</v>
      </c>
      <c r="Q4242" s="75">
        <f>IF(P4242&gt;0,1/P4242,NA())</f>
        <v>11.4565475626815</v>
      </c>
      <c r="R4242" s="75">
        <f>F4242-F4241</f>
        <v>0.0035868055555532408</v>
      </c>
      <c r="S4242" s="75">
        <f>0.5*(Q4241+Q4242)*R4242</f>
        <v>0.04107508552920857</v>
      </c>
      <c r="T4242" s="75">
        <f>0.5*(F4241*Q4241+F4242*Q4242)*R4242</f>
        <v>0.9340398457335443</v>
      </c>
      <c r="U4242" s="76">
        <f>U4241+S4242</f>
        <v>67.67369598089482</v>
      </c>
      <c r="V4242" s="76">
        <f>V4241+T4242</f>
        <v>1063.4748894342874</v>
      </c>
    </row>
    <row r="4243" spans="1:22" ht="19" customHeight="1">
      <c r="A4243" s="68" t="s">
        <v>378</v>
      </c>
      <c r="B4243" s="74">
        <v>5</v>
      </c>
      <c r="C4243" s="68" t="s">
        <v>363</v>
      </c>
      <c r="D4243" s="68" t="s">
        <v>365</v>
      </c>
      <c r="E4243" s="75">
        <f>60*F4243*'THAM_SO_MOI'!$C$53/(2*PI()*'THAM_SO_MOI'!$C$26)</f>
        <v>2241.000210526315</v>
      </c>
      <c r="F4243" s="75">
        <f>'THAM_SO_MOI'!$C$14+('THAM_SO_MOI'!$C$37-'THAM_SO_MOI'!$C$14)*152/'THAM_SO_MOI'!$C$42</f>
        <v>22.745194444444444</v>
      </c>
      <c r="G4243" s="75">
        <f>3.6*F4243</f>
        <v>81.8827</v>
      </c>
      <c r="H4243" s="75">
        <f>'THAM_SO_MOI'!$D$53</f>
        <v>1.1</v>
      </c>
      <c r="I4243" s="75">
        <f>IF(F4243&gt;='THAM_SO_MOI'!$C$14,'THAM_SO_MOI'!$C$13*(1+F4243^2/1500),'THAM_SO_MOI'!$C$13)</f>
        <v>0.020173438703155865</v>
      </c>
      <c r="J4243" s="75">
        <f>'THAM_SO_MOI'!$C$40*('THAM_SO_MOI'!$C$23*(E4243/'THAM_SO_MOI'!$C$22)+'THAM_SO_MOI'!$C$24*(E4243/'THAM_SO_MOI'!$C$22)^2-'THAM_SO_MOI'!$C$25*(E4243/'THAM_SO_MOI'!$C$22)^3)</f>
        <v>100.85955454729225</v>
      </c>
      <c r="K4243" s="75">
        <f>'THAM_SO_MOI'!$C$31*J4243/E4243</f>
        <v>429.8614177488546</v>
      </c>
      <c r="L4243" s="75">
        <f>K4243*'THAM_SO_MOI'!$C$53*'THAM_SO_MOI'!$C$17/'THAM_SO_MOI'!$C$26</f>
        <v>3769.8863156916664</v>
      </c>
      <c r="M4243" s="75">
        <f>'THAM_SO_MOI'!$C$15*'THAM_SO_MOI'!$C$16*F4243^2</f>
        <v>1513.2308206730904</v>
      </c>
      <c r="N4243" s="75">
        <f>'THAM_SO_MOI'!$C$12*I4243</f>
        <v>1519.8830106467256</v>
      </c>
      <c r="O4243" s="75">
        <f>M4243+N4243</f>
        <v>3033.113831319816</v>
      </c>
      <c r="P4243" s="75">
        <f>(MIN(L4243,'THAM_SO_MOI'!$C$41)-O4243)/('THAM_SO_MOI'!$C$11*H4243)</f>
        <v>0.08721265203265274</v>
      </c>
      <c r="Q4243" s="75">
        <f>IF(P4243&gt;0,1/P4243,NA())</f>
        <v>11.466226249209763</v>
      </c>
      <c r="R4243" s="75">
        <f>F4243-F4242</f>
        <v>0.0035868055555567935</v>
      </c>
      <c r="S4243" s="75">
        <f>0.5*(Q4242+Q4243)*R4243</f>
        <v>0.041109766228631675</v>
      </c>
      <c r="T4243" s="75">
        <f>0.5*(F4242*Q4242+F4243*Q4243)*R4243</f>
        <v>0.9349759311964315</v>
      </c>
      <c r="U4243" s="76">
        <f>U4242+S4243</f>
        <v>67.71480574712345</v>
      </c>
      <c r="V4243" s="76">
        <f>V4242+T4243</f>
        <v>1064.409865365484</v>
      </c>
    </row>
    <row r="4244" spans="1:22" ht="19" customHeight="1">
      <c r="A4244" s="68" t="s">
        <v>378</v>
      </c>
      <c r="B4244" s="74">
        <v>5</v>
      </c>
      <c r="C4244" s="68" t="s">
        <v>363</v>
      </c>
      <c r="D4244" s="68" t="s">
        <v>365</v>
      </c>
      <c r="E4244" s="75">
        <f>60*F4244*'THAM_SO_MOI'!$C$53/(2*PI()*'THAM_SO_MOI'!$C$26)</f>
        <v>2241.3536052631575</v>
      </c>
      <c r="F4244" s="75">
        <f>'THAM_SO_MOI'!$C$14+('THAM_SO_MOI'!$C$37-'THAM_SO_MOI'!$C$14)*153/'THAM_SO_MOI'!$C$42</f>
        <v>22.74878125</v>
      </c>
      <c r="G4244" s="75">
        <f>3.6*F4244</f>
        <v>81.8956125</v>
      </c>
      <c r="H4244" s="75">
        <f>'THAM_SO_MOI'!$D$53</f>
        <v>1.1</v>
      </c>
      <c r="I4244" s="75">
        <f>IF(F4244&gt;='THAM_SO_MOI'!$C$14,'THAM_SO_MOI'!$C$13*(1+F4244^2/1500),'THAM_SO_MOI'!$C$13)</f>
        <v>0.020175070483603515</v>
      </c>
      <c r="J4244" s="75">
        <f>'THAM_SO_MOI'!$C$40*('THAM_SO_MOI'!$C$23*(E4244/'THAM_SO_MOI'!$C$22)+'THAM_SO_MOI'!$C$24*(E4244/'THAM_SO_MOI'!$C$22)^2-'THAM_SO_MOI'!$C$25*(E4244/'THAM_SO_MOI'!$C$22)^3)</f>
        <v>100.87486012833197</v>
      </c>
      <c r="K4244" s="75">
        <f>'THAM_SO_MOI'!$C$31*J4244/E4244</f>
        <v>429.85886319772374</v>
      </c>
      <c r="L4244" s="75">
        <f>K4244*'THAM_SO_MOI'!$C$53*'THAM_SO_MOI'!$C$17/'THAM_SO_MOI'!$C$26</f>
        <v>3769.863912268253</v>
      </c>
      <c r="M4244" s="75">
        <f>'THAM_SO_MOI'!$C$15*'THAM_SO_MOI'!$C$16*F4244^2</f>
        <v>1513.7081164540284</v>
      </c>
      <c r="N4244" s="75">
        <f>'THAM_SO_MOI'!$C$12*I4244</f>
        <v>1520.0059502910758</v>
      </c>
      <c r="O4244" s="75">
        <f>M4244+N4244</f>
        <v>3033.714066745104</v>
      </c>
      <c r="P4244" s="75">
        <f>(MIN(L4244,'THAM_SO_MOI'!$C$41)-O4244)/('THAM_SO_MOI'!$C$11*H4244)</f>
        <v>0.0871389495174182</v>
      </c>
      <c r="Q4244" s="75">
        <f>IF(P4244&gt;0,1/P4244,NA())</f>
        <v>11.475924434917706</v>
      </c>
      <c r="R4244" s="75">
        <f>F4244-F4243</f>
        <v>0.0035868055555567935</v>
      </c>
      <c r="S4244" s="75">
        <f>0.5*(Q4243+Q4244)*R4244</f>
        <v>0.04114451676512475</v>
      </c>
      <c r="T4244" s="75">
        <f>0.5*(F4243*Q4243+F4244*Q4244)*R4244</f>
        <v>0.9359138540283354</v>
      </c>
      <c r="U4244" s="76">
        <f>U4243+S4244</f>
        <v>67.75595026388858</v>
      </c>
      <c r="V4244" s="76">
        <f>V4243+T4244</f>
        <v>1065.3457792195122</v>
      </c>
    </row>
    <row r="4245" spans="1:22" ht="19" customHeight="1">
      <c r="A4245" s="68" t="s">
        <v>378</v>
      </c>
      <c r="B4245" s="74">
        <v>5</v>
      </c>
      <c r="C4245" s="68" t="s">
        <v>363</v>
      </c>
      <c r="D4245" s="68" t="s">
        <v>365</v>
      </c>
      <c r="E4245" s="75">
        <f>60*F4245*'THAM_SO_MOI'!$C$53/(2*PI()*'THAM_SO_MOI'!$C$26)</f>
        <v>2241.706999999999</v>
      </c>
      <c r="F4245" s="75">
        <f>'THAM_SO_MOI'!$C$14+('THAM_SO_MOI'!$C$37-'THAM_SO_MOI'!$C$14)*154/'THAM_SO_MOI'!$C$42</f>
        <v>22.752368055555554</v>
      </c>
      <c r="G4245" s="75">
        <f>3.6*F4245</f>
        <v>81.908525</v>
      </c>
      <c r="H4245" s="75">
        <f>'THAM_SO_MOI'!$D$53</f>
        <v>1.1</v>
      </c>
      <c r="I4245" s="75">
        <f>IF(F4245&gt;='THAM_SO_MOI'!$C$14,'THAM_SO_MOI'!$C$13*(1+F4245^2/1500),'THAM_SO_MOI'!$C$13)</f>
        <v>0.020176702521354648</v>
      </c>
      <c r="J4245" s="75">
        <f>'THAM_SO_MOI'!$C$40*('THAM_SO_MOI'!$C$23*(E4245/'THAM_SO_MOI'!$C$22)+'THAM_SO_MOI'!$C$24*(E4245/'THAM_SO_MOI'!$C$22)^2-'THAM_SO_MOI'!$C$25*(E4245/'THAM_SO_MOI'!$C$22)^3)</f>
        <v>100.89016267662973</v>
      </c>
      <c r="K4245" s="75">
        <f>'THAM_SO_MOI'!$C$31*J4245/E4245</f>
        <v>429.85629653060863</v>
      </c>
      <c r="L4245" s="75">
        <f>K4245*'THAM_SO_MOI'!$C$53*'THAM_SO_MOI'!$C$17/'THAM_SO_MOI'!$C$26</f>
        <v>3769.8414025876104</v>
      </c>
      <c r="M4245" s="75">
        <f>'THAM_SO_MOI'!$C$15*'THAM_SO_MOI'!$C$16*F4245^2</f>
        <v>1514.1854874962346</v>
      </c>
      <c r="N4245" s="75">
        <f>'THAM_SO_MOI'!$C$12*I4245</f>
        <v>1520.1289093208763</v>
      </c>
      <c r="O4245" s="75">
        <f>M4245+N4245</f>
        <v>3034.3143968171107</v>
      </c>
      <c r="P4245" s="75">
        <f>(MIN(L4245,'THAM_SO_MOI'!$C$41)-O4245)/('THAM_SO_MOI'!$C$11*H4245)</f>
        <v>0.0870652232209398</v>
      </c>
      <c r="Q4245" s="75">
        <f>IF(P4245&gt;0,1/P4245,NA())</f>
        <v>11.48564217727168</v>
      </c>
      <c r="R4245" s="75">
        <f>F4245-F4244</f>
        <v>0.0035868055555532408</v>
      </c>
      <c r="S4245" s="75">
        <f>0.5*(Q4244+Q4245)*R4245</f>
        <v>0.04117933734440335</v>
      </c>
      <c r="T4245" s="75">
        <f>0.5*(F4244*Q4244+F4245*Q4245)*R4245</f>
        <v>0.93685361966088</v>
      </c>
      <c r="U4245" s="76">
        <f>U4244+S4245</f>
        <v>67.79712960123298</v>
      </c>
      <c r="V4245" s="76">
        <f>V4244+T4245</f>
        <v>1066.2826328391732</v>
      </c>
    </row>
    <row r="4246" spans="1:22" ht="19" customHeight="1">
      <c r="A4246" s="68" t="s">
        <v>378</v>
      </c>
      <c r="B4246" s="74">
        <v>5</v>
      </c>
      <c r="C4246" s="68" t="s">
        <v>363</v>
      </c>
      <c r="D4246" s="68" t="s">
        <v>365</v>
      </c>
      <c r="E4246" s="75">
        <f>60*F4246*'THAM_SO_MOI'!$C$53/(2*PI()*'THAM_SO_MOI'!$C$26)</f>
        <v>2242.0603947368418</v>
      </c>
      <c r="F4246" s="75">
        <f>'THAM_SO_MOI'!$C$14+('THAM_SO_MOI'!$C$37-'THAM_SO_MOI'!$C$14)*155/'THAM_SO_MOI'!$C$42</f>
        <v>22.75595486111111</v>
      </c>
      <c r="G4246" s="75">
        <f>3.6*F4246</f>
        <v>81.9214375</v>
      </c>
      <c r="H4246" s="75">
        <f>'THAM_SO_MOI'!$D$53</f>
        <v>1.1</v>
      </c>
      <c r="I4246" s="75">
        <f>IF(F4246&gt;='THAM_SO_MOI'!$C$14,'THAM_SO_MOI'!$C$13*(1+F4246^2/1500),'THAM_SO_MOI'!$C$13)</f>
        <v>0.020178334816409262</v>
      </c>
      <c r="J4246" s="75">
        <f>'THAM_SO_MOI'!$C$40*('THAM_SO_MOI'!$C$23*(E4246/'THAM_SO_MOI'!$C$22)+'THAM_SO_MOI'!$C$24*(E4246/'THAM_SO_MOI'!$C$22)^2-'THAM_SO_MOI'!$C$25*(E4246/'THAM_SO_MOI'!$C$22)^3)</f>
        <v>100.90546219084057</v>
      </c>
      <c r="K4246" s="75">
        <f>'THAM_SO_MOI'!$C$31*J4246/E4246</f>
        <v>429.85371774750865</v>
      </c>
      <c r="L4246" s="75">
        <f>K4246*'THAM_SO_MOI'!$C$53*'THAM_SO_MOI'!$C$17/'THAM_SO_MOI'!$C$26</f>
        <v>3769.8187866497324</v>
      </c>
      <c r="M4246" s="75">
        <f>'THAM_SO_MOI'!$C$15*'THAM_SO_MOI'!$C$16*F4246^2</f>
        <v>1514.6629337997097</v>
      </c>
      <c r="N4246" s="75">
        <f>'THAM_SO_MOI'!$C$12*I4246</f>
        <v>1520.251887736127</v>
      </c>
      <c r="O4246" s="75">
        <f>M4246+N4246</f>
        <v>3034.9148215358364</v>
      </c>
      <c r="P4246" s="75">
        <f>(MIN(L4246,'THAM_SO_MOI'!$C$41)-O4246)/('THAM_SO_MOI'!$C$11*H4246)</f>
        <v>0.08699147314321683</v>
      </c>
      <c r="Q4246" s="75">
        <f>IF(P4246&gt;0,1/P4246,NA())</f>
        <v>11.495379533964993</v>
      </c>
      <c r="R4246" s="75">
        <f>F4246-F4245</f>
        <v>0.0035868055555567935</v>
      </c>
      <c r="S4246" s="75">
        <f>0.5*(Q4245+Q4246)*R4246</f>
        <v>0.04121422817311749</v>
      </c>
      <c r="T4246" s="75">
        <f>0.5*(F4245*Q4245+F4246*Q4246)*R4246</f>
        <v>0.9377952335499031</v>
      </c>
      <c r="U4246" s="76">
        <f>U4245+S4246</f>
        <v>67.8383438294061</v>
      </c>
      <c r="V4246" s="76">
        <f>V4245+T4246</f>
        <v>1067.220428072723</v>
      </c>
    </row>
    <row r="4247" spans="1:22" ht="19" customHeight="1">
      <c r="A4247" s="68" t="s">
        <v>378</v>
      </c>
      <c r="B4247" s="74">
        <v>5</v>
      </c>
      <c r="C4247" s="68" t="s">
        <v>363</v>
      </c>
      <c r="D4247" s="68" t="s">
        <v>365</v>
      </c>
      <c r="E4247" s="75">
        <f>60*F4247*'THAM_SO_MOI'!$C$53/(2*PI()*'THAM_SO_MOI'!$C$26)</f>
        <v>2242.4137894736837</v>
      </c>
      <c r="F4247" s="75">
        <f>'THAM_SO_MOI'!$C$14+('THAM_SO_MOI'!$C$37-'THAM_SO_MOI'!$C$14)*156/'THAM_SO_MOI'!$C$42</f>
        <v>22.759541666666667</v>
      </c>
      <c r="G4247" s="75">
        <f>3.6*F4247</f>
        <v>81.93435000000001</v>
      </c>
      <c r="H4247" s="75">
        <f>'THAM_SO_MOI'!$D$53</f>
        <v>1.1</v>
      </c>
      <c r="I4247" s="75">
        <f>IF(F4247&gt;='THAM_SO_MOI'!$C$14,'THAM_SO_MOI'!$C$13*(1+F4247^2/1500),'THAM_SO_MOI'!$C$13)</f>
        <v>0.02017996736876736</v>
      </c>
      <c r="J4247" s="75">
        <f>'THAM_SO_MOI'!$C$40*('THAM_SO_MOI'!$C$23*(E4247/'THAM_SO_MOI'!$C$22)+'THAM_SO_MOI'!$C$24*(E4247/'THAM_SO_MOI'!$C$22)^2-'THAM_SO_MOI'!$C$25*(E4247/'THAM_SO_MOI'!$C$22)^3)</f>
        <v>100.92075866961967</v>
      </c>
      <c r="K4247" s="75">
        <f>'THAM_SO_MOI'!$C$31*J4247/E4247</f>
        <v>429.8511268484245</v>
      </c>
      <c r="L4247" s="75">
        <f>K4247*'THAM_SO_MOI'!$C$53*'THAM_SO_MOI'!$C$17/'THAM_SO_MOI'!$C$26</f>
        <v>3769.7960644546265</v>
      </c>
      <c r="M4247" s="75">
        <f>'THAM_SO_MOI'!$C$15*'THAM_SO_MOI'!$C$16*F4247^2</f>
        <v>1515.1404553644534</v>
      </c>
      <c r="N4247" s="75">
        <f>'THAM_SO_MOI'!$C$12*I4247</f>
        <v>1520.374885536828</v>
      </c>
      <c r="O4247" s="75">
        <f>M4247+N4247</f>
        <v>3035.5153409012814</v>
      </c>
      <c r="P4247" s="75">
        <f>(MIN(L4247,'THAM_SO_MOI'!$C$41)-O4247)/('THAM_SO_MOI'!$C$11*H4247)</f>
        <v>0.08691769928425012</v>
      </c>
      <c r="Q4247" s="75">
        <f>IF(P4247&gt;0,1/P4247,NA())</f>
        <v>11.505136562918716</v>
      </c>
      <c r="R4247" s="75">
        <f>F4247-F4246</f>
        <v>0.0035868055555567935</v>
      </c>
      <c r="S4247" s="75">
        <f>0.5*(Q4246+Q4247)*R4247</f>
        <v>0.04124918945848797</v>
      </c>
      <c r="T4247" s="75">
        <f>0.5*(F4246*Q4246+F4247*Q4247)*R4247</f>
        <v>0.9387387011671975</v>
      </c>
      <c r="U4247" s="76">
        <f>U4246+S4247</f>
        <v>67.87959301886458</v>
      </c>
      <c r="V4247" s="76">
        <f>V4246+T4247</f>
        <v>1068.1591667738903</v>
      </c>
    </row>
    <row r="4248" spans="1:22" ht="19" customHeight="1">
      <c r="A4248" s="68" t="s">
        <v>378</v>
      </c>
      <c r="B4248" s="74">
        <v>5</v>
      </c>
      <c r="C4248" s="68" t="s">
        <v>363</v>
      </c>
      <c r="D4248" s="68" t="s">
        <v>365</v>
      </c>
      <c r="E4248" s="75">
        <f>60*F4248*'THAM_SO_MOI'!$C$53/(2*PI()*'THAM_SO_MOI'!$C$26)</f>
        <v>2242.767184210526</v>
      </c>
      <c r="F4248" s="75">
        <f>'THAM_SO_MOI'!$C$14+('THAM_SO_MOI'!$C$37-'THAM_SO_MOI'!$C$14)*157/'THAM_SO_MOI'!$C$42</f>
        <v>22.76312847222222</v>
      </c>
      <c r="G4248" s="75">
        <f>3.6*F4248</f>
        <v>81.9472625</v>
      </c>
      <c r="H4248" s="75">
        <f>'THAM_SO_MOI'!$D$53</f>
        <v>1.1</v>
      </c>
      <c r="I4248" s="75">
        <f>IF(F4248&gt;='THAM_SO_MOI'!$C$14,'THAM_SO_MOI'!$C$13*(1+F4248^2/1500),'THAM_SO_MOI'!$C$13)</f>
        <v>0.020181600178428936</v>
      </c>
      <c r="J4248" s="75">
        <f>'THAM_SO_MOI'!$C$40*('THAM_SO_MOI'!$C$23*(E4248/'THAM_SO_MOI'!$C$22)+'THAM_SO_MOI'!$C$24*(E4248/'THAM_SO_MOI'!$C$22)^2-'THAM_SO_MOI'!$C$25*(E4248/'THAM_SO_MOI'!$C$22)^3)</f>
        <v>100.93605211162213</v>
      </c>
      <c r="K4248" s="75">
        <f>'THAM_SO_MOI'!$C$31*J4248/E4248</f>
        <v>429.8485238333558</v>
      </c>
      <c r="L4248" s="75">
        <f>K4248*'THAM_SO_MOI'!$C$53*'THAM_SO_MOI'!$C$17/'THAM_SO_MOI'!$C$26</f>
        <v>3769.7732360022887</v>
      </c>
      <c r="M4248" s="75">
        <f>'THAM_SO_MOI'!$C$15*'THAM_SO_MOI'!$C$16*F4248^2</f>
        <v>1515.618052190465</v>
      </c>
      <c r="N4248" s="75">
        <f>'THAM_SO_MOI'!$C$12*I4248</f>
        <v>1520.4979027229788</v>
      </c>
      <c r="O4248" s="75">
        <f>M4248+N4248</f>
        <v>3036.1159549134436</v>
      </c>
      <c r="P4248" s="75">
        <f>(MIN(L4248,'THAM_SO_MOI'!$C$41)-O4248)/('THAM_SO_MOI'!$C$11*H4248)</f>
        <v>0.08684390164403943</v>
      </c>
      <c r="Q4248" s="75">
        <f>IF(P4248&gt;0,1/P4248,NA())</f>
        <v>11.514913322283181</v>
      </c>
      <c r="R4248" s="75">
        <f>F4248-F4247</f>
        <v>0.0035868055555532408</v>
      </c>
      <c r="S4248" s="75">
        <f>0.5*(Q4247+Q4248)*R4248</f>
        <v>0.041284221408677456</v>
      </c>
      <c r="T4248" s="75">
        <f>0.5*(F4247*Q4247+F4248*Q4248)*R4248</f>
        <v>0.9396840280089671</v>
      </c>
      <c r="U4248" s="76">
        <f>U4247+S4248</f>
        <v>67.92087724027326</v>
      </c>
      <c r="V4248" s="76">
        <f>V4247+T4248</f>
        <v>1069.0988508018993</v>
      </c>
    </row>
    <row r="4249" spans="1:22" ht="19" customHeight="1">
      <c r="A4249" s="68" t="s">
        <v>378</v>
      </c>
      <c r="B4249" s="74">
        <v>5</v>
      </c>
      <c r="C4249" s="68" t="s">
        <v>363</v>
      </c>
      <c r="D4249" s="68" t="s">
        <v>365</v>
      </c>
      <c r="E4249" s="75">
        <f>60*F4249*'THAM_SO_MOI'!$C$53/(2*PI()*'THAM_SO_MOI'!$C$26)</f>
        <v>2243.120578947368</v>
      </c>
      <c r="F4249" s="75">
        <f>'THAM_SO_MOI'!$C$14+('THAM_SO_MOI'!$C$37-'THAM_SO_MOI'!$C$14)*158/'THAM_SO_MOI'!$C$42</f>
        <v>22.766715277777777</v>
      </c>
      <c r="G4249" s="75">
        <f>3.6*F4249</f>
        <v>81.960175</v>
      </c>
      <c r="H4249" s="75">
        <f>'THAM_SO_MOI'!$D$53</f>
        <v>1.1</v>
      </c>
      <c r="I4249" s="75">
        <f>IF(F4249&gt;='THAM_SO_MOI'!$C$14,'THAM_SO_MOI'!$C$13*(1+F4249^2/1500),'THAM_SO_MOI'!$C$13)</f>
        <v>0.020183233245394002</v>
      </c>
      <c r="J4249" s="75">
        <f>'THAM_SO_MOI'!$C$40*('THAM_SO_MOI'!$C$23*(E4249/'THAM_SO_MOI'!$C$22)+'THAM_SO_MOI'!$C$24*(E4249/'THAM_SO_MOI'!$C$22)^2-'THAM_SO_MOI'!$C$25*(E4249/'THAM_SO_MOI'!$C$22)^3)</f>
        <v>100.95134251550301</v>
      </c>
      <c r="K4249" s="75">
        <f>'THAM_SO_MOI'!$C$31*J4249/E4249</f>
        <v>429.84590870230255</v>
      </c>
      <c r="L4249" s="75">
        <f>K4249*'THAM_SO_MOI'!$C$53*'THAM_SO_MOI'!$C$17/'THAM_SO_MOI'!$C$26</f>
        <v>3769.7503012927186</v>
      </c>
      <c r="M4249" s="75">
        <f>'THAM_SO_MOI'!$C$15*'THAM_SO_MOI'!$C$16*F4249^2</f>
        <v>1516.0957242777454</v>
      </c>
      <c r="N4249" s="75">
        <f>'THAM_SO_MOI'!$C$12*I4249</f>
        <v>1520.6209392945805</v>
      </c>
      <c r="O4249" s="75">
        <f>M4249+N4249</f>
        <v>3036.716663572326</v>
      </c>
      <c r="P4249" s="75">
        <f>(MIN(L4249,'THAM_SO_MOI'!$C$41)-O4249)/('THAM_SO_MOI'!$C$11*H4249)</f>
        <v>0.08677008022258437</v>
      </c>
      <c r="Q4249" s="75">
        <f>IF(P4249&gt;0,1/P4249,NA())</f>
        <v>11.524709870438977</v>
      </c>
      <c r="R4249" s="75">
        <f>F4249-F4248</f>
        <v>0.0035868055555567935</v>
      </c>
      <c r="S4249" s="75">
        <f>0.5*(Q4248+Q4249)*R4249</f>
        <v>0.041319324232795496</v>
      </c>
      <c r="T4249" s="75">
        <f>0.5*(F4248*Q4248+F4249*Q4249)*R4249</f>
        <v>0.940631219595958</v>
      </c>
      <c r="U4249" s="76">
        <f>U4248+S4249</f>
        <v>67.96219656450606</v>
      </c>
      <c r="V4249" s="76">
        <f>V4248+T4249</f>
        <v>1070.0394820214954</v>
      </c>
    </row>
    <row r="4250" spans="1:22" ht="19" customHeight="1">
      <c r="A4250" s="68" t="s">
        <v>378</v>
      </c>
      <c r="B4250" s="74">
        <v>5</v>
      </c>
      <c r="C4250" s="68" t="s">
        <v>363</v>
      </c>
      <c r="D4250" s="68" t="s">
        <v>365</v>
      </c>
      <c r="E4250" s="75">
        <f>60*F4250*'THAM_SO_MOI'!$C$53/(2*PI()*'THAM_SO_MOI'!$C$26)</f>
        <v>2243.4739736842103</v>
      </c>
      <c r="F4250" s="75">
        <f>'THAM_SO_MOI'!$C$14+('THAM_SO_MOI'!$C$37-'THAM_SO_MOI'!$C$14)*159/'THAM_SO_MOI'!$C$42</f>
        <v>22.770302083333334</v>
      </c>
      <c r="G4250" s="75">
        <f>3.6*F4250</f>
        <v>81.9730875</v>
      </c>
      <c r="H4250" s="75">
        <f>'THAM_SO_MOI'!$D$53</f>
        <v>1.1</v>
      </c>
      <c r="I4250" s="75">
        <f>IF(F4250&gt;='THAM_SO_MOI'!$C$14,'THAM_SO_MOI'!$C$13*(1+F4250^2/1500),'THAM_SO_MOI'!$C$13)</f>
        <v>0.020184866569662542</v>
      </c>
      <c r="J4250" s="75">
        <f>'THAM_SO_MOI'!$C$40*('THAM_SO_MOI'!$C$23*(E4250/'THAM_SO_MOI'!$C$22)+'THAM_SO_MOI'!$C$24*(E4250/'THAM_SO_MOI'!$C$22)^2-'THAM_SO_MOI'!$C$25*(E4250/'THAM_SO_MOI'!$C$22)^3)</f>
        <v>100.96662987991748</v>
      </c>
      <c r="K4250" s="75">
        <f>'THAM_SO_MOI'!$C$31*J4250/E4250</f>
        <v>429.84328145526484</v>
      </c>
      <c r="L4250" s="75">
        <f>K4250*'THAM_SO_MOI'!$C$53*'THAM_SO_MOI'!$C$17/'THAM_SO_MOI'!$C$26</f>
        <v>3769.727260325917</v>
      </c>
      <c r="M4250" s="75">
        <f>'THAM_SO_MOI'!$C$15*'THAM_SO_MOI'!$C$16*F4250^2</f>
        <v>1516.5734716262941</v>
      </c>
      <c r="N4250" s="75">
        <f>'THAM_SO_MOI'!$C$12*I4250</f>
        <v>1520.7439952516318</v>
      </c>
      <c r="O4250" s="75">
        <f>M4250+N4250</f>
        <v>3037.3174668779257</v>
      </c>
      <c r="P4250" s="75">
        <f>(MIN(L4250,'THAM_SO_MOI'!$C$41)-O4250)/('THAM_SO_MOI'!$C$11*H4250)</f>
        <v>0.08669623501988533</v>
      </c>
      <c r="Q4250" s="75">
        <f>IF(P4250&gt;0,1/P4250,NA())</f>
        <v>11.534526265997966</v>
      </c>
      <c r="R4250" s="75">
        <f>F4250-F4249</f>
        <v>0.0035868055555567935</v>
      </c>
      <c r="S4250" s="75">
        <f>0.5*(Q4249+Q4250)*R4250</f>
        <v>0.041354498140534</v>
      </c>
      <c r="T4250" s="75">
        <f>0.5*(F4249*Q4249+F4250*Q4250)*R4250</f>
        <v>0.9415802814651762</v>
      </c>
      <c r="U4250" s="76">
        <f>U4249+S4250</f>
        <v>68.0035510626466</v>
      </c>
      <c r="V4250" s="76">
        <f>V4249+T4250</f>
        <v>1070.9810623029605</v>
      </c>
    </row>
    <row r="4251" spans="1:22" ht="19" customHeight="1">
      <c r="A4251" s="68" t="s">
        <v>378</v>
      </c>
      <c r="B4251" s="74">
        <v>5</v>
      </c>
      <c r="C4251" s="68" t="s">
        <v>363</v>
      </c>
      <c r="D4251" s="68" t="s">
        <v>365</v>
      </c>
      <c r="E4251" s="75">
        <f>60*F4251*'THAM_SO_MOI'!$C$53/(2*PI()*'THAM_SO_MOI'!$C$26)</f>
        <v>2243.8273684210517</v>
      </c>
      <c r="F4251" s="75">
        <f>'THAM_SO_MOI'!$C$14+('THAM_SO_MOI'!$C$37-'THAM_SO_MOI'!$C$14)*160/'THAM_SO_MOI'!$C$42</f>
        <v>22.773888888888887</v>
      </c>
      <c r="G4251" s="75">
        <f>3.6*F4251</f>
        <v>81.98599999999999</v>
      </c>
      <c r="H4251" s="75">
        <f>'THAM_SO_MOI'!$D$53</f>
        <v>1.1</v>
      </c>
      <c r="I4251" s="75">
        <f>IF(F4251&gt;='THAM_SO_MOI'!$C$14,'THAM_SO_MOI'!$C$13*(1+F4251^2/1500),'THAM_SO_MOI'!$C$13)</f>
        <v>0.020186500151234566</v>
      </c>
      <c r="J4251" s="75">
        <f>'THAM_SO_MOI'!$C$40*('THAM_SO_MOI'!$C$23*(E4251/'THAM_SO_MOI'!$C$22)+'THAM_SO_MOI'!$C$24*(E4251/'THAM_SO_MOI'!$C$22)^2-'THAM_SO_MOI'!$C$25*(E4251/'THAM_SO_MOI'!$C$22)^3)</f>
        <v>100.9819142035206</v>
      </c>
      <c r="K4251" s="75">
        <f>'THAM_SO_MOI'!$C$31*J4251/E4251</f>
        <v>429.84064209224283</v>
      </c>
      <c r="L4251" s="75">
        <f>K4251*'THAM_SO_MOI'!$C$53*'THAM_SO_MOI'!$C$17/'THAM_SO_MOI'!$C$26</f>
        <v>3769.7041131018864</v>
      </c>
      <c r="M4251" s="75">
        <f>'THAM_SO_MOI'!$C$15*'THAM_SO_MOI'!$C$16*F4251^2</f>
        <v>1517.051294236111</v>
      </c>
      <c r="N4251" s="75">
        <f>'THAM_SO_MOI'!$C$12*I4251</f>
        <v>1520.8670705941333</v>
      </c>
      <c r="O4251" s="75">
        <f>M4251+N4251</f>
        <v>3037.918364830244</v>
      </c>
      <c r="P4251" s="75">
        <f>(MIN(L4251,'THAM_SO_MOI'!$C$41)-O4251)/('THAM_SO_MOI'!$C$11*H4251)</f>
        <v>0.08662236603594246</v>
      </c>
      <c r="Q4251" s="75">
        <f>IF(P4251&gt;0,1/P4251,NA())</f>
        <v>11.54436256780457</v>
      </c>
      <c r="R4251" s="75">
        <f>F4251-F4250</f>
        <v>0.0035868055555532408</v>
      </c>
      <c r="S4251" s="75">
        <f>0.5*(Q4250+Q4251)*R4251</f>
        <v>0.041389743342539295</v>
      </c>
      <c r="T4251" s="75">
        <f>0.5*(F4250*Q4250+F4251*Q4251)*R4251</f>
        <v>0.9425312191783703</v>
      </c>
      <c r="U4251" s="76">
        <f>U4250+S4251</f>
        <v>68.04494080598913</v>
      </c>
      <c r="V4251" s="76">
        <f>V4250+T4251</f>
        <v>1071.9235935221388</v>
      </c>
    </row>
    <row r="4252" spans="1:22" ht="19" customHeight="1">
      <c r="A4252" s="68" t="s">
        <v>378</v>
      </c>
      <c r="B4252" s="74">
        <v>5</v>
      </c>
      <c r="C4252" s="68" t="s">
        <v>363</v>
      </c>
      <c r="D4252" s="68" t="s">
        <v>365</v>
      </c>
      <c r="E4252" s="75">
        <f>60*F4252*'THAM_SO_MOI'!$C$53/(2*PI()*'THAM_SO_MOI'!$C$26)</f>
        <v>2244.1807631578945</v>
      </c>
      <c r="F4252" s="75">
        <f>'THAM_SO_MOI'!$C$14+('THAM_SO_MOI'!$C$37-'THAM_SO_MOI'!$C$14)*161/'THAM_SO_MOI'!$C$42</f>
        <v>22.777475694444444</v>
      </c>
      <c r="G4252" s="75">
        <f>3.6*F4252</f>
        <v>81.9989125</v>
      </c>
      <c r="H4252" s="75">
        <f>'THAM_SO_MOI'!$D$53</f>
        <v>1.1</v>
      </c>
      <c r="I4252" s="75">
        <f>IF(F4252&gt;='THAM_SO_MOI'!$C$14,'THAM_SO_MOI'!$C$13*(1+F4252^2/1500),'THAM_SO_MOI'!$C$13)</f>
        <v>0.020188133990110074</v>
      </c>
      <c r="J4252" s="75">
        <f>'THAM_SO_MOI'!$C$40*('THAM_SO_MOI'!$C$23*(E4252/'THAM_SO_MOI'!$C$22)+'THAM_SO_MOI'!$C$24*(E4252/'THAM_SO_MOI'!$C$22)^2-'THAM_SO_MOI'!$C$25*(E4252/'THAM_SO_MOI'!$C$22)^3)</f>
        <v>100.99719548496759</v>
      </c>
      <c r="K4252" s="75">
        <f>'THAM_SO_MOI'!$C$31*J4252/E4252</f>
        <v>429.83799061323634</v>
      </c>
      <c r="L4252" s="75">
        <f>K4252*'THAM_SO_MOI'!$C$53*'THAM_SO_MOI'!$C$17/'THAM_SO_MOI'!$C$26</f>
        <v>3769.6808596206247</v>
      </c>
      <c r="M4252" s="75">
        <f>'THAM_SO_MOI'!$C$15*'THAM_SO_MOI'!$C$16*F4252^2</f>
        <v>1517.5291921071969</v>
      </c>
      <c r="N4252" s="75">
        <f>'THAM_SO_MOI'!$C$12*I4252</f>
        <v>1520.9901653220852</v>
      </c>
      <c r="O4252" s="75">
        <f>M4252+N4252</f>
        <v>3038.519357429282</v>
      </c>
      <c r="P4252" s="75">
        <f>(MIN(L4252,'THAM_SO_MOI'!$C$41)-O4252)/('THAM_SO_MOI'!$C$11*H4252)</f>
        <v>0.08654847327075554</v>
      </c>
      <c r="Q4252" s="75">
        <f>IF(P4252&gt;0,1/P4252,NA())</f>
        <v>11.55421883493694</v>
      </c>
      <c r="R4252" s="75">
        <f>F4252-F4251</f>
        <v>0.0035868055555567935</v>
      </c>
      <c r="S4252" s="75">
        <f>0.5*(Q4251+Q4252)*R4252</f>
        <v>0.04142506005041704</v>
      </c>
      <c r="T4252" s="75">
        <f>0.5*(F4251*Q4251+F4252*Q4252)*R4252</f>
        <v>0.9434840383221598</v>
      </c>
      <c r="U4252" s="76">
        <f>U4251+S4252</f>
        <v>68.08636586603954</v>
      </c>
      <c r="V4252" s="76">
        <f>V4251+T4252</f>
        <v>1072.867077560461</v>
      </c>
    </row>
    <row r="4253" spans="1:22" ht="19" customHeight="1">
      <c r="A4253" s="68" t="s">
        <v>378</v>
      </c>
      <c r="B4253" s="74">
        <v>5</v>
      </c>
      <c r="C4253" s="68" t="s">
        <v>363</v>
      </c>
      <c r="D4253" s="68" t="s">
        <v>365</v>
      </c>
      <c r="E4253" s="75">
        <f>60*F4253*'THAM_SO_MOI'!$C$53/(2*PI()*'THAM_SO_MOI'!$C$26)</f>
        <v>2244.534157894736</v>
      </c>
      <c r="F4253" s="75">
        <f>'THAM_SO_MOI'!$C$14+('THAM_SO_MOI'!$C$37-'THAM_SO_MOI'!$C$14)*162/'THAM_SO_MOI'!$C$42</f>
        <v>22.781062499999997</v>
      </c>
      <c r="G4253" s="75">
        <f>3.6*F4253</f>
        <v>82.01182499999999</v>
      </c>
      <c r="H4253" s="75">
        <f>'THAM_SO_MOI'!$D$53</f>
        <v>1.1</v>
      </c>
      <c r="I4253" s="75">
        <f>IF(F4253&gt;='THAM_SO_MOI'!$C$14,'THAM_SO_MOI'!$C$13*(1+F4253^2/1500),'THAM_SO_MOI'!$C$13)</f>
        <v>0.020189768086289063</v>
      </c>
      <c r="J4253" s="75">
        <f>'THAM_SO_MOI'!$C$40*('THAM_SO_MOI'!$C$23*(E4253/'THAM_SO_MOI'!$C$22)+'THAM_SO_MOI'!$C$24*(E4253/'THAM_SO_MOI'!$C$22)^2-'THAM_SO_MOI'!$C$25*(E4253/'THAM_SO_MOI'!$C$22)^3)</f>
        <v>101.01247372291338</v>
      </c>
      <c r="K4253" s="75">
        <f>'THAM_SO_MOI'!$C$31*J4253/E4253</f>
        <v>429.83532701824527</v>
      </c>
      <c r="L4253" s="75">
        <f>K4253*'THAM_SO_MOI'!$C$53*'THAM_SO_MOI'!$C$17/'THAM_SO_MOI'!$C$26</f>
        <v>3769.6574998821307</v>
      </c>
      <c r="M4253" s="75">
        <f>'THAM_SO_MOI'!$C$15*'THAM_SO_MOI'!$C$16*F4253^2</f>
        <v>1518.0071652395504</v>
      </c>
      <c r="N4253" s="75">
        <f>'THAM_SO_MOI'!$C$12*I4253</f>
        <v>1521.1132794354871</v>
      </c>
      <c r="O4253" s="75">
        <f>M4253+N4253</f>
        <v>3039.1204446750376</v>
      </c>
      <c r="P4253" s="75">
        <f>(MIN(L4253,'THAM_SO_MOI'!$C$41)-O4253)/('THAM_SO_MOI'!$C$11*H4253)</f>
        <v>0.08647455672432447</v>
      </c>
      <c r="Q4253" s="75">
        <f>IF(P4253&gt;0,1/P4253,NA())</f>
        <v>11.564095126708057</v>
      </c>
      <c r="R4253" s="75">
        <f>F4253-F4252</f>
        <v>0.0035868055555532408</v>
      </c>
      <c r="S4253" s="75">
        <f>0.5*(Q4252+Q4253)*R4253</f>
        <v>0.04146044847632616</v>
      </c>
      <c r="T4253" s="75">
        <f>0.5*(F4252*Q4252+F4253*Q4253)*R4253</f>
        <v>0.944438744498804</v>
      </c>
      <c r="U4253" s="76">
        <f>U4252+S4253</f>
        <v>68.12782631451587</v>
      </c>
      <c r="V4253" s="76">
        <f>V4252+T4253</f>
        <v>1073.8115163049597</v>
      </c>
    </row>
    <row r="4254" spans="1:22" ht="19" customHeight="1">
      <c r="A4254" s="68" t="s">
        <v>378</v>
      </c>
      <c r="B4254" s="74">
        <v>5</v>
      </c>
      <c r="C4254" s="68" t="s">
        <v>363</v>
      </c>
      <c r="D4254" s="68" t="s">
        <v>365</v>
      </c>
      <c r="E4254" s="75">
        <f>60*F4254*'THAM_SO_MOI'!$C$53/(2*PI()*'THAM_SO_MOI'!$C$26)</f>
        <v>2244.8875526315783</v>
      </c>
      <c r="F4254" s="75">
        <f>'THAM_SO_MOI'!$C$14+('THAM_SO_MOI'!$C$37-'THAM_SO_MOI'!$C$14)*163/'THAM_SO_MOI'!$C$42</f>
        <v>22.784649305555554</v>
      </c>
      <c r="G4254" s="75">
        <f>3.6*F4254</f>
        <v>82.0247375</v>
      </c>
      <c r="H4254" s="75">
        <f>'THAM_SO_MOI'!$D$53</f>
        <v>1.1</v>
      </c>
      <c r="I4254" s="75">
        <f>IF(F4254&gt;='THAM_SO_MOI'!$C$14,'THAM_SO_MOI'!$C$13*(1+F4254^2/1500),'THAM_SO_MOI'!$C$13)</f>
        <v>0.020191402439771532</v>
      </c>
      <c r="J4254" s="75">
        <f>'THAM_SO_MOI'!$C$40*('THAM_SO_MOI'!$C$23*(E4254/'THAM_SO_MOI'!$C$22)+'THAM_SO_MOI'!$C$24*(E4254/'THAM_SO_MOI'!$C$22)^2-'THAM_SO_MOI'!$C$25*(E4254/'THAM_SO_MOI'!$C$22)^3)</f>
        <v>101.02774891601325</v>
      </c>
      <c r="K4254" s="75">
        <f>'THAM_SO_MOI'!$C$31*J4254/E4254</f>
        <v>429.8326513072699</v>
      </c>
      <c r="L4254" s="75">
        <f>K4254*'THAM_SO_MOI'!$C$53*'THAM_SO_MOI'!$C$17/'THAM_SO_MOI'!$C$26</f>
        <v>3769.6340338864065</v>
      </c>
      <c r="M4254" s="75">
        <f>'THAM_SO_MOI'!$C$15*'THAM_SO_MOI'!$C$16*F4254^2</f>
        <v>1518.4852136331733</v>
      </c>
      <c r="N4254" s="75">
        <f>'THAM_SO_MOI'!$C$12*I4254</f>
        <v>1521.2364129343391</v>
      </c>
      <c r="O4254" s="75">
        <f>M4254+N4254</f>
        <v>3039.7216265675124</v>
      </c>
      <c r="P4254" s="75">
        <f>(MIN(L4254,'THAM_SO_MOI'!$C$41)-O4254)/('THAM_SO_MOI'!$C$11*H4254)</f>
        <v>0.0864006163966494</v>
      </c>
      <c r="Q4254" s="75">
        <f>IF(P4254&gt;0,1/P4254,NA())</f>
        <v>11.573991502666871</v>
      </c>
      <c r="R4254" s="75">
        <f>F4254-F4253</f>
        <v>0.0035868055555567935</v>
      </c>
      <c r="S4254" s="75">
        <f>0.5*(Q4253+Q4254)*R4254</f>
        <v>0.041495908833598175</v>
      </c>
      <c r="T4254" s="75">
        <f>0.5*(F4253*Q4253+F4254*Q4254)*R4254</f>
        <v>0.9453953433403207</v>
      </c>
      <c r="U4254" s="76">
        <f>U4253+S4254</f>
        <v>68.16932222334947</v>
      </c>
      <c r="V4254" s="76">
        <f>V4253+T4254</f>
        <v>1074.7569116483</v>
      </c>
    </row>
    <row r="4255" spans="1:22" ht="19" customHeight="1">
      <c r="A4255" s="68" t="s">
        <v>378</v>
      </c>
      <c r="B4255" s="74">
        <v>5</v>
      </c>
      <c r="C4255" s="68" t="s">
        <v>363</v>
      </c>
      <c r="D4255" s="68" t="s">
        <v>365</v>
      </c>
      <c r="E4255" s="75">
        <f>60*F4255*'THAM_SO_MOI'!$C$53/(2*PI()*'THAM_SO_MOI'!$C$26)</f>
        <v>2245.2409473684206</v>
      </c>
      <c r="F4255" s="75">
        <f>'THAM_SO_MOI'!$C$14+('THAM_SO_MOI'!$C$37-'THAM_SO_MOI'!$C$14)*164/'THAM_SO_MOI'!$C$42</f>
        <v>22.78823611111111</v>
      </c>
      <c r="G4255" s="75">
        <f>3.6*F4255</f>
        <v>82.03765</v>
      </c>
      <c r="H4255" s="75">
        <f>'THAM_SO_MOI'!$D$53</f>
        <v>1.1</v>
      </c>
      <c r="I4255" s="75">
        <f>IF(F4255&gt;='THAM_SO_MOI'!$C$14,'THAM_SO_MOI'!$C$13*(1+F4255^2/1500),'THAM_SO_MOI'!$C$13)</f>
        <v>0.020193037050557482</v>
      </c>
      <c r="J4255" s="75">
        <f>'THAM_SO_MOI'!$C$40*('THAM_SO_MOI'!$C$23*(E4255/'THAM_SO_MOI'!$C$22)+'THAM_SO_MOI'!$C$24*(E4255/'THAM_SO_MOI'!$C$22)^2-'THAM_SO_MOI'!$C$25*(E4255/'THAM_SO_MOI'!$C$22)^3)</f>
        <v>101.04302106292225</v>
      </c>
      <c r="K4255" s="75">
        <f>'THAM_SO_MOI'!$C$31*J4255/E4255</f>
        <v>429.82996348031</v>
      </c>
      <c r="L4255" s="75">
        <f>K4255*'THAM_SO_MOI'!$C$53*'THAM_SO_MOI'!$C$17/'THAM_SO_MOI'!$C$26</f>
        <v>3769.610461633451</v>
      </c>
      <c r="M4255" s="75">
        <f>'THAM_SO_MOI'!$C$15*'THAM_SO_MOI'!$C$16*F4255^2</f>
        <v>1518.9633372880642</v>
      </c>
      <c r="N4255" s="75">
        <f>'THAM_SO_MOI'!$C$12*I4255</f>
        <v>1521.3595658186412</v>
      </c>
      <c r="O4255" s="75">
        <f>M4255+N4255</f>
        <v>3040.3229031067053</v>
      </c>
      <c r="P4255" s="75">
        <f>(MIN(L4255,'THAM_SO_MOI'!$C$41)-O4255)/('THAM_SO_MOI'!$C$11*H4255)</f>
        <v>0.08632665228773034</v>
      </c>
      <c r="Q4255" s="75">
        <f>IF(P4255&gt;0,1/P4255,NA())</f>
        <v>11.583908022599534</v>
      </c>
      <c r="R4255" s="75">
        <f>F4255-F4254</f>
        <v>0.0035868055555567935</v>
      </c>
      <c r="S4255" s="75">
        <f>0.5*(Q4254+Q4255)*R4255</f>
        <v>0.04153144133612579</v>
      </c>
      <c r="T4255" s="75">
        <f>0.5*(F4254*Q4254+F4255*Q4255)*R4255</f>
        <v>0.9463538404945758</v>
      </c>
      <c r="U4255" s="76">
        <f>U4254+S4255</f>
        <v>68.21085366468559</v>
      </c>
      <c r="V4255" s="76">
        <f>V4254+T4255</f>
        <v>1075.7032654887946</v>
      </c>
    </row>
    <row r="4256" spans="1:22" ht="19" customHeight="1">
      <c r="A4256" s="68" t="s">
        <v>378</v>
      </c>
      <c r="B4256" s="74">
        <v>5</v>
      </c>
      <c r="C4256" s="68" t="s">
        <v>363</v>
      </c>
      <c r="D4256" s="68" t="s">
        <v>365</v>
      </c>
      <c r="E4256" s="75">
        <f>60*F4256*'THAM_SO_MOI'!$C$53/(2*PI()*'THAM_SO_MOI'!$C$26)</f>
        <v>2245.5943421052625</v>
      </c>
      <c r="F4256" s="75">
        <f>'THAM_SO_MOI'!$C$14+('THAM_SO_MOI'!$C$37-'THAM_SO_MOI'!$C$14)*165/'THAM_SO_MOI'!$C$42</f>
        <v>22.791822916666664</v>
      </c>
      <c r="G4256" s="75">
        <f>3.6*F4256</f>
        <v>82.0505625</v>
      </c>
      <c r="H4256" s="75">
        <f>'THAM_SO_MOI'!$D$53</f>
        <v>1.1</v>
      </c>
      <c r="I4256" s="75">
        <f>IF(F4256&gt;='THAM_SO_MOI'!$C$14,'THAM_SO_MOI'!$C$13*(1+F4256^2/1500),'THAM_SO_MOI'!$C$13)</f>
        <v>0.020194671918646916</v>
      </c>
      <c r="J4256" s="75">
        <f>'THAM_SO_MOI'!$C$40*('THAM_SO_MOI'!$C$23*(E4256/'THAM_SO_MOI'!$C$22)+'THAM_SO_MOI'!$C$24*(E4256/'THAM_SO_MOI'!$C$22)^2-'THAM_SO_MOI'!$C$25*(E4256/'THAM_SO_MOI'!$C$22)^3)</f>
        <v>101.05829016229544</v>
      </c>
      <c r="K4256" s="75">
        <f>'THAM_SO_MOI'!$C$31*J4256/E4256</f>
        <v>429.82726353736564</v>
      </c>
      <c r="L4256" s="75">
        <f>K4256*'THAM_SO_MOI'!$C$53*'THAM_SO_MOI'!$C$17/'THAM_SO_MOI'!$C$26</f>
        <v>3769.586783123264</v>
      </c>
      <c r="M4256" s="75">
        <f>'THAM_SO_MOI'!$C$15*'THAM_SO_MOI'!$C$16*F4256^2</f>
        <v>1519.4415362042234</v>
      </c>
      <c r="N4256" s="75">
        <f>'THAM_SO_MOI'!$C$12*I4256</f>
        <v>1521.4827380883937</v>
      </c>
      <c r="O4256" s="75">
        <f>M4256+N4256</f>
        <v>3040.924274292617</v>
      </c>
      <c r="P4256" s="75">
        <f>(MIN(L4256,'THAM_SO_MOI'!$C$41)-O4256)/('THAM_SO_MOI'!$C$11*H4256)</f>
        <v>0.08625266439756712</v>
      </c>
      <c r="Q4256" s="75">
        <f>IF(P4256&gt;0,1/P4256,NA())</f>
        <v>11.593844746530594</v>
      </c>
      <c r="R4256" s="75">
        <f>F4256-F4255</f>
        <v>0.0035868055555532408</v>
      </c>
      <c r="S4256" s="75">
        <f>0.5*(Q4255+Q4256)*R4256</f>
        <v>0.041567046198777734</v>
      </c>
      <c r="T4256" s="75">
        <f>0.5*(F4255*Q4255+F4256*Q4256)*R4256</f>
        <v>0.9473142416347481</v>
      </c>
      <c r="U4256" s="76">
        <f>U4255+S4256</f>
        <v>68.25242071088437</v>
      </c>
      <c r="V4256" s="76">
        <f>V4255+T4256</f>
        <v>1076.6505797304294</v>
      </c>
    </row>
    <row r="4257" spans="1:22" ht="19" customHeight="1">
      <c r="A4257" s="68" t="s">
        <v>378</v>
      </c>
      <c r="B4257" s="74">
        <v>5</v>
      </c>
      <c r="C4257" s="68" t="s">
        <v>363</v>
      </c>
      <c r="D4257" s="68" t="s">
        <v>365</v>
      </c>
      <c r="E4257" s="75">
        <f>60*F4257*'THAM_SO_MOI'!$C$53/(2*PI()*'THAM_SO_MOI'!$C$26)</f>
        <v>2245.9477368421044</v>
      </c>
      <c r="F4257" s="75">
        <f>'THAM_SO_MOI'!$C$14+('THAM_SO_MOI'!$C$37-'THAM_SO_MOI'!$C$14)*166/'THAM_SO_MOI'!$C$42</f>
        <v>22.79540972222222</v>
      </c>
      <c r="G4257" s="75">
        <f>3.6*F4257</f>
        <v>82.063475</v>
      </c>
      <c r="H4257" s="75">
        <f>'THAM_SO_MOI'!$D$53</f>
        <v>1.1</v>
      </c>
      <c r="I4257" s="75">
        <f>IF(F4257&gt;='THAM_SO_MOI'!$C$14,'THAM_SO_MOI'!$C$13*(1+F4257^2/1500),'THAM_SO_MOI'!$C$13)</f>
        <v>0.020196307044039834</v>
      </c>
      <c r="J4257" s="75">
        <f>'THAM_SO_MOI'!$C$40*('THAM_SO_MOI'!$C$23*(E4257/'THAM_SO_MOI'!$C$22)+'THAM_SO_MOI'!$C$24*(E4257/'THAM_SO_MOI'!$C$22)^2-'THAM_SO_MOI'!$C$25*(E4257/'THAM_SO_MOI'!$C$22)^3)</f>
        <v>101.07355621278798</v>
      </c>
      <c r="K4257" s="75">
        <f>'THAM_SO_MOI'!$C$31*J4257/E4257</f>
        <v>429.82455147843694</v>
      </c>
      <c r="L4257" s="75">
        <f>K4257*'THAM_SO_MOI'!$C$53*'THAM_SO_MOI'!$C$17/'THAM_SO_MOI'!$C$26</f>
        <v>3769.5629983558474</v>
      </c>
      <c r="M4257" s="75">
        <f>'THAM_SO_MOI'!$C$15*'THAM_SO_MOI'!$C$16*F4257^2</f>
        <v>1519.9198103816514</v>
      </c>
      <c r="N4257" s="75">
        <f>'THAM_SO_MOI'!$C$12*I4257</f>
        <v>1521.6059297435963</v>
      </c>
      <c r="O4257" s="75">
        <f>M4257+N4257</f>
        <v>3041.5257401252475</v>
      </c>
      <c r="P4257" s="75">
        <f>(MIN(L4257,'THAM_SO_MOI'!$C$41)-O4257)/('THAM_SO_MOI'!$C$11*H4257)</f>
        <v>0.08617865272615997</v>
      </c>
      <c r="Q4257" s="75">
        <f>IF(P4257&gt;0,1/P4257,NA())</f>
        <v>11.60380173472409</v>
      </c>
      <c r="R4257" s="75">
        <f>F4257-F4256</f>
        <v>0.0035868055555567935</v>
      </c>
      <c r="S4257" s="75">
        <f>0.5*(Q4256+Q4257)*R4257</f>
        <v>0.04160272363740341</v>
      </c>
      <c r="T4257" s="75">
        <f>0.5*(F4256*Q4256+F4257*Q4257)*R4257</f>
        <v>0.9482765524594517</v>
      </c>
      <c r="U4257" s="76">
        <f>U4256+S4257</f>
        <v>68.29402343452176</v>
      </c>
      <c r="V4257" s="76">
        <f>V4256+T4257</f>
        <v>1077.5988562828888</v>
      </c>
    </row>
    <row r="4258" spans="1:22" ht="19" customHeight="1">
      <c r="A4258" s="68" t="s">
        <v>378</v>
      </c>
      <c r="B4258" s="74">
        <v>5</v>
      </c>
      <c r="C4258" s="68" t="s">
        <v>363</v>
      </c>
      <c r="D4258" s="68" t="s">
        <v>365</v>
      </c>
      <c r="E4258" s="75">
        <f>60*F4258*'THAM_SO_MOI'!$C$53/(2*PI()*'THAM_SO_MOI'!$C$26)</f>
        <v>2246.3011315789468</v>
      </c>
      <c r="F4258" s="75">
        <f>'THAM_SO_MOI'!$C$14+('THAM_SO_MOI'!$C$37-'THAM_SO_MOI'!$C$14)*167/'THAM_SO_MOI'!$C$42</f>
        <v>22.798996527777778</v>
      </c>
      <c r="G4258" s="75">
        <f>3.6*F4258</f>
        <v>82.0763875</v>
      </c>
      <c r="H4258" s="75">
        <f>'THAM_SO_MOI'!$D$53</f>
        <v>1.1</v>
      </c>
      <c r="I4258" s="75">
        <f>IF(F4258&gt;='THAM_SO_MOI'!$C$14,'THAM_SO_MOI'!$C$13*(1+F4258^2/1500),'THAM_SO_MOI'!$C$13)</f>
        <v>0.02019794242673623</v>
      </c>
      <c r="J4258" s="75">
        <f>'THAM_SO_MOI'!$C$40*('THAM_SO_MOI'!$C$23*(E4258/'THAM_SO_MOI'!$C$22)+'THAM_SO_MOI'!$C$24*(E4258/'THAM_SO_MOI'!$C$22)^2-'THAM_SO_MOI'!$C$25*(E4258/'THAM_SO_MOI'!$C$22)^3)</f>
        <v>101.08881921305493</v>
      </c>
      <c r="K4258" s="75">
        <f>'THAM_SO_MOI'!$C$31*J4258/E4258</f>
        <v>429.8218273035235</v>
      </c>
      <c r="L4258" s="75">
        <f>K4258*'THAM_SO_MOI'!$C$53*'THAM_SO_MOI'!$C$17/'THAM_SO_MOI'!$C$26</f>
        <v>3769.5391073311966</v>
      </c>
      <c r="M4258" s="75">
        <f>'THAM_SO_MOI'!$C$15*'THAM_SO_MOI'!$C$16*F4258^2</f>
        <v>1520.398159820348</v>
      </c>
      <c r="N4258" s="75">
        <f>'THAM_SO_MOI'!$C$12*I4258</f>
        <v>1521.729140784249</v>
      </c>
      <c r="O4258" s="75">
        <f>M4258+N4258</f>
        <v>3042.1273006045967</v>
      </c>
      <c r="P4258" s="75">
        <f>(MIN(L4258,'THAM_SO_MOI'!$C$41)-O4258)/('THAM_SO_MOI'!$C$11*H4258)</f>
        <v>0.08610461727350846</v>
      </c>
      <c r="Q4258" s="75">
        <f>IF(P4258&gt;0,1/P4258,NA())</f>
        <v>11.6137790476849</v>
      </c>
      <c r="R4258" s="75">
        <f>F4258-F4257</f>
        <v>0.0035868055555567935</v>
      </c>
      <c r="S4258" s="75">
        <f>0.5*(Q4257+Q4258)*R4258</f>
        <v>0.041638473868466606</v>
      </c>
      <c r="T4258" s="75">
        <f>0.5*(F4257*Q4257+F4258*Q4258)*R4258</f>
        <v>0.9492407786844048</v>
      </c>
      <c r="U4258" s="76">
        <f>U4257+S4258</f>
        <v>68.33566190839022</v>
      </c>
      <c r="V4258" s="76">
        <f>V4257+T4258</f>
        <v>1078.5480970615733</v>
      </c>
    </row>
    <row r="4259" spans="1:22" ht="19" customHeight="1">
      <c r="A4259" s="68" t="s">
        <v>378</v>
      </c>
      <c r="B4259" s="74">
        <v>5</v>
      </c>
      <c r="C4259" s="68" t="s">
        <v>363</v>
      </c>
      <c r="D4259" s="68" t="s">
        <v>365</v>
      </c>
      <c r="E4259" s="75">
        <f>60*F4259*'THAM_SO_MOI'!$C$53/(2*PI()*'THAM_SO_MOI'!$C$26)</f>
        <v>2246.6545263157886</v>
      </c>
      <c r="F4259" s="75">
        <f>'THAM_SO_MOI'!$C$14+('THAM_SO_MOI'!$C$37-'THAM_SO_MOI'!$C$14)*168/'THAM_SO_MOI'!$C$42</f>
        <v>22.80258333333333</v>
      </c>
      <c r="G4259" s="75">
        <f>3.6*F4259</f>
        <v>82.0893</v>
      </c>
      <c r="H4259" s="75">
        <f>'THAM_SO_MOI'!$D$53</f>
        <v>1.1</v>
      </c>
      <c r="I4259" s="75">
        <f>IF(F4259&gt;='THAM_SO_MOI'!$C$14,'THAM_SO_MOI'!$C$13*(1+F4259^2/1500),'THAM_SO_MOI'!$C$13)</f>
        <v>0.02019957806673611</v>
      </c>
      <c r="J4259" s="75">
        <f>'THAM_SO_MOI'!$C$40*('THAM_SO_MOI'!$C$23*(E4259/'THAM_SO_MOI'!$C$22)+'THAM_SO_MOI'!$C$24*(E4259/'THAM_SO_MOI'!$C$22)^2-'THAM_SO_MOI'!$C$25*(E4259/'THAM_SO_MOI'!$C$22)^3)</f>
        <v>101.10407916175147</v>
      </c>
      <c r="K4259" s="75">
        <f>'THAM_SO_MOI'!$C$31*J4259/E4259</f>
        <v>429.81909101262573</v>
      </c>
      <c r="L4259" s="75">
        <f>K4259*'THAM_SO_MOI'!$C$53*'THAM_SO_MOI'!$C$17/'THAM_SO_MOI'!$C$26</f>
        <v>3769.5151100493163</v>
      </c>
      <c r="M4259" s="75">
        <f>'THAM_SO_MOI'!$C$15*'THAM_SO_MOI'!$C$16*F4259^2</f>
        <v>1520.8765845203125</v>
      </c>
      <c r="N4259" s="75">
        <f>'THAM_SO_MOI'!$C$12*I4259</f>
        <v>1521.852371210352</v>
      </c>
      <c r="O4259" s="75">
        <f>M4259+N4259</f>
        <v>3042.7289557306644</v>
      </c>
      <c r="P4259" s="75">
        <f>(MIN(L4259,'THAM_SO_MOI'!$C$41)-O4259)/('THAM_SO_MOI'!$C$11*H4259)</f>
        <v>0.08603055803961314</v>
      </c>
      <c r="Q4259" s="75">
        <f>IF(P4259&gt;0,1/P4259,NA())</f>
        <v>11.623776746159727</v>
      </c>
      <c r="R4259" s="75">
        <f>F4259-F4258</f>
        <v>0.0035868055555532408</v>
      </c>
      <c r="S4259" s="75">
        <f>0.5*(Q4258+Q4259)*R4259</f>
        <v>0.04167429710942015</v>
      </c>
      <c r="T4259" s="75">
        <f>0.5*(F4258*Q4258+F4259*Q4259)*R4259</f>
        <v>0.9502069260509803</v>
      </c>
      <c r="U4259" s="76">
        <f>U4258+S4259</f>
        <v>68.37733620549965</v>
      </c>
      <c r="V4259" s="76">
        <f>V4258+T4259</f>
        <v>1079.4983039876242</v>
      </c>
    </row>
    <row r="4260" spans="1:22" ht="19" customHeight="1">
      <c r="A4260" s="68" t="s">
        <v>378</v>
      </c>
      <c r="B4260" s="74">
        <v>5</v>
      </c>
      <c r="C4260" s="68" t="s">
        <v>363</v>
      </c>
      <c r="D4260" s="68" t="s">
        <v>365</v>
      </c>
      <c r="E4260" s="75">
        <f>60*F4260*'THAM_SO_MOI'!$C$53/(2*PI()*'THAM_SO_MOI'!$C$26)</f>
        <v>2247.007921052631</v>
      </c>
      <c r="F4260" s="75">
        <f>'THAM_SO_MOI'!$C$14+('THAM_SO_MOI'!$C$37-'THAM_SO_MOI'!$C$14)*169/'THAM_SO_MOI'!$C$42</f>
        <v>22.806170138888888</v>
      </c>
      <c r="G4260" s="75">
        <f>3.6*F4260</f>
        <v>82.1022125</v>
      </c>
      <c r="H4260" s="75">
        <f>'THAM_SO_MOI'!$D$53</f>
        <v>1.1</v>
      </c>
      <c r="I4260" s="75">
        <f>IF(F4260&gt;='THAM_SO_MOI'!$C$14,'THAM_SO_MOI'!$C$13*(1+F4260^2/1500),'THAM_SO_MOI'!$C$13)</f>
        <v>0.020201213964039472</v>
      </c>
      <c r="J4260" s="75">
        <f>'THAM_SO_MOI'!$C$40*('THAM_SO_MOI'!$C$23*(E4260/'THAM_SO_MOI'!$C$22)+'THAM_SO_MOI'!$C$24*(E4260/'THAM_SO_MOI'!$C$22)^2-'THAM_SO_MOI'!$C$25*(E4260/'THAM_SO_MOI'!$C$22)^3)</f>
        <v>101.1193360575327</v>
      </c>
      <c r="K4260" s="75">
        <f>'THAM_SO_MOI'!$C$31*J4260/E4260</f>
        <v>429.81634260574356</v>
      </c>
      <c r="L4260" s="75">
        <f>K4260*'THAM_SO_MOI'!$C$53*'THAM_SO_MOI'!$C$17/'THAM_SO_MOI'!$C$26</f>
        <v>3769.491006510205</v>
      </c>
      <c r="M4260" s="75">
        <f>'THAM_SO_MOI'!$C$15*'THAM_SO_MOI'!$C$16*F4260^2</f>
        <v>1521.3550844815456</v>
      </c>
      <c r="N4260" s="75">
        <f>'THAM_SO_MOI'!$C$12*I4260</f>
        <v>1521.9756210219052</v>
      </c>
      <c r="O4260" s="75">
        <f>M4260+N4260</f>
        <v>3043.330705503451</v>
      </c>
      <c r="P4260" s="75">
        <f>(MIN(L4260,'THAM_SO_MOI'!$C$41)-O4260)/('THAM_SO_MOI'!$C$11*H4260)</f>
        <v>0.08595647502447375</v>
      </c>
      <c r="Q4260" s="75">
        <f>IF(P4260&gt;0,1/P4260,NA())</f>
        <v>11.633794891138537</v>
      </c>
      <c r="R4260" s="75">
        <f>F4260-F4259</f>
        <v>0.0035868055555567935</v>
      </c>
      <c r="S4260" s="75">
        <f>0.5*(Q4259+Q4260)*R4260</f>
        <v>0.04171019357871076</v>
      </c>
      <c r="T4260" s="75">
        <f>0.5*(F4259*Q4259+F4260*Q4260)*R4260</f>
        <v>0.9511750003263376</v>
      </c>
      <c r="U4260" s="76">
        <f>U4259+S4260</f>
        <v>68.41904639907835</v>
      </c>
      <c r="V4260" s="76">
        <f>V4259+T4260</f>
        <v>1080.4494789879507</v>
      </c>
    </row>
    <row r="4261" spans="1:22" ht="19" customHeight="1">
      <c r="A4261" s="68" t="s">
        <v>378</v>
      </c>
      <c r="B4261" s="74">
        <v>5</v>
      </c>
      <c r="C4261" s="68" t="s">
        <v>363</v>
      </c>
      <c r="D4261" s="68" t="s">
        <v>365</v>
      </c>
      <c r="E4261" s="75">
        <f>60*F4261*'THAM_SO_MOI'!$C$53/(2*PI()*'THAM_SO_MOI'!$C$26)</f>
        <v>2247.3613157894733</v>
      </c>
      <c r="F4261" s="75">
        <f>'THAM_SO_MOI'!$C$14+('THAM_SO_MOI'!$C$37-'THAM_SO_MOI'!$C$14)*170/'THAM_SO_MOI'!$C$42</f>
        <v>22.809756944444445</v>
      </c>
      <c r="G4261" s="75">
        <f>3.6*F4261</f>
        <v>82.115125</v>
      </c>
      <c r="H4261" s="75">
        <f>'THAM_SO_MOI'!$D$53</f>
        <v>1.1</v>
      </c>
      <c r="I4261" s="75">
        <f>IF(F4261&gt;='THAM_SO_MOI'!$C$14,'THAM_SO_MOI'!$C$13*(1+F4261^2/1500),'THAM_SO_MOI'!$C$13)</f>
        <v>0.020202850118646313</v>
      </c>
      <c r="J4261" s="75">
        <f>'THAM_SO_MOI'!$C$40*('THAM_SO_MOI'!$C$23*(E4261/'THAM_SO_MOI'!$C$22)+'THAM_SO_MOI'!$C$24*(E4261/'THAM_SO_MOI'!$C$22)^2-'THAM_SO_MOI'!$C$25*(E4261/'THAM_SO_MOI'!$C$22)^3)</f>
        <v>101.13458989905372</v>
      </c>
      <c r="K4261" s="75">
        <f>'THAM_SO_MOI'!$C$31*J4261/E4261</f>
        <v>429.81358208287696</v>
      </c>
      <c r="L4261" s="75">
        <f>K4261*'THAM_SO_MOI'!$C$53*'THAM_SO_MOI'!$C$17/'THAM_SO_MOI'!$C$26</f>
        <v>3769.466796713863</v>
      </c>
      <c r="M4261" s="75">
        <f>'THAM_SO_MOI'!$C$15*'THAM_SO_MOI'!$C$16*F4261^2</f>
        <v>1521.8336597040472</v>
      </c>
      <c r="N4261" s="75">
        <f>'THAM_SO_MOI'!$C$12*I4261</f>
        <v>1522.098890218908</v>
      </c>
      <c r="O4261" s="75">
        <f>M4261+N4261</f>
        <v>3043.9325499229553</v>
      </c>
      <c r="P4261" s="75">
        <f>(MIN(L4261,'THAM_SO_MOI'!$C$41)-O4261)/('THAM_SO_MOI'!$C$11*H4261)</f>
        <v>0.08588236822809042</v>
      </c>
      <c r="Q4261" s="75">
        <f>IF(P4261&gt;0,1/P4261,NA())</f>
        <v>11.643833543855626</v>
      </c>
      <c r="R4261" s="75">
        <f>F4261-F4260</f>
        <v>0.0035868055555567935</v>
      </c>
      <c r="S4261" s="75">
        <f>0.5*(Q4260+Q4261)*R4261</f>
        <v>0.04174616349541193</v>
      </c>
      <c r="T4261" s="75">
        <f>0.5*(F4260*Q4260+F4261*Q4261)*R4261</f>
        <v>0.9521450072950649</v>
      </c>
      <c r="U4261" s="76">
        <f>U4260+S4261</f>
        <v>68.46079256257377</v>
      </c>
      <c r="V4261" s="76">
        <f>V4260+T4261</f>
        <v>1081.4016239952457</v>
      </c>
    </row>
    <row r="4262" spans="1:22" ht="19" customHeight="1">
      <c r="A4262" s="68" t="s">
        <v>378</v>
      </c>
      <c r="B4262" s="74">
        <v>5</v>
      </c>
      <c r="C4262" s="68" t="s">
        <v>363</v>
      </c>
      <c r="D4262" s="68" t="s">
        <v>365</v>
      </c>
      <c r="E4262" s="75">
        <f>60*F4262*'THAM_SO_MOI'!$C$53/(2*PI()*'THAM_SO_MOI'!$C$26)</f>
        <v>2247.7147105263152</v>
      </c>
      <c r="F4262" s="75">
        <f>'THAM_SO_MOI'!$C$14+('THAM_SO_MOI'!$C$37-'THAM_SO_MOI'!$C$14)*171/'THAM_SO_MOI'!$C$42</f>
        <v>22.813343749999998</v>
      </c>
      <c r="G4262" s="75">
        <f>3.6*F4262</f>
        <v>82.12803749999999</v>
      </c>
      <c r="H4262" s="75">
        <f>'THAM_SO_MOI'!$D$53</f>
        <v>1.1</v>
      </c>
      <c r="I4262" s="75">
        <f>IF(F4262&gt;='THAM_SO_MOI'!$C$14,'THAM_SO_MOI'!$C$13*(1+F4262^2/1500),'THAM_SO_MOI'!$C$13)</f>
        <v>0.020204486530556637</v>
      </c>
      <c r="J4262" s="75">
        <f>'THAM_SO_MOI'!$C$40*('THAM_SO_MOI'!$C$23*(E4262/'THAM_SO_MOI'!$C$22)+'THAM_SO_MOI'!$C$24*(E4262/'THAM_SO_MOI'!$C$22)^2-'THAM_SO_MOI'!$C$25*(E4262/'THAM_SO_MOI'!$C$22)^3)</f>
        <v>101.14984068496959</v>
      </c>
      <c r="K4262" s="75">
        <f>'THAM_SO_MOI'!$C$31*J4262/E4262</f>
        <v>429.8108094440258</v>
      </c>
      <c r="L4262" s="75">
        <f>K4262*'THAM_SO_MOI'!$C$53*'THAM_SO_MOI'!$C$17/'THAM_SO_MOI'!$C$26</f>
        <v>3769.442480660289</v>
      </c>
      <c r="M4262" s="75">
        <f>'THAM_SO_MOI'!$C$15*'THAM_SO_MOI'!$C$16*F4262^2</f>
        <v>1522.3123101878173</v>
      </c>
      <c r="N4262" s="75">
        <f>'THAM_SO_MOI'!$C$12*I4262</f>
        <v>1522.2221788013617</v>
      </c>
      <c r="O4262" s="75">
        <f>M4262+N4262</f>
        <v>3044.534488989179</v>
      </c>
      <c r="P4262" s="75">
        <f>(MIN(L4262,'THAM_SO_MOI'!$C$41)-O4262)/('THAM_SO_MOI'!$C$11*H4262)</f>
        <v>0.08580823765046286</v>
      </c>
      <c r="Q4262" s="75">
        <f>IF(P4262&gt;0,1/P4262,NA())</f>
        <v>11.653892765790953</v>
      </c>
      <c r="R4262" s="75">
        <f>F4262-F4261</f>
        <v>0.0035868055555532408</v>
      </c>
      <c r="S4262" s="75">
        <f>0.5*(Q4261+Q4262)*R4262</f>
        <v>0.04178220707959962</v>
      </c>
      <c r="T4262" s="75">
        <f>0.5*(F4261*Q4261+F4262*Q4262)*R4262</f>
        <v>0.9531169527677621</v>
      </c>
      <c r="U4262" s="76">
        <f>U4261+S4262</f>
        <v>68.50257476965338</v>
      </c>
      <c r="V4262" s="76">
        <f>V4261+T4262</f>
        <v>1082.3547409480134</v>
      </c>
    </row>
    <row r="4263" spans="1:22" ht="19" customHeight="1">
      <c r="A4263" s="68" t="s">
        <v>378</v>
      </c>
      <c r="B4263" s="74">
        <v>5</v>
      </c>
      <c r="C4263" s="68" t="s">
        <v>363</v>
      </c>
      <c r="D4263" s="68" t="s">
        <v>365</v>
      </c>
      <c r="E4263" s="75">
        <f>60*F4263*'THAM_SO_MOI'!$C$53/(2*PI()*'THAM_SO_MOI'!$C$26)</f>
        <v>2248.0681052631576</v>
      </c>
      <c r="F4263" s="75">
        <f>'THAM_SO_MOI'!$C$14+('THAM_SO_MOI'!$C$37-'THAM_SO_MOI'!$C$14)*172/'THAM_SO_MOI'!$C$42</f>
        <v>22.816930555555555</v>
      </c>
      <c r="G4263" s="75">
        <f>3.6*F4263</f>
        <v>82.14095</v>
      </c>
      <c r="H4263" s="75">
        <f>'THAM_SO_MOI'!$D$53</f>
        <v>1.1</v>
      </c>
      <c r="I4263" s="75">
        <f>IF(F4263&gt;='THAM_SO_MOI'!$C$14,'THAM_SO_MOI'!$C$13*(1+F4263^2/1500),'THAM_SO_MOI'!$C$13)</f>
        <v>0.020206123199770446</v>
      </c>
      <c r="J4263" s="75">
        <f>'THAM_SO_MOI'!$C$40*('THAM_SO_MOI'!$C$23*(E4263/'THAM_SO_MOI'!$C$22)+'THAM_SO_MOI'!$C$24*(E4263/'THAM_SO_MOI'!$C$22)^2-'THAM_SO_MOI'!$C$25*(E4263/'THAM_SO_MOI'!$C$22)^3)</f>
        <v>101.16508841393551</v>
      </c>
      <c r="K4263" s="75">
        <f>'THAM_SO_MOI'!$C$31*J4263/E4263</f>
        <v>429.80802468919035</v>
      </c>
      <c r="L4263" s="75">
        <f>K4263*'THAM_SO_MOI'!$C$53*'THAM_SO_MOI'!$C$17/'THAM_SO_MOI'!$C$26</f>
        <v>3769.4180583494863</v>
      </c>
      <c r="M4263" s="75">
        <f>'THAM_SO_MOI'!$C$15*'THAM_SO_MOI'!$C$16*F4263^2</f>
        <v>1522.791035932856</v>
      </c>
      <c r="N4263" s="75">
        <f>'THAM_SO_MOI'!$C$12*I4263</f>
        <v>1522.3454867692653</v>
      </c>
      <c r="O4263" s="75">
        <f>M4263+N4263</f>
        <v>3045.1365227021215</v>
      </c>
      <c r="P4263" s="75">
        <f>(MIN(L4263,'THAM_SO_MOI'!$C$41)-O4263)/('THAM_SO_MOI'!$C$11*H4263)</f>
        <v>0.08573408329159148</v>
      </c>
      <c r="Q4263" s="75">
        <f>IF(P4263&gt;0,1/P4263,NA())</f>
        <v>11.663972618671211</v>
      </c>
      <c r="R4263" s="75">
        <f>F4263-F4262</f>
        <v>0.0035868055555567935</v>
      </c>
      <c r="S4263" s="75">
        <f>0.5*(Q4262+Q4263)*R4263</f>
        <v>0.04181832455235717</v>
      </c>
      <c r="T4263" s="75">
        <f>0.5*(F4262*Q4262+F4263*Q4263)*R4263</f>
        <v>0.9540908425811686</v>
      </c>
      <c r="U4263" s="76">
        <f>U4262+S4263</f>
        <v>68.54439309420573</v>
      </c>
      <c r="V4263" s="76">
        <f>V4262+T4263</f>
        <v>1083.3088317905945</v>
      </c>
    </row>
    <row r="4264" spans="1:22" ht="19" customHeight="1">
      <c r="A4264" s="68" t="s">
        <v>378</v>
      </c>
      <c r="B4264" s="74">
        <v>5</v>
      </c>
      <c r="C4264" s="68" t="s">
        <v>363</v>
      </c>
      <c r="D4264" s="68" t="s">
        <v>365</v>
      </c>
      <c r="E4264" s="75">
        <f>60*F4264*'THAM_SO_MOI'!$C$53/(2*PI()*'THAM_SO_MOI'!$C$26)</f>
        <v>2248.4214999999995</v>
      </c>
      <c r="F4264" s="75">
        <f>'THAM_SO_MOI'!$C$14+('THAM_SO_MOI'!$C$37-'THAM_SO_MOI'!$C$14)*173/'THAM_SO_MOI'!$C$42</f>
        <v>22.82051736111111</v>
      </c>
      <c r="G4264" s="75">
        <f>3.6*F4264</f>
        <v>82.1538625</v>
      </c>
      <c r="H4264" s="75">
        <f>'THAM_SO_MOI'!$D$53</f>
        <v>1.1</v>
      </c>
      <c r="I4264" s="75">
        <f>IF(F4264&gt;='THAM_SO_MOI'!$C$14,'THAM_SO_MOI'!$C$13*(1+F4264^2/1500),'THAM_SO_MOI'!$C$13)</f>
        <v>0.020207760126287735</v>
      </c>
      <c r="J4264" s="75">
        <f>'THAM_SO_MOI'!$C$40*('THAM_SO_MOI'!$C$23*(E4264/'THAM_SO_MOI'!$C$22)+'THAM_SO_MOI'!$C$24*(E4264/'THAM_SO_MOI'!$C$22)^2-'THAM_SO_MOI'!$C$25*(E4264/'THAM_SO_MOI'!$C$22)^3)</f>
        <v>101.18033308460649</v>
      </c>
      <c r="K4264" s="75">
        <f>'THAM_SO_MOI'!$C$31*J4264/E4264</f>
        <v>429.80522781837027</v>
      </c>
      <c r="L4264" s="75">
        <f>K4264*'THAM_SO_MOI'!$C$53*'THAM_SO_MOI'!$C$17/'THAM_SO_MOI'!$C$26</f>
        <v>3769.3935297814496</v>
      </c>
      <c r="M4264" s="75">
        <f>'THAM_SO_MOI'!$C$15*'THAM_SO_MOI'!$C$16*F4264^2</f>
        <v>1523.269836939163</v>
      </c>
      <c r="N4264" s="75">
        <f>'THAM_SO_MOI'!$C$12*I4264</f>
        <v>1522.468814122619</v>
      </c>
      <c r="O4264" s="75">
        <f>M4264+N4264</f>
        <v>3045.738651061782</v>
      </c>
      <c r="P4264" s="75">
        <f>(MIN(L4264,'THAM_SO_MOI'!$C$41)-O4264)/('THAM_SO_MOI'!$C$11*H4264)</f>
        <v>0.08565990515147583</v>
      </c>
      <c r="Q4264" s="75">
        <f>IF(P4264&gt;0,1/P4264,NA())</f>
        <v>11.67407316447129</v>
      </c>
      <c r="R4264" s="75">
        <f>F4264-F4263</f>
        <v>0.0035868055555567935</v>
      </c>
      <c r="S4264" s="75">
        <f>0.5*(Q4263+Q4264)*R4264</f>
        <v>0.04185451613540716</v>
      </c>
      <c r="T4264" s="75">
        <f>0.5*(F4263*Q4263+F4264*Q4264)*R4264</f>
        <v>0.9550666825897844</v>
      </c>
      <c r="U4264" s="76">
        <f>U4263+S4264</f>
        <v>68.58624761034113</v>
      </c>
      <c r="V4264" s="76">
        <f>V4263+T4264</f>
        <v>1084.2638984731843</v>
      </c>
    </row>
    <row r="4265" spans="1:22" ht="19" customHeight="1">
      <c r="A4265" s="68" t="s">
        <v>378</v>
      </c>
      <c r="B4265" s="74">
        <v>5</v>
      </c>
      <c r="C4265" s="68" t="s">
        <v>363</v>
      </c>
      <c r="D4265" s="68" t="s">
        <v>365</v>
      </c>
      <c r="E4265" s="75">
        <f>60*F4265*'THAM_SO_MOI'!$C$53/(2*PI()*'THAM_SO_MOI'!$C$26)</f>
        <v>2248.774894736842</v>
      </c>
      <c r="F4265" s="75">
        <f>'THAM_SO_MOI'!$C$14+('THAM_SO_MOI'!$C$37-'THAM_SO_MOI'!$C$14)*174/'THAM_SO_MOI'!$C$42</f>
        <v>22.824104166666665</v>
      </c>
      <c r="G4265" s="75">
        <f>3.6*F4265</f>
        <v>82.166775</v>
      </c>
      <c r="H4265" s="75">
        <f>'THAM_SO_MOI'!$D$53</f>
        <v>1.1</v>
      </c>
      <c r="I4265" s="75">
        <f>IF(F4265&gt;='THAM_SO_MOI'!$C$14,'THAM_SO_MOI'!$C$13*(1+F4265^2/1500),'THAM_SO_MOI'!$C$13)</f>
        <v>0.020209397310108505</v>
      </c>
      <c r="J4265" s="75">
        <f>'THAM_SO_MOI'!$C$40*('THAM_SO_MOI'!$C$23*(E4265/'THAM_SO_MOI'!$C$22)+'THAM_SO_MOI'!$C$24*(E4265/'THAM_SO_MOI'!$C$22)^2-'THAM_SO_MOI'!$C$25*(E4265/'THAM_SO_MOI'!$C$22)^3)</f>
        <v>101.19557469563769</v>
      </c>
      <c r="K4265" s="75">
        <f>'THAM_SO_MOI'!$C$31*J4265/E4265</f>
        <v>429.80241883156566</v>
      </c>
      <c r="L4265" s="75">
        <f>K4265*'THAM_SO_MOI'!$C$53*'THAM_SO_MOI'!$C$17/'THAM_SO_MOI'!$C$26</f>
        <v>3769.3688949561815</v>
      </c>
      <c r="M4265" s="75">
        <f>'THAM_SO_MOI'!$C$15*'THAM_SO_MOI'!$C$16*F4265^2</f>
        <v>1523.748713206738</v>
      </c>
      <c r="N4265" s="75">
        <f>'THAM_SO_MOI'!$C$12*I4265</f>
        <v>1522.5921608614228</v>
      </c>
      <c r="O4265" s="75">
        <f>M4265+N4265</f>
        <v>3046.3408740681607</v>
      </c>
      <c r="P4265" s="75">
        <f>(MIN(L4265,'THAM_SO_MOI'!$C$41)-O4265)/('THAM_SO_MOI'!$C$11*H4265)</f>
        <v>0.08558570323011608</v>
      </c>
      <c r="Q4265" s="75">
        <f>IF(P4265&gt;0,1/P4265,NA())</f>
        <v>11.684194465415317</v>
      </c>
      <c r="R4265" s="75">
        <f>F4265-F4264</f>
        <v>0.0035868055555532408</v>
      </c>
      <c r="S4265" s="75">
        <f>0.5*(Q4264+Q4265)*R4265</f>
        <v>0.04189078205148835</v>
      </c>
      <c r="T4265" s="75">
        <f>0.5*(F4264*Q4264+F4265*Q4265)*R4265</f>
        <v>0.9560444786744808</v>
      </c>
      <c r="U4265" s="76">
        <f>U4264+S4265</f>
        <v>68.62813839239261</v>
      </c>
      <c r="V4265" s="76">
        <f>V4264+T4265</f>
        <v>1085.219942951859</v>
      </c>
    </row>
    <row r="4266" spans="1:22" ht="19" customHeight="1">
      <c r="A4266" s="68" t="s">
        <v>378</v>
      </c>
      <c r="B4266" s="74">
        <v>5</v>
      </c>
      <c r="C4266" s="68" t="s">
        <v>363</v>
      </c>
      <c r="D4266" s="68" t="s">
        <v>365</v>
      </c>
      <c r="E4266" s="75">
        <f>60*F4266*'THAM_SO_MOI'!$C$53/(2*PI()*'THAM_SO_MOI'!$C$26)</f>
        <v>2249.1282894736837</v>
      </c>
      <c r="F4266" s="75">
        <f>'THAM_SO_MOI'!$C$14+('THAM_SO_MOI'!$C$37-'THAM_SO_MOI'!$C$14)*175/'THAM_SO_MOI'!$C$42</f>
        <v>22.82769097222222</v>
      </c>
      <c r="G4266" s="75">
        <f>3.6*F4266</f>
        <v>82.1796875</v>
      </c>
      <c r="H4266" s="75">
        <f>'THAM_SO_MOI'!$D$53</f>
        <v>1.1</v>
      </c>
      <c r="I4266" s="75">
        <f>IF(F4266&gt;='THAM_SO_MOI'!$C$14,'THAM_SO_MOI'!$C$13*(1+F4266^2/1500),'THAM_SO_MOI'!$C$13)</f>
        <v>0.020211034751232756</v>
      </c>
      <c r="J4266" s="75">
        <f>'THAM_SO_MOI'!$C$40*('THAM_SO_MOI'!$C$23*(E4266/'THAM_SO_MOI'!$C$22)+'THAM_SO_MOI'!$C$24*(E4266/'THAM_SO_MOI'!$C$22)^2-'THAM_SO_MOI'!$C$25*(E4266/'THAM_SO_MOI'!$C$22)^3)</f>
        <v>101.21081324568425</v>
      </c>
      <c r="K4266" s="75">
        <f>'THAM_SO_MOI'!$C$31*J4266/E4266</f>
        <v>429.7995977287768</v>
      </c>
      <c r="L4266" s="75">
        <f>K4266*'THAM_SO_MOI'!$C$53*'THAM_SO_MOI'!$C$17/'THAM_SO_MOI'!$C$26</f>
        <v>3769.3441538736843</v>
      </c>
      <c r="M4266" s="75">
        <f>'THAM_SO_MOI'!$C$15*'THAM_SO_MOI'!$C$16*F4266^2</f>
        <v>1524.227664735582</v>
      </c>
      <c r="N4266" s="75">
        <f>'THAM_SO_MOI'!$C$12*I4266</f>
        <v>1522.715526985677</v>
      </c>
      <c r="O4266" s="75">
        <f>M4266+N4266</f>
        <v>3046.9431917212587</v>
      </c>
      <c r="P4266" s="75">
        <f>(MIN(L4266,'THAM_SO_MOI'!$C$41)-O4266)/('THAM_SO_MOI'!$C$11*H4266)</f>
        <v>0.08551147752751247</v>
      </c>
      <c r="Q4266" s="75">
        <f>IF(P4266&gt;0,1/P4266,NA())</f>
        <v>11.69433658397798</v>
      </c>
      <c r="R4266" s="75">
        <f>F4266-F4265</f>
        <v>0.0035868055555567935</v>
      </c>
      <c r="S4266" s="75">
        <f>0.5*(Q4265+Q4266)*R4266</f>
        <v>0.041927122524360434</v>
      </c>
      <c r="T4266" s="75">
        <f>0.5*(F4265*Q4265+F4266*Q4266)*R4266</f>
        <v>0.9570242367426286</v>
      </c>
      <c r="U4266" s="76">
        <f>U4265+S4266</f>
        <v>68.67006551491697</v>
      </c>
      <c r="V4266" s="76">
        <f>V4265+T4266</f>
        <v>1086.1769671886016</v>
      </c>
    </row>
    <row r="4267" spans="1:22" ht="19" customHeight="1">
      <c r="A4267" s="68" t="s">
        <v>378</v>
      </c>
      <c r="B4267" s="74">
        <v>5</v>
      </c>
      <c r="C4267" s="68" t="s">
        <v>363</v>
      </c>
      <c r="D4267" s="68" t="s">
        <v>365</v>
      </c>
      <c r="E4267" s="75">
        <f>60*F4267*'THAM_SO_MOI'!$C$53/(2*PI()*'THAM_SO_MOI'!$C$26)</f>
        <v>2249.481684210526</v>
      </c>
      <c r="F4267" s="75">
        <f>'THAM_SO_MOI'!$C$14+('THAM_SO_MOI'!$C$37-'THAM_SO_MOI'!$C$14)*176/'THAM_SO_MOI'!$C$42</f>
        <v>22.83127777777778</v>
      </c>
      <c r="G4267" s="75">
        <f>3.6*F4267</f>
        <v>82.1926</v>
      </c>
      <c r="H4267" s="75">
        <f>'THAM_SO_MOI'!$D$53</f>
        <v>1.1</v>
      </c>
      <c r="I4267" s="75">
        <f>IF(F4267&gt;='THAM_SO_MOI'!$C$14,'THAM_SO_MOI'!$C$13*(1+F4267^2/1500),'THAM_SO_MOI'!$C$13)</f>
        <v>0.020212672449660494</v>
      </c>
      <c r="J4267" s="75">
        <f>'THAM_SO_MOI'!$C$40*('THAM_SO_MOI'!$C$23*(E4267/'THAM_SO_MOI'!$C$22)+'THAM_SO_MOI'!$C$24*(E4267/'THAM_SO_MOI'!$C$22)^2-'THAM_SO_MOI'!$C$25*(E4267/'THAM_SO_MOI'!$C$22)^3)</f>
        <v>101.22604873340126</v>
      </c>
      <c r="K4267" s="75">
        <f>'THAM_SO_MOI'!$C$31*J4267/E4267</f>
        <v>429.79676451000347</v>
      </c>
      <c r="L4267" s="75">
        <f>K4267*'THAM_SO_MOI'!$C$53*'THAM_SO_MOI'!$C$17/'THAM_SO_MOI'!$C$26</f>
        <v>3769.319306533956</v>
      </c>
      <c r="M4267" s="75">
        <f>'THAM_SO_MOI'!$C$15*'THAM_SO_MOI'!$C$16*F4267^2</f>
        <v>1524.7066915256946</v>
      </c>
      <c r="N4267" s="75">
        <f>'THAM_SO_MOI'!$C$12*I4267</f>
        <v>1522.8389124953815</v>
      </c>
      <c r="O4267" s="75">
        <f>M4267+N4267</f>
        <v>3047.545604021076</v>
      </c>
      <c r="P4267" s="75">
        <f>(MIN(L4267,'THAM_SO_MOI'!$C$41)-O4267)/('THAM_SO_MOI'!$C$11*H4267)</f>
        <v>0.08543722804366477</v>
      </c>
      <c r="Q4267" s="75">
        <f>IF(P4267&gt;0,1/P4267,NA())</f>
        <v>11.704499582885878</v>
      </c>
      <c r="R4267" s="75">
        <f>F4267-F4266</f>
        <v>0.0035868055555567935</v>
      </c>
      <c r="S4267" s="75">
        <f>0.5*(Q4266+Q4267)*R4267</f>
        <v>0.041963537778435256</v>
      </c>
      <c r="T4267" s="75">
        <f>0.5*(F4266*Q4266+F4267*Q4267)*R4267</f>
        <v>0.9580059627196976</v>
      </c>
      <c r="U4267" s="76">
        <f>U4266+S4267</f>
        <v>68.7120290526954</v>
      </c>
      <c r="V4267" s="76">
        <f>V4266+T4267</f>
        <v>1087.1349731513212</v>
      </c>
    </row>
    <row r="4268" spans="1:22" ht="19" customHeight="1">
      <c r="A4268" s="68" t="s">
        <v>378</v>
      </c>
      <c r="B4268" s="74">
        <v>5</v>
      </c>
      <c r="C4268" s="68" t="s">
        <v>363</v>
      </c>
      <c r="D4268" s="68" t="s">
        <v>365</v>
      </c>
      <c r="E4268" s="75">
        <f>60*F4268*'THAM_SO_MOI'!$C$53/(2*PI()*'THAM_SO_MOI'!$C$26)</f>
        <v>2249.8350789473675</v>
      </c>
      <c r="F4268" s="75">
        <f>'THAM_SO_MOI'!$C$14+('THAM_SO_MOI'!$C$37-'THAM_SO_MOI'!$C$14)*177/'THAM_SO_MOI'!$C$42</f>
        <v>22.83486458333333</v>
      </c>
      <c r="G4268" s="75">
        <f>3.6*F4268</f>
        <v>82.2055125</v>
      </c>
      <c r="H4268" s="75">
        <f>'THAM_SO_MOI'!$D$53</f>
        <v>1.1</v>
      </c>
      <c r="I4268" s="75">
        <f>IF(F4268&gt;='THAM_SO_MOI'!$C$14,'THAM_SO_MOI'!$C$13*(1+F4268^2/1500),'THAM_SO_MOI'!$C$13)</f>
        <v>0.02021431040539171</v>
      </c>
      <c r="J4268" s="75">
        <f>'THAM_SO_MOI'!$C$40*('THAM_SO_MOI'!$C$23*(E4268/'THAM_SO_MOI'!$C$22)+'THAM_SO_MOI'!$C$24*(E4268/'THAM_SO_MOI'!$C$22)^2-'THAM_SO_MOI'!$C$25*(E4268/'THAM_SO_MOI'!$C$22)^3)</f>
        <v>101.24128115744377</v>
      </c>
      <c r="K4268" s="75">
        <f>'THAM_SO_MOI'!$C$31*J4268/E4268</f>
        <v>429.7939191752456</v>
      </c>
      <c r="L4268" s="75">
        <f>K4268*'THAM_SO_MOI'!$C$53*'THAM_SO_MOI'!$C$17/'THAM_SO_MOI'!$C$26</f>
        <v>3769.2943529369954</v>
      </c>
      <c r="M4268" s="75">
        <f>'THAM_SO_MOI'!$C$15*'THAM_SO_MOI'!$C$16*F4268^2</f>
        <v>1525.185793577075</v>
      </c>
      <c r="N4268" s="75">
        <f>'THAM_SO_MOI'!$C$12*I4268</f>
        <v>1522.9623173905356</v>
      </c>
      <c r="O4268" s="75">
        <f>M4268+N4268</f>
        <v>3048.1481109676106</v>
      </c>
      <c r="P4268" s="75">
        <f>(MIN(L4268,'THAM_SO_MOI'!$C$41)-O4268)/('THAM_SO_MOI'!$C$11*H4268)</f>
        <v>0.08536295477857302</v>
      </c>
      <c r="Q4268" s="75">
        <f>IF(P4268&gt;0,1/P4268,NA())</f>
        <v>11.714683525118678</v>
      </c>
      <c r="R4268" s="75">
        <f>F4268-F4267</f>
        <v>0.0035868055555532408</v>
      </c>
      <c r="S4268" s="75">
        <f>0.5*(Q4267+Q4268)*R4268</f>
        <v>0.04200002803915468</v>
      </c>
      <c r="T4268" s="75">
        <f>0.5*(F4267*Q4267+F4268*Q4268)*R4268</f>
        <v>0.9589896625578954</v>
      </c>
      <c r="U4268" s="76">
        <f>U4267+S4268</f>
        <v>68.75402908073455</v>
      </c>
      <c r="V4268" s="76">
        <f>V4267+T4268</f>
        <v>1088.0939628138792</v>
      </c>
    </row>
    <row r="4269" spans="1:22" ht="19" customHeight="1">
      <c r="A4269" s="68" t="s">
        <v>378</v>
      </c>
      <c r="B4269" s="74">
        <v>5</v>
      </c>
      <c r="C4269" s="68" t="s">
        <v>363</v>
      </c>
      <c r="D4269" s="68" t="s">
        <v>365</v>
      </c>
      <c r="E4269" s="75">
        <f>60*F4269*'THAM_SO_MOI'!$C$53/(2*PI()*'THAM_SO_MOI'!$C$26)</f>
        <v>2250.1884736842103</v>
      </c>
      <c r="F4269" s="75">
        <f>'THAM_SO_MOI'!$C$14+('THAM_SO_MOI'!$C$37-'THAM_SO_MOI'!$C$14)*178/'THAM_SO_MOI'!$C$42</f>
        <v>22.83845138888889</v>
      </c>
      <c r="G4269" s="75">
        <f>3.6*F4269</f>
        <v>82.218425</v>
      </c>
      <c r="H4269" s="75">
        <f>'THAM_SO_MOI'!$D$53</f>
        <v>1.1</v>
      </c>
      <c r="I4269" s="75">
        <f>IF(F4269&gt;='THAM_SO_MOI'!$C$14,'THAM_SO_MOI'!$C$13*(1+F4269^2/1500),'THAM_SO_MOI'!$C$13)</f>
        <v>0.020215948618426408</v>
      </c>
      <c r="J4269" s="75">
        <f>'THAM_SO_MOI'!$C$40*('THAM_SO_MOI'!$C$23*(E4269/'THAM_SO_MOI'!$C$22)+'THAM_SO_MOI'!$C$24*(E4269/'THAM_SO_MOI'!$C$22)^2-'THAM_SO_MOI'!$C$25*(E4269/'THAM_SO_MOI'!$C$22)^3)</f>
        <v>101.256510516467</v>
      </c>
      <c r="K4269" s="75">
        <f>'THAM_SO_MOI'!$C$31*J4269/E4269</f>
        <v>429.7910617245033</v>
      </c>
      <c r="L4269" s="75">
        <f>K4269*'THAM_SO_MOI'!$C$53*'THAM_SO_MOI'!$C$17/'THAM_SO_MOI'!$C$26</f>
        <v>3769.269293082805</v>
      </c>
      <c r="M4269" s="75">
        <f>'THAM_SO_MOI'!$C$15*'THAM_SO_MOI'!$C$16*F4269^2</f>
        <v>1525.6649708897244</v>
      </c>
      <c r="N4269" s="75">
        <f>'THAM_SO_MOI'!$C$12*I4269</f>
        <v>1523.0857416711403</v>
      </c>
      <c r="O4269" s="75">
        <f>M4269+N4269</f>
        <v>3048.7507125608645</v>
      </c>
      <c r="P4269" s="75">
        <f>(MIN(L4269,'THAM_SO_MOI'!$C$41)-O4269)/('THAM_SO_MOI'!$C$11*H4269)</f>
        <v>0.08528865773223722</v>
      </c>
      <c r="Q4269" s="75">
        <f>IF(P4269&gt;0,1/P4269,NA())</f>
        <v>11.724888473910433</v>
      </c>
      <c r="R4269" s="75">
        <f>F4269-F4268</f>
        <v>0.0035868055555567935</v>
      </c>
      <c r="S4269" s="75">
        <f>0.5*(Q4268+Q4269)*R4269</f>
        <v>0.04203659353299554</v>
      </c>
      <c r="T4269" s="75">
        <f>0.5*(F4268*Q4268+F4269*Q4269)*R4269</f>
        <v>0.9599753422362999</v>
      </c>
      <c r="U4269" s="76">
        <f>U4268+S4269</f>
        <v>68.79606567426755</v>
      </c>
      <c r="V4269" s="76">
        <f>V4268+T4269</f>
        <v>1089.0539381561155</v>
      </c>
    </row>
    <row r="4270" spans="1:22" ht="19" customHeight="1">
      <c r="A4270" s="68" t="s">
        <v>378</v>
      </c>
      <c r="B4270" s="74">
        <v>5</v>
      </c>
      <c r="C4270" s="68" t="s">
        <v>363</v>
      </c>
      <c r="D4270" s="68" t="s">
        <v>365</v>
      </c>
      <c r="E4270" s="75">
        <f>60*F4270*'THAM_SO_MOI'!$C$53/(2*PI()*'THAM_SO_MOI'!$C$26)</f>
        <v>2250.541868421052</v>
      </c>
      <c r="F4270" s="75">
        <f>'THAM_SO_MOI'!$C$14+('THAM_SO_MOI'!$C$37-'THAM_SO_MOI'!$C$14)*179/'THAM_SO_MOI'!$C$42</f>
        <v>22.842038194444445</v>
      </c>
      <c r="G4270" s="75">
        <f>3.6*F4270</f>
        <v>82.23133750000001</v>
      </c>
      <c r="H4270" s="75">
        <f>'THAM_SO_MOI'!$D$53</f>
        <v>1.1</v>
      </c>
      <c r="I4270" s="75">
        <f>IF(F4270&gt;='THAM_SO_MOI'!$C$14,'THAM_SO_MOI'!$C$13*(1+F4270^2/1500),'THAM_SO_MOI'!$C$13)</f>
        <v>0.020217587088764588</v>
      </c>
      <c r="J4270" s="75">
        <f>'THAM_SO_MOI'!$C$40*('THAM_SO_MOI'!$C$23*(E4270/'THAM_SO_MOI'!$C$22)+'THAM_SO_MOI'!$C$24*(E4270/'THAM_SO_MOI'!$C$22)^2-'THAM_SO_MOI'!$C$25*(E4270/'THAM_SO_MOI'!$C$22)^3)</f>
        <v>101.27173680912597</v>
      </c>
      <c r="K4270" s="75">
        <f>'THAM_SO_MOI'!$C$31*J4270/E4270</f>
        <v>429.7881921577765</v>
      </c>
      <c r="L4270" s="75">
        <f>K4270*'THAM_SO_MOI'!$C$53*'THAM_SO_MOI'!$C$17/'THAM_SO_MOI'!$C$26</f>
        <v>3769.2441269713822</v>
      </c>
      <c r="M4270" s="75">
        <f>'THAM_SO_MOI'!$C$15*'THAM_SO_MOI'!$C$16*F4270^2</f>
        <v>1526.1442234636422</v>
      </c>
      <c r="N4270" s="75">
        <f>'THAM_SO_MOI'!$C$12*I4270</f>
        <v>1523.209185337195</v>
      </c>
      <c r="O4270" s="75">
        <f>M4270+N4270</f>
        <v>3049.3534088008373</v>
      </c>
      <c r="P4270" s="75">
        <f>(MIN(L4270,'THAM_SO_MOI'!$C$41)-O4270)/('THAM_SO_MOI'!$C$11*H4270)</f>
        <v>0.08521433690465734</v>
      </c>
      <c r="Q4270" s="75">
        <f>IF(P4270&gt;0,1/P4270,NA())</f>
        <v>11.735114492750874</v>
      </c>
      <c r="R4270" s="75">
        <f>F4270-F4269</f>
        <v>0.0035868055555567935</v>
      </c>
      <c r="S4270" s="75">
        <f>0.5*(Q4269+Q4270)*R4270</f>
        <v>0.04207323448709981</v>
      </c>
      <c r="T4270" s="75">
        <f>0.5*(F4269*Q4269+F4270*Q4270)*R4270</f>
        <v>0.9609630077524302</v>
      </c>
      <c r="U4270" s="76">
        <f>U4269+S4270</f>
        <v>68.83813890875466</v>
      </c>
      <c r="V4270" s="76">
        <f>V4269+T4270</f>
        <v>1090.014901163868</v>
      </c>
    </row>
    <row r="4271" spans="1:22" ht="19" customHeight="1">
      <c r="A4271" s="68" t="s">
        <v>378</v>
      </c>
      <c r="B4271" s="74">
        <v>5</v>
      </c>
      <c r="C4271" s="68" t="s">
        <v>363</v>
      </c>
      <c r="D4271" s="68" t="s">
        <v>365</v>
      </c>
      <c r="E4271" s="75">
        <f>60*F4271*'THAM_SO_MOI'!$C$53/(2*PI()*'THAM_SO_MOI'!$C$26)</f>
        <v>2250.895263157894</v>
      </c>
      <c r="F4271" s="75">
        <f>'THAM_SO_MOI'!$C$14+('THAM_SO_MOI'!$C$37-'THAM_SO_MOI'!$C$14)*180/'THAM_SO_MOI'!$C$42</f>
        <v>22.845625</v>
      </c>
      <c r="G4271" s="75">
        <f>3.6*F4271</f>
        <v>82.24425</v>
      </c>
      <c r="H4271" s="75">
        <f>'THAM_SO_MOI'!$D$53</f>
        <v>1.1</v>
      </c>
      <c r="I4271" s="75">
        <f>IF(F4271&gt;='THAM_SO_MOI'!$C$14,'THAM_SO_MOI'!$C$13*(1+F4271^2/1500),'THAM_SO_MOI'!$C$13)</f>
        <v>0.02021922581640625</v>
      </c>
      <c r="J4271" s="75">
        <f>'THAM_SO_MOI'!$C$40*('THAM_SO_MOI'!$C$23*(E4271/'THAM_SO_MOI'!$C$22)+'THAM_SO_MOI'!$C$24*(E4271/'THAM_SO_MOI'!$C$22)^2-'THAM_SO_MOI'!$C$25*(E4271/'THAM_SO_MOI'!$C$22)^3)</f>
        <v>101.2869600340758</v>
      </c>
      <c r="K4271" s="75">
        <f>'THAM_SO_MOI'!$C$31*J4271/E4271</f>
        <v>429.7853104750653</v>
      </c>
      <c r="L4271" s="75">
        <f>K4271*'THAM_SO_MOI'!$C$53*'THAM_SO_MOI'!$C$17/'THAM_SO_MOI'!$C$26</f>
        <v>3769.218854602729</v>
      </c>
      <c r="M4271" s="75">
        <f>'THAM_SO_MOI'!$C$15*'THAM_SO_MOI'!$C$16*F4271^2</f>
        <v>1526.623551298828</v>
      </c>
      <c r="N4271" s="75">
        <f>'THAM_SO_MOI'!$C$12*I4271</f>
        <v>1523.3326483887</v>
      </c>
      <c r="O4271" s="75">
        <f>M4271+N4271</f>
        <v>3049.956199687528</v>
      </c>
      <c r="P4271" s="75">
        <f>(MIN(L4271,'THAM_SO_MOI'!$C$41)-O4271)/('THAM_SO_MOI'!$C$11*H4271)</f>
        <v>0.08513999229583351</v>
      </c>
      <c r="Q4271" s="75">
        <f>IF(P4271&gt;0,1/P4271,NA())</f>
        <v>11.745361645386676</v>
      </c>
      <c r="R4271" s="75">
        <f>F4271-F4270</f>
        <v>0.0035868055555532408</v>
      </c>
      <c r="S4271" s="75">
        <f>0.5*(Q4270+Q4271)*R4271</f>
        <v>0.04210995112965354</v>
      </c>
      <c r="T4271" s="75">
        <f>0.5*(F4270*Q4270+F4271*Q4271)*R4271</f>
        <v>0.9619526651309136</v>
      </c>
      <c r="U4271" s="76">
        <f>U4270+S4271</f>
        <v>68.88024885988432</v>
      </c>
      <c r="V4271" s="76">
        <f>V4270+T4271</f>
        <v>1090.9768538289989</v>
      </c>
    </row>
    <row r="4272" spans="1:22" ht="19" customHeight="1">
      <c r="A4272" s="68" t="s">
        <v>378</v>
      </c>
      <c r="B4272" s="74">
        <v>5</v>
      </c>
      <c r="C4272" s="68" t="s">
        <v>363</v>
      </c>
      <c r="D4272" s="68" t="s">
        <v>365</v>
      </c>
      <c r="E4272" s="75">
        <f>60*F4272*'THAM_SO_MOI'!$C$53/(2*PI()*'THAM_SO_MOI'!$C$26)</f>
        <v>2251.2486578947364</v>
      </c>
      <c r="F4272" s="75">
        <f>'THAM_SO_MOI'!$C$14+('THAM_SO_MOI'!$C$37-'THAM_SO_MOI'!$C$14)*181/'THAM_SO_MOI'!$C$42</f>
        <v>22.849211805555555</v>
      </c>
      <c r="G4272" s="75">
        <f>3.6*F4272</f>
        <v>82.2571625</v>
      </c>
      <c r="H4272" s="75">
        <f>'THAM_SO_MOI'!$D$53</f>
        <v>1.1</v>
      </c>
      <c r="I4272" s="75">
        <f>IF(F4272&gt;='THAM_SO_MOI'!$C$14,'THAM_SO_MOI'!$C$13*(1+F4272^2/1500),'THAM_SO_MOI'!$C$13)</f>
        <v>0.020220864801351393</v>
      </c>
      <c r="J4272" s="75">
        <f>'THAM_SO_MOI'!$C$40*('THAM_SO_MOI'!$C$23*(E4272/'THAM_SO_MOI'!$C$22)+'THAM_SO_MOI'!$C$24*(E4272/'THAM_SO_MOI'!$C$22)^2-'THAM_SO_MOI'!$C$25*(E4272/'THAM_SO_MOI'!$C$22)^3)</f>
        <v>101.30218018997168</v>
      </c>
      <c r="K4272" s="75">
        <f>'THAM_SO_MOI'!$C$31*J4272/E4272</f>
        <v>429.7824166763696</v>
      </c>
      <c r="L4272" s="75">
        <f>K4272*'THAM_SO_MOI'!$C$53*'THAM_SO_MOI'!$C$17/'THAM_SO_MOI'!$C$26</f>
        <v>3769.193475976844</v>
      </c>
      <c r="M4272" s="75">
        <f>'THAM_SO_MOI'!$C$15*'THAM_SO_MOI'!$C$16*F4272^2</f>
        <v>1527.102954395283</v>
      </c>
      <c r="N4272" s="75">
        <f>'THAM_SO_MOI'!$C$12*I4272</f>
        <v>1523.456130825655</v>
      </c>
      <c r="O4272" s="75">
        <f>M4272+N4272</f>
        <v>3050.559085220938</v>
      </c>
      <c r="P4272" s="75">
        <f>(MIN(L4272,'THAM_SO_MOI'!$C$41)-O4272)/('THAM_SO_MOI'!$C$11*H4272)</f>
        <v>0.08506562390576539</v>
      </c>
      <c r="Q4272" s="75">
        <f>IF(P4272&gt;0,1/P4272,NA())</f>
        <v>11.75562999582284</v>
      </c>
      <c r="R4272" s="75">
        <f>F4272-F4271</f>
        <v>0.0035868055555567935</v>
      </c>
      <c r="S4272" s="75">
        <f>0.5*(Q4271+Q4272)*R4272</f>
        <v>0.04214674368989203</v>
      </c>
      <c r="T4272" s="75">
        <f>0.5*(F4271*Q4271+F4272*Q4272)*R4272</f>
        <v>0.9629443204236264</v>
      </c>
      <c r="U4272" s="76">
        <f>U4271+S4272</f>
        <v>68.92239560357422</v>
      </c>
      <c r="V4272" s="76">
        <f>V4271+T4272</f>
        <v>1091.9397981494226</v>
      </c>
    </row>
    <row r="4273" spans="1:22" ht="19" customHeight="1">
      <c r="A4273" s="68" t="s">
        <v>378</v>
      </c>
      <c r="B4273" s="74">
        <v>5</v>
      </c>
      <c r="C4273" s="68" t="s">
        <v>363</v>
      </c>
      <c r="D4273" s="68" t="s">
        <v>365</v>
      </c>
      <c r="E4273" s="75">
        <f>60*F4273*'THAM_SO_MOI'!$C$53/(2*PI()*'THAM_SO_MOI'!$C$26)</f>
        <v>2251.6020526315788</v>
      </c>
      <c r="F4273" s="75">
        <f>'THAM_SO_MOI'!$C$14+('THAM_SO_MOI'!$C$37-'THAM_SO_MOI'!$C$14)*182/'THAM_SO_MOI'!$C$42</f>
        <v>22.852798611111112</v>
      </c>
      <c r="G4273" s="75">
        <f>3.6*F4273</f>
        <v>82.270075</v>
      </c>
      <c r="H4273" s="75">
        <f>'THAM_SO_MOI'!$D$53</f>
        <v>1.1</v>
      </c>
      <c r="I4273" s="75">
        <f>IF(F4273&gt;='THAM_SO_MOI'!$C$14,'THAM_SO_MOI'!$C$13*(1+F4273^2/1500),'THAM_SO_MOI'!$C$13)</f>
        <v>0.020222504043600018</v>
      </c>
      <c r="J4273" s="75">
        <f>'THAM_SO_MOI'!$C$40*('THAM_SO_MOI'!$C$23*(E4273/'THAM_SO_MOI'!$C$22)+'THAM_SO_MOI'!$C$24*(E4273/'THAM_SO_MOI'!$C$22)^2-'THAM_SO_MOI'!$C$25*(E4273/'THAM_SO_MOI'!$C$22)^3)</f>
        <v>101.31739727546864</v>
      </c>
      <c r="K4273" s="75">
        <f>'THAM_SO_MOI'!$C$31*J4273/E4273</f>
        <v>429.7795107616895</v>
      </c>
      <c r="L4273" s="75">
        <f>K4273*'THAM_SO_MOI'!$C$53*'THAM_SO_MOI'!$C$17/'THAM_SO_MOI'!$C$26</f>
        <v>3769.1679910937287</v>
      </c>
      <c r="M4273" s="75">
        <f>'THAM_SO_MOI'!$C$15*'THAM_SO_MOI'!$C$16*F4273^2</f>
        <v>1527.5824327530058</v>
      </c>
      <c r="N4273" s="75">
        <f>'THAM_SO_MOI'!$C$12*I4273</f>
        <v>1523.5796326480604</v>
      </c>
      <c r="O4273" s="75">
        <f>M4273+N4273</f>
        <v>3051.1620654010662</v>
      </c>
      <c r="P4273" s="75">
        <f>(MIN(L4273,'THAM_SO_MOI'!$C$41)-O4273)/('THAM_SO_MOI'!$C$11*H4273)</f>
        <v>0.08499123173445342</v>
      </c>
      <c r="Q4273" s="75">
        <f>IF(P4273&gt;0,1/P4273,NA())</f>
        <v>11.76591960832383</v>
      </c>
      <c r="R4273" s="75">
        <f>F4273-F4272</f>
        <v>0.0035868055555567935</v>
      </c>
      <c r="S4273" s="75">
        <f>0.5*(Q4272+Q4273)*R4273</f>
        <v>0.04218361239772899</v>
      </c>
      <c r="T4273" s="75">
        <f>0.5*(F4272*Q4272+F4273*Q4273)*R4273</f>
        <v>0.9639379797012338</v>
      </c>
      <c r="U4273" s="76">
        <f>U4272+S4273</f>
        <v>68.96457921597195</v>
      </c>
      <c r="V4273" s="76">
        <f>V4272+T4273</f>
        <v>1092.903736129124</v>
      </c>
    </row>
    <row r="4274" spans="1:22" ht="19" customHeight="1">
      <c r="A4274" s="68" t="s">
        <v>378</v>
      </c>
      <c r="B4274" s="74">
        <v>5</v>
      </c>
      <c r="C4274" s="68" t="s">
        <v>363</v>
      </c>
      <c r="D4274" s="68" t="s">
        <v>365</v>
      </c>
      <c r="E4274" s="75">
        <f>60*F4274*'THAM_SO_MOI'!$C$53/(2*PI()*'THAM_SO_MOI'!$C$26)</f>
        <v>2251.95544736842</v>
      </c>
      <c r="F4274" s="75">
        <f>'THAM_SO_MOI'!$C$14+('THAM_SO_MOI'!$C$37-'THAM_SO_MOI'!$C$14)*183/'THAM_SO_MOI'!$C$42</f>
        <v>22.856385416666665</v>
      </c>
      <c r="G4274" s="75">
        <f>3.6*F4274</f>
        <v>82.28298749999999</v>
      </c>
      <c r="H4274" s="75">
        <f>'THAM_SO_MOI'!$D$53</f>
        <v>1.1</v>
      </c>
      <c r="I4274" s="75">
        <f>IF(F4274&gt;='THAM_SO_MOI'!$C$14,'THAM_SO_MOI'!$C$13*(1+F4274^2/1500),'THAM_SO_MOI'!$C$13)</f>
        <v>0.020224143543152124</v>
      </c>
      <c r="J4274" s="75">
        <f>'THAM_SO_MOI'!$C$40*('THAM_SO_MOI'!$C$23*(E4274/'THAM_SO_MOI'!$C$22)+'THAM_SO_MOI'!$C$24*(E4274/'THAM_SO_MOI'!$C$22)^2-'THAM_SO_MOI'!$C$25*(E4274/'THAM_SO_MOI'!$C$22)^3)</f>
        <v>101.33261128922176</v>
      </c>
      <c r="K4274" s="75">
        <f>'THAM_SO_MOI'!$C$31*J4274/E4274</f>
        <v>429.77659273102483</v>
      </c>
      <c r="L4274" s="75">
        <f>K4274*'THAM_SO_MOI'!$C$53*'THAM_SO_MOI'!$C$17/'THAM_SO_MOI'!$C$26</f>
        <v>3769.1423999533818</v>
      </c>
      <c r="M4274" s="75">
        <f>'THAM_SO_MOI'!$C$15*'THAM_SO_MOI'!$C$16*F4274^2</f>
        <v>1528.0619863719971</v>
      </c>
      <c r="N4274" s="75">
        <f>'THAM_SO_MOI'!$C$12*I4274</f>
        <v>1523.7031538559156</v>
      </c>
      <c r="O4274" s="75">
        <f>M4274+N4274</f>
        <v>3051.7651402279125</v>
      </c>
      <c r="P4274" s="75">
        <f>(MIN(L4274,'THAM_SO_MOI'!$C$41)-O4274)/('THAM_SO_MOI'!$C$11*H4274)</f>
        <v>0.08491681578189737</v>
      </c>
      <c r="Q4274" s="75">
        <f>IF(P4274&gt;0,1/P4274,NA())</f>
        <v>11.776230547415095</v>
      </c>
      <c r="R4274" s="75">
        <f>F4274-F4273</f>
        <v>0.0035868055555532408</v>
      </c>
      <c r="S4274" s="75">
        <f>0.5*(Q4273+Q4274)*R4274</f>
        <v>0.04222055748413648</v>
      </c>
      <c r="T4274" s="75">
        <f>0.5*(F4273*Q4273+F4274*Q4274)*R4274</f>
        <v>0.964933649061889</v>
      </c>
      <c r="U4274" s="76">
        <f>U4273+S4274</f>
        <v>69.0067997734561</v>
      </c>
      <c r="V4274" s="76">
        <f>V4273+T4274</f>
        <v>1093.8686697781857</v>
      </c>
    </row>
    <row r="4275" spans="1:22" ht="19" customHeight="1">
      <c r="A4275" s="68" t="s">
        <v>378</v>
      </c>
      <c r="B4275" s="74">
        <v>5</v>
      </c>
      <c r="C4275" s="68" t="s">
        <v>363</v>
      </c>
      <c r="D4275" s="68" t="s">
        <v>365</v>
      </c>
      <c r="E4275" s="75">
        <f>60*F4275*'THAM_SO_MOI'!$C$53/(2*PI()*'THAM_SO_MOI'!$C$26)</f>
        <v>2252.3088421052626</v>
      </c>
      <c r="F4275" s="75">
        <f>'THAM_SO_MOI'!$C$14+('THAM_SO_MOI'!$C$37-'THAM_SO_MOI'!$C$14)*184/'THAM_SO_MOI'!$C$42</f>
        <v>22.859972222222222</v>
      </c>
      <c r="G4275" s="75">
        <f>3.6*F4275</f>
        <v>82.2959</v>
      </c>
      <c r="H4275" s="75">
        <f>'THAM_SO_MOI'!$D$53</f>
        <v>1.1</v>
      </c>
      <c r="I4275" s="75">
        <f>IF(F4275&gt;='THAM_SO_MOI'!$C$14,'THAM_SO_MOI'!$C$13*(1+F4275^2/1500),'THAM_SO_MOI'!$C$13)</f>
        <v>0.020225783300007717</v>
      </c>
      <c r="J4275" s="75">
        <f>'THAM_SO_MOI'!$C$40*('THAM_SO_MOI'!$C$23*(E4275/'THAM_SO_MOI'!$C$22)+'THAM_SO_MOI'!$C$24*(E4275/'THAM_SO_MOI'!$C$22)^2-'THAM_SO_MOI'!$C$25*(E4275/'THAM_SO_MOI'!$C$22)^3)</f>
        <v>101.34782222988625</v>
      </c>
      <c r="K4275" s="75">
        <f>'THAM_SO_MOI'!$C$31*J4275/E4275</f>
        <v>429.77366258437576</v>
      </c>
      <c r="L4275" s="75">
        <f>K4275*'THAM_SO_MOI'!$C$53*'THAM_SO_MOI'!$C$17/'THAM_SO_MOI'!$C$26</f>
        <v>3769.116702555804</v>
      </c>
      <c r="M4275" s="75">
        <f>'THAM_SO_MOI'!$C$15*'THAM_SO_MOI'!$C$16*F4275^2</f>
        <v>1528.541615252257</v>
      </c>
      <c r="N4275" s="75">
        <f>'THAM_SO_MOI'!$C$12*I4275</f>
        <v>1523.8266944492216</v>
      </c>
      <c r="O4275" s="75">
        <f>M4275+N4275</f>
        <v>3052.3683097014787</v>
      </c>
      <c r="P4275" s="75">
        <f>(MIN(L4275,'THAM_SO_MOI'!$C$41)-O4275)/('THAM_SO_MOI'!$C$11*H4275)</f>
        <v>0.0848423760480972</v>
      </c>
      <c r="Q4275" s="75">
        <f>IF(P4275&gt;0,1/P4275,NA())</f>
        <v>11.78656287788427</v>
      </c>
      <c r="R4275" s="75">
        <f>F4275-F4274</f>
        <v>0.0035868055555567935</v>
      </c>
      <c r="S4275" s="75">
        <f>0.5*(Q4274+Q4275)*R4275</f>
        <v>0.042257579181150424</v>
      </c>
      <c r="T4275" s="75">
        <f>0.5*(F4274*Q4274+F4275*Q4275)*R4275</f>
        <v>0.9659313346313765</v>
      </c>
      <c r="U4275" s="76">
        <f>U4274+S4275</f>
        <v>69.04905735263725</v>
      </c>
      <c r="V4275" s="76">
        <f>V4274+T4275</f>
        <v>1094.8346011128172</v>
      </c>
    </row>
    <row r="4276" spans="1:22" ht="19" customHeight="1">
      <c r="A4276" s="68" t="s">
        <v>378</v>
      </c>
      <c r="B4276" s="74">
        <v>5</v>
      </c>
      <c r="C4276" s="68" t="s">
        <v>363</v>
      </c>
      <c r="D4276" s="68" t="s">
        <v>365</v>
      </c>
      <c r="E4276" s="75">
        <f>60*F4276*'THAM_SO_MOI'!$C$53/(2*PI()*'THAM_SO_MOI'!$C$26)</f>
        <v>2252.6622368421044</v>
      </c>
      <c r="F4276" s="75">
        <f>'THAM_SO_MOI'!$C$14+('THAM_SO_MOI'!$C$37-'THAM_SO_MOI'!$C$14)*185/'THAM_SO_MOI'!$C$42</f>
        <v>22.863559027777775</v>
      </c>
      <c r="G4276" s="75">
        <f>3.6*F4276</f>
        <v>82.30881249999999</v>
      </c>
      <c r="H4276" s="75">
        <f>'THAM_SO_MOI'!$D$53</f>
        <v>1.1</v>
      </c>
      <c r="I4276" s="75">
        <f>IF(F4276&gt;='THAM_SO_MOI'!$C$14,'THAM_SO_MOI'!$C$13*(1+F4276^2/1500),'THAM_SO_MOI'!$C$13)</f>
        <v>0.020227423314166784</v>
      </c>
      <c r="J4276" s="75">
        <f>'THAM_SO_MOI'!$C$40*('THAM_SO_MOI'!$C$23*(E4276/'THAM_SO_MOI'!$C$22)+'THAM_SO_MOI'!$C$24*(E4276/'THAM_SO_MOI'!$C$22)^2-'THAM_SO_MOI'!$C$25*(E4276/'THAM_SO_MOI'!$C$22)^3)</f>
        <v>101.36303009611716</v>
      </c>
      <c r="K4276" s="75">
        <f>'THAM_SO_MOI'!$C$31*J4276/E4276</f>
        <v>429.77072032174226</v>
      </c>
      <c r="L4276" s="75">
        <f>K4276*'THAM_SO_MOI'!$C$53*'THAM_SO_MOI'!$C$17/'THAM_SO_MOI'!$C$26</f>
        <v>3769.0908989009954</v>
      </c>
      <c r="M4276" s="75">
        <f>'THAM_SO_MOI'!$C$15*'THAM_SO_MOI'!$C$16*F4276^2</f>
        <v>1529.021319393785</v>
      </c>
      <c r="N4276" s="75">
        <f>'THAM_SO_MOI'!$C$12*I4276</f>
        <v>1523.950254427977</v>
      </c>
      <c r="O4276" s="75">
        <f>M4276+N4276</f>
        <v>3052.971573821762</v>
      </c>
      <c r="P4276" s="75">
        <f>(MIN(L4276,'THAM_SO_MOI'!$C$41)-O4276)/('THAM_SO_MOI'!$C$11*H4276)</f>
        <v>0.08476791253305323</v>
      </c>
      <c r="Q4276" s="75">
        <f>IF(P4276&gt;0,1/P4276,NA())</f>
        <v>11.796916664782488</v>
      </c>
      <c r="R4276" s="75">
        <f>F4276-F4275</f>
        <v>0.0035868055555532408</v>
      </c>
      <c r="S4276" s="75">
        <f>0.5*(Q4275+Q4276)*R4276</f>
        <v>0.04229467772145667</v>
      </c>
      <c r="T4276" s="75">
        <f>0.5*(F4275*Q4275+F4276*Q4276)*R4276</f>
        <v>0.9669310425536691</v>
      </c>
      <c r="U4276" s="76">
        <f>U4275+S4276</f>
        <v>69.0913520303587</v>
      </c>
      <c r="V4276" s="76">
        <f>V4275+T4276</f>
        <v>1095.8015321553708</v>
      </c>
    </row>
    <row r="4277" spans="1:22" ht="19" customHeight="1">
      <c r="A4277" s="68" t="s">
        <v>378</v>
      </c>
      <c r="B4277" s="74">
        <v>5</v>
      </c>
      <c r="C4277" s="68" t="s">
        <v>363</v>
      </c>
      <c r="D4277" s="68" t="s">
        <v>365</v>
      </c>
      <c r="E4277" s="75">
        <f>60*F4277*'THAM_SO_MOI'!$C$53/(2*PI()*'THAM_SO_MOI'!$C$26)</f>
        <v>2253.015631578947</v>
      </c>
      <c r="F4277" s="75">
        <f>'THAM_SO_MOI'!$C$14+('THAM_SO_MOI'!$C$37-'THAM_SO_MOI'!$C$14)*186/'THAM_SO_MOI'!$C$42</f>
        <v>22.867145833333332</v>
      </c>
      <c r="G4277" s="75">
        <f>3.6*F4277</f>
        <v>82.321725</v>
      </c>
      <c r="H4277" s="75">
        <f>'THAM_SO_MOI'!$D$53</f>
        <v>1.1</v>
      </c>
      <c r="I4277" s="75">
        <f>IF(F4277&gt;='THAM_SO_MOI'!$C$14,'THAM_SO_MOI'!$C$13*(1+F4277^2/1500),'THAM_SO_MOI'!$C$13)</f>
        <v>0.02022906358562934</v>
      </c>
      <c r="J4277" s="75">
        <f>'THAM_SO_MOI'!$C$40*('THAM_SO_MOI'!$C$23*(E4277/'THAM_SO_MOI'!$C$22)+'THAM_SO_MOI'!$C$24*(E4277/'THAM_SO_MOI'!$C$22)^2-'THAM_SO_MOI'!$C$25*(E4277/'THAM_SO_MOI'!$C$22)^3)</f>
        <v>101.37823488656962</v>
      </c>
      <c r="K4277" s="75">
        <f>'THAM_SO_MOI'!$C$31*J4277/E4277</f>
        <v>429.76776594312423</v>
      </c>
      <c r="L4277" s="75">
        <f>K4277*'THAM_SO_MOI'!$C$53*'THAM_SO_MOI'!$C$17/'THAM_SO_MOI'!$C$26</f>
        <v>3769.064988988954</v>
      </c>
      <c r="M4277" s="75">
        <f>'THAM_SO_MOI'!$C$15*'THAM_SO_MOI'!$C$16*F4277^2</f>
        <v>1529.5010987965818</v>
      </c>
      <c r="N4277" s="75">
        <f>'THAM_SO_MOI'!$C$12*I4277</f>
        <v>1524.073833792183</v>
      </c>
      <c r="O4277" s="75">
        <f>M4277+N4277</f>
        <v>3053.5749325887646</v>
      </c>
      <c r="P4277" s="75">
        <f>(MIN(L4277,'THAM_SO_MOI'!$C$41)-O4277)/('THAM_SO_MOI'!$C$11*H4277)</f>
        <v>0.08469342523676482</v>
      </c>
      <c r="Q4277" s="75">
        <f>IF(P4277&gt;0,1/P4277,NA())</f>
        <v>11.807291973425903</v>
      </c>
      <c r="R4277" s="75">
        <f>F4277-F4276</f>
        <v>0.0035868055555567935</v>
      </c>
      <c r="S4277" s="75">
        <f>0.5*(Q4276+Q4277)*R4277</f>
        <v>0.042331853339023756</v>
      </c>
      <c r="T4277" s="75">
        <f>0.5*(F4276*Q4276+F4277*Q4277)*R4277</f>
        <v>0.9679327790054061</v>
      </c>
      <c r="U4277" s="76">
        <f>U4276+S4277</f>
        <v>69.13368388369773</v>
      </c>
      <c r="V4277" s="76">
        <f>V4276+T4277</f>
        <v>1096.7694649343762</v>
      </c>
    </row>
    <row r="4278" spans="1:22" ht="19" customHeight="1">
      <c r="A4278" s="68" t="s">
        <v>378</v>
      </c>
      <c r="B4278" s="74">
        <v>5</v>
      </c>
      <c r="C4278" s="68" t="s">
        <v>363</v>
      </c>
      <c r="D4278" s="68" t="s">
        <v>365</v>
      </c>
      <c r="E4278" s="75">
        <f>60*F4278*'THAM_SO_MOI'!$C$53/(2*PI()*'THAM_SO_MOI'!$C$26)</f>
        <v>2253.369026315789</v>
      </c>
      <c r="F4278" s="75">
        <f>'THAM_SO_MOI'!$C$14+('THAM_SO_MOI'!$C$37-'THAM_SO_MOI'!$C$14)*187/'THAM_SO_MOI'!$C$42</f>
        <v>22.87073263888889</v>
      </c>
      <c r="G4278" s="75">
        <f>3.6*F4278</f>
        <v>82.3346375</v>
      </c>
      <c r="H4278" s="75">
        <f>'THAM_SO_MOI'!$D$53</f>
        <v>1.1</v>
      </c>
      <c r="I4278" s="75">
        <f>IF(F4278&gt;='THAM_SO_MOI'!$C$14,'THAM_SO_MOI'!$C$13*(1+F4278^2/1500),'THAM_SO_MOI'!$C$13)</f>
        <v>0.020230704114395374</v>
      </c>
      <c r="J4278" s="75">
        <f>'THAM_SO_MOI'!$C$40*('THAM_SO_MOI'!$C$23*(E4278/'THAM_SO_MOI'!$C$22)+'THAM_SO_MOI'!$C$24*(E4278/'THAM_SO_MOI'!$C$22)^2-'THAM_SO_MOI'!$C$25*(E4278/'THAM_SO_MOI'!$C$22)^3)</f>
        <v>101.39343659989873</v>
      </c>
      <c r="K4278" s="75">
        <f>'THAM_SO_MOI'!$C$31*J4278/E4278</f>
        <v>429.76479944852184</v>
      </c>
      <c r="L4278" s="75">
        <f>K4278*'THAM_SO_MOI'!$C$53*'THAM_SO_MOI'!$C$17/'THAM_SO_MOI'!$C$26</f>
        <v>3769.038972819684</v>
      </c>
      <c r="M4278" s="75">
        <f>'THAM_SO_MOI'!$C$15*'THAM_SO_MOI'!$C$16*F4278^2</f>
        <v>1529.9809534606475</v>
      </c>
      <c r="N4278" s="75">
        <f>'THAM_SO_MOI'!$C$12*I4278</f>
        <v>1524.1974325418391</v>
      </c>
      <c r="O4278" s="75">
        <f>M4278+N4278</f>
        <v>3054.1783860024866</v>
      </c>
      <c r="P4278" s="75">
        <f>(MIN(L4278,'THAM_SO_MOI'!$C$41)-O4278)/('THAM_SO_MOI'!$C$11*H4278)</f>
        <v>0.08461891415923267</v>
      </c>
      <c r="Q4278" s="75">
        <f>IF(P4278&gt;0,1/P4278,NA())</f>
        <v>11.817688869396715</v>
      </c>
      <c r="R4278" s="75">
        <f>F4278-F4277</f>
        <v>0.0035868055555567935</v>
      </c>
      <c r="S4278" s="75">
        <f>0.5*(Q4277+Q4278)*R4278</f>
        <v>0.042369106268479485</v>
      </c>
      <c r="T4278" s="75">
        <f>0.5*(F4277*Q4277+F4278*Q4278)*R4278</f>
        <v>0.968936550181661</v>
      </c>
      <c r="U4278" s="76">
        <f>U4277+S4278</f>
        <v>69.17605298996621</v>
      </c>
      <c r="V4278" s="76">
        <f>V4277+T4278</f>
        <v>1097.738401484558</v>
      </c>
    </row>
    <row r="4279" spans="1:22" ht="19" customHeight="1">
      <c r="A4279" s="68" t="s">
        <v>378</v>
      </c>
      <c r="B4279" s="74">
        <v>5</v>
      </c>
      <c r="C4279" s="68" t="s">
        <v>363</v>
      </c>
      <c r="D4279" s="68" t="s">
        <v>365</v>
      </c>
      <c r="E4279" s="75">
        <f>60*F4279*'THAM_SO_MOI'!$C$53/(2*PI()*'THAM_SO_MOI'!$C$26)</f>
        <v>2253.722421052631</v>
      </c>
      <c r="F4279" s="75">
        <f>'THAM_SO_MOI'!$C$14+('THAM_SO_MOI'!$C$37-'THAM_SO_MOI'!$C$14)*188/'THAM_SO_MOI'!$C$42</f>
        <v>22.874319444444442</v>
      </c>
      <c r="G4279" s="75">
        <f>3.6*F4279</f>
        <v>82.34755</v>
      </c>
      <c r="H4279" s="75">
        <f>'THAM_SO_MOI'!$D$53</f>
        <v>1.1</v>
      </c>
      <c r="I4279" s="75">
        <f>IF(F4279&gt;='THAM_SO_MOI'!$C$14,'THAM_SO_MOI'!$C$13*(1+F4279^2/1500),'THAM_SO_MOI'!$C$13)</f>
        <v>0.02023234490046489</v>
      </c>
      <c r="J4279" s="75">
        <f>'THAM_SO_MOI'!$C$40*('THAM_SO_MOI'!$C$23*(E4279/'THAM_SO_MOI'!$C$22)+'THAM_SO_MOI'!$C$24*(E4279/'THAM_SO_MOI'!$C$22)^2-'THAM_SO_MOI'!$C$25*(E4279/'THAM_SO_MOI'!$C$22)^3)</f>
        <v>101.4086352347596</v>
      </c>
      <c r="K4279" s="75">
        <f>'THAM_SO_MOI'!$C$31*J4279/E4279</f>
        <v>429.7618208379349</v>
      </c>
      <c r="L4279" s="75">
        <f>K4279*'THAM_SO_MOI'!$C$53*'THAM_SO_MOI'!$C$17/'THAM_SO_MOI'!$C$26</f>
        <v>3769.0128503931815</v>
      </c>
      <c r="M4279" s="75">
        <f>'THAM_SO_MOI'!$C$15*'THAM_SO_MOI'!$C$16*F4279^2</f>
        <v>1530.4608833859807</v>
      </c>
      <c r="N4279" s="75">
        <f>'THAM_SO_MOI'!$C$12*I4279</f>
        <v>1524.321050676945</v>
      </c>
      <c r="O4279" s="75">
        <f>M4279+N4279</f>
        <v>3054.7819340629258</v>
      </c>
      <c r="P4279" s="75">
        <f>(MIN(L4279,'THAM_SO_MOI'!$C$41)-O4279)/('THAM_SO_MOI'!$C$11*H4279)</f>
        <v>0.0845443793004564</v>
      </c>
      <c r="Q4279" s="75">
        <f>IF(P4279&gt;0,1/P4279,NA())</f>
        <v>11.828107418544874</v>
      </c>
      <c r="R4279" s="75">
        <f>F4279-F4278</f>
        <v>0.0035868055555532408</v>
      </c>
      <c r="S4279" s="75">
        <f>0.5*(Q4278+Q4279)*R4279</f>
        <v>0.04240643674553454</v>
      </c>
      <c r="T4279" s="75">
        <f>0.5*(F4278*Q4278+F4279*Q4279)*R4279</f>
        <v>0.9699423623056412</v>
      </c>
      <c r="U4279" s="76">
        <f>U4278+S4279</f>
        <v>69.21845942671175</v>
      </c>
      <c r="V4279" s="76">
        <f>V4278+T4279</f>
        <v>1098.7083438468635</v>
      </c>
    </row>
    <row r="4280" spans="1:22" ht="19" customHeight="1">
      <c r="A4280" s="68" t="s">
        <v>378</v>
      </c>
      <c r="B4280" s="74">
        <v>5</v>
      </c>
      <c r="C4280" s="68" t="s">
        <v>363</v>
      </c>
      <c r="D4280" s="68" t="s">
        <v>365</v>
      </c>
      <c r="E4280" s="75">
        <f>60*F4280*'THAM_SO_MOI'!$C$53/(2*PI()*'THAM_SO_MOI'!$C$26)</f>
        <v>2254.075815789473</v>
      </c>
      <c r="F4280" s="75">
        <f>'THAM_SO_MOI'!$C$14+('THAM_SO_MOI'!$C$37-'THAM_SO_MOI'!$C$14)*189/'THAM_SO_MOI'!$C$42</f>
        <v>22.87790625</v>
      </c>
      <c r="G4280" s="75">
        <f>3.6*F4280</f>
        <v>82.3604625</v>
      </c>
      <c r="H4280" s="75">
        <f>'THAM_SO_MOI'!$D$53</f>
        <v>1.1</v>
      </c>
      <c r="I4280" s="75">
        <f>IF(F4280&gt;='THAM_SO_MOI'!$C$14,'THAM_SO_MOI'!$C$13*(1+F4280^2/1500),'THAM_SO_MOI'!$C$13)</f>
        <v>0.02023398594383789</v>
      </c>
      <c r="J4280" s="75">
        <f>'THAM_SO_MOI'!$C$40*('THAM_SO_MOI'!$C$23*(E4280/'THAM_SO_MOI'!$C$22)+'THAM_SO_MOI'!$C$24*(E4280/'THAM_SO_MOI'!$C$22)^2-'THAM_SO_MOI'!$C$25*(E4280/'THAM_SO_MOI'!$C$22)^3)</f>
        <v>101.42383078980734</v>
      </c>
      <c r="K4280" s="75">
        <f>'THAM_SO_MOI'!$C$31*J4280/E4280</f>
        <v>429.75883011136364</v>
      </c>
      <c r="L4280" s="75">
        <f>K4280*'THAM_SO_MOI'!$C$53*'THAM_SO_MOI'!$C$17/'THAM_SO_MOI'!$C$26</f>
        <v>3768.9866217094486</v>
      </c>
      <c r="M4280" s="75">
        <f>'THAM_SO_MOI'!$C$15*'THAM_SO_MOI'!$C$16*F4280^2</f>
        <v>1530.940888572583</v>
      </c>
      <c r="N4280" s="75">
        <f>'THAM_SO_MOI'!$C$12*I4280</f>
        <v>1524.4446881975018</v>
      </c>
      <c r="O4280" s="75">
        <f>M4280+N4280</f>
        <v>3055.3855767700848</v>
      </c>
      <c r="P4280" s="75">
        <f>(MIN(L4280,'THAM_SO_MOI'!$C$41)-O4280)/('THAM_SO_MOI'!$C$11*H4280)</f>
        <v>0.08446982066043607</v>
      </c>
      <c r="Q4280" s="75">
        <f>IF(P4280&gt;0,1/P4280,NA())</f>
        <v>11.838547686989225</v>
      </c>
      <c r="R4280" s="75">
        <f>F4280-F4279</f>
        <v>0.0035868055555567935</v>
      </c>
      <c r="S4280" s="75">
        <f>0.5*(Q4279+Q4280)*R4280</f>
        <v>0.042443845006988126</v>
      </c>
      <c r="T4280" s="75">
        <f>0.5*(F4279*Q4279+F4280*Q4280)*R4280</f>
        <v>0.9709502216288376</v>
      </c>
      <c r="U4280" s="76">
        <f>U4279+S4280</f>
        <v>69.26090327171873</v>
      </c>
      <c r="V4280" s="76">
        <f>V4279+T4280</f>
        <v>1099.6792940684923</v>
      </c>
    </row>
    <row r="4281" spans="1:22" ht="19" customHeight="1">
      <c r="A4281" s="68" t="s">
        <v>378</v>
      </c>
      <c r="B4281" s="74">
        <v>5</v>
      </c>
      <c r="C4281" s="68" t="s">
        <v>363</v>
      </c>
      <c r="D4281" s="68" t="s">
        <v>365</v>
      </c>
      <c r="E4281" s="75">
        <f>60*F4281*'THAM_SO_MOI'!$C$53/(2*PI()*'THAM_SO_MOI'!$C$26)</f>
        <v>2254.4292105263153</v>
      </c>
      <c r="F4281" s="75">
        <f>'THAM_SO_MOI'!$C$14+('THAM_SO_MOI'!$C$37-'THAM_SO_MOI'!$C$14)*190/'THAM_SO_MOI'!$C$42</f>
        <v>22.881493055555556</v>
      </c>
      <c r="G4281" s="75">
        <f>3.6*F4281</f>
        <v>82.373375</v>
      </c>
      <c r="H4281" s="75">
        <f>'THAM_SO_MOI'!$D$53</f>
        <v>1.1</v>
      </c>
      <c r="I4281" s="75">
        <f>IF(F4281&gt;='THAM_SO_MOI'!$C$14,'THAM_SO_MOI'!$C$13*(1+F4281^2/1500),'THAM_SO_MOI'!$C$13)</f>
        <v>0.02023562724451437</v>
      </c>
      <c r="J4281" s="75">
        <f>'THAM_SO_MOI'!$C$40*('THAM_SO_MOI'!$C$23*(E4281/'THAM_SO_MOI'!$C$22)+'THAM_SO_MOI'!$C$24*(E4281/'THAM_SO_MOI'!$C$22)^2-'THAM_SO_MOI'!$C$25*(E4281/'THAM_SO_MOI'!$C$22)^3)</f>
        <v>101.4390232636971</v>
      </c>
      <c r="K4281" s="75">
        <f>'THAM_SO_MOI'!$C$31*J4281/E4281</f>
        <v>429.7558272688079</v>
      </c>
      <c r="L4281" s="75">
        <f>K4281*'THAM_SO_MOI'!$C$53*'THAM_SO_MOI'!$C$17/'THAM_SO_MOI'!$C$26</f>
        <v>3768.960286768484</v>
      </c>
      <c r="M4281" s="75">
        <f>'THAM_SO_MOI'!$C$15*'THAM_SO_MOI'!$C$16*F4281^2</f>
        <v>1531.4209690204536</v>
      </c>
      <c r="N4281" s="75">
        <f>'THAM_SO_MOI'!$C$12*I4281</f>
        <v>1524.5683451035084</v>
      </c>
      <c r="O4281" s="75">
        <f>M4281+N4281</f>
        <v>3055.989314123962</v>
      </c>
      <c r="P4281" s="75">
        <f>(MIN(L4281,'THAM_SO_MOI'!$C$41)-O4281)/('THAM_SO_MOI'!$C$11*H4281)</f>
        <v>0.0843952382391716</v>
      </c>
      <c r="Q4281" s="75">
        <f>IF(P4281&gt;0,1/P4281,NA())</f>
        <v>11.849009741118964</v>
      </c>
      <c r="R4281" s="75">
        <f>F4281-F4280</f>
        <v>0.0035868055555567935</v>
      </c>
      <c r="S4281" s="75">
        <f>0.5*(Q4280+Q4281)*R4281</f>
        <v>0.04248133129035452</v>
      </c>
      <c r="T4281" s="75">
        <f>0.5*(F4280*Q4280+F4281*Q4281)*R4281</f>
        <v>0.9719601344224991</v>
      </c>
      <c r="U4281" s="76">
        <f>U4280+S4281</f>
        <v>69.30338460300909</v>
      </c>
      <c r="V4281" s="76">
        <f>V4280+T4281</f>
        <v>1100.6512542029147</v>
      </c>
    </row>
    <row r="4282" spans="1:22" ht="19" customHeight="1">
      <c r="A4282" s="68" t="s">
        <v>378</v>
      </c>
      <c r="B4282" s="74">
        <v>5</v>
      </c>
      <c r="C4282" s="68" t="s">
        <v>363</v>
      </c>
      <c r="D4282" s="68" t="s">
        <v>365</v>
      </c>
      <c r="E4282" s="75">
        <f>60*F4282*'THAM_SO_MOI'!$C$53/(2*PI()*'THAM_SO_MOI'!$C$26)</f>
        <v>2254.782605263157</v>
      </c>
      <c r="F4282" s="75">
        <f>'THAM_SO_MOI'!$C$14+('THAM_SO_MOI'!$C$37-'THAM_SO_MOI'!$C$14)*191/'THAM_SO_MOI'!$C$42</f>
        <v>22.88507986111111</v>
      </c>
      <c r="G4282" s="75">
        <f>3.6*F4282</f>
        <v>82.3862875</v>
      </c>
      <c r="H4282" s="75">
        <f>'THAM_SO_MOI'!$D$53</f>
        <v>1.1</v>
      </c>
      <c r="I4282" s="75">
        <f>IF(F4282&gt;='THAM_SO_MOI'!$C$14,'THAM_SO_MOI'!$C$13*(1+F4282^2/1500),'THAM_SO_MOI'!$C$13)</f>
        <v>0.02023726880249433</v>
      </c>
      <c r="J4282" s="75">
        <f>'THAM_SO_MOI'!$C$40*('THAM_SO_MOI'!$C$23*(E4282/'THAM_SO_MOI'!$C$22)+'THAM_SO_MOI'!$C$24*(E4282/'THAM_SO_MOI'!$C$22)^2-'THAM_SO_MOI'!$C$25*(E4282/'THAM_SO_MOI'!$C$22)^3)</f>
        <v>101.45421265508386</v>
      </c>
      <c r="K4282" s="75">
        <f>'THAM_SO_MOI'!$C$31*J4282/E4282</f>
        <v>429.7528123102674</v>
      </c>
      <c r="L4282" s="75">
        <f>K4282*'THAM_SO_MOI'!$C$53*'THAM_SO_MOI'!$C$17/'THAM_SO_MOI'!$C$26</f>
        <v>3768.9338455702873</v>
      </c>
      <c r="M4282" s="75">
        <f>'THAM_SO_MOI'!$C$15*'THAM_SO_MOI'!$C$16*F4282^2</f>
        <v>1531.9011247295923</v>
      </c>
      <c r="N4282" s="75">
        <f>'THAM_SO_MOI'!$C$12*I4282</f>
        <v>1524.692021394965</v>
      </c>
      <c r="O4282" s="75">
        <f>M4282+N4282</f>
        <v>3056.5931461245573</v>
      </c>
      <c r="P4282" s="75">
        <f>(MIN(L4282,'THAM_SO_MOI'!$C$41)-O4282)/('THAM_SO_MOI'!$C$11*H4282)</f>
        <v>0.08432063203666315</v>
      </c>
      <c r="Q4282" s="75">
        <f>IF(P4282&gt;0,1/P4282,NA())</f>
        <v>11.859493647594975</v>
      </c>
      <c r="R4282" s="75">
        <f>F4282-F4281</f>
        <v>0.0035868055555532408</v>
      </c>
      <c r="S4282" s="75">
        <f>0.5*(Q4281+Q4282)*R4282</f>
        <v>0.042518895834246</v>
      </c>
      <c r="T4282" s="75">
        <f>0.5*(F4281*Q4281+F4282*Q4282)*R4282</f>
        <v>0.9729721069864076</v>
      </c>
      <c r="U4282" s="76">
        <f>U4281+S4282</f>
        <v>69.34590349884334</v>
      </c>
      <c r="V4282" s="76">
        <f>V4281+T4282</f>
        <v>1101.6242263099011</v>
      </c>
    </row>
    <row r="4283" spans="1:22" ht="19" customHeight="1">
      <c r="A4283" s="68" t="s">
        <v>378</v>
      </c>
      <c r="B4283" s="74">
        <v>5</v>
      </c>
      <c r="C4283" s="68" t="s">
        <v>363</v>
      </c>
      <c r="D4283" s="68" t="s">
        <v>365</v>
      </c>
      <c r="E4283" s="75">
        <f>60*F4283*'THAM_SO_MOI'!$C$53/(2*PI()*'THAM_SO_MOI'!$C$26)</f>
        <v>2255.1359999999995</v>
      </c>
      <c r="F4283" s="75">
        <f>'THAM_SO_MOI'!$C$14+('THAM_SO_MOI'!$C$37-'THAM_SO_MOI'!$C$14)*192/'THAM_SO_MOI'!$C$42</f>
        <v>22.888666666666666</v>
      </c>
      <c r="G4283" s="75">
        <f>3.6*F4283</f>
        <v>82.3992</v>
      </c>
      <c r="H4283" s="75">
        <f>'THAM_SO_MOI'!$D$53</f>
        <v>1.1</v>
      </c>
      <c r="I4283" s="75">
        <f>IF(F4283&gt;='THAM_SO_MOI'!$C$14,'THAM_SO_MOI'!$C$13*(1+F4283^2/1500),'THAM_SO_MOI'!$C$13)</f>
        <v>0.02023891061777778</v>
      </c>
      <c r="J4283" s="75">
        <f>'THAM_SO_MOI'!$C$40*('THAM_SO_MOI'!$C$23*(E4283/'THAM_SO_MOI'!$C$22)+'THAM_SO_MOI'!$C$24*(E4283/'THAM_SO_MOI'!$C$22)^2-'THAM_SO_MOI'!$C$25*(E4283/'THAM_SO_MOI'!$C$22)^3)</f>
        <v>101.46939896262292</v>
      </c>
      <c r="K4283" s="75">
        <f>'THAM_SO_MOI'!$C$31*J4283/E4283</f>
        <v>429.7497852357428</v>
      </c>
      <c r="L4283" s="75">
        <f>K4283*'THAM_SO_MOI'!$C$53*'THAM_SO_MOI'!$C$17/'THAM_SO_MOI'!$C$26</f>
        <v>3768.9072981148615</v>
      </c>
      <c r="M4283" s="75">
        <f>'THAM_SO_MOI'!$C$15*'THAM_SO_MOI'!$C$16*F4283^2</f>
        <v>1532.3813557</v>
      </c>
      <c r="N4283" s="75">
        <f>'THAM_SO_MOI'!$C$12*I4283</f>
        <v>1524.815717071872</v>
      </c>
      <c r="O4283" s="75">
        <f>M4283+N4283</f>
        <v>3057.197072771872</v>
      </c>
      <c r="P4283" s="75">
        <f>(MIN(L4283,'THAM_SO_MOI'!$C$41)-O4283)/('THAM_SO_MOI'!$C$11*H4283)</f>
        <v>0.0842460020529107</v>
      </c>
      <c r="Q4283" s="75">
        <f>IF(P4283&gt;0,1/P4283,NA())</f>
        <v>11.86999947335127</v>
      </c>
      <c r="R4283" s="75">
        <f>F4283-F4282</f>
        <v>0.0035868055555567935</v>
      </c>
      <c r="S4283" s="75">
        <f>0.5*(Q4282+Q4283)*R4283</f>
        <v>0.042556538878378354</v>
      </c>
      <c r="T4283" s="75">
        <f>0.5*(F4282*Q4282+F4283*Q4283)*R4283</f>
        <v>0.9739861456490246</v>
      </c>
      <c r="U4283" s="76">
        <f>U4282+S4283</f>
        <v>69.38846003772171</v>
      </c>
      <c r="V4283" s="76">
        <f>V4282+T4283</f>
        <v>1102.59821245555</v>
      </c>
    </row>
    <row r="4284" spans="1:22" ht="19" customHeight="1">
      <c r="A4284" s="68" t="s">
        <v>378</v>
      </c>
      <c r="B4284" s="74">
        <v>5</v>
      </c>
      <c r="C4284" s="68" t="s">
        <v>363</v>
      </c>
      <c r="D4284" s="68" t="s">
        <v>365</v>
      </c>
      <c r="E4284" s="75">
        <f>60*F4284*'THAM_SO_MOI'!$C$53/(2*PI()*'THAM_SO_MOI'!$C$26)</f>
        <v>2255.4893947368414</v>
      </c>
      <c r="F4284" s="75">
        <f>'THAM_SO_MOI'!$C$14+('THAM_SO_MOI'!$C$37-'THAM_SO_MOI'!$C$14)*193/'THAM_SO_MOI'!$C$42</f>
        <v>22.892253472222222</v>
      </c>
      <c r="G4284" s="75">
        <f>3.6*F4284</f>
        <v>82.4121125</v>
      </c>
      <c r="H4284" s="75">
        <f>'THAM_SO_MOI'!$D$53</f>
        <v>1.1</v>
      </c>
      <c r="I4284" s="75">
        <f>IF(F4284&gt;='THAM_SO_MOI'!$C$14,'THAM_SO_MOI'!$C$13*(1+F4284^2/1500),'THAM_SO_MOI'!$C$13)</f>
        <v>0.0202405526903647</v>
      </c>
      <c r="J4284" s="75">
        <f>'THAM_SO_MOI'!$C$40*('THAM_SO_MOI'!$C$23*(E4284/'THAM_SO_MOI'!$C$22)+'THAM_SO_MOI'!$C$24*(E4284/'THAM_SO_MOI'!$C$22)^2-'THAM_SO_MOI'!$C$25*(E4284/'THAM_SO_MOI'!$C$22)^3)</f>
        <v>101.48458218496926</v>
      </c>
      <c r="K4284" s="75">
        <f>'THAM_SO_MOI'!$C$31*J4284/E4284</f>
        <v>429.7467460452337</v>
      </c>
      <c r="L4284" s="75">
        <f>K4284*'THAM_SO_MOI'!$C$53*'THAM_SO_MOI'!$C$17/'THAM_SO_MOI'!$C$26</f>
        <v>3768.880644402205</v>
      </c>
      <c r="M4284" s="75">
        <f>'THAM_SO_MOI'!$C$15*'THAM_SO_MOI'!$C$16*F4284^2</f>
        <v>1532.861661931676</v>
      </c>
      <c r="N4284" s="75">
        <f>'THAM_SO_MOI'!$C$12*I4284</f>
        <v>1524.939432134229</v>
      </c>
      <c r="O4284" s="75">
        <f>M4284+N4284</f>
        <v>3057.801094065905</v>
      </c>
      <c r="P4284" s="75">
        <f>(MIN(L4284,'THAM_SO_MOI'!$C$41)-O4284)/('THAM_SO_MOI'!$C$11*H4284)</f>
        <v>0.08417134828791424</v>
      </c>
      <c r="Q4284" s="75">
        <f>IF(P4284&gt;0,1/P4284,NA())</f>
        <v>11.880527285596365</v>
      </c>
      <c r="R4284" s="75">
        <f>F4284-F4283</f>
        <v>0.0035868055555567935</v>
      </c>
      <c r="S4284" s="75">
        <f>0.5*(Q4283+Q4284)*R4284</f>
        <v>0.04259426066319683</v>
      </c>
      <c r="T4284" s="75">
        <f>0.5*(F4283*Q4283+F4284*Q4284)*R4284</f>
        <v>0.9750022567589495</v>
      </c>
      <c r="U4284" s="76">
        <f>U4283+S4284</f>
        <v>69.43105429838491</v>
      </c>
      <c r="V4284" s="76">
        <f>V4283+T4284</f>
        <v>1103.573214712309</v>
      </c>
    </row>
    <row r="4285" spans="1:22" ht="19" customHeight="1">
      <c r="A4285" s="68" t="s">
        <v>378</v>
      </c>
      <c r="B4285" s="74">
        <v>5</v>
      </c>
      <c r="C4285" s="68" t="s">
        <v>363</v>
      </c>
      <c r="D4285" s="68" t="s">
        <v>365</v>
      </c>
      <c r="E4285" s="75">
        <f>60*F4285*'THAM_SO_MOI'!$C$53/(2*PI()*'THAM_SO_MOI'!$C$26)</f>
        <v>2255.8427894736838</v>
      </c>
      <c r="F4285" s="75">
        <f>'THAM_SO_MOI'!$C$14+('THAM_SO_MOI'!$C$37-'THAM_SO_MOI'!$C$14)*194/'THAM_SO_MOI'!$C$42</f>
        <v>22.895840277777776</v>
      </c>
      <c r="G4285" s="75">
        <f>3.6*F4285</f>
        <v>82.42502499999999</v>
      </c>
      <c r="H4285" s="75">
        <f>'THAM_SO_MOI'!$D$53</f>
        <v>1.1</v>
      </c>
      <c r="I4285" s="75">
        <f>IF(F4285&gt;='THAM_SO_MOI'!$C$14,'THAM_SO_MOI'!$C$13*(1+F4285^2/1500),'THAM_SO_MOI'!$C$13)</f>
        <v>0.02024219502025511</v>
      </c>
      <c r="J4285" s="75">
        <f>'THAM_SO_MOI'!$C$40*('THAM_SO_MOI'!$C$23*(E4285/'THAM_SO_MOI'!$C$22)+'THAM_SO_MOI'!$C$24*(E4285/'THAM_SO_MOI'!$C$22)^2-'THAM_SO_MOI'!$C$25*(E4285/'THAM_SO_MOI'!$C$22)^3)</f>
        <v>101.49976232077803</v>
      </c>
      <c r="K4285" s="75">
        <f>'THAM_SO_MOI'!$C$31*J4285/E4285</f>
        <v>429.74369473874003</v>
      </c>
      <c r="L4285" s="75">
        <f>K4285*'THAM_SO_MOI'!$C$53*'THAM_SO_MOI'!$C$17/'THAM_SO_MOI'!$C$26</f>
        <v>3768.853884432315</v>
      </c>
      <c r="M4285" s="75">
        <f>'THAM_SO_MOI'!$C$15*'THAM_SO_MOI'!$C$16*F4285^2</f>
        <v>1533.3420434246202</v>
      </c>
      <c r="N4285" s="75">
        <f>'THAM_SO_MOI'!$C$12*I4285</f>
        <v>1525.0631665820363</v>
      </c>
      <c r="O4285" s="75">
        <f>M4285+N4285</f>
        <v>3058.4052100066565</v>
      </c>
      <c r="P4285" s="75">
        <f>(MIN(L4285,'THAM_SO_MOI'!$C$41)-O4285)/('THAM_SO_MOI'!$C$11*H4285)</f>
        <v>0.0840966707416736</v>
      </c>
      <c r="Q4285" s="75">
        <f>IF(P4285&gt;0,1/P4285,NA())</f>
        <v>11.891077151814716</v>
      </c>
      <c r="R4285" s="75">
        <f>F4285-F4284</f>
        <v>0.0035868055555532408</v>
      </c>
      <c r="S4285" s="75">
        <f>0.5*(Q4284+Q4285)*R4285</f>
        <v>0.04263206143026007</v>
      </c>
      <c r="T4285" s="75">
        <f>0.5*(F4284*Q4284+F4285*Q4285)*R4285</f>
        <v>0.97602044669372</v>
      </c>
      <c r="U4285" s="76">
        <f>U4284+S4285</f>
        <v>69.47368635981516</v>
      </c>
      <c r="V4285" s="76">
        <f>V4284+T4285</f>
        <v>1104.5492351590026</v>
      </c>
    </row>
    <row r="4286" spans="1:22" ht="19" customHeight="1">
      <c r="A4286" s="68" t="s">
        <v>378</v>
      </c>
      <c r="B4286" s="74">
        <v>5</v>
      </c>
      <c r="C4286" s="68" t="s">
        <v>363</v>
      </c>
      <c r="D4286" s="68" t="s">
        <v>365</v>
      </c>
      <c r="E4286" s="75">
        <f>60*F4286*'THAM_SO_MOI'!$C$53/(2*PI()*'THAM_SO_MOI'!$C$26)</f>
        <v>2256.196184210526</v>
      </c>
      <c r="F4286" s="75">
        <f>'THAM_SO_MOI'!$C$14+('THAM_SO_MOI'!$C$37-'THAM_SO_MOI'!$C$14)*195/'THAM_SO_MOI'!$C$42</f>
        <v>22.899427083333332</v>
      </c>
      <c r="G4286" s="75">
        <f>3.6*F4286</f>
        <v>82.4379375</v>
      </c>
      <c r="H4286" s="75">
        <f>'THAM_SO_MOI'!$D$53</f>
        <v>1.1</v>
      </c>
      <c r="I4286" s="75">
        <f>IF(F4286&gt;='THAM_SO_MOI'!$C$14,'THAM_SO_MOI'!$C$13*(1+F4286^2/1500),'THAM_SO_MOI'!$C$13)</f>
        <v>0.020243837607449</v>
      </c>
      <c r="J4286" s="75">
        <f>'THAM_SO_MOI'!$C$40*('THAM_SO_MOI'!$C$23*(E4286/'THAM_SO_MOI'!$C$22)+'THAM_SO_MOI'!$C$24*(E4286/'THAM_SO_MOI'!$C$22)^2-'THAM_SO_MOI'!$C$25*(E4286/'THAM_SO_MOI'!$C$22)^3)</f>
        <v>101.51493936870436</v>
      </c>
      <c r="K4286" s="75">
        <f>'THAM_SO_MOI'!$C$31*J4286/E4286</f>
        <v>429.74063131626207</v>
      </c>
      <c r="L4286" s="75">
        <f>K4286*'THAM_SO_MOI'!$C$53*'THAM_SO_MOI'!$C$17/'THAM_SO_MOI'!$C$26</f>
        <v>3768.8270182051965</v>
      </c>
      <c r="M4286" s="75">
        <f>'THAM_SO_MOI'!$C$15*'THAM_SO_MOI'!$C$16*F4286^2</f>
        <v>1533.822500178833</v>
      </c>
      <c r="N4286" s="75">
        <f>'THAM_SO_MOI'!$C$12*I4286</f>
        <v>1525.1869204152938</v>
      </c>
      <c r="O4286" s="75">
        <f>M4286+N4286</f>
        <v>3059.009420594127</v>
      </c>
      <c r="P4286" s="75">
        <f>(MIN(L4286,'THAM_SO_MOI'!$C$41)-O4286)/('THAM_SO_MOI'!$C$11*H4286)</f>
        <v>0.08402196941418909</v>
      </c>
      <c r="Q4286" s="75">
        <f>IF(P4286&gt;0,1/P4286,NA())</f>
        <v>11.901649139768038</v>
      </c>
      <c r="R4286" s="75">
        <f>F4286-F4285</f>
        <v>0.0035868055555567935</v>
      </c>
      <c r="S4286" s="75">
        <f>0.5*(Q4285+Q4286)*R4286</f>
        <v>0.0426699414222456</v>
      </c>
      <c r="T4286" s="75">
        <f>0.5*(F4285*Q4285+F4286*Q4286)*R4286</f>
        <v>0.9770407218599599</v>
      </c>
      <c r="U4286" s="76">
        <f>U4285+S4286</f>
        <v>69.51635630123741</v>
      </c>
      <c r="V4286" s="76">
        <f>V4285+T4286</f>
        <v>1105.5262758808626</v>
      </c>
    </row>
    <row r="4287" spans="1:22" ht="19" customHeight="1">
      <c r="A4287" s="68" t="s">
        <v>378</v>
      </c>
      <c r="B4287" s="74">
        <v>5</v>
      </c>
      <c r="C4287" s="68" t="s">
        <v>363</v>
      </c>
      <c r="D4287" s="68" t="s">
        <v>365</v>
      </c>
      <c r="E4287" s="75">
        <f>60*F4287*'THAM_SO_MOI'!$C$53/(2*PI()*'THAM_SO_MOI'!$C$26)</f>
        <v>2256.549578947368</v>
      </c>
      <c r="F4287" s="75">
        <f>'THAM_SO_MOI'!$C$14+('THAM_SO_MOI'!$C$37-'THAM_SO_MOI'!$C$14)*196/'THAM_SO_MOI'!$C$42</f>
        <v>22.90301388888889</v>
      </c>
      <c r="G4287" s="75">
        <f>3.6*F4287</f>
        <v>82.45085</v>
      </c>
      <c r="H4287" s="75">
        <f>'THAM_SO_MOI'!$D$53</f>
        <v>1.1</v>
      </c>
      <c r="I4287" s="75">
        <f>IF(F4287&gt;='THAM_SO_MOI'!$C$14,'THAM_SO_MOI'!$C$13*(1+F4287^2/1500),'THAM_SO_MOI'!$C$13)</f>
        <v>0.020245480451946372</v>
      </c>
      <c r="J4287" s="75">
        <f>'THAM_SO_MOI'!$C$40*('THAM_SO_MOI'!$C$23*(E4287/'THAM_SO_MOI'!$C$22)+'THAM_SO_MOI'!$C$24*(E4287/'THAM_SO_MOI'!$C$22)^2-'THAM_SO_MOI'!$C$25*(E4287/'THAM_SO_MOI'!$C$22)^3)</f>
        <v>101.53011332740326</v>
      </c>
      <c r="K4287" s="75">
        <f>'THAM_SO_MOI'!$C$31*J4287/E4287</f>
        <v>429.73755577779934</v>
      </c>
      <c r="L4287" s="75">
        <f>K4287*'THAM_SO_MOI'!$C$53*'THAM_SO_MOI'!$C$17/'THAM_SO_MOI'!$C$26</f>
        <v>3768.8000457208436</v>
      </c>
      <c r="M4287" s="75">
        <f>'THAM_SO_MOI'!$C$15*'THAM_SO_MOI'!$C$16*F4287^2</f>
        <v>1534.3030321943145</v>
      </c>
      <c r="N4287" s="75">
        <f>'THAM_SO_MOI'!$C$12*I4287</f>
        <v>1525.3106936340014</v>
      </c>
      <c r="O4287" s="75">
        <f>M4287+N4287</f>
        <v>3059.613725828316</v>
      </c>
      <c r="P4287" s="75">
        <f>(MIN(L4287,'THAM_SO_MOI'!$C$41)-O4287)/('THAM_SO_MOI'!$C$11*H4287)</f>
        <v>0.08394724430546023</v>
      </c>
      <c r="Q4287" s="75">
        <f>IF(P4287&gt;0,1/P4287,NA())</f>
        <v>11.91224331749692</v>
      </c>
      <c r="R4287" s="75">
        <f>F4287-F4286</f>
        <v>0.0035868055555567935</v>
      </c>
      <c r="S4287" s="75">
        <f>0.5*(Q4286+Q4287)*R4287</f>
        <v>0.04270790088257498</v>
      </c>
      <c r="T4287" s="75">
        <f>0.5*(F4286*Q4286+F4287*Q4287)*R4287</f>
        <v>0.9780630886848143</v>
      </c>
      <c r="U4287" s="76">
        <f>U4286+S4287</f>
        <v>69.55906420211998</v>
      </c>
      <c r="V4287" s="76">
        <f>V4286+T4287</f>
        <v>1106.5043389695475</v>
      </c>
    </row>
    <row r="4288" spans="1:22" ht="19" customHeight="1">
      <c r="A4288" s="68" t="s">
        <v>378</v>
      </c>
      <c r="B4288" s="74">
        <v>5</v>
      </c>
      <c r="C4288" s="68" t="s">
        <v>363</v>
      </c>
      <c r="D4288" s="68" t="s">
        <v>365</v>
      </c>
      <c r="E4288" s="75">
        <f>60*F4288*'THAM_SO_MOI'!$C$53/(2*PI()*'THAM_SO_MOI'!$C$26)</f>
        <v>2256.90297368421</v>
      </c>
      <c r="F4288" s="75">
        <f>'THAM_SO_MOI'!$C$14+('THAM_SO_MOI'!$C$37-'THAM_SO_MOI'!$C$14)*197/'THAM_SO_MOI'!$C$42</f>
        <v>22.906600694444442</v>
      </c>
      <c r="G4288" s="75">
        <f>3.6*F4288</f>
        <v>82.4637625</v>
      </c>
      <c r="H4288" s="75">
        <f>'THAM_SO_MOI'!$D$53</f>
        <v>1.1</v>
      </c>
      <c r="I4288" s="75">
        <f>IF(F4288&gt;='THAM_SO_MOI'!$C$14,'THAM_SO_MOI'!$C$13*(1+F4288^2/1500),'THAM_SO_MOI'!$C$13)</f>
        <v>0.020247123553747227</v>
      </c>
      <c r="J4288" s="75">
        <f>'THAM_SO_MOI'!$C$40*('THAM_SO_MOI'!$C$23*(E4288/'THAM_SO_MOI'!$C$22)+'THAM_SO_MOI'!$C$24*(E4288/'THAM_SO_MOI'!$C$22)^2-'THAM_SO_MOI'!$C$25*(E4288/'THAM_SO_MOI'!$C$22)^3)</f>
        <v>101.54528419552996</v>
      </c>
      <c r="K4288" s="75">
        <f>'THAM_SO_MOI'!$C$31*J4288/E4288</f>
        <v>429.7344681233525</v>
      </c>
      <c r="L4288" s="75">
        <f>K4288*'THAM_SO_MOI'!$C$53*'THAM_SO_MOI'!$C$17/'THAM_SO_MOI'!$C$26</f>
        <v>3768.772966979263</v>
      </c>
      <c r="M4288" s="75">
        <f>'THAM_SO_MOI'!$C$15*'THAM_SO_MOI'!$C$16*F4288^2</f>
        <v>1534.7836394710637</v>
      </c>
      <c r="N4288" s="75">
        <f>'THAM_SO_MOI'!$C$12*I4288</f>
        <v>1525.4344862381593</v>
      </c>
      <c r="O4288" s="75">
        <f>M4288+N4288</f>
        <v>3060.218125709223</v>
      </c>
      <c r="P4288" s="75">
        <f>(MIN(L4288,'THAM_SO_MOI'!$C$41)-O4288)/('THAM_SO_MOI'!$C$11*H4288)</f>
        <v>0.08387249541548772</v>
      </c>
      <c r="Q4288" s="75">
        <f>IF(P4288&gt;0,1/P4288,NA())</f>
        <v>11.922859753321971</v>
      </c>
      <c r="R4288" s="75">
        <f>F4288-F4287</f>
        <v>0.0035868055555532408</v>
      </c>
      <c r="S4288" s="75">
        <f>0.5*(Q4287+Q4288)*R4288</f>
        <v>0.04274594005579865</v>
      </c>
      <c r="T4288" s="75">
        <f>0.5*(F4287*Q4287+F4288*Q4288)*R4288</f>
        <v>0.9790875536247768</v>
      </c>
      <c r="U4288" s="76">
        <f>U4287+S4288</f>
        <v>69.60181014217578</v>
      </c>
      <c r="V4288" s="76">
        <f>V4287+T4288</f>
        <v>1107.4834265231723</v>
      </c>
    </row>
    <row r="4289" spans="1:22" ht="19" customHeight="1">
      <c r="A4289" s="68" t="s">
        <v>378</v>
      </c>
      <c r="B4289" s="74">
        <v>5</v>
      </c>
      <c r="C4289" s="68" t="s">
        <v>363</v>
      </c>
      <c r="D4289" s="68" t="s">
        <v>365</v>
      </c>
      <c r="E4289" s="75">
        <f>60*F4289*'THAM_SO_MOI'!$C$53/(2*PI()*'THAM_SO_MOI'!$C$26)</f>
        <v>2257.256368421052</v>
      </c>
      <c r="F4289" s="75">
        <f>'THAM_SO_MOI'!$C$14+('THAM_SO_MOI'!$C$37-'THAM_SO_MOI'!$C$14)*198/'THAM_SO_MOI'!$C$42</f>
        <v>22.9101875</v>
      </c>
      <c r="G4289" s="75">
        <f>3.6*F4289</f>
        <v>82.476675</v>
      </c>
      <c r="H4289" s="75">
        <f>'THAM_SO_MOI'!$D$53</f>
        <v>1.1</v>
      </c>
      <c r="I4289" s="75">
        <f>IF(F4289&gt;='THAM_SO_MOI'!$C$14,'THAM_SO_MOI'!$C$13*(1+F4289^2/1500),'THAM_SO_MOI'!$C$13)</f>
        <v>0.020248766912851563</v>
      </c>
      <c r="J4289" s="75">
        <f>'THAM_SO_MOI'!$C$40*('THAM_SO_MOI'!$C$23*(E4289/'THAM_SO_MOI'!$C$22)+'THAM_SO_MOI'!$C$24*(E4289/'THAM_SO_MOI'!$C$22)^2-'THAM_SO_MOI'!$C$25*(E4289/'THAM_SO_MOI'!$C$22)^3)</f>
        <v>101.5604519717395</v>
      </c>
      <c r="K4289" s="75">
        <f>'THAM_SO_MOI'!$C$31*J4289/E4289</f>
        <v>429.731368352921</v>
      </c>
      <c r="L4289" s="75">
        <f>K4289*'THAM_SO_MOI'!$C$53*'THAM_SO_MOI'!$C$17/'THAM_SO_MOI'!$C$26</f>
        <v>3768.7457819804495</v>
      </c>
      <c r="M4289" s="75">
        <f>'THAM_SO_MOI'!$C$15*'THAM_SO_MOI'!$C$16*F4289^2</f>
        <v>1535.2643220090822</v>
      </c>
      <c r="N4289" s="75">
        <f>'THAM_SO_MOI'!$C$12*I4289</f>
        <v>1525.5582982277672</v>
      </c>
      <c r="O4289" s="75">
        <f>M4289+N4289</f>
        <v>3060.8226202368496</v>
      </c>
      <c r="P4289" s="75">
        <f>(MIN(L4289,'THAM_SO_MOI'!$C$41)-O4289)/('THAM_SO_MOI'!$C$11*H4289)</f>
        <v>0.08379772274427084</v>
      </c>
      <c r="Q4289" s="75">
        <f>IF(P4289&gt;0,1/P4289,NA())</f>
        <v>11.933498515845633</v>
      </c>
      <c r="R4289" s="75">
        <f>F4289-F4288</f>
        <v>0.0035868055555567935</v>
      </c>
      <c r="S4289" s="75">
        <f>0.5*(Q4288+Q4289)*R4289</f>
        <v>0.04278405918760181</v>
      </c>
      <c r="T4289" s="75">
        <f>0.5*(F4288*Q4288+F4289*Q4289)*R4289</f>
        <v>0.9801141231658462</v>
      </c>
      <c r="U4289" s="76">
        <f>U4288+S4289</f>
        <v>69.64459420136338</v>
      </c>
      <c r="V4289" s="76">
        <f>V4288+T4289</f>
        <v>1108.463540646338</v>
      </c>
    </row>
    <row r="4290" spans="1:22" ht="19" customHeight="1">
      <c r="A4290" s="68" t="s">
        <v>378</v>
      </c>
      <c r="B4290" s="74">
        <v>5</v>
      </c>
      <c r="C4290" s="68" t="s">
        <v>363</v>
      </c>
      <c r="D4290" s="68" t="s">
        <v>365</v>
      </c>
      <c r="E4290" s="75">
        <f>60*F4290*'THAM_SO_MOI'!$C$53/(2*PI()*'THAM_SO_MOI'!$C$26)</f>
        <v>2257.609763157894</v>
      </c>
      <c r="F4290" s="75">
        <f>'THAM_SO_MOI'!$C$14+('THAM_SO_MOI'!$C$37-'THAM_SO_MOI'!$C$14)*199/'THAM_SO_MOI'!$C$42</f>
        <v>22.913774305555556</v>
      </c>
      <c r="G4290" s="75">
        <f>3.6*F4290</f>
        <v>82.4895875</v>
      </c>
      <c r="H4290" s="75">
        <f>'THAM_SO_MOI'!$D$53</f>
        <v>1.1</v>
      </c>
      <c r="I4290" s="75">
        <f>IF(F4290&gt;='THAM_SO_MOI'!$C$14,'THAM_SO_MOI'!$C$13*(1+F4290^2/1500),'THAM_SO_MOI'!$C$13)</f>
        <v>0.02025041052925938</v>
      </c>
      <c r="J4290" s="75">
        <f>'THAM_SO_MOI'!$C$40*('THAM_SO_MOI'!$C$23*(E4290/'THAM_SO_MOI'!$C$22)+'THAM_SO_MOI'!$C$24*(E4290/'THAM_SO_MOI'!$C$22)^2-'THAM_SO_MOI'!$C$25*(E4290/'THAM_SO_MOI'!$C$22)^3)</f>
        <v>101.57561665468702</v>
      </c>
      <c r="K4290" s="75">
        <f>'THAM_SO_MOI'!$C$31*J4290/E4290</f>
        <v>429.728256466505</v>
      </c>
      <c r="L4290" s="75">
        <f>K4290*'THAM_SO_MOI'!$C$53*'THAM_SO_MOI'!$C$17/'THAM_SO_MOI'!$C$26</f>
        <v>3768.718490724404</v>
      </c>
      <c r="M4290" s="75">
        <f>'THAM_SO_MOI'!$C$15*'THAM_SO_MOI'!$C$16*F4290^2</f>
        <v>1535.7450798083687</v>
      </c>
      <c r="N4290" s="75">
        <f>'THAM_SO_MOI'!$C$12*I4290</f>
        <v>1525.6821296028252</v>
      </c>
      <c r="O4290" s="75">
        <f>M4290+N4290</f>
        <v>3061.427209411194</v>
      </c>
      <c r="P4290" s="75">
        <f>(MIN(L4290,'THAM_SO_MOI'!$C$41)-O4290)/('THAM_SO_MOI'!$C$11*H4290)</f>
        <v>0.08372292629180993</v>
      </c>
      <c r="Q4290" s="75">
        <f>IF(P4290&gt;0,1/P4290,NA())</f>
        <v>11.944159673953292</v>
      </c>
      <c r="R4290" s="75">
        <f>F4290-F4289</f>
        <v>0.0035868055555567935</v>
      </c>
      <c r="S4290" s="75">
        <f>0.5*(Q4289+Q4290)*R4290</f>
        <v>0.042822258524428475</v>
      </c>
      <c r="T4290" s="75">
        <f>0.5*(F4289*Q4289+F4290*Q4290)*R4290</f>
        <v>0.9811428038149319</v>
      </c>
      <c r="U4290" s="76">
        <f>U4289+S4290</f>
        <v>69.6874164598878</v>
      </c>
      <c r="V4290" s="76">
        <f>V4289+T4290</f>
        <v>1109.444683450153</v>
      </c>
    </row>
    <row r="4291" spans="1:22" ht="19" customHeight="1">
      <c r="A4291" s="68" t="s">
        <v>378</v>
      </c>
      <c r="B4291" s="74">
        <v>5</v>
      </c>
      <c r="C4291" s="68" t="s">
        <v>363</v>
      </c>
      <c r="D4291" s="68" t="s">
        <v>365</v>
      </c>
      <c r="E4291" s="75">
        <f>60*F4291*'THAM_SO_MOI'!$C$53/(2*PI()*'THAM_SO_MOI'!$C$26)</f>
        <v>2257.963157894736</v>
      </c>
      <c r="F4291" s="75">
        <f>'THAM_SO_MOI'!$C$14+('THAM_SO_MOI'!$C$37-'THAM_SO_MOI'!$C$14)*200/'THAM_SO_MOI'!$C$42</f>
        <v>22.91736111111111</v>
      </c>
      <c r="G4291" s="75">
        <f>3.6*F4291</f>
        <v>82.5025</v>
      </c>
      <c r="H4291" s="75">
        <f>'THAM_SO_MOI'!$D$53</f>
        <v>1.1</v>
      </c>
      <c r="I4291" s="75">
        <f>IF(F4291&gt;='THAM_SO_MOI'!$C$14,'THAM_SO_MOI'!$C$13*(1+F4291^2/1500),'THAM_SO_MOI'!$C$13)</f>
        <v>0.02025205440297068</v>
      </c>
      <c r="J4291" s="75">
        <f>'THAM_SO_MOI'!$C$40*('THAM_SO_MOI'!$C$23*(E4291/'THAM_SO_MOI'!$C$22)+'THAM_SO_MOI'!$C$24*(E4291/'THAM_SO_MOI'!$C$22)^2-'THAM_SO_MOI'!$C$25*(E4291/'THAM_SO_MOI'!$C$22)^3)</f>
        <v>101.59077824302763</v>
      </c>
      <c r="K4291" s="75">
        <f>'THAM_SO_MOI'!$C$31*J4291/E4291</f>
        <v>429.7251324641046</v>
      </c>
      <c r="L4291" s="75">
        <f>K4291*'THAM_SO_MOI'!$C$53*'THAM_SO_MOI'!$C$17/'THAM_SO_MOI'!$C$26</f>
        <v>3768.691093211129</v>
      </c>
      <c r="M4291" s="75">
        <f>'THAM_SO_MOI'!$C$15*'THAM_SO_MOI'!$C$16*F4291^2</f>
        <v>1536.2259128689236</v>
      </c>
      <c r="N4291" s="75">
        <f>'THAM_SO_MOI'!$C$12*I4291</f>
        <v>1525.8059803633334</v>
      </c>
      <c r="O4291" s="75">
        <f>M4291+N4291</f>
        <v>3062.031893232257</v>
      </c>
      <c r="P4291" s="75">
        <f>(MIN(L4291,'THAM_SO_MOI'!$C$41)-O4291)/('THAM_SO_MOI'!$C$11*H4291)</f>
        <v>0.08364810605810515</v>
      </c>
      <c r="Q4291" s="75">
        <f>IF(P4291&gt;0,1/P4291,NA())</f>
        <v>11.954843296814898</v>
      </c>
      <c r="R4291" s="75">
        <f>F4291-F4290</f>
        <v>0.0035868055555532408</v>
      </c>
      <c r="S4291" s="75">
        <f>0.5*(Q4290+Q4291)*R4291</f>
        <v>0.04286053831386737</v>
      </c>
      <c r="T4291" s="75">
        <f>0.5*(F4290*Q4290+F4291*Q4291)*R4291</f>
        <v>0.9821736021087099</v>
      </c>
      <c r="U4291" s="76">
        <f>U4290+S4291</f>
        <v>69.73027699820166</v>
      </c>
      <c r="V4291" s="76">
        <f>V4290+T4291</f>
        <v>1110.4268570522618</v>
      </c>
    </row>
    <row r="4292" spans="1:22" ht="19" customHeight="1">
      <c r="A4292" s="68" t="s">
        <v>378</v>
      </c>
      <c r="B4292" s="74">
        <v>5</v>
      </c>
      <c r="C4292" s="68" t="s">
        <v>363</v>
      </c>
      <c r="D4292" s="68" t="s">
        <v>365</v>
      </c>
      <c r="E4292" s="75">
        <f>60*F4292*'THAM_SO_MOI'!$C$53/(2*PI()*'THAM_SO_MOI'!$C$26)</f>
        <v>2258.316552631579</v>
      </c>
      <c r="F4292" s="75">
        <f>'THAM_SO_MOI'!$C$14+('THAM_SO_MOI'!$C$37-'THAM_SO_MOI'!$C$14)*201/'THAM_SO_MOI'!$C$42</f>
        <v>22.920947916666666</v>
      </c>
      <c r="G4292" s="75">
        <f>3.6*F4292</f>
        <v>82.5154125</v>
      </c>
      <c r="H4292" s="75">
        <f>'THAM_SO_MOI'!$D$53</f>
        <v>1.1</v>
      </c>
      <c r="I4292" s="75">
        <f>IF(F4292&gt;='THAM_SO_MOI'!$C$14,'THAM_SO_MOI'!$C$13*(1+F4292^2/1500),'THAM_SO_MOI'!$C$13)</f>
        <v>0.020253698533985457</v>
      </c>
      <c r="J4292" s="75">
        <f>'THAM_SO_MOI'!$C$40*('THAM_SO_MOI'!$C$23*(E4292/'THAM_SO_MOI'!$C$22)+'THAM_SO_MOI'!$C$24*(E4292/'THAM_SO_MOI'!$C$22)^2-'THAM_SO_MOI'!$C$25*(E4292/'THAM_SO_MOI'!$C$22)^3)</f>
        <v>101.60593673541648</v>
      </c>
      <c r="K4292" s="75">
        <f>'THAM_SO_MOI'!$C$31*J4292/E4292</f>
        <v>429.7219963457198</v>
      </c>
      <c r="L4292" s="75">
        <f>K4292*'THAM_SO_MOI'!$C$53*'THAM_SO_MOI'!$C$17/'THAM_SO_MOI'!$C$26</f>
        <v>3768.663589440622</v>
      </c>
      <c r="M4292" s="75">
        <f>'THAM_SO_MOI'!$C$15*'THAM_SO_MOI'!$C$16*F4292^2</f>
        <v>1536.706821190747</v>
      </c>
      <c r="N4292" s="75">
        <f>'THAM_SO_MOI'!$C$12*I4292</f>
        <v>1525.9298505092916</v>
      </c>
      <c r="O4292" s="75">
        <f>M4292+N4292</f>
        <v>3062.6366717000383</v>
      </c>
      <c r="P4292" s="75">
        <f>(MIN(L4292,'THAM_SO_MOI'!$C$41)-O4292)/('THAM_SO_MOI'!$C$11*H4292)</f>
        <v>0.08357326204315624</v>
      </c>
      <c r="Q4292" s="75">
        <f>IF(P4292&gt;0,1/P4292,NA())</f>
        <v>11.965549453886482</v>
      </c>
      <c r="R4292" s="75">
        <f>F4292-F4291</f>
        <v>0.0035868055555567935</v>
      </c>
      <c r="S4292" s="75">
        <f>0.5*(Q4291+Q4292)*R4292</f>
        <v>0.04289889880465808</v>
      </c>
      <c r="T4292" s="75">
        <f>0.5*(F4291*Q4291+F4292*Q4292)*R4292</f>
        <v>0.9832065246137852</v>
      </c>
      <c r="U4292" s="76">
        <f>U4291+S4292</f>
        <v>69.77317589700631</v>
      </c>
      <c r="V4292" s="76">
        <f>V4291+T4292</f>
        <v>1111.4100635768755</v>
      </c>
    </row>
    <row r="4293" spans="1:22" ht="19" customHeight="1">
      <c r="A4293" s="68" t="s">
        <v>378</v>
      </c>
      <c r="B4293" s="74">
        <v>5</v>
      </c>
      <c r="C4293" s="68" t="s">
        <v>363</v>
      </c>
      <c r="D4293" s="68" t="s">
        <v>365</v>
      </c>
      <c r="E4293" s="75">
        <f>60*F4293*'THAM_SO_MOI'!$C$53/(2*PI()*'THAM_SO_MOI'!$C$26)</f>
        <v>2258.6699473684207</v>
      </c>
      <c r="F4293" s="75">
        <f>'THAM_SO_MOI'!$C$14+('THAM_SO_MOI'!$C$37-'THAM_SO_MOI'!$C$14)*202/'THAM_SO_MOI'!$C$42</f>
        <v>22.924534722222223</v>
      </c>
      <c r="G4293" s="75">
        <f>3.6*F4293</f>
        <v>82.52832500000001</v>
      </c>
      <c r="H4293" s="75">
        <f>'THAM_SO_MOI'!$D$53</f>
        <v>1.1</v>
      </c>
      <c r="I4293" s="75">
        <f>IF(F4293&gt;='THAM_SO_MOI'!$C$14,'THAM_SO_MOI'!$C$13*(1+F4293^2/1500),'THAM_SO_MOI'!$C$13)</f>
        <v>0.020255342922303722</v>
      </c>
      <c r="J4293" s="75">
        <f>'THAM_SO_MOI'!$C$40*('THAM_SO_MOI'!$C$23*(E4293/'THAM_SO_MOI'!$C$22)+'THAM_SO_MOI'!$C$24*(E4293/'THAM_SO_MOI'!$C$22)^2-'THAM_SO_MOI'!$C$25*(E4293/'THAM_SO_MOI'!$C$22)^3)</f>
        <v>101.62109213050859</v>
      </c>
      <c r="K4293" s="75">
        <f>'THAM_SO_MOI'!$C$31*J4293/E4293</f>
        <v>429.71884811135055</v>
      </c>
      <c r="L4293" s="75">
        <f>K4293*'THAM_SO_MOI'!$C$53*'THAM_SO_MOI'!$C$17/'THAM_SO_MOI'!$C$26</f>
        <v>3768.6359794128853</v>
      </c>
      <c r="M4293" s="75">
        <f>'THAM_SO_MOI'!$C$15*'THAM_SO_MOI'!$C$16*F4293^2</f>
        <v>1537.1878047738392</v>
      </c>
      <c r="N4293" s="75">
        <f>'THAM_SO_MOI'!$C$12*I4293</f>
        <v>1526.0537400407004</v>
      </c>
      <c r="O4293" s="75">
        <f>M4293+N4293</f>
        <v>3063.2415448145393</v>
      </c>
      <c r="P4293" s="75">
        <f>(MIN(L4293,'THAM_SO_MOI'!$C$41)-O4293)/('THAM_SO_MOI'!$C$11*H4293)</f>
        <v>0.08349839424696327</v>
      </c>
      <c r="Q4293" s="75">
        <f>IF(P4293&gt;0,1/P4293,NA())</f>
        <v>11.976278214911524</v>
      </c>
      <c r="R4293" s="75">
        <f>F4293-F4292</f>
        <v>0.0035868055555567935</v>
      </c>
      <c r="S4293" s="75">
        <f>0.5*(Q4292+Q4293)*R4293</f>
        <v>0.04293734024631402</v>
      </c>
      <c r="T4293" s="75">
        <f>0.5*(F4292*Q4292+F4293*Q4293)*R4293</f>
        <v>0.9842415779180719</v>
      </c>
      <c r="U4293" s="76">
        <f>U4292+S4293</f>
        <v>69.81611323725262</v>
      </c>
      <c r="V4293" s="76">
        <f>V4292+T4293</f>
        <v>1112.3943051547935</v>
      </c>
    </row>
    <row r="4294" spans="1:22" ht="19" customHeight="1">
      <c r="A4294" s="68" t="s">
        <v>378</v>
      </c>
      <c r="B4294" s="74">
        <v>5</v>
      </c>
      <c r="C4294" s="68" t="s">
        <v>363</v>
      </c>
      <c r="D4294" s="68" t="s">
        <v>365</v>
      </c>
      <c r="E4294" s="75">
        <f>60*F4294*'THAM_SO_MOI'!$C$53/(2*PI()*'THAM_SO_MOI'!$C$26)</f>
        <v>2259.0233421052626</v>
      </c>
      <c r="F4294" s="75">
        <f>'THAM_SO_MOI'!$C$14+('THAM_SO_MOI'!$C$37-'THAM_SO_MOI'!$C$14)*203/'THAM_SO_MOI'!$C$42</f>
        <v>22.928121527777776</v>
      </c>
      <c r="G4294" s="75">
        <f>3.6*F4294</f>
        <v>82.5412375</v>
      </c>
      <c r="H4294" s="75">
        <f>'THAM_SO_MOI'!$D$53</f>
        <v>1.1</v>
      </c>
      <c r="I4294" s="75">
        <f>IF(F4294&gt;='THAM_SO_MOI'!$C$14,'THAM_SO_MOI'!$C$13*(1+F4294^2/1500),'THAM_SO_MOI'!$C$13)</f>
        <v>0.020256987567925468</v>
      </c>
      <c r="J4294" s="75">
        <f>'THAM_SO_MOI'!$C$40*('THAM_SO_MOI'!$C$23*(E4294/'THAM_SO_MOI'!$C$22)+'THAM_SO_MOI'!$C$24*(E4294/'THAM_SO_MOI'!$C$22)^2-'THAM_SO_MOI'!$C$25*(E4294/'THAM_SO_MOI'!$C$22)^3)</f>
        <v>101.63624442695911</v>
      </c>
      <c r="K4294" s="75">
        <f>'THAM_SO_MOI'!$C$31*J4294/E4294</f>
        <v>429.71568776099684</v>
      </c>
      <c r="L4294" s="75">
        <f>K4294*'THAM_SO_MOI'!$C$53*'THAM_SO_MOI'!$C$17/'THAM_SO_MOI'!$C$26</f>
        <v>3768.6082631279173</v>
      </c>
      <c r="M4294" s="75">
        <f>'THAM_SO_MOI'!$C$15*'THAM_SO_MOI'!$C$16*F4294^2</f>
        <v>1537.6688636181993</v>
      </c>
      <c r="N4294" s="75">
        <f>'THAM_SO_MOI'!$C$12*I4294</f>
        <v>1526.177648957559</v>
      </c>
      <c r="O4294" s="75">
        <f>M4294+N4294</f>
        <v>3063.8465125757584</v>
      </c>
      <c r="P4294" s="75">
        <f>(MIN(L4294,'THAM_SO_MOI'!$C$41)-O4294)/('THAM_SO_MOI'!$C$11*H4294)</f>
        <v>0.08342350266952639</v>
      </c>
      <c r="Q4294" s="75">
        <f>IF(P4294&gt;0,1/P4294,NA())</f>
        <v>11.98702964992248</v>
      </c>
      <c r="R4294" s="75">
        <f>F4294-F4293</f>
        <v>0.0035868055555532408</v>
      </c>
      <c r="S4294" s="75">
        <f>0.5*(Q4293+Q4294)*R4294</f>
        <v>0.042975862889509636</v>
      </c>
      <c r="T4294" s="75">
        <f>0.5*(F4293*Q4293+F4294*Q4294)*R4294</f>
        <v>0.9852787686396793</v>
      </c>
      <c r="U4294" s="76">
        <f>U4293+S4294</f>
        <v>69.85908910014213</v>
      </c>
      <c r="V4294" s="76">
        <f>V4293+T4294</f>
        <v>1113.3795839234333</v>
      </c>
    </row>
    <row r="4295" spans="1:22" ht="19" customHeight="1">
      <c r="A4295" s="68" t="s">
        <v>378</v>
      </c>
      <c r="B4295" s="74">
        <v>5</v>
      </c>
      <c r="C4295" s="68" t="s">
        <v>363</v>
      </c>
      <c r="D4295" s="68" t="s">
        <v>365</v>
      </c>
      <c r="E4295" s="75">
        <f>60*F4295*'THAM_SO_MOI'!$C$53/(2*PI()*'THAM_SO_MOI'!$C$26)</f>
        <v>2259.3767368421045</v>
      </c>
      <c r="F4295" s="75">
        <f>'THAM_SO_MOI'!$C$14+('THAM_SO_MOI'!$C$37-'THAM_SO_MOI'!$C$14)*204/'THAM_SO_MOI'!$C$42</f>
        <v>22.931708333333333</v>
      </c>
      <c r="G4295" s="75">
        <f>3.6*F4295</f>
        <v>82.55415</v>
      </c>
      <c r="H4295" s="75">
        <f>'THAM_SO_MOI'!$D$53</f>
        <v>1.1</v>
      </c>
      <c r="I4295" s="75">
        <f>IF(F4295&gt;='THAM_SO_MOI'!$C$14,'THAM_SO_MOI'!$C$13*(1+F4295^2/1500),'THAM_SO_MOI'!$C$13)</f>
        <v>0.020258632470850694</v>
      </c>
      <c r="J4295" s="75">
        <f>'THAM_SO_MOI'!$C$40*('THAM_SO_MOI'!$C$23*(E4295/'THAM_SO_MOI'!$C$22)+'THAM_SO_MOI'!$C$24*(E4295/'THAM_SO_MOI'!$C$22)^2-'THAM_SO_MOI'!$C$25*(E4295/'THAM_SO_MOI'!$C$22)^3)</f>
        <v>101.65139362342315</v>
      </c>
      <c r="K4295" s="75">
        <f>'THAM_SO_MOI'!$C$31*J4295/E4295</f>
        <v>429.7125152946586</v>
      </c>
      <c r="L4295" s="75">
        <f>K4295*'THAM_SO_MOI'!$C$53*'THAM_SO_MOI'!$C$17/'THAM_SO_MOI'!$C$26</f>
        <v>3768.5804405857166</v>
      </c>
      <c r="M4295" s="75">
        <f>'THAM_SO_MOI'!$C$15*'THAM_SO_MOI'!$C$16*F4295^2</f>
        <v>1538.1499977238282</v>
      </c>
      <c r="N4295" s="75">
        <f>'THAM_SO_MOI'!$C$12*I4295</f>
        <v>1526.301577259868</v>
      </c>
      <c r="O4295" s="75">
        <f>M4295+N4295</f>
        <v>3064.4515749836964</v>
      </c>
      <c r="P4295" s="75">
        <f>(MIN(L4295,'THAM_SO_MOI'!$C$41)-O4295)/('THAM_SO_MOI'!$C$11*H4295)</f>
        <v>0.08334858731084521</v>
      </c>
      <c r="Q4295" s="75">
        <f>IF(P4295&gt;0,1/P4295,NA())</f>
        <v>11.997803829242361</v>
      </c>
      <c r="R4295" s="75">
        <f>F4295-F4294</f>
        <v>0.0035868055555567935</v>
      </c>
      <c r="S4295" s="75">
        <f>0.5*(Q4294+Q4295)*R4295</f>
        <v>0.04301446698608651</v>
      </c>
      <c r="T4295" s="75">
        <f>0.5*(F4294*Q4294+F4295*Q4295)*R4295</f>
        <v>0.9863181034270773</v>
      </c>
      <c r="U4295" s="76">
        <f>U4294+S4295</f>
        <v>69.90210356712821</v>
      </c>
      <c r="V4295" s="76">
        <f>V4294+T4295</f>
        <v>1114.3659020268603</v>
      </c>
    </row>
    <row r="4296" spans="1:22" ht="19" customHeight="1">
      <c r="A4296" s="68" t="s">
        <v>378</v>
      </c>
      <c r="B4296" s="74">
        <v>5</v>
      </c>
      <c r="C4296" s="68" t="s">
        <v>363</v>
      </c>
      <c r="D4296" s="68" t="s">
        <v>365</v>
      </c>
      <c r="E4296" s="75">
        <f>60*F4296*'THAM_SO_MOI'!$C$53/(2*PI()*'THAM_SO_MOI'!$C$26)</f>
        <v>2259.730131578947</v>
      </c>
      <c r="F4296" s="75">
        <f>'THAM_SO_MOI'!$C$14+('THAM_SO_MOI'!$C$37-'THAM_SO_MOI'!$C$14)*205/'THAM_SO_MOI'!$C$42</f>
        <v>22.93529513888889</v>
      </c>
      <c r="G4296" s="75">
        <f>3.6*F4296</f>
        <v>82.5670625</v>
      </c>
      <c r="H4296" s="75">
        <f>'THAM_SO_MOI'!$D$53</f>
        <v>1.1</v>
      </c>
      <c r="I4296" s="75">
        <f>IF(F4296&gt;='THAM_SO_MOI'!$C$14,'THAM_SO_MOI'!$C$13*(1+F4296^2/1500),'THAM_SO_MOI'!$C$13)</f>
        <v>0.0202602776310794</v>
      </c>
      <c r="J4296" s="75">
        <f>'THAM_SO_MOI'!$C$40*('THAM_SO_MOI'!$C$23*(E4296/'THAM_SO_MOI'!$C$22)+'THAM_SO_MOI'!$C$24*(E4296/'THAM_SO_MOI'!$C$22)^2-'THAM_SO_MOI'!$C$25*(E4296/'THAM_SO_MOI'!$C$22)^3)</f>
        <v>101.66653971855582</v>
      </c>
      <c r="K4296" s="75">
        <f>'THAM_SO_MOI'!$C$31*J4296/E4296</f>
        <v>429.7093307123359</v>
      </c>
      <c r="L4296" s="75">
        <f>K4296*'THAM_SO_MOI'!$C$53*'THAM_SO_MOI'!$C$17/'THAM_SO_MOI'!$C$26</f>
        <v>3768.5525117862853</v>
      </c>
      <c r="M4296" s="75">
        <f>'THAM_SO_MOI'!$C$15*'THAM_SO_MOI'!$C$16*F4296^2</f>
        <v>1538.6312070907254</v>
      </c>
      <c r="N4296" s="75">
        <f>'THAM_SO_MOI'!$C$12*I4296</f>
        <v>1526.425524947627</v>
      </c>
      <c r="O4296" s="75">
        <f>M4296+N4296</f>
        <v>3065.0567320383525</v>
      </c>
      <c r="P4296" s="75">
        <f>(MIN(L4296,'THAM_SO_MOI'!$C$41)-O4296)/('THAM_SO_MOI'!$C$11*H4296)</f>
        <v>0.0832736481709201</v>
      </c>
      <c r="Q4296" s="75">
        <f>IF(P4296&gt;0,1/P4296,NA())</f>
        <v>12.008600823486065</v>
      </c>
      <c r="R4296" s="75">
        <f>F4296-F4295</f>
        <v>0.0035868055555567935</v>
      </c>
      <c r="S4296" s="75">
        <f>0.5*(Q4295+Q4296)*R4296</f>
        <v>0.04305315278867539</v>
      </c>
      <c r="T4296" s="75">
        <f>0.5*(F4295*Q4295+F4296*Q4296)*R4296</f>
        <v>0.9873595889504465</v>
      </c>
      <c r="U4296" s="76">
        <f>U4295+S4296</f>
        <v>69.94515671991688</v>
      </c>
      <c r="V4296" s="76">
        <f>V4295+T4296</f>
        <v>1115.3532616158109</v>
      </c>
    </row>
    <row r="4297" spans="1:22" ht="19" customHeight="1">
      <c r="A4297" s="68" t="s">
        <v>378</v>
      </c>
      <c r="B4297" s="74">
        <v>5</v>
      </c>
      <c r="C4297" s="68" t="s">
        <v>363</v>
      </c>
      <c r="D4297" s="68" t="s">
        <v>365</v>
      </c>
      <c r="E4297" s="75">
        <f>60*F4297*'THAM_SO_MOI'!$C$53/(2*PI()*'THAM_SO_MOI'!$C$26)</f>
        <v>2260.0835263157887</v>
      </c>
      <c r="F4297" s="75">
        <f>'THAM_SO_MOI'!$C$14+('THAM_SO_MOI'!$C$37-'THAM_SO_MOI'!$C$14)*206/'THAM_SO_MOI'!$C$42</f>
        <v>22.938881944444443</v>
      </c>
      <c r="G4297" s="75">
        <f>3.6*F4297</f>
        <v>82.57997499999999</v>
      </c>
      <c r="H4297" s="75">
        <f>'THAM_SO_MOI'!$D$53</f>
        <v>1.1</v>
      </c>
      <c r="I4297" s="75">
        <f>IF(F4297&gt;='THAM_SO_MOI'!$C$14,'THAM_SO_MOI'!$C$13*(1+F4297^2/1500),'THAM_SO_MOI'!$C$13)</f>
        <v>0.02026192304861159</v>
      </c>
      <c r="J4297" s="75">
        <f>'THAM_SO_MOI'!$C$40*('THAM_SO_MOI'!$C$23*(E4297/'THAM_SO_MOI'!$C$22)+'THAM_SO_MOI'!$C$24*(E4297/'THAM_SO_MOI'!$C$22)^2-'THAM_SO_MOI'!$C$25*(E4297/'THAM_SO_MOI'!$C$22)^3)</f>
        <v>101.68168271101227</v>
      </c>
      <c r="K4297" s="75">
        <f>'THAM_SO_MOI'!$C$31*J4297/E4297</f>
        <v>429.70613401402886</v>
      </c>
      <c r="L4297" s="75">
        <f>K4297*'THAM_SO_MOI'!$C$53*'THAM_SO_MOI'!$C$17/'THAM_SO_MOI'!$C$26</f>
        <v>3768.524476729624</v>
      </c>
      <c r="M4297" s="75">
        <f>'THAM_SO_MOI'!$C$15*'THAM_SO_MOI'!$C$16*F4297^2</f>
        <v>1539.1124917188909</v>
      </c>
      <c r="N4297" s="75">
        <f>'THAM_SO_MOI'!$C$12*I4297</f>
        <v>1526.5494920208362</v>
      </c>
      <c r="O4297" s="75">
        <f>M4297+N4297</f>
        <v>3065.661983739727</v>
      </c>
      <c r="P4297" s="75">
        <f>(MIN(L4297,'THAM_SO_MOI'!$C$41)-O4297)/('THAM_SO_MOI'!$C$11*H4297)</f>
        <v>0.08319868524975106</v>
      </c>
      <c r="Q4297" s="75">
        <f>IF(P4297&gt;0,1/P4297,NA())</f>
        <v>12.019420703562044</v>
      </c>
      <c r="R4297" s="75">
        <f>F4297-F4296</f>
        <v>0.0035868055555532408</v>
      </c>
      <c r="S4297" s="75">
        <f>0.5*(Q4296+Q4297)*R4297</f>
        <v>0.04309192055108452</v>
      </c>
      <c r="T4297" s="75">
        <f>0.5*(F4296*Q4296+F4297*Q4297)*R4297</f>
        <v>0.9884032319106011</v>
      </c>
      <c r="U4297" s="76">
        <f>U4296+S4297</f>
        <v>69.98824864046796</v>
      </c>
      <c r="V4297" s="76">
        <f>V4296+T4297</f>
        <v>1116.3416648477214</v>
      </c>
    </row>
    <row r="4298" spans="1:22" ht="19" customHeight="1">
      <c r="A4298" s="68" t="s">
        <v>378</v>
      </c>
      <c r="B4298" s="74">
        <v>5</v>
      </c>
      <c r="C4298" s="68" t="s">
        <v>363</v>
      </c>
      <c r="D4298" s="68" t="s">
        <v>365</v>
      </c>
      <c r="E4298" s="75">
        <f>60*F4298*'THAM_SO_MOI'!$C$53/(2*PI()*'THAM_SO_MOI'!$C$26)</f>
        <v>2260.4369210526315</v>
      </c>
      <c r="F4298" s="75">
        <f>'THAM_SO_MOI'!$C$14+('THAM_SO_MOI'!$C$37-'THAM_SO_MOI'!$C$14)*207/'THAM_SO_MOI'!$C$42</f>
        <v>22.94246875</v>
      </c>
      <c r="G4298" s="75">
        <f>3.6*F4298</f>
        <v>82.5928875</v>
      </c>
      <c r="H4298" s="75">
        <f>'THAM_SO_MOI'!$D$53</f>
        <v>1.1</v>
      </c>
      <c r="I4298" s="75">
        <f>IF(F4298&gt;='THAM_SO_MOI'!$C$14,'THAM_SO_MOI'!$C$13*(1+F4298^2/1500),'THAM_SO_MOI'!$C$13)</f>
        <v>0.020263568723447267</v>
      </c>
      <c r="J4298" s="75">
        <f>'THAM_SO_MOI'!$C$40*('THAM_SO_MOI'!$C$23*(E4298/'THAM_SO_MOI'!$C$22)+'THAM_SO_MOI'!$C$24*(E4298/'THAM_SO_MOI'!$C$22)^2-'THAM_SO_MOI'!$C$25*(E4298/'THAM_SO_MOI'!$C$22)^3)</f>
        <v>101.69682259944759</v>
      </c>
      <c r="K4298" s="75">
        <f>'THAM_SO_MOI'!$C$31*J4298/E4298</f>
        <v>429.70292519973725</v>
      </c>
      <c r="L4298" s="75">
        <f>K4298*'THAM_SO_MOI'!$C$53*'THAM_SO_MOI'!$C$17/'THAM_SO_MOI'!$C$26</f>
        <v>3768.4963354157308</v>
      </c>
      <c r="M4298" s="75">
        <f>'THAM_SO_MOI'!$C$15*'THAM_SO_MOI'!$C$16*F4298^2</f>
        <v>1539.5938516083254</v>
      </c>
      <c r="N4298" s="75">
        <f>'THAM_SO_MOI'!$C$12*I4298</f>
        <v>1526.6734784794958</v>
      </c>
      <c r="O4298" s="75">
        <f>M4298+N4298</f>
        <v>3066.2673300878214</v>
      </c>
      <c r="P4298" s="75">
        <f>(MIN(L4298,'THAM_SO_MOI'!$C$41)-O4298)/('THAM_SO_MOI'!$C$11*H4298)</f>
        <v>0.08312369854733781</v>
      </c>
      <c r="Q4298" s="75">
        <f>IF(P4298&gt;0,1/P4298,NA())</f>
        <v>12.030263540673827</v>
      </c>
      <c r="R4298" s="75">
        <f>F4298-F4297</f>
        <v>0.0035868055555567935</v>
      </c>
      <c r="S4298" s="75">
        <f>0.5*(Q4297+Q4298)*R4298</f>
        <v>0.04313077052830595</v>
      </c>
      <c r="T4298" s="75">
        <f>0.5*(F4297*Q4297+F4298*Q4298)*R4298</f>
        <v>0.9894490390391539</v>
      </c>
      <c r="U4298" s="76">
        <f>U4297+S4298</f>
        <v>70.03137941099627</v>
      </c>
      <c r="V4298" s="76">
        <f>V4297+T4298</f>
        <v>1117.3311138867605</v>
      </c>
    </row>
    <row r="4299" spans="1:22" ht="19" customHeight="1">
      <c r="A4299" s="68" t="s">
        <v>378</v>
      </c>
      <c r="B4299" s="74">
        <v>5</v>
      </c>
      <c r="C4299" s="68" t="s">
        <v>363</v>
      </c>
      <c r="D4299" s="68" t="s">
        <v>365</v>
      </c>
      <c r="E4299" s="75">
        <f>60*F4299*'THAM_SO_MOI'!$C$53/(2*PI()*'THAM_SO_MOI'!$C$26)</f>
        <v>2260.790315789473</v>
      </c>
      <c r="F4299" s="75">
        <f>'THAM_SO_MOI'!$C$14+('THAM_SO_MOI'!$C$37-'THAM_SO_MOI'!$C$14)*208/'THAM_SO_MOI'!$C$42</f>
        <v>22.946055555555553</v>
      </c>
      <c r="G4299" s="75">
        <f>3.6*F4299</f>
        <v>82.60579999999999</v>
      </c>
      <c r="H4299" s="75">
        <f>'THAM_SO_MOI'!$D$53</f>
        <v>1.1</v>
      </c>
      <c r="I4299" s="75">
        <f>IF(F4299&gt;='THAM_SO_MOI'!$C$14,'THAM_SO_MOI'!$C$13*(1+F4299^2/1500),'THAM_SO_MOI'!$C$13)</f>
        <v>0.02026521465558642</v>
      </c>
      <c r="J4299" s="75">
        <f>'THAM_SO_MOI'!$C$40*('THAM_SO_MOI'!$C$23*(E4299/'THAM_SO_MOI'!$C$22)+'THAM_SO_MOI'!$C$24*(E4299/'THAM_SO_MOI'!$C$22)^2-'THAM_SO_MOI'!$C$25*(E4299/'THAM_SO_MOI'!$C$22)^3)</f>
        <v>101.71195938251681</v>
      </c>
      <c r="K4299" s="75">
        <f>'THAM_SO_MOI'!$C$31*J4299/E4299</f>
        <v>429.6997042694612</v>
      </c>
      <c r="L4299" s="75">
        <f>K4299*'THAM_SO_MOI'!$C$53*'THAM_SO_MOI'!$C$17/'THAM_SO_MOI'!$C$26</f>
        <v>3768.4680878446065</v>
      </c>
      <c r="M4299" s="75">
        <f>'THAM_SO_MOI'!$C$15*'THAM_SO_MOI'!$C$16*F4299^2</f>
        <v>1540.0752867590274</v>
      </c>
      <c r="N4299" s="75">
        <f>'THAM_SO_MOI'!$C$12*I4299</f>
        <v>1526.7974843236052</v>
      </c>
      <c r="O4299" s="75">
        <f>M4299+N4299</f>
        <v>3066.8727710826324</v>
      </c>
      <c r="P4299" s="75">
        <f>(MIN(L4299,'THAM_SO_MOI'!$C$41)-O4299)/('THAM_SO_MOI'!$C$11*H4299)</f>
        <v>0.0830486880636806</v>
      </c>
      <c r="Q4299" s="75">
        <f>IF(P4299&gt;0,1/P4299,NA())</f>
        <v>12.04112940632143</v>
      </c>
      <c r="R4299" s="75">
        <f>F4299-F4298</f>
        <v>0.0035868055555532408</v>
      </c>
      <c r="S4299" s="75">
        <f>0.5*(Q4298+Q4299)*R4299</f>
        <v>0.04316970297609384</v>
      </c>
      <c r="T4299" s="75">
        <f>0.5*(F4298*Q4298+F4299*Q4299)*R4299</f>
        <v>0.9904970170888614</v>
      </c>
      <c r="U4299" s="76">
        <f>U4298+S4299</f>
        <v>70.07454911397235</v>
      </c>
      <c r="V4299" s="76">
        <f>V4298+T4299</f>
        <v>1118.3216109038494</v>
      </c>
    </row>
    <row r="4300" spans="1:22" ht="19" customHeight="1">
      <c r="A4300" s="68" t="s">
        <v>378</v>
      </c>
      <c r="B4300" s="74">
        <v>5</v>
      </c>
      <c r="C4300" s="68" t="s">
        <v>363</v>
      </c>
      <c r="D4300" s="68" t="s">
        <v>365</v>
      </c>
      <c r="E4300" s="75">
        <f>60*F4300*'THAM_SO_MOI'!$C$53/(2*PI()*'THAM_SO_MOI'!$C$26)</f>
        <v>2261.1437105263153</v>
      </c>
      <c r="F4300" s="75">
        <f>'THAM_SO_MOI'!$C$14+('THAM_SO_MOI'!$C$37-'THAM_SO_MOI'!$C$14)*209/'THAM_SO_MOI'!$C$42</f>
        <v>22.94964236111111</v>
      </c>
      <c r="G4300" s="75">
        <f>3.6*F4300</f>
        <v>82.6187125</v>
      </c>
      <c r="H4300" s="75">
        <f>'THAM_SO_MOI'!$D$53</f>
        <v>1.1</v>
      </c>
      <c r="I4300" s="75">
        <f>IF(F4300&gt;='THAM_SO_MOI'!$C$14,'THAM_SO_MOI'!$C$13*(1+F4300^2/1500),'THAM_SO_MOI'!$C$13)</f>
        <v>0.02026686084502905</v>
      </c>
      <c r="J4300" s="75">
        <f>'THAM_SO_MOI'!$C$40*('THAM_SO_MOI'!$C$23*(E4300/'THAM_SO_MOI'!$C$22)+'THAM_SO_MOI'!$C$24*(E4300/'THAM_SO_MOI'!$C$22)^2-'THAM_SO_MOI'!$C$25*(E4300/'THAM_SO_MOI'!$C$22)^3)</f>
        <v>101.72709305887513</v>
      </c>
      <c r="K4300" s="75">
        <f>'THAM_SO_MOI'!$C$31*J4300/E4300</f>
        <v>429.6964712232006</v>
      </c>
      <c r="L4300" s="75">
        <f>K4300*'THAM_SO_MOI'!$C$53*'THAM_SO_MOI'!$C$17/'THAM_SO_MOI'!$C$26</f>
        <v>3768.4397340162504</v>
      </c>
      <c r="M4300" s="75">
        <f>'THAM_SO_MOI'!$C$15*'THAM_SO_MOI'!$C$16*F4300^2</f>
        <v>1540.5567971709988</v>
      </c>
      <c r="N4300" s="75">
        <f>'THAM_SO_MOI'!$C$12*I4300</f>
        <v>1526.9215095531647</v>
      </c>
      <c r="O4300" s="75">
        <f>M4300+N4300</f>
        <v>3067.4783067241633</v>
      </c>
      <c r="P4300" s="75">
        <f>(MIN(L4300,'THAM_SO_MOI'!$C$41)-O4300)/('THAM_SO_MOI'!$C$11*H4300)</f>
        <v>0.08297365379877923</v>
      </c>
      <c r="Q4300" s="75">
        <f>IF(P4300&gt;0,1/P4300,NA())</f>
        <v>12.05201837230305</v>
      </c>
      <c r="R4300" s="75">
        <f>F4300-F4299</f>
        <v>0.0035868055555567935</v>
      </c>
      <c r="S4300" s="75">
        <f>0.5*(Q4299+Q4300)*R4300</f>
        <v>0.043208718151610544</v>
      </c>
      <c r="T4300" s="75">
        <f>0.5*(F4299*Q4299+F4300*Q4300)*R4300</f>
        <v>0.9915471728484655</v>
      </c>
      <c r="U4300" s="76">
        <f>U4299+S4300</f>
        <v>70.11775783212396</v>
      </c>
      <c r="V4300" s="76">
        <f>V4299+T4300</f>
        <v>1119.3131580766978</v>
      </c>
    </row>
    <row r="4301" spans="1:22" ht="19" customHeight="1">
      <c r="A4301" s="68" t="s">
        <v>378</v>
      </c>
      <c r="B4301" s="74">
        <v>5</v>
      </c>
      <c r="C4301" s="68" t="s">
        <v>363</v>
      </c>
      <c r="D4301" s="68" t="s">
        <v>365</v>
      </c>
      <c r="E4301" s="75">
        <f>60*F4301*'THAM_SO_MOI'!$C$53/(2*PI()*'THAM_SO_MOI'!$C$26)</f>
        <v>2261.497105263157</v>
      </c>
      <c r="F4301" s="75">
        <f>'THAM_SO_MOI'!$C$14+('THAM_SO_MOI'!$C$37-'THAM_SO_MOI'!$C$14)*210/'THAM_SO_MOI'!$C$42</f>
        <v>22.953229166666667</v>
      </c>
      <c r="G4301" s="75">
        <f>3.6*F4301</f>
        <v>82.631625</v>
      </c>
      <c r="H4301" s="75">
        <f>'THAM_SO_MOI'!$D$53</f>
        <v>1.1</v>
      </c>
      <c r="I4301" s="75">
        <f>IF(F4301&gt;='THAM_SO_MOI'!$C$14,'THAM_SO_MOI'!$C$13*(1+F4301^2/1500),'THAM_SO_MOI'!$C$13)</f>
        <v>0.02026850729177517</v>
      </c>
      <c r="J4301" s="75">
        <f>'THAM_SO_MOI'!$C$40*('THAM_SO_MOI'!$C$23*(E4301/'THAM_SO_MOI'!$C$22)+'THAM_SO_MOI'!$C$24*(E4301/'THAM_SO_MOI'!$C$22)^2-'THAM_SO_MOI'!$C$25*(E4301/'THAM_SO_MOI'!$C$22)^3)</f>
        <v>101.74222362717765</v>
      </c>
      <c r="K4301" s="75">
        <f>'THAM_SO_MOI'!$C$31*J4301/E4301</f>
        <v>429.69322606095574</v>
      </c>
      <c r="L4301" s="75">
        <f>K4301*'THAM_SO_MOI'!$C$53*'THAM_SO_MOI'!$C$17/'THAM_SO_MOI'!$C$26</f>
        <v>3768.4112739306643</v>
      </c>
      <c r="M4301" s="75">
        <f>'THAM_SO_MOI'!$C$15*'THAM_SO_MOI'!$C$16*F4301^2</f>
        <v>1541.0383828442384</v>
      </c>
      <c r="N4301" s="75">
        <f>'THAM_SO_MOI'!$C$12*I4301</f>
        <v>1527.045554168175</v>
      </c>
      <c r="O4301" s="75">
        <f>M4301+N4301</f>
        <v>3068.083937012413</v>
      </c>
      <c r="P4301" s="75">
        <f>(MIN(L4301,'THAM_SO_MOI'!$C$41)-O4301)/('THAM_SO_MOI'!$C$11*H4301)</f>
        <v>0.08289859575263384</v>
      </c>
      <c r="Q4301" s="75">
        <f>IF(P4301&gt;0,1/P4301,NA())</f>
        <v>12.0629305107165</v>
      </c>
      <c r="R4301" s="75">
        <f>F4301-F4300</f>
        <v>0.0035868055555567935</v>
      </c>
      <c r="S4301" s="75">
        <f>0.5*(Q4300+Q4301)*R4301</f>
        <v>0.04324781631279131</v>
      </c>
      <c r="T4301" s="75">
        <f>0.5*(F4300*Q4300+F4301*Q4301)*R4301</f>
        <v>0.9925995131281358</v>
      </c>
      <c r="U4301" s="76">
        <f>U4300+S4301</f>
        <v>70.16100564843674</v>
      </c>
      <c r="V4301" s="76">
        <f>V4300+T4301</f>
        <v>1120.305757589826</v>
      </c>
    </row>
    <row r="4302" spans="1:22" ht="19" customHeight="1">
      <c r="A4302" s="68" t="s">
        <v>378</v>
      </c>
      <c r="B4302" s="74">
        <v>5</v>
      </c>
      <c r="C4302" s="68" t="s">
        <v>363</v>
      </c>
      <c r="D4302" s="68" t="s">
        <v>365</v>
      </c>
      <c r="E4302" s="75">
        <f>60*F4302*'THAM_SO_MOI'!$C$53/(2*PI()*'THAM_SO_MOI'!$C$26)</f>
        <v>2261.850499999999</v>
      </c>
      <c r="F4302" s="75">
        <f>'THAM_SO_MOI'!$C$14+('THAM_SO_MOI'!$C$37-'THAM_SO_MOI'!$C$14)*211/'THAM_SO_MOI'!$C$42</f>
        <v>22.95681597222222</v>
      </c>
      <c r="G4302" s="75">
        <f>3.6*F4302</f>
        <v>82.6445375</v>
      </c>
      <c r="H4302" s="75">
        <f>'THAM_SO_MOI'!$D$53</f>
        <v>1.1</v>
      </c>
      <c r="I4302" s="75">
        <f>IF(F4302&gt;='THAM_SO_MOI'!$C$14,'THAM_SO_MOI'!$C$13*(1+F4302^2/1500),'THAM_SO_MOI'!$C$13)</f>
        <v>0.02027015399582477</v>
      </c>
      <c r="J4302" s="75">
        <f>'THAM_SO_MOI'!$C$40*('THAM_SO_MOI'!$C$23*(E4302/'THAM_SO_MOI'!$C$22)+'THAM_SO_MOI'!$C$24*(E4302/'THAM_SO_MOI'!$C$22)^2-'THAM_SO_MOI'!$C$25*(E4302/'THAM_SO_MOI'!$C$22)^3)</f>
        <v>101.75735108607944</v>
      </c>
      <c r="K4302" s="75">
        <f>'THAM_SO_MOI'!$C$31*J4302/E4302</f>
        <v>429.6899687827263</v>
      </c>
      <c r="L4302" s="75">
        <f>K4302*'THAM_SO_MOI'!$C$53*'THAM_SO_MOI'!$C$17/'THAM_SO_MOI'!$C$26</f>
        <v>3768.382707587847</v>
      </c>
      <c r="M4302" s="75">
        <f>'THAM_SO_MOI'!$C$15*'THAM_SO_MOI'!$C$16*F4302^2</f>
        <v>1541.520043778746</v>
      </c>
      <c r="N4302" s="75">
        <f>'THAM_SO_MOI'!$C$12*I4302</f>
        <v>1527.1696181686348</v>
      </c>
      <c r="O4302" s="75">
        <f>M4302+N4302</f>
        <v>3068.689661947381</v>
      </c>
      <c r="P4302" s="75">
        <f>(MIN(L4302,'THAM_SO_MOI'!$C$41)-O4302)/('THAM_SO_MOI'!$C$11*H4302)</f>
        <v>0.08282351392524458</v>
      </c>
      <c r="Q4302" s="75">
        <f>IF(P4302&gt;0,1/P4302,NA())</f>
        <v>12.073865893960825</v>
      </c>
      <c r="R4302" s="75">
        <f>F4302-F4301</f>
        <v>0.0035868055555532408</v>
      </c>
      <c r="S4302" s="75">
        <f>0.5*(Q4301+Q4302)*R4302</f>
        <v>0.04328699771877706</v>
      </c>
      <c r="T4302" s="75">
        <f>0.5*(F4301*Q4301+F4302*Q4302)*R4302</f>
        <v>0.9936540447694199</v>
      </c>
      <c r="U4302" s="76">
        <f>U4301+S4302</f>
        <v>70.20429264615552</v>
      </c>
      <c r="V4302" s="76">
        <f>V4301+T4302</f>
        <v>1121.2994116345956</v>
      </c>
    </row>
    <row r="4303" spans="1:22" ht="19" customHeight="1">
      <c r="A4303" s="68" t="s">
        <v>378</v>
      </c>
      <c r="B4303" s="74">
        <v>5</v>
      </c>
      <c r="C4303" s="68" t="s">
        <v>363</v>
      </c>
      <c r="D4303" s="68" t="s">
        <v>365</v>
      </c>
      <c r="E4303" s="75">
        <f>60*F4303*'THAM_SO_MOI'!$C$53/(2*PI()*'THAM_SO_MOI'!$C$26)</f>
        <v>2262.2038947368414</v>
      </c>
      <c r="F4303" s="75">
        <f>'THAM_SO_MOI'!$C$14+('THAM_SO_MOI'!$C$37-'THAM_SO_MOI'!$C$14)*212/'THAM_SO_MOI'!$C$42</f>
        <v>22.960402777777777</v>
      </c>
      <c r="G4303" s="75">
        <f>3.6*F4303</f>
        <v>82.65745</v>
      </c>
      <c r="H4303" s="75">
        <f>'THAM_SO_MOI'!$D$53</f>
        <v>1.1</v>
      </c>
      <c r="I4303" s="75">
        <f>IF(F4303&gt;='THAM_SO_MOI'!$C$14,'THAM_SO_MOI'!$C$13*(1+F4303^2/1500),'THAM_SO_MOI'!$C$13)</f>
        <v>0.020271800957177854</v>
      </c>
      <c r="J4303" s="75">
        <f>'THAM_SO_MOI'!$C$40*('THAM_SO_MOI'!$C$23*(E4303/'THAM_SO_MOI'!$C$22)+'THAM_SO_MOI'!$C$24*(E4303/'THAM_SO_MOI'!$C$22)^2-'THAM_SO_MOI'!$C$25*(E4303/'THAM_SO_MOI'!$C$22)^3)</f>
        <v>101.77247543423567</v>
      </c>
      <c r="K4303" s="75">
        <f>'THAM_SO_MOI'!$C$31*J4303/E4303</f>
        <v>429.6866993885124</v>
      </c>
      <c r="L4303" s="75">
        <f>K4303*'THAM_SO_MOI'!$C$53*'THAM_SO_MOI'!$C$17/'THAM_SO_MOI'!$C$26</f>
        <v>3768.3540349877976</v>
      </c>
      <c r="M4303" s="75">
        <f>'THAM_SO_MOI'!$C$15*'THAM_SO_MOI'!$C$16*F4303^2</f>
        <v>1542.0017799745224</v>
      </c>
      <c r="N4303" s="75">
        <f>'THAM_SO_MOI'!$C$12*I4303</f>
        <v>1527.2937015545454</v>
      </c>
      <c r="O4303" s="75">
        <f>M4303+N4303</f>
        <v>3069.2954815290677</v>
      </c>
      <c r="P4303" s="75">
        <f>(MIN(L4303,'THAM_SO_MOI'!$C$41)-O4303)/('THAM_SO_MOI'!$C$11*H4303)</f>
        <v>0.08274840831661101</v>
      </c>
      <c r="Q4303" s="75">
        <f>IF(P4303&gt;0,1/P4303,NA())</f>
        <v>12.084824594737961</v>
      </c>
      <c r="R4303" s="75">
        <f>F4303-F4302</f>
        <v>0.0035868055555567935</v>
      </c>
      <c r="S4303" s="75">
        <f>0.5*(Q4302+Q4303)*R4303</f>
        <v>0.04332626262992094</v>
      </c>
      <c r="T4303" s="75">
        <f>0.5*(F4302*Q4302+F4303*Q4303)*R4303</f>
        <v>0.9947107746454131</v>
      </c>
      <c r="U4303" s="76">
        <f>U4302+S4303</f>
        <v>70.24761890878544</v>
      </c>
      <c r="V4303" s="76">
        <f>V4302+T4303</f>
        <v>1122.294122409241</v>
      </c>
    </row>
    <row r="4304" spans="1:22" ht="19" customHeight="1">
      <c r="A4304" s="68" t="s">
        <v>378</v>
      </c>
      <c r="B4304" s="74">
        <v>5</v>
      </c>
      <c r="C4304" s="68" t="s">
        <v>363</v>
      </c>
      <c r="D4304" s="68" t="s">
        <v>365</v>
      </c>
      <c r="E4304" s="75">
        <f>60*F4304*'THAM_SO_MOI'!$C$53/(2*PI()*'THAM_SO_MOI'!$C$26)</f>
        <v>2262.557289473684</v>
      </c>
      <c r="F4304" s="75">
        <f>'THAM_SO_MOI'!$C$14+('THAM_SO_MOI'!$C$37-'THAM_SO_MOI'!$C$14)*213/'THAM_SO_MOI'!$C$42</f>
        <v>22.963989583333333</v>
      </c>
      <c r="G4304" s="75">
        <f>3.6*F4304</f>
        <v>82.6703625</v>
      </c>
      <c r="H4304" s="75">
        <f>'THAM_SO_MOI'!$D$53</f>
        <v>1.1</v>
      </c>
      <c r="I4304" s="75">
        <f>IF(F4304&gt;='THAM_SO_MOI'!$C$14,'THAM_SO_MOI'!$C$13*(1+F4304^2/1500),'THAM_SO_MOI'!$C$13)</f>
        <v>0.020273448175834416</v>
      </c>
      <c r="J4304" s="75">
        <f>'THAM_SO_MOI'!$C$40*('THAM_SO_MOI'!$C$23*(E4304/'THAM_SO_MOI'!$C$22)+'THAM_SO_MOI'!$C$24*(E4304/'THAM_SO_MOI'!$C$22)^2-'THAM_SO_MOI'!$C$25*(E4304/'THAM_SO_MOI'!$C$22)^3)</f>
        <v>101.7875966703014</v>
      </c>
      <c r="K4304" s="75">
        <f>'THAM_SO_MOI'!$C$31*J4304/E4304</f>
        <v>429.68341787831406</v>
      </c>
      <c r="L4304" s="75">
        <f>K4304*'THAM_SO_MOI'!$C$53*'THAM_SO_MOI'!$C$17/'THAM_SO_MOI'!$C$26</f>
        <v>3768.325256130518</v>
      </c>
      <c r="M4304" s="75">
        <f>'THAM_SO_MOI'!$C$15*'THAM_SO_MOI'!$C$16*F4304^2</f>
        <v>1542.4835914315677</v>
      </c>
      <c r="N4304" s="75">
        <f>'THAM_SO_MOI'!$C$12*I4304</f>
        <v>1527.4178043259055</v>
      </c>
      <c r="O4304" s="75">
        <f>M4304+N4304</f>
        <v>3069.9013957574734</v>
      </c>
      <c r="P4304" s="75">
        <f>(MIN(L4304,'THAM_SO_MOI'!$C$41)-O4304)/('THAM_SO_MOI'!$C$11*H4304)</f>
        <v>0.08267327892673353</v>
      </c>
      <c r="Q4304" s="75">
        <f>IF(P4304&gt;0,1/P4304,NA())</f>
        <v>12.095806686054113</v>
      </c>
      <c r="R4304" s="75">
        <f>F4304-F4303</f>
        <v>0.0035868055555567935</v>
      </c>
      <c r="S4304" s="75">
        <f>0.5*(Q4303+Q4304)*R4304</f>
        <v>0.043365611307407695</v>
      </c>
      <c r="T4304" s="75">
        <f>0.5*(F4303*Q4303+F4304*Q4304)*R4304</f>
        <v>0.9957697096520431</v>
      </c>
      <c r="U4304" s="76">
        <f>U4303+S4304</f>
        <v>70.29098452009285</v>
      </c>
      <c r="V4304" s="76">
        <f>V4303+T4304</f>
        <v>1123.289892118893</v>
      </c>
    </row>
    <row r="4305" spans="1:22" ht="19" customHeight="1">
      <c r="A4305" s="68" t="s">
        <v>378</v>
      </c>
      <c r="B4305" s="74">
        <v>5</v>
      </c>
      <c r="C4305" s="68" t="s">
        <v>363</v>
      </c>
      <c r="D4305" s="68" t="s">
        <v>365</v>
      </c>
      <c r="E4305" s="75">
        <f>60*F4305*'THAM_SO_MOI'!$C$53/(2*PI()*'THAM_SO_MOI'!$C$26)</f>
        <v>2262.9106842105257</v>
      </c>
      <c r="F4305" s="75">
        <f>'THAM_SO_MOI'!$C$14+('THAM_SO_MOI'!$C$37-'THAM_SO_MOI'!$C$14)*214/'THAM_SO_MOI'!$C$42</f>
        <v>22.967576388888887</v>
      </c>
      <c r="G4305" s="75">
        <f>3.6*F4305</f>
        <v>82.683275</v>
      </c>
      <c r="H4305" s="75">
        <f>'THAM_SO_MOI'!$D$53</f>
        <v>1.1</v>
      </c>
      <c r="I4305" s="75">
        <f>IF(F4305&gt;='THAM_SO_MOI'!$C$14,'THAM_SO_MOI'!$C$13*(1+F4305^2/1500),'THAM_SO_MOI'!$C$13)</f>
        <v>0.020275095651794462</v>
      </c>
      <c r="J4305" s="75">
        <f>'THAM_SO_MOI'!$C$40*('THAM_SO_MOI'!$C$23*(E4305/'THAM_SO_MOI'!$C$22)+'THAM_SO_MOI'!$C$24*(E4305/'THAM_SO_MOI'!$C$22)^2-'THAM_SO_MOI'!$C$25*(E4305/'THAM_SO_MOI'!$C$22)^3)</f>
        <v>101.8027147929318</v>
      </c>
      <c r="K4305" s="75">
        <f>'THAM_SO_MOI'!$C$31*J4305/E4305</f>
        <v>429.68012425213146</v>
      </c>
      <c r="L4305" s="75">
        <f>K4305*'THAM_SO_MOI'!$C$53*'THAM_SO_MOI'!$C$17/'THAM_SO_MOI'!$C$26</f>
        <v>3768.296371016009</v>
      </c>
      <c r="M4305" s="75">
        <f>'THAM_SO_MOI'!$C$15*'THAM_SO_MOI'!$C$16*F4305^2</f>
        <v>1542.9654781498807</v>
      </c>
      <c r="N4305" s="75">
        <f>'THAM_SO_MOI'!$C$12*I4305</f>
        <v>1527.5419264827162</v>
      </c>
      <c r="O4305" s="75">
        <f>M4305+N4305</f>
        <v>3070.507404632597</v>
      </c>
      <c r="P4305" s="75">
        <f>(MIN(L4305,'THAM_SO_MOI'!$C$41)-O4305)/('THAM_SO_MOI'!$C$11*H4305)</f>
        <v>0.0825981257556122</v>
      </c>
      <c r="Q4305" s="75">
        <f>IF(P4305&gt;0,1/P4305,NA())</f>
        <v>12.106812241221515</v>
      </c>
      <c r="R4305" s="75">
        <f>F4305-F4304</f>
        <v>0.0035868055555532408</v>
      </c>
      <c r="S4305" s="75">
        <f>0.5*(Q4304+Q4305)*R4305</f>
        <v>0.043405044013645123</v>
      </c>
      <c r="T4305" s="75">
        <f>0.5*(F4304*Q4304+F4305*Q4305)*R4305</f>
        <v>0.996830856717071</v>
      </c>
      <c r="U4305" s="76">
        <f>U4304+S4305</f>
        <v>70.33438956410649</v>
      </c>
      <c r="V4305" s="76">
        <f>V4304+T4305</f>
        <v>1124.28672297561</v>
      </c>
    </row>
    <row r="4306" spans="1:22" ht="19" customHeight="1">
      <c r="A4306" s="68" t="s">
        <v>378</v>
      </c>
      <c r="B4306" s="74">
        <v>5</v>
      </c>
      <c r="C4306" s="68" t="s">
        <v>363</v>
      </c>
      <c r="D4306" s="68" t="s">
        <v>365</v>
      </c>
      <c r="E4306" s="75">
        <f>60*F4306*'THAM_SO_MOI'!$C$53/(2*PI()*'THAM_SO_MOI'!$C$26)</f>
        <v>2263.264078947368</v>
      </c>
      <c r="F4306" s="75">
        <f>'THAM_SO_MOI'!$C$14+('THAM_SO_MOI'!$C$37-'THAM_SO_MOI'!$C$14)*215/'THAM_SO_MOI'!$C$42</f>
        <v>22.971163194444443</v>
      </c>
      <c r="G4306" s="75">
        <f>3.6*F4306</f>
        <v>82.6961875</v>
      </c>
      <c r="H4306" s="75">
        <f>'THAM_SO_MOI'!$D$53</f>
        <v>1.1</v>
      </c>
      <c r="I4306" s="75">
        <f>IF(F4306&gt;='THAM_SO_MOI'!$C$14,'THAM_SO_MOI'!$C$13*(1+F4306^2/1500),'THAM_SO_MOI'!$C$13)</f>
        <v>0.02027674338505799</v>
      </c>
      <c r="J4306" s="75">
        <f>'THAM_SO_MOI'!$C$40*('THAM_SO_MOI'!$C$23*(E4306/'THAM_SO_MOI'!$C$22)+'THAM_SO_MOI'!$C$24*(E4306/'THAM_SO_MOI'!$C$22)^2-'THAM_SO_MOI'!$C$25*(E4306/'THAM_SO_MOI'!$C$22)^3)</f>
        <v>101.81782980078187</v>
      </c>
      <c r="K4306" s="75">
        <f>'THAM_SO_MOI'!$C$31*J4306/E4306</f>
        <v>429.6768185099641</v>
      </c>
      <c r="L4306" s="75">
        <f>K4306*'THAM_SO_MOI'!$C$53*'THAM_SO_MOI'!$C$17/'THAM_SO_MOI'!$C$26</f>
        <v>3768.2673796442655</v>
      </c>
      <c r="M4306" s="75">
        <f>'THAM_SO_MOI'!$C$15*'THAM_SO_MOI'!$C$16*F4306^2</f>
        <v>1543.4474401294624</v>
      </c>
      <c r="N4306" s="75">
        <f>'THAM_SO_MOI'!$C$12*I4306</f>
        <v>1527.666068024977</v>
      </c>
      <c r="O4306" s="75">
        <f>M4306+N4306</f>
        <v>3071.1135081544394</v>
      </c>
      <c r="P4306" s="75">
        <f>(MIN(L4306,'THAM_SO_MOI'!$C$41)-O4306)/('THAM_SO_MOI'!$C$11*H4306)</f>
        <v>0.08252294880324645</v>
      </c>
      <c r="Q4306" s="75">
        <f>IF(P4306&gt;0,1/P4306,NA())</f>
        <v>12.11784133386009</v>
      </c>
      <c r="R4306" s="75">
        <f>F4306-F4305</f>
        <v>0.0035868055555567935</v>
      </c>
      <c r="S4306" s="75">
        <f>0.5*(Q4305+Q4306)*R4306</f>
        <v>0.04344456101227072</v>
      </c>
      <c r="T4306" s="75">
        <f>0.5*(F4305*Q4305+F4306*Q4306)*R4306</f>
        <v>0.9978942228002698</v>
      </c>
      <c r="U4306" s="76">
        <f>U4305+S4306</f>
        <v>70.37783412511875</v>
      </c>
      <c r="V4306" s="76">
        <f>V4305+T4306</f>
        <v>1125.2846171984104</v>
      </c>
    </row>
    <row r="4307" spans="1:22" ht="19" customHeight="1">
      <c r="A4307" s="68" t="s">
        <v>378</v>
      </c>
      <c r="B4307" s="74">
        <v>5</v>
      </c>
      <c r="C4307" s="68" t="s">
        <v>363</v>
      </c>
      <c r="D4307" s="68" t="s">
        <v>365</v>
      </c>
      <c r="E4307" s="75">
        <f>60*F4307*'THAM_SO_MOI'!$C$53/(2*PI()*'THAM_SO_MOI'!$C$26)</f>
        <v>2263.6174736842104</v>
      </c>
      <c r="F4307" s="75">
        <f>'THAM_SO_MOI'!$C$14+('THAM_SO_MOI'!$C$37-'THAM_SO_MOI'!$C$14)*216/'THAM_SO_MOI'!$C$42</f>
        <v>22.97475</v>
      </c>
      <c r="G4307" s="75">
        <f>3.6*F4307</f>
        <v>82.7091</v>
      </c>
      <c r="H4307" s="75">
        <f>'THAM_SO_MOI'!$D$53</f>
        <v>1.1</v>
      </c>
      <c r="I4307" s="75">
        <f>IF(F4307&gt;='THAM_SO_MOI'!$C$14,'THAM_SO_MOI'!$C$13*(1+F4307^2/1500),'THAM_SO_MOI'!$C$13)</f>
        <v>0.020278391375625</v>
      </c>
      <c r="J4307" s="75">
        <f>'THAM_SO_MOI'!$C$40*('THAM_SO_MOI'!$C$23*(E4307/'THAM_SO_MOI'!$C$22)+'THAM_SO_MOI'!$C$24*(E4307/'THAM_SO_MOI'!$C$22)^2-'THAM_SO_MOI'!$C$25*(E4307/'THAM_SO_MOI'!$C$22)^3)</f>
        <v>101.83294169250681</v>
      </c>
      <c r="K4307" s="75">
        <f>'THAM_SO_MOI'!$C$31*J4307/E4307</f>
        <v>429.67350065181233</v>
      </c>
      <c r="L4307" s="75">
        <f>K4307*'THAM_SO_MOI'!$C$53*'THAM_SO_MOI'!$C$17/'THAM_SO_MOI'!$C$26</f>
        <v>3768.238282015292</v>
      </c>
      <c r="M4307" s="75">
        <f>'THAM_SO_MOI'!$C$15*'THAM_SO_MOI'!$C$16*F4307^2</f>
        <v>1543.9294773703125</v>
      </c>
      <c r="N4307" s="75">
        <f>'THAM_SO_MOI'!$C$12*I4307</f>
        <v>1527.790228952688</v>
      </c>
      <c r="O4307" s="75">
        <f>M4307+N4307</f>
        <v>3071.7197063230005</v>
      </c>
      <c r="P4307" s="75">
        <f>(MIN(L4307,'THAM_SO_MOI'!$C$41)-O4307)/('THAM_SO_MOI'!$C$11*H4307)</f>
        <v>0.08244774806963676</v>
      </c>
      <c r="Q4307" s="75">
        <f>IF(P4307&gt;0,1/P4307,NA())</f>
        <v>12.128894037898805</v>
      </c>
      <c r="R4307" s="75">
        <f>F4307-F4306</f>
        <v>0.0035868055555567935</v>
      </c>
      <c r="S4307" s="75">
        <f>0.5*(Q4306+Q4307)*R4307</f>
        <v>0.04348416256777011</v>
      </c>
      <c r="T4307" s="75">
        <f>0.5*(F4306*Q4306+F4307*Q4307)*R4307</f>
        <v>0.9989598148846782</v>
      </c>
      <c r="U4307" s="76">
        <f>U4306+S4307</f>
        <v>70.42131828768652</v>
      </c>
      <c r="V4307" s="76">
        <f>V4306+T4307</f>
        <v>1126.2835770132951</v>
      </c>
    </row>
    <row r="4308" spans="1:22" ht="19" customHeight="1">
      <c r="A4308" s="68" t="s">
        <v>378</v>
      </c>
      <c r="B4308" s="74">
        <v>5</v>
      </c>
      <c r="C4308" s="68" t="s">
        <v>363</v>
      </c>
      <c r="D4308" s="68" t="s">
        <v>365</v>
      </c>
      <c r="E4308" s="75">
        <f>60*F4308*'THAM_SO_MOI'!$C$53/(2*PI()*'THAM_SO_MOI'!$C$26)</f>
        <v>2263.970868421052</v>
      </c>
      <c r="F4308" s="75">
        <f>'THAM_SO_MOI'!$C$14+('THAM_SO_MOI'!$C$37-'THAM_SO_MOI'!$C$14)*217/'THAM_SO_MOI'!$C$42</f>
        <v>22.978336805555553</v>
      </c>
      <c r="G4308" s="75">
        <f>3.6*F4308</f>
        <v>82.72201249999999</v>
      </c>
      <c r="H4308" s="75">
        <f>'THAM_SO_MOI'!$D$53</f>
        <v>1.1</v>
      </c>
      <c r="I4308" s="75">
        <f>IF(F4308&gt;='THAM_SO_MOI'!$C$14,'THAM_SO_MOI'!$C$13*(1+F4308^2/1500),'THAM_SO_MOI'!$C$13)</f>
        <v>0.020280039623495488</v>
      </c>
      <c r="J4308" s="75">
        <f>'THAM_SO_MOI'!$C$40*('THAM_SO_MOI'!$C$23*(E4308/'THAM_SO_MOI'!$C$22)+'THAM_SO_MOI'!$C$24*(E4308/'THAM_SO_MOI'!$C$22)^2-'THAM_SO_MOI'!$C$25*(E4308/'THAM_SO_MOI'!$C$22)^3)</f>
        <v>101.84805046676166</v>
      </c>
      <c r="K4308" s="75">
        <f>'THAM_SO_MOI'!$C$31*J4308/E4308</f>
        <v>429.67017067767614</v>
      </c>
      <c r="L4308" s="75">
        <f>K4308*'THAM_SO_MOI'!$C$53*'THAM_SO_MOI'!$C$17/'THAM_SO_MOI'!$C$26</f>
        <v>3768.2090781290876</v>
      </c>
      <c r="M4308" s="75">
        <f>'THAM_SO_MOI'!$C$15*'THAM_SO_MOI'!$C$16*F4308^2</f>
        <v>1544.4115898724308</v>
      </c>
      <c r="N4308" s="75">
        <f>'THAM_SO_MOI'!$C$12*I4308</f>
        <v>1527.914409265849</v>
      </c>
      <c r="O4308" s="75">
        <f>M4308+N4308</f>
        <v>3072.3259991382797</v>
      </c>
      <c r="P4308" s="75">
        <f>(MIN(L4308,'THAM_SO_MOI'!$C$41)-O4308)/('THAM_SO_MOI'!$C$11*H4308)</f>
        <v>0.08237252355478314</v>
      </c>
      <c r="Q4308" s="75">
        <f>IF(P4308&gt;0,1/P4308,NA())</f>
        <v>12.13997042757752</v>
      </c>
      <c r="R4308" s="75">
        <f>F4308-F4307</f>
        <v>0.0035868055555532408</v>
      </c>
      <c r="S4308" s="75">
        <f>0.5*(Q4307+Q4308)*R4308</f>
        <v>0.04352384894586956</v>
      </c>
      <c r="T4308" s="75">
        <f>0.5*(F4307*Q4307+F4308*Q4308)*R4308</f>
        <v>1.000027639985636</v>
      </c>
      <c r="U4308" s="76">
        <f>U4307+S4308</f>
        <v>70.46484213663238</v>
      </c>
      <c r="V4308" s="76">
        <f>V4307+T4308</f>
        <v>1127.2836046532807</v>
      </c>
    </row>
    <row r="4309" spans="1:22" ht="19" customHeight="1">
      <c r="A4309" s="68" t="s">
        <v>378</v>
      </c>
      <c r="B4309" s="74">
        <v>5</v>
      </c>
      <c r="C4309" s="68" t="s">
        <v>363</v>
      </c>
      <c r="D4309" s="68" t="s">
        <v>365</v>
      </c>
      <c r="E4309" s="75">
        <f>60*F4309*'THAM_SO_MOI'!$C$53/(2*PI()*'THAM_SO_MOI'!$C$26)</f>
        <v>2264.324263157894</v>
      </c>
      <c r="F4309" s="75">
        <f>'THAM_SO_MOI'!$C$14+('THAM_SO_MOI'!$C$37-'THAM_SO_MOI'!$C$14)*218/'THAM_SO_MOI'!$C$42</f>
        <v>22.98192361111111</v>
      </c>
      <c r="G4309" s="75">
        <f>3.6*F4309</f>
        <v>82.734925</v>
      </c>
      <c r="H4309" s="75">
        <f>'THAM_SO_MOI'!$D$53</f>
        <v>1.1</v>
      </c>
      <c r="I4309" s="75">
        <f>IF(F4309&gt;='THAM_SO_MOI'!$C$14,'THAM_SO_MOI'!$C$13*(1+F4309^2/1500),'THAM_SO_MOI'!$C$13)</f>
        <v>0.020281688128669463</v>
      </c>
      <c r="J4309" s="75">
        <f>'THAM_SO_MOI'!$C$40*('THAM_SO_MOI'!$C$23*(E4309/'THAM_SO_MOI'!$C$22)+'THAM_SO_MOI'!$C$24*(E4309/'THAM_SO_MOI'!$C$22)^2-'THAM_SO_MOI'!$C$25*(E4309/'THAM_SO_MOI'!$C$22)^3)</f>
        <v>101.86315612220167</v>
      </c>
      <c r="K4309" s="75">
        <f>'THAM_SO_MOI'!$C$31*J4309/E4309</f>
        <v>429.6668285875557</v>
      </c>
      <c r="L4309" s="75">
        <f>K4309*'THAM_SO_MOI'!$C$53*'THAM_SO_MOI'!$C$17/'THAM_SO_MOI'!$C$26</f>
        <v>3768.179767985654</v>
      </c>
      <c r="M4309" s="75">
        <f>'THAM_SO_MOI'!$C$15*'THAM_SO_MOI'!$C$16*F4309^2</f>
        <v>1544.8937776358182</v>
      </c>
      <c r="N4309" s="75">
        <f>'THAM_SO_MOI'!$C$12*I4309</f>
        <v>1528.0386089644603</v>
      </c>
      <c r="O4309" s="75">
        <f>M4309+N4309</f>
        <v>3072.9323866002787</v>
      </c>
      <c r="P4309" s="75">
        <f>(MIN(L4309,'THAM_SO_MOI'!$C$41)-O4309)/('THAM_SO_MOI'!$C$11*H4309)</f>
        <v>0.08229727525868552</v>
      </c>
      <c r="Q4309" s="75">
        <f>IF(P4309&gt;0,1/P4309,NA())</f>
        <v>12.151070577448573</v>
      </c>
      <c r="R4309" s="75">
        <f>F4309-F4308</f>
        <v>0.0035868055555567935</v>
      </c>
      <c r="S4309" s="75">
        <f>0.5*(Q4308+Q4309)*R4309</f>
        <v>0.04356362041354274</v>
      </c>
      <c r="T4309" s="75">
        <f>0.5*(F4308*Q4308+F4309*Q4309)*R4309</f>
        <v>1.00109770515096</v>
      </c>
      <c r="U4309" s="76">
        <f>U4308+S4309</f>
        <v>70.50840575704592</v>
      </c>
      <c r="V4309" s="76">
        <f>V4308+T4309</f>
        <v>1128.2847023584316</v>
      </c>
    </row>
    <row r="4310" spans="1:22" ht="19" customHeight="1">
      <c r="A4310" s="68" t="s">
        <v>378</v>
      </c>
      <c r="B4310" s="74">
        <v>5</v>
      </c>
      <c r="C4310" s="68" t="s">
        <v>363</v>
      </c>
      <c r="D4310" s="68" t="s">
        <v>365</v>
      </c>
      <c r="E4310" s="75">
        <f>60*F4310*'THAM_SO_MOI'!$C$53/(2*PI()*'THAM_SO_MOI'!$C$26)</f>
        <v>2264.677657894736</v>
      </c>
      <c r="F4310" s="75">
        <f>'THAM_SO_MOI'!$C$14+('THAM_SO_MOI'!$C$37-'THAM_SO_MOI'!$C$14)*219/'THAM_SO_MOI'!$C$42</f>
        <v>22.985510416666667</v>
      </c>
      <c r="G4310" s="75">
        <f>3.6*F4310</f>
        <v>82.7478375</v>
      </c>
      <c r="H4310" s="75">
        <f>'THAM_SO_MOI'!$D$53</f>
        <v>1.1</v>
      </c>
      <c r="I4310" s="75">
        <f>IF(F4310&gt;='THAM_SO_MOI'!$C$14,'THAM_SO_MOI'!$C$13*(1+F4310^2/1500),'THAM_SO_MOI'!$C$13)</f>
        <v>0.020283336891146916</v>
      </c>
      <c r="J4310" s="75">
        <f>'THAM_SO_MOI'!$C$40*('THAM_SO_MOI'!$C$23*(E4310/'THAM_SO_MOI'!$C$22)+'THAM_SO_MOI'!$C$24*(E4310/'THAM_SO_MOI'!$C$22)^2-'THAM_SO_MOI'!$C$25*(E4310/'THAM_SO_MOI'!$C$22)^3)</f>
        <v>101.87825865748181</v>
      </c>
      <c r="K4310" s="75">
        <f>'THAM_SO_MOI'!$C$31*J4310/E4310</f>
        <v>429.6634743814506</v>
      </c>
      <c r="L4310" s="75">
        <f>K4310*'THAM_SO_MOI'!$C$53*'THAM_SO_MOI'!$C$17/'THAM_SO_MOI'!$C$26</f>
        <v>3768.150351584987</v>
      </c>
      <c r="M4310" s="75">
        <f>'THAM_SO_MOI'!$C$15*'THAM_SO_MOI'!$C$16*F4310^2</f>
        <v>1545.3760406604738</v>
      </c>
      <c r="N4310" s="75">
        <f>'THAM_SO_MOI'!$C$12*I4310</f>
        <v>1528.1628280485215</v>
      </c>
      <c r="O4310" s="75">
        <f>M4310+N4310</f>
        <v>3073.5388687089953</v>
      </c>
      <c r="P4310" s="75">
        <f>(MIN(L4310,'THAM_SO_MOI'!$C$41)-O4310)/('THAM_SO_MOI'!$C$11*H4310)</f>
        <v>0.08222200318134373</v>
      </c>
      <c r="Q4310" s="75">
        <f>IF(P4310&gt;0,1/P4310,NA())</f>
        <v>12.16219456237842</v>
      </c>
      <c r="R4310" s="75">
        <f>F4310-F4309</f>
        <v>0.0035868055555567935</v>
      </c>
      <c r="S4310" s="75">
        <f>0.5*(Q4309+Q4310)*R4310</f>
        <v>0.043603477238628396</v>
      </c>
      <c r="T4310" s="75">
        <f>0.5*(F4309*Q4309+F4310*Q4310)*R4310</f>
        <v>1.0021700174521808</v>
      </c>
      <c r="U4310" s="76">
        <f>U4309+S4310</f>
        <v>70.55200923428455</v>
      </c>
      <c r="V4310" s="76">
        <f>V4309+T4310</f>
        <v>1129.2868723758838</v>
      </c>
    </row>
    <row r="4311" spans="1:22" ht="19" customHeight="1">
      <c r="A4311" s="68" t="s">
        <v>378</v>
      </c>
      <c r="B4311" s="74">
        <v>5</v>
      </c>
      <c r="C4311" s="68" t="s">
        <v>363</v>
      </c>
      <c r="D4311" s="68" t="s">
        <v>365</v>
      </c>
      <c r="E4311" s="75">
        <f>60*F4311*'THAM_SO_MOI'!$C$53/(2*PI()*'THAM_SO_MOI'!$C$26)</f>
        <v>2265.0310526315784</v>
      </c>
      <c r="F4311" s="75">
        <f>'THAM_SO_MOI'!$C$14+('THAM_SO_MOI'!$C$37-'THAM_SO_MOI'!$C$14)*220/'THAM_SO_MOI'!$C$42</f>
        <v>22.98909722222222</v>
      </c>
      <c r="G4311" s="75">
        <f>3.6*F4311</f>
        <v>82.76075</v>
      </c>
      <c r="H4311" s="75">
        <f>'THAM_SO_MOI'!$D$53</f>
        <v>1.1</v>
      </c>
      <c r="I4311" s="75">
        <f>IF(F4311&gt;='THAM_SO_MOI'!$C$14,'THAM_SO_MOI'!$C$13*(1+F4311^2/1500),'THAM_SO_MOI'!$C$13)</f>
        <v>0.020284985910927856</v>
      </c>
      <c r="J4311" s="75">
        <f>'THAM_SO_MOI'!$C$40*('THAM_SO_MOI'!$C$23*(E4311/'THAM_SO_MOI'!$C$22)+'THAM_SO_MOI'!$C$24*(E4311/'THAM_SO_MOI'!$C$22)^2-'THAM_SO_MOI'!$C$25*(E4311/'THAM_SO_MOI'!$C$22)^3)</f>
        <v>101.89335807125723</v>
      </c>
      <c r="K4311" s="75">
        <f>'THAM_SO_MOI'!$C$31*J4311/E4311</f>
        <v>429.66010805936105</v>
      </c>
      <c r="L4311" s="75">
        <f>K4311*'THAM_SO_MOI'!$C$53*'THAM_SO_MOI'!$C$17/'THAM_SO_MOI'!$C$26</f>
        <v>3768.1208289270894</v>
      </c>
      <c r="M4311" s="75">
        <f>'THAM_SO_MOI'!$C$15*'THAM_SO_MOI'!$C$16*F4311^2</f>
        <v>1545.8583789463976</v>
      </c>
      <c r="N4311" s="75">
        <f>'THAM_SO_MOI'!$C$12*I4311</f>
        <v>1528.2870665180335</v>
      </c>
      <c r="O4311" s="75">
        <f>M4311+N4311</f>
        <v>3074.145445464431</v>
      </c>
      <c r="P4311" s="75">
        <f>(MIN(L4311,'THAM_SO_MOI'!$C$41)-O4311)/('THAM_SO_MOI'!$C$11*H4311)</f>
        <v>0.08214670732275782</v>
      </c>
      <c r="Q4311" s="75">
        <f>IF(P4311&gt;0,1/P4311,NA())</f>
        <v>12.173342457549253</v>
      </c>
      <c r="R4311" s="75">
        <f>F4311-F4310</f>
        <v>0.0035868055555532408</v>
      </c>
      <c r="S4311" s="75">
        <f>0.5*(Q4310+Q4311)*R4311</f>
        <v>0.04364341969022407</v>
      </c>
      <c r="T4311" s="75">
        <f>0.5*(F4310*Q4310+F4311*Q4311)*R4311</f>
        <v>1.0032445839936077</v>
      </c>
      <c r="U4311" s="76">
        <f>U4310+S4311</f>
        <v>70.59565265397478</v>
      </c>
      <c r="V4311" s="76">
        <f>V4310+T4311</f>
        <v>1130.2901169598774</v>
      </c>
    </row>
    <row r="4312" spans="1:22" ht="19" customHeight="1">
      <c r="A4312" s="68" t="s">
        <v>378</v>
      </c>
      <c r="B4312" s="74">
        <v>5</v>
      </c>
      <c r="C4312" s="68" t="s">
        <v>363</v>
      </c>
      <c r="D4312" s="68" t="s">
        <v>365</v>
      </c>
      <c r="E4312" s="75">
        <f>60*F4312*'THAM_SO_MOI'!$C$53/(2*PI()*'THAM_SO_MOI'!$C$26)</f>
        <v>2265.3844473684208</v>
      </c>
      <c r="F4312" s="75">
        <f>'THAM_SO_MOI'!$C$14+('THAM_SO_MOI'!$C$37-'THAM_SO_MOI'!$C$14)*221/'THAM_SO_MOI'!$C$42</f>
        <v>22.992684027777777</v>
      </c>
      <c r="G4312" s="75">
        <f>3.6*F4312</f>
        <v>82.7736625</v>
      </c>
      <c r="H4312" s="75">
        <f>'THAM_SO_MOI'!$D$53</f>
        <v>1.1</v>
      </c>
      <c r="I4312" s="75">
        <f>IF(F4312&gt;='THAM_SO_MOI'!$C$14,'THAM_SO_MOI'!$C$13*(1+F4312^2/1500),'THAM_SO_MOI'!$C$13)</f>
        <v>0.02028663518801227</v>
      </c>
      <c r="J4312" s="75">
        <f>'THAM_SO_MOI'!$C$40*('THAM_SO_MOI'!$C$23*(E4312/'THAM_SO_MOI'!$C$22)+'THAM_SO_MOI'!$C$24*(E4312/'THAM_SO_MOI'!$C$22)^2-'THAM_SO_MOI'!$C$25*(E4312/'THAM_SO_MOI'!$C$22)^3)</f>
        <v>101.90845436218305</v>
      </c>
      <c r="K4312" s="75">
        <f>'THAM_SO_MOI'!$C$31*J4312/E4312</f>
        <v>429.656729621287</v>
      </c>
      <c r="L4312" s="75">
        <f>K4312*'THAM_SO_MOI'!$C$53*'THAM_SO_MOI'!$C$17/'THAM_SO_MOI'!$C$26</f>
        <v>3768.09120001196</v>
      </c>
      <c r="M4312" s="75">
        <f>'THAM_SO_MOI'!$C$15*'THAM_SO_MOI'!$C$16*F4312^2</f>
        <v>1546.34079249359</v>
      </c>
      <c r="N4312" s="75">
        <f>'THAM_SO_MOI'!$C$12*I4312</f>
        <v>1528.4113243729948</v>
      </c>
      <c r="O4312" s="75">
        <f>M4312+N4312</f>
        <v>3074.752116866585</v>
      </c>
      <c r="P4312" s="75">
        <f>(MIN(L4312,'THAM_SO_MOI'!$C$41)-O4312)/('THAM_SO_MOI'!$C$11*H4312)</f>
        <v>0.08207138768292795</v>
      </c>
      <c r="Q4312" s="75">
        <f>IF(P4312&gt;0,1/P4312,NA())</f>
        <v>12.184514338460671</v>
      </c>
      <c r="R4312" s="75">
        <f>F4312-F4311</f>
        <v>0.0035868055555567935</v>
      </c>
      <c r="S4312" s="75">
        <f>0.5*(Q4311+Q4312)*R4312</f>
        <v>0.0436834480386926</v>
      </c>
      <c r="T4312" s="75">
        <f>0.5*(F4311*Q4311+F4312*Q4312)*R4312</f>
        <v>1.0043214119125006</v>
      </c>
      <c r="U4312" s="76">
        <f>U4311+S4312</f>
        <v>70.63933610201347</v>
      </c>
      <c r="V4312" s="76">
        <f>V4311+T4312</f>
        <v>1131.29443837179</v>
      </c>
    </row>
    <row r="4313" spans="1:22" ht="19" customHeight="1">
      <c r="A4313" s="68" t="s">
        <v>378</v>
      </c>
      <c r="B4313" s="74">
        <v>5</v>
      </c>
      <c r="C4313" s="68" t="s">
        <v>363</v>
      </c>
      <c r="D4313" s="68" t="s">
        <v>365</v>
      </c>
      <c r="E4313" s="75">
        <f>60*F4313*'THAM_SO_MOI'!$C$53/(2*PI()*'THAM_SO_MOI'!$C$26)</f>
        <v>2265.737842105263</v>
      </c>
      <c r="F4313" s="75">
        <f>'THAM_SO_MOI'!$C$14+('THAM_SO_MOI'!$C$37-'THAM_SO_MOI'!$C$14)*222/'THAM_SO_MOI'!$C$42</f>
        <v>22.996270833333334</v>
      </c>
      <c r="G4313" s="75">
        <f>3.6*F4313</f>
        <v>82.786575</v>
      </c>
      <c r="H4313" s="75">
        <f>'THAM_SO_MOI'!$D$53</f>
        <v>1.1</v>
      </c>
      <c r="I4313" s="75">
        <f>IF(F4313&gt;='THAM_SO_MOI'!$C$14,'THAM_SO_MOI'!$C$13*(1+F4313^2/1500),'THAM_SO_MOI'!$C$13)</f>
        <v>0.020288284722400175</v>
      </c>
      <c r="J4313" s="75">
        <f>'THAM_SO_MOI'!$C$40*('THAM_SO_MOI'!$C$23*(E4313/'THAM_SO_MOI'!$C$22)+'THAM_SO_MOI'!$C$24*(E4313/'THAM_SO_MOI'!$C$22)^2-'THAM_SO_MOI'!$C$25*(E4313/'THAM_SO_MOI'!$C$22)^3)</f>
        <v>101.9235475289144</v>
      </c>
      <c r="K4313" s="75">
        <f>'THAM_SO_MOI'!$C$31*J4313/E4313</f>
        <v>429.6533390672286</v>
      </c>
      <c r="L4313" s="75">
        <f>K4313*'THAM_SO_MOI'!$C$53*'THAM_SO_MOI'!$C$17/'THAM_SO_MOI'!$C$26</f>
        <v>3768.061464839601</v>
      </c>
      <c r="M4313" s="75">
        <f>'THAM_SO_MOI'!$C$15*'THAM_SO_MOI'!$C$16*F4313^2</f>
        <v>1546.823281302051</v>
      </c>
      <c r="N4313" s="75">
        <f>'THAM_SO_MOI'!$C$12*I4313</f>
        <v>1528.5356016134072</v>
      </c>
      <c r="O4313" s="75">
        <f>M4313+N4313</f>
        <v>3075.3588829154583</v>
      </c>
      <c r="P4313" s="75">
        <f>(MIN(L4313,'THAM_SO_MOI'!$C$41)-O4313)/('THAM_SO_MOI'!$C$11*H4313)</f>
        <v>0.08199604426185403</v>
      </c>
      <c r="Q4313" s="75">
        <f>IF(P4313&gt;0,1/P4313,NA())</f>
        <v>12.195710280931408</v>
      </c>
      <c r="R4313" s="75">
        <f>F4313-F4312</f>
        <v>0.0035868055555567935</v>
      </c>
      <c r="S4313" s="75">
        <f>0.5*(Q4312+Q4313)*R4313</f>
        <v>0.04372356255527901</v>
      </c>
      <c r="T4313" s="75">
        <f>0.5*(F4312*Q4312+F4313*Q4313)*R4313</f>
        <v>1.0054005083702846</v>
      </c>
      <c r="U4313" s="76">
        <f>U4312+S4313</f>
        <v>70.68305966456876</v>
      </c>
      <c r="V4313" s="76">
        <f>V4312+T4313</f>
        <v>1132.2998388801602</v>
      </c>
    </row>
    <row r="4314" spans="1:22" ht="19" customHeight="1">
      <c r="A4314" s="68" t="s">
        <v>378</v>
      </c>
      <c r="B4314" s="74">
        <v>5</v>
      </c>
      <c r="C4314" s="68" t="s">
        <v>363</v>
      </c>
      <c r="D4314" s="68" t="s">
        <v>365</v>
      </c>
      <c r="E4314" s="75">
        <f>60*F4314*'THAM_SO_MOI'!$C$53/(2*PI()*'THAM_SO_MOI'!$C$26)</f>
        <v>2266.0912368421045</v>
      </c>
      <c r="F4314" s="75">
        <f>'THAM_SO_MOI'!$C$14+('THAM_SO_MOI'!$C$37-'THAM_SO_MOI'!$C$14)*223/'THAM_SO_MOI'!$C$42</f>
        <v>22.999857638888887</v>
      </c>
      <c r="G4314" s="75">
        <f>3.6*F4314</f>
        <v>82.7994875</v>
      </c>
      <c r="H4314" s="75">
        <f>'THAM_SO_MOI'!$D$53</f>
        <v>1.1</v>
      </c>
      <c r="I4314" s="75">
        <f>IF(F4314&gt;='THAM_SO_MOI'!$C$14,'THAM_SO_MOI'!$C$13*(1+F4314^2/1500),'THAM_SO_MOI'!$C$13)</f>
        <v>0.020289934514091553</v>
      </c>
      <c r="J4314" s="75">
        <f>'THAM_SO_MOI'!$C$40*('THAM_SO_MOI'!$C$23*(E4314/'THAM_SO_MOI'!$C$22)+'THAM_SO_MOI'!$C$24*(E4314/'THAM_SO_MOI'!$C$22)^2-'THAM_SO_MOI'!$C$25*(E4314/'THAM_SO_MOI'!$C$22)^3)</f>
        <v>101.93863757010632</v>
      </c>
      <c r="K4314" s="75">
        <f>'THAM_SO_MOI'!$C$31*J4314/E4314</f>
        <v>429.6499363971857</v>
      </c>
      <c r="L4314" s="75">
        <f>K4314*'THAM_SO_MOI'!$C$53*'THAM_SO_MOI'!$C$17/'THAM_SO_MOI'!$C$26</f>
        <v>3768.0316234100096</v>
      </c>
      <c r="M4314" s="75">
        <f>'THAM_SO_MOI'!$C$15*'THAM_SO_MOI'!$C$16*F4314^2</f>
        <v>1547.30584537178</v>
      </c>
      <c r="N4314" s="75">
        <f>'THAM_SO_MOI'!$C$12*I4314</f>
        <v>1528.6598982392688</v>
      </c>
      <c r="O4314" s="75">
        <f>M4314+N4314</f>
        <v>3075.9657436110488</v>
      </c>
      <c r="P4314" s="75">
        <f>(MIN(L4314,'THAM_SO_MOI'!$C$41)-O4314)/('THAM_SO_MOI'!$C$11*H4314)</f>
        <v>0.08192067705953608</v>
      </c>
      <c r="Q4314" s="75">
        <f>IF(P4314&gt;0,1/P4314,NA())</f>
        <v>12.206930361100985</v>
      </c>
      <c r="R4314" s="75">
        <f>F4314-F4313</f>
        <v>0.0035868055555532408</v>
      </c>
      <c r="S4314" s="75">
        <f>0.5*(Q4313+Q4314)*R4314</f>
        <v>0.04376376351250555</v>
      </c>
      <c r="T4314" s="75">
        <f>0.5*(F4313*Q4313+F4314*Q4314)*R4314</f>
        <v>1.0064818805616491</v>
      </c>
      <c r="U4314" s="76">
        <f>U4313+S4314</f>
        <v>70.72682342808126</v>
      </c>
      <c r="V4314" s="76">
        <f>V4313+T4314</f>
        <v>1133.306320760722</v>
      </c>
    </row>
    <row r="4315" spans="1:22" ht="19" customHeight="1">
      <c r="A4315" s="68" t="s">
        <v>378</v>
      </c>
      <c r="B4315" s="74">
        <v>5</v>
      </c>
      <c r="C4315" s="68" t="s">
        <v>363</v>
      </c>
      <c r="D4315" s="68" t="s">
        <v>365</v>
      </c>
      <c r="E4315" s="75">
        <f>60*F4315*'THAM_SO_MOI'!$C$53/(2*PI()*'THAM_SO_MOI'!$C$26)</f>
        <v>2266.444631578947</v>
      </c>
      <c r="F4315" s="75">
        <f>'THAM_SO_MOI'!$C$14+('THAM_SO_MOI'!$C$37-'THAM_SO_MOI'!$C$14)*224/'THAM_SO_MOI'!$C$42</f>
        <v>23.003444444444444</v>
      </c>
      <c r="G4315" s="75">
        <f>3.6*F4315</f>
        <v>82.8124</v>
      </c>
      <c r="H4315" s="75">
        <f>'THAM_SO_MOI'!$D$53</f>
        <v>1.1</v>
      </c>
      <c r="I4315" s="75">
        <f>IF(F4315&gt;='THAM_SO_MOI'!$C$14,'THAM_SO_MOI'!$C$13*(1+F4315^2/1500),'THAM_SO_MOI'!$C$13)</f>
        <v>0.02029158456308642</v>
      </c>
      <c r="J4315" s="75">
        <f>'THAM_SO_MOI'!$C$40*('THAM_SO_MOI'!$C$23*(E4315/'THAM_SO_MOI'!$C$22)+'THAM_SO_MOI'!$C$24*(E4315/'THAM_SO_MOI'!$C$22)^2-'THAM_SO_MOI'!$C$25*(E4315/'THAM_SO_MOI'!$C$22)^3)</f>
        <v>101.95372448441401</v>
      </c>
      <c r="K4315" s="75">
        <f>'THAM_SO_MOI'!$C$31*J4315/E4315</f>
        <v>429.6465216111584</v>
      </c>
      <c r="L4315" s="75">
        <f>K4315*'THAM_SO_MOI'!$C$53*'THAM_SO_MOI'!$C$17/'THAM_SO_MOI'!$C$26</f>
        <v>3768.0016757231892</v>
      </c>
      <c r="M4315" s="75">
        <f>'THAM_SO_MOI'!$C$15*'THAM_SO_MOI'!$C$16*F4315^2</f>
        <v>1547.7884847027779</v>
      </c>
      <c r="N4315" s="75">
        <f>'THAM_SO_MOI'!$C$12*I4315</f>
        <v>1528.7842142505813</v>
      </c>
      <c r="O4315" s="75">
        <f>M4315+N4315</f>
        <v>3076.572698953359</v>
      </c>
      <c r="P4315" s="75">
        <f>(MIN(L4315,'THAM_SO_MOI'!$C$41)-O4315)/('THAM_SO_MOI'!$C$11*H4315)</f>
        <v>0.08184528607597423</v>
      </c>
      <c r="Q4315" s="75">
        <f>IF(P4315&gt;0,1/P4315,NA())</f>
        <v>12.21817465543139</v>
      </c>
      <c r="R4315" s="75">
        <f>F4315-F4314</f>
        <v>0.0035868055555567935</v>
      </c>
      <c r="S4315" s="75">
        <f>0.5*(Q4314+Q4315)*R4315</f>
        <v>0.04380405118417822</v>
      </c>
      <c r="T4315" s="75">
        <f>0.5*(F4314*Q4314+F4315*Q4315)*R4315</f>
        <v>1.0075655357147237</v>
      </c>
      <c r="U4315" s="76">
        <f>U4314+S4315</f>
        <v>70.77062747926544</v>
      </c>
      <c r="V4315" s="76">
        <f>V4314+T4315</f>
        <v>1134.3138862964367</v>
      </c>
    </row>
    <row r="4316" spans="1:22" ht="19" customHeight="1">
      <c r="A4316" s="68" t="s">
        <v>378</v>
      </c>
      <c r="B4316" s="74">
        <v>5</v>
      </c>
      <c r="C4316" s="68" t="s">
        <v>363</v>
      </c>
      <c r="D4316" s="68" t="s">
        <v>365</v>
      </c>
      <c r="E4316" s="75">
        <f>60*F4316*'THAM_SO_MOI'!$C$53/(2*PI()*'THAM_SO_MOI'!$C$26)</f>
        <v>2266.798026315789</v>
      </c>
      <c r="F4316" s="75">
        <f>'THAM_SO_MOI'!$C$14+('THAM_SO_MOI'!$C$37-'THAM_SO_MOI'!$C$14)*225/'THAM_SO_MOI'!$C$42</f>
        <v>23.00703125</v>
      </c>
      <c r="G4316" s="75">
        <f>3.6*F4316</f>
        <v>82.82531250000001</v>
      </c>
      <c r="H4316" s="75">
        <f>'THAM_SO_MOI'!$D$53</f>
        <v>1.1</v>
      </c>
      <c r="I4316" s="75">
        <f>IF(F4316&gt;='THAM_SO_MOI'!$C$14,'THAM_SO_MOI'!$C$13*(1+F4316^2/1500),'THAM_SO_MOI'!$C$13)</f>
        <v>0.020293234869384762</v>
      </c>
      <c r="J4316" s="75">
        <f>'THAM_SO_MOI'!$C$40*('THAM_SO_MOI'!$C$23*(E4316/'THAM_SO_MOI'!$C$22)+'THAM_SO_MOI'!$C$24*(E4316/'THAM_SO_MOI'!$C$22)^2-'THAM_SO_MOI'!$C$25*(E4316/'THAM_SO_MOI'!$C$22)^3)</f>
        <v>101.96880827049249</v>
      </c>
      <c r="K4316" s="75">
        <f>'THAM_SO_MOI'!$C$31*J4316/E4316</f>
        <v>429.64309470914645</v>
      </c>
      <c r="L4316" s="75">
        <f>K4316*'THAM_SO_MOI'!$C$53*'THAM_SO_MOI'!$C$17/'THAM_SO_MOI'!$C$26</f>
        <v>3767.9716217791347</v>
      </c>
      <c r="M4316" s="75">
        <f>'THAM_SO_MOI'!$C$15*'THAM_SO_MOI'!$C$16*F4316^2</f>
        <v>1548.271199295044</v>
      </c>
      <c r="N4316" s="75">
        <f>'THAM_SO_MOI'!$C$12*I4316</f>
        <v>1528.9085496473435</v>
      </c>
      <c r="O4316" s="75">
        <f>M4316+N4316</f>
        <v>3077.1797489423875</v>
      </c>
      <c r="P4316" s="75">
        <f>(MIN(L4316,'THAM_SO_MOI'!$C$41)-O4316)/('THAM_SO_MOI'!$C$11*H4316)</f>
        <v>0.08176987131116799</v>
      </c>
      <c r="Q4316" s="75">
        <f>IF(P4316&gt;0,1/P4316,NA())</f>
        <v>12.2294432407089</v>
      </c>
      <c r="R4316" s="75">
        <f>F4316-F4315</f>
        <v>0.0035868055555567935</v>
      </c>
      <c r="S4316" s="75">
        <f>0.5*(Q4315+Q4316)*R4316</f>
        <v>0.04384442584500284</v>
      </c>
      <c r="T4316" s="75">
        <f>0.5*(F4315*Q4315+F4316*Q4316)*R4316</f>
        <v>1.0086514810822653</v>
      </c>
      <c r="U4316" s="76">
        <f>U4315+S4316</f>
        <v>70.81447190511045</v>
      </c>
      <c r="V4316" s="76">
        <f>V4315+T4316</f>
        <v>1135.322537777519</v>
      </c>
    </row>
    <row r="4317" spans="1:22" ht="19" customHeight="1">
      <c r="A4317" s="68" t="s">
        <v>378</v>
      </c>
      <c r="B4317" s="74">
        <v>5</v>
      </c>
      <c r="C4317" s="68" t="s">
        <v>363</v>
      </c>
      <c r="D4317" s="68" t="s">
        <v>365</v>
      </c>
      <c r="E4317" s="75">
        <f>60*F4317*'THAM_SO_MOI'!$C$53/(2*PI()*'THAM_SO_MOI'!$C$26)</f>
        <v>2267.1514210526307</v>
      </c>
      <c r="F4317" s="75">
        <f>'THAM_SO_MOI'!$C$14+('THAM_SO_MOI'!$C$37-'THAM_SO_MOI'!$C$14)*226/'THAM_SO_MOI'!$C$42</f>
        <v>23.010618055555554</v>
      </c>
      <c r="G4317" s="75">
        <f>3.6*F4317</f>
        <v>82.838225</v>
      </c>
      <c r="H4317" s="75">
        <f>'THAM_SO_MOI'!$D$53</f>
        <v>1.1</v>
      </c>
      <c r="I4317" s="75">
        <f>IF(F4317&gt;='THAM_SO_MOI'!$C$14,'THAM_SO_MOI'!$C$13*(1+F4317^2/1500),'THAM_SO_MOI'!$C$13)</f>
        <v>0.020294885432986593</v>
      </c>
      <c r="J4317" s="75">
        <f>'THAM_SO_MOI'!$C$40*('THAM_SO_MOI'!$C$23*(E4317/'THAM_SO_MOI'!$C$22)+'THAM_SO_MOI'!$C$24*(E4317/'THAM_SO_MOI'!$C$22)^2-'THAM_SO_MOI'!$C$25*(E4317/'THAM_SO_MOI'!$C$22)^3)</f>
        <v>101.98388892699697</v>
      </c>
      <c r="K4317" s="75">
        <f>'THAM_SO_MOI'!$C$31*J4317/E4317</f>
        <v>429.63965569115027</v>
      </c>
      <c r="L4317" s="75">
        <f>K4317*'THAM_SO_MOI'!$C$53*'THAM_SO_MOI'!$C$17/'THAM_SO_MOI'!$C$26</f>
        <v>3767.941461577852</v>
      </c>
      <c r="M4317" s="75">
        <f>'THAM_SO_MOI'!$C$15*'THAM_SO_MOI'!$C$16*F4317^2</f>
        <v>1548.7539891485785</v>
      </c>
      <c r="N4317" s="75">
        <f>'THAM_SO_MOI'!$C$12*I4317</f>
        <v>1529.0329044295563</v>
      </c>
      <c r="O4317" s="75">
        <f>M4317+N4317</f>
        <v>3077.786893578135</v>
      </c>
      <c r="P4317" s="75">
        <f>(MIN(L4317,'THAM_SO_MOI'!$C$41)-O4317)/('THAM_SO_MOI'!$C$11*H4317)</f>
        <v>0.08169443276511802</v>
      </c>
      <c r="Q4317" s="75">
        <f>IF(P4317&gt;0,1/P4317,NA())</f>
        <v>12.240736194045539</v>
      </c>
      <c r="R4317" s="75">
        <f>F4317-F4316</f>
        <v>0.0035868055555532408</v>
      </c>
      <c r="S4317" s="75">
        <f>0.5*(Q4316+Q4317)*R4317</f>
        <v>0.04388488777098094</v>
      </c>
      <c r="T4317" s="75">
        <f>0.5*(F4316*Q4316+F4317*Q4317)*R4317</f>
        <v>1.0097397239507848</v>
      </c>
      <c r="U4317" s="76">
        <f>U4316+S4317</f>
        <v>70.85835679288144</v>
      </c>
      <c r="V4317" s="76">
        <f>V4316+T4317</f>
        <v>1136.33227750147</v>
      </c>
    </row>
    <row r="4318" spans="1:22" ht="19" customHeight="1">
      <c r="A4318" s="68" t="s">
        <v>378</v>
      </c>
      <c r="B4318" s="74">
        <v>5</v>
      </c>
      <c r="C4318" s="68" t="s">
        <v>363</v>
      </c>
      <c r="D4318" s="68" t="s">
        <v>365</v>
      </c>
      <c r="E4318" s="75">
        <f>60*F4318*'THAM_SO_MOI'!$C$53/(2*PI()*'THAM_SO_MOI'!$C$26)</f>
        <v>2267.504815789473</v>
      </c>
      <c r="F4318" s="75">
        <f>'THAM_SO_MOI'!$C$14+('THAM_SO_MOI'!$C$37-'THAM_SO_MOI'!$C$14)*227/'THAM_SO_MOI'!$C$42</f>
        <v>23.01420486111111</v>
      </c>
      <c r="G4318" s="75">
        <f>3.6*F4318</f>
        <v>82.85113750000001</v>
      </c>
      <c r="H4318" s="75">
        <f>'THAM_SO_MOI'!$D$53</f>
        <v>1.1</v>
      </c>
      <c r="I4318" s="75">
        <f>IF(F4318&gt;='THAM_SO_MOI'!$C$14,'THAM_SO_MOI'!$C$13*(1+F4318^2/1500),'THAM_SO_MOI'!$C$13)</f>
        <v>0.0202965362538919</v>
      </c>
      <c r="J4318" s="75">
        <f>'THAM_SO_MOI'!$C$40*('THAM_SO_MOI'!$C$23*(E4318/'THAM_SO_MOI'!$C$22)+'THAM_SO_MOI'!$C$24*(E4318/'THAM_SO_MOI'!$C$22)^2-'THAM_SO_MOI'!$C$25*(E4318/'THAM_SO_MOI'!$C$22)^3)</f>
        <v>101.99896645258251</v>
      </c>
      <c r="K4318" s="75">
        <f>'THAM_SO_MOI'!$C$31*J4318/E4318</f>
        <v>429.6362045571696</v>
      </c>
      <c r="L4318" s="75">
        <f>K4318*'THAM_SO_MOI'!$C$53*'THAM_SO_MOI'!$C$17/'THAM_SO_MOI'!$C$26</f>
        <v>3767.911195119337</v>
      </c>
      <c r="M4318" s="75">
        <f>'THAM_SO_MOI'!$C$15*'THAM_SO_MOI'!$C$16*F4318^2</f>
        <v>1549.236854263382</v>
      </c>
      <c r="N4318" s="75">
        <f>'THAM_SO_MOI'!$C$12*I4318</f>
        <v>1529.157278597219</v>
      </c>
      <c r="O4318" s="75">
        <f>M4318+N4318</f>
        <v>3078.3941328606006</v>
      </c>
      <c r="P4318" s="75">
        <f>(MIN(L4318,'THAM_SO_MOI'!$C$41)-O4318)/('THAM_SO_MOI'!$C$11*H4318)</f>
        <v>0.08161897043782387</v>
      </c>
      <c r="Q4318" s="75">
        <f>IF(P4318&gt;0,1/P4318,NA())</f>
        <v>12.252053592881145</v>
      </c>
      <c r="R4318" s="75">
        <f>F4318-F4317</f>
        <v>0.0035868055555567935</v>
      </c>
      <c r="S4318" s="75">
        <f>0.5*(Q4317+Q4318)*R4318</f>
        <v>0.043925437239416665</v>
      </c>
      <c r="T4318" s="75">
        <f>0.5*(F4317*Q4317+F4318*Q4318)*R4318</f>
        <v>1.01083027164073</v>
      </c>
      <c r="U4318" s="76">
        <f>U4317+S4318</f>
        <v>70.90228223012086</v>
      </c>
      <c r="V4318" s="76">
        <f>V4317+T4318</f>
        <v>1137.3431077731107</v>
      </c>
    </row>
    <row r="4319" spans="1:22" ht="19" customHeight="1">
      <c r="A4319" s="68" t="s">
        <v>378</v>
      </c>
      <c r="B4319" s="74">
        <v>5</v>
      </c>
      <c r="C4319" s="68" t="s">
        <v>363</v>
      </c>
      <c r="D4319" s="68" t="s">
        <v>365</v>
      </c>
      <c r="E4319" s="75">
        <f>60*F4319*'THAM_SO_MOI'!$C$53/(2*PI()*'THAM_SO_MOI'!$C$26)</f>
        <v>2267.8582105263154</v>
      </c>
      <c r="F4319" s="75">
        <f>'THAM_SO_MOI'!$C$14+('THAM_SO_MOI'!$C$37-'THAM_SO_MOI'!$C$14)*228/'THAM_SO_MOI'!$C$42</f>
        <v>23.017791666666664</v>
      </c>
      <c r="G4319" s="75">
        <f>3.6*F4319</f>
        <v>82.86404999999999</v>
      </c>
      <c r="H4319" s="75">
        <f>'THAM_SO_MOI'!$D$53</f>
        <v>1.1</v>
      </c>
      <c r="I4319" s="75">
        <f>IF(F4319&gt;='THAM_SO_MOI'!$C$14,'THAM_SO_MOI'!$C$13*(1+F4319^2/1500),'THAM_SO_MOI'!$C$13)</f>
        <v>0.020298187332100693</v>
      </c>
      <c r="J4319" s="75">
        <f>'THAM_SO_MOI'!$C$40*('THAM_SO_MOI'!$C$23*(E4319/'THAM_SO_MOI'!$C$22)+'THAM_SO_MOI'!$C$24*(E4319/'THAM_SO_MOI'!$C$22)^2-'THAM_SO_MOI'!$C$25*(E4319/'THAM_SO_MOI'!$C$22)^3)</f>
        <v>102.0140408459042</v>
      </c>
      <c r="K4319" s="75">
        <f>'THAM_SO_MOI'!$C$31*J4319/E4319</f>
        <v>429.6327413072044</v>
      </c>
      <c r="L4319" s="75">
        <f>K4319*'THAM_SO_MOI'!$C$53*'THAM_SO_MOI'!$C$17/'THAM_SO_MOI'!$C$26</f>
        <v>3767.8808224035906</v>
      </c>
      <c r="M4319" s="75">
        <f>'THAM_SO_MOI'!$C$15*'THAM_SO_MOI'!$C$16*F4319^2</f>
        <v>1549.7197946394529</v>
      </c>
      <c r="N4319" s="75">
        <f>'THAM_SO_MOI'!$C$12*I4319</f>
        <v>1529.281672150332</v>
      </c>
      <c r="O4319" s="75">
        <f>M4319+N4319</f>
        <v>3079.001466789785</v>
      </c>
      <c r="P4319" s="75">
        <f>(MIN(L4319,'THAM_SO_MOI'!$C$41)-O4319)/('THAM_SO_MOI'!$C$11*H4319)</f>
        <v>0.0815434843292857</v>
      </c>
      <c r="Q4319" s="75">
        <f>IF(P4319&gt;0,1/P4319,NA())</f>
        <v>12.263395514984856</v>
      </c>
      <c r="R4319" s="75">
        <f>F4319-F4318</f>
        <v>0.0035868055555532408</v>
      </c>
      <c r="S4319" s="75">
        <f>0.5*(Q4318+Q4319)*R4319</f>
        <v>0.043966074528488254</v>
      </c>
      <c r="T4319" s="75">
        <f>0.5*(F4318*Q4318+F4319*Q4319)*R4319</f>
        <v>1.0119231314966457</v>
      </c>
      <c r="U4319" s="76">
        <f>U4318+S4319</f>
        <v>70.94624830464934</v>
      </c>
      <c r="V4319" s="76">
        <f>V4318+T4319</f>
        <v>1138.3550309046072</v>
      </c>
    </row>
    <row r="4320" spans="1:22" ht="19" customHeight="1">
      <c r="A4320" s="68" t="s">
        <v>378</v>
      </c>
      <c r="B4320" s="74">
        <v>5</v>
      </c>
      <c r="C4320" s="68" t="s">
        <v>363</v>
      </c>
      <c r="D4320" s="68" t="s">
        <v>365</v>
      </c>
      <c r="E4320" s="75">
        <f>60*F4320*'THAM_SO_MOI'!$C$53/(2*PI()*'THAM_SO_MOI'!$C$26)</f>
        <v>2268.2116052631573</v>
      </c>
      <c r="F4320" s="75">
        <f>'THAM_SO_MOI'!$C$14+('THAM_SO_MOI'!$C$37-'THAM_SO_MOI'!$C$14)*229/'THAM_SO_MOI'!$C$42</f>
        <v>23.02137847222222</v>
      </c>
      <c r="G4320" s="75">
        <f>3.6*F4320</f>
        <v>82.87696249999999</v>
      </c>
      <c r="H4320" s="75">
        <f>'THAM_SO_MOI'!$D$53</f>
        <v>1.1</v>
      </c>
      <c r="I4320" s="75">
        <f>IF(F4320&gt;='THAM_SO_MOI'!$C$14,'THAM_SO_MOI'!$C$13*(1+F4320^2/1500),'THAM_SO_MOI'!$C$13)</f>
        <v>0.020299838667612966</v>
      </c>
      <c r="J4320" s="75">
        <f>'THAM_SO_MOI'!$C$40*('THAM_SO_MOI'!$C$23*(E4320/'THAM_SO_MOI'!$C$22)+'THAM_SO_MOI'!$C$24*(E4320/'THAM_SO_MOI'!$C$22)^2-'THAM_SO_MOI'!$C$25*(E4320/'THAM_SO_MOI'!$C$22)^3)</f>
        <v>102.02911210561716</v>
      </c>
      <c r="K4320" s="75">
        <f>'THAM_SO_MOI'!$C$31*J4320/E4320</f>
        <v>429.62926594125474</v>
      </c>
      <c r="L4320" s="75">
        <f>K4320*'THAM_SO_MOI'!$C$53*'THAM_SO_MOI'!$C$17/'THAM_SO_MOI'!$C$26</f>
        <v>3767.850343430613</v>
      </c>
      <c r="M4320" s="75">
        <f>'THAM_SO_MOI'!$C$15*'THAM_SO_MOI'!$C$16*F4320^2</f>
        <v>1550.2028102767931</v>
      </c>
      <c r="N4320" s="75">
        <f>'THAM_SO_MOI'!$C$12*I4320</f>
        <v>1529.406085088895</v>
      </c>
      <c r="O4320" s="75">
        <f>M4320+N4320</f>
        <v>3079.608895365688</v>
      </c>
      <c r="P4320" s="75">
        <f>(MIN(L4320,'THAM_SO_MOI'!$C$41)-O4320)/('THAM_SO_MOI'!$C$11*H4320)</f>
        <v>0.08146797443950343</v>
      </c>
      <c r="Q4320" s="75">
        <f>IF(P4320&gt;0,1/P4320,NA())</f>
        <v>12.274762038456977</v>
      </c>
      <c r="R4320" s="75">
        <f>F4320-F4319</f>
        <v>0.0035868055555567935</v>
      </c>
      <c r="S4320" s="75">
        <f>0.5*(Q4319+Q4320)*R4320</f>
        <v>0.044006799917906535</v>
      </c>
      <c r="T4320" s="75">
        <f>0.5*(F4319*Q4319+F4320*Q4320)*R4320</f>
        <v>1.013018310902346</v>
      </c>
      <c r="U4320" s="76">
        <f>U4319+S4320</f>
        <v>70.99025510456725</v>
      </c>
      <c r="V4320" s="76">
        <f>V4319+T4320</f>
        <v>1139.3680492155097</v>
      </c>
    </row>
    <row r="4321" spans="1:22" ht="19" customHeight="1">
      <c r="A4321" s="68" t="s">
        <v>378</v>
      </c>
      <c r="B4321" s="74">
        <v>5</v>
      </c>
      <c r="C4321" s="68" t="s">
        <v>363</v>
      </c>
      <c r="D4321" s="68" t="s">
        <v>365</v>
      </c>
      <c r="E4321" s="75">
        <f>60*F4321*'THAM_SO_MOI'!$C$53/(2*PI()*'THAM_SO_MOI'!$C$26)</f>
        <v>2268.5649999999996</v>
      </c>
      <c r="F4321" s="75">
        <f>'THAM_SO_MOI'!$C$14+('THAM_SO_MOI'!$C$37-'THAM_SO_MOI'!$C$14)*230/'THAM_SO_MOI'!$C$42</f>
        <v>23.024965277777778</v>
      </c>
      <c r="G4321" s="75">
        <f>3.6*F4321</f>
        <v>82.889875</v>
      </c>
      <c r="H4321" s="75">
        <f>'THAM_SO_MOI'!$D$53</f>
        <v>1.1</v>
      </c>
      <c r="I4321" s="75">
        <f>IF(F4321&gt;='THAM_SO_MOI'!$C$14,'THAM_SO_MOI'!$C$13*(1+F4321^2/1500),'THAM_SO_MOI'!$C$13)</f>
        <v>0.020301490260428722</v>
      </c>
      <c r="J4321" s="75">
        <f>'THAM_SO_MOI'!$C$40*('THAM_SO_MOI'!$C$23*(E4321/'THAM_SO_MOI'!$C$22)+'THAM_SO_MOI'!$C$24*(E4321/'THAM_SO_MOI'!$C$22)^2-'THAM_SO_MOI'!$C$25*(E4321/'THAM_SO_MOI'!$C$22)^3)</f>
        <v>102.0441802303765</v>
      </c>
      <c r="K4321" s="75">
        <f>'THAM_SO_MOI'!$C$31*J4321/E4321</f>
        <v>429.6257784593206</v>
      </c>
      <c r="L4321" s="75">
        <f>K4321*'THAM_SO_MOI'!$C$53*'THAM_SO_MOI'!$C$17/'THAM_SO_MOI'!$C$26</f>
        <v>3767.819758200404</v>
      </c>
      <c r="M4321" s="75">
        <f>'THAM_SO_MOI'!$C$15*'THAM_SO_MOI'!$C$16*F4321^2</f>
        <v>1550.6859011754016</v>
      </c>
      <c r="N4321" s="75">
        <f>'THAM_SO_MOI'!$C$12*I4321</f>
        <v>1529.5305174129082</v>
      </c>
      <c r="O4321" s="75">
        <f>M4321+N4321</f>
        <v>3080.21641858831</v>
      </c>
      <c r="P4321" s="75">
        <f>(MIN(L4321,'THAM_SO_MOI'!$C$41)-O4321)/('THAM_SO_MOI'!$C$11*H4321)</f>
        <v>0.0813924407684771</v>
      </c>
      <c r="Q4321" s="75">
        <f>IF(P4321&gt;0,1/P4321,NA())</f>
        <v>12.286153241730714</v>
      </c>
      <c r="R4321" s="75">
        <f>F4321-F4320</f>
        <v>0.0035868055555567935</v>
      </c>
      <c r="S4321" s="75">
        <f>0.5*(Q4320+Q4321)*R4321</f>
        <v>0.044047613688268476</v>
      </c>
      <c r="T4321" s="75">
        <f>0.5*(F4320*Q4320+F4321*Q4321)*R4321</f>
        <v>1.0141158172660611</v>
      </c>
      <c r="U4321" s="76">
        <f>U4320+S4321</f>
        <v>71.03430271825552</v>
      </c>
      <c r="V4321" s="76">
        <f>V4320+T4321</f>
        <v>1140.3821650327757</v>
      </c>
    </row>
    <row r="4322" spans="1:22" ht="19" customHeight="1">
      <c r="A4322" s="68" t="s">
        <v>378</v>
      </c>
      <c r="B4322" s="74">
        <v>5</v>
      </c>
      <c r="C4322" s="68" t="s">
        <v>363</v>
      </c>
      <c r="D4322" s="68" t="s">
        <v>365</v>
      </c>
      <c r="E4322" s="75">
        <f>60*F4322*'THAM_SO_MOI'!$C$53/(2*PI()*'THAM_SO_MOI'!$C$26)</f>
        <v>2268.918394736841</v>
      </c>
      <c r="F4322" s="75">
        <f>'THAM_SO_MOI'!$C$14+('THAM_SO_MOI'!$C$37-'THAM_SO_MOI'!$C$14)*231/'THAM_SO_MOI'!$C$42</f>
        <v>23.02855208333333</v>
      </c>
      <c r="G4322" s="75">
        <f>3.6*F4322</f>
        <v>82.90278749999999</v>
      </c>
      <c r="H4322" s="75">
        <f>'THAM_SO_MOI'!$D$53</f>
        <v>1.1</v>
      </c>
      <c r="I4322" s="75">
        <f>IF(F4322&gt;='THAM_SO_MOI'!$C$14,'THAM_SO_MOI'!$C$13*(1+F4322^2/1500),'THAM_SO_MOI'!$C$13)</f>
        <v>0.020303142110547956</v>
      </c>
      <c r="J4322" s="75">
        <f>'THAM_SO_MOI'!$C$40*('THAM_SO_MOI'!$C$23*(E4322/'THAM_SO_MOI'!$C$22)+'THAM_SO_MOI'!$C$24*(E4322/'THAM_SO_MOI'!$C$22)^2-'THAM_SO_MOI'!$C$25*(E4322/'THAM_SO_MOI'!$C$22)^3)</f>
        <v>102.05924521883732</v>
      </c>
      <c r="K4322" s="75">
        <f>'THAM_SO_MOI'!$C$31*J4322/E4322</f>
        <v>429.622278861402</v>
      </c>
      <c r="L4322" s="75">
        <f>K4322*'THAM_SO_MOI'!$C$53*'THAM_SO_MOI'!$C$17/'THAM_SO_MOI'!$C$26</f>
        <v>3767.789066712964</v>
      </c>
      <c r="M4322" s="75">
        <f>'THAM_SO_MOI'!$C$15*'THAM_SO_MOI'!$C$16*F4322^2</f>
        <v>1551.1690673352782</v>
      </c>
      <c r="N4322" s="75">
        <f>'THAM_SO_MOI'!$C$12*I4322</f>
        <v>1529.6549691223715</v>
      </c>
      <c r="O4322" s="75">
        <f>M4322+N4322</f>
        <v>3080.8240364576495</v>
      </c>
      <c r="P4322" s="75">
        <f>(MIN(L4322,'THAM_SO_MOI'!$C$41)-O4322)/('THAM_SO_MOI'!$C$11*H4322)</f>
        <v>0.08131688331620672</v>
      </c>
      <c r="Q4322" s="75">
        <f>IF(P4322&gt;0,1/P4322,NA())</f>
        <v>12.297569203573948</v>
      </c>
      <c r="R4322" s="75">
        <f>F4322-F4321</f>
        <v>0.0035868055555532408</v>
      </c>
      <c r="S4322" s="75">
        <f>0.5*(Q4321+Q4322)*R4322</f>
        <v>0.04408851612149883</v>
      </c>
      <c r="T4322" s="75">
        <f>0.5*(F4321*Q4321+F4322*Q4322)*R4322</f>
        <v>1.015215658030621</v>
      </c>
      <c r="U4322" s="76">
        <f>U4321+S4322</f>
        <v>71.07839123437702</v>
      </c>
      <c r="V4322" s="76">
        <f>V4321+T4322</f>
        <v>1141.3973806908064</v>
      </c>
    </row>
    <row r="4323" spans="1:22" ht="19" customHeight="1">
      <c r="A4323" s="68" t="s">
        <v>378</v>
      </c>
      <c r="B4323" s="74">
        <v>5</v>
      </c>
      <c r="C4323" s="68" t="s">
        <v>363</v>
      </c>
      <c r="D4323" s="68" t="s">
        <v>365</v>
      </c>
      <c r="E4323" s="75">
        <f>60*F4323*'THAM_SO_MOI'!$C$53/(2*PI()*'THAM_SO_MOI'!$C$26)</f>
        <v>2269.2717894736834</v>
      </c>
      <c r="F4323" s="75">
        <f>'THAM_SO_MOI'!$C$14+('THAM_SO_MOI'!$C$37-'THAM_SO_MOI'!$C$14)*232/'THAM_SO_MOI'!$C$42</f>
        <v>23.032138888888888</v>
      </c>
      <c r="G4323" s="75">
        <f>3.6*F4323</f>
        <v>82.9157</v>
      </c>
      <c r="H4323" s="75">
        <f>'THAM_SO_MOI'!$D$53</f>
        <v>1.1</v>
      </c>
      <c r="I4323" s="75">
        <f>IF(F4323&gt;='THAM_SO_MOI'!$C$14,'THAM_SO_MOI'!$C$13*(1+F4323^2/1500),'THAM_SO_MOI'!$C$13)</f>
        <v>0.020304794217970677</v>
      </c>
      <c r="J4323" s="75">
        <f>'THAM_SO_MOI'!$C$40*('THAM_SO_MOI'!$C$23*(E4323/'THAM_SO_MOI'!$C$22)+'THAM_SO_MOI'!$C$24*(E4323/'THAM_SO_MOI'!$C$22)^2-'THAM_SO_MOI'!$C$25*(E4323/'THAM_SO_MOI'!$C$22)^3)</f>
        <v>102.07430706965481</v>
      </c>
      <c r="K4323" s="75">
        <f>'THAM_SO_MOI'!$C$31*J4323/E4323</f>
        <v>429.61876714749906</v>
      </c>
      <c r="L4323" s="75">
        <f>K4323*'THAM_SO_MOI'!$C$53*'THAM_SO_MOI'!$C$17/'THAM_SO_MOI'!$C$26</f>
        <v>3767.758268968294</v>
      </c>
      <c r="M4323" s="75">
        <f>'THAM_SO_MOI'!$C$15*'THAM_SO_MOI'!$C$16*F4323^2</f>
        <v>1551.6523087564235</v>
      </c>
      <c r="N4323" s="75">
        <f>'THAM_SO_MOI'!$C$12*I4323</f>
        <v>1529.7794402172854</v>
      </c>
      <c r="O4323" s="75">
        <f>M4323+N4323</f>
        <v>3081.4317489737086</v>
      </c>
      <c r="P4323" s="75">
        <f>(MIN(L4323,'THAM_SO_MOI'!$C$41)-O4323)/('THAM_SO_MOI'!$C$11*H4323)</f>
        <v>0.08124130208269234</v>
      </c>
      <c r="Q4323" s="75">
        <f>IF(P4323&gt;0,1/P4323,NA())</f>
        <v>12.309010003091029</v>
      </c>
      <c r="R4323" s="75">
        <f>F4323-F4322</f>
        <v>0.0035868055555567935</v>
      </c>
      <c r="S4323" s="75">
        <f>0.5*(Q4322+Q4323)*R4323</f>
        <v>0.044129507500857104</v>
      </c>
      <c r="T4323" s="75">
        <f>0.5*(F4322*Q4322+F4323*Q4323)*R4323</f>
        <v>1.0163178406736402</v>
      </c>
      <c r="U4323" s="76">
        <f>U4322+S4323</f>
        <v>71.12252074187788</v>
      </c>
      <c r="V4323" s="76">
        <f>V4322+T4323</f>
        <v>1142.41369853148</v>
      </c>
    </row>
    <row r="4324" spans="1:22" ht="19" customHeight="1">
      <c r="A4324" s="68" t="s">
        <v>378</v>
      </c>
      <c r="B4324" s="74">
        <v>5</v>
      </c>
      <c r="C4324" s="68" t="s">
        <v>363</v>
      </c>
      <c r="D4324" s="68" t="s">
        <v>365</v>
      </c>
      <c r="E4324" s="75">
        <f>60*F4324*'THAM_SO_MOI'!$C$53/(2*PI()*'THAM_SO_MOI'!$C$26)</f>
        <v>2269.6251842105257</v>
      </c>
      <c r="F4324" s="75">
        <f>'THAM_SO_MOI'!$C$14+('THAM_SO_MOI'!$C$37-'THAM_SO_MOI'!$C$14)*233/'THAM_SO_MOI'!$C$42</f>
        <v>23.035725694444444</v>
      </c>
      <c r="G4324" s="75">
        <f>3.6*F4324</f>
        <v>82.9286125</v>
      </c>
      <c r="H4324" s="75">
        <f>'THAM_SO_MOI'!$D$53</f>
        <v>1.1</v>
      </c>
      <c r="I4324" s="75">
        <f>IF(F4324&gt;='THAM_SO_MOI'!$C$14,'THAM_SO_MOI'!$C$13*(1+F4324^2/1500),'THAM_SO_MOI'!$C$13)</f>
        <v>0.020306446582696876</v>
      </c>
      <c r="J4324" s="75">
        <f>'THAM_SO_MOI'!$C$40*('THAM_SO_MOI'!$C$23*(E4324/'THAM_SO_MOI'!$C$22)+'THAM_SO_MOI'!$C$24*(E4324/'THAM_SO_MOI'!$C$22)^2-'THAM_SO_MOI'!$C$25*(E4324/'THAM_SO_MOI'!$C$22)^3)</f>
        <v>102.08936578148399</v>
      </c>
      <c r="K4324" s="75">
        <f>'THAM_SO_MOI'!$C$31*J4324/E4324</f>
        <v>429.6152433176116</v>
      </c>
      <c r="L4324" s="75">
        <f>K4324*'THAM_SO_MOI'!$C$53*'THAM_SO_MOI'!$C$17/'THAM_SO_MOI'!$C$26</f>
        <v>3767.7273649663925</v>
      </c>
      <c r="M4324" s="75">
        <f>'THAM_SO_MOI'!$C$15*'THAM_SO_MOI'!$C$16*F4324^2</f>
        <v>1552.1356254388377</v>
      </c>
      <c r="N4324" s="75">
        <f>'THAM_SO_MOI'!$C$12*I4324</f>
        <v>1529.9039306976488</v>
      </c>
      <c r="O4324" s="75">
        <f>M4324+N4324</f>
        <v>3082.0395561364867</v>
      </c>
      <c r="P4324" s="75">
        <f>(MIN(L4324,'THAM_SO_MOI'!$C$41)-O4324)/('THAM_SO_MOI'!$C$11*H4324)</f>
        <v>0.08116569706793393</v>
      </c>
      <c r="Q4324" s="75">
        <f>IF(P4324&gt;0,1/P4324,NA())</f>
        <v>12.320475719724573</v>
      </c>
      <c r="R4324" s="75">
        <f>F4324-F4323</f>
        <v>0.0035868055555567935</v>
      </c>
      <c r="S4324" s="75">
        <f>0.5*(Q4323+Q4324)*R4324</f>
        <v>0.044170588110550864</v>
      </c>
      <c r="T4324" s="75">
        <f>0.5*(F4323*Q4323+F4324*Q4324)*R4324</f>
        <v>1.0174223726986353</v>
      </c>
      <c r="U4324" s="76">
        <f>U4323+S4324</f>
        <v>71.16669132998842</v>
      </c>
      <c r="V4324" s="76">
        <f>V4323+T4324</f>
        <v>1143.4311209041784</v>
      </c>
    </row>
    <row r="4325" spans="1:22" ht="19" customHeight="1">
      <c r="A4325" s="68" t="s">
        <v>378</v>
      </c>
      <c r="B4325" s="74">
        <v>5</v>
      </c>
      <c r="C4325" s="68" t="s">
        <v>363</v>
      </c>
      <c r="D4325" s="68" t="s">
        <v>365</v>
      </c>
      <c r="E4325" s="75">
        <f>60*F4325*'THAM_SO_MOI'!$C$53/(2*PI()*'THAM_SO_MOI'!$C$26)</f>
        <v>2269.9785789473676</v>
      </c>
      <c r="F4325" s="75">
        <f>'THAM_SO_MOI'!$C$14+('THAM_SO_MOI'!$C$37-'THAM_SO_MOI'!$C$14)*234/'THAM_SO_MOI'!$C$42</f>
        <v>23.039312499999998</v>
      </c>
      <c r="G4325" s="75">
        <f>3.6*F4325</f>
        <v>82.941525</v>
      </c>
      <c r="H4325" s="75">
        <f>'THAM_SO_MOI'!$D$53</f>
        <v>1.1</v>
      </c>
      <c r="I4325" s="75">
        <f>IF(F4325&gt;='THAM_SO_MOI'!$C$14,'THAM_SO_MOI'!$C$13*(1+F4325^2/1500),'THAM_SO_MOI'!$C$13)</f>
        <v>0.02030809920472656</v>
      </c>
      <c r="J4325" s="75">
        <f>'THAM_SO_MOI'!$C$40*('THAM_SO_MOI'!$C$23*(E4325/'THAM_SO_MOI'!$C$22)+'THAM_SO_MOI'!$C$24*(E4325/'THAM_SO_MOI'!$C$22)^2-'THAM_SO_MOI'!$C$25*(E4325/'THAM_SO_MOI'!$C$22)^3)</f>
        <v>102.10442135298</v>
      </c>
      <c r="K4325" s="75">
        <f>'THAM_SO_MOI'!$C$31*J4325/E4325</f>
        <v>429.61170737173967</v>
      </c>
      <c r="L4325" s="75">
        <f>K4325*'THAM_SO_MOI'!$C$53*'THAM_SO_MOI'!$C$17/'THAM_SO_MOI'!$C$26</f>
        <v>3767.6963547072596</v>
      </c>
      <c r="M4325" s="75">
        <f>'THAM_SO_MOI'!$C$15*'THAM_SO_MOI'!$C$16*F4325^2</f>
        <v>1552.6190173825191</v>
      </c>
      <c r="N4325" s="75">
        <f>'THAM_SO_MOI'!$C$12*I4325</f>
        <v>1530.028440563463</v>
      </c>
      <c r="O4325" s="75">
        <f>M4325+N4325</f>
        <v>3082.647457945982</v>
      </c>
      <c r="P4325" s="75">
        <f>(MIN(L4325,'THAM_SO_MOI'!$C$41)-O4325)/('THAM_SO_MOI'!$C$11*H4325)</f>
        <v>0.0810900682719315</v>
      </c>
      <c r="Q4325" s="75">
        <f>IF(P4325&gt;0,1/P4325,NA())</f>
        <v>12.331966433257273</v>
      </c>
      <c r="R4325" s="75">
        <f>F4325-F4324</f>
        <v>0.0035868055555532408</v>
      </c>
      <c r="S4325" s="75">
        <f>0.5*(Q4324+Q4325)*R4325</f>
        <v>0.044211758236135094</v>
      </c>
      <c r="T4325" s="75">
        <f>0.5*(F4324*Q4324+F4325*Q4325)*R4325</f>
        <v>1.0185292616442414</v>
      </c>
      <c r="U4325" s="76">
        <f>U4324+S4325</f>
        <v>71.21090308822455</v>
      </c>
      <c r="V4325" s="76">
        <f>V4324+T4325</f>
        <v>1144.4496501658227</v>
      </c>
    </row>
    <row r="4326" spans="1:22" ht="19" customHeight="1">
      <c r="A4326" s="68" t="s">
        <v>378</v>
      </c>
      <c r="B4326" s="74">
        <v>5</v>
      </c>
      <c r="C4326" s="68" t="s">
        <v>363</v>
      </c>
      <c r="D4326" s="68" t="s">
        <v>365</v>
      </c>
      <c r="E4326" s="75">
        <f>60*F4326*'THAM_SO_MOI'!$C$53/(2*PI()*'THAM_SO_MOI'!$C$26)</f>
        <v>2270.33197368421</v>
      </c>
      <c r="F4326" s="75">
        <f>'THAM_SO_MOI'!$C$14+('THAM_SO_MOI'!$C$37-'THAM_SO_MOI'!$C$14)*235/'THAM_SO_MOI'!$C$42</f>
        <v>23.042899305555554</v>
      </c>
      <c r="G4326" s="75">
        <f>3.6*F4326</f>
        <v>82.9544375</v>
      </c>
      <c r="H4326" s="75">
        <f>'THAM_SO_MOI'!$D$53</f>
        <v>1.1</v>
      </c>
      <c r="I4326" s="75">
        <f>IF(F4326&gt;='THAM_SO_MOI'!$C$14,'THAM_SO_MOI'!$C$13*(1+F4326^2/1500),'THAM_SO_MOI'!$C$13)</f>
        <v>0.02030975208405973</v>
      </c>
      <c r="J4326" s="75">
        <f>'THAM_SO_MOI'!$C$40*('THAM_SO_MOI'!$C$23*(E4326/'THAM_SO_MOI'!$C$22)+'THAM_SO_MOI'!$C$24*(E4326/'THAM_SO_MOI'!$C$22)^2-'THAM_SO_MOI'!$C$25*(E4326/'THAM_SO_MOI'!$C$22)^3)</f>
        <v>102.11947378279795</v>
      </c>
      <c r="K4326" s="75">
        <f>'THAM_SO_MOI'!$C$31*J4326/E4326</f>
        <v>429.60815930988326</v>
      </c>
      <c r="L4326" s="75">
        <f>K4326*'THAM_SO_MOI'!$C$53*'THAM_SO_MOI'!$C$17/'THAM_SO_MOI'!$C$26</f>
        <v>3767.665238190896</v>
      </c>
      <c r="M4326" s="75">
        <f>'THAM_SO_MOI'!$C$15*'THAM_SO_MOI'!$C$16*F4326^2</f>
        <v>1553.1024845874701</v>
      </c>
      <c r="N4326" s="75">
        <f>'THAM_SO_MOI'!$C$12*I4326</f>
        <v>1530.1529698147272</v>
      </c>
      <c r="O4326" s="75">
        <f>M4326+N4326</f>
        <v>3083.2554544021973</v>
      </c>
      <c r="P4326" s="75">
        <f>(MIN(L4326,'THAM_SO_MOI'!$C$41)-O4326)/('THAM_SO_MOI'!$C$11*H4326)</f>
        <v>0.08101441569468502</v>
      </c>
      <c r="Q4326" s="75">
        <f>IF(P4326&gt;0,1/P4326,NA())</f>
        <v>12.343482223813721</v>
      </c>
      <c r="R4326" s="75">
        <f>F4326-F4325</f>
        <v>0.0035868055555567935</v>
      </c>
      <c r="S4326" s="75">
        <f>0.5*(Q4325+Q4326)*R4326</f>
        <v>0.044253018164519334</v>
      </c>
      <c r="T4326" s="75">
        <f>0.5*(F4325*Q4325+F4326*Q4326)*R4326</f>
        <v>1.019638515084401</v>
      </c>
      <c r="U4326" s="76">
        <f>U4325+S4326</f>
        <v>71.25515610638908</v>
      </c>
      <c r="V4326" s="76">
        <f>V4325+T4326</f>
        <v>1145.469288680907</v>
      </c>
    </row>
    <row r="4327" spans="1:22" ht="19" customHeight="1">
      <c r="A4327" s="68" t="s">
        <v>378</v>
      </c>
      <c r="B4327" s="74">
        <v>5</v>
      </c>
      <c r="C4327" s="68" t="s">
        <v>363</v>
      </c>
      <c r="D4327" s="68" t="s">
        <v>365</v>
      </c>
      <c r="E4327" s="75">
        <f>60*F4327*'THAM_SO_MOI'!$C$53/(2*PI()*'THAM_SO_MOI'!$C$26)</f>
        <v>2270.6853684210523</v>
      </c>
      <c r="F4327" s="75">
        <f>'THAM_SO_MOI'!$C$14+('THAM_SO_MOI'!$C$37-'THAM_SO_MOI'!$C$14)*236/'THAM_SO_MOI'!$C$42</f>
        <v>23.04648611111111</v>
      </c>
      <c r="G4327" s="75">
        <f>3.6*F4327</f>
        <v>82.96735</v>
      </c>
      <c r="H4327" s="75">
        <f>'THAM_SO_MOI'!$D$53</f>
        <v>1.1</v>
      </c>
      <c r="I4327" s="75">
        <f>IF(F4327&gt;='THAM_SO_MOI'!$C$14,'THAM_SO_MOI'!$C$13*(1+F4327^2/1500),'THAM_SO_MOI'!$C$13)</f>
        <v>0.020311405220696372</v>
      </c>
      <c r="J4327" s="75">
        <f>'THAM_SO_MOI'!$C$40*('THAM_SO_MOI'!$C$23*(E4327/'THAM_SO_MOI'!$C$22)+'THAM_SO_MOI'!$C$24*(E4327/'THAM_SO_MOI'!$C$22)^2-'THAM_SO_MOI'!$C$25*(E4327/'THAM_SO_MOI'!$C$22)^3)</f>
        <v>102.13452306959297</v>
      </c>
      <c r="K4327" s="75">
        <f>'THAM_SO_MOI'!$C$31*J4327/E4327</f>
        <v>429.6045991320425</v>
      </c>
      <c r="L4327" s="75">
        <f>K4327*'THAM_SO_MOI'!$C$53*'THAM_SO_MOI'!$C$17/'THAM_SO_MOI'!$C$26</f>
        <v>3767.634015417301</v>
      </c>
      <c r="M4327" s="75">
        <f>'THAM_SO_MOI'!$C$15*'THAM_SO_MOI'!$C$16*F4327^2</f>
        <v>1553.5860270536893</v>
      </c>
      <c r="N4327" s="75">
        <f>'THAM_SO_MOI'!$C$12*I4327</f>
        <v>1530.2775184514412</v>
      </c>
      <c r="O4327" s="75">
        <f>M4327+N4327</f>
        <v>3083.863545505131</v>
      </c>
      <c r="P4327" s="75">
        <f>(MIN(L4327,'THAM_SO_MOI'!$C$41)-O4327)/('THAM_SO_MOI'!$C$11*H4327)</f>
        <v>0.08093873933619443</v>
      </c>
      <c r="Q4327" s="75">
        <f>IF(P4327&gt;0,1/P4327,NA())</f>
        <v>12.355023171862241</v>
      </c>
      <c r="R4327" s="75">
        <f>F4327-F4326</f>
        <v>0.0035868055555567935</v>
      </c>
      <c r="S4327" s="75">
        <f>0.5*(Q4326+Q4327)*R4327</f>
        <v>0.04429436818357999</v>
      </c>
      <c r="T4327" s="75">
        <f>0.5*(F4326*Q4326+F4327*Q4327)*R4327</f>
        <v>1.0207501406194543</v>
      </c>
      <c r="U4327" s="76">
        <f>U4326+S4327</f>
        <v>71.29945047457267</v>
      </c>
      <c r="V4327" s="76">
        <f>V4326+T4327</f>
        <v>1146.4900388215265</v>
      </c>
    </row>
    <row r="4328" spans="1:22" ht="19" customHeight="1">
      <c r="A4328" s="68" t="s">
        <v>378</v>
      </c>
      <c r="B4328" s="74">
        <v>5</v>
      </c>
      <c r="C4328" s="68" t="s">
        <v>363</v>
      </c>
      <c r="D4328" s="68" t="s">
        <v>365</v>
      </c>
      <c r="E4328" s="75">
        <f>60*F4328*'THAM_SO_MOI'!$C$53/(2*PI()*'THAM_SO_MOI'!$C$26)</f>
        <v>2271.038763157894</v>
      </c>
      <c r="F4328" s="75">
        <f>'THAM_SO_MOI'!$C$14+('THAM_SO_MOI'!$C$37-'THAM_SO_MOI'!$C$14)*237/'THAM_SO_MOI'!$C$42</f>
        <v>23.050072916666664</v>
      </c>
      <c r="G4328" s="75">
        <f>3.6*F4328</f>
        <v>82.9802625</v>
      </c>
      <c r="H4328" s="75">
        <f>'THAM_SO_MOI'!$D$53</f>
        <v>1.1</v>
      </c>
      <c r="I4328" s="75">
        <f>IF(F4328&gt;='THAM_SO_MOI'!$C$14,'THAM_SO_MOI'!$C$13*(1+F4328^2/1500),'THAM_SO_MOI'!$C$13)</f>
        <v>0.0203130586146365</v>
      </c>
      <c r="J4328" s="75">
        <f>'THAM_SO_MOI'!$C$40*('THAM_SO_MOI'!$C$23*(E4328/'THAM_SO_MOI'!$C$22)+'THAM_SO_MOI'!$C$24*(E4328/'THAM_SO_MOI'!$C$22)^2-'THAM_SO_MOI'!$C$25*(E4328/'THAM_SO_MOI'!$C$22)^3)</f>
        <v>102.14956921202011</v>
      </c>
      <c r="K4328" s="75">
        <f>'THAM_SO_MOI'!$C$31*J4328/E4328</f>
        <v>429.60102683821714</v>
      </c>
      <c r="L4328" s="75">
        <f>K4328*'THAM_SO_MOI'!$C$53*'THAM_SO_MOI'!$C$17/'THAM_SO_MOI'!$C$26</f>
        <v>3767.602686386474</v>
      </c>
      <c r="M4328" s="75">
        <f>'THAM_SO_MOI'!$C$15*'THAM_SO_MOI'!$C$16*F4328^2</f>
        <v>1554.0696447811765</v>
      </c>
      <c r="N4328" s="75">
        <f>'THAM_SO_MOI'!$C$12*I4328</f>
        <v>1530.4020864736058</v>
      </c>
      <c r="O4328" s="75">
        <f>M4328+N4328</f>
        <v>3084.4717312547823</v>
      </c>
      <c r="P4328" s="75">
        <f>(MIN(L4328,'THAM_SO_MOI'!$C$41)-O4328)/('THAM_SO_MOI'!$C$11*H4328)</f>
        <v>0.08086303919645972</v>
      </c>
      <c r="Q4328" s="75">
        <f>IF(P4328&gt;0,1/P4328,NA())</f>
        <v>12.366589358216716</v>
      </c>
      <c r="R4328" s="75">
        <f>F4328-F4327</f>
        <v>0.0035868055555532408</v>
      </c>
      <c r="S4328" s="75">
        <f>0.5*(Q4327+Q4328)*R4328</f>
        <v>0.04433580858256091</v>
      </c>
      <c r="T4328" s="75">
        <f>0.5*(F4327*Q4327+F4328*Q4328)*R4328</f>
        <v>1.0218641458853879</v>
      </c>
      <c r="U4328" s="76">
        <f>U4327+S4328</f>
        <v>71.34378628315523</v>
      </c>
      <c r="V4328" s="76">
        <f>V4327+T4328</f>
        <v>1147.5119029674117</v>
      </c>
    </row>
    <row r="4329" spans="1:22" ht="19" customHeight="1">
      <c r="A4329" s="68" t="s">
        <v>378</v>
      </c>
      <c r="B4329" s="74">
        <v>5</v>
      </c>
      <c r="C4329" s="68" t="s">
        <v>363</v>
      </c>
      <c r="D4329" s="68" t="s">
        <v>365</v>
      </c>
      <c r="E4329" s="75">
        <f>60*F4329*'THAM_SO_MOI'!$C$53/(2*PI()*'THAM_SO_MOI'!$C$26)</f>
        <v>2271.392157894736</v>
      </c>
      <c r="F4329" s="75">
        <f>'THAM_SO_MOI'!$C$14+('THAM_SO_MOI'!$C$37-'THAM_SO_MOI'!$C$14)*238/'THAM_SO_MOI'!$C$42</f>
        <v>23.05365972222222</v>
      </c>
      <c r="G4329" s="75">
        <f>3.6*F4329</f>
        <v>82.993175</v>
      </c>
      <c r="H4329" s="75">
        <f>'THAM_SO_MOI'!$D$53</f>
        <v>1.1</v>
      </c>
      <c r="I4329" s="75">
        <f>IF(F4329&gt;='THAM_SO_MOI'!$C$14,'THAM_SO_MOI'!$C$13*(1+F4329^2/1500),'THAM_SO_MOI'!$C$13)</f>
        <v>0.020314712265880108</v>
      </c>
      <c r="J4329" s="75">
        <f>'THAM_SO_MOI'!$C$40*('THAM_SO_MOI'!$C$23*(E4329/'THAM_SO_MOI'!$C$22)+'THAM_SO_MOI'!$C$24*(E4329/'THAM_SO_MOI'!$C$22)^2-'THAM_SO_MOI'!$C$25*(E4329/'THAM_SO_MOI'!$C$22)^3)</f>
        <v>102.16461220873451</v>
      </c>
      <c r="K4329" s="75">
        <f>'THAM_SO_MOI'!$C$31*J4329/E4329</f>
        <v>429.5974424284073</v>
      </c>
      <c r="L4329" s="75">
        <f>K4329*'THAM_SO_MOI'!$C$53*'THAM_SO_MOI'!$C$17/'THAM_SO_MOI'!$C$26</f>
        <v>3767.5712510984167</v>
      </c>
      <c r="M4329" s="75">
        <f>'THAM_SO_MOI'!$C$15*'THAM_SO_MOI'!$C$16*F4329^2</f>
        <v>1554.5533377699328</v>
      </c>
      <c r="N4329" s="75">
        <f>'THAM_SO_MOI'!$C$12*I4329</f>
        <v>1530.5266738812202</v>
      </c>
      <c r="O4329" s="75">
        <f>M4329+N4329</f>
        <v>3085.0800116511527</v>
      </c>
      <c r="P4329" s="75">
        <f>(MIN(L4329,'THAM_SO_MOI'!$C$41)-O4329)/('THAM_SO_MOI'!$C$11*H4329)</f>
        <v>0.080787315275481</v>
      </c>
      <c r="Q4329" s="75">
        <f>IF(P4329&gt;0,1/P4329,NA())</f>
        <v>12.37818086403845</v>
      </c>
      <c r="R4329" s="75">
        <f>F4329-F4328</f>
        <v>0.0035868055555567935</v>
      </c>
      <c r="S4329" s="75">
        <f>0.5*(Q4328+Q4329)*R4329</f>
        <v>0.04437733965208057</v>
      </c>
      <c r="T4329" s="75">
        <f>0.5*(F4328*Q4328+F4329*Q4329)*R4329</f>
        <v>1.0229805385540276</v>
      </c>
      <c r="U4329" s="76">
        <f>U4328+S4329</f>
        <v>71.38816362280731</v>
      </c>
      <c r="V4329" s="76">
        <f>V4328+T4329</f>
        <v>1148.5348835059658</v>
      </c>
    </row>
    <row r="4330" spans="1:22" ht="19" customHeight="1">
      <c r="A4330" s="68" t="s">
        <v>378</v>
      </c>
      <c r="B4330" s="74">
        <v>5</v>
      </c>
      <c r="C4330" s="68" t="s">
        <v>363</v>
      </c>
      <c r="D4330" s="68" t="s">
        <v>365</v>
      </c>
      <c r="E4330" s="75">
        <f>60*F4330*'THAM_SO_MOI'!$C$53/(2*PI()*'THAM_SO_MOI'!$C$26)</f>
        <v>2271.745552631578</v>
      </c>
      <c r="F4330" s="75">
        <f>'THAM_SO_MOI'!$C$14+('THAM_SO_MOI'!$C$37-'THAM_SO_MOI'!$C$14)*239/'THAM_SO_MOI'!$C$42</f>
        <v>23.057246527777778</v>
      </c>
      <c r="G4330" s="75">
        <f>3.6*F4330</f>
        <v>83.0060875</v>
      </c>
      <c r="H4330" s="75">
        <f>'THAM_SO_MOI'!$D$53</f>
        <v>1.1</v>
      </c>
      <c r="I4330" s="75">
        <f>IF(F4330&gt;='THAM_SO_MOI'!$C$14,'THAM_SO_MOI'!$C$13*(1+F4330^2/1500),'THAM_SO_MOI'!$C$13)</f>
        <v>0.020316366174427204</v>
      </c>
      <c r="J4330" s="75">
        <f>'THAM_SO_MOI'!$C$40*('THAM_SO_MOI'!$C$23*(E4330/'THAM_SO_MOI'!$C$22)+'THAM_SO_MOI'!$C$24*(E4330/'THAM_SO_MOI'!$C$22)^2-'THAM_SO_MOI'!$C$25*(E4330/'THAM_SO_MOI'!$C$22)^3)</f>
        <v>102.17965205839131</v>
      </c>
      <c r="K4330" s="75">
        <f>'THAM_SO_MOI'!$C$31*J4330/E4330</f>
        <v>429.5938459026131</v>
      </c>
      <c r="L4330" s="75">
        <f>K4330*'THAM_SO_MOI'!$C$53*'THAM_SO_MOI'!$C$17/'THAM_SO_MOI'!$C$26</f>
        <v>3767.539709553128</v>
      </c>
      <c r="M4330" s="75">
        <f>'THAM_SO_MOI'!$C$15*'THAM_SO_MOI'!$C$16*F4330^2</f>
        <v>1555.0371060199573</v>
      </c>
      <c r="N4330" s="75">
        <f>'THAM_SO_MOI'!$C$12*I4330</f>
        <v>1530.651280674285</v>
      </c>
      <c r="O4330" s="75">
        <f>M4330+N4330</f>
        <v>3085.6883866942426</v>
      </c>
      <c r="P4330" s="75">
        <f>(MIN(L4330,'THAM_SO_MOI'!$C$41)-O4330)/('THAM_SO_MOI'!$C$11*H4330)</f>
        <v>0.08071156757325824</v>
      </c>
      <c r="Q4330" s="75">
        <f>IF(P4330&gt;0,1/P4330,NA())</f>
        <v>12.389797770838054</v>
      </c>
      <c r="R4330" s="75">
        <f>F4330-F4329</f>
        <v>0.0035868055555567935</v>
      </c>
      <c r="S4330" s="75">
        <f>0.5*(Q4329+Q4330)*R4330</f>
        <v>0.044418961683743506</v>
      </c>
      <c r="T4330" s="75">
        <f>0.5*(F4329*Q4329+F4330*Q4330)*R4330</f>
        <v>1.0240993263241016</v>
      </c>
      <c r="U4330" s="76">
        <f>U4329+S4330</f>
        <v>71.43258258449106</v>
      </c>
      <c r="V4330" s="76">
        <f>V4329+T4330</f>
        <v>1149.55898283229</v>
      </c>
    </row>
    <row r="4331" spans="1:22" ht="19" customHeight="1">
      <c r="A4331" s="68" t="s">
        <v>378</v>
      </c>
      <c r="B4331" s="74">
        <v>5</v>
      </c>
      <c r="C4331" s="68" t="s">
        <v>363</v>
      </c>
      <c r="D4331" s="68" t="s">
        <v>365</v>
      </c>
      <c r="E4331" s="75">
        <f>60*F4331*'THAM_SO_MOI'!$C$53/(2*PI()*'THAM_SO_MOI'!$C$26)</f>
        <v>2272.0989473684203</v>
      </c>
      <c r="F4331" s="75">
        <f>'THAM_SO_MOI'!$C$14+('THAM_SO_MOI'!$C$37-'THAM_SO_MOI'!$C$14)*240/'THAM_SO_MOI'!$C$42</f>
        <v>23.06083333333333</v>
      </c>
      <c r="G4331" s="75">
        <f>3.6*F4331</f>
        <v>83.01899999999999</v>
      </c>
      <c r="H4331" s="75">
        <f>'THAM_SO_MOI'!$D$53</f>
        <v>1.1</v>
      </c>
      <c r="I4331" s="75">
        <f>IF(F4331&gt;='THAM_SO_MOI'!$C$14,'THAM_SO_MOI'!$C$13*(1+F4331^2/1500),'THAM_SO_MOI'!$C$13)</f>
        <v>0.020318020340277774</v>
      </c>
      <c r="J4331" s="75">
        <f>'THAM_SO_MOI'!$C$40*('THAM_SO_MOI'!$C$23*(E4331/'THAM_SO_MOI'!$C$22)+'THAM_SO_MOI'!$C$24*(E4331/'THAM_SO_MOI'!$C$22)^2-'THAM_SO_MOI'!$C$25*(E4331/'THAM_SO_MOI'!$C$22)^3)</f>
        <v>102.1946887596456</v>
      </c>
      <c r="K4331" s="75">
        <f>'THAM_SO_MOI'!$C$31*J4331/E4331</f>
        <v>429.59023726083444</v>
      </c>
      <c r="L4331" s="75">
        <f>K4331*'THAM_SO_MOI'!$C$53*'THAM_SO_MOI'!$C$17/'THAM_SO_MOI'!$C$26</f>
        <v>3767.5080617506087</v>
      </c>
      <c r="M4331" s="75">
        <f>'THAM_SO_MOI'!$C$15*'THAM_SO_MOI'!$C$16*F4331^2</f>
        <v>1555.52094953125</v>
      </c>
      <c r="N4331" s="75">
        <f>'THAM_SO_MOI'!$C$12*I4331</f>
        <v>1530.7759068527998</v>
      </c>
      <c r="O4331" s="75">
        <f>M4331+N4331</f>
        <v>3086.2968563840495</v>
      </c>
      <c r="P4331" s="75">
        <f>(MIN(L4331,'THAM_SO_MOI'!$C$41)-O4331)/('THAM_SO_MOI'!$C$11*H4331)</f>
        <v>0.08063579608979157</v>
      </c>
      <c r="Q4331" s="75">
        <f>IF(P4331&gt;0,1/P4331,NA())</f>
        <v>12.401440160477305</v>
      </c>
      <c r="R4331" s="75">
        <f>F4331-F4330</f>
        <v>0.0035868055555532408</v>
      </c>
      <c r="S4331" s="75">
        <f>0.5*(Q4330+Q4331)*R4331</f>
        <v>0.044460674970542076</v>
      </c>
      <c r="T4331" s="75">
        <f>0.5*(F4330*Q4330+F4331*Q4331)*R4331</f>
        <v>1.025220516930524</v>
      </c>
      <c r="U4331" s="76">
        <f>U4330+S4331</f>
        <v>71.4770432594616</v>
      </c>
      <c r="V4331" s="76">
        <f>V4330+T4331</f>
        <v>1150.5842033492206</v>
      </c>
    </row>
    <row r="4332" spans="1:22" ht="19" customHeight="1">
      <c r="A4332" s="68" t="s">
        <v>378</v>
      </c>
      <c r="B4332" s="74">
        <v>5</v>
      </c>
      <c r="C4332" s="68" t="s">
        <v>363</v>
      </c>
      <c r="D4332" s="68" t="s">
        <v>365</v>
      </c>
      <c r="E4332" s="75">
        <f>60*F4332*'THAM_SO_MOI'!$C$53/(2*PI()*'THAM_SO_MOI'!$C$26)</f>
        <v>2272.4523421052627</v>
      </c>
      <c r="F4332" s="75">
        <f>'THAM_SO_MOI'!$C$14+('THAM_SO_MOI'!$C$37-'THAM_SO_MOI'!$C$14)*241/'THAM_SO_MOI'!$C$42</f>
        <v>23.064420138888888</v>
      </c>
      <c r="G4332" s="75">
        <f>3.6*F4332</f>
        <v>83.0319125</v>
      </c>
      <c r="H4332" s="75">
        <f>'THAM_SO_MOI'!$D$53</f>
        <v>1.1</v>
      </c>
      <c r="I4332" s="75">
        <f>IF(F4332&gt;='THAM_SO_MOI'!$C$14,'THAM_SO_MOI'!$C$13*(1+F4332^2/1500),'THAM_SO_MOI'!$C$13)</f>
        <v>0.02031967476343183</v>
      </c>
      <c r="J4332" s="75">
        <f>'THAM_SO_MOI'!$C$40*('THAM_SO_MOI'!$C$23*(E4332/'THAM_SO_MOI'!$C$22)+'THAM_SO_MOI'!$C$24*(E4332/'THAM_SO_MOI'!$C$22)^2-'THAM_SO_MOI'!$C$25*(E4332/'THAM_SO_MOI'!$C$22)^3)</f>
        <v>102.20972231115252</v>
      </c>
      <c r="K4332" s="75">
        <f>'THAM_SO_MOI'!$C$31*J4332/E4332</f>
        <v>429.5866165030713</v>
      </c>
      <c r="L4332" s="75">
        <f>K4332*'THAM_SO_MOI'!$C$53*'THAM_SO_MOI'!$C$17/'THAM_SO_MOI'!$C$26</f>
        <v>3767.4763076908584</v>
      </c>
      <c r="M4332" s="75">
        <f>'THAM_SO_MOI'!$C$15*'THAM_SO_MOI'!$C$16*F4332^2</f>
        <v>1556.0048683038112</v>
      </c>
      <c r="N4332" s="75">
        <f>'THAM_SO_MOI'!$C$12*I4332</f>
        <v>1530.9005524167649</v>
      </c>
      <c r="O4332" s="75">
        <f>M4332+N4332</f>
        <v>3086.9054207205763</v>
      </c>
      <c r="P4332" s="75">
        <f>(MIN(L4332,'THAM_SO_MOI'!$C$41)-O4332)/('THAM_SO_MOI'!$C$11*H4332)</f>
        <v>0.08056000082508077</v>
      </c>
      <c r="Q4332" s="75">
        <f>IF(P4332&gt;0,1/P4332,NA())</f>
        <v>12.413108115171092</v>
      </c>
      <c r="R4332" s="75">
        <f>F4332-F4331</f>
        <v>0.0035868055555567935</v>
      </c>
      <c r="S4332" s="75">
        <f>0.5*(Q4331+Q4332)*R4332</f>
        <v>0.04450247980686396</v>
      </c>
      <c r="T4332" s="75">
        <f>0.5*(F4331*Q4331+F4332*Q4332)*R4332</f>
        <v>1.0263441181445927</v>
      </c>
      <c r="U4332" s="76">
        <f>U4331+S4332</f>
        <v>71.52154573926846</v>
      </c>
      <c r="V4332" s="76">
        <f>V4331+T4332</f>
        <v>1151.6105474673652</v>
      </c>
    </row>
    <row r="4333" spans="1:22" ht="19" customHeight="1">
      <c r="A4333" s="68" t="s">
        <v>378</v>
      </c>
      <c r="B4333" s="74">
        <v>5</v>
      </c>
      <c r="C4333" s="68" t="s">
        <v>363</v>
      </c>
      <c r="D4333" s="68" t="s">
        <v>365</v>
      </c>
      <c r="E4333" s="75">
        <f>60*F4333*'THAM_SO_MOI'!$C$53/(2*PI()*'THAM_SO_MOI'!$C$26)</f>
        <v>2272.805736842105</v>
      </c>
      <c r="F4333" s="75">
        <f>'THAM_SO_MOI'!$C$14+('THAM_SO_MOI'!$C$37-'THAM_SO_MOI'!$C$14)*242/'THAM_SO_MOI'!$C$42</f>
        <v>23.068006944444445</v>
      </c>
      <c r="G4333" s="75">
        <f>3.6*F4333</f>
        <v>83.044825</v>
      </c>
      <c r="H4333" s="75">
        <f>'THAM_SO_MOI'!$D$53</f>
        <v>1.1</v>
      </c>
      <c r="I4333" s="75">
        <f>IF(F4333&gt;='THAM_SO_MOI'!$C$14,'THAM_SO_MOI'!$C$13*(1+F4333^2/1500),'THAM_SO_MOI'!$C$13)</f>
        <v>0.020321329443889372</v>
      </c>
      <c r="J4333" s="75">
        <f>'THAM_SO_MOI'!$C$40*('THAM_SO_MOI'!$C$23*(E4333/'THAM_SO_MOI'!$C$22)+'THAM_SO_MOI'!$C$24*(E4333/'THAM_SO_MOI'!$C$22)^2-'THAM_SO_MOI'!$C$25*(E4333/'THAM_SO_MOI'!$C$22)^3)</f>
        <v>102.22475271156713</v>
      </c>
      <c r="K4333" s="75">
        <f>'THAM_SO_MOI'!$C$31*J4333/E4333</f>
        <v>429.58298362932373</v>
      </c>
      <c r="L4333" s="75">
        <f>K4333*'THAM_SO_MOI'!$C$53*'THAM_SO_MOI'!$C$17/'THAM_SO_MOI'!$C$26</f>
        <v>3767.4444473738768</v>
      </c>
      <c r="M4333" s="75">
        <f>'THAM_SO_MOI'!$C$15*'THAM_SO_MOI'!$C$16*F4333^2</f>
        <v>1556.4888623376414</v>
      </c>
      <c r="N4333" s="75">
        <f>'THAM_SO_MOI'!$C$12*I4333</f>
        <v>1531.0252173661804</v>
      </c>
      <c r="O4333" s="75">
        <f>M4333+N4333</f>
        <v>3087.514079703822</v>
      </c>
      <c r="P4333" s="75">
        <f>(MIN(L4333,'THAM_SO_MOI'!$C$41)-O4333)/('THAM_SO_MOI'!$C$11*H4333)</f>
        <v>0.08048418177912582</v>
      </c>
      <c r="Q4333" s="75">
        <f>IF(P4333&gt;0,1/P4333,NA())</f>
        <v>12.424801717489256</v>
      </c>
      <c r="R4333" s="75">
        <f>F4333-F4332</f>
        <v>0.0035868055555567935</v>
      </c>
      <c r="S4333" s="75">
        <f>0.5*(Q4332+Q4333)*R4333</f>
        <v>0.04454437648810242</v>
      </c>
      <c r="T4333" s="75">
        <f>0.5*(F4332*Q4332+F4333*Q4333)*R4333</f>
        <v>1.027470137765024</v>
      </c>
      <c r="U4333" s="76">
        <f>U4332+S4333</f>
        <v>71.56609011575657</v>
      </c>
      <c r="V4333" s="76">
        <f>V4332+T4333</f>
        <v>1152.6380176051302</v>
      </c>
    </row>
    <row r="4334" spans="1:22" ht="19" customHeight="1">
      <c r="A4334" s="68" t="s">
        <v>378</v>
      </c>
      <c r="B4334" s="74">
        <v>5</v>
      </c>
      <c r="C4334" s="68" t="s">
        <v>363</v>
      </c>
      <c r="D4334" s="68" t="s">
        <v>365</v>
      </c>
      <c r="E4334" s="75">
        <f>60*F4334*'THAM_SO_MOI'!$C$53/(2*PI()*'THAM_SO_MOI'!$C$26)</f>
        <v>2273.159131578947</v>
      </c>
      <c r="F4334" s="75">
        <f>'THAM_SO_MOI'!$C$14+('THAM_SO_MOI'!$C$37-'THAM_SO_MOI'!$C$14)*243/'THAM_SO_MOI'!$C$42</f>
        <v>23.071593749999998</v>
      </c>
      <c r="G4334" s="75">
        <f>3.6*F4334</f>
        <v>83.0577375</v>
      </c>
      <c r="H4334" s="75">
        <f>'THAM_SO_MOI'!$D$53</f>
        <v>1.1</v>
      </c>
      <c r="I4334" s="75">
        <f>IF(F4334&gt;='THAM_SO_MOI'!$C$14,'THAM_SO_MOI'!$C$13*(1+F4334^2/1500),'THAM_SO_MOI'!$C$13)</f>
        <v>0.02032298438165039</v>
      </c>
      <c r="J4334" s="75">
        <f>'THAM_SO_MOI'!$C$40*('THAM_SO_MOI'!$C$23*(E4334/'THAM_SO_MOI'!$C$22)+'THAM_SO_MOI'!$C$24*(E4334/'THAM_SO_MOI'!$C$22)^2-'THAM_SO_MOI'!$C$25*(E4334/'THAM_SO_MOI'!$C$22)^3)</f>
        <v>102.23977995954453</v>
      </c>
      <c r="K4334" s="75">
        <f>'THAM_SO_MOI'!$C$31*J4334/E4334</f>
        <v>429.5793386395917</v>
      </c>
      <c r="L4334" s="75">
        <f>K4334*'THAM_SO_MOI'!$C$53*'THAM_SO_MOI'!$C$17/'THAM_SO_MOI'!$C$26</f>
        <v>3767.4124807996645</v>
      </c>
      <c r="M4334" s="75">
        <f>'THAM_SO_MOI'!$C$15*'THAM_SO_MOI'!$C$16*F4334^2</f>
        <v>1556.9729316327391</v>
      </c>
      <c r="N4334" s="75">
        <f>'THAM_SO_MOI'!$C$12*I4334</f>
        <v>1531.1499017010458</v>
      </c>
      <c r="O4334" s="75">
        <f>M4334+N4334</f>
        <v>3088.122833333785</v>
      </c>
      <c r="P4334" s="75">
        <f>(MIN(L4334,'THAM_SO_MOI'!$C$41)-O4334)/('THAM_SO_MOI'!$C$11*H4334)</f>
        <v>0.08040833895192706</v>
      </c>
      <c r="Q4334" s="75">
        <f>IF(P4334&gt;0,1/P4334,NA())</f>
        <v>12.436521050358472</v>
      </c>
      <c r="R4334" s="75">
        <f>F4334-F4333</f>
        <v>0.0035868055555532408</v>
      </c>
      <c r="S4334" s="75">
        <f>0.5*(Q4333+Q4334)*R4334</f>
        <v>0.04458636531105925</v>
      </c>
      <c r="T4334" s="75">
        <f>0.5*(F4333*Q4333+F4334*Q4334)*R4334</f>
        <v>1.0285985836272658</v>
      </c>
      <c r="U4334" s="76">
        <f>U4333+S4334</f>
        <v>71.61067648106763</v>
      </c>
      <c r="V4334" s="76">
        <f>V4333+T4334</f>
        <v>1153.6666161887574</v>
      </c>
    </row>
    <row r="4335" spans="1:22" ht="19" customHeight="1">
      <c r="A4335" s="68" t="s">
        <v>378</v>
      </c>
      <c r="B4335" s="74">
        <v>5</v>
      </c>
      <c r="C4335" s="68" t="s">
        <v>363</v>
      </c>
      <c r="D4335" s="68" t="s">
        <v>365</v>
      </c>
      <c r="E4335" s="75">
        <f>60*F4335*'THAM_SO_MOI'!$C$53/(2*PI()*'THAM_SO_MOI'!$C$26)</f>
        <v>2273.512526315789</v>
      </c>
      <c r="F4335" s="75">
        <f>'THAM_SO_MOI'!$C$14+('THAM_SO_MOI'!$C$37-'THAM_SO_MOI'!$C$14)*244/'THAM_SO_MOI'!$C$42</f>
        <v>23.075180555555555</v>
      </c>
      <c r="G4335" s="75">
        <f>3.6*F4335</f>
        <v>83.07065</v>
      </c>
      <c r="H4335" s="75">
        <f>'THAM_SO_MOI'!$D$53</f>
        <v>1.1</v>
      </c>
      <c r="I4335" s="75">
        <f>IF(F4335&gt;='THAM_SO_MOI'!$C$14,'THAM_SO_MOI'!$C$13*(1+F4335^2/1500),'THAM_SO_MOI'!$C$13)</f>
        <v>0.020324639576714893</v>
      </c>
      <c r="J4335" s="75">
        <f>'THAM_SO_MOI'!$C$40*('THAM_SO_MOI'!$C$23*(E4335/'THAM_SO_MOI'!$C$22)+'THAM_SO_MOI'!$C$24*(E4335/'THAM_SO_MOI'!$C$22)^2-'THAM_SO_MOI'!$C$25*(E4335/'THAM_SO_MOI'!$C$22)^3)</f>
        <v>102.25480405373987</v>
      </c>
      <c r="K4335" s="75">
        <f>'THAM_SO_MOI'!$C$31*J4335/E4335</f>
        <v>429.5756815338751</v>
      </c>
      <c r="L4335" s="75">
        <f>K4335*'THAM_SO_MOI'!$C$53*'THAM_SO_MOI'!$C$17/'THAM_SO_MOI'!$C$26</f>
        <v>3767.38040796822</v>
      </c>
      <c r="M4335" s="75">
        <f>'THAM_SO_MOI'!$C$15*'THAM_SO_MOI'!$C$16*F4335^2</f>
        <v>1557.4570761891061</v>
      </c>
      <c r="N4335" s="75">
        <f>'THAM_SO_MOI'!$C$12*I4335</f>
        <v>1531.2746054213615</v>
      </c>
      <c r="O4335" s="75">
        <f>M4335+N4335</f>
        <v>3088.7316816104676</v>
      </c>
      <c r="P4335" s="75">
        <f>(MIN(L4335,'THAM_SO_MOI'!$C$41)-O4335)/('THAM_SO_MOI'!$C$11*H4335)</f>
        <v>0.08033247234348397</v>
      </c>
      <c r="Q4335" s="75">
        <f>IF(P4335&gt;0,1/P4335,NA())</f>
        <v>12.448266197064372</v>
      </c>
      <c r="R4335" s="75">
        <f>F4335-F4334</f>
        <v>0.0035868055555567935</v>
      </c>
      <c r="S4335" s="75">
        <f>0.5*(Q4334+Q4335)*R4335</f>
        <v>0.04462844657395255</v>
      </c>
      <c r="T4335" s="75">
        <f>0.5*(F4334*Q4334+F4335*Q4335)*R4335</f>
        <v>1.0297294636037053</v>
      </c>
      <c r="U4335" s="76">
        <f>U4334+S4335</f>
        <v>71.65530492764158</v>
      </c>
      <c r="V4335" s="76">
        <f>V4334+T4335</f>
        <v>1154.696345652361</v>
      </c>
    </row>
    <row r="4336" spans="1:22" ht="19" customHeight="1">
      <c r="A4336" s="68" t="s">
        <v>378</v>
      </c>
      <c r="B4336" s="74">
        <v>5</v>
      </c>
      <c r="C4336" s="68" t="s">
        <v>363</v>
      </c>
      <c r="D4336" s="68" t="s">
        <v>365</v>
      </c>
      <c r="E4336" s="75">
        <f>60*F4336*'THAM_SO_MOI'!$C$53/(2*PI()*'THAM_SO_MOI'!$C$26)</f>
        <v>2273.865921052631</v>
      </c>
      <c r="F4336" s="75">
        <f>'THAM_SO_MOI'!$C$14+('THAM_SO_MOI'!$C$37-'THAM_SO_MOI'!$C$14)*245/'THAM_SO_MOI'!$C$42</f>
        <v>23.07876736111111</v>
      </c>
      <c r="G4336" s="75">
        <f>3.6*F4336</f>
        <v>83.0835625</v>
      </c>
      <c r="H4336" s="75">
        <f>'THAM_SO_MOI'!$D$53</f>
        <v>1.1</v>
      </c>
      <c r="I4336" s="75">
        <f>IF(F4336&gt;='THAM_SO_MOI'!$C$14,'THAM_SO_MOI'!$C$13*(1+F4336^2/1500),'THAM_SO_MOI'!$C$13)</f>
        <v>0.020326295029082876</v>
      </c>
      <c r="J4336" s="75">
        <f>'THAM_SO_MOI'!$C$40*('THAM_SO_MOI'!$C$23*(E4336/'THAM_SO_MOI'!$C$22)+'THAM_SO_MOI'!$C$24*(E4336/'THAM_SO_MOI'!$C$22)^2-'THAM_SO_MOI'!$C$25*(E4336/'THAM_SO_MOI'!$C$22)^3)</f>
        <v>102.2698249928083</v>
      </c>
      <c r="K4336" s="75">
        <f>'THAM_SO_MOI'!$C$31*J4336/E4336</f>
        <v>429.57201231217425</v>
      </c>
      <c r="L4336" s="75">
        <f>K4336*'THAM_SO_MOI'!$C$53*'THAM_SO_MOI'!$C$17/'THAM_SO_MOI'!$C$26</f>
        <v>3767.3482288795453</v>
      </c>
      <c r="M4336" s="75">
        <f>'THAM_SO_MOI'!$C$15*'THAM_SO_MOI'!$C$16*F4336^2</f>
        <v>1557.9412960067411</v>
      </c>
      <c r="N4336" s="75">
        <f>'THAM_SO_MOI'!$C$12*I4336</f>
        <v>1531.3993285271272</v>
      </c>
      <c r="O4336" s="75">
        <f>M4336+N4336</f>
        <v>3089.3406245338683</v>
      </c>
      <c r="P4336" s="75">
        <f>(MIN(L4336,'THAM_SO_MOI'!$C$41)-O4336)/('THAM_SO_MOI'!$C$11*H4336)</f>
        <v>0.080256581953797</v>
      </c>
      <c r="Q4336" s="75">
        <f>IF(P4336&gt;0,1/P4336,NA())</f>
        <v>12.4600372412532</v>
      </c>
      <c r="R4336" s="75">
        <f>F4336-F4335</f>
        <v>0.0035868055555567935</v>
      </c>
      <c r="S4336" s="75">
        <f>0.5*(Q4335+Q4336)*R4336</f>
        <v>0.04467062057602593</v>
      </c>
      <c r="T4336" s="75">
        <f>0.5*(F4335*Q4335+F4336*Q4336)*R4336</f>
        <v>1.0308627855946726</v>
      </c>
      <c r="U4336" s="76">
        <f>U4335+S4336</f>
        <v>71.69997554821761</v>
      </c>
      <c r="V4336" s="76">
        <f>V4335+T4336</f>
        <v>1155.7272084379558</v>
      </c>
    </row>
    <row r="4337" spans="1:22" ht="19" customHeight="1">
      <c r="A4337" s="68" t="s">
        <v>378</v>
      </c>
      <c r="B4337" s="74">
        <v>5</v>
      </c>
      <c r="C4337" s="68" t="s">
        <v>363</v>
      </c>
      <c r="D4337" s="68" t="s">
        <v>365</v>
      </c>
      <c r="E4337" s="75">
        <f>60*F4337*'THAM_SO_MOI'!$C$53/(2*PI()*'THAM_SO_MOI'!$C$26)</f>
        <v>2274.219315789473</v>
      </c>
      <c r="F4337" s="75">
        <f>'THAM_SO_MOI'!$C$14+('THAM_SO_MOI'!$C$37-'THAM_SO_MOI'!$C$14)*246/'THAM_SO_MOI'!$C$42</f>
        <v>23.082354166666665</v>
      </c>
      <c r="G4337" s="75">
        <f>3.6*F4337</f>
        <v>83.096475</v>
      </c>
      <c r="H4337" s="75">
        <f>'THAM_SO_MOI'!$D$53</f>
        <v>1.1</v>
      </c>
      <c r="I4337" s="75">
        <f>IF(F4337&gt;='THAM_SO_MOI'!$C$14,'THAM_SO_MOI'!$C$13*(1+F4337^2/1500),'THAM_SO_MOI'!$C$13)</f>
        <v>0.02032795073875434</v>
      </c>
      <c r="J4337" s="75">
        <f>'THAM_SO_MOI'!$C$40*('THAM_SO_MOI'!$C$23*(E4337/'THAM_SO_MOI'!$C$22)+'THAM_SO_MOI'!$C$24*(E4337/'THAM_SO_MOI'!$C$22)^2-'THAM_SO_MOI'!$C$25*(E4337/'THAM_SO_MOI'!$C$22)^3)</f>
        <v>102.28484277540483</v>
      </c>
      <c r="K4337" s="75">
        <f>'THAM_SO_MOI'!$C$31*J4337/E4337</f>
        <v>429.5683309744888</v>
      </c>
      <c r="L4337" s="75">
        <f>K4337*'THAM_SO_MOI'!$C$53*'THAM_SO_MOI'!$C$17/'THAM_SO_MOI'!$C$26</f>
        <v>3767.315943533639</v>
      </c>
      <c r="M4337" s="75">
        <f>'THAM_SO_MOI'!$C$15*'THAM_SO_MOI'!$C$16*F4337^2</f>
        <v>1558.4255910856446</v>
      </c>
      <c r="N4337" s="75">
        <f>'THAM_SO_MOI'!$C$12*I4337</f>
        <v>1531.524071018343</v>
      </c>
      <c r="O4337" s="75">
        <f>M4337+N4337</f>
        <v>3089.9496621039875</v>
      </c>
      <c r="P4337" s="75">
        <f>(MIN(L4337,'THAM_SO_MOI'!$C$41)-O4337)/('THAM_SO_MOI'!$C$11*H4337)</f>
        <v>0.08018066778286592</v>
      </c>
      <c r="Q4337" s="75">
        <f>IF(P4337&gt;0,1/P4337,NA())</f>
        <v>12.471834266934023</v>
      </c>
      <c r="R4337" s="75">
        <f>F4337-F4336</f>
        <v>0.0035868055555532408</v>
      </c>
      <c r="S4337" s="75">
        <f>0.5*(Q4336+Q4337)*R4337</f>
        <v>0.04471288761795274</v>
      </c>
      <c r="T4337" s="75">
        <f>0.5*(F4336*Q4336+F4337*Q4337)*R4337</f>
        <v>1.0319985575377906</v>
      </c>
      <c r="U4337" s="76">
        <f>U4336+S4337</f>
        <v>71.74468843583556</v>
      </c>
      <c r="V4337" s="76">
        <f>V4336+T4337</f>
        <v>1156.7592069954935</v>
      </c>
    </row>
    <row r="4338" spans="1:22" ht="19" customHeight="1">
      <c r="A4338" s="68" t="s">
        <v>378</v>
      </c>
      <c r="B4338" s="74">
        <v>5</v>
      </c>
      <c r="C4338" s="68" t="s">
        <v>363</v>
      </c>
      <c r="D4338" s="68" t="s">
        <v>365</v>
      </c>
      <c r="E4338" s="75">
        <f>60*F4338*'THAM_SO_MOI'!$C$53/(2*PI()*'THAM_SO_MOI'!$C$26)</f>
        <v>2274.5727105263154</v>
      </c>
      <c r="F4338" s="75">
        <f>'THAM_SO_MOI'!$C$14+('THAM_SO_MOI'!$C$37-'THAM_SO_MOI'!$C$14)*247/'THAM_SO_MOI'!$C$42</f>
        <v>23.08594097222222</v>
      </c>
      <c r="G4338" s="75">
        <f>3.6*F4338</f>
        <v>83.1093875</v>
      </c>
      <c r="H4338" s="75">
        <f>'THAM_SO_MOI'!$D$53</f>
        <v>1.1</v>
      </c>
      <c r="I4338" s="75">
        <f>IF(F4338&gt;='THAM_SO_MOI'!$C$14,'THAM_SO_MOI'!$C$13*(1+F4338^2/1500),'THAM_SO_MOI'!$C$13)</f>
        <v>0.020329606705729288</v>
      </c>
      <c r="J4338" s="75">
        <f>'THAM_SO_MOI'!$C$40*('THAM_SO_MOI'!$C$23*(E4338/'THAM_SO_MOI'!$C$22)+'THAM_SO_MOI'!$C$24*(E4338/'THAM_SO_MOI'!$C$22)^2-'THAM_SO_MOI'!$C$25*(E4338/'THAM_SO_MOI'!$C$22)^3)</f>
        <v>102.29985740018465</v>
      </c>
      <c r="K4338" s="75">
        <f>'THAM_SO_MOI'!$C$31*J4338/E4338</f>
        <v>429.56463752081896</v>
      </c>
      <c r="L4338" s="75">
        <f>K4338*'THAM_SO_MOI'!$C$53*'THAM_SO_MOI'!$C$17/'THAM_SO_MOI'!$C$26</f>
        <v>3767.283551930502</v>
      </c>
      <c r="M4338" s="75">
        <f>'THAM_SO_MOI'!$C$15*'THAM_SO_MOI'!$C$16*F4338^2</f>
        <v>1558.9099614258164</v>
      </c>
      <c r="N4338" s="75">
        <f>'THAM_SO_MOI'!$C$12*I4338</f>
        <v>1531.6488328950093</v>
      </c>
      <c r="O4338" s="75">
        <f>M4338+N4338</f>
        <v>3090.5587943208257</v>
      </c>
      <c r="P4338" s="75">
        <f>(MIN(L4338,'THAM_SO_MOI'!$C$41)-O4338)/('THAM_SO_MOI'!$C$11*H4338)</f>
        <v>0.0801047298306909</v>
      </c>
      <c r="Q4338" s="75">
        <f>IF(P4338&gt;0,1/P4338,NA())</f>
        <v>12.483657358480539</v>
      </c>
      <c r="R4338" s="75">
        <f>F4338-F4337</f>
        <v>0.0035868055555567935</v>
      </c>
      <c r="S4338" s="75">
        <f>0.5*(Q4337+Q4338)*R4338</f>
        <v>0.04475524800184399</v>
      </c>
      <c r="T4338" s="75">
        <f>0.5*(F4337*Q4337+F4338*Q4338)*R4338</f>
        <v>1.033136787408183</v>
      </c>
      <c r="U4338" s="76">
        <f>U4337+S4338</f>
        <v>71.7894436838374</v>
      </c>
      <c r="V4338" s="76">
        <f>V4337+T4338</f>
        <v>1157.7923437829018</v>
      </c>
    </row>
    <row r="4339" spans="1:22" ht="19" customHeight="1">
      <c r="A4339" s="68" t="s">
        <v>378</v>
      </c>
      <c r="B4339" s="74">
        <v>5</v>
      </c>
      <c r="C4339" s="68" t="s">
        <v>363</v>
      </c>
      <c r="D4339" s="68" t="s">
        <v>365</v>
      </c>
      <c r="E4339" s="75">
        <f>60*F4339*'THAM_SO_MOI'!$C$53/(2*PI()*'THAM_SO_MOI'!$C$26)</f>
        <v>2274.9261052631573</v>
      </c>
      <c r="F4339" s="75">
        <f>'THAM_SO_MOI'!$C$14+('THAM_SO_MOI'!$C$37-'THAM_SO_MOI'!$C$14)*248/'THAM_SO_MOI'!$C$42</f>
        <v>23.08952777777778</v>
      </c>
      <c r="G4339" s="75">
        <f>3.6*F4339</f>
        <v>83.12230000000001</v>
      </c>
      <c r="H4339" s="75">
        <f>'THAM_SO_MOI'!$D$53</f>
        <v>1.1</v>
      </c>
      <c r="I4339" s="75">
        <f>IF(F4339&gt;='THAM_SO_MOI'!$C$14,'THAM_SO_MOI'!$C$13*(1+F4339^2/1500),'THAM_SO_MOI'!$C$13)</f>
        <v>0.020331262930007716</v>
      </c>
      <c r="J4339" s="75">
        <f>'THAM_SO_MOI'!$C$40*('THAM_SO_MOI'!$C$23*(E4339/'THAM_SO_MOI'!$C$22)+'THAM_SO_MOI'!$C$24*(E4339/'THAM_SO_MOI'!$C$22)^2-'THAM_SO_MOI'!$C$25*(E4339/'THAM_SO_MOI'!$C$22)^3)</f>
        <v>102.3148688658028</v>
      </c>
      <c r="K4339" s="75">
        <f>'THAM_SO_MOI'!$C$31*J4339/E4339</f>
        <v>429.56093195116455</v>
      </c>
      <c r="L4339" s="75">
        <f>K4339*'THAM_SO_MOI'!$C$53*'THAM_SO_MOI'!$C$17/'THAM_SO_MOI'!$C$26</f>
        <v>3767.251054070133</v>
      </c>
      <c r="M4339" s="75">
        <f>'THAM_SO_MOI'!$C$15*'THAM_SO_MOI'!$C$16*F4339^2</f>
        <v>1559.3944070272573</v>
      </c>
      <c r="N4339" s="75">
        <f>'THAM_SO_MOI'!$C$12*I4339</f>
        <v>1531.7736141571254</v>
      </c>
      <c r="O4339" s="75">
        <f>M4339+N4339</f>
        <v>3091.1680211843827</v>
      </c>
      <c r="P4339" s="75">
        <f>(MIN(L4339,'THAM_SO_MOI'!$C$41)-O4339)/('THAM_SO_MOI'!$C$11*H4339)</f>
        <v>0.08002876809727155</v>
      </c>
      <c r="Q4339" s="75">
        <f>IF(P4339&gt;0,1/P4339,NA())</f>
        <v>12.495506600633195</v>
      </c>
      <c r="R4339" s="75">
        <f>F4339-F4338</f>
        <v>0.0035868055555567935</v>
      </c>
      <c r="S4339" s="75">
        <f>0.5*(Q4338+Q4339)*R4339</f>
        <v>0.04479770203085658</v>
      </c>
      <c r="T4339" s="75">
        <f>0.5*(F4338*Q4338+F4339*Q4339)*R4339</f>
        <v>1.0342774832094555</v>
      </c>
      <c r="U4339" s="76">
        <f>U4338+S4339</f>
        <v>71.83424138586827</v>
      </c>
      <c r="V4339" s="76">
        <f>V4338+T4339</f>
        <v>1158.8266212661113</v>
      </c>
    </row>
    <row r="4340" spans="1:22" ht="19" customHeight="1">
      <c r="A4340" s="68" t="s">
        <v>378</v>
      </c>
      <c r="B4340" s="74">
        <v>5</v>
      </c>
      <c r="C4340" s="68" t="s">
        <v>363</v>
      </c>
      <c r="D4340" s="68" t="s">
        <v>365</v>
      </c>
      <c r="E4340" s="75">
        <f>60*F4340*'THAM_SO_MOI'!$C$53/(2*PI()*'THAM_SO_MOI'!$C$26)</f>
        <v>2275.2794999999996</v>
      </c>
      <c r="F4340" s="75">
        <f>'THAM_SO_MOI'!$C$14+('THAM_SO_MOI'!$C$37-'THAM_SO_MOI'!$C$14)*249/'THAM_SO_MOI'!$C$42</f>
        <v>23.093114583333332</v>
      </c>
      <c r="G4340" s="75">
        <f>3.6*F4340</f>
        <v>83.1352125</v>
      </c>
      <c r="H4340" s="75">
        <f>'THAM_SO_MOI'!$D$53</f>
        <v>1.1</v>
      </c>
      <c r="I4340" s="75">
        <f>IF(F4340&gt;='THAM_SO_MOI'!$C$14,'THAM_SO_MOI'!$C$13*(1+F4340^2/1500),'THAM_SO_MOI'!$C$13)</f>
        <v>0.020332919411589625</v>
      </c>
      <c r="J4340" s="75">
        <f>'THAM_SO_MOI'!$C$40*('THAM_SO_MOI'!$C$23*(E4340/'THAM_SO_MOI'!$C$22)+'THAM_SO_MOI'!$C$24*(E4340/'THAM_SO_MOI'!$C$22)^2-'THAM_SO_MOI'!$C$25*(E4340/'THAM_SO_MOI'!$C$22)^3)</f>
        <v>102.32987717091444</v>
      </c>
      <c r="K4340" s="75">
        <f>'THAM_SO_MOI'!$C$31*J4340/E4340</f>
        <v>429.5572142655257</v>
      </c>
      <c r="L4340" s="75">
        <f>K4340*'THAM_SO_MOI'!$C$53*'THAM_SO_MOI'!$C$17/'THAM_SO_MOI'!$C$26</f>
        <v>3767.2184499525333</v>
      </c>
      <c r="M4340" s="75">
        <f>'THAM_SO_MOI'!$C$15*'THAM_SO_MOI'!$C$16*F4340^2</f>
        <v>1559.878927889966</v>
      </c>
      <c r="N4340" s="75">
        <f>'THAM_SO_MOI'!$C$12*I4340</f>
        <v>1531.8984148046916</v>
      </c>
      <c r="O4340" s="75">
        <f>M4340+N4340</f>
        <v>3091.777342694658</v>
      </c>
      <c r="P4340" s="75">
        <f>(MIN(L4340,'THAM_SO_MOI'!$C$41)-O4340)/('THAM_SO_MOI'!$C$11*H4340)</f>
        <v>0.07995278258260836</v>
      </c>
      <c r="Q4340" s="75">
        <f>IF(P4340&gt;0,1/P4340,NA())</f>
        <v>12.507382078500966</v>
      </c>
      <c r="R4340" s="75">
        <f>F4340-F4339</f>
        <v>0.0035868055555532408</v>
      </c>
      <c r="S4340" s="75">
        <f>0.5*(Q4339+Q4340)*R4340</f>
        <v>0.04484025000959881</v>
      </c>
      <c r="T4340" s="75">
        <f>0.5*(F4339*Q4339+F4340*Q4340)*R4340</f>
        <v>1.0354206529830783</v>
      </c>
      <c r="U4340" s="76">
        <f>U4339+S4340</f>
        <v>71.87908163587787</v>
      </c>
      <c r="V4340" s="76">
        <f>V4339+T4340</f>
        <v>1159.8620419190943</v>
      </c>
    </row>
    <row r="4341" spans="1:22" ht="19" customHeight="1">
      <c r="A4341" s="68" t="s">
        <v>378</v>
      </c>
      <c r="B4341" s="74">
        <v>5</v>
      </c>
      <c r="C4341" s="68" t="s">
        <v>363</v>
      </c>
      <c r="D4341" s="68" t="s">
        <v>365</v>
      </c>
      <c r="E4341" s="75">
        <f>60*F4341*'THAM_SO_MOI'!$C$53/(2*PI()*'THAM_SO_MOI'!$C$26)</f>
        <v>2275.6328947368415</v>
      </c>
      <c r="F4341" s="75">
        <f>'THAM_SO_MOI'!$C$14+('THAM_SO_MOI'!$C$37-'THAM_SO_MOI'!$C$14)*250/'THAM_SO_MOI'!$C$42</f>
        <v>23.09670138888889</v>
      </c>
      <c r="G4341" s="75">
        <f>3.6*F4341</f>
        <v>83.14812500000001</v>
      </c>
      <c r="H4341" s="75">
        <f>'THAM_SO_MOI'!$D$53</f>
        <v>1.1</v>
      </c>
      <c r="I4341" s="75">
        <f>IF(F4341&gt;='THAM_SO_MOI'!$C$14,'THAM_SO_MOI'!$C$13*(1+F4341^2/1500),'THAM_SO_MOI'!$C$13)</f>
        <v>0.02033457615047502</v>
      </c>
      <c r="J4341" s="75">
        <f>'THAM_SO_MOI'!$C$40*('THAM_SO_MOI'!$C$23*(E4341/'THAM_SO_MOI'!$C$22)+'THAM_SO_MOI'!$C$24*(E4341/'THAM_SO_MOI'!$C$22)^2-'THAM_SO_MOI'!$C$25*(E4341/'THAM_SO_MOI'!$C$22)^3)</f>
        <v>102.34488231417471</v>
      </c>
      <c r="K4341" s="75">
        <f>'THAM_SO_MOI'!$C$31*J4341/E4341</f>
        <v>429.5534844639026</v>
      </c>
      <c r="L4341" s="75">
        <f>K4341*'THAM_SO_MOI'!$C$53*'THAM_SO_MOI'!$C$17/'THAM_SO_MOI'!$C$26</f>
        <v>3767.1857395777038</v>
      </c>
      <c r="M4341" s="75">
        <f>'THAM_SO_MOI'!$C$15*'THAM_SO_MOI'!$C$16*F4341^2</f>
        <v>1560.3635240139433</v>
      </c>
      <c r="N4341" s="75">
        <f>'THAM_SO_MOI'!$C$12*I4341</f>
        <v>1532.0232348377085</v>
      </c>
      <c r="O4341" s="75">
        <f>M4341+N4341</f>
        <v>3092.386758851652</v>
      </c>
      <c r="P4341" s="75">
        <f>(MIN(L4341,'THAM_SO_MOI'!$C$41)-O4341)/('THAM_SO_MOI'!$C$11*H4341)</f>
        <v>0.07987677328670122</v>
      </c>
      <c r="Q4341" s="75">
        <f>IF(P4341&gt;0,1/P4341,NA())</f>
        <v>12.519283877563582</v>
      </c>
      <c r="R4341" s="75">
        <f>F4341-F4340</f>
        <v>0.0035868055555567935</v>
      </c>
      <c r="S4341" s="75">
        <f>0.5*(Q4340+Q4341)*R4341</f>
        <v>0.044882892244138196</v>
      </c>
      <c r="T4341" s="75">
        <f>0.5*(F4340*Q4340+F4341*Q4341)*R4341</f>
        <v>1.036566304808591</v>
      </c>
      <c r="U4341" s="76">
        <f>U4340+S4341</f>
        <v>71.923964528122</v>
      </c>
      <c r="V4341" s="76">
        <f>V4340+T4341</f>
        <v>1160.8986082239028</v>
      </c>
    </row>
    <row r="4342" spans="1:22" ht="19" customHeight="1">
      <c r="A4342" s="68" t="s">
        <v>378</v>
      </c>
      <c r="B4342" s="74">
        <v>5</v>
      </c>
      <c r="C4342" s="68" t="s">
        <v>363</v>
      </c>
      <c r="D4342" s="68" t="s">
        <v>365</v>
      </c>
      <c r="E4342" s="75">
        <f>60*F4342*'THAM_SO_MOI'!$C$53/(2*PI()*'THAM_SO_MOI'!$C$26)</f>
        <v>2275.9862894736834</v>
      </c>
      <c r="F4342" s="75">
        <f>'THAM_SO_MOI'!$C$14+('THAM_SO_MOI'!$C$37-'THAM_SO_MOI'!$C$14)*251/'THAM_SO_MOI'!$C$42</f>
        <v>23.100288194444442</v>
      </c>
      <c r="G4342" s="75">
        <f>3.6*F4342</f>
        <v>83.16103749999999</v>
      </c>
      <c r="H4342" s="75">
        <f>'THAM_SO_MOI'!$D$53</f>
        <v>1.1</v>
      </c>
      <c r="I4342" s="75">
        <f>IF(F4342&gt;='THAM_SO_MOI'!$C$14,'THAM_SO_MOI'!$C$13*(1+F4342^2/1500),'THAM_SO_MOI'!$C$13)</f>
        <v>0.02033623314666389</v>
      </c>
      <c r="J4342" s="75">
        <f>'THAM_SO_MOI'!$C$40*('THAM_SO_MOI'!$C$23*(E4342/'THAM_SO_MOI'!$C$22)+'THAM_SO_MOI'!$C$24*(E4342/'THAM_SO_MOI'!$C$22)^2-'THAM_SO_MOI'!$C$25*(E4342/'THAM_SO_MOI'!$C$22)^3)</f>
        <v>102.35988429423863</v>
      </c>
      <c r="K4342" s="75">
        <f>'THAM_SO_MOI'!$C$31*J4342/E4342</f>
        <v>429.5497425462948</v>
      </c>
      <c r="L4342" s="75">
        <f>K4342*'THAM_SO_MOI'!$C$53*'THAM_SO_MOI'!$C$17/'THAM_SO_MOI'!$C$26</f>
        <v>3767.1529229456414</v>
      </c>
      <c r="M4342" s="75">
        <f>'THAM_SO_MOI'!$C$15*'THAM_SO_MOI'!$C$16*F4342^2</f>
        <v>1560.8481953991889</v>
      </c>
      <c r="N4342" s="75">
        <f>'THAM_SO_MOI'!$C$12*I4342</f>
        <v>1532.148074256175</v>
      </c>
      <c r="O4342" s="75">
        <f>M4342+N4342</f>
        <v>3092.996269655364</v>
      </c>
      <c r="P4342" s="75">
        <f>(MIN(L4342,'THAM_SO_MOI'!$C$41)-O4342)/('THAM_SO_MOI'!$C$11*H4342)</f>
        <v>0.07980074020954987</v>
      </c>
      <c r="Q4342" s="75">
        <f>IF(P4342&gt;0,1/P4342,NA())</f>
        <v>12.531212083673486</v>
      </c>
      <c r="R4342" s="75">
        <f>F4342-F4341</f>
        <v>0.0035868055555532408</v>
      </c>
      <c r="S4342" s="75">
        <f>0.5*(Q4341+Q4342)*R4342</f>
        <v>0.044925629041564566</v>
      </c>
      <c r="T4342" s="75">
        <f>0.5*(F4341*Q4341+F4342*Q4342)*R4342</f>
        <v>1.0377144467935397</v>
      </c>
      <c r="U4342" s="76">
        <f>U4341+S4342</f>
        <v>71.96889015716356</v>
      </c>
      <c r="V4342" s="76">
        <f>V4341+T4342</f>
        <v>1161.9363226706964</v>
      </c>
    </row>
    <row r="4343" spans="1:22" ht="19" customHeight="1">
      <c r="A4343" s="68" t="s">
        <v>378</v>
      </c>
      <c r="B4343" s="74">
        <v>5</v>
      </c>
      <c r="C4343" s="68" t="s">
        <v>363</v>
      </c>
      <c r="D4343" s="68" t="s">
        <v>365</v>
      </c>
      <c r="E4343" s="75">
        <f>60*F4343*'THAM_SO_MOI'!$C$53/(2*PI()*'THAM_SO_MOI'!$C$26)</f>
        <v>2276.3396842105253</v>
      </c>
      <c r="F4343" s="75">
        <f>'THAM_SO_MOI'!$C$14+('THAM_SO_MOI'!$C$37-'THAM_SO_MOI'!$C$14)*252/'THAM_SO_MOI'!$C$42</f>
        <v>23.103875</v>
      </c>
      <c r="G4343" s="75">
        <f>3.6*F4343</f>
        <v>83.17394999999999</v>
      </c>
      <c r="H4343" s="75">
        <f>'THAM_SO_MOI'!$D$53</f>
        <v>1.1</v>
      </c>
      <c r="I4343" s="75">
        <f>IF(F4343&gt;='THAM_SO_MOI'!$C$14,'THAM_SO_MOI'!$C$13*(1+F4343^2/1500),'THAM_SO_MOI'!$C$13)</f>
        <v>0.020337890400156246</v>
      </c>
      <c r="J4343" s="75">
        <f>'THAM_SO_MOI'!$C$40*('THAM_SO_MOI'!$C$23*(E4343/'THAM_SO_MOI'!$C$22)+'THAM_SO_MOI'!$C$24*(E4343/'THAM_SO_MOI'!$C$22)^2-'THAM_SO_MOI'!$C$25*(E4343/'THAM_SO_MOI'!$C$22)^3)</f>
        <v>102.37488310976138</v>
      </c>
      <c r="K4343" s="75">
        <f>'THAM_SO_MOI'!$C$31*J4343/E4343</f>
        <v>429.54598851270265</v>
      </c>
      <c r="L4343" s="75">
        <f>K4343*'THAM_SO_MOI'!$C$53*'THAM_SO_MOI'!$C$17/'THAM_SO_MOI'!$C$26</f>
        <v>3767.120000056349</v>
      </c>
      <c r="M4343" s="75">
        <f>'THAM_SO_MOI'!$C$15*'THAM_SO_MOI'!$C$16*F4343^2</f>
        <v>1561.332942045703</v>
      </c>
      <c r="N4343" s="75">
        <f>'THAM_SO_MOI'!$C$12*I4343</f>
        <v>1532.2729330600916</v>
      </c>
      <c r="O4343" s="75">
        <f>M4343+N4343</f>
        <v>3093.6058751057944</v>
      </c>
      <c r="P4343" s="75">
        <f>(MIN(L4343,'THAM_SO_MOI'!$C$41)-O4343)/('THAM_SO_MOI'!$C$11*H4343)</f>
        <v>0.07972468335115464</v>
      </c>
      <c r="Q4343" s="75">
        <f>IF(P4343&gt;0,1/P4343,NA())</f>
        <v>12.54316678305775</v>
      </c>
      <c r="R4343" s="75">
        <f>F4343-F4342</f>
        <v>0.0035868055555567935</v>
      </c>
      <c r="S4343" s="75">
        <f>0.5*(Q4342+Q4343)*R4343</f>
        <v>0.04496846071066373</v>
      </c>
      <c r="T4343" s="75">
        <f>0.5*(F4342*Q4342+F4343*Q4343)*R4343</f>
        <v>1.038865087089057</v>
      </c>
      <c r="U4343" s="76">
        <f>U4342+S4343</f>
        <v>72.01385861787422</v>
      </c>
      <c r="V4343" s="76">
        <f>V4342+T4343</f>
        <v>1162.9751877577855</v>
      </c>
    </row>
    <row r="4344" spans="1:22" ht="19" customHeight="1">
      <c r="A4344" s="68" t="s">
        <v>378</v>
      </c>
      <c r="B4344" s="74">
        <v>5</v>
      </c>
      <c r="C4344" s="68" t="s">
        <v>363</v>
      </c>
      <c r="D4344" s="68" t="s">
        <v>365</v>
      </c>
      <c r="E4344" s="75">
        <f>60*F4344*'THAM_SO_MOI'!$C$53/(2*PI()*'THAM_SO_MOI'!$C$26)</f>
        <v>2276.693078947368</v>
      </c>
      <c r="F4344" s="75">
        <f>'THAM_SO_MOI'!$C$14+('THAM_SO_MOI'!$C$37-'THAM_SO_MOI'!$C$14)*253/'THAM_SO_MOI'!$C$42</f>
        <v>23.107461805555555</v>
      </c>
      <c r="G4344" s="75">
        <f>3.6*F4344</f>
        <v>83.1868625</v>
      </c>
      <c r="H4344" s="75">
        <f>'THAM_SO_MOI'!$D$53</f>
        <v>1.1</v>
      </c>
      <c r="I4344" s="75">
        <f>IF(F4344&gt;='THAM_SO_MOI'!$C$14,'THAM_SO_MOI'!$C$13*(1+F4344^2/1500),'THAM_SO_MOI'!$C$13)</f>
        <v>0.020339547910952088</v>
      </c>
      <c r="J4344" s="75">
        <f>'THAM_SO_MOI'!$C$40*('THAM_SO_MOI'!$C$23*(E4344/'THAM_SO_MOI'!$C$22)+'THAM_SO_MOI'!$C$24*(E4344/'THAM_SO_MOI'!$C$22)^2-'THAM_SO_MOI'!$C$25*(E4344/'THAM_SO_MOI'!$C$22)^3)</f>
        <v>102.3898787593981</v>
      </c>
      <c r="K4344" s="75">
        <f>'THAM_SO_MOI'!$C$31*J4344/E4344</f>
        <v>429.5422223631261</v>
      </c>
      <c r="L4344" s="75">
        <f>K4344*'THAM_SO_MOI'!$C$53*'THAM_SO_MOI'!$C$17/'THAM_SO_MOI'!$C$26</f>
        <v>3767.086970909826</v>
      </c>
      <c r="M4344" s="75">
        <f>'THAM_SO_MOI'!$C$15*'THAM_SO_MOI'!$C$16*F4344^2</f>
        <v>1561.817763953486</v>
      </c>
      <c r="N4344" s="75">
        <f>'THAM_SO_MOI'!$C$12*I4344</f>
        <v>1532.3978112494592</v>
      </c>
      <c r="O4344" s="75">
        <f>M4344+N4344</f>
        <v>3094.2155752029453</v>
      </c>
      <c r="P4344" s="75">
        <f>(MIN(L4344,'THAM_SO_MOI'!$C$41)-O4344)/('THAM_SO_MOI'!$C$11*H4344)</f>
        <v>0.07964860271151525</v>
      </c>
      <c r="Q4344" s="75">
        <f>IF(P4344&gt;0,1/P4344,NA())</f>
        <v>12.5551480623203</v>
      </c>
      <c r="R4344" s="75">
        <f>F4344-F4343</f>
        <v>0.0035868055555567935</v>
      </c>
      <c r="S4344" s="75">
        <f>0.5*(Q4343+Q4344)*R4344</f>
        <v>0.04501138756125776</v>
      </c>
      <c r="T4344" s="75">
        <f>0.5*(F4343*Q4343+F4344*Q4344)*R4344</f>
        <v>1.040018233874649</v>
      </c>
      <c r="U4344" s="76">
        <f>U4343+S4344</f>
        <v>72.05887000543548</v>
      </c>
      <c r="V4344" s="76">
        <f>V4343+T4344</f>
        <v>1164.0152059916602</v>
      </c>
    </row>
    <row r="4345" spans="1:22" ht="19" customHeight="1">
      <c r="A4345" s="68" t="s">
        <v>378</v>
      </c>
      <c r="B4345" s="74">
        <v>5</v>
      </c>
      <c r="C4345" s="68" t="s">
        <v>363</v>
      </c>
      <c r="D4345" s="68" t="s">
        <v>365</v>
      </c>
      <c r="E4345" s="75">
        <f>60*F4345*'THAM_SO_MOI'!$C$53/(2*PI()*'THAM_SO_MOI'!$C$26)</f>
        <v>2277.0464736842096</v>
      </c>
      <c r="F4345" s="75">
        <f>'THAM_SO_MOI'!$C$14+('THAM_SO_MOI'!$C$37-'THAM_SO_MOI'!$C$14)*254/'THAM_SO_MOI'!$C$42</f>
        <v>23.11104861111111</v>
      </c>
      <c r="G4345" s="75">
        <f>3.6*F4345</f>
        <v>83.19977499999999</v>
      </c>
      <c r="H4345" s="75">
        <f>'THAM_SO_MOI'!$D$53</f>
        <v>1.1</v>
      </c>
      <c r="I4345" s="75">
        <f>IF(F4345&gt;='THAM_SO_MOI'!$C$14,'THAM_SO_MOI'!$C$13*(1+F4345^2/1500),'THAM_SO_MOI'!$C$13)</f>
        <v>0.020341205679051406</v>
      </c>
      <c r="J4345" s="75">
        <f>'THAM_SO_MOI'!$C$40*('THAM_SO_MOI'!$C$23*(E4345/'THAM_SO_MOI'!$C$22)+'THAM_SO_MOI'!$C$24*(E4345/'THAM_SO_MOI'!$C$22)^2-'THAM_SO_MOI'!$C$25*(E4345/'THAM_SO_MOI'!$C$22)^3)</f>
        <v>102.40487124180375</v>
      </c>
      <c r="K4345" s="75">
        <f>'THAM_SO_MOI'!$C$31*J4345/E4345</f>
        <v>429.5384440975648</v>
      </c>
      <c r="L4345" s="75">
        <f>K4345*'THAM_SO_MOI'!$C$53*'THAM_SO_MOI'!$C$17/'THAM_SO_MOI'!$C$26</f>
        <v>3767.0538355060694</v>
      </c>
      <c r="M4345" s="75">
        <f>'THAM_SO_MOI'!$C$15*'THAM_SO_MOI'!$C$16*F4345^2</f>
        <v>1562.3026611225366</v>
      </c>
      <c r="N4345" s="75">
        <f>'THAM_SO_MOI'!$C$12*I4345</f>
        <v>1532.5227088242762</v>
      </c>
      <c r="O4345" s="75">
        <f>M4345+N4345</f>
        <v>3094.8253699468128</v>
      </c>
      <c r="P4345" s="75">
        <f>(MIN(L4345,'THAM_SO_MOI'!$C$41)-O4345)/('THAM_SO_MOI'!$C$11*H4345)</f>
        <v>0.07957249829063173</v>
      </c>
      <c r="Q4345" s="75">
        <f>IF(P4345&gt;0,1/P4345,NA())</f>
        <v>12.567156008443844</v>
      </c>
      <c r="R4345" s="75">
        <f>F4345-F4344</f>
        <v>0.0035868055555532408</v>
      </c>
      <c r="S4345" s="75">
        <f>0.5*(Q4344+Q4345)*R4345</f>
        <v>0.04505440990465732</v>
      </c>
      <c r="T4345" s="75">
        <f>0.5*(F4344*Q4344+F4345*Q4345)*R4345</f>
        <v>1.041173895368666</v>
      </c>
      <c r="U4345" s="76">
        <f>U4344+S4345</f>
        <v>72.10392441534013</v>
      </c>
      <c r="V4345" s="76">
        <f>V4344+T4345</f>
        <v>1165.056379887029</v>
      </c>
    </row>
    <row r="4346" spans="1:22" ht="19" customHeight="1">
      <c r="A4346" s="68" t="s">
        <v>378</v>
      </c>
      <c r="B4346" s="74">
        <v>5</v>
      </c>
      <c r="C4346" s="68" t="s">
        <v>363</v>
      </c>
      <c r="D4346" s="68" t="s">
        <v>365</v>
      </c>
      <c r="E4346" s="75">
        <f>60*F4346*'THAM_SO_MOI'!$C$53/(2*PI()*'THAM_SO_MOI'!$C$26)</f>
        <v>2277.399868421052</v>
      </c>
      <c r="F4346" s="75">
        <f>'THAM_SO_MOI'!$C$14+('THAM_SO_MOI'!$C$37-'THAM_SO_MOI'!$C$14)*255/'THAM_SO_MOI'!$C$42</f>
        <v>23.114635416666665</v>
      </c>
      <c r="G4346" s="75">
        <f>3.6*F4346</f>
        <v>83.2126875</v>
      </c>
      <c r="H4346" s="75">
        <f>'THAM_SO_MOI'!$D$53</f>
        <v>1.1</v>
      </c>
      <c r="I4346" s="75">
        <f>IF(F4346&gt;='THAM_SO_MOI'!$C$14,'THAM_SO_MOI'!$C$13*(1+F4346^2/1500),'THAM_SO_MOI'!$C$13)</f>
        <v>0.020342863704454206</v>
      </c>
      <c r="J4346" s="75">
        <f>'THAM_SO_MOI'!$C$40*('THAM_SO_MOI'!$C$23*(E4346/'THAM_SO_MOI'!$C$22)+'THAM_SO_MOI'!$C$24*(E4346/'THAM_SO_MOI'!$C$22)^2-'THAM_SO_MOI'!$C$25*(E4346/'THAM_SO_MOI'!$C$22)^3)</f>
        <v>102.4198605556336</v>
      </c>
      <c r="K4346" s="75">
        <f>'THAM_SO_MOI'!$C$31*J4346/E4346</f>
        <v>429.5346537160193</v>
      </c>
      <c r="L4346" s="75">
        <f>K4346*'THAM_SO_MOI'!$C$53*'THAM_SO_MOI'!$C$17/'THAM_SO_MOI'!$C$26</f>
        <v>3767.020593845083</v>
      </c>
      <c r="M4346" s="75">
        <f>'THAM_SO_MOI'!$C$15*'THAM_SO_MOI'!$C$16*F4346^2</f>
        <v>1562.7876335528565</v>
      </c>
      <c r="N4346" s="75">
        <f>'THAM_SO_MOI'!$C$12*I4346</f>
        <v>1532.6476257845436</v>
      </c>
      <c r="O4346" s="75">
        <f>M4346+N4346</f>
        <v>3095.4352593374</v>
      </c>
      <c r="P4346" s="75">
        <f>(MIN(L4346,'THAM_SO_MOI'!$C$41)-O4346)/('THAM_SO_MOI'!$C$11*H4346)</f>
        <v>0.07949637008850412</v>
      </c>
      <c r="Q4346" s="75">
        <f>IF(P4346&gt;0,1/P4346,NA())</f>
        <v>12.579190708791984</v>
      </c>
      <c r="R4346" s="75">
        <f>F4346-F4345</f>
        <v>0.0035868055555567935</v>
      </c>
      <c r="S4346" s="75">
        <f>0.5*(Q4345+Q4346)*R4346</f>
        <v>0.04509752805366941</v>
      </c>
      <c r="T4346" s="75">
        <f>0.5*(F4345*Q4345+F4346*Q4346)*R4346</f>
        <v>1.0423320798285116</v>
      </c>
      <c r="U4346" s="76">
        <f>U4345+S4346</f>
        <v>72.1490219433938</v>
      </c>
      <c r="V4346" s="76">
        <f>V4345+T4346</f>
        <v>1166.0987119668575</v>
      </c>
    </row>
    <row r="4347" spans="1:22" ht="19" customHeight="1">
      <c r="A4347" s="68" t="s">
        <v>378</v>
      </c>
      <c r="B4347" s="74">
        <v>5</v>
      </c>
      <c r="C4347" s="68" t="s">
        <v>363</v>
      </c>
      <c r="D4347" s="68" t="s">
        <v>365</v>
      </c>
      <c r="E4347" s="75">
        <f>60*F4347*'THAM_SO_MOI'!$C$53/(2*PI()*'THAM_SO_MOI'!$C$26)</f>
        <v>2277.7532631578943</v>
      </c>
      <c r="F4347" s="75">
        <f>'THAM_SO_MOI'!$C$14+('THAM_SO_MOI'!$C$37-'THAM_SO_MOI'!$C$14)*256/'THAM_SO_MOI'!$C$42</f>
        <v>23.118222222222222</v>
      </c>
      <c r="G4347" s="75">
        <f>3.6*F4347</f>
        <v>83.2256</v>
      </c>
      <c r="H4347" s="75">
        <f>'THAM_SO_MOI'!$D$53</f>
        <v>1.1</v>
      </c>
      <c r="I4347" s="75">
        <f>IF(F4347&gt;='THAM_SO_MOI'!$C$14,'THAM_SO_MOI'!$C$13*(1+F4347^2/1500),'THAM_SO_MOI'!$C$13)</f>
        <v>0.020344521987160493</v>
      </c>
      <c r="J4347" s="75">
        <f>'THAM_SO_MOI'!$C$40*('THAM_SO_MOI'!$C$23*(E4347/'THAM_SO_MOI'!$C$22)+'THAM_SO_MOI'!$C$24*(E4347/'THAM_SO_MOI'!$C$22)^2-'THAM_SO_MOI'!$C$25*(E4347/'THAM_SO_MOI'!$C$22)^3)</f>
        <v>102.43484669954275</v>
      </c>
      <c r="K4347" s="75">
        <f>'THAM_SO_MOI'!$C$31*J4347/E4347</f>
        <v>429.5308512184894</v>
      </c>
      <c r="L4347" s="75">
        <f>K4347*'THAM_SO_MOI'!$C$53*'THAM_SO_MOI'!$C$17/'THAM_SO_MOI'!$C$26</f>
        <v>3766.987245926867</v>
      </c>
      <c r="M4347" s="75">
        <f>'THAM_SO_MOI'!$C$15*'THAM_SO_MOI'!$C$16*F4347^2</f>
        <v>1563.2726812444446</v>
      </c>
      <c r="N4347" s="75">
        <f>'THAM_SO_MOI'!$C$12*I4347</f>
        <v>1532.7725621302613</v>
      </c>
      <c r="O4347" s="75">
        <f>M4347+N4347</f>
        <v>3096.045243374706</v>
      </c>
      <c r="P4347" s="75">
        <f>(MIN(L4347,'THAM_SO_MOI'!$C$41)-O4347)/('THAM_SO_MOI'!$C$11*H4347)</f>
        <v>0.07942021810513275</v>
      </c>
      <c r="Q4347" s="75">
        <f>IF(P4347&gt;0,1/P4347,NA())</f>
        <v>12.59125225111126</v>
      </c>
      <c r="R4347" s="75">
        <f>F4347-F4346</f>
        <v>0.0035868055555567935</v>
      </c>
      <c r="S4347" s="75">
        <f>0.5*(Q4346+Q4347)*R4347</f>
        <v>0.04514074232220317</v>
      </c>
      <c r="T4347" s="75">
        <f>0.5*(F4346*Q4346+F4347*Q4347)*R4347</f>
        <v>1.0434927955415534</v>
      </c>
      <c r="U4347" s="76">
        <f>U4346+S4347</f>
        <v>72.19416268571601</v>
      </c>
      <c r="V4347" s="76">
        <f>V4346+T4347</f>
        <v>1167.1422047623992</v>
      </c>
    </row>
    <row r="4348" spans="1:22" ht="19" customHeight="1">
      <c r="A4348" s="68" t="s">
        <v>378</v>
      </c>
      <c r="B4348" s="74">
        <v>5</v>
      </c>
      <c r="C4348" s="68" t="s">
        <v>363</v>
      </c>
      <c r="D4348" s="68" t="s">
        <v>365</v>
      </c>
      <c r="E4348" s="75">
        <f>60*F4348*'THAM_SO_MOI'!$C$53/(2*PI()*'THAM_SO_MOI'!$C$26)</f>
        <v>2278.106657894736</v>
      </c>
      <c r="F4348" s="75">
        <f>'THAM_SO_MOI'!$C$14+('THAM_SO_MOI'!$C$37-'THAM_SO_MOI'!$C$14)*257/'THAM_SO_MOI'!$C$42</f>
        <v>23.121809027777775</v>
      </c>
      <c r="G4348" s="75">
        <f>3.6*F4348</f>
        <v>83.2385125</v>
      </c>
      <c r="H4348" s="75">
        <f>'THAM_SO_MOI'!$D$53</f>
        <v>1.1</v>
      </c>
      <c r="I4348" s="75">
        <f>IF(F4348&gt;='THAM_SO_MOI'!$C$14,'THAM_SO_MOI'!$C$13*(1+F4348^2/1500),'THAM_SO_MOI'!$C$13)</f>
        <v>0.020346180527170257</v>
      </c>
      <c r="J4348" s="75">
        <f>'THAM_SO_MOI'!$C$40*('THAM_SO_MOI'!$C$23*(E4348/'THAM_SO_MOI'!$C$22)+'THAM_SO_MOI'!$C$24*(E4348/'THAM_SO_MOI'!$C$22)^2-'THAM_SO_MOI'!$C$25*(E4348/'THAM_SO_MOI'!$C$22)^3)</f>
        <v>102.4498296721862</v>
      </c>
      <c r="K4348" s="75">
        <f>'THAM_SO_MOI'!$C$31*J4348/E4348</f>
        <v>429.5270366049749</v>
      </c>
      <c r="L4348" s="75">
        <f>K4348*'THAM_SO_MOI'!$C$53*'THAM_SO_MOI'!$C$17/'THAM_SO_MOI'!$C$26</f>
        <v>3766.9537917514185</v>
      </c>
      <c r="M4348" s="75">
        <f>'THAM_SO_MOI'!$C$15*'THAM_SO_MOI'!$C$16*F4348^2</f>
        <v>1563.7578041973006</v>
      </c>
      <c r="N4348" s="75">
        <f>'THAM_SO_MOI'!$C$12*I4348</f>
        <v>1532.897517861429</v>
      </c>
      <c r="O4348" s="75">
        <f>M4348+N4348</f>
        <v>3096.6553220587293</v>
      </c>
      <c r="P4348" s="75">
        <f>(MIN(L4348,'THAM_SO_MOI'!$C$41)-O4348)/('THAM_SO_MOI'!$C$11*H4348)</f>
        <v>0.07934404234051716</v>
      </c>
      <c r="Q4348" s="75">
        <f>IF(P4348&gt;0,1/P4348,NA())</f>
        <v>12.603340723533423</v>
      </c>
      <c r="R4348" s="75">
        <f>F4348-F4347</f>
        <v>0.0035868055555532408</v>
      </c>
      <c r="S4348" s="75">
        <f>0.5*(Q4347+Q4348)*R4348</f>
        <v>0.045184053025679106</v>
      </c>
      <c r="T4348" s="75">
        <f>0.5*(F4347*Q4347+F4348*Q4348)*R4348</f>
        <v>1.044656050834605</v>
      </c>
      <c r="U4348" s="76">
        <f>U4347+S4348</f>
        <v>72.23934673874169</v>
      </c>
      <c r="V4348" s="76">
        <f>V4347+T4348</f>
        <v>1168.1868608132338</v>
      </c>
    </row>
    <row r="4349" spans="1:22" ht="19" customHeight="1">
      <c r="A4349" s="68" t="s">
        <v>378</v>
      </c>
      <c r="B4349" s="74">
        <v>5</v>
      </c>
      <c r="C4349" s="68" t="s">
        <v>363</v>
      </c>
      <c r="D4349" s="68" t="s">
        <v>365</v>
      </c>
      <c r="E4349" s="75">
        <f>60*F4349*'THAM_SO_MOI'!$C$53/(2*PI()*'THAM_SO_MOI'!$C$26)</f>
        <v>2278.460052631578</v>
      </c>
      <c r="F4349" s="75">
        <f>'THAM_SO_MOI'!$C$14+('THAM_SO_MOI'!$C$37-'THAM_SO_MOI'!$C$14)*258/'THAM_SO_MOI'!$C$42</f>
        <v>23.125395833333332</v>
      </c>
      <c r="G4349" s="75">
        <f>3.6*F4349</f>
        <v>83.251425</v>
      </c>
      <c r="H4349" s="75">
        <f>'THAM_SO_MOI'!$D$53</f>
        <v>1.1</v>
      </c>
      <c r="I4349" s="75">
        <f>IF(F4349&gt;='THAM_SO_MOI'!$C$14,'THAM_SO_MOI'!$C$13*(1+F4349^2/1500),'THAM_SO_MOI'!$C$13)</f>
        <v>0.020347839324483506</v>
      </c>
      <c r="J4349" s="75">
        <f>'THAM_SO_MOI'!$C$40*('THAM_SO_MOI'!$C$23*(E4349/'THAM_SO_MOI'!$C$22)+'THAM_SO_MOI'!$C$24*(E4349/'THAM_SO_MOI'!$C$22)^2-'THAM_SO_MOI'!$C$25*(E4349/'THAM_SO_MOI'!$C$22)^3)</f>
        <v>102.46480947221913</v>
      </c>
      <c r="K4349" s="75">
        <f>'THAM_SO_MOI'!$C$31*J4349/E4349</f>
        <v>429.523209875476</v>
      </c>
      <c r="L4349" s="75">
        <f>K4349*'THAM_SO_MOI'!$C$53*'THAM_SO_MOI'!$C$17/'THAM_SO_MOI'!$C$26</f>
        <v>3766.9202313187398</v>
      </c>
      <c r="M4349" s="75">
        <f>'THAM_SO_MOI'!$C$15*'THAM_SO_MOI'!$C$16*F4349^2</f>
        <v>1564.2430024114256</v>
      </c>
      <c r="N4349" s="75">
        <f>'THAM_SO_MOI'!$C$12*I4349</f>
        <v>1533.022492978047</v>
      </c>
      <c r="O4349" s="75">
        <f>M4349+N4349</f>
        <v>3097.2654953894726</v>
      </c>
      <c r="P4349" s="75">
        <f>(MIN(L4349,'THAM_SO_MOI'!$C$41)-O4349)/('THAM_SO_MOI'!$C$11*H4349)</f>
        <v>0.07926784279465758</v>
      </c>
      <c r="Q4349" s="75">
        <f>IF(P4349&gt;0,1/P4349,NA())</f>
        <v>12.615456214577307</v>
      </c>
      <c r="R4349" s="75">
        <f>F4349-F4348</f>
        <v>0.0035868055555567935</v>
      </c>
      <c r="S4349" s="75">
        <f>0.5*(Q4348+Q4349)*R4349</f>
        <v>0.0452274604810371</v>
      </c>
      <c r="T4349" s="75">
        <f>0.5*(F4348*Q4348+F4349*Q4349)*R4349</f>
        <v>1.0458218540741402</v>
      </c>
      <c r="U4349" s="76">
        <f>U4348+S4349</f>
        <v>72.28457419922273</v>
      </c>
      <c r="V4349" s="76">
        <f>V4348+T4349</f>
        <v>1169.232682667308</v>
      </c>
    </row>
    <row r="4350" spans="1:22" ht="19" customHeight="1">
      <c r="A4350" s="68" t="s">
        <v>378</v>
      </c>
      <c r="B4350" s="74">
        <v>5</v>
      </c>
      <c r="C4350" s="68" t="s">
        <v>363</v>
      </c>
      <c r="D4350" s="68" t="s">
        <v>365</v>
      </c>
      <c r="E4350" s="75">
        <f>60*F4350*'THAM_SO_MOI'!$C$53/(2*PI()*'THAM_SO_MOI'!$C$26)</f>
        <v>2278.813447368421</v>
      </c>
      <c r="F4350" s="75">
        <f>'THAM_SO_MOI'!$C$14+('THAM_SO_MOI'!$C$37-'THAM_SO_MOI'!$C$14)*259/'THAM_SO_MOI'!$C$42</f>
        <v>23.12898263888889</v>
      </c>
      <c r="G4350" s="75">
        <f>3.6*F4350</f>
        <v>83.2643375</v>
      </c>
      <c r="H4350" s="75">
        <f>'THAM_SO_MOI'!$D$53</f>
        <v>1.1</v>
      </c>
      <c r="I4350" s="75">
        <f>IF(F4350&gt;='THAM_SO_MOI'!$C$14,'THAM_SO_MOI'!$C$13*(1+F4350^2/1500),'THAM_SO_MOI'!$C$13)</f>
        <v>0.020349498379100234</v>
      </c>
      <c r="J4350" s="75">
        <f>'THAM_SO_MOI'!$C$40*('THAM_SO_MOI'!$C$23*(E4350/'THAM_SO_MOI'!$C$22)+'THAM_SO_MOI'!$C$24*(E4350/'THAM_SO_MOI'!$C$22)^2-'THAM_SO_MOI'!$C$25*(E4350/'THAM_SO_MOI'!$C$22)^3)</f>
        <v>102.4797860982967</v>
      </c>
      <c r="K4350" s="75">
        <f>'THAM_SO_MOI'!$C$31*J4350/E4350</f>
        <v>429.5193710299927</v>
      </c>
      <c r="L4350" s="75">
        <f>K4350*'THAM_SO_MOI'!$C$53*'THAM_SO_MOI'!$C$17/'THAM_SO_MOI'!$C$26</f>
        <v>3766.88656462883</v>
      </c>
      <c r="M4350" s="75">
        <f>'THAM_SO_MOI'!$C$15*'THAM_SO_MOI'!$C$16*F4350^2</f>
        <v>1564.7282758868193</v>
      </c>
      <c r="N4350" s="75">
        <f>'THAM_SO_MOI'!$C$12*I4350</f>
        <v>1533.147487480115</v>
      </c>
      <c r="O4350" s="75">
        <f>M4350+N4350</f>
        <v>3097.8757633669343</v>
      </c>
      <c r="P4350" s="75">
        <f>(MIN(L4350,'THAM_SO_MOI'!$C$41)-O4350)/('THAM_SO_MOI'!$C$11*H4350)</f>
        <v>0.07919161946755397</v>
      </c>
      <c r="Q4350" s="75">
        <f>IF(P4350&gt;0,1/P4350,NA())</f>
        <v>12.627598813151124</v>
      </c>
      <c r="R4350" s="75">
        <f>F4350-F4349</f>
        <v>0.0035868055555567935</v>
      </c>
      <c r="S4350" s="75">
        <f>0.5*(Q4349+Q4350)*R4350</f>
        <v>0.04527096500634109</v>
      </c>
      <c r="T4350" s="75">
        <f>0.5*(F4349*Q4349+F4350*Q4350)*R4350</f>
        <v>1.0469902136571756</v>
      </c>
      <c r="U4350" s="76">
        <f>U4349+S4350</f>
        <v>72.32984516422907</v>
      </c>
      <c r="V4350" s="76">
        <f>V4349+T4350</f>
        <v>1170.279672880965</v>
      </c>
    </row>
    <row r="4351" spans="1:22" ht="19" customHeight="1">
      <c r="A4351" s="68" t="s">
        <v>378</v>
      </c>
      <c r="B4351" s="74">
        <v>5</v>
      </c>
      <c r="C4351" s="68" t="s">
        <v>363</v>
      </c>
      <c r="D4351" s="68" t="s">
        <v>365</v>
      </c>
      <c r="E4351" s="75">
        <f>60*F4351*'THAM_SO_MOI'!$C$53/(2*PI()*'THAM_SO_MOI'!$C$26)</f>
        <v>2279.1668421052623</v>
      </c>
      <c r="F4351" s="75">
        <f>'THAM_SO_MOI'!$C$14+('THAM_SO_MOI'!$C$37-'THAM_SO_MOI'!$C$14)*260/'THAM_SO_MOI'!$C$42</f>
        <v>23.132569444444442</v>
      </c>
      <c r="G4351" s="75">
        <f>3.6*F4351</f>
        <v>83.27725</v>
      </c>
      <c r="H4351" s="75">
        <f>'THAM_SO_MOI'!$D$53</f>
        <v>1.1</v>
      </c>
      <c r="I4351" s="75">
        <f>IF(F4351&gt;='THAM_SO_MOI'!$C$14,'THAM_SO_MOI'!$C$13*(1+F4351^2/1500),'THAM_SO_MOI'!$C$13)</f>
        <v>0.020351157691020444</v>
      </c>
      <c r="J4351" s="75">
        <f>'THAM_SO_MOI'!$C$40*('THAM_SO_MOI'!$C$23*(E4351/'THAM_SO_MOI'!$C$22)+'THAM_SO_MOI'!$C$24*(E4351/'THAM_SO_MOI'!$C$22)^2-'THAM_SO_MOI'!$C$25*(E4351/'THAM_SO_MOI'!$C$22)^3)</f>
        <v>102.49475954907388</v>
      </c>
      <c r="K4351" s="75">
        <f>'THAM_SO_MOI'!$C$31*J4351/E4351</f>
        <v>429.5155200685249</v>
      </c>
      <c r="L4351" s="75">
        <f>K4351*'THAM_SO_MOI'!$C$53*'THAM_SO_MOI'!$C$17/'THAM_SO_MOI'!$C$26</f>
        <v>3766.8527916816884</v>
      </c>
      <c r="M4351" s="75">
        <f>'THAM_SO_MOI'!$C$15*'THAM_SO_MOI'!$C$16*F4351^2</f>
        <v>1565.2136246234809</v>
      </c>
      <c r="N4351" s="75">
        <f>'THAM_SO_MOI'!$C$12*I4351</f>
        <v>1533.2725013676331</v>
      </c>
      <c r="O4351" s="75">
        <f>M4351+N4351</f>
        <v>3098.486125991114</v>
      </c>
      <c r="P4351" s="75">
        <f>(MIN(L4351,'THAM_SO_MOI'!$C$41)-O4351)/('THAM_SO_MOI'!$C$11*H4351)</f>
        <v>0.07911537235920624</v>
      </c>
      <c r="Q4351" s="75">
        <f>IF(P4351&gt;0,1/P4351,NA())</f>
        <v>12.639768608554558</v>
      </c>
      <c r="R4351" s="75">
        <f>F4351-F4350</f>
        <v>0.0035868055555532408</v>
      </c>
      <c r="S4351" s="75">
        <f>0.5*(Q4350+Q4351)*R4351</f>
        <v>0.04531456692118945</v>
      </c>
      <c r="T4351" s="75">
        <f>0.5*(F4350*Q4350+F4351*Q4351)*R4351</f>
        <v>1.0481611380207838</v>
      </c>
      <c r="U4351" s="76">
        <f>U4350+S4351</f>
        <v>72.37515973115026</v>
      </c>
      <c r="V4351" s="76">
        <f>V4350+T4351</f>
        <v>1171.3278340189859</v>
      </c>
    </row>
    <row r="4352" spans="1:22" ht="19" customHeight="1">
      <c r="A4352" s="68" t="s">
        <v>378</v>
      </c>
      <c r="B4352" s="74">
        <v>5</v>
      </c>
      <c r="C4352" s="68" t="s">
        <v>363</v>
      </c>
      <c r="D4352" s="68" t="s">
        <v>365</v>
      </c>
      <c r="E4352" s="75">
        <f>60*F4352*'THAM_SO_MOI'!$C$53/(2*PI()*'THAM_SO_MOI'!$C$26)</f>
        <v>2279.5202368421046</v>
      </c>
      <c r="F4352" s="75">
        <f>'THAM_SO_MOI'!$C$14+('THAM_SO_MOI'!$C$37-'THAM_SO_MOI'!$C$14)*261/'THAM_SO_MOI'!$C$42</f>
        <v>23.13615625</v>
      </c>
      <c r="G4352" s="75">
        <f>3.6*F4352</f>
        <v>83.2901625</v>
      </c>
      <c r="H4352" s="75">
        <f>'THAM_SO_MOI'!$D$53</f>
        <v>1.1</v>
      </c>
      <c r="I4352" s="75">
        <f>IF(F4352&gt;='THAM_SO_MOI'!$C$14,'THAM_SO_MOI'!$C$13*(1+F4352^2/1500),'THAM_SO_MOI'!$C$13)</f>
        <v>0.02035281726024414</v>
      </c>
      <c r="J4352" s="75">
        <f>'THAM_SO_MOI'!$C$40*('THAM_SO_MOI'!$C$23*(E4352/'THAM_SO_MOI'!$C$22)+'THAM_SO_MOI'!$C$24*(E4352/'THAM_SO_MOI'!$C$22)^2-'THAM_SO_MOI'!$C$25*(E4352/'THAM_SO_MOI'!$C$22)^3)</f>
        <v>102.50972982320589</v>
      </c>
      <c r="K4352" s="75">
        <f>'THAM_SO_MOI'!$C$31*J4352/E4352</f>
        <v>429.5116569910725</v>
      </c>
      <c r="L4352" s="75">
        <f>K4352*'THAM_SO_MOI'!$C$53*'THAM_SO_MOI'!$C$17/'THAM_SO_MOI'!$C$26</f>
        <v>3766.818912477315</v>
      </c>
      <c r="M4352" s="75">
        <f>'THAM_SO_MOI'!$C$15*'THAM_SO_MOI'!$C$16*F4352^2</f>
        <v>1565.699048621411</v>
      </c>
      <c r="N4352" s="75">
        <f>'THAM_SO_MOI'!$C$12*I4352</f>
        <v>1533.3975346406019</v>
      </c>
      <c r="O4352" s="75">
        <f>M4352+N4352</f>
        <v>3099.096583262013</v>
      </c>
      <c r="P4352" s="75">
        <f>(MIN(L4352,'THAM_SO_MOI'!$C$41)-O4352)/('THAM_SO_MOI'!$C$11*H4352)</f>
        <v>0.0790391014696143</v>
      </c>
      <c r="Q4352" s="75">
        <f>IF(P4352&gt;0,1/P4352,NA())</f>
        <v>12.651965690480917</v>
      </c>
      <c r="R4352" s="75">
        <f>F4352-F4351</f>
        <v>0.0035868055555567935</v>
      </c>
      <c r="S4352" s="75">
        <f>0.5*(Q4351+Q4352)*R4352</f>
        <v>0.045358266546723376</v>
      </c>
      <c r="T4352" s="75">
        <f>0.5*(F4351*Q4351+F4352*Q4352)*R4352</f>
        <v>1.0493346356423154</v>
      </c>
      <c r="U4352" s="76">
        <f>U4351+S4352</f>
        <v>72.42051799769699</v>
      </c>
      <c r="V4352" s="76">
        <f>V4351+T4352</f>
        <v>1172.3771686546281</v>
      </c>
    </row>
    <row r="4353" spans="1:22" ht="19" customHeight="1">
      <c r="A4353" s="68" t="s">
        <v>378</v>
      </c>
      <c r="B4353" s="74">
        <v>5</v>
      </c>
      <c r="C4353" s="68" t="s">
        <v>363</v>
      </c>
      <c r="D4353" s="68" t="s">
        <v>365</v>
      </c>
      <c r="E4353" s="75">
        <f>60*F4353*'THAM_SO_MOI'!$C$53/(2*PI()*'THAM_SO_MOI'!$C$26)</f>
        <v>2279.873631578947</v>
      </c>
      <c r="F4353" s="75">
        <f>'THAM_SO_MOI'!$C$14+('THAM_SO_MOI'!$C$37-'THAM_SO_MOI'!$C$14)*262/'THAM_SO_MOI'!$C$42</f>
        <v>23.139743055555556</v>
      </c>
      <c r="G4353" s="75">
        <f>3.6*F4353</f>
        <v>83.303075</v>
      </c>
      <c r="H4353" s="75">
        <f>'THAM_SO_MOI'!$D$53</f>
        <v>1.1</v>
      </c>
      <c r="I4353" s="75">
        <f>IF(F4353&gt;='THAM_SO_MOI'!$C$14,'THAM_SO_MOI'!$C$13*(1+F4353^2/1500),'THAM_SO_MOI'!$C$13)</f>
        <v>0.020354477086771315</v>
      </c>
      <c r="J4353" s="75">
        <f>'THAM_SO_MOI'!$C$40*('THAM_SO_MOI'!$C$23*(E4353/'THAM_SO_MOI'!$C$22)+'THAM_SO_MOI'!$C$24*(E4353/'THAM_SO_MOI'!$C$22)^2-'THAM_SO_MOI'!$C$25*(E4353/'THAM_SO_MOI'!$C$22)^3)</f>
        <v>102.5246969193478</v>
      </c>
      <c r="K4353" s="75">
        <f>'THAM_SO_MOI'!$C$31*J4353/E4353</f>
        <v>429.5077817976357</v>
      </c>
      <c r="L4353" s="75">
        <f>K4353*'THAM_SO_MOI'!$C$53*'THAM_SO_MOI'!$C$17/'THAM_SO_MOI'!$C$26</f>
        <v>3766.7849270157108</v>
      </c>
      <c r="M4353" s="75">
        <f>'THAM_SO_MOI'!$C$15*'THAM_SO_MOI'!$C$16*F4353^2</f>
        <v>1566.18454788061</v>
      </c>
      <c r="N4353" s="75">
        <f>'THAM_SO_MOI'!$C$12*I4353</f>
        <v>1533.5225872990204</v>
      </c>
      <c r="O4353" s="75">
        <f>M4353+N4353</f>
        <v>3099.7071351796303</v>
      </c>
      <c r="P4353" s="75">
        <f>(MIN(L4353,'THAM_SO_MOI'!$C$41)-O4353)/('THAM_SO_MOI'!$C$11*H4353)</f>
        <v>0.07896280679877846</v>
      </c>
      <c r="Q4353" s="75">
        <f>IF(P4353&gt;0,1/P4353,NA())</f>
        <v>12.664190149019245</v>
      </c>
      <c r="R4353" s="75">
        <f>F4353-F4352</f>
        <v>0.0035868055555567935</v>
      </c>
      <c r="S4353" s="75">
        <f>0.5*(Q4352+Q4353)*R4353</f>
        <v>0.04540206420523037</v>
      </c>
      <c r="T4353" s="75">
        <f>0.5*(F4352*Q4352+F4353*Q4353)*R4353</f>
        <v>1.050510715030251</v>
      </c>
      <c r="U4353" s="76">
        <f>U4352+S4353</f>
        <v>72.46592006190222</v>
      </c>
      <c r="V4353" s="76">
        <f>V4352+T4353</f>
        <v>1173.4276793696583</v>
      </c>
    </row>
    <row r="4354" spans="1:22" ht="19" customHeight="1">
      <c r="A4354" s="68" t="s">
        <v>378</v>
      </c>
      <c r="B4354" s="74">
        <v>5</v>
      </c>
      <c r="C4354" s="68" t="s">
        <v>363</v>
      </c>
      <c r="D4354" s="68" t="s">
        <v>365</v>
      </c>
      <c r="E4354" s="75">
        <f>60*F4354*'THAM_SO_MOI'!$C$53/(2*PI()*'THAM_SO_MOI'!$C$26)</f>
        <v>2280.227026315789</v>
      </c>
      <c r="F4354" s="75">
        <f>'THAM_SO_MOI'!$C$14+('THAM_SO_MOI'!$C$37-'THAM_SO_MOI'!$C$14)*263/'THAM_SO_MOI'!$C$42</f>
        <v>23.14332986111111</v>
      </c>
      <c r="G4354" s="75">
        <f>3.6*F4354</f>
        <v>83.31598749999999</v>
      </c>
      <c r="H4354" s="75">
        <f>'THAM_SO_MOI'!$D$53</f>
        <v>1.1</v>
      </c>
      <c r="I4354" s="75">
        <f>IF(F4354&gt;='THAM_SO_MOI'!$C$14,'THAM_SO_MOI'!$C$13*(1+F4354^2/1500),'THAM_SO_MOI'!$C$13)</f>
        <v>0.020356137170601973</v>
      </c>
      <c r="J4354" s="75">
        <f>'THAM_SO_MOI'!$C$40*('THAM_SO_MOI'!$C$23*(E4354/'THAM_SO_MOI'!$C$22)+'THAM_SO_MOI'!$C$24*(E4354/'THAM_SO_MOI'!$C$22)^2-'THAM_SO_MOI'!$C$25*(E4354/'THAM_SO_MOI'!$C$22)^3)</f>
        <v>102.53966083615477</v>
      </c>
      <c r="K4354" s="75">
        <f>'THAM_SO_MOI'!$C$31*J4354/E4354</f>
        <v>429.5038944882146</v>
      </c>
      <c r="L4354" s="75">
        <f>K4354*'THAM_SO_MOI'!$C$53*'THAM_SO_MOI'!$C$17/'THAM_SO_MOI'!$C$26</f>
        <v>3766.750835296876</v>
      </c>
      <c r="M4354" s="75">
        <f>'THAM_SO_MOI'!$C$15*'THAM_SO_MOI'!$C$16*F4354^2</f>
        <v>1566.6701224010767</v>
      </c>
      <c r="N4354" s="75">
        <f>'THAM_SO_MOI'!$C$12*I4354</f>
        <v>1533.6476593428893</v>
      </c>
      <c r="O4354" s="75">
        <f>M4354+N4354</f>
        <v>3100.317781743966</v>
      </c>
      <c r="P4354" s="75">
        <f>(MIN(L4354,'THAM_SO_MOI'!$C$41)-O4354)/('THAM_SO_MOI'!$C$11*H4354)</f>
        <v>0.07888648834669865</v>
      </c>
      <c r="Q4354" s="75">
        <f>IF(P4354&gt;0,1/P4354,NA())</f>
        <v>12.676442074656622</v>
      </c>
      <c r="R4354" s="75">
        <f>F4354-F4353</f>
        <v>0.0035868055555532408</v>
      </c>
      <c r="S4354" s="75">
        <f>0.5*(Q4353+Q4354)*R4354</f>
        <v>0.04544596022055604</v>
      </c>
      <c r="T4354" s="75">
        <f>0.5*(F4353*Q4353+F4354*Q4354)*R4354</f>
        <v>1.051689384733753</v>
      </c>
      <c r="U4354" s="76">
        <f>U4353+S4354</f>
        <v>72.51136602212279</v>
      </c>
      <c r="V4354" s="76">
        <f>V4353+T4354</f>
        <v>1174.479368754392</v>
      </c>
    </row>
    <row r="4355" spans="1:22" ht="19" customHeight="1">
      <c r="A4355" s="68" t="s">
        <v>378</v>
      </c>
      <c r="B4355" s="74">
        <v>5</v>
      </c>
      <c r="C4355" s="68" t="s">
        <v>363</v>
      </c>
      <c r="D4355" s="68" t="s">
        <v>365</v>
      </c>
      <c r="E4355" s="75">
        <f>60*F4355*'THAM_SO_MOI'!$C$53/(2*PI()*'THAM_SO_MOI'!$C$26)</f>
        <v>2280.580421052631</v>
      </c>
      <c r="F4355" s="75">
        <f>'THAM_SO_MOI'!$C$14+('THAM_SO_MOI'!$C$37-'THAM_SO_MOI'!$C$14)*264/'THAM_SO_MOI'!$C$42</f>
        <v>23.146916666666666</v>
      </c>
      <c r="G4355" s="75">
        <f>3.6*F4355</f>
        <v>83.3289</v>
      </c>
      <c r="H4355" s="75">
        <f>'THAM_SO_MOI'!$D$53</f>
        <v>1.1</v>
      </c>
      <c r="I4355" s="75">
        <f>IF(F4355&gt;='THAM_SO_MOI'!$C$14,'THAM_SO_MOI'!$C$13*(1+F4355^2/1500),'THAM_SO_MOI'!$C$13)</f>
        <v>0.02035779751173611</v>
      </c>
      <c r="J4355" s="75">
        <f>'THAM_SO_MOI'!$C$40*('THAM_SO_MOI'!$C$23*(E4355/'THAM_SO_MOI'!$C$22)+'THAM_SO_MOI'!$C$24*(E4355/'THAM_SO_MOI'!$C$22)^2-'THAM_SO_MOI'!$C$25*(E4355/'THAM_SO_MOI'!$C$22)^3)</f>
        <v>102.55462157228185</v>
      </c>
      <c r="K4355" s="75">
        <f>'THAM_SO_MOI'!$C$31*J4355/E4355</f>
        <v>429.4999950628089</v>
      </c>
      <c r="L4355" s="75">
        <f>K4355*'THAM_SO_MOI'!$C$53*'THAM_SO_MOI'!$C$17/'THAM_SO_MOI'!$C$26</f>
        <v>3766.71663732081</v>
      </c>
      <c r="M4355" s="75">
        <f>'THAM_SO_MOI'!$C$15*'THAM_SO_MOI'!$C$16*F4355^2</f>
        <v>1567.1557721828126</v>
      </c>
      <c r="N4355" s="75">
        <f>'THAM_SO_MOI'!$C$12*I4355</f>
        <v>1533.772750772208</v>
      </c>
      <c r="O4355" s="75">
        <f>M4355+N4355</f>
        <v>3100.9285229550205</v>
      </c>
      <c r="P4355" s="75">
        <f>(MIN(L4355,'THAM_SO_MOI'!$C$41)-O4355)/('THAM_SO_MOI'!$C$11*H4355)</f>
        <v>0.07881014611337472</v>
      </c>
      <c r="Q4355" s="75">
        <f>IF(P4355&gt;0,1/P4355,NA())</f>
        <v>12.688721558280323</v>
      </c>
      <c r="R4355" s="75">
        <f>F4355-F4354</f>
        <v>0.0035868055555567935</v>
      </c>
      <c r="S4355" s="75">
        <f>0.5*(Q4354+Q4355)*R4355</f>
        <v>0.04548995491811268</v>
      </c>
      <c r="T4355" s="75">
        <f>0.5*(F4354*Q4354+F4355*Q4355)*R4355</f>
        <v>1.0528706533428902</v>
      </c>
      <c r="U4355" s="76">
        <f>U4354+S4355</f>
        <v>72.5568559770409</v>
      </c>
      <c r="V4355" s="76">
        <f>V4354+T4355</f>
        <v>1175.5322394077348</v>
      </c>
    </row>
    <row r="4356" spans="1:22" ht="19" customHeight="1">
      <c r="A4356" s="68" t="s">
        <v>378</v>
      </c>
      <c r="B4356" s="74">
        <v>5</v>
      </c>
      <c r="C4356" s="68" t="s">
        <v>363</v>
      </c>
      <c r="D4356" s="68" t="s">
        <v>365</v>
      </c>
      <c r="E4356" s="75">
        <f>60*F4356*'THAM_SO_MOI'!$C$53/(2*PI()*'THAM_SO_MOI'!$C$26)</f>
        <v>2280.933815789473</v>
      </c>
      <c r="F4356" s="75">
        <f>'THAM_SO_MOI'!$C$14+('THAM_SO_MOI'!$C$37-'THAM_SO_MOI'!$C$14)*265/'THAM_SO_MOI'!$C$42</f>
        <v>23.150503472222223</v>
      </c>
      <c r="G4356" s="75">
        <f>3.6*F4356</f>
        <v>83.3418125</v>
      </c>
      <c r="H4356" s="75">
        <f>'THAM_SO_MOI'!$D$53</f>
        <v>1.1</v>
      </c>
      <c r="I4356" s="75">
        <f>IF(F4356&gt;='THAM_SO_MOI'!$C$14,'THAM_SO_MOI'!$C$13*(1+F4356^2/1500),'THAM_SO_MOI'!$C$13)</f>
        <v>0.02035945811017373</v>
      </c>
      <c r="J4356" s="75">
        <f>'THAM_SO_MOI'!$C$40*('THAM_SO_MOI'!$C$23*(E4356/'THAM_SO_MOI'!$C$22)+'THAM_SO_MOI'!$C$24*(E4356/'THAM_SO_MOI'!$C$22)^2-'THAM_SO_MOI'!$C$25*(E4356/'THAM_SO_MOI'!$C$22)^3)</f>
        <v>102.56957912638418</v>
      </c>
      <c r="K4356" s="75">
        <f>'THAM_SO_MOI'!$C$31*J4356/E4356</f>
        <v>429.4960835214189</v>
      </c>
      <c r="L4356" s="75">
        <f>K4356*'THAM_SO_MOI'!$C$53*'THAM_SO_MOI'!$C$17/'THAM_SO_MOI'!$C$26</f>
        <v>3766.6823330875136</v>
      </c>
      <c r="M4356" s="75">
        <f>'THAM_SO_MOI'!$C$15*'THAM_SO_MOI'!$C$16*F4356^2</f>
        <v>1567.6414972258167</v>
      </c>
      <c r="N4356" s="75">
        <f>'THAM_SO_MOI'!$C$12*I4356</f>
        <v>1533.8978615869771</v>
      </c>
      <c r="O4356" s="75">
        <f>M4356+N4356</f>
        <v>3101.5393588127936</v>
      </c>
      <c r="P4356" s="75">
        <f>(MIN(L4356,'THAM_SO_MOI'!$C$41)-O4356)/('THAM_SO_MOI'!$C$11*H4356)</f>
        <v>0.0787337800988068</v>
      </c>
      <c r="Q4356" s="75">
        <f>IF(P4356&gt;0,1/P4356,NA())</f>
        <v>12.701028691179975</v>
      </c>
      <c r="R4356" s="75">
        <f>F4356-F4355</f>
        <v>0.0035868055555567935</v>
      </c>
      <c r="S4356" s="75">
        <f>0.5*(Q4355+Q4356)*R4356</f>
        <v>0.04553404862448184</v>
      </c>
      <c r="T4356" s="75">
        <f>0.5*(F4355*Q4355+F4356*Q4356)*R4356</f>
        <v>1.0540545294794677</v>
      </c>
      <c r="U4356" s="76">
        <f>U4355+S4356</f>
        <v>72.60239002566537</v>
      </c>
      <c r="V4356" s="76">
        <f>V4355+T4356</f>
        <v>1176.5862939372144</v>
      </c>
    </row>
    <row r="4357" spans="1:22" ht="19" customHeight="1">
      <c r="A4357" s="68" t="s">
        <v>378</v>
      </c>
      <c r="B4357" s="74">
        <v>5</v>
      </c>
      <c r="C4357" s="68" t="s">
        <v>363</v>
      </c>
      <c r="D4357" s="68" t="s">
        <v>365</v>
      </c>
      <c r="E4357" s="75">
        <f>60*F4357*'THAM_SO_MOI'!$C$53/(2*PI()*'THAM_SO_MOI'!$C$26)</f>
        <v>2281.2872105263154</v>
      </c>
      <c r="F4357" s="75">
        <f>'THAM_SO_MOI'!$C$14+('THAM_SO_MOI'!$C$37-'THAM_SO_MOI'!$C$14)*266/'THAM_SO_MOI'!$C$42</f>
        <v>23.154090277777776</v>
      </c>
      <c r="G4357" s="75">
        <f>3.6*F4357</f>
        <v>83.354725</v>
      </c>
      <c r="H4357" s="75">
        <f>'THAM_SO_MOI'!$D$53</f>
        <v>1.1</v>
      </c>
      <c r="I4357" s="75">
        <f>IF(F4357&gt;='THAM_SO_MOI'!$C$14,'THAM_SO_MOI'!$C$13*(1+F4357^2/1500),'THAM_SO_MOI'!$C$13)</f>
        <v>0.02036111896591483</v>
      </c>
      <c r="J4357" s="75">
        <f>'THAM_SO_MOI'!$C$40*('THAM_SO_MOI'!$C$23*(E4357/'THAM_SO_MOI'!$C$22)+'THAM_SO_MOI'!$C$24*(E4357/'THAM_SO_MOI'!$C$22)^2-'THAM_SO_MOI'!$C$25*(E4357/'THAM_SO_MOI'!$C$22)^3)</f>
        <v>102.58453349711684</v>
      </c>
      <c r="K4357" s="75">
        <f>'THAM_SO_MOI'!$C$31*J4357/E4357</f>
        <v>429.49215986404414</v>
      </c>
      <c r="L4357" s="75">
        <f>K4357*'THAM_SO_MOI'!$C$53*'THAM_SO_MOI'!$C$17/'THAM_SO_MOI'!$C$26</f>
        <v>3766.6479225969842</v>
      </c>
      <c r="M4357" s="75">
        <f>'THAM_SO_MOI'!$C$15*'THAM_SO_MOI'!$C$16*F4357^2</f>
        <v>1568.127297530089</v>
      </c>
      <c r="N4357" s="75">
        <f>'THAM_SO_MOI'!$C$12*I4357</f>
        <v>1534.0229917871961</v>
      </c>
      <c r="O4357" s="75">
        <f>M4357+N4357</f>
        <v>3102.150289317285</v>
      </c>
      <c r="P4357" s="75">
        <f>(MIN(L4357,'THAM_SO_MOI'!$C$41)-O4357)/('THAM_SO_MOI'!$C$11*H4357)</f>
        <v>0.07865739030299469</v>
      </c>
      <c r="Q4357" s="75">
        <f>IF(P4357&gt;0,1/P4357,NA())</f>
        <v>12.713363565049875</v>
      </c>
      <c r="R4357" s="75">
        <f>F4357-F4356</f>
        <v>0.0035868055555532408</v>
      </c>
      <c r="S4357" s="75">
        <f>0.5*(Q4356+Q4357)*R4357</f>
        <v>0.04557824166782724</v>
      </c>
      <c r="T4357" s="75">
        <f>0.5*(F4356*Q4356+F4357*Q4357)*R4357</f>
        <v>1.0552410218066062</v>
      </c>
      <c r="U4357" s="76">
        <f>U4356+S4357</f>
        <v>72.6479682673332</v>
      </c>
      <c r="V4357" s="76">
        <f>V4356+T4357</f>
        <v>1177.6415349590209</v>
      </c>
    </row>
    <row r="4358" spans="1:22" ht="19" customHeight="1">
      <c r="A4358" s="68" t="s">
        <v>378</v>
      </c>
      <c r="B4358" s="74">
        <v>5</v>
      </c>
      <c r="C4358" s="68" t="s">
        <v>363</v>
      </c>
      <c r="D4358" s="68" t="s">
        <v>365</v>
      </c>
      <c r="E4358" s="75">
        <f>60*F4358*'THAM_SO_MOI'!$C$53/(2*PI()*'THAM_SO_MOI'!$C$26)</f>
        <v>2281.6406052631573</v>
      </c>
      <c r="F4358" s="75">
        <f>'THAM_SO_MOI'!$C$14+('THAM_SO_MOI'!$C$37-'THAM_SO_MOI'!$C$14)*267/'THAM_SO_MOI'!$C$42</f>
        <v>23.157677083333333</v>
      </c>
      <c r="G4358" s="75">
        <f>3.6*F4358</f>
        <v>83.3676375</v>
      </c>
      <c r="H4358" s="75">
        <f>'THAM_SO_MOI'!$D$53</f>
        <v>1.1</v>
      </c>
      <c r="I4358" s="75">
        <f>IF(F4358&gt;='THAM_SO_MOI'!$C$14,'THAM_SO_MOI'!$C$13*(1+F4358^2/1500),'THAM_SO_MOI'!$C$13)</f>
        <v>0.020362780078959416</v>
      </c>
      <c r="J4358" s="75">
        <f>'THAM_SO_MOI'!$C$40*('THAM_SO_MOI'!$C$23*(E4358/'THAM_SO_MOI'!$C$22)+'THAM_SO_MOI'!$C$24*(E4358/'THAM_SO_MOI'!$C$22)^2-'THAM_SO_MOI'!$C$25*(E4358/'THAM_SO_MOI'!$C$22)^3)</f>
        <v>102.599484683135</v>
      </c>
      <c r="K4358" s="75">
        <f>'THAM_SO_MOI'!$C$31*J4358/E4358</f>
        <v>429.48822409068526</v>
      </c>
      <c r="L4358" s="75">
        <f>K4358*'THAM_SO_MOI'!$C$53*'THAM_SO_MOI'!$C$17/'THAM_SO_MOI'!$C$26</f>
        <v>3766.6134058492266</v>
      </c>
      <c r="M4358" s="75">
        <f>'THAM_SO_MOI'!$C$15*'THAM_SO_MOI'!$C$16*F4358^2</f>
        <v>1568.61317309563</v>
      </c>
      <c r="N4358" s="75">
        <f>'THAM_SO_MOI'!$C$12*I4358</f>
        <v>1534.1481413728657</v>
      </c>
      <c r="O4358" s="75">
        <f>M4358+N4358</f>
        <v>3102.7613144684956</v>
      </c>
      <c r="P4358" s="75">
        <f>(MIN(L4358,'THAM_SO_MOI'!$C$41)-O4358)/('THAM_SO_MOI'!$C$11*H4358)</f>
        <v>0.0785809767259388</v>
      </c>
      <c r="Q4358" s="75">
        <f>IF(P4358&gt;0,1/P4358,NA())</f>
        <v>12.725726271991093</v>
      </c>
      <c r="R4358" s="75">
        <f>F4358-F4357</f>
        <v>0.0035868055555567935</v>
      </c>
      <c r="S4358" s="75">
        <f>0.5*(Q4357+Q4358)*R4358</f>
        <v>0.04562253437790345</v>
      </c>
      <c r="T4358" s="75">
        <f>0.5*(F4357*Q4357+F4358*Q4358)*R4358</f>
        <v>1.0564301390289734</v>
      </c>
      <c r="U4358" s="76">
        <f>U4357+S4358</f>
        <v>72.6935908017111</v>
      </c>
      <c r="V4358" s="76">
        <f>V4357+T4358</f>
        <v>1178.6979650980497</v>
      </c>
    </row>
    <row r="4359" spans="1:22" ht="19" customHeight="1">
      <c r="A4359" s="68" t="s">
        <v>378</v>
      </c>
      <c r="B4359" s="74">
        <v>5</v>
      </c>
      <c r="C4359" s="68" t="s">
        <v>363</v>
      </c>
      <c r="D4359" s="68" t="s">
        <v>365</v>
      </c>
      <c r="E4359" s="75">
        <f>60*F4359*'THAM_SO_MOI'!$C$53/(2*PI()*'THAM_SO_MOI'!$C$26)</f>
        <v>2281.9939999999997</v>
      </c>
      <c r="F4359" s="75">
        <f>'THAM_SO_MOI'!$C$14+('THAM_SO_MOI'!$C$37-'THAM_SO_MOI'!$C$14)*268/'THAM_SO_MOI'!$C$42</f>
        <v>23.16126388888889</v>
      </c>
      <c r="G4359" s="75">
        <f>3.6*F4359</f>
        <v>83.38055</v>
      </c>
      <c r="H4359" s="75">
        <f>'THAM_SO_MOI'!$D$53</f>
        <v>1.1</v>
      </c>
      <c r="I4359" s="75">
        <f>IF(F4359&gt;='THAM_SO_MOI'!$C$14,'THAM_SO_MOI'!$C$13*(1+F4359^2/1500),'THAM_SO_MOI'!$C$13)</f>
        <v>0.020364441449307484</v>
      </c>
      <c r="J4359" s="75">
        <f>'THAM_SO_MOI'!$C$40*('THAM_SO_MOI'!$C$23*(E4359/'THAM_SO_MOI'!$C$22)+'THAM_SO_MOI'!$C$24*(E4359/'THAM_SO_MOI'!$C$22)^2-'THAM_SO_MOI'!$C$25*(E4359/'THAM_SO_MOI'!$C$22)^3)</f>
        <v>102.61443268309372</v>
      </c>
      <c r="K4359" s="75">
        <f>'THAM_SO_MOI'!$C$31*J4359/E4359</f>
        <v>429.48427620134174</v>
      </c>
      <c r="L4359" s="75">
        <f>K4359*'THAM_SO_MOI'!$C$53*'THAM_SO_MOI'!$C$17/'THAM_SO_MOI'!$C$26</f>
        <v>3766.578782844236</v>
      </c>
      <c r="M4359" s="75">
        <f>'THAM_SO_MOI'!$C$15*'THAM_SO_MOI'!$C$16*F4359^2</f>
        <v>1569.0991239224395</v>
      </c>
      <c r="N4359" s="75">
        <f>'THAM_SO_MOI'!$C$12*I4359</f>
        <v>1534.2733103439853</v>
      </c>
      <c r="O4359" s="75">
        <f>M4359+N4359</f>
        <v>3103.3724342664245</v>
      </c>
      <c r="P4359" s="75">
        <f>(MIN(L4359,'THAM_SO_MOI'!$C$41)-O4359)/('THAM_SO_MOI'!$C$11*H4359)</f>
        <v>0.07850453936763861</v>
      </c>
      <c r="Q4359" s="75">
        <f>IF(P4359&gt;0,1/P4359,NA())</f>
        <v>12.738116904513971</v>
      </c>
      <c r="R4359" s="75">
        <f>F4359-F4358</f>
        <v>0.0035868055555567935</v>
      </c>
      <c r="S4359" s="75">
        <f>0.5*(Q4358+Q4359)*R4359</f>
        <v>0.04566692708565766</v>
      </c>
      <c r="T4359" s="75">
        <f>0.5*(F4358*Q4358+F4359*Q4359)*R4359</f>
        <v>1.0576218898835879</v>
      </c>
      <c r="U4359" s="76">
        <f>U4358+S4359</f>
        <v>72.73925772879676</v>
      </c>
      <c r="V4359" s="76">
        <f>V4358+T4359</f>
        <v>1179.7555869879334</v>
      </c>
    </row>
    <row r="4360" spans="1:22" ht="19" customHeight="1">
      <c r="A4360" s="68" t="s">
        <v>378</v>
      </c>
      <c r="B4360" s="74">
        <v>5</v>
      </c>
      <c r="C4360" s="68" t="s">
        <v>363</v>
      </c>
      <c r="D4360" s="68" t="s">
        <v>365</v>
      </c>
      <c r="E4360" s="75">
        <f>60*F4360*'THAM_SO_MOI'!$C$53/(2*PI()*'THAM_SO_MOI'!$C$26)</f>
        <v>2282.3473947368416</v>
      </c>
      <c r="F4360" s="75">
        <f>'THAM_SO_MOI'!$C$14+('THAM_SO_MOI'!$C$37-'THAM_SO_MOI'!$C$14)*269/'THAM_SO_MOI'!$C$42</f>
        <v>23.164850694444443</v>
      </c>
      <c r="G4360" s="75">
        <f>3.6*F4360</f>
        <v>83.3934625</v>
      </c>
      <c r="H4360" s="75">
        <f>'THAM_SO_MOI'!$D$53</f>
        <v>1.1</v>
      </c>
      <c r="I4360" s="75">
        <f>IF(F4360&gt;='THAM_SO_MOI'!$C$14,'THAM_SO_MOI'!$C$13*(1+F4360^2/1500),'THAM_SO_MOI'!$C$13)</f>
        <v>0.02036610307695903</v>
      </c>
      <c r="J4360" s="75">
        <f>'THAM_SO_MOI'!$C$40*('THAM_SO_MOI'!$C$23*(E4360/'THAM_SO_MOI'!$C$22)+'THAM_SO_MOI'!$C$24*(E4360/'THAM_SO_MOI'!$C$22)^2-'THAM_SO_MOI'!$C$25*(E4360/'THAM_SO_MOI'!$C$22)^3)</f>
        <v>102.6293774956481</v>
      </c>
      <c r="K4360" s="75">
        <f>'THAM_SO_MOI'!$C$31*J4360/E4360</f>
        <v>429.4803161960138</v>
      </c>
      <c r="L4360" s="75">
        <f>K4360*'THAM_SO_MOI'!$C$53*'THAM_SO_MOI'!$C$17/'THAM_SO_MOI'!$C$26</f>
        <v>3766.544053582015</v>
      </c>
      <c r="M4360" s="75">
        <f>'THAM_SO_MOI'!$C$15*'THAM_SO_MOI'!$C$16*F4360^2</f>
        <v>1569.5851500105168</v>
      </c>
      <c r="N4360" s="75">
        <f>'THAM_SO_MOI'!$C$12*I4360</f>
        <v>1534.398498700555</v>
      </c>
      <c r="O4360" s="75">
        <f>M4360+N4360</f>
        <v>3103.9836487110715</v>
      </c>
      <c r="P4360" s="75">
        <f>(MIN(L4360,'THAM_SO_MOI'!$C$41)-O4360)/('THAM_SO_MOI'!$C$11*H4360)</f>
        <v>0.0784280782280946</v>
      </c>
      <c r="Q4360" s="75">
        <f>IF(P4360&gt;0,1/P4360,NA())</f>
        <v>12.750535555540093</v>
      </c>
      <c r="R4360" s="75">
        <f>F4360-F4359</f>
        <v>0.0035868055555532408</v>
      </c>
      <c r="S4360" s="75">
        <f>0.5*(Q4359+Q4360)*R4360</f>
        <v>0.04571142012364384</v>
      </c>
      <c r="T4360" s="75">
        <f>0.5*(F4359*Q4359+F4360*Q4360)*R4360</f>
        <v>1.0588162831494339</v>
      </c>
      <c r="U4360" s="76">
        <f>U4359+S4360</f>
        <v>72.7849691489204</v>
      </c>
      <c r="V4360" s="76">
        <f>V4359+T4360</f>
        <v>1180.8144032710827</v>
      </c>
    </row>
    <row r="4361" spans="1:22" ht="19" customHeight="1">
      <c r="A4361" s="68" t="s">
        <v>378</v>
      </c>
      <c r="B4361" s="74">
        <v>5</v>
      </c>
      <c r="C4361" s="68" t="s">
        <v>363</v>
      </c>
      <c r="D4361" s="68" t="s">
        <v>365</v>
      </c>
      <c r="E4361" s="75">
        <f>60*F4361*'THAM_SO_MOI'!$C$53/(2*PI()*'THAM_SO_MOI'!$C$26)</f>
        <v>2282.700789473684</v>
      </c>
      <c r="F4361" s="75">
        <f>'THAM_SO_MOI'!$C$14+('THAM_SO_MOI'!$C$37-'THAM_SO_MOI'!$C$14)*270/'THAM_SO_MOI'!$C$42</f>
        <v>23.1684375</v>
      </c>
      <c r="G4361" s="75">
        <f>3.6*F4361</f>
        <v>83.406375</v>
      </c>
      <c r="H4361" s="75">
        <f>'THAM_SO_MOI'!$D$53</f>
        <v>1.1</v>
      </c>
      <c r="I4361" s="75">
        <f>IF(F4361&gt;='THAM_SO_MOI'!$C$14,'THAM_SO_MOI'!$C$13*(1+F4361^2/1500),'THAM_SO_MOI'!$C$13)</f>
        <v>0.02036776496191406</v>
      </c>
      <c r="J4361" s="75">
        <f>'THAM_SO_MOI'!$C$40*('THAM_SO_MOI'!$C$23*(E4361/'THAM_SO_MOI'!$C$22)+'THAM_SO_MOI'!$C$24*(E4361/'THAM_SO_MOI'!$C$22)^2-'THAM_SO_MOI'!$C$25*(E4361/'THAM_SO_MOI'!$C$22)^3)</f>
        <v>102.64431911945331</v>
      </c>
      <c r="K4361" s="75">
        <f>'THAM_SO_MOI'!$C$31*J4361/E4361</f>
        <v>429.4763440747014</v>
      </c>
      <c r="L4361" s="75">
        <f>K4361*'THAM_SO_MOI'!$C$53*'THAM_SO_MOI'!$C$17/'THAM_SO_MOI'!$C$26</f>
        <v>3766.5092180625616</v>
      </c>
      <c r="M4361" s="75">
        <f>'THAM_SO_MOI'!$C$15*'THAM_SO_MOI'!$C$16*F4361^2</f>
        <v>1570.0712513598635</v>
      </c>
      <c r="N4361" s="75">
        <f>'THAM_SO_MOI'!$C$12*I4361</f>
        <v>1534.5237064425748</v>
      </c>
      <c r="O4361" s="75">
        <f>M4361+N4361</f>
        <v>3104.5949578024383</v>
      </c>
      <c r="P4361" s="75">
        <f>(MIN(L4361,'THAM_SO_MOI'!$C$41)-O4361)/('THAM_SO_MOI'!$C$11*H4361)</f>
        <v>0.07835159330730623</v>
      </c>
      <c r="Q4361" s="75">
        <f>IF(P4361&gt;0,1/P4361,NA())</f>
        <v>12.762982318404886</v>
      </c>
      <c r="R4361" s="75">
        <f>F4361-F4360</f>
        <v>0.0035868055555567935</v>
      </c>
      <c r="S4361" s="75">
        <f>0.5*(Q4360+Q4361)*R4361</f>
        <v>0.0457560138260317</v>
      </c>
      <c r="T4361" s="75">
        <f>0.5*(F4360*Q4360+F4361*Q4361)*R4361</f>
        <v>1.0600133276476984</v>
      </c>
      <c r="U4361" s="76">
        <f>U4360+S4361</f>
        <v>72.83072516274643</v>
      </c>
      <c r="V4361" s="76">
        <f>V4360+T4361</f>
        <v>1181.8744165987305</v>
      </c>
    </row>
    <row r="4362" spans="1:22" ht="19" customHeight="1">
      <c r="A4362" s="68" t="s">
        <v>378</v>
      </c>
      <c r="B4362" s="74">
        <v>5</v>
      </c>
      <c r="C4362" s="68" t="s">
        <v>363</v>
      </c>
      <c r="D4362" s="68" t="s">
        <v>365</v>
      </c>
      <c r="E4362" s="75">
        <f>60*F4362*'THAM_SO_MOI'!$C$53/(2*PI()*'THAM_SO_MOI'!$C$26)</f>
        <v>2283.0541842105254</v>
      </c>
      <c r="F4362" s="75">
        <f>'THAM_SO_MOI'!$C$14+('THAM_SO_MOI'!$C$37-'THAM_SO_MOI'!$C$14)*271/'THAM_SO_MOI'!$C$42</f>
        <v>23.172024305555553</v>
      </c>
      <c r="G4362" s="75">
        <f>3.6*F4362</f>
        <v>83.4192875</v>
      </c>
      <c r="H4362" s="75">
        <f>'THAM_SO_MOI'!$D$53</f>
        <v>1.1</v>
      </c>
      <c r="I4362" s="75">
        <f>IF(F4362&gt;='THAM_SO_MOI'!$C$14,'THAM_SO_MOI'!$C$13*(1+F4362^2/1500),'THAM_SO_MOI'!$C$13)</f>
        <v>0.020369427104172572</v>
      </c>
      <c r="J4362" s="75">
        <f>'THAM_SO_MOI'!$C$40*('THAM_SO_MOI'!$C$23*(E4362/'THAM_SO_MOI'!$C$22)+'THAM_SO_MOI'!$C$24*(E4362/'THAM_SO_MOI'!$C$22)^2-'THAM_SO_MOI'!$C$25*(E4362/'THAM_SO_MOI'!$C$22)^3)</f>
        <v>102.65925755316437</v>
      </c>
      <c r="K4362" s="75">
        <f>'THAM_SO_MOI'!$C$31*J4362/E4362</f>
        <v>429.4723598374045</v>
      </c>
      <c r="L4362" s="75">
        <f>K4362*'THAM_SO_MOI'!$C$53*'THAM_SO_MOI'!$C$17/'THAM_SO_MOI'!$C$26</f>
        <v>3766.4742762858777</v>
      </c>
      <c r="M4362" s="75">
        <f>'THAM_SO_MOI'!$C$15*'THAM_SO_MOI'!$C$16*F4362^2</f>
        <v>1570.5574279704779</v>
      </c>
      <c r="N4362" s="75">
        <f>'THAM_SO_MOI'!$C$12*I4362</f>
        <v>1534.648933570045</v>
      </c>
      <c r="O4362" s="75">
        <f>M4362+N4362</f>
        <v>3105.206361540523</v>
      </c>
      <c r="P4362" s="75">
        <f>(MIN(L4362,'THAM_SO_MOI'!$C$41)-O4362)/('THAM_SO_MOI'!$C$11*H4362)</f>
        <v>0.078275084605274</v>
      </c>
      <c r="Q4362" s="75">
        <f>IF(P4362&gt;0,1/P4362,NA())</f>
        <v>12.775457286859606</v>
      </c>
      <c r="R4362" s="75">
        <f>F4362-F4361</f>
        <v>0.0035868055555532408</v>
      </c>
      <c r="S4362" s="75">
        <f>0.5*(Q4361+Q4362)*R4362</f>
        <v>0.0458007085281618</v>
      </c>
      <c r="T4362" s="75">
        <f>0.5*(F4361*Q4361+F4362*Q4362)*R4362</f>
        <v>1.061213032231492</v>
      </c>
      <c r="U4362" s="76">
        <f>U4361+S4362</f>
        <v>72.8765258712746</v>
      </c>
      <c r="V4362" s="76">
        <f>V4361+T4362</f>
        <v>1182.935629630962</v>
      </c>
    </row>
    <row r="4363" spans="1:22" ht="19" customHeight="1">
      <c r="A4363" s="68" t="s">
        <v>378</v>
      </c>
      <c r="B4363" s="74">
        <v>5</v>
      </c>
      <c r="C4363" s="68" t="s">
        <v>363</v>
      </c>
      <c r="D4363" s="68" t="s">
        <v>365</v>
      </c>
      <c r="E4363" s="75">
        <f>60*F4363*'THAM_SO_MOI'!$C$53/(2*PI()*'THAM_SO_MOI'!$C$26)</f>
        <v>2283.407578947368</v>
      </c>
      <c r="F4363" s="75">
        <f>'THAM_SO_MOI'!$C$14+('THAM_SO_MOI'!$C$37-'THAM_SO_MOI'!$C$14)*272/'THAM_SO_MOI'!$C$42</f>
        <v>23.17561111111111</v>
      </c>
      <c r="G4363" s="75">
        <f>3.6*F4363</f>
        <v>83.4322</v>
      </c>
      <c r="H4363" s="75">
        <f>'THAM_SO_MOI'!$D$53</f>
        <v>1.1</v>
      </c>
      <c r="I4363" s="75">
        <f>IF(F4363&gt;='THAM_SO_MOI'!$C$14,'THAM_SO_MOI'!$C$13*(1+F4363^2/1500),'THAM_SO_MOI'!$C$13)</f>
        <v>0.020371089503734566</v>
      </c>
      <c r="J4363" s="75">
        <f>'THAM_SO_MOI'!$C$40*('THAM_SO_MOI'!$C$23*(E4363/'THAM_SO_MOI'!$C$22)+'THAM_SO_MOI'!$C$24*(E4363/'THAM_SO_MOI'!$C$22)^2-'THAM_SO_MOI'!$C$25*(E4363/'THAM_SO_MOI'!$C$22)^3)</f>
        <v>102.67419279543651</v>
      </c>
      <c r="K4363" s="75">
        <f>'THAM_SO_MOI'!$C$31*J4363/E4363</f>
        <v>429.4683634841232</v>
      </c>
      <c r="L4363" s="75">
        <f>K4363*'THAM_SO_MOI'!$C$53*'THAM_SO_MOI'!$C$17/'THAM_SO_MOI'!$C$26</f>
        <v>3766.439228251963</v>
      </c>
      <c r="M4363" s="75">
        <f>'THAM_SO_MOI'!$C$15*'THAM_SO_MOI'!$C$16*F4363^2</f>
        <v>1571.0436798423611</v>
      </c>
      <c r="N4363" s="75">
        <f>'THAM_SO_MOI'!$C$12*I4363</f>
        <v>1534.7741800829654</v>
      </c>
      <c r="O4363" s="75">
        <f>M4363+N4363</f>
        <v>3105.8178599253265</v>
      </c>
      <c r="P4363" s="75">
        <f>(MIN(L4363,'THAM_SO_MOI'!$C$41)-O4363)/('THAM_SO_MOI'!$C$11*H4363)</f>
        <v>0.07819855212199768</v>
      </c>
      <c r="Q4363" s="75">
        <f>IF(P4363&gt;0,1/P4363,NA())</f>
        <v>12.78796055507394</v>
      </c>
      <c r="R4363" s="75">
        <f>F4363-F4362</f>
        <v>0.0035868055555567935</v>
      </c>
      <c r="S4363" s="75">
        <f>0.5*(Q4362+Q4363)*R4363</f>
        <v>0.04584550456723345</v>
      </c>
      <c r="T4363" s="75">
        <f>0.5*(F4362*Q4362+F4363*Q4363)*R4363</f>
        <v>1.0624154058018118</v>
      </c>
      <c r="U4363" s="76">
        <f>U4362+S4363</f>
        <v>72.92237137584183</v>
      </c>
      <c r="V4363" s="76">
        <f>V4362+T4363</f>
        <v>1183.9980450367639</v>
      </c>
    </row>
    <row r="4364" spans="1:22" ht="19" customHeight="1">
      <c r="A4364" s="68" t="s">
        <v>378</v>
      </c>
      <c r="B4364" s="74">
        <v>5</v>
      </c>
      <c r="C4364" s="68" t="s">
        <v>363</v>
      </c>
      <c r="D4364" s="68" t="s">
        <v>365</v>
      </c>
      <c r="E4364" s="75">
        <f>60*F4364*'THAM_SO_MOI'!$C$53/(2*PI()*'THAM_SO_MOI'!$C$26)</f>
        <v>2283.76097368421</v>
      </c>
      <c r="F4364" s="75">
        <f>'THAM_SO_MOI'!$C$14+('THAM_SO_MOI'!$C$37-'THAM_SO_MOI'!$C$14)*273/'THAM_SO_MOI'!$C$42</f>
        <v>23.179197916666666</v>
      </c>
      <c r="G4364" s="75">
        <f>3.6*F4364</f>
        <v>83.44511250000001</v>
      </c>
      <c r="H4364" s="75">
        <f>'THAM_SO_MOI'!$D$53</f>
        <v>1.1</v>
      </c>
      <c r="I4364" s="75">
        <f>IF(F4364&gt;='THAM_SO_MOI'!$C$14,'THAM_SO_MOI'!$C$13*(1+F4364^2/1500),'THAM_SO_MOI'!$C$13)</f>
        <v>0.020372752160600045</v>
      </c>
      <c r="J4364" s="75">
        <f>'THAM_SO_MOI'!$C$40*('THAM_SO_MOI'!$C$23*(E4364/'THAM_SO_MOI'!$C$22)+'THAM_SO_MOI'!$C$24*(E4364/'THAM_SO_MOI'!$C$22)^2-'THAM_SO_MOI'!$C$25*(E4364/'THAM_SO_MOI'!$C$22)^3)</f>
        <v>102.68912484492475</v>
      </c>
      <c r="K4364" s="75">
        <f>'THAM_SO_MOI'!$C$31*J4364/E4364</f>
        <v>429.4643550148575</v>
      </c>
      <c r="L4364" s="75">
        <f>K4364*'THAM_SO_MOI'!$C$53*'THAM_SO_MOI'!$C$17/'THAM_SO_MOI'!$C$26</f>
        <v>3766.404073960818</v>
      </c>
      <c r="M4364" s="75">
        <f>'THAM_SO_MOI'!$C$15*'THAM_SO_MOI'!$C$16*F4364^2</f>
        <v>1571.530006975513</v>
      </c>
      <c r="N4364" s="75">
        <f>'THAM_SO_MOI'!$C$12*I4364</f>
        <v>1534.899445981336</v>
      </c>
      <c r="O4364" s="75">
        <f>M4364+N4364</f>
        <v>3106.4294529568488</v>
      </c>
      <c r="P4364" s="75">
        <f>(MIN(L4364,'THAM_SO_MOI'!$C$41)-O4364)/('THAM_SO_MOI'!$C$11*H4364)</f>
        <v>0.07812199585747741</v>
      </c>
      <c r="Q4364" s="75">
        <f>IF(P4364&gt;0,1/P4364,NA())</f>
        <v>12.800492217638158</v>
      </c>
      <c r="R4364" s="75">
        <f>F4364-F4363</f>
        <v>0.0035868055555567935</v>
      </c>
      <c r="S4364" s="75">
        <f>0.5*(Q4363+Q4364)*R4364</f>
        <v>0.0458904022816332</v>
      </c>
      <c r="T4364" s="75">
        <f>0.5*(F4363*Q4363+F4364*Q4364)*R4364</f>
        <v>1.0636204572920074</v>
      </c>
      <c r="U4364" s="76">
        <f>U4363+S4364</f>
        <v>72.96826177812346</v>
      </c>
      <c r="V4364" s="76">
        <f>V4363+T4364</f>
        <v>1185.061665494056</v>
      </c>
    </row>
    <row r="4365" spans="1:22" ht="19" customHeight="1">
      <c r="A4365" s="68" t="s">
        <v>378</v>
      </c>
      <c r="B4365" s="74">
        <v>5</v>
      </c>
      <c r="C4365" s="68" t="s">
        <v>363</v>
      </c>
      <c r="D4365" s="68" t="s">
        <v>365</v>
      </c>
      <c r="E4365" s="75">
        <f>60*F4365*'THAM_SO_MOI'!$C$53/(2*PI()*'THAM_SO_MOI'!$C$26)</f>
        <v>2284.114368421052</v>
      </c>
      <c r="F4365" s="75">
        <f>'THAM_SO_MOI'!$C$14+('THAM_SO_MOI'!$C$37-'THAM_SO_MOI'!$C$14)*274/'THAM_SO_MOI'!$C$42</f>
        <v>23.18278472222222</v>
      </c>
      <c r="G4365" s="75">
        <f>3.6*F4365</f>
        <v>83.45802499999999</v>
      </c>
      <c r="H4365" s="75">
        <f>'THAM_SO_MOI'!$D$53</f>
        <v>1.1</v>
      </c>
      <c r="I4365" s="75">
        <f>IF(F4365&gt;='THAM_SO_MOI'!$C$14,'THAM_SO_MOI'!$C$13*(1+F4365^2/1500),'THAM_SO_MOI'!$C$13)</f>
        <v>0.020374415074769</v>
      </c>
      <c r="J4365" s="75">
        <f>'THAM_SO_MOI'!$C$40*('THAM_SO_MOI'!$C$23*(E4365/'THAM_SO_MOI'!$C$22)+'THAM_SO_MOI'!$C$24*(E4365/'THAM_SO_MOI'!$C$22)^2-'THAM_SO_MOI'!$C$25*(E4365/'THAM_SO_MOI'!$C$22)^3)</f>
        <v>102.70405370028419</v>
      </c>
      <c r="K4365" s="75">
        <f>'THAM_SO_MOI'!$C$31*J4365/E4365</f>
        <v>429.4603344296072</v>
      </c>
      <c r="L4365" s="75">
        <f>K4365*'THAM_SO_MOI'!$C$53*'THAM_SO_MOI'!$C$17/'THAM_SO_MOI'!$C$26</f>
        <v>3766.3688134124404</v>
      </c>
      <c r="M4365" s="75">
        <f>'THAM_SO_MOI'!$C$15*'THAM_SO_MOI'!$C$16*F4365^2</f>
        <v>1572.0164093699325</v>
      </c>
      <c r="N4365" s="75">
        <f>'THAM_SO_MOI'!$C$12*I4365</f>
        <v>1535.0247312651563</v>
      </c>
      <c r="O4365" s="75">
        <f>M4365+N4365</f>
        <v>3107.0411406350886</v>
      </c>
      <c r="P4365" s="75">
        <f>(MIN(L4365,'THAM_SO_MOI'!$C$41)-O4365)/('THAM_SO_MOI'!$C$11*H4365)</f>
        <v>0.07804541581171305</v>
      </c>
      <c r="Q4365" s="75">
        <f>IF(P4365&gt;0,1/P4365,NA())</f>
        <v>12.813052369565568</v>
      </c>
      <c r="R4365" s="75">
        <f>F4365-F4364</f>
        <v>0.0035868055555532408</v>
      </c>
      <c r="S4365" s="75">
        <f>0.5*(Q4364+Q4365)*R4365</f>
        <v>0.04593540201139648</v>
      </c>
      <c r="T4365" s="75">
        <f>0.5*(F4364*Q4364+F4365*Q4365)*R4365</f>
        <v>1.064828195678508</v>
      </c>
      <c r="U4365" s="76">
        <f>U4364+S4365</f>
        <v>73.01419718013486</v>
      </c>
      <c r="V4365" s="76">
        <f>V4364+T4365</f>
        <v>1186.1264936897344</v>
      </c>
    </row>
    <row r="4366" spans="1:22" ht="19" customHeight="1">
      <c r="A4366" s="68" t="s">
        <v>378</v>
      </c>
      <c r="B4366" s="74">
        <v>5</v>
      </c>
      <c r="C4366" s="68" t="s">
        <v>363</v>
      </c>
      <c r="D4366" s="68" t="s">
        <v>365</v>
      </c>
      <c r="E4366" s="75">
        <f>60*F4366*'THAM_SO_MOI'!$C$53/(2*PI()*'THAM_SO_MOI'!$C$26)</f>
        <v>2284.467763157894</v>
      </c>
      <c r="F4366" s="75">
        <f>'THAM_SO_MOI'!$C$14+('THAM_SO_MOI'!$C$37-'THAM_SO_MOI'!$C$14)*275/'THAM_SO_MOI'!$C$42</f>
        <v>23.186371527777776</v>
      </c>
      <c r="G4366" s="75">
        <f>3.6*F4366</f>
        <v>83.47093749999999</v>
      </c>
      <c r="H4366" s="75">
        <f>'THAM_SO_MOI'!$D$53</f>
        <v>1.1</v>
      </c>
      <c r="I4366" s="75">
        <f>IF(F4366&gt;='THAM_SO_MOI'!$C$14,'THAM_SO_MOI'!$C$13*(1+F4366^2/1500),'THAM_SO_MOI'!$C$13)</f>
        <v>0.02037607824624144</v>
      </c>
      <c r="J4366" s="75">
        <f>'THAM_SO_MOI'!$C$40*('THAM_SO_MOI'!$C$23*(E4366/'THAM_SO_MOI'!$C$22)+'THAM_SO_MOI'!$C$24*(E4366/'THAM_SO_MOI'!$C$22)^2-'THAM_SO_MOI'!$C$25*(E4366/'THAM_SO_MOI'!$C$22)^3)</f>
        <v>102.71897936017</v>
      </c>
      <c r="K4366" s="75">
        <f>'THAM_SO_MOI'!$C$31*J4366/E4366</f>
        <v>429.45630172837247</v>
      </c>
      <c r="L4366" s="75">
        <f>K4366*'THAM_SO_MOI'!$C$53*'THAM_SO_MOI'!$C$17/'THAM_SO_MOI'!$C$26</f>
        <v>3766.3334466068322</v>
      </c>
      <c r="M4366" s="75">
        <f>'THAM_SO_MOI'!$C$15*'THAM_SO_MOI'!$C$16*F4366^2</f>
        <v>1572.5028870256212</v>
      </c>
      <c r="N4366" s="75">
        <f>'THAM_SO_MOI'!$C$12*I4366</f>
        <v>1535.150035934427</v>
      </c>
      <c r="O4366" s="75">
        <f>M4366+N4366</f>
        <v>3107.6529229600483</v>
      </c>
      <c r="P4366" s="75">
        <f>(MIN(L4366,'THAM_SO_MOI'!$C$41)-O4366)/('THAM_SO_MOI'!$C$11*H4366)</f>
        <v>0.07796881198470451</v>
      </c>
      <c r="Q4366" s="75">
        <f>IF(P4366&gt;0,1/P4366,NA())</f>
        <v>12.82564110629484</v>
      </c>
      <c r="R4366" s="75">
        <f>F4366-F4365</f>
        <v>0.0035868055555567935</v>
      </c>
      <c r="S4366" s="75">
        <f>0.5*(Q4365+Q4366)*R4366</f>
        <v>0.04598050409821691</v>
      </c>
      <c r="T4366" s="75">
        <f>0.5*(F4365*Q4365+F4366*Q4366)*R4366</f>
        <v>1.066038629981065</v>
      </c>
      <c r="U4366" s="76">
        <f>U4365+S4366</f>
        <v>73.06017768423307</v>
      </c>
      <c r="V4366" s="76">
        <f>V4365+T4366</f>
        <v>1187.1925323197154</v>
      </c>
    </row>
    <row r="4367" spans="1:22" ht="19" customHeight="1">
      <c r="A4367" s="68" t="s">
        <v>378</v>
      </c>
      <c r="B4367" s="74">
        <v>5</v>
      </c>
      <c r="C4367" s="68" t="s">
        <v>363</v>
      </c>
      <c r="D4367" s="68" t="s">
        <v>365</v>
      </c>
      <c r="E4367" s="75">
        <f>60*F4367*'THAM_SO_MOI'!$C$53/(2*PI()*'THAM_SO_MOI'!$C$26)</f>
        <v>2284.821157894736</v>
      </c>
      <c r="F4367" s="75">
        <f>'THAM_SO_MOI'!$C$14+('THAM_SO_MOI'!$C$37-'THAM_SO_MOI'!$C$14)*276/'THAM_SO_MOI'!$C$42</f>
        <v>23.189958333333333</v>
      </c>
      <c r="G4367" s="75">
        <f>3.6*F4367</f>
        <v>83.48385</v>
      </c>
      <c r="H4367" s="75">
        <f>'THAM_SO_MOI'!$D$53</f>
        <v>1.1</v>
      </c>
      <c r="I4367" s="75">
        <f>IF(F4367&gt;='THAM_SO_MOI'!$C$14,'THAM_SO_MOI'!$C$13*(1+F4367^2/1500),'THAM_SO_MOI'!$C$13)</f>
        <v>0.020377741675017363</v>
      </c>
      <c r="J4367" s="75">
        <f>'THAM_SO_MOI'!$C$40*('THAM_SO_MOI'!$C$23*(E4367/'THAM_SO_MOI'!$C$22)+'THAM_SO_MOI'!$C$24*(E4367/'THAM_SO_MOI'!$C$22)^2-'THAM_SO_MOI'!$C$25*(E4367/'THAM_SO_MOI'!$C$22)^3)</f>
        <v>102.73390182323728</v>
      </c>
      <c r="K4367" s="75">
        <f>'THAM_SO_MOI'!$C$31*J4367/E4367</f>
        <v>429.45225691115337</v>
      </c>
      <c r="L4367" s="75">
        <f>K4367*'THAM_SO_MOI'!$C$53*'THAM_SO_MOI'!$C$17/'THAM_SO_MOI'!$C$26</f>
        <v>3766.297973543993</v>
      </c>
      <c r="M4367" s="75">
        <f>'THAM_SO_MOI'!$C$15*'THAM_SO_MOI'!$C$16*F4367^2</f>
        <v>1572.9894399425782</v>
      </c>
      <c r="N4367" s="75">
        <f>'THAM_SO_MOI'!$C$12*I4367</f>
        <v>1535.2753599891482</v>
      </c>
      <c r="O4367" s="75">
        <f>M4367+N4367</f>
        <v>3108.2647999317264</v>
      </c>
      <c r="P4367" s="75">
        <f>(MIN(L4367,'THAM_SO_MOI'!$C$41)-O4367)/('THAM_SO_MOI'!$C$11*H4367)</f>
        <v>0.07789218437645198</v>
      </c>
      <c r="Q4367" s="75">
        <f>IF(P4367&gt;0,1/P4367,NA())</f>
        <v>12.83825852369234</v>
      </c>
      <c r="R4367" s="75">
        <f>F4367-F4366</f>
        <v>0.0035868055555567935</v>
      </c>
      <c r="S4367" s="75">
        <f>0.5*(Q4366+Q4367)*R4367</f>
        <v>0.04602570888504498</v>
      </c>
      <c r="T4367" s="75">
        <f>0.5*(F4366*Q4366+F4367*Q4367)*R4367</f>
        <v>1.067251769253477</v>
      </c>
      <c r="U4367" s="76">
        <f>U4366+S4367</f>
        <v>73.10620339311811</v>
      </c>
      <c r="V4367" s="76">
        <f>V4366+T4367</f>
        <v>1188.259784088969</v>
      </c>
    </row>
    <row r="4368" spans="1:22" ht="19" customHeight="1">
      <c r="A4368" s="68" t="s">
        <v>378</v>
      </c>
      <c r="B4368" s="74">
        <v>5</v>
      </c>
      <c r="C4368" s="68" t="s">
        <v>363</v>
      </c>
      <c r="D4368" s="68" t="s">
        <v>365</v>
      </c>
      <c r="E4368" s="75">
        <f>60*F4368*'THAM_SO_MOI'!$C$53/(2*PI()*'THAM_SO_MOI'!$C$26)</f>
        <v>2285.174552631578</v>
      </c>
      <c r="F4368" s="75">
        <f>'THAM_SO_MOI'!$C$14+('THAM_SO_MOI'!$C$37-'THAM_SO_MOI'!$C$14)*277/'THAM_SO_MOI'!$C$42</f>
        <v>23.193545138888886</v>
      </c>
      <c r="G4368" s="75">
        <f>3.6*F4368</f>
        <v>83.49676249999999</v>
      </c>
      <c r="H4368" s="75">
        <f>'THAM_SO_MOI'!$D$53</f>
        <v>1.1</v>
      </c>
      <c r="I4368" s="75">
        <f>IF(F4368&gt;='THAM_SO_MOI'!$C$14,'THAM_SO_MOI'!$C$13*(1+F4368^2/1500),'THAM_SO_MOI'!$C$13)</f>
        <v>0.020379405361096763</v>
      </c>
      <c r="J4368" s="75">
        <f>'THAM_SO_MOI'!$C$40*('THAM_SO_MOI'!$C$23*(E4368/'THAM_SO_MOI'!$C$22)+'THAM_SO_MOI'!$C$24*(E4368/'THAM_SO_MOI'!$C$22)^2-'THAM_SO_MOI'!$C$25*(E4368/'THAM_SO_MOI'!$C$22)^3)</f>
        <v>102.74882108814109</v>
      </c>
      <c r="K4368" s="75">
        <f>'THAM_SO_MOI'!$C$31*J4368/E4368</f>
        <v>429.44819997794974</v>
      </c>
      <c r="L4368" s="75">
        <f>K4368*'THAM_SO_MOI'!$C$53*'THAM_SO_MOI'!$C$17/'THAM_SO_MOI'!$C$26</f>
        <v>3766.262394223923</v>
      </c>
      <c r="M4368" s="75">
        <f>'THAM_SO_MOI'!$C$15*'THAM_SO_MOI'!$C$16*F4368^2</f>
        <v>1573.4760681208033</v>
      </c>
      <c r="N4368" s="75">
        <f>'THAM_SO_MOI'!$C$12*I4368</f>
        <v>1535.400703429319</v>
      </c>
      <c r="O4368" s="75">
        <f>M4368+N4368</f>
        <v>3108.8767715501226</v>
      </c>
      <c r="P4368" s="75">
        <f>(MIN(L4368,'THAM_SO_MOI'!$C$41)-O4368)/('THAM_SO_MOI'!$C$11*H4368)</f>
        <v>0.07781553298695558</v>
      </c>
      <c r="Q4368" s="75">
        <f>IF(P4368&gt;0,1/P4368,NA())</f>
        <v>12.85090471805459</v>
      </c>
      <c r="R4368" s="75">
        <f>F4368-F4367</f>
        <v>0.0035868055555532408</v>
      </c>
      <c r="S4368" s="75">
        <f>0.5*(Q4367+Q4368)*R4368</f>
        <v>0.046071016716506</v>
      </c>
      <c r="T4368" s="75">
        <f>0.5*(F4367*Q4367+F4368*Q4368)*R4368</f>
        <v>1.068467622593305</v>
      </c>
      <c r="U4368" s="76">
        <f>U4367+S4368</f>
        <v>73.15227440983462</v>
      </c>
      <c r="V4368" s="76">
        <f>V4367+T4368</f>
        <v>1189.3282517115622</v>
      </c>
    </row>
    <row r="4369" spans="1:22" ht="19" customHeight="1">
      <c r="A4369" s="68" t="s">
        <v>378</v>
      </c>
      <c r="B4369" s="74">
        <v>5</v>
      </c>
      <c r="C4369" s="68" t="s">
        <v>363</v>
      </c>
      <c r="D4369" s="68" t="s">
        <v>365</v>
      </c>
      <c r="E4369" s="75">
        <f>60*F4369*'THAM_SO_MOI'!$C$53/(2*PI()*'THAM_SO_MOI'!$C$26)</f>
        <v>2285.5279473684204</v>
      </c>
      <c r="F4369" s="75">
        <f>'THAM_SO_MOI'!$C$14+('THAM_SO_MOI'!$C$37-'THAM_SO_MOI'!$C$14)*278/'THAM_SO_MOI'!$C$42</f>
        <v>23.197131944444443</v>
      </c>
      <c r="G4369" s="75">
        <f>3.6*F4369</f>
        <v>83.509675</v>
      </c>
      <c r="H4369" s="75">
        <f>'THAM_SO_MOI'!$D$53</f>
        <v>1.1</v>
      </c>
      <c r="I4369" s="75">
        <f>IF(F4369&gt;='THAM_SO_MOI'!$C$14,'THAM_SO_MOI'!$C$13*(1+F4369^2/1500),'THAM_SO_MOI'!$C$13)</f>
        <v>0.020381069304479648</v>
      </c>
      <c r="J4369" s="75">
        <f>'THAM_SO_MOI'!$C$40*('THAM_SO_MOI'!$C$23*(E4369/'THAM_SO_MOI'!$C$22)+'THAM_SO_MOI'!$C$24*(E4369/'THAM_SO_MOI'!$C$22)^2-'THAM_SO_MOI'!$C$25*(E4369/'THAM_SO_MOI'!$C$22)^3)</f>
        <v>102.76373715353662</v>
      </c>
      <c r="K4369" s="75">
        <f>'THAM_SO_MOI'!$C$31*J4369/E4369</f>
        <v>429.44413092876175</v>
      </c>
      <c r="L4369" s="75">
        <f>K4369*'THAM_SO_MOI'!$C$53*'THAM_SO_MOI'!$C$17/'THAM_SO_MOI'!$C$26</f>
        <v>3766.226708646622</v>
      </c>
      <c r="M4369" s="75">
        <f>'THAM_SO_MOI'!$C$15*'THAM_SO_MOI'!$C$16*F4369^2</f>
        <v>1573.9627715602971</v>
      </c>
      <c r="N4369" s="75">
        <f>'THAM_SO_MOI'!$C$12*I4369</f>
        <v>1535.5260662549404</v>
      </c>
      <c r="O4369" s="75">
        <f>M4369+N4369</f>
        <v>3109.4888378152373</v>
      </c>
      <c r="P4369" s="75">
        <f>(MIN(L4369,'THAM_SO_MOI'!$C$41)-O4369)/('THAM_SO_MOI'!$C$11*H4369)</f>
        <v>0.07773885781621497</v>
      </c>
      <c r="Q4369" s="75">
        <f>IF(P4369&gt;0,1/P4369,NA())</f>
        <v>12.863579786110744</v>
      </c>
      <c r="R4369" s="75">
        <f>F4369-F4368</f>
        <v>0.0035868055555567935</v>
      </c>
      <c r="S4369" s="75">
        <f>0.5*(Q4368+Q4369)*R4369</f>
        <v>0.046116427938909646</v>
      </c>
      <c r="T4369" s="75">
        <f>0.5*(F4368*Q4368+F4369*Q4369)*R4369</f>
        <v>1.0696861991421236</v>
      </c>
      <c r="U4369" s="76">
        <f>U4368+S4369</f>
        <v>73.19839083777353</v>
      </c>
      <c r="V4369" s="76">
        <f>V4368+T4369</f>
        <v>1190.3979379107043</v>
      </c>
    </row>
    <row r="4370" spans="1:22" ht="19" customHeight="1">
      <c r="A4370" s="68" t="s">
        <v>378</v>
      </c>
      <c r="B4370" s="74">
        <v>5</v>
      </c>
      <c r="C4370" s="68" t="s">
        <v>363</v>
      </c>
      <c r="D4370" s="68" t="s">
        <v>365</v>
      </c>
      <c r="E4370" s="75">
        <f>60*F4370*'THAM_SO_MOI'!$C$53/(2*PI()*'THAM_SO_MOI'!$C$26)</f>
        <v>2285.881342105263</v>
      </c>
      <c r="F4370" s="75">
        <f>'THAM_SO_MOI'!$C$14+('THAM_SO_MOI'!$C$37-'THAM_SO_MOI'!$C$14)*279/'THAM_SO_MOI'!$C$42</f>
        <v>23.20071875</v>
      </c>
      <c r="G4370" s="75">
        <f>3.6*F4370</f>
        <v>83.5225875</v>
      </c>
      <c r="H4370" s="75">
        <f>'THAM_SO_MOI'!$D$53</f>
        <v>1.1</v>
      </c>
      <c r="I4370" s="75">
        <f>IF(F4370&gt;='THAM_SO_MOI'!$C$14,'THAM_SO_MOI'!$C$13*(1+F4370^2/1500),'THAM_SO_MOI'!$C$13)</f>
        <v>0.020382733505166017</v>
      </c>
      <c r="J4370" s="75">
        <f>'THAM_SO_MOI'!$C$40*('THAM_SO_MOI'!$C$23*(E4370/'THAM_SO_MOI'!$C$22)+'THAM_SO_MOI'!$C$24*(E4370/'THAM_SO_MOI'!$C$22)^2-'THAM_SO_MOI'!$C$25*(E4370/'THAM_SO_MOI'!$C$22)^3)</f>
        <v>102.77865001807889</v>
      </c>
      <c r="K4370" s="75">
        <f>'THAM_SO_MOI'!$C$31*J4370/E4370</f>
        <v>429.4400497635891</v>
      </c>
      <c r="L4370" s="75">
        <f>K4370*'THAM_SO_MOI'!$C$53*'THAM_SO_MOI'!$C$17/'THAM_SO_MOI'!$C$26</f>
        <v>3766.1909168120887</v>
      </c>
      <c r="M4370" s="75">
        <f>'THAM_SO_MOI'!$C$15*'THAM_SO_MOI'!$C$16*F4370^2</f>
        <v>1574.4495502610598</v>
      </c>
      <c r="N4370" s="75">
        <f>'THAM_SO_MOI'!$C$12*I4370</f>
        <v>1535.651448466012</v>
      </c>
      <c r="O4370" s="75">
        <f>M4370+N4370</f>
        <v>3110.100998727072</v>
      </c>
      <c r="P4370" s="75">
        <f>(MIN(L4370,'THAM_SO_MOI'!$C$41)-O4370)/('THAM_SO_MOI'!$C$11*H4370)</f>
        <v>0.07766215886423022</v>
      </c>
      <c r="Q4370" s="75">
        <f>IF(P4370&gt;0,1/P4370,NA())</f>
        <v>12.876283825024878</v>
      </c>
      <c r="R4370" s="75">
        <f>F4370-F4369</f>
        <v>0.0035868055555567935</v>
      </c>
      <c r="S4370" s="75">
        <f>0.5*(Q4369+Q4370)*R4370</f>
        <v>0.0461619428998477</v>
      </c>
      <c r="T4370" s="75">
        <f>0.5*(F4369*Q4369+F4370*Q4370)*R4370</f>
        <v>1.0709075080762196</v>
      </c>
      <c r="U4370" s="76">
        <f>U4369+S4370</f>
        <v>73.24455278067337</v>
      </c>
      <c r="V4370" s="76">
        <f>V4369+T4370</f>
        <v>1191.4688454187806</v>
      </c>
    </row>
    <row r="4371" spans="1:22" ht="19" customHeight="1">
      <c r="A4371" s="68" t="s">
        <v>378</v>
      </c>
      <c r="B4371" s="74">
        <v>5</v>
      </c>
      <c r="C4371" s="68" t="s">
        <v>363</v>
      </c>
      <c r="D4371" s="68" t="s">
        <v>365</v>
      </c>
      <c r="E4371" s="75">
        <f>60*F4371*'THAM_SO_MOI'!$C$53/(2*PI()*'THAM_SO_MOI'!$C$26)</f>
        <v>2286.2347368421047</v>
      </c>
      <c r="F4371" s="75">
        <f>'THAM_SO_MOI'!$C$14+('THAM_SO_MOI'!$C$37-'THAM_SO_MOI'!$C$14)*280/'THAM_SO_MOI'!$C$42</f>
        <v>23.204305555555553</v>
      </c>
      <c r="G4371" s="75">
        <f>3.6*F4371</f>
        <v>83.5355</v>
      </c>
      <c r="H4371" s="75">
        <f>'THAM_SO_MOI'!$D$53</f>
        <v>1.1</v>
      </c>
      <c r="I4371" s="75">
        <f>IF(F4371&gt;='THAM_SO_MOI'!$C$14,'THAM_SO_MOI'!$C$13*(1+F4371^2/1500),'THAM_SO_MOI'!$C$13)</f>
        <v>0.020384397963155863</v>
      </c>
      <c r="J4371" s="75">
        <f>'THAM_SO_MOI'!$C$40*('THAM_SO_MOI'!$C$23*(E4371/'THAM_SO_MOI'!$C$22)+'THAM_SO_MOI'!$C$24*(E4371/'THAM_SO_MOI'!$C$22)^2-'THAM_SO_MOI'!$C$25*(E4371/'THAM_SO_MOI'!$C$22)^3)</f>
        <v>102.79355968042307</v>
      </c>
      <c r="K4371" s="75">
        <f>'THAM_SO_MOI'!$C$31*J4371/E4371</f>
        <v>429.4359564824321</v>
      </c>
      <c r="L4371" s="75">
        <f>K4371*'THAM_SO_MOI'!$C$53*'THAM_SO_MOI'!$C$17/'THAM_SO_MOI'!$C$26</f>
        <v>3766.1550187203243</v>
      </c>
      <c r="M4371" s="75">
        <f>'THAM_SO_MOI'!$C$15*'THAM_SO_MOI'!$C$16*F4371^2</f>
        <v>1574.93640422309</v>
      </c>
      <c r="N4371" s="75">
        <f>'THAM_SO_MOI'!$C$12*I4371</f>
        <v>1535.7768500625332</v>
      </c>
      <c r="O4371" s="75">
        <f>M4371+N4371</f>
        <v>3110.7132542856234</v>
      </c>
      <c r="P4371" s="75">
        <f>(MIN(L4371,'THAM_SO_MOI'!$C$41)-O4371)/('THAM_SO_MOI'!$C$11*H4371)</f>
        <v>0.07758543613100155</v>
      </c>
      <c r="Q4371" s="75">
        <f>IF(P4371&gt;0,1/P4371,NA())</f>
        <v>12.889016932398482</v>
      </c>
      <c r="R4371" s="75">
        <f>F4371-F4370</f>
        <v>0.0035868055555532408</v>
      </c>
      <c r="S4371" s="75">
        <f>0.5*(Q4370+Q4371)*R4371</f>
        <v>0.04620756194861312</v>
      </c>
      <c r="T4371" s="75">
        <f>0.5*(F4370*Q4370+F4371*Q4371)*R4371</f>
        <v>1.0721315586163385</v>
      </c>
      <c r="U4371" s="76">
        <f>U4370+S4371</f>
        <v>73.290760342622</v>
      </c>
      <c r="V4371" s="76">
        <f>V4370+T4371</f>
        <v>1192.540976977397</v>
      </c>
    </row>
    <row r="4372" spans="1:22" ht="19" customHeight="1">
      <c r="A4372" s="68" t="s">
        <v>378</v>
      </c>
      <c r="B4372" s="74">
        <v>5</v>
      </c>
      <c r="C4372" s="68" t="s">
        <v>363</v>
      </c>
      <c r="D4372" s="68" t="s">
        <v>365</v>
      </c>
      <c r="E4372" s="75">
        <f>60*F4372*'THAM_SO_MOI'!$C$53/(2*PI()*'THAM_SO_MOI'!$C$26)</f>
        <v>2286.5881315789466</v>
      </c>
      <c r="F4372" s="75">
        <f>'THAM_SO_MOI'!$C$14+('THAM_SO_MOI'!$C$37-'THAM_SO_MOI'!$C$14)*281/'THAM_SO_MOI'!$C$42</f>
        <v>23.20789236111111</v>
      </c>
      <c r="G4372" s="75">
        <f>3.6*F4372</f>
        <v>83.5484125</v>
      </c>
      <c r="H4372" s="75">
        <f>'THAM_SO_MOI'!$D$53</f>
        <v>1.1</v>
      </c>
      <c r="I4372" s="75">
        <f>IF(F4372&gt;='THAM_SO_MOI'!$C$14,'THAM_SO_MOI'!$C$13*(1+F4372^2/1500),'THAM_SO_MOI'!$C$13)</f>
        <v>0.020386062678449193</v>
      </c>
      <c r="J4372" s="75">
        <f>'THAM_SO_MOI'!$C$40*('THAM_SO_MOI'!$C$23*(E4372/'THAM_SO_MOI'!$C$22)+'THAM_SO_MOI'!$C$24*(E4372/'THAM_SO_MOI'!$C$22)^2-'THAM_SO_MOI'!$C$25*(E4372/'THAM_SO_MOI'!$C$22)^3)</f>
        <v>102.80846613922427</v>
      </c>
      <c r="K4372" s="75">
        <f>'THAM_SO_MOI'!$C$31*J4372/E4372</f>
        <v>429.43185108529076</v>
      </c>
      <c r="L4372" s="75">
        <f>K4372*'THAM_SO_MOI'!$C$53*'THAM_SO_MOI'!$C$17/'THAM_SO_MOI'!$C$26</f>
        <v>3766.1190143713306</v>
      </c>
      <c r="M4372" s="75">
        <f>'THAM_SO_MOI'!$C$15*'THAM_SO_MOI'!$C$16*F4372^2</f>
        <v>1575.4233334463895</v>
      </c>
      <c r="N4372" s="75">
        <f>'THAM_SO_MOI'!$C$12*I4372</f>
        <v>1535.902271044505</v>
      </c>
      <c r="O4372" s="75">
        <f>M4372+N4372</f>
        <v>3111.3256044908944</v>
      </c>
      <c r="P4372" s="75">
        <f>(MIN(L4372,'THAM_SO_MOI'!$C$41)-O4372)/('THAM_SO_MOI'!$C$11*H4372)</f>
        <v>0.07750868961652893</v>
      </c>
      <c r="Q4372" s="75">
        <f>IF(P4372&gt;0,1/P4372,NA())</f>
        <v>12.901779206272987</v>
      </c>
      <c r="R4372" s="75">
        <f>F4372-F4371</f>
        <v>0.0035868055555567935</v>
      </c>
      <c r="S4372" s="75">
        <f>0.5*(Q4371+Q4372)*R4372</f>
        <v>0.04625328543620976</v>
      </c>
      <c r="T4372" s="75">
        <f>0.5*(F4371*Q4371+F4372*Q4372)*R4372</f>
        <v>1.0733583600279404</v>
      </c>
      <c r="U4372" s="76">
        <f>U4371+S4372</f>
        <v>73.3370136280582</v>
      </c>
      <c r="V4372" s="76">
        <f>V4371+T4372</f>
        <v>1193.6143353374248</v>
      </c>
    </row>
    <row r="4373" spans="1:22" ht="19" customHeight="1">
      <c r="A4373" s="68" t="s">
        <v>378</v>
      </c>
      <c r="B4373" s="74">
        <v>5</v>
      </c>
      <c r="C4373" s="68" t="s">
        <v>363</v>
      </c>
      <c r="D4373" s="68" t="s">
        <v>365</v>
      </c>
      <c r="E4373" s="75">
        <f>60*F4373*'THAM_SO_MOI'!$C$53/(2*PI()*'THAM_SO_MOI'!$C$26)</f>
        <v>2286.941526315789</v>
      </c>
      <c r="F4373" s="75">
        <f>'THAM_SO_MOI'!$C$14+('THAM_SO_MOI'!$C$37-'THAM_SO_MOI'!$C$14)*282/'THAM_SO_MOI'!$C$42</f>
        <v>23.211479166666667</v>
      </c>
      <c r="G4373" s="75">
        <f>3.6*F4373</f>
        <v>83.561325</v>
      </c>
      <c r="H4373" s="75">
        <f>'THAM_SO_MOI'!$D$53</f>
        <v>1.1</v>
      </c>
      <c r="I4373" s="75">
        <f>IF(F4373&gt;='THAM_SO_MOI'!$C$14,'THAM_SO_MOI'!$C$13*(1+F4373^2/1500),'THAM_SO_MOI'!$C$13)</f>
        <v>0.020387727651046007</v>
      </c>
      <c r="J4373" s="75">
        <f>'THAM_SO_MOI'!$C$40*('THAM_SO_MOI'!$C$23*(E4373/'THAM_SO_MOI'!$C$22)+'THAM_SO_MOI'!$C$24*(E4373/'THAM_SO_MOI'!$C$22)^2-'THAM_SO_MOI'!$C$25*(E4373/'THAM_SO_MOI'!$C$22)^3)</f>
        <v>102.82336939313757</v>
      </c>
      <c r="K4373" s="75">
        <f>'THAM_SO_MOI'!$C$31*J4373/E4373</f>
        <v>429.4277335721648</v>
      </c>
      <c r="L4373" s="75">
        <f>K4373*'THAM_SO_MOI'!$C$53*'THAM_SO_MOI'!$C$17/'THAM_SO_MOI'!$C$26</f>
        <v>3766.082903765104</v>
      </c>
      <c r="M4373" s="75">
        <f>'THAM_SO_MOI'!$C$15*'THAM_SO_MOI'!$C$16*F4373^2</f>
        <v>1575.910337930957</v>
      </c>
      <c r="N4373" s="75">
        <f>'THAM_SO_MOI'!$C$12*I4373</f>
        <v>1536.027711411927</v>
      </c>
      <c r="O4373" s="75">
        <f>M4373+N4373</f>
        <v>3111.938049342884</v>
      </c>
      <c r="P4373" s="75">
        <f>(MIN(L4373,'THAM_SO_MOI'!$C$41)-O4373)/('THAM_SO_MOI'!$C$11*H4373)</f>
        <v>0.07743191932081209</v>
      </c>
      <c r="Q4373" s="75">
        <f>IF(P4373&gt;0,1/P4373,NA())</f>
        <v>12.914570745132245</v>
      </c>
      <c r="R4373" s="75">
        <f>F4373-F4372</f>
        <v>0.0035868055555567935</v>
      </c>
      <c r="S4373" s="75">
        <f>0.5*(Q4372+Q4373)*R4373</f>
        <v>0.046299113714949325</v>
      </c>
      <c r="T4373" s="75">
        <f>0.5*(F4372*Q4372+F4373*Q4373)*R4373</f>
        <v>1.0745879216118759</v>
      </c>
      <c r="U4373" s="76">
        <f>U4372+S4373</f>
        <v>73.38331274177315</v>
      </c>
      <c r="V4373" s="76">
        <f>V4372+T4373</f>
        <v>1194.6889232590368</v>
      </c>
    </row>
    <row r="4374" spans="1:22" ht="19" customHeight="1">
      <c r="A4374" s="68" t="s">
        <v>378</v>
      </c>
      <c r="B4374" s="74">
        <v>5</v>
      </c>
      <c r="C4374" s="68" t="s">
        <v>363</v>
      </c>
      <c r="D4374" s="68" t="s">
        <v>365</v>
      </c>
      <c r="E4374" s="75">
        <f>60*F4374*'THAM_SO_MOI'!$C$53/(2*PI()*'THAM_SO_MOI'!$C$26)</f>
        <v>2287.294921052631</v>
      </c>
      <c r="F4374" s="75">
        <f>'THAM_SO_MOI'!$C$14+('THAM_SO_MOI'!$C$37-'THAM_SO_MOI'!$C$14)*283/'THAM_SO_MOI'!$C$42</f>
        <v>23.21506597222222</v>
      </c>
      <c r="G4374" s="75">
        <f>3.6*F4374</f>
        <v>83.5742375</v>
      </c>
      <c r="H4374" s="75">
        <f>'THAM_SO_MOI'!$D$53</f>
        <v>1.1</v>
      </c>
      <c r="I4374" s="75">
        <f>IF(F4374&gt;='THAM_SO_MOI'!$C$14,'THAM_SO_MOI'!$C$13*(1+F4374^2/1500),'THAM_SO_MOI'!$C$13)</f>
        <v>0.0203893928809463</v>
      </c>
      <c r="J4374" s="75">
        <f>'THAM_SO_MOI'!$C$40*('THAM_SO_MOI'!$C$23*(E4374/'THAM_SO_MOI'!$C$22)+'THAM_SO_MOI'!$C$24*(E4374/'THAM_SO_MOI'!$C$22)^2-'THAM_SO_MOI'!$C$25*(E4374/'THAM_SO_MOI'!$C$22)^3)</f>
        <v>102.83826944081814</v>
      </c>
      <c r="K4374" s="75">
        <f>'THAM_SO_MOI'!$C$31*J4374/E4374</f>
        <v>429.4236039430547</v>
      </c>
      <c r="L4374" s="75">
        <f>K4374*'THAM_SO_MOI'!$C$53*'THAM_SO_MOI'!$C$17/'THAM_SO_MOI'!$C$26</f>
        <v>3766.0466869016495</v>
      </c>
      <c r="M4374" s="75">
        <f>'THAM_SO_MOI'!$C$15*'THAM_SO_MOI'!$C$16*F4374^2</f>
        <v>1576.3974176767929</v>
      </c>
      <c r="N4374" s="75">
        <f>'THAM_SO_MOI'!$C$12*I4374</f>
        <v>1536.1531711647992</v>
      </c>
      <c r="O4374" s="75">
        <f>M4374+N4374</f>
        <v>3112.550588841592</v>
      </c>
      <c r="P4374" s="75">
        <f>(MIN(L4374,'THAM_SO_MOI'!$C$41)-O4374)/('THAM_SO_MOI'!$C$11*H4374)</f>
        <v>0.07735512524385149</v>
      </c>
      <c r="Q4374" s="75">
        <f>IF(P4374&gt;0,1/P4374,NA())</f>
        <v>12.927391647904859</v>
      </c>
      <c r="R4374" s="75">
        <f>F4374-F4373</f>
        <v>0.0035868055555532408</v>
      </c>
      <c r="S4374" s="75">
        <f>0.5*(Q4373+Q4374)*R4374</f>
        <v>0.0463450471388717</v>
      </c>
      <c r="T4374" s="75">
        <f>0.5*(F4373*Q4373+F4374*Q4374)*R4374</f>
        <v>1.0758202527141667</v>
      </c>
      <c r="U4374" s="76">
        <f>U4373+S4374</f>
        <v>73.42965778891202</v>
      </c>
      <c r="V4374" s="76">
        <f>V4373+T4374</f>
        <v>1195.764743511751</v>
      </c>
    </row>
    <row r="4375" spans="1:22" ht="19" customHeight="1">
      <c r="A4375" s="68" t="s">
        <v>378</v>
      </c>
      <c r="B4375" s="74">
        <v>5</v>
      </c>
      <c r="C4375" s="68" t="s">
        <v>363</v>
      </c>
      <c r="D4375" s="68" t="s">
        <v>365</v>
      </c>
      <c r="E4375" s="75">
        <f>60*F4375*'THAM_SO_MOI'!$C$53/(2*PI()*'THAM_SO_MOI'!$C$26)</f>
        <v>2287.648315789473</v>
      </c>
      <c r="F4375" s="75">
        <f>'THAM_SO_MOI'!$C$14+('THAM_SO_MOI'!$C$37-'THAM_SO_MOI'!$C$14)*284/'THAM_SO_MOI'!$C$42</f>
        <v>23.218652777777777</v>
      </c>
      <c r="G4375" s="75">
        <f>3.6*F4375</f>
        <v>83.58715</v>
      </c>
      <c r="H4375" s="75">
        <f>'THAM_SO_MOI'!$D$53</f>
        <v>1.1</v>
      </c>
      <c r="I4375" s="75">
        <f>IF(F4375&gt;='THAM_SO_MOI'!$C$14,'THAM_SO_MOI'!$C$13*(1+F4375^2/1500),'THAM_SO_MOI'!$C$13)</f>
        <v>0.02039105836815008</v>
      </c>
      <c r="J4375" s="75">
        <f>'THAM_SO_MOI'!$C$40*('THAM_SO_MOI'!$C$23*(E4375/'THAM_SO_MOI'!$C$22)+'THAM_SO_MOI'!$C$24*(E4375/'THAM_SO_MOI'!$C$22)^2-'THAM_SO_MOI'!$C$25*(E4375/'THAM_SO_MOI'!$C$22)^3)</f>
        <v>102.85316628092097</v>
      </c>
      <c r="K4375" s="75">
        <f>'THAM_SO_MOI'!$C$31*J4375/E4375</f>
        <v>429.41946219795966</v>
      </c>
      <c r="L4375" s="75">
        <f>K4375*'THAM_SO_MOI'!$C$53*'THAM_SO_MOI'!$C$17/'THAM_SO_MOI'!$C$26</f>
        <v>3766.01036378096</v>
      </c>
      <c r="M4375" s="75">
        <f>'THAM_SO_MOI'!$C$15*'THAM_SO_MOI'!$C$16*F4375^2</f>
        <v>1576.8845726838977</v>
      </c>
      <c r="N4375" s="75">
        <f>'THAM_SO_MOI'!$C$12*I4375</f>
        <v>1536.2786503031216</v>
      </c>
      <c r="O4375" s="75">
        <f>M4375+N4375</f>
        <v>3113.1632229870193</v>
      </c>
      <c r="P4375" s="75">
        <f>(MIN(L4375,'THAM_SO_MOI'!$C$41)-O4375)/('THAM_SO_MOI'!$C$11*H4375)</f>
        <v>0.07727830738564637</v>
      </c>
      <c r="Q4375" s="75">
        <f>IF(P4375&gt;0,1/P4375,NA())</f>
        <v>12.940242013967033</v>
      </c>
      <c r="R4375" s="75">
        <f>F4375-F4374</f>
        <v>0.0035868055555567935</v>
      </c>
      <c r="S4375" s="75">
        <f>0.5*(Q4374+Q4375)*R4375</f>
        <v>0.04639108606375501</v>
      </c>
      <c r="T4375" s="75">
        <f>0.5*(F4374*Q4374+F4375*Q4375)*R4375</f>
        <v>1.0770553627262713</v>
      </c>
      <c r="U4375" s="76">
        <f>U4374+S4375</f>
        <v>73.47604887497577</v>
      </c>
      <c r="V4375" s="76">
        <f>V4374+T4375</f>
        <v>1196.8417988744773</v>
      </c>
    </row>
    <row r="4376" spans="1:22" ht="19" customHeight="1">
      <c r="A4376" s="68" t="s">
        <v>378</v>
      </c>
      <c r="B4376" s="74">
        <v>5</v>
      </c>
      <c r="C4376" s="68" t="s">
        <v>363</v>
      </c>
      <c r="D4376" s="68" t="s">
        <v>365</v>
      </c>
      <c r="E4376" s="75">
        <f>60*F4376*'THAM_SO_MOI'!$C$53/(2*PI()*'THAM_SO_MOI'!$C$26)</f>
        <v>2288.0017105263155</v>
      </c>
      <c r="F4376" s="75">
        <f>'THAM_SO_MOI'!$C$14+('THAM_SO_MOI'!$C$37-'THAM_SO_MOI'!$C$14)*285/'THAM_SO_MOI'!$C$42</f>
        <v>23.222239583333334</v>
      </c>
      <c r="G4376" s="75">
        <f>3.6*F4376</f>
        <v>83.6000625</v>
      </c>
      <c r="H4376" s="75">
        <f>'THAM_SO_MOI'!$D$53</f>
        <v>1.1</v>
      </c>
      <c r="I4376" s="75">
        <f>IF(F4376&gt;='THAM_SO_MOI'!$C$14,'THAM_SO_MOI'!$C$13*(1+F4376^2/1500),'THAM_SO_MOI'!$C$13)</f>
        <v>0.020392724112657332</v>
      </c>
      <c r="J4376" s="75">
        <f>'THAM_SO_MOI'!$C$40*('THAM_SO_MOI'!$C$23*(E4376/'THAM_SO_MOI'!$C$22)+'THAM_SO_MOI'!$C$24*(E4376/'THAM_SO_MOI'!$C$22)^2-'THAM_SO_MOI'!$C$25*(E4376/'THAM_SO_MOI'!$C$22)^3)</f>
        <v>102.86805991210129</v>
      </c>
      <c r="K4376" s="75">
        <f>'THAM_SO_MOI'!$C$31*J4376/E4376</f>
        <v>429.4153083368804</v>
      </c>
      <c r="L4376" s="75">
        <f>K4376*'THAM_SO_MOI'!$C$53*'THAM_SO_MOI'!$C$17/'THAM_SO_MOI'!$C$26</f>
        <v>3765.9739344030404</v>
      </c>
      <c r="M4376" s="75">
        <f>'THAM_SO_MOI'!$C$15*'THAM_SO_MOI'!$C$16*F4376^2</f>
        <v>1577.3718029522706</v>
      </c>
      <c r="N4376" s="75">
        <f>'THAM_SO_MOI'!$C$12*I4376</f>
        <v>1536.4041488268936</v>
      </c>
      <c r="O4376" s="75">
        <f>M4376+N4376</f>
        <v>3113.775951779164</v>
      </c>
      <c r="P4376" s="75">
        <f>(MIN(L4376,'THAM_SO_MOI'!$C$41)-O4376)/('THAM_SO_MOI'!$C$11*H4376)</f>
        <v>0.07720146574619746</v>
      </c>
      <c r="Q4376" s="75">
        <f>IF(P4376&gt;0,1/P4376,NA())</f>
        <v>12.953121943144644</v>
      </c>
      <c r="R4376" s="75">
        <f>F4376-F4375</f>
        <v>0.0035868055555567935</v>
      </c>
      <c r="S4376" s="75">
        <f>0.5*(Q4375+Q4376)*R4376</f>
        <v>0.0464372308467111</v>
      </c>
      <c r="T4376" s="75">
        <f>0.5*(F4375*Q4375+F4376*Q4376)*R4376</f>
        <v>1.078293261075722</v>
      </c>
      <c r="U4376" s="76">
        <f>U4375+S4376</f>
        <v>73.52248610582248</v>
      </c>
      <c r="V4376" s="76">
        <f>V4375+T4376</f>
        <v>1197.920092135553</v>
      </c>
    </row>
    <row r="4377" spans="1:22" ht="19" customHeight="1">
      <c r="A4377" s="68" t="s">
        <v>378</v>
      </c>
      <c r="B4377" s="74">
        <v>5</v>
      </c>
      <c r="C4377" s="68" t="s">
        <v>363</v>
      </c>
      <c r="D4377" s="68" t="s">
        <v>365</v>
      </c>
      <c r="E4377" s="75">
        <f>60*F4377*'THAM_SO_MOI'!$C$53/(2*PI()*'THAM_SO_MOI'!$C$26)</f>
        <v>2288.3551052631574</v>
      </c>
      <c r="F4377" s="75">
        <f>'THAM_SO_MOI'!$C$14+('THAM_SO_MOI'!$C$37-'THAM_SO_MOI'!$C$14)*286/'THAM_SO_MOI'!$C$42</f>
        <v>23.225826388888887</v>
      </c>
      <c r="G4377" s="75">
        <f>3.6*F4377</f>
        <v>83.61297499999999</v>
      </c>
      <c r="H4377" s="75">
        <f>'THAM_SO_MOI'!$D$53</f>
        <v>1.1</v>
      </c>
      <c r="I4377" s="75">
        <f>IF(F4377&gt;='THAM_SO_MOI'!$C$14,'THAM_SO_MOI'!$C$13*(1+F4377^2/1500),'THAM_SO_MOI'!$C$13)</f>
        <v>0.020394390114468076</v>
      </c>
      <c r="J4377" s="75">
        <f>'THAM_SO_MOI'!$C$40*('THAM_SO_MOI'!$C$23*(E4377/'THAM_SO_MOI'!$C$22)+'THAM_SO_MOI'!$C$24*(E4377/'THAM_SO_MOI'!$C$22)^2-'THAM_SO_MOI'!$C$25*(E4377/'THAM_SO_MOI'!$C$22)^3)</f>
        <v>102.88295033301416</v>
      </c>
      <c r="K4377" s="75">
        <f>'THAM_SO_MOI'!$C$31*J4377/E4377</f>
        <v>429.4111423598168</v>
      </c>
      <c r="L4377" s="75">
        <f>K4377*'THAM_SO_MOI'!$C$53*'THAM_SO_MOI'!$C$17/'THAM_SO_MOI'!$C$26</f>
        <v>3765.9373987678914</v>
      </c>
      <c r="M4377" s="75">
        <f>'THAM_SO_MOI'!$C$15*'THAM_SO_MOI'!$C$16*F4377^2</f>
        <v>1577.8591084819118</v>
      </c>
      <c r="N4377" s="75">
        <f>'THAM_SO_MOI'!$C$12*I4377</f>
        <v>1536.5296667361165</v>
      </c>
      <c r="O4377" s="75">
        <f>M4377+N4377</f>
        <v>3114.388775218028</v>
      </c>
      <c r="P4377" s="75">
        <f>(MIN(L4377,'THAM_SO_MOI'!$C$41)-O4377)/('THAM_SO_MOI'!$C$11*H4377)</f>
        <v>0.07712460032550462</v>
      </c>
      <c r="Q4377" s="75">
        <f>IF(P4377&gt;0,1/P4377,NA())</f>
        <v>12.966031535716189</v>
      </c>
      <c r="R4377" s="75">
        <f>F4377-F4376</f>
        <v>0.0035868055555532408</v>
      </c>
      <c r="S4377" s="75">
        <f>0.5*(Q4376+Q4377)*R4377</f>
        <v>0.046483481846607576</v>
      </c>
      <c r="T4377" s="75">
        <f>0.5*(F4376*Q4376+F4377*Q4377)*R4377</f>
        <v>1.0795339572359501</v>
      </c>
      <c r="U4377" s="76">
        <f>U4376+S4377</f>
        <v>73.56896958766909</v>
      </c>
      <c r="V4377" s="76">
        <f>V4376+T4377</f>
        <v>1198.999626092789</v>
      </c>
    </row>
    <row r="4378" spans="1:22" ht="19" customHeight="1">
      <c r="A4378" s="68" t="s">
        <v>378</v>
      </c>
      <c r="B4378" s="74">
        <v>5</v>
      </c>
      <c r="C4378" s="68" t="s">
        <v>363</v>
      </c>
      <c r="D4378" s="68" t="s">
        <v>365</v>
      </c>
      <c r="E4378" s="75">
        <f>60*F4378*'THAM_SO_MOI'!$C$53/(2*PI()*'THAM_SO_MOI'!$C$26)</f>
        <v>2288.7084999999997</v>
      </c>
      <c r="F4378" s="75">
        <f>'THAM_SO_MOI'!$C$14+('THAM_SO_MOI'!$C$37-'THAM_SO_MOI'!$C$14)*287/'THAM_SO_MOI'!$C$42</f>
        <v>23.229413194444444</v>
      </c>
      <c r="G4378" s="75">
        <f>3.6*F4378</f>
        <v>83.6258875</v>
      </c>
      <c r="H4378" s="75">
        <f>'THAM_SO_MOI'!$D$53</f>
        <v>1.1</v>
      </c>
      <c r="I4378" s="75">
        <f>IF(F4378&gt;='THAM_SO_MOI'!$C$14,'THAM_SO_MOI'!$C$13*(1+F4378^2/1500),'THAM_SO_MOI'!$C$13)</f>
        <v>0.020396056373582293</v>
      </c>
      <c r="J4378" s="75">
        <f>'THAM_SO_MOI'!$C$40*('THAM_SO_MOI'!$C$23*(E4378/'THAM_SO_MOI'!$C$22)+'THAM_SO_MOI'!$C$24*(E4378/'THAM_SO_MOI'!$C$22)^2-'THAM_SO_MOI'!$C$25*(E4378/'THAM_SO_MOI'!$C$22)^3)</f>
        <v>102.8978375423147</v>
      </c>
      <c r="K4378" s="75">
        <f>'THAM_SO_MOI'!$C$31*J4378/E4378</f>
        <v>429.4069642667685</v>
      </c>
      <c r="L4378" s="75">
        <f>K4378*'THAM_SO_MOI'!$C$53*'THAM_SO_MOI'!$C$17/'THAM_SO_MOI'!$C$26</f>
        <v>3765.900756875509</v>
      </c>
      <c r="M4378" s="75">
        <f>'THAM_SO_MOI'!$C$15*'THAM_SO_MOI'!$C$16*F4378^2</f>
        <v>1578.3464892728218</v>
      </c>
      <c r="N4378" s="75">
        <f>'THAM_SO_MOI'!$C$12*I4378</f>
        <v>1536.6552040307888</v>
      </c>
      <c r="O4378" s="75">
        <f>M4378+N4378</f>
        <v>3115.0016933036104</v>
      </c>
      <c r="P4378" s="75">
        <f>(MIN(L4378,'THAM_SO_MOI'!$C$41)-O4378)/('THAM_SO_MOI'!$C$11*H4378)</f>
        <v>0.07704771112356751</v>
      </c>
      <c r="Q4378" s="75">
        <f>IF(P4378&gt;0,1/P4378,NA())</f>
        <v>12.978970892415232</v>
      </c>
      <c r="R4378" s="75">
        <f>F4378-F4377</f>
        <v>0.0035868055555567935</v>
      </c>
      <c r="S4378" s="75">
        <f>0.5*(Q4377+Q4378)*R4378</f>
        <v>0.04652983942407814</v>
      </c>
      <c r="T4378" s="75">
        <f>0.5*(F4377*Q4377+F4378*Q4378)*R4378</f>
        <v>1.0807774607265583</v>
      </c>
      <c r="U4378" s="76">
        <f>U4377+S4378</f>
        <v>73.61549942709317</v>
      </c>
      <c r="V4378" s="76">
        <f>V4377+T4378</f>
        <v>1200.0804035535155</v>
      </c>
    </row>
    <row r="4379" spans="1:22" ht="19" customHeight="1">
      <c r="A4379" s="68" t="s">
        <v>378</v>
      </c>
      <c r="B4379" s="74">
        <v>5</v>
      </c>
      <c r="C4379" s="68" t="s">
        <v>363</v>
      </c>
      <c r="D4379" s="68" t="s">
        <v>365</v>
      </c>
      <c r="E4379" s="75">
        <f>60*F4379*'THAM_SO_MOI'!$C$53/(2*PI()*'THAM_SO_MOI'!$C$26)</f>
        <v>2289.0618947368416</v>
      </c>
      <c r="F4379" s="75">
        <f>'THAM_SO_MOI'!$C$14+('THAM_SO_MOI'!$C$37-'THAM_SO_MOI'!$C$14)*288/'THAM_SO_MOI'!$C$42</f>
        <v>23.233</v>
      </c>
      <c r="G4379" s="75">
        <f>3.6*F4379</f>
        <v>83.6388</v>
      </c>
      <c r="H4379" s="75">
        <f>'THAM_SO_MOI'!$D$53</f>
        <v>1.1</v>
      </c>
      <c r="I4379" s="75">
        <f>IF(F4379&gt;='THAM_SO_MOI'!$C$14,'THAM_SO_MOI'!$C$13*(1+F4379^2/1500),'THAM_SO_MOI'!$C$13)</f>
        <v>0.020397722889999997</v>
      </c>
      <c r="J4379" s="75">
        <f>'THAM_SO_MOI'!$C$40*('THAM_SO_MOI'!$C$23*(E4379/'THAM_SO_MOI'!$C$22)+'THAM_SO_MOI'!$C$24*(E4379/'THAM_SO_MOI'!$C$22)^2-'THAM_SO_MOI'!$C$25*(E4379/'THAM_SO_MOI'!$C$22)^3)</f>
        <v>102.91272153865802</v>
      </c>
      <c r="K4379" s="75">
        <f>'THAM_SO_MOI'!$C$31*J4379/E4379</f>
        <v>429.40277405773594</v>
      </c>
      <c r="L4379" s="75">
        <f>K4379*'THAM_SO_MOI'!$C$53*'THAM_SO_MOI'!$C$17/'THAM_SO_MOI'!$C$26</f>
        <v>3765.8640087258973</v>
      </c>
      <c r="M4379" s="75">
        <f>'THAM_SO_MOI'!$C$15*'THAM_SO_MOI'!$C$16*F4379^2</f>
        <v>1578.8339453250003</v>
      </c>
      <c r="N4379" s="75">
        <f>'THAM_SO_MOI'!$C$12*I4379</f>
        <v>1536.7807607109119</v>
      </c>
      <c r="O4379" s="75">
        <f>M4379+N4379</f>
        <v>3115.614706035912</v>
      </c>
      <c r="P4379" s="75">
        <f>(MIN(L4379,'THAM_SO_MOI'!$C$41)-O4379)/('THAM_SO_MOI'!$C$11*H4379)</f>
        <v>0.07697079814038653</v>
      </c>
      <c r="Q4379" s="75">
        <f>IF(P4379&gt;0,1/P4379,NA())</f>
        <v>12.991940114432834</v>
      </c>
      <c r="R4379" s="75">
        <f>F4379-F4378</f>
        <v>0.0035868055555567935</v>
      </c>
      <c r="S4379" s="75">
        <f>0.5*(Q4378+Q4379)*R4379</f>
        <v>0.04657630394111686</v>
      </c>
      <c r="T4379" s="75">
        <f>0.5*(F4378*Q4378+F4379*Q4379)*R4379</f>
        <v>1.0820237811039264</v>
      </c>
      <c r="U4379" s="76">
        <f>U4378+S4379</f>
        <v>73.66207573103429</v>
      </c>
      <c r="V4379" s="76">
        <f>V4378+T4379</f>
        <v>1201.1624273346195</v>
      </c>
    </row>
    <row r="4380" spans="1:22" ht="19" customHeight="1">
      <c r="A4380" s="68" t="s">
        <v>378</v>
      </c>
      <c r="B4380" s="74">
        <v>5</v>
      </c>
      <c r="C4380" s="68" t="s">
        <v>363</v>
      </c>
      <c r="D4380" s="68" t="s">
        <v>365</v>
      </c>
      <c r="E4380" s="75">
        <f>60*F4380*'THAM_SO_MOI'!$C$53/(2*PI()*'THAM_SO_MOI'!$C$26)</f>
        <v>2289.4152894736835</v>
      </c>
      <c r="F4380" s="75">
        <f>'THAM_SO_MOI'!$C$14+('THAM_SO_MOI'!$C$37-'THAM_SO_MOI'!$C$14)*289/'THAM_SO_MOI'!$C$42</f>
        <v>23.236586805555554</v>
      </c>
      <c r="G4380" s="75">
        <f>3.6*F4380</f>
        <v>83.6517125</v>
      </c>
      <c r="H4380" s="75">
        <f>'THAM_SO_MOI'!$D$53</f>
        <v>1.1</v>
      </c>
      <c r="I4380" s="75">
        <f>IF(F4380&gt;='THAM_SO_MOI'!$C$14,'THAM_SO_MOI'!$C$13*(1+F4380^2/1500),'THAM_SO_MOI'!$C$13)</f>
        <v>0.020399389663721183</v>
      </c>
      <c r="J4380" s="75">
        <f>'THAM_SO_MOI'!$C$40*('THAM_SO_MOI'!$C$23*(E4380/'THAM_SO_MOI'!$C$22)+'THAM_SO_MOI'!$C$24*(E4380/'THAM_SO_MOI'!$C$22)^2-'THAM_SO_MOI'!$C$25*(E4380/'THAM_SO_MOI'!$C$22)^3)</f>
        <v>102.9276023206992</v>
      </c>
      <c r="K4380" s="75">
        <f>'THAM_SO_MOI'!$C$31*J4380/E4380</f>
        <v>429.39857173271884</v>
      </c>
      <c r="L4380" s="75">
        <f>K4380*'THAM_SO_MOI'!$C$53*'THAM_SO_MOI'!$C$17/'THAM_SO_MOI'!$C$26</f>
        <v>3765.8271543190535</v>
      </c>
      <c r="M4380" s="75">
        <f>'THAM_SO_MOI'!$C$15*'THAM_SO_MOI'!$C$16*F4380^2</f>
        <v>1579.3214766384465</v>
      </c>
      <c r="N4380" s="75">
        <f>'THAM_SO_MOI'!$C$12*I4380</f>
        <v>1536.906336776485</v>
      </c>
      <c r="O4380" s="75">
        <f>M4380+N4380</f>
        <v>3116.2278134149315</v>
      </c>
      <c r="P4380" s="75">
        <f>(MIN(L4380,'THAM_SO_MOI'!$C$41)-O4380)/('THAM_SO_MOI'!$C$11*H4380)</f>
        <v>0.0768938613759614</v>
      </c>
      <c r="Q4380" s="75">
        <f>IF(P4380&gt;0,1/P4380,NA())</f>
        <v>13.004939303420398</v>
      </c>
      <c r="R4380" s="75">
        <f>F4380-F4379</f>
        <v>0.0035868055555532408</v>
      </c>
      <c r="S4380" s="75">
        <f>0.5*(Q4379+Q4380)*R4380</f>
        <v>0.046622875761501835</v>
      </c>
      <c r="T4380" s="75">
        <f>0.5*(F4379*Q4379+F4380*Q4380)*R4380</f>
        <v>1.083272927971078</v>
      </c>
      <c r="U4380" s="76">
        <f>U4379+S4380</f>
        <v>73.70869860679579</v>
      </c>
      <c r="V4380" s="76">
        <f>V4379+T4380</f>
        <v>1202.2457002625906</v>
      </c>
    </row>
    <row r="4381" spans="1:22" ht="19" customHeight="1">
      <c r="A4381" s="68" t="s">
        <v>378</v>
      </c>
      <c r="B4381" s="74">
        <v>5</v>
      </c>
      <c r="C4381" s="68" t="s">
        <v>363</v>
      </c>
      <c r="D4381" s="68" t="s">
        <v>365</v>
      </c>
      <c r="E4381" s="75">
        <f>60*F4381*'THAM_SO_MOI'!$C$53/(2*PI()*'THAM_SO_MOI'!$C$26)</f>
        <v>2289.7686842105254</v>
      </c>
      <c r="F4381" s="75">
        <f>'THAM_SO_MOI'!$C$14+('THAM_SO_MOI'!$C$37-'THAM_SO_MOI'!$C$14)*290/'THAM_SO_MOI'!$C$42</f>
        <v>23.24017361111111</v>
      </c>
      <c r="G4381" s="75">
        <f>3.6*F4381</f>
        <v>83.664625</v>
      </c>
      <c r="H4381" s="75">
        <f>'THAM_SO_MOI'!$D$53</f>
        <v>1.1</v>
      </c>
      <c r="I4381" s="75">
        <f>IF(F4381&gt;='THAM_SO_MOI'!$C$14,'THAM_SO_MOI'!$C$13*(1+F4381^2/1500),'THAM_SO_MOI'!$C$13)</f>
        <v>0.020401056694745852</v>
      </c>
      <c r="J4381" s="75">
        <f>'THAM_SO_MOI'!$C$40*('THAM_SO_MOI'!$C$23*(E4381/'THAM_SO_MOI'!$C$22)+'THAM_SO_MOI'!$C$24*(E4381/'THAM_SO_MOI'!$C$22)^2-'THAM_SO_MOI'!$C$25*(E4381/'THAM_SO_MOI'!$C$22)^3)</f>
        <v>102.94247988709336</v>
      </c>
      <c r="K4381" s="75">
        <f>'THAM_SO_MOI'!$C$31*J4381/E4381</f>
        <v>429.39435729171726</v>
      </c>
      <c r="L4381" s="75">
        <f>K4381*'THAM_SO_MOI'!$C$53*'THAM_SO_MOI'!$C$17/'THAM_SO_MOI'!$C$26</f>
        <v>3765.7901936549792</v>
      </c>
      <c r="M4381" s="75">
        <f>'THAM_SO_MOI'!$C$15*'THAM_SO_MOI'!$C$16*F4381^2</f>
        <v>1579.809083213162</v>
      </c>
      <c r="N4381" s="75">
        <f>'THAM_SO_MOI'!$C$12*I4381</f>
        <v>1537.0319322275084</v>
      </c>
      <c r="O4381" s="75">
        <f>M4381+N4381</f>
        <v>3116.84101544067</v>
      </c>
      <c r="P4381" s="75">
        <f>(MIN(L4381,'THAM_SO_MOI'!$C$41)-O4381)/('THAM_SO_MOI'!$C$11*H4381)</f>
        <v>0.07681690083029225</v>
      </c>
      <c r="Q4381" s="75">
        <f>IF(P4381&gt;0,1/P4381,NA())</f>
        <v>13.01796856149209</v>
      </c>
      <c r="R4381" s="75">
        <f>F4381-F4380</f>
        <v>0.0035868055555567935</v>
      </c>
      <c r="S4381" s="75">
        <f>0.5*(Q4380+Q4381)*R4381</f>
        <v>0.04666955525080535</v>
      </c>
      <c r="T4381" s="75">
        <f>0.5*(F4380*Q4380+F4381*Q4381)*R4381</f>
        <v>1.0845249109779522</v>
      </c>
      <c r="U4381" s="76">
        <f>U4380+S4381</f>
        <v>73.7553681620466</v>
      </c>
      <c r="V4381" s="76">
        <f>V4380+T4381</f>
        <v>1203.3302251735686</v>
      </c>
    </row>
    <row r="4382" spans="1:22" ht="19" customHeight="1">
      <c r="A4382" s="68" t="s">
        <v>378</v>
      </c>
      <c r="B4382" s="74">
        <v>5</v>
      </c>
      <c r="C4382" s="68" t="s">
        <v>363</v>
      </c>
      <c r="D4382" s="68" t="s">
        <v>365</v>
      </c>
      <c r="E4382" s="75">
        <f>60*F4382*'THAM_SO_MOI'!$C$53/(2*PI()*'THAM_SO_MOI'!$C$26)</f>
        <v>2290.1220789473678</v>
      </c>
      <c r="F4382" s="75">
        <f>'THAM_SO_MOI'!$C$14+('THAM_SO_MOI'!$C$37-'THAM_SO_MOI'!$C$14)*291/'THAM_SO_MOI'!$C$42</f>
        <v>23.243760416666667</v>
      </c>
      <c r="G4382" s="75">
        <f>3.6*F4382</f>
        <v>83.6775375</v>
      </c>
      <c r="H4382" s="75">
        <f>'THAM_SO_MOI'!$D$53</f>
        <v>1.1</v>
      </c>
      <c r="I4382" s="75">
        <f>IF(F4382&gt;='THAM_SO_MOI'!$C$14,'THAM_SO_MOI'!$C$13*(1+F4382^2/1500),'THAM_SO_MOI'!$C$13)</f>
        <v>0.020402723983074002</v>
      </c>
      <c r="J4382" s="75">
        <f>'THAM_SO_MOI'!$C$40*('THAM_SO_MOI'!$C$23*(E4382/'THAM_SO_MOI'!$C$22)+'THAM_SO_MOI'!$C$24*(E4382/'THAM_SO_MOI'!$C$22)^2-'THAM_SO_MOI'!$C$25*(E4382/'THAM_SO_MOI'!$C$22)^3)</f>
        <v>102.95735423649568</v>
      </c>
      <c r="K4382" s="75">
        <f>'THAM_SO_MOI'!$C$31*J4382/E4382</f>
        <v>429.39013073473126</v>
      </c>
      <c r="L4382" s="75">
        <f>K4382*'THAM_SO_MOI'!$C$53*'THAM_SO_MOI'!$C$17/'THAM_SO_MOI'!$C$26</f>
        <v>3765.7531267336735</v>
      </c>
      <c r="M4382" s="75">
        <f>'THAM_SO_MOI'!$C$15*'THAM_SO_MOI'!$C$16*F4382^2</f>
        <v>1580.2967650491457</v>
      </c>
      <c r="N4382" s="75">
        <f>'THAM_SO_MOI'!$C$12*I4382</f>
        <v>1537.1575470639818</v>
      </c>
      <c r="O4382" s="75">
        <f>M4382+N4382</f>
        <v>3117.4543121131273</v>
      </c>
      <c r="P4382" s="75">
        <f>(MIN(L4382,'THAM_SO_MOI'!$C$41)-O4382)/('THAM_SO_MOI'!$C$11*H4382)</f>
        <v>0.07673991650337905</v>
      </c>
      <c r="Q4382" s="75">
        <f>IF(P4382&gt;0,1/P4382,NA())</f>
        <v>13.031027991227583</v>
      </c>
      <c r="R4382" s="75">
        <f>F4382-F4381</f>
        <v>0.0035868055555567935</v>
      </c>
      <c r="S4382" s="75">
        <f>0.5*(Q4381+Q4382)*R4382</f>
        <v>0.04671634277598734</v>
      </c>
      <c r="T4382" s="75">
        <f>0.5*(F4381*Q4381+F4382*Q4382)*R4382</f>
        <v>1.0857797398119837</v>
      </c>
      <c r="U4382" s="76">
        <f>U4381+S4382</f>
        <v>73.80208450482259</v>
      </c>
      <c r="V4382" s="76">
        <f>V4381+T4382</f>
        <v>1204.4160049133807</v>
      </c>
    </row>
    <row r="4383" spans="1:22" ht="19" customHeight="1">
      <c r="A4383" s="68" t="s">
        <v>378</v>
      </c>
      <c r="B4383" s="74">
        <v>5</v>
      </c>
      <c r="C4383" s="68" t="s">
        <v>363</v>
      </c>
      <c r="D4383" s="68" t="s">
        <v>365</v>
      </c>
      <c r="E4383" s="75">
        <f>60*F4383*'THAM_SO_MOI'!$C$53/(2*PI()*'THAM_SO_MOI'!$C$26)</f>
        <v>2290.47547368421</v>
      </c>
      <c r="F4383" s="75">
        <f>'THAM_SO_MOI'!$C$14+('THAM_SO_MOI'!$C$37-'THAM_SO_MOI'!$C$14)*292/'THAM_SO_MOI'!$C$42</f>
        <v>23.24734722222222</v>
      </c>
      <c r="G4383" s="75">
        <f>3.6*F4383</f>
        <v>83.69045</v>
      </c>
      <c r="H4383" s="75">
        <f>'THAM_SO_MOI'!$D$53</f>
        <v>1.1</v>
      </c>
      <c r="I4383" s="75">
        <f>IF(F4383&gt;='THAM_SO_MOI'!$C$14,'THAM_SO_MOI'!$C$13*(1+F4383^2/1500),'THAM_SO_MOI'!$C$13)</f>
        <v>0.020404391528705632</v>
      </c>
      <c r="J4383" s="75">
        <f>'THAM_SO_MOI'!$C$40*('THAM_SO_MOI'!$C$23*(E4383/'THAM_SO_MOI'!$C$22)+'THAM_SO_MOI'!$C$24*(E4383/'THAM_SO_MOI'!$C$22)^2-'THAM_SO_MOI'!$C$25*(E4383/'THAM_SO_MOI'!$C$22)^3)</f>
        <v>102.97222536756122</v>
      </c>
      <c r="K4383" s="75">
        <f>'THAM_SO_MOI'!$C$31*J4383/E4383</f>
        <v>429.38589206176084</v>
      </c>
      <c r="L4383" s="75">
        <f>K4383*'THAM_SO_MOI'!$C$53*'THAM_SO_MOI'!$C$17/'THAM_SO_MOI'!$C$26</f>
        <v>3765.7159535551373</v>
      </c>
      <c r="M4383" s="75">
        <f>'THAM_SO_MOI'!$C$15*'THAM_SO_MOI'!$C$16*F4383^2</f>
        <v>1580.7845221463974</v>
      </c>
      <c r="N4383" s="75">
        <f>'THAM_SO_MOI'!$C$12*I4383</f>
        <v>1537.2831812859054</v>
      </c>
      <c r="O4383" s="75">
        <f>M4383+N4383</f>
        <v>3118.0677034323026</v>
      </c>
      <c r="P4383" s="75">
        <f>(MIN(L4383,'THAM_SO_MOI'!$C$41)-O4383)/('THAM_SO_MOI'!$C$11*H4383)</f>
        <v>0.07666290839522186</v>
      </c>
      <c r="Q4383" s="75">
        <f>IF(P4383&gt;0,1/P4383,NA())</f>
        <v>13.044117695674675</v>
      </c>
      <c r="R4383" s="75">
        <f>F4383-F4382</f>
        <v>0.0035868055555532408</v>
      </c>
      <c r="S4383" s="75">
        <f>0.5*(Q4382+Q4383)*R4383</f>
        <v>0.046763238705820574</v>
      </c>
      <c r="T4383" s="75">
        <f>0.5*(F4382*Q4382+F4383*Q4383)*R4383</f>
        <v>1.0870374242080114</v>
      </c>
      <c r="U4383" s="76">
        <f>U4382+S4383</f>
        <v>73.84884774352841</v>
      </c>
      <c r="V4383" s="76">
        <f>V4382+T4383</f>
        <v>1205.5030423375888</v>
      </c>
    </row>
    <row r="4384" spans="1:22" ht="19" customHeight="1">
      <c r="A4384" s="68" t="s">
        <v>378</v>
      </c>
      <c r="B4384" s="74">
        <v>5</v>
      </c>
      <c r="C4384" s="68" t="s">
        <v>363</v>
      </c>
      <c r="D4384" s="68" t="s">
        <v>365</v>
      </c>
      <c r="E4384" s="75">
        <f>60*F4384*'THAM_SO_MOI'!$C$53/(2*PI()*'THAM_SO_MOI'!$C$26)</f>
        <v>2290.8288684210524</v>
      </c>
      <c r="F4384" s="75">
        <f>'THAM_SO_MOI'!$C$14+('THAM_SO_MOI'!$C$37-'THAM_SO_MOI'!$C$14)*293/'THAM_SO_MOI'!$C$42</f>
        <v>23.250934027777777</v>
      </c>
      <c r="G4384" s="75">
        <f>3.6*F4384</f>
        <v>83.7033625</v>
      </c>
      <c r="H4384" s="75">
        <f>'THAM_SO_MOI'!$D$53</f>
        <v>1.1</v>
      </c>
      <c r="I4384" s="75">
        <f>IF(F4384&gt;='THAM_SO_MOI'!$C$14,'THAM_SO_MOI'!$C$13*(1+F4384^2/1500),'THAM_SO_MOI'!$C$13)</f>
        <v>0.020406059331640743</v>
      </c>
      <c r="J4384" s="75">
        <f>'THAM_SO_MOI'!$C$40*('THAM_SO_MOI'!$C$23*(E4384/'THAM_SO_MOI'!$C$22)+'THAM_SO_MOI'!$C$24*(E4384/'THAM_SO_MOI'!$C$22)^2-'THAM_SO_MOI'!$C$25*(E4384/'THAM_SO_MOI'!$C$22)^3)</f>
        <v>102.98709327894504</v>
      </c>
      <c r="K4384" s="75">
        <f>'THAM_SO_MOI'!$C$31*J4384/E4384</f>
        <v>429.3816412728058</v>
      </c>
      <c r="L4384" s="75">
        <f>K4384*'THAM_SO_MOI'!$C$53*'THAM_SO_MOI'!$C$17/'THAM_SO_MOI'!$C$26</f>
        <v>3765.6786741193678</v>
      </c>
      <c r="M4384" s="75">
        <f>'THAM_SO_MOI'!$C$15*'THAM_SO_MOI'!$C$16*F4384^2</f>
        <v>1581.272354504918</v>
      </c>
      <c r="N4384" s="75">
        <f>'THAM_SO_MOI'!$C$12*I4384</f>
        <v>1537.408834893279</v>
      </c>
      <c r="O4384" s="75">
        <f>M4384+N4384</f>
        <v>3118.6811893981967</v>
      </c>
      <c r="P4384" s="75">
        <f>(MIN(L4384,'THAM_SO_MOI'!$C$41)-O4384)/('THAM_SO_MOI'!$C$11*H4384)</f>
        <v>0.07658587650582041</v>
      </c>
      <c r="Q4384" s="75">
        <f>IF(P4384&gt;0,1/P4384,NA())</f>
        <v>13.057237778352011</v>
      </c>
      <c r="R4384" s="75">
        <f>F4384-F4383</f>
        <v>0.0035868055555567935</v>
      </c>
      <c r="S4384" s="75">
        <f>0.5*(Q4383+Q4384)*R4384</f>
        <v>0.04681024341090082</v>
      </c>
      <c r="T4384" s="75">
        <f>0.5*(F4383*Q4383+F4384*Q4384)*R4384</f>
        <v>1.0882979739485497</v>
      </c>
      <c r="U4384" s="76">
        <f>U4383+S4384</f>
        <v>73.89565798693931</v>
      </c>
      <c r="V4384" s="76">
        <f>V4383+T4384</f>
        <v>1206.5913403115374</v>
      </c>
    </row>
    <row r="4385" spans="1:22" ht="19" customHeight="1">
      <c r="A4385" s="68" t="s">
        <v>378</v>
      </c>
      <c r="B4385" s="74">
        <v>5</v>
      </c>
      <c r="C4385" s="68" t="s">
        <v>363</v>
      </c>
      <c r="D4385" s="68" t="s">
        <v>365</v>
      </c>
      <c r="E4385" s="75">
        <f>60*F4385*'THAM_SO_MOI'!$C$53/(2*PI()*'THAM_SO_MOI'!$C$26)</f>
        <v>2291.182263157894</v>
      </c>
      <c r="F4385" s="75">
        <f>'THAM_SO_MOI'!$C$14+('THAM_SO_MOI'!$C$37-'THAM_SO_MOI'!$C$14)*294/'THAM_SO_MOI'!$C$42</f>
        <v>23.25452083333333</v>
      </c>
      <c r="G4385" s="75">
        <f>3.6*F4385</f>
        <v>83.716275</v>
      </c>
      <c r="H4385" s="75">
        <f>'THAM_SO_MOI'!$D$53</f>
        <v>1.1</v>
      </c>
      <c r="I4385" s="75">
        <f>IF(F4385&gt;='THAM_SO_MOI'!$C$14,'THAM_SO_MOI'!$C$13*(1+F4385^2/1500),'THAM_SO_MOI'!$C$13)</f>
        <v>0.02040772739187934</v>
      </c>
      <c r="J4385" s="75">
        <f>'THAM_SO_MOI'!$C$40*('THAM_SO_MOI'!$C$23*(E4385/'THAM_SO_MOI'!$C$22)+'THAM_SO_MOI'!$C$24*(E4385/'THAM_SO_MOI'!$C$22)^2-'THAM_SO_MOI'!$C$25*(E4385/'THAM_SO_MOI'!$C$22)^3)</f>
        <v>103.00195796930228</v>
      </c>
      <c r="K4385" s="75">
        <f>'THAM_SO_MOI'!$C$31*J4385/E4385</f>
        <v>429.3773783678664</v>
      </c>
      <c r="L4385" s="75">
        <f>K4385*'THAM_SO_MOI'!$C$53*'THAM_SO_MOI'!$C$17/'THAM_SO_MOI'!$C$26</f>
        <v>3765.641288426369</v>
      </c>
      <c r="M4385" s="75">
        <f>'THAM_SO_MOI'!$C$15*'THAM_SO_MOI'!$C$16*F4385^2</f>
        <v>1581.7602621247067</v>
      </c>
      <c r="N4385" s="75">
        <f>'THAM_SO_MOI'!$C$12*I4385</f>
        <v>1537.534507886103</v>
      </c>
      <c r="O4385" s="75">
        <f>M4385+N4385</f>
        <v>3119.2947700108098</v>
      </c>
      <c r="P4385" s="75">
        <f>(MIN(L4385,'THAM_SO_MOI'!$C$41)-O4385)/('THAM_SO_MOI'!$C$11*H4385)</f>
        <v>0.07650882083517509</v>
      </c>
      <c r="Q4385" s="75">
        <f>IF(P4385&gt;0,1/P4385,NA())</f>
        <v>13.070388343251631</v>
      </c>
      <c r="R4385" s="75">
        <f>F4385-F4384</f>
        <v>0.0035868055555532408</v>
      </c>
      <c r="S4385" s="75">
        <f>0.5*(Q4384+Q4385)*R4385</f>
        <v>0.046857357263192956</v>
      </c>
      <c r="T4385" s="75">
        <f>0.5*(F4384*Q4384+F4385*Q4385)*R4385</f>
        <v>1.0895613988532653</v>
      </c>
      <c r="U4385" s="76">
        <f>U4384+S4385</f>
        <v>73.9425153442025</v>
      </c>
      <c r="V4385" s="76">
        <f>V4384+T4385</f>
        <v>1207.6809017103906</v>
      </c>
    </row>
    <row r="4386" spans="1:22" ht="19" customHeight="1">
      <c r="A4386" s="68" t="s">
        <v>378</v>
      </c>
      <c r="B4386" s="74">
        <v>5</v>
      </c>
      <c r="C4386" s="68" t="s">
        <v>363</v>
      </c>
      <c r="D4386" s="68" t="s">
        <v>365</v>
      </c>
      <c r="E4386" s="75">
        <f>60*F4386*'THAM_SO_MOI'!$C$53/(2*PI()*'THAM_SO_MOI'!$C$26)</f>
        <v>2291.5356578947362</v>
      </c>
      <c r="F4386" s="75">
        <f>'THAM_SO_MOI'!$C$14+('THAM_SO_MOI'!$C$37-'THAM_SO_MOI'!$C$14)*295/'THAM_SO_MOI'!$C$42</f>
        <v>23.258107638888887</v>
      </c>
      <c r="G4386" s="75">
        <f>3.6*F4386</f>
        <v>83.7291875</v>
      </c>
      <c r="H4386" s="75">
        <f>'THAM_SO_MOI'!$D$53</f>
        <v>1.1</v>
      </c>
      <c r="I4386" s="75">
        <f>IF(F4386&gt;='THAM_SO_MOI'!$C$14,'THAM_SO_MOI'!$C$13*(1+F4386^2/1500),'THAM_SO_MOI'!$C$13)</f>
        <v>0.020409395709421414</v>
      </c>
      <c r="J4386" s="75">
        <f>'THAM_SO_MOI'!$C$40*('THAM_SO_MOI'!$C$23*(E4386/'THAM_SO_MOI'!$C$22)+'THAM_SO_MOI'!$C$24*(E4386/'THAM_SO_MOI'!$C$22)^2-'THAM_SO_MOI'!$C$25*(E4386/'THAM_SO_MOI'!$C$22)^3)</f>
        <v>103.01681943728815</v>
      </c>
      <c r="K4386" s="75">
        <f>'THAM_SO_MOI'!$C$31*J4386/E4386</f>
        <v>429.3731033469427</v>
      </c>
      <c r="L4386" s="75">
        <f>K4386*'THAM_SO_MOI'!$C$53*'THAM_SO_MOI'!$C$17/'THAM_SO_MOI'!$C$26</f>
        <v>3765.60379647614</v>
      </c>
      <c r="M4386" s="75">
        <f>'THAM_SO_MOI'!$C$15*'THAM_SO_MOI'!$C$16*F4386^2</f>
        <v>1582.2482450057646</v>
      </c>
      <c r="N4386" s="75">
        <f>'THAM_SO_MOI'!$C$12*I4386</f>
        <v>1537.660200264377</v>
      </c>
      <c r="O4386" s="75">
        <f>M4386+N4386</f>
        <v>3119.908445270142</v>
      </c>
      <c r="P4386" s="75">
        <f>(MIN(L4386,'THAM_SO_MOI'!$C$41)-O4386)/('THAM_SO_MOI'!$C$11*H4386)</f>
        <v>0.07643174138328579</v>
      </c>
      <c r="Q4386" s="75">
        <f>IF(P4386&gt;0,1/P4386,NA())</f>
        <v>13.083569494841859</v>
      </c>
      <c r="R4386" s="75">
        <f>F4386-F4385</f>
        <v>0.0035868055555567935</v>
      </c>
      <c r="S4386" s="75">
        <f>0.5*(Q4385+Q4386)*R4386</f>
        <v>0.046904580636735936</v>
      </c>
      <c r="T4386" s="75">
        <f>0.5*(F4385*Q4385+F4386*Q4386)*R4386</f>
        <v>1.090827708795396</v>
      </c>
      <c r="U4386" s="76">
        <f>U4385+S4386</f>
        <v>73.98941992483924</v>
      </c>
      <c r="V4386" s="76">
        <f>V4385+T4386</f>
        <v>1208.771729419186</v>
      </c>
    </row>
    <row r="4387" spans="1:22" ht="19" customHeight="1">
      <c r="A4387" s="68" t="s">
        <v>378</v>
      </c>
      <c r="B4387" s="74">
        <v>5</v>
      </c>
      <c r="C4387" s="68" t="s">
        <v>363</v>
      </c>
      <c r="D4387" s="68" t="s">
        <v>365</v>
      </c>
      <c r="E4387" s="75">
        <f>60*F4387*'THAM_SO_MOI'!$C$53/(2*PI()*'THAM_SO_MOI'!$C$26)</f>
        <v>2291.889052631578</v>
      </c>
      <c r="F4387" s="75">
        <f>'THAM_SO_MOI'!$C$14+('THAM_SO_MOI'!$C$37-'THAM_SO_MOI'!$C$14)*296/'THAM_SO_MOI'!$C$42</f>
        <v>23.261694444444444</v>
      </c>
      <c r="G4387" s="75">
        <f>3.6*F4387</f>
        <v>83.74210000000001</v>
      </c>
      <c r="H4387" s="75">
        <f>'THAM_SO_MOI'!$D$53</f>
        <v>1.1</v>
      </c>
      <c r="I4387" s="75">
        <f>IF(F4387&gt;='THAM_SO_MOI'!$C$14,'THAM_SO_MOI'!$C$13*(1+F4387^2/1500),'THAM_SO_MOI'!$C$13)</f>
        <v>0.020411064284266974</v>
      </c>
      <c r="J4387" s="75">
        <f>'THAM_SO_MOI'!$C$40*('THAM_SO_MOI'!$C$23*(E4387/'THAM_SO_MOI'!$C$22)+'THAM_SO_MOI'!$C$24*(E4387/'THAM_SO_MOI'!$C$22)^2-'THAM_SO_MOI'!$C$25*(E4387/'THAM_SO_MOI'!$C$22)^3)</f>
        <v>103.03167768155762</v>
      </c>
      <c r="K4387" s="75">
        <f>'THAM_SO_MOI'!$C$31*J4387/E4387</f>
        <v>429.3688162100344</v>
      </c>
      <c r="L4387" s="75">
        <f>K4387*'THAM_SO_MOI'!$C$53*'THAM_SO_MOI'!$C$17/'THAM_SO_MOI'!$C$26</f>
        <v>3765.566198268679</v>
      </c>
      <c r="M4387" s="75">
        <f>'THAM_SO_MOI'!$C$15*'THAM_SO_MOI'!$C$16*F4387^2</f>
        <v>1582.7363031480904</v>
      </c>
      <c r="N4387" s="75">
        <f>'THAM_SO_MOI'!$C$12*I4387</f>
        <v>1537.7859120281014</v>
      </c>
      <c r="O4387" s="75">
        <f>M4387+N4387</f>
        <v>3120.522215176192</v>
      </c>
      <c r="P4387" s="75">
        <f>(MIN(L4387,'THAM_SO_MOI'!$C$41)-O4387)/('THAM_SO_MOI'!$C$11*H4387)</f>
        <v>0.07635463815015234</v>
      </c>
      <c r="Q4387" s="75">
        <f>IF(P4387&gt;0,1/P4387,NA())</f>
        <v>13.096781338069963</v>
      </c>
      <c r="R4387" s="75">
        <f>F4387-F4386</f>
        <v>0.0035868055555567935</v>
      </c>
      <c r="S4387" s="75">
        <f>0.5*(Q4386+Q4387)*R4387</f>
        <v>0.04695191390695702</v>
      </c>
      <c r="T4387" s="75">
        <f>0.5*(F4386*Q4386+F4387*Q4387)*R4387</f>
        <v>1.0920969136858392</v>
      </c>
      <c r="U4387" s="76">
        <f>U4386+S4387</f>
        <v>74.03637183874619</v>
      </c>
      <c r="V4387" s="76">
        <f>V4386+T4387</f>
        <v>1209.8638263328717</v>
      </c>
    </row>
    <row r="4388" spans="1:22" ht="19" customHeight="1">
      <c r="A4388" s="68" t="s">
        <v>378</v>
      </c>
      <c r="B4388" s="74">
        <v>5</v>
      </c>
      <c r="C4388" s="68" t="s">
        <v>363</v>
      </c>
      <c r="D4388" s="68" t="s">
        <v>365</v>
      </c>
      <c r="E4388" s="75">
        <f>60*F4388*'THAM_SO_MOI'!$C$53/(2*PI()*'THAM_SO_MOI'!$C$26)</f>
        <v>2292.2424473684205</v>
      </c>
      <c r="F4388" s="75">
        <f>'THAM_SO_MOI'!$C$14+('THAM_SO_MOI'!$C$37-'THAM_SO_MOI'!$C$14)*297/'THAM_SO_MOI'!$C$42</f>
        <v>23.265281249999997</v>
      </c>
      <c r="G4388" s="75">
        <f>3.6*F4388</f>
        <v>83.75501249999999</v>
      </c>
      <c r="H4388" s="75">
        <f>'THAM_SO_MOI'!$D$53</f>
        <v>1.1</v>
      </c>
      <c r="I4388" s="75">
        <f>IF(F4388&gt;='THAM_SO_MOI'!$C$14,'THAM_SO_MOI'!$C$13*(1+F4388^2/1500),'THAM_SO_MOI'!$C$13)</f>
        <v>0.020412733116416015</v>
      </c>
      <c r="J4388" s="75">
        <f>'THAM_SO_MOI'!$C$40*('THAM_SO_MOI'!$C$23*(E4388/'THAM_SO_MOI'!$C$22)+'THAM_SO_MOI'!$C$24*(E4388/'THAM_SO_MOI'!$C$22)^2-'THAM_SO_MOI'!$C$25*(E4388/'THAM_SO_MOI'!$C$22)^3)</f>
        <v>103.04653270076588</v>
      </c>
      <c r="K4388" s="75">
        <f>'THAM_SO_MOI'!$C$31*J4388/E4388</f>
        <v>429.36451695714163</v>
      </c>
      <c r="L4388" s="75">
        <f>K4388*'THAM_SO_MOI'!$C$53*'THAM_SO_MOI'!$C$17/'THAM_SO_MOI'!$C$26</f>
        <v>3765.5284938039867</v>
      </c>
      <c r="M4388" s="75">
        <f>'THAM_SO_MOI'!$C$15*'THAM_SO_MOI'!$C$16*F4388^2</f>
        <v>1583.2244365516844</v>
      </c>
      <c r="N4388" s="75">
        <f>'THAM_SO_MOI'!$C$12*I4388</f>
        <v>1537.9116431772757</v>
      </c>
      <c r="O4388" s="75">
        <f>M4388+N4388</f>
        <v>3121.13607972896</v>
      </c>
      <c r="P4388" s="75">
        <f>(MIN(L4388,'THAM_SO_MOI'!$C$41)-O4388)/('THAM_SO_MOI'!$C$11*H4388)</f>
        <v>0.07627751113577494</v>
      </c>
      <c r="Q4388" s="75">
        <f>IF(P4388&gt;0,1/P4388,NA())</f>
        <v>13.110023978364833</v>
      </c>
      <c r="R4388" s="75">
        <f>F4388-F4387</f>
        <v>0.0035868055555532408</v>
      </c>
      <c r="S4388" s="75">
        <f>0.5*(Q4387+Q4388)*R4388</f>
        <v>0.046999357451145266</v>
      </c>
      <c r="T4388" s="75">
        <f>0.5*(F4387*Q4387+F4388*Q4388)*R4388</f>
        <v>1.0933690234841893</v>
      </c>
      <c r="U4388" s="76">
        <f>U4387+S4388</f>
        <v>74.08337119619733</v>
      </c>
      <c r="V4388" s="76">
        <f>V4387+T4388</f>
        <v>1210.957195356356</v>
      </c>
    </row>
    <row r="4389" spans="1:22" ht="19" customHeight="1">
      <c r="A4389" s="68" t="s">
        <v>378</v>
      </c>
      <c r="B4389" s="74">
        <v>5</v>
      </c>
      <c r="C4389" s="68" t="s">
        <v>363</v>
      </c>
      <c r="D4389" s="68" t="s">
        <v>365</v>
      </c>
      <c r="E4389" s="75">
        <f>60*F4389*'THAM_SO_MOI'!$C$53/(2*PI()*'THAM_SO_MOI'!$C$26)</f>
        <v>2292.595842105263</v>
      </c>
      <c r="F4389" s="75">
        <f>'THAM_SO_MOI'!$C$14+('THAM_SO_MOI'!$C$37-'THAM_SO_MOI'!$C$14)*298/'THAM_SO_MOI'!$C$42</f>
        <v>23.268868055555554</v>
      </c>
      <c r="G4389" s="75">
        <f>3.6*F4389</f>
        <v>83.76792499999999</v>
      </c>
      <c r="H4389" s="75">
        <f>'THAM_SO_MOI'!$D$53</f>
        <v>1.1</v>
      </c>
      <c r="I4389" s="75">
        <f>IF(F4389&gt;='THAM_SO_MOI'!$C$14,'THAM_SO_MOI'!$C$13*(1+F4389^2/1500),'THAM_SO_MOI'!$C$13)</f>
        <v>0.020414402205868536</v>
      </c>
      <c r="J4389" s="75">
        <f>'THAM_SO_MOI'!$C$40*('THAM_SO_MOI'!$C$23*(E4389/'THAM_SO_MOI'!$C$22)+'THAM_SO_MOI'!$C$24*(E4389/'THAM_SO_MOI'!$C$22)^2-'THAM_SO_MOI'!$C$25*(E4389/'THAM_SO_MOI'!$C$22)^3)</f>
        <v>103.06138449356801</v>
      </c>
      <c r="K4389" s="75">
        <f>'THAM_SO_MOI'!$C$31*J4389/E4389</f>
        <v>429.3602055882644</v>
      </c>
      <c r="L4389" s="75">
        <f>K4389*'THAM_SO_MOI'!$C$53*'THAM_SO_MOI'!$C$17/'THAM_SO_MOI'!$C$26</f>
        <v>3765.490683082063</v>
      </c>
      <c r="M4389" s="75">
        <f>'THAM_SO_MOI'!$C$15*'THAM_SO_MOI'!$C$16*F4389^2</f>
        <v>1583.7126452165471</v>
      </c>
      <c r="N4389" s="75">
        <f>'THAM_SO_MOI'!$C$12*I4389</f>
        <v>1538.0373937119002</v>
      </c>
      <c r="O4389" s="75">
        <f>M4389+N4389</f>
        <v>3121.7500389284473</v>
      </c>
      <c r="P4389" s="75">
        <f>(MIN(L4389,'THAM_SO_MOI'!$C$41)-O4389)/('THAM_SO_MOI'!$C$11*H4389)</f>
        <v>0.07620036034015334</v>
      </c>
      <c r="Q4389" s="75">
        <f>IF(P4389&gt;0,1/P4389,NA())</f>
        <v>13.123297521639877</v>
      </c>
      <c r="R4389" s="75">
        <f>F4389-F4388</f>
        <v>0.0035868055555567935</v>
      </c>
      <c r="S4389" s="75">
        <f>0.5*(Q4388+Q4389)*R4389</f>
        <v>0.047046911648462184</v>
      </c>
      <c r="T4389" s="75">
        <f>0.5*(F4388*Q4388+F4389*Q4389)*R4389</f>
        <v>1.0946440481990212</v>
      </c>
      <c r="U4389" s="76">
        <f>U4388+S4389</f>
        <v>74.1304181078458</v>
      </c>
      <c r="V4389" s="76">
        <f>V4388+T4389</f>
        <v>1212.0518394045548</v>
      </c>
    </row>
    <row r="4390" spans="1:22" ht="19" customHeight="1">
      <c r="A4390" s="68" t="s">
        <v>378</v>
      </c>
      <c r="B4390" s="74">
        <v>5</v>
      </c>
      <c r="C4390" s="68" t="s">
        <v>363</v>
      </c>
      <c r="D4390" s="68" t="s">
        <v>365</v>
      </c>
      <c r="E4390" s="75">
        <f>60*F4390*'THAM_SO_MOI'!$C$53/(2*PI()*'THAM_SO_MOI'!$C$26)</f>
        <v>2292.949236842105</v>
      </c>
      <c r="F4390" s="75">
        <f>'THAM_SO_MOI'!$C$14+('THAM_SO_MOI'!$C$37-'THAM_SO_MOI'!$C$14)*299/'THAM_SO_MOI'!$C$42</f>
        <v>23.27245486111111</v>
      </c>
      <c r="G4390" s="75">
        <f>3.6*F4390</f>
        <v>83.7808375</v>
      </c>
      <c r="H4390" s="75">
        <f>'THAM_SO_MOI'!$D$53</f>
        <v>1.1</v>
      </c>
      <c r="I4390" s="75">
        <f>IF(F4390&gt;='THAM_SO_MOI'!$C$14,'THAM_SO_MOI'!$C$13*(1+F4390^2/1500),'THAM_SO_MOI'!$C$13)</f>
        <v>0.02041607155262454</v>
      </c>
      <c r="J4390" s="75">
        <f>'THAM_SO_MOI'!$C$40*('THAM_SO_MOI'!$C$23*(E4390/'THAM_SO_MOI'!$C$22)+'THAM_SO_MOI'!$C$24*(E4390/'THAM_SO_MOI'!$C$22)^2-'THAM_SO_MOI'!$C$25*(E4390/'THAM_SO_MOI'!$C$22)^3)</f>
        <v>103.07623305861912</v>
      </c>
      <c r="K4390" s="75">
        <f>'THAM_SO_MOI'!$C$31*J4390/E4390</f>
        <v>429.3558821034027</v>
      </c>
      <c r="L4390" s="75">
        <f>K4390*'THAM_SO_MOI'!$C$53*'THAM_SO_MOI'!$C$17/'THAM_SO_MOI'!$C$26</f>
        <v>3765.4527661029083</v>
      </c>
      <c r="M4390" s="75">
        <f>'THAM_SO_MOI'!$C$15*'THAM_SO_MOI'!$C$16*F4390^2</f>
        <v>1584.2009291426787</v>
      </c>
      <c r="N4390" s="75">
        <f>'THAM_SO_MOI'!$C$12*I4390</f>
        <v>1538.163163631975</v>
      </c>
      <c r="O4390" s="75">
        <f>M4390+N4390</f>
        <v>3122.3640927746537</v>
      </c>
      <c r="P4390" s="75">
        <f>(MIN(L4390,'THAM_SO_MOI'!$C$41)-O4390)/('THAM_SO_MOI'!$C$11*H4390)</f>
        <v>0.07612318576328768</v>
      </c>
      <c r="Q4390" s="75">
        <f>IF(P4390&gt;0,1/P4390,NA())</f>
        <v>13.136602074295675</v>
      </c>
      <c r="R4390" s="75">
        <f>F4390-F4389</f>
        <v>0.0035868055555567935</v>
      </c>
      <c r="S4390" s="75">
        <f>0.5*(Q4389+Q4390)*R4390</f>
        <v>0.04709457687953261</v>
      </c>
      <c r="T4390" s="75">
        <f>0.5*(F4389*Q4389+F4390*Q4390)*R4390</f>
        <v>1.0959219978784023</v>
      </c>
      <c r="U4390" s="76">
        <f>U4389+S4390</f>
        <v>74.17751268472533</v>
      </c>
      <c r="V4390" s="76">
        <f>V4389+T4390</f>
        <v>1213.1477614024332</v>
      </c>
    </row>
    <row r="4391" spans="1:22" ht="19" customHeight="1">
      <c r="A4391" s="68" t="s">
        <v>378</v>
      </c>
      <c r="B4391" s="74">
        <v>5</v>
      </c>
      <c r="C4391" s="68" t="s">
        <v>363</v>
      </c>
      <c r="D4391" s="68" t="s">
        <v>365</v>
      </c>
      <c r="E4391" s="75">
        <f>60*F4391*'THAM_SO_MOI'!$C$53/(2*PI()*'THAM_SO_MOI'!$C$26)</f>
        <v>2293.3026315789466</v>
      </c>
      <c r="F4391" s="75">
        <f>'THAM_SO_MOI'!$C$14+('THAM_SO_MOI'!$C$37-'THAM_SO_MOI'!$C$14)*300/'THAM_SO_MOI'!$C$42</f>
        <v>23.276041666666664</v>
      </c>
      <c r="G4391" s="75">
        <f>3.6*F4391</f>
        <v>83.79374999999999</v>
      </c>
      <c r="H4391" s="75">
        <f>'THAM_SO_MOI'!$D$53</f>
        <v>1.1</v>
      </c>
      <c r="I4391" s="75">
        <f>IF(F4391&gt;='THAM_SO_MOI'!$C$14,'THAM_SO_MOI'!$C$13*(1+F4391^2/1500),'THAM_SO_MOI'!$C$13)</f>
        <v>0.020417741156684027</v>
      </c>
      <c r="J4391" s="75">
        <f>'THAM_SO_MOI'!$C$40*('THAM_SO_MOI'!$C$23*(E4391/'THAM_SO_MOI'!$C$22)+'THAM_SO_MOI'!$C$24*(E4391/'THAM_SO_MOI'!$C$22)^2-'THAM_SO_MOI'!$C$25*(E4391/'THAM_SO_MOI'!$C$22)^3)</f>
        <v>103.0910783945743</v>
      </c>
      <c r="K4391" s="75">
        <f>'THAM_SO_MOI'!$C$31*J4391/E4391</f>
        <v>429.3515465025565</v>
      </c>
      <c r="L4391" s="75">
        <f>K4391*'THAM_SO_MOI'!$C$53*'THAM_SO_MOI'!$C$17/'THAM_SO_MOI'!$C$26</f>
        <v>3765.4147428665224</v>
      </c>
      <c r="M4391" s="75">
        <f>'THAM_SO_MOI'!$C$15*'THAM_SO_MOI'!$C$16*F4391^2</f>
        <v>1584.689288330078</v>
      </c>
      <c r="N4391" s="75">
        <f>'THAM_SO_MOI'!$C$12*I4391</f>
        <v>1538.2889529375</v>
      </c>
      <c r="O4391" s="75">
        <f>M4391+N4391</f>
        <v>3122.9782412675777</v>
      </c>
      <c r="P4391" s="75">
        <f>(MIN(L4391,'THAM_SO_MOI'!$C$41)-O4391)/('THAM_SO_MOI'!$C$11*H4391)</f>
        <v>0.07604598740517808</v>
      </c>
      <c r="Q4391" s="75">
        <f>IF(P4391&gt;0,1/P4391,NA())</f>
        <v>13.149937743222841</v>
      </c>
      <c r="R4391" s="75">
        <f>F4391-F4390</f>
        <v>0.0035868055555532408</v>
      </c>
      <c r="S4391" s="75">
        <f>0.5*(Q4390+Q4391)*R4391</f>
        <v>0.047142353526873446</v>
      </c>
      <c r="T4391" s="75">
        <f>0.5*(F4390*Q4390+F4391*Q4391)*R4391</f>
        <v>1.097202882619896</v>
      </c>
      <c r="U4391" s="76">
        <f>U4390+S4391</f>
        <v>74.22465503825221</v>
      </c>
      <c r="V4391" s="76">
        <f>V4390+T4391</f>
        <v>1214.2449642850531</v>
      </c>
    </row>
    <row r="4392" spans="1:22" ht="19" customHeight="1">
      <c r="A4392" s="68" t="s">
        <v>378</v>
      </c>
      <c r="B4392" s="74">
        <v>5</v>
      </c>
      <c r="C4392" s="68" t="s">
        <v>363</v>
      </c>
      <c r="D4392" s="68" t="s">
        <v>365</v>
      </c>
      <c r="E4392" s="75">
        <f>60*F4392*'THAM_SO_MOI'!$C$53/(2*PI()*'THAM_SO_MOI'!$C$26)</f>
        <v>2293.656026315789</v>
      </c>
      <c r="F4392" s="75">
        <f>'THAM_SO_MOI'!$C$14+('THAM_SO_MOI'!$C$37-'THAM_SO_MOI'!$C$14)*301/'THAM_SO_MOI'!$C$42</f>
        <v>23.27962847222222</v>
      </c>
      <c r="G4392" s="75">
        <f>3.6*F4392</f>
        <v>83.8066625</v>
      </c>
      <c r="H4392" s="75">
        <f>'THAM_SO_MOI'!$D$53</f>
        <v>1.1</v>
      </c>
      <c r="I4392" s="75">
        <f>IF(F4392&gt;='THAM_SO_MOI'!$C$14,'THAM_SO_MOI'!$C$13*(1+F4392^2/1500),'THAM_SO_MOI'!$C$13)</f>
        <v>0.020419411018046993</v>
      </c>
      <c r="J4392" s="75">
        <f>'THAM_SO_MOI'!$C$40*('THAM_SO_MOI'!$C$23*(E4392/'THAM_SO_MOI'!$C$22)+'THAM_SO_MOI'!$C$24*(E4392/'THAM_SO_MOI'!$C$22)^2-'THAM_SO_MOI'!$C$25*(E4392/'THAM_SO_MOI'!$C$22)^3)</f>
        <v>103.10592050008874</v>
      </c>
      <c r="K4392" s="75">
        <f>'THAM_SO_MOI'!$C$31*J4392/E4392</f>
        <v>429.347198785726</v>
      </c>
      <c r="L4392" s="75">
        <f>K4392*'THAM_SO_MOI'!$C$53*'THAM_SO_MOI'!$C$17/'THAM_SO_MOI'!$C$26</f>
        <v>3765.3766133729064</v>
      </c>
      <c r="M4392" s="75">
        <f>'THAM_SO_MOI'!$C$15*'THAM_SO_MOI'!$C$16*F4392^2</f>
        <v>1585.1777227787463</v>
      </c>
      <c r="N4392" s="75">
        <f>'THAM_SO_MOI'!$C$12*I4392</f>
        <v>1538.414761628475</v>
      </c>
      <c r="O4392" s="75">
        <f>M4392+N4392</f>
        <v>3123.5924844072215</v>
      </c>
      <c r="P4392" s="75">
        <f>(MIN(L4392,'THAM_SO_MOI'!$C$41)-O4392)/('THAM_SO_MOI'!$C$11*H4392)</f>
        <v>0.07596876526582444</v>
      </c>
      <c r="Q4392" s="75">
        <f>IF(P4392&gt;0,1/P4392,NA())</f>
        <v>13.163304635804886</v>
      </c>
      <c r="R4392" s="75">
        <f>F4392-F4391</f>
        <v>0.0035868055555567935</v>
      </c>
      <c r="S4392" s="75">
        <f>0.5*(Q4391+Q4392)*R4392</f>
        <v>0.047190241974904554</v>
      </c>
      <c r="T4392" s="75">
        <f>0.5*(F4391*Q4391+F4392*Q4392)*R4392</f>
        <v>1.0984867125708524</v>
      </c>
      <c r="U4392" s="76">
        <f>U4391+S4392</f>
        <v>74.27184528022711</v>
      </c>
      <c r="V4392" s="76">
        <f>V4391+T4392</f>
        <v>1215.343450997624</v>
      </c>
    </row>
    <row r="4393" spans="1:22" ht="19" customHeight="1">
      <c r="A4393" s="68" t="s">
        <v>378</v>
      </c>
      <c r="B4393" s="74">
        <v>5</v>
      </c>
      <c r="C4393" s="68" t="s">
        <v>363</v>
      </c>
      <c r="D4393" s="68" t="s">
        <v>365</v>
      </c>
      <c r="E4393" s="75">
        <f>60*F4393*'THAM_SO_MOI'!$C$53/(2*PI()*'THAM_SO_MOI'!$C$26)</f>
        <v>2294.009421052631</v>
      </c>
      <c r="F4393" s="75">
        <f>'THAM_SO_MOI'!$C$14+('THAM_SO_MOI'!$C$37-'THAM_SO_MOI'!$C$14)*302/'THAM_SO_MOI'!$C$42</f>
        <v>23.283215277777778</v>
      </c>
      <c r="G4393" s="75">
        <f>3.6*F4393</f>
        <v>83.819575</v>
      </c>
      <c r="H4393" s="75">
        <f>'THAM_SO_MOI'!$D$53</f>
        <v>1.1</v>
      </c>
      <c r="I4393" s="75">
        <f>IF(F4393&gt;='THAM_SO_MOI'!$C$14,'THAM_SO_MOI'!$C$13*(1+F4393^2/1500),'THAM_SO_MOI'!$C$13)</f>
        <v>0.020421081136713443</v>
      </c>
      <c r="J4393" s="75">
        <f>'THAM_SO_MOI'!$C$40*('THAM_SO_MOI'!$C$23*(E4393/'THAM_SO_MOI'!$C$22)+'THAM_SO_MOI'!$C$24*(E4393/'THAM_SO_MOI'!$C$22)^2-'THAM_SO_MOI'!$C$25*(E4393/'THAM_SO_MOI'!$C$22)^3)</f>
        <v>103.12075937381745</v>
      </c>
      <c r="K4393" s="75">
        <f>'THAM_SO_MOI'!$C$31*J4393/E4393</f>
        <v>429.3428389529109</v>
      </c>
      <c r="L4393" s="75">
        <f>K4393*'THAM_SO_MOI'!$C$53*'THAM_SO_MOI'!$C$17/'THAM_SO_MOI'!$C$26</f>
        <v>3765.338377622057</v>
      </c>
      <c r="M4393" s="75">
        <f>'THAM_SO_MOI'!$C$15*'THAM_SO_MOI'!$C$16*F4393^2</f>
        <v>1585.666232488683</v>
      </c>
      <c r="N4393" s="75">
        <f>'THAM_SO_MOI'!$C$12*I4393</f>
        <v>1538.5405897049002</v>
      </c>
      <c r="O4393" s="75">
        <f>M4393+N4393</f>
        <v>3124.2068221935833</v>
      </c>
      <c r="P4393" s="75">
        <f>(MIN(L4393,'THAM_SO_MOI'!$C$41)-O4393)/('THAM_SO_MOI'!$C$11*H4393)</f>
        <v>0.07589151934522656</v>
      </c>
      <c r="Q4393" s="75">
        <f>IF(P4393&gt;0,1/P4393,NA())</f>
        <v>13.176702859921043</v>
      </c>
      <c r="R4393" s="75">
        <f>F4393-F4392</f>
        <v>0.0035868055555567935</v>
      </c>
      <c r="S4393" s="75">
        <f>0.5*(Q4392+Q4393)*R4393</f>
        <v>0.04723824260953867</v>
      </c>
      <c r="T4393" s="75">
        <f>0.5*(F4392*Q4392+F4393*Q4393)*R4393</f>
        <v>1.0997734979188922</v>
      </c>
      <c r="U4393" s="76">
        <f>U4392+S4393</f>
        <v>74.31908352283665</v>
      </c>
      <c r="V4393" s="76">
        <f>V4392+T4393</f>
        <v>1216.4432244955428</v>
      </c>
    </row>
    <row r="4394" spans="1:22" ht="19" customHeight="1">
      <c r="A4394" s="68" t="s">
        <v>378</v>
      </c>
      <c r="B4394" s="74">
        <v>5</v>
      </c>
      <c r="C4394" s="68" t="s">
        <v>363</v>
      </c>
      <c r="D4394" s="68" t="s">
        <v>365</v>
      </c>
      <c r="E4394" s="75">
        <f>60*F4394*'THAM_SO_MOI'!$C$53/(2*PI()*'THAM_SO_MOI'!$C$26)</f>
        <v>2294.3628157894727</v>
      </c>
      <c r="F4394" s="75">
        <f>'THAM_SO_MOI'!$C$14+('THAM_SO_MOI'!$C$37-'THAM_SO_MOI'!$C$14)*303/'THAM_SO_MOI'!$C$42</f>
        <v>23.28680208333333</v>
      </c>
      <c r="G4394" s="75">
        <f>3.6*F4394</f>
        <v>83.8324875</v>
      </c>
      <c r="H4394" s="75">
        <f>'THAM_SO_MOI'!$D$53</f>
        <v>1.1</v>
      </c>
      <c r="I4394" s="75">
        <f>IF(F4394&gt;='THAM_SO_MOI'!$C$14,'THAM_SO_MOI'!$C$13*(1+F4394^2/1500),'THAM_SO_MOI'!$C$13)</f>
        <v>0.020422751512683374</v>
      </c>
      <c r="J4394" s="75">
        <f>'THAM_SO_MOI'!$C$40*('THAM_SO_MOI'!$C$23*(E4394/'THAM_SO_MOI'!$C$22)+'THAM_SO_MOI'!$C$24*(E4394/'THAM_SO_MOI'!$C$22)^2-'THAM_SO_MOI'!$C$25*(E4394/'THAM_SO_MOI'!$C$22)^3)</f>
        <v>103.13559501441564</v>
      </c>
      <c r="K4394" s="75">
        <f>'THAM_SO_MOI'!$C$31*J4394/E4394</f>
        <v>429.3384670041116</v>
      </c>
      <c r="L4394" s="75">
        <f>K4394*'THAM_SO_MOI'!$C$53*'THAM_SO_MOI'!$C$17/'THAM_SO_MOI'!$C$26</f>
        <v>3765.30003561398</v>
      </c>
      <c r="M4394" s="75">
        <f>'THAM_SO_MOI'!$C$15*'THAM_SO_MOI'!$C$16*F4394^2</f>
        <v>1586.1548174598875</v>
      </c>
      <c r="N4394" s="75">
        <f>'THAM_SO_MOI'!$C$12*I4394</f>
        <v>1538.6664371667757</v>
      </c>
      <c r="O4394" s="75">
        <f>M4394+N4394</f>
        <v>3124.821254626663</v>
      </c>
      <c r="P4394" s="75">
        <f>(MIN(L4394,'THAM_SO_MOI'!$C$41)-O4394)/('THAM_SO_MOI'!$C$11*H4394)</f>
        <v>0.07581424964338505</v>
      </c>
      <c r="Q4394" s="75">
        <f>IF(P4394&gt;0,1/P4394,NA())</f>
        <v>13.190132523948973</v>
      </c>
      <c r="R4394" s="75">
        <f>F4394-F4393</f>
        <v>0.0035868055555532408</v>
      </c>
      <c r="S4394" s="75">
        <f>0.5*(Q4393+Q4394)*R4394</f>
        <v>0.047286355818611375</v>
      </c>
      <c r="T4394" s="75">
        <f>0.5*(F4393*Q4393+F4394*Q4394)*R4394</f>
        <v>1.1010632489019458</v>
      </c>
      <c r="U4394" s="76">
        <f>U4393+S4394</f>
        <v>74.36636987865526</v>
      </c>
      <c r="V4394" s="76">
        <f>V4393+T4394</f>
        <v>1217.5442877444448</v>
      </c>
    </row>
    <row r="4395" spans="1:22" ht="19" customHeight="1">
      <c r="A4395" s="68" t="s">
        <v>378</v>
      </c>
      <c r="B4395" s="74">
        <v>5</v>
      </c>
      <c r="C4395" s="68" t="s">
        <v>363</v>
      </c>
      <c r="D4395" s="68" t="s">
        <v>365</v>
      </c>
      <c r="E4395" s="75">
        <f>60*F4395*'THAM_SO_MOI'!$C$53/(2*PI()*'THAM_SO_MOI'!$C$26)</f>
        <v>2294.716210526315</v>
      </c>
      <c r="F4395" s="75">
        <f>'THAM_SO_MOI'!$C$14+('THAM_SO_MOI'!$C$37-'THAM_SO_MOI'!$C$14)*304/'THAM_SO_MOI'!$C$42</f>
        <v>23.290388888888888</v>
      </c>
      <c r="G4395" s="75">
        <f>3.6*F4395</f>
        <v>83.8454</v>
      </c>
      <c r="H4395" s="75">
        <f>'THAM_SO_MOI'!$D$53</f>
        <v>1.1</v>
      </c>
      <c r="I4395" s="75">
        <f>IF(F4395&gt;='THAM_SO_MOI'!$C$14,'THAM_SO_MOI'!$C$13*(1+F4395^2/1500),'THAM_SO_MOI'!$C$13)</f>
        <v>0.02042442214595679</v>
      </c>
      <c r="J4395" s="75">
        <f>'THAM_SO_MOI'!$C$40*('THAM_SO_MOI'!$C$23*(E4395/'THAM_SO_MOI'!$C$22)+'THAM_SO_MOI'!$C$24*(E4395/'THAM_SO_MOI'!$C$22)^2-'THAM_SO_MOI'!$C$25*(E4395/'THAM_SO_MOI'!$C$22)^3)</f>
        <v>103.15042742053836</v>
      </c>
      <c r="K4395" s="75">
        <f>'THAM_SO_MOI'!$C$31*J4395/E4395</f>
        <v>429.3340829393276</v>
      </c>
      <c r="L4395" s="75">
        <f>K4395*'THAM_SO_MOI'!$C$53*'THAM_SO_MOI'!$C$17/'THAM_SO_MOI'!$C$26</f>
        <v>3765.2615873486698</v>
      </c>
      <c r="M4395" s="75">
        <f>'THAM_SO_MOI'!$C$15*'THAM_SO_MOI'!$C$16*F4395^2</f>
        <v>1586.6434776923609</v>
      </c>
      <c r="N4395" s="75">
        <f>'THAM_SO_MOI'!$C$12*I4395</f>
        <v>1538.7923040141013</v>
      </c>
      <c r="O4395" s="75">
        <f>M4395+N4395</f>
        <v>3125.435781706462</v>
      </c>
      <c r="P4395" s="75">
        <f>(MIN(L4395,'THAM_SO_MOI'!$C$41)-O4395)/('THAM_SO_MOI'!$C$11*H4395)</f>
        <v>0.07573695616029917</v>
      </c>
      <c r="Q4395" s="75">
        <f>IF(P4395&gt;0,1/P4395,NA())</f>
        <v>13.203593736768017</v>
      </c>
      <c r="R4395" s="75">
        <f>F4395-F4394</f>
        <v>0.0035868055555567935</v>
      </c>
      <c r="S4395" s="75">
        <f>0.5*(Q4394+Q4395)*R4395</f>
        <v>0.047334581991892465</v>
      </c>
      <c r="T4395" s="75">
        <f>0.5*(F4394*Q4394+F4395*Q4395)*R4395</f>
        <v>1.1023559758085546</v>
      </c>
      <c r="U4395" s="76">
        <f>U4394+S4395</f>
        <v>74.41370446064715</v>
      </c>
      <c r="V4395" s="76">
        <f>V4394+T4395</f>
        <v>1218.6466437202532</v>
      </c>
    </row>
    <row r="4396" spans="1:22" ht="19" customHeight="1">
      <c r="A4396" s="68" t="s">
        <v>378</v>
      </c>
      <c r="B4396" s="74">
        <v>5</v>
      </c>
      <c r="C4396" s="68" t="s">
        <v>363</v>
      </c>
      <c r="D4396" s="68" t="s">
        <v>365</v>
      </c>
      <c r="E4396" s="75">
        <f>60*F4396*'THAM_SO_MOI'!$C$53/(2*PI()*'THAM_SO_MOI'!$C$26)</f>
        <v>2295.0696052631574</v>
      </c>
      <c r="F4396" s="75">
        <f>'THAM_SO_MOI'!$C$14+('THAM_SO_MOI'!$C$37-'THAM_SO_MOI'!$C$14)*305/'THAM_SO_MOI'!$C$42</f>
        <v>23.293975694444445</v>
      </c>
      <c r="G4396" s="75">
        <f>3.6*F4396</f>
        <v>83.8583125</v>
      </c>
      <c r="H4396" s="75">
        <f>'THAM_SO_MOI'!$D$53</f>
        <v>1.1</v>
      </c>
      <c r="I4396" s="75">
        <f>IF(F4396&gt;='THAM_SO_MOI'!$C$14,'THAM_SO_MOI'!$C$13*(1+F4396^2/1500),'THAM_SO_MOI'!$C$13)</f>
        <v>0.020426093036533685</v>
      </c>
      <c r="J4396" s="75">
        <f>'THAM_SO_MOI'!$C$40*('THAM_SO_MOI'!$C$23*(E4396/'THAM_SO_MOI'!$C$22)+'THAM_SO_MOI'!$C$24*(E4396/'THAM_SO_MOI'!$C$22)^2-'THAM_SO_MOI'!$C$25*(E4396/'THAM_SO_MOI'!$C$22)^3)</f>
        <v>103.16525659084071</v>
      </c>
      <c r="K4396" s="75">
        <f>'THAM_SO_MOI'!$C$31*J4396/E4396</f>
        <v>429.32968675855915</v>
      </c>
      <c r="L4396" s="75">
        <f>K4396*'THAM_SO_MOI'!$C$53*'THAM_SO_MOI'!$C$17/'THAM_SO_MOI'!$C$26</f>
        <v>3765.223032826129</v>
      </c>
      <c r="M4396" s="75">
        <f>'THAM_SO_MOI'!$C$15*'THAM_SO_MOI'!$C$16*F4396^2</f>
        <v>1587.1322131861032</v>
      </c>
      <c r="N4396" s="75">
        <f>'THAM_SO_MOI'!$C$12*I4396</f>
        <v>1538.9181902468772</v>
      </c>
      <c r="O4396" s="75">
        <f>M4396+N4396</f>
        <v>3126.0504034329806</v>
      </c>
      <c r="P4396" s="75">
        <f>(MIN(L4396,'THAM_SO_MOI'!$C$41)-O4396)/('THAM_SO_MOI'!$C$11*H4396)</f>
        <v>0.07565963889596931</v>
      </c>
      <c r="Q4396" s="75">
        <f>IF(P4396&gt;0,1/P4396,NA())</f>
        <v>13.21708660776167</v>
      </c>
      <c r="R4396" s="75">
        <f>F4396-F4395</f>
        <v>0.0035868055555567935</v>
      </c>
      <c r="S4396" s="75">
        <f>0.5*(Q4395+Q4396)*R4396</f>
        <v>0.04738292152067462</v>
      </c>
      <c r="T4396" s="75">
        <f>0.5*(F4395*Q4395+F4396*Q4396)*R4396</f>
        <v>1.1036516889683226</v>
      </c>
      <c r="U4396" s="76">
        <f>U4395+S4396</f>
        <v>74.46108738216783</v>
      </c>
      <c r="V4396" s="76">
        <f>V4395+T4396</f>
        <v>1219.7502954092215</v>
      </c>
    </row>
    <row r="4397" spans="1:22" ht="19" customHeight="1">
      <c r="A4397" s="68" t="s">
        <v>378</v>
      </c>
      <c r="B4397" s="74">
        <v>5</v>
      </c>
      <c r="C4397" s="68" t="s">
        <v>363</v>
      </c>
      <c r="D4397" s="68" t="s">
        <v>365</v>
      </c>
      <c r="E4397" s="75">
        <f>60*F4397*'THAM_SO_MOI'!$C$53/(2*PI()*'THAM_SO_MOI'!$C$26)</f>
        <v>2295.4229999999993</v>
      </c>
      <c r="F4397" s="75">
        <f>'THAM_SO_MOI'!$C$14+('THAM_SO_MOI'!$C$37-'THAM_SO_MOI'!$C$14)*306/'THAM_SO_MOI'!$C$42</f>
        <v>23.297562499999998</v>
      </c>
      <c r="G4397" s="75">
        <f>3.6*F4397</f>
        <v>83.871225</v>
      </c>
      <c r="H4397" s="75">
        <f>'THAM_SO_MOI'!$D$53</f>
        <v>1.1</v>
      </c>
      <c r="I4397" s="75">
        <f>IF(F4397&gt;='THAM_SO_MOI'!$C$14,'THAM_SO_MOI'!$C$13*(1+F4397^2/1500),'THAM_SO_MOI'!$C$13)</f>
        <v>0.020427764184414058</v>
      </c>
      <c r="J4397" s="75">
        <f>'THAM_SO_MOI'!$C$40*('THAM_SO_MOI'!$C$23*(E4397/'THAM_SO_MOI'!$C$22)+'THAM_SO_MOI'!$C$24*(E4397/'THAM_SO_MOI'!$C$22)^2-'THAM_SO_MOI'!$C$25*(E4397/'THAM_SO_MOI'!$C$22)^3)</f>
        <v>103.1800825239778</v>
      </c>
      <c r="K4397" s="75">
        <f>'THAM_SO_MOI'!$C$31*J4397/E4397</f>
        <v>429.3252784618062</v>
      </c>
      <c r="L4397" s="75">
        <f>K4397*'THAM_SO_MOI'!$C$53*'THAM_SO_MOI'!$C$17/'THAM_SO_MOI'!$C$26</f>
        <v>3765.1843720463557</v>
      </c>
      <c r="M4397" s="75">
        <f>'THAM_SO_MOI'!$C$15*'THAM_SO_MOI'!$C$16*F4397^2</f>
        <v>1587.6210239411132</v>
      </c>
      <c r="N4397" s="75">
        <f>'THAM_SO_MOI'!$C$12*I4397</f>
        <v>1539.0440958651027</v>
      </c>
      <c r="O4397" s="75">
        <f>M4397+N4397</f>
        <v>3126.665119806216</v>
      </c>
      <c r="P4397" s="75">
        <f>(MIN(L4397,'THAM_SO_MOI'!$C$41)-O4397)/('THAM_SO_MOI'!$C$11*H4397)</f>
        <v>0.07558229785039537</v>
      </c>
      <c r="Q4397" s="75">
        <f>IF(P4397&gt;0,1/P4397,NA())</f>
        <v>13.230611246820793</v>
      </c>
      <c r="R4397" s="75">
        <f>F4397-F4396</f>
        <v>0.0035868055555532408</v>
      </c>
      <c r="S4397" s="75">
        <f>0.5*(Q4396+Q4397)*R4397</f>
        <v>0.04743137479820496</v>
      </c>
      <c r="T4397" s="75">
        <f>0.5*(F4396*Q4396+F4397*Q4397)*R4397</f>
        <v>1.1049503987619969</v>
      </c>
      <c r="U4397" s="76">
        <f>U4396+S4397</f>
        <v>74.50851875696604</v>
      </c>
      <c r="V4397" s="76">
        <f>V4396+T4397</f>
        <v>1220.8552458079835</v>
      </c>
    </row>
    <row r="4398" spans="1:22" ht="19" customHeight="1">
      <c r="A4398" s="68" t="s">
        <v>378</v>
      </c>
      <c r="B4398" s="74">
        <v>5</v>
      </c>
      <c r="C4398" s="68" t="s">
        <v>363</v>
      </c>
      <c r="D4398" s="68" t="s">
        <v>365</v>
      </c>
      <c r="E4398" s="75">
        <f>60*F4398*'THAM_SO_MOI'!$C$53/(2*PI()*'THAM_SO_MOI'!$C$26)</f>
        <v>2295.7763947368417</v>
      </c>
      <c r="F4398" s="75">
        <f>'THAM_SO_MOI'!$C$14+('THAM_SO_MOI'!$C$37-'THAM_SO_MOI'!$C$14)*307/'THAM_SO_MOI'!$C$42</f>
        <v>23.301149305555555</v>
      </c>
      <c r="G4398" s="75">
        <f>3.6*F4398</f>
        <v>83.8841375</v>
      </c>
      <c r="H4398" s="75">
        <f>'THAM_SO_MOI'!$D$53</f>
        <v>1.1</v>
      </c>
      <c r="I4398" s="75">
        <f>IF(F4398&gt;='THAM_SO_MOI'!$C$14,'THAM_SO_MOI'!$C$13*(1+F4398^2/1500),'THAM_SO_MOI'!$C$13)</f>
        <v>0.02042943558959792</v>
      </c>
      <c r="J4398" s="75">
        <f>'THAM_SO_MOI'!$C$40*('THAM_SO_MOI'!$C$23*(E4398/'THAM_SO_MOI'!$C$22)+'THAM_SO_MOI'!$C$24*(E4398/'THAM_SO_MOI'!$C$22)^2-'THAM_SO_MOI'!$C$25*(E4398/'THAM_SO_MOI'!$C$22)^3)</f>
        <v>103.19490521860477</v>
      </c>
      <c r="K4398" s="75">
        <f>'THAM_SO_MOI'!$C$31*J4398/E4398</f>
        <v>429.3208580490688</v>
      </c>
      <c r="L4398" s="75">
        <f>K4398*'THAM_SO_MOI'!$C$53*'THAM_SO_MOI'!$C$17/'THAM_SO_MOI'!$C$26</f>
        <v>3765.145605009352</v>
      </c>
      <c r="M4398" s="75">
        <f>'THAM_SO_MOI'!$C$15*'THAM_SO_MOI'!$C$16*F4398^2</f>
        <v>1588.1099099573921</v>
      </c>
      <c r="N4398" s="75">
        <f>'THAM_SO_MOI'!$C$12*I4398</f>
        <v>1539.170020868779</v>
      </c>
      <c r="O4398" s="75">
        <f>M4398+N4398</f>
        <v>3127.279930826171</v>
      </c>
      <c r="P4398" s="75">
        <f>(MIN(L4398,'THAM_SO_MOI'!$C$41)-O4398)/('THAM_SO_MOI'!$C$11*H4398)</f>
        <v>0.0755049330235773</v>
      </c>
      <c r="Q4398" s="75">
        <f>IF(P4398&gt;0,1/P4398,NA())</f>
        <v>13.244167764346447</v>
      </c>
      <c r="R4398" s="75">
        <f>F4398-F4397</f>
        <v>0.0035868055555567935</v>
      </c>
      <c r="S4398" s="75">
        <f>0.5*(Q4397+Q4398)*R4398</f>
        <v>0.04747994221969652</v>
      </c>
      <c r="T4398" s="75">
        <f>0.5*(F4397*Q4397+F4398*Q4398)*R4398</f>
        <v>1.1062521156217735</v>
      </c>
      <c r="U4398" s="76">
        <f>U4397+S4398</f>
        <v>74.55599869918574</v>
      </c>
      <c r="V4398" s="76">
        <f>V4397+T4398</f>
        <v>1221.9614979236053</v>
      </c>
    </row>
    <row r="4399" spans="1:22" ht="19" customHeight="1">
      <c r="A4399" s="68" t="s">
        <v>378</v>
      </c>
      <c r="B4399" s="74">
        <v>5</v>
      </c>
      <c r="C4399" s="68" t="s">
        <v>363</v>
      </c>
      <c r="D4399" s="68" t="s">
        <v>365</v>
      </c>
      <c r="E4399" s="75">
        <f>60*F4399*'THAM_SO_MOI'!$C$53/(2*PI()*'THAM_SO_MOI'!$C$26)</f>
        <v>2296.129789473684</v>
      </c>
      <c r="F4399" s="75">
        <f>'THAM_SO_MOI'!$C$14+('THAM_SO_MOI'!$C$37-'THAM_SO_MOI'!$C$14)*308/'THAM_SO_MOI'!$C$42</f>
        <v>23.30473611111111</v>
      </c>
      <c r="G4399" s="75">
        <f>3.6*F4399</f>
        <v>83.89705000000001</v>
      </c>
      <c r="H4399" s="75">
        <f>'THAM_SO_MOI'!$D$53</f>
        <v>1.1</v>
      </c>
      <c r="I4399" s="75">
        <f>IF(F4399&gt;='THAM_SO_MOI'!$C$14,'THAM_SO_MOI'!$C$13*(1+F4399^2/1500),'THAM_SO_MOI'!$C$13)</f>
        <v>0.02043110725208526</v>
      </c>
      <c r="J4399" s="75">
        <f>'THAM_SO_MOI'!$C$40*('THAM_SO_MOI'!$C$23*(E4399/'THAM_SO_MOI'!$C$22)+'THAM_SO_MOI'!$C$24*(E4399/'THAM_SO_MOI'!$C$22)^2-'THAM_SO_MOI'!$C$25*(E4399/'THAM_SO_MOI'!$C$22)^3)</f>
        <v>103.20972467337675</v>
      </c>
      <c r="K4399" s="75">
        <f>'THAM_SO_MOI'!$C$31*J4399/E4399</f>
        <v>429.3164255203471</v>
      </c>
      <c r="L4399" s="75">
        <f>K4399*'THAM_SO_MOI'!$C$53*'THAM_SO_MOI'!$C$17/'THAM_SO_MOI'!$C$26</f>
        <v>3765.1067317151183</v>
      </c>
      <c r="M4399" s="75">
        <f>'THAM_SO_MOI'!$C$15*'THAM_SO_MOI'!$C$16*F4399^2</f>
        <v>1588.5988712349392</v>
      </c>
      <c r="N4399" s="75">
        <f>'THAM_SO_MOI'!$C$12*I4399</f>
        <v>1539.2959652579052</v>
      </c>
      <c r="O4399" s="75">
        <f>M4399+N4399</f>
        <v>3127.8948364928447</v>
      </c>
      <c r="P4399" s="75">
        <f>(MIN(L4399,'THAM_SO_MOI'!$C$41)-O4399)/('THAM_SO_MOI'!$C$11*H4399)</f>
        <v>0.0754275444155154</v>
      </c>
      <c r="Q4399" s="75">
        <f>IF(P4399&gt;0,1/P4399,NA())</f>
        <v>13.257756271252822</v>
      </c>
      <c r="R4399" s="75">
        <f>F4399-F4398</f>
        <v>0.0035868055555567935</v>
      </c>
      <c r="S4399" s="75">
        <f>0.5*(Q4398+Q4399)*R4399</f>
        <v>0.04752862418191578</v>
      </c>
      <c r="T4399" s="75">
        <f>0.5*(F4398*Q4398+F4399*Q4399)*R4399</f>
        <v>1.1075568500217166</v>
      </c>
      <c r="U4399" s="76">
        <f>U4398+S4399</f>
        <v>74.60352732336766</v>
      </c>
      <c r="V4399" s="76">
        <f>V4398+T4399</f>
        <v>1223.069054773627</v>
      </c>
    </row>
    <row r="4400" spans="1:22" ht="19" customHeight="1">
      <c r="A4400" s="68" t="s">
        <v>378</v>
      </c>
      <c r="B4400" s="74">
        <v>5</v>
      </c>
      <c r="C4400" s="68" t="s">
        <v>363</v>
      </c>
      <c r="D4400" s="68" t="s">
        <v>365</v>
      </c>
      <c r="E4400" s="75">
        <f>60*F4400*'THAM_SO_MOI'!$C$53/(2*PI()*'THAM_SO_MOI'!$C$26)</f>
        <v>2296.4831842105255</v>
      </c>
      <c r="F4400" s="75">
        <f>'THAM_SO_MOI'!$C$14+('THAM_SO_MOI'!$C$37-'THAM_SO_MOI'!$C$14)*309/'THAM_SO_MOI'!$C$42</f>
        <v>23.308322916666665</v>
      </c>
      <c r="G4400" s="75">
        <f>3.6*F4400</f>
        <v>83.90996249999999</v>
      </c>
      <c r="H4400" s="75">
        <f>'THAM_SO_MOI'!$D$53</f>
        <v>1.1</v>
      </c>
      <c r="I4400" s="75">
        <f>IF(F4400&gt;='THAM_SO_MOI'!$C$14,'THAM_SO_MOI'!$C$13*(1+F4400^2/1500),'THAM_SO_MOI'!$C$13)</f>
        <v>0.020432779171876084</v>
      </c>
      <c r="J4400" s="75">
        <f>'THAM_SO_MOI'!$C$40*('THAM_SO_MOI'!$C$23*(E4400/'THAM_SO_MOI'!$C$22)+'THAM_SO_MOI'!$C$24*(E4400/'THAM_SO_MOI'!$C$22)^2-'THAM_SO_MOI'!$C$25*(E4400/'THAM_SO_MOI'!$C$22)^3)</f>
        <v>103.22454088694877</v>
      </c>
      <c r="K4400" s="75">
        <f>'THAM_SO_MOI'!$C$31*J4400/E4400</f>
        <v>429.31198087564087</v>
      </c>
      <c r="L4400" s="75">
        <f>K4400*'THAM_SO_MOI'!$C$53*'THAM_SO_MOI'!$C$17/'THAM_SO_MOI'!$C$26</f>
        <v>3765.0677521636526</v>
      </c>
      <c r="M4400" s="75">
        <f>'THAM_SO_MOI'!$C$15*'THAM_SO_MOI'!$C$16*F4400^2</f>
        <v>1589.0879077737548</v>
      </c>
      <c r="N4400" s="75">
        <f>'THAM_SO_MOI'!$C$12*I4400</f>
        <v>1539.4219290324818</v>
      </c>
      <c r="O4400" s="75">
        <f>M4400+N4400</f>
        <v>3128.5098368062363</v>
      </c>
      <c r="P4400" s="75">
        <f>(MIN(L4400,'THAM_SO_MOI'!$C$41)-O4400)/('THAM_SO_MOI'!$C$11*H4400)</f>
        <v>0.07535013202620931</v>
      </c>
      <c r="Q4400" s="75">
        <f>IF(P4400&gt;0,1/P4400,NA())</f>
        <v>13.271376878970383</v>
      </c>
      <c r="R4400" s="75">
        <f>F4400-F4399</f>
        <v>0.0035868055555532408</v>
      </c>
      <c r="S4400" s="75">
        <f>0.5*(Q4399+Q4400)*R4400</f>
        <v>0.047577421083616116</v>
      </c>
      <c r="T4400" s="75">
        <f>0.5*(F4399*Q4399+F4400*Q4400)*R4400</f>
        <v>1.108864612487891</v>
      </c>
      <c r="U4400" s="76">
        <f>U4399+S4400</f>
        <v>74.65110474445127</v>
      </c>
      <c r="V4400" s="76">
        <f>V4399+T4400</f>
        <v>1224.1779193861148</v>
      </c>
    </row>
    <row r="4401" spans="1:22" ht="19" customHeight="1">
      <c r="A4401" s="68" t="s">
        <v>378</v>
      </c>
      <c r="B4401" s="74">
        <v>5</v>
      </c>
      <c r="C4401" s="68" t="s">
        <v>363</v>
      </c>
      <c r="D4401" s="68" t="s">
        <v>365</v>
      </c>
      <c r="E4401" s="75">
        <f>60*F4401*'THAM_SO_MOI'!$C$53/(2*PI()*'THAM_SO_MOI'!$C$26)</f>
        <v>2296.836578947368</v>
      </c>
      <c r="F4401" s="75">
        <f>'THAM_SO_MOI'!$C$14+('THAM_SO_MOI'!$C$37-'THAM_SO_MOI'!$C$14)*310/'THAM_SO_MOI'!$C$42</f>
        <v>23.31190972222222</v>
      </c>
      <c r="G4401" s="75">
        <f>3.6*F4401</f>
        <v>83.922875</v>
      </c>
      <c r="H4401" s="75">
        <f>'THAM_SO_MOI'!$D$53</f>
        <v>1.1</v>
      </c>
      <c r="I4401" s="75">
        <f>IF(F4401&gt;='THAM_SO_MOI'!$C$14,'THAM_SO_MOI'!$C$13*(1+F4401^2/1500),'THAM_SO_MOI'!$C$13)</f>
        <v>0.02043445134897039</v>
      </c>
      <c r="J4401" s="75">
        <f>'THAM_SO_MOI'!$C$40*('THAM_SO_MOI'!$C$23*(E4401/'THAM_SO_MOI'!$C$22)+'THAM_SO_MOI'!$C$24*(E4401/'THAM_SO_MOI'!$C$22)^2-'THAM_SO_MOI'!$C$25*(E4401/'THAM_SO_MOI'!$C$22)^3)</f>
        <v>103.23935385797604</v>
      </c>
      <c r="K4401" s="75">
        <f>'THAM_SO_MOI'!$C$31*J4401/E4401</f>
        <v>429.3075241149502</v>
      </c>
      <c r="L4401" s="75">
        <f>K4401*'THAM_SO_MOI'!$C$53*'THAM_SO_MOI'!$C$17/'THAM_SO_MOI'!$C$26</f>
        <v>3765.0286663549564</v>
      </c>
      <c r="M4401" s="75">
        <f>'THAM_SO_MOI'!$C$15*'THAM_SO_MOI'!$C$16*F4401^2</f>
        <v>1589.5770195738392</v>
      </c>
      <c r="N4401" s="75">
        <f>'THAM_SO_MOI'!$C$12*I4401</f>
        <v>1539.5479121925084</v>
      </c>
      <c r="O4401" s="75">
        <f>M4401+N4401</f>
        <v>3129.124931766348</v>
      </c>
      <c r="P4401" s="75">
        <f>(MIN(L4401,'THAM_SO_MOI'!$C$41)-O4401)/('THAM_SO_MOI'!$C$11*H4401)</f>
        <v>0.07527269585565918</v>
      </c>
      <c r="Q4401" s="75">
        <f>IF(P4401&gt;0,1/P4401,NA())</f>
        <v>13.285029699448682</v>
      </c>
      <c r="R4401" s="75">
        <f>F4401-F4400</f>
        <v>0.0035868055555567935</v>
      </c>
      <c r="S4401" s="75">
        <f>0.5*(Q4400+Q4401)*R4401</f>
        <v>0.04762633332554924</v>
      </c>
      <c r="T4401" s="75">
        <f>0.5*(F4400*Q4400+F4401*Q4401)*R4401</f>
        <v>1.1101754135986641</v>
      </c>
      <c r="U4401" s="76">
        <f>U4400+S4401</f>
        <v>74.69873107777683</v>
      </c>
      <c r="V4401" s="76">
        <f>V4400+T4401</f>
        <v>1225.2880947997135</v>
      </c>
    </row>
    <row r="4402" spans="1:22" ht="19" customHeight="1">
      <c r="A4402" s="68" t="s">
        <v>378</v>
      </c>
      <c r="B4402" s="74">
        <v>5</v>
      </c>
      <c r="C4402" s="68" t="s">
        <v>363</v>
      </c>
      <c r="D4402" s="68" t="s">
        <v>365</v>
      </c>
      <c r="E4402" s="75">
        <f>60*F4402*'THAM_SO_MOI'!$C$53/(2*PI()*'THAM_SO_MOI'!$C$26)</f>
        <v>2297.1899736842097</v>
      </c>
      <c r="F4402" s="75">
        <f>'THAM_SO_MOI'!$C$14+('THAM_SO_MOI'!$C$37-'THAM_SO_MOI'!$C$14)*311/'THAM_SO_MOI'!$C$42</f>
        <v>23.315496527777775</v>
      </c>
      <c r="G4402" s="75">
        <f>3.6*F4402</f>
        <v>83.93578749999999</v>
      </c>
      <c r="H4402" s="75">
        <f>'THAM_SO_MOI'!$D$53</f>
        <v>1.1</v>
      </c>
      <c r="I4402" s="75">
        <f>IF(F4402&gt;='THAM_SO_MOI'!$C$14,'THAM_SO_MOI'!$C$13*(1+F4402^2/1500),'THAM_SO_MOI'!$C$13)</f>
        <v>0.020436123783368176</v>
      </c>
      <c r="J4402" s="75">
        <f>'THAM_SO_MOI'!$C$40*('THAM_SO_MOI'!$C$23*(E4402/'THAM_SO_MOI'!$C$22)+'THAM_SO_MOI'!$C$24*(E4402/'THAM_SO_MOI'!$C$22)^2-'THAM_SO_MOI'!$C$25*(E4402/'THAM_SO_MOI'!$C$22)^3)</f>
        <v>103.25416358511357</v>
      </c>
      <c r="K4402" s="75">
        <f>'THAM_SO_MOI'!$C$31*J4402/E4402</f>
        <v>429.303055238275</v>
      </c>
      <c r="L4402" s="75">
        <f>K4402*'THAM_SO_MOI'!$C$53*'THAM_SO_MOI'!$C$17/'THAM_SO_MOI'!$C$26</f>
        <v>3764.9894742890283</v>
      </c>
      <c r="M4402" s="75">
        <f>'THAM_SO_MOI'!$C$15*'THAM_SO_MOI'!$C$16*F4402^2</f>
        <v>1590.066206635191</v>
      </c>
      <c r="N4402" s="75">
        <f>'THAM_SO_MOI'!$C$12*I4402</f>
        <v>1539.6739147379851</v>
      </c>
      <c r="O4402" s="75">
        <f>M4402+N4402</f>
        <v>3129.7401213731764</v>
      </c>
      <c r="P4402" s="75">
        <f>(MIN(L4402,'THAM_SO_MOI'!$C$41)-O4402)/('THAM_SO_MOI'!$C$11*H4402)</f>
        <v>0.07519523590386507</v>
      </c>
      <c r="Q4402" s="75">
        <f>IF(P4402&gt;0,1/P4402,NA())</f>
        <v>13.298714845159488</v>
      </c>
      <c r="R4402" s="75">
        <f>F4402-F4401</f>
        <v>0.0035868055555532408</v>
      </c>
      <c r="S4402" s="75">
        <f>0.5*(Q4401+Q4402)*R4402</f>
        <v>0.04767536131000437</v>
      </c>
      <c r="T4402" s="75">
        <f>0.5*(F4401*Q4401+F4402*Q4402)*R4402</f>
        <v>1.1114892639739984</v>
      </c>
      <c r="U4402" s="76">
        <f>U4401+S4402</f>
        <v>74.74640643908683</v>
      </c>
      <c r="V4402" s="76">
        <f>V4401+T4402</f>
        <v>1226.3995840636874</v>
      </c>
    </row>
    <row r="4403" spans="1:22" ht="19" customHeight="1">
      <c r="A4403" s="68" t="s">
        <v>378</v>
      </c>
      <c r="B4403" s="74">
        <v>5</v>
      </c>
      <c r="C4403" s="68" t="s">
        <v>363</v>
      </c>
      <c r="D4403" s="68" t="s">
        <v>365</v>
      </c>
      <c r="E4403" s="75">
        <f>60*F4403*'THAM_SO_MOI'!$C$53/(2*PI()*'THAM_SO_MOI'!$C$26)</f>
        <v>2297.543368421052</v>
      </c>
      <c r="F4403" s="75">
        <f>'THAM_SO_MOI'!$C$14+('THAM_SO_MOI'!$C$37-'THAM_SO_MOI'!$C$14)*312/'THAM_SO_MOI'!$C$42</f>
        <v>23.31908333333333</v>
      </c>
      <c r="G4403" s="75">
        <f>3.6*F4403</f>
        <v>83.9487</v>
      </c>
      <c r="H4403" s="75">
        <f>'THAM_SO_MOI'!$D$53</f>
        <v>1.1</v>
      </c>
      <c r="I4403" s="75">
        <f>IF(F4403&gt;='THAM_SO_MOI'!$C$14,'THAM_SO_MOI'!$C$13*(1+F4403^2/1500),'THAM_SO_MOI'!$C$13)</f>
        <v>0.020437796475069443</v>
      </c>
      <c r="J4403" s="75">
        <f>'THAM_SO_MOI'!$C$40*('THAM_SO_MOI'!$C$23*(E4403/'THAM_SO_MOI'!$C$22)+'THAM_SO_MOI'!$C$24*(E4403/'THAM_SO_MOI'!$C$22)^2-'THAM_SO_MOI'!$C$25*(E4403/'THAM_SO_MOI'!$C$22)^3)</f>
        <v>103.26897006701654</v>
      </c>
      <c r="K4403" s="75">
        <f>'THAM_SO_MOI'!$C$31*J4403/E4403</f>
        <v>429.2985742456153</v>
      </c>
      <c r="L4403" s="75">
        <f>K4403*'THAM_SO_MOI'!$C$53*'THAM_SO_MOI'!$C$17/'THAM_SO_MOI'!$C$26</f>
        <v>3764.9501759658688</v>
      </c>
      <c r="M4403" s="75">
        <f>'THAM_SO_MOI'!$C$15*'THAM_SO_MOI'!$C$16*F4403^2</f>
        <v>1590.5554689578125</v>
      </c>
      <c r="N4403" s="75">
        <f>'THAM_SO_MOI'!$C$12*I4403</f>
        <v>1539.7999366689119</v>
      </c>
      <c r="O4403" s="75">
        <f>M4403+N4403</f>
        <v>3130.3554056267244</v>
      </c>
      <c r="P4403" s="75">
        <f>(MIN(L4403,'THAM_SO_MOI'!$C$41)-O4403)/('THAM_SO_MOI'!$C$11*H4403)</f>
        <v>0.07511775217082675</v>
      </c>
      <c r="Q4403" s="75">
        <f>IF(P4403&gt;0,1/P4403,NA())</f>
        <v>13.312432429099854</v>
      </c>
      <c r="R4403" s="75">
        <f>F4403-F4402</f>
        <v>0.0035868055555567935</v>
      </c>
      <c r="S4403" s="75">
        <f>0.5*(Q4402+Q4403)*R4403</f>
        <v>0.04772450544152671</v>
      </c>
      <c r="T4403" s="75">
        <f>0.5*(F4402*Q4402+F4403*Q4403)*R4403</f>
        <v>1.112806174292231</v>
      </c>
      <c r="U4403" s="76">
        <f>U4402+S4403</f>
        <v>74.79413094452835</v>
      </c>
      <c r="V4403" s="76">
        <f>V4402+T4403</f>
        <v>1227.5123902379796</v>
      </c>
    </row>
    <row r="4404" spans="1:22" ht="19" customHeight="1">
      <c r="A4404" s="68" t="s">
        <v>378</v>
      </c>
      <c r="B4404" s="74">
        <v>5</v>
      </c>
      <c r="C4404" s="68" t="s">
        <v>363</v>
      </c>
      <c r="D4404" s="68" t="s">
        <v>365</v>
      </c>
      <c r="E4404" s="75">
        <f>60*F4404*'THAM_SO_MOI'!$C$53/(2*PI()*'THAM_SO_MOI'!$C$26)</f>
        <v>2297.8967631578944</v>
      </c>
      <c r="F4404" s="75">
        <f>'THAM_SO_MOI'!$C$14+('THAM_SO_MOI'!$C$37-'THAM_SO_MOI'!$C$14)*313/'THAM_SO_MOI'!$C$42</f>
        <v>23.32267013888889</v>
      </c>
      <c r="G4404" s="75">
        <f>3.6*F4404</f>
        <v>83.9616125</v>
      </c>
      <c r="H4404" s="75">
        <f>'THAM_SO_MOI'!$D$53</f>
        <v>1.1</v>
      </c>
      <c r="I4404" s="75">
        <f>IF(F4404&gt;='THAM_SO_MOI'!$C$14,'THAM_SO_MOI'!$C$13*(1+F4404^2/1500),'THAM_SO_MOI'!$C$13)</f>
        <v>0.02043946942407419</v>
      </c>
      <c r="J4404" s="75">
        <f>'THAM_SO_MOI'!$C$40*('THAM_SO_MOI'!$C$23*(E4404/'THAM_SO_MOI'!$C$22)+'THAM_SO_MOI'!$C$24*(E4404/'THAM_SO_MOI'!$C$22)^2-'THAM_SO_MOI'!$C$25*(E4404/'THAM_SO_MOI'!$C$22)^3)</f>
        <v>103.28377330234008</v>
      </c>
      <c r="K4404" s="75">
        <f>'THAM_SO_MOI'!$C$31*J4404/E4404</f>
        <v>429.2940811369714</v>
      </c>
      <c r="L4404" s="75">
        <f>K4404*'THAM_SO_MOI'!$C$53*'THAM_SO_MOI'!$C$17/'THAM_SO_MOI'!$C$26</f>
        <v>3764.9107713854805</v>
      </c>
      <c r="M4404" s="75">
        <f>'THAM_SO_MOI'!$C$15*'THAM_SO_MOI'!$C$16*F4404^2</f>
        <v>1591.044806541702</v>
      </c>
      <c r="N4404" s="75">
        <f>'THAM_SO_MOI'!$C$12*I4404</f>
        <v>1539.925977985289</v>
      </c>
      <c r="O4404" s="75">
        <f>M4404+N4404</f>
        <v>3130.970784526991</v>
      </c>
      <c r="P4404" s="75">
        <f>(MIN(L4404,'THAM_SO_MOI'!$C$41)-O4404)/('THAM_SO_MOI'!$C$11*H4404)</f>
        <v>0.07504024465654473</v>
      </c>
      <c r="Q4404" s="75">
        <f>IF(P4404&gt;0,1/P4404,NA())</f>
        <v>13.326182564795033</v>
      </c>
      <c r="R4404" s="75">
        <f>F4404-F4403</f>
        <v>0.0035868055555567935</v>
      </c>
      <c r="S4404" s="75">
        <f>0.5*(Q4403+Q4404)*R4404</f>
        <v>0.04777376612622034</v>
      </c>
      <c r="T4404" s="75">
        <f>0.5*(F4403*Q4403+F4404*Q4404)*R4404</f>
        <v>1.1141261552738573</v>
      </c>
      <c r="U4404" s="76">
        <f>U4403+S4404</f>
        <v>74.84190471065457</v>
      </c>
      <c r="V4404" s="76">
        <f>V4403+T4404</f>
        <v>1228.6265163932535</v>
      </c>
    </row>
    <row r="4405" spans="1:22" ht="19" customHeight="1">
      <c r="A4405" s="68" t="s">
        <v>378</v>
      </c>
      <c r="B4405" s="74">
        <v>5</v>
      </c>
      <c r="C4405" s="68" t="s">
        <v>363</v>
      </c>
      <c r="D4405" s="68" t="s">
        <v>365</v>
      </c>
      <c r="E4405" s="75">
        <f>60*F4405*'THAM_SO_MOI'!$C$53/(2*PI()*'THAM_SO_MOI'!$C$26)</f>
        <v>2298.2501578947367</v>
      </c>
      <c r="F4405" s="75">
        <f>'THAM_SO_MOI'!$C$14+('THAM_SO_MOI'!$C$37-'THAM_SO_MOI'!$C$14)*314/'THAM_SO_MOI'!$C$42</f>
        <v>23.326256944444445</v>
      </c>
      <c r="G4405" s="75">
        <f>3.6*F4405</f>
        <v>83.974525</v>
      </c>
      <c r="H4405" s="75">
        <f>'THAM_SO_MOI'!$D$53</f>
        <v>1.1</v>
      </c>
      <c r="I4405" s="75">
        <f>IF(F4405&gt;='THAM_SO_MOI'!$C$14,'THAM_SO_MOI'!$C$13*(1+F4405^2/1500),'THAM_SO_MOI'!$C$13)</f>
        <v>0.020441142630382426</v>
      </c>
      <c r="J4405" s="75">
        <f>'THAM_SO_MOI'!$C$40*('THAM_SO_MOI'!$C$23*(E4405/'THAM_SO_MOI'!$C$22)+'THAM_SO_MOI'!$C$24*(E4405/'THAM_SO_MOI'!$C$22)^2-'THAM_SO_MOI'!$C$25*(E4405/'THAM_SO_MOI'!$C$22)^3)</f>
        <v>103.29857328973922</v>
      </c>
      <c r="K4405" s="75">
        <f>'THAM_SO_MOI'!$C$31*J4405/E4405</f>
        <v>429.28957591234274</v>
      </c>
      <c r="L4405" s="75">
        <f>K4405*'THAM_SO_MOI'!$C$53*'THAM_SO_MOI'!$C$17/'THAM_SO_MOI'!$C$26</f>
        <v>3764.8712605478586</v>
      </c>
      <c r="M4405" s="75">
        <f>'THAM_SO_MOI'!$C$15*'THAM_SO_MOI'!$C$16*F4405^2</f>
        <v>1591.53421938686</v>
      </c>
      <c r="N4405" s="75">
        <f>'THAM_SO_MOI'!$C$12*I4405</f>
        <v>1540.0520386871162</v>
      </c>
      <c r="O4405" s="75">
        <f>M4405+N4405</f>
        <v>3131.5862580739763</v>
      </c>
      <c r="P4405" s="75">
        <f>(MIN(L4405,'THAM_SO_MOI'!$C$41)-O4405)/('THAM_SO_MOI'!$C$11*H4405)</f>
        <v>0.07496271336101826</v>
      </c>
      <c r="Q4405" s="75">
        <f>IF(P4405&gt;0,1/P4405,NA())</f>
        <v>13.339965366301897</v>
      </c>
      <c r="R4405" s="75">
        <f>F4405-F4404</f>
        <v>0.0035868055555567935</v>
      </c>
      <c r="S4405" s="75">
        <f>0.5*(Q4404+Q4405)*R4405</f>
        <v>0.04782314377227888</v>
      </c>
      <c r="T4405" s="75">
        <f>0.5*(F4404*Q4404+F4405*Q4405)*R4405</f>
        <v>1.1154492176939372</v>
      </c>
      <c r="U4405" s="76">
        <f>U4404+S4405</f>
        <v>74.88972785442685</v>
      </c>
      <c r="V4405" s="76">
        <f>V4404+T4405</f>
        <v>1229.7419656109475</v>
      </c>
    </row>
    <row r="4406" spans="1:22" ht="19" customHeight="1">
      <c r="A4406" s="68" t="s">
        <v>378</v>
      </c>
      <c r="B4406" s="74">
        <v>5</v>
      </c>
      <c r="C4406" s="68" t="s">
        <v>363</v>
      </c>
      <c r="D4406" s="68" t="s">
        <v>365</v>
      </c>
      <c r="E4406" s="75">
        <f>60*F4406*'THAM_SO_MOI'!$C$53/(2*PI()*'THAM_SO_MOI'!$C$26)</f>
        <v>2298.603552631578</v>
      </c>
      <c r="F4406" s="75">
        <f>'THAM_SO_MOI'!$C$14+('THAM_SO_MOI'!$C$37-'THAM_SO_MOI'!$C$14)*315/'THAM_SO_MOI'!$C$42</f>
        <v>23.32984375</v>
      </c>
      <c r="G4406" s="75">
        <f>3.6*F4406</f>
        <v>83.9874375</v>
      </c>
      <c r="H4406" s="75">
        <f>'THAM_SO_MOI'!$D$53</f>
        <v>1.1</v>
      </c>
      <c r="I4406" s="75">
        <f>IF(F4406&gt;='THAM_SO_MOI'!$C$14,'THAM_SO_MOI'!$C$13*(1+F4406^2/1500),'THAM_SO_MOI'!$C$13)</f>
        <v>0.020442816093994138</v>
      </c>
      <c r="J4406" s="75">
        <f>'THAM_SO_MOI'!$C$40*('THAM_SO_MOI'!$C$23*(E4406/'THAM_SO_MOI'!$C$22)+'THAM_SO_MOI'!$C$24*(E4406/'THAM_SO_MOI'!$C$22)^2-'THAM_SO_MOI'!$C$25*(E4406/'THAM_SO_MOI'!$C$22)^3)</f>
        <v>103.31337002786908</v>
      </c>
      <c r="K4406" s="75">
        <f>'THAM_SO_MOI'!$C$31*J4406/E4406</f>
        <v>429.2850585717298</v>
      </c>
      <c r="L4406" s="75">
        <f>K4406*'THAM_SO_MOI'!$C$53*'THAM_SO_MOI'!$C$17/'THAM_SO_MOI'!$C$26</f>
        <v>3764.8316434530066</v>
      </c>
      <c r="M4406" s="75">
        <f>'THAM_SO_MOI'!$C$15*'THAM_SO_MOI'!$C$16*F4406^2</f>
        <v>1592.0237074932859</v>
      </c>
      <c r="N4406" s="75">
        <f>'THAM_SO_MOI'!$C$12*I4406</f>
        <v>1540.1781187743936</v>
      </c>
      <c r="O4406" s="75">
        <f>M4406+N4406</f>
        <v>3132.2018262676793</v>
      </c>
      <c r="P4406" s="75">
        <f>(MIN(L4406,'THAM_SO_MOI'!$C$41)-O4406)/('THAM_SO_MOI'!$C$11*H4406)</f>
        <v>0.07488515828424797</v>
      </c>
      <c r="Q4406" s="75">
        <f>IF(P4406&gt;0,1/P4406,NA())</f>
        <v>13.353780948211593</v>
      </c>
      <c r="R4406" s="75">
        <f>F4406-F4405</f>
        <v>0.0035868055555532408</v>
      </c>
      <c r="S4406" s="75">
        <f>0.5*(Q4405+Q4406)*R4406</f>
        <v>0.047872638789712915</v>
      </c>
      <c r="T4406" s="75">
        <f>0.5*(F4405*Q4405+F4406*Q4406)*R4406</f>
        <v>1.116775372375773</v>
      </c>
      <c r="U4406" s="76">
        <f>U4405+S4406</f>
        <v>74.93760049321656</v>
      </c>
      <c r="V4406" s="76">
        <f>V4405+T4406</f>
        <v>1230.8587409833233</v>
      </c>
    </row>
    <row r="4407" spans="1:22" ht="19" customHeight="1">
      <c r="A4407" s="68" t="s">
        <v>378</v>
      </c>
      <c r="B4407" s="74">
        <v>5</v>
      </c>
      <c r="C4407" s="68" t="s">
        <v>363</v>
      </c>
      <c r="D4407" s="68" t="s">
        <v>365</v>
      </c>
      <c r="E4407" s="75">
        <f>60*F4407*'THAM_SO_MOI'!$C$53/(2*PI()*'THAM_SO_MOI'!$C$26)</f>
        <v>2298.9569473684205</v>
      </c>
      <c r="F4407" s="75">
        <f>'THAM_SO_MOI'!$C$14+('THAM_SO_MOI'!$C$37-'THAM_SO_MOI'!$C$14)*316/'THAM_SO_MOI'!$C$42</f>
        <v>23.333430555555555</v>
      </c>
      <c r="G4407" s="75">
        <f>3.6*F4407</f>
        <v>84.00035</v>
      </c>
      <c r="H4407" s="75">
        <f>'THAM_SO_MOI'!$D$53</f>
        <v>1.1</v>
      </c>
      <c r="I4407" s="75">
        <f>IF(F4407&gt;='THAM_SO_MOI'!$C$14,'THAM_SO_MOI'!$C$13*(1+F4407^2/1500),'THAM_SO_MOI'!$C$13)</f>
        <v>0.020444489814909334</v>
      </c>
      <c r="J4407" s="75">
        <f>'THAM_SO_MOI'!$C$40*('THAM_SO_MOI'!$C$23*(E4407/'THAM_SO_MOI'!$C$22)+'THAM_SO_MOI'!$C$24*(E4407/'THAM_SO_MOI'!$C$22)^2-'THAM_SO_MOI'!$C$25*(E4407/'THAM_SO_MOI'!$C$22)^3)</f>
        <v>103.32816351538484</v>
      </c>
      <c r="K4407" s="75">
        <f>'THAM_SO_MOI'!$C$31*J4407/E4407</f>
        <v>429.2805291151323</v>
      </c>
      <c r="L4407" s="75">
        <f>K4407*'THAM_SO_MOI'!$C$53*'THAM_SO_MOI'!$C$17/'THAM_SO_MOI'!$C$26</f>
        <v>3764.791920100923</v>
      </c>
      <c r="M4407" s="75">
        <f>'THAM_SO_MOI'!$C$15*'THAM_SO_MOI'!$C$16*F4407^2</f>
        <v>1592.513270860981</v>
      </c>
      <c r="N4407" s="75">
        <f>'THAM_SO_MOI'!$C$12*I4407</f>
        <v>1540.3042182471213</v>
      </c>
      <c r="O4407" s="75">
        <f>M4407+N4407</f>
        <v>3132.8174891081026</v>
      </c>
      <c r="P4407" s="75">
        <f>(MIN(L4407,'THAM_SO_MOI'!$C$41)-O4407)/('THAM_SO_MOI'!$C$11*H4407)</f>
        <v>0.07480757942623349</v>
      </c>
      <c r="Q4407" s="75">
        <f>IF(P4407&gt;0,1/P4407,NA())</f>
        <v>13.367629425653096</v>
      </c>
      <c r="R4407" s="75">
        <f>F4407-F4406</f>
        <v>0.0035868055555567935</v>
      </c>
      <c r="S4407" s="75">
        <f>0.5*(Q4406+Q4407)*R4407</f>
        <v>0.0479222515906454</v>
      </c>
      <c r="T4407" s="75">
        <f>0.5*(F4406*Q4406+F4407*Q4407)*R4407</f>
        <v>1.1181046301978346</v>
      </c>
      <c r="U4407" s="76">
        <f>U4406+S4407</f>
        <v>74.98552274480721</v>
      </c>
      <c r="V4407" s="76">
        <f>V4406+T4407</f>
        <v>1231.9768456135212</v>
      </c>
    </row>
    <row r="4408" spans="1:22" ht="19" customHeight="1">
      <c r="A4408" s="68" t="s">
        <v>378</v>
      </c>
      <c r="B4408" s="74">
        <v>5</v>
      </c>
      <c r="C4408" s="68" t="s">
        <v>363</v>
      </c>
      <c r="D4408" s="68" t="s">
        <v>365</v>
      </c>
      <c r="E4408" s="75">
        <f>60*F4408*'THAM_SO_MOI'!$C$53/(2*PI()*'THAM_SO_MOI'!$C$26)</f>
        <v>2299.310342105262</v>
      </c>
      <c r="F4408" s="75">
        <f>'THAM_SO_MOI'!$C$14+('THAM_SO_MOI'!$C$37-'THAM_SO_MOI'!$C$14)*317/'THAM_SO_MOI'!$C$42</f>
        <v>23.33701736111111</v>
      </c>
      <c r="G4408" s="75">
        <f>3.6*F4408</f>
        <v>84.0132625</v>
      </c>
      <c r="H4408" s="75">
        <f>'THAM_SO_MOI'!$D$53</f>
        <v>1.1</v>
      </c>
      <c r="I4408" s="75">
        <f>IF(F4408&gt;='THAM_SO_MOI'!$C$14,'THAM_SO_MOI'!$C$13*(1+F4408^2/1500),'THAM_SO_MOI'!$C$13)</f>
        <v>0.020446163793128014</v>
      </c>
      <c r="J4408" s="75">
        <f>'THAM_SO_MOI'!$C$40*('THAM_SO_MOI'!$C$23*(E4408/'THAM_SO_MOI'!$C$22)+'THAM_SO_MOI'!$C$24*(E4408/'THAM_SO_MOI'!$C$22)^2-'THAM_SO_MOI'!$C$25*(E4408/'THAM_SO_MOI'!$C$22)^3)</f>
        <v>103.3429537509415</v>
      </c>
      <c r="K4408" s="75">
        <f>'THAM_SO_MOI'!$C$31*J4408/E4408</f>
        <v>429.2759875425503</v>
      </c>
      <c r="L4408" s="75">
        <f>K4408*'THAM_SO_MOI'!$C$53*'THAM_SO_MOI'!$C$17/'THAM_SO_MOI'!$C$26</f>
        <v>3764.7520904916073</v>
      </c>
      <c r="M4408" s="75">
        <f>'THAM_SO_MOI'!$C$15*'THAM_SO_MOI'!$C$16*F4408^2</f>
        <v>1593.002909489944</v>
      </c>
      <c r="N4408" s="75">
        <f>'THAM_SO_MOI'!$C$12*I4408</f>
        <v>1540.4303371052993</v>
      </c>
      <c r="O4408" s="75">
        <f>M4408+N4408</f>
        <v>3133.433246595243</v>
      </c>
      <c r="P4408" s="75">
        <f>(MIN(L4408,'THAM_SO_MOI'!$C$41)-O4408)/('THAM_SO_MOI'!$C$11*H4408)</f>
        <v>0.07472997678697495</v>
      </c>
      <c r="Q4408" s="75">
        <f>IF(P4408&gt;0,1/P4408,NA())</f>
        <v>13.381510914296108</v>
      </c>
      <c r="R4408" s="75">
        <f>F4408-F4407</f>
        <v>0.0035868055555532408</v>
      </c>
      <c r="S4408" s="75">
        <f>0.5*(Q4407+Q4408)*R4408</f>
        <v>0.04797198258880155</v>
      </c>
      <c r="T4408" s="75">
        <f>0.5*(F4407*Q4407+F4408*Q4408)*R4408</f>
        <v>1.1194370020818936</v>
      </c>
      <c r="U4408" s="76">
        <f>U4407+S4408</f>
        <v>75.03349472739602</v>
      </c>
      <c r="V4408" s="76">
        <f>V4407+T4408</f>
        <v>1233.096282615603</v>
      </c>
    </row>
    <row r="4409" spans="1:22" ht="19" customHeight="1">
      <c r="A4409" s="68" t="s">
        <v>378</v>
      </c>
      <c r="B4409" s="74">
        <v>5</v>
      </c>
      <c r="C4409" s="68" t="s">
        <v>363</v>
      </c>
      <c r="D4409" s="68" t="s">
        <v>365</v>
      </c>
      <c r="E4409" s="75">
        <f>60*F4409*'THAM_SO_MOI'!$C$53/(2*PI()*'THAM_SO_MOI'!$C$26)</f>
        <v>2299.6637368421048</v>
      </c>
      <c r="F4409" s="75">
        <f>'THAM_SO_MOI'!$C$14+('THAM_SO_MOI'!$C$37-'THAM_SO_MOI'!$C$14)*318/'THAM_SO_MOI'!$C$42</f>
        <v>23.340604166666665</v>
      </c>
      <c r="G4409" s="75">
        <f>3.6*F4409</f>
        <v>84.026175</v>
      </c>
      <c r="H4409" s="75">
        <f>'THAM_SO_MOI'!$D$53</f>
        <v>1.1</v>
      </c>
      <c r="I4409" s="75">
        <f>IF(F4409&gt;='THAM_SO_MOI'!$C$14,'THAM_SO_MOI'!$C$13*(1+F4409^2/1500),'THAM_SO_MOI'!$C$13)</f>
        <v>0.020447838028650172</v>
      </c>
      <c r="J4409" s="75">
        <f>'THAM_SO_MOI'!$C$40*('THAM_SO_MOI'!$C$23*(E4409/'THAM_SO_MOI'!$C$22)+'THAM_SO_MOI'!$C$24*(E4409/'THAM_SO_MOI'!$C$22)^2-'THAM_SO_MOI'!$C$25*(E4409/'THAM_SO_MOI'!$C$22)^3)</f>
        <v>103.35774073319436</v>
      </c>
      <c r="K4409" s="75">
        <f>'THAM_SO_MOI'!$C$31*J4409/E4409</f>
        <v>429.2714338539841</v>
      </c>
      <c r="L4409" s="75">
        <f>K4409*'THAM_SO_MOI'!$C$53*'THAM_SO_MOI'!$C$17/'THAM_SO_MOI'!$C$26</f>
        <v>3764.7121546250632</v>
      </c>
      <c r="M4409" s="75">
        <f>'THAM_SO_MOI'!$C$15*'THAM_SO_MOI'!$C$16*F4409^2</f>
        <v>1593.4926233801757</v>
      </c>
      <c r="N4409" s="75">
        <f>'THAM_SO_MOI'!$C$12*I4409</f>
        <v>1540.5564753489268</v>
      </c>
      <c r="O4409" s="75">
        <f>M4409+N4409</f>
        <v>3134.0490987291023</v>
      </c>
      <c r="P4409" s="75">
        <f>(MIN(L4409,'THAM_SO_MOI'!$C$41)-O4409)/('THAM_SO_MOI'!$C$11*H4409)</f>
        <v>0.07465235036647262</v>
      </c>
      <c r="Q4409" s="75">
        <f>IF(P4409&gt;0,1/P4409,NA())</f>
        <v>13.395425530354279</v>
      </c>
      <c r="R4409" s="75">
        <f>F4409-F4408</f>
        <v>0.0035868055555567935</v>
      </c>
      <c r="S4409" s="75">
        <f>0.5*(Q4408+Q4409)*R4409</f>
        <v>0.048021832200231596</v>
      </c>
      <c r="T4409" s="75">
        <f>0.5*(F4408*Q4408+F4409*Q4409)*R4409</f>
        <v>1.1207724990099206</v>
      </c>
      <c r="U4409" s="76">
        <f>U4408+S4409</f>
        <v>75.08151655959625</v>
      </c>
      <c r="V4409" s="76">
        <f>V4408+T4409</f>
        <v>1234.217055114613</v>
      </c>
    </row>
    <row r="4410" spans="1:22" ht="19" customHeight="1">
      <c r="A4410" s="68" t="s">
        <v>378</v>
      </c>
      <c r="B4410" s="74">
        <v>5</v>
      </c>
      <c r="C4410" s="68" t="s">
        <v>363</v>
      </c>
      <c r="D4410" s="68" t="s">
        <v>365</v>
      </c>
      <c r="E4410" s="75">
        <f>60*F4410*'THAM_SO_MOI'!$C$53/(2*PI()*'THAM_SO_MOI'!$C$26)</f>
        <v>2300.0171315789466</v>
      </c>
      <c r="F4410" s="75">
        <f>'THAM_SO_MOI'!$C$14+('THAM_SO_MOI'!$C$37-'THAM_SO_MOI'!$C$14)*319/'THAM_SO_MOI'!$C$42</f>
        <v>23.344190972222222</v>
      </c>
      <c r="G4410" s="75">
        <f>3.6*F4410</f>
        <v>84.03908750000001</v>
      </c>
      <c r="H4410" s="75">
        <f>'THAM_SO_MOI'!$D$53</f>
        <v>1.1</v>
      </c>
      <c r="I4410" s="75">
        <f>IF(F4410&gt;='THAM_SO_MOI'!$C$14,'THAM_SO_MOI'!$C$13*(1+F4410^2/1500),'THAM_SO_MOI'!$C$13)</f>
        <v>0.020449512521475813</v>
      </c>
      <c r="J4410" s="75">
        <f>'THAM_SO_MOI'!$C$40*('THAM_SO_MOI'!$C$23*(E4410/'THAM_SO_MOI'!$C$22)+'THAM_SO_MOI'!$C$24*(E4410/'THAM_SO_MOI'!$C$22)^2-'THAM_SO_MOI'!$C$25*(E4410/'THAM_SO_MOI'!$C$22)^3)</f>
        <v>103.37252446079833</v>
      </c>
      <c r="K4410" s="75">
        <f>'THAM_SO_MOI'!$C$31*J4410/E4410</f>
        <v>429.2668680494332</v>
      </c>
      <c r="L4410" s="75">
        <f>K4410*'THAM_SO_MOI'!$C$53*'THAM_SO_MOI'!$C$17/'THAM_SO_MOI'!$C$26</f>
        <v>3764.6721125012864</v>
      </c>
      <c r="M4410" s="75">
        <f>'THAM_SO_MOI'!$C$15*'THAM_SO_MOI'!$C$16*F4410^2</f>
        <v>1593.9824125316761</v>
      </c>
      <c r="N4410" s="75">
        <f>'THAM_SO_MOI'!$C$12*I4410</f>
        <v>1540.6826329780051</v>
      </c>
      <c r="O4410" s="75">
        <f>M4410+N4410</f>
        <v>3134.6650455096815</v>
      </c>
      <c r="P4410" s="75">
        <f>(MIN(L4410,'THAM_SO_MOI'!$C$41)-O4410)/('THAM_SO_MOI'!$C$11*H4410)</f>
        <v>0.07457470016472596</v>
      </c>
      <c r="Q4410" s="75">
        <f>IF(P4410&gt;0,1/P4410,NA())</f>
        <v>13.409373390588605</v>
      </c>
      <c r="R4410" s="75">
        <f>F4410-F4409</f>
        <v>0.0035868055555567935</v>
      </c>
      <c r="S4410" s="75">
        <f>0.5*(Q4409+Q4410)*R4410</f>
        <v>0.04807180084261034</v>
      </c>
      <c r="T4410" s="75">
        <f>0.5*(F4409*Q4409+F4410*Q4410)*R4410</f>
        <v>1.1221111320077777</v>
      </c>
      <c r="U4410" s="76">
        <f>U4409+S4410</f>
        <v>75.12958836043886</v>
      </c>
      <c r="V4410" s="76">
        <f>V4409+T4410</f>
        <v>1235.3391662466208</v>
      </c>
    </row>
    <row r="4411" spans="1:22" ht="19" customHeight="1">
      <c r="A4411" s="68" t="s">
        <v>378</v>
      </c>
      <c r="B4411" s="74">
        <v>5</v>
      </c>
      <c r="C4411" s="68" t="s">
        <v>363</v>
      </c>
      <c r="D4411" s="68" t="s">
        <v>365</v>
      </c>
      <c r="E4411" s="75">
        <f>60*F4411*'THAM_SO_MOI'!$C$53/(2*PI()*'THAM_SO_MOI'!$C$26)</f>
        <v>2300.370526315789</v>
      </c>
      <c r="F4411" s="75">
        <f>'THAM_SO_MOI'!$C$14+('THAM_SO_MOI'!$C$37-'THAM_SO_MOI'!$C$14)*320/'THAM_SO_MOI'!$C$42</f>
        <v>23.347777777777775</v>
      </c>
      <c r="G4411" s="75">
        <f>3.6*F4411</f>
        <v>84.05199999999999</v>
      </c>
      <c r="H4411" s="75">
        <f>'THAM_SO_MOI'!$D$53</f>
        <v>1.1</v>
      </c>
      <c r="I4411" s="75">
        <f>IF(F4411&gt;='THAM_SO_MOI'!$C$14,'THAM_SO_MOI'!$C$13*(1+F4411^2/1500),'THAM_SO_MOI'!$C$13)</f>
        <v>0.020451187271604936</v>
      </c>
      <c r="J4411" s="75">
        <f>'THAM_SO_MOI'!$C$40*('THAM_SO_MOI'!$C$23*(E4411/'THAM_SO_MOI'!$C$22)+'THAM_SO_MOI'!$C$24*(E4411/'THAM_SO_MOI'!$C$22)^2-'THAM_SO_MOI'!$C$25*(E4411/'THAM_SO_MOI'!$C$22)^3)</f>
        <v>103.38730493240864</v>
      </c>
      <c r="K4411" s="75">
        <f>'THAM_SO_MOI'!$C$31*J4411/E4411</f>
        <v>429.2622901288979</v>
      </c>
      <c r="L4411" s="75">
        <f>K4411*'THAM_SO_MOI'!$C$53*'THAM_SO_MOI'!$C$17/'THAM_SO_MOI'!$C$26</f>
        <v>3764.6319641202786</v>
      </c>
      <c r="M4411" s="75">
        <f>'THAM_SO_MOI'!$C$15*'THAM_SO_MOI'!$C$16*F4411^2</f>
        <v>1594.4722769444443</v>
      </c>
      <c r="N4411" s="75">
        <f>'THAM_SO_MOI'!$C$12*I4411</f>
        <v>1540.8088099925333</v>
      </c>
      <c r="O4411" s="75">
        <f>M4411+N4411</f>
        <v>3135.2810869369778</v>
      </c>
      <c r="P4411" s="75">
        <f>(MIN(L4411,'THAM_SO_MOI'!$C$41)-O4411)/('THAM_SO_MOI'!$C$11*H4411)</f>
        <v>0.07449702618173544</v>
      </c>
      <c r="Q4411" s="75">
        <f>IF(P4411&gt;0,1/P4411,NA())</f>
        <v>13.423354612310305</v>
      </c>
      <c r="R4411" s="75">
        <f>F4411-F4410</f>
        <v>0.0035868055555532408</v>
      </c>
      <c r="S4411" s="75">
        <f>0.5*(Q4410+Q4411)*R4411</f>
        <v>0.04812188893572342</v>
      </c>
      <c r="T4411" s="75">
        <f>0.5*(F4410*Q4410+F4411*Q4411)*R4411</f>
        <v>1.1234529121565968</v>
      </c>
      <c r="U4411" s="76">
        <f>U4410+S4411</f>
        <v>75.17771024937458</v>
      </c>
      <c r="V4411" s="76">
        <f>V4410+T4411</f>
        <v>1236.4626191587774</v>
      </c>
    </row>
    <row r="4412" spans="1:22" ht="19" customHeight="1">
      <c r="A4412" s="68" t="s">
        <v>378</v>
      </c>
      <c r="B4412" s="74">
        <v>5</v>
      </c>
      <c r="C4412" s="68" t="s">
        <v>363</v>
      </c>
      <c r="D4412" s="68" t="s">
        <v>365</v>
      </c>
      <c r="E4412" s="75">
        <f>60*F4412*'THAM_SO_MOI'!$C$53/(2*PI()*'THAM_SO_MOI'!$C$26)</f>
        <v>2300.723921052631</v>
      </c>
      <c r="F4412" s="75">
        <f>'THAM_SO_MOI'!$C$14+('THAM_SO_MOI'!$C$37-'THAM_SO_MOI'!$C$14)*321/'THAM_SO_MOI'!$C$42</f>
        <v>23.351364583333332</v>
      </c>
      <c r="G4412" s="75">
        <f>3.6*F4412</f>
        <v>84.06491249999999</v>
      </c>
      <c r="H4412" s="75">
        <f>'THAM_SO_MOI'!$D$53</f>
        <v>1.1</v>
      </c>
      <c r="I4412" s="75">
        <f>IF(F4412&gt;='THAM_SO_MOI'!$C$14,'THAM_SO_MOI'!$C$13*(1+F4412^2/1500),'THAM_SO_MOI'!$C$13)</f>
        <v>0.020452862279037542</v>
      </c>
      <c r="J4412" s="75">
        <f>'THAM_SO_MOI'!$C$40*('THAM_SO_MOI'!$C$23*(E4412/'THAM_SO_MOI'!$C$22)+'THAM_SO_MOI'!$C$24*(E4412/'THAM_SO_MOI'!$C$22)^2-'THAM_SO_MOI'!$C$25*(E4412/'THAM_SO_MOI'!$C$22)^3)</f>
        <v>103.40208214668031</v>
      </c>
      <c r="K4412" s="75">
        <f>'THAM_SO_MOI'!$C$31*J4412/E4412</f>
        <v>429.2577000923781</v>
      </c>
      <c r="L4412" s="75">
        <f>K4412*'THAM_SO_MOI'!$C$53*'THAM_SO_MOI'!$C$17/'THAM_SO_MOI'!$C$26</f>
        <v>3764.5917094820393</v>
      </c>
      <c r="M4412" s="75">
        <f>'THAM_SO_MOI'!$C$15*'THAM_SO_MOI'!$C$16*F4412^2</f>
        <v>1594.9622166184815</v>
      </c>
      <c r="N4412" s="75">
        <f>'THAM_SO_MOI'!$C$12*I4412</f>
        <v>1540.9350063925117</v>
      </c>
      <c r="O4412" s="75">
        <f>M4412+N4412</f>
        <v>3135.897223010993</v>
      </c>
      <c r="P4412" s="75">
        <f>(MIN(L4412,'THAM_SO_MOI'!$C$41)-O4412)/('THAM_SO_MOI'!$C$11*H4412)</f>
        <v>0.07441932841750075</v>
      </c>
      <c r="Q4412" s="75">
        <f>IF(P4412&gt;0,1/P4412,NA())</f>
        <v>13.437369313384398</v>
      </c>
      <c r="R4412" s="75">
        <f>F4412-F4411</f>
        <v>0.0035868055555567935</v>
      </c>
      <c r="S4412" s="75">
        <f>0.5*(Q4411+Q4412)*R4412</f>
        <v>0.04817209690147952</v>
      </c>
      <c r="T4412" s="75">
        <f>0.5*(F4411*Q4411+F4412*Q4412)*R4412</f>
        <v>1.124797850593108</v>
      </c>
      <c r="U4412" s="76">
        <f>U4411+S4412</f>
        <v>75.22588234627607</v>
      </c>
      <c r="V4412" s="76">
        <f>V4411+T4412</f>
        <v>1237.5874170093705</v>
      </c>
    </row>
    <row r="4413" spans="1:22" ht="19" customHeight="1">
      <c r="A4413" s="68" t="s">
        <v>378</v>
      </c>
      <c r="B4413" s="74">
        <v>5</v>
      </c>
      <c r="C4413" s="68" t="s">
        <v>363</v>
      </c>
      <c r="D4413" s="68" t="s">
        <v>365</v>
      </c>
      <c r="E4413" s="75">
        <f>60*F4413*'THAM_SO_MOI'!$C$53/(2*PI()*'THAM_SO_MOI'!$C$26)</f>
        <v>2301.0773157894732</v>
      </c>
      <c r="F4413" s="75">
        <f>'THAM_SO_MOI'!$C$14+('THAM_SO_MOI'!$C$37-'THAM_SO_MOI'!$C$14)*322/'THAM_SO_MOI'!$C$42</f>
        <v>23.35495138888889</v>
      </c>
      <c r="G4413" s="75">
        <f>3.6*F4413</f>
        <v>84.077825</v>
      </c>
      <c r="H4413" s="75">
        <f>'THAM_SO_MOI'!$D$53</f>
        <v>1.1</v>
      </c>
      <c r="I4413" s="75">
        <f>IF(F4413&gt;='THAM_SO_MOI'!$C$14,'THAM_SO_MOI'!$C$13*(1+F4413^2/1500),'THAM_SO_MOI'!$C$13)</f>
        <v>0.02045453754377363</v>
      </c>
      <c r="J4413" s="75">
        <f>'THAM_SO_MOI'!$C$40*('THAM_SO_MOI'!$C$23*(E4413/'THAM_SO_MOI'!$C$22)+'THAM_SO_MOI'!$C$24*(E4413/'THAM_SO_MOI'!$C$22)^2-'THAM_SO_MOI'!$C$25*(E4413/'THAM_SO_MOI'!$C$22)^3)</f>
        <v>103.41685610226855</v>
      </c>
      <c r="K4413" s="75">
        <f>'THAM_SO_MOI'!$C$31*J4413/E4413</f>
        <v>429.25309793987395</v>
      </c>
      <c r="L4413" s="75">
        <f>K4413*'THAM_SO_MOI'!$C$53*'THAM_SO_MOI'!$C$17/'THAM_SO_MOI'!$C$26</f>
        <v>3764.55134858657</v>
      </c>
      <c r="M4413" s="75">
        <f>'THAM_SO_MOI'!$C$15*'THAM_SO_MOI'!$C$16*F4413^2</f>
        <v>1595.452231553787</v>
      </c>
      <c r="N4413" s="75">
        <f>'THAM_SO_MOI'!$C$12*I4413</f>
        <v>1541.0612221779402</v>
      </c>
      <c r="O4413" s="75">
        <f>M4413+N4413</f>
        <v>3136.513453731727</v>
      </c>
      <c r="P4413" s="75">
        <f>(MIN(L4413,'THAM_SO_MOI'!$C$41)-O4413)/('THAM_SO_MOI'!$C$11*H4413)</f>
        <v>0.07434160687202211</v>
      </c>
      <c r="Q4413" s="75">
        <f>IF(P4413&gt;0,1/P4413,NA())</f>
        <v>13.45141761223273</v>
      </c>
      <c r="R4413" s="75">
        <f>F4413-F4412</f>
        <v>0.0035868055555567935</v>
      </c>
      <c r="S4413" s="75">
        <f>0.5*(Q4412+Q4413)*R4413</f>
        <v>0.04822242516349319</v>
      </c>
      <c r="T4413" s="75">
        <f>0.5*(F4412*Q4412+F4413*Q4413)*R4413</f>
        <v>1.126145958499929</v>
      </c>
      <c r="U4413" s="76">
        <f>U4412+S4413</f>
        <v>75.27410477143955</v>
      </c>
      <c r="V4413" s="76">
        <f>V4412+T4413</f>
        <v>1238.7135629678703</v>
      </c>
    </row>
    <row r="4414" spans="1:22" ht="19" customHeight="1">
      <c r="A4414" s="68" t="s">
        <v>378</v>
      </c>
      <c r="B4414" s="74">
        <v>5</v>
      </c>
      <c r="C4414" s="68" t="s">
        <v>363</v>
      </c>
      <c r="D4414" s="68" t="s">
        <v>365</v>
      </c>
      <c r="E4414" s="75">
        <f>60*F4414*'THAM_SO_MOI'!$C$53/(2*PI()*'THAM_SO_MOI'!$C$26)</f>
        <v>2301.4307105263147</v>
      </c>
      <c r="F4414" s="75">
        <f>'THAM_SO_MOI'!$C$14+('THAM_SO_MOI'!$C$37-'THAM_SO_MOI'!$C$14)*323/'THAM_SO_MOI'!$C$42</f>
        <v>23.358538194444442</v>
      </c>
      <c r="G4414" s="75">
        <f>3.6*F4414</f>
        <v>84.09073749999999</v>
      </c>
      <c r="H4414" s="75">
        <f>'THAM_SO_MOI'!$D$53</f>
        <v>1.1</v>
      </c>
      <c r="I4414" s="75">
        <f>IF(F4414&gt;='THAM_SO_MOI'!$C$14,'THAM_SO_MOI'!$C$13*(1+F4414^2/1500),'THAM_SO_MOI'!$C$13)</f>
        <v>0.020456213065813196</v>
      </c>
      <c r="J4414" s="75">
        <f>'THAM_SO_MOI'!$C$40*('THAM_SO_MOI'!$C$23*(E4414/'THAM_SO_MOI'!$C$22)+'THAM_SO_MOI'!$C$24*(E4414/'THAM_SO_MOI'!$C$22)^2-'THAM_SO_MOI'!$C$25*(E4414/'THAM_SO_MOI'!$C$22)^3)</f>
        <v>103.4316267978284</v>
      </c>
      <c r="K4414" s="75">
        <f>'THAM_SO_MOI'!$C$31*J4414/E4414</f>
        <v>429.2484836713854</v>
      </c>
      <c r="L4414" s="75">
        <f>K4414*'THAM_SO_MOI'!$C$53*'THAM_SO_MOI'!$C$17/'THAM_SO_MOI'!$C$26</f>
        <v>3764.5108814338696</v>
      </c>
      <c r="M4414" s="75">
        <f>'THAM_SO_MOI'!$C$15*'THAM_SO_MOI'!$C$16*F4414^2</f>
        <v>1595.9423217503606</v>
      </c>
      <c r="N4414" s="75">
        <f>'THAM_SO_MOI'!$C$12*I4414</f>
        <v>1541.187457348819</v>
      </c>
      <c r="O4414" s="75">
        <f>M4414+N4414</f>
        <v>3137.1297790991794</v>
      </c>
      <c r="P4414" s="75">
        <f>(MIN(L4414,'THAM_SO_MOI'!$C$41)-O4414)/('THAM_SO_MOI'!$C$11*H4414)</f>
        <v>0.07426386154529951</v>
      </c>
      <c r="Q4414" s="75">
        <f>IF(P4414&gt;0,1/P4414,NA())</f>
        <v>13.465499627837415</v>
      </c>
      <c r="R4414" s="75">
        <f>F4414-F4413</f>
        <v>0.0035868055555532408</v>
      </c>
      <c r="S4414" s="75">
        <f>0.5*(Q4413+Q4414)*R4414</f>
        <v>0.0482728741475252</v>
      </c>
      <c r="T4414" s="75">
        <f>0.5*(F4413*Q4413+F4414*Q4414)*R4414</f>
        <v>1.127497247115885</v>
      </c>
      <c r="U4414" s="76">
        <f>U4413+S4414</f>
        <v>75.32237764558708</v>
      </c>
      <c r="V4414" s="76">
        <f>V4413+T4414</f>
        <v>1239.841060214986</v>
      </c>
    </row>
    <row r="4415" spans="1:22" ht="19" customHeight="1">
      <c r="A4415" s="68" t="s">
        <v>378</v>
      </c>
      <c r="B4415" s="74">
        <v>5</v>
      </c>
      <c r="C4415" s="68" t="s">
        <v>363</v>
      </c>
      <c r="D4415" s="68" t="s">
        <v>365</v>
      </c>
      <c r="E4415" s="75">
        <f>60*F4415*'THAM_SO_MOI'!$C$53/(2*PI()*'THAM_SO_MOI'!$C$26)</f>
        <v>2301.7841052631575</v>
      </c>
      <c r="F4415" s="75">
        <f>'THAM_SO_MOI'!$C$14+('THAM_SO_MOI'!$C$37-'THAM_SO_MOI'!$C$14)*324/'THAM_SO_MOI'!$C$42</f>
        <v>23.362125</v>
      </c>
      <c r="G4415" s="75">
        <f>3.6*F4415</f>
        <v>84.10365</v>
      </c>
      <c r="H4415" s="75">
        <f>'THAM_SO_MOI'!$D$53</f>
        <v>1.1</v>
      </c>
      <c r="I4415" s="75">
        <f>IF(F4415&gt;='THAM_SO_MOI'!$C$14,'THAM_SO_MOI'!$C$13*(1+F4415^2/1500),'THAM_SO_MOI'!$C$13)</f>
        <v>0.020457888845156248</v>
      </c>
      <c r="J4415" s="75">
        <f>'THAM_SO_MOI'!$C$40*('THAM_SO_MOI'!$C$23*(E4415/'THAM_SO_MOI'!$C$22)+'THAM_SO_MOI'!$C$24*(E4415/'THAM_SO_MOI'!$C$22)^2-'THAM_SO_MOI'!$C$25*(E4415/'THAM_SO_MOI'!$C$22)^3)</f>
        <v>103.44639423201501</v>
      </c>
      <c r="K4415" s="75">
        <f>'THAM_SO_MOI'!$C$31*J4415/E4415</f>
        <v>429.2438572869122</v>
      </c>
      <c r="L4415" s="75">
        <f>K4415*'THAM_SO_MOI'!$C$53*'THAM_SO_MOI'!$C$17/'THAM_SO_MOI'!$C$26</f>
        <v>3764.470308023937</v>
      </c>
      <c r="M4415" s="75">
        <f>'THAM_SO_MOI'!$C$15*'THAM_SO_MOI'!$C$16*F4415^2</f>
        <v>1596.432487208203</v>
      </c>
      <c r="N4415" s="75">
        <f>'THAM_SO_MOI'!$C$12*I4415</f>
        <v>1541.3137119051478</v>
      </c>
      <c r="O4415" s="75">
        <f>M4415+N4415</f>
        <v>3137.7461991133505</v>
      </c>
      <c r="P4415" s="75">
        <f>(MIN(L4415,'THAM_SO_MOI'!$C$41)-O4415)/('THAM_SO_MOI'!$C$11*H4415)</f>
        <v>0.07418609243733265</v>
      </c>
      <c r="Q4415" s="75">
        <f>IF(P4415&gt;0,1/P4415,NA())</f>
        <v>13.479615479744155</v>
      </c>
      <c r="R4415" s="75">
        <f>F4415-F4414</f>
        <v>0.0035868055555567935</v>
      </c>
      <c r="S4415" s="75">
        <f>0.5*(Q4414+Q4415)*R4415</f>
        <v>0.04832344428149543</v>
      </c>
      <c r="T4415" s="75">
        <f>0.5*(F4414*Q4414+F4415*Q4415)*R4415</f>
        <v>1.1288517277363481</v>
      </c>
      <c r="U4415" s="76">
        <f>U4414+S4415</f>
        <v>75.37070108986858</v>
      </c>
      <c r="V4415" s="76">
        <f>V4414+T4415</f>
        <v>1240.9699119427225</v>
      </c>
    </row>
    <row r="4416" spans="1:22" ht="19" customHeight="1">
      <c r="A4416" s="68" t="s">
        <v>378</v>
      </c>
      <c r="B4416" s="74">
        <v>5</v>
      </c>
      <c r="C4416" s="68" t="s">
        <v>363</v>
      </c>
      <c r="D4416" s="68" t="s">
        <v>365</v>
      </c>
      <c r="E4416" s="75">
        <f>60*F4416*'THAM_SO_MOI'!$C$53/(2*PI()*'THAM_SO_MOI'!$C$26)</f>
        <v>2302.1374999999994</v>
      </c>
      <c r="F4416" s="75">
        <f>'THAM_SO_MOI'!$C$14+('THAM_SO_MOI'!$C$37-'THAM_SO_MOI'!$C$14)*325/'THAM_SO_MOI'!$C$42</f>
        <v>23.365711805555556</v>
      </c>
      <c r="G4416" s="75">
        <f>3.6*F4416</f>
        <v>84.1165625</v>
      </c>
      <c r="H4416" s="75">
        <f>'THAM_SO_MOI'!$D$53</f>
        <v>1.1</v>
      </c>
      <c r="I4416" s="75">
        <f>IF(F4416&gt;='THAM_SO_MOI'!$C$14,'THAM_SO_MOI'!$C$13*(1+F4416^2/1500),'THAM_SO_MOI'!$C$13)</f>
        <v>0.02045956488180278</v>
      </c>
      <c r="J4416" s="75">
        <f>'THAM_SO_MOI'!$C$40*('THAM_SO_MOI'!$C$23*(E4416/'THAM_SO_MOI'!$C$22)+'THAM_SO_MOI'!$C$24*(E4416/'THAM_SO_MOI'!$C$22)^2-'THAM_SO_MOI'!$C$25*(E4416/'THAM_SO_MOI'!$C$22)^3)</f>
        <v>103.46115840348347</v>
      </c>
      <c r="K4416" s="75">
        <f>'THAM_SO_MOI'!$C$31*J4416/E4416</f>
        <v>429.2392187864548</v>
      </c>
      <c r="L4416" s="75">
        <f>K4416*'THAM_SO_MOI'!$C$53*'THAM_SO_MOI'!$C$17/'THAM_SO_MOI'!$C$26</f>
        <v>3764.4296283567755</v>
      </c>
      <c r="M4416" s="75">
        <f>'THAM_SO_MOI'!$C$15*'THAM_SO_MOI'!$C$16*F4416^2</f>
        <v>1596.922727927314</v>
      </c>
      <c r="N4416" s="75">
        <f>'THAM_SO_MOI'!$C$12*I4416</f>
        <v>1541.439985846927</v>
      </c>
      <c r="O4416" s="75">
        <f>M4416+N4416</f>
        <v>3138.362713774241</v>
      </c>
      <c r="P4416" s="75">
        <f>(MIN(L4416,'THAM_SO_MOI'!$C$41)-O4416)/('THAM_SO_MOI'!$C$11*H4416)</f>
        <v>0.07410829954812198</v>
      </c>
      <c r="Q4416" s="75">
        <f>IF(P4416&gt;0,1/P4416,NA())</f>
        <v>13.493765288065385</v>
      </c>
      <c r="R4416" s="75">
        <f>F4416-F4415</f>
        <v>0.0035868055555567935</v>
      </c>
      <c r="S4416" s="75">
        <f>0.5*(Q4415+Q4416)*R4416</f>
        <v>0.04837413599506401</v>
      </c>
      <c r="T4416" s="75">
        <f>0.5*(F4415*Q4415+F4416*Q4416)*R4416</f>
        <v>1.1302094117034878</v>
      </c>
      <c r="U4416" s="76">
        <f>U4415+S4416</f>
        <v>75.41907522586364</v>
      </c>
      <c r="V4416" s="76">
        <f>V4415+T4416</f>
        <v>1242.100121354426</v>
      </c>
    </row>
    <row r="4417" spans="1:22" ht="19" customHeight="1">
      <c r="A4417" s="68" t="s">
        <v>378</v>
      </c>
      <c r="B4417" s="74">
        <v>5</v>
      </c>
      <c r="C4417" s="68" t="s">
        <v>363</v>
      </c>
      <c r="D4417" s="68" t="s">
        <v>365</v>
      </c>
      <c r="E4417" s="75">
        <f>60*F4417*'THAM_SO_MOI'!$C$53/(2*PI()*'THAM_SO_MOI'!$C$26)</f>
        <v>2302.4908947368417</v>
      </c>
      <c r="F4417" s="75">
        <f>'THAM_SO_MOI'!$C$14+('THAM_SO_MOI'!$C$37-'THAM_SO_MOI'!$C$14)*326/'THAM_SO_MOI'!$C$42</f>
        <v>23.36929861111111</v>
      </c>
      <c r="G4417" s="75">
        <f>3.6*F4417</f>
        <v>84.129475</v>
      </c>
      <c r="H4417" s="75">
        <f>'THAM_SO_MOI'!$D$53</f>
        <v>1.1</v>
      </c>
      <c r="I4417" s="75">
        <f>IF(F4417&gt;='THAM_SO_MOI'!$C$14,'THAM_SO_MOI'!$C$13*(1+F4417^2/1500),'THAM_SO_MOI'!$C$13)</f>
        <v>0.020461241175752796</v>
      </c>
      <c r="J4417" s="75">
        <f>'THAM_SO_MOI'!$C$40*('THAM_SO_MOI'!$C$23*(E4417/'THAM_SO_MOI'!$C$22)+'THAM_SO_MOI'!$C$24*(E4417/'THAM_SO_MOI'!$C$22)^2-'THAM_SO_MOI'!$C$25*(E4417/'THAM_SO_MOI'!$C$22)^3)</f>
        <v>103.4759193108889</v>
      </c>
      <c r="K4417" s="75">
        <f>'THAM_SO_MOI'!$C$31*J4417/E4417</f>
        <v>429.2345681700128</v>
      </c>
      <c r="L4417" s="75">
        <f>K4417*'THAM_SO_MOI'!$C$53*'THAM_SO_MOI'!$C$17/'THAM_SO_MOI'!$C$26</f>
        <v>3764.3888424323804</v>
      </c>
      <c r="M4417" s="75">
        <f>'THAM_SO_MOI'!$C$15*'THAM_SO_MOI'!$C$16*F4417^2</f>
        <v>1597.4130439076928</v>
      </c>
      <c r="N4417" s="75">
        <f>'THAM_SO_MOI'!$C$12*I4417</f>
        <v>1541.5662791741563</v>
      </c>
      <c r="O4417" s="75">
        <f>M4417+N4417</f>
        <v>3138.979323081849</v>
      </c>
      <c r="P4417" s="75">
        <f>(MIN(L4417,'THAM_SO_MOI'!$C$41)-O4417)/('THAM_SO_MOI'!$C$11*H4417)</f>
        <v>0.07403048287766709</v>
      </c>
      <c r="Q4417" s="75">
        <f>IF(P4417&gt;0,1/P4417,NA())</f>
        <v>13.507949173483938</v>
      </c>
      <c r="R4417" s="75">
        <f>F4417-F4416</f>
        <v>0.0035868055555532408</v>
      </c>
      <c r="S4417" s="75">
        <f>0.5*(Q4416+Q4417)*R4417</f>
        <v>0.0484249497200737</v>
      </c>
      <c r="T4417" s="75">
        <f>0.5*(F4416*Q4416+F4417*Q4417)*R4417</f>
        <v>1.1315703104166406</v>
      </c>
      <c r="U4417" s="76">
        <f>U4416+S4417</f>
        <v>75.46750017558371</v>
      </c>
      <c r="V4417" s="76">
        <f>V4416+T4417</f>
        <v>1243.2316916648426</v>
      </c>
    </row>
    <row r="4418" spans="1:22" ht="19" customHeight="1">
      <c r="A4418" s="68" t="s">
        <v>378</v>
      </c>
      <c r="B4418" s="74">
        <v>5</v>
      </c>
      <c r="C4418" s="68" t="s">
        <v>363</v>
      </c>
      <c r="D4418" s="68" t="s">
        <v>365</v>
      </c>
      <c r="E4418" s="75">
        <f>60*F4418*'THAM_SO_MOI'!$C$53/(2*PI()*'THAM_SO_MOI'!$C$26)</f>
        <v>2302.8442894736836</v>
      </c>
      <c r="F4418" s="75">
        <f>'THAM_SO_MOI'!$C$14+('THAM_SO_MOI'!$C$37-'THAM_SO_MOI'!$C$14)*327/'THAM_SO_MOI'!$C$42</f>
        <v>23.372885416666666</v>
      </c>
      <c r="G4418" s="75">
        <f>3.6*F4418</f>
        <v>84.1423875</v>
      </c>
      <c r="H4418" s="75">
        <f>'THAM_SO_MOI'!$D$53</f>
        <v>1.1</v>
      </c>
      <c r="I4418" s="75">
        <f>IF(F4418&gt;='THAM_SO_MOI'!$C$14,'THAM_SO_MOI'!$C$13*(1+F4418^2/1500),'THAM_SO_MOI'!$C$13)</f>
        <v>0.020462917727006293</v>
      </c>
      <c r="J4418" s="75">
        <f>'THAM_SO_MOI'!$C$40*('THAM_SO_MOI'!$C$23*(E4418/'THAM_SO_MOI'!$C$22)+'THAM_SO_MOI'!$C$24*(E4418/'THAM_SO_MOI'!$C$22)^2-'THAM_SO_MOI'!$C$25*(E4418/'THAM_SO_MOI'!$C$22)^3)</f>
        <v>103.49067695288636</v>
      </c>
      <c r="K4418" s="75">
        <f>'THAM_SO_MOI'!$C$31*J4418/E4418</f>
        <v>429.2299054375863</v>
      </c>
      <c r="L4418" s="75">
        <f>K4418*'THAM_SO_MOI'!$C$53*'THAM_SO_MOI'!$C$17/'THAM_SO_MOI'!$C$26</f>
        <v>3764.3479502507553</v>
      </c>
      <c r="M4418" s="75">
        <f>'THAM_SO_MOI'!$C$15*'THAM_SO_MOI'!$C$16*F4418^2</f>
        <v>1597.9034351493408</v>
      </c>
      <c r="N4418" s="75">
        <f>'THAM_SO_MOI'!$C$12*I4418</f>
        <v>1541.6925918868358</v>
      </c>
      <c r="O4418" s="75">
        <f>M4418+N4418</f>
        <v>3139.5960270361766</v>
      </c>
      <c r="P4418" s="75">
        <f>(MIN(L4418,'THAM_SO_MOI'!$C$41)-O4418)/('THAM_SO_MOI'!$C$11*H4418)</f>
        <v>0.0739526424259681</v>
      </c>
      <c r="Q4418" s="75">
        <f>IF(P4418&gt;0,1/P4418,NA())</f>
        <v>13.52216725725618</v>
      </c>
      <c r="R4418" s="75">
        <f>F4418-F4417</f>
        <v>0.0035868055555567935</v>
      </c>
      <c r="S4418" s="75">
        <f>0.5*(Q4417+Q4418)*R4418</f>
        <v>0.048475885890562814</v>
      </c>
      <c r="T4418" s="75">
        <f>0.5*(F4417*Q4417+F4418*Q4418)*R4418</f>
        <v>1.1329344353326523</v>
      </c>
      <c r="U4418" s="76">
        <f>U4417+S4418</f>
        <v>75.51597606147428</v>
      </c>
      <c r="V4418" s="76">
        <f>V4417+T4418</f>
        <v>1244.3646261001752</v>
      </c>
    </row>
    <row r="4419" spans="1:22" ht="19" customHeight="1">
      <c r="A4419" s="68" t="s">
        <v>378</v>
      </c>
      <c r="B4419" s="74">
        <v>5</v>
      </c>
      <c r="C4419" s="68" t="s">
        <v>363</v>
      </c>
      <c r="D4419" s="68" t="s">
        <v>365</v>
      </c>
      <c r="E4419" s="75">
        <f>60*F4419*'THAM_SO_MOI'!$C$53/(2*PI()*'THAM_SO_MOI'!$C$26)</f>
        <v>2303.197684210526</v>
      </c>
      <c r="F4419" s="75">
        <f>'THAM_SO_MOI'!$C$14+('THAM_SO_MOI'!$C$37-'THAM_SO_MOI'!$C$14)*328/'THAM_SO_MOI'!$C$42</f>
        <v>23.376472222222223</v>
      </c>
      <c r="G4419" s="75">
        <f>3.6*F4419</f>
        <v>84.1553</v>
      </c>
      <c r="H4419" s="75">
        <f>'THAM_SO_MOI'!$D$53</f>
        <v>1.1</v>
      </c>
      <c r="I4419" s="75">
        <f>IF(F4419&gt;='THAM_SO_MOI'!$C$14,'THAM_SO_MOI'!$C$13*(1+F4419^2/1500),'THAM_SO_MOI'!$C$13)</f>
        <v>0.02046459453556327</v>
      </c>
      <c r="J4419" s="75">
        <f>'THAM_SO_MOI'!$C$40*('THAM_SO_MOI'!$C$23*(E4419/'THAM_SO_MOI'!$C$22)+'THAM_SO_MOI'!$C$24*(E4419/'THAM_SO_MOI'!$C$22)^2-'THAM_SO_MOI'!$C$25*(E4419/'THAM_SO_MOI'!$C$22)^3)</f>
        <v>103.505431328131</v>
      </c>
      <c r="K4419" s="75">
        <f>'THAM_SO_MOI'!$C$31*J4419/E4419</f>
        <v>429.2252305891752</v>
      </c>
      <c r="L4419" s="75">
        <f>K4419*'THAM_SO_MOI'!$C$53*'THAM_SO_MOI'!$C$17/'THAM_SO_MOI'!$C$26</f>
        <v>3764.3069518118978</v>
      </c>
      <c r="M4419" s="75">
        <f>'THAM_SO_MOI'!$C$15*'THAM_SO_MOI'!$C$16*F4419^2</f>
        <v>1598.393901652257</v>
      </c>
      <c r="N4419" s="75">
        <f>'THAM_SO_MOI'!$C$12*I4419</f>
        <v>1541.8189239849653</v>
      </c>
      <c r="O4419" s="75">
        <f>M4419+N4419</f>
        <v>3140.2128256372225</v>
      </c>
      <c r="P4419" s="75">
        <f>(MIN(L4419,'THAM_SO_MOI'!$C$41)-O4419)/('THAM_SO_MOI'!$C$11*H4419)</f>
        <v>0.07387477819302506</v>
      </c>
      <c r="Q4419" s="75">
        <f>IF(P4419&gt;0,1/P4419,NA())</f>
        <v>13.536419661215522</v>
      </c>
      <c r="R4419" s="75">
        <f>F4419-F4418</f>
        <v>0.0035868055555567935</v>
      </c>
      <c r="S4419" s="75">
        <f>0.5*(Q4418+Q4419)*R4419</f>
        <v>0.04852694494234534</v>
      </c>
      <c r="T4419" s="75">
        <f>0.5*(F4418*Q4418+F4419*Q4419)*R4419</f>
        <v>1.134301797956101</v>
      </c>
      <c r="U4419" s="76">
        <f>U4418+S4419</f>
        <v>75.56450300641661</v>
      </c>
      <c r="V4419" s="76">
        <f>V4418+T4419</f>
        <v>1245.4989278981313</v>
      </c>
    </row>
    <row r="4420" spans="1:22" ht="19" customHeight="1">
      <c r="A4420" s="68" t="s">
        <v>378</v>
      </c>
      <c r="B4420" s="74">
        <v>5</v>
      </c>
      <c r="C4420" s="68" t="s">
        <v>363</v>
      </c>
      <c r="D4420" s="68" t="s">
        <v>365</v>
      </c>
      <c r="E4420" s="75">
        <f>60*F4420*'THAM_SO_MOI'!$C$53/(2*PI()*'THAM_SO_MOI'!$C$26)</f>
        <v>2303.551078947368</v>
      </c>
      <c r="F4420" s="75">
        <f>'THAM_SO_MOI'!$C$14+('THAM_SO_MOI'!$C$37-'THAM_SO_MOI'!$C$14)*329/'THAM_SO_MOI'!$C$42</f>
        <v>23.380059027777776</v>
      </c>
      <c r="G4420" s="75">
        <f>3.6*F4420</f>
        <v>84.1682125</v>
      </c>
      <c r="H4420" s="75">
        <f>'THAM_SO_MOI'!$D$53</f>
        <v>1.1</v>
      </c>
      <c r="I4420" s="75">
        <f>IF(F4420&gt;='THAM_SO_MOI'!$C$14,'THAM_SO_MOI'!$C$13*(1+F4420^2/1500),'THAM_SO_MOI'!$C$13)</f>
        <v>0.020466271601423728</v>
      </c>
      <c r="J4420" s="75">
        <f>'THAM_SO_MOI'!$C$40*('THAM_SO_MOI'!$C$23*(E4420/'THAM_SO_MOI'!$C$22)+'THAM_SO_MOI'!$C$24*(E4420/'THAM_SO_MOI'!$C$22)^2-'THAM_SO_MOI'!$C$25*(E4420/'THAM_SO_MOI'!$C$22)^3)</f>
        <v>103.52018243527793</v>
      </c>
      <c r="K4420" s="75">
        <f>'THAM_SO_MOI'!$C$31*J4420/E4420</f>
        <v>429.2205436247798</v>
      </c>
      <c r="L4420" s="75">
        <f>K4420*'THAM_SO_MOI'!$C$53*'THAM_SO_MOI'!$C$17/'THAM_SO_MOI'!$C$26</f>
        <v>3764.26584711581</v>
      </c>
      <c r="M4420" s="75">
        <f>'THAM_SO_MOI'!$C$15*'THAM_SO_MOI'!$C$16*F4420^2</f>
        <v>1598.8844434164414</v>
      </c>
      <c r="N4420" s="75">
        <f>'THAM_SO_MOI'!$C$12*I4420</f>
        <v>1541.9452754685449</v>
      </c>
      <c r="O4420" s="75">
        <f>M4420+N4420</f>
        <v>3140.8297188849865</v>
      </c>
      <c r="P4420" s="75">
        <f>(MIN(L4420,'THAM_SO_MOI'!$C$41)-O4420)/('THAM_SO_MOI'!$C$11*H4420)</f>
        <v>0.07379689017883809</v>
      </c>
      <c r="Q4420" s="75">
        <f>IF(P4420&gt;0,1/P4420,NA())</f>
        <v>13.550706507775837</v>
      </c>
      <c r="R4420" s="75">
        <f>F4420-F4419</f>
        <v>0.0035868055555532408</v>
      </c>
      <c r="S4420" s="75">
        <f>0.5*(Q4419+Q4420)*R4420</f>
        <v>0.04857812731345489</v>
      </c>
      <c r="T4420" s="75">
        <f>0.5*(F4419*Q4419+F4420*Q4420)*R4420</f>
        <v>1.1356724098497082</v>
      </c>
      <c r="U4420" s="76">
        <f>U4419+S4420</f>
        <v>75.61308113373006</v>
      </c>
      <c r="V4420" s="76">
        <f>V4419+T4420</f>
        <v>1246.6346003079811</v>
      </c>
    </row>
    <row r="4421" spans="1:22" ht="19" customHeight="1">
      <c r="A4421" s="68" t="s">
        <v>378</v>
      </c>
      <c r="B4421" s="74">
        <v>5</v>
      </c>
      <c r="C4421" s="68" t="s">
        <v>363</v>
      </c>
      <c r="D4421" s="68" t="s">
        <v>365</v>
      </c>
      <c r="E4421" s="75">
        <f>60*F4421*'THAM_SO_MOI'!$C$53/(2*PI()*'THAM_SO_MOI'!$C$26)</f>
        <v>2303.9044736842097</v>
      </c>
      <c r="F4421" s="75">
        <f>'THAM_SO_MOI'!$C$14+('THAM_SO_MOI'!$C$37-'THAM_SO_MOI'!$C$14)*330/'THAM_SO_MOI'!$C$42</f>
        <v>23.383645833333333</v>
      </c>
      <c r="G4421" s="75">
        <f>3.6*F4421</f>
        <v>84.181125</v>
      </c>
      <c r="H4421" s="75">
        <f>'THAM_SO_MOI'!$D$53</f>
        <v>1.1</v>
      </c>
      <c r="I4421" s="75">
        <f>IF(F4421&gt;='THAM_SO_MOI'!$C$14,'THAM_SO_MOI'!$C$13*(1+F4421^2/1500),'THAM_SO_MOI'!$C$13)</f>
        <v>0.020467948924587673</v>
      </c>
      <c r="J4421" s="75">
        <f>'THAM_SO_MOI'!$C$40*('THAM_SO_MOI'!$C$23*(E4421/'THAM_SO_MOI'!$C$22)+'THAM_SO_MOI'!$C$24*(E4421/'THAM_SO_MOI'!$C$22)^2-'THAM_SO_MOI'!$C$25*(E4421/'THAM_SO_MOI'!$C$22)^3)</f>
        <v>103.53493027298228</v>
      </c>
      <c r="K4421" s="75">
        <f>'THAM_SO_MOI'!$C$31*J4421/E4421</f>
        <v>429.21584454439994</v>
      </c>
      <c r="L4421" s="75">
        <f>K4421*'THAM_SO_MOI'!$C$53*'THAM_SO_MOI'!$C$17/'THAM_SO_MOI'!$C$26</f>
        <v>3764.2246361624916</v>
      </c>
      <c r="M4421" s="75">
        <f>'THAM_SO_MOI'!$C$15*'THAM_SO_MOI'!$C$16*F4421^2</f>
        <v>1599.3750604418947</v>
      </c>
      <c r="N4421" s="75">
        <f>'THAM_SO_MOI'!$C$12*I4421</f>
        <v>1542.071646337575</v>
      </c>
      <c r="O4421" s="75">
        <f>M4421+N4421</f>
        <v>3141.4467067794694</v>
      </c>
      <c r="P4421" s="75">
        <f>(MIN(L4421,'THAM_SO_MOI'!$C$41)-O4421)/('THAM_SO_MOI'!$C$11*H4421)</f>
        <v>0.07371897838340695</v>
      </c>
      <c r="Q4421" s="75">
        <f>IF(P4421&gt;0,1/P4421,NA())</f>
        <v>13.565027919935</v>
      </c>
      <c r="R4421" s="75">
        <f>F4421-F4420</f>
        <v>0.0035868055555567935</v>
      </c>
      <c r="S4421" s="75">
        <f>0.5*(Q4420+Q4421)*R4421</f>
        <v>0.04862943344415792</v>
      </c>
      <c r="T4421" s="75">
        <f>0.5*(F4420*Q4420+F4421*Q4421)*R4421</f>
        <v>1.1370462826346885</v>
      </c>
      <c r="U4421" s="76">
        <f>U4420+S4421</f>
        <v>75.66171056717423</v>
      </c>
      <c r="V4421" s="76">
        <f>V4420+T4421</f>
        <v>1247.7716465906158</v>
      </c>
    </row>
    <row r="4422" spans="1:22" ht="19" customHeight="1">
      <c r="A4422" s="68" t="s">
        <v>378</v>
      </c>
      <c r="B4422" s="74">
        <v>5</v>
      </c>
      <c r="C4422" s="68" t="s">
        <v>363</v>
      </c>
      <c r="D4422" s="68" t="s">
        <v>365</v>
      </c>
      <c r="E4422" s="75">
        <f>60*F4422*'THAM_SO_MOI'!$C$53/(2*PI()*'THAM_SO_MOI'!$C$26)</f>
        <v>2304.257868421052</v>
      </c>
      <c r="F4422" s="75">
        <f>'THAM_SO_MOI'!$C$14+('THAM_SO_MOI'!$C$37-'THAM_SO_MOI'!$C$14)*331/'THAM_SO_MOI'!$C$42</f>
        <v>23.38723263888889</v>
      </c>
      <c r="G4422" s="75">
        <f>3.6*F4422</f>
        <v>84.19403750000001</v>
      </c>
      <c r="H4422" s="75">
        <f>'THAM_SO_MOI'!$D$53</f>
        <v>1.1</v>
      </c>
      <c r="I4422" s="75">
        <f>IF(F4422&gt;='THAM_SO_MOI'!$C$14,'THAM_SO_MOI'!$C$13*(1+F4422^2/1500),'THAM_SO_MOI'!$C$13)</f>
        <v>0.020469626505055096</v>
      </c>
      <c r="J4422" s="75">
        <f>'THAM_SO_MOI'!$C$40*('THAM_SO_MOI'!$C$23*(E4422/'THAM_SO_MOI'!$C$22)+'THAM_SO_MOI'!$C$24*(E4422/'THAM_SO_MOI'!$C$22)^2-'THAM_SO_MOI'!$C$25*(E4422/'THAM_SO_MOI'!$C$22)^3)</f>
        <v>103.54967483989914</v>
      </c>
      <c r="K4422" s="75">
        <f>'THAM_SO_MOI'!$C$31*J4422/E4422</f>
        <v>429.2111333480356</v>
      </c>
      <c r="L4422" s="75">
        <f>K4422*'THAM_SO_MOI'!$C$53*'THAM_SO_MOI'!$C$17/'THAM_SO_MOI'!$C$26</f>
        <v>3764.183318951942</v>
      </c>
      <c r="M4422" s="75">
        <f>'THAM_SO_MOI'!$C$15*'THAM_SO_MOI'!$C$16*F4422^2</f>
        <v>1599.8657527286161</v>
      </c>
      <c r="N4422" s="75">
        <f>'THAM_SO_MOI'!$C$12*I4422</f>
        <v>1542.1980365920551</v>
      </c>
      <c r="O4422" s="75">
        <f>M4422+N4422</f>
        <v>3142.0637893206713</v>
      </c>
      <c r="P4422" s="75">
        <f>(MIN(L4422,'THAM_SO_MOI'!$C$41)-O4422)/('THAM_SO_MOI'!$C$11*H4422)</f>
        <v>0.0736410428067319</v>
      </c>
      <c r="Q4422" s="75">
        <f>IF(P4422&gt;0,1/P4422,NA())</f>
        <v>13.579384021278214</v>
      </c>
      <c r="R4422" s="75">
        <f>F4422-F4421</f>
        <v>0.0035868055555567935</v>
      </c>
      <c r="S4422" s="75">
        <f>0.5*(Q4421+Q4422)*R4422</f>
        <v>0.048680863776532864</v>
      </c>
      <c r="T4422" s="75">
        <f>0.5*(F4421*Q4421+F4422*Q4422)*R4422</f>
        <v>1.1384234279809473</v>
      </c>
      <c r="U4422" s="76">
        <f>U4421+S4422</f>
        <v>75.71039143095076</v>
      </c>
      <c r="V4422" s="76">
        <f>V4421+T4422</f>
        <v>1248.9100700185968</v>
      </c>
    </row>
    <row r="4423" spans="1:22" ht="19" customHeight="1">
      <c r="A4423" s="68" t="s">
        <v>378</v>
      </c>
      <c r="B4423" s="74">
        <v>5</v>
      </c>
      <c r="C4423" s="68" t="s">
        <v>363</v>
      </c>
      <c r="D4423" s="68" t="s">
        <v>365</v>
      </c>
      <c r="E4423" s="75">
        <f>60*F4423*'THAM_SO_MOI'!$C$53/(2*PI()*'THAM_SO_MOI'!$C$26)</f>
        <v>2304.611263157894</v>
      </c>
      <c r="F4423" s="75">
        <f>'THAM_SO_MOI'!$C$14+('THAM_SO_MOI'!$C$37-'THAM_SO_MOI'!$C$14)*332/'THAM_SO_MOI'!$C$42</f>
        <v>23.390819444444443</v>
      </c>
      <c r="G4423" s="75">
        <f>3.6*F4423</f>
        <v>84.20694999999999</v>
      </c>
      <c r="H4423" s="75">
        <f>'THAM_SO_MOI'!$D$53</f>
        <v>1.1</v>
      </c>
      <c r="I4423" s="75">
        <f>IF(F4423&gt;='THAM_SO_MOI'!$C$14,'THAM_SO_MOI'!$C$13*(1+F4423^2/1500),'THAM_SO_MOI'!$C$13)</f>
        <v>0.020471304342826003</v>
      </c>
      <c r="J4423" s="75">
        <f>'THAM_SO_MOI'!$C$40*('THAM_SO_MOI'!$C$23*(E4423/'THAM_SO_MOI'!$C$22)+'THAM_SO_MOI'!$C$24*(E4423/'THAM_SO_MOI'!$C$22)^2-'THAM_SO_MOI'!$C$25*(E4423/'THAM_SO_MOI'!$C$22)^3)</f>
        <v>103.56441613468363</v>
      </c>
      <c r="K4423" s="75">
        <f>'THAM_SO_MOI'!$C$31*J4423/E4423</f>
        <v>429.2064100356869</v>
      </c>
      <c r="L4423" s="75">
        <f>K4423*'THAM_SO_MOI'!$C$53*'THAM_SO_MOI'!$C$17/'THAM_SO_MOI'!$C$26</f>
        <v>3764.141895484161</v>
      </c>
      <c r="M4423" s="75">
        <f>'THAM_SO_MOI'!$C$15*'THAM_SO_MOI'!$C$16*F4423^2</f>
        <v>1600.3565202766058</v>
      </c>
      <c r="N4423" s="75">
        <f>'THAM_SO_MOI'!$C$12*I4423</f>
        <v>1542.3244462319853</v>
      </c>
      <c r="O4423" s="75">
        <f>M4423+N4423</f>
        <v>3142.680966508591</v>
      </c>
      <c r="P4423" s="75">
        <f>(MIN(L4423,'THAM_SO_MOI'!$C$41)-O4423)/('THAM_SO_MOI'!$C$11*H4423)</f>
        <v>0.07356308344881272</v>
      </c>
      <c r="Q4423" s="75">
        <f>IF(P4423&gt;0,1/P4423,NA())</f>
        <v>13.593774935981692</v>
      </c>
      <c r="R4423" s="75">
        <f>F4423-F4422</f>
        <v>0.0035868055555532408</v>
      </c>
      <c r="S4423" s="75">
        <f>0.5*(Q4422+Q4423)*R4423</f>
        <v>0.048732418754915574</v>
      </c>
      <c r="T4423" s="75">
        <f>0.5*(F4422*Q4422+F4423*Q4423)*R4423</f>
        <v>1.1398038576175311</v>
      </c>
      <c r="U4423" s="76">
        <f>U4422+S4423</f>
        <v>75.75912384970567</v>
      </c>
      <c r="V4423" s="76">
        <f>V4422+T4423</f>
        <v>1250.0498738762144</v>
      </c>
    </row>
    <row r="4424" spans="1:22" ht="19" customHeight="1">
      <c r="A4424" s="68" t="s">
        <v>378</v>
      </c>
      <c r="B4424" s="74">
        <v>5</v>
      </c>
      <c r="C4424" s="68" t="s">
        <v>363</v>
      </c>
      <c r="D4424" s="68" t="s">
        <v>365</v>
      </c>
      <c r="E4424" s="75">
        <f>60*F4424*'THAM_SO_MOI'!$C$53/(2*PI()*'THAM_SO_MOI'!$C$26)</f>
        <v>2304.9646578947363</v>
      </c>
      <c r="F4424" s="75">
        <f>'THAM_SO_MOI'!$C$14+('THAM_SO_MOI'!$C$37-'THAM_SO_MOI'!$C$14)*333/'THAM_SO_MOI'!$C$42</f>
        <v>23.39440625</v>
      </c>
      <c r="G4424" s="75">
        <f>3.6*F4424</f>
        <v>84.2198625</v>
      </c>
      <c r="H4424" s="75">
        <f>'THAM_SO_MOI'!$D$53</f>
        <v>1.1</v>
      </c>
      <c r="I4424" s="75">
        <f>IF(F4424&gt;='THAM_SO_MOI'!$C$14,'THAM_SO_MOI'!$C$13*(1+F4424^2/1500),'THAM_SO_MOI'!$C$13)</f>
        <v>0.020472982437900387</v>
      </c>
      <c r="J4424" s="75">
        <f>'THAM_SO_MOI'!$C$40*('THAM_SO_MOI'!$C$23*(E4424/'THAM_SO_MOI'!$C$22)+'THAM_SO_MOI'!$C$24*(E4424/'THAM_SO_MOI'!$C$22)^2-'THAM_SO_MOI'!$C$25*(E4424/'THAM_SO_MOI'!$C$22)^3)</f>
        <v>103.57915415599089</v>
      </c>
      <c r="K4424" s="75">
        <f>'THAM_SO_MOI'!$C$31*J4424/E4424</f>
        <v>429.2016746073538</v>
      </c>
      <c r="L4424" s="75">
        <f>K4424*'THAM_SO_MOI'!$C$53*'THAM_SO_MOI'!$C$17/'THAM_SO_MOI'!$C$26</f>
        <v>3764.10036575915</v>
      </c>
      <c r="M4424" s="75">
        <f>'THAM_SO_MOI'!$C$15*'THAM_SO_MOI'!$C$16*F4424^2</f>
        <v>1600.8473630858643</v>
      </c>
      <c r="N4424" s="75">
        <f>'THAM_SO_MOI'!$C$12*I4424</f>
        <v>1542.4508752573656</v>
      </c>
      <c r="O4424" s="75">
        <f>M4424+N4424</f>
        <v>3143.29823834323</v>
      </c>
      <c r="P4424" s="75">
        <f>(MIN(L4424,'THAM_SO_MOI'!$C$41)-O4424)/('THAM_SO_MOI'!$C$11*H4424)</f>
        <v>0.07348510030964962</v>
      </c>
      <c r="Q4424" s="75">
        <f>IF(P4424&gt;0,1/P4424,NA())</f>
        <v>13.608200788816042</v>
      </c>
      <c r="R4424" s="75">
        <f>F4424-F4423</f>
        <v>0.0035868055555567935</v>
      </c>
      <c r="S4424" s="75">
        <f>0.5*(Q4423+Q4424)*R4424</f>
        <v>0.048784098825912774</v>
      </c>
      <c r="T4424" s="75">
        <f>0.5*(F4423*Q4423+F4424*Q4424)*R4424</f>
        <v>1.1411875833329828</v>
      </c>
      <c r="U4424" s="76">
        <f>U4423+S4424</f>
        <v>75.8079079485316</v>
      </c>
      <c r="V4424" s="76">
        <f>V4423+T4424</f>
        <v>1251.1910614595474</v>
      </c>
    </row>
    <row r="4425" spans="1:22" ht="19" customHeight="1">
      <c r="A4425" s="68" t="s">
        <v>378</v>
      </c>
      <c r="B4425" s="74">
        <v>5</v>
      </c>
      <c r="C4425" s="68" t="s">
        <v>363</v>
      </c>
      <c r="D4425" s="68" t="s">
        <v>365</v>
      </c>
      <c r="E4425" s="75">
        <f>60*F4425*'THAM_SO_MOI'!$C$53/(2*PI()*'THAM_SO_MOI'!$C$26)</f>
        <v>2305.318052631578</v>
      </c>
      <c r="F4425" s="75">
        <f>'THAM_SO_MOI'!$C$14+('THAM_SO_MOI'!$C$37-'THAM_SO_MOI'!$C$14)*334/'THAM_SO_MOI'!$C$42</f>
        <v>23.397993055555553</v>
      </c>
      <c r="G4425" s="75">
        <f>3.6*F4425</f>
        <v>84.23277499999999</v>
      </c>
      <c r="H4425" s="75">
        <f>'THAM_SO_MOI'!$D$53</f>
        <v>1.1</v>
      </c>
      <c r="I4425" s="75">
        <f>IF(F4425&gt;='THAM_SO_MOI'!$C$14,'THAM_SO_MOI'!$C$13*(1+F4425^2/1500),'THAM_SO_MOI'!$C$13)</f>
        <v>0.020474660790278258</v>
      </c>
      <c r="J4425" s="75">
        <f>'THAM_SO_MOI'!$C$40*('THAM_SO_MOI'!$C$23*(E4425/'THAM_SO_MOI'!$C$22)+'THAM_SO_MOI'!$C$24*(E4425/'THAM_SO_MOI'!$C$22)^2-'THAM_SO_MOI'!$C$25*(E4425/'THAM_SO_MOI'!$C$22)^3)</f>
        <v>103.59388890247591</v>
      </c>
      <c r="K4425" s="75">
        <f>'THAM_SO_MOI'!$C$31*J4425/E4425</f>
        <v>429.196927063036</v>
      </c>
      <c r="L4425" s="75">
        <f>K4425*'THAM_SO_MOI'!$C$53*'THAM_SO_MOI'!$C$17/'THAM_SO_MOI'!$C$26</f>
        <v>3764.058729776906</v>
      </c>
      <c r="M4425" s="75">
        <f>'THAM_SO_MOI'!$C$15*'THAM_SO_MOI'!$C$16*F4425^2</f>
        <v>1601.3382811563908</v>
      </c>
      <c r="N4425" s="75">
        <f>'THAM_SO_MOI'!$C$12*I4425</f>
        <v>1542.5773236681962</v>
      </c>
      <c r="O4425" s="75">
        <f>M4425+N4425</f>
        <v>3143.915604824587</v>
      </c>
      <c r="P4425" s="75">
        <f>(MIN(L4425,'THAM_SO_MOI'!$C$41)-O4425)/('THAM_SO_MOI'!$C$11*H4425)</f>
        <v>0.07340709338924234</v>
      </c>
      <c r="Q4425" s="75">
        <f>IF(P4425&gt;0,1/P4425,NA())</f>
        <v>13.622661705149982</v>
      </c>
      <c r="R4425" s="75">
        <f>F4425-F4424</f>
        <v>0.0035868055555532408</v>
      </c>
      <c r="S4425" s="75">
        <f>0.5*(Q4424+Q4425)*R4425</f>
        <v>0.04883590443793185</v>
      </c>
      <c r="T4425" s="75">
        <f>0.5*(F4424*Q4424+F4425*Q4425)*R4425</f>
        <v>1.1425746169643816</v>
      </c>
      <c r="U4425" s="76">
        <f>U4424+S4425</f>
        <v>75.85674385296953</v>
      </c>
      <c r="V4425" s="76">
        <f>V4424+T4425</f>
        <v>1252.3336360765118</v>
      </c>
    </row>
    <row r="4426" spans="1:22" ht="19" customHeight="1">
      <c r="A4426" s="68" t="s">
        <v>378</v>
      </c>
      <c r="B4426" s="74">
        <v>5</v>
      </c>
      <c r="C4426" s="68" t="s">
        <v>363</v>
      </c>
      <c r="D4426" s="68" t="s">
        <v>365</v>
      </c>
      <c r="E4426" s="75">
        <f>60*F4426*'THAM_SO_MOI'!$C$53/(2*PI()*'THAM_SO_MOI'!$C$26)</f>
        <v>2305.6714473684206</v>
      </c>
      <c r="F4426" s="75">
        <f>'THAM_SO_MOI'!$C$14+('THAM_SO_MOI'!$C$37-'THAM_SO_MOI'!$C$14)*335/'THAM_SO_MOI'!$C$42</f>
        <v>23.40157986111111</v>
      </c>
      <c r="G4426" s="75">
        <f>3.6*F4426</f>
        <v>84.2456875</v>
      </c>
      <c r="H4426" s="75">
        <f>'THAM_SO_MOI'!$D$53</f>
        <v>1.1</v>
      </c>
      <c r="I4426" s="75">
        <f>IF(F4426&gt;='THAM_SO_MOI'!$C$14,'THAM_SO_MOI'!$C$13*(1+F4426^2/1500),'THAM_SO_MOI'!$C$13)</f>
        <v>0.02047633939995961</v>
      </c>
      <c r="J4426" s="75">
        <f>'THAM_SO_MOI'!$C$40*('THAM_SO_MOI'!$C$23*(E4426/'THAM_SO_MOI'!$C$22)+'THAM_SO_MOI'!$C$24*(E4426/'THAM_SO_MOI'!$C$22)^2-'THAM_SO_MOI'!$C$25*(E4426/'THAM_SO_MOI'!$C$22)^3)</f>
        <v>103.60862037279394</v>
      </c>
      <c r="K4426" s="75">
        <f>'THAM_SO_MOI'!$C$31*J4426/E4426</f>
        <v>429.1921674027339</v>
      </c>
      <c r="L4426" s="75">
        <f>K4426*'THAM_SO_MOI'!$C$53*'THAM_SO_MOI'!$C$17/'THAM_SO_MOI'!$C$26</f>
        <v>3764.0169875374327</v>
      </c>
      <c r="M4426" s="75">
        <f>'THAM_SO_MOI'!$C$15*'THAM_SO_MOI'!$C$16*F4426^2</f>
        <v>1601.829274488186</v>
      </c>
      <c r="N4426" s="75">
        <f>'THAM_SO_MOI'!$C$12*I4426</f>
        <v>1542.703791464477</v>
      </c>
      <c r="O4426" s="75">
        <f>M4426+N4426</f>
        <v>3144.533065952663</v>
      </c>
      <c r="P4426" s="75">
        <f>(MIN(L4426,'THAM_SO_MOI'!$C$41)-O4426)/('THAM_SO_MOI'!$C$11*H4426)</f>
        <v>0.0733290626875911</v>
      </c>
      <c r="Q4426" s="75">
        <f>IF(P4426&gt;0,1/P4426,NA())</f>
        <v>13.637157810953749</v>
      </c>
      <c r="R4426" s="75">
        <f>F4426-F4425</f>
        <v>0.0035868055555567935</v>
      </c>
      <c r="S4426" s="75">
        <f>0.5*(Q4425+Q4426)*R4426</f>
        <v>0.04888783604191818</v>
      </c>
      <c r="T4426" s="75">
        <f>0.5*(F4425*Q4425+F4426*Q4426)*R4426</f>
        <v>1.1439649704146284</v>
      </c>
      <c r="U4426" s="76">
        <f>U4425+S4426</f>
        <v>75.90563168901144</v>
      </c>
      <c r="V4426" s="76">
        <f>V4425+T4426</f>
        <v>1253.4776010469263</v>
      </c>
    </row>
    <row r="4427" spans="1:22" ht="19" customHeight="1">
      <c r="A4427" s="68" t="s">
        <v>378</v>
      </c>
      <c r="B4427" s="74">
        <v>5</v>
      </c>
      <c r="C4427" s="68" t="s">
        <v>363</v>
      </c>
      <c r="D4427" s="68" t="s">
        <v>365</v>
      </c>
      <c r="E4427" s="75">
        <f>60*F4427*'THAM_SO_MOI'!$C$53/(2*PI()*'THAM_SO_MOI'!$C$26)</f>
        <v>2306.0248421052625</v>
      </c>
      <c r="F4427" s="75">
        <f>'THAM_SO_MOI'!$C$14+('THAM_SO_MOI'!$C$37-'THAM_SO_MOI'!$C$14)*336/'THAM_SO_MOI'!$C$42</f>
        <v>23.405166666666666</v>
      </c>
      <c r="G4427" s="75">
        <f>3.6*F4427</f>
        <v>84.2586</v>
      </c>
      <c r="H4427" s="75">
        <f>'THAM_SO_MOI'!$D$53</f>
        <v>1.1</v>
      </c>
      <c r="I4427" s="75">
        <f>IF(F4427&gt;='THAM_SO_MOI'!$C$14,'THAM_SO_MOI'!$C$13*(1+F4427^2/1500),'THAM_SO_MOI'!$C$13)</f>
        <v>0.020478018266944446</v>
      </c>
      <c r="J4427" s="75">
        <f>'THAM_SO_MOI'!$C$40*('THAM_SO_MOI'!$C$23*(E4427/'THAM_SO_MOI'!$C$22)+'THAM_SO_MOI'!$C$24*(E4427/'THAM_SO_MOI'!$C$22)^2-'THAM_SO_MOI'!$C$25*(E4427/'THAM_SO_MOI'!$C$22)^3)</f>
        <v>103.62334856560003</v>
      </c>
      <c r="K4427" s="75">
        <f>'THAM_SO_MOI'!$C$31*J4427/E4427</f>
        <v>429.18739562644737</v>
      </c>
      <c r="L4427" s="75">
        <f>K4427*'THAM_SO_MOI'!$C$53*'THAM_SO_MOI'!$C$17/'THAM_SO_MOI'!$C$26</f>
        <v>3763.9751390407278</v>
      </c>
      <c r="M4427" s="75">
        <f>'THAM_SO_MOI'!$C$15*'THAM_SO_MOI'!$C$16*F4427^2</f>
        <v>1602.3203430812503</v>
      </c>
      <c r="N4427" s="75">
        <f>'THAM_SO_MOI'!$C$12*I4427</f>
        <v>1542.8302786462082</v>
      </c>
      <c r="O4427" s="75">
        <f>M4427+N4427</f>
        <v>3145.150621727458</v>
      </c>
      <c r="P4427" s="75">
        <f>(MIN(L4427,'THAM_SO_MOI'!$C$41)-O4427)/('THAM_SO_MOI'!$C$11*H4427)</f>
        <v>0.07325100820469568</v>
      </c>
      <c r="Q4427" s="75">
        <f>IF(P4427&gt;0,1/P4427,NA())</f>
        <v>13.651689232802887</v>
      </c>
      <c r="R4427" s="75">
        <f>F4427-F4426</f>
        <v>0.0035868055555567935</v>
      </c>
      <c r="S4427" s="75">
        <f>0.5*(Q4426+Q4427)*R4427</f>
        <v>0.04893989409064294</v>
      </c>
      <c r="T4427" s="75">
        <f>0.5*(F4426*Q4426+F4427*Q4427)*R4427</f>
        <v>1.1453586556358246</v>
      </c>
      <c r="U4427" s="76">
        <f>U4426+S4427</f>
        <v>75.95457158310208</v>
      </c>
      <c r="V4427" s="76">
        <f>V4426+T4427</f>
        <v>1254.6229597025622</v>
      </c>
    </row>
    <row r="4428" spans="1:22" ht="19" customHeight="1">
      <c r="A4428" s="68" t="s">
        <v>378</v>
      </c>
      <c r="B4428" s="74">
        <v>5</v>
      </c>
      <c r="C4428" s="68" t="s">
        <v>363</v>
      </c>
      <c r="D4428" s="68" t="s">
        <v>365</v>
      </c>
      <c r="E4428" s="75">
        <f>60*F4428*'THAM_SO_MOI'!$C$53/(2*PI()*'THAM_SO_MOI'!$C$26)</f>
        <v>2306.3782368421053</v>
      </c>
      <c r="F4428" s="75">
        <f>'THAM_SO_MOI'!$C$14+('THAM_SO_MOI'!$C$37-'THAM_SO_MOI'!$C$14)*337/'THAM_SO_MOI'!$C$42</f>
        <v>23.408753472222223</v>
      </c>
      <c r="G4428" s="75">
        <f>3.6*F4428</f>
        <v>84.2715125</v>
      </c>
      <c r="H4428" s="75">
        <f>'THAM_SO_MOI'!$D$53</f>
        <v>1.1</v>
      </c>
      <c r="I4428" s="75">
        <f>IF(F4428&gt;='THAM_SO_MOI'!$C$14,'THAM_SO_MOI'!$C$13*(1+F4428^2/1500),'THAM_SO_MOI'!$C$13)</f>
        <v>0.020479697391232756</v>
      </c>
      <c r="J4428" s="75">
        <f>'THAM_SO_MOI'!$C$40*('THAM_SO_MOI'!$C$23*(E4428/'THAM_SO_MOI'!$C$22)+'THAM_SO_MOI'!$C$24*(E4428/'THAM_SO_MOI'!$C$22)^2-'THAM_SO_MOI'!$C$25*(E4428/'THAM_SO_MOI'!$C$22)^3)</f>
        <v>103.63807347954928</v>
      </c>
      <c r="K4428" s="75">
        <f>'THAM_SO_MOI'!$C$31*J4428/E4428</f>
        <v>429.1826117341762</v>
      </c>
      <c r="L4428" s="75">
        <f>K4428*'THAM_SO_MOI'!$C$53*'THAM_SO_MOI'!$C$17/'THAM_SO_MOI'!$C$26</f>
        <v>3763.93318428679</v>
      </c>
      <c r="M4428" s="75">
        <f>'THAM_SO_MOI'!$C$15*'THAM_SO_MOI'!$C$16*F4428^2</f>
        <v>1602.8114869355823</v>
      </c>
      <c r="N4428" s="75">
        <f>'THAM_SO_MOI'!$C$12*I4428</f>
        <v>1542.956785213389</v>
      </c>
      <c r="O4428" s="75">
        <f>M4428+N4428</f>
        <v>3145.768272148971</v>
      </c>
      <c r="P4428" s="75">
        <f>(MIN(L4428,'THAM_SO_MOI'!$C$41)-O4428)/('THAM_SO_MOI'!$C$11*H4428)</f>
        <v>0.07317292994055621</v>
      </c>
      <c r="Q4428" s="75">
        <f>IF(P4428&gt;0,1/P4428,NA())</f>
        <v>13.666256097881744</v>
      </c>
      <c r="R4428" s="75">
        <f>F4428-F4427</f>
        <v>0.0035868055555567935</v>
      </c>
      <c r="S4428" s="75">
        <f>0.5*(Q4427+Q4428)*R4428</f>
        <v>0.048992079039248196</v>
      </c>
      <c r="T4428" s="75">
        <f>0.5*(F4427*Q4427+F4428*Q4428)*R4428</f>
        <v>1.1467556846420628</v>
      </c>
      <c r="U4428" s="76">
        <f>U4427+S4428</f>
        <v>76.00356366214133</v>
      </c>
      <c r="V4428" s="76">
        <f>V4427+T4428</f>
        <v>1255.7697153872043</v>
      </c>
    </row>
    <row r="4429" spans="1:22" ht="19" customHeight="1">
      <c r="A4429" s="68" t="s">
        <v>378</v>
      </c>
      <c r="B4429" s="74">
        <v>5</v>
      </c>
      <c r="C4429" s="68" t="s">
        <v>363</v>
      </c>
      <c r="D4429" s="68" t="s">
        <v>365</v>
      </c>
      <c r="E4429" s="75">
        <f>60*F4429*'THAM_SO_MOI'!$C$53/(2*PI()*'THAM_SO_MOI'!$C$26)</f>
        <v>2306.7316315789467</v>
      </c>
      <c r="F4429" s="75">
        <f>'THAM_SO_MOI'!$C$14+('THAM_SO_MOI'!$C$37-'THAM_SO_MOI'!$C$14)*338/'THAM_SO_MOI'!$C$42</f>
        <v>23.412340277777776</v>
      </c>
      <c r="G4429" s="75">
        <f>3.6*F4429</f>
        <v>84.284425</v>
      </c>
      <c r="H4429" s="75">
        <f>'THAM_SO_MOI'!$D$53</f>
        <v>1.1</v>
      </c>
      <c r="I4429" s="75">
        <f>IF(F4429&gt;='THAM_SO_MOI'!$C$14,'THAM_SO_MOI'!$C$13*(1+F4429^2/1500),'THAM_SO_MOI'!$C$13)</f>
        <v>0.020481376772824553</v>
      </c>
      <c r="J4429" s="75">
        <f>'THAM_SO_MOI'!$C$40*('THAM_SO_MOI'!$C$23*(E4429/'THAM_SO_MOI'!$C$22)+'THAM_SO_MOI'!$C$24*(E4429/'THAM_SO_MOI'!$C$22)^2-'THAM_SO_MOI'!$C$25*(E4429/'THAM_SO_MOI'!$C$22)^3)</f>
        <v>103.65279511329678</v>
      </c>
      <c r="K4429" s="75">
        <f>'THAM_SO_MOI'!$C$31*J4429/E4429</f>
        <v>429.1778157259207</v>
      </c>
      <c r="L4429" s="75">
        <f>K4429*'THAM_SO_MOI'!$C$53*'THAM_SO_MOI'!$C$17/'THAM_SO_MOI'!$C$26</f>
        <v>3763.891123275623</v>
      </c>
      <c r="M4429" s="75">
        <f>'THAM_SO_MOI'!$C$15*'THAM_SO_MOI'!$C$16*F4429^2</f>
        <v>1603.3027060511827</v>
      </c>
      <c r="N4429" s="75">
        <f>'THAM_SO_MOI'!$C$12*I4429</f>
        <v>1543.0833111660202</v>
      </c>
      <c r="O4429" s="75">
        <f>M4429+N4429</f>
        <v>3146.3860172172026</v>
      </c>
      <c r="P4429" s="75">
        <f>(MIN(L4429,'THAM_SO_MOI'!$C$41)-O4429)/('THAM_SO_MOI'!$C$11*H4429)</f>
        <v>0.07309482789517285</v>
      </c>
      <c r="Q4429" s="75">
        <f>IF(P4429&gt;0,1/P4429,NA())</f>
        <v>13.680858533987184</v>
      </c>
      <c r="R4429" s="75">
        <f>F4429-F4428</f>
        <v>0.0035868055555532408</v>
      </c>
      <c r="S4429" s="75">
        <f>0.5*(Q4428+Q4429)*R4429</f>
        <v>0.04904439134496939</v>
      </c>
      <c r="T4429" s="75">
        <f>0.5*(F4428*Q4428+F4429*Q4429)*R4429</f>
        <v>1.148156069502971</v>
      </c>
      <c r="U4429" s="76">
        <f>U4428+S4429</f>
        <v>76.0526080534863</v>
      </c>
      <c r="V4429" s="76">
        <f>V4428+T4429</f>
        <v>1256.9178714567072</v>
      </c>
    </row>
    <row r="4430" spans="1:22" ht="19" customHeight="1">
      <c r="A4430" s="68" t="s">
        <v>378</v>
      </c>
      <c r="B4430" s="74">
        <v>5</v>
      </c>
      <c r="C4430" s="68" t="s">
        <v>363</v>
      </c>
      <c r="D4430" s="68" t="s">
        <v>365</v>
      </c>
      <c r="E4430" s="75">
        <f>60*F4430*'THAM_SO_MOI'!$C$53/(2*PI()*'THAM_SO_MOI'!$C$26)</f>
        <v>2307.085026315789</v>
      </c>
      <c r="F4430" s="75">
        <f>'THAM_SO_MOI'!$C$14+('THAM_SO_MOI'!$C$37-'THAM_SO_MOI'!$C$14)*339/'THAM_SO_MOI'!$C$42</f>
        <v>23.415927083333333</v>
      </c>
      <c r="G4430" s="75">
        <f>3.6*F4430</f>
        <v>84.2973375</v>
      </c>
      <c r="H4430" s="75">
        <f>'THAM_SO_MOI'!$D$53</f>
        <v>1.1</v>
      </c>
      <c r="I4430" s="75">
        <f>IF(F4430&gt;='THAM_SO_MOI'!$C$14,'THAM_SO_MOI'!$C$13*(1+F4430^2/1500),'THAM_SO_MOI'!$C$13)</f>
        <v>0.020483056411719835</v>
      </c>
      <c r="J4430" s="75">
        <f>'THAM_SO_MOI'!$C$40*('THAM_SO_MOI'!$C$23*(E4430/'THAM_SO_MOI'!$C$22)+'THAM_SO_MOI'!$C$24*(E4430/'THAM_SO_MOI'!$C$22)^2-'THAM_SO_MOI'!$C$25*(E4430/'THAM_SO_MOI'!$C$22)^3)</f>
        <v>103.6675134654977</v>
      </c>
      <c r="K4430" s="75">
        <f>'THAM_SO_MOI'!$C$31*J4430/E4430</f>
        <v>429.17300760168075</v>
      </c>
      <c r="L4430" s="75">
        <f>K4430*'THAM_SO_MOI'!$C$53*'THAM_SO_MOI'!$C$17/'THAM_SO_MOI'!$C$26</f>
        <v>3763.848956007225</v>
      </c>
      <c r="M4430" s="75">
        <f>'THAM_SO_MOI'!$C$15*'THAM_SO_MOI'!$C$16*F4430^2</f>
        <v>1603.7940004280517</v>
      </c>
      <c r="N4430" s="75">
        <f>'THAM_SO_MOI'!$C$12*I4430</f>
        <v>1543.2098565041017</v>
      </c>
      <c r="O4430" s="75">
        <f>M4430+N4430</f>
        <v>3147.003856932153</v>
      </c>
      <c r="P4430" s="75">
        <f>(MIN(L4430,'THAM_SO_MOI'!$C$41)-O4430)/('THAM_SO_MOI'!$C$11*H4430)</f>
        <v>0.07301670206854538</v>
      </c>
      <c r="Q4430" s="75">
        <f>IF(P4430&gt;0,1/P4430,NA())</f>
        <v>13.695496669532362</v>
      </c>
      <c r="R4430" s="75">
        <f>F4430-F4429</f>
        <v>0.0035868055555567935</v>
      </c>
      <c r="S4430" s="75">
        <f>0.5*(Q4429+Q4430)*R4430</f>
        <v>0.04909683146744002</v>
      </c>
      <c r="T4430" s="75">
        <f>0.5*(F4429*Q4429+F4430*Q4430)*R4430</f>
        <v>1.1495598223508878</v>
      </c>
      <c r="U4430" s="76">
        <f>U4429+S4430</f>
        <v>76.10170488495373</v>
      </c>
      <c r="V4430" s="76">
        <f>V4429+T4430</f>
        <v>1258.0674312790582</v>
      </c>
    </row>
    <row r="4431" spans="1:22" ht="19" customHeight="1">
      <c r="A4431" s="68" t="s">
        <v>378</v>
      </c>
      <c r="B4431" s="74">
        <v>5</v>
      </c>
      <c r="C4431" s="68" t="s">
        <v>363</v>
      </c>
      <c r="D4431" s="68" t="s">
        <v>365</v>
      </c>
      <c r="E4431" s="75">
        <f>60*F4431*'THAM_SO_MOI'!$C$53/(2*PI()*'THAM_SO_MOI'!$C$26)</f>
        <v>2307.438421052631</v>
      </c>
      <c r="F4431" s="75">
        <f>'THAM_SO_MOI'!$C$14+('THAM_SO_MOI'!$C$37-'THAM_SO_MOI'!$C$14)*340/'THAM_SO_MOI'!$C$42</f>
        <v>23.419513888888886</v>
      </c>
      <c r="G4431" s="75">
        <f>3.6*F4431</f>
        <v>84.31025</v>
      </c>
      <c r="H4431" s="75">
        <f>'THAM_SO_MOI'!$D$53</f>
        <v>1.1</v>
      </c>
      <c r="I4431" s="75">
        <f>IF(F4431&gt;='THAM_SO_MOI'!$C$14,'THAM_SO_MOI'!$C$13*(1+F4431^2/1500),'THAM_SO_MOI'!$C$13)</f>
        <v>0.020484736307918593</v>
      </c>
      <c r="J4431" s="75">
        <f>'THAM_SO_MOI'!$C$40*('THAM_SO_MOI'!$C$23*(E4431/'THAM_SO_MOI'!$C$22)+'THAM_SO_MOI'!$C$24*(E4431/'THAM_SO_MOI'!$C$22)^2-'THAM_SO_MOI'!$C$25*(E4431/'THAM_SO_MOI'!$C$22)^3)</f>
        <v>103.68222853480712</v>
      </c>
      <c r="K4431" s="75">
        <f>'THAM_SO_MOI'!$C$31*J4431/E4431</f>
        <v>429.1681873614563</v>
      </c>
      <c r="L4431" s="75">
        <f>K4431*'THAM_SO_MOI'!$C$53*'THAM_SO_MOI'!$C$17/'THAM_SO_MOI'!$C$26</f>
        <v>3763.806682481595</v>
      </c>
      <c r="M4431" s="75">
        <f>'THAM_SO_MOI'!$C$15*'THAM_SO_MOI'!$C$16*F4431^2</f>
        <v>1604.285370066189</v>
      </c>
      <c r="N4431" s="75">
        <f>'THAM_SO_MOI'!$C$12*I4431</f>
        <v>1543.3364212276333</v>
      </c>
      <c r="O4431" s="75">
        <f>M4431+N4431</f>
        <v>3147.6217912938223</v>
      </c>
      <c r="P4431" s="75">
        <f>(MIN(L4431,'THAM_SO_MOI'!$C$41)-O4431)/('THAM_SO_MOI'!$C$11*H4431)</f>
        <v>0.07293855246067386</v>
      </c>
      <c r="Q4431" s="75">
        <f>IF(P4431&gt;0,1/P4431,NA())</f>
        <v>13.710170633550316</v>
      </c>
      <c r="R4431" s="75">
        <f>F4431-F4430</f>
        <v>0.0035868055555532408</v>
      </c>
      <c r="S4431" s="75">
        <f>0.5*(Q4430+Q4431)*R4431</f>
        <v>0.04914939986817038</v>
      </c>
      <c r="T4431" s="75">
        <f>0.5*(F4430*Q4430+F4431*Q4431)*R4431</f>
        <v>1.1509669553686956</v>
      </c>
      <c r="U4431" s="76">
        <f>U4430+S4431</f>
        <v>76.1508542848219</v>
      </c>
      <c r="V4431" s="76">
        <f>V4430+T4431</f>
        <v>1259.2183982344268</v>
      </c>
    </row>
    <row r="4432" spans="1:22" ht="19" customHeight="1">
      <c r="A4432" s="68" t="s">
        <v>378</v>
      </c>
      <c r="B4432" s="74">
        <v>5</v>
      </c>
      <c r="C4432" s="68" t="s">
        <v>363</v>
      </c>
      <c r="D4432" s="68" t="s">
        <v>365</v>
      </c>
      <c r="E4432" s="75">
        <f>60*F4432*'THAM_SO_MOI'!$C$53/(2*PI()*'THAM_SO_MOI'!$C$26)</f>
        <v>2307.7918157894733</v>
      </c>
      <c r="F4432" s="75">
        <f>'THAM_SO_MOI'!$C$14+('THAM_SO_MOI'!$C$37-'THAM_SO_MOI'!$C$14)*341/'THAM_SO_MOI'!$C$42</f>
        <v>23.423100694444443</v>
      </c>
      <c r="G4432" s="75">
        <f>3.6*F4432</f>
        <v>84.3231625</v>
      </c>
      <c r="H4432" s="75">
        <f>'THAM_SO_MOI'!$D$53</f>
        <v>1.1</v>
      </c>
      <c r="I4432" s="75">
        <f>IF(F4432&gt;='THAM_SO_MOI'!$C$14,'THAM_SO_MOI'!$C$13*(1+F4432^2/1500),'THAM_SO_MOI'!$C$13)</f>
        <v>0.020486416461420836</v>
      </c>
      <c r="J4432" s="75">
        <f>'THAM_SO_MOI'!$C$40*('THAM_SO_MOI'!$C$23*(E4432/'THAM_SO_MOI'!$C$22)+'THAM_SO_MOI'!$C$24*(E4432/'THAM_SO_MOI'!$C$22)^2-'THAM_SO_MOI'!$C$25*(E4432/'THAM_SO_MOI'!$C$22)^3)</f>
        <v>103.69694031988016</v>
      </c>
      <c r="K4432" s="75">
        <f>'THAM_SO_MOI'!$C$31*J4432/E4432</f>
        <v>429.1633550052474</v>
      </c>
      <c r="L4432" s="75">
        <f>K4432*'THAM_SO_MOI'!$C$53*'THAM_SO_MOI'!$C$17/'THAM_SO_MOI'!$C$26</f>
        <v>3763.764302698734</v>
      </c>
      <c r="M4432" s="75">
        <f>'THAM_SO_MOI'!$C$15*'THAM_SO_MOI'!$C$16*F4432^2</f>
        <v>1604.7768149655953</v>
      </c>
      <c r="N4432" s="75">
        <f>'THAM_SO_MOI'!$C$12*I4432</f>
        <v>1543.463005336615</v>
      </c>
      <c r="O4432" s="75">
        <f>M4432+N4432</f>
        <v>3148.2398203022103</v>
      </c>
      <c r="P4432" s="75">
        <f>(MIN(L4432,'THAM_SO_MOI'!$C$41)-O4432)/('THAM_SO_MOI'!$C$11*H4432)</f>
        <v>0.07286037907155819</v>
      </c>
      <c r="Q4432" s="75">
        <f>IF(P4432&gt;0,1/P4432,NA())</f>
        <v>13.724880555697801</v>
      </c>
      <c r="R4432" s="75">
        <f>F4432-F4431</f>
        <v>0.0035868055555567935</v>
      </c>
      <c r="S4432" s="75">
        <f>0.5*(Q4431+Q4432)*R4432</f>
        <v>0.04920209701129008</v>
      </c>
      <c r="T4432" s="75">
        <f>0.5*(F4431*Q4431+F4432*Q4432)*R4432</f>
        <v>1.1523774808072464</v>
      </c>
      <c r="U4432" s="76">
        <f>U4431+S4432</f>
        <v>76.20005638183319</v>
      </c>
      <c r="V4432" s="76">
        <f>V4431+T4432</f>
        <v>1260.370775715234</v>
      </c>
    </row>
    <row r="4433" spans="1:22" ht="19" customHeight="1">
      <c r="A4433" s="68" t="s">
        <v>378</v>
      </c>
      <c r="B4433" s="74">
        <v>5</v>
      </c>
      <c r="C4433" s="68" t="s">
        <v>363</v>
      </c>
      <c r="D4433" s="68" t="s">
        <v>365</v>
      </c>
      <c r="E4433" s="75">
        <f>60*F4433*'THAM_SO_MOI'!$C$53/(2*PI()*'THAM_SO_MOI'!$C$26)</f>
        <v>2308.145210526315</v>
      </c>
      <c r="F4433" s="75">
        <f>'THAM_SO_MOI'!$C$14+('THAM_SO_MOI'!$C$37-'THAM_SO_MOI'!$C$14)*342/'THAM_SO_MOI'!$C$42</f>
        <v>23.4266875</v>
      </c>
      <c r="G4433" s="75">
        <f>3.6*F4433</f>
        <v>84.33607500000001</v>
      </c>
      <c r="H4433" s="75">
        <f>'THAM_SO_MOI'!$D$53</f>
        <v>1.1</v>
      </c>
      <c r="I4433" s="75">
        <f>IF(F4433&gt;='THAM_SO_MOI'!$C$14,'THAM_SO_MOI'!$C$13*(1+F4433^2/1500),'THAM_SO_MOI'!$C$13)</f>
        <v>0.020488096872226563</v>
      </c>
      <c r="J4433" s="75">
        <f>'THAM_SO_MOI'!$C$40*('THAM_SO_MOI'!$C$23*(E4433/'THAM_SO_MOI'!$C$22)+'THAM_SO_MOI'!$C$24*(E4433/'THAM_SO_MOI'!$C$22)^2-'THAM_SO_MOI'!$C$25*(E4433/'THAM_SO_MOI'!$C$22)^3)</f>
        <v>103.71164881937193</v>
      </c>
      <c r="K4433" s="75">
        <f>'THAM_SO_MOI'!$C$31*J4433/E4433</f>
        <v>429.15851053305414</v>
      </c>
      <c r="L4433" s="75">
        <f>K4433*'THAM_SO_MOI'!$C$53*'THAM_SO_MOI'!$C$17/'THAM_SO_MOI'!$C$26</f>
        <v>3763.7218166586426</v>
      </c>
      <c r="M4433" s="75">
        <f>'THAM_SO_MOI'!$C$15*'THAM_SO_MOI'!$C$16*F4433^2</f>
        <v>1605.2683351262697</v>
      </c>
      <c r="N4433" s="75">
        <f>'THAM_SO_MOI'!$C$12*I4433</f>
        <v>1543.5896088310471</v>
      </c>
      <c r="O4433" s="75">
        <f>M4433+N4433</f>
        <v>3148.857943957317</v>
      </c>
      <c r="P4433" s="75">
        <f>(MIN(L4433,'THAM_SO_MOI'!$C$41)-O4433)/('THAM_SO_MOI'!$C$11*H4433)</f>
        <v>0.07278218190119863</v>
      </c>
      <c r="Q4433" s="75">
        <f>IF(P4433&gt;0,1/P4433,NA())</f>
        <v>13.73962656625895</v>
      </c>
      <c r="R4433" s="75">
        <f>F4433-F4432</f>
        <v>0.0035868055555567935</v>
      </c>
      <c r="S4433" s="75">
        <f>0.5*(Q4432+Q4433)*R4433</f>
        <v>0.0492549233628318</v>
      </c>
      <c r="T4433" s="75">
        <f>0.5*(F4432*Q4432+F4433*Q4433)*R4433</f>
        <v>1.1537914109686298</v>
      </c>
      <c r="U4433" s="76">
        <f>U4432+S4433</f>
        <v>76.24931130519603</v>
      </c>
      <c r="V4433" s="76">
        <f>V4432+T4433</f>
        <v>1261.5245671262026</v>
      </c>
    </row>
    <row r="4434" spans="1:22" ht="19" customHeight="1">
      <c r="A4434" s="68" t="s">
        <v>378</v>
      </c>
      <c r="B4434" s="74">
        <v>5</v>
      </c>
      <c r="C4434" s="68" t="s">
        <v>363</v>
      </c>
      <c r="D4434" s="68" t="s">
        <v>365</v>
      </c>
      <c r="E4434" s="75">
        <f>60*F4434*'THAM_SO_MOI'!$C$53/(2*PI()*'THAM_SO_MOI'!$C$26)</f>
        <v>2308.498605263157</v>
      </c>
      <c r="F4434" s="75">
        <f>'THAM_SO_MOI'!$C$14+('THAM_SO_MOI'!$C$37-'THAM_SO_MOI'!$C$14)*343/'THAM_SO_MOI'!$C$42</f>
        <v>23.430274305555553</v>
      </c>
      <c r="G4434" s="75">
        <f>3.6*F4434</f>
        <v>84.34898749999999</v>
      </c>
      <c r="H4434" s="75">
        <f>'THAM_SO_MOI'!$D$53</f>
        <v>1.1</v>
      </c>
      <c r="I4434" s="75">
        <f>IF(F4434&gt;='THAM_SO_MOI'!$C$14,'THAM_SO_MOI'!$C$13*(1+F4434^2/1500),'THAM_SO_MOI'!$C$13)</f>
        <v>0.020489777540335766</v>
      </c>
      <c r="J4434" s="75">
        <f>'THAM_SO_MOI'!$C$40*('THAM_SO_MOI'!$C$23*(E4434/'THAM_SO_MOI'!$C$22)+'THAM_SO_MOI'!$C$24*(E4434/'THAM_SO_MOI'!$C$22)^2-'THAM_SO_MOI'!$C$25*(E4434/'THAM_SO_MOI'!$C$22)^3)</f>
        <v>103.7263540319375</v>
      </c>
      <c r="K4434" s="75">
        <f>'THAM_SO_MOI'!$C$31*J4434/E4434</f>
        <v>429.1536539448763</v>
      </c>
      <c r="L4434" s="75">
        <f>K4434*'THAM_SO_MOI'!$C$53*'THAM_SO_MOI'!$C$17/'THAM_SO_MOI'!$C$26</f>
        <v>3763.6792243613195</v>
      </c>
      <c r="M4434" s="75">
        <f>'THAM_SO_MOI'!$C$15*'THAM_SO_MOI'!$C$16*F4434^2</f>
        <v>1605.7599305482122</v>
      </c>
      <c r="N4434" s="75">
        <f>'THAM_SO_MOI'!$C$12*I4434</f>
        <v>1543.716231710929</v>
      </c>
      <c r="O4434" s="75">
        <f>M4434+N4434</f>
        <v>3149.4761622591413</v>
      </c>
      <c r="P4434" s="75">
        <f>(MIN(L4434,'THAM_SO_MOI'!$C$41)-O4434)/('THAM_SO_MOI'!$C$11*H4434)</f>
        <v>0.07270396094959497</v>
      </c>
      <c r="Q4434" s="75">
        <f>IF(P4434&gt;0,1/P4434,NA())</f>
        <v>13.75440879614924</v>
      </c>
      <c r="R4434" s="75">
        <f>F4434-F4433</f>
        <v>0.0035868055555532408</v>
      </c>
      <c r="S4434" s="75">
        <f>0.5*(Q4433+Q4434)*R4434</f>
        <v>0.04930787939123148</v>
      </c>
      <c r="T4434" s="75">
        <f>0.5*(F4433*Q4433+F4434*Q4434)*R4434</f>
        <v>1.1552087582179267</v>
      </c>
      <c r="U4434" s="76">
        <f>U4433+S4434</f>
        <v>76.29861918458727</v>
      </c>
      <c r="V4434" s="76">
        <f>V4433+T4434</f>
        <v>1262.6797758844205</v>
      </c>
    </row>
    <row r="4435" spans="1:22" ht="19" customHeight="1">
      <c r="A4435" s="68" t="s">
        <v>378</v>
      </c>
      <c r="B4435" s="74">
        <v>5</v>
      </c>
      <c r="C4435" s="68" t="s">
        <v>363</v>
      </c>
      <c r="D4435" s="68" t="s">
        <v>365</v>
      </c>
      <c r="E4435" s="75">
        <f>60*F4435*'THAM_SO_MOI'!$C$53/(2*PI()*'THAM_SO_MOI'!$C$26)</f>
        <v>2308.8519999999994</v>
      </c>
      <c r="F4435" s="75">
        <f>'THAM_SO_MOI'!$C$14+('THAM_SO_MOI'!$C$37-'THAM_SO_MOI'!$C$14)*344/'THAM_SO_MOI'!$C$42</f>
        <v>23.43386111111111</v>
      </c>
      <c r="G4435" s="75">
        <f>3.6*F4435</f>
        <v>84.36189999999999</v>
      </c>
      <c r="H4435" s="75">
        <f>'THAM_SO_MOI'!$D$53</f>
        <v>1.1</v>
      </c>
      <c r="I4435" s="75">
        <f>IF(F4435&gt;='THAM_SO_MOI'!$C$14,'THAM_SO_MOI'!$C$13*(1+F4435^2/1500),'THAM_SO_MOI'!$C$13)</f>
        <v>0.020491458465748454</v>
      </c>
      <c r="J4435" s="75">
        <f>'THAM_SO_MOI'!$C$40*('THAM_SO_MOI'!$C$23*(E4435/'THAM_SO_MOI'!$C$22)+'THAM_SO_MOI'!$C$24*(E4435/'THAM_SO_MOI'!$C$22)^2-'THAM_SO_MOI'!$C$25*(E4435/'THAM_SO_MOI'!$C$22)^3)</f>
        <v>103.74105595623206</v>
      </c>
      <c r="K4435" s="75">
        <f>'THAM_SO_MOI'!$C$31*J4435/E4435</f>
        <v>429.148785240714</v>
      </c>
      <c r="L4435" s="75">
        <f>K4435*'THAM_SO_MOI'!$C$53*'THAM_SO_MOI'!$C$17/'THAM_SO_MOI'!$C$26</f>
        <v>3763.6365258067653</v>
      </c>
      <c r="M4435" s="75">
        <f>'THAM_SO_MOI'!$C$15*'THAM_SO_MOI'!$C$16*F4435^2</f>
        <v>1606.2516012314236</v>
      </c>
      <c r="N4435" s="75">
        <f>'THAM_SO_MOI'!$C$12*I4435</f>
        <v>1543.8428739762612</v>
      </c>
      <c r="O4435" s="75">
        <f>M4435+N4435</f>
        <v>3150.094475207685</v>
      </c>
      <c r="P4435" s="75">
        <f>(MIN(L4435,'THAM_SO_MOI'!$C$41)-O4435)/('THAM_SO_MOI'!$C$11*H4435)</f>
        <v>0.07262571621674722</v>
      </c>
      <c r="Q4435" s="75">
        <f>IF(P4435&gt;0,1/P4435,NA())</f>
        <v>13.769227376919192</v>
      </c>
      <c r="R4435" s="75">
        <f>F4435-F4434</f>
        <v>0.0035868055555567935</v>
      </c>
      <c r="S4435" s="75">
        <f>0.5*(Q4434+Q4435)*R4435</f>
        <v>0.04936096556734289</v>
      </c>
      <c r="T4435" s="75">
        <f>0.5*(F4434*Q4434+F4435*Q4435)*R4435</f>
        <v>1.156629534983594</v>
      </c>
      <c r="U4435" s="76">
        <f>U4434+S4435</f>
        <v>76.34798015015461</v>
      </c>
      <c r="V4435" s="76">
        <f>V4434+T4435</f>
        <v>1263.836405419404</v>
      </c>
    </row>
    <row r="4436" spans="1:22" ht="19" customHeight="1">
      <c r="A4436" s="68" t="s">
        <v>378</v>
      </c>
      <c r="B4436" s="74">
        <v>5</v>
      </c>
      <c r="C4436" s="68" t="s">
        <v>363</v>
      </c>
      <c r="D4436" s="68" t="s">
        <v>365</v>
      </c>
      <c r="E4436" s="75">
        <f>60*F4436*'THAM_SO_MOI'!$C$53/(2*PI()*'THAM_SO_MOI'!$C$26)</f>
        <v>2309.2053947368418</v>
      </c>
      <c r="F4436" s="75">
        <f>'THAM_SO_MOI'!$C$14+('THAM_SO_MOI'!$C$37-'THAM_SO_MOI'!$C$14)*345/'THAM_SO_MOI'!$C$42</f>
        <v>23.437447916666667</v>
      </c>
      <c r="G4436" s="75">
        <f>3.6*F4436</f>
        <v>84.3748125</v>
      </c>
      <c r="H4436" s="75">
        <f>'THAM_SO_MOI'!$D$53</f>
        <v>1.1</v>
      </c>
      <c r="I4436" s="75">
        <f>IF(F4436&gt;='THAM_SO_MOI'!$C$14,'THAM_SO_MOI'!$C$13*(1+F4436^2/1500),'THAM_SO_MOI'!$C$13)</f>
        <v>0.020493139648464626</v>
      </c>
      <c r="J4436" s="75">
        <f>'THAM_SO_MOI'!$C$40*('THAM_SO_MOI'!$C$23*(E4436/'THAM_SO_MOI'!$C$22)+'THAM_SO_MOI'!$C$24*(E4436/'THAM_SO_MOI'!$C$22)^2-'THAM_SO_MOI'!$C$25*(E4436/'THAM_SO_MOI'!$C$22)^3)</f>
        <v>103.75575459091067</v>
      </c>
      <c r="K4436" s="75">
        <f>'THAM_SO_MOI'!$C$31*J4436/E4436</f>
        <v>429.14390442056737</v>
      </c>
      <c r="L4436" s="75">
        <f>K4436*'THAM_SO_MOI'!$C$53*'THAM_SO_MOI'!$C$17/'THAM_SO_MOI'!$C$26</f>
        <v>3763.5937209949807</v>
      </c>
      <c r="M4436" s="75">
        <f>'THAM_SO_MOI'!$C$15*'THAM_SO_MOI'!$C$16*F4436^2</f>
        <v>1606.7433471759036</v>
      </c>
      <c r="N4436" s="75">
        <f>'THAM_SO_MOI'!$C$12*I4436</f>
        <v>1543.9695356270438</v>
      </c>
      <c r="O4436" s="75">
        <f>M4436+N4436</f>
        <v>3150.712882802947</v>
      </c>
      <c r="P4436" s="75">
        <f>(MIN(L4436,'THAM_SO_MOI'!$C$41)-O4436)/('THAM_SO_MOI'!$C$11*H4436)</f>
        <v>0.07254744770265545</v>
      </c>
      <c r="Q4436" s="75">
        <f>IF(P4436&gt;0,1/P4436,NA())</f>
        <v>13.784082440758244</v>
      </c>
      <c r="R4436" s="75">
        <f>F4436-F4435</f>
        <v>0.0035868055555567935</v>
      </c>
      <c r="S4436" s="75">
        <f>0.5*(Q4435+Q4436)*R4436</f>
        <v>0.04941418236401149</v>
      </c>
      <c r="T4436" s="75">
        <f>0.5*(F4435*Q4435+F4436*Q4436)*R4436</f>
        <v>1.15805375374752</v>
      </c>
      <c r="U4436" s="76">
        <f>U4435+S4436</f>
        <v>76.39739433251863</v>
      </c>
      <c r="V4436" s="76">
        <f>V4435+T4436</f>
        <v>1264.9944591731514</v>
      </c>
    </row>
    <row r="4437" spans="1:22" ht="19" customHeight="1">
      <c r="A4437" s="68" t="s">
        <v>378</v>
      </c>
      <c r="B4437" s="74">
        <v>5</v>
      </c>
      <c r="C4437" s="68" t="s">
        <v>363</v>
      </c>
      <c r="D4437" s="68" t="s">
        <v>365</v>
      </c>
      <c r="E4437" s="75">
        <f>60*F4437*'THAM_SO_MOI'!$C$53/(2*PI()*'THAM_SO_MOI'!$C$26)</f>
        <v>2309.558789473683</v>
      </c>
      <c r="F4437" s="75">
        <f>'THAM_SO_MOI'!$C$14+('THAM_SO_MOI'!$C$37-'THAM_SO_MOI'!$C$14)*346/'THAM_SO_MOI'!$C$42</f>
        <v>23.44103472222222</v>
      </c>
      <c r="G4437" s="75">
        <f>3.6*F4437</f>
        <v>84.38772499999999</v>
      </c>
      <c r="H4437" s="75">
        <f>'THAM_SO_MOI'!$D$53</f>
        <v>1.1</v>
      </c>
      <c r="I4437" s="75">
        <f>IF(F4437&gt;='THAM_SO_MOI'!$C$14,'THAM_SO_MOI'!$C$13*(1+F4437^2/1500),'THAM_SO_MOI'!$C$13)</f>
        <v>0.02049482108848428</v>
      </c>
      <c r="J4437" s="75">
        <f>'THAM_SO_MOI'!$C$40*('THAM_SO_MOI'!$C$23*(E4437/'THAM_SO_MOI'!$C$22)+'THAM_SO_MOI'!$C$24*(E4437/'THAM_SO_MOI'!$C$22)^2-'THAM_SO_MOI'!$C$25*(E4437/'THAM_SO_MOI'!$C$22)^3)</f>
        <v>103.7704499346284</v>
      </c>
      <c r="K4437" s="75">
        <f>'THAM_SO_MOI'!$C$31*J4437/E4437</f>
        <v>429.13901148443625</v>
      </c>
      <c r="L4437" s="75">
        <f>K4437*'THAM_SO_MOI'!$C$53*'THAM_SO_MOI'!$C$17/'THAM_SO_MOI'!$C$26</f>
        <v>3763.5508099259646</v>
      </c>
      <c r="M4437" s="75">
        <f>'THAM_SO_MOI'!$C$15*'THAM_SO_MOI'!$C$16*F4437^2</f>
        <v>1607.2351683816512</v>
      </c>
      <c r="N4437" s="75">
        <f>'THAM_SO_MOI'!$C$12*I4437</f>
        <v>1544.0962166632764</v>
      </c>
      <c r="O4437" s="75">
        <f>M4437+N4437</f>
        <v>3151.3313850449276</v>
      </c>
      <c r="P4437" s="75">
        <f>(MIN(L4437,'THAM_SO_MOI'!$C$41)-O4437)/('THAM_SO_MOI'!$C$11*H4437)</f>
        <v>0.07246915540731974</v>
      </c>
      <c r="Q4437" s="75">
        <f>IF(P4437&gt;0,1/P4437,NA())</f>
        <v>13.79897412049865</v>
      </c>
      <c r="R4437" s="75">
        <f>F4437-F4436</f>
        <v>0.0035868055555532408</v>
      </c>
      <c r="S4437" s="75">
        <f>0.5*(Q4436+Q4437)*R4437</f>
        <v>0.04946753025652775</v>
      </c>
      <c r="T4437" s="75">
        <f>0.5*(F4436*Q4436+F4437*Q4437)*R4437</f>
        <v>1.1594814270556864</v>
      </c>
      <c r="U4437" s="76">
        <f>U4436+S4437</f>
        <v>76.44686186277515</v>
      </c>
      <c r="V4437" s="76">
        <f>V4436+T4437</f>
        <v>1266.153940600207</v>
      </c>
    </row>
    <row r="4438" spans="1:22" ht="19" customHeight="1">
      <c r="A4438" s="68" t="s">
        <v>378</v>
      </c>
      <c r="B4438" s="74">
        <v>5</v>
      </c>
      <c r="C4438" s="68" t="s">
        <v>363</v>
      </c>
      <c r="D4438" s="68" t="s">
        <v>365</v>
      </c>
      <c r="E4438" s="75">
        <f>60*F4438*'THAM_SO_MOI'!$C$53/(2*PI()*'THAM_SO_MOI'!$C$26)</f>
        <v>2309.9121842105255</v>
      </c>
      <c r="F4438" s="75">
        <f>'THAM_SO_MOI'!$C$14+('THAM_SO_MOI'!$C$37-'THAM_SO_MOI'!$C$14)*347/'THAM_SO_MOI'!$C$42</f>
        <v>23.444621527777777</v>
      </c>
      <c r="G4438" s="75">
        <f>3.6*F4438</f>
        <v>84.4006375</v>
      </c>
      <c r="H4438" s="75">
        <f>'THAM_SO_MOI'!$D$53</f>
        <v>1.1</v>
      </c>
      <c r="I4438" s="75">
        <f>IF(F4438&gt;='THAM_SO_MOI'!$C$14,'THAM_SO_MOI'!$C$13*(1+F4438^2/1500),'THAM_SO_MOI'!$C$13)</f>
        <v>0.020496502785807412</v>
      </c>
      <c r="J4438" s="75">
        <f>'THAM_SO_MOI'!$C$40*('THAM_SO_MOI'!$C$23*(E4438/'THAM_SO_MOI'!$C$22)+'THAM_SO_MOI'!$C$24*(E4438/'THAM_SO_MOI'!$C$22)^2-'THAM_SO_MOI'!$C$25*(E4438/'THAM_SO_MOI'!$C$22)^3)</f>
        <v>103.78514198604043</v>
      </c>
      <c r="K4438" s="75">
        <f>'THAM_SO_MOI'!$C$31*J4438/E4438</f>
        <v>429.13410643232055</v>
      </c>
      <c r="L4438" s="75">
        <f>K4438*'THAM_SO_MOI'!$C$53*'THAM_SO_MOI'!$C$17/'THAM_SO_MOI'!$C$26</f>
        <v>3763.507792599716</v>
      </c>
      <c r="M4438" s="75">
        <f>'THAM_SO_MOI'!$C$15*'THAM_SO_MOI'!$C$16*F4438^2</f>
        <v>1607.727064848668</v>
      </c>
      <c r="N4438" s="75">
        <f>'THAM_SO_MOI'!$C$12*I4438</f>
        <v>1544.2229170849591</v>
      </c>
      <c r="O4438" s="75">
        <f>M4438+N4438</f>
        <v>3151.949981933627</v>
      </c>
      <c r="P4438" s="75">
        <f>(MIN(L4438,'THAM_SO_MOI'!$C$41)-O4438)/('THAM_SO_MOI'!$C$11*H4438)</f>
        <v>0.07239083933073973</v>
      </c>
      <c r="Q4438" s="75">
        <f>IF(P4438&gt;0,1/P4438,NA())</f>
        <v>13.813902549619485</v>
      </c>
      <c r="R4438" s="75">
        <f>F4438-F4437</f>
        <v>0.0035868055555567935</v>
      </c>
      <c r="S4438" s="75">
        <f>0.5*(Q4437+Q4438)*R4438</f>
        <v>0.049521009722642145</v>
      </c>
      <c r="T4438" s="75">
        <f>0.5*(F4437*Q4437+F4438*Q4438)*R4438</f>
        <v>1.1609125675185636</v>
      </c>
      <c r="U4438" s="76">
        <f>U4437+S4438</f>
        <v>76.49638287249779</v>
      </c>
      <c r="V4438" s="76">
        <f>V4437+T4438</f>
        <v>1267.3148531677257</v>
      </c>
    </row>
    <row r="4439" spans="1:22" ht="19" customHeight="1">
      <c r="A4439" s="68" t="s">
        <v>378</v>
      </c>
      <c r="B4439" s="74">
        <v>5</v>
      </c>
      <c r="C4439" s="68" t="s">
        <v>363</v>
      </c>
      <c r="D4439" s="68" t="s">
        <v>365</v>
      </c>
      <c r="E4439" s="75">
        <f>60*F4439*'THAM_SO_MOI'!$C$53/(2*PI()*'THAM_SO_MOI'!$C$26)</f>
        <v>2310.265578947368</v>
      </c>
      <c r="F4439" s="75">
        <f>'THAM_SO_MOI'!$C$14+('THAM_SO_MOI'!$C$37-'THAM_SO_MOI'!$C$14)*348/'THAM_SO_MOI'!$C$42</f>
        <v>23.448208333333334</v>
      </c>
      <c r="G4439" s="75">
        <f>3.6*F4439</f>
        <v>84.41355</v>
      </c>
      <c r="H4439" s="75">
        <f>'THAM_SO_MOI'!$D$53</f>
        <v>1.1</v>
      </c>
      <c r="I4439" s="75">
        <f>IF(F4439&gt;='THAM_SO_MOI'!$C$14,'THAM_SO_MOI'!$C$13*(1+F4439^2/1500),'THAM_SO_MOI'!$C$13)</f>
        <v>0.020498184740434026</v>
      </c>
      <c r="J4439" s="75">
        <f>'THAM_SO_MOI'!$C$40*('THAM_SO_MOI'!$C$23*(E4439/'THAM_SO_MOI'!$C$22)+'THAM_SO_MOI'!$C$24*(E4439/'THAM_SO_MOI'!$C$22)^2-'THAM_SO_MOI'!$C$25*(E4439/'THAM_SO_MOI'!$C$22)^3)</f>
        <v>103.79983074380185</v>
      </c>
      <c r="K4439" s="75">
        <f>'THAM_SO_MOI'!$C$31*J4439/E4439</f>
        <v>429.12918926422043</v>
      </c>
      <c r="L4439" s="75">
        <f>K4439*'THAM_SO_MOI'!$C$53*'THAM_SO_MOI'!$C$17/'THAM_SO_MOI'!$C$26</f>
        <v>3763.4646690162376</v>
      </c>
      <c r="M4439" s="75">
        <f>'THAM_SO_MOI'!$C$15*'THAM_SO_MOI'!$C$16*F4439^2</f>
        <v>1608.2190365769532</v>
      </c>
      <c r="N4439" s="75">
        <f>'THAM_SO_MOI'!$C$12*I4439</f>
        <v>1544.349636892092</v>
      </c>
      <c r="O4439" s="75">
        <f>M4439+N4439</f>
        <v>3152.5686734690453</v>
      </c>
      <c r="P4439" s="75">
        <f>(MIN(L4439,'THAM_SO_MOI'!$C$41)-O4439)/('THAM_SO_MOI'!$C$11*H4439)</f>
        <v>0.07231249947291576</v>
      </c>
      <c r="Q4439" s="75">
        <f>IF(P4439&gt;0,1/P4439,NA())</f>
        <v>13.828867862250348</v>
      </c>
      <c r="R4439" s="75">
        <f>F4439-F4438</f>
        <v>0.0035868055555567935</v>
      </c>
      <c r="S4439" s="75">
        <f>0.5*(Q4438+Q4439)*R4439</f>
        <v>0.04957462124213784</v>
      </c>
      <c r="T4439" s="75">
        <f>0.5*(F4438*Q4438+F4439*Q4439)*R4439</f>
        <v>1.1623471878011353</v>
      </c>
      <c r="U4439" s="76">
        <f>U4438+S4439</f>
        <v>76.54595749373993</v>
      </c>
      <c r="V4439" s="76">
        <f>V4438+T4439</f>
        <v>1268.4772003555267</v>
      </c>
    </row>
    <row r="4440" spans="1:22" ht="19" customHeight="1">
      <c r="A4440" s="68" t="s">
        <v>378</v>
      </c>
      <c r="B4440" s="74">
        <v>5</v>
      </c>
      <c r="C4440" s="68" t="s">
        <v>363</v>
      </c>
      <c r="D4440" s="68" t="s">
        <v>365</v>
      </c>
      <c r="E4440" s="75">
        <f>60*F4440*'THAM_SO_MOI'!$C$53/(2*PI()*'THAM_SO_MOI'!$C$26)</f>
        <v>2310.61897368421</v>
      </c>
      <c r="F4440" s="75">
        <f>'THAM_SO_MOI'!$C$14+('THAM_SO_MOI'!$C$37-'THAM_SO_MOI'!$C$14)*349/'THAM_SO_MOI'!$C$42</f>
        <v>23.451795138888887</v>
      </c>
      <c r="G4440" s="75">
        <f>3.6*F4440</f>
        <v>84.4264625</v>
      </c>
      <c r="H4440" s="75">
        <f>'THAM_SO_MOI'!$D$53</f>
        <v>1.1</v>
      </c>
      <c r="I4440" s="75">
        <f>IF(F4440&gt;='THAM_SO_MOI'!$C$14,'THAM_SO_MOI'!$C$13*(1+F4440^2/1500),'THAM_SO_MOI'!$C$13)</f>
        <v>0.020499866952364124</v>
      </c>
      <c r="J4440" s="75">
        <f>'THAM_SO_MOI'!$C$40*('THAM_SO_MOI'!$C$23*(E4440/'THAM_SO_MOI'!$C$22)+'THAM_SO_MOI'!$C$24*(E4440/'THAM_SO_MOI'!$C$22)^2-'THAM_SO_MOI'!$C$25*(E4440/'THAM_SO_MOI'!$C$22)^3)</f>
        <v>103.81451620656775</v>
      </c>
      <c r="K4440" s="75">
        <f>'THAM_SO_MOI'!$C$31*J4440/E4440</f>
        <v>429.1242599801359</v>
      </c>
      <c r="L4440" s="75">
        <f>K4440*'THAM_SO_MOI'!$C$53*'THAM_SO_MOI'!$C$17/'THAM_SO_MOI'!$C$26</f>
        <v>3763.421439175528</v>
      </c>
      <c r="M4440" s="75">
        <f>'THAM_SO_MOI'!$C$15*'THAM_SO_MOI'!$C$16*F4440^2</f>
        <v>1608.7110835665064</v>
      </c>
      <c r="N4440" s="75">
        <f>'THAM_SO_MOI'!$C$12*I4440</f>
        <v>1544.476376084675</v>
      </c>
      <c r="O4440" s="75">
        <f>M4440+N4440</f>
        <v>3153.1874596511816</v>
      </c>
      <c r="P4440" s="75">
        <f>(MIN(L4440,'THAM_SO_MOI'!$C$41)-O4440)/('THAM_SO_MOI'!$C$11*H4440)</f>
        <v>0.07223413583384784</v>
      </c>
      <c r="Q4440" s="75">
        <f>IF(P4440&gt;0,1/P4440,NA())</f>
        <v>13.84387019317555</v>
      </c>
      <c r="R4440" s="75">
        <f>F4440-F4439</f>
        <v>0.0035868055555532408</v>
      </c>
      <c r="S4440" s="75">
        <f>0.5*(Q4439+Q4440)*R4440</f>
        <v>0.04962836529728559</v>
      </c>
      <c r="T4440" s="75">
        <f>0.5*(F4439*Q4439+F4440*Q4440)*R4440</f>
        <v>1.1637853006336034</v>
      </c>
      <c r="U4440" s="76">
        <f>U4439+S4440</f>
        <v>76.59558585903721</v>
      </c>
      <c r="V4440" s="76">
        <f>V4439+T4440</f>
        <v>1269.6409856561604</v>
      </c>
    </row>
    <row r="4441" spans="1:22" ht="19" customHeight="1">
      <c r="A4441" s="68" t="s">
        <v>378</v>
      </c>
      <c r="B4441" s="74">
        <v>5</v>
      </c>
      <c r="C4441" s="68" t="s">
        <v>363</v>
      </c>
      <c r="D4441" s="68" t="s">
        <v>365</v>
      </c>
      <c r="E4441" s="75">
        <f>60*F4441*'THAM_SO_MOI'!$C$53/(2*PI()*'THAM_SO_MOI'!$C$26)</f>
        <v>2310.972368421052</v>
      </c>
      <c r="F4441" s="75">
        <f>'THAM_SO_MOI'!$C$14+('THAM_SO_MOI'!$C$37-'THAM_SO_MOI'!$C$14)*350/'THAM_SO_MOI'!$C$42</f>
        <v>23.455381944444444</v>
      </c>
      <c r="G4441" s="75">
        <f>3.6*F4441</f>
        <v>84.439375</v>
      </c>
      <c r="H4441" s="75">
        <f>'THAM_SO_MOI'!$D$53</f>
        <v>1.1</v>
      </c>
      <c r="I4441" s="75">
        <f>IF(F4441&gt;='THAM_SO_MOI'!$C$14,'THAM_SO_MOI'!$C$13*(1+F4441^2/1500),'THAM_SO_MOI'!$C$13)</f>
        <v>0.020501549421597706</v>
      </c>
      <c r="J4441" s="75">
        <f>'THAM_SO_MOI'!$C$40*('THAM_SO_MOI'!$C$23*(E4441/'THAM_SO_MOI'!$C$22)+'THAM_SO_MOI'!$C$24*(E4441/'THAM_SO_MOI'!$C$22)^2-'THAM_SO_MOI'!$C$25*(E4441/'THAM_SO_MOI'!$C$22)^3)</f>
        <v>103.82919837299328</v>
      </c>
      <c r="K4441" s="75">
        <f>'THAM_SO_MOI'!$C$31*J4441/E4441</f>
        <v>429.11931858006693</v>
      </c>
      <c r="L4441" s="75">
        <f>K4441*'THAM_SO_MOI'!$C$53*'THAM_SO_MOI'!$C$17/'THAM_SO_MOI'!$C$26</f>
        <v>3763.3781030775876</v>
      </c>
      <c r="M4441" s="75">
        <f>'THAM_SO_MOI'!$C$15*'THAM_SO_MOI'!$C$16*F4441^2</f>
        <v>1609.2032058173284</v>
      </c>
      <c r="N4441" s="75">
        <f>'THAM_SO_MOI'!$C$12*I4441</f>
        <v>1544.6031346627085</v>
      </c>
      <c r="O4441" s="75">
        <f>M4441+N4441</f>
        <v>3153.806340480037</v>
      </c>
      <c r="P4441" s="75">
        <f>(MIN(L4441,'THAM_SO_MOI'!$C$41)-O4441)/('THAM_SO_MOI'!$C$11*H4441)</f>
        <v>0.07215574841353581</v>
      </c>
      <c r="Q4441" s="75">
        <f>IF(P4441&gt;0,1/P4441,NA())</f>
        <v>13.858909677838065</v>
      </c>
      <c r="R4441" s="75">
        <f>F4441-F4440</f>
        <v>0.0035868055555567935</v>
      </c>
      <c r="S4441" s="75">
        <f>0.5*(Q4440+Q4441)*R4441</f>
        <v>0.04968224237285927</v>
      </c>
      <c r="T4441" s="75">
        <f>0.5*(F4440*Q4440+F4441*Q4441)*R4441</f>
        <v>1.1652269188117954</v>
      </c>
      <c r="U4441" s="76">
        <f>U4440+S4441</f>
        <v>76.64526810141007</v>
      </c>
      <c r="V4441" s="76">
        <f>V4440+T4441</f>
        <v>1270.8062125749723</v>
      </c>
    </row>
    <row r="4442" spans="1:22" ht="19" customHeight="1">
      <c r="A4442" s="68" t="s">
        <v>378</v>
      </c>
      <c r="B4442" s="74">
        <v>5</v>
      </c>
      <c r="C4442" s="68" t="s">
        <v>363</v>
      </c>
      <c r="D4442" s="68" t="s">
        <v>365</v>
      </c>
      <c r="E4442" s="75">
        <f>60*F4442*'THAM_SO_MOI'!$C$53/(2*PI()*'THAM_SO_MOI'!$C$26)</f>
        <v>2311.3257631578945</v>
      </c>
      <c r="F4442" s="75">
        <f>'THAM_SO_MOI'!$C$14+('THAM_SO_MOI'!$C$37-'THAM_SO_MOI'!$C$14)*351/'THAM_SO_MOI'!$C$42</f>
        <v>23.45896875</v>
      </c>
      <c r="G4442" s="75">
        <f>3.6*F4442</f>
        <v>84.4522875</v>
      </c>
      <c r="H4442" s="75">
        <f>'THAM_SO_MOI'!$D$53</f>
        <v>1.1</v>
      </c>
      <c r="I4442" s="75">
        <f>IF(F4442&gt;='THAM_SO_MOI'!$C$14,'THAM_SO_MOI'!$C$13*(1+F4442^2/1500),'THAM_SO_MOI'!$C$13)</f>
        <v>0.020503232148134765</v>
      </c>
      <c r="J4442" s="75">
        <f>'THAM_SO_MOI'!$C$40*('THAM_SO_MOI'!$C$23*(E4442/'THAM_SO_MOI'!$C$22)+'THAM_SO_MOI'!$C$24*(E4442/'THAM_SO_MOI'!$C$22)^2-'THAM_SO_MOI'!$C$25*(E4442/'THAM_SO_MOI'!$C$22)^3)</f>
        <v>103.84387724173351</v>
      </c>
      <c r="K4442" s="75">
        <f>'THAM_SO_MOI'!$C$31*J4442/E4442</f>
        <v>429.11436506401344</v>
      </c>
      <c r="L4442" s="75">
        <f>K4442*'THAM_SO_MOI'!$C$53*'THAM_SO_MOI'!$C$17/'THAM_SO_MOI'!$C$26</f>
        <v>3763.3346607224157</v>
      </c>
      <c r="M4442" s="75">
        <f>'THAM_SO_MOI'!$C$15*'THAM_SO_MOI'!$C$16*F4442^2</f>
        <v>1609.6954033294192</v>
      </c>
      <c r="N4442" s="75">
        <f>'THAM_SO_MOI'!$C$12*I4442</f>
        <v>1544.7299126261917</v>
      </c>
      <c r="O4442" s="75">
        <f>M4442+N4442</f>
        <v>3154.425315955611</v>
      </c>
      <c r="P4442" s="75">
        <f>(MIN(L4442,'THAM_SO_MOI'!$C$41)-O4442)/('THAM_SO_MOI'!$C$11*H4442)</f>
        <v>0.07207733721197974</v>
      </c>
      <c r="Q4442" s="75">
        <f>IF(P4442&gt;0,1/P4442,NA())</f>
        <v>13.873986452343486</v>
      </c>
      <c r="R4442" s="75">
        <f>F4442-F4441</f>
        <v>0.0035868055555567935</v>
      </c>
      <c r="S4442" s="75">
        <f>0.5*(Q4441+Q4442)*R4442</f>
        <v>0.04973625295570734</v>
      </c>
      <c r="T4442" s="75">
        <f>0.5*(F4441*Q4441+F4442*Q4442)*R4442</f>
        <v>1.1666720551871588</v>
      </c>
      <c r="U4442" s="76">
        <f>U4441+S4442</f>
        <v>76.69500435436578</v>
      </c>
      <c r="V4442" s="76">
        <f>V4441+T4442</f>
        <v>1271.9728846301593</v>
      </c>
    </row>
    <row r="4443" spans="1:22" ht="19" customHeight="1">
      <c r="A4443" s="68" t="s">
        <v>378</v>
      </c>
      <c r="B4443" s="74">
        <v>5</v>
      </c>
      <c r="C4443" s="68" t="s">
        <v>363</v>
      </c>
      <c r="D4443" s="68" t="s">
        <v>365</v>
      </c>
      <c r="E4443" s="75">
        <f>60*F4443*'THAM_SO_MOI'!$C$53/(2*PI()*'THAM_SO_MOI'!$C$26)</f>
        <v>2311.679157894736</v>
      </c>
      <c r="F4443" s="75">
        <f>'THAM_SO_MOI'!$C$14+('THAM_SO_MOI'!$C$37-'THAM_SO_MOI'!$C$14)*352/'THAM_SO_MOI'!$C$42</f>
        <v>23.462555555555554</v>
      </c>
      <c r="G4443" s="75">
        <f>3.6*F4443</f>
        <v>84.4652</v>
      </c>
      <c r="H4443" s="75">
        <f>'THAM_SO_MOI'!$D$53</f>
        <v>1.1</v>
      </c>
      <c r="I4443" s="75">
        <f>IF(F4443&gt;='THAM_SO_MOI'!$C$14,'THAM_SO_MOI'!$C$13*(1+F4443^2/1500),'THAM_SO_MOI'!$C$13)</f>
        <v>0.020504915131975308</v>
      </c>
      <c r="J4443" s="75">
        <f>'THAM_SO_MOI'!$C$40*('THAM_SO_MOI'!$C$23*(E4443/'THAM_SO_MOI'!$C$22)+'THAM_SO_MOI'!$C$24*(E4443/'THAM_SO_MOI'!$C$22)^2-'THAM_SO_MOI'!$C$25*(E4443/'THAM_SO_MOI'!$C$22)^3)</f>
        <v>103.85855281144352</v>
      </c>
      <c r="K4443" s="75">
        <f>'THAM_SO_MOI'!$C$31*J4443/E4443</f>
        <v>429.1093994319755</v>
      </c>
      <c r="L4443" s="75">
        <f>K4443*'THAM_SO_MOI'!$C$53*'THAM_SO_MOI'!$C$17/'THAM_SO_MOI'!$C$26</f>
        <v>3763.2911121100124</v>
      </c>
      <c r="M4443" s="75">
        <f>'THAM_SO_MOI'!$C$15*'THAM_SO_MOI'!$C$16*F4443^2</f>
        <v>1610.1876761027777</v>
      </c>
      <c r="N4443" s="75">
        <f>'THAM_SO_MOI'!$C$12*I4443</f>
        <v>1544.8567099751253</v>
      </c>
      <c r="O4443" s="75">
        <f>M4443+N4443</f>
        <v>3155.0443860779033</v>
      </c>
      <c r="P4443" s="75">
        <f>(MIN(L4443,'THAM_SO_MOI'!$C$41)-O4443)/('THAM_SO_MOI'!$C$11*H4443)</f>
        <v>0.07199890222917958</v>
      </c>
      <c r="Q4443" s="75">
        <f>IF(P4443&gt;0,1/P4443,NA())</f>
        <v>13.889100653464157</v>
      </c>
      <c r="R4443" s="75">
        <f>F4443-F4442</f>
        <v>0.0035868055555532408</v>
      </c>
      <c r="S4443" s="75">
        <f>0.5*(Q4442+Q4443)*R4443</f>
        <v>0.049790397535209696</v>
      </c>
      <c r="T4443" s="75">
        <f>0.5*(F4442*Q4442+F4443*Q4443)*R4443</f>
        <v>1.1681207226775148</v>
      </c>
      <c r="U4443" s="76">
        <f>U4442+S4443</f>
        <v>76.74479475190098</v>
      </c>
      <c r="V4443" s="76">
        <f>V4442+T4443</f>
        <v>1273.1410053528368</v>
      </c>
    </row>
    <row r="4444" spans="1:22" ht="19" customHeight="1">
      <c r="A4444" s="68" t="s">
        <v>378</v>
      </c>
      <c r="B4444" s="74">
        <v>5</v>
      </c>
      <c r="C4444" s="68" t="s">
        <v>363</v>
      </c>
      <c r="D4444" s="68" t="s">
        <v>365</v>
      </c>
      <c r="E4444" s="75">
        <f>60*F4444*'THAM_SO_MOI'!$C$53/(2*PI()*'THAM_SO_MOI'!$C$26)</f>
        <v>2312.0325526315783</v>
      </c>
      <c r="F4444" s="75">
        <f>'THAM_SO_MOI'!$C$14+('THAM_SO_MOI'!$C$37-'THAM_SO_MOI'!$C$14)*353/'THAM_SO_MOI'!$C$42</f>
        <v>23.46614236111111</v>
      </c>
      <c r="G4444" s="75">
        <f>3.6*F4444</f>
        <v>84.4781125</v>
      </c>
      <c r="H4444" s="75">
        <f>'THAM_SO_MOI'!$D$53</f>
        <v>1.1</v>
      </c>
      <c r="I4444" s="75">
        <f>IF(F4444&gt;='THAM_SO_MOI'!$C$14,'THAM_SO_MOI'!$C$13*(1+F4444^2/1500),'THAM_SO_MOI'!$C$13)</f>
        <v>0.02050659837311933</v>
      </c>
      <c r="J4444" s="75">
        <f>'THAM_SO_MOI'!$C$40*('THAM_SO_MOI'!$C$23*(E4444/'THAM_SO_MOI'!$C$22)+'THAM_SO_MOI'!$C$24*(E4444/'THAM_SO_MOI'!$C$22)^2-'THAM_SO_MOI'!$C$25*(E4444/'THAM_SO_MOI'!$C$22)^3)</f>
        <v>103.87322508077852</v>
      </c>
      <c r="K4444" s="75">
        <f>'THAM_SO_MOI'!$C$31*J4444/E4444</f>
        <v>429.10442168395315</v>
      </c>
      <c r="L4444" s="75">
        <f>K4444*'THAM_SO_MOI'!$C$53*'THAM_SO_MOI'!$C$17/'THAM_SO_MOI'!$C$26</f>
        <v>3763.247457240379</v>
      </c>
      <c r="M4444" s="75">
        <f>'THAM_SO_MOI'!$C$15*'THAM_SO_MOI'!$C$16*F4444^2</f>
        <v>1610.680024137405</v>
      </c>
      <c r="N4444" s="75">
        <f>'THAM_SO_MOI'!$C$12*I4444</f>
        <v>1544.983526709509</v>
      </c>
      <c r="O4444" s="75">
        <f>M4444+N4444</f>
        <v>3155.6635508469144</v>
      </c>
      <c r="P4444" s="75">
        <f>(MIN(L4444,'THAM_SO_MOI'!$C$41)-O4444)/('THAM_SO_MOI'!$C$11*H4444)</f>
        <v>0.07192044346513553</v>
      </c>
      <c r="Q4444" s="75">
        <f>IF(P4444&gt;0,1/P4444,NA())</f>
        <v>13.90425241864317</v>
      </c>
      <c r="R4444" s="75">
        <f>F4444-F4443</f>
        <v>0.0035868055555567935</v>
      </c>
      <c r="S4444" s="75">
        <f>0.5*(Q4443+Q4444)*R4444</f>
        <v>0.04984467660329302</v>
      </c>
      <c r="T4444" s="75">
        <f>0.5*(F4443*Q4443+F4444*Q4444)*R4444</f>
        <v>1.1695729342674643</v>
      </c>
      <c r="U4444" s="76">
        <f>U4443+S4444</f>
        <v>76.79463942850428</v>
      </c>
      <c r="V4444" s="76">
        <f>V4443+T4444</f>
        <v>1274.3105782871044</v>
      </c>
    </row>
    <row r="4445" spans="1:22" ht="19" customHeight="1">
      <c r="A4445" s="68" t="s">
        <v>378</v>
      </c>
      <c r="B4445" s="74">
        <v>5</v>
      </c>
      <c r="C4445" s="68" t="s">
        <v>363</v>
      </c>
      <c r="D4445" s="68" t="s">
        <v>365</v>
      </c>
      <c r="E4445" s="75">
        <f>60*F4445*'THAM_SO_MOI'!$C$53/(2*PI()*'THAM_SO_MOI'!$C$26)</f>
        <v>2312.3859473684206</v>
      </c>
      <c r="F4445" s="75">
        <f>'THAM_SO_MOI'!$C$14+('THAM_SO_MOI'!$C$37-'THAM_SO_MOI'!$C$14)*354/'THAM_SO_MOI'!$C$42</f>
        <v>23.469729166666667</v>
      </c>
      <c r="G4445" s="75">
        <f>3.6*F4445</f>
        <v>84.49102500000001</v>
      </c>
      <c r="H4445" s="75">
        <f>'THAM_SO_MOI'!$D$53</f>
        <v>1.1</v>
      </c>
      <c r="I4445" s="75">
        <f>IF(F4445&gt;='THAM_SO_MOI'!$C$14,'THAM_SO_MOI'!$C$13*(1+F4445^2/1500),'THAM_SO_MOI'!$C$13)</f>
        <v>0.02050828187156684</v>
      </c>
      <c r="J4445" s="75">
        <f>'THAM_SO_MOI'!$C$40*('THAM_SO_MOI'!$C$23*(E4445/'THAM_SO_MOI'!$C$22)+'THAM_SO_MOI'!$C$24*(E4445/'THAM_SO_MOI'!$C$22)^2-'THAM_SO_MOI'!$C$25*(E4445/'THAM_SO_MOI'!$C$22)^3)</f>
        <v>103.88789404839355</v>
      </c>
      <c r="K4445" s="75">
        <f>'THAM_SO_MOI'!$C$31*J4445/E4445</f>
        <v>429.09943181994623</v>
      </c>
      <c r="L4445" s="75">
        <f>K4445*'THAM_SO_MOI'!$C$53*'THAM_SO_MOI'!$C$17/'THAM_SO_MOI'!$C$26</f>
        <v>3763.203696113513</v>
      </c>
      <c r="M4445" s="75">
        <f>'THAM_SO_MOI'!$C$15*'THAM_SO_MOI'!$C$16*F4445^2</f>
        <v>1611.172447433301</v>
      </c>
      <c r="N4445" s="75">
        <f>'THAM_SO_MOI'!$C$12*I4445</f>
        <v>1545.1103628293429</v>
      </c>
      <c r="O4445" s="75">
        <f>M4445+N4445</f>
        <v>3156.2828102626436</v>
      </c>
      <c r="P4445" s="75">
        <f>(MIN(L4445,'THAM_SO_MOI'!$C$41)-O4445)/('THAM_SO_MOI'!$C$11*H4445)</f>
        <v>0.07184196091984722</v>
      </c>
      <c r="Q4445" s="75">
        <f>IF(P4445&gt;0,1/P4445,NA())</f>
        <v>13.919441885998657</v>
      </c>
      <c r="R4445" s="75">
        <f>F4445-F4444</f>
        <v>0.0035868055555567935</v>
      </c>
      <c r="S4445" s="75">
        <f>0.5*(Q4444+Q4445)*R4445</f>
        <v>0.04989909065400161</v>
      </c>
      <c r="T4445" s="75">
        <f>0.5*(F4444*Q4444+F4445*Q4445)*R4445</f>
        <v>1.1710287029983637</v>
      </c>
      <c r="U4445" s="76">
        <f>U4444+S4445</f>
        <v>76.84453851915829</v>
      </c>
      <c r="V4445" s="76">
        <f>V4444+T4445</f>
        <v>1275.4816069901028</v>
      </c>
    </row>
    <row r="4446" spans="1:22" ht="19" customHeight="1">
      <c r="A4446" s="68" t="s">
        <v>378</v>
      </c>
      <c r="B4446" s="74">
        <v>5</v>
      </c>
      <c r="C4446" s="68" t="s">
        <v>363</v>
      </c>
      <c r="D4446" s="68" t="s">
        <v>365</v>
      </c>
      <c r="E4446" s="75">
        <f>60*F4446*'THAM_SO_MOI'!$C$53/(2*PI()*'THAM_SO_MOI'!$C$26)</f>
        <v>2312.7393421052625</v>
      </c>
      <c r="F4446" s="75">
        <f>'THAM_SO_MOI'!$C$14+('THAM_SO_MOI'!$C$37-'THAM_SO_MOI'!$C$14)*355/'THAM_SO_MOI'!$C$42</f>
        <v>23.47331597222222</v>
      </c>
      <c r="G4446" s="75">
        <f>3.6*F4446</f>
        <v>84.50393749999999</v>
      </c>
      <c r="H4446" s="75">
        <f>'THAM_SO_MOI'!$D$53</f>
        <v>1.1</v>
      </c>
      <c r="I4446" s="75">
        <f>IF(F4446&gt;='THAM_SO_MOI'!$C$14,'THAM_SO_MOI'!$C$13*(1+F4446^2/1500),'THAM_SO_MOI'!$C$13)</f>
        <v>0.020509965627317828</v>
      </c>
      <c r="J4446" s="75">
        <f>'THAM_SO_MOI'!$C$40*('THAM_SO_MOI'!$C$23*(E4446/'THAM_SO_MOI'!$C$22)+'THAM_SO_MOI'!$C$24*(E4446/'THAM_SO_MOI'!$C$22)^2-'THAM_SO_MOI'!$C$25*(E4446/'THAM_SO_MOI'!$C$22)^3)</f>
        <v>103.90255971294374</v>
      </c>
      <c r="K4446" s="75">
        <f>'THAM_SO_MOI'!$C$31*J4446/E4446</f>
        <v>429.094429839955</v>
      </c>
      <c r="L4446" s="75">
        <f>K4446*'THAM_SO_MOI'!$C$53*'THAM_SO_MOI'!$C$17/'THAM_SO_MOI'!$C$26</f>
        <v>3763.1598287294173</v>
      </c>
      <c r="M4446" s="75">
        <f>'THAM_SO_MOI'!$C$15*'THAM_SO_MOI'!$C$16*F4446^2</f>
        <v>1611.6649459904647</v>
      </c>
      <c r="N4446" s="75">
        <f>'THAM_SO_MOI'!$C$12*I4446</f>
        <v>1545.237218334627</v>
      </c>
      <c r="O4446" s="75">
        <f>M4446+N4446</f>
        <v>3156.9021643250917</v>
      </c>
      <c r="P4446" s="75">
        <f>(MIN(L4446,'THAM_SO_MOI'!$C$41)-O4446)/('THAM_SO_MOI'!$C$11*H4446)</f>
        <v>0.07176345459331505</v>
      </c>
      <c r="Q4446" s="75">
        <f>IF(P4446&gt;0,1/P4446,NA())</f>
        <v>13.934669194327672</v>
      </c>
      <c r="R4446" s="75">
        <f>F4446-F4445</f>
        <v>0.0035868055555532408</v>
      </c>
      <c r="S4446" s="75">
        <f>0.5*(Q4445+Q4446)*R4446</f>
        <v>0.049953640183955775</v>
      </c>
      <c r="T4446" s="75">
        <f>0.5*(F4445*Q4445+F4446*Q4446)*R4446</f>
        <v>1.1724880419791182</v>
      </c>
      <c r="U4446" s="76">
        <f>U4445+S4446</f>
        <v>76.89449215934225</v>
      </c>
      <c r="V4446" s="76">
        <f>V4445+T4446</f>
        <v>1276.6540950320818</v>
      </c>
    </row>
    <row r="4447" spans="1:22" ht="19" customHeight="1">
      <c r="A4447" s="68" t="s">
        <v>378</v>
      </c>
      <c r="B4447" s="74">
        <v>5</v>
      </c>
      <c r="C4447" s="68" t="s">
        <v>363</v>
      </c>
      <c r="D4447" s="68" t="s">
        <v>365</v>
      </c>
      <c r="E4447" s="75">
        <f>60*F4447*'THAM_SO_MOI'!$C$53/(2*PI()*'THAM_SO_MOI'!$C$26)</f>
        <v>2313.092736842105</v>
      </c>
      <c r="F4447" s="75">
        <f>'THAM_SO_MOI'!$C$14+('THAM_SO_MOI'!$C$37-'THAM_SO_MOI'!$C$14)*356/'THAM_SO_MOI'!$C$42</f>
        <v>23.476902777777777</v>
      </c>
      <c r="G4447" s="75">
        <f>3.6*F4447</f>
        <v>84.51685</v>
      </c>
      <c r="H4447" s="75">
        <f>'THAM_SO_MOI'!$D$53</f>
        <v>1.1</v>
      </c>
      <c r="I4447" s="75">
        <f>IF(F4447&gt;='THAM_SO_MOI'!$C$14,'THAM_SO_MOI'!$C$13*(1+F4447^2/1500),'THAM_SO_MOI'!$C$13)</f>
        <v>0.0205116496403723</v>
      </c>
      <c r="J4447" s="75">
        <f>'THAM_SO_MOI'!$C$40*('THAM_SO_MOI'!$C$23*(E4447/'THAM_SO_MOI'!$C$22)+'THAM_SO_MOI'!$C$24*(E4447/'THAM_SO_MOI'!$C$22)^2-'THAM_SO_MOI'!$C$25*(E4447/'THAM_SO_MOI'!$C$22)^3)</f>
        <v>103.91722207308419</v>
      </c>
      <c r="K4447" s="75">
        <f>'THAM_SO_MOI'!$C$31*J4447/E4447</f>
        <v>429.0894157439792</v>
      </c>
      <c r="L4447" s="75">
        <f>K4447*'THAM_SO_MOI'!$C$53*'THAM_SO_MOI'!$C$17/'THAM_SO_MOI'!$C$26</f>
        <v>3763.11585508809</v>
      </c>
      <c r="M4447" s="75">
        <f>'THAM_SO_MOI'!$C$15*'THAM_SO_MOI'!$C$16*F4447^2</f>
        <v>1612.1575198088979</v>
      </c>
      <c r="N4447" s="75">
        <f>'THAM_SO_MOI'!$C$12*I4447</f>
        <v>1545.3640932253616</v>
      </c>
      <c r="O4447" s="75">
        <f>M4447+N4447</f>
        <v>3157.5216130342596</v>
      </c>
      <c r="P4447" s="75">
        <f>(MIN(L4447,'THAM_SO_MOI'!$C$41)-O4447)/('THAM_SO_MOI'!$C$11*H4447)</f>
        <v>0.07168492448553869</v>
      </c>
      <c r="Q4447" s="75">
        <f>IF(P4447&gt;0,1/P4447,NA())</f>
        <v>13.949934483110662</v>
      </c>
      <c r="R4447" s="75">
        <f>F4447-F4446</f>
        <v>0.0035868055555567935</v>
      </c>
      <c r="S4447" s="75">
        <f>0.5*(Q4446+Q4447)*R4447</f>
        <v>0.05000832569236761</v>
      </c>
      <c r="T4447" s="75">
        <f>0.5*(F4446*Q4446+F4447*Q4447)*R4447</f>
        <v>1.1739509643866015</v>
      </c>
      <c r="U4447" s="76">
        <f>U4446+S4447</f>
        <v>76.94450048503462</v>
      </c>
      <c r="V4447" s="76">
        <f>V4446+T4447</f>
        <v>1277.8280459964685</v>
      </c>
    </row>
    <row r="4448" spans="1:22" ht="19" customHeight="1">
      <c r="A4448" s="68" t="s">
        <v>378</v>
      </c>
      <c r="B4448" s="74">
        <v>5</v>
      </c>
      <c r="C4448" s="68" t="s">
        <v>363</v>
      </c>
      <c r="D4448" s="68" t="s">
        <v>365</v>
      </c>
      <c r="E4448" s="75">
        <f>60*F4448*'THAM_SO_MOI'!$C$53/(2*PI()*'THAM_SO_MOI'!$C$26)</f>
        <v>2313.4461315789467</v>
      </c>
      <c r="F4448" s="75">
        <f>'THAM_SO_MOI'!$C$14+('THAM_SO_MOI'!$C$37-'THAM_SO_MOI'!$C$14)*357/'THAM_SO_MOI'!$C$42</f>
        <v>23.48048958333333</v>
      </c>
      <c r="G4448" s="75">
        <f>3.6*F4448</f>
        <v>84.52976249999999</v>
      </c>
      <c r="H4448" s="75">
        <f>'THAM_SO_MOI'!$D$53</f>
        <v>1.1</v>
      </c>
      <c r="I4448" s="75">
        <f>IF(F4448&gt;='THAM_SO_MOI'!$C$14,'THAM_SO_MOI'!$C$13*(1+F4448^2/1500),'THAM_SO_MOI'!$C$13)</f>
        <v>0.02051333391073025</v>
      </c>
      <c r="J4448" s="75">
        <f>'THAM_SO_MOI'!$C$40*('THAM_SO_MOI'!$C$23*(E4448/'THAM_SO_MOI'!$C$22)+'THAM_SO_MOI'!$C$24*(E4448/'THAM_SO_MOI'!$C$22)^2-'THAM_SO_MOI'!$C$25*(E4448/'THAM_SO_MOI'!$C$22)^3)</f>
        <v>103.93188112747</v>
      </c>
      <c r="K4448" s="75">
        <f>'THAM_SO_MOI'!$C$31*J4448/E4448</f>
        <v>429.08438953201903</v>
      </c>
      <c r="L4448" s="75">
        <f>K4448*'THAM_SO_MOI'!$C$53*'THAM_SO_MOI'!$C$17/'THAM_SO_MOI'!$C$26</f>
        <v>3763.0717751895318</v>
      </c>
      <c r="M4448" s="75">
        <f>'THAM_SO_MOI'!$C$15*'THAM_SO_MOI'!$C$16*F4448^2</f>
        <v>1612.6501688885983</v>
      </c>
      <c r="N4448" s="75">
        <f>'THAM_SO_MOI'!$C$12*I4448</f>
        <v>1545.4909875015458</v>
      </c>
      <c r="O4448" s="75">
        <f>M4448+N4448</f>
        <v>3158.141156390144</v>
      </c>
      <c r="P4448" s="75">
        <f>(MIN(L4448,'THAM_SO_MOI'!$C$41)-O4448)/('THAM_SO_MOI'!$C$11*H4448)</f>
        <v>0.07160637059651843</v>
      </c>
      <c r="Q4448" s="75">
        <f>IF(P4448&gt;0,1/P4448,NA())</f>
        <v>13.965237892515402</v>
      </c>
      <c r="R4448" s="75">
        <f>F4448-F4447</f>
        <v>0.0035868055555532408</v>
      </c>
      <c r="S4448" s="75">
        <f>0.5*(Q4447+Q4448)*R4448</f>
        <v>0.050063147680560964</v>
      </c>
      <c r="T4448" s="75">
        <f>0.5*(F4447*Q4447+F4448*Q4448)*R4448</f>
        <v>1.1754174834544318</v>
      </c>
      <c r="U4448" s="76">
        <f>U4447+S4448</f>
        <v>76.99456363271518</v>
      </c>
      <c r="V4448" s="76">
        <f>V4447+T4448</f>
        <v>1279.0034634799229</v>
      </c>
    </row>
    <row r="4449" spans="1:22" ht="19" customHeight="1">
      <c r="A4449" s="68" t="s">
        <v>378</v>
      </c>
      <c r="B4449" s="74">
        <v>5</v>
      </c>
      <c r="C4449" s="68" t="s">
        <v>363</v>
      </c>
      <c r="D4449" s="68" t="s">
        <v>365</v>
      </c>
      <c r="E4449" s="75">
        <f>60*F4449*'THAM_SO_MOI'!$C$53/(2*PI()*'THAM_SO_MOI'!$C$26)</f>
        <v>2313.799526315789</v>
      </c>
      <c r="F4449" s="75">
        <f>'THAM_SO_MOI'!$C$14+('THAM_SO_MOI'!$C$37-'THAM_SO_MOI'!$C$14)*358/'THAM_SO_MOI'!$C$42</f>
        <v>23.484076388888887</v>
      </c>
      <c r="G4449" s="75">
        <f>3.6*F4449</f>
        <v>84.542675</v>
      </c>
      <c r="H4449" s="75">
        <f>'THAM_SO_MOI'!$D$53</f>
        <v>1.1</v>
      </c>
      <c r="I4449" s="75">
        <f>IF(F4449&gt;='THAM_SO_MOI'!$C$14,'THAM_SO_MOI'!$C$13*(1+F4449^2/1500),'THAM_SO_MOI'!$C$13)</f>
        <v>0.020515018438391684</v>
      </c>
      <c r="J4449" s="75">
        <f>'THAM_SO_MOI'!$C$40*('THAM_SO_MOI'!$C$23*(E4449/'THAM_SO_MOI'!$C$22)+'THAM_SO_MOI'!$C$24*(E4449/'THAM_SO_MOI'!$C$22)^2-'THAM_SO_MOI'!$C$25*(E4449/'THAM_SO_MOI'!$C$22)^3)</f>
        <v>103.94653687475633</v>
      </c>
      <c r="K4449" s="75">
        <f>'THAM_SO_MOI'!$C$31*J4449/E4449</f>
        <v>429.0793512040744</v>
      </c>
      <c r="L4449" s="75">
        <f>K4449*'THAM_SO_MOI'!$C$53*'THAM_SO_MOI'!$C$17/'THAM_SO_MOI'!$C$26</f>
        <v>3763.0275890337425</v>
      </c>
      <c r="M4449" s="75">
        <f>'THAM_SO_MOI'!$C$15*'THAM_SO_MOI'!$C$16*F4449^2</f>
        <v>1613.142893229568</v>
      </c>
      <c r="N4449" s="75">
        <f>'THAM_SO_MOI'!$C$12*I4449</f>
        <v>1545.6179011631802</v>
      </c>
      <c r="O4449" s="75">
        <f>M4449+N4449</f>
        <v>3158.7607943927483</v>
      </c>
      <c r="P4449" s="75">
        <f>(MIN(L4449,'THAM_SO_MOI'!$C$41)-O4449)/('THAM_SO_MOI'!$C$11*H4449)</f>
        <v>0.07152779292625405</v>
      </c>
      <c r="Q4449" s="75">
        <f>IF(P4449&gt;0,1/P4449,NA())</f>
        <v>13.980579563401475</v>
      </c>
      <c r="R4449" s="75">
        <f>F4449-F4448</f>
        <v>0.0035868055555567935</v>
      </c>
      <c r="S4449" s="75">
        <f>0.5*(Q4448+Q4449)*R4449</f>
        <v>0.05011810665272934</v>
      </c>
      <c r="T4449" s="75">
        <f>0.5*(F4448*Q4448+F4449*Q4449)*R4449</f>
        <v>1.1768876124908048</v>
      </c>
      <c r="U4449" s="76">
        <f>U4448+S4449</f>
        <v>77.04468173936792</v>
      </c>
      <c r="V4449" s="76">
        <f>V4448+T4449</f>
        <v>1280.1803510924137</v>
      </c>
    </row>
    <row r="4450" spans="1:22" ht="19" customHeight="1">
      <c r="A4450" s="68" t="s">
        <v>378</v>
      </c>
      <c r="B4450" s="74">
        <v>5</v>
      </c>
      <c r="C4450" s="68" t="s">
        <v>363</v>
      </c>
      <c r="D4450" s="68" t="s">
        <v>365</v>
      </c>
      <c r="E4450" s="75">
        <f>60*F4450*'THAM_SO_MOI'!$C$53/(2*PI()*'THAM_SO_MOI'!$C$26)</f>
        <v>2314.152921052631</v>
      </c>
      <c r="F4450" s="75">
        <f>'THAM_SO_MOI'!$C$14+('THAM_SO_MOI'!$C$37-'THAM_SO_MOI'!$C$14)*359/'THAM_SO_MOI'!$C$42</f>
        <v>23.487663194444444</v>
      </c>
      <c r="G4450" s="75">
        <f>3.6*F4450</f>
        <v>84.5555875</v>
      </c>
      <c r="H4450" s="75">
        <f>'THAM_SO_MOI'!$D$53</f>
        <v>1.1</v>
      </c>
      <c r="I4450" s="75">
        <f>IF(F4450&gt;='THAM_SO_MOI'!$C$14,'THAM_SO_MOI'!$C$13*(1+F4450^2/1500),'THAM_SO_MOI'!$C$13)</f>
        <v>0.0205167032233566</v>
      </c>
      <c r="J4450" s="75">
        <f>'THAM_SO_MOI'!$C$40*('THAM_SO_MOI'!$C$23*(E4450/'THAM_SO_MOI'!$C$22)+'THAM_SO_MOI'!$C$24*(E4450/'THAM_SO_MOI'!$C$22)^2-'THAM_SO_MOI'!$C$25*(E4450/'THAM_SO_MOI'!$C$22)^3)</f>
        <v>103.96118931359821</v>
      </c>
      <c r="K4450" s="75">
        <f>'THAM_SO_MOI'!$C$31*J4450/E4450</f>
        <v>429.07430076014515</v>
      </c>
      <c r="L4450" s="75">
        <f>K4450*'THAM_SO_MOI'!$C$53*'THAM_SO_MOI'!$C$17/'THAM_SO_MOI'!$C$26</f>
        <v>3762.983296620721</v>
      </c>
      <c r="M4450" s="75">
        <f>'THAM_SO_MOI'!$C$15*'THAM_SO_MOI'!$C$16*F4450^2</f>
        <v>1613.6356928318062</v>
      </c>
      <c r="N4450" s="75">
        <f>'THAM_SO_MOI'!$C$12*I4450</f>
        <v>1545.744834210265</v>
      </c>
      <c r="O4450" s="75">
        <f>M4450+N4450</f>
        <v>3159.380527042071</v>
      </c>
      <c r="P4450" s="75">
        <f>(MIN(L4450,'THAM_SO_MOI'!$C$41)-O4450)/('THAM_SO_MOI'!$C$11*H4450)</f>
        <v>0.07144919147474549</v>
      </c>
      <c r="Q4450" s="75">
        <f>IF(P4450&gt;0,1/P4450,NA())</f>
        <v>13.995959637324393</v>
      </c>
      <c r="R4450" s="75">
        <f>F4450-F4449</f>
        <v>0.0035868055555567935</v>
      </c>
      <c r="S4450" s="75">
        <f>0.5*(Q4449+Q4450)*R4450</f>
        <v>0.050173203115207975</v>
      </c>
      <c r="T4450" s="75">
        <f>0.5*(F4449*Q4449+F4450*Q4450)*R4450</f>
        <v>1.178361364861451</v>
      </c>
      <c r="U4450" s="76">
        <f>U4449+S4450</f>
        <v>77.09485494248312</v>
      </c>
      <c r="V4450" s="76">
        <f>V4449+T4450</f>
        <v>1281.3587124572753</v>
      </c>
    </row>
    <row r="4451" spans="1:22" ht="19" customHeight="1">
      <c r="A4451" s="68" t="s">
        <v>378</v>
      </c>
      <c r="B4451" s="74">
        <v>5</v>
      </c>
      <c r="C4451" s="68" t="s">
        <v>363</v>
      </c>
      <c r="D4451" s="68" t="s">
        <v>365</v>
      </c>
      <c r="E4451" s="75">
        <f>60*F4451*'THAM_SO_MOI'!$C$53/(2*PI()*'THAM_SO_MOI'!$C$26)</f>
        <v>2314.5063157894733</v>
      </c>
      <c r="F4451" s="75">
        <f>'THAM_SO_MOI'!$C$14+('THAM_SO_MOI'!$C$37-'THAM_SO_MOI'!$C$14)*360/'THAM_SO_MOI'!$C$42</f>
        <v>23.49125</v>
      </c>
      <c r="G4451" s="75">
        <f>3.6*F4451</f>
        <v>84.5685</v>
      </c>
      <c r="H4451" s="75">
        <f>'THAM_SO_MOI'!$D$53</f>
        <v>1.1</v>
      </c>
      <c r="I4451" s="75">
        <f>IF(F4451&gt;='THAM_SO_MOI'!$C$14,'THAM_SO_MOI'!$C$13*(1+F4451^2/1500),'THAM_SO_MOI'!$C$13)</f>
        <v>0.020518388265625</v>
      </c>
      <c r="J4451" s="75">
        <f>'THAM_SO_MOI'!$C$40*('THAM_SO_MOI'!$C$23*(E4451/'THAM_SO_MOI'!$C$22)+'THAM_SO_MOI'!$C$24*(E4451/'THAM_SO_MOI'!$C$22)^2-'THAM_SO_MOI'!$C$25*(E4451/'THAM_SO_MOI'!$C$22)^3)</f>
        <v>103.97583844265084</v>
      </c>
      <c r="K4451" s="75">
        <f>'THAM_SO_MOI'!$C$31*J4451/E4451</f>
        <v>429.0692382002316</v>
      </c>
      <c r="L4451" s="75">
        <f>K4451*'THAM_SO_MOI'!$C$53*'THAM_SO_MOI'!$C$17/'THAM_SO_MOI'!$C$26</f>
        <v>3762.9388979504693</v>
      </c>
      <c r="M4451" s="75">
        <f>'THAM_SO_MOI'!$C$15*'THAM_SO_MOI'!$C$16*F4451^2</f>
        <v>1614.1285676953128</v>
      </c>
      <c r="N4451" s="75">
        <f>'THAM_SO_MOI'!$C$12*I4451</f>
        <v>1545.8717866428</v>
      </c>
      <c r="O4451" s="75">
        <f>M4451+N4451</f>
        <v>3160.0003543381126</v>
      </c>
      <c r="P4451" s="75">
        <f>(MIN(L4451,'THAM_SO_MOI'!$C$41)-O4451)/('THAM_SO_MOI'!$C$11*H4451)</f>
        <v>0.07137056624199292</v>
      </c>
      <c r="Q4451" s="75">
        <f>IF(P4451&gt;0,1/P4451,NA())</f>
        <v>14.011378256539897</v>
      </c>
      <c r="R4451" s="75">
        <f>F4451-F4450</f>
        <v>0.0035868055555567935</v>
      </c>
      <c r="S4451" s="75">
        <f>0.5*(Q4450+Q4451)*R4451</f>
        <v>0.050228437577034366</v>
      </c>
      <c r="T4451" s="75">
        <f>0.5*(F4450*Q4450+F4451*Q4451)*R4451</f>
        <v>1.1798387540028397</v>
      </c>
      <c r="U4451" s="76">
        <f>U4450+S4451</f>
        <v>77.14508338006016</v>
      </c>
      <c r="V4451" s="76">
        <f>V4450+T4451</f>
        <v>1282.538551211278</v>
      </c>
    </row>
    <row r="4452" spans="1:22" ht="19" customHeight="1">
      <c r="A4452" s="68" t="s">
        <v>378</v>
      </c>
      <c r="B4452" s="74">
        <v>5</v>
      </c>
      <c r="C4452" s="68" t="s">
        <v>363</v>
      </c>
      <c r="D4452" s="68" t="s">
        <v>365</v>
      </c>
      <c r="E4452" s="75">
        <f>60*F4452*'THAM_SO_MOI'!$C$53/(2*PI()*'THAM_SO_MOI'!$C$26)</f>
        <v>2314.859710526315</v>
      </c>
      <c r="F4452" s="75">
        <f>'THAM_SO_MOI'!$C$14+('THAM_SO_MOI'!$C$37-'THAM_SO_MOI'!$C$14)*361/'THAM_SO_MOI'!$C$42</f>
        <v>23.494836805555554</v>
      </c>
      <c r="G4452" s="75">
        <f>3.6*F4452</f>
        <v>84.5814125</v>
      </c>
      <c r="H4452" s="75">
        <f>'THAM_SO_MOI'!$D$53</f>
        <v>1.1</v>
      </c>
      <c r="I4452" s="75">
        <f>IF(F4452&gt;='THAM_SO_MOI'!$C$14,'THAM_SO_MOI'!$C$13*(1+F4452^2/1500),'THAM_SO_MOI'!$C$13)</f>
        <v>0.02052007356519688</v>
      </c>
      <c r="J4452" s="75">
        <f>'THAM_SO_MOI'!$C$40*('THAM_SO_MOI'!$C$23*(E4452/'THAM_SO_MOI'!$C$22)+'THAM_SO_MOI'!$C$24*(E4452/'THAM_SO_MOI'!$C$22)^2-'THAM_SO_MOI'!$C$25*(E4452/'THAM_SO_MOI'!$C$22)^3)</f>
        <v>103.99048426056926</v>
      </c>
      <c r="K4452" s="75">
        <f>'THAM_SO_MOI'!$C$31*J4452/E4452</f>
        <v>429.0641635243336</v>
      </c>
      <c r="L4452" s="75">
        <f>K4452*'THAM_SO_MOI'!$C$53*'THAM_SO_MOI'!$C$17/'THAM_SO_MOI'!$C$26</f>
        <v>3762.8943930229866</v>
      </c>
      <c r="M4452" s="75">
        <f>'THAM_SO_MOI'!$C$15*'THAM_SO_MOI'!$C$16*F4452^2</f>
        <v>1614.621517820087</v>
      </c>
      <c r="N4452" s="75">
        <f>'THAM_SO_MOI'!$C$12*I4452</f>
        <v>1545.998758460785</v>
      </c>
      <c r="O4452" s="75">
        <f>M4452+N4452</f>
        <v>3160.620276280872</v>
      </c>
      <c r="P4452" s="75">
        <f>(MIN(L4452,'THAM_SO_MOI'!$C$41)-O4452)/('THAM_SO_MOI'!$C$11*H4452)</f>
        <v>0.07129191722799653</v>
      </c>
      <c r="Q4452" s="75">
        <f>IF(P4452&gt;0,1/P4452,NA())</f>
        <v>14.02683556400833</v>
      </c>
      <c r="R4452" s="75">
        <f>F4452-F4451</f>
        <v>0.0035868055555532408</v>
      </c>
      <c r="S4452" s="75">
        <f>0.5*(Q4451+Q4452)*R4452</f>
        <v>0.05028381054966602</v>
      </c>
      <c r="T4452" s="75">
        <f>0.5*(F4451*Q4451+F4452*Q4452)*R4452</f>
        <v>1.1813197934155966</v>
      </c>
      <c r="U4452" s="76">
        <f>U4451+S4452</f>
        <v>77.19536719060983</v>
      </c>
      <c r="V4452" s="76">
        <f>V4451+T4452</f>
        <v>1283.7198710046937</v>
      </c>
    </row>
    <row r="4453" spans="1:22" ht="19" customHeight="1">
      <c r="A4453" s="68" t="s">
        <v>378</v>
      </c>
      <c r="B4453" s="74">
        <v>5</v>
      </c>
      <c r="C4453" s="68" t="s">
        <v>363</v>
      </c>
      <c r="D4453" s="68" t="s">
        <v>365</v>
      </c>
      <c r="E4453" s="75">
        <f>60*F4453*'THAM_SO_MOI'!$C$53/(2*PI()*'THAM_SO_MOI'!$C$26)</f>
        <v>2315.2131052631576</v>
      </c>
      <c r="F4453" s="75">
        <f>'THAM_SO_MOI'!$C$14+('THAM_SO_MOI'!$C$37-'THAM_SO_MOI'!$C$14)*362/'THAM_SO_MOI'!$C$42</f>
        <v>23.49842361111111</v>
      </c>
      <c r="G4453" s="75">
        <f>3.6*F4453</f>
        <v>84.594325</v>
      </c>
      <c r="H4453" s="75">
        <f>'THAM_SO_MOI'!$D$53</f>
        <v>1.1</v>
      </c>
      <c r="I4453" s="75">
        <f>IF(F4453&gt;='THAM_SO_MOI'!$C$14,'THAM_SO_MOI'!$C$13*(1+F4453^2/1500),'THAM_SO_MOI'!$C$13)</f>
        <v>0.020521759122072238</v>
      </c>
      <c r="J4453" s="75">
        <f>'THAM_SO_MOI'!$C$40*('THAM_SO_MOI'!$C$23*(E4453/'THAM_SO_MOI'!$C$22)+'THAM_SO_MOI'!$C$24*(E4453/'THAM_SO_MOI'!$C$22)^2-'THAM_SO_MOI'!$C$25*(E4453/'THAM_SO_MOI'!$C$22)^3)</f>
        <v>104.00512676600862</v>
      </c>
      <c r="K4453" s="75">
        <f>'THAM_SO_MOI'!$C$31*J4453/E4453</f>
        <v>429.05907673245105</v>
      </c>
      <c r="L4453" s="75">
        <f>K4453*'THAM_SO_MOI'!$C$53*'THAM_SO_MOI'!$C$17/'THAM_SO_MOI'!$C$26</f>
        <v>3762.849781838272</v>
      </c>
      <c r="M4453" s="75">
        <f>'THAM_SO_MOI'!$C$15*'THAM_SO_MOI'!$C$16*F4453^2</f>
        <v>1615.1145432061307</v>
      </c>
      <c r="N4453" s="75">
        <f>'THAM_SO_MOI'!$C$12*I4453</f>
        <v>1546.1257496642202</v>
      </c>
      <c r="O4453" s="75">
        <f>M4453+N4453</f>
        <v>3161.240292870351</v>
      </c>
      <c r="P4453" s="75">
        <f>(MIN(L4453,'THAM_SO_MOI'!$C$41)-O4453)/('THAM_SO_MOI'!$C$11*H4453)</f>
        <v>0.07121324443275581</v>
      </c>
      <c r="Q4453" s="75">
        <f>IF(P4453&gt;0,1/P4453,NA())</f>
        <v>14.042331703399151</v>
      </c>
      <c r="R4453" s="75">
        <f>F4453-F4452</f>
        <v>0.0035868055555567935</v>
      </c>
      <c r="S4453" s="75">
        <f>0.5*(Q4452+Q4453)*R4453</f>
        <v>0.05033932254729502</v>
      </c>
      <c r="T4453" s="75">
        <f>0.5*(F4452*Q4452+F4453*Q4453)*R4453</f>
        <v>1.1828044966719402</v>
      </c>
      <c r="U4453" s="76">
        <f>U4452+S4453</f>
        <v>77.24570651315713</v>
      </c>
      <c r="V4453" s="76">
        <f>V4452+T4453</f>
        <v>1284.9026755013656</v>
      </c>
    </row>
    <row r="4454" spans="1:22" ht="19" customHeight="1">
      <c r="A4454" s="68" t="s">
        <v>378</v>
      </c>
      <c r="B4454" s="74">
        <v>5</v>
      </c>
      <c r="C4454" s="68" t="s">
        <v>363</v>
      </c>
      <c r="D4454" s="68" t="s">
        <v>365</v>
      </c>
      <c r="E4454" s="75">
        <f>60*F4454*'THAM_SO_MOI'!$C$53/(2*PI()*'THAM_SO_MOI'!$C$26)</f>
        <v>2315.5664999999995</v>
      </c>
      <c r="F4454" s="75">
        <f>'THAM_SO_MOI'!$C$14+('THAM_SO_MOI'!$C$37-'THAM_SO_MOI'!$C$14)*363/'THAM_SO_MOI'!$C$42</f>
        <v>23.502010416666664</v>
      </c>
      <c r="G4454" s="75">
        <f>3.6*F4454</f>
        <v>84.6072375</v>
      </c>
      <c r="H4454" s="75">
        <f>'THAM_SO_MOI'!$D$53</f>
        <v>1.1</v>
      </c>
      <c r="I4454" s="75">
        <f>IF(F4454&gt;='THAM_SO_MOI'!$C$14,'THAM_SO_MOI'!$C$13*(1+F4454^2/1500),'THAM_SO_MOI'!$C$13)</f>
        <v>0.020523444936251082</v>
      </c>
      <c r="J4454" s="75">
        <f>'THAM_SO_MOI'!$C$40*('THAM_SO_MOI'!$C$23*(E4454/'THAM_SO_MOI'!$C$22)+'THAM_SO_MOI'!$C$24*(E4454/'THAM_SO_MOI'!$C$22)^2-'THAM_SO_MOI'!$C$25*(E4454/'THAM_SO_MOI'!$C$22)^3)</f>
        <v>104.019765957624</v>
      </c>
      <c r="K4454" s="75">
        <f>'THAM_SO_MOI'!$C$31*J4454/E4454</f>
        <v>429.0539778245842</v>
      </c>
      <c r="L4454" s="75">
        <f>K4454*'THAM_SO_MOI'!$C$53*'THAM_SO_MOI'!$C$17/'THAM_SO_MOI'!$C$26</f>
        <v>3762.805064396328</v>
      </c>
      <c r="M4454" s="75">
        <f>'THAM_SO_MOI'!$C$15*'THAM_SO_MOI'!$C$16*F4454^2</f>
        <v>1615.6076438534424</v>
      </c>
      <c r="N4454" s="75">
        <f>'THAM_SO_MOI'!$C$12*I4454</f>
        <v>1546.2527602531056</v>
      </c>
      <c r="O4454" s="75">
        <f>M4454+N4454</f>
        <v>3161.8604041065482</v>
      </c>
      <c r="P4454" s="75">
        <f>(MIN(L4454,'THAM_SO_MOI'!$C$41)-O4454)/('THAM_SO_MOI'!$C$11*H4454)</f>
        <v>0.0711345478562713</v>
      </c>
      <c r="Q4454" s="75">
        <f>IF(P4454&gt;0,1/P4454,NA())</f>
        <v>14.057866819094977</v>
      </c>
      <c r="R4454" s="75">
        <f>F4454-F4453</f>
        <v>0.0035868055555532408</v>
      </c>
      <c r="S4454" s="75">
        <f>0.5*(Q4453+Q4454)*R4454</f>
        <v>0.05039497408631546</v>
      </c>
      <c r="T4454" s="75">
        <f>0.5*(F4453*Q4453+F4454*Q4454)*R4454</f>
        <v>1.1842928774032122</v>
      </c>
      <c r="U4454" s="76">
        <f>U4453+S4454</f>
        <v>77.29610148724345</v>
      </c>
      <c r="V4454" s="76">
        <f>V4453+T4454</f>
        <v>1286.086968378769</v>
      </c>
    </row>
    <row r="4455" spans="1:22" ht="19" customHeight="1">
      <c r="A4455" s="68" t="s">
        <v>378</v>
      </c>
      <c r="B4455" s="74">
        <v>5</v>
      </c>
      <c r="C4455" s="68" t="s">
        <v>363</v>
      </c>
      <c r="D4455" s="68" t="s">
        <v>365</v>
      </c>
      <c r="E4455" s="75">
        <f>60*F4455*'THAM_SO_MOI'!$C$53/(2*PI()*'THAM_SO_MOI'!$C$26)</f>
        <v>2315.919894736842</v>
      </c>
      <c r="F4455" s="75">
        <f>'THAM_SO_MOI'!$C$14+('THAM_SO_MOI'!$C$37-'THAM_SO_MOI'!$C$14)*364/'THAM_SO_MOI'!$C$42</f>
        <v>23.50559722222222</v>
      </c>
      <c r="G4455" s="75">
        <f>3.6*F4455</f>
        <v>84.62015</v>
      </c>
      <c r="H4455" s="75">
        <f>'THAM_SO_MOI'!$D$53</f>
        <v>1.1</v>
      </c>
      <c r="I4455" s="75">
        <f>IF(F4455&gt;='THAM_SO_MOI'!$C$14,'THAM_SO_MOI'!$C$13*(1+F4455^2/1500),'THAM_SO_MOI'!$C$13)</f>
        <v>0.02052513100773341</v>
      </c>
      <c r="J4455" s="75">
        <f>'THAM_SO_MOI'!$C$40*('THAM_SO_MOI'!$C$23*(E4455/'THAM_SO_MOI'!$C$22)+'THAM_SO_MOI'!$C$24*(E4455/'THAM_SO_MOI'!$C$22)^2-'THAM_SO_MOI'!$C$25*(E4455/'THAM_SO_MOI'!$C$22)^3)</f>
        <v>104.03440183407055</v>
      </c>
      <c r="K4455" s="75">
        <f>'THAM_SO_MOI'!$C$31*J4455/E4455</f>
        <v>429.04886680073275</v>
      </c>
      <c r="L4455" s="75">
        <f>K4455*'THAM_SO_MOI'!$C$53*'THAM_SO_MOI'!$C$17/'THAM_SO_MOI'!$C$26</f>
        <v>3762.760240697151</v>
      </c>
      <c r="M4455" s="75">
        <f>'THAM_SO_MOI'!$C$15*'THAM_SO_MOI'!$C$16*F4455^2</f>
        <v>1616.1008197620224</v>
      </c>
      <c r="N4455" s="75">
        <f>'THAM_SO_MOI'!$C$12*I4455</f>
        <v>1546.3797902274414</v>
      </c>
      <c r="O4455" s="75">
        <f>M4455+N4455</f>
        <v>3162.480609989464</v>
      </c>
      <c r="P4455" s="75">
        <f>(MIN(L4455,'THAM_SO_MOI'!$C$41)-O4455)/('THAM_SO_MOI'!$C$11*H4455)</f>
        <v>0.07105582749854254</v>
      </c>
      <c r="Q4455" s="75">
        <f>IF(P4455&gt;0,1/P4455,NA())</f>
        <v>14.073441056196431</v>
      </c>
      <c r="R4455" s="75">
        <f>F4455-F4454</f>
        <v>0.0035868055555567935</v>
      </c>
      <c r="S4455" s="75">
        <f>0.5*(Q4454+Q4455)*R4455</f>
        <v>0.0504507656860869</v>
      </c>
      <c r="T4455" s="75">
        <f>0.5*(F4454*Q4454+F4455*Q4455)*R4455</f>
        <v>1.1857849493178638</v>
      </c>
      <c r="U4455" s="76">
        <f>U4454+S4455</f>
        <v>77.34655225292954</v>
      </c>
      <c r="V4455" s="76">
        <f>V4454+T4455</f>
        <v>1287.2727533280868</v>
      </c>
    </row>
    <row r="4456" spans="1:22" ht="19" customHeight="1">
      <c r="A4456" s="68" t="s">
        <v>378</v>
      </c>
      <c r="B4456" s="74">
        <v>5</v>
      </c>
      <c r="C4456" s="68" t="s">
        <v>363</v>
      </c>
      <c r="D4456" s="68" t="s">
        <v>365</v>
      </c>
      <c r="E4456" s="75">
        <f>60*F4456*'THAM_SO_MOI'!$C$53/(2*PI()*'THAM_SO_MOI'!$C$26)</f>
        <v>2316.2732894736837</v>
      </c>
      <c r="F4456" s="75">
        <f>'THAM_SO_MOI'!$C$14+('THAM_SO_MOI'!$C$37-'THAM_SO_MOI'!$C$14)*365/'THAM_SO_MOI'!$C$42</f>
        <v>23.509184027777778</v>
      </c>
      <c r="G4456" s="75">
        <f>3.6*F4456</f>
        <v>84.63306250000001</v>
      </c>
      <c r="H4456" s="75">
        <f>'THAM_SO_MOI'!$D$53</f>
        <v>1.1</v>
      </c>
      <c r="I4456" s="75">
        <f>IF(F4456&gt;='THAM_SO_MOI'!$C$14,'THAM_SO_MOI'!$C$13*(1+F4456^2/1500),'THAM_SO_MOI'!$C$13)</f>
        <v>0.020526817336519215</v>
      </c>
      <c r="J4456" s="75">
        <f>'THAM_SO_MOI'!$C$40*('THAM_SO_MOI'!$C$23*(E4456/'THAM_SO_MOI'!$C$22)+'THAM_SO_MOI'!$C$24*(E4456/'THAM_SO_MOI'!$C$22)^2-'THAM_SO_MOI'!$C$25*(E4456/'THAM_SO_MOI'!$C$22)^3)</f>
        <v>104.04903439400336</v>
      </c>
      <c r="K4456" s="75">
        <f>'THAM_SO_MOI'!$C$31*J4456/E4456</f>
        <v>429.04374366089695</v>
      </c>
      <c r="L4456" s="75">
        <f>K4456*'THAM_SO_MOI'!$C$53*'THAM_SO_MOI'!$C$17/'THAM_SO_MOI'!$C$26</f>
        <v>3762.715310740745</v>
      </c>
      <c r="M4456" s="75">
        <f>'THAM_SO_MOI'!$C$15*'THAM_SO_MOI'!$C$16*F4456^2</f>
        <v>1616.5940709318716</v>
      </c>
      <c r="N4456" s="75">
        <f>'THAM_SO_MOI'!$C$12*I4456</f>
        <v>1546.506839587227</v>
      </c>
      <c r="O4456" s="75">
        <f>M4456+N4456</f>
        <v>3163.1009105190988</v>
      </c>
      <c r="P4456" s="75">
        <f>(MIN(L4456,'THAM_SO_MOI'!$C$41)-O4456)/('THAM_SO_MOI'!$C$11*H4456)</f>
        <v>0.07097708335956987</v>
      </c>
      <c r="Q4456" s="75">
        <f>IF(P4456&gt;0,1/P4456,NA())</f>
        <v>14.089054560526254</v>
      </c>
      <c r="R4456" s="75">
        <f>F4456-F4455</f>
        <v>0.0035868055555567935</v>
      </c>
      <c r="S4456" s="75">
        <f>0.5*(Q4455+Q4456)*R4456</f>
        <v>0.05050669786820239</v>
      </c>
      <c r="T4456" s="75">
        <f>0.5*(F4455*Q4455+F4456*Q4456)*R4456</f>
        <v>1.1872807261843012</v>
      </c>
      <c r="U4456" s="76">
        <f>U4455+S4456</f>
        <v>77.39705895079774</v>
      </c>
      <c r="V4456" s="76">
        <f>V4455+T4456</f>
        <v>1288.460034054271</v>
      </c>
    </row>
    <row r="4457" spans="1:22" ht="19" customHeight="1">
      <c r="A4457" s="68" t="s">
        <v>378</v>
      </c>
      <c r="B4457" s="74">
        <v>5</v>
      </c>
      <c r="C4457" s="68" t="s">
        <v>363</v>
      </c>
      <c r="D4457" s="68" t="s">
        <v>365</v>
      </c>
      <c r="E4457" s="75">
        <f>60*F4457*'THAM_SO_MOI'!$C$53/(2*PI()*'THAM_SO_MOI'!$C$26)</f>
        <v>2316.6266842105256</v>
      </c>
      <c r="F4457" s="75">
        <f>'THAM_SO_MOI'!$C$14+('THAM_SO_MOI'!$C$37-'THAM_SO_MOI'!$C$14)*366/'THAM_SO_MOI'!$C$42</f>
        <v>23.51277083333333</v>
      </c>
      <c r="G4457" s="75">
        <f>3.6*F4457</f>
        <v>84.64597499999999</v>
      </c>
      <c r="H4457" s="75">
        <f>'THAM_SO_MOI'!$D$53</f>
        <v>1.1</v>
      </c>
      <c r="I4457" s="75">
        <f>IF(F4457&gt;='THAM_SO_MOI'!$C$14,'THAM_SO_MOI'!$C$13*(1+F4457^2/1500),'THAM_SO_MOI'!$C$13)</f>
        <v>0.020528503922608504</v>
      </c>
      <c r="J4457" s="75">
        <f>'THAM_SO_MOI'!$C$40*('THAM_SO_MOI'!$C$23*(E4457/'THAM_SO_MOI'!$C$22)+'THAM_SO_MOI'!$C$24*(E4457/'THAM_SO_MOI'!$C$22)^2-'THAM_SO_MOI'!$C$25*(E4457/'THAM_SO_MOI'!$C$22)^3)</f>
        <v>104.06366363607746</v>
      </c>
      <c r="K4457" s="75">
        <f>'THAM_SO_MOI'!$C$31*J4457/E4457</f>
        <v>429.0386084050765</v>
      </c>
      <c r="L4457" s="75">
        <f>K4457*'THAM_SO_MOI'!$C$53*'THAM_SO_MOI'!$C$17/'THAM_SO_MOI'!$C$26</f>
        <v>3762.6702745271054</v>
      </c>
      <c r="M4457" s="75">
        <f>'THAM_SO_MOI'!$C$15*'THAM_SO_MOI'!$C$16*F4457^2</f>
        <v>1617.087397362988</v>
      </c>
      <c r="N4457" s="75">
        <f>'THAM_SO_MOI'!$C$12*I4457</f>
        <v>1546.6339083324629</v>
      </c>
      <c r="O4457" s="75">
        <f>M4457+N4457</f>
        <v>3163.7213056954506</v>
      </c>
      <c r="P4457" s="75">
        <f>(MIN(L4457,'THAM_SO_MOI'!$C$41)-O4457)/('THAM_SO_MOI'!$C$11*H4457)</f>
        <v>0.07089831543935303</v>
      </c>
      <c r="Q4457" s="75">
        <f>IF(P4457&gt;0,1/P4457,NA())</f>
        <v>14.10470747863407</v>
      </c>
      <c r="R4457" s="75">
        <f>F4457-F4456</f>
        <v>0.0035868055555532408</v>
      </c>
      <c r="S4457" s="75">
        <f>0.5*(Q4456+Q4457)*R4457</f>
        <v>0.05056277115700316</v>
      </c>
      <c r="T4457" s="75">
        <f>0.5*(F4456*Q4456+F4457*Q4457)*R4457</f>
        <v>1.1887802218430257</v>
      </c>
      <c r="U4457" s="76">
        <f>U4456+S4457</f>
        <v>77.44762172195475</v>
      </c>
      <c r="V4457" s="76">
        <f>V4456+T4457</f>
        <v>1289.648814276114</v>
      </c>
    </row>
    <row r="4458" spans="1:22" ht="19" customHeight="1">
      <c r="A4458" s="68" t="s">
        <v>378</v>
      </c>
      <c r="B4458" s="74">
        <v>5</v>
      </c>
      <c r="C4458" s="68" t="s">
        <v>363</v>
      </c>
      <c r="D4458" s="68" t="s">
        <v>365</v>
      </c>
      <c r="E4458" s="75">
        <f>60*F4458*'THAM_SO_MOI'!$C$53/(2*PI()*'THAM_SO_MOI'!$C$26)</f>
        <v>2316.9800789473675</v>
      </c>
      <c r="F4458" s="75">
        <f>'THAM_SO_MOI'!$C$14+('THAM_SO_MOI'!$C$37-'THAM_SO_MOI'!$C$14)*367/'THAM_SO_MOI'!$C$42</f>
        <v>23.516357638888888</v>
      </c>
      <c r="G4458" s="75">
        <f>3.6*F4458</f>
        <v>84.65888749999999</v>
      </c>
      <c r="H4458" s="75">
        <f>'THAM_SO_MOI'!$D$53</f>
        <v>1.1</v>
      </c>
      <c r="I4458" s="75">
        <f>IF(F4458&gt;='THAM_SO_MOI'!$C$14,'THAM_SO_MOI'!$C$13*(1+F4458^2/1500),'THAM_SO_MOI'!$C$13)</f>
        <v>0.020530190766001277</v>
      </c>
      <c r="J4458" s="75">
        <f>'THAM_SO_MOI'!$C$40*('THAM_SO_MOI'!$C$23*(E4458/'THAM_SO_MOI'!$C$22)+'THAM_SO_MOI'!$C$24*(E4458/'THAM_SO_MOI'!$C$22)^2-'THAM_SO_MOI'!$C$25*(E4458/'THAM_SO_MOI'!$C$22)^3)</f>
        <v>104.07828955894811</v>
      </c>
      <c r="K4458" s="75">
        <f>'THAM_SO_MOI'!$C$31*J4458/E4458</f>
        <v>429.0334610332718</v>
      </c>
      <c r="L4458" s="75">
        <f>K4458*'THAM_SO_MOI'!$C$53*'THAM_SO_MOI'!$C$17/'THAM_SO_MOI'!$C$26</f>
        <v>3762.6251320562365</v>
      </c>
      <c r="M4458" s="75">
        <f>'THAM_SO_MOI'!$C$15*'THAM_SO_MOI'!$C$16*F4458^2</f>
        <v>1617.580799055374</v>
      </c>
      <c r="N4458" s="75">
        <f>'THAM_SO_MOI'!$C$12*I4458</f>
        <v>1546.760996463149</v>
      </c>
      <c r="O4458" s="75">
        <f>M4458+N4458</f>
        <v>3164.341795518523</v>
      </c>
      <c r="P4458" s="75">
        <f>(MIN(L4458,'THAM_SO_MOI'!$C$41)-O4458)/('THAM_SO_MOI'!$C$11*H4458)</f>
        <v>0.07081952373789221</v>
      </c>
      <c r="Q4458" s="75">
        <f>IF(P4458&gt;0,1/P4458,NA())</f>
        <v>14.120399957800716</v>
      </c>
      <c r="R4458" s="75">
        <f>F4458-F4457</f>
        <v>0.0035868055555567935</v>
      </c>
      <c r="S4458" s="75">
        <f>0.5*(Q4457+Q4458)*R4458</f>
        <v>0.05061898607959583</v>
      </c>
      <c r="T4458" s="75">
        <f>0.5*(F4457*Q4457+F4458*Q4458)*R4458</f>
        <v>1.1902834502070894</v>
      </c>
      <c r="U4458" s="76">
        <f>U4457+S4458</f>
        <v>77.49824070803434</v>
      </c>
      <c r="V4458" s="76">
        <f>V4457+T4458</f>
        <v>1290.8390977263211</v>
      </c>
    </row>
    <row r="4459" spans="1:22" ht="19" customHeight="1">
      <c r="A4459" s="68" t="s">
        <v>378</v>
      </c>
      <c r="B4459" s="74">
        <v>5</v>
      </c>
      <c r="C4459" s="68" t="s">
        <v>363</v>
      </c>
      <c r="D4459" s="68" t="s">
        <v>365</v>
      </c>
      <c r="E4459" s="75">
        <f>60*F4459*'THAM_SO_MOI'!$C$53/(2*PI()*'THAM_SO_MOI'!$C$26)</f>
        <v>2317.33347368421</v>
      </c>
      <c r="F4459" s="75">
        <f>'THAM_SO_MOI'!$C$14+('THAM_SO_MOI'!$C$37-'THAM_SO_MOI'!$C$14)*368/'THAM_SO_MOI'!$C$42</f>
        <v>23.519944444444445</v>
      </c>
      <c r="G4459" s="75">
        <f>3.6*F4459</f>
        <v>84.6718</v>
      </c>
      <c r="H4459" s="75">
        <f>'THAM_SO_MOI'!$D$53</f>
        <v>1.1</v>
      </c>
      <c r="I4459" s="75">
        <f>IF(F4459&gt;='THAM_SO_MOI'!$C$14,'THAM_SO_MOI'!$C$13*(1+F4459^2/1500),'THAM_SO_MOI'!$C$13)</f>
        <v>0.02053187786669753</v>
      </c>
      <c r="J4459" s="75">
        <f>'THAM_SO_MOI'!$C$40*('THAM_SO_MOI'!$C$23*(E4459/'THAM_SO_MOI'!$C$22)+'THAM_SO_MOI'!$C$24*(E4459/'THAM_SO_MOI'!$C$22)^2-'THAM_SO_MOI'!$C$25*(E4459/'THAM_SO_MOI'!$C$22)^3)</f>
        <v>104.09291216127036</v>
      </c>
      <c r="K4459" s="75">
        <f>'THAM_SO_MOI'!$C$31*J4459/E4459</f>
        <v>429.02830154548263</v>
      </c>
      <c r="L4459" s="75">
        <f>K4459*'THAM_SO_MOI'!$C$53*'THAM_SO_MOI'!$C$17/'THAM_SO_MOI'!$C$26</f>
        <v>3762.5798833281365</v>
      </c>
      <c r="M4459" s="75">
        <f>'THAM_SO_MOI'!$C$15*'THAM_SO_MOI'!$C$16*F4459^2</f>
        <v>1618.074276009028</v>
      </c>
      <c r="N4459" s="75">
        <f>'THAM_SO_MOI'!$C$12*I4459</f>
        <v>1546.8881039792852</v>
      </c>
      <c r="O4459" s="75">
        <f>M4459+N4459</f>
        <v>3164.962379988313</v>
      </c>
      <c r="P4459" s="75">
        <f>(MIN(L4459,'THAM_SO_MOI'!$C$41)-O4459)/('THAM_SO_MOI'!$C$11*H4459)</f>
        <v>0.07074070825518741</v>
      </c>
      <c r="Q4459" s="75">
        <f>IF(P4459&gt;0,1/P4459,NA())</f>
        <v>14.136132146042941</v>
      </c>
      <c r="R4459" s="75">
        <f>F4459-F4458</f>
        <v>0.0035868055555567935</v>
      </c>
      <c r="S4459" s="75">
        <f>0.5*(Q4458+Q4459)*R4459</f>
        <v>0.050675343165417656</v>
      </c>
      <c r="T4459" s="75">
        <f>0.5*(F4458*Q4458+F4459*Q4459)*R4459</f>
        <v>1.1917904252519183</v>
      </c>
      <c r="U4459" s="76">
        <f>U4458+S4459</f>
        <v>77.54891605119977</v>
      </c>
      <c r="V4459" s="76">
        <f>V4458+T4459</f>
        <v>1292.030888151573</v>
      </c>
    </row>
    <row r="4460" spans="1:22" ht="19" customHeight="1">
      <c r="A4460" s="68" t="s">
        <v>378</v>
      </c>
      <c r="B4460" s="74">
        <v>5</v>
      </c>
      <c r="C4460" s="68" t="s">
        <v>363</v>
      </c>
      <c r="D4460" s="68" t="s">
        <v>365</v>
      </c>
      <c r="E4460" s="75">
        <f>60*F4460*'THAM_SO_MOI'!$C$53/(2*PI()*'THAM_SO_MOI'!$C$26)</f>
        <v>2317.6868684210517</v>
      </c>
      <c r="F4460" s="75">
        <f>'THAM_SO_MOI'!$C$14+('THAM_SO_MOI'!$C$37-'THAM_SO_MOI'!$C$14)*369/'THAM_SO_MOI'!$C$42</f>
        <v>23.523531249999998</v>
      </c>
      <c r="G4460" s="75">
        <f>3.6*F4460</f>
        <v>84.68471249999999</v>
      </c>
      <c r="H4460" s="75">
        <f>'THAM_SO_MOI'!$D$53</f>
        <v>1.1</v>
      </c>
      <c r="I4460" s="75">
        <f>IF(F4460&gt;='THAM_SO_MOI'!$C$14,'THAM_SO_MOI'!$C$13*(1+F4460^2/1500),'THAM_SO_MOI'!$C$13)</f>
        <v>0.02053356522469726</v>
      </c>
      <c r="J4460" s="75">
        <f>'THAM_SO_MOI'!$C$40*('THAM_SO_MOI'!$C$23*(E4460/'THAM_SO_MOI'!$C$22)+'THAM_SO_MOI'!$C$24*(E4460/'THAM_SO_MOI'!$C$22)^2-'THAM_SO_MOI'!$C$25*(E4460/'THAM_SO_MOI'!$C$22)^3)</f>
        <v>104.10753144169925</v>
      </c>
      <c r="K4460" s="75">
        <f>'THAM_SO_MOI'!$C$31*J4460/E4460</f>
        <v>429.0231299417089</v>
      </c>
      <c r="L4460" s="75">
        <f>K4460*'THAM_SO_MOI'!$C$53*'THAM_SO_MOI'!$C$17/'THAM_SO_MOI'!$C$26</f>
        <v>3762.534528342804</v>
      </c>
      <c r="M4460" s="75">
        <f>'THAM_SO_MOI'!$C$15*'THAM_SO_MOI'!$C$16*F4460^2</f>
        <v>1618.56782822395</v>
      </c>
      <c r="N4460" s="75">
        <f>'THAM_SO_MOI'!$C$12*I4460</f>
        <v>1547.0152308808715</v>
      </c>
      <c r="O4460" s="75">
        <f>M4460+N4460</f>
        <v>3165.5830591048216</v>
      </c>
      <c r="P4460" s="75">
        <f>(MIN(L4460,'THAM_SO_MOI'!$C$41)-O4460)/('THAM_SO_MOI'!$C$11*H4460)</f>
        <v>0.07066186899123847</v>
      </c>
      <c r="Q4460" s="75">
        <f>IF(P4460&gt;0,1/P4460,NA())</f>
        <v>14.151904192117991</v>
      </c>
      <c r="R4460" s="75">
        <f>F4460-F4459</f>
        <v>0.0035868055555532408</v>
      </c>
      <c r="S4460" s="75">
        <f>0.5*(Q4459+Q4460)*R4460</f>
        <v>0.05073184294670379</v>
      </c>
      <c r="T4460" s="75">
        <f>0.5*(F4459*Q4459+F4460*Q4460)*R4460</f>
        <v>1.193301161026346</v>
      </c>
      <c r="U4460" s="76">
        <f>U4459+S4460</f>
        <v>77.59964789414647</v>
      </c>
      <c r="V4460" s="76">
        <f>V4459+T4460</f>
        <v>1293.2241893125993</v>
      </c>
    </row>
    <row r="4461" spans="1:22" ht="19" customHeight="1">
      <c r="A4461" s="68" t="s">
        <v>378</v>
      </c>
      <c r="B4461" s="74">
        <v>5</v>
      </c>
      <c r="C4461" s="68" t="s">
        <v>363</v>
      </c>
      <c r="D4461" s="68" t="s">
        <v>365</v>
      </c>
      <c r="E4461" s="75">
        <f>60*F4461*'THAM_SO_MOI'!$C$53/(2*PI()*'THAM_SO_MOI'!$C$26)</f>
        <v>2318.0402631578945</v>
      </c>
      <c r="F4461" s="75">
        <f>'THAM_SO_MOI'!$C$14+('THAM_SO_MOI'!$C$37-'THAM_SO_MOI'!$C$14)*370/'THAM_SO_MOI'!$C$42</f>
        <v>23.527118055555555</v>
      </c>
      <c r="G4461" s="75">
        <f>3.6*F4461</f>
        <v>84.697625</v>
      </c>
      <c r="H4461" s="75">
        <f>'THAM_SO_MOI'!$D$53</f>
        <v>1.1</v>
      </c>
      <c r="I4461" s="75">
        <f>IF(F4461&gt;='THAM_SO_MOI'!$C$14,'THAM_SO_MOI'!$C$13*(1+F4461^2/1500),'THAM_SO_MOI'!$C$13)</f>
        <v>0.02053525284000048</v>
      </c>
      <c r="J4461" s="75">
        <f>'THAM_SO_MOI'!$C$40*('THAM_SO_MOI'!$C$23*(E4461/'THAM_SO_MOI'!$C$22)+'THAM_SO_MOI'!$C$24*(E4461/'THAM_SO_MOI'!$C$22)^2-'THAM_SO_MOI'!$C$25*(E4461/'THAM_SO_MOI'!$C$22)^3)</f>
        <v>104.12214739889</v>
      </c>
      <c r="K4461" s="75">
        <f>'THAM_SO_MOI'!$C$31*J4461/E4461</f>
        <v>429.01794622195064</v>
      </c>
      <c r="L4461" s="75">
        <f>K4461*'THAM_SO_MOI'!$C$53*'THAM_SO_MOI'!$C$17/'THAM_SO_MOI'!$C$26</f>
        <v>3762.489067100241</v>
      </c>
      <c r="M4461" s="75">
        <f>'THAM_SO_MOI'!$C$15*'THAM_SO_MOI'!$C$16*F4461^2</f>
        <v>1619.0614557001409</v>
      </c>
      <c r="N4461" s="75">
        <f>'THAM_SO_MOI'!$C$12*I4461</f>
        <v>1547.142377167908</v>
      </c>
      <c r="O4461" s="75">
        <f>M4461+N4461</f>
        <v>3166.203832868049</v>
      </c>
      <c r="P4461" s="75">
        <f>(MIN(L4461,'THAM_SO_MOI'!$C$41)-O4461)/('THAM_SO_MOI'!$C$11*H4461)</f>
        <v>0.07058300594604544</v>
      </c>
      <c r="Q4461" s="75">
        <f>IF(P4461&gt;0,1/P4461,NA())</f>
        <v>14.167716245528178</v>
      </c>
      <c r="R4461" s="75">
        <f>F4461-F4460</f>
        <v>0.0035868055555567935</v>
      </c>
      <c r="S4461" s="75">
        <f>0.5*(Q4460+Q4461)*R4461</f>
        <v>0.05078848595850449</v>
      </c>
      <c r="T4461" s="75">
        <f>0.5*(F4460*Q4460+F4461*Q4461)*R4461</f>
        <v>1.194815671653069</v>
      </c>
      <c r="U4461" s="76">
        <f>U4460+S4461</f>
        <v>77.65043638010498</v>
      </c>
      <c r="V4461" s="76">
        <f>V4460+T4461</f>
        <v>1294.4190049842523</v>
      </c>
    </row>
    <row r="4462" spans="1:22" ht="19" customHeight="1">
      <c r="A4462" s="68" t="s">
        <v>378</v>
      </c>
      <c r="B4462" s="74">
        <v>5</v>
      </c>
      <c r="C4462" s="68" t="s">
        <v>363</v>
      </c>
      <c r="D4462" s="68" t="s">
        <v>365</v>
      </c>
      <c r="E4462" s="75">
        <f>60*F4462*'THAM_SO_MOI'!$C$53/(2*PI()*'THAM_SO_MOI'!$C$26)</f>
        <v>2318.3936578947364</v>
      </c>
      <c r="F4462" s="75">
        <f>'THAM_SO_MOI'!$C$14+('THAM_SO_MOI'!$C$37-'THAM_SO_MOI'!$C$14)*371/'THAM_SO_MOI'!$C$42</f>
        <v>23.53070486111111</v>
      </c>
      <c r="G4462" s="75">
        <f>3.6*F4462</f>
        <v>84.7105375</v>
      </c>
      <c r="H4462" s="75">
        <f>'THAM_SO_MOI'!$D$53</f>
        <v>1.1</v>
      </c>
      <c r="I4462" s="75">
        <f>IF(F4462&gt;='THAM_SO_MOI'!$C$14,'THAM_SO_MOI'!$C$13*(1+F4462^2/1500),'THAM_SO_MOI'!$C$13)</f>
        <v>0.02053694071260718</v>
      </c>
      <c r="J4462" s="75">
        <f>'THAM_SO_MOI'!$C$40*('THAM_SO_MOI'!$C$23*(E4462/'THAM_SO_MOI'!$C$22)+'THAM_SO_MOI'!$C$24*(E4462/'THAM_SO_MOI'!$C$22)^2-'THAM_SO_MOI'!$C$25*(E4462/'THAM_SO_MOI'!$C$22)^3)</f>
        <v>104.13676003149769</v>
      </c>
      <c r="K4462" s="75">
        <f>'THAM_SO_MOI'!$C$31*J4462/E4462</f>
        <v>429.0127503862083</v>
      </c>
      <c r="L4462" s="75">
        <f>K4462*'THAM_SO_MOI'!$C$53*'THAM_SO_MOI'!$C$17/'THAM_SO_MOI'!$C$26</f>
        <v>3762.44349960045</v>
      </c>
      <c r="M4462" s="75">
        <f>'THAM_SO_MOI'!$C$15*'THAM_SO_MOI'!$C$16*F4462^2</f>
        <v>1619.5551584376005</v>
      </c>
      <c r="N4462" s="75">
        <f>'THAM_SO_MOI'!$C$12*I4462</f>
        <v>1547.2695428403952</v>
      </c>
      <c r="O4462" s="75">
        <f>M4462+N4462</f>
        <v>3166.8247012779957</v>
      </c>
      <c r="P4462" s="75">
        <f>(MIN(L4462,'THAM_SO_MOI'!$C$41)-O4462)/('THAM_SO_MOI'!$C$11*H4462)</f>
        <v>0.0705041191196087</v>
      </c>
      <c r="Q4462" s="75">
        <f>IF(P4462&gt;0,1/P4462,NA())</f>
        <v>14.183568456525522</v>
      </c>
      <c r="R4462" s="75">
        <f>F4462-F4461</f>
        <v>0.0035868055555567935</v>
      </c>
      <c r="S4462" s="75">
        <f>0.5*(Q4461+Q4462)*R4462</f>
        <v>0.05084527273824927</v>
      </c>
      <c r="T4462" s="75">
        <f>0.5*(F4461*Q4461+F4462*Q4462)*R4462</f>
        <v>1.1963339713184402</v>
      </c>
      <c r="U4462" s="76">
        <f>U4461+S4462</f>
        <v>77.70128165284322</v>
      </c>
      <c r="V4462" s="76">
        <f>V4461+T4462</f>
        <v>1295.6153389555707</v>
      </c>
    </row>
    <row r="4463" spans="1:22" ht="19" customHeight="1">
      <c r="A4463" s="68" t="s">
        <v>378</v>
      </c>
      <c r="B4463" s="74">
        <v>5</v>
      </c>
      <c r="C4463" s="68" t="s">
        <v>363</v>
      </c>
      <c r="D4463" s="68" t="s">
        <v>365</v>
      </c>
      <c r="E4463" s="75">
        <f>60*F4463*'THAM_SO_MOI'!$C$53/(2*PI()*'THAM_SO_MOI'!$C$26)</f>
        <v>2318.7470526315783</v>
      </c>
      <c r="F4463" s="75">
        <f>'THAM_SO_MOI'!$C$14+('THAM_SO_MOI'!$C$37-'THAM_SO_MOI'!$C$14)*372/'THAM_SO_MOI'!$C$42</f>
        <v>23.534291666666665</v>
      </c>
      <c r="G4463" s="75">
        <f>3.6*F4463</f>
        <v>84.72345</v>
      </c>
      <c r="H4463" s="75">
        <f>'THAM_SO_MOI'!$D$53</f>
        <v>1.1</v>
      </c>
      <c r="I4463" s="75">
        <f>IF(F4463&gt;='THAM_SO_MOI'!$C$14,'THAM_SO_MOI'!$C$13*(1+F4463^2/1500),'THAM_SO_MOI'!$C$13)</f>
        <v>0.02053862884251736</v>
      </c>
      <c r="J4463" s="75">
        <f>'THAM_SO_MOI'!$C$40*('THAM_SO_MOI'!$C$23*(E4463/'THAM_SO_MOI'!$C$22)+'THAM_SO_MOI'!$C$24*(E4463/'THAM_SO_MOI'!$C$22)^2-'THAM_SO_MOI'!$C$25*(E4463/'THAM_SO_MOI'!$C$22)^3)</f>
        <v>104.15136933817729</v>
      </c>
      <c r="K4463" s="75">
        <f>'THAM_SO_MOI'!$C$31*J4463/E4463</f>
        <v>429.00754243448097</v>
      </c>
      <c r="L4463" s="75">
        <f>K4463*'THAM_SO_MOI'!$C$53*'THAM_SO_MOI'!$C$17/'THAM_SO_MOI'!$C$26</f>
        <v>3762.3978258434227</v>
      </c>
      <c r="M4463" s="75">
        <f>'THAM_SO_MOI'!$C$15*'THAM_SO_MOI'!$C$16*F4463^2</f>
        <v>1620.0489364363277</v>
      </c>
      <c r="N4463" s="75">
        <f>'THAM_SO_MOI'!$C$12*I4463</f>
        <v>1547.396727898332</v>
      </c>
      <c r="O4463" s="75">
        <f>M4463+N4463</f>
        <v>3167.44566433466</v>
      </c>
      <c r="P4463" s="75">
        <f>(MIN(L4463,'THAM_SO_MOI'!$C$41)-O4463)/('THAM_SO_MOI'!$C$11*H4463)</f>
        <v>0.07042520851192745</v>
      </c>
      <c r="Q4463" s="75">
        <f>IF(P4463&gt;0,1/P4463,NA())</f>
        <v>14.199460976116764</v>
      </c>
      <c r="R4463" s="75">
        <f>F4463-F4462</f>
        <v>0.0035868055555532408</v>
      </c>
      <c r="S4463" s="75">
        <f>0.5*(Q4462+Q4463)*R4463</f>
        <v>0.050902203826216255</v>
      </c>
      <c r="T4463" s="75">
        <f>0.5*(F4462*Q4462+F4463*Q4463)*R4463</f>
        <v>1.1978560742835602</v>
      </c>
      <c r="U4463" s="76">
        <f>U4462+S4463</f>
        <v>77.75218385666943</v>
      </c>
      <c r="V4463" s="76">
        <f>V4462+T4463</f>
        <v>1296.8131950298543</v>
      </c>
    </row>
    <row r="4464" spans="1:22" ht="19" customHeight="1">
      <c r="A4464" s="68" t="s">
        <v>378</v>
      </c>
      <c r="B4464" s="74">
        <v>5</v>
      </c>
      <c r="C4464" s="68" t="s">
        <v>363</v>
      </c>
      <c r="D4464" s="68" t="s">
        <v>365</v>
      </c>
      <c r="E4464" s="75">
        <f>60*F4464*'THAM_SO_MOI'!$C$53/(2*PI()*'THAM_SO_MOI'!$C$26)</f>
        <v>2319.10044736842</v>
      </c>
      <c r="F4464" s="75">
        <f>'THAM_SO_MOI'!$C$14+('THAM_SO_MOI'!$C$37-'THAM_SO_MOI'!$C$14)*373/'THAM_SO_MOI'!$C$42</f>
        <v>23.53787847222222</v>
      </c>
      <c r="G4464" s="75">
        <f>3.6*F4464</f>
        <v>84.7363625</v>
      </c>
      <c r="H4464" s="75">
        <f>'THAM_SO_MOI'!$D$53</f>
        <v>1.1</v>
      </c>
      <c r="I4464" s="75">
        <f>IF(F4464&gt;='THAM_SO_MOI'!$C$14,'THAM_SO_MOI'!$C$13*(1+F4464^2/1500),'THAM_SO_MOI'!$C$13)</f>
        <v>0.02054031722973102</v>
      </c>
      <c r="J4464" s="75">
        <f>'THAM_SO_MOI'!$C$40*('THAM_SO_MOI'!$C$23*(E4464/'THAM_SO_MOI'!$C$22)+'THAM_SO_MOI'!$C$24*(E4464/'THAM_SO_MOI'!$C$22)^2-'THAM_SO_MOI'!$C$25*(E4464/'THAM_SO_MOI'!$C$22)^3)</f>
        <v>104.16597531758411</v>
      </c>
      <c r="K4464" s="75">
        <f>'THAM_SO_MOI'!$C$31*J4464/E4464</f>
        <v>429.0023223667696</v>
      </c>
      <c r="L4464" s="75">
        <f>K4464*'THAM_SO_MOI'!$C$53*'THAM_SO_MOI'!$C$17/'THAM_SO_MOI'!$C$26</f>
        <v>3762.3520458291678</v>
      </c>
      <c r="M4464" s="75">
        <f>'THAM_SO_MOI'!$C$15*'THAM_SO_MOI'!$C$16*F4464^2</f>
        <v>1620.5427896963245</v>
      </c>
      <c r="N4464" s="75">
        <f>'THAM_SO_MOI'!$C$12*I4464</f>
        <v>1547.523932341719</v>
      </c>
      <c r="O4464" s="75">
        <f>M4464+N4464</f>
        <v>3168.0667220380437</v>
      </c>
      <c r="P4464" s="75">
        <f>(MIN(L4464,'THAM_SO_MOI'!$C$41)-O4464)/('THAM_SO_MOI'!$C$11*H4464)</f>
        <v>0.07034627412300237</v>
      </c>
      <c r="Q4464" s="75">
        <f>IF(P4464&gt;0,1/P4464,NA())</f>
        <v>14.215393956067564</v>
      </c>
      <c r="R4464" s="75">
        <f>F4464-F4463</f>
        <v>0.0035868055555567935</v>
      </c>
      <c r="S4464" s="75">
        <f>0.5*(Q4463+Q4464)*R4464</f>
        <v>0.05095927976554955</v>
      </c>
      <c r="T4464" s="75">
        <f>0.5*(F4463*Q4463+F4464*Q4464)*R4464</f>
        <v>1.1993819948847333</v>
      </c>
      <c r="U4464" s="76">
        <f>U4463+S4464</f>
        <v>77.80314313643498</v>
      </c>
      <c r="V4464" s="76">
        <f>V4463+T4464</f>
        <v>1298.0125770247391</v>
      </c>
    </row>
    <row r="4465" spans="1:22" ht="19" customHeight="1">
      <c r="A4465" s="68" t="s">
        <v>378</v>
      </c>
      <c r="B4465" s="74">
        <v>5</v>
      </c>
      <c r="C4465" s="68" t="s">
        <v>363</v>
      </c>
      <c r="D4465" s="68" t="s">
        <v>365</v>
      </c>
      <c r="E4465" s="75">
        <f>60*F4465*'THAM_SO_MOI'!$C$53/(2*PI()*'THAM_SO_MOI'!$C$26)</f>
        <v>2319.4538421052625</v>
      </c>
      <c r="F4465" s="75">
        <f>'THAM_SO_MOI'!$C$14+('THAM_SO_MOI'!$C$37-'THAM_SO_MOI'!$C$14)*374/'THAM_SO_MOI'!$C$42</f>
        <v>23.541465277777778</v>
      </c>
      <c r="G4465" s="75">
        <f>3.6*F4465</f>
        <v>84.749275</v>
      </c>
      <c r="H4465" s="75">
        <f>'THAM_SO_MOI'!$D$53</f>
        <v>1.1</v>
      </c>
      <c r="I4465" s="75">
        <f>IF(F4465&gt;='THAM_SO_MOI'!$C$14,'THAM_SO_MOI'!$C$13*(1+F4465^2/1500),'THAM_SO_MOI'!$C$13)</f>
        <v>0.020542005874248166</v>
      </c>
      <c r="J4465" s="75">
        <f>'THAM_SO_MOI'!$C$40*('THAM_SO_MOI'!$C$23*(E4465/'THAM_SO_MOI'!$C$22)+'THAM_SO_MOI'!$C$24*(E4465/'THAM_SO_MOI'!$C$22)^2-'THAM_SO_MOI'!$C$25*(E4465/'THAM_SO_MOI'!$C$22)^3)</f>
        <v>104.18057796837316</v>
      </c>
      <c r="K4465" s="75">
        <f>'THAM_SO_MOI'!$C$31*J4465/E4465</f>
        <v>428.9970901830735</v>
      </c>
      <c r="L4465" s="75">
        <f>K4465*'THAM_SO_MOI'!$C$53*'THAM_SO_MOI'!$C$17/'THAM_SO_MOI'!$C$26</f>
        <v>3762.30615955768</v>
      </c>
      <c r="M4465" s="75">
        <f>'THAM_SO_MOI'!$C$15*'THAM_SO_MOI'!$C$16*F4465^2</f>
        <v>1621.0367182175892</v>
      </c>
      <c r="N4465" s="75">
        <f>'THAM_SO_MOI'!$C$12*I4465</f>
        <v>1547.6511561705563</v>
      </c>
      <c r="O4465" s="75">
        <f>M4465+N4465</f>
        <v>3168.6878743881452</v>
      </c>
      <c r="P4465" s="75">
        <f>(MIN(L4465,'THAM_SO_MOI'!$C$41)-O4465)/('THAM_SO_MOI'!$C$11*H4465)</f>
        <v>0.07026731595283317</v>
      </c>
      <c r="Q4465" s="75">
        <f>IF(P4465&gt;0,1/P4465,NA())</f>
        <v>14.23136754890778</v>
      </c>
      <c r="R4465" s="75">
        <f>F4465-F4464</f>
        <v>0.0035868055555567935</v>
      </c>
      <c r="S4465" s="75">
        <f>0.5*(Q4464+Q4465)*R4465</f>
        <v>0.05101650110182234</v>
      </c>
      <c r="T4465" s="75">
        <f>0.5*(F4464*Q4464+F4465*Q4465)*R4465</f>
        <v>1.2009117475232371</v>
      </c>
      <c r="U4465" s="76">
        <f>U4464+S4465</f>
        <v>77.85415963753681</v>
      </c>
      <c r="V4465" s="76">
        <f>V4464+T4465</f>
        <v>1299.2134887722623</v>
      </c>
    </row>
    <row r="4466" spans="1:22" ht="19" customHeight="1">
      <c r="A4466" s="68" t="s">
        <v>378</v>
      </c>
      <c r="B4466" s="74">
        <v>5</v>
      </c>
      <c r="C4466" s="68" t="s">
        <v>363</v>
      </c>
      <c r="D4466" s="68" t="s">
        <v>365</v>
      </c>
      <c r="E4466" s="75">
        <f>60*F4466*'THAM_SO_MOI'!$C$53/(2*PI()*'THAM_SO_MOI'!$C$26)</f>
        <v>2319.8072368421044</v>
      </c>
      <c r="F4466" s="75">
        <f>'THAM_SO_MOI'!$C$14+('THAM_SO_MOI'!$C$37-'THAM_SO_MOI'!$C$14)*375/'THAM_SO_MOI'!$C$42</f>
        <v>23.54505208333333</v>
      </c>
      <c r="G4466" s="75">
        <f>3.6*F4466</f>
        <v>84.7621875</v>
      </c>
      <c r="H4466" s="75">
        <f>'THAM_SO_MOI'!$D$53</f>
        <v>1.1</v>
      </c>
      <c r="I4466" s="75">
        <f>IF(F4466&gt;='THAM_SO_MOI'!$C$14,'THAM_SO_MOI'!$C$13*(1+F4466^2/1500),'THAM_SO_MOI'!$C$13)</f>
        <v>0.02054369477606879</v>
      </c>
      <c r="J4466" s="75">
        <f>'THAM_SO_MOI'!$C$40*('THAM_SO_MOI'!$C$23*(E4466/'THAM_SO_MOI'!$C$22)+'THAM_SO_MOI'!$C$24*(E4466/'THAM_SO_MOI'!$C$22)^2-'THAM_SO_MOI'!$C$25*(E4466/'THAM_SO_MOI'!$C$22)^3)</f>
        <v>104.19517728919958</v>
      </c>
      <c r="K4466" s="75">
        <f>'THAM_SO_MOI'!$C$31*J4466/E4466</f>
        <v>428.9918458833931</v>
      </c>
      <c r="L4466" s="75">
        <f>K4466*'THAM_SO_MOI'!$C$53*'THAM_SO_MOI'!$C$17/'THAM_SO_MOI'!$C$26</f>
        <v>3762.260167028962</v>
      </c>
      <c r="M4466" s="75">
        <f>'THAM_SO_MOI'!$C$15*'THAM_SO_MOI'!$C$16*F4466^2</f>
        <v>1621.5307220001218</v>
      </c>
      <c r="N4466" s="75">
        <f>'THAM_SO_MOI'!$C$12*I4466</f>
        <v>1547.7783993848436</v>
      </c>
      <c r="O4466" s="75">
        <f>M4466+N4466</f>
        <v>3169.3091213849657</v>
      </c>
      <c r="P4466" s="75">
        <f>(MIN(L4466,'THAM_SO_MOI'!$C$41)-O4466)/('THAM_SO_MOI'!$C$11*H4466)</f>
        <v>0.07018833400142002</v>
      </c>
      <c r="Q4466" s="75">
        <f>IF(P4466&gt;0,1/P4466,NA())</f>
        <v>14.247381907935988</v>
      </c>
      <c r="R4466" s="75">
        <f>F4466-F4465</f>
        <v>0.0035868055555532408</v>
      </c>
      <c r="S4466" s="75">
        <f>0.5*(Q4465+Q4466)*R4466</f>
        <v>0.05107386838350803</v>
      </c>
      <c r="T4466" s="75">
        <f>0.5*(F4465*Q4465+F4466*Q4466)*R4466</f>
        <v>1.2024453466764566</v>
      </c>
      <c r="U4466" s="76">
        <f>U4465+S4466</f>
        <v>77.90523350592032</v>
      </c>
      <c r="V4466" s="76">
        <f>V4465+T4466</f>
        <v>1300.4159341189388</v>
      </c>
    </row>
    <row r="4467" spans="1:22" ht="19" customHeight="1">
      <c r="A4467" s="68" t="s">
        <v>378</v>
      </c>
      <c r="B4467" s="74">
        <v>5</v>
      </c>
      <c r="C4467" s="68" t="s">
        <v>363</v>
      </c>
      <c r="D4467" s="68" t="s">
        <v>365</v>
      </c>
      <c r="E4467" s="75">
        <f>60*F4467*'THAM_SO_MOI'!$C$53/(2*PI()*'THAM_SO_MOI'!$C$26)</f>
        <v>2320.160631578947</v>
      </c>
      <c r="F4467" s="75">
        <f>'THAM_SO_MOI'!$C$14+('THAM_SO_MOI'!$C$37-'THAM_SO_MOI'!$C$14)*376/'THAM_SO_MOI'!$C$42</f>
        <v>23.54863888888889</v>
      </c>
      <c r="G4467" s="75">
        <f>3.6*F4467</f>
        <v>84.7751</v>
      </c>
      <c r="H4467" s="75">
        <f>'THAM_SO_MOI'!$D$53</f>
        <v>1.1</v>
      </c>
      <c r="I4467" s="75">
        <f>IF(F4467&gt;='THAM_SO_MOI'!$C$14,'THAM_SO_MOI'!$C$13*(1+F4467^2/1500),'THAM_SO_MOI'!$C$13)</f>
        <v>0.0205453839351929</v>
      </c>
      <c r="J4467" s="75">
        <f>'THAM_SO_MOI'!$C$40*('THAM_SO_MOI'!$C$23*(E4467/'THAM_SO_MOI'!$C$22)+'THAM_SO_MOI'!$C$24*(E4467/'THAM_SO_MOI'!$C$22)^2-'THAM_SO_MOI'!$C$25*(E4467/'THAM_SO_MOI'!$C$22)^3)</f>
        <v>104.20977327871847</v>
      </c>
      <c r="K4467" s="75">
        <f>'THAM_SO_MOI'!$C$31*J4467/E4467</f>
        <v>428.98658946772827</v>
      </c>
      <c r="L4467" s="75">
        <f>K4467*'THAM_SO_MOI'!$C$53*'THAM_SO_MOI'!$C$17/'THAM_SO_MOI'!$C$26</f>
        <v>3762.214068243013</v>
      </c>
      <c r="M4467" s="75">
        <f>'THAM_SO_MOI'!$C$15*'THAM_SO_MOI'!$C$16*F4467^2</f>
        <v>1622.0248010439238</v>
      </c>
      <c r="N4467" s="75">
        <f>'THAM_SO_MOI'!$C$12*I4467</f>
        <v>1547.9056619845812</v>
      </c>
      <c r="O4467" s="75">
        <f>M4467+N4467</f>
        <v>3169.930463028505</v>
      </c>
      <c r="P4467" s="75">
        <f>(MIN(L4467,'THAM_SO_MOI'!$C$41)-O4467)/('THAM_SO_MOI'!$C$11*H4467)</f>
        <v>0.07010932826876276</v>
      </c>
      <c r="Q4467" s="75">
        <f>IF(P4467&gt;0,1/P4467,NA())</f>
        <v>14.263437187224492</v>
      </c>
      <c r="R4467" s="75">
        <f>F4467-F4466</f>
        <v>0.0035868055555567935</v>
      </c>
      <c r="S4467" s="75">
        <f>0.5*(Q4466+Q4467)*R4467</f>
        <v>0.05113138216199816</v>
      </c>
      <c r="T4467" s="75">
        <f>0.5*(F4466*Q4466+F4467*Q4467)*R4467</f>
        <v>1.2039828068983591</v>
      </c>
      <c r="U4467" s="76">
        <f>U4466+S4467</f>
        <v>77.95636488808232</v>
      </c>
      <c r="V4467" s="76">
        <f>V4466+T4467</f>
        <v>1301.6199169258373</v>
      </c>
    </row>
    <row r="4468" spans="1:22" ht="19" customHeight="1">
      <c r="A4468" s="68" t="s">
        <v>378</v>
      </c>
      <c r="B4468" s="74">
        <v>5</v>
      </c>
      <c r="C4468" s="68" t="s">
        <v>363</v>
      </c>
      <c r="D4468" s="68" t="s">
        <v>365</v>
      </c>
      <c r="E4468" s="75">
        <f>60*F4468*'THAM_SO_MOI'!$C$53/(2*PI()*'THAM_SO_MOI'!$C$26)</f>
        <v>2320.514026315789</v>
      </c>
      <c r="F4468" s="75">
        <f>'THAM_SO_MOI'!$C$14+('THAM_SO_MOI'!$C$37-'THAM_SO_MOI'!$C$14)*377/'THAM_SO_MOI'!$C$42</f>
        <v>23.552225694444445</v>
      </c>
      <c r="G4468" s="75">
        <f>3.6*F4468</f>
        <v>84.78801250000001</v>
      </c>
      <c r="H4468" s="75">
        <f>'THAM_SO_MOI'!$D$53</f>
        <v>1.1</v>
      </c>
      <c r="I4468" s="75">
        <f>IF(F4468&gt;='THAM_SO_MOI'!$C$14,'THAM_SO_MOI'!$C$13*(1+F4468^2/1500),'THAM_SO_MOI'!$C$13)</f>
        <v>0.020547073351620492</v>
      </c>
      <c r="J4468" s="75">
        <f>'THAM_SO_MOI'!$C$40*('THAM_SO_MOI'!$C$23*(E4468/'THAM_SO_MOI'!$C$22)+'THAM_SO_MOI'!$C$24*(E4468/'THAM_SO_MOI'!$C$22)^2-'THAM_SO_MOI'!$C$25*(E4468/'THAM_SO_MOI'!$C$22)^3)</f>
        <v>104.22436593558491</v>
      </c>
      <c r="K4468" s="75">
        <f>'THAM_SO_MOI'!$C$31*J4468/E4468</f>
        <v>428.98132093607876</v>
      </c>
      <c r="L4468" s="75">
        <f>K4468*'THAM_SO_MOI'!$C$53*'THAM_SO_MOI'!$C$17/'THAM_SO_MOI'!$C$26</f>
        <v>3762.167863199831</v>
      </c>
      <c r="M4468" s="75">
        <f>'THAM_SO_MOI'!$C$15*'THAM_SO_MOI'!$C$16*F4468^2</f>
        <v>1622.5189553489938</v>
      </c>
      <c r="N4468" s="75">
        <f>'THAM_SO_MOI'!$C$12*I4468</f>
        <v>1548.0329439697693</v>
      </c>
      <c r="O4468" s="75">
        <f>M4468+N4468</f>
        <v>3170.5518993187634</v>
      </c>
      <c r="P4468" s="75">
        <f>(MIN(L4468,'THAM_SO_MOI'!$C$41)-O4468)/('THAM_SO_MOI'!$C$11*H4468)</f>
        <v>0.07003029875486129</v>
      </c>
      <c r="Q4468" s="75">
        <f>IF(P4468&gt;0,1/P4468,NA())</f>
        <v>14.279533541624126</v>
      </c>
      <c r="R4468" s="75">
        <f>F4468-F4467</f>
        <v>0.0035868055555567935</v>
      </c>
      <c r="S4468" s="75">
        <f>0.5*(Q4467+Q4468)*R4468</f>
        <v>0.05118904299116458</v>
      </c>
      <c r="T4468" s="75">
        <f>0.5*(F4467*Q4467+F4468*Q4468)*R4468</f>
        <v>1.2055241428092358</v>
      </c>
      <c r="U4468" s="76">
        <f>U4467+S4468</f>
        <v>78.00755393107349</v>
      </c>
      <c r="V4468" s="76">
        <f>V4467+T4468</f>
        <v>1302.8254410686466</v>
      </c>
    </row>
    <row r="4469" spans="1:22" ht="19" customHeight="1">
      <c r="A4469" s="68" t="s">
        <v>378</v>
      </c>
      <c r="B4469" s="74">
        <v>5</v>
      </c>
      <c r="C4469" s="68" t="s">
        <v>363</v>
      </c>
      <c r="D4469" s="68" t="s">
        <v>365</v>
      </c>
      <c r="E4469" s="75">
        <f>60*F4469*'THAM_SO_MOI'!$C$53/(2*PI()*'THAM_SO_MOI'!$C$26)</f>
        <v>2320.867421052631</v>
      </c>
      <c r="F4469" s="75">
        <f>'THAM_SO_MOI'!$C$14+('THAM_SO_MOI'!$C$37-'THAM_SO_MOI'!$C$14)*378/'THAM_SO_MOI'!$C$42</f>
        <v>23.5558125</v>
      </c>
      <c r="G4469" s="75">
        <f>3.6*F4469</f>
        <v>84.80092499999999</v>
      </c>
      <c r="H4469" s="75">
        <f>'THAM_SO_MOI'!$D$53</f>
        <v>1.1</v>
      </c>
      <c r="I4469" s="75">
        <f>IF(F4469&gt;='THAM_SO_MOI'!$C$14,'THAM_SO_MOI'!$C$13*(1+F4469^2/1500),'THAM_SO_MOI'!$C$13)</f>
        <v>0.02054876302535156</v>
      </c>
      <c r="J4469" s="75">
        <f>'THAM_SO_MOI'!$C$40*('THAM_SO_MOI'!$C$23*(E4469/'THAM_SO_MOI'!$C$22)+'THAM_SO_MOI'!$C$24*(E4469/'THAM_SO_MOI'!$C$22)^2-'THAM_SO_MOI'!$C$25*(E4469/'THAM_SO_MOI'!$C$22)^3)</f>
        <v>104.23895525845406</v>
      </c>
      <c r="K4469" s="75">
        <f>'THAM_SO_MOI'!$C$31*J4469/E4469</f>
        <v>428.976040288445</v>
      </c>
      <c r="L4469" s="75">
        <f>K4469*'THAM_SO_MOI'!$C$53*'THAM_SO_MOI'!$C$17/'THAM_SO_MOI'!$C$26</f>
        <v>3762.1215518994204</v>
      </c>
      <c r="M4469" s="75">
        <f>'THAM_SO_MOI'!$C$15*'THAM_SO_MOI'!$C$16*F4469^2</f>
        <v>1623.013184915332</v>
      </c>
      <c r="N4469" s="75">
        <f>'THAM_SO_MOI'!$C$12*I4469</f>
        <v>1548.1602453404068</v>
      </c>
      <c r="O4469" s="75">
        <f>M4469+N4469</f>
        <v>3171.173430255739</v>
      </c>
      <c r="P4469" s="75">
        <f>(MIN(L4469,'THAM_SO_MOI'!$C$41)-O4469)/('THAM_SO_MOI'!$C$11*H4469)</f>
        <v>0.06995124545971607</v>
      </c>
      <c r="Q4469" s="75">
        <f>IF(P4469&gt;0,1/P4469,NA())</f>
        <v>14.295671126769085</v>
      </c>
      <c r="R4469" s="75">
        <f>F4469-F4468</f>
        <v>0.0035868055555532408</v>
      </c>
      <c r="S4469" s="75">
        <f>0.5*(Q4468+Q4469)*R4469</f>
        <v>0.051246851427831835</v>
      </c>
      <c r="T4469" s="75">
        <f>0.5*(F4468*Q4468+F4469*Q4469)*R4469</f>
        <v>1.2070693691068715</v>
      </c>
      <c r="U4469" s="76">
        <f>U4468+S4469</f>
        <v>78.05880078250132</v>
      </c>
      <c r="V4469" s="76">
        <f>V4468+T4469</f>
        <v>1304.0325104377534</v>
      </c>
    </row>
    <row r="4470" spans="1:22" ht="19" customHeight="1">
      <c r="A4470" s="68" t="s">
        <v>378</v>
      </c>
      <c r="B4470" s="74">
        <v>5</v>
      </c>
      <c r="C4470" s="68" t="s">
        <v>363</v>
      </c>
      <c r="D4470" s="68" t="s">
        <v>365</v>
      </c>
      <c r="E4470" s="75">
        <f>60*F4470*'THAM_SO_MOI'!$C$53/(2*PI()*'THAM_SO_MOI'!$C$26)</f>
        <v>2321.2208157894734</v>
      </c>
      <c r="F4470" s="75">
        <f>'THAM_SO_MOI'!$C$14+('THAM_SO_MOI'!$C$37-'THAM_SO_MOI'!$C$14)*379/'THAM_SO_MOI'!$C$42</f>
        <v>23.559399305555555</v>
      </c>
      <c r="G4470" s="75">
        <f>3.6*F4470</f>
        <v>84.8138375</v>
      </c>
      <c r="H4470" s="75">
        <f>'THAM_SO_MOI'!$D$53</f>
        <v>1.1</v>
      </c>
      <c r="I4470" s="75">
        <f>IF(F4470&gt;='THAM_SO_MOI'!$C$14,'THAM_SO_MOI'!$C$13*(1+F4470^2/1500),'THAM_SO_MOI'!$C$13)</f>
        <v>0.020550452956386116</v>
      </c>
      <c r="J4470" s="75">
        <f>'THAM_SO_MOI'!$C$40*('THAM_SO_MOI'!$C$23*(E4470/'THAM_SO_MOI'!$C$22)+'THAM_SO_MOI'!$C$24*(E4470/'THAM_SO_MOI'!$C$22)^2-'THAM_SO_MOI'!$C$25*(E4470/'THAM_SO_MOI'!$C$22)^3)</f>
        <v>104.25354124598101</v>
      </c>
      <c r="K4470" s="75">
        <f>'THAM_SO_MOI'!$C$31*J4470/E4470</f>
        <v>428.9707475248267</v>
      </c>
      <c r="L4470" s="75">
        <f>K4470*'THAM_SO_MOI'!$C$53*'THAM_SO_MOI'!$C$17/'THAM_SO_MOI'!$C$26</f>
        <v>3762.0751343417774</v>
      </c>
      <c r="M4470" s="75">
        <f>'THAM_SO_MOI'!$C$15*'THAM_SO_MOI'!$C$16*F4470^2</f>
        <v>1623.507489742939</v>
      </c>
      <c r="N4470" s="75">
        <f>'THAM_SO_MOI'!$C$12*I4470</f>
        <v>1548.287566096495</v>
      </c>
      <c r="O4470" s="75">
        <f>M4470+N4470</f>
        <v>3171.795055839434</v>
      </c>
      <c r="P4470" s="75">
        <f>(MIN(L4470,'THAM_SO_MOI'!$C$41)-O4470)/('THAM_SO_MOI'!$C$11*H4470)</f>
        <v>0.06987216838332662</v>
      </c>
      <c r="Q4470" s="75">
        <f>IF(P4470&gt;0,1/P4470,NA())</f>
        <v>14.311850099082182</v>
      </c>
      <c r="R4470" s="75">
        <f>F4470-F4469</f>
        <v>0.0035868055555567935</v>
      </c>
      <c r="S4470" s="75">
        <f>0.5*(Q4469+Q4470)*R4470</f>
        <v>0.0513048080317961</v>
      </c>
      <c r="T4470" s="75">
        <f>0.5*(F4469*Q4469+F4470*Q4470)*R4470</f>
        <v>1.2086185005670445</v>
      </c>
      <c r="U4470" s="76">
        <f>U4469+S4470</f>
        <v>78.11010559053312</v>
      </c>
      <c r="V4470" s="76">
        <f>V4469+T4470</f>
        <v>1305.2411289383206</v>
      </c>
    </row>
    <row r="4471" spans="1:22" ht="19" customHeight="1">
      <c r="A4471" s="68" t="s">
        <v>378</v>
      </c>
      <c r="B4471" s="74">
        <v>5</v>
      </c>
      <c r="C4471" s="68" t="s">
        <v>363</v>
      </c>
      <c r="D4471" s="68" t="s">
        <v>365</v>
      </c>
      <c r="E4471" s="75">
        <f>60*F4471*'THAM_SO_MOI'!$C$53/(2*PI()*'THAM_SO_MOI'!$C$26)</f>
        <v>2321.574210526315</v>
      </c>
      <c r="F4471" s="75">
        <f>'THAM_SO_MOI'!$C$14+('THAM_SO_MOI'!$C$37-'THAM_SO_MOI'!$C$14)*380/'THAM_SO_MOI'!$C$42</f>
        <v>23.56298611111111</v>
      </c>
      <c r="G4471" s="75">
        <f>3.6*F4471</f>
        <v>84.82674999999999</v>
      </c>
      <c r="H4471" s="75">
        <f>'THAM_SO_MOI'!$D$53</f>
        <v>1.1</v>
      </c>
      <c r="I4471" s="75">
        <f>IF(F4471&gt;='THAM_SO_MOI'!$C$14,'THAM_SO_MOI'!$C$13*(1+F4471^2/1500),'THAM_SO_MOI'!$C$13)</f>
        <v>0.020552143144724148</v>
      </c>
      <c r="J4471" s="75">
        <f>'THAM_SO_MOI'!$C$40*('THAM_SO_MOI'!$C$23*(E4471/'THAM_SO_MOI'!$C$22)+'THAM_SO_MOI'!$C$24*(E4471/'THAM_SO_MOI'!$C$22)^2-'THAM_SO_MOI'!$C$25*(E4471/'THAM_SO_MOI'!$C$22)^3)</f>
        <v>104.26812389682082</v>
      </c>
      <c r="K4471" s="75">
        <f>'THAM_SO_MOI'!$C$31*J4471/E4471</f>
        <v>428.96544264522396</v>
      </c>
      <c r="L4471" s="75">
        <f>K4471*'THAM_SO_MOI'!$C$53*'THAM_SO_MOI'!$C$17/'THAM_SO_MOI'!$C$26</f>
        <v>3762.0286105269033</v>
      </c>
      <c r="M4471" s="75">
        <f>'THAM_SO_MOI'!$C$15*'THAM_SO_MOI'!$C$16*F4471^2</f>
        <v>1624.001869831814</v>
      </c>
      <c r="N4471" s="75">
        <f>'THAM_SO_MOI'!$C$12*I4471</f>
        <v>1548.4149062380332</v>
      </c>
      <c r="O4471" s="75">
        <f>M4471+N4471</f>
        <v>3172.4167760698474</v>
      </c>
      <c r="P4471" s="75">
        <f>(MIN(L4471,'THAM_SO_MOI'!$C$41)-O4471)/('THAM_SO_MOI'!$C$11*H4471)</f>
        <v>0.0697930675256932</v>
      </c>
      <c r="Q4471" s="75">
        <f>IF(P4471&gt;0,1/P4471,NA())</f>
        <v>14.328070615779511</v>
      </c>
      <c r="R4471" s="75">
        <f>F4471-F4470</f>
        <v>0.0035868055555532408</v>
      </c>
      <c r="S4471" s="75">
        <f>0.5*(Q4470+Q4471)*R4471</f>
        <v>0.05136291336533513</v>
      </c>
      <c r="T4471" s="75">
        <f>0.5*(F4470*Q4470+F4471*Q4471)*R4471</f>
        <v>1.2101715520320335</v>
      </c>
      <c r="U4471" s="76">
        <f>U4470+S4471</f>
        <v>78.16146850389846</v>
      </c>
      <c r="V4471" s="76">
        <f>V4470+T4471</f>
        <v>1306.4513004903527</v>
      </c>
    </row>
    <row r="4472" spans="1:22" ht="19" customHeight="1">
      <c r="A4472" s="68" t="s">
        <v>378</v>
      </c>
      <c r="B4472" s="74">
        <v>5</v>
      </c>
      <c r="C4472" s="68" t="s">
        <v>363</v>
      </c>
      <c r="D4472" s="68" t="s">
        <v>365</v>
      </c>
      <c r="E4472" s="75">
        <f>60*F4472*'THAM_SO_MOI'!$C$53/(2*PI()*'THAM_SO_MOI'!$C$26)</f>
        <v>2321.927605263157</v>
      </c>
      <c r="F4472" s="75">
        <f>'THAM_SO_MOI'!$C$14+('THAM_SO_MOI'!$C$37-'THAM_SO_MOI'!$C$14)*381/'THAM_SO_MOI'!$C$42</f>
        <v>23.566572916666665</v>
      </c>
      <c r="G4472" s="75">
        <f>3.6*F4472</f>
        <v>84.8396625</v>
      </c>
      <c r="H4472" s="75">
        <f>'THAM_SO_MOI'!$D$53</f>
        <v>1.1</v>
      </c>
      <c r="I4472" s="75">
        <f>IF(F4472&gt;='THAM_SO_MOI'!$C$14,'THAM_SO_MOI'!$C$13*(1+F4472^2/1500),'THAM_SO_MOI'!$C$13)</f>
        <v>0.020553833590365667</v>
      </c>
      <c r="J4472" s="75">
        <f>'THAM_SO_MOI'!$C$40*('THAM_SO_MOI'!$C$23*(E4472/'THAM_SO_MOI'!$C$22)+'THAM_SO_MOI'!$C$24*(E4472/'THAM_SO_MOI'!$C$22)^2-'THAM_SO_MOI'!$C$25*(E4472/'THAM_SO_MOI'!$C$22)^3)</f>
        <v>104.28270320962874</v>
      </c>
      <c r="K4472" s="75">
        <f>'THAM_SO_MOI'!$C$31*J4472/E4472</f>
        <v>428.9601256496369</v>
      </c>
      <c r="L4472" s="75">
        <f>K4472*'THAM_SO_MOI'!$C$53*'THAM_SO_MOI'!$C$17/'THAM_SO_MOI'!$C$26</f>
        <v>3761.9819804547997</v>
      </c>
      <c r="M4472" s="75">
        <f>'THAM_SO_MOI'!$C$15*'THAM_SO_MOI'!$C$16*F4472^2</f>
        <v>1624.496325181958</v>
      </c>
      <c r="N4472" s="75">
        <f>'THAM_SO_MOI'!$C$12*I4472</f>
        <v>1548.5422657650217</v>
      </c>
      <c r="O4472" s="75">
        <f>M4472+N4472</f>
        <v>3173.0385909469796</v>
      </c>
      <c r="P4472" s="75">
        <f>(MIN(L4472,'THAM_SO_MOI'!$C$41)-O4472)/('THAM_SO_MOI'!$C$11*H4472)</f>
        <v>0.06971394288681579</v>
      </c>
      <c r="Q4472" s="75">
        <f>IF(P4472&gt;0,1/P4472,NA())</f>
        <v>14.344332834875686</v>
      </c>
      <c r="R4472" s="75">
        <f>F4472-F4471</f>
        <v>0.0035868055555567935</v>
      </c>
      <c r="S4472" s="75">
        <f>0.5*(Q4471+Q4472)*R4472</f>
        <v>0.05142116799398792</v>
      </c>
      <c r="T4472" s="75">
        <f>0.5*(F4471*Q4471+F4472*Q4472)*R4472</f>
        <v>1.2117285384290355</v>
      </c>
      <c r="U4472" s="76">
        <f>U4471+S4472</f>
        <v>78.21288967189246</v>
      </c>
      <c r="V4472" s="76">
        <f>V4471+T4472</f>
        <v>1307.6630290287817</v>
      </c>
    </row>
    <row r="4473" spans="1:22" ht="19" customHeight="1">
      <c r="A4473" s="68" t="s">
        <v>378</v>
      </c>
      <c r="B4473" s="74">
        <v>5</v>
      </c>
      <c r="C4473" s="68" t="s">
        <v>363</v>
      </c>
      <c r="D4473" s="68" t="s">
        <v>365</v>
      </c>
      <c r="E4473" s="75">
        <f>60*F4473*'THAM_SO_MOI'!$C$53/(2*PI()*'THAM_SO_MOI'!$C$26)</f>
        <v>2322.2809999999995</v>
      </c>
      <c r="F4473" s="75">
        <f>'THAM_SO_MOI'!$C$14+('THAM_SO_MOI'!$C$37-'THAM_SO_MOI'!$C$14)*382/'THAM_SO_MOI'!$C$42</f>
        <v>23.570159722222222</v>
      </c>
      <c r="G4473" s="75">
        <f>3.6*F4473</f>
        <v>84.852575</v>
      </c>
      <c r="H4473" s="75">
        <f>'THAM_SO_MOI'!$D$53</f>
        <v>1.1</v>
      </c>
      <c r="I4473" s="75">
        <f>IF(F4473&gt;='THAM_SO_MOI'!$C$14,'THAM_SO_MOI'!$C$13*(1+F4473^2/1500),'THAM_SO_MOI'!$C$13)</f>
        <v>0.020555524293310666</v>
      </c>
      <c r="J4473" s="75">
        <f>'THAM_SO_MOI'!$C$40*('THAM_SO_MOI'!$C$23*(E4473/'THAM_SO_MOI'!$C$22)+'THAM_SO_MOI'!$C$24*(E4473/'THAM_SO_MOI'!$C$22)^2-'THAM_SO_MOI'!$C$25*(E4473/'THAM_SO_MOI'!$C$22)^3)</f>
        <v>104.29727918305976</v>
      </c>
      <c r="K4473" s="75">
        <f>'THAM_SO_MOI'!$C$31*J4473/E4473</f>
        <v>428.95479653806535</v>
      </c>
      <c r="L4473" s="75">
        <f>K4473*'THAM_SO_MOI'!$C$53*'THAM_SO_MOI'!$C$17/'THAM_SO_MOI'!$C$26</f>
        <v>3761.9352441254646</v>
      </c>
      <c r="M4473" s="75">
        <f>'THAM_SO_MOI'!$C$15*'THAM_SO_MOI'!$C$16*F4473^2</f>
        <v>1624.9908557933704</v>
      </c>
      <c r="N4473" s="75">
        <f>'THAM_SO_MOI'!$C$12*I4473</f>
        <v>1548.6696446774604</v>
      </c>
      <c r="O4473" s="75">
        <f>M4473+N4473</f>
        <v>3173.660500470831</v>
      </c>
      <c r="P4473" s="75">
        <f>(MIN(L4473,'THAM_SO_MOI'!$C$41)-O4473)/('THAM_SO_MOI'!$C$11*H4473)</f>
        <v>0.06963479446669434</v>
      </c>
      <c r="Q4473" s="75">
        <f>IF(P4473&gt;0,1/P4473,NA())</f>
        <v>14.360636915188865</v>
      </c>
      <c r="R4473" s="75">
        <f>F4473-F4472</f>
        <v>0.0035868055555567935</v>
      </c>
      <c r="S4473" s="75">
        <f>0.5*(Q4472+Q4473)*R4473</f>
        <v>0.051479572485810615</v>
      </c>
      <c r="T4473" s="75">
        <f>0.5*(F4472*Q4472+F4473*Q4473)*R4473</f>
        <v>1.213289474752686</v>
      </c>
      <c r="U4473" s="76">
        <f>U4472+S4473</f>
        <v>78.26436924437827</v>
      </c>
      <c r="V4473" s="76">
        <f>V4472+T4473</f>
        <v>1308.8763185035343</v>
      </c>
    </row>
    <row r="4474" spans="1:22" ht="19" customHeight="1">
      <c r="A4474" s="68" t="s">
        <v>378</v>
      </c>
      <c r="B4474" s="74">
        <v>5</v>
      </c>
      <c r="C4474" s="68" t="s">
        <v>363</v>
      </c>
      <c r="D4474" s="68" t="s">
        <v>365</v>
      </c>
      <c r="E4474" s="75">
        <f>60*F4474*'THAM_SO_MOI'!$C$53/(2*PI()*'THAM_SO_MOI'!$C$26)</f>
        <v>2322.634394736842</v>
      </c>
      <c r="F4474" s="75">
        <f>'THAM_SO_MOI'!$C$14+('THAM_SO_MOI'!$C$37-'THAM_SO_MOI'!$C$14)*383/'THAM_SO_MOI'!$C$42</f>
        <v>23.573746527777775</v>
      </c>
      <c r="G4474" s="75">
        <f>3.6*F4474</f>
        <v>84.86548749999999</v>
      </c>
      <c r="H4474" s="75">
        <f>'THAM_SO_MOI'!$D$53</f>
        <v>1.1</v>
      </c>
      <c r="I4474" s="75">
        <f>IF(F4474&gt;='THAM_SO_MOI'!$C$14,'THAM_SO_MOI'!$C$13*(1+F4474^2/1500),'THAM_SO_MOI'!$C$13)</f>
        <v>0.020557215253559146</v>
      </c>
      <c r="J4474" s="75">
        <f>'THAM_SO_MOI'!$C$40*('THAM_SO_MOI'!$C$23*(E4474/'THAM_SO_MOI'!$C$22)+'THAM_SO_MOI'!$C$24*(E4474/'THAM_SO_MOI'!$C$22)^2-'THAM_SO_MOI'!$C$25*(E4474/'THAM_SO_MOI'!$C$22)^3)</f>
        <v>104.31185181576897</v>
      </c>
      <c r="K4474" s="75">
        <f>'THAM_SO_MOI'!$C$31*J4474/E4474</f>
        <v>428.94945531050905</v>
      </c>
      <c r="L4474" s="75">
        <f>K4474*'THAM_SO_MOI'!$C$53*'THAM_SO_MOI'!$C$17/'THAM_SO_MOI'!$C$26</f>
        <v>3761.888401538896</v>
      </c>
      <c r="M4474" s="75">
        <f>'THAM_SO_MOI'!$C$15*'THAM_SO_MOI'!$C$16*F4474^2</f>
        <v>1625.4854616660505</v>
      </c>
      <c r="N4474" s="75">
        <f>'THAM_SO_MOI'!$C$12*I4474</f>
        <v>1548.797042975349</v>
      </c>
      <c r="O4474" s="75">
        <f>M4474+N4474</f>
        <v>3174.2825046413996</v>
      </c>
      <c r="P4474" s="75">
        <f>(MIN(L4474,'THAM_SO_MOI'!$C$41)-O4474)/('THAM_SO_MOI'!$C$11*H4474)</f>
        <v>0.06955562226532863</v>
      </c>
      <c r="Q4474" s="75">
        <f>IF(P4474&gt;0,1/P4474,NA())</f>
        <v>14.376983016345893</v>
      </c>
      <c r="R4474" s="75">
        <f>F4474-F4473</f>
        <v>0.0035868055555532408</v>
      </c>
      <c r="S4474" s="75">
        <f>0.5*(Q4473+Q4474)*R4474</f>
        <v>0.05153812741190321</v>
      </c>
      <c r="T4474" s="75">
        <f>0.5*(F4473*Q4473+F4474*Q4474)*R4474</f>
        <v>1.2148543760775192</v>
      </c>
      <c r="U4474" s="76">
        <f>U4473+S4474</f>
        <v>78.31590737179017</v>
      </c>
      <c r="V4474" s="76">
        <f>V4473+T4474</f>
        <v>1310.0911728796118</v>
      </c>
    </row>
    <row r="4475" spans="1:22" ht="19" customHeight="1">
      <c r="A4475" s="68" t="s">
        <v>378</v>
      </c>
      <c r="B4475" s="74">
        <v>5</v>
      </c>
      <c r="C4475" s="68" t="s">
        <v>363</v>
      </c>
      <c r="D4475" s="68" t="s">
        <v>365</v>
      </c>
      <c r="E4475" s="75">
        <f>60*F4475*'THAM_SO_MOI'!$C$53/(2*PI()*'THAM_SO_MOI'!$C$26)</f>
        <v>2322.9877894736837</v>
      </c>
      <c r="F4475" s="75">
        <f>'THAM_SO_MOI'!$C$14+('THAM_SO_MOI'!$C$37-'THAM_SO_MOI'!$C$14)*384/'THAM_SO_MOI'!$C$42</f>
        <v>23.577333333333332</v>
      </c>
      <c r="G4475" s="75">
        <f>3.6*F4475</f>
        <v>84.8784</v>
      </c>
      <c r="H4475" s="75">
        <f>'THAM_SO_MOI'!$D$53</f>
        <v>1.1</v>
      </c>
      <c r="I4475" s="75">
        <f>IF(F4475&gt;='THAM_SO_MOI'!$C$14,'THAM_SO_MOI'!$C$13*(1+F4475^2/1500),'THAM_SO_MOI'!$C$13)</f>
        <v>0.02055890647111111</v>
      </c>
      <c r="J4475" s="75">
        <f>'THAM_SO_MOI'!$C$40*('THAM_SO_MOI'!$C$23*(E4475/'THAM_SO_MOI'!$C$22)+'THAM_SO_MOI'!$C$24*(E4475/'THAM_SO_MOI'!$C$22)^2-'THAM_SO_MOI'!$C$25*(E4475/'THAM_SO_MOI'!$C$22)^3)</f>
        <v>104.32642110641156</v>
      </c>
      <c r="K4475" s="75">
        <f>'THAM_SO_MOI'!$C$31*J4475/E4475</f>
        <v>428.9441019669685</v>
      </c>
      <c r="L4475" s="75">
        <f>K4475*'THAM_SO_MOI'!$C$53*'THAM_SO_MOI'!$C$17/'THAM_SO_MOI'!$C$26</f>
        <v>3761.841452695098</v>
      </c>
      <c r="M4475" s="75">
        <f>'THAM_SO_MOI'!$C$15*'THAM_SO_MOI'!$C$16*F4475^2</f>
        <v>1625.9801428</v>
      </c>
      <c r="N4475" s="75">
        <f>'THAM_SO_MOI'!$C$12*I4475</f>
        <v>1548.924460658688</v>
      </c>
      <c r="O4475" s="75">
        <f>M4475+N4475</f>
        <v>3174.904603458688</v>
      </c>
      <c r="P4475" s="75">
        <f>(MIN(L4475,'THAM_SO_MOI'!$C$41)-O4475)/('THAM_SO_MOI'!$C$11*H4475)</f>
        <v>0.06947642628271895</v>
      </c>
      <c r="Q4475" s="75">
        <f>IF(P4475&gt;0,1/P4475,NA())</f>
        <v>14.39337129878732</v>
      </c>
      <c r="R4475" s="75">
        <f>F4475-F4474</f>
        <v>0.0035868055555567935</v>
      </c>
      <c r="S4475" s="75">
        <f>0.5*(Q4474+Q4475)*R4475</f>
        <v>0.05159683334642858</v>
      </c>
      <c r="T4475" s="75">
        <f>0.5*(F4474*Q4474+F4475*Q4475)*R4475</f>
        <v>1.2164232575584744</v>
      </c>
      <c r="U4475" s="76">
        <f>U4474+S4475</f>
        <v>78.3675042051366</v>
      </c>
      <c r="V4475" s="76">
        <f>V4474+T4475</f>
        <v>1311.3075961371703</v>
      </c>
    </row>
    <row r="4476" spans="1:22" ht="19" customHeight="1">
      <c r="A4476" s="68" t="s">
        <v>378</v>
      </c>
      <c r="B4476" s="74">
        <v>5</v>
      </c>
      <c r="C4476" s="68" t="s">
        <v>363</v>
      </c>
      <c r="D4476" s="68" t="s">
        <v>365</v>
      </c>
      <c r="E4476" s="75">
        <f>60*F4476*'THAM_SO_MOI'!$C$53/(2*PI()*'THAM_SO_MOI'!$C$26)</f>
        <v>2323.341184210526</v>
      </c>
      <c r="F4476" s="75">
        <f>'THAM_SO_MOI'!$C$14+('THAM_SO_MOI'!$C$37-'THAM_SO_MOI'!$C$14)*385/'THAM_SO_MOI'!$C$42</f>
        <v>23.58092013888889</v>
      </c>
      <c r="G4476" s="75">
        <f>3.6*F4476</f>
        <v>84.8913125</v>
      </c>
      <c r="H4476" s="75">
        <f>'THAM_SO_MOI'!$D$53</f>
        <v>1.1</v>
      </c>
      <c r="I4476" s="75">
        <f>IF(F4476&gt;='THAM_SO_MOI'!$C$14,'THAM_SO_MOI'!$C$13*(1+F4476^2/1500),'THAM_SO_MOI'!$C$13)</f>
        <v>0.020560597945966555</v>
      </c>
      <c r="J4476" s="75">
        <f>'THAM_SO_MOI'!$C$40*('THAM_SO_MOI'!$C$23*(E4476/'THAM_SO_MOI'!$C$22)+'THAM_SO_MOI'!$C$24*(E4476/'THAM_SO_MOI'!$C$22)^2-'THAM_SO_MOI'!$C$25*(E4476/'THAM_SO_MOI'!$C$22)^3)</f>
        <v>104.34098705364262</v>
      </c>
      <c r="K4476" s="75">
        <f>'THAM_SO_MOI'!$C$31*J4476/E4476</f>
        <v>428.93873650744354</v>
      </c>
      <c r="L4476" s="75">
        <f>K4476*'THAM_SO_MOI'!$C$53*'THAM_SO_MOI'!$C$17/'THAM_SO_MOI'!$C$26</f>
        <v>3761.794397594069</v>
      </c>
      <c r="M4476" s="75">
        <f>'THAM_SO_MOI'!$C$15*'THAM_SO_MOI'!$C$16*F4476^2</f>
        <v>1626.4748991952176</v>
      </c>
      <c r="N4476" s="75">
        <f>'THAM_SO_MOI'!$C$12*I4476</f>
        <v>1549.0518977274771</v>
      </c>
      <c r="O4476" s="75">
        <f>M4476+N4476</f>
        <v>3175.5267969226948</v>
      </c>
      <c r="P4476" s="75">
        <f>(MIN(L4476,'THAM_SO_MOI'!$C$41)-O4476)/('THAM_SO_MOI'!$C$11*H4476)</f>
        <v>0.06939720651886533</v>
      </c>
      <c r="Q4476" s="75">
        <f>IF(P4476&gt;0,1/P4476,NA())</f>
        <v>14.409801923772743</v>
      </c>
      <c r="R4476" s="75">
        <f>F4476-F4475</f>
        <v>0.0035868055555567935</v>
      </c>
      <c r="S4476" s="75">
        <f>0.5*(Q4475+Q4476)*R4476</f>
        <v>0.05165569086617155</v>
      </c>
      <c r="T4476" s="75">
        <f>0.5*(F4475*Q4475+F4476*Q4476)*R4476</f>
        <v>1.2179961344205488</v>
      </c>
      <c r="U4476" s="76">
        <f>U4475+S4476</f>
        <v>78.41915989600277</v>
      </c>
      <c r="V4476" s="76">
        <f>V4475+T4476</f>
        <v>1312.5255922715908</v>
      </c>
    </row>
    <row r="4477" spans="1:22" ht="19" customHeight="1">
      <c r="A4477" s="68" t="s">
        <v>378</v>
      </c>
      <c r="B4477" s="74">
        <v>5</v>
      </c>
      <c r="C4477" s="68" t="s">
        <v>363</v>
      </c>
      <c r="D4477" s="68" t="s">
        <v>365</v>
      </c>
      <c r="E4477" s="75">
        <f>60*F4477*'THAM_SO_MOI'!$C$53/(2*PI()*'THAM_SO_MOI'!$C$26)</f>
        <v>2323.6945789473675</v>
      </c>
      <c r="F4477" s="75">
        <f>'THAM_SO_MOI'!$C$14+('THAM_SO_MOI'!$C$37-'THAM_SO_MOI'!$C$14)*386/'THAM_SO_MOI'!$C$42</f>
        <v>23.584506944444442</v>
      </c>
      <c r="G4477" s="75">
        <f>3.6*F4477</f>
        <v>84.904225</v>
      </c>
      <c r="H4477" s="75">
        <f>'THAM_SO_MOI'!$D$53</f>
        <v>1.1</v>
      </c>
      <c r="I4477" s="75">
        <f>IF(F4477&gt;='THAM_SO_MOI'!$C$14,'THAM_SO_MOI'!$C$13*(1+F4477^2/1500),'THAM_SO_MOI'!$C$13)</f>
        <v>0.02056228967812548</v>
      </c>
      <c r="J4477" s="75">
        <f>'THAM_SO_MOI'!$C$40*('THAM_SO_MOI'!$C$23*(E4477/'THAM_SO_MOI'!$C$22)+'THAM_SO_MOI'!$C$24*(E4477/'THAM_SO_MOI'!$C$22)^2-'THAM_SO_MOI'!$C$25*(E4477/'THAM_SO_MOI'!$C$22)^3)</f>
        <v>104.3555496561172</v>
      </c>
      <c r="K4477" s="75">
        <f>'THAM_SO_MOI'!$C$31*J4477/E4477</f>
        <v>428.9333589319341</v>
      </c>
      <c r="L4477" s="75">
        <f>K4477*'THAM_SO_MOI'!$C$53*'THAM_SO_MOI'!$C$17/'THAM_SO_MOI'!$C$26</f>
        <v>3761.7472362358085</v>
      </c>
      <c r="M4477" s="75">
        <f>'THAM_SO_MOI'!$C$15*'THAM_SO_MOI'!$C$16*F4477^2</f>
        <v>1626.9697308517034</v>
      </c>
      <c r="N4477" s="75">
        <f>'THAM_SO_MOI'!$C$12*I4477</f>
        <v>1549.1793541817162</v>
      </c>
      <c r="O4477" s="75">
        <f>M4477+N4477</f>
        <v>3176.1490850334194</v>
      </c>
      <c r="P4477" s="75">
        <f>(MIN(L4477,'THAM_SO_MOI'!$C$41)-O4477)/('THAM_SO_MOI'!$C$11*H4477)</f>
        <v>0.06931796297376762</v>
      </c>
      <c r="Q4477" s="75">
        <f>IF(P4477&gt;0,1/P4477,NA())</f>
        <v>14.426275053386025</v>
      </c>
      <c r="R4477" s="75">
        <f>F4477-F4476</f>
        <v>0.0035868055555532408</v>
      </c>
      <c r="S4477" s="75">
        <f>0.5*(Q4476+Q4477)*R4477</f>
        <v>0.051714700551016984</v>
      </c>
      <c r="T4477" s="75">
        <f>0.5*(F4476*Q4476+F4477*Q4477)*R4477</f>
        <v>1.2195730219701248</v>
      </c>
      <c r="U4477" s="76">
        <f>U4476+S4477</f>
        <v>78.47087459655378</v>
      </c>
      <c r="V4477" s="76">
        <f>V4476+T4477</f>
        <v>1313.7451652935608</v>
      </c>
    </row>
    <row r="4478" spans="1:22" ht="19" customHeight="1">
      <c r="A4478" s="68" t="s">
        <v>378</v>
      </c>
      <c r="B4478" s="74">
        <v>5</v>
      </c>
      <c r="C4478" s="68" t="s">
        <v>363</v>
      </c>
      <c r="D4478" s="68" t="s">
        <v>365</v>
      </c>
      <c r="E4478" s="75">
        <f>60*F4478*'THAM_SO_MOI'!$C$53/(2*PI()*'THAM_SO_MOI'!$C$26)</f>
        <v>2324.04797368421</v>
      </c>
      <c r="F4478" s="75">
        <f>'THAM_SO_MOI'!$C$14+('THAM_SO_MOI'!$C$37-'THAM_SO_MOI'!$C$14)*387/'THAM_SO_MOI'!$C$42</f>
        <v>23.58809375</v>
      </c>
      <c r="G4478" s="75">
        <f>3.6*F4478</f>
        <v>84.9171375</v>
      </c>
      <c r="H4478" s="75">
        <f>'THAM_SO_MOI'!$D$53</f>
        <v>1.1</v>
      </c>
      <c r="I4478" s="75">
        <f>IF(F4478&gt;='THAM_SO_MOI'!$C$14,'THAM_SO_MOI'!$C$13*(1+F4478^2/1500),'THAM_SO_MOI'!$C$13)</f>
        <v>0.02056398166758789</v>
      </c>
      <c r="J4478" s="75">
        <f>'THAM_SO_MOI'!$C$40*('THAM_SO_MOI'!$C$23*(E4478/'THAM_SO_MOI'!$C$22)+'THAM_SO_MOI'!$C$24*(E4478/'THAM_SO_MOI'!$C$22)^2-'THAM_SO_MOI'!$C$25*(E4478/'THAM_SO_MOI'!$C$22)^3)</f>
        <v>104.3701089124905</v>
      </c>
      <c r="K4478" s="75">
        <f>'THAM_SO_MOI'!$C$31*J4478/E4478</f>
        <v>428.92796924044006</v>
      </c>
      <c r="L4478" s="75">
        <f>K4478*'THAM_SO_MOI'!$C$53*'THAM_SO_MOI'!$C$17/'THAM_SO_MOI'!$C$26</f>
        <v>3761.6999686203167</v>
      </c>
      <c r="M4478" s="75">
        <f>'THAM_SO_MOI'!$C$15*'THAM_SO_MOI'!$C$16*F4478^2</f>
        <v>1627.464637769458</v>
      </c>
      <c r="N4478" s="75">
        <f>'THAM_SO_MOI'!$C$12*I4478</f>
        <v>1549.3068300214056</v>
      </c>
      <c r="O4478" s="75">
        <f>M4478+N4478</f>
        <v>3176.7714677908634</v>
      </c>
      <c r="P4478" s="75">
        <f>(MIN(L4478,'THAM_SO_MOI'!$C$41)-O4478)/('THAM_SO_MOI'!$C$11*H4478)</f>
        <v>0.06923869564742578</v>
      </c>
      <c r="Q4478" s="75">
        <f>IF(P4478&gt;0,1/P4478,NA())</f>
        <v>14.442790850540508</v>
      </c>
      <c r="R4478" s="75">
        <f>F4478-F4477</f>
        <v>0.0035868055555567935</v>
      </c>
      <c r="S4478" s="75">
        <f>0.5*(Q4477+Q4478)*R4478</f>
        <v>0.051773862983969444</v>
      </c>
      <c r="T4478" s="75">
        <f>0.5*(F4477*Q4477+F4478*Q4478)*R4478</f>
        <v>1.2211539355954857</v>
      </c>
      <c r="U4478" s="76">
        <f>U4477+S4478</f>
        <v>78.52264845953775</v>
      </c>
      <c r="V4478" s="76">
        <f>V4477+T4478</f>
        <v>1314.9663192291564</v>
      </c>
    </row>
    <row r="4479" spans="1:22" ht="19" customHeight="1">
      <c r="A4479" s="68" t="s">
        <v>378</v>
      </c>
      <c r="B4479" s="74">
        <v>5</v>
      </c>
      <c r="C4479" s="68" t="s">
        <v>363</v>
      </c>
      <c r="D4479" s="68" t="s">
        <v>365</v>
      </c>
      <c r="E4479" s="75">
        <f>60*F4479*'THAM_SO_MOI'!$C$53/(2*PI()*'THAM_SO_MOI'!$C$26)</f>
        <v>2324.4013684210518</v>
      </c>
      <c r="F4479" s="75">
        <f>'THAM_SO_MOI'!$C$14+('THAM_SO_MOI'!$C$37-'THAM_SO_MOI'!$C$14)*388/'THAM_SO_MOI'!$C$42</f>
        <v>23.591680555555556</v>
      </c>
      <c r="G4479" s="75">
        <f>3.6*F4479</f>
        <v>84.93005000000001</v>
      </c>
      <c r="H4479" s="75">
        <f>'THAM_SO_MOI'!$D$53</f>
        <v>1.1</v>
      </c>
      <c r="I4479" s="75">
        <f>IF(F4479&gt;='THAM_SO_MOI'!$C$14,'THAM_SO_MOI'!$C$13*(1+F4479^2/1500),'THAM_SO_MOI'!$C$13)</f>
        <v>0.02056567391435378</v>
      </c>
      <c r="J4479" s="75">
        <f>'THAM_SO_MOI'!$C$40*('THAM_SO_MOI'!$C$23*(E4479/'THAM_SO_MOI'!$C$22)+'THAM_SO_MOI'!$C$24*(E4479/'THAM_SO_MOI'!$C$22)^2-'THAM_SO_MOI'!$C$25*(E4479/'THAM_SO_MOI'!$C$22)^3)</f>
        <v>104.38466482141757</v>
      </c>
      <c r="K4479" s="75">
        <f>'THAM_SO_MOI'!$C$31*J4479/E4479</f>
        <v>428.9225674329617</v>
      </c>
      <c r="L4479" s="75">
        <f>K4479*'THAM_SO_MOI'!$C$53*'THAM_SO_MOI'!$C$17/'THAM_SO_MOI'!$C$26</f>
        <v>3761.652594747594</v>
      </c>
      <c r="M4479" s="75">
        <f>'THAM_SO_MOI'!$C$15*'THAM_SO_MOI'!$C$16*F4479^2</f>
        <v>1627.959619948481</v>
      </c>
      <c r="N4479" s="75">
        <f>'THAM_SO_MOI'!$C$12*I4479</f>
        <v>1549.4343252465453</v>
      </c>
      <c r="O4479" s="75">
        <f>M4479+N4479</f>
        <v>3177.3939451950264</v>
      </c>
      <c r="P4479" s="75">
        <f>(MIN(L4479,'THAM_SO_MOI'!$C$41)-O4479)/('THAM_SO_MOI'!$C$11*H4479)</f>
        <v>0.06915940453983987</v>
      </c>
      <c r="Q4479" s="75">
        <f>IF(P4479&gt;0,1/P4479,NA())</f>
        <v>14.459349478984327</v>
      </c>
      <c r="R4479" s="75">
        <f>F4479-F4478</f>
        <v>0.0035868055555567935</v>
      </c>
      <c r="S4479" s="75">
        <f>0.5*(Q4478+Q4479)*R4479</f>
        <v>0.05183317875071086</v>
      </c>
      <c r="T4479" s="75">
        <f>0.5*(F4478*Q4478+F4479*Q4479)*R4479</f>
        <v>1.2227388907564378</v>
      </c>
      <c r="U4479" s="76">
        <f>U4478+S4479</f>
        <v>78.57448163828846</v>
      </c>
      <c r="V4479" s="76">
        <f>V4478+T4479</f>
        <v>1316.189058119913</v>
      </c>
    </row>
    <row r="4480" spans="1:22" ht="19" customHeight="1">
      <c r="A4480" s="68" t="s">
        <v>378</v>
      </c>
      <c r="B4480" s="74">
        <v>5</v>
      </c>
      <c r="C4480" s="68" t="s">
        <v>363</v>
      </c>
      <c r="D4480" s="68" t="s">
        <v>365</v>
      </c>
      <c r="E4480" s="75">
        <f>60*F4480*'THAM_SO_MOI'!$C$53/(2*PI()*'THAM_SO_MOI'!$C$26)</f>
        <v>2324.754763157894</v>
      </c>
      <c r="F4480" s="75">
        <f>'THAM_SO_MOI'!$C$14+('THAM_SO_MOI'!$C$37-'THAM_SO_MOI'!$C$14)*389/'THAM_SO_MOI'!$C$42</f>
        <v>23.59526736111111</v>
      </c>
      <c r="G4480" s="75">
        <f>3.6*F4480</f>
        <v>84.9429625</v>
      </c>
      <c r="H4480" s="75">
        <f>'THAM_SO_MOI'!$D$53</f>
        <v>1.1</v>
      </c>
      <c r="I4480" s="75">
        <f>IF(F4480&gt;='THAM_SO_MOI'!$C$14,'THAM_SO_MOI'!$C$13*(1+F4480^2/1500),'THAM_SO_MOI'!$C$13)</f>
        <v>0.02056736641842315</v>
      </c>
      <c r="J4480" s="75">
        <f>'THAM_SO_MOI'!$C$40*('THAM_SO_MOI'!$C$23*(E4480/'THAM_SO_MOI'!$C$22)+'THAM_SO_MOI'!$C$24*(E4480/'THAM_SO_MOI'!$C$22)^2-'THAM_SO_MOI'!$C$25*(E4480/'THAM_SO_MOI'!$C$22)^3)</f>
        <v>104.39921738155357</v>
      </c>
      <c r="K4480" s="75">
        <f>'THAM_SO_MOI'!$C$31*J4480/E4480</f>
        <v>428.9171535094989</v>
      </c>
      <c r="L4480" s="75">
        <f>K4480*'THAM_SO_MOI'!$C$53*'THAM_SO_MOI'!$C$17/'THAM_SO_MOI'!$C$26</f>
        <v>3761.605114617641</v>
      </c>
      <c r="M4480" s="75">
        <f>'THAM_SO_MOI'!$C$15*'THAM_SO_MOI'!$C$16*F4480^2</f>
        <v>1628.454677388772</v>
      </c>
      <c r="N4480" s="75">
        <f>'THAM_SO_MOI'!$C$12*I4480</f>
        <v>1549.561839857135</v>
      </c>
      <c r="O4480" s="75">
        <f>M4480+N4480</f>
        <v>3178.0165172459074</v>
      </c>
      <c r="P4480" s="75">
        <f>(MIN(L4480,'THAM_SO_MOI'!$C$41)-O4480)/('THAM_SO_MOI'!$C$11*H4480)</f>
        <v>0.06908008965101019</v>
      </c>
      <c r="Q4480" s="75">
        <f>IF(P4480&gt;0,1/P4480,NA())</f>
        <v>14.475951103305734</v>
      </c>
      <c r="R4480" s="75">
        <f>F4480-F4479</f>
        <v>0.0035868055555532408</v>
      </c>
      <c r="S4480" s="75">
        <f>0.5*(Q4479+Q4480)*R4480</f>
        <v>0.05189264844008046</v>
      </c>
      <c r="T4480" s="75">
        <f>0.5*(F4479*Q4479+F4480*Q4480)*R4480</f>
        <v>1.224327902995682</v>
      </c>
      <c r="U4480" s="76">
        <f>U4479+S4480</f>
        <v>78.62637428672853</v>
      </c>
      <c r="V4480" s="76">
        <f>V4479+T4480</f>
        <v>1317.4133860229085</v>
      </c>
    </row>
    <row r="4481" spans="1:22" ht="19" customHeight="1">
      <c r="A4481" s="68" t="s">
        <v>378</v>
      </c>
      <c r="B4481" s="74">
        <v>5</v>
      </c>
      <c r="C4481" s="68" t="s">
        <v>363</v>
      </c>
      <c r="D4481" s="68" t="s">
        <v>365</v>
      </c>
      <c r="E4481" s="75">
        <f>60*F4481*'THAM_SO_MOI'!$C$53/(2*PI()*'THAM_SO_MOI'!$C$26)</f>
        <v>2325.1081578947365</v>
      </c>
      <c r="F4481" s="75">
        <f>'THAM_SO_MOI'!$C$14+('THAM_SO_MOI'!$C$37-'THAM_SO_MOI'!$C$14)*390/'THAM_SO_MOI'!$C$42</f>
        <v>23.598854166666666</v>
      </c>
      <c r="G4481" s="75">
        <f>3.6*F4481</f>
        <v>84.95587499999999</v>
      </c>
      <c r="H4481" s="75">
        <f>'THAM_SO_MOI'!$D$53</f>
        <v>1.1</v>
      </c>
      <c r="I4481" s="75">
        <f>IF(F4481&gt;='THAM_SO_MOI'!$C$14,'THAM_SO_MOI'!$C$13*(1+F4481^2/1500),'THAM_SO_MOI'!$C$13)</f>
        <v>0.020569059179796005</v>
      </c>
      <c r="J4481" s="75">
        <f>'THAM_SO_MOI'!$C$40*('THAM_SO_MOI'!$C$23*(E4481/'THAM_SO_MOI'!$C$22)+'THAM_SO_MOI'!$C$24*(E4481/'THAM_SO_MOI'!$C$22)^2-'THAM_SO_MOI'!$C$25*(E4481/'THAM_SO_MOI'!$C$22)^3)</f>
        <v>104.41376659155358</v>
      </c>
      <c r="K4481" s="75">
        <f>'THAM_SO_MOI'!$C$31*J4481/E4481</f>
        <v>428.9117274700516</v>
      </c>
      <c r="L4481" s="75">
        <f>K4481*'THAM_SO_MOI'!$C$53*'THAM_SO_MOI'!$C$17/'THAM_SO_MOI'!$C$26</f>
        <v>3761.557528230456</v>
      </c>
      <c r="M4481" s="75">
        <f>'THAM_SO_MOI'!$C$15*'THAM_SO_MOI'!$C$16*F4481^2</f>
        <v>1628.949810090332</v>
      </c>
      <c r="N4481" s="75">
        <f>'THAM_SO_MOI'!$C$12*I4481</f>
        <v>1549.6893738531749</v>
      </c>
      <c r="O4481" s="75">
        <f>M4481+N4481</f>
        <v>3178.639183943507</v>
      </c>
      <c r="P4481" s="75">
        <f>(MIN(L4481,'THAM_SO_MOI'!$C$41)-O4481)/('THAM_SO_MOI'!$C$11*H4481)</f>
        <v>0.06900075098093619</v>
      </c>
      <c r="Q4481" s="75">
        <f>IF(P4481&gt;0,1/P4481,NA())</f>
        <v>14.492595888938716</v>
      </c>
      <c r="R4481" s="75">
        <f>F4481-F4480</f>
        <v>0.0035868055555567935</v>
      </c>
      <c r="S4481" s="75">
        <f>0.5*(Q4480+Q4481)*R4481</f>
        <v>0.051952272644095215</v>
      </c>
      <c r="T4481" s="75">
        <f>0.5*(F4480*Q4480+F4481*Q4481)*R4481</f>
        <v>1.2259209879393536</v>
      </c>
      <c r="U4481" s="76">
        <f>U4480+S4481</f>
        <v>78.67832655937264</v>
      </c>
      <c r="V4481" s="76">
        <f>V4480+T4481</f>
        <v>1318.639307010848</v>
      </c>
    </row>
    <row r="4482" spans="1:22" ht="19" customHeight="1">
      <c r="A4482" s="68" t="s">
        <v>378</v>
      </c>
      <c r="B4482" s="74">
        <v>5</v>
      </c>
      <c r="C4482" s="68" t="s">
        <v>363</v>
      </c>
      <c r="D4482" s="68" t="s">
        <v>365</v>
      </c>
      <c r="E4482" s="75">
        <f>60*F4482*'THAM_SO_MOI'!$C$53/(2*PI()*'THAM_SO_MOI'!$C$26)</f>
        <v>2325.461552631579</v>
      </c>
      <c r="F4482" s="75">
        <f>'THAM_SO_MOI'!$C$14+('THAM_SO_MOI'!$C$37-'THAM_SO_MOI'!$C$14)*391/'THAM_SO_MOI'!$C$42</f>
        <v>23.602440972222222</v>
      </c>
      <c r="G4482" s="75">
        <f>3.6*F4482</f>
        <v>84.9687875</v>
      </c>
      <c r="H4482" s="75">
        <f>'THAM_SO_MOI'!$D$53</f>
        <v>1.1</v>
      </c>
      <c r="I4482" s="75">
        <f>IF(F4482&gt;='THAM_SO_MOI'!$C$14,'THAM_SO_MOI'!$C$13*(1+F4482^2/1500),'THAM_SO_MOI'!$C$13)</f>
        <v>0.02057075219847234</v>
      </c>
      <c r="J4482" s="75">
        <f>'THAM_SO_MOI'!$C$40*('THAM_SO_MOI'!$C$23*(E4482/'THAM_SO_MOI'!$C$22)+'THAM_SO_MOI'!$C$24*(E4482/'THAM_SO_MOI'!$C$22)^2-'THAM_SO_MOI'!$C$25*(E4482/'THAM_SO_MOI'!$C$22)^3)</f>
        <v>104.42831245007271</v>
      </c>
      <c r="K4482" s="75">
        <f>'THAM_SO_MOI'!$C$31*J4482/E4482</f>
        <v>428.90628931461987</v>
      </c>
      <c r="L4482" s="75">
        <f>K4482*'THAM_SO_MOI'!$C$53*'THAM_SO_MOI'!$C$17/'THAM_SO_MOI'!$C$26</f>
        <v>3761.50983558604</v>
      </c>
      <c r="M4482" s="75">
        <f>'THAM_SO_MOI'!$C$15*'THAM_SO_MOI'!$C$16*F4482^2</f>
        <v>1629.4450180531605</v>
      </c>
      <c r="N4482" s="75">
        <f>'THAM_SO_MOI'!$C$12*I4482</f>
        <v>1549.816927234665</v>
      </c>
      <c r="O4482" s="75">
        <f>M4482+N4482</f>
        <v>3179.2619452878253</v>
      </c>
      <c r="P4482" s="75">
        <f>(MIN(L4482,'THAM_SO_MOI'!$C$41)-O4482)/('THAM_SO_MOI'!$C$11*H4482)</f>
        <v>0.06892138852961822</v>
      </c>
      <c r="Q4482" s="75">
        <f>IF(P4482&gt;0,1/P4482,NA())</f>
        <v>14.509284002168075</v>
      </c>
      <c r="R4482" s="75">
        <f>F4482-F4481</f>
        <v>0.0035868055555567935</v>
      </c>
      <c r="S4482" s="75">
        <f>0.5*(Q4481+Q4482)*R4482</f>
        <v>0.05201205195750634</v>
      </c>
      <c r="T4482" s="75">
        <f>0.5*(F4481*Q4481+F4482*Q4482)*R4482</f>
        <v>1.2275181612866108</v>
      </c>
      <c r="U4482" s="76">
        <f>U4481+S4482</f>
        <v>78.73033861133014</v>
      </c>
      <c r="V4482" s="76">
        <f>V4481+T4482</f>
        <v>1319.8668251721344</v>
      </c>
    </row>
    <row r="4483" spans="1:22" ht="19" customHeight="1">
      <c r="A4483" s="68" t="s">
        <v>378</v>
      </c>
      <c r="B4483" s="74">
        <v>5</v>
      </c>
      <c r="C4483" s="68" t="s">
        <v>363</v>
      </c>
      <c r="D4483" s="68" t="s">
        <v>365</v>
      </c>
      <c r="E4483" s="75">
        <f>60*F4483*'THAM_SO_MOI'!$C$53/(2*PI()*'THAM_SO_MOI'!$C$26)</f>
        <v>2325.8149473684202</v>
      </c>
      <c r="F4483" s="75">
        <f>'THAM_SO_MOI'!$C$14+('THAM_SO_MOI'!$C$37-'THAM_SO_MOI'!$C$14)*392/'THAM_SO_MOI'!$C$42</f>
        <v>23.606027777777776</v>
      </c>
      <c r="G4483" s="75">
        <f>3.6*F4483</f>
        <v>84.98169999999999</v>
      </c>
      <c r="H4483" s="75">
        <f>'THAM_SO_MOI'!$D$53</f>
        <v>1.1</v>
      </c>
      <c r="I4483" s="75">
        <f>IF(F4483&gt;='THAM_SO_MOI'!$C$14,'THAM_SO_MOI'!$C$13*(1+F4483^2/1500),'THAM_SO_MOI'!$C$13)</f>
        <v>0.02057244547445216</v>
      </c>
      <c r="J4483" s="75">
        <f>'THAM_SO_MOI'!$C$40*('THAM_SO_MOI'!$C$23*(E4483/'THAM_SO_MOI'!$C$22)+'THAM_SO_MOI'!$C$24*(E4483/'THAM_SO_MOI'!$C$22)^2-'THAM_SO_MOI'!$C$25*(E4483/'THAM_SO_MOI'!$C$22)^3)</f>
        <v>104.44285495576604</v>
      </c>
      <c r="K4483" s="75">
        <f>'THAM_SO_MOI'!$C$31*J4483/E4483</f>
        <v>428.90083904320375</v>
      </c>
      <c r="L4483" s="75">
        <f>K4483*'THAM_SO_MOI'!$C$53*'THAM_SO_MOI'!$C$17/'THAM_SO_MOI'!$C$26</f>
        <v>3761.462036684394</v>
      </c>
      <c r="M4483" s="75">
        <f>'THAM_SO_MOI'!$C$15*'THAM_SO_MOI'!$C$16*F4483^2</f>
        <v>1629.9403012772566</v>
      </c>
      <c r="N4483" s="75">
        <f>'THAM_SO_MOI'!$C$12*I4483</f>
        <v>1549.9445000016053</v>
      </c>
      <c r="O4483" s="75">
        <f>M4483+N4483</f>
        <v>3179.884801278862</v>
      </c>
      <c r="P4483" s="75">
        <f>(MIN(L4483,'THAM_SO_MOI'!$C$41)-O4483)/('THAM_SO_MOI'!$C$11*H4483)</f>
        <v>0.06884200229705635</v>
      </c>
      <c r="Q4483" s="75">
        <f>IF(P4483&gt;0,1/P4483,NA())</f>
        <v>14.526015610135143</v>
      </c>
      <c r="R4483" s="75">
        <f>F4483-F4482</f>
        <v>0.0035868055555532408</v>
      </c>
      <c r="S4483" s="75">
        <f>0.5*(Q4482+Q4483)*R4483</f>
        <v>0.052071986978281026</v>
      </c>
      <c r="T4483" s="75">
        <f>0.5*(F4482*Q4482+F4483*Q4483)*R4483</f>
        <v>1.2291194388210556</v>
      </c>
      <c r="U4483" s="76">
        <f>U4482+S4483</f>
        <v>78.78241059830842</v>
      </c>
      <c r="V4483" s="76">
        <f>V4482+T4483</f>
        <v>1321.0959446109555</v>
      </c>
    </row>
    <row r="4484" spans="1:22" ht="19" customHeight="1">
      <c r="A4484" s="68" t="s">
        <v>378</v>
      </c>
      <c r="B4484" s="74">
        <v>5</v>
      </c>
      <c r="C4484" s="68" t="s">
        <v>363</v>
      </c>
      <c r="D4484" s="68" t="s">
        <v>365</v>
      </c>
      <c r="E4484" s="75">
        <f>60*F4484*'THAM_SO_MOI'!$C$53/(2*PI()*'THAM_SO_MOI'!$C$26)</f>
        <v>2326.1683421052626</v>
      </c>
      <c r="F4484" s="75">
        <f>'THAM_SO_MOI'!$C$14+('THAM_SO_MOI'!$C$37-'THAM_SO_MOI'!$C$14)*393/'THAM_SO_MOI'!$C$42</f>
        <v>23.609614583333332</v>
      </c>
      <c r="G4484" s="75">
        <f>3.6*F4484</f>
        <v>84.9946125</v>
      </c>
      <c r="H4484" s="75">
        <f>'THAM_SO_MOI'!$D$53</f>
        <v>1.1</v>
      </c>
      <c r="I4484" s="75">
        <f>IF(F4484&gt;='THAM_SO_MOI'!$C$14,'THAM_SO_MOI'!$C$13*(1+F4484^2/1500),'THAM_SO_MOI'!$C$13)</f>
        <v>0.02057413900773546</v>
      </c>
      <c r="J4484" s="75">
        <f>'THAM_SO_MOI'!$C$40*('THAM_SO_MOI'!$C$23*(E4484/'THAM_SO_MOI'!$C$22)+'THAM_SO_MOI'!$C$24*(E4484/'THAM_SO_MOI'!$C$22)^2-'THAM_SO_MOI'!$C$25*(E4484/'THAM_SO_MOI'!$C$22)^3)</f>
        <v>104.45739410728869</v>
      </c>
      <c r="K4484" s="75">
        <f>'THAM_SO_MOI'!$C$31*J4484/E4484</f>
        <v>428.89537665580286</v>
      </c>
      <c r="L4484" s="75">
        <f>K4484*'THAM_SO_MOI'!$C$53*'THAM_SO_MOI'!$C$17/'THAM_SO_MOI'!$C$26</f>
        <v>3761.414131525514</v>
      </c>
      <c r="M4484" s="75">
        <f>'THAM_SO_MOI'!$C$15*'THAM_SO_MOI'!$C$16*F4484^2</f>
        <v>1630.4356597626222</v>
      </c>
      <c r="N4484" s="75">
        <f>'THAM_SO_MOI'!$C$12*I4484</f>
        <v>1550.0720921539958</v>
      </c>
      <c r="O4484" s="75">
        <f>M4484+N4484</f>
        <v>3180.507751916618</v>
      </c>
      <c r="P4484" s="75">
        <f>(MIN(L4484,'THAM_SO_MOI'!$C$41)-O4484)/('THAM_SO_MOI'!$C$11*H4484)</f>
        <v>0.06876259228325</v>
      </c>
      <c r="Q4484" s="75">
        <f>IF(P4484&gt;0,1/P4484,NA())</f>
        <v>14.542790880843388</v>
      </c>
      <c r="R4484" s="75">
        <f>F4484-F4483</f>
        <v>0.0035868055555567935</v>
      </c>
      <c r="S4484" s="75">
        <f>0.5*(Q4483+Q4484)*R4484</f>
        <v>0.052132078307623585</v>
      </c>
      <c r="T4484" s="75">
        <f>0.5*(F4483*Q4483+F4484*Q4484)*R4484</f>
        <v>1.2307248364112913</v>
      </c>
      <c r="U4484" s="76">
        <f>U4483+S4484</f>
        <v>78.83454267661604</v>
      </c>
      <c r="V4484" s="76">
        <f>V4483+T4484</f>
        <v>1322.3266694473668</v>
      </c>
    </row>
    <row r="4485" spans="1:22" ht="19" customHeight="1">
      <c r="A4485" s="68" t="s">
        <v>378</v>
      </c>
      <c r="B4485" s="74">
        <v>5</v>
      </c>
      <c r="C4485" s="68" t="s">
        <v>363</v>
      </c>
      <c r="D4485" s="68" t="s">
        <v>365</v>
      </c>
      <c r="E4485" s="75">
        <f>60*F4485*'THAM_SO_MOI'!$C$53/(2*PI()*'THAM_SO_MOI'!$C$26)</f>
        <v>2326.5217368421045</v>
      </c>
      <c r="F4485" s="75">
        <f>'THAM_SO_MOI'!$C$14+('THAM_SO_MOI'!$C$37-'THAM_SO_MOI'!$C$14)*394/'THAM_SO_MOI'!$C$42</f>
        <v>23.61320138888889</v>
      </c>
      <c r="G4485" s="75">
        <f>3.6*F4485</f>
        <v>85.007525</v>
      </c>
      <c r="H4485" s="75">
        <f>'THAM_SO_MOI'!$D$53</f>
        <v>1.1</v>
      </c>
      <c r="I4485" s="75">
        <f>IF(F4485&gt;='THAM_SO_MOI'!$C$14,'THAM_SO_MOI'!$C$13*(1+F4485^2/1500),'THAM_SO_MOI'!$C$13)</f>
        <v>0.02057583279832224</v>
      </c>
      <c r="J4485" s="75">
        <f>'THAM_SO_MOI'!$C$40*('THAM_SO_MOI'!$C$23*(E4485/'THAM_SO_MOI'!$C$22)+'THAM_SO_MOI'!$C$24*(E4485/'THAM_SO_MOI'!$C$22)^2-'THAM_SO_MOI'!$C$25*(E4485/'THAM_SO_MOI'!$C$22)^3)</f>
        <v>104.47192990329583</v>
      </c>
      <c r="K4485" s="75">
        <f>'THAM_SO_MOI'!$C$31*J4485/E4485</f>
        <v>428.88990215241785</v>
      </c>
      <c r="L4485" s="75">
        <f>K4485*'THAM_SO_MOI'!$C$53*'THAM_SO_MOI'!$C$17/'THAM_SO_MOI'!$C$26</f>
        <v>3761.366120109406</v>
      </c>
      <c r="M4485" s="75">
        <f>'THAM_SO_MOI'!$C$15*'THAM_SO_MOI'!$C$16*F4485^2</f>
        <v>1630.9310935092558</v>
      </c>
      <c r="N4485" s="75">
        <f>'THAM_SO_MOI'!$C$12*I4485</f>
        <v>1550.1997036918362</v>
      </c>
      <c r="O4485" s="75">
        <f>M4485+N4485</f>
        <v>3181.130797201092</v>
      </c>
      <c r="P4485" s="75">
        <f>(MIN(L4485,'THAM_SO_MOI'!$C$41)-O4485)/('THAM_SO_MOI'!$C$11*H4485)</f>
        <v>0.06868315848820004</v>
      </c>
      <c r="Q4485" s="75">
        <f>IF(P4485&gt;0,1/P4485,NA())</f>
        <v>14.559609983163526</v>
      </c>
      <c r="R4485" s="75">
        <f>F4485-F4484</f>
        <v>0.0035868055555567935</v>
      </c>
      <c r="S4485" s="75">
        <f>0.5*(Q4484+Q4485)*R4485</f>
        <v>0.05219232654953041</v>
      </c>
      <c r="T4485" s="75">
        <f>0.5*(F4484*Q4484+F4485*Q4485)*R4485</f>
        <v>1.2323343700004712</v>
      </c>
      <c r="U4485" s="76">
        <f>U4484+S4485</f>
        <v>78.88673500316557</v>
      </c>
      <c r="V4485" s="76">
        <f>V4484+T4485</f>
        <v>1323.5590038173673</v>
      </c>
    </row>
    <row r="4486" spans="1:22" ht="19" customHeight="1">
      <c r="A4486" s="68" t="s">
        <v>378</v>
      </c>
      <c r="B4486" s="74">
        <v>5</v>
      </c>
      <c r="C4486" s="68" t="s">
        <v>363</v>
      </c>
      <c r="D4486" s="68" t="s">
        <v>365</v>
      </c>
      <c r="E4486" s="75">
        <f>60*F4486*'THAM_SO_MOI'!$C$53/(2*PI()*'THAM_SO_MOI'!$C$26)</f>
        <v>2326.8751315789464</v>
      </c>
      <c r="F4486" s="75">
        <f>'THAM_SO_MOI'!$C$14+('THAM_SO_MOI'!$C$37-'THAM_SO_MOI'!$C$14)*395/'THAM_SO_MOI'!$C$42</f>
        <v>23.616788194444442</v>
      </c>
      <c r="G4486" s="75">
        <f>3.6*F4486</f>
        <v>85.0204375</v>
      </c>
      <c r="H4486" s="75">
        <f>'THAM_SO_MOI'!$D$53</f>
        <v>1.1</v>
      </c>
      <c r="I4486" s="75">
        <f>IF(F4486&gt;='THAM_SO_MOI'!$C$14,'THAM_SO_MOI'!$C$13*(1+F4486^2/1500),'THAM_SO_MOI'!$C$13)</f>
        <v>0.020577526846212505</v>
      </c>
      <c r="J4486" s="75">
        <f>'THAM_SO_MOI'!$C$40*('THAM_SO_MOI'!$C$23*(E4486/'THAM_SO_MOI'!$C$22)+'THAM_SO_MOI'!$C$24*(E4486/'THAM_SO_MOI'!$C$22)^2-'THAM_SO_MOI'!$C$25*(E4486/'THAM_SO_MOI'!$C$22)^3)</f>
        <v>104.4864623424425</v>
      </c>
      <c r="K4486" s="75">
        <f>'THAM_SO_MOI'!$C$31*J4486/E4486</f>
        <v>428.8844155330482</v>
      </c>
      <c r="L4486" s="75">
        <f>K4486*'THAM_SO_MOI'!$C$53*'THAM_SO_MOI'!$C$17/'THAM_SO_MOI'!$C$26</f>
        <v>3761.3180024360654</v>
      </c>
      <c r="M4486" s="75">
        <f>'THAM_SO_MOI'!$C$15*'THAM_SO_MOI'!$C$16*F4486^2</f>
        <v>1631.4266025171576</v>
      </c>
      <c r="N4486" s="75">
        <f>'THAM_SO_MOI'!$C$12*I4486</f>
        <v>1550.3273346151273</v>
      </c>
      <c r="O4486" s="75">
        <f>M4486+N4486</f>
        <v>3181.7539371322846</v>
      </c>
      <c r="P4486" s="75">
        <f>(MIN(L4486,'THAM_SO_MOI'!$C$41)-O4486)/('THAM_SO_MOI'!$C$11*H4486)</f>
        <v>0.06860370091190587</v>
      </c>
      <c r="Q4486" s="75">
        <f>IF(P4486&gt;0,1/P4486,NA())</f>
        <v>14.576473086839757</v>
      </c>
      <c r="R4486" s="75">
        <f>F4486-F4485</f>
        <v>0.0035868055555532408</v>
      </c>
      <c r="S4486" s="75">
        <f>0.5*(Q4485+Q4486)*R4486</f>
        <v>0.052252732311274246</v>
      </c>
      <c r="T4486" s="75">
        <f>0.5*(F4485*Q4485+F4486*Q4486)*R4486</f>
        <v>1.233948055617785</v>
      </c>
      <c r="U4486" s="76">
        <f>U4485+S4486</f>
        <v>78.93898773547684</v>
      </c>
      <c r="V4486" s="76">
        <f>V4485+T4486</f>
        <v>1324.792951872985</v>
      </c>
    </row>
    <row r="4487" spans="1:22" ht="19" customHeight="1">
      <c r="A4487" s="68" t="s">
        <v>378</v>
      </c>
      <c r="B4487" s="74">
        <v>5</v>
      </c>
      <c r="C4487" s="68" t="s">
        <v>363</v>
      </c>
      <c r="D4487" s="68" t="s">
        <v>365</v>
      </c>
      <c r="E4487" s="75">
        <f>60*F4487*'THAM_SO_MOI'!$C$53/(2*PI()*'THAM_SO_MOI'!$C$26)</f>
        <v>2327.2285263157887</v>
      </c>
      <c r="F4487" s="75">
        <f>'THAM_SO_MOI'!$C$14+('THAM_SO_MOI'!$C$37-'THAM_SO_MOI'!$C$14)*396/'THAM_SO_MOI'!$C$42</f>
        <v>23.620375</v>
      </c>
      <c r="G4487" s="75">
        <f>3.6*F4487</f>
        <v>85.03335</v>
      </c>
      <c r="H4487" s="75">
        <f>'THAM_SO_MOI'!$D$53</f>
        <v>1.1</v>
      </c>
      <c r="I4487" s="75">
        <f>IF(F4487&gt;='THAM_SO_MOI'!$C$14,'THAM_SO_MOI'!$C$13*(1+F4487^2/1500),'THAM_SO_MOI'!$C$13)</f>
        <v>0.02057922115140625</v>
      </c>
      <c r="J4487" s="75">
        <f>'THAM_SO_MOI'!$C$40*('THAM_SO_MOI'!$C$23*(E4487/'THAM_SO_MOI'!$C$22)+'THAM_SO_MOI'!$C$24*(E4487/'THAM_SO_MOI'!$C$22)^2-'THAM_SO_MOI'!$C$25*(E4487/'THAM_SO_MOI'!$C$22)^3)</f>
        <v>104.50099142338387</v>
      </c>
      <c r="K4487" s="75">
        <f>'THAM_SO_MOI'!$C$31*J4487/E4487</f>
        <v>428.8789167976941</v>
      </c>
      <c r="L4487" s="75">
        <f>K4487*'THAM_SO_MOI'!$C$53*'THAM_SO_MOI'!$C$17/'THAM_SO_MOI'!$C$26</f>
        <v>3761.2697785054934</v>
      </c>
      <c r="M4487" s="75">
        <f>'THAM_SO_MOI'!$C$15*'THAM_SO_MOI'!$C$16*F4487^2</f>
        <v>1631.922186786328</v>
      </c>
      <c r="N4487" s="75">
        <f>'THAM_SO_MOI'!$C$12*I4487</f>
        <v>1550.454984923868</v>
      </c>
      <c r="O4487" s="75">
        <f>M4487+N4487</f>
        <v>3182.3771717101963</v>
      </c>
      <c r="P4487" s="75">
        <f>(MIN(L4487,'THAM_SO_MOI'!$C$41)-O4487)/('THAM_SO_MOI'!$C$11*H4487)</f>
        <v>0.06852421955436758</v>
      </c>
      <c r="Q4487" s="75">
        <f>IF(P4487&gt;0,1/P4487,NA())</f>
        <v>14.593380362494946</v>
      </c>
      <c r="R4487" s="75">
        <f>F4487-F4486</f>
        <v>0.0035868055555567935</v>
      </c>
      <c r="S4487" s="75">
        <f>0.5*(Q4486+Q4487)*R4487</f>
        <v>0.052313296203425605</v>
      </c>
      <c r="T4487" s="75">
        <f>0.5*(F4486*Q4486+F4487*Q4487)*R4487</f>
        <v>1.2355659093790243</v>
      </c>
      <c r="U4487" s="76">
        <f>U4486+S4487</f>
        <v>78.99130103168027</v>
      </c>
      <c r="V4487" s="76">
        <f>V4486+T4487</f>
        <v>1326.028517782364</v>
      </c>
    </row>
    <row r="4488" spans="1:22" ht="19" customHeight="1">
      <c r="A4488" s="68" t="s">
        <v>378</v>
      </c>
      <c r="B4488" s="74">
        <v>5</v>
      </c>
      <c r="C4488" s="68" t="s">
        <v>363</v>
      </c>
      <c r="D4488" s="68" t="s">
        <v>365</v>
      </c>
      <c r="E4488" s="75">
        <f>60*F4488*'THAM_SO_MOI'!$C$53/(2*PI()*'THAM_SO_MOI'!$C$26)</f>
        <v>2327.581921052631</v>
      </c>
      <c r="F4488" s="75">
        <f>'THAM_SO_MOI'!$C$14+('THAM_SO_MOI'!$C$37-'THAM_SO_MOI'!$C$14)*397/'THAM_SO_MOI'!$C$42</f>
        <v>23.623961805555552</v>
      </c>
      <c r="G4488" s="75">
        <f>3.6*F4488</f>
        <v>85.0462625</v>
      </c>
      <c r="H4488" s="75">
        <f>'THAM_SO_MOI'!$D$53</f>
        <v>1.1</v>
      </c>
      <c r="I4488" s="75">
        <f>IF(F4488&gt;='THAM_SO_MOI'!$C$14,'THAM_SO_MOI'!$C$13*(1+F4488^2/1500),'THAM_SO_MOI'!$C$13)</f>
        <v>0.020580915713903476</v>
      </c>
      <c r="J4488" s="75">
        <f>'THAM_SO_MOI'!$C$40*('THAM_SO_MOI'!$C$23*(E4488/'THAM_SO_MOI'!$C$22)+'THAM_SO_MOI'!$C$24*(E4488/'THAM_SO_MOI'!$C$22)^2-'THAM_SO_MOI'!$C$25*(E4488/'THAM_SO_MOI'!$C$22)^3)</f>
        <v>104.51551714477503</v>
      </c>
      <c r="K4488" s="75">
        <f>'THAM_SO_MOI'!$C$31*J4488/E4488</f>
        <v>428.8734059463556</v>
      </c>
      <c r="L4488" s="75">
        <f>K4488*'THAM_SO_MOI'!$C$53*'THAM_SO_MOI'!$C$17/'THAM_SO_MOI'!$C$26</f>
        <v>3761.2214483176913</v>
      </c>
      <c r="M4488" s="75">
        <f>'THAM_SO_MOI'!$C$15*'THAM_SO_MOI'!$C$16*F4488^2</f>
        <v>1632.4178463167666</v>
      </c>
      <c r="N4488" s="75">
        <f>'THAM_SO_MOI'!$C$12*I4488</f>
        <v>1550.582654618059</v>
      </c>
      <c r="O4488" s="75">
        <f>M4488+N4488</f>
        <v>3183.0005009348256</v>
      </c>
      <c r="P4488" s="75">
        <f>(MIN(L4488,'THAM_SO_MOI'!$C$41)-O4488)/('THAM_SO_MOI'!$C$11*H4488)</f>
        <v>0.06844471441558546</v>
      </c>
      <c r="Q4488" s="75">
        <f>IF(P4488&gt;0,1/P4488,NA())</f>
        <v>14.610331981636428</v>
      </c>
      <c r="R4488" s="75">
        <f>F4488-F4487</f>
        <v>0.0035868055555532408</v>
      </c>
      <c r="S4488" s="75">
        <f>0.5*(Q4487+Q4488)*R4488</f>
        <v>0.05237401883935459</v>
      </c>
      <c r="T4488" s="75">
        <f>0.5*(F4487*Q4487+F4488*Q4488)*R4488</f>
        <v>1.2371879474748728</v>
      </c>
      <c r="U4488" s="76">
        <f>U4487+S4488</f>
        <v>79.04367505051962</v>
      </c>
      <c r="V4488" s="76">
        <f>V4487+T4488</f>
        <v>1327.2657057298388</v>
      </c>
    </row>
    <row r="4489" spans="1:22" ht="19" customHeight="1">
      <c r="A4489" s="68" t="s">
        <v>378</v>
      </c>
      <c r="B4489" s="74">
        <v>5</v>
      </c>
      <c r="C4489" s="68" t="s">
        <v>363</v>
      </c>
      <c r="D4489" s="68" t="s">
        <v>365</v>
      </c>
      <c r="E4489" s="75">
        <f>60*F4489*'THAM_SO_MOI'!$C$53/(2*PI()*'THAM_SO_MOI'!$C$26)</f>
        <v>2327.935315789473</v>
      </c>
      <c r="F4489" s="75">
        <f>'THAM_SO_MOI'!$C$14+('THAM_SO_MOI'!$C$37-'THAM_SO_MOI'!$C$14)*398/'THAM_SO_MOI'!$C$42</f>
        <v>23.62754861111111</v>
      </c>
      <c r="G4489" s="75">
        <f>3.6*F4489</f>
        <v>85.059175</v>
      </c>
      <c r="H4489" s="75">
        <f>'THAM_SO_MOI'!$D$53</f>
        <v>1.1</v>
      </c>
      <c r="I4489" s="75">
        <f>IF(F4489&gt;='THAM_SO_MOI'!$C$14,'THAM_SO_MOI'!$C$13*(1+F4489^2/1500),'THAM_SO_MOI'!$C$13)</f>
        <v>0.020582610533704183</v>
      </c>
      <c r="J4489" s="75">
        <f>'THAM_SO_MOI'!$C$40*('THAM_SO_MOI'!$C$23*(E4489/'THAM_SO_MOI'!$C$22)+'THAM_SO_MOI'!$C$24*(E4489/'THAM_SO_MOI'!$C$22)^2-'THAM_SO_MOI'!$C$25*(E4489/'THAM_SO_MOI'!$C$22)^3)</f>
        <v>104.53003950527106</v>
      </c>
      <c r="K4489" s="75">
        <f>'THAM_SO_MOI'!$C$31*J4489/E4489</f>
        <v>428.8678829790327</v>
      </c>
      <c r="L4489" s="75">
        <f>K4489*'THAM_SO_MOI'!$C$53*'THAM_SO_MOI'!$C$17/'THAM_SO_MOI'!$C$26</f>
        <v>3761.173011872658</v>
      </c>
      <c r="M4489" s="75">
        <f>'THAM_SO_MOI'!$C$15*'THAM_SO_MOI'!$C$16*F4489^2</f>
        <v>1632.9135811084743</v>
      </c>
      <c r="N4489" s="75">
        <f>'THAM_SO_MOI'!$C$12*I4489</f>
        <v>1550.7103436977002</v>
      </c>
      <c r="O4489" s="75">
        <f>M4489+N4489</f>
        <v>3183.6239248061747</v>
      </c>
      <c r="P4489" s="75">
        <f>(MIN(L4489,'THAM_SO_MOI'!$C$41)-O4489)/('THAM_SO_MOI'!$C$11*H4489)</f>
        <v>0.06836518549555914</v>
      </c>
      <c r="Q4489" s="75">
        <f>IF(P4489&gt;0,1/P4489,NA())</f>
        <v>14.627328116661921</v>
      </c>
      <c r="R4489" s="75">
        <f>F4489-F4488</f>
        <v>0.0035868055555567935</v>
      </c>
      <c r="S4489" s="75">
        <f>0.5*(Q4488+Q4489)*R4489</f>
        <v>0.05243490083602885</v>
      </c>
      <c r="T4489" s="75">
        <f>0.5*(F4488*Q4488+F4489*Q4489)*R4489</f>
        <v>1.2388141861898094</v>
      </c>
      <c r="U4489" s="76">
        <f>U4488+S4489</f>
        <v>79.09610995135566</v>
      </c>
      <c r="V4489" s="76">
        <f>V4488+T4489</f>
        <v>1328.5045199160286</v>
      </c>
    </row>
    <row r="4490" spans="1:22" ht="19" customHeight="1">
      <c r="A4490" s="68" t="s">
        <v>378</v>
      </c>
      <c r="B4490" s="74">
        <v>5</v>
      </c>
      <c r="C4490" s="68" t="s">
        <v>363</v>
      </c>
      <c r="D4490" s="68" t="s">
        <v>365</v>
      </c>
      <c r="E4490" s="75">
        <f>60*F4490*'THAM_SO_MOI'!$C$53/(2*PI()*'THAM_SO_MOI'!$C$26)</f>
        <v>2328.2887105263153</v>
      </c>
      <c r="F4490" s="75">
        <f>'THAM_SO_MOI'!$C$14+('THAM_SO_MOI'!$C$37-'THAM_SO_MOI'!$C$14)*399/'THAM_SO_MOI'!$C$42</f>
        <v>23.631135416666666</v>
      </c>
      <c r="G4490" s="75">
        <f>3.6*F4490</f>
        <v>85.0720875</v>
      </c>
      <c r="H4490" s="75">
        <f>'THAM_SO_MOI'!$D$53</f>
        <v>1.1</v>
      </c>
      <c r="I4490" s="75">
        <f>IF(F4490&gt;='THAM_SO_MOI'!$C$14,'THAM_SO_MOI'!$C$13*(1+F4490^2/1500),'THAM_SO_MOI'!$C$13)</f>
        <v>0.020584305610808377</v>
      </c>
      <c r="J4490" s="75">
        <f>'THAM_SO_MOI'!$C$40*('THAM_SO_MOI'!$C$23*(E4490/'THAM_SO_MOI'!$C$22)+'THAM_SO_MOI'!$C$24*(E4490/'THAM_SO_MOI'!$C$22)^2-'THAM_SO_MOI'!$C$25*(E4490/'THAM_SO_MOI'!$C$22)^3)</f>
        <v>104.54455850352711</v>
      </c>
      <c r="K4490" s="75">
        <f>'THAM_SO_MOI'!$C$31*J4490/E4490</f>
        <v>428.8623478957253</v>
      </c>
      <c r="L4490" s="75">
        <f>K4490*'THAM_SO_MOI'!$C$53*'THAM_SO_MOI'!$C$17/'THAM_SO_MOI'!$C$26</f>
        <v>3761.1244691703937</v>
      </c>
      <c r="M4490" s="75">
        <f>'THAM_SO_MOI'!$C$15*'THAM_SO_MOI'!$C$16*F4490^2</f>
        <v>1633.4093911614502</v>
      </c>
      <c r="N4490" s="75">
        <f>'THAM_SO_MOI'!$C$12*I4490</f>
        <v>1550.8380521627919</v>
      </c>
      <c r="O4490" s="75">
        <f>M4490+N4490</f>
        <v>3184.2474433242423</v>
      </c>
      <c r="P4490" s="75">
        <f>(MIN(L4490,'THAM_SO_MOI'!$C$41)-O4490)/('THAM_SO_MOI'!$C$11*H4490)</f>
        <v>0.06828563279428874</v>
      </c>
      <c r="Q4490" s="75">
        <f>IF(P4490&gt;0,1/P4490,NA())</f>
        <v>14.64436894086508</v>
      </c>
      <c r="R4490" s="75">
        <f>F4490-F4489</f>
        <v>0.0035868055555567935</v>
      </c>
      <c r="S4490" s="75">
        <f>0.5*(Q4489+Q4490)*R4490</f>
        <v>0.052495942813256646</v>
      </c>
      <c r="T4490" s="75">
        <f>0.5*(F4489*Q4489+F4490*Q4490)*R4490</f>
        <v>1.2404446418842863</v>
      </c>
      <c r="U4490" s="76">
        <f>U4489+S4490</f>
        <v>79.14860589416891</v>
      </c>
      <c r="V4490" s="76">
        <f>V4489+T4490</f>
        <v>1329.744964557913</v>
      </c>
    </row>
    <row r="4491" spans="1:22" ht="19" customHeight="1">
      <c r="A4491" s="68" t="s">
        <v>378</v>
      </c>
      <c r="B4491" s="74">
        <v>5</v>
      </c>
      <c r="C4491" s="68" t="s">
        <v>363</v>
      </c>
      <c r="D4491" s="68" t="s">
        <v>365</v>
      </c>
      <c r="E4491" s="75">
        <f>60*F4491*'THAM_SO_MOI'!$C$53/(2*PI()*'THAM_SO_MOI'!$C$26)</f>
        <v>2328.6421052631576</v>
      </c>
      <c r="F4491" s="75">
        <f>'THAM_SO_MOI'!$C$14+('THAM_SO_MOI'!$C$37-'THAM_SO_MOI'!$C$14)*400/'THAM_SO_MOI'!$C$42</f>
        <v>23.634722222222223</v>
      </c>
      <c r="G4491" s="75">
        <f>3.6*F4491</f>
        <v>85.08500000000001</v>
      </c>
      <c r="H4491" s="75">
        <f>'THAM_SO_MOI'!$D$53</f>
        <v>1.1</v>
      </c>
      <c r="I4491" s="75">
        <f>IF(F4491&gt;='THAM_SO_MOI'!$C$14,'THAM_SO_MOI'!$C$13*(1+F4491^2/1500),'THAM_SO_MOI'!$C$13)</f>
        <v>0.020586000945216048</v>
      </c>
      <c r="J4491" s="75">
        <f>'THAM_SO_MOI'!$C$40*('THAM_SO_MOI'!$C$23*(E4491/'THAM_SO_MOI'!$C$22)+'THAM_SO_MOI'!$C$24*(E4491/'THAM_SO_MOI'!$C$22)^2-'THAM_SO_MOI'!$C$25*(E4491/'THAM_SO_MOI'!$C$22)^3)</f>
        <v>104.55907413819826</v>
      </c>
      <c r="K4491" s="75">
        <f>'THAM_SO_MOI'!$C$31*J4491/E4491</f>
        <v>428.8568006964333</v>
      </c>
      <c r="L4491" s="75">
        <f>K4491*'THAM_SO_MOI'!$C$53*'THAM_SO_MOI'!$C$17/'THAM_SO_MOI'!$C$26</f>
        <v>3761.0758202108964</v>
      </c>
      <c r="M4491" s="75">
        <f>'THAM_SO_MOI'!$C$15*'THAM_SO_MOI'!$C$16*F4491^2</f>
        <v>1633.9052764756946</v>
      </c>
      <c r="N4491" s="75">
        <f>'THAM_SO_MOI'!$C$12*I4491</f>
        <v>1550.9657800133332</v>
      </c>
      <c r="O4491" s="75">
        <f>M4491+N4491</f>
        <v>3184.871056489028</v>
      </c>
      <c r="P4491" s="75">
        <f>(MIN(L4491,'THAM_SO_MOI'!$C$41)-O4491)/('THAM_SO_MOI'!$C$11*H4491)</f>
        <v>0.06820605631177425</v>
      </c>
      <c r="Q4491" s="75">
        <f>IF(P4491&gt;0,1/P4491,NA())</f>
        <v>14.66145462844144</v>
      </c>
      <c r="R4491" s="75">
        <f>F4491-F4490</f>
        <v>0.0035868055555567935</v>
      </c>
      <c r="S4491" s="75">
        <f>0.5*(Q4490+Q4491)*R4491</f>
        <v>0.05255714539427792</v>
      </c>
      <c r="T4491" s="75">
        <f>0.5*(F4490*Q4490+F4491*Q4491)*R4491</f>
        <v>1.2420793310087488</v>
      </c>
      <c r="U4491" s="76">
        <f>U4490+S4491</f>
        <v>79.20116303956318</v>
      </c>
      <c r="V4491" s="76">
        <f>V4490+T4491</f>
        <v>1330.9870438889216</v>
      </c>
    </row>
    <row r="4492" spans="1:22" ht="19" customHeight="1">
      <c r="A4492" s="68" t="s">
        <v>378</v>
      </c>
      <c r="B4492" s="74">
        <v>5</v>
      </c>
      <c r="C4492" s="68" t="s">
        <v>363</v>
      </c>
      <c r="D4492" s="68" t="s">
        <v>365</v>
      </c>
      <c r="E4492" s="75">
        <f>60*F4492*'THAM_SO_MOI'!$C$53/(2*PI()*'THAM_SO_MOI'!$C$26)</f>
        <v>2328.995499999999</v>
      </c>
      <c r="F4492" s="75">
        <f>'THAM_SO_MOI'!$C$14+('THAM_SO_MOI'!$C$37-'THAM_SO_MOI'!$C$14)*401/'THAM_SO_MOI'!$C$42</f>
        <v>23.638309027777776</v>
      </c>
      <c r="G4492" s="75">
        <f>3.6*F4492</f>
        <v>85.09791249999999</v>
      </c>
      <c r="H4492" s="75">
        <f>'THAM_SO_MOI'!$D$53</f>
        <v>1.1</v>
      </c>
      <c r="I4492" s="75">
        <f>IF(F4492&gt;='THAM_SO_MOI'!$C$14,'THAM_SO_MOI'!$C$13*(1+F4492^2/1500),'THAM_SO_MOI'!$C$13)</f>
        <v>0.020587696536927203</v>
      </c>
      <c r="J4492" s="75">
        <f>'THAM_SO_MOI'!$C$40*('THAM_SO_MOI'!$C$23*(E4492/'THAM_SO_MOI'!$C$22)+'THAM_SO_MOI'!$C$24*(E4492/'THAM_SO_MOI'!$C$22)^2-'THAM_SO_MOI'!$C$25*(E4492/'THAM_SO_MOI'!$C$22)^3)</f>
        <v>104.57358640793959</v>
      </c>
      <c r="K4492" s="75">
        <f>'THAM_SO_MOI'!$C$31*J4492/E4492</f>
        <v>428.85124138115697</v>
      </c>
      <c r="L4492" s="75">
        <f>K4492*'THAM_SO_MOI'!$C$53*'THAM_SO_MOI'!$C$17/'THAM_SO_MOI'!$C$26</f>
        <v>3761.02706499417</v>
      </c>
      <c r="M4492" s="75">
        <f>'THAM_SO_MOI'!$C$15*'THAM_SO_MOI'!$C$16*F4492^2</f>
        <v>1634.401237051207</v>
      </c>
      <c r="N4492" s="75">
        <f>'THAM_SO_MOI'!$C$12*I4492</f>
        <v>1551.093527249325</v>
      </c>
      <c r="O4492" s="75">
        <f>M4492+N4492</f>
        <v>3185.494764300532</v>
      </c>
      <c r="P4492" s="75">
        <f>(MIN(L4492,'THAM_SO_MOI'!$C$41)-O4492)/('THAM_SO_MOI'!$C$11*H4492)</f>
        <v>0.06812645604801587</v>
      </c>
      <c r="Q4492" s="75">
        <f>IF(P4492&gt;0,1/P4492,NA())</f>
        <v>14.67858535449422</v>
      </c>
      <c r="R4492" s="75">
        <f>F4492-F4491</f>
        <v>0.0035868055555532408</v>
      </c>
      <c r="S4492" s="75">
        <f>0.5*(Q4491+Q4492)*R4492</f>
        <v>0.052618509205473916</v>
      </c>
      <c r="T4492" s="75">
        <f>0.5*(F4491*Q4491+F4492*Q4492)*R4492</f>
        <v>1.2437182700968339</v>
      </c>
      <c r="U4492" s="76">
        <f>U4491+S4492</f>
        <v>79.25378154876866</v>
      </c>
      <c r="V4492" s="76">
        <f>V4491+T4492</f>
        <v>1332.2307621590185</v>
      </c>
    </row>
    <row r="4493" spans="1:22" ht="19" customHeight="1">
      <c r="A4493" s="68" t="s">
        <v>378</v>
      </c>
      <c r="B4493" s="74">
        <v>5</v>
      </c>
      <c r="C4493" s="68" t="s">
        <v>363</v>
      </c>
      <c r="D4493" s="68" t="s">
        <v>365</v>
      </c>
      <c r="E4493" s="75">
        <f>60*F4493*'THAM_SO_MOI'!$C$53/(2*PI()*'THAM_SO_MOI'!$C$26)</f>
        <v>2329.348894736842</v>
      </c>
      <c r="F4493" s="75">
        <f>'THAM_SO_MOI'!$C$14+('THAM_SO_MOI'!$C$37-'THAM_SO_MOI'!$C$14)*402/'THAM_SO_MOI'!$C$42</f>
        <v>23.641895833333333</v>
      </c>
      <c r="G4493" s="75">
        <f>3.6*F4493</f>
        <v>85.110825</v>
      </c>
      <c r="H4493" s="75">
        <f>'THAM_SO_MOI'!$D$53</f>
        <v>1.1</v>
      </c>
      <c r="I4493" s="75">
        <f>IF(F4493&gt;='THAM_SO_MOI'!$C$14,'THAM_SO_MOI'!$C$13*(1+F4493^2/1500),'THAM_SO_MOI'!$C$13)</f>
        <v>0.02058939238594184</v>
      </c>
      <c r="J4493" s="75">
        <f>'THAM_SO_MOI'!$C$40*('THAM_SO_MOI'!$C$23*(E4493/'THAM_SO_MOI'!$C$22)+'THAM_SO_MOI'!$C$24*(E4493/'THAM_SO_MOI'!$C$22)^2-'THAM_SO_MOI'!$C$25*(E4493/'THAM_SO_MOI'!$C$22)^3)</f>
        <v>104.5880953114063</v>
      </c>
      <c r="K4493" s="75">
        <f>'THAM_SO_MOI'!$C$31*J4493/E4493</f>
        <v>428.84566994989615</v>
      </c>
      <c r="L4493" s="75">
        <f>K4493*'THAM_SO_MOI'!$C$53*'THAM_SO_MOI'!$C$17/'THAM_SO_MOI'!$C$26</f>
        <v>3760.978203520212</v>
      </c>
      <c r="M4493" s="75">
        <f>'THAM_SO_MOI'!$C$15*'THAM_SO_MOI'!$C$16*F4493^2</f>
        <v>1634.8972728879885</v>
      </c>
      <c r="N4493" s="75">
        <f>'THAM_SO_MOI'!$C$12*I4493</f>
        <v>1551.2212938707669</v>
      </c>
      <c r="O4493" s="75">
        <f>M4493+N4493</f>
        <v>3186.118566758755</v>
      </c>
      <c r="P4493" s="75">
        <f>(MIN(L4493,'THAM_SO_MOI'!$C$41)-O4493)/('THAM_SO_MOI'!$C$11*H4493)</f>
        <v>0.06804683200301333</v>
      </c>
      <c r="Q4493" s="75">
        <f>IF(P4493&gt;0,1/P4493,NA())</f>
        <v>14.695761295040406</v>
      </c>
      <c r="R4493" s="75">
        <f>F4493-F4492</f>
        <v>0.0035868055555567935</v>
      </c>
      <c r="S4493" s="75">
        <f>0.5*(Q4492+Q4493)*R4493</f>
        <v>0.05268003487670094</v>
      </c>
      <c r="T4493" s="75">
        <f>0.5*(F4492*Q4492+F4493*Q4493)*R4493</f>
        <v>1.2453614757733158</v>
      </c>
      <c r="U4493" s="76">
        <f>U4492+S4493</f>
        <v>79.30646158364536</v>
      </c>
      <c r="V4493" s="76">
        <f>V4492+T4493</f>
        <v>1333.4761236347917</v>
      </c>
    </row>
    <row r="4494" spans="1:22" ht="19" customHeight="1">
      <c r="A4494" s="68" t="s">
        <v>378</v>
      </c>
      <c r="B4494" s="74">
        <v>5</v>
      </c>
      <c r="C4494" s="68" t="s">
        <v>363</v>
      </c>
      <c r="D4494" s="68" t="s">
        <v>365</v>
      </c>
      <c r="E4494" s="75">
        <f>60*F4494*'THAM_SO_MOI'!$C$53/(2*PI()*'THAM_SO_MOI'!$C$26)</f>
        <v>2329.7022894736833</v>
      </c>
      <c r="F4494" s="75">
        <f>'THAM_SO_MOI'!$C$14+('THAM_SO_MOI'!$C$37-'THAM_SO_MOI'!$C$14)*403/'THAM_SO_MOI'!$C$42</f>
        <v>23.645482638888886</v>
      </c>
      <c r="G4494" s="75">
        <f>3.6*F4494</f>
        <v>85.12373749999999</v>
      </c>
      <c r="H4494" s="75">
        <f>'THAM_SO_MOI'!$D$53</f>
        <v>1.1</v>
      </c>
      <c r="I4494" s="75">
        <f>IF(F4494&gt;='THAM_SO_MOI'!$C$14,'THAM_SO_MOI'!$C$13*(1+F4494^2/1500),'THAM_SO_MOI'!$C$13)</f>
        <v>0.020591088492259955</v>
      </c>
      <c r="J4494" s="75">
        <f>'THAM_SO_MOI'!$C$40*('THAM_SO_MOI'!$C$23*(E4494/'THAM_SO_MOI'!$C$22)+'THAM_SO_MOI'!$C$24*(E4494/'THAM_SO_MOI'!$C$22)^2-'THAM_SO_MOI'!$C$25*(E4494/'THAM_SO_MOI'!$C$22)^3)</f>
        <v>104.60260084725343</v>
      </c>
      <c r="K4494" s="75">
        <f>'THAM_SO_MOI'!$C$31*J4494/E4494</f>
        <v>428.8400864026509</v>
      </c>
      <c r="L4494" s="75">
        <f>K4494*'THAM_SO_MOI'!$C$53*'THAM_SO_MOI'!$C$17/'THAM_SO_MOI'!$C$26</f>
        <v>3760.929235789023</v>
      </c>
      <c r="M4494" s="75">
        <f>'THAM_SO_MOI'!$C$15*'THAM_SO_MOI'!$C$16*F4494^2</f>
        <v>1635.3933839860374</v>
      </c>
      <c r="N4494" s="75">
        <f>'THAM_SO_MOI'!$C$12*I4494</f>
        <v>1551.3490798776588</v>
      </c>
      <c r="O4494" s="75">
        <f>M4494+N4494</f>
        <v>3186.7424638636962</v>
      </c>
      <c r="P4494" s="75">
        <f>(MIN(L4494,'THAM_SO_MOI'!$C$41)-O4494)/('THAM_SO_MOI'!$C$11*H4494)</f>
        <v>0.0679671841767669</v>
      </c>
      <c r="Q4494" s="75">
        <f>IF(P4494&gt;0,1/P4494,NA())</f>
        <v>14.712982627016467</v>
      </c>
      <c r="R4494" s="75">
        <f>F4494-F4493</f>
        <v>0.0035868055555532408</v>
      </c>
      <c r="S4494" s="75">
        <f>0.5*(Q4493+Q4494)*R4494</f>
        <v>0.0527417230407381</v>
      </c>
      <c r="T4494" s="75">
        <f>0.5*(F4493*Q4493+F4494*Q4494)*R4494</f>
        <v>1.247008964741111</v>
      </c>
      <c r="U4494" s="76">
        <f>U4493+S4494</f>
        <v>79.3592033066861</v>
      </c>
      <c r="V4494" s="76">
        <f>V4493+T4494</f>
        <v>1334.7231325995328</v>
      </c>
    </row>
    <row r="4495" spans="1:22" ht="19" customHeight="1">
      <c r="A4495" s="68" t="s">
        <v>378</v>
      </c>
      <c r="B4495" s="74">
        <v>5</v>
      </c>
      <c r="C4495" s="68" t="s">
        <v>363</v>
      </c>
      <c r="D4495" s="68" t="s">
        <v>365</v>
      </c>
      <c r="E4495" s="75">
        <f>60*F4495*'THAM_SO_MOI'!$C$53/(2*PI()*'THAM_SO_MOI'!$C$26)</f>
        <v>2330.0556842105257</v>
      </c>
      <c r="F4495" s="75">
        <f>'THAM_SO_MOI'!$C$14+('THAM_SO_MOI'!$C$37-'THAM_SO_MOI'!$C$14)*404/'THAM_SO_MOI'!$C$42</f>
        <v>23.649069444444443</v>
      </c>
      <c r="G4495" s="75">
        <f>3.6*F4495</f>
        <v>85.13665</v>
      </c>
      <c r="H4495" s="75">
        <f>'THAM_SO_MOI'!$D$53</f>
        <v>1.1</v>
      </c>
      <c r="I4495" s="75">
        <f>IF(F4495&gt;='THAM_SO_MOI'!$C$14,'THAM_SO_MOI'!$C$13*(1+F4495^2/1500),'THAM_SO_MOI'!$C$13)</f>
        <v>0.020592784855881556</v>
      </c>
      <c r="J4495" s="75">
        <f>'THAM_SO_MOI'!$C$40*('THAM_SO_MOI'!$C$23*(E4495/'THAM_SO_MOI'!$C$22)+'THAM_SO_MOI'!$C$24*(E4495/'THAM_SO_MOI'!$C$22)^2-'THAM_SO_MOI'!$C$25*(E4495/'THAM_SO_MOI'!$C$22)^3)</f>
        <v>104.61710301413613</v>
      </c>
      <c r="K4495" s="75">
        <f>'THAM_SO_MOI'!$C$31*J4495/E4495</f>
        <v>428.83449073942126</v>
      </c>
      <c r="L4495" s="75">
        <f>K4495*'THAM_SO_MOI'!$C$53*'THAM_SO_MOI'!$C$17/'THAM_SO_MOI'!$C$26</f>
        <v>3760.8801618006028</v>
      </c>
      <c r="M4495" s="75">
        <f>'THAM_SO_MOI'!$C$15*'THAM_SO_MOI'!$C$16*F4495^2</f>
        <v>1635.8895703453559</v>
      </c>
      <c r="N4495" s="75">
        <f>'THAM_SO_MOI'!$C$12*I4495</f>
        <v>1551.4768852700013</v>
      </c>
      <c r="O4495" s="75">
        <f>M4495+N4495</f>
        <v>3187.366455615357</v>
      </c>
      <c r="P4495" s="75">
        <f>(MIN(L4495,'THAM_SO_MOI'!$C$41)-O4495)/('THAM_SO_MOI'!$C$11*H4495)</f>
        <v>0.06788751256927623</v>
      </c>
      <c r="Q4495" s="75">
        <f>IF(P4495&gt;0,1/P4495,NA())</f>
        <v>14.730249528284658</v>
      </c>
      <c r="R4495" s="75">
        <f>F4495-F4494</f>
        <v>0.0035868055555567935</v>
      </c>
      <c r="S4495" s="75">
        <f>0.5*(Q4494+Q4495)*R4495</f>
        <v>0.05280357433409125</v>
      </c>
      <c r="T4495" s="75">
        <f>0.5*(F4494*Q4494+F4495*Q4495)*R4495</f>
        <v>1.2486607538003436</v>
      </c>
      <c r="U4495" s="76">
        <f>U4494+S4495</f>
        <v>79.41200688102019</v>
      </c>
      <c r="V4495" s="76">
        <f>V4494+T4495</f>
        <v>1335.9717933533332</v>
      </c>
    </row>
    <row r="4496" spans="1:22" ht="19" customHeight="1">
      <c r="A4496" s="68" t="s">
        <v>378</v>
      </c>
      <c r="B4496" s="74">
        <v>5</v>
      </c>
      <c r="C4496" s="68" t="s">
        <v>363</v>
      </c>
      <c r="D4496" s="68" t="s">
        <v>365</v>
      </c>
      <c r="E4496" s="75">
        <f>60*F4496*'THAM_SO_MOI'!$C$53/(2*PI()*'THAM_SO_MOI'!$C$26)</f>
        <v>2330.409078947368</v>
      </c>
      <c r="F4496" s="75">
        <f>'THAM_SO_MOI'!$C$14+('THAM_SO_MOI'!$C$37-'THAM_SO_MOI'!$C$14)*405/'THAM_SO_MOI'!$C$42</f>
        <v>23.65265625</v>
      </c>
      <c r="G4496" s="75">
        <f>3.6*F4496</f>
        <v>85.1495625</v>
      </c>
      <c r="H4496" s="75">
        <f>'THAM_SO_MOI'!$D$53</f>
        <v>1.1</v>
      </c>
      <c r="I4496" s="75">
        <f>IF(F4496&gt;='THAM_SO_MOI'!$C$14,'THAM_SO_MOI'!$C$13*(1+F4496^2/1500),'THAM_SO_MOI'!$C$13)</f>
        <v>0.02059448147680664</v>
      </c>
      <c r="J4496" s="75">
        <f>'THAM_SO_MOI'!$C$40*('THAM_SO_MOI'!$C$23*(E4496/'THAM_SO_MOI'!$C$22)+'THAM_SO_MOI'!$C$24*(E4496/'THAM_SO_MOI'!$C$22)^2-'THAM_SO_MOI'!$C$25*(E4496/'THAM_SO_MOI'!$C$22)^3)</f>
        <v>104.63160181070951</v>
      </c>
      <c r="K4496" s="75">
        <f>'THAM_SO_MOI'!$C$31*J4496/E4496</f>
        <v>428.8288829602071</v>
      </c>
      <c r="L4496" s="75">
        <f>K4496*'THAM_SO_MOI'!$C$53*'THAM_SO_MOI'!$C$17/'THAM_SO_MOI'!$C$26</f>
        <v>3760.830981554952</v>
      </c>
      <c r="M4496" s="75">
        <f>'THAM_SO_MOI'!$C$15*'THAM_SO_MOI'!$C$16*F4496^2</f>
        <v>1636.3858319659423</v>
      </c>
      <c r="N4496" s="75">
        <f>'THAM_SO_MOI'!$C$12*I4496</f>
        <v>1551.6047100477938</v>
      </c>
      <c r="O4496" s="75">
        <f>M4496+N4496</f>
        <v>3187.990542013736</v>
      </c>
      <c r="P4496" s="75">
        <f>(MIN(L4496,'THAM_SO_MOI'!$C$41)-O4496)/('THAM_SO_MOI'!$C$11*H4496)</f>
        <v>0.06780781718054167</v>
      </c>
      <c r="Q4496" s="75">
        <f>IF(P4496&gt;0,1/P4496,NA())</f>
        <v>14.747562177638759</v>
      </c>
      <c r="R4496" s="75">
        <f>F4496-F4495</f>
        <v>0.0035868055555567935</v>
      </c>
      <c r="S4496" s="75">
        <f>0.5*(Q4495+Q4496)*R4496</f>
        <v>0.052865589396231594</v>
      </c>
      <c r="T4496" s="75">
        <f>0.5*(F4495*Q4495+F4496*Q4496)*R4496</f>
        <v>1.2503168598304009</v>
      </c>
      <c r="U4496" s="76">
        <f>U4495+S4496</f>
        <v>79.46487247041642</v>
      </c>
      <c r="V4496" s="76">
        <f>V4495+T4496</f>
        <v>1337.2221102131637</v>
      </c>
    </row>
    <row r="4497" spans="1:22" ht="19" customHeight="1">
      <c r="A4497" s="68" t="s">
        <v>378</v>
      </c>
      <c r="B4497" s="74">
        <v>5</v>
      </c>
      <c r="C4497" s="68" t="s">
        <v>363</v>
      </c>
      <c r="D4497" s="68" t="s">
        <v>365</v>
      </c>
      <c r="E4497" s="75">
        <f>60*F4497*'THAM_SO_MOI'!$C$53/(2*PI()*'THAM_SO_MOI'!$C$26)</f>
        <v>2330.76247368421</v>
      </c>
      <c r="F4497" s="75">
        <f>'THAM_SO_MOI'!$C$14+('THAM_SO_MOI'!$C$37-'THAM_SO_MOI'!$C$14)*406/'THAM_SO_MOI'!$C$42</f>
        <v>23.656243055555553</v>
      </c>
      <c r="G4497" s="75">
        <f>3.6*F4497</f>
        <v>85.16247499999999</v>
      </c>
      <c r="H4497" s="75">
        <f>'THAM_SO_MOI'!$D$53</f>
        <v>1.1</v>
      </c>
      <c r="I4497" s="75">
        <f>IF(F4497&gt;='THAM_SO_MOI'!$C$14,'THAM_SO_MOI'!$C$13*(1+F4497^2/1500),'THAM_SO_MOI'!$C$13)</f>
        <v>0.020596178355035202</v>
      </c>
      <c r="J4497" s="75">
        <f>'THAM_SO_MOI'!$C$40*('THAM_SO_MOI'!$C$23*(E4497/'THAM_SO_MOI'!$C$22)+'THAM_SO_MOI'!$C$24*(E4497/'THAM_SO_MOI'!$C$22)^2-'THAM_SO_MOI'!$C$25*(E4497/'THAM_SO_MOI'!$C$22)^3)</f>
        <v>104.64609723562863</v>
      </c>
      <c r="K4497" s="75">
        <f>'THAM_SO_MOI'!$C$31*J4497/E4497</f>
        <v>428.8232630650085</v>
      </c>
      <c r="L4497" s="75">
        <f>K4497*'THAM_SO_MOI'!$C$53*'THAM_SO_MOI'!$C$17/'THAM_SO_MOI'!$C$26</f>
        <v>3760.781695052069</v>
      </c>
      <c r="M4497" s="75">
        <f>'THAM_SO_MOI'!$C$15*'THAM_SO_MOI'!$C$16*F4497^2</f>
        <v>1636.8821688477972</v>
      </c>
      <c r="N4497" s="75">
        <f>'THAM_SO_MOI'!$C$12*I4497</f>
        <v>1551.7325542110361</v>
      </c>
      <c r="O4497" s="75">
        <f>M4497+N4497</f>
        <v>3188.614723058833</v>
      </c>
      <c r="P4497" s="75">
        <f>(MIN(L4497,'THAM_SO_MOI'!$C$41)-O4497)/('THAM_SO_MOI'!$C$11*H4497)</f>
        <v>0.06772809801056293</v>
      </c>
      <c r="Q4497" s="75">
        <f>IF(P4497&gt;0,1/P4497,NA())</f>
        <v>14.764920754810495</v>
      </c>
      <c r="R4497" s="75">
        <f>F4497-F4496</f>
        <v>0.0035868055555532408</v>
      </c>
      <c r="S4497" s="75">
        <f>0.5*(Q4496+Q4497)*R4497</f>
        <v>0.052927768870139585</v>
      </c>
      <c r="T4497" s="75">
        <f>0.5*(F4496*Q4496+F4497*Q4497)*R4497</f>
        <v>1.251977299802855</v>
      </c>
      <c r="U4497" s="76">
        <f>U4496+S4497</f>
        <v>79.51780023928656</v>
      </c>
      <c r="V4497" s="76">
        <f>V4496+T4497</f>
        <v>1338.4740875129664</v>
      </c>
    </row>
    <row r="4498" spans="1:22" ht="19" customHeight="1">
      <c r="A4498" s="68" t="s">
        <v>378</v>
      </c>
      <c r="B4498" s="74">
        <v>5</v>
      </c>
      <c r="C4498" s="68" t="s">
        <v>363</v>
      </c>
      <c r="D4498" s="68" t="s">
        <v>365</v>
      </c>
      <c r="E4498" s="75">
        <f>60*F4498*'THAM_SO_MOI'!$C$53/(2*PI()*'THAM_SO_MOI'!$C$26)</f>
        <v>2331.115868421052</v>
      </c>
      <c r="F4498" s="75">
        <f>'THAM_SO_MOI'!$C$14+('THAM_SO_MOI'!$C$37-'THAM_SO_MOI'!$C$14)*407/'THAM_SO_MOI'!$C$42</f>
        <v>23.65982986111111</v>
      </c>
      <c r="G4498" s="75">
        <f>3.6*F4498</f>
        <v>85.1753875</v>
      </c>
      <c r="H4498" s="75">
        <f>'THAM_SO_MOI'!$D$53</f>
        <v>1.1</v>
      </c>
      <c r="I4498" s="75">
        <f>IF(F4498&gt;='THAM_SO_MOI'!$C$14,'THAM_SO_MOI'!$C$13*(1+F4498^2/1500),'THAM_SO_MOI'!$C$13)</f>
        <v>0.020597875490567248</v>
      </c>
      <c r="J4498" s="75">
        <f>'THAM_SO_MOI'!$C$40*('THAM_SO_MOI'!$C$23*(E4498/'THAM_SO_MOI'!$C$22)+'THAM_SO_MOI'!$C$24*(E4498/'THAM_SO_MOI'!$C$22)^2-'THAM_SO_MOI'!$C$25*(E4498/'THAM_SO_MOI'!$C$22)^3)</f>
        <v>104.66058928754863</v>
      </c>
      <c r="K4498" s="75">
        <f>'THAM_SO_MOI'!$C$31*J4498/E4498</f>
        <v>428.81763105382544</v>
      </c>
      <c r="L4498" s="75">
        <f>K4498*'THAM_SO_MOI'!$C$53*'THAM_SO_MOI'!$C$17/'THAM_SO_MOI'!$C$26</f>
        <v>3760.732302291956</v>
      </c>
      <c r="M4498" s="75">
        <f>'THAM_SO_MOI'!$C$15*'THAM_SO_MOI'!$C$16*F4498^2</f>
        <v>1637.3785809909205</v>
      </c>
      <c r="N4498" s="75">
        <f>'THAM_SO_MOI'!$C$12*I4498</f>
        <v>1551.860417759729</v>
      </c>
      <c r="O4498" s="75">
        <f>M4498+N4498</f>
        <v>3189.2389987506494</v>
      </c>
      <c r="P4498" s="75">
        <f>(MIN(L4498,'THAM_SO_MOI'!$C$41)-O4498)/('THAM_SO_MOI'!$C$11*H4498)</f>
        <v>0.06764835505934025</v>
      </c>
      <c r="Q4498" s="75">
        <f>IF(P4498&gt;0,1/P4498,NA())</f>
        <v>14.782325440475429</v>
      </c>
      <c r="R4498" s="75">
        <f>F4498-F4497</f>
        <v>0.0035868055555567935</v>
      </c>
      <c r="S4498" s="75">
        <f>0.5*(Q4497+Q4498)*R4498</f>
        <v>0.05299011340232794</v>
      </c>
      <c r="T4498" s="75">
        <f>0.5*(F4497*Q4497+F4498*Q4498)*R4498</f>
        <v>1.25364209078207</v>
      </c>
      <c r="U4498" s="76">
        <f>U4497+S4498</f>
        <v>79.57079035268889</v>
      </c>
      <c r="V4498" s="76">
        <f>V4497+T4498</f>
        <v>1339.7277296037485</v>
      </c>
    </row>
    <row r="4499" spans="1:22" ht="19" customHeight="1">
      <c r="A4499" s="68" t="s">
        <v>378</v>
      </c>
      <c r="B4499" s="74">
        <v>5</v>
      </c>
      <c r="C4499" s="68" t="s">
        <v>363</v>
      </c>
      <c r="D4499" s="68" t="s">
        <v>365</v>
      </c>
      <c r="E4499" s="75">
        <f>60*F4499*'THAM_SO_MOI'!$C$53/(2*PI()*'THAM_SO_MOI'!$C$26)</f>
        <v>2331.469263157894</v>
      </c>
      <c r="F4499" s="75">
        <f>'THAM_SO_MOI'!$C$14+('THAM_SO_MOI'!$C$37-'THAM_SO_MOI'!$C$14)*408/'THAM_SO_MOI'!$C$42</f>
        <v>23.663416666666667</v>
      </c>
      <c r="G4499" s="75">
        <f>3.6*F4499</f>
        <v>85.1883</v>
      </c>
      <c r="H4499" s="75">
        <f>'THAM_SO_MOI'!$D$53</f>
        <v>1.1</v>
      </c>
      <c r="I4499" s="75">
        <f>IF(F4499&gt;='THAM_SO_MOI'!$C$14,'THAM_SO_MOI'!$C$13*(1+F4499^2/1500),'THAM_SO_MOI'!$C$13)</f>
        <v>0.020599572883402778</v>
      </c>
      <c r="J4499" s="75">
        <f>'THAM_SO_MOI'!$C$40*('THAM_SO_MOI'!$C$23*(E4499/'THAM_SO_MOI'!$C$22)+'THAM_SO_MOI'!$C$24*(E4499/'THAM_SO_MOI'!$C$22)^2-'THAM_SO_MOI'!$C$25*(E4499/'THAM_SO_MOI'!$C$22)^3)</f>
        <v>104.67507796512464</v>
      </c>
      <c r="K4499" s="75">
        <f>'THAM_SO_MOI'!$C$31*J4499/E4499</f>
        <v>428.81198692665794</v>
      </c>
      <c r="L4499" s="75">
        <f>K4499*'THAM_SO_MOI'!$C$53*'THAM_SO_MOI'!$C$17/'THAM_SO_MOI'!$C$26</f>
        <v>3760.682803274612</v>
      </c>
      <c r="M4499" s="75">
        <f>'THAM_SO_MOI'!$C$15*'THAM_SO_MOI'!$C$16*F4499^2</f>
        <v>1637.8750683953126</v>
      </c>
      <c r="N4499" s="75">
        <f>'THAM_SO_MOI'!$C$12*I4499</f>
        <v>1551.9883006938721</v>
      </c>
      <c r="O4499" s="75">
        <f>M4499+N4499</f>
        <v>3189.8633690891847</v>
      </c>
      <c r="P4499" s="75">
        <f>(MIN(L4499,'THAM_SO_MOI'!$C$41)-O4499)/('THAM_SO_MOI'!$C$11*H4499)</f>
        <v>0.0675685883268735</v>
      </c>
      <c r="Q4499" s="75">
        <f>IF(P4499&gt;0,1/P4499,NA())</f>
        <v>14.79977641625936</v>
      </c>
      <c r="R4499" s="75">
        <f>F4499-F4498</f>
        <v>0.0035868055555567935</v>
      </c>
      <c r="S4499" s="75">
        <f>0.5*(Q4498+Q4499)*R4499</f>
        <v>0.05305262364239163</v>
      </c>
      <c r="T4499" s="75">
        <f>0.5*(F4498*Q4498+F4499*Q4499)*R4499</f>
        <v>1.255311249914616</v>
      </c>
      <c r="U4499" s="76">
        <f>U4498+S4499</f>
        <v>79.62384297633128</v>
      </c>
      <c r="V4499" s="76">
        <f>V4498+T4499</f>
        <v>1340.9830408536632</v>
      </c>
    </row>
    <row r="4500" spans="1:22" ht="19" customHeight="1">
      <c r="A4500" s="68" t="s">
        <v>378</v>
      </c>
      <c r="B4500" s="74">
        <v>5</v>
      </c>
      <c r="C4500" s="68" t="s">
        <v>363</v>
      </c>
      <c r="D4500" s="68" t="s">
        <v>365</v>
      </c>
      <c r="E4500" s="75">
        <f>60*F4500*'THAM_SO_MOI'!$C$53/(2*PI()*'THAM_SO_MOI'!$C$26)</f>
        <v>2331.822657894736</v>
      </c>
      <c r="F4500" s="75">
        <f>'THAM_SO_MOI'!$C$14+('THAM_SO_MOI'!$C$37-'THAM_SO_MOI'!$C$14)*409/'THAM_SO_MOI'!$C$42</f>
        <v>23.66700347222222</v>
      </c>
      <c r="G4500" s="75">
        <f>3.6*F4500</f>
        <v>85.2012125</v>
      </c>
      <c r="H4500" s="75">
        <f>'THAM_SO_MOI'!$D$53</f>
        <v>1.1</v>
      </c>
      <c r="I4500" s="75">
        <f>IF(F4500&gt;='THAM_SO_MOI'!$C$14,'THAM_SO_MOI'!$C$13*(1+F4500^2/1500),'THAM_SO_MOI'!$C$13)</f>
        <v>0.020601270533541785</v>
      </c>
      <c r="J4500" s="75">
        <f>'THAM_SO_MOI'!$C$40*('THAM_SO_MOI'!$C$23*(E4500/'THAM_SO_MOI'!$C$22)+'THAM_SO_MOI'!$C$24*(E4500/'THAM_SO_MOI'!$C$22)^2-'THAM_SO_MOI'!$C$25*(E4500/'THAM_SO_MOI'!$C$22)^3)</f>
        <v>104.68956326701172</v>
      </c>
      <c r="K4500" s="75">
        <f>'THAM_SO_MOI'!$C$31*J4500/E4500</f>
        <v>428.8063306835059</v>
      </c>
      <c r="L4500" s="75">
        <f>K4500*'THAM_SO_MOI'!$C$53*'THAM_SO_MOI'!$C$17/'THAM_SO_MOI'!$C$26</f>
        <v>3760.633198000036</v>
      </c>
      <c r="M4500" s="75">
        <f>'THAM_SO_MOI'!$C$15*'THAM_SO_MOI'!$C$16*F4500^2</f>
        <v>1638.3716310609727</v>
      </c>
      <c r="N4500" s="75">
        <f>'THAM_SO_MOI'!$C$12*I4500</f>
        <v>1552.1162030134649</v>
      </c>
      <c r="O4500" s="75">
        <f>M4500+N4500</f>
        <v>3190.4878340744376</v>
      </c>
      <c r="P4500" s="75">
        <f>(MIN(L4500,'THAM_SO_MOI'!$C$41)-O4500)/('THAM_SO_MOI'!$C$11*H4500)</f>
        <v>0.06748879781316271</v>
      </c>
      <c r="Q4500" s="75">
        <f>IF(P4500&gt;0,1/P4500,NA())</f>
        <v>14.817273864744477</v>
      </c>
      <c r="R4500" s="75">
        <f>F4500-F4499</f>
        <v>0.0035868055555532408</v>
      </c>
      <c r="S4500" s="75">
        <f>0.5*(Q4499+Q4500)*R4500</f>
        <v>0.05311530024350212</v>
      </c>
      <c r="T4500" s="75">
        <f>0.5*(F4499*Q4499+F4500*Q4500)*R4500</f>
        <v>1.2569847944410213</v>
      </c>
      <c r="U4500" s="76">
        <f>U4499+S4500</f>
        <v>79.67695827657478</v>
      </c>
      <c r="V4500" s="76">
        <f>V4499+T4500</f>
        <v>1342.2400256481042</v>
      </c>
    </row>
    <row r="4501" spans="1:22" ht="19" customHeight="1">
      <c r="A4501" s="68" t="s">
        <v>378</v>
      </c>
      <c r="B4501" s="74">
        <v>5</v>
      </c>
      <c r="C4501" s="68" t="s">
        <v>363</v>
      </c>
      <c r="D4501" s="68" t="s">
        <v>365</v>
      </c>
      <c r="E4501" s="75">
        <f>60*F4501*'THAM_SO_MOI'!$C$53/(2*PI()*'THAM_SO_MOI'!$C$26)</f>
        <v>2332.1760526315784</v>
      </c>
      <c r="F4501" s="75">
        <f>'THAM_SO_MOI'!$C$14+('THAM_SO_MOI'!$C$37-'THAM_SO_MOI'!$C$14)*410/'THAM_SO_MOI'!$C$42</f>
        <v>23.670590277777777</v>
      </c>
      <c r="G4501" s="75">
        <f>3.6*F4501</f>
        <v>85.214125</v>
      </c>
      <c r="H4501" s="75">
        <f>'THAM_SO_MOI'!$D$53</f>
        <v>1.1</v>
      </c>
      <c r="I4501" s="75">
        <f>IF(F4501&gt;='THAM_SO_MOI'!$C$14,'THAM_SO_MOI'!$C$13*(1+F4501^2/1500),'THAM_SO_MOI'!$C$13)</f>
        <v>0.020602968440984276</v>
      </c>
      <c r="J4501" s="75">
        <f>'THAM_SO_MOI'!$C$40*('THAM_SO_MOI'!$C$23*(E4501/'THAM_SO_MOI'!$C$22)+'THAM_SO_MOI'!$C$24*(E4501/'THAM_SO_MOI'!$C$22)^2-'THAM_SO_MOI'!$C$25*(E4501/'THAM_SO_MOI'!$C$22)^3)</f>
        <v>104.70404519186503</v>
      </c>
      <c r="K4501" s="75">
        <f>'THAM_SO_MOI'!$C$31*J4501/E4501</f>
        <v>428.8006623243694</v>
      </c>
      <c r="L4501" s="75">
        <f>K4501*'THAM_SO_MOI'!$C$53*'THAM_SO_MOI'!$C$17/'THAM_SO_MOI'!$C$26</f>
        <v>3760.5834864682283</v>
      </c>
      <c r="M4501" s="75">
        <f>'THAM_SO_MOI'!$C$15*'THAM_SO_MOI'!$C$16*F4501^2</f>
        <v>1638.8682689879015</v>
      </c>
      <c r="N4501" s="75">
        <f>'THAM_SO_MOI'!$C$12*I4501</f>
        <v>1552.2441247185081</v>
      </c>
      <c r="O4501" s="75">
        <f>M4501+N4501</f>
        <v>3191.1123937064094</v>
      </c>
      <c r="P4501" s="75">
        <f>(MIN(L4501,'THAM_SO_MOI'!$C$41)-O4501)/('THAM_SO_MOI'!$C$11*H4501)</f>
        <v>0.0674089835182077</v>
      </c>
      <c r="Q4501" s="75">
        <f>IF(P4501&gt;0,1/P4501,NA())</f>
        <v>14.834817969475715</v>
      </c>
      <c r="R4501" s="75">
        <f>F4501-F4500</f>
        <v>0.0035868055555567935</v>
      </c>
      <c r="S4501" s="75">
        <f>0.5*(Q4500+Q4501)*R4501</f>
        <v>0.05317814386243061</v>
      </c>
      <c r="T4501" s="75">
        <f>0.5*(F4500*Q4500+F4501*Q4501)*R4501</f>
        <v>1.2586627416963883</v>
      </c>
      <c r="U4501" s="76">
        <f>U4500+S4501</f>
        <v>79.7301364204372</v>
      </c>
      <c r="V4501" s="76">
        <f>V4500+T4501</f>
        <v>1343.4986883898005</v>
      </c>
    </row>
    <row r="4502" spans="1:22" ht="19" customHeight="1">
      <c r="A4502" s="68" t="s">
        <v>378</v>
      </c>
      <c r="B4502" s="74">
        <v>5</v>
      </c>
      <c r="C4502" s="68" t="s">
        <v>363</v>
      </c>
      <c r="D4502" s="68" t="s">
        <v>365</v>
      </c>
      <c r="E4502" s="75">
        <f>60*F4502*'THAM_SO_MOI'!$C$53/(2*PI()*'THAM_SO_MOI'!$C$26)</f>
        <v>2332.5294473684207</v>
      </c>
      <c r="F4502" s="75">
        <f>'THAM_SO_MOI'!$C$14+('THAM_SO_MOI'!$C$37-'THAM_SO_MOI'!$C$14)*411/'THAM_SO_MOI'!$C$42</f>
        <v>23.674177083333333</v>
      </c>
      <c r="G4502" s="75">
        <f>3.6*F4502</f>
        <v>85.22703750000001</v>
      </c>
      <c r="H4502" s="75">
        <f>'THAM_SO_MOI'!$D$53</f>
        <v>1.1</v>
      </c>
      <c r="I4502" s="75">
        <f>IF(F4502&gt;='THAM_SO_MOI'!$C$14,'THAM_SO_MOI'!$C$13*(1+F4502^2/1500),'THAM_SO_MOI'!$C$13)</f>
        <v>0.02060466660573025</v>
      </c>
      <c r="J4502" s="75">
        <f>'THAM_SO_MOI'!$C$40*('THAM_SO_MOI'!$C$23*(E4502/'THAM_SO_MOI'!$C$22)+'THAM_SO_MOI'!$C$24*(E4502/'THAM_SO_MOI'!$C$22)^2-'THAM_SO_MOI'!$C$25*(E4502/'THAM_SO_MOI'!$C$22)^3)</f>
        <v>104.71852373833967</v>
      </c>
      <c r="K4502" s="75">
        <f>'THAM_SO_MOI'!$C$31*J4502/E4502</f>
        <v>428.7949818492484</v>
      </c>
      <c r="L4502" s="75">
        <f>K4502*'THAM_SO_MOI'!$C$53*'THAM_SO_MOI'!$C$17/'THAM_SO_MOI'!$C$26</f>
        <v>3760.53366867919</v>
      </c>
      <c r="M4502" s="75">
        <f>'THAM_SO_MOI'!$C$15*'THAM_SO_MOI'!$C$16*F4502^2</f>
        <v>1639.364982176099</v>
      </c>
      <c r="N4502" s="75">
        <f>'THAM_SO_MOI'!$C$12*I4502</f>
        <v>1552.3720658090017</v>
      </c>
      <c r="O4502" s="75">
        <f>M4502+N4502</f>
        <v>3191.7370479851006</v>
      </c>
      <c r="P4502" s="75">
        <f>(MIN(L4502,'THAM_SO_MOI'!$C$41)-O4502)/('THAM_SO_MOI'!$C$11*H4502)</f>
        <v>0.06732914544200874</v>
      </c>
      <c r="Q4502" s="75">
        <f>IF(P4502&gt;0,1/P4502,NA())</f>
        <v>14.852408914966993</v>
      </c>
      <c r="R4502" s="75">
        <f>F4502-F4501</f>
        <v>0.0035868055555567935</v>
      </c>
      <c r="S4502" s="75">
        <f>0.5*(Q4501+Q4502)*R4502</f>
        <v>0.05324115515909705</v>
      </c>
      <c r="T4502" s="75">
        <f>0.5*(F4501*Q4501+F4502*Q4502)*R4502</f>
        <v>1.2603451090997793</v>
      </c>
      <c r="U4502" s="76">
        <f>U4501+S4502</f>
        <v>79.7833775755963</v>
      </c>
      <c r="V4502" s="76">
        <f>V4501+T4502</f>
        <v>1344.7590334989002</v>
      </c>
    </row>
    <row r="4503" spans="1:22" ht="19" customHeight="1">
      <c r="A4503" s="68" t="s">
        <v>378</v>
      </c>
      <c r="B4503" s="74">
        <v>5</v>
      </c>
      <c r="C4503" s="68" t="s">
        <v>363</v>
      </c>
      <c r="D4503" s="68" t="s">
        <v>365</v>
      </c>
      <c r="E4503" s="75">
        <f>60*F4503*'THAM_SO_MOI'!$C$53/(2*PI()*'THAM_SO_MOI'!$C$26)</f>
        <v>2332.8828421052626</v>
      </c>
      <c r="F4503" s="75">
        <f>'THAM_SO_MOI'!$C$14+('THAM_SO_MOI'!$C$37-'THAM_SO_MOI'!$C$14)*412/'THAM_SO_MOI'!$C$42</f>
        <v>23.677763888888887</v>
      </c>
      <c r="G4503" s="75">
        <f>3.6*F4503</f>
        <v>85.23995</v>
      </c>
      <c r="H4503" s="75">
        <f>'THAM_SO_MOI'!$D$53</f>
        <v>1.1</v>
      </c>
      <c r="I4503" s="75">
        <f>IF(F4503&gt;='THAM_SO_MOI'!$C$14,'THAM_SO_MOI'!$C$13*(1+F4503^2/1500),'THAM_SO_MOI'!$C$13)</f>
        <v>0.020606365027779704</v>
      </c>
      <c r="J4503" s="75">
        <f>'THAM_SO_MOI'!$C$40*('THAM_SO_MOI'!$C$23*(E4503/'THAM_SO_MOI'!$C$22)+'THAM_SO_MOI'!$C$24*(E4503/'THAM_SO_MOI'!$C$22)^2-'THAM_SO_MOI'!$C$25*(E4503/'THAM_SO_MOI'!$C$22)^3)</f>
        <v>104.73299890509074</v>
      </c>
      <c r="K4503" s="75">
        <f>'THAM_SO_MOI'!$C$31*J4503/E4503</f>
        <v>428.78928925814307</v>
      </c>
      <c r="L4503" s="75">
        <f>K4503*'THAM_SO_MOI'!$C$53*'THAM_SO_MOI'!$C$17/'THAM_SO_MOI'!$C$26</f>
        <v>3760.483744632921</v>
      </c>
      <c r="M4503" s="75">
        <f>'THAM_SO_MOI'!$C$15*'THAM_SO_MOI'!$C$16*F4503^2</f>
        <v>1639.861770625564</v>
      </c>
      <c r="N4503" s="75">
        <f>'THAM_SO_MOI'!$C$12*I4503</f>
        <v>1552.500026284945</v>
      </c>
      <c r="O4503" s="75">
        <f>M4503+N4503</f>
        <v>3192.361796910509</v>
      </c>
      <c r="P4503" s="75">
        <f>(MIN(L4503,'THAM_SO_MOI'!$C$41)-O4503)/('THAM_SO_MOI'!$C$11*H4503)</f>
        <v>0.0672492835845658</v>
      </c>
      <c r="Q4503" s="75">
        <f>IF(P4503&gt;0,1/P4503,NA())</f>
        <v>14.87004688670776</v>
      </c>
      <c r="R4503" s="75">
        <f>F4503-F4502</f>
        <v>0.0035868055555532408</v>
      </c>
      <c r="S4503" s="75">
        <f>0.5*(Q4502+Q4503)*R4503</f>
        <v>0.05330433479706633</v>
      </c>
      <c r="T4503" s="75">
        <f>0.5*(F4502*Q4502+F4503*Q4503)*R4503</f>
        <v>1.2620319141660221</v>
      </c>
      <c r="U4503" s="76">
        <f>U4502+S4503</f>
        <v>79.83668191039337</v>
      </c>
      <c r="V4503" s="76">
        <f>V4502+T4503</f>
        <v>1346.0210654130663</v>
      </c>
    </row>
    <row r="4504" spans="1:22" ht="19" customHeight="1">
      <c r="A4504" s="68" t="s">
        <v>378</v>
      </c>
      <c r="B4504" s="74">
        <v>5</v>
      </c>
      <c r="C4504" s="68" t="s">
        <v>363</v>
      </c>
      <c r="D4504" s="68" t="s">
        <v>365</v>
      </c>
      <c r="E4504" s="75">
        <f>60*F4504*'THAM_SO_MOI'!$C$53/(2*PI()*'THAM_SO_MOI'!$C$26)</f>
        <v>2333.2362368421045</v>
      </c>
      <c r="F4504" s="75">
        <f>'THAM_SO_MOI'!$C$14+('THAM_SO_MOI'!$C$37-'THAM_SO_MOI'!$C$14)*413/'THAM_SO_MOI'!$C$42</f>
        <v>23.681350694444443</v>
      </c>
      <c r="G4504" s="75">
        <f>3.6*F4504</f>
        <v>85.25286249999999</v>
      </c>
      <c r="H4504" s="75">
        <f>'THAM_SO_MOI'!$D$53</f>
        <v>1.1</v>
      </c>
      <c r="I4504" s="75">
        <f>IF(F4504&gt;='THAM_SO_MOI'!$C$14,'THAM_SO_MOI'!$C$13*(1+F4504^2/1500),'THAM_SO_MOI'!$C$13)</f>
        <v>0.020608063707132643</v>
      </c>
      <c r="J4504" s="75">
        <f>'THAM_SO_MOI'!$C$40*('THAM_SO_MOI'!$C$23*(E4504/'THAM_SO_MOI'!$C$22)+'THAM_SO_MOI'!$C$24*(E4504/'THAM_SO_MOI'!$C$22)^2-'THAM_SO_MOI'!$C$25*(E4504/'THAM_SO_MOI'!$C$22)^3)</f>
        <v>104.74747069077337</v>
      </c>
      <c r="K4504" s="75">
        <f>'THAM_SO_MOI'!$C$31*J4504/E4504</f>
        <v>428.78358455105337</v>
      </c>
      <c r="L4504" s="75">
        <f>K4504*'THAM_SO_MOI'!$C$53*'THAM_SO_MOI'!$C$17/'THAM_SO_MOI'!$C$26</f>
        <v>3760.4337143294224</v>
      </c>
      <c r="M4504" s="75">
        <f>'THAM_SO_MOI'!$C$15*'THAM_SO_MOI'!$C$16*F4504^2</f>
        <v>1640.3586343362983</v>
      </c>
      <c r="N4504" s="75">
        <f>'THAM_SO_MOI'!$C$12*I4504</f>
        <v>1552.6280061463392</v>
      </c>
      <c r="O4504" s="75">
        <f>M4504+N4504</f>
        <v>3192.9866404826375</v>
      </c>
      <c r="P4504" s="75">
        <f>(MIN(L4504,'THAM_SO_MOI'!$C$41)-O4504)/('THAM_SO_MOI'!$C$11*H4504)</f>
        <v>0.06716939794587887</v>
      </c>
      <c r="Q4504" s="75">
        <f>IF(P4504&gt;0,1/P4504,NA())</f>
        <v>14.887732071169388</v>
      </c>
      <c r="R4504" s="75">
        <f>F4504-F4503</f>
        <v>0.0035868055555567935</v>
      </c>
      <c r="S4504" s="75">
        <f>0.5*(Q4503+Q4504)*R4504</f>
        <v>0.05336768344357241</v>
      </c>
      <c r="T4504" s="75">
        <f>0.5*(F4503*Q4503+F4504*Q4504)*R4504</f>
        <v>1.2637231745063475</v>
      </c>
      <c r="U4504" s="76">
        <f>U4503+S4504</f>
        <v>79.89004959383693</v>
      </c>
      <c r="V4504" s="76">
        <f>V4503+T4504</f>
        <v>1347.2847885875726</v>
      </c>
    </row>
    <row r="4505" spans="1:22" ht="19" customHeight="1">
      <c r="A4505" s="68" t="s">
        <v>378</v>
      </c>
      <c r="B4505" s="74">
        <v>5</v>
      </c>
      <c r="C4505" s="68" t="s">
        <v>363</v>
      </c>
      <c r="D4505" s="68" t="s">
        <v>365</v>
      </c>
      <c r="E4505" s="75">
        <f>60*F4505*'THAM_SO_MOI'!$C$53/(2*PI()*'THAM_SO_MOI'!$C$26)</f>
        <v>2333.589631578947</v>
      </c>
      <c r="F4505" s="75">
        <f>'THAM_SO_MOI'!$C$14+('THAM_SO_MOI'!$C$37-'THAM_SO_MOI'!$C$14)*414/'THAM_SO_MOI'!$C$42</f>
        <v>23.6849375</v>
      </c>
      <c r="G4505" s="75">
        <f>3.6*F4505</f>
        <v>85.265775</v>
      </c>
      <c r="H4505" s="75">
        <f>'THAM_SO_MOI'!$D$53</f>
        <v>1.1</v>
      </c>
      <c r="I4505" s="75">
        <f>IF(F4505&gt;='THAM_SO_MOI'!$C$14,'THAM_SO_MOI'!$C$13*(1+F4505^2/1500),'THAM_SO_MOI'!$C$13)</f>
        <v>0.02060976264378906</v>
      </c>
      <c r="J4505" s="75">
        <f>'THAM_SO_MOI'!$C$40*('THAM_SO_MOI'!$C$23*(E4505/'THAM_SO_MOI'!$C$22)+'THAM_SO_MOI'!$C$24*(E4505/'THAM_SO_MOI'!$C$22)^2-'THAM_SO_MOI'!$C$25*(E4505/'THAM_SO_MOI'!$C$22)^3)</f>
        <v>104.76193909404263</v>
      </c>
      <c r="K4505" s="75">
        <f>'THAM_SO_MOI'!$C$31*J4505/E4505</f>
        <v>428.777867727979</v>
      </c>
      <c r="L4505" s="75">
        <f>K4505*'THAM_SO_MOI'!$C$53*'THAM_SO_MOI'!$C$17/'THAM_SO_MOI'!$C$26</f>
        <v>3760.38357776869</v>
      </c>
      <c r="M4505" s="75">
        <f>'THAM_SO_MOI'!$C$15*'THAM_SO_MOI'!$C$16*F4505^2</f>
        <v>1640.855573308301</v>
      </c>
      <c r="N4505" s="75">
        <f>'THAM_SO_MOI'!$C$12*I4505</f>
        <v>1552.756005393183</v>
      </c>
      <c r="O4505" s="75">
        <f>M4505+N4505</f>
        <v>3193.611578701484</v>
      </c>
      <c r="P4505" s="75">
        <f>(MIN(L4505,'THAM_SO_MOI'!$C$41)-O4505)/('THAM_SO_MOI'!$C$11*H4505)</f>
        <v>0.06708948852594765</v>
      </c>
      <c r="Q4505" s="75">
        <f>IF(P4505&gt;0,1/P4505,NA())</f>
        <v>14.905464655811741</v>
      </c>
      <c r="R4505" s="75">
        <f>F4505-F4504</f>
        <v>0.0035868055555567935</v>
      </c>
      <c r="S4505" s="75">
        <f>0.5*(Q4504+Q4505)*R4505</f>
        <v>0.0534312017690662</v>
      </c>
      <c r="T4505" s="75">
        <f>0.5*(F4504*Q4504+F4505*Q4505)*R4505</f>
        <v>1.2654189078177467</v>
      </c>
      <c r="U4505" s="76">
        <f>U4504+S4505</f>
        <v>79.943480795606</v>
      </c>
      <c r="V4505" s="76">
        <f>V4504+T4505</f>
        <v>1348.5502074953904</v>
      </c>
    </row>
    <row r="4506" spans="1:22" ht="19" customHeight="1">
      <c r="A4506" s="68" t="s">
        <v>378</v>
      </c>
      <c r="B4506" s="74">
        <v>5</v>
      </c>
      <c r="C4506" s="68" t="s">
        <v>363</v>
      </c>
      <c r="D4506" s="68" t="s">
        <v>365</v>
      </c>
      <c r="E4506" s="75">
        <f>60*F4506*'THAM_SO_MOI'!$C$53/(2*PI()*'THAM_SO_MOI'!$C$26)</f>
        <v>2333.9430263157888</v>
      </c>
      <c r="F4506" s="75">
        <f>'THAM_SO_MOI'!$C$14+('THAM_SO_MOI'!$C$37-'THAM_SO_MOI'!$C$14)*415/'THAM_SO_MOI'!$C$42</f>
        <v>23.688524305555553</v>
      </c>
      <c r="G4506" s="75">
        <f>3.6*F4506</f>
        <v>85.27868749999999</v>
      </c>
      <c r="H4506" s="75">
        <f>'THAM_SO_MOI'!$D$53</f>
        <v>1.1</v>
      </c>
      <c r="I4506" s="75">
        <f>IF(F4506&gt;='THAM_SO_MOI'!$C$14,'THAM_SO_MOI'!$C$13*(1+F4506^2/1500),'THAM_SO_MOI'!$C$13)</f>
        <v>0.02061146183774896</v>
      </c>
      <c r="J4506" s="75">
        <f>'THAM_SO_MOI'!$C$40*('THAM_SO_MOI'!$C$23*(E4506/'THAM_SO_MOI'!$C$22)+'THAM_SO_MOI'!$C$24*(E4506/'THAM_SO_MOI'!$C$22)^2-'THAM_SO_MOI'!$C$25*(E4506/'THAM_SO_MOI'!$C$22)^3)</f>
        <v>104.77640411355367</v>
      </c>
      <c r="K4506" s="75">
        <f>'THAM_SO_MOI'!$C$31*J4506/E4506</f>
        <v>428.77213878892036</v>
      </c>
      <c r="L4506" s="75">
        <f>K4506*'THAM_SO_MOI'!$C$53*'THAM_SO_MOI'!$C$17/'THAM_SO_MOI'!$C$26</f>
        <v>3760.3333349507284</v>
      </c>
      <c r="M4506" s="75">
        <f>'THAM_SO_MOI'!$C$15*'THAM_SO_MOI'!$C$16*F4506^2</f>
        <v>1641.3525875415717</v>
      </c>
      <c r="N4506" s="75">
        <f>'THAM_SO_MOI'!$C$12*I4506</f>
        <v>1552.884024025477</v>
      </c>
      <c r="O4506" s="75">
        <f>M4506+N4506</f>
        <v>3194.2366115670484</v>
      </c>
      <c r="P4506" s="75">
        <f>(MIN(L4506,'THAM_SO_MOI'!$C$41)-O4506)/('THAM_SO_MOI'!$C$11*H4506)</f>
        <v>0.06700955532477271</v>
      </c>
      <c r="Q4506" s="75">
        <f>IF(P4506&gt;0,1/P4506,NA())</f>
        <v>14.923244829089484</v>
      </c>
      <c r="R4506" s="75">
        <f>F4506-F4505</f>
        <v>0.0035868055555532408</v>
      </c>
      <c r="S4506" s="75">
        <f>0.5*(Q4505+Q4506)*R4506</f>
        <v>0.05349489044771368</v>
      </c>
      <c r="T4506" s="75">
        <f>0.5*(F4505*Q4505+F4506*Q4506)*R4506</f>
        <v>1.2671191318948274</v>
      </c>
      <c r="U4506" s="76">
        <f>U4505+S4506</f>
        <v>79.99697568605372</v>
      </c>
      <c r="V4506" s="76">
        <f>V4505+T4506</f>
        <v>1349.8173266272852</v>
      </c>
    </row>
    <row r="4507" spans="1:22" ht="19" customHeight="1">
      <c r="A4507" s="68" t="s">
        <v>378</v>
      </c>
      <c r="B4507" s="74">
        <v>5</v>
      </c>
      <c r="C4507" s="68" t="s">
        <v>363</v>
      </c>
      <c r="D4507" s="68" t="s">
        <v>365</v>
      </c>
      <c r="E4507" s="75">
        <f>60*F4507*'THAM_SO_MOI'!$C$53/(2*PI()*'THAM_SO_MOI'!$C$26)</f>
        <v>2334.296421052631</v>
      </c>
      <c r="F4507" s="75">
        <f>'THAM_SO_MOI'!$C$14+('THAM_SO_MOI'!$C$37-'THAM_SO_MOI'!$C$14)*416/'THAM_SO_MOI'!$C$42</f>
        <v>23.69211111111111</v>
      </c>
      <c r="G4507" s="75">
        <f>3.6*F4507</f>
        <v>85.2916</v>
      </c>
      <c r="H4507" s="75">
        <f>'THAM_SO_MOI'!$D$53</f>
        <v>1.1</v>
      </c>
      <c r="I4507" s="75">
        <f>IF(F4507&gt;='THAM_SO_MOI'!$C$14,'THAM_SO_MOI'!$C$13*(1+F4507^2/1500),'THAM_SO_MOI'!$C$13)</f>
        <v>0.020613161289012343</v>
      </c>
      <c r="J4507" s="75">
        <f>'THAM_SO_MOI'!$C$40*('THAM_SO_MOI'!$C$23*(E4507/'THAM_SO_MOI'!$C$22)+'THAM_SO_MOI'!$C$24*(E4507/'THAM_SO_MOI'!$C$22)^2-'THAM_SO_MOI'!$C$25*(E4507/'THAM_SO_MOI'!$C$22)^3)</f>
        <v>104.79086574796156</v>
      </c>
      <c r="K4507" s="75">
        <f>'THAM_SO_MOI'!$C$31*J4507/E4507</f>
        <v>428.7663977338771</v>
      </c>
      <c r="L4507" s="75">
        <f>K4507*'THAM_SO_MOI'!$C$53*'THAM_SO_MOI'!$C$17/'THAM_SO_MOI'!$C$26</f>
        <v>3760.2829858755354</v>
      </c>
      <c r="M4507" s="75">
        <f>'THAM_SO_MOI'!$C$15*'THAM_SO_MOI'!$C$16*F4507^2</f>
        <v>1641.849677036111</v>
      </c>
      <c r="N4507" s="75">
        <f>'THAM_SO_MOI'!$C$12*I4507</f>
        <v>1553.0120620432212</v>
      </c>
      <c r="O4507" s="75">
        <f>M4507+N4507</f>
        <v>3194.8617390793324</v>
      </c>
      <c r="P4507" s="75">
        <f>(MIN(L4507,'THAM_SO_MOI'!$C$41)-O4507)/('THAM_SO_MOI'!$C$11*H4507)</f>
        <v>0.06692959834235357</v>
      </c>
      <c r="Q4507" s="75">
        <f>IF(P4507&gt;0,1/P4507,NA())</f>
        <v>14.941072780459109</v>
      </c>
      <c r="R4507" s="75">
        <f>F4507-F4506</f>
        <v>0.0035868055555567935</v>
      </c>
      <c r="S4507" s="75">
        <f>0.5*(Q4506+Q4507)*R4507</f>
        <v>0.05355875015742074</v>
      </c>
      <c r="T4507" s="75">
        <f>0.5*(F4506*Q4506+F4507*Q4507)*R4507</f>
        <v>1.2688238646304695</v>
      </c>
      <c r="U4507" s="76">
        <f>U4506+S4507</f>
        <v>80.05053443621114</v>
      </c>
      <c r="V4507" s="76">
        <f>V4506+T4507</f>
        <v>1351.0861504919158</v>
      </c>
    </row>
    <row r="4508" spans="1:22" ht="19" customHeight="1">
      <c r="A4508" s="68" t="s">
        <v>378</v>
      </c>
      <c r="B4508" s="74">
        <v>5</v>
      </c>
      <c r="C4508" s="68" t="s">
        <v>363</v>
      </c>
      <c r="D4508" s="68" t="s">
        <v>365</v>
      </c>
      <c r="E4508" s="75">
        <f>60*F4508*'THAM_SO_MOI'!$C$53/(2*PI()*'THAM_SO_MOI'!$C$26)</f>
        <v>2334.649815789473</v>
      </c>
      <c r="F4508" s="75">
        <f>'THAM_SO_MOI'!$C$14+('THAM_SO_MOI'!$C$37-'THAM_SO_MOI'!$C$14)*417/'THAM_SO_MOI'!$C$42</f>
        <v>23.695697916666667</v>
      </c>
      <c r="G4508" s="75">
        <f>3.6*F4508</f>
        <v>85.3045125</v>
      </c>
      <c r="H4508" s="75">
        <f>'THAM_SO_MOI'!$D$53</f>
        <v>1.1</v>
      </c>
      <c r="I4508" s="75">
        <f>IF(F4508&gt;='THAM_SO_MOI'!$C$14,'THAM_SO_MOI'!$C$13*(1+F4508^2/1500),'THAM_SO_MOI'!$C$13)</f>
        <v>0.02061486099757921</v>
      </c>
      <c r="J4508" s="75">
        <f>'THAM_SO_MOI'!$C$40*('THAM_SO_MOI'!$C$23*(E4508/'THAM_SO_MOI'!$C$22)+'THAM_SO_MOI'!$C$24*(E4508/'THAM_SO_MOI'!$C$22)^2-'THAM_SO_MOI'!$C$25*(E4508/'THAM_SO_MOI'!$C$22)^3)</f>
        <v>104.80532399592144</v>
      </c>
      <c r="K4508" s="75">
        <f>'THAM_SO_MOI'!$C$31*J4508/E4508</f>
        <v>428.76064456284945</v>
      </c>
      <c r="L4508" s="75">
        <f>K4508*'THAM_SO_MOI'!$C$53*'THAM_SO_MOI'!$C$17/'THAM_SO_MOI'!$C$26</f>
        <v>3760.23253054311</v>
      </c>
      <c r="M4508" s="75">
        <f>'THAM_SO_MOI'!$C$15*'THAM_SO_MOI'!$C$16*F4508^2</f>
        <v>1642.3468417919191</v>
      </c>
      <c r="N4508" s="75">
        <f>'THAM_SO_MOI'!$C$12*I4508</f>
        <v>1553.1401194464158</v>
      </c>
      <c r="O4508" s="75">
        <f>M4508+N4508</f>
        <v>3195.486961238335</v>
      </c>
      <c r="P4508" s="75">
        <f>(MIN(L4508,'THAM_SO_MOI'!$C$41)-O4508)/('THAM_SO_MOI'!$C$11*H4508)</f>
        <v>0.06684961757869025</v>
      </c>
      <c r="Q4508" s="75">
        <f>IF(P4508&gt;0,1/P4508,NA())</f>
        <v>14.958948700385259</v>
      </c>
      <c r="R4508" s="75">
        <f>F4508-F4507</f>
        <v>0.0035868055555567935</v>
      </c>
      <c r="S4508" s="75">
        <f>0.5*(Q4507+Q4508)*R4508</f>
        <v>0.05362278157938002</v>
      </c>
      <c r="T4508" s="75">
        <f>0.5*(F4507*Q4507+F4508*Q4508)*R4508</f>
        <v>1.2705331240051556</v>
      </c>
      <c r="U4508" s="76">
        <f>U4507+S4508</f>
        <v>80.10415721779052</v>
      </c>
      <c r="V4508" s="76">
        <f>V4507+T4508</f>
        <v>1352.356683615921</v>
      </c>
    </row>
    <row r="4509" spans="1:22" ht="19" customHeight="1">
      <c r="A4509" s="68" t="s">
        <v>378</v>
      </c>
      <c r="B4509" s="74">
        <v>5</v>
      </c>
      <c r="C4509" s="68" t="s">
        <v>363</v>
      </c>
      <c r="D4509" s="68" t="s">
        <v>365</v>
      </c>
      <c r="E4509" s="75">
        <f>60*F4509*'THAM_SO_MOI'!$C$53/(2*PI()*'THAM_SO_MOI'!$C$26)</f>
        <v>2335.0032105263153</v>
      </c>
      <c r="F4509" s="75">
        <f>'THAM_SO_MOI'!$C$14+('THAM_SO_MOI'!$C$37-'THAM_SO_MOI'!$C$14)*418/'THAM_SO_MOI'!$C$42</f>
        <v>23.69928472222222</v>
      </c>
      <c r="G4509" s="75">
        <f>3.6*F4509</f>
        <v>85.317425</v>
      </c>
      <c r="H4509" s="75">
        <f>'THAM_SO_MOI'!$D$53</f>
        <v>1.1</v>
      </c>
      <c r="I4509" s="75">
        <f>IF(F4509&gt;='THAM_SO_MOI'!$C$14,'THAM_SO_MOI'!$C$13*(1+F4509^2/1500),'THAM_SO_MOI'!$C$13)</f>
        <v>0.020616560963449555</v>
      </c>
      <c r="J4509" s="75">
        <f>'THAM_SO_MOI'!$C$40*('THAM_SO_MOI'!$C$23*(E4509/'THAM_SO_MOI'!$C$22)+'THAM_SO_MOI'!$C$24*(E4509/'THAM_SO_MOI'!$C$22)^2-'THAM_SO_MOI'!$C$25*(E4509/'THAM_SO_MOI'!$C$22)^3)</f>
        <v>104.8197788560884</v>
      </c>
      <c r="K4509" s="75">
        <f>'THAM_SO_MOI'!$C$31*J4509/E4509</f>
        <v>428.75487927583725</v>
      </c>
      <c r="L4509" s="75">
        <f>K4509*'THAM_SO_MOI'!$C$53*'THAM_SO_MOI'!$C$17/'THAM_SO_MOI'!$C$26</f>
        <v>3760.181968953454</v>
      </c>
      <c r="M4509" s="75">
        <f>'THAM_SO_MOI'!$C$15*'THAM_SO_MOI'!$C$16*F4509^2</f>
        <v>1642.844081808995</v>
      </c>
      <c r="N4509" s="75">
        <f>'THAM_SO_MOI'!$C$12*I4509</f>
        <v>1553.2681962350603</v>
      </c>
      <c r="O4509" s="75">
        <f>M4509+N4509</f>
        <v>3196.1122780440555</v>
      </c>
      <c r="P4509" s="75">
        <f>(MIN(L4509,'THAM_SO_MOI'!$C$41)-O4509)/('THAM_SO_MOI'!$C$11*H4509)</f>
        <v>0.06676961303378302</v>
      </c>
      <c r="Q4509" s="75">
        <f>IF(P4509&gt;0,1/P4509,NA())</f>
        <v>14.97687278034749</v>
      </c>
      <c r="R4509" s="75">
        <f>F4509-F4508</f>
        <v>0.0035868055555532408</v>
      </c>
      <c r="S4509" s="75">
        <f>0.5*(Q4508+Q4509)*R4509</f>
        <v>0.053686985398571134</v>
      </c>
      <c r="T4509" s="75">
        <f>0.5*(F4508*Q4508+F4509*Q4509)*R4509</f>
        <v>1.2722469280988824</v>
      </c>
      <c r="U4509" s="76">
        <f>U4508+S4509</f>
        <v>80.15784420318909</v>
      </c>
      <c r="V4509" s="76">
        <f>V4508+T4509</f>
        <v>1353.6289305440198</v>
      </c>
    </row>
    <row r="4510" spans="1:22" ht="19" customHeight="1">
      <c r="A4510" s="68" t="s">
        <v>378</v>
      </c>
      <c r="B4510" s="74">
        <v>5</v>
      </c>
      <c r="C4510" s="68" t="s">
        <v>363</v>
      </c>
      <c r="D4510" s="68" t="s">
        <v>365</v>
      </c>
      <c r="E4510" s="75">
        <f>60*F4510*'THAM_SO_MOI'!$C$53/(2*PI()*'THAM_SO_MOI'!$C$26)</f>
        <v>2335.3566052631572</v>
      </c>
      <c r="F4510" s="75">
        <f>'THAM_SO_MOI'!$C$14+('THAM_SO_MOI'!$C$37-'THAM_SO_MOI'!$C$14)*419/'THAM_SO_MOI'!$C$42</f>
        <v>23.702871527777777</v>
      </c>
      <c r="G4510" s="75">
        <f>3.6*F4510</f>
        <v>85.3303375</v>
      </c>
      <c r="H4510" s="75">
        <f>'THAM_SO_MOI'!$D$53</f>
        <v>1.1</v>
      </c>
      <c r="I4510" s="75">
        <f>IF(F4510&gt;='THAM_SO_MOI'!$C$14,'THAM_SO_MOI'!$C$13*(1+F4510^2/1500),'THAM_SO_MOI'!$C$13)</f>
        <v>0.020618261186623382</v>
      </c>
      <c r="J4510" s="75">
        <f>'THAM_SO_MOI'!$C$40*('THAM_SO_MOI'!$C$23*(E4510/'THAM_SO_MOI'!$C$22)+'THAM_SO_MOI'!$C$24*(E4510/'THAM_SO_MOI'!$C$22)^2-'THAM_SO_MOI'!$C$25*(E4510/'THAM_SO_MOI'!$C$22)^3)</f>
        <v>104.83423032711761</v>
      </c>
      <c r="K4510" s="75">
        <f>'THAM_SO_MOI'!$C$31*J4510/E4510</f>
        <v>428.7491018728408</v>
      </c>
      <c r="L4510" s="75">
        <f>K4510*'THAM_SO_MOI'!$C$53*'THAM_SO_MOI'!$C$17/'THAM_SO_MOI'!$C$26</f>
        <v>3760.1313011065686</v>
      </c>
      <c r="M4510" s="75">
        <f>'THAM_SO_MOI'!$C$15*'THAM_SO_MOI'!$C$16*F4510^2</f>
        <v>1643.34139708734</v>
      </c>
      <c r="N4510" s="75">
        <f>'THAM_SO_MOI'!$C$12*I4510</f>
        <v>1553.396292409155</v>
      </c>
      <c r="O4510" s="75">
        <f>M4510+N4510</f>
        <v>3196.737689496495</v>
      </c>
      <c r="P4510" s="75">
        <f>(MIN(L4510,'THAM_SO_MOI'!$C$41)-O4510)/('THAM_SO_MOI'!$C$11*H4510)</f>
        <v>0.06668958470763184</v>
      </c>
      <c r="Q4510" s="75">
        <f>IF(P4510&gt;0,1/P4510,NA())</f>
        <v>14.994845212847183</v>
      </c>
      <c r="R4510" s="75">
        <f>F4510-F4509</f>
        <v>0.0035868055555567935</v>
      </c>
      <c r="S4510" s="75">
        <f>0.5*(Q4509+Q4510)*R4510</f>
        <v>0.053751362303786084</v>
      </c>
      <c r="T4510" s="75">
        <f>0.5*(F4509*Q4509+F4510*Q4510)*R4510</f>
        <v>1.2739652950918319</v>
      </c>
      <c r="U4510" s="76">
        <f>U4509+S4510</f>
        <v>80.21159556549287</v>
      </c>
      <c r="V4510" s="76">
        <f>V4509+T4510</f>
        <v>1354.9028958391116</v>
      </c>
    </row>
    <row r="4511" spans="1:22" ht="19" customHeight="1">
      <c r="A4511" s="68" t="s">
        <v>378</v>
      </c>
      <c r="B4511" s="74">
        <v>5</v>
      </c>
      <c r="C4511" s="68" t="s">
        <v>363</v>
      </c>
      <c r="D4511" s="68" t="s">
        <v>365</v>
      </c>
      <c r="E4511" s="75">
        <f>60*F4511*'THAM_SO_MOI'!$C$53/(2*PI()*'THAM_SO_MOI'!$C$26)</f>
        <v>2335.709999999999</v>
      </c>
      <c r="F4511" s="75">
        <f>'THAM_SO_MOI'!$C$14+('THAM_SO_MOI'!$C$37-'THAM_SO_MOI'!$C$14)*420/'THAM_SO_MOI'!$C$42</f>
        <v>23.70645833333333</v>
      </c>
      <c r="G4511" s="75">
        <f>3.6*F4511</f>
        <v>85.34325</v>
      </c>
      <c r="H4511" s="75">
        <f>'THAM_SO_MOI'!$D$53</f>
        <v>1.1</v>
      </c>
      <c r="I4511" s="75">
        <f>IF(F4511&gt;='THAM_SO_MOI'!$C$14,'THAM_SO_MOI'!$C$13*(1+F4511^2/1500),'THAM_SO_MOI'!$C$13)</f>
        <v>0.020619961667100693</v>
      </c>
      <c r="J4511" s="75">
        <f>'THAM_SO_MOI'!$C$40*('THAM_SO_MOI'!$C$23*(E4511/'THAM_SO_MOI'!$C$22)+'THAM_SO_MOI'!$C$24*(E4511/'THAM_SO_MOI'!$C$22)^2-'THAM_SO_MOI'!$C$25*(E4511/'THAM_SO_MOI'!$C$22)^3)</f>
        <v>104.84867840766407</v>
      </c>
      <c r="K4511" s="75">
        <f>'THAM_SO_MOI'!$C$31*J4511/E4511</f>
        <v>428.74331235385966</v>
      </c>
      <c r="L4511" s="75">
        <f>K4511*'THAM_SO_MOI'!$C$53*'THAM_SO_MOI'!$C$17/'THAM_SO_MOI'!$C$26</f>
        <v>3760.0805270024493</v>
      </c>
      <c r="M4511" s="75">
        <f>'THAM_SO_MOI'!$C$15*'THAM_SO_MOI'!$C$16*F4511^2</f>
        <v>1643.838787626953</v>
      </c>
      <c r="N4511" s="75">
        <f>'THAM_SO_MOI'!$C$12*I4511</f>
        <v>1553.5244079687</v>
      </c>
      <c r="O4511" s="75">
        <f>M4511+N4511</f>
        <v>3197.363195595653</v>
      </c>
      <c r="P4511" s="75">
        <f>(MIN(L4511,'THAM_SO_MOI'!$C$41)-O4511)/('THAM_SO_MOI'!$C$11*H4511)</f>
        <v>0.0666095326002363</v>
      </c>
      <c r="Q4511" s="75">
        <f>IF(P4511&gt;0,1/P4511,NA())</f>
        <v>15.012866191414355</v>
      </c>
      <c r="R4511" s="75">
        <f>F4511-F4510</f>
        <v>0.0035868055555532408</v>
      </c>
      <c r="S4511" s="75">
        <f>0.5*(Q4510+Q4511)*R4511</f>
        <v>0.053815912987121815</v>
      </c>
      <c r="T4511" s="75">
        <f>0.5*(F4510*Q4510+F4511*Q4511)*R4511</f>
        <v>1.2756882432524124</v>
      </c>
      <c r="U4511" s="76">
        <f>U4510+S4511</f>
        <v>80.26541147847999</v>
      </c>
      <c r="V4511" s="76">
        <f>V4510+T4511</f>
        <v>1356.178584082364</v>
      </c>
    </row>
    <row r="4512" spans="1:22" ht="19" customHeight="1">
      <c r="A4512" s="68" t="s">
        <v>378</v>
      </c>
      <c r="B4512" s="74">
        <v>5</v>
      </c>
      <c r="C4512" s="68" t="s">
        <v>363</v>
      </c>
      <c r="D4512" s="68" t="s">
        <v>365</v>
      </c>
      <c r="E4512" s="75">
        <f>60*F4512*'THAM_SO_MOI'!$C$53/(2*PI()*'THAM_SO_MOI'!$C$26)</f>
        <v>2336.0633947368415</v>
      </c>
      <c r="F4512" s="75">
        <f>'THAM_SO_MOI'!$C$14+('THAM_SO_MOI'!$C$37-'THAM_SO_MOI'!$C$14)*421/'THAM_SO_MOI'!$C$42</f>
        <v>23.710045138888887</v>
      </c>
      <c r="G4512" s="75">
        <f>3.6*F4512</f>
        <v>85.3561625</v>
      </c>
      <c r="H4512" s="75">
        <f>'THAM_SO_MOI'!$D$53</f>
        <v>1.1</v>
      </c>
      <c r="I4512" s="75">
        <f>IF(F4512&gt;='THAM_SO_MOI'!$C$14,'THAM_SO_MOI'!$C$13*(1+F4512^2/1500),'THAM_SO_MOI'!$C$13)</f>
        <v>0.020621662404881485</v>
      </c>
      <c r="J4512" s="75">
        <f>'THAM_SO_MOI'!$C$40*('THAM_SO_MOI'!$C$23*(E4512/'THAM_SO_MOI'!$C$22)+'THAM_SO_MOI'!$C$24*(E4512/'THAM_SO_MOI'!$C$22)^2-'THAM_SO_MOI'!$C$25*(E4512/'THAM_SO_MOI'!$C$22)^3)</f>
        <v>104.86312309638302</v>
      </c>
      <c r="K4512" s="75">
        <f>'THAM_SO_MOI'!$C$31*J4512/E4512</f>
        <v>428.73751071889427</v>
      </c>
      <c r="L4512" s="75">
        <f>K4512*'THAM_SO_MOI'!$C$53*'THAM_SO_MOI'!$C$17/'THAM_SO_MOI'!$C$26</f>
        <v>3760.0296466411014</v>
      </c>
      <c r="M4512" s="75">
        <f>'THAM_SO_MOI'!$C$15*'THAM_SO_MOI'!$C$16*F4512^2</f>
        <v>1644.3362534278347</v>
      </c>
      <c r="N4512" s="75">
        <f>'THAM_SO_MOI'!$C$12*I4512</f>
        <v>1553.652542913695</v>
      </c>
      <c r="O4512" s="75">
        <f>M4512+N4512</f>
        <v>3197.9887963415295</v>
      </c>
      <c r="P4512" s="75">
        <f>(MIN(L4512,'THAM_SO_MOI'!$C$41)-O4512)/('THAM_SO_MOI'!$C$11*H4512)</f>
        <v>0.06652945671159706</v>
      </c>
      <c r="Q4512" s="75">
        <f>IF(P4512&gt;0,1/P4512,NA())</f>
        <v>15.030935910614243</v>
      </c>
      <c r="R4512" s="75">
        <f>F4512-F4511</f>
        <v>0.0035868055555567935</v>
      </c>
      <c r="S4512" s="75">
        <f>0.5*(Q4511+Q4512)*R4512</f>
        <v>0.053880638144802526</v>
      </c>
      <c r="T4512" s="75">
        <f>0.5*(F4511*Q4511+F4512*Q4512)*R4512</f>
        <v>1.2774157909568096</v>
      </c>
      <c r="U4512" s="76">
        <f>U4511+S4512</f>
        <v>80.3192921166248</v>
      </c>
      <c r="V4512" s="76">
        <f>V4511+T4512</f>
        <v>1357.455999873321</v>
      </c>
    </row>
    <row r="4513" spans="1:22" ht="19" customHeight="1">
      <c r="A4513" s="68" t="s">
        <v>378</v>
      </c>
      <c r="B4513" s="74">
        <v>5</v>
      </c>
      <c r="C4513" s="68" t="s">
        <v>363</v>
      </c>
      <c r="D4513" s="68" t="s">
        <v>365</v>
      </c>
      <c r="E4513" s="75">
        <f>60*F4513*'THAM_SO_MOI'!$C$53/(2*PI()*'THAM_SO_MOI'!$C$26)</f>
        <v>2336.416789473684</v>
      </c>
      <c r="F4513" s="75">
        <f>'THAM_SO_MOI'!$C$14+('THAM_SO_MOI'!$C$37-'THAM_SO_MOI'!$C$14)*422/'THAM_SO_MOI'!$C$42</f>
        <v>23.713631944444444</v>
      </c>
      <c r="G4513" s="75">
        <f>3.6*F4513</f>
        <v>85.369075</v>
      </c>
      <c r="H4513" s="75">
        <f>'THAM_SO_MOI'!$D$53</f>
        <v>1.1</v>
      </c>
      <c r="I4513" s="75">
        <f>IF(F4513&gt;='THAM_SO_MOI'!$C$14,'THAM_SO_MOI'!$C$13*(1+F4513^2/1500),'THAM_SO_MOI'!$C$13)</f>
        <v>0.020623363399965757</v>
      </c>
      <c r="J4513" s="75">
        <f>'THAM_SO_MOI'!$C$40*('THAM_SO_MOI'!$C$23*(E4513/'THAM_SO_MOI'!$C$22)+'THAM_SO_MOI'!$C$24*(E4513/'THAM_SO_MOI'!$C$22)^2-'THAM_SO_MOI'!$C$25*(E4513/'THAM_SO_MOI'!$C$22)^3)</f>
        <v>104.8775643919295</v>
      </c>
      <c r="K4513" s="75">
        <f>'THAM_SO_MOI'!$C$31*J4513/E4513</f>
        <v>428.7316969679444</v>
      </c>
      <c r="L4513" s="75">
        <f>K4513*'THAM_SO_MOI'!$C$53*'THAM_SO_MOI'!$C$17/'THAM_SO_MOI'!$C$26</f>
        <v>3759.9786600225225</v>
      </c>
      <c r="M4513" s="75">
        <f>'THAM_SO_MOI'!$C$15*'THAM_SO_MOI'!$C$16*F4513^2</f>
        <v>1644.833794489985</v>
      </c>
      <c r="N4513" s="75">
        <f>'THAM_SO_MOI'!$C$12*I4513</f>
        <v>1553.7806972441401</v>
      </c>
      <c r="O4513" s="75">
        <f>M4513+N4513</f>
        <v>3198.6144917341253</v>
      </c>
      <c r="P4513" s="75">
        <f>(MIN(L4513,'THAM_SO_MOI'!$C$41)-O4513)/('THAM_SO_MOI'!$C$11*H4513)</f>
        <v>0.06644935704171372</v>
      </c>
      <c r="Q4513" s="75">
        <f>IF(P4513&gt;0,1/P4513,NA())</f>
        <v>15.049054566054687</v>
      </c>
      <c r="R4513" s="75">
        <f>F4513-F4512</f>
        <v>0.0035868055555567935</v>
      </c>
      <c r="S4513" s="75">
        <f>0.5*(Q4512+Q4513)*R4513</f>
        <v>0.053945538476405784</v>
      </c>
      <c r="T4513" s="75">
        <f>0.5*(F4512*Q4512+F4513*Q4513)*R4513</f>
        <v>1.279147956670715</v>
      </c>
      <c r="U4513" s="76">
        <f>U4512+S4513</f>
        <v>80.3732376551012</v>
      </c>
      <c r="V4513" s="76">
        <f>V4512+T4513</f>
        <v>1358.7351478299915</v>
      </c>
    </row>
    <row r="4514" spans="1:22" ht="19" customHeight="1">
      <c r="A4514" s="68" t="s">
        <v>378</v>
      </c>
      <c r="B4514" s="74">
        <v>5</v>
      </c>
      <c r="C4514" s="68" t="s">
        <v>363</v>
      </c>
      <c r="D4514" s="68" t="s">
        <v>365</v>
      </c>
      <c r="E4514" s="75">
        <f>60*F4514*'THAM_SO_MOI'!$C$53/(2*PI()*'THAM_SO_MOI'!$C$26)</f>
        <v>2336.7701842105257</v>
      </c>
      <c r="F4514" s="75">
        <f>'THAM_SO_MOI'!$C$14+('THAM_SO_MOI'!$C$37-'THAM_SO_MOI'!$C$14)*423/'THAM_SO_MOI'!$C$42</f>
        <v>23.71721875</v>
      </c>
      <c r="G4514" s="75">
        <f>3.6*F4514</f>
        <v>85.38198750000001</v>
      </c>
      <c r="H4514" s="75">
        <f>'THAM_SO_MOI'!$D$53</f>
        <v>1.1</v>
      </c>
      <c r="I4514" s="75">
        <f>IF(F4514&gt;='THAM_SO_MOI'!$C$14,'THAM_SO_MOI'!$C$13*(1+F4514^2/1500),'THAM_SO_MOI'!$C$13)</f>
        <v>0.020625064652353517</v>
      </c>
      <c r="J4514" s="75">
        <f>'THAM_SO_MOI'!$C$40*('THAM_SO_MOI'!$C$23*(E4514/'THAM_SO_MOI'!$C$22)+'THAM_SO_MOI'!$C$24*(E4514/'THAM_SO_MOI'!$C$22)^2-'THAM_SO_MOI'!$C$25*(E4514/'THAM_SO_MOI'!$C$22)^3)</f>
        <v>104.89200229295857</v>
      </c>
      <c r="K4514" s="75">
        <f>'THAM_SO_MOI'!$C$31*J4514/E4514</f>
        <v>428.72587110100994</v>
      </c>
      <c r="L4514" s="75">
        <f>K4514*'THAM_SO_MOI'!$C$53*'THAM_SO_MOI'!$C$17/'THAM_SO_MOI'!$C$26</f>
        <v>3759.9275671467103</v>
      </c>
      <c r="M4514" s="75">
        <f>'THAM_SO_MOI'!$C$15*'THAM_SO_MOI'!$C$16*F4514^2</f>
        <v>1645.3314108134036</v>
      </c>
      <c r="N4514" s="75">
        <f>'THAM_SO_MOI'!$C$12*I4514</f>
        <v>1553.908870960036</v>
      </c>
      <c r="O4514" s="75">
        <f>M4514+N4514</f>
        <v>3199.2402817734396</v>
      </c>
      <c r="P4514" s="75">
        <f>(MIN(L4514,'THAM_SO_MOI'!$C$41)-O4514)/('THAM_SO_MOI'!$C$11*H4514)</f>
        <v>0.06636923359058602</v>
      </c>
      <c r="Q4514" s="75">
        <f>IF(P4514&gt;0,1/P4514,NA())</f>
        <v>15.067222354392872</v>
      </c>
      <c r="R4514" s="75">
        <f>F4514-F4513</f>
        <v>0.0035868055555567935</v>
      </c>
      <c r="S4514" s="75">
        <f>0.5*(Q4513+Q4514)*R4514</f>
        <v>0.05401061468547408</v>
      </c>
      <c r="T4514" s="75">
        <f>0.5*(F4513*Q4513+F4514*Q4514)*R4514</f>
        <v>1.2808847589638848</v>
      </c>
      <c r="U4514" s="76">
        <f>U4513+S4514</f>
        <v>80.42724826978669</v>
      </c>
      <c r="V4514" s="76">
        <f>V4513+T4514</f>
        <v>1360.0160325889553</v>
      </c>
    </row>
    <row r="4515" spans="1:22" ht="19" customHeight="1">
      <c r="A4515" s="68" t="s">
        <v>378</v>
      </c>
      <c r="B4515" s="74">
        <v>5</v>
      </c>
      <c r="C4515" s="68" t="s">
        <v>363</v>
      </c>
      <c r="D4515" s="68" t="s">
        <v>365</v>
      </c>
      <c r="E4515" s="75">
        <f>60*F4515*'THAM_SO_MOI'!$C$53/(2*PI()*'THAM_SO_MOI'!$C$26)</f>
        <v>2337.1235789473676</v>
      </c>
      <c r="F4515" s="75">
        <f>'THAM_SO_MOI'!$C$14+('THAM_SO_MOI'!$C$37-'THAM_SO_MOI'!$C$14)*424/'THAM_SO_MOI'!$C$42</f>
        <v>23.720805555555554</v>
      </c>
      <c r="G4515" s="75">
        <f>3.6*F4515</f>
        <v>85.39489999999999</v>
      </c>
      <c r="H4515" s="75">
        <f>'THAM_SO_MOI'!$D$53</f>
        <v>1.1</v>
      </c>
      <c r="I4515" s="75">
        <f>IF(F4515&gt;='THAM_SO_MOI'!$C$14,'THAM_SO_MOI'!$C$13*(1+F4515^2/1500),'THAM_SO_MOI'!$C$13)</f>
        <v>0.02062676616204475</v>
      </c>
      <c r="J4515" s="75">
        <f>'THAM_SO_MOI'!$C$40*('THAM_SO_MOI'!$C$23*(E4515/'THAM_SO_MOI'!$C$22)+'THAM_SO_MOI'!$C$24*(E4515/'THAM_SO_MOI'!$C$22)^2-'THAM_SO_MOI'!$C$25*(E4515/'THAM_SO_MOI'!$C$22)^3)</f>
        <v>104.9064367981254</v>
      </c>
      <c r="K4515" s="75">
        <f>'THAM_SO_MOI'!$C$31*J4515/E4515</f>
        <v>428.72003311809107</v>
      </c>
      <c r="L4515" s="75">
        <f>K4515*'THAM_SO_MOI'!$C$53*'THAM_SO_MOI'!$C$17/'THAM_SO_MOI'!$C$26</f>
        <v>3759.8763680136685</v>
      </c>
      <c r="M4515" s="75">
        <f>'THAM_SO_MOI'!$C$15*'THAM_SO_MOI'!$C$16*F4515^2</f>
        <v>1645.8291023980903</v>
      </c>
      <c r="N4515" s="75">
        <f>'THAM_SO_MOI'!$C$12*I4515</f>
        <v>1554.0370640613812</v>
      </c>
      <c r="O4515" s="75">
        <f>M4515+N4515</f>
        <v>3199.8661664594715</v>
      </c>
      <c r="P4515" s="75">
        <f>(MIN(L4515,'THAM_SO_MOI'!$C$41)-O4515)/('THAM_SO_MOI'!$C$11*H4515)</f>
        <v>0.06628908635821458</v>
      </c>
      <c r="Q4515" s="75">
        <f>IF(P4515&gt;0,1/P4515,NA())</f>
        <v>15.085439473342197</v>
      </c>
      <c r="R4515" s="75">
        <f>F4515-F4514</f>
        <v>0.0035868055555532408</v>
      </c>
      <c r="S4515" s="75">
        <f>0.5*(Q4514+Q4515)*R4515</f>
        <v>0.054075867479219136</v>
      </c>
      <c r="T4515" s="75">
        <f>0.5*(F4514*Q4514+F4515*Q4515)*R4515</f>
        <v>1.282626216503201</v>
      </c>
      <c r="U4515" s="76">
        <f>U4514+S4515</f>
        <v>80.4813241372659</v>
      </c>
      <c r="V4515" s="76">
        <f>V4514+T4515</f>
        <v>1361.2986588054584</v>
      </c>
    </row>
    <row r="4516" spans="1:22" ht="19" customHeight="1">
      <c r="A4516" s="68" t="s">
        <v>378</v>
      </c>
      <c r="B4516" s="74">
        <v>5</v>
      </c>
      <c r="C4516" s="68" t="s">
        <v>363</v>
      </c>
      <c r="D4516" s="68" t="s">
        <v>365</v>
      </c>
      <c r="E4516" s="75">
        <f>60*F4516*'THAM_SO_MOI'!$C$53/(2*PI()*'THAM_SO_MOI'!$C$26)</f>
        <v>2337.47697368421</v>
      </c>
      <c r="F4516" s="75">
        <f>'THAM_SO_MOI'!$C$14+('THAM_SO_MOI'!$C$37-'THAM_SO_MOI'!$C$14)*425/'THAM_SO_MOI'!$C$42</f>
        <v>23.72439236111111</v>
      </c>
      <c r="G4516" s="75">
        <f>3.6*F4516</f>
        <v>85.4078125</v>
      </c>
      <c r="H4516" s="75">
        <f>'THAM_SO_MOI'!$D$53</f>
        <v>1.1</v>
      </c>
      <c r="I4516" s="75">
        <f>IF(F4516&gt;='THAM_SO_MOI'!$C$14,'THAM_SO_MOI'!$C$13*(1+F4516^2/1500),'THAM_SO_MOI'!$C$13)</f>
        <v>0.02062846792903947</v>
      </c>
      <c r="J4516" s="75">
        <f>'THAM_SO_MOI'!$C$40*('THAM_SO_MOI'!$C$23*(E4516/'THAM_SO_MOI'!$C$22)+'THAM_SO_MOI'!$C$24*(E4516/'THAM_SO_MOI'!$C$22)^2-'THAM_SO_MOI'!$C$25*(E4516/'THAM_SO_MOI'!$C$22)^3)</f>
        <v>104.92086790608514</v>
      </c>
      <c r="K4516" s="75">
        <f>'THAM_SO_MOI'!$C$31*J4516/E4516</f>
        <v>428.7141830191878</v>
      </c>
      <c r="L4516" s="75">
        <f>K4516*'THAM_SO_MOI'!$C$53*'THAM_SO_MOI'!$C$17/'THAM_SO_MOI'!$C$26</f>
        <v>3759.825062623395</v>
      </c>
      <c r="M4516" s="75">
        <f>'THAM_SO_MOI'!$C$15*'THAM_SO_MOI'!$C$16*F4516^2</f>
        <v>1646.3268692440456</v>
      </c>
      <c r="N4516" s="75">
        <f>'THAM_SO_MOI'!$C$12*I4516</f>
        <v>1554.165276548177</v>
      </c>
      <c r="O4516" s="75">
        <f>M4516+N4516</f>
        <v>3200.492145792223</v>
      </c>
      <c r="P4516" s="75">
        <f>(MIN(L4516,'THAM_SO_MOI'!$C$41)-O4516)/('THAM_SO_MOI'!$C$11*H4516)</f>
        <v>0.066208915344599</v>
      </c>
      <c r="Q4516" s="75">
        <f>IF(P4516&gt;0,1/P4516,NA())</f>
        <v>15.103706121679808</v>
      </c>
      <c r="R4516" s="75">
        <f>F4516-F4515</f>
        <v>0.0035868055555567935</v>
      </c>
      <c r="S4516" s="75">
        <f>0.5*(Q4515+Q4516)*R4516</f>
        <v>0.054141297568868915</v>
      </c>
      <c r="T4516" s="75">
        <f>0.5*(F4515*Q4515+F4516*Q4516)*R4516</f>
        <v>1.2843723480609675</v>
      </c>
      <c r="U4516" s="76">
        <f>U4515+S4516</f>
        <v>80.53546543483478</v>
      </c>
      <c r="V4516" s="76">
        <f>V4515+T4516</f>
        <v>1362.5830311535194</v>
      </c>
    </row>
    <row r="4517" spans="1:22" ht="19" customHeight="1">
      <c r="A4517" s="68" t="s">
        <v>378</v>
      </c>
      <c r="B4517" s="74">
        <v>5</v>
      </c>
      <c r="C4517" s="68" t="s">
        <v>363</v>
      </c>
      <c r="D4517" s="68" t="s">
        <v>365</v>
      </c>
      <c r="E4517" s="75">
        <f>60*F4517*'THAM_SO_MOI'!$C$53/(2*PI()*'THAM_SO_MOI'!$C$26)</f>
        <v>2337.830368421052</v>
      </c>
      <c r="F4517" s="75">
        <f>'THAM_SO_MOI'!$C$14+('THAM_SO_MOI'!$C$37-'THAM_SO_MOI'!$C$14)*426/'THAM_SO_MOI'!$C$42</f>
        <v>23.727979166666664</v>
      </c>
      <c r="G4517" s="75">
        <f>3.6*F4517</f>
        <v>85.42072499999999</v>
      </c>
      <c r="H4517" s="75">
        <f>'THAM_SO_MOI'!$D$53</f>
        <v>1.1</v>
      </c>
      <c r="I4517" s="75">
        <f>IF(F4517&gt;='THAM_SO_MOI'!$C$14,'THAM_SO_MOI'!$C$13*(1+F4517^2/1500),'THAM_SO_MOI'!$C$13)</f>
        <v>0.020630169953337673</v>
      </c>
      <c r="J4517" s="75">
        <f>'THAM_SO_MOI'!$C$40*('THAM_SO_MOI'!$C$23*(E4517/'THAM_SO_MOI'!$C$22)+'THAM_SO_MOI'!$C$24*(E4517/'THAM_SO_MOI'!$C$22)^2-'THAM_SO_MOI'!$C$25*(E4517/'THAM_SO_MOI'!$C$22)^3)</f>
        <v>104.93529561549282</v>
      </c>
      <c r="K4517" s="75">
        <f>'THAM_SO_MOI'!$C$31*J4517/E4517</f>
        <v>428.70832080430006</v>
      </c>
      <c r="L4517" s="75">
        <f>K4517*'THAM_SO_MOI'!$C$53*'THAM_SO_MOI'!$C$17/'THAM_SO_MOI'!$C$26</f>
        <v>3759.773650975891</v>
      </c>
      <c r="M4517" s="75">
        <f>'THAM_SO_MOI'!$C$15*'THAM_SO_MOI'!$C$16*F4517^2</f>
        <v>1646.8247113512693</v>
      </c>
      <c r="N4517" s="75">
        <f>'THAM_SO_MOI'!$C$12*I4517</f>
        <v>1554.293508420423</v>
      </c>
      <c r="O4517" s="75">
        <f>M4517+N4517</f>
        <v>3201.1182197716926</v>
      </c>
      <c r="P4517" s="75">
        <f>(MIN(L4517,'THAM_SO_MOI'!$C$41)-O4517)/('THAM_SO_MOI'!$C$11*H4517)</f>
        <v>0.06612872054973944</v>
      </c>
      <c r="Q4517" s="75">
        <f>IF(P4517&gt;0,1/P4517,NA())</f>
        <v>15.122022499253394</v>
      </c>
      <c r="R4517" s="75">
        <f>F4517-F4516</f>
        <v>0.0035868055555532408</v>
      </c>
      <c r="S4517" s="75">
        <f>0.5*(Q4516+Q4517)*R4517</f>
        <v>0.054206905669103904</v>
      </c>
      <c r="T4517" s="75">
        <f>0.5*(F4516*Q4516+F4517*Q4517)*R4517</f>
        <v>1.2861231725016073</v>
      </c>
      <c r="U4517" s="76">
        <f>U4516+S4517</f>
        <v>80.58967234050388</v>
      </c>
      <c r="V4517" s="76">
        <f>V4516+T4517</f>
        <v>1363.869154326021</v>
      </c>
    </row>
    <row r="4518" spans="1:22" ht="19" customHeight="1">
      <c r="A4518" s="68" t="s">
        <v>378</v>
      </c>
      <c r="B4518" s="74">
        <v>5</v>
      </c>
      <c r="C4518" s="68" t="s">
        <v>363</v>
      </c>
      <c r="D4518" s="68" t="s">
        <v>365</v>
      </c>
      <c r="E4518" s="75">
        <f>60*F4518*'THAM_SO_MOI'!$C$53/(2*PI()*'THAM_SO_MOI'!$C$26)</f>
        <v>2338.183763157894</v>
      </c>
      <c r="F4518" s="75">
        <f>'THAM_SO_MOI'!$C$14+('THAM_SO_MOI'!$C$37-'THAM_SO_MOI'!$C$14)*427/'THAM_SO_MOI'!$C$42</f>
        <v>23.73156597222222</v>
      </c>
      <c r="G4518" s="75">
        <f>3.6*F4518</f>
        <v>85.4336375</v>
      </c>
      <c r="H4518" s="75">
        <f>'THAM_SO_MOI'!$D$53</f>
        <v>1.1</v>
      </c>
      <c r="I4518" s="75">
        <f>IF(F4518&gt;='THAM_SO_MOI'!$C$14,'THAM_SO_MOI'!$C$13*(1+F4518^2/1500),'THAM_SO_MOI'!$C$13)</f>
        <v>0.020631872234939355</v>
      </c>
      <c r="J4518" s="75">
        <f>'THAM_SO_MOI'!$C$40*('THAM_SO_MOI'!$C$23*(E4518/'THAM_SO_MOI'!$C$22)+'THAM_SO_MOI'!$C$24*(E4518/'THAM_SO_MOI'!$C$22)^2-'THAM_SO_MOI'!$C$25*(E4518/'THAM_SO_MOI'!$C$22)^3)</f>
        <v>104.94971992500358</v>
      </c>
      <c r="K4518" s="75">
        <f>'THAM_SO_MOI'!$C$31*J4518/E4518</f>
        <v>428.7024464734277</v>
      </c>
      <c r="L4518" s="75">
        <f>K4518*'THAM_SO_MOI'!$C$53*'THAM_SO_MOI'!$C$17/'THAM_SO_MOI'!$C$26</f>
        <v>3759.7221330711545</v>
      </c>
      <c r="M4518" s="75">
        <f>'THAM_SO_MOI'!$C$15*'THAM_SO_MOI'!$C$16*F4518^2</f>
        <v>1647.3226287197617</v>
      </c>
      <c r="N4518" s="75">
        <f>'THAM_SO_MOI'!$C$12*I4518</f>
        <v>1554.421759678119</v>
      </c>
      <c r="O4518" s="75">
        <f>M4518+N4518</f>
        <v>3201.744388397881</v>
      </c>
      <c r="P4518" s="75">
        <f>(MIN(L4518,'THAM_SO_MOI'!$C$41)-O4518)/('THAM_SO_MOI'!$C$11*H4518)</f>
        <v>0.06604850197363563</v>
      </c>
      <c r="Q4518" s="75">
        <f>IF(P4518&gt;0,1/P4518,NA())</f>
        <v>15.140388806988641</v>
      </c>
      <c r="R4518" s="75">
        <f>F4518-F4517</f>
        <v>0.0035868055555567935</v>
      </c>
      <c r="S4518" s="75">
        <f>0.5*(Q4517+Q4518)*R4518</f>
        <v>0.054272692498886825</v>
      </c>
      <c r="T4518" s="75">
        <f>0.5*(F4517*Q4517+F4518*Q4518)*R4518</f>
        <v>1.2878787088014143</v>
      </c>
      <c r="U4518" s="76">
        <f>U4517+S4518</f>
        <v>80.64394503300277</v>
      </c>
      <c r="V4518" s="76">
        <f>V4517+T4518</f>
        <v>1365.1570330348225</v>
      </c>
    </row>
    <row r="4519" spans="1:22" ht="19" customHeight="1">
      <c r="A4519" s="68" t="s">
        <v>378</v>
      </c>
      <c r="B4519" s="74">
        <v>5</v>
      </c>
      <c r="C4519" s="68" t="s">
        <v>363</v>
      </c>
      <c r="D4519" s="68" t="s">
        <v>365</v>
      </c>
      <c r="E4519" s="75">
        <f>60*F4519*'THAM_SO_MOI'!$C$53/(2*PI()*'THAM_SO_MOI'!$C$26)</f>
        <v>2338.5371578947365</v>
      </c>
      <c r="F4519" s="75">
        <f>'THAM_SO_MOI'!$C$14+('THAM_SO_MOI'!$C$37-'THAM_SO_MOI'!$C$14)*428/'THAM_SO_MOI'!$C$42</f>
        <v>23.735152777777778</v>
      </c>
      <c r="G4519" s="75">
        <f>3.6*F4519</f>
        <v>85.44655</v>
      </c>
      <c r="H4519" s="75">
        <f>'THAM_SO_MOI'!$D$53</f>
        <v>1.1</v>
      </c>
      <c r="I4519" s="75">
        <f>IF(F4519&gt;='THAM_SO_MOI'!$C$14,'THAM_SO_MOI'!$C$13*(1+F4519^2/1500),'THAM_SO_MOI'!$C$13)</f>
        <v>0.02063357477384452</v>
      </c>
      <c r="J4519" s="75">
        <f>'THAM_SO_MOI'!$C$40*('THAM_SO_MOI'!$C$23*(E4519/'THAM_SO_MOI'!$C$22)+'THAM_SO_MOI'!$C$24*(E4519/'THAM_SO_MOI'!$C$22)^2-'THAM_SO_MOI'!$C$25*(E4519/'THAM_SO_MOI'!$C$22)^3)</f>
        <v>104.96414083327255</v>
      </c>
      <c r="K4519" s="75">
        <f>'THAM_SO_MOI'!$C$31*J4519/E4519</f>
        <v>428.696560026571</v>
      </c>
      <c r="L4519" s="75">
        <f>K4519*'THAM_SO_MOI'!$C$53*'THAM_SO_MOI'!$C$17/'THAM_SO_MOI'!$C$26</f>
        <v>3759.6705089091874</v>
      </c>
      <c r="M4519" s="75">
        <f>'THAM_SO_MOI'!$C$15*'THAM_SO_MOI'!$C$16*F4519^2</f>
        <v>1647.8206213495228</v>
      </c>
      <c r="N4519" s="75">
        <f>'THAM_SO_MOI'!$C$12*I4519</f>
        <v>1554.5500303212655</v>
      </c>
      <c r="O4519" s="75">
        <f>M4519+N4519</f>
        <v>3202.370651670788</v>
      </c>
      <c r="P4519" s="75">
        <f>(MIN(L4519,'THAM_SO_MOI'!$C$41)-O4519)/('THAM_SO_MOI'!$C$11*H4519)</f>
        <v>0.06596825961628779</v>
      </c>
      <c r="Q4519" s="75">
        <f>IF(P4519&gt;0,1/P4519,NA())</f>
        <v>15.158805246896291</v>
      </c>
      <c r="R4519" s="75">
        <f>F4519-F4518</f>
        <v>0.0035868055555567935</v>
      </c>
      <c r="S4519" s="75">
        <f>0.5*(Q4518+Q4519)*R4519</f>
        <v>0.05433865878068392</v>
      </c>
      <c r="T4519" s="75">
        <f>0.5*(F4518*Q4518+F4519*Q4519)*R4519</f>
        <v>1.2896389760301472</v>
      </c>
      <c r="U4519" s="76">
        <f>U4518+S4519</f>
        <v>80.69828369178344</v>
      </c>
      <c r="V4519" s="76">
        <f>V4518+T4519</f>
        <v>1366.4466720108526</v>
      </c>
    </row>
    <row r="4520" spans="1:22" ht="19" customHeight="1">
      <c r="A4520" s="68" t="s">
        <v>378</v>
      </c>
      <c r="B4520" s="74">
        <v>5</v>
      </c>
      <c r="C4520" s="68" t="s">
        <v>363</v>
      </c>
      <c r="D4520" s="68" t="s">
        <v>365</v>
      </c>
      <c r="E4520" s="75">
        <f>60*F4520*'THAM_SO_MOI'!$C$53/(2*PI()*'THAM_SO_MOI'!$C$26)</f>
        <v>2338.8905526315784</v>
      </c>
      <c r="F4520" s="75">
        <f>'THAM_SO_MOI'!$C$14+('THAM_SO_MOI'!$C$37-'THAM_SO_MOI'!$C$14)*429/'THAM_SO_MOI'!$C$42</f>
        <v>23.73873958333333</v>
      </c>
      <c r="G4520" s="75">
        <f>3.6*F4520</f>
        <v>85.45946249999999</v>
      </c>
      <c r="H4520" s="75">
        <f>'THAM_SO_MOI'!$D$53</f>
        <v>1.1</v>
      </c>
      <c r="I4520" s="75">
        <f>IF(F4520&gt;='THAM_SO_MOI'!$C$14,'THAM_SO_MOI'!$C$13*(1+F4520^2/1500),'THAM_SO_MOI'!$C$13)</f>
        <v>0.02063527757005317</v>
      </c>
      <c r="J4520" s="75">
        <f>'THAM_SO_MOI'!$C$40*('THAM_SO_MOI'!$C$23*(E4520/'THAM_SO_MOI'!$C$22)+'THAM_SO_MOI'!$C$24*(E4520/'THAM_SO_MOI'!$C$22)^2-'THAM_SO_MOI'!$C$25*(E4520/'THAM_SO_MOI'!$C$22)^3)</f>
        <v>104.97855833895481</v>
      </c>
      <c r="K4520" s="75">
        <f>'THAM_SO_MOI'!$C$31*J4520/E4520</f>
        <v>428.69066146372984</v>
      </c>
      <c r="L4520" s="75">
        <f>K4520*'THAM_SO_MOI'!$C$53*'THAM_SO_MOI'!$C$17/'THAM_SO_MOI'!$C$26</f>
        <v>3759.61877848999</v>
      </c>
      <c r="M4520" s="75">
        <f>'THAM_SO_MOI'!$C$15*'THAM_SO_MOI'!$C$16*F4520^2</f>
        <v>1648.3186892405517</v>
      </c>
      <c r="N4520" s="75">
        <f>'THAM_SO_MOI'!$C$12*I4520</f>
        <v>1554.678320349862</v>
      </c>
      <c r="O4520" s="75">
        <f>M4520+N4520</f>
        <v>3202.9970095904137</v>
      </c>
      <c r="P4520" s="75">
        <f>(MIN(L4520,'THAM_SO_MOI'!$C$41)-O4520)/('THAM_SO_MOI'!$C$11*H4520)</f>
        <v>0.06588799347769607</v>
      </c>
      <c r="Q4520" s="75">
        <f>IF(P4520&gt;0,1/P4520,NA())</f>
        <v>15.177272022079604</v>
      </c>
      <c r="R4520" s="75">
        <f>F4520-F4519</f>
        <v>0.0035868055555532408</v>
      </c>
      <c r="S4520" s="75">
        <f>0.5*(Q4519+Q4520)*R4520</f>
        <v>0.05440480524102756</v>
      </c>
      <c r="T4520" s="75">
        <f>0.5*(F4519*Q4519+F4520*Q4520)*R4520</f>
        <v>1.2914039933644474</v>
      </c>
      <c r="U4520" s="76">
        <f>U4519+S4520</f>
        <v>80.75268849702448</v>
      </c>
      <c r="V4520" s="76">
        <f>V4519+T4520</f>
        <v>1367.738076004217</v>
      </c>
    </row>
    <row r="4521" spans="1:22" ht="19" customHeight="1">
      <c r="A4521" s="68" t="s">
        <v>378</v>
      </c>
      <c r="B4521" s="74">
        <v>5</v>
      </c>
      <c r="C4521" s="68" t="s">
        <v>363</v>
      </c>
      <c r="D4521" s="68" t="s">
        <v>365</v>
      </c>
      <c r="E4521" s="75">
        <f>60*F4521*'THAM_SO_MOI'!$C$53/(2*PI()*'THAM_SO_MOI'!$C$26)</f>
        <v>2339.2439473684203</v>
      </c>
      <c r="F4521" s="75">
        <f>'THAM_SO_MOI'!$C$14+('THAM_SO_MOI'!$C$37-'THAM_SO_MOI'!$C$14)*430/'THAM_SO_MOI'!$C$42</f>
        <v>23.742326388888888</v>
      </c>
      <c r="G4521" s="75">
        <f>3.6*F4521</f>
        <v>85.472375</v>
      </c>
      <c r="H4521" s="75">
        <f>'THAM_SO_MOI'!$D$53</f>
        <v>1.1</v>
      </c>
      <c r="I4521" s="75">
        <f>IF(F4521&gt;='THAM_SO_MOI'!$C$14,'THAM_SO_MOI'!$C$13*(1+F4521^2/1500),'THAM_SO_MOI'!$C$13)</f>
        <v>0.020636980623565296</v>
      </c>
      <c r="J4521" s="75">
        <f>'THAM_SO_MOI'!$C$40*('THAM_SO_MOI'!$C$23*(E4521/'THAM_SO_MOI'!$C$22)+'THAM_SO_MOI'!$C$24*(E4521/'THAM_SO_MOI'!$C$22)^2-'THAM_SO_MOI'!$C$25*(E4521/'THAM_SO_MOI'!$C$22)^3)</f>
        <v>104.99297244070551</v>
      </c>
      <c r="K4521" s="75">
        <f>'THAM_SO_MOI'!$C$31*J4521/E4521</f>
        <v>428.68475078490434</v>
      </c>
      <c r="L4521" s="75">
        <f>K4521*'THAM_SO_MOI'!$C$53*'THAM_SO_MOI'!$C$17/'THAM_SO_MOI'!$C$26</f>
        <v>3759.5669418135617</v>
      </c>
      <c r="M4521" s="75">
        <f>'THAM_SO_MOI'!$C$15*'THAM_SO_MOI'!$C$16*F4521^2</f>
        <v>1648.8168323928494</v>
      </c>
      <c r="N4521" s="75">
        <f>'THAM_SO_MOI'!$C$12*I4521</f>
        <v>1554.8066297639084</v>
      </c>
      <c r="O4521" s="75">
        <f>M4521+N4521</f>
        <v>3203.623462156758</v>
      </c>
      <c r="P4521" s="75">
        <f>(MIN(L4521,'THAM_SO_MOI'!$C$41)-O4521)/('THAM_SO_MOI'!$C$11*H4521)</f>
        <v>0.06580770355786031</v>
      </c>
      <c r="Q4521" s="75">
        <f>IF(P4521&gt;0,1/P4521,NA())</f>
        <v>15.195789336741814</v>
      </c>
      <c r="R4521" s="75">
        <f>F4521-F4520</f>
        <v>0.0035868055555567935</v>
      </c>
      <c r="S4521" s="75">
        <f>0.5*(Q4520+Q4521)*R4521</f>
        <v>0.05447113261054402</v>
      </c>
      <c r="T4521" s="75">
        <f>0.5*(F4520*Q4520+F4521*Q4521)*R4521</f>
        <v>1.293173780088572</v>
      </c>
      <c r="U4521" s="76">
        <f>U4520+S4521</f>
        <v>80.80715962963502</v>
      </c>
      <c r="V4521" s="76">
        <f>V4520+T4521</f>
        <v>1369.0312497843056</v>
      </c>
    </row>
    <row r="4522" spans="1:22" ht="19" customHeight="1">
      <c r="A4522" s="68" t="s">
        <v>378</v>
      </c>
      <c r="B4522" s="74">
        <v>5</v>
      </c>
      <c r="C4522" s="68" t="s">
        <v>363</v>
      </c>
      <c r="D4522" s="68" t="s">
        <v>365</v>
      </c>
      <c r="E4522" s="75">
        <f>60*F4522*'THAM_SO_MOI'!$C$53/(2*PI()*'THAM_SO_MOI'!$C$26)</f>
        <v>2339.5973421052627</v>
      </c>
      <c r="F4522" s="75">
        <f>'THAM_SO_MOI'!$C$14+('THAM_SO_MOI'!$C$37-'THAM_SO_MOI'!$C$14)*431/'THAM_SO_MOI'!$C$42</f>
        <v>23.745913194444444</v>
      </c>
      <c r="G4522" s="75">
        <f>3.6*F4522</f>
        <v>85.4852875</v>
      </c>
      <c r="H4522" s="75">
        <f>'THAM_SO_MOI'!$D$53</f>
        <v>1.1</v>
      </c>
      <c r="I4522" s="75">
        <f>IF(F4522&gt;='THAM_SO_MOI'!$C$14,'THAM_SO_MOI'!$C$13*(1+F4522^2/1500),'THAM_SO_MOI'!$C$13)</f>
        <v>0.020638683934380907</v>
      </c>
      <c r="J4522" s="75">
        <f>'THAM_SO_MOI'!$C$40*('THAM_SO_MOI'!$C$23*(E4522/'THAM_SO_MOI'!$C$22)+'THAM_SO_MOI'!$C$24*(E4522/'THAM_SO_MOI'!$C$22)^2-'THAM_SO_MOI'!$C$25*(E4522/'THAM_SO_MOI'!$C$22)^3)</f>
        <v>105.00738313717972</v>
      </c>
      <c r="K4522" s="75">
        <f>'THAM_SO_MOI'!$C$31*J4522/E4522</f>
        <v>428.6788279900942</v>
      </c>
      <c r="L4522" s="75">
        <f>K4522*'THAM_SO_MOI'!$C$53*'THAM_SO_MOI'!$C$17/'THAM_SO_MOI'!$C$26</f>
        <v>3759.5149988799008</v>
      </c>
      <c r="M4522" s="75">
        <f>'THAM_SO_MOI'!$C$15*'THAM_SO_MOI'!$C$16*F4522^2</f>
        <v>1649.3150508064155</v>
      </c>
      <c r="N4522" s="75">
        <f>'THAM_SO_MOI'!$C$12*I4522</f>
        <v>1554.9349585634052</v>
      </c>
      <c r="O4522" s="75">
        <f>M4522+N4522</f>
        <v>3204.250009369821</v>
      </c>
      <c r="P4522" s="75">
        <f>(MIN(L4522,'THAM_SO_MOI'!$C$41)-O4522)/('THAM_SO_MOI'!$C$11*H4522)</f>
        <v>0.06572738985678031</v>
      </c>
      <c r="Q4522" s="75">
        <f>IF(P4522&gt;0,1/P4522,NA())</f>
        <v>15.214357396193513</v>
      </c>
      <c r="R4522" s="75">
        <f>F4522-F4521</f>
        <v>0.0035868055555567935</v>
      </c>
      <c r="S4522" s="75">
        <f>0.5*(Q4521+Q4522)*R4522</f>
        <v>0.05453764162349485</v>
      </c>
      <c r="T4522" s="75">
        <f>0.5*(F4521*Q4521+F4522*Q4522)*R4522</f>
        <v>1.2949483555835772</v>
      </c>
      <c r="U4522" s="76">
        <f>U4521+S4522</f>
        <v>80.86169727125852</v>
      </c>
      <c r="V4522" s="76">
        <f>V4521+T4522</f>
        <v>1370.3261981398891</v>
      </c>
    </row>
    <row r="4523" spans="1:22" ht="19" customHeight="1">
      <c r="A4523" s="68" t="s">
        <v>378</v>
      </c>
      <c r="B4523" s="74">
        <v>5</v>
      </c>
      <c r="C4523" s="68" t="s">
        <v>363</v>
      </c>
      <c r="D4523" s="68" t="s">
        <v>365</v>
      </c>
      <c r="E4523" s="75">
        <f>60*F4523*'THAM_SO_MOI'!$C$53/(2*PI()*'THAM_SO_MOI'!$C$26)</f>
        <v>2339.9507368421046</v>
      </c>
      <c r="F4523" s="75">
        <f>'THAM_SO_MOI'!$C$14+('THAM_SO_MOI'!$C$37-'THAM_SO_MOI'!$C$14)*432/'THAM_SO_MOI'!$C$42</f>
        <v>23.749499999999998</v>
      </c>
      <c r="G4523" s="75">
        <f>3.6*F4523</f>
        <v>85.4982</v>
      </c>
      <c r="H4523" s="75">
        <f>'THAM_SO_MOI'!$D$53</f>
        <v>1.1</v>
      </c>
      <c r="I4523" s="75">
        <f>IF(F4523&gt;='THAM_SO_MOI'!$C$14,'THAM_SO_MOI'!$C$13*(1+F4523^2/1500),'THAM_SO_MOI'!$C$13)</f>
        <v>0.0206403875025</v>
      </c>
      <c r="J4523" s="75">
        <f>'THAM_SO_MOI'!$C$40*('THAM_SO_MOI'!$C$23*(E4523/'THAM_SO_MOI'!$C$22)+'THAM_SO_MOI'!$C$24*(E4523/'THAM_SO_MOI'!$C$22)^2-'THAM_SO_MOI'!$C$25*(E4523/'THAM_SO_MOI'!$C$22)^3)</f>
        <v>105.02179042703257</v>
      </c>
      <c r="K4523" s="75">
        <f>'THAM_SO_MOI'!$C$31*J4523/E4523</f>
        <v>428.6728930792997</v>
      </c>
      <c r="L4523" s="75">
        <f>K4523*'THAM_SO_MOI'!$C$53*'THAM_SO_MOI'!$C$17/'THAM_SO_MOI'!$C$26</f>
        <v>3759.4629496890097</v>
      </c>
      <c r="M4523" s="75">
        <f>'THAM_SO_MOI'!$C$15*'THAM_SO_MOI'!$C$16*F4523^2</f>
        <v>1649.8133444812497</v>
      </c>
      <c r="N4523" s="75">
        <f>'THAM_SO_MOI'!$C$12*I4523</f>
        <v>1555.063306748352</v>
      </c>
      <c r="O4523" s="75">
        <f>M4523+N4523</f>
        <v>3204.8766512296015</v>
      </c>
      <c r="P4523" s="75">
        <f>(MIN(L4523,'THAM_SO_MOI'!$C$41)-O4523)/('THAM_SO_MOI'!$C$11*H4523)</f>
        <v>0.06564705237445644</v>
      </c>
      <c r="Q4523" s="75">
        <f>IF(P4523&gt;0,1/P4523,NA())</f>
        <v>15.232976406860036</v>
      </c>
      <c r="R4523" s="75">
        <f>F4523-F4522</f>
        <v>0.0035868055555532408</v>
      </c>
      <c r="S4523" s="75">
        <f>0.5*(Q4522+Q4523)*R4523</f>
        <v>0.05460433301828823</v>
      </c>
      <c r="T4523" s="75">
        <f>0.5*(F4522*Q4522+F4523*Q4523)*R4523</f>
        <v>1.296727739339526</v>
      </c>
      <c r="U4523" s="76">
        <f>U4522+S4523</f>
        <v>80.91630160427681</v>
      </c>
      <c r="V4523" s="76">
        <f>V4522+T4523</f>
        <v>1371.6229258792287</v>
      </c>
    </row>
    <row r="4524" spans="1:22" ht="19" customHeight="1">
      <c r="A4524" s="68" t="s">
        <v>378</v>
      </c>
      <c r="B4524" s="74">
        <v>5</v>
      </c>
      <c r="C4524" s="68" t="s">
        <v>363</v>
      </c>
      <c r="D4524" s="68" t="s">
        <v>365</v>
      </c>
      <c r="E4524" s="75">
        <f>60*F4524*'THAM_SO_MOI'!$C$53/(2*PI()*'THAM_SO_MOI'!$C$26)</f>
        <v>2340.304131578947</v>
      </c>
      <c r="F4524" s="75">
        <f>'THAM_SO_MOI'!$C$14+('THAM_SO_MOI'!$C$37-'THAM_SO_MOI'!$C$14)*433/'THAM_SO_MOI'!$C$42</f>
        <v>23.753086805555554</v>
      </c>
      <c r="G4524" s="75">
        <f>3.6*F4524</f>
        <v>85.5111125</v>
      </c>
      <c r="H4524" s="75">
        <f>'THAM_SO_MOI'!$D$53</f>
        <v>1.1</v>
      </c>
      <c r="I4524" s="75">
        <f>IF(F4524&gt;='THAM_SO_MOI'!$C$14,'THAM_SO_MOI'!$C$13*(1+F4524^2/1500),'THAM_SO_MOI'!$C$13)</f>
        <v>0.020642091327922572</v>
      </c>
      <c r="J4524" s="75">
        <f>'THAM_SO_MOI'!$C$40*('THAM_SO_MOI'!$C$23*(E4524/'THAM_SO_MOI'!$C$22)+'THAM_SO_MOI'!$C$24*(E4524/'THAM_SO_MOI'!$C$22)^2-'THAM_SO_MOI'!$C$25*(E4524/'THAM_SO_MOI'!$C$22)^3)</f>
        <v>105.03619430891916</v>
      </c>
      <c r="K4524" s="75">
        <f>'THAM_SO_MOI'!$C$31*J4524/E4524</f>
        <v>428.6669460525207</v>
      </c>
      <c r="L4524" s="75">
        <f>K4524*'THAM_SO_MOI'!$C$53*'THAM_SO_MOI'!$C$17/'THAM_SO_MOI'!$C$26</f>
        <v>3759.4107942408878</v>
      </c>
      <c r="M4524" s="75">
        <f>'THAM_SO_MOI'!$C$15*'THAM_SO_MOI'!$C$16*F4524^2</f>
        <v>1650.311713417353</v>
      </c>
      <c r="N4524" s="75">
        <f>'THAM_SO_MOI'!$C$12*I4524</f>
        <v>1555.191674318749</v>
      </c>
      <c r="O4524" s="75">
        <f>M4524+N4524</f>
        <v>3205.503387736102</v>
      </c>
      <c r="P4524" s="75">
        <f>(MIN(L4524,'THAM_SO_MOI'!$C$41)-O4524)/('THAM_SO_MOI'!$C$11*H4524)</f>
        <v>0.06556669111088846</v>
      </c>
      <c r="Q4524" s="75">
        <f>IF(P4524&gt;0,1/P4524,NA())</f>
        <v>15.251646576289298</v>
      </c>
      <c r="R4524" s="75">
        <f>F4524-F4523</f>
        <v>0.0035868055555567935</v>
      </c>
      <c r="S4524" s="75">
        <f>0.5*(Q4523+Q4524)*R4524</f>
        <v>0.05467120753750718</v>
      </c>
      <c r="T4524" s="75">
        <f>0.5*(F4523*Q4523+F4524*Q4524)*R4524</f>
        <v>1.2985119509562337</v>
      </c>
      <c r="U4524" s="76">
        <f>U4523+S4524</f>
        <v>80.97097281181432</v>
      </c>
      <c r="V4524" s="76">
        <f>V4523+T4524</f>
        <v>1372.921437830185</v>
      </c>
    </row>
    <row r="4525" spans="1:22" ht="19" customHeight="1">
      <c r="A4525" s="68" t="s">
        <v>378</v>
      </c>
      <c r="B4525" s="74">
        <v>5</v>
      </c>
      <c r="C4525" s="68" t="s">
        <v>363</v>
      </c>
      <c r="D4525" s="68" t="s">
        <v>365</v>
      </c>
      <c r="E4525" s="75">
        <f>60*F4525*'THAM_SO_MOI'!$C$53/(2*PI()*'THAM_SO_MOI'!$C$26)</f>
        <v>2340.657526315789</v>
      </c>
      <c r="F4525" s="75">
        <f>'THAM_SO_MOI'!$C$14+('THAM_SO_MOI'!$C$37-'THAM_SO_MOI'!$C$14)*434/'THAM_SO_MOI'!$C$42</f>
        <v>23.75667361111111</v>
      </c>
      <c r="G4525" s="75">
        <f>3.6*F4525</f>
        <v>85.52402500000001</v>
      </c>
      <c r="H4525" s="75">
        <f>'THAM_SO_MOI'!$D$53</f>
        <v>1.1</v>
      </c>
      <c r="I4525" s="75">
        <f>IF(F4525&gt;='THAM_SO_MOI'!$C$14,'THAM_SO_MOI'!$C$13*(1+F4525^2/1500),'THAM_SO_MOI'!$C$13)</f>
        <v>0.02064379541064863</v>
      </c>
      <c r="J4525" s="75">
        <f>'THAM_SO_MOI'!$C$40*('THAM_SO_MOI'!$C$23*(E4525/'THAM_SO_MOI'!$C$22)+'THAM_SO_MOI'!$C$24*(E4525/'THAM_SO_MOI'!$C$22)^2-'THAM_SO_MOI'!$C$25*(E4525/'THAM_SO_MOI'!$C$22)^3)</f>
        <v>105.05059478149464</v>
      </c>
      <c r="K4525" s="75">
        <f>'THAM_SO_MOI'!$C$31*J4525/E4525</f>
        <v>428.6609869097574</v>
      </c>
      <c r="L4525" s="75">
        <f>K4525*'THAM_SO_MOI'!$C$53*'THAM_SO_MOI'!$C$17/'THAM_SO_MOI'!$C$26</f>
        <v>3759.358532535536</v>
      </c>
      <c r="M4525" s="75">
        <f>'THAM_SO_MOI'!$C$15*'THAM_SO_MOI'!$C$16*F4525^2</f>
        <v>1650.8101576147246</v>
      </c>
      <c r="N4525" s="75">
        <f>'THAM_SO_MOI'!$C$12*I4525</f>
        <v>1555.3200612745964</v>
      </c>
      <c r="O4525" s="75">
        <f>M4525+N4525</f>
        <v>3206.130218889321</v>
      </c>
      <c r="P4525" s="75">
        <f>(MIN(L4525,'THAM_SO_MOI'!$C$41)-O4525)/('THAM_SO_MOI'!$C$11*H4525)</f>
        <v>0.06548630606607661</v>
      </c>
      <c r="Q4525" s="75">
        <f>IF(P4525&gt;0,1/P4525,NA())</f>
        <v>15.270368113159197</v>
      </c>
      <c r="R4525" s="75">
        <f>F4525-F4524</f>
        <v>0.0035868055555567935</v>
      </c>
      <c r="S4525" s="75">
        <f>0.5*(Q4524+Q4525)*R4525</f>
        <v>0.054738265927449965</v>
      </c>
      <c r="T4525" s="75">
        <f>0.5*(F4524*Q4524+F4525*Q4525)*R4525</f>
        <v>1.3003010101324255</v>
      </c>
      <c r="U4525" s="76">
        <f>U4524+S4525</f>
        <v>81.02571107774178</v>
      </c>
      <c r="V4525" s="76">
        <f>V4524+T4525</f>
        <v>1374.2217388403174</v>
      </c>
    </row>
    <row r="4526" spans="1:22" ht="19" customHeight="1">
      <c r="A4526" s="68" t="s">
        <v>378</v>
      </c>
      <c r="B4526" s="74">
        <v>5</v>
      </c>
      <c r="C4526" s="68" t="s">
        <v>363</v>
      </c>
      <c r="D4526" s="68" t="s">
        <v>365</v>
      </c>
      <c r="E4526" s="75">
        <f>60*F4526*'THAM_SO_MOI'!$C$53/(2*PI()*'THAM_SO_MOI'!$C$26)</f>
        <v>2341.010921052631</v>
      </c>
      <c r="F4526" s="75">
        <f>'THAM_SO_MOI'!$C$14+('THAM_SO_MOI'!$C$37-'THAM_SO_MOI'!$C$14)*435/'THAM_SO_MOI'!$C$42</f>
        <v>23.760260416666664</v>
      </c>
      <c r="G4526" s="75">
        <f>3.6*F4526</f>
        <v>85.5369375</v>
      </c>
      <c r="H4526" s="75">
        <f>'THAM_SO_MOI'!$D$53</f>
        <v>1.1</v>
      </c>
      <c r="I4526" s="75">
        <f>IF(F4526&gt;='THAM_SO_MOI'!$C$14,'THAM_SO_MOI'!$C$13*(1+F4526^2/1500),'THAM_SO_MOI'!$C$13)</f>
        <v>0.020645499750678167</v>
      </c>
      <c r="J4526" s="75">
        <f>'THAM_SO_MOI'!$C$40*('THAM_SO_MOI'!$C$23*(E4526/'THAM_SO_MOI'!$C$22)+'THAM_SO_MOI'!$C$24*(E4526/'THAM_SO_MOI'!$C$22)^2-'THAM_SO_MOI'!$C$25*(E4526/'THAM_SO_MOI'!$C$22)^3)</f>
        <v>105.06499184341405</v>
      </c>
      <c r="K4526" s="75">
        <f>'THAM_SO_MOI'!$C$31*J4526/E4526</f>
        <v>428.6550156510094</v>
      </c>
      <c r="L4526" s="75">
        <f>K4526*'THAM_SO_MOI'!$C$53*'THAM_SO_MOI'!$C$17/'THAM_SO_MOI'!$C$26</f>
        <v>3759.3061645729513</v>
      </c>
      <c r="M4526" s="75">
        <f>'THAM_SO_MOI'!$C$15*'THAM_SO_MOI'!$C$16*F4526^2</f>
        <v>1651.3086770733642</v>
      </c>
      <c r="N4526" s="75">
        <f>'THAM_SO_MOI'!$C$12*I4526</f>
        <v>1555.4484676158936</v>
      </c>
      <c r="O4526" s="75">
        <f>M4526+N4526</f>
        <v>3206.757144689258</v>
      </c>
      <c r="P4526" s="75">
        <f>(MIN(L4526,'THAM_SO_MOI'!$C$41)-O4526)/('THAM_SO_MOI'!$C$11*H4526)</f>
        <v>0.06540589724002051</v>
      </c>
      <c r="Q4526" s="75">
        <f>IF(P4526&gt;0,1/P4526,NA())</f>
        <v>15.289141227285555</v>
      </c>
      <c r="R4526" s="75">
        <f>F4526-F4525</f>
        <v>0.0035868055555532408</v>
      </c>
      <c r="S4526" s="75">
        <f>0.5*(Q4525+Q4526)*R4526</f>
        <v>0.05480550893864419</v>
      </c>
      <c r="T4526" s="75">
        <f>0.5*(F4525*Q4525+F4526*Q4526)*R4526</f>
        <v>1.3020949366780161</v>
      </c>
      <c r="U4526" s="76">
        <f>U4525+S4526</f>
        <v>81.08051658668042</v>
      </c>
      <c r="V4526" s="76">
        <f>V4525+T4526</f>
        <v>1375.5238337769954</v>
      </c>
    </row>
    <row r="4527" spans="1:22" ht="19" customHeight="1">
      <c r="A4527" s="68" t="s">
        <v>378</v>
      </c>
      <c r="B4527" s="74">
        <v>5</v>
      </c>
      <c r="C4527" s="68" t="s">
        <v>363</v>
      </c>
      <c r="D4527" s="68" t="s">
        <v>365</v>
      </c>
      <c r="E4527" s="75">
        <f>60*F4527*'THAM_SO_MOI'!$C$53/(2*PI()*'THAM_SO_MOI'!$C$26)</f>
        <v>2341.364315789473</v>
      </c>
      <c r="F4527" s="75">
        <f>'THAM_SO_MOI'!$C$14+('THAM_SO_MOI'!$C$37-'THAM_SO_MOI'!$C$14)*436/'THAM_SO_MOI'!$C$42</f>
        <v>23.76384722222222</v>
      </c>
      <c r="G4527" s="75">
        <f>3.6*F4527</f>
        <v>85.54984999999999</v>
      </c>
      <c r="H4527" s="75">
        <f>'THAM_SO_MOI'!$D$53</f>
        <v>1.1</v>
      </c>
      <c r="I4527" s="75">
        <f>IF(F4527&gt;='THAM_SO_MOI'!$C$14,'THAM_SO_MOI'!$C$13*(1+F4527^2/1500),'THAM_SO_MOI'!$C$13)</f>
        <v>0.020647204348011188</v>
      </c>
      <c r="J4527" s="75">
        <f>'THAM_SO_MOI'!$C$40*('THAM_SO_MOI'!$C$23*(E4527/'THAM_SO_MOI'!$C$22)+'THAM_SO_MOI'!$C$24*(E4527/'THAM_SO_MOI'!$C$22)^2-'THAM_SO_MOI'!$C$25*(E4527/'THAM_SO_MOI'!$C$22)^3)</f>
        <v>105.07938549333252</v>
      </c>
      <c r="K4527" s="75">
        <f>'THAM_SO_MOI'!$C$31*J4527/E4527</f>
        <v>428.64903227627707</v>
      </c>
      <c r="L4527" s="75">
        <f>K4527*'THAM_SO_MOI'!$C$53*'THAM_SO_MOI'!$C$17/'THAM_SO_MOI'!$C$26</f>
        <v>3759.2536903531354</v>
      </c>
      <c r="M4527" s="75">
        <f>'THAM_SO_MOI'!$C$15*'THAM_SO_MOI'!$C$16*F4527^2</f>
        <v>1651.8072717932725</v>
      </c>
      <c r="N4527" s="75">
        <f>'THAM_SO_MOI'!$C$12*I4527</f>
        <v>1555.5768933426414</v>
      </c>
      <c r="O4527" s="75">
        <f>M4527+N4527</f>
        <v>3207.384165135914</v>
      </c>
      <c r="P4527" s="75">
        <f>(MIN(L4527,'THAM_SO_MOI'!$C$41)-O4527)/('THAM_SO_MOI'!$C$11*H4527)</f>
        <v>0.06532546463272032</v>
      </c>
      <c r="Q4527" s="75">
        <f>IF(P4527&gt;0,1/P4527,NA())</f>
        <v>15.307966129629616</v>
      </c>
      <c r="R4527" s="75">
        <f>F4527-F4526</f>
        <v>0.0035868055555567935</v>
      </c>
      <c r="S4527" s="75">
        <f>0.5*(Q4526+Q4527)*R4527</f>
        <v>0.05487293732587548</v>
      </c>
      <c r="T4527" s="75">
        <f>0.5*(F4526*Q4526+F4527*Q4527)*R4527</f>
        <v>1.3038937505148664</v>
      </c>
      <c r="U4527" s="76">
        <f>U4526+S4527</f>
        <v>81.1353895240063</v>
      </c>
      <c r="V4527" s="76">
        <f>V4526+T4527</f>
        <v>1376.8277275275102</v>
      </c>
    </row>
    <row r="4528" spans="1:22" ht="19" customHeight="1">
      <c r="A4528" s="68" t="s">
        <v>378</v>
      </c>
      <c r="B4528" s="74">
        <v>5</v>
      </c>
      <c r="C4528" s="68" t="s">
        <v>363</v>
      </c>
      <c r="D4528" s="68" t="s">
        <v>365</v>
      </c>
      <c r="E4528" s="75">
        <f>60*F4528*'THAM_SO_MOI'!$C$53/(2*PI()*'THAM_SO_MOI'!$C$26)</f>
        <v>2341.7177105263154</v>
      </c>
      <c r="F4528" s="75">
        <f>'THAM_SO_MOI'!$C$14+('THAM_SO_MOI'!$C$37-'THAM_SO_MOI'!$C$14)*437/'THAM_SO_MOI'!$C$42</f>
        <v>23.767434027777778</v>
      </c>
      <c r="G4528" s="75">
        <f>3.6*F4528</f>
        <v>85.5627625</v>
      </c>
      <c r="H4528" s="75">
        <f>'THAM_SO_MOI'!$D$53</f>
        <v>1.1</v>
      </c>
      <c r="I4528" s="75">
        <f>IF(F4528&gt;='THAM_SO_MOI'!$C$14,'THAM_SO_MOI'!$C$13*(1+F4528^2/1500),'THAM_SO_MOI'!$C$13)</f>
        <v>0.02064890920264769</v>
      </c>
      <c r="J4528" s="75">
        <f>'THAM_SO_MOI'!$C$40*('THAM_SO_MOI'!$C$23*(E4528/'THAM_SO_MOI'!$C$22)+'THAM_SO_MOI'!$C$24*(E4528/'THAM_SO_MOI'!$C$22)^2-'THAM_SO_MOI'!$C$25*(E4528/'THAM_SO_MOI'!$C$22)^3)</f>
        <v>105.09377572990522</v>
      </c>
      <c r="K4528" s="75">
        <f>'THAM_SO_MOI'!$C$31*J4528/E4528</f>
        <v>428.6430367855603</v>
      </c>
      <c r="L4528" s="75">
        <f>K4528*'THAM_SO_MOI'!$C$53*'THAM_SO_MOI'!$C$17/'THAM_SO_MOI'!$C$26</f>
        <v>3759.201109876089</v>
      </c>
      <c r="M4528" s="75">
        <f>'THAM_SO_MOI'!$C$15*'THAM_SO_MOI'!$C$16*F4528^2</f>
        <v>1652.3059417744496</v>
      </c>
      <c r="N4528" s="75">
        <f>'THAM_SO_MOI'!$C$12*I4528</f>
        <v>1555.7053384548392</v>
      </c>
      <c r="O4528" s="75">
        <f>M4528+N4528</f>
        <v>3208.011280229289</v>
      </c>
      <c r="P4528" s="75">
        <f>(MIN(L4528,'THAM_SO_MOI'!$C$41)-O4528)/('THAM_SO_MOI'!$C$11*H4528)</f>
        <v>0.0652450082441762</v>
      </c>
      <c r="Q4528" s="75">
        <f>IF(P4528&gt;0,1/P4528,NA())</f>
        <v>15.326843032306007</v>
      </c>
      <c r="R4528" s="75">
        <f>F4528-F4527</f>
        <v>0.0035868055555567935</v>
      </c>
      <c r="S4528" s="75">
        <f>0.5*(Q4527+Q4528)*R4528</f>
        <v>0.05494055184772642</v>
      </c>
      <c r="T4528" s="75">
        <f>0.5*(F4527*Q4527+F4528*Q4528)*R4528</f>
        <v>1.3056974716659058</v>
      </c>
      <c r="U4528" s="76">
        <f>U4527+S4528</f>
        <v>81.19033007585402</v>
      </c>
      <c r="V4528" s="76">
        <f>V4527+T4528</f>
        <v>1378.1334249991762</v>
      </c>
    </row>
    <row r="4529" spans="1:22" ht="19" customHeight="1">
      <c r="A4529" s="68" t="s">
        <v>378</v>
      </c>
      <c r="B4529" s="74">
        <v>5</v>
      </c>
      <c r="C4529" s="68" t="s">
        <v>363</v>
      </c>
      <c r="D4529" s="68" t="s">
        <v>365</v>
      </c>
      <c r="E4529" s="75">
        <f>60*F4529*'THAM_SO_MOI'!$C$53/(2*PI()*'THAM_SO_MOI'!$C$26)</f>
        <v>2342.0711052631573</v>
      </c>
      <c r="F4529" s="75">
        <f>'THAM_SO_MOI'!$C$14+('THAM_SO_MOI'!$C$37-'THAM_SO_MOI'!$C$14)*438/'THAM_SO_MOI'!$C$42</f>
        <v>23.77102083333333</v>
      </c>
      <c r="G4529" s="75">
        <f>3.6*F4529</f>
        <v>85.57567499999999</v>
      </c>
      <c r="H4529" s="75">
        <f>'THAM_SO_MOI'!$D$53</f>
        <v>1.1</v>
      </c>
      <c r="I4529" s="75">
        <f>IF(F4529&gt;='THAM_SO_MOI'!$C$14,'THAM_SO_MOI'!$C$13*(1+F4529^2/1500),'THAM_SO_MOI'!$C$13)</f>
        <v>0.020650614314587673</v>
      </c>
      <c r="J4529" s="75">
        <f>'THAM_SO_MOI'!$C$40*('THAM_SO_MOI'!$C$23*(E4529/'THAM_SO_MOI'!$C$22)+'THAM_SO_MOI'!$C$24*(E4529/'THAM_SO_MOI'!$C$22)^2-'THAM_SO_MOI'!$C$25*(E4529/'THAM_SO_MOI'!$C$22)^3)</f>
        <v>105.10816255178717</v>
      </c>
      <c r="K4529" s="75">
        <f>'THAM_SO_MOI'!$C$31*J4529/E4529</f>
        <v>428.637029178859</v>
      </c>
      <c r="L4529" s="75">
        <f>K4529*'THAM_SO_MOI'!$C$53*'THAM_SO_MOI'!$C$17/'THAM_SO_MOI'!$C$26</f>
        <v>3759.148423141811</v>
      </c>
      <c r="M4529" s="75">
        <f>'THAM_SO_MOI'!$C$15*'THAM_SO_MOI'!$C$16*F4529^2</f>
        <v>1652.8046870168944</v>
      </c>
      <c r="N4529" s="75">
        <f>'THAM_SO_MOI'!$C$12*I4529</f>
        <v>1555.833802952487</v>
      </c>
      <c r="O4529" s="75">
        <f>M4529+N4529</f>
        <v>3208.638489969381</v>
      </c>
      <c r="P4529" s="75">
        <f>(MIN(L4529,'THAM_SO_MOI'!$C$41)-O4529)/('THAM_SO_MOI'!$C$11*H4529)</f>
        <v>0.06516452807438791</v>
      </c>
      <c r="Q4529" s="75">
        <f>IF(P4529&gt;0,1/P4529,NA())</f>
        <v>15.345772148590719</v>
      </c>
      <c r="R4529" s="75">
        <f>F4529-F4528</f>
        <v>0.0035868055555532408</v>
      </c>
      <c r="S4529" s="75">
        <f>0.5*(Q4528+Q4529)*R4529</f>
        <v>0.055008353267093524</v>
      </c>
      <c r="T4529" s="75">
        <f>0.5*(F4528*Q4528+F4529*Q4529)*R4529</f>
        <v>1.3075061202674836</v>
      </c>
      <c r="U4529" s="76">
        <f>U4528+S4529</f>
        <v>81.24533842912112</v>
      </c>
      <c r="V4529" s="76">
        <f>V4528+T4529</f>
        <v>1379.4409311194438</v>
      </c>
    </row>
    <row r="4530" spans="1:22" ht="19" customHeight="1">
      <c r="A4530" s="68" t="s">
        <v>378</v>
      </c>
      <c r="B4530" s="74">
        <v>5</v>
      </c>
      <c r="C4530" s="68" t="s">
        <v>363</v>
      </c>
      <c r="D4530" s="68" t="s">
        <v>365</v>
      </c>
      <c r="E4530" s="75">
        <f>60*F4530*'THAM_SO_MOI'!$C$53/(2*PI()*'THAM_SO_MOI'!$C$26)</f>
        <v>2342.4244999999996</v>
      </c>
      <c r="F4530" s="75">
        <f>'THAM_SO_MOI'!$C$14+('THAM_SO_MOI'!$C$37-'THAM_SO_MOI'!$C$14)*439/'THAM_SO_MOI'!$C$42</f>
        <v>23.774607638888888</v>
      </c>
      <c r="G4530" s="75">
        <f>3.6*F4530</f>
        <v>85.5885875</v>
      </c>
      <c r="H4530" s="75">
        <f>'THAM_SO_MOI'!$D$53</f>
        <v>1.1</v>
      </c>
      <c r="I4530" s="75">
        <f>IF(F4530&gt;='THAM_SO_MOI'!$C$14,'THAM_SO_MOI'!$C$13*(1+F4530^2/1500),'THAM_SO_MOI'!$C$13)</f>
        <v>0.020652319683831136</v>
      </c>
      <c r="J4530" s="75">
        <f>'THAM_SO_MOI'!$C$40*('THAM_SO_MOI'!$C$23*(E4530/'THAM_SO_MOI'!$C$22)+'THAM_SO_MOI'!$C$24*(E4530/'THAM_SO_MOI'!$C$22)^2-'THAM_SO_MOI'!$C$25*(E4530/'THAM_SO_MOI'!$C$22)^3)</f>
        <v>105.12254595763355</v>
      </c>
      <c r="K4530" s="75">
        <f>'THAM_SO_MOI'!$C$31*J4530/E4530</f>
        <v>428.6310094561732</v>
      </c>
      <c r="L4530" s="75">
        <f>K4530*'THAM_SO_MOI'!$C$53*'THAM_SO_MOI'!$C$17/'THAM_SO_MOI'!$C$26</f>
        <v>3759.0956301503015</v>
      </c>
      <c r="M4530" s="75">
        <f>'THAM_SO_MOI'!$C$15*'THAM_SO_MOI'!$C$16*F4530^2</f>
        <v>1653.3035075206083</v>
      </c>
      <c r="N4530" s="75">
        <f>'THAM_SO_MOI'!$C$12*I4530</f>
        <v>1555.962286835585</v>
      </c>
      <c r="O4530" s="75">
        <f>M4530+N4530</f>
        <v>3209.2657943561935</v>
      </c>
      <c r="P4530" s="75">
        <f>(MIN(L4530,'THAM_SO_MOI'!$C$41)-O4530)/('THAM_SO_MOI'!$C$11*H4530)</f>
        <v>0.0650840241233556</v>
      </c>
      <c r="Q4530" s="75">
        <f>IF(P4530&gt;0,1/P4530,NA())</f>
        <v>15.364753692928877</v>
      </c>
      <c r="R4530" s="75">
        <f>F4530-F4529</f>
        <v>0.0035868055555567935</v>
      </c>
      <c r="S4530" s="75">
        <f>0.5*(Q4529+Q4530)*R4530</f>
        <v>0.05507634235121648</v>
      </c>
      <c r="T4530" s="75">
        <f>0.5*(F4529*Q4529+F4530*Q4530)*R4530</f>
        <v>1.3093197165701465</v>
      </c>
      <c r="U4530" s="76">
        <f>U4529+S4530</f>
        <v>81.30041477147233</v>
      </c>
      <c r="V4530" s="76">
        <f>V4529+T4530</f>
        <v>1380.750250836014</v>
      </c>
    </row>
    <row r="4531" spans="1:22" ht="19" customHeight="1">
      <c r="A4531" s="68" t="s">
        <v>378</v>
      </c>
      <c r="B4531" s="74">
        <v>5</v>
      </c>
      <c r="C4531" s="68" t="s">
        <v>363</v>
      </c>
      <c r="D4531" s="68" t="s">
        <v>365</v>
      </c>
      <c r="E4531" s="75">
        <f>60*F4531*'THAM_SO_MOI'!$C$53/(2*PI()*'THAM_SO_MOI'!$C$26)</f>
        <v>2342.7778947368415</v>
      </c>
      <c r="F4531" s="75">
        <f>'THAM_SO_MOI'!$C$14+('THAM_SO_MOI'!$C$37-'THAM_SO_MOI'!$C$14)*440/'THAM_SO_MOI'!$C$42</f>
        <v>23.778194444444445</v>
      </c>
      <c r="G4531" s="75">
        <f>3.6*F4531</f>
        <v>85.6015</v>
      </c>
      <c r="H4531" s="75">
        <f>'THAM_SO_MOI'!$D$53</f>
        <v>1.1</v>
      </c>
      <c r="I4531" s="75">
        <f>IF(F4531&gt;='THAM_SO_MOI'!$C$14,'THAM_SO_MOI'!$C$13*(1+F4531^2/1500),'THAM_SO_MOI'!$C$13)</f>
        <v>0.020654025310378087</v>
      </c>
      <c r="J4531" s="75">
        <f>'THAM_SO_MOI'!$C$40*('THAM_SO_MOI'!$C$23*(E4531/'THAM_SO_MOI'!$C$22)+'THAM_SO_MOI'!$C$24*(E4531/'THAM_SO_MOI'!$C$22)^2-'THAM_SO_MOI'!$C$25*(E4531/'THAM_SO_MOI'!$C$22)^3)</f>
        <v>105.13692594609947</v>
      </c>
      <c r="K4531" s="75">
        <f>'THAM_SO_MOI'!$C$31*J4531/E4531</f>
        <v>428.62497761750313</v>
      </c>
      <c r="L4531" s="75">
        <f>K4531*'THAM_SO_MOI'!$C$53*'THAM_SO_MOI'!$C$17/'THAM_SO_MOI'!$C$26</f>
        <v>3759.0427309015627</v>
      </c>
      <c r="M4531" s="75">
        <f>'THAM_SO_MOI'!$C$15*'THAM_SO_MOI'!$C$16*F4531^2</f>
        <v>1653.8024032855903</v>
      </c>
      <c r="N4531" s="75">
        <f>'THAM_SO_MOI'!$C$12*I4531</f>
        <v>1556.0907901041335</v>
      </c>
      <c r="O4531" s="75">
        <f>M4531+N4531</f>
        <v>3209.893193389724</v>
      </c>
      <c r="P4531" s="75">
        <f>(MIN(L4531,'THAM_SO_MOI'!$C$41)-O4531)/('THAM_SO_MOI'!$C$11*H4531)</f>
        <v>0.06500349639107939</v>
      </c>
      <c r="Q4531" s="75">
        <f>IF(P4531&gt;0,1/P4531,NA())</f>
        <v>15.38378788094286</v>
      </c>
      <c r="R4531" s="75">
        <f>F4531-F4530</f>
        <v>0.0035868055555567935</v>
      </c>
      <c r="S4531" s="75">
        <f>0.5*(Q4530+Q4531)*R4531</f>
        <v>0.05514451987121609</v>
      </c>
      <c r="T4531" s="75">
        <f>0.5*(F4530*Q4530+F4531*Q4531)*R4531</f>
        <v>1.311138280927726</v>
      </c>
      <c r="U4531" s="76">
        <f>U4530+S4531</f>
        <v>81.35555929134355</v>
      </c>
      <c r="V4531" s="76">
        <f>V4530+T4531</f>
        <v>1382.0613891169417</v>
      </c>
    </row>
    <row r="4532" spans="1:22" ht="19" customHeight="1">
      <c r="A4532" s="68" t="s">
        <v>378</v>
      </c>
      <c r="B4532" s="74">
        <v>5</v>
      </c>
      <c r="C4532" s="68" t="s">
        <v>363</v>
      </c>
      <c r="D4532" s="68" t="s">
        <v>365</v>
      </c>
      <c r="E4532" s="75">
        <f>60*F4532*'THAM_SO_MOI'!$C$53/(2*PI()*'THAM_SO_MOI'!$C$26)</f>
        <v>2343.131289473684</v>
      </c>
      <c r="F4532" s="75">
        <f>'THAM_SO_MOI'!$C$14+('THAM_SO_MOI'!$C$37-'THAM_SO_MOI'!$C$14)*441/'THAM_SO_MOI'!$C$42</f>
        <v>23.781781249999998</v>
      </c>
      <c r="G4532" s="75">
        <f>3.6*F4532</f>
        <v>85.6144125</v>
      </c>
      <c r="H4532" s="75">
        <f>'THAM_SO_MOI'!$D$53</f>
        <v>1.1</v>
      </c>
      <c r="I4532" s="75">
        <f>IF(F4532&gt;='THAM_SO_MOI'!$C$14,'THAM_SO_MOI'!$C$13*(1+F4532^2/1500),'THAM_SO_MOI'!$C$13)</f>
        <v>0.020655731194228515</v>
      </c>
      <c r="J4532" s="75">
        <f>'THAM_SO_MOI'!$C$40*('THAM_SO_MOI'!$C$23*(E4532/'THAM_SO_MOI'!$C$22)+'THAM_SO_MOI'!$C$24*(E4532/'THAM_SO_MOI'!$C$22)^2-'THAM_SO_MOI'!$C$25*(E4532/'THAM_SO_MOI'!$C$22)^3)</f>
        <v>105.15130251583997</v>
      </c>
      <c r="K4532" s="75">
        <f>'THAM_SO_MOI'!$C$31*J4532/E4532</f>
        <v>428.6189336628484</v>
      </c>
      <c r="L4532" s="75">
        <f>K4532*'THAM_SO_MOI'!$C$53*'THAM_SO_MOI'!$C$17/'THAM_SO_MOI'!$C$26</f>
        <v>3758.989725395591</v>
      </c>
      <c r="M4532" s="75">
        <f>'THAM_SO_MOI'!$C$15*'THAM_SO_MOI'!$C$16*F4532^2</f>
        <v>1654.3013743118406</v>
      </c>
      <c r="N4532" s="75">
        <f>'THAM_SO_MOI'!$C$12*I4532</f>
        <v>1556.2193127581318</v>
      </c>
      <c r="O4532" s="75">
        <f>M4532+N4532</f>
        <v>3210.520687069972</v>
      </c>
      <c r="P4532" s="75">
        <f>(MIN(L4532,'THAM_SO_MOI'!$C$41)-O4532)/('THAM_SO_MOI'!$C$11*H4532)</f>
        <v>0.06492294487755905</v>
      </c>
      <c r="Q4532" s="75">
        <f>IF(P4532&gt;0,1/P4532,NA())</f>
        <v>15.402874929440472</v>
      </c>
      <c r="R4532" s="75">
        <f>F4532-F4531</f>
        <v>0.0035868055555532408</v>
      </c>
      <c r="S4532" s="75">
        <f>0.5*(Q4531+Q4532)*R4532</f>
        <v>0.05521288660261364</v>
      </c>
      <c r="T4532" s="75">
        <f>0.5*(F4531*Q4531+F4532*Q4532)*R4532</f>
        <v>1.3129618338097615</v>
      </c>
      <c r="U4532" s="76">
        <f>U4531+S4532</f>
        <v>81.41077217794617</v>
      </c>
      <c r="V4532" s="76">
        <f>V4531+T4532</f>
        <v>1383.3743509507515</v>
      </c>
    </row>
    <row r="4533" spans="1:22" ht="19" customHeight="1">
      <c r="A4533" s="68" t="s">
        <v>378</v>
      </c>
      <c r="B4533" s="74">
        <v>5</v>
      </c>
      <c r="C4533" s="68" t="s">
        <v>363</v>
      </c>
      <c r="D4533" s="68" t="s">
        <v>365</v>
      </c>
      <c r="E4533" s="75">
        <f>60*F4533*'THAM_SO_MOI'!$C$53/(2*PI()*'THAM_SO_MOI'!$C$26)</f>
        <v>2343.4846842105258</v>
      </c>
      <c r="F4533" s="75">
        <f>'THAM_SO_MOI'!$C$14+('THAM_SO_MOI'!$C$37-'THAM_SO_MOI'!$C$14)*442/'THAM_SO_MOI'!$C$42</f>
        <v>23.785368055555555</v>
      </c>
      <c r="G4533" s="75">
        <f>3.6*F4533</f>
        <v>85.627325</v>
      </c>
      <c r="H4533" s="75">
        <f>'THAM_SO_MOI'!$D$53</f>
        <v>1.1</v>
      </c>
      <c r="I4533" s="75">
        <f>IF(F4533&gt;='THAM_SO_MOI'!$C$14,'THAM_SO_MOI'!$C$13*(1+F4533^2/1500),'THAM_SO_MOI'!$C$13)</f>
        <v>0.020657437335382424</v>
      </c>
      <c r="J4533" s="75">
        <f>'THAM_SO_MOI'!$C$40*('THAM_SO_MOI'!$C$23*(E4533/'THAM_SO_MOI'!$C$22)+'THAM_SO_MOI'!$C$24*(E4533/'THAM_SO_MOI'!$C$22)^2-'THAM_SO_MOI'!$C$25*(E4533/'THAM_SO_MOI'!$C$22)^3)</f>
        <v>105.16567566551025</v>
      </c>
      <c r="K4533" s="75">
        <f>'THAM_SO_MOI'!$C$31*J4533/E4533</f>
        <v>428.61287759220943</v>
      </c>
      <c r="L4533" s="75">
        <f>K4533*'THAM_SO_MOI'!$C$53*'THAM_SO_MOI'!$C$17/'THAM_SO_MOI'!$C$26</f>
        <v>3758.9366136323897</v>
      </c>
      <c r="M4533" s="75">
        <f>'THAM_SO_MOI'!$C$15*'THAM_SO_MOI'!$C$16*F4533^2</f>
        <v>1654.8004205993598</v>
      </c>
      <c r="N4533" s="75">
        <f>'THAM_SO_MOI'!$C$12*I4533</f>
        <v>1556.34785479758</v>
      </c>
      <c r="O4533" s="75">
        <f>M4533+N4533</f>
        <v>3211.14827539694</v>
      </c>
      <c r="P4533" s="75">
        <f>(MIN(L4533,'THAM_SO_MOI'!$C$41)-O4533)/('THAM_SO_MOI'!$C$11*H4533)</f>
        <v>0.06484236958279473</v>
      </c>
      <c r="Q4533" s="75">
        <f>IF(P4533&gt;0,1/P4533,NA())</f>
        <v>15.422015056422923</v>
      </c>
      <c r="R4533" s="75">
        <f>F4533-F4532</f>
        <v>0.0035868055555567935</v>
      </c>
      <c r="S4533" s="75">
        <f>0.5*(Q4532+Q4533)*R4533</f>
        <v>0.0552814433253609</v>
      </c>
      <c r="T4533" s="75">
        <f>0.5*(F4532*Q4532+F4533*Q4533)*R4533</f>
        <v>1.314790395802291</v>
      </c>
      <c r="U4533" s="76">
        <f>U4532+S4533</f>
        <v>81.46605362127153</v>
      </c>
      <c r="V4533" s="76">
        <f>V4532+T4533</f>
        <v>1384.6891413465537</v>
      </c>
    </row>
    <row r="4534" spans="1:22" ht="19" customHeight="1">
      <c r="A4534" s="68" t="s">
        <v>378</v>
      </c>
      <c r="B4534" s="74">
        <v>5</v>
      </c>
      <c r="C4534" s="68" t="s">
        <v>363</v>
      </c>
      <c r="D4534" s="68" t="s">
        <v>365</v>
      </c>
      <c r="E4534" s="75">
        <f>60*F4534*'THAM_SO_MOI'!$C$53/(2*PI()*'THAM_SO_MOI'!$C$26)</f>
        <v>2343.8380789473676</v>
      </c>
      <c r="F4534" s="75">
        <f>'THAM_SO_MOI'!$C$14+('THAM_SO_MOI'!$C$37-'THAM_SO_MOI'!$C$14)*443/'THAM_SO_MOI'!$C$42</f>
        <v>23.788954861111108</v>
      </c>
      <c r="G4534" s="75">
        <f>3.6*F4534</f>
        <v>85.6402375</v>
      </c>
      <c r="H4534" s="75">
        <f>'THAM_SO_MOI'!$D$53</f>
        <v>1.1</v>
      </c>
      <c r="I4534" s="75">
        <f>IF(F4534&gt;='THAM_SO_MOI'!$C$14,'THAM_SO_MOI'!$C$13*(1+F4534^2/1500),'THAM_SO_MOI'!$C$13)</f>
        <v>0.02065914373383982</v>
      </c>
      <c r="J4534" s="75">
        <f>'THAM_SO_MOI'!$C$40*('THAM_SO_MOI'!$C$23*(E4534/'THAM_SO_MOI'!$C$22)+'THAM_SO_MOI'!$C$24*(E4534/'THAM_SO_MOI'!$C$22)^2-'THAM_SO_MOI'!$C$25*(E4534/'THAM_SO_MOI'!$C$22)^3)</f>
        <v>105.18004539376533</v>
      </c>
      <c r="K4534" s="75">
        <f>'THAM_SO_MOI'!$C$31*J4534/E4534</f>
        <v>428.6068094055858</v>
      </c>
      <c r="L4534" s="75">
        <f>K4534*'THAM_SO_MOI'!$C$53*'THAM_SO_MOI'!$C$17/'THAM_SO_MOI'!$C$26</f>
        <v>3758.8833956119565</v>
      </c>
      <c r="M4534" s="75">
        <f>'THAM_SO_MOI'!$C$15*'THAM_SO_MOI'!$C$16*F4534^2</f>
        <v>1655.2995421481469</v>
      </c>
      <c r="N4534" s="75">
        <f>'THAM_SO_MOI'!$C$12*I4534</f>
        <v>1556.4764162224792</v>
      </c>
      <c r="O4534" s="75">
        <f>M4534+N4534</f>
        <v>3211.775958370626</v>
      </c>
      <c r="P4534" s="75">
        <f>(MIN(L4534,'THAM_SO_MOI'!$C$41)-O4534)/('THAM_SO_MOI'!$C$11*H4534)</f>
        <v>0.06476177050678628</v>
      </c>
      <c r="Q4534" s="75">
        <f>IF(P4534&gt;0,1/P4534,NA())</f>
        <v>15.441208481093204</v>
      </c>
      <c r="R4534" s="75">
        <f>F4534-F4533</f>
        <v>0.0035868055555532408</v>
      </c>
      <c r="S4534" s="75">
        <f>0.5*(Q4533+Q4534)*R4534</f>
        <v>0.055350190823322196</v>
      </c>
      <c r="T4534" s="75">
        <f>0.5*(F4533*Q4533+F4534*Q4534)*R4534</f>
        <v>1.3166239875956125</v>
      </c>
      <c r="U4534" s="76">
        <f>U4533+S4534</f>
        <v>81.52140381209485</v>
      </c>
      <c r="V4534" s="76">
        <f>V4533+T4534</f>
        <v>1386.0057653341494</v>
      </c>
    </row>
    <row r="4535" spans="1:22" ht="19" customHeight="1">
      <c r="A4535" s="68" t="s">
        <v>378</v>
      </c>
      <c r="B4535" s="74">
        <v>5</v>
      </c>
      <c r="C4535" s="68" t="s">
        <v>363</v>
      </c>
      <c r="D4535" s="68" t="s">
        <v>365</v>
      </c>
      <c r="E4535" s="75">
        <f>60*F4535*'THAM_SO_MOI'!$C$53/(2*PI()*'THAM_SO_MOI'!$C$26)</f>
        <v>2344.1914736842095</v>
      </c>
      <c r="F4535" s="75">
        <f>'THAM_SO_MOI'!$C$14+('THAM_SO_MOI'!$C$37-'THAM_SO_MOI'!$C$14)*444/'THAM_SO_MOI'!$C$42</f>
        <v>23.792541666666665</v>
      </c>
      <c r="G4535" s="75">
        <f>3.6*F4535</f>
        <v>85.65315</v>
      </c>
      <c r="H4535" s="75">
        <f>'THAM_SO_MOI'!$D$53</f>
        <v>1.1</v>
      </c>
      <c r="I4535" s="75">
        <f>IF(F4535&gt;='THAM_SO_MOI'!$C$14,'THAM_SO_MOI'!$C$13*(1+F4535^2/1500),'THAM_SO_MOI'!$C$13)</f>
        <v>0.020660850389600693</v>
      </c>
      <c r="J4535" s="75">
        <f>'THAM_SO_MOI'!$C$40*('THAM_SO_MOI'!$C$23*(E4535/'THAM_SO_MOI'!$C$22)+'THAM_SO_MOI'!$C$24*(E4535/'THAM_SO_MOI'!$C$22)^2-'THAM_SO_MOI'!$C$25*(E4535/'THAM_SO_MOI'!$C$22)^3)</f>
        <v>105.1944116992604</v>
      </c>
      <c r="K4535" s="75">
        <f>'THAM_SO_MOI'!$C$31*J4535/E4535</f>
        <v>428.6007291029779</v>
      </c>
      <c r="L4535" s="75">
        <f>K4535*'THAM_SO_MOI'!$C$53*'THAM_SO_MOI'!$C$17/'THAM_SO_MOI'!$C$26</f>
        <v>3758.830071334293</v>
      </c>
      <c r="M4535" s="75">
        <f>'THAM_SO_MOI'!$C$15*'THAM_SO_MOI'!$C$16*F4535^2</f>
        <v>1655.798738958203</v>
      </c>
      <c r="N4535" s="75">
        <f>'THAM_SO_MOI'!$C$12*I4535</f>
        <v>1556.604997032828</v>
      </c>
      <c r="O4535" s="75">
        <f>M4535+N4535</f>
        <v>3212.4037359910308</v>
      </c>
      <c r="P4535" s="75">
        <f>(MIN(L4535,'THAM_SO_MOI'!$C$41)-O4535)/('THAM_SO_MOI'!$C$11*H4535)</f>
        <v>0.06468114764953384</v>
      </c>
      <c r="Q4535" s="75">
        <f>IF(P4535&gt;0,1/P4535,NA())</f>
        <v>15.460455423864254</v>
      </c>
      <c r="R4535" s="75">
        <f>F4535-F4534</f>
        <v>0.0035868055555567935</v>
      </c>
      <c r="S4535" s="75">
        <f>0.5*(Q4534+Q4535)*R4535</f>
        <v>0.055419129885125124</v>
      </c>
      <c r="T4535" s="75">
        <f>0.5*(F4534*Q4534+F4535*Q4535)*R4535</f>
        <v>1.3184626300045905</v>
      </c>
      <c r="U4535" s="76">
        <f>U4534+S4535</f>
        <v>81.57682294197997</v>
      </c>
      <c r="V4535" s="76">
        <f>V4534+T4535</f>
        <v>1387.324227964154</v>
      </c>
    </row>
    <row r="4536" spans="1:22" ht="19" customHeight="1">
      <c r="A4536" s="68" t="s">
        <v>378</v>
      </c>
      <c r="B4536" s="74">
        <v>5</v>
      </c>
      <c r="C4536" s="68" t="s">
        <v>363</v>
      </c>
      <c r="D4536" s="68" t="s">
        <v>365</v>
      </c>
      <c r="E4536" s="75">
        <f>60*F4536*'THAM_SO_MOI'!$C$53/(2*PI()*'THAM_SO_MOI'!$C$26)</f>
        <v>2344.544868421052</v>
      </c>
      <c r="F4536" s="75">
        <f>'THAM_SO_MOI'!$C$14+('THAM_SO_MOI'!$C$37-'THAM_SO_MOI'!$C$14)*445/'THAM_SO_MOI'!$C$42</f>
        <v>23.79612847222222</v>
      </c>
      <c r="G4536" s="75">
        <f>3.6*F4536</f>
        <v>85.6660625</v>
      </c>
      <c r="H4536" s="75">
        <f>'THAM_SO_MOI'!$D$53</f>
        <v>1.1</v>
      </c>
      <c r="I4536" s="75">
        <f>IF(F4536&gt;='THAM_SO_MOI'!$C$14,'THAM_SO_MOI'!$C$13*(1+F4536^2/1500),'THAM_SO_MOI'!$C$13)</f>
        <v>0.02066255730266505</v>
      </c>
      <c r="J4536" s="75">
        <f>'THAM_SO_MOI'!$C$40*('THAM_SO_MOI'!$C$23*(E4536/'THAM_SO_MOI'!$C$22)+'THAM_SO_MOI'!$C$24*(E4536/'THAM_SO_MOI'!$C$22)^2-'THAM_SO_MOI'!$C$25*(E4536/'THAM_SO_MOI'!$C$22)^3)</f>
        <v>105.20877458065053</v>
      </c>
      <c r="K4536" s="75">
        <f>'THAM_SO_MOI'!$C$31*J4536/E4536</f>
        <v>428.59463668438536</v>
      </c>
      <c r="L4536" s="75">
        <f>K4536*'THAM_SO_MOI'!$C$53*'THAM_SO_MOI'!$C$17/'THAM_SO_MOI'!$C$26</f>
        <v>3758.776640799397</v>
      </c>
      <c r="M4536" s="75">
        <f>'THAM_SO_MOI'!$C$15*'THAM_SO_MOI'!$C$16*F4536^2</f>
        <v>1656.2980110295275</v>
      </c>
      <c r="N4536" s="75">
        <f>'THAM_SO_MOI'!$C$12*I4536</f>
        <v>1556.733597228627</v>
      </c>
      <c r="O4536" s="75">
        <f>M4536+N4536</f>
        <v>3213.031608258155</v>
      </c>
      <c r="P4536" s="75">
        <f>(MIN(L4536,'THAM_SO_MOI'!$C$41)-O4536)/('THAM_SO_MOI'!$C$11*H4536)</f>
        <v>0.06460050101103719</v>
      </c>
      <c r="Q4536" s="75">
        <f>IF(P4536&gt;0,1/P4536,NA())</f>
        <v>15.479756106367457</v>
      </c>
      <c r="R4536" s="75">
        <f>F4536-F4535</f>
        <v>0.0035868055555567935</v>
      </c>
      <c r="S4536" s="75">
        <f>0.5*(Q4535+Q4536)*R4536</f>
        <v>0.05548826130336873</v>
      </c>
      <c r="T4536" s="75">
        <f>0.5*(F4535*Q4535+F4536*Q4536)*R4536</f>
        <v>1.3203063439499036</v>
      </c>
      <c r="U4536" s="76">
        <f>U4535+S4536</f>
        <v>81.63231120328334</v>
      </c>
      <c r="V4536" s="76">
        <f>V4535+T4536</f>
        <v>1388.6445343081039</v>
      </c>
    </row>
    <row r="4537" spans="1:22" ht="19" customHeight="1">
      <c r="A4537" s="68" t="s">
        <v>378</v>
      </c>
      <c r="B4537" s="74">
        <v>5</v>
      </c>
      <c r="C4537" s="68" t="s">
        <v>363</v>
      </c>
      <c r="D4537" s="68" t="s">
        <v>365</v>
      </c>
      <c r="E4537" s="75">
        <f>60*F4537*'THAM_SO_MOI'!$C$53/(2*PI()*'THAM_SO_MOI'!$C$26)</f>
        <v>2344.8982631578942</v>
      </c>
      <c r="F4537" s="75">
        <f>'THAM_SO_MOI'!$C$14+('THAM_SO_MOI'!$C$37-'THAM_SO_MOI'!$C$14)*446/'THAM_SO_MOI'!$C$42</f>
        <v>23.79971527777778</v>
      </c>
      <c r="G4537" s="75">
        <f>3.6*F4537</f>
        <v>85.67897500000001</v>
      </c>
      <c r="H4537" s="75">
        <f>'THAM_SO_MOI'!$D$53</f>
        <v>1.1</v>
      </c>
      <c r="I4537" s="75">
        <f>IF(F4537&gt;='THAM_SO_MOI'!$C$14,'THAM_SO_MOI'!$C$13*(1+F4537^2/1500),'THAM_SO_MOI'!$C$13)</f>
        <v>0.02066426447303289</v>
      </c>
      <c r="J4537" s="75">
        <f>'THAM_SO_MOI'!$C$40*('THAM_SO_MOI'!$C$23*(E4537/'THAM_SO_MOI'!$C$22)+'THAM_SO_MOI'!$C$24*(E4537/'THAM_SO_MOI'!$C$22)^2-'THAM_SO_MOI'!$C$25*(E4537/'THAM_SO_MOI'!$C$22)^3)</f>
        <v>105.2231340365908</v>
      </c>
      <c r="K4537" s="75">
        <f>'THAM_SO_MOI'!$C$31*J4537/E4537</f>
        <v>428.5885321498083</v>
      </c>
      <c r="L4537" s="75">
        <f>K4537*'THAM_SO_MOI'!$C$53*'THAM_SO_MOI'!$C$17/'THAM_SO_MOI'!$C$26</f>
        <v>3758.7231040072693</v>
      </c>
      <c r="M4537" s="75">
        <f>'THAM_SO_MOI'!$C$15*'THAM_SO_MOI'!$C$16*F4537^2</f>
        <v>1656.7973583621203</v>
      </c>
      <c r="N4537" s="75">
        <f>'THAM_SO_MOI'!$C$12*I4537</f>
        <v>1556.8622168098764</v>
      </c>
      <c r="O4537" s="75">
        <f>M4537+N4537</f>
        <v>3213.659575171997</v>
      </c>
      <c r="P4537" s="75">
        <f>(MIN(L4537,'THAM_SO_MOI'!$C$41)-O4537)/('THAM_SO_MOI'!$C$11*H4537)</f>
        <v>0.06451983059129644</v>
      </c>
      <c r="Q4537" s="75">
        <f>IF(P4537&gt;0,1/P4537,NA())</f>
        <v>15.499110751460922</v>
      </c>
      <c r="R4537" s="75">
        <f>F4537-F4536</f>
        <v>0.0035868055555567935</v>
      </c>
      <c r="S4537" s="75">
        <f>0.5*(Q4536+Q4537)*R4537</f>
        <v>0.05555758587525653</v>
      </c>
      <c r="T4537" s="75">
        <f>0.5*(F4536*Q4536+F4537*Q4537)*R4537</f>
        <v>1.3221551504731779</v>
      </c>
      <c r="U4537" s="76">
        <f>U4536+S4537</f>
        <v>81.6878687891586</v>
      </c>
      <c r="V4537" s="76">
        <f>V4536+T4537</f>
        <v>1389.966689458577</v>
      </c>
    </row>
    <row r="4538" spans="1:22" ht="19" customHeight="1">
      <c r="A4538" s="68" t="s">
        <v>378</v>
      </c>
      <c r="B4538" s="74">
        <v>5</v>
      </c>
      <c r="C4538" s="68" t="s">
        <v>363</v>
      </c>
      <c r="D4538" s="68" t="s">
        <v>365</v>
      </c>
      <c r="E4538" s="75">
        <f>60*F4538*'THAM_SO_MOI'!$C$53/(2*PI()*'THAM_SO_MOI'!$C$26)</f>
        <v>2345.251657894736</v>
      </c>
      <c r="F4538" s="75">
        <f>'THAM_SO_MOI'!$C$14+('THAM_SO_MOI'!$C$37-'THAM_SO_MOI'!$C$14)*447/'THAM_SO_MOI'!$C$42</f>
        <v>23.80330208333333</v>
      </c>
      <c r="G4538" s="75">
        <f>3.6*F4538</f>
        <v>85.69188749999999</v>
      </c>
      <c r="H4538" s="75">
        <f>'THAM_SO_MOI'!$D$53</f>
        <v>1.1</v>
      </c>
      <c r="I4538" s="75">
        <f>IF(F4538&gt;='THAM_SO_MOI'!$C$14,'THAM_SO_MOI'!$C$13*(1+F4538^2/1500),'THAM_SO_MOI'!$C$13)</f>
        <v>0.020665971900704207</v>
      </c>
      <c r="J4538" s="75">
        <f>'THAM_SO_MOI'!$C$40*('THAM_SO_MOI'!$C$23*(E4538/'THAM_SO_MOI'!$C$22)+'THAM_SO_MOI'!$C$24*(E4538/'THAM_SO_MOI'!$C$22)^2-'THAM_SO_MOI'!$C$25*(E4538/'THAM_SO_MOI'!$C$22)^3)</f>
        <v>105.23749006573642</v>
      </c>
      <c r="K4538" s="75">
        <f>'THAM_SO_MOI'!$C$31*J4538/E4538</f>
        <v>428.5824154992471</v>
      </c>
      <c r="L4538" s="75">
        <f>K4538*'THAM_SO_MOI'!$C$53*'THAM_SO_MOI'!$C$17/'THAM_SO_MOI'!$C$26</f>
        <v>3758.669460957913</v>
      </c>
      <c r="M4538" s="75">
        <f>'THAM_SO_MOI'!$C$15*'THAM_SO_MOI'!$C$16*F4538^2</f>
        <v>1657.2967809559814</v>
      </c>
      <c r="N4538" s="75">
        <f>'THAM_SO_MOI'!$C$12*I4538</f>
        <v>1556.9908557765757</v>
      </c>
      <c r="O4538" s="75">
        <f>M4538+N4538</f>
        <v>3214.287636732557</v>
      </c>
      <c r="P4538" s="75">
        <f>(MIN(L4538,'THAM_SO_MOI'!$C$41)-O4538)/('THAM_SO_MOI'!$C$11*H4538)</f>
        <v>0.06443913639031203</v>
      </c>
      <c r="Q4538" s="75">
        <f>IF(P4538&gt;0,1/P4538,NA())</f>
        <v>15.518519583237975</v>
      </c>
      <c r="R4538" s="75">
        <f>F4538-F4537</f>
        <v>0.0035868055555532408</v>
      </c>
      <c r="S4538" s="75">
        <f>0.5*(Q4537+Q4538)*R4538</f>
        <v>0.055627104402297366</v>
      </c>
      <c r="T4538" s="75">
        <f>0.5*(F4537*Q4537+F4538*Q4538)*R4538</f>
        <v>1.3240090707299508</v>
      </c>
      <c r="U4538" s="76">
        <f>U4537+S4538</f>
        <v>81.74349589356089</v>
      </c>
      <c r="V4538" s="76">
        <f>V4537+T4538</f>
        <v>1391.290698529307</v>
      </c>
    </row>
    <row r="4539" spans="1:22" ht="19" customHeight="1">
      <c r="A4539" s="68" t="s">
        <v>378</v>
      </c>
      <c r="B4539" s="74">
        <v>5</v>
      </c>
      <c r="C4539" s="68" t="s">
        <v>363</v>
      </c>
      <c r="D4539" s="68" t="s">
        <v>365</v>
      </c>
      <c r="E4539" s="75">
        <f>60*F4539*'THAM_SO_MOI'!$C$53/(2*PI()*'THAM_SO_MOI'!$C$26)</f>
        <v>2345.605052631579</v>
      </c>
      <c r="F4539" s="75">
        <f>'THAM_SO_MOI'!$C$14+('THAM_SO_MOI'!$C$37-'THAM_SO_MOI'!$C$14)*448/'THAM_SO_MOI'!$C$42</f>
        <v>23.80688888888889</v>
      </c>
      <c r="G4539" s="75">
        <f>3.6*F4539</f>
        <v>85.7048</v>
      </c>
      <c r="H4539" s="75">
        <f>'THAM_SO_MOI'!$D$53</f>
        <v>1.1</v>
      </c>
      <c r="I4539" s="75">
        <f>IF(F4539&gt;='THAM_SO_MOI'!$C$14,'THAM_SO_MOI'!$C$13*(1+F4539^2/1500),'THAM_SO_MOI'!$C$13)</f>
        <v>0.020667679585679014</v>
      </c>
      <c r="J4539" s="75">
        <f>'THAM_SO_MOI'!$C$40*('THAM_SO_MOI'!$C$23*(E4539/'THAM_SO_MOI'!$C$22)+'THAM_SO_MOI'!$C$24*(E4539/'THAM_SO_MOI'!$C$22)^2-'THAM_SO_MOI'!$C$25*(E4539/'THAM_SO_MOI'!$C$22)^3)</f>
        <v>105.25184266674242</v>
      </c>
      <c r="K4539" s="75">
        <f>'THAM_SO_MOI'!$C$31*J4539/E4539</f>
        <v>428.57628673270113</v>
      </c>
      <c r="L4539" s="75">
        <f>K4539*'THAM_SO_MOI'!$C$53*'THAM_SO_MOI'!$C$17/'THAM_SO_MOI'!$C$26</f>
        <v>3758.6157116513236</v>
      </c>
      <c r="M4539" s="75">
        <f>'THAM_SO_MOI'!$C$15*'THAM_SO_MOI'!$C$16*F4539^2</f>
        <v>1657.7962788111113</v>
      </c>
      <c r="N4539" s="75">
        <f>'THAM_SO_MOI'!$C$12*I4539</f>
        <v>1557.1195141287255</v>
      </c>
      <c r="O4539" s="75">
        <f>M4539+N4539</f>
        <v>3214.915792939837</v>
      </c>
      <c r="P4539" s="75">
        <f>(MIN(L4539,'THAM_SO_MOI'!$C$41)-O4539)/('THAM_SO_MOI'!$C$11*H4539)</f>
        <v>0.06435841840808319</v>
      </c>
      <c r="Q4539" s="75">
        <f>IF(P4539&gt;0,1/P4539,NA())</f>
        <v>15.537982827036089</v>
      </c>
      <c r="R4539" s="75">
        <f>F4539-F4538</f>
        <v>0.0035868055555567935</v>
      </c>
      <c r="S4539" s="75">
        <f>0.5*(Q4538+Q4539)*R4539</f>
        <v>0.05569681769066698</v>
      </c>
      <c r="T4539" s="75">
        <f>0.5*(F4538*Q4538+F4539*Q4539)*R4539</f>
        <v>1.325868125998355</v>
      </c>
      <c r="U4539" s="76">
        <f>U4538+S4539</f>
        <v>81.79919271125156</v>
      </c>
      <c r="V4539" s="76">
        <f>V4538+T4539</f>
        <v>1392.6165666553054</v>
      </c>
    </row>
    <row r="4540" spans="1:22" ht="19" customHeight="1">
      <c r="A4540" s="68" t="s">
        <v>378</v>
      </c>
      <c r="B4540" s="74">
        <v>5</v>
      </c>
      <c r="C4540" s="68" t="s">
        <v>363</v>
      </c>
      <c r="D4540" s="68" t="s">
        <v>365</v>
      </c>
      <c r="E4540" s="75">
        <f>60*F4540*'THAM_SO_MOI'!$C$53/(2*PI()*'THAM_SO_MOI'!$C$26)</f>
        <v>2345.9584473684204</v>
      </c>
      <c r="F4540" s="75">
        <f>'THAM_SO_MOI'!$C$14+('THAM_SO_MOI'!$C$37-'THAM_SO_MOI'!$C$14)*449/'THAM_SO_MOI'!$C$42</f>
        <v>23.810475694444442</v>
      </c>
      <c r="G4540" s="75">
        <f>3.6*F4540</f>
        <v>85.71771249999999</v>
      </c>
      <c r="H4540" s="75">
        <f>'THAM_SO_MOI'!$D$53</f>
        <v>1.1</v>
      </c>
      <c r="I4540" s="75">
        <f>IF(F4540&gt;='THAM_SO_MOI'!$C$14,'THAM_SO_MOI'!$C$13*(1+F4540^2/1500),'THAM_SO_MOI'!$C$13)</f>
        <v>0.020669387527957293</v>
      </c>
      <c r="J4540" s="75">
        <f>'THAM_SO_MOI'!$C$40*('THAM_SO_MOI'!$C$23*(E4540/'THAM_SO_MOI'!$C$22)+'THAM_SO_MOI'!$C$24*(E4540/'THAM_SO_MOI'!$C$22)^2-'THAM_SO_MOI'!$C$25*(E4540/'THAM_SO_MOI'!$C$22)^3)</f>
        <v>105.26619183826392</v>
      </c>
      <c r="K4540" s="75">
        <f>'THAM_SO_MOI'!$C$31*J4540/E4540</f>
        <v>428.57014585017095</v>
      </c>
      <c r="L4540" s="75">
        <f>K4540*'THAM_SO_MOI'!$C$53*'THAM_SO_MOI'!$C$17/'THAM_SO_MOI'!$C$26</f>
        <v>3758.5618560875046</v>
      </c>
      <c r="M4540" s="75">
        <f>'THAM_SO_MOI'!$C$15*'THAM_SO_MOI'!$C$16*F4540^2</f>
        <v>1658.295851927509</v>
      </c>
      <c r="N4540" s="75">
        <f>'THAM_SO_MOI'!$C$12*I4540</f>
        <v>1557.248191866325</v>
      </c>
      <c r="O4540" s="75">
        <f>M4540+N4540</f>
        <v>3215.544043793834</v>
      </c>
      <c r="P4540" s="75">
        <f>(MIN(L4540,'THAM_SO_MOI'!$C$41)-O4540)/('THAM_SO_MOI'!$C$11*H4540)</f>
        <v>0.06427767664461063</v>
      </c>
      <c r="Q4540" s="75">
        <f>IF(P4540&gt;0,1/P4540,NA())</f>
        <v>15.557500709444902</v>
      </c>
      <c r="R4540" s="75">
        <f>F4540-F4539</f>
        <v>0.0035868055555532408</v>
      </c>
      <c r="S4540" s="75">
        <f>0.5*(Q4539+Q4540)*R4540</f>
        <v>0.055766726550632174</v>
      </c>
      <c r="T4540" s="75">
        <f>0.5*(F4539*Q4539+F4540*Q4540)*R4540</f>
        <v>1.3277323376654924</v>
      </c>
      <c r="U4540" s="76">
        <f>U4539+S4540</f>
        <v>81.8549594378022</v>
      </c>
      <c r="V4540" s="76">
        <f>V4539+T4540</f>
        <v>1393.944298992971</v>
      </c>
    </row>
    <row r="4541" spans="1:22" ht="19" customHeight="1">
      <c r="A4541" s="68" t="s">
        <v>378</v>
      </c>
      <c r="B4541" s="74">
        <v>5</v>
      </c>
      <c r="C4541" s="68" t="s">
        <v>363</v>
      </c>
      <c r="D4541" s="68" t="s">
        <v>365</v>
      </c>
      <c r="E4541" s="75">
        <f>60*F4541*'THAM_SO_MOI'!$C$53/(2*PI()*'THAM_SO_MOI'!$C$26)</f>
        <v>2346.3118421052627</v>
      </c>
      <c r="F4541" s="75">
        <f>'THAM_SO_MOI'!$C$14+('THAM_SO_MOI'!$C$37-'THAM_SO_MOI'!$C$14)*450/'THAM_SO_MOI'!$C$42</f>
        <v>23.8140625</v>
      </c>
      <c r="G4541" s="75">
        <f>3.6*F4541</f>
        <v>85.730625</v>
      </c>
      <c r="H4541" s="75">
        <f>'THAM_SO_MOI'!$D$53</f>
        <v>1.1</v>
      </c>
      <c r="I4541" s="75">
        <f>IF(F4541&gt;='THAM_SO_MOI'!$C$14,'THAM_SO_MOI'!$C$13*(1+F4541^2/1500),'THAM_SO_MOI'!$C$13)</f>
        <v>0.02067109572753906</v>
      </c>
      <c r="J4541" s="75">
        <f>'THAM_SO_MOI'!$C$40*('THAM_SO_MOI'!$C$23*(E4541/'THAM_SO_MOI'!$C$22)+'THAM_SO_MOI'!$C$24*(E4541/'THAM_SO_MOI'!$C$22)^2-'THAM_SO_MOI'!$C$25*(E4541/'THAM_SO_MOI'!$C$22)^3)</f>
        <v>105.28053757895603</v>
      </c>
      <c r="K4541" s="75">
        <f>'THAM_SO_MOI'!$C$31*J4541/E4541</f>
        <v>428.5639928516561</v>
      </c>
      <c r="L4541" s="75">
        <f>K4541*'THAM_SO_MOI'!$C$53*'THAM_SO_MOI'!$C$17/'THAM_SO_MOI'!$C$26</f>
        <v>3758.5078942664527</v>
      </c>
      <c r="M4541" s="75">
        <f>'THAM_SO_MOI'!$C$15*'THAM_SO_MOI'!$C$16*F4541^2</f>
        <v>1658.795500305176</v>
      </c>
      <c r="N4541" s="75">
        <f>'THAM_SO_MOI'!$C$12*I4541</f>
        <v>1557.376888989375</v>
      </c>
      <c r="O4541" s="75">
        <f>M4541+N4541</f>
        <v>3216.172389294551</v>
      </c>
      <c r="P4541" s="75">
        <f>(MIN(L4541,'THAM_SO_MOI'!$C$41)-O4541)/('THAM_SO_MOI'!$C$11*H4541)</f>
        <v>0.06419691109989366</v>
      </c>
      <c r="Q4541" s="75">
        <f>IF(P4541&gt;0,1/P4541,NA())</f>
        <v>15.577073458315606</v>
      </c>
      <c r="R4541" s="75">
        <f>F4541-F4540</f>
        <v>0.0035868055555567935</v>
      </c>
      <c r="S4541" s="75">
        <f>0.5*(Q4540+Q4541)*R4541</f>
        <v>0.05583683179740921</v>
      </c>
      <c r="T4541" s="75">
        <f>0.5*(F4540*Q4540+F4541*Q4541)*R4541</f>
        <v>1.3296017272479477</v>
      </c>
      <c r="U4541" s="76">
        <f>U4540+S4541</f>
        <v>81.9107962695996</v>
      </c>
      <c r="V4541" s="76">
        <f>V4540+T4541</f>
        <v>1395.273900720219</v>
      </c>
    </row>
    <row r="4542" spans="1:22" ht="19" customHeight="1">
      <c r="A4542" s="68" t="s">
        <v>378</v>
      </c>
      <c r="B4542" s="74">
        <v>5</v>
      </c>
      <c r="C4542" s="68" t="s">
        <v>363</v>
      </c>
      <c r="D4542" s="68" t="s">
        <v>365</v>
      </c>
      <c r="E4542" s="75">
        <f>60*F4542*'THAM_SO_MOI'!$C$53/(2*PI()*'THAM_SO_MOI'!$C$26)</f>
        <v>2346.6652368421046</v>
      </c>
      <c r="F4542" s="75">
        <f>'THAM_SO_MOI'!$C$14+('THAM_SO_MOI'!$C$37-'THAM_SO_MOI'!$C$14)*451/'THAM_SO_MOI'!$C$42</f>
        <v>23.817649305555555</v>
      </c>
      <c r="G4542" s="75">
        <f>3.6*F4542</f>
        <v>85.7435375</v>
      </c>
      <c r="H4542" s="75">
        <f>'THAM_SO_MOI'!$D$53</f>
        <v>1.1</v>
      </c>
      <c r="I4542" s="75">
        <f>IF(F4542&gt;='THAM_SO_MOI'!$C$14,'THAM_SO_MOI'!$C$13*(1+F4542^2/1500),'THAM_SO_MOI'!$C$13)</f>
        <v>0.02067280418442431</v>
      </c>
      <c r="J4542" s="75">
        <f>'THAM_SO_MOI'!$C$40*('THAM_SO_MOI'!$C$23*(E4542/'THAM_SO_MOI'!$C$22)+'THAM_SO_MOI'!$C$24*(E4542/'THAM_SO_MOI'!$C$22)^2-'THAM_SO_MOI'!$C$25*(E4542/'THAM_SO_MOI'!$C$22)^3)</f>
        <v>105.29487988747385</v>
      </c>
      <c r="K4542" s="75">
        <f>'THAM_SO_MOI'!$C$31*J4542/E4542</f>
        <v>428.55782773715686</v>
      </c>
      <c r="L4542" s="75">
        <f>K4542*'THAM_SO_MOI'!$C$53*'THAM_SO_MOI'!$C$17/'THAM_SO_MOI'!$C$26</f>
        <v>3758.4538261881708</v>
      </c>
      <c r="M4542" s="75">
        <f>'THAM_SO_MOI'!$C$15*'THAM_SO_MOI'!$C$16*F4542^2</f>
        <v>1659.2952239441108</v>
      </c>
      <c r="N4542" s="75">
        <f>'THAM_SO_MOI'!$C$12*I4542</f>
        <v>1557.505605497875</v>
      </c>
      <c r="O4542" s="75">
        <f>M4542+N4542</f>
        <v>3216.800829441986</v>
      </c>
      <c r="P4542" s="75">
        <f>(MIN(L4542,'THAM_SO_MOI'!$C$41)-O4542)/('THAM_SO_MOI'!$C$11*H4542)</f>
        <v>0.06411612177393285</v>
      </c>
      <c r="Q4542" s="75">
        <f>IF(P4542&gt;0,1/P4542,NA())</f>
        <v>15.59670130276909</v>
      </c>
      <c r="R4542" s="75">
        <f>F4542-F4541</f>
        <v>0.0035868055555567935</v>
      </c>
      <c r="S4542" s="75">
        <f>0.5*(Q4541+Q4542)*R4542</f>
        <v>0.05590713425036736</v>
      </c>
      <c r="T4542" s="75">
        <f>0.5*(F4541*Q4541+F4542*Q4542)*R4542</f>
        <v>1.3314763163729104</v>
      </c>
      <c r="U4542" s="76">
        <f>U4541+S4542</f>
        <v>81.96670340384996</v>
      </c>
      <c r="V4542" s="76">
        <f>V4541+T4542</f>
        <v>1396.6053770365918</v>
      </c>
    </row>
    <row r="4543" spans="1:22" ht="19" customHeight="1">
      <c r="A4543" s="68" t="s">
        <v>378</v>
      </c>
      <c r="B4543" s="74">
        <v>5</v>
      </c>
      <c r="C4543" s="68" t="s">
        <v>363</v>
      </c>
      <c r="D4543" s="68" t="s">
        <v>365</v>
      </c>
      <c r="E4543" s="75">
        <f>60*F4543*'THAM_SO_MOI'!$C$53/(2*PI()*'THAM_SO_MOI'!$C$26)</f>
        <v>2347.0186315789465</v>
      </c>
      <c r="F4543" s="75">
        <f>'THAM_SO_MOI'!$C$14+('THAM_SO_MOI'!$C$37-'THAM_SO_MOI'!$C$14)*452/'THAM_SO_MOI'!$C$42</f>
        <v>23.82123611111111</v>
      </c>
      <c r="G4543" s="75">
        <f>3.6*F4543</f>
        <v>85.75644999999999</v>
      </c>
      <c r="H4543" s="75">
        <f>'THAM_SO_MOI'!$D$53</f>
        <v>1.1</v>
      </c>
      <c r="I4543" s="75">
        <f>IF(F4543&gt;='THAM_SO_MOI'!$C$14,'THAM_SO_MOI'!$C$13*(1+F4543^2/1500),'THAM_SO_MOI'!$C$13)</f>
        <v>0.020674512898613037</v>
      </c>
      <c r="J4543" s="75">
        <f>'THAM_SO_MOI'!$C$40*('THAM_SO_MOI'!$C$23*(E4543/'THAM_SO_MOI'!$C$22)+'THAM_SO_MOI'!$C$24*(E4543/'THAM_SO_MOI'!$C$22)^2-'THAM_SO_MOI'!$C$25*(E4543/'THAM_SO_MOI'!$C$22)^3)</f>
        <v>105.30921876247255</v>
      </c>
      <c r="K4543" s="75">
        <f>'THAM_SO_MOI'!$C$31*J4543/E4543</f>
        <v>428.5516505066733</v>
      </c>
      <c r="L4543" s="75">
        <f>K4543*'THAM_SO_MOI'!$C$53*'THAM_SO_MOI'!$C$17/'THAM_SO_MOI'!$C$26</f>
        <v>3758.3996518526583</v>
      </c>
      <c r="M4543" s="75">
        <f>'THAM_SO_MOI'!$C$15*'THAM_SO_MOI'!$C$16*F4543^2</f>
        <v>1659.795022844314</v>
      </c>
      <c r="N4543" s="75">
        <f>'THAM_SO_MOI'!$C$12*I4543</f>
        <v>1557.6343413918253</v>
      </c>
      <c r="O4543" s="75">
        <f>M4543+N4543</f>
        <v>3217.429364236139</v>
      </c>
      <c r="P4543" s="75">
        <f>(MIN(L4543,'THAM_SO_MOI'!$C$41)-O4543)/('THAM_SO_MOI'!$C$11*H4543)</f>
        <v>0.06403530866672807</v>
      </c>
      <c r="Q4543" s="75">
        <f>IF(P4543&gt;0,1/P4543,NA())</f>
        <v>15.616384473205283</v>
      </c>
      <c r="R4543" s="75">
        <f>F4543-F4542</f>
        <v>0.0035868055555532408</v>
      </c>
      <c r="S4543" s="75">
        <f>0.5*(Q4542+Q4543)*R4543</f>
        <v>0.05597763473361236</v>
      </c>
      <c r="T4543" s="75">
        <f>0.5*(F4542*Q4542+F4543*Q4543)*R4543</f>
        <v>1.3333561267921432</v>
      </c>
      <c r="U4543" s="76">
        <f>U4542+S4543</f>
        <v>82.02268103858357</v>
      </c>
      <c r="V4543" s="76">
        <f>V4542+T4543</f>
        <v>1397.9387331633839</v>
      </c>
    </row>
    <row r="4544" spans="1:22" ht="19" customHeight="1">
      <c r="A4544" s="68" t="s">
        <v>378</v>
      </c>
      <c r="B4544" s="74">
        <v>5</v>
      </c>
      <c r="C4544" s="68" t="s">
        <v>363</v>
      </c>
      <c r="D4544" s="68" t="s">
        <v>365</v>
      </c>
      <c r="E4544" s="75">
        <f>60*F4544*'THAM_SO_MOI'!$C$53/(2*PI()*'THAM_SO_MOI'!$C$26)</f>
        <v>2347.372026315789</v>
      </c>
      <c r="F4544" s="75">
        <f>'THAM_SO_MOI'!$C$14+('THAM_SO_MOI'!$C$37-'THAM_SO_MOI'!$C$14)*453/'THAM_SO_MOI'!$C$42</f>
        <v>23.824822916666665</v>
      </c>
      <c r="G4544" s="75">
        <f>3.6*F4544</f>
        <v>85.7693625</v>
      </c>
      <c r="H4544" s="75">
        <f>'THAM_SO_MOI'!$D$53</f>
        <v>1.1</v>
      </c>
      <c r="I4544" s="75">
        <f>IF(F4544&gt;='THAM_SO_MOI'!$C$14,'THAM_SO_MOI'!$C$13*(1+F4544^2/1500),'THAM_SO_MOI'!$C$13)</f>
        <v>0.02067622187010525</v>
      </c>
      <c r="J4544" s="75">
        <f>'THAM_SO_MOI'!$C$40*('THAM_SO_MOI'!$C$23*(E4544/'THAM_SO_MOI'!$C$22)+'THAM_SO_MOI'!$C$24*(E4544/'THAM_SO_MOI'!$C$22)^2-'THAM_SO_MOI'!$C$25*(E4544/'THAM_SO_MOI'!$C$22)^3)</f>
        <v>105.32355420260718</v>
      </c>
      <c r="K4544" s="75">
        <f>'THAM_SO_MOI'!$C$31*J4544/E4544</f>
        <v>428.54546116020515</v>
      </c>
      <c r="L4544" s="75">
        <f>K4544*'THAM_SO_MOI'!$C$53*'THAM_SO_MOI'!$C$17/'THAM_SO_MOI'!$C$26</f>
        <v>3758.3453712599135</v>
      </c>
      <c r="M4544" s="75">
        <f>'THAM_SO_MOI'!$C$15*'THAM_SO_MOI'!$C$16*F4544^2</f>
        <v>1660.294897005786</v>
      </c>
      <c r="N4544" s="75">
        <f>'THAM_SO_MOI'!$C$12*I4544</f>
        <v>1557.7630966712256</v>
      </c>
      <c r="O4544" s="75">
        <f>M4544+N4544</f>
        <v>3218.057993677012</v>
      </c>
      <c r="P4544" s="75">
        <f>(MIN(L4544,'THAM_SO_MOI'!$C$41)-O4544)/('THAM_SO_MOI'!$C$11*H4544)</f>
        <v>0.0639544717782791</v>
      </c>
      <c r="Q4544" s="75">
        <f>IF(P4544&gt;0,1/P4544,NA())</f>
        <v>15.636123201311946</v>
      </c>
      <c r="R4544" s="75">
        <f>F4544-F4543</f>
        <v>0.0035868055555567935</v>
      </c>
      <c r="S4544" s="75">
        <f>0.5*(Q4543+Q4544)*R4544</f>
        <v>0.05604833407601986</v>
      </c>
      <c r="T4544" s="75">
        <f>0.5*(F4543*Q4543+F4544*Q4544)*R4544</f>
        <v>1.3352411803828688</v>
      </c>
      <c r="U4544" s="76">
        <f>U4543+S4544</f>
        <v>82.0787293726596</v>
      </c>
      <c r="V4544" s="76">
        <f>V4543+T4544</f>
        <v>1399.2739743437667</v>
      </c>
    </row>
    <row r="4545" spans="1:22" ht="19" customHeight="1">
      <c r="A4545" s="68" t="s">
        <v>378</v>
      </c>
      <c r="B4545" s="74">
        <v>5</v>
      </c>
      <c r="C4545" s="68" t="s">
        <v>363</v>
      </c>
      <c r="D4545" s="68" t="s">
        <v>365</v>
      </c>
      <c r="E4545" s="75">
        <f>60*F4545*'THAM_SO_MOI'!$C$53/(2*PI()*'THAM_SO_MOI'!$C$26)</f>
        <v>2347.725421052631</v>
      </c>
      <c r="F4545" s="75">
        <f>'THAM_SO_MOI'!$C$14+('THAM_SO_MOI'!$C$37-'THAM_SO_MOI'!$C$14)*454/'THAM_SO_MOI'!$C$42</f>
        <v>23.828409722222222</v>
      </c>
      <c r="G4545" s="75">
        <f>3.6*F4545</f>
        <v>85.782275</v>
      </c>
      <c r="H4545" s="75">
        <f>'THAM_SO_MOI'!$D$53</f>
        <v>1.1</v>
      </c>
      <c r="I4545" s="75">
        <f>IF(F4545&gt;='THAM_SO_MOI'!$C$14,'THAM_SO_MOI'!$C$13*(1+F4545^2/1500),'THAM_SO_MOI'!$C$13)</f>
        <v>0.020677931098900943</v>
      </c>
      <c r="J4545" s="75">
        <f>'THAM_SO_MOI'!$C$40*('THAM_SO_MOI'!$C$23*(E4545/'THAM_SO_MOI'!$C$22)+'THAM_SO_MOI'!$C$24*(E4545/'THAM_SO_MOI'!$C$22)^2-'THAM_SO_MOI'!$C$25*(E4545/'THAM_SO_MOI'!$C$22)^3)</f>
        <v>105.33788620653289</v>
      </c>
      <c r="K4545" s="75">
        <f>'THAM_SO_MOI'!$C$31*J4545/E4545</f>
        <v>428.5392596977526</v>
      </c>
      <c r="L4545" s="75">
        <f>K4545*'THAM_SO_MOI'!$C$53*'THAM_SO_MOI'!$C$17/'THAM_SO_MOI'!$C$26</f>
        <v>3758.2909844099395</v>
      </c>
      <c r="M4545" s="75">
        <f>'THAM_SO_MOI'!$C$15*'THAM_SO_MOI'!$C$16*F4545^2</f>
        <v>1660.7948464285266</v>
      </c>
      <c r="N4545" s="75">
        <f>'THAM_SO_MOI'!$C$12*I4545</f>
        <v>1557.8918713360763</v>
      </c>
      <c r="O4545" s="75">
        <f>M4545+N4545</f>
        <v>3218.6867177646027</v>
      </c>
      <c r="P4545" s="75">
        <f>(MIN(L4545,'THAM_SO_MOI'!$C$41)-O4545)/('THAM_SO_MOI'!$C$11*H4545)</f>
        <v>0.06387361110858626</v>
      </c>
      <c r="Q4545" s="75">
        <f>IF(P4545&gt;0,1/P4545,NA())</f>
        <v>15.655917720073512</v>
      </c>
      <c r="R4545" s="75">
        <f>F4545-F4544</f>
        <v>0.0035868055555567935</v>
      </c>
      <c r="S4545" s="75">
        <f>0.5*(Q4544+Q4545)*R4545</f>
        <v>0.05611923311076794</v>
      </c>
      <c r="T4545" s="75">
        <f>0.5*(F4544*Q4544+F4545*Q4545)*R4545</f>
        <v>1.337131499136713</v>
      </c>
      <c r="U4545" s="76">
        <f>U4544+S4545</f>
        <v>82.13484860577036</v>
      </c>
      <c r="V4545" s="76">
        <f>V4544+T4545</f>
        <v>1400.6111058429033</v>
      </c>
    </row>
    <row r="4546" spans="1:22" ht="19" customHeight="1">
      <c r="A4546" s="68" t="s">
        <v>378</v>
      </c>
      <c r="B4546" s="74">
        <v>5</v>
      </c>
      <c r="C4546" s="68" t="s">
        <v>363</v>
      </c>
      <c r="D4546" s="68" t="s">
        <v>365</v>
      </c>
      <c r="E4546" s="75">
        <f>60*F4546*'THAM_SO_MOI'!$C$53/(2*PI()*'THAM_SO_MOI'!$C$26)</f>
        <v>2348.078815789473</v>
      </c>
      <c r="F4546" s="75">
        <f>'THAM_SO_MOI'!$C$14+('THAM_SO_MOI'!$C$37-'THAM_SO_MOI'!$C$14)*455/'THAM_SO_MOI'!$C$42</f>
        <v>23.831996527777775</v>
      </c>
      <c r="G4546" s="75">
        <f>3.6*F4546</f>
        <v>85.7951875</v>
      </c>
      <c r="H4546" s="75">
        <f>'THAM_SO_MOI'!$D$53</f>
        <v>1.1</v>
      </c>
      <c r="I4546" s="75">
        <f>IF(F4546&gt;='THAM_SO_MOI'!$C$14,'THAM_SO_MOI'!$C$13*(1+F4546^2/1500),'THAM_SO_MOI'!$C$13)</f>
        <v>0.020679640585000117</v>
      </c>
      <c r="J4546" s="75">
        <f>'THAM_SO_MOI'!$C$40*('THAM_SO_MOI'!$C$23*(E4546/'THAM_SO_MOI'!$C$22)+'THAM_SO_MOI'!$C$24*(E4546/'THAM_SO_MOI'!$C$22)^2-'THAM_SO_MOI'!$C$25*(E4546/'THAM_SO_MOI'!$C$22)^3)</f>
        <v>105.35221477290472</v>
      </c>
      <c r="K4546" s="75">
        <f>'THAM_SO_MOI'!$C$31*J4546/E4546</f>
        <v>428.53304611931543</v>
      </c>
      <c r="L4546" s="75">
        <f>K4546*'THAM_SO_MOI'!$C$53*'THAM_SO_MOI'!$C$17/'THAM_SO_MOI'!$C$26</f>
        <v>3758.2364913027313</v>
      </c>
      <c r="M4546" s="75">
        <f>'THAM_SO_MOI'!$C$15*'THAM_SO_MOI'!$C$16*F4546^2</f>
        <v>1661.2948711125352</v>
      </c>
      <c r="N4546" s="75">
        <f>'THAM_SO_MOI'!$C$12*I4546</f>
        <v>1558.0206653863768</v>
      </c>
      <c r="O4546" s="75">
        <f>M4546+N4546</f>
        <v>3219.315536498912</v>
      </c>
      <c r="P4546" s="75">
        <f>(MIN(L4546,'THAM_SO_MOI'!$C$41)-O4546)/('THAM_SO_MOI'!$C$11*H4546)</f>
        <v>0.06379272665764904</v>
      </c>
      <c r="Q4546" s="75">
        <f>IF(P4546&gt;0,1/P4546,NA())</f>
        <v>15.675768263780514</v>
      </c>
      <c r="R4546" s="75">
        <f>F4546-F4545</f>
        <v>0.0035868055555532408</v>
      </c>
      <c r="S4546" s="75">
        <f>0.5*(Q4545+Q4546)*R4546</f>
        <v>0.056190332675868614</v>
      </c>
      <c r="T4546" s="75">
        <f>0.5*(F4545*Q4545+F4546*Q4546)*R4546</f>
        <v>1.3390271051724487</v>
      </c>
      <c r="U4546" s="76">
        <f>U4545+S4546</f>
        <v>82.19103893844623</v>
      </c>
      <c r="V4546" s="76">
        <f>V4545+T4546</f>
        <v>1401.9501329480756</v>
      </c>
    </row>
    <row r="4547" spans="1:22" ht="19" customHeight="1">
      <c r="A4547" s="68" t="s">
        <v>378</v>
      </c>
      <c r="B4547" s="74">
        <v>5</v>
      </c>
      <c r="C4547" s="68" t="s">
        <v>363</v>
      </c>
      <c r="D4547" s="68" t="s">
        <v>365</v>
      </c>
      <c r="E4547" s="75">
        <f>60*F4547*'THAM_SO_MOI'!$C$53/(2*PI()*'THAM_SO_MOI'!$C$26)</f>
        <v>2348.4322105263154</v>
      </c>
      <c r="F4547" s="75">
        <f>'THAM_SO_MOI'!$C$14+('THAM_SO_MOI'!$C$37-'THAM_SO_MOI'!$C$14)*456/'THAM_SO_MOI'!$C$42</f>
        <v>23.835583333333332</v>
      </c>
      <c r="G4547" s="75">
        <f>3.6*F4547</f>
        <v>85.8081</v>
      </c>
      <c r="H4547" s="75">
        <f>'THAM_SO_MOI'!$D$53</f>
        <v>1.1</v>
      </c>
      <c r="I4547" s="75">
        <f>IF(F4547&gt;='THAM_SO_MOI'!$C$14,'THAM_SO_MOI'!$C$13*(1+F4547^2/1500),'THAM_SO_MOI'!$C$13)</f>
        <v>0.02068135032840278</v>
      </c>
      <c r="J4547" s="75">
        <f>'THAM_SO_MOI'!$C$40*('THAM_SO_MOI'!$C$23*(E4547/'THAM_SO_MOI'!$C$22)+'THAM_SO_MOI'!$C$24*(E4547/'THAM_SO_MOI'!$C$22)^2-'THAM_SO_MOI'!$C$25*(E4547/'THAM_SO_MOI'!$C$22)^3)</f>
        <v>105.36653990037789</v>
      </c>
      <c r="K4547" s="75">
        <f>'THAM_SO_MOI'!$C$31*J4547/E4547</f>
        <v>428.5268204248941</v>
      </c>
      <c r="L4547" s="75">
        <f>K4547*'THAM_SO_MOI'!$C$53*'THAM_SO_MOI'!$C$17/'THAM_SO_MOI'!$C$26</f>
        <v>3758.181891938296</v>
      </c>
      <c r="M4547" s="75">
        <f>'THAM_SO_MOI'!$C$15*'THAM_SO_MOI'!$C$16*F4547^2</f>
        <v>1661.7949710578125</v>
      </c>
      <c r="N4547" s="75">
        <f>'THAM_SO_MOI'!$C$12*I4547</f>
        <v>1558.149478822128</v>
      </c>
      <c r="O4547" s="75">
        <f>M4547+N4547</f>
        <v>3219.9444498799403</v>
      </c>
      <c r="P4547" s="75">
        <f>(MIN(L4547,'THAM_SO_MOI'!$C$41)-O4547)/('THAM_SO_MOI'!$C$11*H4547)</f>
        <v>0.06371181842546822</v>
      </c>
      <c r="Q4547" s="75">
        <f>IF(P4547&gt;0,1/P4547,NA())</f>
        <v>15.695675068038225</v>
      </c>
      <c r="R4547" s="75">
        <f>F4547-F4546</f>
        <v>0.0035868055555567935</v>
      </c>
      <c r="S4547" s="75">
        <f>0.5*(Q4546+Q4547)*R4547</f>
        <v>0.056261633614201285</v>
      </c>
      <c r="T4547" s="75">
        <f>0.5*(F4546*Q4546+F4547*Q4547)*R4547</f>
        <v>1.340928020736882</v>
      </c>
      <c r="U4547" s="76">
        <f>U4546+S4547</f>
        <v>82.24730057206042</v>
      </c>
      <c r="V4547" s="76">
        <f>V4546+T4547</f>
        <v>1403.2910609688124</v>
      </c>
    </row>
    <row r="4548" spans="1:22" ht="19" customHeight="1">
      <c r="A4548" s="68" t="s">
        <v>378</v>
      </c>
      <c r="B4548" s="74">
        <v>5</v>
      </c>
      <c r="C4548" s="68" t="s">
        <v>363</v>
      </c>
      <c r="D4548" s="68" t="s">
        <v>365</v>
      </c>
      <c r="E4548" s="75">
        <f>60*F4548*'THAM_SO_MOI'!$C$53/(2*PI()*'THAM_SO_MOI'!$C$26)</f>
        <v>2348.7856052631573</v>
      </c>
      <c r="F4548" s="75">
        <f>'THAM_SO_MOI'!$C$14+('THAM_SO_MOI'!$C$37-'THAM_SO_MOI'!$C$14)*457/'THAM_SO_MOI'!$C$42</f>
        <v>23.83917013888889</v>
      </c>
      <c r="G4548" s="75">
        <f>3.6*F4548</f>
        <v>85.82101250000001</v>
      </c>
      <c r="H4548" s="75">
        <f>'THAM_SO_MOI'!$D$53</f>
        <v>1.1</v>
      </c>
      <c r="I4548" s="75">
        <f>IF(F4548&gt;='THAM_SO_MOI'!$C$14,'THAM_SO_MOI'!$C$13*(1+F4548^2/1500),'THAM_SO_MOI'!$C$13)</f>
        <v>0.020683060329108913</v>
      </c>
      <c r="J4548" s="75">
        <f>'THAM_SO_MOI'!$C$40*('THAM_SO_MOI'!$C$23*(E4548/'THAM_SO_MOI'!$C$22)+'THAM_SO_MOI'!$C$24*(E4548/'THAM_SO_MOI'!$C$22)^2-'THAM_SO_MOI'!$C$25*(E4548/'THAM_SO_MOI'!$C$22)^3)</f>
        <v>105.38086158760737</v>
      </c>
      <c r="K4548" s="75">
        <f>'THAM_SO_MOI'!$C$31*J4548/E4548</f>
        <v>428.520582614488</v>
      </c>
      <c r="L4548" s="75">
        <f>K4548*'THAM_SO_MOI'!$C$53*'THAM_SO_MOI'!$C$17/'THAM_SO_MOI'!$C$26</f>
        <v>3758.1271863166253</v>
      </c>
      <c r="M4548" s="75">
        <f>'THAM_SO_MOI'!$C$15*'THAM_SO_MOI'!$C$16*F4548^2</f>
        <v>1662.2951462643584</v>
      </c>
      <c r="N4548" s="75">
        <f>'THAM_SO_MOI'!$C$12*I4548</f>
        <v>1558.2783116433288</v>
      </c>
      <c r="O4548" s="75">
        <f>M4548+N4548</f>
        <v>3220.573457907687</v>
      </c>
      <c r="P4548" s="75">
        <f>(MIN(L4548,'THAM_SO_MOI'!$C$41)-O4548)/('THAM_SO_MOI'!$C$11*H4548)</f>
        <v>0.06363088641204288</v>
      </c>
      <c r="Q4548" s="75">
        <f>IF(P4548&gt;0,1/P4548,NA())</f>
        <v>15.715638369776638</v>
      </c>
      <c r="R4548" s="75">
        <f>F4548-F4547</f>
        <v>0.0035868055555567935</v>
      </c>
      <c r="S4548" s="75">
        <f>0.5*(Q4547+Q4548)*R4548</f>
        <v>0.05633313677304505</v>
      </c>
      <c r="T4548" s="75">
        <f>0.5*(F4547*Q4547+F4548*Q4548)*R4548</f>
        <v>1.3428342681937877</v>
      </c>
      <c r="U4548" s="76">
        <f>U4547+S4548</f>
        <v>82.30363370883347</v>
      </c>
      <c r="V4548" s="76">
        <f>V4547+T4548</f>
        <v>1404.6338952370063</v>
      </c>
    </row>
    <row r="4549" spans="1:22" ht="19" customHeight="1">
      <c r="A4549" s="68" t="s">
        <v>378</v>
      </c>
      <c r="B4549" s="74">
        <v>5</v>
      </c>
      <c r="C4549" s="68" t="s">
        <v>363</v>
      </c>
      <c r="D4549" s="68" t="s">
        <v>365</v>
      </c>
      <c r="E4549" s="75">
        <f>60*F4549*'THAM_SO_MOI'!$C$53/(2*PI()*'THAM_SO_MOI'!$C$26)</f>
        <v>2349.138999999999</v>
      </c>
      <c r="F4549" s="75">
        <f>'THAM_SO_MOI'!$C$14+('THAM_SO_MOI'!$C$37-'THAM_SO_MOI'!$C$14)*458/'THAM_SO_MOI'!$C$42</f>
        <v>23.842756944444442</v>
      </c>
      <c r="G4549" s="75">
        <f>3.6*F4549</f>
        <v>85.833925</v>
      </c>
      <c r="H4549" s="75">
        <f>'THAM_SO_MOI'!$D$53</f>
        <v>1.1</v>
      </c>
      <c r="I4549" s="75">
        <f>IF(F4549&gt;='THAM_SO_MOI'!$C$14,'THAM_SO_MOI'!$C$13*(1+F4549^2/1500),'THAM_SO_MOI'!$C$13)</f>
        <v>0.020684770587118536</v>
      </c>
      <c r="J4549" s="75">
        <f>'THAM_SO_MOI'!$C$40*('THAM_SO_MOI'!$C$23*(E4549/'THAM_SO_MOI'!$C$22)+'THAM_SO_MOI'!$C$24*(E4549/'THAM_SO_MOI'!$C$22)^2-'THAM_SO_MOI'!$C$25*(E4549/'THAM_SO_MOI'!$C$22)^3)</f>
        <v>105.39517983324839</v>
      </c>
      <c r="K4549" s="75">
        <f>'THAM_SO_MOI'!$C$31*J4549/E4549</f>
        <v>428.5143326880976</v>
      </c>
      <c r="L4549" s="75">
        <f>K4549*'THAM_SO_MOI'!$C$53*'THAM_SO_MOI'!$C$17/'THAM_SO_MOI'!$C$26</f>
        <v>3758.072374437726</v>
      </c>
      <c r="M4549" s="75">
        <f>'THAM_SO_MOI'!$C$15*'THAM_SO_MOI'!$C$16*F4549^2</f>
        <v>1662.795396732172</v>
      </c>
      <c r="N4549" s="75">
        <f>'THAM_SO_MOI'!$C$12*I4549</f>
        <v>1558.4071638499802</v>
      </c>
      <c r="O4549" s="75">
        <f>M4549+N4549</f>
        <v>3221.2025605821523</v>
      </c>
      <c r="P4549" s="75">
        <f>(MIN(L4549,'THAM_SO_MOI'!$C$41)-O4549)/('THAM_SO_MOI'!$C$11*H4549)</f>
        <v>0.06354993061737375</v>
      </c>
      <c r="Q4549" s="75">
        <f>IF(P4549&gt;0,1/P4549,NA())</f>
        <v>15.735658407258946</v>
      </c>
      <c r="R4549" s="75">
        <f>F4549-F4548</f>
        <v>0.0035868055555532408</v>
      </c>
      <c r="S4549" s="75">
        <f>0.5*(Q4548+Q4549)*R4549</f>
        <v>0.05640484300461248</v>
      </c>
      <c r="T4549" s="75">
        <f>0.5*(F4548*Q4548+F4549*Q4549)*R4549</f>
        <v>1.3447458700367152</v>
      </c>
      <c r="U4549" s="76">
        <f>U4548+S4549</f>
        <v>82.36003855183809</v>
      </c>
      <c r="V4549" s="76">
        <f>V4548+T4549</f>
        <v>1405.978641107043</v>
      </c>
    </row>
    <row r="4550" spans="1:22" ht="19" customHeight="1">
      <c r="A4550" s="68" t="s">
        <v>378</v>
      </c>
      <c r="B4550" s="74">
        <v>5</v>
      </c>
      <c r="C4550" s="68" t="s">
        <v>363</v>
      </c>
      <c r="D4550" s="68" t="s">
        <v>365</v>
      </c>
      <c r="E4550" s="75">
        <f>60*F4550*'THAM_SO_MOI'!$C$53/(2*PI()*'THAM_SO_MOI'!$C$26)</f>
        <v>2349.492394736841</v>
      </c>
      <c r="F4550" s="75">
        <f>'THAM_SO_MOI'!$C$14+('THAM_SO_MOI'!$C$37-'THAM_SO_MOI'!$C$14)*459/'THAM_SO_MOI'!$C$42</f>
        <v>23.84634375</v>
      </c>
      <c r="G4550" s="75">
        <f>3.6*F4550</f>
        <v>85.84683749999999</v>
      </c>
      <c r="H4550" s="75">
        <f>'THAM_SO_MOI'!$D$53</f>
        <v>1.1</v>
      </c>
      <c r="I4550" s="75">
        <f>IF(F4550&gt;='THAM_SO_MOI'!$C$14,'THAM_SO_MOI'!$C$13*(1+F4550^2/1500),'THAM_SO_MOI'!$C$13)</f>
        <v>0.02068648110243164</v>
      </c>
      <c r="J4550" s="75">
        <f>'THAM_SO_MOI'!$C$40*('THAM_SO_MOI'!$C$23*(E4550/'THAM_SO_MOI'!$C$22)+'THAM_SO_MOI'!$C$24*(E4550/'THAM_SO_MOI'!$C$22)^2-'THAM_SO_MOI'!$C$25*(E4550/'THAM_SO_MOI'!$C$22)^3)</f>
        <v>105.40949463595601</v>
      </c>
      <c r="K4550" s="75">
        <f>'THAM_SO_MOI'!$C$31*J4550/E4550</f>
        <v>428.50807064572274</v>
      </c>
      <c r="L4550" s="75">
        <f>K4550*'THAM_SO_MOI'!$C$53*'THAM_SO_MOI'!$C$17/'THAM_SO_MOI'!$C$26</f>
        <v>3758.0174563015953</v>
      </c>
      <c r="M4550" s="75">
        <f>'THAM_SO_MOI'!$C$15*'THAM_SO_MOI'!$C$16*F4550^2</f>
        <v>1663.295722461255</v>
      </c>
      <c r="N4550" s="75">
        <f>'THAM_SO_MOI'!$C$12*I4550</f>
        <v>1558.5360354420818</v>
      </c>
      <c r="O4550" s="75">
        <f>M4550+N4550</f>
        <v>3221.831757903337</v>
      </c>
      <c r="P4550" s="75">
        <f>(MIN(L4550,'THAM_SO_MOI'!$C$41)-O4550)/('THAM_SO_MOI'!$C$11*H4550)</f>
        <v>0.06346895104146051</v>
      </c>
      <c r="Q4550" s="75">
        <f>IF(P4550&gt;0,1/P4550,NA())</f>
        <v>15.755735420091616</v>
      </c>
      <c r="R4550" s="75">
        <f>F4550-F4549</f>
        <v>0.0035868055555567935</v>
      </c>
      <c r="S4550" s="75">
        <f>0.5*(Q4549+Q4550)*R4550</f>
        <v>0.05647675316608396</v>
      </c>
      <c r="T4550" s="75">
        <f>0.5*(F4549*Q4549+F4550*Q4550)*R4550</f>
        <v>1.3466628488898973</v>
      </c>
      <c r="U4550" s="76">
        <f>U4549+S4550</f>
        <v>82.41651530500417</v>
      </c>
      <c r="V4550" s="76">
        <f>V4549+T4550</f>
        <v>1407.325303955933</v>
      </c>
    </row>
    <row r="4551" spans="1:22" ht="19" customHeight="1">
      <c r="A4551" s="68" t="s">
        <v>378</v>
      </c>
      <c r="B4551" s="74">
        <v>5</v>
      </c>
      <c r="C4551" s="68" t="s">
        <v>363</v>
      </c>
      <c r="D4551" s="68" t="s">
        <v>365</v>
      </c>
      <c r="E4551" s="75">
        <f>60*F4551*'THAM_SO_MOI'!$C$53/(2*PI()*'THAM_SO_MOI'!$C$26)</f>
        <v>2349.8457894736835</v>
      </c>
      <c r="F4551" s="75">
        <f>'THAM_SO_MOI'!$C$14+('THAM_SO_MOI'!$C$37-'THAM_SO_MOI'!$C$14)*460/'THAM_SO_MOI'!$C$42</f>
        <v>23.849930555555556</v>
      </c>
      <c r="G4551" s="75">
        <f>3.6*F4551</f>
        <v>85.85975</v>
      </c>
      <c r="H4551" s="75">
        <f>'THAM_SO_MOI'!$D$53</f>
        <v>1.1</v>
      </c>
      <c r="I4551" s="75">
        <f>IF(F4551&gt;='THAM_SO_MOI'!$C$14,'THAM_SO_MOI'!$C$13*(1+F4551^2/1500),'THAM_SO_MOI'!$C$13)</f>
        <v>0.020688191875048226</v>
      </c>
      <c r="J4551" s="75">
        <f>'THAM_SO_MOI'!$C$40*('THAM_SO_MOI'!$C$23*(E4551/'THAM_SO_MOI'!$C$22)+'THAM_SO_MOI'!$C$24*(E4551/'THAM_SO_MOI'!$C$22)^2-'THAM_SO_MOI'!$C$25*(E4551/'THAM_SO_MOI'!$C$22)^3)</f>
        <v>105.42380599438538</v>
      </c>
      <c r="K4551" s="75">
        <f>'THAM_SO_MOI'!$C$31*J4551/E4551</f>
        <v>428.50179648736344</v>
      </c>
      <c r="L4551" s="75">
        <f>K4551*'THAM_SO_MOI'!$C$53*'THAM_SO_MOI'!$C$17/'THAM_SO_MOI'!$C$26</f>
        <v>3757.9624319082336</v>
      </c>
      <c r="M4551" s="75">
        <f>'THAM_SO_MOI'!$C$15*'THAM_SO_MOI'!$C$16*F4551^2</f>
        <v>1663.796123451606</v>
      </c>
      <c r="N4551" s="75">
        <f>'THAM_SO_MOI'!$C$12*I4551</f>
        <v>1558.6649264196335</v>
      </c>
      <c r="O4551" s="75">
        <f>M4551+N4551</f>
        <v>3222.4610498712395</v>
      </c>
      <c r="P4551" s="75">
        <f>(MIN(L4551,'THAM_SO_MOI'!$C$41)-O4551)/('THAM_SO_MOI'!$C$11*H4551)</f>
        <v>0.06338794768430328</v>
      </c>
      <c r="Q4551" s="75">
        <f>IF(P4551&gt;0,1/P4551,NA())</f>
        <v>15.775869649233483</v>
      </c>
      <c r="R4551" s="75">
        <f>F4551-F4550</f>
        <v>0.0035868055555567935</v>
      </c>
      <c r="S4551" s="75">
        <f>0.5*(Q4550+Q4551)*R4551</f>
        <v>0.056548868119139006</v>
      </c>
      <c r="T4551" s="75">
        <f>0.5*(F4550*Q4550+F4551*Q4551)*R4551</f>
        <v>1.3485852274971606</v>
      </c>
      <c r="U4551" s="76">
        <f>U4550+S4551</f>
        <v>82.4730641731233</v>
      </c>
      <c r="V4551" s="76">
        <f>V4550+T4551</f>
        <v>1408.67388918343</v>
      </c>
    </row>
    <row r="4552" spans="1:22" ht="19" customHeight="1">
      <c r="A4552" s="68" t="s">
        <v>378</v>
      </c>
      <c r="B4552" s="74">
        <v>5</v>
      </c>
      <c r="C4552" s="68" t="s">
        <v>363</v>
      </c>
      <c r="D4552" s="68" t="s">
        <v>365</v>
      </c>
      <c r="E4552" s="75">
        <f>60*F4552*'THAM_SO_MOI'!$C$53/(2*PI()*'THAM_SO_MOI'!$C$26)</f>
        <v>2350.199184210526</v>
      </c>
      <c r="F4552" s="75">
        <f>'THAM_SO_MOI'!$C$14+('THAM_SO_MOI'!$C$37-'THAM_SO_MOI'!$C$14)*461/'THAM_SO_MOI'!$C$42</f>
        <v>23.85351736111111</v>
      </c>
      <c r="G4552" s="75">
        <f>3.6*F4552</f>
        <v>85.87266249999999</v>
      </c>
      <c r="H4552" s="75">
        <f>'THAM_SO_MOI'!$D$53</f>
        <v>1.1</v>
      </c>
      <c r="I4552" s="75">
        <f>IF(F4552&gt;='THAM_SO_MOI'!$C$14,'THAM_SO_MOI'!$C$13*(1+F4552^2/1500),'THAM_SO_MOI'!$C$13)</f>
        <v>0.02068990290496829</v>
      </c>
      <c r="J4552" s="75">
        <f>'THAM_SO_MOI'!$C$40*('THAM_SO_MOI'!$C$23*(E4552/'THAM_SO_MOI'!$C$22)+'THAM_SO_MOI'!$C$24*(E4552/'THAM_SO_MOI'!$C$22)^2-'THAM_SO_MOI'!$C$25*(E4552/'THAM_SO_MOI'!$C$22)^3)</f>
        <v>105.43811390719156</v>
      </c>
      <c r="K4552" s="75">
        <f>'THAM_SO_MOI'!$C$31*J4552/E4552</f>
        <v>428.4955102130196</v>
      </c>
      <c r="L4552" s="75">
        <f>K4552*'THAM_SO_MOI'!$C$53*'THAM_SO_MOI'!$C$17/'THAM_SO_MOI'!$C$26</f>
        <v>3757.90730125764</v>
      </c>
      <c r="M4552" s="75">
        <f>'THAM_SO_MOI'!$C$15*'THAM_SO_MOI'!$C$16*F4552^2</f>
        <v>1664.2965997032252</v>
      </c>
      <c r="N4552" s="75">
        <f>'THAM_SO_MOI'!$C$12*I4552</f>
        <v>1558.793836782635</v>
      </c>
      <c r="O4552" s="75">
        <f>M4552+N4552</f>
        <v>3223.09043648586</v>
      </c>
      <c r="P4552" s="75">
        <f>(MIN(L4552,'THAM_SO_MOI'!$C$41)-O4552)/('THAM_SO_MOI'!$C$11*H4552)</f>
        <v>0.06330692054590197</v>
      </c>
      <c r="Q4552" s="75">
        <f>IF(P4552&gt;0,1/P4552,NA())</f>
        <v>15.796061337005481</v>
      </c>
      <c r="R4552" s="75">
        <f>F4552-F4551</f>
        <v>0.0035868055555532408</v>
      </c>
      <c r="S4552" s="75">
        <f>0.5*(Q4551+Q4552)*R4552</f>
        <v>0.05662118873049271</v>
      </c>
      <c r="T4552" s="75">
        <f>0.5*(F4551*Q4551+F4552*Q4552)*R4552</f>
        <v>1.350513028734801</v>
      </c>
      <c r="U4552" s="76">
        <f>U4551+S4552</f>
        <v>82.5296853618538</v>
      </c>
      <c r="V4552" s="76">
        <f>V4551+T4552</f>
        <v>1410.024402212165</v>
      </c>
    </row>
    <row r="4553" spans="1:22" ht="19" customHeight="1">
      <c r="A4553" s="68" t="s">
        <v>378</v>
      </c>
      <c r="B4553" s="74">
        <v>5</v>
      </c>
      <c r="C4553" s="68" t="s">
        <v>363</v>
      </c>
      <c r="D4553" s="68" t="s">
        <v>365</v>
      </c>
      <c r="E4553" s="75">
        <f>60*F4553*'THAM_SO_MOI'!$C$53/(2*PI()*'THAM_SO_MOI'!$C$26)</f>
        <v>2350.552578947368</v>
      </c>
      <c r="F4553" s="75">
        <f>'THAM_SO_MOI'!$C$14+('THAM_SO_MOI'!$C$37-'THAM_SO_MOI'!$C$14)*462/'THAM_SO_MOI'!$C$42</f>
        <v>23.857104166666666</v>
      </c>
      <c r="G4553" s="75">
        <f>3.6*F4553</f>
        <v>85.885575</v>
      </c>
      <c r="H4553" s="75">
        <f>'THAM_SO_MOI'!$D$53</f>
        <v>1.1</v>
      </c>
      <c r="I4553" s="75">
        <f>IF(F4553&gt;='THAM_SO_MOI'!$C$14,'THAM_SO_MOI'!$C$13*(1+F4553^2/1500),'THAM_SO_MOI'!$C$13)</f>
        <v>0.020691614192191836</v>
      </c>
      <c r="J4553" s="75">
        <f>'THAM_SO_MOI'!$C$40*('THAM_SO_MOI'!$C$23*(E4553/'THAM_SO_MOI'!$C$22)+'THAM_SO_MOI'!$C$24*(E4553/'THAM_SO_MOI'!$C$22)^2-'THAM_SO_MOI'!$C$25*(E4553/'THAM_SO_MOI'!$C$22)^3)</f>
        <v>105.4524183730297</v>
      </c>
      <c r="K4553" s="75">
        <f>'THAM_SO_MOI'!$C$31*J4553/E4553</f>
        <v>428.4892118226914</v>
      </c>
      <c r="L4553" s="75">
        <f>K4553*'THAM_SO_MOI'!$C$53*'THAM_SO_MOI'!$C$17/'THAM_SO_MOI'!$C$26</f>
        <v>3757.852064349817</v>
      </c>
      <c r="M4553" s="75">
        <f>'THAM_SO_MOI'!$C$15*'THAM_SO_MOI'!$C$16*F4553^2</f>
        <v>1664.7971512161132</v>
      </c>
      <c r="N4553" s="75">
        <f>'THAM_SO_MOI'!$C$12*I4553</f>
        <v>1558.9227665310868</v>
      </c>
      <c r="O4553" s="75">
        <f>M4553+N4553</f>
        <v>3223.7199177472003</v>
      </c>
      <c r="P4553" s="75">
        <f>(MIN(L4553,'THAM_SO_MOI'!$C$41)-O4553)/('THAM_SO_MOI'!$C$11*H4553)</f>
        <v>0.06322586962625674</v>
      </c>
      <c r="Q4553" s="75">
        <f>IF(P4553&gt;0,1/P4553,NA())</f>
        <v>15.816310727100149</v>
      </c>
      <c r="R4553" s="75">
        <f>F4553-F4552</f>
        <v>0.0035868055555567935</v>
      </c>
      <c r="S4553" s="75">
        <f>0.5*(Q4552+Q4553)*R4553</f>
        <v>0.05669371587193122</v>
      </c>
      <c r="T4553" s="75">
        <f>0.5*(F4552*Q4552+F4553*Q4553)*R4553</f>
        <v>1.3524462756125213</v>
      </c>
      <c r="U4553" s="76">
        <f>U4552+S4553</f>
        <v>82.58637907772572</v>
      </c>
      <c r="V4553" s="76">
        <f>V4552+T4553</f>
        <v>1411.3768484877774</v>
      </c>
    </row>
    <row r="4554" spans="1:22" ht="19" customHeight="1">
      <c r="A4554" s="68" t="s">
        <v>378</v>
      </c>
      <c r="B4554" s="74">
        <v>5</v>
      </c>
      <c r="C4554" s="68" t="s">
        <v>363</v>
      </c>
      <c r="D4554" s="68" t="s">
        <v>365</v>
      </c>
      <c r="E4554" s="75">
        <f>60*F4554*'THAM_SO_MOI'!$C$53/(2*PI()*'THAM_SO_MOI'!$C$26)</f>
        <v>2350.90597368421</v>
      </c>
      <c r="F4554" s="75">
        <f>'THAM_SO_MOI'!$C$14+('THAM_SO_MOI'!$C$37-'THAM_SO_MOI'!$C$14)*463/'THAM_SO_MOI'!$C$42</f>
        <v>23.860690972222223</v>
      </c>
      <c r="G4554" s="75">
        <f>3.6*F4554</f>
        <v>85.8984875</v>
      </c>
      <c r="H4554" s="75">
        <f>'THAM_SO_MOI'!$D$53</f>
        <v>1.1</v>
      </c>
      <c r="I4554" s="75">
        <f>IF(F4554&gt;='THAM_SO_MOI'!$C$14,'THAM_SO_MOI'!$C$13*(1+F4554^2/1500),'THAM_SO_MOI'!$C$13)</f>
        <v>0.02069332573671887</v>
      </c>
      <c r="J4554" s="75">
        <f>'THAM_SO_MOI'!$C$40*('THAM_SO_MOI'!$C$23*(E4554/'THAM_SO_MOI'!$C$22)+'THAM_SO_MOI'!$C$24*(E4554/'THAM_SO_MOI'!$C$22)^2-'THAM_SO_MOI'!$C$25*(E4554/'THAM_SO_MOI'!$C$22)^3)</f>
        <v>105.46671939055489</v>
      </c>
      <c r="K4554" s="75">
        <f>'THAM_SO_MOI'!$C$31*J4554/E4554</f>
        <v>428.4829013163788</v>
      </c>
      <c r="L4554" s="75">
        <f>K4554*'THAM_SO_MOI'!$C$53*'THAM_SO_MOI'!$C$17/'THAM_SO_MOI'!$C$26</f>
        <v>3757.796721184762</v>
      </c>
      <c r="M4554" s="75">
        <f>'THAM_SO_MOI'!$C$15*'THAM_SO_MOI'!$C$16*F4554^2</f>
        <v>1665.2977779902699</v>
      </c>
      <c r="N4554" s="75">
        <f>'THAM_SO_MOI'!$C$12*I4554</f>
        <v>1559.051715664989</v>
      </c>
      <c r="O4554" s="75">
        <f>M4554+N4554</f>
        <v>3224.349493655259</v>
      </c>
      <c r="P4554" s="75">
        <f>(MIN(L4554,'THAM_SO_MOI'!$C$41)-O4554)/('THAM_SO_MOI'!$C$11*H4554)</f>
        <v>0.06314479492536736</v>
      </c>
      <c r="Q4554" s="75">
        <f>IF(P4554&gt;0,1/P4554,NA())</f>
        <v>15.836618064591526</v>
      </c>
      <c r="R4554" s="75">
        <f>F4554-F4553</f>
        <v>0.0035868055555567935</v>
      </c>
      <c r="S4554" s="75">
        <f>0.5*(Q4553+Q4554)*R4554</f>
        <v>0.056766450419841644</v>
      </c>
      <c r="T4554" s="75">
        <f>0.5*(F4553*Q4553+F4554*Q4554)*R4554</f>
        <v>1.3543849912623063</v>
      </c>
      <c r="U4554" s="76">
        <f>U4553+S4554</f>
        <v>82.64314552814557</v>
      </c>
      <c r="V4554" s="76">
        <f>V4553+T4554</f>
        <v>1412.7312334790397</v>
      </c>
    </row>
    <row r="4555" spans="1:22" ht="19" customHeight="1">
      <c r="A4555" s="68" t="s">
        <v>378</v>
      </c>
      <c r="B4555" s="74">
        <v>5</v>
      </c>
      <c r="C4555" s="68" t="s">
        <v>363</v>
      </c>
      <c r="D4555" s="68" t="s">
        <v>365</v>
      </c>
      <c r="E4555" s="75">
        <f>60*F4555*'THAM_SO_MOI'!$C$53/(2*PI()*'THAM_SO_MOI'!$C$26)</f>
        <v>2351.259368421052</v>
      </c>
      <c r="F4555" s="75">
        <f>'THAM_SO_MOI'!$C$14+('THAM_SO_MOI'!$C$37-'THAM_SO_MOI'!$C$14)*464/'THAM_SO_MOI'!$C$42</f>
        <v>23.864277777777776</v>
      </c>
      <c r="G4555" s="75">
        <f>3.6*F4555</f>
        <v>85.9114</v>
      </c>
      <c r="H4555" s="75">
        <f>'THAM_SO_MOI'!$D$53</f>
        <v>1.1</v>
      </c>
      <c r="I4555" s="75">
        <f>IF(F4555&gt;='THAM_SO_MOI'!$C$14,'THAM_SO_MOI'!$C$13*(1+F4555^2/1500),'THAM_SO_MOI'!$C$13)</f>
        <v>0.02069503753854938</v>
      </c>
      <c r="J4555" s="75">
        <f>'THAM_SO_MOI'!$C$40*('THAM_SO_MOI'!$C$23*(E4555/'THAM_SO_MOI'!$C$22)+'THAM_SO_MOI'!$C$24*(E4555/'THAM_SO_MOI'!$C$22)^2-'THAM_SO_MOI'!$C$25*(E4555/'THAM_SO_MOI'!$C$22)^3)</f>
        <v>105.48101695842219</v>
      </c>
      <c r="K4555" s="75">
        <f>'THAM_SO_MOI'!$C$31*J4555/E4555</f>
        <v>428.4765786940816</v>
      </c>
      <c r="L4555" s="75">
        <f>K4555*'THAM_SO_MOI'!$C$53*'THAM_SO_MOI'!$C$17/'THAM_SO_MOI'!$C$26</f>
        <v>3757.741271762475</v>
      </c>
      <c r="M4555" s="75">
        <f>'THAM_SO_MOI'!$C$15*'THAM_SO_MOI'!$C$16*F4555^2</f>
        <v>1665.798480025694</v>
      </c>
      <c r="N4555" s="75">
        <f>'THAM_SO_MOI'!$C$12*I4555</f>
        <v>1559.1806841843413</v>
      </c>
      <c r="O4555" s="75">
        <f>M4555+N4555</f>
        <v>3224.9791642100354</v>
      </c>
      <c r="P4555" s="75">
        <f>(MIN(L4555,'THAM_SO_MOI'!$C$41)-O4555)/('THAM_SO_MOI'!$C$11*H4555)</f>
        <v>0.06306369644323388</v>
      </c>
      <c r="Q4555" s="75">
        <f>IF(P4555&gt;0,1/P4555,NA())</f>
        <v>15.856983595944767</v>
      </c>
      <c r="R4555" s="75">
        <f>F4555-F4554</f>
        <v>0.0035868055555532408</v>
      </c>
      <c r="S4555" s="75">
        <f>0.5*(Q4554+Q4555)*R4555</f>
        <v>0.0568393932557515</v>
      </c>
      <c r="T4555" s="75">
        <f>0.5*(F4554*Q4554+F4555*Q4555)*R4555</f>
        <v>1.356329198951377</v>
      </c>
      <c r="U4555" s="76">
        <f>U4554+S4555</f>
        <v>82.69998492140132</v>
      </c>
      <c r="V4555" s="76">
        <f>V4554+T4555</f>
        <v>1414.0875626779912</v>
      </c>
    </row>
    <row r="4556" spans="1:22" ht="19" customHeight="1">
      <c r="A4556" s="68" t="s">
        <v>378</v>
      </c>
      <c r="B4556" s="74">
        <v>5</v>
      </c>
      <c r="C4556" s="68" t="s">
        <v>363</v>
      </c>
      <c r="D4556" s="68" t="s">
        <v>365</v>
      </c>
      <c r="E4556" s="75">
        <f>60*F4556*'THAM_SO_MOI'!$C$53/(2*PI()*'THAM_SO_MOI'!$C$26)</f>
        <v>2351.612763157894</v>
      </c>
      <c r="F4556" s="75">
        <f>'THAM_SO_MOI'!$C$14+('THAM_SO_MOI'!$C$37-'THAM_SO_MOI'!$C$14)*465/'THAM_SO_MOI'!$C$42</f>
        <v>23.867864583333333</v>
      </c>
      <c r="G4556" s="75">
        <f>3.6*F4556</f>
        <v>85.9243125</v>
      </c>
      <c r="H4556" s="75">
        <f>'THAM_SO_MOI'!$D$53</f>
        <v>1.1</v>
      </c>
      <c r="I4556" s="75">
        <f>IF(F4556&gt;='THAM_SO_MOI'!$C$14,'THAM_SO_MOI'!$C$13*(1+F4556^2/1500),'THAM_SO_MOI'!$C$13)</f>
        <v>0.020696749597683375</v>
      </c>
      <c r="J4556" s="75">
        <f>'THAM_SO_MOI'!$C$40*('THAM_SO_MOI'!$C$23*(E4556/'THAM_SO_MOI'!$C$22)+'THAM_SO_MOI'!$C$24*(E4556/'THAM_SO_MOI'!$C$22)^2-'THAM_SO_MOI'!$C$25*(E4556/'THAM_SO_MOI'!$C$22)^3)</f>
        <v>105.49531107528675</v>
      </c>
      <c r="K4556" s="75">
        <f>'THAM_SO_MOI'!$C$31*J4556/E4556</f>
        <v>428.4702439557999</v>
      </c>
      <c r="L4556" s="75">
        <f>K4556*'THAM_SO_MOI'!$C$53*'THAM_SO_MOI'!$C$17/'THAM_SO_MOI'!$C$26</f>
        <v>3757.6857160829577</v>
      </c>
      <c r="M4556" s="75">
        <f>'THAM_SO_MOI'!$C$15*'THAM_SO_MOI'!$C$16*F4556^2</f>
        <v>1666.2992573223878</v>
      </c>
      <c r="N4556" s="75">
        <f>'THAM_SO_MOI'!$C$12*I4556</f>
        <v>1559.3096720891438</v>
      </c>
      <c r="O4556" s="75">
        <f>M4556+N4556</f>
        <v>3225.608929411532</v>
      </c>
      <c r="P4556" s="75">
        <f>(MIN(L4556,'THAM_SO_MOI'!$C$41)-O4556)/('THAM_SO_MOI'!$C$11*H4556)</f>
        <v>0.06298257417985631</v>
      </c>
      <c r="Q4556" s="75">
        <f>IF(P4556&gt;0,1/P4556,NA())</f>
        <v>15.877407569026126</v>
      </c>
      <c r="R4556" s="75">
        <f>F4556-F4555</f>
        <v>0.0035868055555567935</v>
      </c>
      <c r="S4556" s="75">
        <f>0.5*(Q4555+Q4556)*R4556</f>
        <v>0.056912545266365015</v>
      </c>
      <c r="T4556" s="75">
        <f>0.5*(F4555*Q4555+F4556*Q4556)*R4556</f>
        <v>1.3582789220831497</v>
      </c>
      <c r="U4556" s="76">
        <f>U4555+S4556</f>
        <v>82.7568974666677</v>
      </c>
      <c r="V4556" s="76">
        <f>V4555+T4556</f>
        <v>1415.4458416000743</v>
      </c>
    </row>
    <row r="4557" spans="1:22" ht="19" customHeight="1">
      <c r="A4557" s="68" t="s">
        <v>378</v>
      </c>
      <c r="B4557" s="74">
        <v>5</v>
      </c>
      <c r="C4557" s="68" t="s">
        <v>363</v>
      </c>
      <c r="D4557" s="68" t="s">
        <v>365</v>
      </c>
      <c r="E4557" s="75">
        <f>60*F4557*'THAM_SO_MOI'!$C$53/(2*PI()*'THAM_SO_MOI'!$C$26)</f>
        <v>2351.966157894736</v>
      </c>
      <c r="F4557" s="75">
        <f>'THAM_SO_MOI'!$C$14+('THAM_SO_MOI'!$C$37-'THAM_SO_MOI'!$C$14)*466/'THAM_SO_MOI'!$C$42</f>
        <v>23.871451388888886</v>
      </c>
      <c r="G4557" s="75">
        <f>3.6*F4557</f>
        <v>85.937225</v>
      </c>
      <c r="H4557" s="75">
        <f>'THAM_SO_MOI'!$D$53</f>
        <v>1.1</v>
      </c>
      <c r="I4557" s="75">
        <f>IF(F4557&gt;='THAM_SO_MOI'!$C$14,'THAM_SO_MOI'!$C$13*(1+F4557^2/1500),'THAM_SO_MOI'!$C$13)</f>
        <v>0.02069846191412085</v>
      </c>
      <c r="J4557" s="75">
        <f>'THAM_SO_MOI'!$C$40*('THAM_SO_MOI'!$C$23*(E4557/'THAM_SO_MOI'!$C$22)+'THAM_SO_MOI'!$C$24*(E4557/'THAM_SO_MOI'!$C$22)^2-'THAM_SO_MOI'!$C$25*(E4557/'THAM_SO_MOI'!$C$22)^3)</f>
        <v>105.50960173980374</v>
      </c>
      <c r="K4557" s="75">
        <f>'THAM_SO_MOI'!$C$31*J4557/E4557</f>
        <v>428.4638971015338</v>
      </c>
      <c r="L4557" s="75">
        <f>K4557*'THAM_SO_MOI'!$C$53*'THAM_SO_MOI'!$C$17/'THAM_SO_MOI'!$C$26</f>
        <v>3757.6300541462087</v>
      </c>
      <c r="M4557" s="75">
        <f>'THAM_SO_MOI'!$C$15*'THAM_SO_MOI'!$C$16*F4557^2</f>
        <v>1666.8001098803493</v>
      </c>
      <c r="N4557" s="75">
        <f>'THAM_SO_MOI'!$C$12*I4557</f>
        <v>1559.4386793793963</v>
      </c>
      <c r="O4557" s="75">
        <f>M4557+N4557</f>
        <v>3226.2387892597453</v>
      </c>
      <c r="P4557" s="75">
        <f>(MIN(L4557,'THAM_SO_MOI'!$C$41)-O4557)/('THAM_SO_MOI'!$C$11*H4557)</f>
        <v>0.06290142813523475</v>
      </c>
      <c r="Q4557" s="75">
        <f>IF(P4557&gt;0,1/P4557,NA())</f>
        <v>15.897890233112877</v>
      </c>
      <c r="R4557" s="75">
        <f>F4557-F4556</f>
        <v>0.0035868055555532408</v>
      </c>
      <c r="S4557" s="75">
        <f>0.5*(Q4556+Q4557)*R4557</f>
        <v>0.05698590734303542</v>
      </c>
      <c r="T4557" s="75">
        <f>0.5*(F4556*Q4556+F4557*Q4557)*R4557</f>
        <v>1.3602341841847332</v>
      </c>
      <c r="U4557" s="76">
        <f>U4556+S4557</f>
        <v>82.81388337401073</v>
      </c>
      <c r="V4557" s="76">
        <f>V4556+T4557</f>
        <v>1416.806075784259</v>
      </c>
    </row>
    <row r="4558" spans="1:22" ht="19" customHeight="1">
      <c r="A4558" s="68" t="s">
        <v>378</v>
      </c>
      <c r="B4558" s="74">
        <v>5</v>
      </c>
      <c r="C4558" s="68" t="s">
        <v>363</v>
      </c>
      <c r="D4558" s="68" t="s">
        <v>365</v>
      </c>
      <c r="E4558" s="75">
        <f>60*F4558*'THAM_SO_MOI'!$C$53/(2*PI()*'THAM_SO_MOI'!$C$26)</f>
        <v>2352.3195526315785</v>
      </c>
      <c r="F4558" s="75">
        <f>'THAM_SO_MOI'!$C$14+('THAM_SO_MOI'!$C$37-'THAM_SO_MOI'!$C$14)*467/'THAM_SO_MOI'!$C$42</f>
        <v>23.875038194444443</v>
      </c>
      <c r="G4558" s="75">
        <f>3.6*F4558</f>
        <v>85.9501375</v>
      </c>
      <c r="H4558" s="75">
        <f>'THAM_SO_MOI'!$D$53</f>
        <v>1.1</v>
      </c>
      <c r="I4558" s="75">
        <f>IF(F4558&gt;='THAM_SO_MOI'!$C$14,'THAM_SO_MOI'!$C$13*(1+F4558^2/1500),'THAM_SO_MOI'!$C$13)</f>
        <v>0.02070017448786181</v>
      </c>
      <c r="J4558" s="75">
        <f>'THAM_SO_MOI'!$C$40*('THAM_SO_MOI'!$C$23*(E4558/'THAM_SO_MOI'!$C$22)+'THAM_SO_MOI'!$C$24*(E4558/'THAM_SO_MOI'!$C$22)^2-'THAM_SO_MOI'!$C$25*(E4558/'THAM_SO_MOI'!$C$22)^3)</f>
        <v>105.52388895062822</v>
      </c>
      <c r="K4558" s="75">
        <f>'THAM_SO_MOI'!$C$31*J4558/E4558</f>
        <v>428.45753813128323</v>
      </c>
      <c r="L4558" s="75">
        <f>K4558*'THAM_SO_MOI'!$C$53*'THAM_SO_MOI'!$C$17/'THAM_SO_MOI'!$C$26</f>
        <v>3757.574285952229</v>
      </c>
      <c r="M4558" s="75">
        <f>'THAM_SO_MOI'!$C$15*'THAM_SO_MOI'!$C$16*F4558^2</f>
        <v>1667.3010376995794</v>
      </c>
      <c r="N4558" s="75">
        <f>'THAM_SO_MOI'!$C$12*I4558</f>
        <v>1559.5677060550993</v>
      </c>
      <c r="O4558" s="75">
        <f>M4558+N4558</f>
        <v>3226.8687437546787</v>
      </c>
      <c r="P4558" s="75">
        <f>(MIN(L4558,'THAM_SO_MOI'!$C$41)-O4558)/('THAM_SO_MOI'!$C$11*H4558)</f>
        <v>0.0628202583093691</v>
      </c>
      <c r="Q4558" s="75">
        <f>IF(P4558&gt;0,1/P4558,NA())</f>
        <v>15.918431838903448</v>
      </c>
      <c r="R4558" s="75">
        <f>F4558-F4557</f>
        <v>0.0035868055555567935</v>
      </c>
      <c r="S4558" s="75">
        <f>0.5*(Q4557+Q4558)*R4558</f>
        <v>0.057059480382646195</v>
      </c>
      <c r="T4558" s="75">
        <f>0.5*(F4557*Q4557+F4558*Q4558)*R4558</f>
        <v>1.3621950089280481</v>
      </c>
      <c r="U4558" s="76">
        <f>U4557+S4558</f>
        <v>82.87094285439338</v>
      </c>
      <c r="V4558" s="76">
        <f>V4557+T4558</f>
        <v>1418.168270793187</v>
      </c>
    </row>
    <row r="4559" spans="1:22" ht="19" customHeight="1">
      <c r="A4559" s="68" t="s">
        <v>378</v>
      </c>
      <c r="B4559" s="74">
        <v>5</v>
      </c>
      <c r="C4559" s="68" t="s">
        <v>363</v>
      </c>
      <c r="D4559" s="68" t="s">
        <v>365</v>
      </c>
      <c r="E4559" s="75">
        <f>60*F4559*'THAM_SO_MOI'!$C$53/(2*PI()*'THAM_SO_MOI'!$C$26)</f>
        <v>2352.672947368421</v>
      </c>
      <c r="F4559" s="75">
        <f>'THAM_SO_MOI'!$C$14+('THAM_SO_MOI'!$C$37-'THAM_SO_MOI'!$C$14)*468/'THAM_SO_MOI'!$C$42</f>
        <v>23.878625</v>
      </c>
      <c r="G4559" s="75">
        <f>3.6*F4559</f>
        <v>85.96305</v>
      </c>
      <c r="H4559" s="75">
        <f>'THAM_SO_MOI'!$D$53</f>
        <v>1.1</v>
      </c>
      <c r="I4559" s="75">
        <f>IF(F4559&gt;='THAM_SO_MOI'!$C$14,'THAM_SO_MOI'!$C$13*(1+F4559^2/1500),'THAM_SO_MOI'!$C$13)</f>
        <v>0.020701887318906247</v>
      </c>
      <c r="J4559" s="75">
        <f>'THAM_SO_MOI'!$C$40*('THAM_SO_MOI'!$C$23*(E4559/'THAM_SO_MOI'!$C$22)+'THAM_SO_MOI'!$C$24*(E4559/'THAM_SO_MOI'!$C$22)^2-'THAM_SO_MOI'!$C$25*(E4559/'THAM_SO_MOI'!$C$22)^3)</f>
        <v>105.53817270641531</v>
      </c>
      <c r="K4559" s="75">
        <f>'THAM_SO_MOI'!$C$31*J4559/E4559</f>
        <v>428.45116704504835</v>
      </c>
      <c r="L4559" s="75">
        <f>K4559*'THAM_SO_MOI'!$C$53*'THAM_SO_MOI'!$C$17/'THAM_SO_MOI'!$C$26</f>
        <v>3757.5184115010193</v>
      </c>
      <c r="M4559" s="75">
        <f>'THAM_SO_MOI'!$C$15*'THAM_SO_MOI'!$C$16*F4559^2</f>
        <v>1667.8020407800784</v>
      </c>
      <c r="N4559" s="75">
        <f>'THAM_SO_MOI'!$C$12*I4559</f>
        <v>1559.696752116252</v>
      </c>
      <c r="O4559" s="75">
        <f>M4559+N4559</f>
        <v>3227.49879289633</v>
      </c>
      <c r="P4559" s="75">
        <f>(MIN(L4559,'THAM_SO_MOI'!$C$41)-O4559)/('THAM_SO_MOI'!$C$11*H4559)</f>
        <v>0.06273906470225961</v>
      </c>
      <c r="Q4559" s="75">
        <f>IF(P4559&gt;0,1/P4559,NA())</f>
        <v>15.939032638527427</v>
      </c>
      <c r="R4559" s="75">
        <f>F4559-F4558</f>
        <v>0.0035868055555567935</v>
      </c>
      <c r="S4559" s="75">
        <f>0.5*(Q4558+Q4559)*R4559</f>
        <v>0.05713326528680113</v>
      </c>
      <c r="T4559" s="75">
        <f>0.5*(F4558*Q4558+F4559*Q4559)*R4559</f>
        <v>1.3641614201105912</v>
      </c>
      <c r="U4559" s="76">
        <f>U4558+S4559</f>
        <v>82.92807611968018</v>
      </c>
      <c r="V4559" s="76">
        <f>V4558+T4559</f>
        <v>1419.5324322132976</v>
      </c>
    </row>
    <row r="4560" spans="1:22" ht="19" customHeight="1">
      <c r="A4560" s="68" t="s">
        <v>378</v>
      </c>
      <c r="B4560" s="74">
        <v>5</v>
      </c>
      <c r="C4560" s="68" t="s">
        <v>363</v>
      </c>
      <c r="D4560" s="68" t="s">
        <v>365</v>
      </c>
      <c r="E4560" s="75">
        <f>60*F4560*'THAM_SO_MOI'!$C$53/(2*PI()*'THAM_SO_MOI'!$C$26)</f>
        <v>2353.0263421052628</v>
      </c>
      <c r="F4560" s="75">
        <f>'THAM_SO_MOI'!$C$14+('THAM_SO_MOI'!$C$37-'THAM_SO_MOI'!$C$14)*469/'THAM_SO_MOI'!$C$42</f>
        <v>23.882211805555553</v>
      </c>
      <c r="G4560" s="75">
        <f>3.6*F4560</f>
        <v>85.9759625</v>
      </c>
      <c r="H4560" s="75">
        <f>'THAM_SO_MOI'!$D$53</f>
        <v>1.1</v>
      </c>
      <c r="I4560" s="75">
        <f>IF(F4560&gt;='THAM_SO_MOI'!$C$14,'THAM_SO_MOI'!$C$13*(1+F4560^2/1500),'THAM_SO_MOI'!$C$13)</f>
        <v>0.020703600407254167</v>
      </c>
      <c r="J4560" s="75">
        <f>'THAM_SO_MOI'!$C$40*('THAM_SO_MOI'!$C$23*(E4560/'THAM_SO_MOI'!$C$22)+'THAM_SO_MOI'!$C$24*(E4560/'THAM_SO_MOI'!$C$22)^2-'THAM_SO_MOI'!$C$25*(E4560/'THAM_SO_MOI'!$C$22)^3)</f>
        <v>105.55245300582006</v>
      </c>
      <c r="K4560" s="75">
        <f>'THAM_SO_MOI'!$C$31*J4560/E4560</f>
        <v>428.4447838428288</v>
      </c>
      <c r="L4560" s="75">
        <f>K4560*'THAM_SO_MOI'!$C$53*'THAM_SO_MOI'!$C$17/'THAM_SO_MOI'!$C$26</f>
        <v>3757.462430792577</v>
      </c>
      <c r="M4560" s="75">
        <f>'THAM_SO_MOI'!$C$15*'THAM_SO_MOI'!$C$16*F4560^2</f>
        <v>1668.303119121845</v>
      </c>
      <c r="N4560" s="75">
        <f>'THAM_SO_MOI'!$C$12*I4560</f>
        <v>1559.8258175628548</v>
      </c>
      <c r="O4560" s="75">
        <f>M4560+N4560</f>
        <v>3228.1289366846995</v>
      </c>
      <c r="P4560" s="75">
        <f>(MIN(L4560,'THAM_SO_MOI'!$C$41)-O4560)/('THAM_SO_MOI'!$C$11*H4560)</f>
        <v>0.06265784731390589</v>
      </c>
      <c r="Q4560" s="75">
        <f>IF(P4560&gt;0,1/P4560,NA())</f>
        <v>15.959692885556032</v>
      </c>
      <c r="R4560" s="75">
        <f>F4560-F4559</f>
        <v>0.0035868055555532408</v>
      </c>
      <c r="S4560" s="75">
        <f>0.5*(Q4559+Q4560)*R4560</f>
        <v>0.05720726296242526</v>
      </c>
      <c r="T4560" s="75">
        <f>0.5*(F4559*Q4559+F4560*Q4560)*R4560</f>
        <v>1.3661334416698665</v>
      </c>
      <c r="U4560" s="76">
        <f>U4559+S4560</f>
        <v>82.9852833826426</v>
      </c>
      <c r="V4560" s="76">
        <f>V4559+T4560</f>
        <v>1420.8985656549676</v>
      </c>
    </row>
    <row r="4561" spans="1:22" ht="19" customHeight="1">
      <c r="A4561" s="68" t="s">
        <v>378</v>
      </c>
      <c r="B4561" s="74">
        <v>5</v>
      </c>
      <c r="C4561" s="68" t="s">
        <v>363</v>
      </c>
      <c r="D4561" s="68" t="s">
        <v>365</v>
      </c>
      <c r="E4561" s="75">
        <f>60*F4561*'THAM_SO_MOI'!$C$53/(2*PI()*'THAM_SO_MOI'!$C$26)</f>
        <v>2353.3797368421046</v>
      </c>
      <c r="F4561" s="75">
        <f>'THAM_SO_MOI'!$C$14+('THAM_SO_MOI'!$C$37-'THAM_SO_MOI'!$C$14)*470/'THAM_SO_MOI'!$C$42</f>
        <v>23.88579861111111</v>
      </c>
      <c r="G4561" s="75">
        <f>3.6*F4561</f>
        <v>85.988875</v>
      </c>
      <c r="H4561" s="75">
        <f>'THAM_SO_MOI'!$D$53</f>
        <v>1.1</v>
      </c>
      <c r="I4561" s="75">
        <f>IF(F4561&gt;='THAM_SO_MOI'!$C$14,'THAM_SO_MOI'!$C$13*(1+F4561^2/1500),'THAM_SO_MOI'!$C$13)</f>
        <v>0.020705313752905574</v>
      </c>
      <c r="J4561" s="75">
        <f>'THAM_SO_MOI'!$C$40*('THAM_SO_MOI'!$C$23*(E4561/'THAM_SO_MOI'!$C$22)+'THAM_SO_MOI'!$C$24*(E4561/'THAM_SO_MOI'!$C$22)^2-'THAM_SO_MOI'!$C$25*(E4561/'THAM_SO_MOI'!$C$22)^3)</f>
        <v>105.56672984749765</v>
      </c>
      <c r="K4561" s="75">
        <f>'THAM_SO_MOI'!$C$31*J4561/E4561</f>
        <v>428.43838852462494</v>
      </c>
      <c r="L4561" s="75">
        <f>K4561*'THAM_SO_MOI'!$C$53*'THAM_SO_MOI'!$C$17/'THAM_SO_MOI'!$C$26</f>
        <v>3757.4063438269036</v>
      </c>
      <c r="M4561" s="75">
        <f>'THAM_SO_MOI'!$C$15*'THAM_SO_MOI'!$C$16*F4561^2</f>
        <v>1668.8042727248808</v>
      </c>
      <c r="N4561" s="75">
        <f>'THAM_SO_MOI'!$C$12*I4561</f>
        <v>1559.9549023949082</v>
      </c>
      <c r="O4561" s="75">
        <f>M4561+N4561</f>
        <v>3228.759175119789</v>
      </c>
      <c r="P4561" s="75">
        <f>(MIN(L4561,'THAM_SO_MOI'!$C$41)-O4561)/('THAM_SO_MOI'!$C$11*H4561)</f>
        <v>0.06257660614430807</v>
      </c>
      <c r="Q4561" s="75">
        <f>IF(P4561&gt;0,1/P4561,NA())</f>
        <v>15.980412835012135</v>
      </c>
      <c r="R4561" s="75">
        <f>F4561-F4560</f>
        <v>0.0035868055555567935</v>
      </c>
      <c r="S4561" s="75">
        <f>0.5*(Q4560+Q4561)*R4561</f>
        <v>0.05728147432180262</v>
      </c>
      <c r="T4561" s="75">
        <f>0.5*(F4560*Q4560+F4561*Q4561)*R4561</f>
        <v>1.3681110976843849</v>
      </c>
      <c r="U4561" s="76">
        <f>U4560+S4561</f>
        <v>83.0425648569644</v>
      </c>
      <c r="V4561" s="76">
        <f>V4560+T4561</f>
        <v>1422.2666767526518</v>
      </c>
    </row>
    <row r="4562" spans="1:22" ht="19" customHeight="1">
      <c r="A4562" s="68" t="s">
        <v>378</v>
      </c>
      <c r="B4562" s="74">
        <v>5</v>
      </c>
      <c r="C4562" s="68" t="s">
        <v>363</v>
      </c>
      <c r="D4562" s="68" t="s">
        <v>365</v>
      </c>
      <c r="E4562" s="75">
        <f>60*F4562*'THAM_SO_MOI'!$C$53/(2*PI()*'THAM_SO_MOI'!$C$26)</f>
        <v>2353.733131578947</v>
      </c>
      <c r="F4562" s="75">
        <f>'THAM_SO_MOI'!$C$14+('THAM_SO_MOI'!$C$37-'THAM_SO_MOI'!$C$14)*471/'THAM_SO_MOI'!$C$42</f>
        <v>23.889385416666666</v>
      </c>
      <c r="G4562" s="75">
        <f>3.6*F4562</f>
        <v>86.0017875</v>
      </c>
      <c r="H4562" s="75">
        <f>'THAM_SO_MOI'!$D$53</f>
        <v>1.1</v>
      </c>
      <c r="I4562" s="75">
        <f>IF(F4562&gt;='THAM_SO_MOI'!$C$14,'THAM_SO_MOI'!$C$13*(1+F4562^2/1500),'THAM_SO_MOI'!$C$13)</f>
        <v>0.020707027355860462</v>
      </c>
      <c r="J4562" s="75">
        <f>'THAM_SO_MOI'!$C$40*('THAM_SO_MOI'!$C$23*(E4562/'THAM_SO_MOI'!$C$22)+'THAM_SO_MOI'!$C$24*(E4562/'THAM_SO_MOI'!$C$22)^2-'THAM_SO_MOI'!$C$25*(E4562/'THAM_SO_MOI'!$C$22)^3)</f>
        <v>105.58100323010319</v>
      </c>
      <c r="K4562" s="75">
        <f>'THAM_SO_MOI'!$C$31*J4562/E4562</f>
        <v>428.4319810904366</v>
      </c>
      <c r="L4562" s="75">
        <f>K4562*'THAM_SO_MOI'!$C$53*'THAM_SO_MOI'!$C$17/'THAM_SO_MOI'!$C$26</f>
        <v>3757.3501506039997</v>
      </c>
      <c r="M4562" s="75">
        <f>'THAM_SO_MOI'!$C$15*'THAM_SO_MOI'!$C$16*F4562^2</f>
        <v>1669.3055015891846</v>
      </c>
      <c r="N4562" s="75">
        <f>'THAM_SO_MOI'!$C$12*I4562</f>
        <v>1560.084006612412</v>
      </c>
      <c r="O4562" s="75">
        <f>M4562+N4562</f>
        <v>3229.3895082015965</v>
      </c>
      <c r="P4562" s="75">
        <f>(MIN(L4562,'THAM_SO_MOI'!$C$41)-O4562)/('THAM_SO_MOI'!$C$11*H4562)</f>
        <v>0.06249534119346629</v>
      </c>
      <c r="Q4562" s="75">
        <f>IF(P4562&gt;0,1/P4562,NA())</f>
        <v>16.001192743380802</v>
      </c>
      <c r="R4562" s="75">
        <f>F4562-F4561</f>
        <v>0.0035868055555567935</v>
      </c>
      <c r="S4562" s="75">
        <f>0.5*(Q4561+Q4562)*R4562</f>
        <v>0.05735590028210296</v>
      </c>
      <c r="T4562" s="75">
        <f>0.5*(F4561*Q4561+F4562*Q4562)*R4562</f>
        <v>1.3700944123624548</v>
      </c>
      <c r="U4562" s="76">
        <f>U4561+S4562</f>
        <v>83.09992075724651</v>
      </c>
      <c r="V4562" s="76">
        <f>V4561+T4562</f>
        <v>1423.6367711650144</v>
      </c>
    </row>
    <row r="4563" spans="1:22" ht="19" customHeight="1">
      <c r="A4563" s="68" t="s">
        <v>378</v>
      </c>
      <c r="B4563" s="74">
        <v>5</v>
      </c>
      <c r="C4563" s="68" t="s">
        <v>363</v>
      </c>
      <c r="D4563" s="68" t="s">
        <v>365</v>
      </c>
      <c r="E4563" s="75">
        <f>60*F4563*'THAM_SO_MOI'!$C$53/(2*PI()*'THAM_SO_MOI'!$C$26)</f>
        <v>2354.0865263157884</v>
      </c>
      <c r="F4563" s="75">
        <f>'THAM_SO_MOI'!$C$14+('THAM_SO_MOI'!$C$37-'THAM_SO_MOI'!$C$14)*472/'THAM_SO_MOI'!$C$42</f>
        <v>23.89297222222222</v>
      </c>
      <c r="G4563" s="75">
        <f>3.6*F4563</f>
        <v>86.01469999999999</v>
      </c>
      <c r="H4563" s="75">
        <f>'THAM_SO_MOI'!$D$53</f>
        <v>1.1</v>
      </c>
      <c r="I4563" s="75">
        <f>IF(F4563&gt;='THAM_SO_MOI'!$C$14,'THAM_SO_MOI'!$C$13*(1+F4563^2/1500),'THAM_SO_MOI'!$C$13)</f>
        <v>0.020708741216118827</v>
      </c>
      <c r="J4563" s="75">
        <f>'THAM_SO_MOI'!$C$40*('THAM_SO_MOI'!$C$23*(E4563/'THAM_SO_MOI'!$C$22)+'THAM_SO_MOI'!$C$24*(E4563/'THAM_SO_MOI'!$C$22)^2-'THAM_SO_MOI'!$C$25*(E4563/'THAM_SO_MOI'!$C$22)^3)</f>
        <v>105.59527315229175</v>
      </c>
      <c r="K4563" s="75">
        <f>'THAM_SO_MOI'!$C$31*J4563/E4563</f>
        <v>428.42556154026386</v>
      </c>
      <c r="L4563" s="75">
        <f>K4563*'THAM_SO_MOI'!$C$53*'THAM_SO_MOI'!$C$17/'THAM_SO_MOI'!$C$26</f>
        <v>3757.2938511238654</v>
      </c>
      <c r="M4563" s="75">
        <f>'THAM_SO_MOI'!$C$15*'THAM_SO_MOI'!$C$16*F4563^2</f>
        <v>1669.8068057147568</v>
      </c>
      <c r="N4563" s="75">
        <f>'THAM_SO_MOI'!$C$12*I4563</f>
        <v>1560.2131302153655</v>
      </c>
      <c r="O4563" s="75">
        <f>M4563+N4563</f>
        <v>3230.0199359301223</v>
      </c>
      <c r="P4563" s="75">
        <f>(MIN(L4563,'THAM_SO_MOI'!$C$41)-O4563)/('THAM_SO_MOI'!$C$11*H4563)</f>
        <v>0.0624140524613806</v>
      </c>
      <c r="Q4563" s="75">
        <f>IF(P4563&gt;0,1/P4563,NA())</f>
        <v>16.022032868619792</v>
      </c>
      <c r="R4563" s="75">
        <f>F4563-F4562</f>
        <v>0.0035868055555532408</v>
      </c>
      <c r="S4563" s="75">
        <f>0.5*(Q4562+Q4563)*R4563</f>
        <v>0.05743054176592928</v>
      </c>
      <c r="T4563" s="75">
        <f>0.5*(F4562*Q4562+F4563*Q4563)*R4563</f>
        <v>1.372083410055349</v>
      </c>
      <c r="U4563" s="76">
        <f>U4562+S4563</f>
        <v>83.15735129901243</v>
      </c>
      <c r="V4563" s="76">
        <f>V4562+T4563</f>
        <v>1425.0088545750698</v>
      </c>
    </row>
    <row r="4564" spans="1:22" ht="19" customHeight="1">
      <c r="A4564" s="68" t="s">
        <v>378</v>
      </c>
      <c r="B4564" s="74">
        <v>5</v>
      </c>
      <c r="C4564" s="68" t="s">
        <v>363</v>
      </c>
      <c r="D4564" s="68" t="s">
        <v>365</v>
      </c>
      <c r="E4564" s="75">
        <f>60*F4564*'THAM_SO_MOI'!$C$53/(2*PI()*'THAM_SO_MOI'!$C$26)</f>
        <v>2354.439921052631</v>
      </c>
      <c r="F4564" s="75">
        <f>'THAM_SO_MOI'!$C$14+('THAM_SO_MOI'!$C$37-'THAM_SO_MOI'!$C$14)*473/'THAM_SO_MOI'!$C$42</f>
        <v>23.896559027777776</v>
      </c>
      <c r="G4564" s="75">
        <f>3.6*F4564</f>
        <v>86.0276125</v>
      </c>
      <c r="H4564" s="75">
        <f>'THAM_SO_MOI'!$D$53</f>
        <v>1.1</v>
      </c>
      <c r="I4564" s="75">
        <f>IF(F4564&gt;='THAM_SO_MOI'!$C$14,'THAM_SO_MOI'!$C$13*(1+F4564^2/1500),'THAM_SO_MOI'!$C$13)</f>
        <v>0.020710455333680676</v>
      </c>
      <c r="J4564" s="75">
        <f>'THAM_SO_MOI'!$C$40*('THAM_SO_MOI'!$C$23*(E4564/'THAM_SO_MOI'!$C$22)+'THAM_SO_MOI'!$C$24*(E4564/'THAM_SO_MOI'!$C$22)^2-'THAM_SO_MOI'!$C$25*(E4564/'THAM_SO_MOI'!$C$22)^3)</f>
        <v>105.60953961271846</v>
      </c>
      <c r="K4564" s="75">
        <f>'THAM_SO_MOI'!$C$31*J4564/E4564</f>
        <v>428.4191298741065</v>
      </c>
      <c r="L4564" s="75">
        <f>K4564*'THAM_SO_MOI'!$C$53*'THAM_SO_MOI'!$C$17/'THAM_SO_MOI'!$C$26</f>
        <v>3757.2374453864986</v>
      </c>
      <c r="M4564" s="75">
        <f>'THAM_SO_MOI'!$C$15*'THAM_SO_MOI'!$C$16*F4564^2</f>
        <v>1670.3081851015977</v>
      </c>
      <c r="N4564" s="75">
        <f>'THAM_SO_MOI'!$C$12*I4564</f>
        <v>1560.342273203769</v>
      </c>
      <c r="O4564" s="75">
        <f>M4564+N4564</f>
        <v>3230.6504583053666</v>
      </c>
      <c r="P4564" s="75">
        <f>(MIN(L4564,'THAM_SO_MOI'!$C$41)-O4564)/('THAM_SO_MOI'!$C$11*H4564)</f>
        <v>0.06233273994805064</v>
      </c>
      <c r="Q4564" s="75">
        <f>IF(P4564&gt;0,1/P4564,NA())</f>
        <v>16.04293347017025</v>
      </c>
      <c r="R4564" s="75">
        <f>F4564-F4563</f>
        <v>0.0035868055555567935</v>
      </c>
      <c r="S4564" s="75">
        <f>0.5*(Q4563+Q4564)*R4564</f>
        <v>0.05750539970135685</v>
      </c>
      <c r="T4564" s="75">
        <f>0.5*(F4563*Q4563+F4564*Q4564)*R4564</f>
        <v>1.3740781152583363</v>
      </c>
      <c r="U4564" s="76">
        <f>U4563+S4564</f>
        <v>83.21485669871379</v>
      </c>
      <c r="V4564" s="76">
        <f>V4563+T4564</f>
        <v>1426.382932690328</v>
      </c>
    </row>
    <row r="4565" spans="1:22" ht="19" customHeight="1">
      <c r="A4565" s="68" t="s">
        <v>378</v>
      </c>
      <c r="B4565" s="74">
        <v>5</v>
      </c>
      <c r="C4565" s="68" t="s">
        <v>363</v>
      </c>
      <c r="D4565" s="68" t="s">
        <v>365</v>
      </c>
      <c r="E4565" s="75">
        <f>60*F4565*'THAM_SO_MOI'!$C$53/(2*PI()*'THAM_SO_MOI'!$C$26)</f>
        <v>2354.793315789473</v>
      </c>
      <c r="F4565" s="75">
        <f>'THAM_SO_MOI'!$C$14+('THAM_SO_MOI'!$C$37-'THAM_SO_MOI'!$C$14)*474/'THAM_SO_MOI'!$C$42</f>
        <v>23.900145833333333</v>
      </c>
      <c r="G4565" s="75">
        <f>3.6*F4565</f>
        <v>86.040525</v>
      </c>
      <c r="H4565" s="75">
        <f>'THAM_SO_MOI'!$D$53</f>
        <v>1.1</v>
      </c>
      <c r="I4565" s="75">
        <f>IF(F4565&gt;='THAM_SO_MOI'!$C$14,'THAM_SO_MOI'!$C$13*(1+F4565^2/1500),'THAM_SO_MOI'!$C$13)</f>
        <v>0.020712169708546006</v>
      </c>
      <c r="J4565" s="75">
        <f>'THAM_SO_MOI'!$C$40*('THAM_SO_MOI'!$C$23*(E4565/'THAM_SO_MOI'!$C$22)+'THAM_SO_MOI'!$C$24*(E4565/'THAM_SO_MOI'!$C$22)^2-'THAM_SO_MOI'!$C$25*(E4565/'THAM_SO_MOI'!$C$22)^3)</f>
        <v>105.62380261003848</v>
      </c>
      <c r="K4565" s="75">
        <f>'THAM_SO_MOI'!$C$31*J4565/E4565</f>
        <v>428.4126860919649</v>
      </c>
      <c r="L4565" s="75">
        <f>K4565*'THAM_SO_MOI'!$C$53*'THAM_SO_MOI'!$C$17/'THAM_SO_MOI'!$C$26</f>
        <v>3757.1809333919023</v>
      </c>
      <c r="M4565" s="75">
        <f>'THAM_SO_MOI'!$C$15*'THAM_SO_MOI'!$C$16*F4565^2</f>
        <v>1670.8096397497072</v>
      </c>
      <c r="N4565" s="75">
        <f>'THAM_SO_MOI'!$C$12*I4565</f>
        <v>1560.471435577623</v>
      </c>
      <c r="O4565" s="75">
        <f>M4565+N4565</f>
        <v>3231.28107532733</v>
      </c>
      <c r="P4565" s="75">
        <f>(MIN(L4565,'THAM_SO_MOI'!$C$41)-O4565)/('THAM_SO_MOI'!$C$11*H4565)</f>
        <v>0.06225140365347683</v>
      </c>
      <c r="Q4565" s="75">
        <f>IF(P4565&gt;0,1/P4565,NA())</f>
        <v>16.063894808967067</v>
      </c>
      <c r="R4565" s="75">
        <f>F4565-F4564</f>
        <v>0.0035868055555567935</v>
      </c>
      <c r="S4565" s="75">
        <f>0.5*(Q4564+Q4565)*R4565</f>
        <v>0.05758047502145885</v>
      </c>
      <c r="T4565" s="75">
        <f>0.5*(F4564*Q4564+F4565*Q4565)*R4565</f>
        <v>1.3760785525994428</v>
      </c>
      <c r="U4565" s="76">
        <f>U4564+S4565</f>
        <v>83.27243717373524</v>
      </c>
      <c r="V4565" s="76">
        <f>V4564+T4565</f>
        <v>1427.7590112429275</v>
      </c>
    </row>
    <row r="4566" spans="1:22" ht="19" customHeight="1">
      <c r="A4566" s="68" t="s">
        <v>378</v>
      </c>
      <c r="B4566" s="74">
        <v>5</v>
      </c>
      <c r="C4566" s="68" t="s">
        <v>363</v>
      </c>
      <c r="D4566" s="68" t="s">
        <v>365</v>
      </c>
      <c r="E4566" s="75">
        <f>60*F4566*'THAM_SO_MOI'!$C$53/(2*PI()*'THAM_SO_MOI'!$C$26)</f>
        <v>2355.1467105263155</v>
      </c>
      <c r="F4566" s="75">
        <f>'THAM_SO_MOI'!$C$14+('THAM_SO_MOI'!$C$37-'THAM_SO_MOI'!$C$14)*475/'THAM_SO_MOI'!$C$42</f>
        <v>23.903732638888886</v>
      </c>
      <c r="G4566" s="75">
        <f>3.6*F4566</f>
        <v>86.05343749999999</v>
      </c>
      <c r="H4566" s="75">
        <f>'THAM_SO_MOI'!$D$53</f>
        <v>1.1</v>
      </c>
      <c r="I4566" s="75">
        <f>IF(F4566&gt;='THAM_SO_MOI'!$C$14,'THAM_SO_MOI'!$C$13*(1+F4566^2/1500),'THAM_SO_MOI'!$C$13)</f>
        <v>0.020713884340714816</v>
      </c>
      <c r="J4566" s="75">
        <f>'THAM_SO_MOI'!$C$40*('THAM_SO_MOI'!$C$23*(E4566/'THAM_SO_MOI'!$C$22)+'THAM_SO_MOI'!$C$24*(E4566/'THAM_SO_MOI'!$C$22)^2-'THAM_SO_MOI'!$C$25*(E4566/'THAM_SO_MOI'!$C$22)^3)</f>
        <v>105.6380621429068</v>
      </c>
      <c r="K4566" s="75">
        <f>'THAM_SO_MOI'!$C$31*J4566/E4566</f>
        <v>428.40623019383855</v>
      </c>
      <c r="L4566" s="75">
        <f>K4566*'THAM_SO_MOI'!$C$53*'THAM_SO_MOI'!$C$17/'THAM_SO_MOI'!$C$26</f>
        <v>3757.1243151400727</v>
      </c>
      <c r="M4566" s="75">
        <f>'THAM_SO_MOI'!$C$15*'THAM_SO_MOI'!$C$16*F4566^2</f>
        <v>1671.3111696590847</v>
      </c>
      <c r="N4566" s="75">
        <f>'THAM_SO_MOI'!$C$12*I4566</f>
        <v>1560.600617336927</v>
      </c>
      <c r="O4566" s="75">
        <f>M4566+N4566</f>
        <v>3231.911786996012</v>
      </c>
      <c r="P4566" s="75">
        <f>(MIN(L4566,'THAM_SO_MOI'!$C$41)-O4566)/('THAM_SO_MOI'!$C$11*H4566)</f>
        <v>0.06217004357765876</v>
      </c>
      <c r="Q4566" s="75">
        <f>IF(P4566&gt;0,1/P4566,NA())</f>
        <v>16.084917147450046</v>
      </c>
      <c r="R4566" s="75">
        <f>F4566-F4565</f>
        <v>0.0035868055555532408</v>
      </c>
      <c r="S4566" s="75">
        <f>0.5*(Q4565+Q4566)*R4566</f>
        <v>0.05765576866485667</v>
      </c>
      <c r="T4566" s="75">
        <f>0.5*(F4565*Q4565+F4566*Q4566)*R4566</f>
        <v>1.3780847468526942</v>
      </c>
      <c r="U4566" s="76">
        <f>U4565+S4566</f>
        <v>83.3300929424001</v>
      </c>
      <c r="V4566" s="76">
        <f>V4565+T4566</f>
        <v>1429.1370959897802</v>
      </c>
    </row>
    <row r="4567" spans="1:22" ht="19" customHeight="1">
      <c r="A4567" s="68" t="s">
        <v>378</v>
      </c>
      <c r="B4567" s="74">
        <v>5</v>
      </c>
      <c r="C4567" s="68" t="s">
        <v>363</v>
      </c>
      <c r="D4567" s="68" t="s">
        <v>365</v>
      </c>
      <c r="E4567" s="75">
        <f>60*F4567*'THAM_SO_MOI'!$C$53/(2*PI()*'THAM_SO_MOI'!$C$26)</f>
        <v>2355.5001052631574</v>
      </c>
      <c r="F4567" s="75">
        <f>'THAM_SO_MOI'!$C$14+('THAM_SO_MOI'!$C$37-'THAM_SO_MOI'!$C$14)*476/'THAM_SO_MOI'!$C$42</f>
        <v>23.907319444444443</v>
      </c>
      <c r="G4567" s="75">
        <f>3.6*F4567</f>
        <v>86.06635</v>
      </c>
      <c r="H4567" s="75">
        <f>'THAM_SO_MOI'!$D$53</f>
        <v>1.1</v>
      </c>
      <c r="I4567" s="75">
        <f>IF(F4567&gt;='THAM_SO_MOI'!$C$14,'THAM_SO_MOI'!$C$13*(1+F4567^2/1500),'THAM_SO_MOI'!$C$13)</f>
        <v>0.020715599230187114</v>
      </c>
      <c r="J4567" s="75">
        <f>'THAM_SO_MOI'!$C$40*('THAM_SO_MOI'!$C$23*(E4567/'THAM_SO_MOI'!$C$22)+'THAM_SO_MOI'!$C$24*(E4567/'THAM_SO_MOI'!$C$22)^2-'THAM_SO_MOI'!$C$25*(E4567/'THAM_SO_MOI'!$C$22)^3)</f>
        <v>105.65231820997866</v>
      </c>
      <c r="K4567" s="75">
        <f>'THAM_SO_MOI'!$C$31*J4567/E4567</f>
        <v>428.399762179728</v>
      </c>
      <c r="L4567" s="75">
        <f>K4567*'THAM_SO_MOI'!$C$53*'THAM_SO_MOI'!$C$17/'THAM_SO_MOI'!$C$26</f>
        <v>3757.0675906310134</v>
      </c>
      <c r="M4567" s="75">
        <f>'THAM_SO_MOI'!$C$15*'THAM_SO_MOI'!$C$16*F4567^2</f>
        <v>1671.8127748297309</v>
      </c>
      <c r="N4567" s="75">
        <f>'THAM_SO_MOI'!$C$12*I4567</f>
        <v>1560.7298184816814</v>
      </c>
      <c r="O4567" s="75">
        <f>M4567+N4567</f>
        <v>3232.542593311412</v>
      </c>
      <c r="P4567" s="75">
        <f>(MIN(L4567,'THAM_SO_MOI'!$C$41)-O4567)/('THAM_SO_MOI'!$C$11*H4567)</f>
        <v>0.062088659720596705</v>
      </c>
      <c r="Q4567" s="75">
        <f>IF(P4567&gt;0,1/P4567,NA())</f>
        <v>16.106000749574395</v>
      </c>
      <c r="R4567" s="75">
        <f>F4567-F4566</f>
        <v>0.0035868055555567935</v>
      </c>
      <c r="S4567" s="75">
        <f>0.5*(Q4566+Q4567)*R4567</f>
        <v>0.057731281575759935</v>
      </c>
      <c r="T4567" s="75">
        <f>0.5*(F4566*Q4566+F4567*Q4567)*R4567</f>
        <v>1.3800967229391732</v>
      </c>
      <c r="U4567" s="76">
        <f>U4566+S4567</f>
        <v>83.38782422397585</v>
      </c>
      <c r="V4567" s="76">
        <f>V4566+T4567</f>
        <v>1430.5171927127194</v>
      </c>
    </row>
    <row r="4568" spans="1:22" ht="19" customHeight="1">
      <c r="A4568" s="68" t="s">
        <v>378</v>
      </c>
      <c r="B4568" s="74">
        <v>5</v>
      </c>
      <c r="C4568" s="68" t="s">
        <v>363</v>
      </c>
      <c r="D4568" s="68" t="s">
        <v>365</v>
      </c>
      <c r="E4568" s="75">
        <f>60*F4568*'THAM_SO_MOI'!$C$53/(2*PI()*'THAM_SO_MOI'!$C$26)</f>
        <v>2355.8534999999997</v>
      </c>
      <c r="F4568" s="75">
        <f>'THAM_SO_MOI'!$C$14+('THAM_SO_MOI'!$C$37-'THAM_SO_MOI'!$C$14)*477/'THAM_SO_MOI'!$C$42</f>
        <v>23.91090625</v>
      </c>
      <c r="G4568" s="75">
        <f>3.6*F4568</f>
        <v>86.0792625</v>
      </c>
      <c r="H4568" s="75">
        <f>'THAM_SO_MOI'!$D$53</f>
        <v>1.1</v>
      </c>
      <c r="I4568" s="75">
        <f>IF(F4568&gt;='THAM_SO_MOI'!$C$14,'THAM_SO_MOI'!$C$13*(1+F4568^2/1500),'THAM_SO_MOI'!$C$13)</f>
        <v>0.020717314376962892</v>
      </c>
      <c r="J4568" s="75">
        <f>'THAM_SO_MOI'!$C$40*('THAM_SO_MOI'!$C$23*(E4568/'THAM_SO_MOI'!$C$22)+'THAM_SO_MOI'!$C$24*(E4568/'THAM_SO_MOI'!$C$22)^2-'THAM_SO_MOI'!$C$25*(E4568/'THAM_SO_MOI'!$C$22)^3)</f>
        <v>105.66657080990909</v>
      </c>
      <c r="K4568" s="75">
        <f>'THAM_SO_MOI'!$C$31*J4568/E4568</f>
        <v>428.3932820496329</v>
      </c>
      <c r="L4568" s="75">
        <f>K4568*'THAM_SO_MOI'!$C$53*'THAM_SO_MOI'!$C$17/'THAM_SO_MOI'!$C$26</f>
        <v>3757.0107598647232</v>
      </c>
      <c r="M4568" s="75">
        <f>'THAM_SO_MOI'!$C$15*'THAM_SO_MOI'!$C$16*F4568^2</f>
        <v>1672.3144552616454</v>
      </c>
      <c r="N4568" s="75">
        <f>'THAM_SO_MOI'!$C$12*I4568</f>
        <v>1560.859039011886</v>
      </c>
      <c r="O4568" s="75">
        <f>M4568+N4568</f>
        <v>3233.173494273531</v>
      </c>
      <c r="P4568" s="75">
        <f>(MIN(L4568,'THAM_SO_MOI'!$C$41)-O4568)/('THAM_SO_MOI'!$C$11*H4568)</f>
        <v>0.06200725208229071</v>
      </c>
      <c r="Q4568" s="75">
        <f>IF(P4568&gt;0,1/P4568,NA())</f>
        <v>16.127145880821903</v>
      </c>
      <c r="R4568" s="75">
        <f>F4568-F4567</f>
        <v>0.0035868055555567935</v>
      </c>
      <c r="S4568" s="75">
        <f>0.5*(Q4567+Q4568)*R4568</f>
        <v>0.05780701470349109</v>
      </c>
      <c r="T4568" s="75">
        <f>0.5*(F4567*Q4567+F4568*Q4568)*R4568</f>
        <v>1.3821145059157514</v>
      </c>
      <c r="U4568" s="76">
        <f>U4567+S4568</f>
        <v>83.44563123867934</v>
      </c>
      <c r="V4568" s="76">
        <f>V4567+T4568</f>
        <v>1431.8993072186352</v>
      </c>
    </row>
    <row r="4569" spans="1:22" ht="19" customHeight="1">
      <c r="A4569" s="68" t="s">
        <v>378</v>
      </c>
      <c r="B4569" s="74">
        <v>5</v>
      </c>
      <c r="C4569" s="68" t="s">
        <v>363</v>
      </c>
      <c r="D4569" s="68" t="s">
        <v>365</v>
      </c>
      <c r="E4569" s="75">
        <f>60*F4569*'THAM_SO_MOI'!$C$53/(2*PI()*'THAM_SO_MOI'!$C$26)</f>
        <v>2356.206894736841</v>
      </c>
      <c r="F4569" s="75">
        <f>'THAM_SO_MOI'!$C$14+('THAM_SO_MOI'!$C$37-'THAM_SO_MOI'!$C$14)*478/'THAM_SO_MOI'!$C$42</f>
        <v>23.914493055555553</v>
      </c>
      <c r="G4569" s="75">
        <f>3.6*F4569</f>
        <v>86.092175</v>
      </c>
      <c r="H4569" s="75">
        <f>'THAM_SO_MOI'!$D$53</f>
        <v>1.1</v>
      </c>
      <c r="I4569" s="75">
        <f>IF(F4569&gt;='THAM_SO_MOI'!$C$14,'THAM_SO_MOI'!$C$13*(1+F4569^2/1500),'THAM_SO_MOI'!$C$13)</f>
        <v>0.020719029781042148</v>
      </c>
      <c r="J4569" s="75">
        <f>'THAM_SO_MOI'!$C$40*('THAM_SO_MOI'!$C$23*(E4569/'THAM_SO_MOI'!$C$22)+'THAM_SO_MOI'!$C$24*(E4569/'THAM_SO_MOI'!$C$22)^2-'THAM_SO_MOI'!$C$25*(E4569/'THAM_SO_MOI'!$C$22)^3)</f>
        <v>105.68081994135318</v>
      </c>
      <c r="K4569" s="75">
        <f>'THAM_SO_MOI'!$C$31*J4569/E4569</f>
        <v>428.38678980355326</v>
      </c>
      <c r="L4569" s="75">
        <f>K4569*'THAM_SO_MOI'!$C$53*'THAM_SO_MOI'!$C$17/'THAM_SO_MOI'!$C$26</f>
        <v>3756.953822841201</v>
      </c>
      <c r="M4569" s="75">
        <f>'THAM_SO_MOI'!$C$15*'THAM_SO_MOI'!$C$16*F4569^2</f>
        <v>1672.8162109548284</v>
      </c>
      <c r="N4569" s="75">
        <f>'THAM_SO_MOI'!$C$12*I4569</f>
        <v>1560.9882789275403</v>
      </c>
      <c r="O4569" s="75">
        <f>M4569+N4569</f>
        <v>3233.8044898823687</v>
      </c>
      <c r="P4569" s="75">
        <f>(MIN(L4569,'THAM_SO_MOI'!$C$41)-O4569)/('THAM_SO_MOI'!$C$11*H4569)</f>
        <v>0.061925820662740584</v>
      </c>
      <c r="Q4569" s="75">
        <f>IF(P4569&gt;0,1/P4569,NA())</f>
        <v>16.148352808212007</v>
      </c>
      <c r="R4569" s="75">
        <f>F4569-F4568</f>
        <v>0.0035868055555532408</v>
      </c>
      <c r="S4569" s="75">
        <f>0.5*(Q4568+Q4569)*R4569</f>
        <v>0.05788296900303908</v>
      </c>
      <c r="T4569" s="75">
        <f>0.5*(F4568*Q4568+F4569*Q4569)*R4569</f>
        <v>1.3841381209884227</v>
      </c>
      <c r="U4569" s="76">
        <f>U4568+S4569</f>
        <v>83.50351420768239</v>
      </c>
      <c r="V4569" s="76">
        <f>V4568+T4569</f>
        <v>1433.2834453396235</v>
      </c>
    </row>
    <row r="4570" spans="1:22" ht="19" customHeight="1">
      <c r="A4570" s="68" t="s">
        <v>378</v>
      </c>
      <c r="B4570" s="74">
        <v>5</v>
      </c>
      <c r="C4570" s="68" t="s">
        <v>363</v>
      </c>
      <c r="D4570" s="68" t="s">
        <v>365</v>
      </c>
      <c r="E4570" s="75">
        <f>60*F4570*'THAM_SO_MOI'!$C$53/(2*PI()*'THAM_SO_MOI'!$C$26)</f>
        <v>2356.5602894736835</v>
      </c>
      <c r="F4570" s="75">
        <f>'THAM_SO_MOI'!$C$14+('THAM_SO_MOI'!$C$37-'THAM_SO_MOI'!$C$14)*479/'THAM_SO_MOI'!$C$42</f>
        <v>23.91807986111111</v>
      </c>
      <c r="G4570" s="75">
        <f>3.6*F4570</f>
        <v>86.1050875</v>
      </c>
      <c r="H4570" s="75">
        <f>'THAM_SO_MOI'!$D$53</f>
        <v>1.1</v>
      </c>
      <c r="I4570" s="75">
        <f>IF(F4570&gt;='THAM_SO_MOI'!$C$14,'THAM_SO_MOI'!$C$13*(1+F4570^2/1500),'THAM_SO_MOI'!$C$13)</f>
        <v>0.02072074544242489</v>
      </c>
      <c r="J4570" s="75">
        <f>'THAM_SO_MOI'!$C$40*('THAM_SO_MOI'!$C$23*(E4570/'THAM_SO_MOI'!$C$22)+'THAM_SO_MOI'!$C$24*(E4570/'THAM_SO_MOI'!$C$22)^2-'THAM_SO_MOI'!$C$25*(E4570/'THAM_SO_MOI'!$C$22)^3)</f>
        <v>105.69506560296611</v>
      </c>
      <c r="K4570" s="75">
        <f>'THAM_SO_MOI'!$C$31*J4570/E4570</f>
        <v>428.38028544148915</v>
      </c>
      <c r="L4570" s="75">
        <f>K4570*'THAM_SO_MOI'!$C$53*'THAM_SO_MOI'!$C$17/'THAM_SO_MOI'!$C$26</f>
        <v>3756.896779560447</v>
      </c>
      <c r="M4570" s="75">
        <f>'THAM_SO_MOI'!$C$15*'THAM_SO_MOI'!$C$16*F4570^2</f>
        <v>1673.3180419092803</v>
      </c>
      <c r="N4570" s="75">
        <f>'THAM_SO_MOI'!$C$12*I4570</f>
        <v>1561.1175382286453</v>
      </c>
      <c r="O4570" s="75">
        <f>M4570+N4570</f>
        <v>3234.4355801379256</v>
      </c>
      <c r="P4570" s="75">
        <f>(MIN(L4570,'THAM_SO_MOI'!$C$41)-O4570)/('THAM_SO_MOI'!$C$11*H4570)</f>
        <v>0.06184436546194623</v>
      </c>
      <c r="Q4570" s="75">
        <f>IF(P4570&gt;0,1/P4570,NA())</f>
        <v>16.169621800312836</v>
      </c>
      <c r="R4570" s="75">
        <f>F4570-F4569</f>
        <v>0.0035868055555567935</v>
      </c>
      <c r="S4570" s="75">
        <f>0.5*(Q4569+Q4570)*R4570</f>
        <v>0.05795914543510015</v>
      </c>
      <c r="T4570" s="75">
        <f>0.5*(F4569*Q4569+F4570*Q4570)*R4570</f>
        <v>1.3861675935133793</v>
      </c>
      <c r="U4570" s="76">
        <f>U4569+S4570</f>
        <v>83.56147335311749</v>
      </c>
      <c r="V4570" s="76">
        <f>V4569+T4570</f>
        <v>1434.669612933137</v>
      </c>
    </row>
    <row r="4571" spans="1:22" ht="19" customHeight="1">
      <c r="A4571" s="68" t="s">
        <v>378</v>
      </c>
      <c r="B4571" s="74">
        <v>5</v>
      </c>
      <c r="C4571" s="68" t="s">
        <v>363</v>
      </c>
      <c r="D4571" s="68" t="s">
        <v>365</v>
      </c>
      <c r="E4571" s="75">
        <f>60*F4571*'THAM_SO_MOI'!$C$53/(2*PI()*'THAM_SO_MOI'!$C$26)</f>
        <v>2356.9136842105254</v>
      </c>
      <c r="F4571" s="75">
        <f>'THAM_SO_MOI'!$C$14+('THAM_SO_MOI'!$C$37-'THAM_SO_MOI'!$C$14)*480/'THAM_SO_MOI'!$C$42</f>
        <v>23.921666666666667</v>
      </c>
      <c r="G4571" s="75">
        <f>3.6*F4571</f>
        <v>86.11800000000001</v>
      </c>
      <c r="H4571" s="75">
        <f>'THAM_SO_MOI'!$D$53</f>
        <v>1.1</v>
      </c>
      <c r="I4571" s="75">
        <f>IF(F4571&gt;='THAM_SO_MOI'!$C$14,'THAM_SO_MOI'!$C$13*(1+F4571^2/1500),'THAM_SO_MOI'!$C$13)</f>
        <v>0.02072246136111111</v>
      </c>
      <c r="J4571" s="75">
        <f>'THAM_SO_MOI'!$C$40*('THAM_SO_MOI'!$C$23*(E4571/'THAM_SO_MOI'!$C$22)+'THAM_SO_MOI'!$C$24*(E4571/'THAM_SO_MOI'!$C$22)^2-'THAM_SO_MOI'!$C$25*(E4571/'THAM_SO_MOI'!$C$22)^3)</f>
        <v>105.70930779340297</v>
      </c>
      <c r="K4571" s="75">
        <f>'THAM_SO_MOI'!$C$31*J4571/E4571</f>
        <v>428.37376896344074</v>
      </c>
      <c r="L4571" s="75">
        <f>K4571*'THAM_SO_MOI'!$C$53*'THAM_SO_MOI'!$C$17/'THAM_SO_MOI'!$C$26</f>
        <v>3756.839630022464</v>
      </c>
      <c r="M4571" s="75">
        <f>'THAM_SO_MOI'!$C$15*'THAM_SO_MOI'!$C$16*F4571^2</f>
        <v>1673.819948125</v>
      </c>
      <c r="N4571" s="75">
        <f>'THAM_SO_MOI'!$C$12*I4571</f>
        <v>1561.2468169152</v>
      </c>
      <c r="O4571" s="75">
        <f>M4571+N4571</f>
        <v>3235.0667650402</v>
      </c>
      <c r="P4571" s="75">
        <f>(MIN(L4571,'THAM_SO_MOI'!$C$41)-O4571)/('THAM_SO_MOI'!$C$11*H4571)</f>
        <v>0.0617628864799081</v>
      </c>
      <c r="Q4571" s="75">
        <f>IF(P4571&gt;0,1/P4571,NA())</f>
        <v>16.19095312725235</v>
      </c>
      <c r="R4571" s="75">
        <f>F4571-F4570</f>
        <v>0.0035868055555567935</v>
      </c>
      <c r="S4571" s="75">
        <f>0.5*(Q4570+Q4571)*R4571</f>
        <v>0.058035544965601336</v>
      </c>
      <c r="T4571" s="75">
        <f>0.5*(F4570*Q4570+F4571*Q4571)*R4571</f>
        <v>1.3882029489857177</v>
      </c>
      <c r="U4571" s="76">
        <f>U4570+S4571</f>
        <v>83.6195088980831</v>
      </c>
      <c r="V4571" s="76">
        <f>V4570+T4571</f>
        <v>1436.0578158821227</v>
      </c>
    </row>
    <row r="4572" spans="1:22" ht="19" customHeight="1">
      <c r="A4572" s="68" t="s">
        <v>378</v>
      </c>
      <c r="B4572" s="74">
        <v>5</v>
      </c>
      <c r="C4572" s="68" t="s">
        <v>363</v>
      </c>
      <c r="D4572" s="68" t="s">
        <v>365</v>
      </c>
      <c r="E4572" s="75">
        <f>60*F4572*'THAM_SO_MOI'!$C$53/(2*PI()*'THAM_SO_MOI'!$C$26)</f>
        <v>2357.2670789473677</v>
      </c>
      <c r="F4572" s="75">
        <f>'THAM_SO_MOI'!$C$14+('THAM_SO_MOI'!$C$37-'THAM_SO_MOI'!$C$14)*481/'THAM_SO_MOI'!$C$42</f>
        <v>23.92525347222222</v>
      </c>
      <c r="G4572" s="75">
        <f>3.6*F4572</f>
        <v>86.1309125</v>
      </c>
      <c r="H4572" s="75">
        <f>'THAM_SO_MOI'!$D$53</f>
        <v>1.1</v>
      </c>
      <c r="I4572" s="75">
        <f>IF(F4572&gt;='THAM_SO_MOI'!$C$14,'THAM_SO_MOI'!$C$13*(1+F4572^2/1500),'THAM_SO_MOI'!$C$13)</f>
        <v>0.02072417753710081</v>
      </c>
      <c r="J4572" s="75">
        <f>'THAM_SO_MOI'!$C$40*('THAM_SO_MOI'!$C$23*(E4572/'THAM_SO_MOI'!$C$22)+'THAM_SO_MOI'!$C$24*(E4572/'THAM_SO_MOI'!$C$22)^2-'THAM_SO_MOI'!$C$25*(E4572/'THAM_SO_MOI'!$C$22)^3)</f>
        <v>105.72354651131887</v>
      </c>
      <c r="K4572" s="75">
        <f>'THAM_SO_MOI'!$C$31*J4572/E4572</f>
        <v>428.36724036940785</v>
      </c>
      <c r="L4572" s="75">
        <f>K4572*'THAM_SO_MOI'!$C$53*'THAM_SO_MOI'!$C$17/'THAM_SO_MOI'!$C$26</f>
        <v>3756.782374227249</v>
      </c>
      <c r="M4572" s="75">
        <f>'THAM_SO_MOI'!$C$15*'THAM_SO_MOI'!$C$16*F4572^2</f>
        <v>1674.3219296019884</v>
      </c>
      <c r="N4572" s="75">
        <f>'THAM_SO_MOI'!$C$12*I4572</f>
        <v>1561.3761149872048</v>
      </c>
      <c r="O4572" s="75">
        <f>M4572+N4572</f>
        <v>3235.698044589193</v>
      </c>
      <c r="P4572" s="75">
        <f>(MIN(L4572,'THAM_SO_MOI'!$C$41)-O4572)/('THAM_SO_MOI'!$C$11*H4572)</f>
        <v>0.061681383716625925</v>
      </c>
      <c r="Q4572" s="75">
        <f>IF(P4572&gt;0,1/P4572,NA())</f>
        <v>16.212347060730007</v>
      </c>
      <c r="R4572" s="75">
        <f>F4572-F4571</f>
        <v>0.0035868055555532408</v>
      </c>
      <c r="S4572" s="75">
        <f>0.5*(Q4571+Q4572)*R4572</f>
        <v>0.058112168566257234</v>
      </c>
      <c r="T4572" s="75">
        <f>0.5*(F4571*Q4571+F4572*Q4572)*R4572</f>
        <v>1.3902442130528494</v>
      </c>
      <c r="U4572" s="76">
        <f>U4571+S4572</f>
        <v>83.67762106664935</v>
      </c>
      <c r="V4572" s="76">
        <f>V4571+T4572</f>
        <v>1437.4480600951756</v>
      </c>
    </row>
    <row r="4573" spans="1:22" ht="19" customHeight="1">
      <c r="A4573" s="68" t="s">
        <v>378</v>
      </c>
      <c r="B4573" s="74">
        <v>5</v>
      </c>
      <c r="C4573" s="68" t="s">
        <v>363</v>
      </c>
      <c r="D4573" s="68" t="s">
        <v>365</v>
      </c>
      <c r="E4573" s="75">
        <f>60*F4573*'THAM_SO_MOI'!$C$53/(2*PI()*'THAM_SO_MOI'!$C$26)</f>
        <v>2357.62047368421</v>
      </c>
      <c r="F4573" s="75">
        <f>'THAM_SO_MOI'!$C$14+('THAM_SO_MOI'!$C$37-'THAM_SO_MOI'!$C$14)*482/'THAM_SO_MOI'!$C$42</f>
        <v>23.928840277777777</v>
      </c>
      <c r="G4573" s="75">
        <f>3.6*F4573</f>
        <v>86.14382499999999</v>
      </c>
      <c r="H4573" s="75">
        <f>'THAM_SO_MOI'!$D$53</f>
        <v>1.1</v>
      </c>
      <c r="I4573" s="75">
        <f>IF(F4573&gt;='THAM_SO_MOI'!$C$14,'THAM_SO_MOI'!$C$13*(1+F4573^2/1500),'THAM_SO_MOI'!$C$13)</f>
        <v>0.020725893970394</v>
      </c>
      <c r="J4573" s="75">
        <f>'THAM_SO_MOI'!$C$40*('THAM_SO_MOI'!$C$23*(E4573/'THAM_SO_MOI'!$C$22)+'THAM_SO_MOI'!$C$24*(E4573/'THAM_SO_MOI'!$C$22)^2-'THAM_SO_MOI'!$C$25*(E4573/'THAM_SO_MOI'!$C$22)^3)</f>
        <v>105.73778175536894</v>
      </c>
      <c r="K4573" s="75">
        <f>'THAM_SO_MOI'!$C$31*J4573/E4573</f>
        <v>428.36069965939055</v>
      </c>
      <c r="L4573" s="75">
        <f>K4573*'THAM_SO_MOI'!$C$53*'THAM_SO_MOI'!$C$17/'THAM_SO_MOI'!$C$26</f>
        <v>3756.725012174804</v>
      </c>
      <c r="M4573" s="75">
        <f>'THAM_SO_MOI'!$C$15*'THAM_SO_MOI'!$C$16*F4573^2</f>
        <v>1674.8239863402453</v>
      </c>
      <c r="N4573" s="75">
        <f>'THAM_SO_MOI'!$C$12*I4573</f>
        <v>1561.5054324446603</v>
      </c>
      <c r="O4573" s="75">
        <f>M4573+N4573</f>
        <v>3236.3294187849056</v>
      </c>
      <c r="P4573" s="75">
        <f>(MIN(L4573,'THAM_SO_MOI'!$C$41)-O4573)/('THAM_SO_MOI'!$C$11*H4573)</f>
        <v>0.06159985717209973</v>
      </c>
      <c r="Q4573" s="75">
        <f>IF(P4573&gt;0,1/P4573,NA())</f>
        <v>16.233803874027934</v>
      </c>
      <c r="R4573" s="75">
        <f>F4573-F4572</f>
        <v>0.0035868055555567935</v>
      </c>
      <c r="S4573" s="75">
        <f>0.5*(Q4572+Q4573)*R4573</f>
        <v>0.05818901721461201</v>
      </c>
      <c r="T4573" s="75">
        <f>0.5*(F4572*Q4572+F4573*Q4573)*R4573</f>
        <v>1.392291411515613</v>
      </c>
      <c r="U4573" s="76">
        <f>U4572+S4573</f>
        <v>83.73581008386397</v>
      </c>
      <c r="V4573" s="76">
        <f>V4572+T4573</f>
        <v>1438.8403515066911</v>
      </c>
    </row>
    <row r="4574" spans="1:22" ht="19" customHeight="1">
      <c r="A4574" s="68" t="s">
        <v>378</v>
      </c>
      <c r="B4574" s="74">
        <v>5</v>
      </c>
      <c r="C4574" s="68" t="s">
        <v>363</v>
      </c>
      <c r="D4574" s="68" t="s">
        <v>365</v>
      </c>
      <c r="E4574" s="75">
        <f>60*F4574*'THAM_SO_MOI'!$C$53/(2*PI()*'THAM_SO_MOI'!$C$26)</f>
        <v>2357.973868421052</v>
      </c>
      <c r="F4574" s="75">
        <f>'THAM_SO_MOI'!$C$14+('THAM_SO_MOI'!$C$37-'THAM_SO_MOI'!$C$14)*483/'THAM_SO_MOI'!$C$42</f>
        <v>23.93242708333333</v>
      </c>
      <c r="G4574" s="75">
        <f>3.6*F4574</f>
        <v>86.15673749999999</v>
      </c>
      <c r="H4574" s="75">
        <f>'THAM_SO_MOI'!$D$53</f>
        <v>1.1</v>
      </c>
      <c r="I4574" s="75">
        <f>IF(F4574&gt;='THAM_SO_MOI'!$C$14,'THAM_SO_MOI'!$C$13*(1+F4574^2/1500),'THAM_SO_MOI'!$C$13)</f>
        <v>0.020727610660990665</v>
      </c>
      <c r="J4574" s="75">
        <f>'THAM_SO_MOI'!$C$40*('THAM_SO_MOI'!$C$23*(E4574/'THAM_SO_MOI'!$C$22)+'THAM_SO_MOI'!$C$24*(E4574/'THAM_SO_MOI'!$C$22)^2-'THAM_SO_MOI'!$C$25*(E4574/'THAM_SO_MOI'!$C$22)^3)</f>
        <v>105.75201352420818</v>
      </c>
      <c r="K4574" s="75">
        <f>'THAM_SO_MOI'!$C$31*J4574/E4574</f>
        <v>428.35414683338854</v>
      </c>
      <c r="L4574" s="75">
        <f>K4574*'THAM_SO_MOI'!$C$53*'THAM_SO_MOI'!$C$17/'THAM_SO_MOI'!$C$26</f>
        <v>3756.6675438651255</v>
      </c>
      <c r="M4574" s="75">
        <f>'THAM_SO_MOI'!$C$15*'THAM_SO_MOI'!$C$16*F4574^2</f>
        <v>1675.3261183397703</v>
      </c>
      <c r="N4574" s="75">
        <f>'THAM_SO_MOI'!$C$12*I4574</f>
        <v>1561.6347692875656</v>
      </c>
      <c r="O4574" s="75">
        <f>M4574+N4574</f>
        <v>3236.960887627336</v>
      </c>
      <c r="P4574" s="75">
        <f>(MIN(L4574,'THAM_SO_MOI'!$C$41)-O4574)/('THAM_SO_MOI'!$C$11*H4574)</f>
        <v>0.06151830684632925</v>
      </c>
      <c r="Q4574" s="75">
        <f>IF(P4574&gt;0,1/P4574,NA())</f>
        <v>16.255323842022634</v>
      </c>
      <c r="R4574" s="75">
        <f>F4574-F4573</f>
        <v>0.0035868055555532408</v>
      </c>
      <c r="S4574" s="75">
        <f>0.5*(Q4573+Q4574)*R4574</f>
        <v>0.05826609189350448</v>
      </c>
      <c r="T4574" s="75">
        <f>0.5*(F4573*Q4573+F4574*Q4574)*R4574</f>
        <v>1.3943445703155766</v>
      </c>
      <c r="U4574" s="76">
        <f>U4573+S4574</f>
        <v>83.79407617575747</v>
      </c>
      <c r="V4574" s="76">
        <f>V4573+T4574</f>
        <v>1440.2346960770067</v>
      </c>
    </row>
    <row r="4575" spans="1:22" ht="19" customHeight="1">
      <c r="A4575" s="68" t="s">
        <v>378</v>
      </c>
      <c r="B4575" s="74">
        <v>5</v>
      </c>
      <c r="C4575" s="68" t="s">
        <v>363</v>
      </c>
      <c r="D4575" s="68" t="s">
        <v>365</v>
      </c>
      <c r="E4575" s="75">
        <f>60*F4575*'THAM_SO_MOI'!$C$53/(2*PI()*'THAM_SO_MOI'!$C$26)</f>
        <v>2358.327263157894</v>
      </c>
      <c r="F4575" s="75">
        <f>'THAM_SO_MOI'!$C$14+('THAM_SO_MOI'!$C$37-'THAM_SO_MOI'!$C$14)*484/'THAM_SO_MOI'!$C$42</f>
        <v>23.936013888888887</v>
      </c>
      <c r="G4575" s="75">
        <f>3.6*F4575</f>
        <v>86.16964999999999</v>
      </c>
      <c r="H4575" s="75">
        <f>'THAM_SO_MOI'!$D$53</f>
        <v>1.1</v>
      </c>
      <c r="I4575" s="75">
        <f>IF(F4575&gt;='THAM_SO_MOI'!$C$14,'THAM_SO_MOI'!$C$13*(1+F4575^2/1500),'THAM_SO_MOI'!$C$13)</f>
        <v>0.020729327608890815</v>
      </c>
      <c r="J4575" s="75">
        <f>'THAM_SO_MOI'!$C$40*('THAM_SO_MOI'!$C$23*(E4575/'THAM_SO_MOI'!$C$22)+'THAM_SO_MOI'!$C$24*(E4575/'THAM_SO_MOI'!$C$22)^2-'THAM_SO_MOI'!$C$25*(E4575/'THAM_SO_MOI'!$C$22)^3)</f>
        <v>105.76624181649183</v>
      </c>
      <c r="K4575" s="75">
        <f>'THAM_SO_MOI'!$C$31*J4575/E4575</f>
        <v>428.3475818914023</v>
      </c>
      <c r="L4575" s="75">
        <f>K4575*'THAM_SO_MOI'!$C$53*'THAM_SO_MOI'!$C$17/'THAM_SO_MOI'!$C$26</f>
        <v>3756.609969298218</v>
      </c>
      <c r="M4575" s="75">
        <f>'THAM_SO_MOI'!$C$15*'THAM_SO_MOI'!$C$16*F4575^2</f>
        <v>1675.828325600564</v>
      </c>
      <c r="N4575" s="75">
        <f>'THAM_SO_MOI'!$C$12*I4575</f>
        <v>1561.7641255159213</v>
      </c>
      <c r="O4575" s="75">
        <f>M4575+N4575</f>
        <v>3237.5924511164853</v>
      </c>
      <c r="P4575" s="75">
        <f>(MIN(L4575,'THAM_SO_MOI'!$C$41)-O4575)/('THAM_SO_MOI'!$C$11*H4575)</f>
        <v>0.061436732739314916</v>
      </c>
      <c r="Q4575" s="75">
        <f>IF(P4575&gt;0,1/P4575,NA())</f>
        <v>16.27690724119635</v>
      </c>
      <c r="R4575" s="75">
        <f>F4575-F4574</f>
        <v>0.0035868055555567935</v>
      </c>
      <c r="S4575" s="75">
        <f>0.5*(Q4574+Q4575)*R4575</f>
        <v>0.05834339359197364</v>
      </c>
      <c r="T4575" s="75">
        <f>0.5*(F4574*Q4574+F4575*Q4575)*R4575</f>
        <v>1.3964037155568056</v>
      </c>
      <c r="U4575" s="76">
        <f>U4574+S4575</f>
        <v>83.85241956934944</v>
      </c>
      <c r="V4575" s="76">
        <f>V4574+T4575</f>
        <v>1441.6310997925634</v>
      </c>
    </row>
    <row r="4576" spans="1:22" ht="19" customHeight="1">
      <c r="A4576" s="68" t="s">
        <v>378</v>
      </c>
      <c r="B4576" s="74">
        <v>5</v>
      </c>
      <c r="C4576" s="68" t="s">
        <v>363</v>
      </c>
      <c r="D4576" s="68" t="s">
        <v>365</v>
      </c>
      <c r="E4576" s="75">
        <f>60*F4576*'THAM_SO_MOI'!$C$53/(2*PI()*'THAM_SO_MOI'!$C$26)</f>
        <v>2358.680657894736</v>
      </c>
      <c r="F4576" s="75">
        <f>'THAM_SO_MOI'!$C$14+('THAM_SO_MOI'!$C$37-'THAM_SO_MOI'!$C$14)*485/'THAM_SO_MOI'!$C$42</f>
        <v>23.939600694444444</v>
      </c>
      <c r="G4576" s="75">
        <f>3.6*F4576</f>
        <v>86.1825625</v>
      </c>
      <c r="H4576" s="75">
        <f>'THAM_SO_MOI'!$D$53</f>
        <v>1.1</v>
      </c>
      <c r="I4576" s="75">
        <f>IF(F4576&gt;='THAM_SO_MOI'!$C$14,'THAM_SO_MOI'!$C$13*(1+F4576^2/1500),'THAM_SO_MOI'!$C$13)</f>
        <v>0.02073104481409445</v>
      </c>
      <c r="J4576" s="75">
        <f>'THAM_SO_MOI'!$C$40*('THAM_SO_MOI'!$C$23*(E4576/'THAM_SO_MOI'!$C$22)+'THAM_SO_MOI'!$C$24*(E4576/'THAM_SO_MOI'!$C$22)^2-'THAM_SO_MOI'!$C$25*(E4576/'THAM_SO_MOI'!$C$22)^3)</f>
        <v>105.78046663087498</v>
      </c>
      <c r="K4576" s="75">
        <f>'THAM_SO_MOI'!$C$31*J4576/E4576</f>
        <v>428.3410048334316</v>
      </c>
      <c r="L4576" s="75">
        <f>K4576*'THAM_SO_MOI'!$C$53*'THAM_SO_MOI'!$C$17/'THAM_SO_MOI'!$C$26</f>
        <v>3756.552288474079</v>
      </c>
      <c r="M4576" s="75">
        <f>'THAM_SO_MOI'!$C$15*'THAM_SO_MOI'!$C$16*F4576^2</f>
        <v>1676.3306081226265</v>
      </c>
      <c r="N4576" s="75">
        <f>'THAM_SO_MOI'!$C$12*I4576</f>
        <v>1561.8935011297272</v>
      </c>
      <c r="O4576" s="75">
        <f>M4576+N4576</f>
        <v>3238.2241092523536</v>
      </c>
      <c r="P4576" s="75">
        <f>(MIN(L4576,'THAM_SO_MOI'!$C$41)-O4576)/('THAM_SO_MOI'!$C$11*H4576)</f>
        <v>0.0613551348510565</v>
      </c>
      <c r="Q4576" s="75">
        <f>IF(P4576&gt;0,1/P4576,NA())</f>
        <v>16.298554349649198</v>
      </c>
      <c r="R4576" s="75">
        <f>F4576-F4575</f>
        <v>0.0035868055555567935</v>
      </c>
      <c r="S4576" s="75">
        <f>0.5*(Q4575+Q4576)*R4576</f>
        <v>0.05842092330443588</v>
      </c>
      <c r="T4576" s="75">
        <f>0.5*(F4575*Q4575+F4576*Q4576)*R4576</f>
        <v>1.398468873486279</v>
      </c>
      <c r="U4576" s="76">
        <f>U4575+S4576</f>
        <v>83.91084049265388</v>
      </c>
      <c r="V4576" s="76">
        <f>V4575+T4576</f>
        <v>1443.0295686660497</v>
      </c>
    </row>
    <row r="4577" spans="1:22" ht="19" customHeight="1">
      <c r="A4577" s="68" t="s">
        <v>378</v>
      </c>
      <c r="B4577" s="74">
        <v>5</v>
      </c>
      <c r="C4577" s="68" t="s">
        <v>363</v>
      </c>
      <c r="D4577" s="68" t="s">
        <v>365</v>
      </c>
      <c r="E4577" s="75">
        <f>60*F4577*'THAM_SO_MOI'!$C$53/(2*PI()*'THAM_SO_MOI'!$C$26)</f>
        <v>2359.034052631578</v>
      </c>
      <c r="F4577" s="75">
        <f>'THAM_SO_MOI'!$C$14+('THAM_SO_MOI'!$C$37-'THAM_SO_MOI'!$C$14)*486/'THAM_SO_MOI'!$C$42</f>
        <v>23.9431875</v>
      </c>
      <c r="G4577" s="75">
        <f>3.6*F4577</f>
        <v>86.195475</v>
      </c>
      <c r="H4577" s="75">
        <f>'THAM_SO_MOI'!$D$53</f>
        <v>1.1</v>
      </c>
      <c r="I4577" s="75">
        <f>IF(F4577&gt;='THAM_SO_MOI'!$C$14,'THAM_SO_MOI'!$C$13*(1+F4577^2/1500),'THAM_SO_MOI'!$C$13)</f>
        <v>0.02073276227660156</v>
      </c>
      <c r="J4577" s="75">
        <f>'THAM_SO_MOI'!$C$40*('THAM_SO_MOI'!$C$23*(E4577/'THAM_SO_MOI'!$C$22)+'THAM_SO_MOI'!$C$24*(E4577/'THAM_SO_MOI'!$C$22)^2-'THAM_SO_MOI'!$C$25*(E4577/'THAM_SO_MOI'!$C$22)^3)</f>
        <v>105.79468796601263</v>
      </c>
      <c r="K4577" s="75">
        <f>'THAM_SO_MOI'!$C$31*J4577/E4577</f>
        <v>428.3344156594762</v>
      </c>
      <c r="L4577" s="75">
        <f>K4577*'THAM_SO_MOI'!$C$53*'THAM_SO_MOI'!$C$17/'THAM_SO_MOI'!$C$26</f>
        <v>3756.4945013927063</v>
      </c>
      <c r="M4577" s="75">
        <f>'THAM_SO_MOI'!$C$15*'THAM_SO_MOI'!$C$16*F4577^2</f>
        <v>1676.832965905957</v>
      </c>
      <c r="N4577" s="75">
        <f>'THAM_SO_MOI'!$C$12*I4577</f>
        <v>1562.022896128983</v>
      </c>
      <c r="O4577" s="75">
        <f>M4577+N4577</f>
        <v>3238.85586203494</v>
      </c>
      <c r="P4577" s="75">
        <f>(MIN(L4577,'THAM_SO_MOI'!$C$41)-O4577)/('THAM_SO_MOI'!$C$11*H4577)</f>
        <v>0.06127351318155375</v>
      </c>
      <c r="Q4577" s="75">
        <f>IF(P4577&gt;0,1/P4577,NA())</f>
        <v>16.320265447110803</v>
      </c>
      <c r="R4577" s="75">
        <f>F4577-F4576</f>
        <v>0.0035868055555567935</v>
      </c>
      <c r="S4577" s="75">
        <f>0.5*(Q4576+Q4577)*R4577</f>
        <v>0.058498682031362347</v>
      </c>
      <c r="T4577" s="75">
        <f>0.5*(F4576*Q4576+F4577*Q4577)*R4577</f>
        <v>1.4005400705102002</v>
      </c>
      <c r="U4577" s="76">
        <f>U4576+S4577</f>
        <v>83.96933917468523</v>
      </c>
      <c r="V4577" s="76">
        <f>V4576+T4577</f>
        <v>1444.43010873656</v>
      </c>
    </row>
    <row r="4578" spans="1:22" ht="19" customHeight="1">
      <c r="A4578" s="68" t="s">
        <v>378</v>
      </c>
      <c r="B4578" s="74">
        <v>5</v>
      </c>
      <c r="C4578" s="68" t="s">
        <v>363</v>
      </c>
      <c r="D4578" s="68" t="s">
        <v>365</v>
      </c>
      <c r="E4578" s="75">
        <f>60*F4578*'THAM_SO_MOI'!$C$53/(2*PI()*'THAM_SO_MOI'!$C$26)</f>
        <v>2359.3874473684205</v>
      </c>
      <c r="F4578" s="75">
        <f>'THAM_SO_MOI'!$C$14+('THAM_SO_MOI'!$C$37-'THAM_SO_MOI'!$C$14)*487/'THAM_SO_MOI'!$C$42</f>
        <v>23.946774305555554</v>
      </c>
      <c r="G4578" s="75">
        <f>3.6*F4578</f>
        <v>86.2083875</v>
      </c>
      <c r="H4578" s="75">
        <f>'THAM_SO_MOI'!$D$53</f>
        <v>1.1</v>
      </c>
      <c r="I4578" s="75">
        <f>IF(F4578&gt;='THAM_SO_MOI'!$C$14,'THAM_SO_MOI'!$C$13*(1+F4578^2/1500),'THAM_SO_MOI'!$C$13)</f>
        <v>0.020734479996412158</v>
      </c>
      <c r="J4578" s="75">
        <f>'THAM_SO_MOI'!$C$40*('THAM_SO_MOI'!$C$23*(E4578/'THAM_SO_MOI'!$C$22)+'THAM_SO_MOI'!$C$24*(E4578/'THAM_SO_MOI'!$C$22)^2-'THAM_SO_MOI'!$C$25*(E4578/'THAM_SO_MOI'!$C$22)^3)</f>
        <v>105.80890582056004</v>
      </c>
      <c r="K4578" s="75">
        <f>'THAM_SO_MOI'!$C$31*J4578/E4578</f>
        <v>428.32781436953655</v>
      </c>
      <c r="L4578" s="75">
        <f>K4578*'THAM_SO_MOI'!$C$53*'THAM_SO_MOI'!$C$17/'THAM_SO_MOI'!$C$26</f>
        <v>3756.4366080541054</v>
      </c>
      <c r="M4578" s="75">
        <f>'THAM_SO_MOI'!$C$15*'THAM_SO_MOI'!$C$16*F4578^2</f>
        <v>1677.335398950556</v>
      </c>
      <c r="N4578" s="75">
        <f>'THAM_SO_MOI'!$C$12*I4578</f>
        <v>1562.1523105136891</v>
      </c>
      <c r="O4578" s="75">
        <f>M4578+N4578</f>
        <v>3239.487709464245</v>
      </c>
      <c r="P4578" s="75">
        <f>(MIN(L4578,'THAM_SO_MOI'!$C$41)-O4578)/('THAM_SO_MOI'!$C$11*H4578)</f>
        <v>0.06119186773080729</v>
      </c>
      <c r="Q4578" s="75">
        <f>IF(P4578&gt;0,1/P4578,NA())</f>
        <v>16.34204081495205</v>
      </c>
      <c r="R4578" s="75">
        <f>F4578-F4577</f>
        <v>0.0035868055555532408</v>
      </c>
      <c r="S4578" s="75">
        <f>0.5*(Q4577+Q4578)*R4578</f>
        <v>0.05857667077897423</v>
      </c>
      <c r="T4578" s="75">
        <f>0.5*(F4577*Q4577+F4578*Q4578)*R4578</f>
        <v>1.4026173331868133</v>
      </c>
      <c r="U4578" s="76">
        <f>U4577+S4578</f>
        <v>84.02791584546421</v>
      </c>
      <c r="V4578" s="76">
        <f>V4577+T4578</f>
        <v>1445.8327260697467</v>
      </c>
    </row>
    <row r="4579" spans="1:22" ht="19" customHeight="1">
      <c r="A4579" s="68" t="s">
        <v>378</v>
      </c>
      <c r="B4579" s="74">
        <v>5</v>
      </c>
      <c r="C4579" s="68" t="s">
        <v>363</v>
      </c>
      <c r="D4579" s="68" t="s">
        <v>365</v>
      </c>
      <c r="E4579" s="75">
        <f>60*F4579*'THAM_SO_MOI'!$C$53/(2*PI()*'THAM_SO_MOI'!$C$26)</f>
        <v>2359.7408421052623</v>
      </c>
      <c r="F4579" s="75">
        <f>'THAM_SO_MOI'!$C$14+('THAM_SO_MOI'!$C$37-'THAM_SO_MOI'!$C$14)*488/'THAM_SO_MOI'!$C$42</f>
        <v>23.95036111111111</v>
      </c>
      <c r="G4579" s="75">
        <f>3.6*F4579</f>
        <v>86.2213</v>
      </c>
      <c r="H4579" s="75">
        <f>'THAM_SO_MOI'!$D$53</f>
        <v>1.1</v>
      </c>
      <c r="I4579" s="75">
        <f>IF(F4579&gt;='THAM_SO_MOI'!$C$14,'THAM_SO_MOI'!$C$13*(1+F4579^2/1500),'THAM_SO_MOI'!$C$13)</f>
        <v>0.020736197973526233</v>
      </c>
      <c r="J4579" s="75">
        <f>'THAM_SO_MOI'!$C$40*('THAM_SO_MOI'!$C$23*(E4579/'THAM_SO_MOI'!$C$22)+'THAM_SO_MOI'!$C$24*(E4579/'THAM_SO_MOI'!$C$22)^2-'THAM_SO_MOI'!$C$25*(E4579/'THAM_SO_MOI'!$C$22)^3)</f>
        <v>105.82312019317224</v>
      </c>
      <c r="K4579" s="75">
        <f>'THAM_SO_MOI'!$C$31*J4579/E4579</f>
        <v>428.32120096361245</v>
      </c>
      <c r="L4579" s="75">
        <f>K4579*'THAM_SO_MOI'!$C$53*'THAM_SO_MOI'!$C$17/'THAM_SO_MOI'!$C$26</f>
        <v>3756.378608458273</v>
      </c>
      <c r="M4579" s="75">
        <f>'THAM_SO_MOI'!$C$15*'THAM_SO_MOI'!$C$16*F4579^2</f>
        <v>1677.8379072564235</v>
      </c>
      <c r="N4579" s="75">
        <f>'THAM_SO_MOI'!$C$12*I4579</f>
        <v>1562.2817442838452</v>
      </c>
      <c r="O4579" s="75">
        <f>M4579+N4579</f>
        <v>3240.119651540269</v>
      </c>
      <c r="P4579" s="75">
        <f>(MIN(L4579,'THAM_SO_MOI'!$C$41)-O4579)/('THAM_SO_MOI'!$C$11*H4579)</f>
        <v>0.0611101984988168</v>
      </c>
      <c r="Q4579" s="75">
        <f>IF(P4579&gt;0,1/P4579,NA())</f>
        <v>16.363880736197604</v>
      </c>
      <c r="R4579" s="75">
        <f>F4579-F4578</f>
        <v>0.0035868055555567935</v>
      </c>
      <c r="S4579" s="75">
        <f>0.5*(Q4578+Q4579)*R4579</f>
        <v>0.058654890559634125</v>
      </c>
      <c r="T4579" s="75">
        <f>0.5*(F4578*Q4578+F4579*Q4579)*R4579</f>
        <v>1.4047006882358766</v>
      </c>
      <c r="U4579" s="76">
        <f>U4578+S4579</f>
        <v>84.08657073602384</v>
      </c>
      <c r="V4579" s="76">
        <f>V4578+T4579</f>
        <v>1447.2374267579826</v>
      </c>
    </row>
    <row r="4580" spans="1:22" ht="19" customHeight="1">
      <c r="A4580" s="68" t="s">
        <v>378</v>
      </c>
      <c r="B4580" s="74">
        <v>5</v>
      </c>
      <c r="C4580" s="68" t="s">
        <v>363</v>
      </c>
      <c r="D4580" s="68" t="s">
        <v>365</v>
      </c>
      <c r="E4580" s="75">
        <f>60*F4580*'THAM_SO_MOI'!$C$53/(2*PI()*'THAM_SO_MOI'!$C$26)</f>
        <v>2360.0942368421047</v>
      </c>
      <c r="F4580" s="75">
        <f>'THAM_SO_MOI'!$C$14+('THAM_SO_MOI'!$C$37-'THAM_SO_MOI'!$C$14)*489/'THAM_SO_MOI'!$C$42</f>
        <v>23.953947916666664</v>
      </c>
      <c r="G4580" s="75">
        <f>3.6*F4580</f>
        <v>86.2342125</v>
      </c>
      <c r="H4580" s="75">
        <f>'THAM_SO_MOI'!$D$53</f>
        <v>1.1</v>
      </c>
      <c r="I4580" s="75">
        <f>IF(F4580&gt;='THAM_SO_MOI'!$C$14,'THAM_SO_MOI'!$C$13*(1+F4580^2/1500),'THAM_SO_MOI'!$C$13)</f>
        <v>0.020737916207943793</v>
      </c>
      <c r="J4580" s="75">
        <f>'THAM_SO_MOI'!$C$40*('THAM_SO_MOI'!$C$23*(E4580/'THAM_SO_MOI'!$C$22)+'THAM_SO_MOI'!$C$24*(E4580/'THAM_SO_MOI'!$C$22)^2-'THAM_SO_MOI'!$C$25*(E4580/'THAM_SO_MOI'!$C$22)^3)</f>
        <v>105.83733108250436</v>
      </c>
      <c r="K4580" s="75">
        <f>'THAM_SO_MOI'!$C$31*J4580/E4580</f>
        <v>428.3145754417039</v>
      </c>
      <c r="L4580" s="75">
        <f>K4580*'THAM_SO_MOI'!$C$53*'THAM_SO_MOI'!$C$17/'THAM_SO_MOI'!$C$26</f>
        <v>3756.3205026052096</v>
      </c>
      <c r="M4580" s="75">
        <f>'THAM_SO_MOI'!$C$15*'THAM_SO_MOI'!$C$16*F4580^2</f>
        <v>1678.3404908235593</v>
      </c>
      <c r="N4580" s="75">
        <f>'THAM_SO_MOI'!$C$12*I4580</f>
        <v>1562.4111974394518</v>
      </c>
      <c r="O4580" s="75">
        <f>M4580+N4580</f>
        <v>3240.751688263011</v>
      </c>
      <c r="P4580" s="75">
        <f>(MIN(L4580,'THAM_SO_MOI'!$C$41)-O4580)/('THAM_SO_MOI'!$C$11*H4580)</f>
        <v>0.06102850548558221</v>
      </c>
      <c r="Q4580" s="75">
        <f>IF(P4580&gt;0,1/P4580,NA())</f>
        <v>16.385785495537768</v>
      </c>
      <c r="R4580" s="75">
        <f>F4580-F4579</f>
        <v>0.0035868055555532408</v>
      </c>
      <c r="S4580" s="75">
        <f>0.5*(Q4579+Q4580)*R4580</f>
        <v>0.05873334239125141</v>
      </c>
      <c r="T4580" s="75">
        <f>0.5*(F4579*Q4579+F4580*Q4580)*R4580</f>
        <v>1.4067901625245294</v>
      </c>
      <c r="U4580" s="76">
        <f>U4579+S4580</f>
        <v>84.1453040784151</v>
      </c>
      <c r="V4580" s="76">
        <f>V4579+T4580</f>
        <v>1448.644216920507</v>
      </c>
    </row>
    <row r="4581" spans="1:22" ht="19" customHeight="1">
      <c r="A4581" s="68" t="s">
        <v>378</v>
      </c>
      <c r="B4581" s="74">
        <v>5</v>
      </c>
      <c r="C4581" s="68" t="s">
        <v>363</v>
      </c>
      <c r="D4581" s="68" t="s">
        <v>365</v>
      </c>
      <c r="E4581" s="75">
        <f>60*F4581*'THAM_SO_MOI'!$C$53/(2*PI()*'THAM_SO_MOI'!$C$26)</f>
        <v>2360.4476315789466</v>
      </c>
      <c r="F4581" s="75">
        <f>'THAM_SO_MOI'!$C$14+('THAM_SO_MOI'!$C$37-'THAM_SO_MOI'!$C$14)*490/'THAM_SO_MOI'!$C$42</f>
        <v>23.95753472222222</v>
      </c>
      <c r="G4581" s="75">
        <f>3.6*F4581</f>
        <v>86.247125</v>
      </c>
      <c r="H4581" s="75">
        <f>'THAM_SO_MOI'!$D$53</f>
        <v>1.1</v>
      </c>
      <c r="I4581" s="75">
        <f>IF(F4581&gt;='THAM_SO_MOI'!$C$14,'THAM_SO_MOI'!$C$13*(1+F4581^2/1500),'THAM_SO_MOI'!$C$13)</f>
        <v>0.020739634699664833</v>
      </c>
      <c r="J4581" s="75">
        <f>'THAM_SO_MOI'!$C$40*('THAM_SO_MOI'!$C$23*(E4581/'THAM_SO_MOI'!$C$22)+'THAM_SO_MOI'!$C$24*(E4581/'THAM_SO_MOI'!$C$22)^2-'THAM_SO_MOI'!$C$25*(E4581/'THAM_SO_MOI'!$C$22)^3)</f>
        <v>105.85153848721151</v>
      </c>
      <c r="K4581" s="75">
        <f>'THAM_SO_MOI'!$C$31*J4581/E4581</f>
        <v>428.3079378038109</v>
      </c>
      <c r="L4581" s="75">
        <f>K4581*'THAM_SO_MOI'!$C$53*'THAM_SO_MOI'!$C$17/'THAM_SO_MOI'!$C$26</f>
        <v>3756.262290494915</v>
      </c>
      <c r="M4581" s="75">
        <f>'THAM_SO_MOI'!$C$15*'THAM_SO_MOI'!$C$16*F4581^2</f>
        <v>1678.843149651964</v>
      </c>
      <c r="N4581" s="75">
        <f>'THAM_SO_MOI'!$C$12*I4581</f>
        <v>1562.5406699805083</v>
      </c>
      <c r="O4581" s="75">
        <f>M4581+N4581</f>
        <v>3241.3838196324723</v>
      </c>
      <c r="P4581" s="75">
        <f>(MIN(L4581,'THAM_SO_MOI'!$C$41)-O4581)/('THAM_SO_MOI'!$C$11*H4581)</f>
        <v>0.060946788691103496</v>
      </c>
      <c r="Q4581" s="75">
        <f>IF(P4581&gt;0,1/P4581,NA())</f>
        <v>16.40775537934079</v>
      </c>
      <c r="R4581" s="75">
        <f>F4581-F4580</f>
        <v>0.0035868055555567935</v>
      </c>
      <c r="S4581" s="75">
        <f>0.5*(Q4580+Q4581)*R4581</f>
        <v>0.0588120272981966</v>
      </c>
      <c r="T4581" s="75">
        <f>0.5*(F4580*Q4580+F4581*Q4581)*R4581</f>
        <v>1.4088857830892978</v>
      </c>
      <c r="U4581" s="76">
        <f>U4580+S4581</f>
        <v>84.2041161057133</v>
      </c>
      <c r="V4581" s="76">
        <f>V4580+T4581</f>
        <v>1450.0531027035963</v>
      </c>
    </row>
    <row r="4582" spans="1:22" ht="19" customHeight="1">
      <c r="A4582" s="68" t="s">
        <v>378</v>
      </c>
      <c r="B4582" s="74">
        <v>5</v>
      </c>
      <c r="C4582" s="68" t="s">
        <v>363</v>
      </c>
      <c r="D4582" s="68" t="s">
        <v>365</v>
      </c>
      <c r="E4582" s="75">
        <f>60*F4582*'THAM_SO_MOI'!$C$53/(2*PI()*'THAM_SO_MOI'!$C$26)</f>
        <v>2360.801026315789</v>
      </c>
      <c r="F4582" s="75">
        <f>'THAM_SO_MOI'!$C$14+('THAM_SO_MOI'!$C$37-'THAM_SO_MOI'!$C$14)*491/'THAM_SO_MOI'!$C$42</f>
        <v>23.961121527777777</v>
      </c>
      <c r="G4582" s="75">
        <f>3.6*F4582</f>
        <v>86.2600375</v>
      </c>
      <c r="H4582" s="75">
        <f>'THAM_SO_MOI'!$D$53</f>
        <v>1.1</v>
      </c>
      <c r="I4582" s="75">
        <f>IF(F4582&gt;='THAM_SO_MOI'!$C$14,'THAM_SO_MOI'!$C$13*(1+F4582^2/1500),'THAM_SO_MOI'!$C$13)</f>
        <v>0.020741353448689357</v>
      </c>
      <c r="J4582" s="75">
        <f>'THAM_SO_MOI'!$C$40*('THAM_SO_MOI'!$C$23*(E4582/'THAM_SO_MOI'!$C$22)+'THAM_SO_MOI'!$C$24*(E4582/'THAM_SO_MOI'!$C$22)^2-'THAM_SO_MOI'!$C$25*(E4582/'THAM_SO_MOI'!$C$22)^3)</f>
        <v>105.86574240594875</v>
      </c>
      <c r="K4582" s="75">
        <f>'THAM_SO_MOI'!$C$31*J4582/E4582</f>
        <v>428.30128804993325</v>
      </c>
      <c r="L4582" s="75">
        <f>K4582*'THAM_SO_MOI'!$C$53*'THAM_SO_MOI'!$C$17/'THAM_SO_MOI'!$C$26</f>
        <v>3756.2039721273877</v>
      </c>
      <c r="M4582" s="75">
        <f>'THAM_SO_MOI'!$C$15*'THAM_SO_MOI'!$C$16*F4582^2</f>
        <v>1679.345883741637</v>
      </c>
      <c r="N4582" s="75">
        <f>'THAM_SO_MOI'!$C$12*I4582</f>
        <v>1562.6701619070152</v>
      </c>
      <c r="O4582" s="75">
        <f>M4582+N4582</f>
        <v>3242.016045648652</v>
      </c>
      <c r="P4582" s="75">
        <f>(MIN(L4582,'THAM_SO_MOI'!$C$41)-O4582)/('THAM_SO_MOI'!$C$11*H4582)</f>
        <v>0.06086504811538063</v>
      </c>
      <c r="Q4582" s="75">
        <f>IF(P4582&gt;0,1/P4582,NA())</f>
        <v>16.42979067566529</v>
      </c>
      <c r="R4582" s="75">
        <f>F4582-F4581</f>
        <v>0.0035868055555567935</v>
      </c>
      <c r="S4582" s="75">
        <f>0.5*(Q4581+Q4582)*R4582</f>
        <v>0.05889094631047395</v>
      </c>
      <c r="T4582" s="75">
        <f>0.5*(F4581*Q4581+F4582*Q4582)*R4582</f>
        <v>1.410987577116384</v>
      </c>
      <c r="U4582" s="76">
        <f>U4581+S4582</f>
        <v>84.26300705202377</v>
      </c>
      <c r="V4582" s="76">
        <f>V4581+T4582</f>
        <v>1451.4640902807128</v>
      </c>
    </row>
    <row r="4583" spans="1:22" ht="19" customHeight="1">
      <c r="A4583" s="68" t="s">
        <v>378</v>
      </c>
      <c r="B4583" s="74">
        <v>5</v>
      </c>
      <c r="C4583" s="68" t="s">
        <v>363</v>
      </c>
      <c r="D4583" s="68" t="s">
        <v>365</v>
      </c>
      <c r="E4583" s="75">
        <f>60*F4583*'THAM_SO_MOI'!$C$53/(2*PI()*'THAM_SO_MOI'!$C$26)</f>
        <v>2361.154421052631</v>
      </c>
      <c r="F4583" s="75">
        <f>'THAM_SO_MOI'!$C$14+('THAM_SO_MOI'!$C$37-'THAM_SO_MOI'!$C$14)*492/'THAM_SO_MOI'!$C$42</f>
        <v>23.96470833333333</v>
      </c>
      <c r="G4583" s="75">
        <f>3.6*F4583</f>
        <v>86.27295</v>
      </c>
      <c r="H4583" s="75">
        <f>'THAM_SO_MOI'!$D$53</f>
        <v>1.1</v>
      </c>
      <c r="I4583" s="75">
        <f>IF(F4583&gt;='THAM_SO_MOI'!$C$14,'THAM_SO_MOI'!$C$13*(1+F4583^2/1500),'THAM_SO_MOI'!$C$13)</f>
        <v>0.02074307245501736</v>
      </c>
      <c r="J4583" s="75">
        <f>'THAM_SO_MOI'!$C$40*('THAM_SO_MOI'!$C$23*(E4583/'THAM_SO_MOI'!$C$22)+'THAM_SO_MOI'!$C$24*(E4583/'THAM_SO_MOI'!$C$22)^2-'THAM_SO_MOI'!$C$25*(E4583/'THAM_SO_MOI'!$C$22)^3)</f>
        <v>105.87994283737123</v>
      </c>
      <c r="K4583" s="75">
        <f>'THAM_SO_MOI'!$C$31*J4583/E4583</f>
        <v>428.2946261800712</v>
      </c>
      <c r="L4583" s="75">
        <f>K4583*'THAM_SO_MOI'!$C$53*'THAM_SO_MOI'!$C$17/'THAM_SO_MOI'!$C$26</f>
        <v>3756.14554750263</v>
      </c>
      <c r="M4583" s="75">
        <f>'THAM_SO_MOI'!$C$15*'THAM_SO_MOI'!$C$16*F4583^2</f>
        <v>1679.848693092578</v>
      </c>
      <c r="N4583" s="75">
        <f>'THAM_SO_MOI'!$C$12*I4583</f>
        <v>1562.7996732189717</v>
      </c>
      <c r="O4583" s="75">
        <f>M4583+N4583</f>
        <v>3242.6483663115496</v>
      </c>
      <c r="P4583" s="75">
        <f>(MIN(L4583,'THAM_SO_MOI'!$C$41)-O4583)/('THAM_SO_MOI'!$C$11*H4583)</f>
        <v>0.06078328375841388</v>
      </c>
      <c r="Q4583" s="75">
        <f>IF(P4583&gt;0,1/P4583,NA())</f>
        <v>16.451891674272627</v>
      </c>
      <c r="R4583" s="75">
        <f>F4583-F4582</f>
        <v>0.0035868055555532408</v>
      </c>
      <c r="S4583" s="75">
        <f>0.5*(Q4582+Q4583)*R4583</f>
        <v>0.058970100464347135</v>
      </c>
      <c r="T4583" s="75">
        <f>0.5*(F4582*Q4582+F4583*Q4583)*R4583</f>
        <v>1.4130955719567635</v>
      </c>
      <c r="U4583" s="76">
        <f>U4582+S4583</f>
        <v>84.32197715248812</v>
      </c>
      <c r="V4583" s="76">
        <f>V4582+T4583</f>
        <v>1452.8771858526695</v>
      </c>
    </row>
    <row r="4584" spans="1:22" ht="19" customHeight="1">
      <c r="A4584" s="68" t="s">
        <v>378</v>
      </c>
      <c r="B4584" s="74">
        <v>5</v>
      </c>
      <c r="C4584" s="68" t="s">
        <v>363</v>
      </c>
      <c r="D4584" s="68" t="s">
        <v>365</v>
      </c>
      <c r="E4584" s="75">
        <f>60*F4584*'THAM_SO_MOI'!$C$53/(2*PI()*'THAM_SO_MOI'!$C$26)</f>
        <v>2361.5078157894727</v>
      </c>
      <c r="F4584" s="75">
        <f>'THAM_SO_MOI'!$C$14+('THAM_SO_MOI'!$C$37-'THAM_SO_MOI'!$C$14)*493/'THAM_SO_MOI'!$C$42</f>
        <v>23.968295138888887</v>
      </c>
      <c r="G4584" s="75">
        <f>3.6*F4584</f>
        <v>86.2858625</v>
      </c>
      <c r="H4584" s="75">
        <f>'THAM_SO_MOI'!$D$53</f>
        <v>1.1</v>
      </c>
      <c r="I4584" s="75">
        <f>IF(F4584&gt;='THAM_SO_MOI'!$C$14,'THAM_SO_MOI'!$C$13*(1+F4584^2/1500),'THAM_SO_MOI'!$C$13)</f>
        <v>0.020744791718648847</v>
      </c>
      <c r="J4584" s="75">
        <f>'THAM_SO_MOI'!$C$40*('THAM_SO_MOI'!$C$23*(E4584/'THAM_SO_MOI'!$C$22)+'THAM_SO_MOI'!$C$24*(E4584/'THAM_SO_MOI'!$C$22)^2-'THAM_SO_MOI'!$C$25*(E4584/'THAM_SO_MOI'!$C$22)^3)</f>
        <v>105.8941397801341</v>
      </c>
      <c r="K4584" s="75">
        <f>'THAM_SO_MOI'!$C$31*J4584/E4584</f>
        <v>428.28795219422483</v>
      </c>
      <c r="L4584" s="75">
        <f>K4584*'THAM_SO_MOI'!$C$53*'THAM_SO_MOI'!$C$17/'THAM_SO_MOI'!$C$26</f>
        <v>3756.0870166206423</v>
      </c>
      <c r="M4584" s="75">
        <f>'THAM_SO_MOI'!$C$15*'THAM_SO_MOI'!$C$16*F4584^2</f>
        <v>1680.3515777047878</v>
      </c>
      <c r="N4584" s="75">
        <f>'THAM_SO_MOI'!$C$12*I4584</f>
        <v>1562.929203916379</v>
      </c>
      <c r="O4584" s="75">
        <f>M4584+N4584</f>
        <v>3243.280781621167</v>
      </c>
      <c r="P4584" s="75">
        <f>(MIN(L4584,'THAM_SO_MOI'!$C$41)-O4584)/('THAM_SO_MOI'!$C$11*H4584)</f>
        <v>0.060701495620203064</v>
      </c>
      <c r="Q4584" s="75">
        <f>IF(P4584&gt;0,1/P4584,NA())</f>
        <v>16.47405866663973</v>
      </c>
      <c r="R4584" s="75">
        <f>F4584-F4583</f>
        <v>0.0035868055555567935</v>
      </c>
      <c r="S4584" s="75">
        <f>0.5*(Q4583+Q4584)*R4584</f>
        <v>0.05904949080238577</v>
      </c>
      <c r="T4584" s="75">
        <f>0.5*(F4583*Q4583+F4584*Q4584)*R4584</f>
        <v>1.4152097951274096</v>
      </c>
      <c r="U4584" s="76">
        <f>U4583+S4584</f>
        <v>84.3810266432905</v>
      </c>
      <c r="V4584" s="76">
        <f>V4583+T4584</f>
        <v>1454.2923956477969</v>
      </c>
    </row>
    <row r="4585" spans="1:22" ht="19" customHeight="1">
      <c r="A4585" s="68" t="s">
        <v>378</v>
      </c>
      <c r="B4585" s="74">
        <v>5</v>
      </c>
      <c r="C4585" s="68" t="s">
        <v>363</v>
      </c>
      <c r="D4585" s="68" t="s">
        <v>365</v>
      </c>
      <c r="E4585" s="75">
        <f>60*F4585*'THAM_SO_MOI'!$C$53/(2*PI()*'THAM_SO_MOI'!$C$26)</f>
        <v>2361.8612105263155</v>
      </c>
      <c r="F4585" s="75">
        <f>'THAM_SO_MOI'!$C$14+('THAM_SO_MOI'!$C$37-'THAM_SO_MOI'!$C$14)*494/'THAM_SO_MOI'!$C$42</f>
        <v>23.971881944444444</v>
      </c>
      <c r="G4585" s="75">
        <f>3.6*F4585</f>
        <v>86.298775</v>
      </c>
      <c r="H4585" s="75">
        <f>'THAM_SO_MOI'!$D$53</f>
        <v>1.1</v>
      </c>
      <c r="I4585" s="75">
        <f>IF(F4585&gt;='THAM_SO_MOI'!$C$14,'THAM_SO_MOI'!$C$13*(1+F4585^2/1500),'THAM_SO_MOI'!$C$13)</f>
        <v>0.020746511239583813</v>
      </c>
      <c r="J4585" s="75">
        <f>'THAM_SO_MOI'!$C$40*('THAM_SO_MOI'!$C$23*(E4585/'THAM_SO_MOI'!$C$22)+'THAM_SO_MOI'!$C$24*(E4585/'THAM_SO_MOI'!$C$22)^2-'THAM_SO_MOI'!$C$25*(E4585/'THAM_SO_MOI'!$C$22)^3)</f>
        <v>105.90833323289249</v>
      </c>
      <c r="K4585" s="75">
        <f>'THAM_SO_MOI'!$C$31*J4585/E4585</f>
        <v>428.28126609239405</v>
      </c>
      <c r="L4585" s="75">
        <f>K4585*'THAM_SO_MOI'!$C$53*'THAM_SO_MOI'!$C$17/'THAM_SO_MOI'!$C$26</f>
        <v>3756.028379481424</v>
      </c>
      <c r="M4585" s="75">
        <f>'THAM_SO_MOI'!$C$15*'THAM_SO_MOI'!$C$16*F4585^2</f>
        <v>1680.8545375782662</v>
      </c>
      <c r="N4585" s="75">
        <f>'THAM_SO_MOI'!$C$12*I4585</f>
        <v>1563.0587539992362</v>
      </c>
      <c r="O4585" s="75">
        <f>M4585+N4585</f>
        <v>3243.9132915775026</v>
      </c>
      <c r="P4585" s="75">
        <f>(MIN(L4585,'THAM_SO_MOI'!$C$41)-O4585)/('THAM_SO_MOI'!$C$11*H4585)</f>
        <v>0.06061968370074833</v>
      </c>
      <c r="Q4585" s="75">
        <f>IF(P4585&gt;0,1/P4585,NA())</f>
        <v>16.496291945971592</v>
      </c>
      <c r="R4585" s="75">
        <f>F4585-F4584</f>
        <v>0.0035868055555567935</v>
      </c>
      <c r="S4585" s="75">
        <f>0.5*(Q4584+Q4585)*R4585</f>
        <v>0.05912911837298482</v>
      </c>
      <c r="T4585" s="75">
        <f>0.5*(F4584*Q4584+F4585*Q4585)*R4585</f>
        <v>1.4173302742998874</v>
      </c>
      <c r="U4585" s="76">
        <f>U4584+S4585</f>
        <v>84.44015576166348</v>
      </c>
      <c r="V4585" s="76">
        <f>V4584+T4585</f>
        <v>1455.7097259220968</v>
      </c>
    </row>
    <row r="4586" spans="1:22" ht="19" customHeight="1">
      <c r="A4586" s="68" t="s">
        <v>378</v>
      </c>
      <c r="B4586" s="74">
        <v>5</v>
      </c>
      <c r="C4586" s="68" t="s">
        <v>363</v>
      </c>
      <c r="D4586" s="68" t="s">
        <v>365</v>
      </c>
      <c r="E4586" s="75">
        <f>60*F4586*'THAM_SO_MOI'!$C$53/(2*PI()*'THAM_SO_MOI'!$C$26)</f>
        <v>2362.2146052631574</v>
      </c>
      <c r="F4586" s="75">
        <f>'THAM_SO_MOI'!$C$14+('THAM_SO_MOI'!$C$37-'THAM_SO_MOI'!$C$14)*495/'THAM_SO_MOI'!$C$42</f>
        <v>23.975468749999997</v>
      </c>
      <c r="G4586" s="75">
        <f>3.6*F4586</f>
        <v>86.31168749999999</v>
      </c>
      <c r="H4586" s="75">
        <f>'THAM_SO_MOI'!$D$53</f>
        <v>1.1</v>
      </c>
      <c r="I4586" s="75">
        <f>IF(F4586&gt;='THAM_SO_MOI'!$C$14,'THAM_SO_MOI'!$C$13*(1+F4586^2/1500),'THAM_SO_MOI'!$C$13)</f>
        <v>0.020748231017822263</v>
      </c>
      <c r="J4586" s="75">
        <f>'THAM_SO_MOI'!$C$40*('THAM_SO_MOI'!$C$23*(E4586/'THAM_SO_MOI'!$C$22)+'THAM_SO_MOI'!$C$24*(E4586/'THAM_SO_MOI'!$C$22)^2-'THAM_SO_MOI'!$C$25*(E4586/'THAM_SO_MOI'!$C$22)^3)</f>
        <v>105.92252319430136</v>
      </c>
      <c r="K4586" s="75">
        <f>'THAM_SO_MOI'!$C$31*J4586/E4586</f>
        <v>428.2745678745787</v>
      </c>
      <c r="L4586" s="75">
        <f>K4586*'THAM_SO_MOI'!$C$53*'THAM_SO_MOI'!$C$17/'THAM_SO_MOI'!$C$26</f>
        <v>3755.9696360849725</v>
      </c>
      <c r="M4586" s="75">
        <f>'THAM_SO_MOI'!$C$15*'THAM_SO_MOI'!$C$16*F4586^2</f>
        <v>1681.3575727130124</v>
      </c>
      <c r="N4586" s="75">
        <f>'THAM_SO_MOI'!$C$12*I4586</f>
        <v>1563.1883234675436</v>
      </c>
      <c r="O4586" s="75">
        <f>M4586+N4586</f>
        <v>3244.545896180556</v>
      </c>
      <c r="P4586" s="75">
        <f>(MIN(L4586,'THAM_SO_MOI'!$C$41)-O4586)/('THAM_SO_MOI'!$C$11*H4586)</f>
        <v>0.06053784800004931</v>
      </c>
      <c r="Q4586" s="75">
        <f>IF(P4586&gt;0,1/P4586,NA())</f>
        <v>16.518591807214314</v>
      </c>
      <c r="R4586" s="75">
        <f>F4586-F4585</f>
        <v>0.0035868055555532408</v>
      </c>
      <c r="S4586" s="75">
        <f>0.5*(Q4585+Q4586)*R4586</f>
        <v>0.05920898423093582</v>
      </c>
      <c r="T4586" s="75">
        <f>0.5*(F4585*Q4585+F4586*Q4586)*R4586</f>
        <v>1.4194570373141546</v>
      </c>
      <c r="U4586" s="76">
        <f>U4585+S4586</f>
        <v>84.49936474589441</v>
      </c>
      <c r="V4586" s="76">
        <f>V4585+T4586</f>
        <v>1457.129182959411</v>
      </c>
    </row>
    <row r="4587" spans="1:22" ht="19" customHeight="1">
      <c r="A4587" s="68" t="s">
        <v>378</v>
      </c>
      <c r="B4587" s="74">
        <v>5</v>
      </c>
      <c r="C4587" s="68" t="s">
        <v>363</v>
      </c>
      <c r="D4587" s="68" t="s">
        <v>365</v>
      </c>
      <c r="E4587" s="75">
        <f>60*F4587*'THAM_SO_MOI'!$C$53/(2*PI()*'THAM_SO_MOI'!$C$26)</f>
        <v>2362.5679999999998</v>
      </c>
      <c r="F4587" s="75">
        <f>'THAM_SO_MOI'!$C$14+('THAM_SO_MOI'!$C$37-'THAM_SO_MOI'!$C$14)*496/'THAM_SO_MOI'!$C$42</f>
        <v>23.979055555555554</v>
      </c>
      <c r="G4587" s="75">
        <f>3.6*F4587</f>
        <v>86.3246</v>
      </c>
      <c r="H4587" s="75">
        <f>'THAM_SO_MOI'!$D$53</f>
        <v>1.1</v>
      </c>
      <c r="I4587" s="75">
        <f>IF(F4587&gt;='THAM_SO_MOI'!$C$14,'THAM_SO_MOI'!$C$13*(1+F4587^2/1500),'THAM_SO_MOI'!$C$13)</f>
        <v>0.020749951053364194</v>
      </c>
      <c r="J4587" s="75">
        <f>'THAM_SO_MOI'!$C$40*('THAM_SO_MOI'!$C$23*(E4587/'THAM_SO_MOI'!$C$22)+'THAM_SO_MOI'!$C$24*(E4587/'THAM_SO_MOI'!$C$22)^2-'THAM_SO_MOI'!$C$25*(E4587/'THAM_SO_MOI'!$C$22)^3)</f>
        <v>105.93670966301596</v>
      </c>
      <c r="K4587" s="75">
        <f>'THAM_SO_MOI'!$C$31*J4587/E4587</f>
        <v>428.2678575407789</v>
      </c>
      <c r="L4587" s="75">
        <f>K4587*'THAM_SO_MOI'!$C$53*'THAM_SO_MOI'!$C$17/'THAM_SO_MOI'!$C$26</f>
        <v>3755.9107864312914</v>
      </c>
      <c r="M4587" s="75">
        <f>'THAM_SO_MOI'!$C$15*'THAM_SO_MOI'!$C$16*F4587^2</f>
        <v>1681.8606831090278</v>
      </c>
      <c r="N4587" s="75">
        <f>'THAM_SO_MOI'!$C$12*I4587</f>
        <v>1563.317912321301</v>
      </c>
      <c r="O4587" s="75">
        <f>M4587+N4587</f>
        <v>3245.1785954303286</v>
      </c>
      <c r="P4587" s="75">
        <f>(MIN(L4587,'THAM_SO_MOI'!$C$41)-O4587)/('THAM_SO_MOI'!$C$11*H4587)</f>
        <v>0.06045598851810636</v>
      </c>
      <c r="Q4587" s="75">
        <f>IF(P4587&gt;0,1/P4587,NA())</f>
        <v>16.54095854706773</v>
      </c>
      <c r="R4587" s="75">
        <f>F4587-F4586</f>
        <v>0.0035868055555567935</v>
      </c>
      <c r="S4587" s="75">
        <f>0.5*(Q4586+Q4587)*R4587</f>
        <v>0.0592890894374742</v>
      </c>
      <c r="T4587" s="75">
        <f>0.5*(F4586*Q4586+F4587*Q4587)*R4587</f>
        <v>1.4215901121798071</v>
      </c>
      <c r="U4587" s="76">
        <f>U4586+S4587</f>
        <v>84.55865383533188</v>
      </c>
      <c r="V4587" s="76">
        <f>V4586+T4587</f>
        <v>1458.5507730715908</v>
      </c>
    </row>
    <row r="4588" spans="1:22" ht="19" customHeight="1">
      <c r="A4588" s="68" t="s">
        <v>378</v>
      </c>
      <c r="B4588" s="74">
        <v>5</v>
      </c>
      <c r="C4588" s="68" t="s">
        <v>363</v>
      </c>
      <c r="D4588" s="68" t="s">
        <v>365</v>
      </c>
      <c r="E4588" s="75">
        <f>60*F4588*'THAM_SO_MOI'!$C$53/(2*PI()*'THAM_SO_MOI'!$C$26)</f>
        <v>2362.9213947368416</v>
      </c>
      <c r="F4588" s="75">
        <f>'THAM_SO_MOI'!$C$14+('THAM_SO_MOI'!$C$37-'THAM_SO_MOI'!$C$14)*497/'THAM_SO_MOI'!$C$42</f>
        <v>23.98264236111111</v>
      </c>
      <c r="G4588" s="75">
        <f>3.6*F4588</f>
        <v>86.3375125</v>
      </c>
      <c r="H4588" s="75">
        <f>'THAM_SO_MOI'!$D$53</f>
        <v>1.1</v>
      </c>
      <c r="I4588" s="75">
        <f>IF(F4588&gt;='THAM_SO_MOI'!$C$14,'THAM_SO_MOI'!$C$13*(1+F4588^2/1500),'THAM_SO_MOI'!$C$13)</f>
        <v>0.02075167134620961</v>
      </c>
      <c r="J4588" s="75">
        <f>'THAM_SO_MOI'!$C$40*('THAM_SO_MOI'!$C$23*(E4588/'THAM_SO_MOI'!$C$22)+'THAM_SO_MOI'!$C$24*(E4588/'THAM_SO_MOI'!$C$22)^2-'THAM_SO_MOI'!$C$25*(E4588/'THAM_SO_MOI'!$C$22)^3)</f>
        <v>105.95089263769133</v>
      </c>
      <c r="K4588" s="75">
        <f>'THAM_SO_MOI'!$C$31*J4588/E4588</f>
        <v>428.2611350909946</v>
      </c>
      <c r="L4588" s="75">
        <f>K4588*'THAM_SO_MOI'!$C$53*'THAM_SO_MOI'!$C$17/'THAM_SO_MOI'!$C$26</f>
        <v>3755.851830520379</v>
      </c>
      <c r="M4588" s="75">
        <f>'THAM_SO_MOI'!$C$15*'THAM_SO_MOI'!$C$16*F4588^2</f>
        <v>1682.3638687663113</v>
      </c>
      <c r="N4588" s="75">
        <f>'THAM_SO_MOI'!$C$12*I4588</f>
        <v>1563.447520560509</v>
      </c>
      <c r="O4588" s="75">
        <f>M4588+N4588</f>
        <v>3245.81138932682</v>
      </c>
      <c r="P4588" s="75">
        <f>(MIN(L4588,'THAM_SO_MOI'!$C$41)-O4588)/('THAM_SO_MOI'!$C$11*H4588)</f>
        <v>0.060374105254919305</v>
      </c>
      <c r="Q4588" s="75">
        <f>IF(P4588&gt;0,1/P4588,NA())</f>
        <v>16.563392463998788</v>
      </c>
      <c r="R4588" s="75">
        <f>F4588-F4587</f>
        <v>0.0035868055555567935</v>
      </c>
      <c r="S4588" s="75">
        <f>0.5*(Q4587+Q4588)*R4588</f>
        <v>0.059369435059797776</v>
      </c>
      <c r="T4588" s="75">
        <f>0.5*(F4587*Q4587+F4588*Q4588)*R4588</f>
        <v>1.4237295270646515</v>
      </c>
      <c r="U4588" s="76">
        <f>U4587+S4588</f>
        <v>84.61802327039167</v>
      </c>
      <c r="V4588" s="76">
        <f>V4587+T4588</f>
        <v>1459.9745025986554</v>
      </c>
    </row>
    <row r="4589" spans="1:22" ht="19" customHeight="1">
      <c r="A4589" s="68" t="s">
        <v>378</v>
      </c>
      <c r="B4589" s="74">
        <v>5</v>
      </c>
      <c r="C4589" s="68" t="s">
        <v>363</v>
      </c>
      <c r="D4589" s="68" t="s">
        <v>365</v>
      </c>
      <c r="E4589" s="75">
        <f>60*F4589*'THAM_SO_MOI'!$C$53/(2*PI()*'THAM_SO_MOI'!$C$26)</f>
        <v>2363.2747894736835</v>
      </c>
      <c r="F4589" s="75">
        <f>'THAM_SO_MOI'!$C$14+('THAM_SO_MOI'!$C$37-'THAM_SO_MOI'!$C$14)*498/'THAM_SO_MOI'!$C$42</f>
        <v>23.986229166666664</v>
      </c>
      <c r="G4589" s="75">
        <f>3.6*F4589</f>
        <v>86.35042499999999</v>
      </c>
      <c r="H4589" s="75">
        <f>'THAM_SO_MOI'!$D$53</f>
        <v>1.1</v>
      </c>
      <c r="I4589" s="75">
        <f>IF(F4589&gt;='THAM_SO_MOI'!$C$14,'THAM_SO_MOI'!$C$13*(1+F4589^2/1500),'THAM_SO_MOI'!$C$13)</f>
        <v>0.020753391896358508</v>
      </c>
      <c r="J4589" s="75">
        <f>'THAM_SO_MOI'!$C$40*('THAM_SO_MOI'!$C$23*(E4589/'THAM_SO_MOI'!$C$22)+'THAM_SO_MOI'!$C$24*(E4589/'THAM_SO_MOI'!$C$22)^2-'THAM_SO_MOI'!$C$25*(E4589/'THAM_SO_MOI'!$C$22)^3)</f>
        <v>105.9650721169826</v>
      </c>
      <c r="K4589" s="75">
        <f>'THAM_SO_MOI'!$C$31*J4589/E4589</f>
        <v>428.25440052522595</v>
      </c>
      <c r="L4589" s="75">
        <f>K4589*'THAM_SO_MOI'!$C$53*'THAM_SO_MOI'!$C$17/'THAM_SO_MOI'!$C$26</f>
        <v>3755.7927683522353</v>
      </c>
      <c r="M4589" s="75">
        <f>'THAM_SO_MOI'!$C$15*'THAM_SO_MOI'!$C$16*F4589^2</f>
        <v>1682.8671296848631</v>
      </c>
      <c r="N4589" s="75">
        <f>'THAM_SO_MOI'!$C$12*I4589</f>
        <v>1563.577148185167</v>
      </c>
      <c r="O4589" s="75">
        <f>M4589+N4589</f>
        <v>3246.4442778700304</v>
      </c>
      <c r="P4589" s="75">
        <f>(MIN(L4589,'THAM_SO_MOI'!$C$41)-O4589)/('THAM_SO_MOI'!$C$11*H4589)</f>
        <v>0.06029219821048832</v>
      </c>
      <c r="Q4589" s="75">
        <f>IF(P4589&gt;0,1/P4589,NA())</f>
        <v>16.58589385825448</v>
      </c>
      <c r="R4589" s="75">
        <f>F4589-F4588</f>
        <v>0.0035868055555532408</v>
      </c>
      <c r="S4589" s="75">
        <f>0.5*(Q4588+Q4589)*R4589</f>
        <v>0.05945002217164154</v>
      </c>
      <c r="T4589" s="75">
        <f>0.5*(F4588*Q4588+F4589*Q4589)*R4589</f>
        <v>1.425875310308595</v>
      </c>
      <c r="U4589" s="76">
        <f>U4588+S4589</f>
        <v>84.67747329256332</v>
      </c>
      <c r="V4589" s="76">
        <f>V4588+T4589</f>
        <v>1461.400377908964</v>
      </c>
    </row>
    <row r="4590" spans="1:22" ht="19" customHeight="1">
      <c r="A4590" s="68" t="s">
        <v>378</v>
      </c>
      <c r="B4590" s="74">
        <v>5</v>
      </c>
      <c r="C4590" s="68" t="s">
        <v>363</v>
      </c>
      <c r="D4590" s="68" t="s">
        <v>365</v>
      </c>
      <c r="E4590" s="75">
        <f>60*F4590*'THAM_SO_MOI'!$C$53/(2*PI()*'THAM_SO_MOI'!$C$26)</f>
        <v>2363.6281842105254</v>
      </c>
      <c r="F4590" s="75">
        <f>'THAM_SO_MOI'!$C$14+('THAM_SO_MOI'!$C$37-'THAM_SO_MOI'!$C$14)*499/'THAM_SO_MOI'!$C$42</f>
        <v>23.98981597222222</v>
      </c>
      <c r="G4590" s="75">
        <f>3.6*F4590</f>
        <v>86.3633375</v>
      </c>
      <c r="H4590" s="75">
        <f>'THAM_SO_MOI'!$D$53</f>
        <v>1.1</v>
      </c>
      <c r="I4590" s="75">
        <f>IF(F4590&gt;='THAM_SO_MOI'!$C$14,'THAM_SO_MOI'!$C$13*(1+F4590^2/1500),'THAM_SO_MOI'!$C$13)</f>
        <v>0.020755112703810884</v>
      </c>
      <c r="J4590" s="75">
        <f>'THAM_SO_MOI'!$C$40*('THAM_SO_MOI'!$C$23*(E4590/'THAM_SO_MOI'!$C$22)+'THAM_SO_MOI'!$C$24*(E4590/'THAM_SO_MOI'!$C$22)^2-'THAM_SO_MOI'!$C$25*(E4590/'THAM_SO_MOI'!$C$22)^3)</f>
        <v>105.97924809954489</v>
      </c>
      <c r="K4590" s="75">
        <f>'THAM_SO_MOI'!$C$31*J4590/E4590</f>
        <v>428.24765384347273</v>
      </c>
      <c r="L4590" s="75">
        <f>K4590*'THAM_SO_MOI'!$C$53*'THAM_SO_MOI'!$C$17/'THAM_SO_MOI'!$C$26</f>
        <v>3755.73359992686</v>
      </c>
      <c r="M4590" s="75">
        <f>'THAM_SO_MOI'!$C$15*'THAM_SO_MOI'!$C$16*F4590^2</f>
        <v>1683.3704658646836</v>
      </c>
      <c r="N4590" s="75">
        <f>'THAM_SO_MOI'!$C$12*I4590</f>
        <v>1563.7067951952752</v>
      </c>
      <c r="O4590" s="75">
        <f>M4590+N4590</f>
        <v>3247.077261059959</v>
      </c>
      <c r="P4590" s="75">
        <f>(MIN(L4590,'THAM_SO_MOI'!$C$41)-O4590)/('THAM_SO_MOI'!$C$11*H4590)</f>
        <v>0.06021026738481307</v>
      </c>
      <c r="Q4590" s="75">
        <f>IF(P4590&gt;0,1/P4590,NA())</f>
        <v>16.608463031875385</v>
      </c>
      <c r="R4590" s="75">
        <f>F4590-F4589</f>
        <v>0.0035868055555567935</v>
      </c>
      <c r="S4590" s="75">
        <f>0.5*(Q4589+Q4590)*R4590</f>
        <v>0.05953085185332637</v>
      </c>
      <c r="T4590" s="75">
        <f>0.5*(F4589*Q4589+F4590*Q4590)*R4590</f>
        <v>1.4280274904249335</v>
      </c>
      <c r="U4590" s="76">
        <f>U4589+S4590</f>
        <v>84.73700414441664</v>
      </c>
      <c r="V4590" s="76">
        <f>V4589+T4590</f>
        <v>1462.8284053993889</v>
      </c>
    </row>
    <row r="4591" spans="1:22" ht="19" customHeight="1">
      <c r="A4591" s="68" t="s">
        <v>378</v>
      </c>
      <c r="B4591" s="74">
        <v>5</v>
      </c>
      <c r="C4591" s="68" t="s">
        <v>363</v>
      </c>
      <c r="D4591" s="68" t="s">
        <v>365</v>
      </c>
      <c r="E4591" s="75">
        <f>60*F4591*'THAM_SO_MOI'!$C$53/(2*PI()*'THAM_SO_MOI'!$C$26)</f>
        <v>2363.9815789473682</v>
      </c>
      <c r="F4591" s="75">
        <f>'THAM_SO_MOI'!$C$14+('THAM_SO_MOI'!$C$37-'THAM_SO_MOI'!$C$14)*500/'THAM_SO_MOI'!$C$42</f>
        <v>23.993402777777778</v>
      </c>
      <c r="G4591" s="75">
        <f>3.6*F4591</f>
        <v>86.37625</v>
      </c>
      <c r="H4591" s="75">
        <f>'THAM_SO_MOI'!$D$53</f>
        <v>1.1</v>
      </c>
      <c r="I4591" s="75">
        <f>IF(F4591&gt;='THAM_SO_MOI'!$C$14,'THAM_SO_MOI'!$C$13*(1+F4591^2/1500),'THAM_SO_MOI'!$C$13)</f>
        <v>0.020756833768566744</v>
      </c>
      <c r="J4591" s="75">
        <f>'THAM_SO_MOI'!$C$40*('THAM_SO_MOI'!$C$23*(E4591/'THAM_SO_MOI'!$C$22)+'THAM_SO_MOI'!$C$24*(E4591/'THAM_SO_MOI'!$C$22)^2-'THAM_SO_MOI'!$C$25*(E4591/'THAM_SO_MOI'!$C$22)^3)</f>
        <v>105.99342058403333</v>
      </c>
      <c r="K4591" s="75">
        <f>'THAM_SO_MOI'!$C$31*J4591/E4591</f>
        <v>428.2408950457351</v>
      </c>
      <c r="L4591" s="75">
        <f>K4591*'THAM_SO_MOI'!$C$53*'THAM_SO_MOI'!$C$17/'THAM_SO_MOI'!$C$26</f>
        <v>3755.6743252442543</v>
      </c>
      <c r="M4591" s="75">
        <f>'THAM_SO_MOI'!$C$15*'THAM_SO_MOI'!$C$16*F4591^2</f>
        <v>1683.8738773057728</v>
      </c>
      <c r="N4591" s="75">
        <f>'THAM_SO_MOI'!$C$12*I4591</f>
        <v>1563.8364615908333</v>
      </c>
      <c r="O4591" s="75">
        <f>M4591+N4591</f>
        <v>3247.710338896606</v>
      </c>
      <c r="P4591" s="75">
        <f>(MIN(L4591,'THAM_SO_MOI'!$C$41)-O4591)/('THAM_SO_MOI'!$C$11*H4591)</f>
        <v>0.06012831277789399</v>
      </c>
      <c r="Q4591" s="75">
        <f>IF(P4591&gt;0,1/P4591,NA())</f>
        <v>16.631100288708705</v>
      </c>
      <c r="R4591" s="75">
        <f>F4591-F4590</f>
        <v>0.0035868055555567935</v>
      </c>
      <c r="S4591" s="75">
        <f>0.5*(Q4590+Q4591)*R4591</f>
        <v>0.059611925191276414</v>
      </c>
      <c r="T4591" s="75">
        <f>0.5*(F4590*Q4590+F4591*Q4591)*R4591</f>
        <v>1.4301860960888884</v>
      </c>
      <c r="U4591" s="76">
        <f>U4590+S4591</f>
        <v>84.79661606960792</v>
      </c>
      <c r="V4591" s="76">
        <f>V4590+T4591</f>
        <v>1464.2585914954777</v>
      </c>
    </row>
    <row r="4592" spans="1:22" ht="19" customHeight="1">
      <c r="A4592" s="68" t="s">
        <v>378</v>
      </c>
      <c r="B4592" s="74">
        <v>5</v>
      </c>
      <c r="C4592" s="68" t="s">
        <v>363</v>
      </c>
      <c r="D4592" s="68" t="s">
        <v>365</v>
      </c>
      <c r="E4592" s="75">
        <f>60*F4592*'THAM_SO_MOI'!$C$53/(2*PI()*'THAM_SO_MOI'!$C$26)</f>
        <v>2364.3349736842097</v>
      </c>
      <c r="F4592" s="75">
        <f>'THAM_SO_MOI'!$C$14+('THAM_SO_MOI'!$C$37-'THAM_SO_MOI'!$C$14)*501/'THAM_SO_MOI'!$C$42</f>
        <v>23.99698958333333</v>
      </c>
      <c r="G4592" s="75">
        <f>3.6*F4592</f>
        <v>86.3891625</v>
      </c>
      <c r="H4592" s="75">
        <f>'THAM_SO_MOI'!$D$53</f>
        <v>1.1</v>
      </c>
      <c r="I4592" s="75">
        <f>IF(F4592&gt;='THAM_SO_MOI'!$C$14,'THAM_SO_MOI'!$C$13*(1+F4592^2/1500),'THAM_SO_MOI'!$C$13)</f>
        <v>0.02075855509062608</v>
      </c>
      <c r="J4592" s="75">
        <f>'THAM_SO_MOI'!$C$40*('THAM_SO_MOI'!$C$23*(E4592/'THAM_SO_MOI'!$C$22)+'THAM_SO_MOI'!$C$24*(E4592/'THAM_SO_MOI'!$C$22)^2-'THAM_SO_MOI'!$C$25*(E4592/'THAM_SO_MOI'!$C$22)^3)</f>
        <v>106.00758956910296</v>
      </c>
      <c r="K4592" s="75">
        <f>'THAM_SO_MOI'!$C$31*J4592/E4592</f>
        <v>428.23412413201305</v>
      </c>
      <c r="L4592" s="75">
        <f>K4592*'THAM_SO_MOI'!$C$53*'THAM_SO_MOI'!$C$17/'THAM_SO_MOI'!$C$26</f>
        <v>3755.6149443044173</v>
      </c>
      <c r="M4592" s="75">
        <f>'THAM_SO_MOI'!$C$15*'THAM_SO_MOI'!$C$16*F4592^2</f>
        <v>1684.37736400813</v>
      </c>
      <c r="N4592" s="75">
        <f>'THAM_SO_MOI'!$C$12*I4592</f>
        <v>1563.9661473718415</v>
      </c>
      <c r="O4592" s="75">
        <f>M4592+N4592</f>
        <v>3248.3435113799715</v>
      </c>
      <c r="P4592" s="75">
        <f>(MIN(L4592,'THAM_SO_MOI'!$C$41)-O4592)/('THAM_SO_MOI'!$C$11*H4592)</f>
        <v>0.06004633438973081</v>
      </c>
      <c r="Q4592" s="75">
        <f>IF(P4592&gt;0,1/P4592,NA())</f>
        <v>16.65380593442222</v>
      </c>
      <c r="R4592" s="75">
        <f>F4592-F4591</f>
        <v>0.0035868055555532408</v>
      </c>
      <c r="S4592" s="75">
        <f>0.5*(Q4591+Q4592)*R4592</f>
        <v>0.05969324327859732</v>
      </c>
      <c r="T4592" s="75">
        <f>0.5*(F4591*Q4591+F4592*Q4592)*R4592</f>
        <v>1.4323511561515931</v>
      </c>
      <c r="U4592" s="76">
        <f>U4591+S4592</f>
        <v>84.85630931288652</v>
      </c>
      <c r="V4592" s="76">
        <f>V4591+T4592</f>
        <v>1465.6909426516293</v>
      </c>
    </row>
    <row r="4593" spans="1:22" ht="19" customHeight="1">
      <c r="A4593" s="68" t="s">
        <v>378</v>
      </c>
      <c r="B4593" s="74">
        <v>5</v>
      </c>
      <c r="C4593" s="68" t="s">
        <v>363</v>
      </c>
      <c r="D4593" s="68" t="s">
        <v>365</v>
      </c>
      <c r="E4593" s="75">
        <f>60*F4593*'THAM_SO_MOI'!$C$53/(2*PI()*'THAM_SO_MOI'!$C$26)</f>
        <v>2364.688368421052</v>
      </c>
      <c r="F4593" s="75">
        <f>'THAM_SO_MOI'!$C$14+('THAM_SO_MOI'!$C$37-'THAM_SO_MOI'!$C$14)*502/'THAM_SO_MOI'!$C$42</f>
        <v>24.000576388888888</v>
      </c>
      <c r="G4593" s="75">
        <f>3.6*F4593</f>
        <v>86.402075</v>
      </c>
      <c r="H4593" s="75">
        <f>'THAM_SO_MOI'!$D$53</f>
        <v>1.1</v>
      </c>
      <c r="I4593" s="75">
        <f>IF(F4593&gt;='THAM_SO_MOI'!$C$14,'THAM_SO_MOI'!$C$13*(1+F4593^2/1500),'THAM_SO_MOI'!$C$13)</f>
        <v>0.020760276669988906</v>
      </c>
      <c r="J4593" s="75">
        <f>'THAM_SO_MOI'!$C$40*('THAM_SO_MOI'!$C$23*(E4593/'THAM_SO_MOI'!$C$22)+'THAM_SO_MOI'!$C$24*(E4593/'THAM_SO_MOI'!$C$22)^2-'THAM_SO_MOI'!$C$25*(E4593/'THAM_SO_MOI'!$C$22)^3)</f>
        <v>106.02175505340895</v>
      </c>
      <c r="K4593" s="75">
        <f>'THAM_SO_MOI'!$C$31*J4593/E4593</f>
        <v>428.2273411023064</v>
      </c>
      <c r="L4593" s="75">
        <f>K4593*'THAM_SO_MOI'!$C$53*'THAM_SO_MOI'!$C$17/'THAM_SO_MOI'!$C$26</f>
        <v>3755.5554571073485</v>
      </c>
      <c r="M4593" s="75">
        <f>'THAM_SO_MOI'!$C$15*'THAM_SO_MOI'!$C$16*F4593^2</f>
        <v>1684.8809259717557</v>
      </c>
      <c r="N4593" s="75">
        <f>'THAM_SO_MOI'!$C$12*I4593</f>
        <v>1564.0958525383003</v>
      </c>
      <c r="O4593" s="75">
        <f>M4593+N4593</f>
        <v>3248.9767785100557</v>
      </c>
      <c r="P4593" s="75">
        <f>(MIN(L4593,'THAM_SO_MOI'!$C$41)-O4593)/('THAM_SO_MOI'!$C$11*H4593)</f>
        <v>0.05996433222032343</v>
      </c>
      <c r="Q4593" s="75">
        <f>IF(P4593&gt;0,1/P4593,NA())</f>
        <v>16.67658027651769</v>
      </c>
      <c r="R4593" s="75">
        <f>F4593-F4592</f>
        <v>0.0035868055555567935</v>
      </c>
      <c r="S4593" s="75">
        <f>0.5*(Q4592+Q4593)*R4593</f>
        <v>0.0597748072151264</v>
      </c>
      <c r="T4593" s="75">
        <f>0.5*(F4592*Q4592+F4593*Q4593)*R4593</f>
        <v>1.4345226996414162</v>
      </c>
      <c r="U4593" s="76">
        <f>U4592+S4593</f>
        <v>84.91608412010164</v>
      </c>
      <c r="V4593" s="76">
        <f>V4592+T4593</f>
        <v>1467.1254653512706</v>
      </c>
    </row>
    <row r="4594" spans="1:22" ht="19" customHeight="1">
      <c r="A4594" s="68" t="s">
        <v>378</v>
      </c>
      <c r="B4594" s="74">
        <v>5</v>
      </c>
      <c r="C4594" s="68" t="s">
        <v>363</v>
      </c>
      <c r="D4594" s="68" t="s">
        <v>365</v>
      </c>
      <c r="E4594" s="75">
        <f>60*F4594*'THAM_SO_MOI'!$C$53/(2*PI()*'THAM_SO_MOI'!$C$26)</f>
        <v>2365.0417631578944</v>
      </c>
      <c r="F4594" s="75">
        <f>'THAM_SO_MOI'!$C$14+('THAM_SO_MOI'!$C$37-'THAM_SO_MOI'!$C$14)*503/'THAM_SO_MOI'!$C$42</f>
        <v>24.004163194444445</v>
      </c>
      <c r="G4594" s="75">
        <f>3.6*F4594</f>
        <v>86.41498750000001</v>
      </c>
      <c r="H4594" s="75">
        <f>'THAM_SO_MOI'!$D$53</f>
        <v>1.1</v>
      </c>
      <c r="I4594" s="75">
        <f>IF(F4594&gt;='THAM_SO_MOI'!$C$14,'THAM_SO_MOI'!$C$13*(1+F4594^2/1500),'THAM_SO_MOI'!$C$13)</f>
        <v>0.020761998506655215</v>
      </c>
      <c r="J4594" s="75">
        <f>'THAM_SO_MOI'!$C$40*('THAM_SO_MOI'!$C$23*(E4594/'THAM_SO_MOI'!$C$22)+'THAM_SO_MOI'!$C$24*(E4594/'THAM_SO_MOI'!$C$22)^2-'THAM_SO_MOI'!$C$25*(E4594/'THAM_SO_MOI'!$C$22)^3)</f>
        <v>106.0359170356064</v>
      </c>
      <c r="K4594" s="75">
        <f>'THAM_SO_MOI'!$C$31*J4594/E4594</f>
        <v>428.22054595661535</v>
      </c>
      <c r="L4594" s="75">
        <f>K4594*'THAM_SO_MOI'!$C$53*'THAM_SO_MOI'!$C$17/'THAM_SO_MOI'!$C$26</f>
        <v>3755.4958636530487</v>
      </c>
      <c r="M4594" s="75">
        <f>'THAM_SO_MOI'!$C$15*'THAM_SO_MOI'!$C$16*F4594^2</f>
        <v>1685.38456319665</v>
      </c>
      <c r="N4594" s="75">
        <f>'THAM_SO_MOI'!$C$12*I4594</f>
        <v>1564.2255770902093</v>
      </c>
      <c r="O4594" s="75">
        <f>M4594+N4594</f>
        <v>3249.6101402868594</v>
      </c>
      <c r="P4594" s="75">
        <f>(MIN(L4594,'THAM_SO_MOI'!$C$41)-O4594)/('THAM_SO_MOI'!$C$11*H4594)</f>
        <v>0.059882306269672024</v>
      </c>
      <c r="Q4594" s="75">
        <f>IF(P4594&gt;0,1/P4594,NA())</f>
        <v>16.699423624344604</v>
      </c>
      <c r="R4594" s="75">
        <f>F4594-F4593</f>
        <v>0.0035868055555567935</v>
      </c>
      <c r="S4594" s="75">
        <f>0.5*(Q4593+Q4594)*R4594</f>
        <v>0.05985661810694904</v>
      </c>
      <c r="T4594" s="75">
        <f>0.5*(F4593*Q4593+F4594*Q4594)*R4594</f>
        <v>1.4367007557524734</v>
      </c>
      <c r="U4594" s="76">
        <f>U4593+S4594</f>
        <v>84.97594073820859</v>
      </c>
      <c r="V4594" s="76">
        <f>V4593+T4594</f>
        <v>1468.5621661070231</v>
      </c>
    </row>
    <row r="4595" spans="1:22" ht="19" customHeight="1">
      <c r="A4595" s="68" t="s">
        <v>378</v>
      </c>
      <c r="B4595" s="74">
        <v>5</v>
      </c>
      <c r="C4595" s="68" t="s">
        <v>363</v>
      </c>
      <c r="D4595" s="68" t="s">
        <v>365</v>
      </c>
      <c r="E4595" s="75">
        <f>60*F4595*'THAM_SO_MOI'!$C$53/(2*PI()*'THAM_SO_MOI'!$C$26)</f>
        <v>2365.3951578947363</v>
      </c>
      <c r="F4595" s="75">
        <f>'THAM_SO_MOI'!$C$14+('THAM_SO_MOI'!$C$37-'THAM_SO_MOI'!$C$14)*504/'THAM_SO_MOI'!$C$42</f>
        <v>24.007749999999998</v>
      </c>
      <c r="G4595" s="75">
        <f>3.6*F4595</f>
        <v>86.4279</v>
      </c>
      <c r="H4595" s="75">
        <f>'THAM_SO_MOI'!$D$53</f>
        <v>1.1</v>
      </c>
      <c r="I4595" s="75">
        <f>IF(F4595&gt;='THAM_SO_MOI'!$C$14,'THAM_SO_MOI'!$C$13*(1+F4595^2/1500),'THAM_SO_MOI'!$C$13)</f>
        <v>0.020763720600624997</v>
      </c>
      <c r="J4595" s="75">
        <f>'THAM_SO_MOI'!$C$40*('THAM_SO_MOI'!$C$23*(E4595/'THAM_SO_MOI'!$C$22)+'THAM_SO_MOI'!$C$24*(E4595/'THAM_SO_MOI'!$C$22)^2-'THAM_SO_MOI'!$C$25*(E4595/'THAM_SO_MOI'!$C$22)^3)</f>
        <v>106.05007551435044</v>
      </c>
      <c r="K4595" s="75">
        <f>'THAM_SO_MOI'!$C$31*J4595/E4595</f>
        <v>428.21373869494</v>
      </c>
      <c r="L4595" s="75">
        <f>K4595*'THAM_SO_MOI'!$C$53*'THAM_SO_MOI'!$C$17/'THAM_SO_MOI'!$C$26</f>
        <v>3755.436163941519</v>
      </c>
      <c r="M4595" s="75">
        <f>'THAM_SO_MOI'!$C$15*'THAM_SO_MOI'!$C$16*F4595^2</f>
        <v>1685.8882756828123</v>
      </c>
      <c r="N4595" s="75">
        <f>'THAM_SO_MOI'!$C$12*I4595</f>
        <v>1564.355321027568</v>
      </c>
      <c r="O4595" s="75">
        <f>M4595+N4595</f>
        <v>3250.24359671038</v>
      </c>
      <c r="P4595" s="75">
        <f>(MIN(L4595,'THAM_SO_MOI'!$C$41)-O4595)/('THAM_SO_MOI'!$C$11*H4595)</f>
        <v>0.05980025653777685</v>
      </c>
      <c r="Q4595" s="75">
        <f>IF(P4595&gt;0,1/P4595,NA())</f>
        <v>16.722336289114125</v>
      </c>
      <c r="R4595" s="75">
        <f>F4595-F4594</f>
        <v>0.0035868055555532408</v>
      </c>
      <c r="S4595" s="75">
        <f>0.5*(Q4594+Q4595)*R4595</f>
        <v>0.05993867706698018</v>
      </c>
      <c r="T4595" s="75">
        <f>0.5*(F4594*Q4594+F4595*Q4595)*R4595</f>
        <v>1.4388853538587005</v>
      </c>
      <c r="U4595" s="76">
        <f>U4594+S4595</f>
        <v>85.03587941527557</v>
      </c>
      <c r="V4595" s="76">
        <f>V4594+T4595</f>
        <v>1470.0010514608819</v>
      </c>
    </row>
    <row r="4596" spans="1:22" ht="19" customHeight="1">
      <c r="A4596" s="68" t="s">
        <v>378</v>
      </c>
      <c r="B4596" s="74">
        <v>5</v>
      </c>
      <c r="C4596" s="68" t="s">
        <v>363</v>
      </c>
      <c r="D4596" s="68" t="s">
        <v>365</v>
      </c>
      <c r="E4596" s="75">
        <f>60*F4596*'THAM_SO_MOI'!$C$53/(2*PI()*'THAM_SO_MOI'!$C$26)</f>
        <v>2365.748552631578</v>
      </c>
      <c r="F4596" s="75">
        <f>'THAM_SO_MOI'!$C$14+('THAM_SO_MOI'!$C$37-'THAM_SO_MOI'!$C$14)*505/'THAM_SO_MOI'!$C$42</f>
        <v>24.011336805555555</v>
      </c>
      <c r="G4596" s="75">
        <f>3.6*F4596</f>
        <v>86.44081249999999</v>
      </c>
      <c r="H4596" s="75">
        <f>'THAM_SO_MOI'!$D$53</f>
        <v>1.1</v>
      </c>
      <c r="I4596" s="75">
        <f>IF(F4596&gt;='THAM_SO_MOI'!$C$14,'THAM_SO_MOI'!$C$13*(1+F4596^2/1500),'THAM_SO_MOI'!$C$13)</f>
        <v>0.020765442951898267</v>
      </c>
      <c r="J4596" s="75">
        <f>'THAM_SO_MOI'!$C$40*('THAM_SO_MOI'!$C$23*(E4596/'THAM_SO_MOI'!$C$22)+'THAM_SO_MOI'!$C$24*(E4596/'THAM_SO_MOI'!$C$22)^2-'THAM_SO_MOI'!$C$25*(E4596/'THAM_SO_MOI'!$C$22)^3)</f>
        <v>106.06423048829612</v>
      </c>
      <c r="K4596" s="75">
        <f>'THAM_SO_MOI'!$C$31*J4596/E4596</f>
        <v>428.20691931728004</v>
      </c>
      <c r="L4596" s="75">
        <f>K4596*'THAM_SO_MOI'!$C$53*'THAM_SO_MOI'!$C$17/'THAM_SO_MOI'!$C$26</f>
        <v>3755.376357972757</v>
      </c>
      <c r="M4596" s="75">
        <f>'THAM_SO_MOI'!$C$15*'THAM_SO_MOI'!$C$16*F4596^2</f>
        <v>1686.3920634302438</v>
      </c>
      <c r="N4596" s="75">
        <f>'THAM_SO_MOI'!$C$12*I4596</f>
        <v>1564.485084350377</v>
      </c>
      <c r="O4596" s="75">
        <f>M4596+N4596</f>
        <v>3250.877147780621</v>
      </c>
      <c r="P4596" s="75">
        <f>(MIN(L4596,'THAM_SO_MOI'!$C$41)-O4596)/('THAM_SO_MOI'!$C$11*H4596)</f>
        <v>0.059718183024637356</v>
      </c>
      <c r="Q4596" s="75">
        <f>IF(P4596&gt;0,1/P4596,NA())</f>
        <v>16.745318583913374</v>
      </c>
      <c r="R4596" s="75">
        <f>F4596-F4595</f>
        <v>0.0035868055555567935</v>
      </c>
      <c r="S4596" s="75">
        <f>0.5*(Q4595+Q4596)*R4596</f>
        <v>0.06002098521501621</v>
      </c>
      <c r="T4596" s="75">
        <f>0.5*(F4595*Q4595+F4596*Q4596)*R4596</f>
        <v>1.441076523515221</v>
      </c>
      <c r="U4596" s="76">
        <f>U4595+S4596</f>
        <v>85.09590040049059</v>
      </c>
      <c r="V4596" s="76">
        <f>V4595+T4596</f>
        <v>1471.442127984397</v>
      </c>
    </row>
    <row r="4597" spans="1:22" ht="19" customHeight="1">
      <c r="A4597" s="68" t="s">
        <v>378</v>
      </c>
      <c r="B4597" s="74">
        <v>5</v>
      </c>
      <c r="C4597" s="68" t="s">
        <v>363</v>
      </c>
      <c r="D4597" s="68" t="s">
        <v>365</v>
      </c>
      <c r="E4597" s="75">
        <f>60*F4597*'THAM_SO_MOI'!$C$53/(2*PI()*'THAM_SO_MOI'!$C$26)</f>
        <v>2366.10194736842</v>
      </c>
      <c r="F4597" s="75">
        <f>'THAM_SO_MOI'!$C$14+('THAM_SO_MOI'!$C$37-'THAM_SO_MOI'!$C$14)*506/'THAM_SO_MOI'!$C$42</f>
        <v>24.014923611111108</v>
      </c>
      <c r="G4597" s="75">
        <f>3.6*F4597</f>
        <v>86.45372499999999</v>
      </c>
      <c r="H4597" s="75">
        <f>'THAM_SO_MOI'!$D$53</f>
        <v>1.1</v>
      </c>
      <c r="I4597" s="75">
        <f>IF(F4597&gt;='THAM_SO_MOI'!$C$14,'THAM_SO_MOI'!$C$13*(1+F4597^2/1500),'THAM_SO_MOI'!$C$13)</f>
        <v>0.020767165560475018</v>
      </c>
      <c r="J4597" s="75">
        <f>'THAM_SO_MOI'!$C$40*('THAM_SO_MOI'!$C$23*(E4597/'THAM_SO_MOI'!$C$22)+'THAM_SO_MOI'!$C$24*(E4597/'THAM_SO_MOI'!$C$22)^2-'THAM_SO_MOI'!$C$25*(E4597/'THAM_SO_MOI'!$C$22)^3)</f>
        <v>106.07838195609861</v>
      </c>
      <c r="K4597" s="75">
        <f>'THAM_SO_MOI'!$C$31*J4597/E4597</f>
        <v>428.2000878236358</v>
      </c>
      <c r="L4597" s="75">
        <f>K4597*'THAM_SO_MOI'!$C$53*'THAM_SO_MOI'!$C$17/'THAM_SO_MOI'!$C$26</f>
        <v>3755.316445746766</v>
      </c>
      <c r="M4597" s="75">
        <f>'THAM_SO_MOI'!$C$15*'THAM_SO_MOI'!$C$16*F4597^2</f>
        <v>1686.8959264389428</v>
      </c>
      <c r="N4597" s="75">
        <f>'THAM_SO_MOI'!$C$12*I4597</f>
        <v>1564.6148670586363</v>
      </c>
      <c r="O4597" s="75">
        <f>M4597+N4597</f>
        <v>3251.510793497579</v>
      </c>
      <c r="P4597" s="75">
        <f>(MIN(L4597,'THAM_SO_MOI'!$C$41)-O4597)/('THAM_SO_MOI'!$C$11*H4597)</f>
        <v>0.05963608573025414</v>
      </c>
      <c r="Q4597" s="75">
        <f>IF(P4597&gt;0,1/P4597,NA())</f>
        <v>16.768370823719025</v>
      </c>
      <c r="R4597" s="75">
        <f>F4597-F4596</f>
        <v>0.0035868055555532408</v>
      </c>
      <c r="S4597" s="75">
        <f>0.5*(Q4596+Q4597)*R4597</f>
        <v>0.06010354367719084</v>
      </c>
      <c r="T4597" s="75">
        <f>0.5*(F4596*Q4596+F4597*Q4597)*R4597</f>
        <v>1.443274294445403</v>
      </c>
      <c r="U4597" s="76">
        <f>U4596+S4597</f>
        <v>85.15600394416778</v>
      </c>
      <c r="V4597" s="76">
        <f>V4596+T4597</f>
        <v>1472.8854022788425</v>
      </c>
    </row>
    <row r="4598" spans="1:22" ht="19" customHeight="1">
      <c r="A4598" s="68" t="s">
        <v>378</v>
      </c>
      <c r="B4598" s="74">
        <v>5</v>
      </c>
      <c r="C4598" s="68" t="s">
        <v>363</v>
      </c>
      <c r="D4598" s="68" t="s">
        <v>365</v>
      </c>
      <c r="E4598" s="75">
        <f>60*F4598*'THAM_SO_MOI'!$C$53/(2*PI()*'THAM_SO_MOI'!$C$26)</f>
        <v>2366.4553421052624</v>
      </c>
      <c r="F4598" s="75">
        <f>'THAM_SO_MOI'!$C$14+('THAM_SO_MOI'!$C$37-'THAM_SO_MOI'!$C$14)*507/'THAM_SO_MOI'!$C$42</f>
        <v>24.018510416666665</v>
      </c>
      <c r="G4598" s="75">
        <f>3.6*F4598</f>
        <v>86.46663749999999</v>
      </c>
      <c r="H4598" s="75">
        <f>'THAM_SO_MOI'!$D$53</f>
        <v>1.1</v>
      </c>
      <c r="I4598" s="75">
        <f>IF(F4598&gt;='THAM_SO_MOI'!$C$14,'THAM_SO_MOI'!$C$13*(1+F4598^2/1500),'THAM_SO_MOI'!$C$13)</f>
        <v>0.02076888842635525</v>
      </c>
      <c r="J4598" s="75">
        <f>'THAM_SO_MOI'!$C$40*('THAM_SO_MOI'!$C$23*(E4598/'THAM_SO_MOI'!$C$22)+'THAM_SO_MOI'!$C$24*(E4598/'THAM_SO_MOI'!$C$22)^2-'THAM_SO_MOI'!$C$25*(E4598/'THAM_SO_MOI'!$C$22)^3)</f>
        <v>106.09252991641297</v>
      </c>
      <c r="K4598" s="75">
        <f>'THAM_SO_MOI'!$C$31*J4598/E4598</f>
        <v>428.1932442140068</v>
      </c>
      <c r="L4598" s="75">
        <f>K4598*'THAM_SO_MOI'!$C$53*'THAM_SO_MOI'!$C$17/'THAM_SO_MOI'!$C$26</f>
        <v>3755.256427263541</v>
      </c>
      <c r="M4598" s="75">
        <f>'THAM_SO_MOI'!$C$15*'THAM_SO_MOI'!$C$16*F4598^2</f>
        <v>1687.399864708911</v>
      </c>
      <c r="N4598" s="75">
        <f>'THAM_SO_MOI'!$C$12*I4598</f>
        <v>1564.7446691523455</v>
      </c>
      <c r="O4598" s="75">
        <f>M4598+N4598</f>
        <v>3252.1445338612566</v>
      </c>
      <c r="P4598" s="75">
        <f>(MIN(L4598,'THAM_SO_MOI'!$C$41)-O4598)/('THAM_SO_MOI'!$C$11*H4598)</f>
        <v>0.05955396465462646</v>
      </c>
      <c r="Q4598" s="75">
        <f>IF(P4598&gt;0,1/P4598,NA())</f>
        <v>16.791493325412297</v>
      </c>
      <c r="R4598" s="75">
        <f>F4598-F4597</f>
        <v>0.0035868055555567935</v>
      </c>
      <c r="S4598" s="75">
        <f>0.5*(Q4597+Q4598)*R4598</f>
        <v>0.06018635358691774</v>
      </c>
      <c r="T4598" s="75">
        <f>0.5*(F4597*Q4597+F4598*Q4598)*R4598</f>
        <v>1.4454786965636122</v>
      </c>
      <c r="U4598" s="76">
        <f>U4597+S4598</f>
        <v>85.2161902977547</v>
      </c>
      <c r="V4598" s="76">
        <f>V4597+T4598</f>
        <v>1474.3308809754062</v>
      </c>
    </row>
    <row r="4599" spans="1:22" ht="19" customHeight="1">
      <c r="A4599" s="68" t="s">
        <v>378</v>
      </c>
      <c r="B4599" s="74">
        <v>5</v>
      </c>
      <c r="C4599" s="68" t="s">
        <v>363</v>
      </c>
      <c r="D4599" s="68" t="s">
        <v>365</v>
      </c>
      <c r="E4599" s="75">
        <f>60*F4599*'THAM_SO_MOI'!$C$53/(2*PI()*'THAM_SO_MOI'!$C$26)</f>
        <v>2366.8087368421047</v>
      </c>
      <c r="F4599" s="75">
        <f>'THAM_SO_MOI'!$C$14+('THAM_SO_MOI'!$C$37-'THAM_SO_MOI'!$C$14)*508/'THAM_SO_MOI'!$C$42</f>
        <v>24.02209722222222</v>
      </c>
      <c r="G4599" s="75">
        <f>3.6*F4599</f>
        <v>86.47955</v>
      </c>
      <c r="H4599" s="75">
        <f>'THAM_SO_MOI'!$D$53</f>
        <v>1.1</v>
      </c>
      <c r="I4599" s="75">
        <f>IF(F4599&gt;='THAM_SO_MOI'!$C$14,'THAM_SO_MOI'!$C$13*(1+F4599^2/1500),'THAM_SO_MOI'!$C$13)</f>
        <v>0.020770611549538964</v>
      </c>
      <c r="J4599" s="75">
        <f>'THAM_SO_MOI'!$C$40*('THAM_SO_MOI'!$C$23*(E4599/'THAM_SO_MOI'!$C$22)+'THAM_SO_MOI'!$C$24*(E4599/'THAM_SO_MOI'!$C$22)^2-'THAM_SO_MOI'!$C$25*(E4599/'THAM_SO_MOI'!$C$22)^3)</f>
        <v>106.10667436789436</v>
      </c>
      <c r="K4599" s="75">
        <f>'THAM_SO_MOI'!$C$31*J4599/E4599</f>
        <v>428.18638848839356</v>
      </c>
      <c r="L4599" s="75">
        <f>K4599*'THAM_SO_MOI'!$C$53*'THAM_SO_MOI'!$C$17/'THAM_SO_MOI'!$C$26</f>
        <v>3755.196302523086</v>
      </c>
      <c r="M4599" s="75">
        <f>'THAM_SO_MOI'!$C$15*'THAM_SO_MOI'!$C$16*F4599^2</f>
        <v>1687.9038782401476</v>
      </c>
      <c r="N4599" s="75">
        <f>'THAM_SO_MOI'!$C$12*I4599</f>
        <v>1564.8744906315053</v>
      </c>
      <c r="O4599" s="75">
        <f>M4599+N4599</f>
        <v>3252.7783688716527</v>
      </c>
      <c r="P4599" s="75">
        <f>(MIN(L4599,'THAM_SO_MOI'!$C$41)-O4599)/('THAM_SO_MOI'!$C$11*H4599)</f>
        <v>0.059471819797754885</v>
      </c>
      <c r="Q4599" s="75">
        <f>IF(P4599&gt;0,1/P4599,NA())</f>
        <v>16.8146864077926</v>
      </c>
      <c r="R4599" s="75">
        <f>F4599-F4598</f>
        <v>0.0035868055555567935</v>
      </c>
      <c r="S4599" s="75">
        <f>0.5*(Q4598+Q4599)*R4599</f>
        <v>0.060269416084049725</v>
      </c>
      <c r="T4599" s="75">
        <f>0.5*(F4598*Q4598+F4599*Q4599)*R4599</f>
        <v>1.4476897599551466</v>
      </c>
      <c r="U4599" s="76">
        <f>U4598+S4599</f>
        <v>85.27645971383875</v>
      </c>
      <c r="V4599" s="76">
        <f>V4598+T4599</f>
        <v>1475.7785707353614</v>
      </c>
    </row>
    <row r="4600" spans="1:22" ht="19" customHeight="1">
      <c r="A4600" s="68" t="s">
        <v>378</v>
      </c>
      <c r="B4600" s="74">
        <v>5</v>
      </c>
      <c r="C4600" s="68" t="s">
        <v>363</v>
      </c>
      <c r="D4600" s="68" t="s">
        <v>365</v>
      </c>
      <c r="E4600" s="75">
        <f>60*F4600*'THAM_SO_MOI'!$C$53/(2*PI()*'THAM_SO_MOI'!$C$26)</f>
        <v>2367.1621315789466</v>
      </c>
      <c r="F4600" s="75">
        <f>'THAM_SO_MOI'!$C$14+('THAM_SO_MOI'!$C$37-'THAM_SO_MOI'!$C$14)*509/'THAM_SO_MOI'!$C$42</f>
        <v>24.02568402777778</v>
      </c>
      <c r="G4600" s="75">
        <f>3.6*F4600</f>
        <v>86.4924625</v>
      </c>
      <c r="H4600" s="75">
        <f>'THAM_SO_MOI'!$D$53</f>
        <v>1.1</v>
      </c>
      <c r="I4600" s="75">
        <f>IF(F4600&gt;='THAM_SO_MOI'!$C$14,'THAM_SO_MOI'!$C$13*(1+F4600^2/1500),'THAM_SO_MOI'!$C$13)</f>
        <v>0.020772334930026164</v>
      </c>
      <c r="J4600" s="75">
        <f>'THAM_SO_MOI'!$C$40*('THAM_SO_MOI'!$C$23*(E4600/'THAM_SO_MOI'!$C$22)+'THAM_SO_MOI'!$C$24*(E4600/'THAM_SO_MOI'!$C$22)^2-'THAM_SO_MOI'!$C$25*(E4600/'THAM_SO_MOI'!$C$22)^3)</f>
        <v>106.12081530919788</v>
      </c>
      <c r="K4600" s="75">
        <f>'THAM_SO_MOI'!$C$31*J4600/E4600</f>
        <v>428.17952064679594</v>
      </c>
      <c r="L4600" s="75">
        <f>K4600*'THAM_SO_MOI'!$C$53*'THAM_SO_MOI'!$C$17/'THAM_SO_MOI'!$C$26</f>
        <v>3755.1360715254013</v>
      </c>
      <c r="M4600" s="75">
        <f>'THAM_SO_MOI'!$C$15*'THAM_SO_MOI'!$C$16*F4600^2</f>
        <v>1688.4079670326528</v>
      </c>
      <c r="N4600" s="75">
        <f>'THAM_SO_MOI'!$C$12*I4600</f>
        <v>1565.0043314961154</v>
      </c>
      <c r="O4600" s="75">
        <f>M4600+N4600</f>
        <v>3253.412298528768</v>
      </c>
      <c r="P4600" s="75">
        <f>(MIN(L4600,'THAM_SO_MOI'!$C$41)-O4600)/('THAM_SO_MOI'!$C$11*H4600)</f>
        <v>0.059389651159639345</v>
      </c>
      <c r="Q4600" s="75">
        <f>IF(P4600&gt;0,1/P4600,NA())</f>
        <v>16.837950391592646</v>
      </c>
      <c r="R4600" s="75">
        <f>F4600-F4599</f>
        <v>0.0035868055555567935</v>
      </c>
      <c r="S4600" s="75">
        <f>0.5*(Q4599+Q4600)*R4600</f>
        <v>0.060352732315585</v>
      </c>
      <c r="T4600" s="75">
        <f>0.5*(F4599*Q4599+F4600*Q4600)*R4600</f>
        <v>1.4499075148933174</v>
      </c>
      <c r="U4600" s="76">
        <f>U4599+S4600</f>
        <v>85.33681244615433</v>
      </c>
      <c r="V4600" s="76">
        <f>V4599+T4600</f>
        <v>1477.2284782502547</v>
      </c>
    </row>
    <row r="4601" spans="1:22" ht="19" customHeight="1">
      <c r="A4601" s="68" t="s">
        <v>378</v>
      </c>
      <c r="B4601" s="74">
        <v>5</v>
      </c>
      <c r="C4601" s="68" t="s">
        <v>363</v>
      </c>
      <c r="D4601" s="68" t="s">
        <v>365</v>
      </c>
      <c r="E4601" s="75">
        <f>60*F4601*'THAM_SO_MOI'!$C$53/(2*PI()*'THAM_SO_MOI'!$C$26)</f>
        <v>2367.515526315789</v>
      </c>
      <c r="F4601" s="75">
        <f>'THAM_SO_MOI'!$C$14+('THAM_SO_MOI'!$C$37-'THAM_SO_MOI'!$C$14)*510/'THAM_SO_MOI'!$C$42</f>
        <v>24.02927083333333</v>
      </c>
      <c r="G4601" s="75">
        <f>3.6*F4601</f>
        <v>86.505375</v>
      </c>
      <c r="H4601" s="75">
        <f>'THAM_SO_MOI'!$D$53</f>
        <v>1.1</v>
      </c>
      <c r="I4601" s="75">
        <f>IF(F4601&gt;='THAM_SO_MOI'!$C$14,'THAM_SO_MOI'!$C$13*(1+F4601^2/1500),'THAM_SO_MOI'!$C$13)</f>
        <v>0.02077405856781684</v>
      </c>
      <c r="J4601" s="75">
        <f>'THAM_SO_MOI'!$C$40*('THAM_SO_MOI'!$C$23*(E4601/'THAM_SO_MOI'!$C$22)+'THAM_SO_MOI'!$C$24*(E4601/'THAM_SO_MOI'!$C$22)^2-'THAM_SO_MOI'!$C$25*(E4601/'THAM_SO_MOI'!$C$22)^3)</f>
        <v>106.1349527389786</v>
      </c>
      <c r="K4601" s="75">
        <f>'THAM_SO_MOI'!$C$31*J4601/E4601</f>
        <v>428.17264068921367</v>
      </c>
      <c r="L4601" s="75">
        <f>K4601*'THAM_SO_MOI'!$C$53*'THAM_SO_MOI'!$C$17/'THAM_SO_MOI'!$C$26</f>
        <v>3755.075734270484</v>
      </c>
      <c r="M4601" s="75">
        <f>'THAM_SO_MOI'!$C$15*'THAM_SO_MOI'!$C$16*F4601^2</f>
        <v>1688.9121310864255</v>
      </c>
      <c r="N4601" s="75">
        <f>'THAM_SO_MOI'!$C$12*I4601</f>
        <v>1565.134191746175</v>
      </c>
      <c r="O4601" s="75">
        <f>M4601+N4601</f>
        <v>3254.0463228326007</v>
      </c>
      <c r="P4601" s="75">
        <f>(MIN(L4601,'THAM_SO_MOI'!$C$41)-O4601)/('THAM_SO_MOI'!$C$11*H4601)</f>
        <v>0.059307458740279824</v>
      </c>
      <c r="Q4601" s="75">
        <f>IF(P4601&gt;0,1/P4601,NA())</f>
        <v>16.86128559949291</v>
      </c>
      <c r="R4601" s="75">
        <f>F4601-F4600</f>
        <v>0.0035868055555532408</v>
      </c>
      <c r="S4601" s="75">
        <f>0.5*(Q4600+Q4601)*R4601</f>
        <v>0.0604363034353627</v>
      </c>
      <c r="T4601" s="75">
        <f>0.5*(F4600*Q4600+F4601*Q4601)*R4601</f>
        <v>1.4521319918322622</v>
      </c>
      <c r="U4601" s="76">
        <f>U4600+S4601</f>
        <v>85.39724874958969</v>
      </c>
      <c r="V4601" s="76">
        <f>V4600+T4601</f>
        <v>1478.680610242087</v>
      </c>
    </row>
    <row r="4602" spans="1:22" ht="19" customHeight="1">
      <c r="A4602" s="68" t="s">
        <v>378</v>
      </c>
      <c r="B4602" s="74">
        <v>5</v>
      </c>
      <c r="C4602" s="68" t="s">
        <v>363</v>
      </c>
      <c r="D4602" s="68" t="s">
        <v>365</v>
      </c>
      <c r="E4602" s="75">
        <f>60*F4602*'THAM_SO_MOI'!$C$53/(2*PI()*'THAM_SO_MOI'!$C$26)</f>
        <v>2367.868921052631</v>
      </c>
      <c r="F4602" s="75">
        <f>'THAM_SO_MOI'!$C$14+('THAM_SO_MOI'!$C$37-'THAM_SO_MOI'!$C$14)*511/'THAM_SO_MOI'!$C$42</f>
        <v>24.03285763888889</v>
      </c>
      <c r="G4602" s="75">
        <f>3.6*F4602</f>
        <v>86.5182875</v>
      </c>
      <c r="H4602" s="75">
        <f>'THAM_SO_MOI'!$D$53</f>
        <v>1.1</v>
      </c>
      <c r="I4602" s="75">
        <f>IF(F4602&gt;='THAM_SO_MOI'!$C$14,'THAM_SO_MOI'!$C$13*(1+F4602^2/1500),'THAM_SO_MOI'!$C$13)</f>
        <v>0.020775782462911</v>
      </c>
      <c r="J4602" s="75">
        <f>'THAM_SO_MOI'!$C$40*('THAM_SO_MOI'!$C$23*(E4602/'THAM_SO_MOI'!$C$22)+'THAM_SO_MOI'!$C$24*(E4602/'THAM_SO_MOI'!$C$22)^2-'THAM_SO_MOI'!$C$25*(E4602/'THAM_SO_MOI'!$C$22)^3)</f>
        <v>106.14908665589165</v>
      </c>
      <c r="K4602" s="75">
        <f>'THAM_SO_MOI'!$C$31*J4602/E4602</f>
        <v>428.16574861564703</v>
      </c>
      <c r="L4602" s="75">
        <f>K4602*'THAM_SO_MOI'!$C$53*'THAM_SO_MOI'!$C$17/'THAM_SO_MOI'!$C$26</f>
        <v>3755.015290758336</v>
      </c>
      <c r="M4602" s="75">
        <f>'THAM_SO_MOI'!$C$15*'THAM_SO_MOI'!$C$16*F4602^2</f>
        <v>1689.4163704014677</v>
      </c>
      <c r="N4602" s="75">
        <f>'THAM_SO_MOI'!$C$12*I4602</f>
        <v>1565.2640713816852</v>
      </c>
      <c r="O4602" s="75">
        <f>M4602+N4602</f>
        <v>3254.6804417831527</v>
      </c>
      <c r="P4602" s="75">
        <f>(MIN(L4602,'THAM_SO_MOI'!$C$41)-O4602)/('THAM_SO_MOI'!$C$11*H4602)</f>
        <v>0.05922524253967604</v>
      </c>
      <c r="Q4602" s="75">
        <f>IF(P4602&gt;0,1/P4602,NA())</f>
        <v>16.88469235613653</v>
      </c>
      <c r="R4602" s="75">
        <f>F4602-F4601</f>
        <v>0.0035868055555567935</v>
      </c>
      <c r="S4602" s="75">
        <f>0.5*(Q4601+Q4602)*R4602</f>
        <v>0.060520130604474386</v>
      </c>
      <c r="T4602" s="75">
        <f>0.5*(F4601*Q4601+F4602*Q4602)*R4602</f>
        <v>1.4543632214169575</v>
      </c>
      <c r="U4602" s="76">
        <f>U4601+S4602</f>
        <v>85.45776888019417</v>
      </c>
      <c r="V4602" s="76">
        <f>V4601+T4602</f>
        <v>1480.134973463504</v>
      </c>
    </row>
    <row r="4603" spans="1:22" ht="19" customHeight="1">
      <c r="A4603" s="68" t="s">
        <v>378</v>
      </c>
      <c r="B4603" s="74">
        <v>5</v>
      </c>
      <c r="C4603" s="68" t="s">
        <v>363</v>
      </c>
      <c r="D4603" s="68" t="s">
        <v>365</v>
      </c>
      <c r="E4603" s="75">
        <f>60*F4603*'THAM_SO_MOI'!$C$53/(2*PI()*'THAM_SO_MOI'!$C$26)</f>
        <v>2368.2223157894728</v>
      </c>
      <c r="F4603" s="75">
        <f>'THAM_SO_MOI'!$C$14+('THAM_SO_MOI'!$C$37-'THAM_SO_MOI'!$C$14)*512/'THAM_SO_MOI'!$C$42</f>
        <v>24.03644444444444</v>
      </c>
      <c r="G4603" s="75">
        <f>3.6*F4603</f>
        <v>86.5312</v>
      </c>
      <c r="H4603" s="75">
        <f>'THAM_SO_MOI'!$D$53</f>
        <v>1.1</v>
      </c>
      <c r="I4603" s="75">
        <f>IF(F4603&gt;='THAM_SO_MOI'!$C$14,'THAM_SO_MOI'!$C$13*(1+F4603^2/1500),'THAM_SO_MOI'!$C$13)</f>
        <v>0.02077750661530864</v>
      </c>
      <c r="J4603" s="75">
        <f>'THAM_SO_MOI'!$C$40*('THAM_SO_MOI'!$C$23*(E4603/'THAM_SO_MOI'!$C$22)+'THAM_SO_MOI'!$C$24*(E4603/'THAM_SO_MOI'!$C$22)^2-'THAM_SO_MOI'!$C$25*(E4603/'THAM_SO_MOI'!$C$22)^3)</f>
        <v>106.16321705859212</v>
      </c>
      <c r="K4603" s="75">
        <f>'THAM_SO_MOI'!$C$31*J4603/E4603</f>
        <v>428.1588444260958</v>
      </c>
      <c r="L4603" s="75">
        <f>K4603*'THAM_SO_MOI'!$C$53*'THAM_SO_MOI'!$C$17/'THAM_SO_MOI'!$C$26</f>
        <v>3754.954740988956</v>
      </c>
      <c r="M4603" s="75">
        <f>'THAM_SO_MOI'!$C$15*'THAM_SO_MOI'!$C$16*F4603^2</f>
        <v>1689.9206849777777</v>
      </c>
      <c r="N4603" s="75">
        <f>'THAM_SO_MOI'!$C$12*I4603</f>
        <v>1565.3939704026452</v>
      </c>
      <c r="O4603" s="75">
        <f>M4603+N4603</f>
        <v>3255.3146553804227</v>
      </c>
      <c r="P4603" s="75">
        <f>(MIN(L4603,'THAM_SO_MOI'!$C$41)-O4603)/('THAM_SO_MOI'!$C$11*H4603)</f>
        <v>0.05914300255782823</v>
      </c>
      <c r="Q4603" s="75">
        <f>IF(P4603&gt;0,1/P4603,NA())</f>
        <v>16.90817098814404</v>
      </c>
      <c r="R4603" s="75">
        <f>F4603-F4602</f>
        <v>0.0035868055555532408</v>
      </c>
      <c r="S4603" s="75">
        <f>0.5*(Q4602+Q4603)*R4603</f>
        <v>0.0606042149906585</v>
      </c>
      <c r="T4603" s="75">
        <f>0.5*(F4602*Q4602+F4603*Q4603)*R4603</f>
        <v>1.456601234468793</v>
      </c>
      <c r="U4603" s="76">
        <f>U4602+S4603</f>
        <v>85.51837309518483</v>
      </c>
      <c r="V4603" s="76">
        <f>V4602+T4603</f>
        <v>1481.5915746979726</v>
      </c>
    </row>
    <row r="4604" spans="1:22" ht="19" customHeight="1">
      <c r="A4604" s="68" t="s">
        <v>378</v>
      </c>
      <c r="B4604" s="74">
        <v>5</v>
      </c>
      <c r="C4604" s="68" t="s">
        <v>363</v>
      </c>
      <c r="D4604" s="68" t="s">
        <v>365</v>
      </c>
      <c r="E4604" s="75">
        <f>60*F4604*'THAM_SO_MOI'!$C$53/(2*PI()*'THAM_SO_MOI'!$C$26)</f>
        <v>2368.5757105263156</v>
      </c>
      <c r="F4604" s="75">
        <f>'THAM_SO_MOI'!$C$14+('THAM_SO_MOI'!$C$37-'THAM_SO_MOI'!$C$14)*513/'THAM_SO_MOI'!$C$42</f>
        <v>24.04003125</v>
      </c>
      <c r="G4604" s="75">
        <f>3.6*F4604</f>
        <v>86.5441125</v>
      </c>
      <c r="H4604" s="75">
        <f>'THAM_SO_MOI'!$D$53</f>
        <v>1.1</v>
      </c>
      <c r="I4604" s="75">
        <f>IF(F4604&gt;='THAM_SO_MOI'!$C$14,'THAM_SO_MOI'!$C$13*(1+F4604^2/1500),'THAM_SO_MOI'!$C$13)</f>
        <v>0.020779231025009764</v>
      </c>
      <c r="J4604" s="75">
        <f>'THAM_SO_MOI'!$C$40*('THAM_SO_MOI'!$C$23*(E4604/'THAM_SO_MOI'!$C$22)+'THAM_SO_MOI'!$C$24*(E4604/'THAM_SO_MOI'!$C$22)^2-'THAM_SO_MOI'!$C$25*(E4604/'THAM_SO_MOI'!$C$22)^3)</f>
        <v>106.1773439457352</v>
      </c>
      <c r="K4604" s="75">
        <f>'THAM_SO_MOI'!$C$31*J4604/E4604</f>
        <v>428.15192812056017</v>
      </c>
      <c r="L4604" s="75">
        <f>K4604*'THAM_SO_MOI'!$C$53*'THAM_SO_MOI'!$C$17/'THAM_SO_MOI'!$C$26</f>
        <v>3754.894084962345</v>
      </c>
      <c r="M4604" s="75">
        <f>'THAM_SO_MOI'!$C$15*'THAM_SO_MOI'!$C$16*F4604^2</f>
        <v>1690.4250748153563</v>
      </c>
      <c r="N4604" s="75">
        <f>'THAM_SO_MOI'!$C$12*I4604</f>
        <v>1565.5238888090557</v>
      </c>
      <c r="O4604" s="75">
        <f>M4604+N4604</f>
        <v>3255.948963624412</v>
      </c>
      <c r="P4604" s="75">
        <f>(MIN(L4604,'THAM_SO_MOI'!$C$41)-O4604)/('THAM_SO_MOI'!$C$11*H4604)</f>
        <v>0.05906073879473638</v>
      </c>
      <c r="Q4604" s="75">
        <f>IF(P4604&gt;0,1/P4604,NA())</f>
        <v>16.931721824128655</v>
      </c>
      <c r="R4604" s="75">
        <f>F4604-F4603</f>
        <v>0.0035868055555567935</v>
      </c>
      <c r="S4604" s="75">
        <f>0.5*(Q4603+Q4604)*R4604</f>
        <v>0.060688557769253054</v>
      </c>
      <c r="T4604" s="75">
        <f>0.5*(F4603*Q4603+F4604*Q4604)*R4604</f>
        <v>1.458846062008592</v>
      </c>
      <c r="U4604" s="76">
        <f>U4603+S4604</f>
        <v>85.57906165295408</v>
      </c>
      <c r="V4604" s="76">
        <f>V4603+T4604</f>
        <v>1483.0504207599813</v>
      </c>
    </row>
    <row r="4605" spans="1:22" ht="19" customHeight="1">
      <c r="A4605" s="68" t="s">
        <v>378</v>
      </c>
      <c r="B4605" s="74">
        <v>5</v>
      </c>
      <c r="C4605" s="68" t="s">
        <v>363</v>
      </c>
      <c r="D4605" s="68" t="s">
        <v>365</v>
      </c>
      <c r="E4605" s="75">
        <f>60*F4605*'THAM_SO_MOI'!$C$53/(2*PI()*'THAM_SO_MOI'!$C$26)</f>
        <v>2368.9291052631575</v>
      </c>
      <c r="F4605" s="75">
        <f>'THAM_SO_MOI'!$C$14+('THAM_SO_MOI'!$C$37-'THAM_SO_MOI'!$C$14)*514/'THAM_SO_MOI'!$C$42</f>
        <v>24.043618055555555</v>
      </c>
      <c r="G4605" s="75">
        <f>3.6*F4605</f>
        <v>86.557025</v>
      </c>
      <c r="H4605" s="75">
        <f>'THAM_SO_MOI'!$D$53</f>
        <v>1.1</v>
      </c>
      <c r="I4605" s="75">
        <f>IF(F4605&gt;='THAM_SO_MOI'!$C$14,'THAM_SO_MOI'!$C$13*(1+F4605^2/1500),'THAM_SO_MOI'!$C$13)</f>
        <v>0.020780955692014373</v>
      </c>
      <c r="J4605" s="75">
        <f>'THAM_SO_MOI'!$C$40*('THAM_SO_MOI'!$C$23*(E4605/'THAM_SO_MOI'!$C$22)+'THAM_SO_MOI'!$C$24*(E4605/'THAM_SO_MOI'!$C$22)^2-'THAM_SO_MOI'!$C$25*(E4605/'THAM_SO_MOI'!$C$22)^3)</f>
        <v>106.19146731597594</v>
      </c>
      <c r="K4605" s="75">
        <f>'THAM_SO_MOI'!$C$31*J4605/E4605</f>
        <v>428.1449996990402</v>
      </c>
      <c r="L4605" s="75">
        <f>K4605*'THAM_SO_MOI'!$C$53*'THAM_SO_MOI'!$C$17/'THAM_SO_MOI'!$C$26</f>
        <v>3754.8333226785044</v>
      </c>
      <c r="M4605" s="75">
        <f>'THAM_SO_MOI'!$C$15*'THAM_SO_MOI'!$C$16*F4605^2</f>
        <v>1690.9295399142038</v>
      </c>
      <c r="N4605" s="75">
        <f>'THAM_SO_MOI'!$C$12*I4605</f>
        <v>1565.6538266009165</v>
      </c>
      <c r="O4605" s="75">
        <f>M4605+N4605</f>
        <v>3256.5833665151204</v>
      </c>
      <c r="P4605" s="75">
        <f>(MIN(L4605,'THAM_SO_MOI'!$C$41)-O4605)/('THAM_SO_MOI'!$C$11*H4605)</f>
        <v>0.05897845125040057</v>
      </c>
      <c r="Q4605" s="75">
        <f>IF(P4605&gt;0,1/P4605,NA())</f>
        <v>16.955345194711402</v>
      </c>
      <c r="R4605" s="75">
        <f>F4605-F4604</f>
        <v>0.0035868055555567935</v>
      </c>
      <c r="S4605" s="75">
        <f>0.5*(Q4604+Q4605)*R4605</f>
        <v>0.06077316012235045</v>
      </c>
      <c r="T4605" s="75">
        <f>0.5*(F4604*Q4604+F4605*Q4605)*R4605</f>
        <v>1.4610977352364303</v>
      </c>
      <c r="U4605" s="76">
        <f>U4604+S4605</f>
        <v>85.63983481307643</v>
      </c>
      <c r="V4605" s="76">
        <f>V4604+T4605</f>
        <v>1484.5115184952178</v>
      </c>
    </row>
    <row r="4606" spans="1:22" ht="19" customHeight="1">
      <c r="A4606" s="68" t="s">
        <v>378</v>
      </c>
      <c r="B4606" s="74">
        <v>5</v>
      </c>
      <c r="C4606" s="68" t="s">
        <v>363</v>
      </c>
      <c r="D4606" s="68" t="s">
        <v>365</v>
      </c>
      <c r="E4606" s="75">
        <f>60*F4606*'THAM_SO_MOI'!$C$53/(2*PI()*'THAM_SO_MOI'!$C$26)</f>
        <v>2369.2824999999993</v>
      </c>
      <c r="F4606" s="75">
        <f>'THAM_SO_MOI'!$C$14+('THAM_SO_MOI'!$C$37-'THAM_SO_MOI'!$C$14)*515/'THAM_SO_MOI'!$C$42</f>
        <v>24.04720486111111</v>
      </c>
      <c r="G4606" s="75">
        <f>3.6*F4606</f>
        <v>86.5699375</v>
      </c>
      <c r="H4606" s="75">
        <f>'THAM_SO_MOI'!$D$53</f>
        <v>1.1</v>
      </c>
      <c r="I4606" s="75">
        <f>IF(F4606&gt;='THAM_SO_MOI'!$C$14,'THAM_SO_MOI'!$C$13*(1+F4606^2/1500),'THAM_SO_MOI'!$C$13)</f>
        <v>0.020782680616322456</v>
      </c>
      <c r="J4606" s="75">
        <f>'THAM_SO_MOI'!$C$40*('THAM_SO_MOI'!$C$23*(E4606/'THAM_SO_MOI'!$C$22)+'THAM_SO_MOI'!$C$24*(E4606/'THAM_SO_MOI'!$C$22)^2-'THAM_SO_MOI'!$C$25*(E4606/'THAM_SO_MOI'!$C$22)^3)</f>
        <v>106.2055871679694</v>
      </c>
      <c r="K4606" s="75">
        <f>'THAM_SO_MOI'!$C$31*J4606/E4606</f>
        <v>428.13805916153564</v>
      </c>
      <c r="L4606" s="75">
        <f>K4606*'THAM_SO_MOI'!$C$53*'THAM_SO_MOI'!$C$17/'THAM_SO_MOI'!$C$26</f>
        <v>3754.772454137431</v>
      </c>
      <c r="M4606" s="75">
        <f>'THAM_SO_MOI'!$C$15*'THAM_SO_MOI'!$C$16*F4606^2</f>
        <v>1691.4340802743188</v>
      </c>
      <c r="N4606" s="75">
        <f>'THAM_SO_MOI'!$C$12*I4606</f>
        <v>1565.783783778227</v>
      </c>
      <c r="O4606" s="75">
        <f>M4606+N4606</f>
        <v>3257.217864052546</v>
      </c>
      <c r="P4606" s="75">
        <f>(MIN(L4606,'THAM_SO_MOI'!$C$41)-O4606)/('THAM_SO_MOI'!$C$11*H4606)</f>
        <v>0.05889613992482066</v>
      </c>
      <c r="Q4606" s="75">
        <f>IF(P4606&gt;0,1/P4606,NA())</f>
        <v>16.97904143253655</v>
      </c>
      <c r="R4606" s="75">
        <f>F4606-F4605</f>
        <v>0.0035868055555532408</v>
      </c>
      <c r="S4606" s="75">
        <f>0.5*(Q4605+Q4606)*R4606</f>
        <v>0.06085802323945228</v>
      </c>
      <c r="T4606" s="75">
        <f>0.5*(F4605*Q4605+F4606*Q4606)*R4606</f>
        <v>1.4633562855474984</v>
      </c>
      <c r="U4606" s="76">
        <f>U4605+S4606</f>
        <v>85.70069283631588</v>
      </c>
      <c r="V4606" s="76">
        <f>V4605+T4606</f>
        <v>1485.9748747807653</v>
      </c>
    </row>
    <row r="4607" spans="1:22" ht="19" customHeight="1">
      <c r="A4607" s="68" t="s">
        <v>378</v>
      </c>
      <c r="B4607" s="74">
        <v>5</v>
      </c>
      <c r="C4607" s="68" t="s">
        <v>363</v>
      </c>
      <c r="D4607" s="68" t="s">
        <v>365</v>
      </c>
      <c r="E4607" s="75">
        <f>60*F4607*'THAM_SO_MOI'!$C$53/(2*PI()*'THAM_SO_MOI'!$C$26)</f>
        <v>2369.6358947368412</v>
      </c>
      <c r="F4607" s="75">
        <f>'THAM_SO_MOI'!$C$14+('THAM_SO_MOI'!$C$37-'THAM_SO_MOI'!$C$14)*516/'THAM_SO_MOI'!$C$42</f>
        <v>24.050791666666665</v>
      </c>
      <c r="G4607" s="75">
        <f>3.6*F4607</f>
        <v>86.58285</v>
      </c>
      <c r="H4607" s="75">
        <f>'THAM_SO_MOI'!$D$53</f>
        <v>1.1</v>
      </c>
      <c r="I4607" s="75">
        <f>IF(F4607&gt;='THAM_SO_MOI'!$C$14,'THAM_SO_MOI'!$C$13*(1+F4607^2/1500),'THAM_SO_MOI'!$C$13)</f>
        <v>0.020784405797934023</v>
      </c>
      <c r="J4607" s="75">
        <f>'THAM_SO_MOI'!$C$40*('THAM_SO_MOI'!$C$23*(E4607/'THAM_SO_MOI'!$C$22)+'THAM_SO_MOI'!$C$24*(E4607/'THAM_SO_MOI'!$C$22)^2-'THAM_SO_MOI'!$C$25*(E4607/'THAM_SO_MOI'!$C$22)^3)</f>
        <v>106.2197035003708</v>
      </c>
      <c r="K4607" s="75">
        <f>'THAM_SO_MOI'!$C$31*J4607/E4607</f>
        <v>428.13110650804674</v>
      </c>
      <c r="L4607" s="75">
        <f>K4607*'THAM_SO_MOI'!$C$53*'THAM_SO_MOI'!$C$17/'THAM_SO_MOI'!$C$26</f>
        <v>3754.711479339128</v>
      </c>
      <c r="M4607" s="75">
        <f>'THAM_SO_MOI'!$C$15*'THAM_SO_MOI'!$C$16*F4607^2</f>
        <v>1691.9386958957032</v>
      </c>
      <c r="N4607" s="75">
        <f>'THAM_SO_MOI'!$C$12*I4607</f>
        <v>1565.9137603409877</v>
      </c>
      <c r="O4607" s="75">
        <f>M4607+N4607</f>
        <v>3257.852456236691</v>
      </c>
      <c r="P4607" s="75">
        <f>(MIN(L4607,'THAM_SO_MOI'!$C$41)-O4607)/('THAM_SO_MOI'!$C$11*H4607)</f>
        <v>0.058813804817996786</v>
      </c>
      <c r="Q4607" s="75">
        <f>IF(P4607&gt;0,1/P4607,NA())</f>
        <v>17.00281087228698</v>
      </c>
      <c r="R4607" s="75">
        <f>F4607-F4606</f>
        <v>0.0035868055555567935</v>
      </c>
      <c r="S4607" s="75">
        <f>0.5*(Q4606+Q4607)*R4607</f>
        <v>0.06094314831752574</v>
      </c>
      <c r="T4607" s="75">
        <f>0.5*(F4606*Q4606+F4607*Q4607)*R4607</f>
        <v>1.4656217445335944</v>
      </c>
      <c r="U4607" s="76">
        <f>U4606+S4607</f>
        <v>85.7616359846334</v>
      </c>
      <c r="V4607" s="76">
        <f>V4606+T4607</f>
        <v>1487.4404965252988</v>
      </c>
    </row>
    <row r="4608" spans="1:22" ht="19" customHeight="1">
      <c r="A4608" s="68" t="s">
        <v>378</v>
      </c>
      <c r="B4608" s="74">
        <v>5</v>
      </c>
      <c r="C4608" s="68" t="s">
        <v>363</v>
      </c>
      <c r="D4608" s="68" t="s">
        <v>365</v>
      </c>
      <c r="E4608" s="75">
        <f>60*F4608*'THAM_SO_MOI'!$C$53/(2*PI()*'THAM_SO_MOI'!$C$26)</f>
        <v>2369.9892894736836</v>
      </c>
      <c r="F4608" s="75">
        <f>'THAM_SO_MOI'!$C$14+('THAM_SO_MOI'!$C$37-'THAM_SO_MOI'!$C$14)*517/'THAM_SO_MOI'!$C$42</f>
        <v>24.054378472222222</v>
      </c>
      <c r="G4608" s="75">
        <f>3.6*F4608</f>
        <v>86.5957625</v>
      </c>
      <c r="H4608" s="75">
        <f>'THAM_SO_MOI'!$D$53</f>
        <v>1.1</v>
      </c>
      <c r="I4608" s="75">
        <f>IF(F4608&gt;='THAM_SO_MOI'!$C$14,'THAM_SO_MOI'!$C$13*(1+F4608^2/1500),'THAM_SO_MOI'!$C$13)</f>
        <v>0.020786131236849078</v>
      </c>
      <c r="J4608" s="75">
        <f>'THAM_SO_MOI'!$C$40*('THAM_SO_MOI'!$C$23*(E4608/'THAM_SO_MOI'!$C$22)+'THAM_SO_MOI'!$C$24*(E4608/'THAM_SO_MOI'!$C$22)^2-'THAM_SO_MOI'!$C$25*(E4608/'THAM_SO_MOI'!$C$22)^3)</f>
        <v>106.2338163118352</v>
      </c>
      <c r="K4608" s="75">
        <f>'THAM_SO_MOI'!$C$31*J4608/E4608</f>
        <v>428.12414173857337</v>
      </c>
      <c r="L4608" s="75">
        <f>K4608*'THAM_SO_MOI'!$C$53*'THAM_SO_MOI'!$C$17/'THAM_SO_MOI'!$C$26</f>
        <v>3754.650398283594</v>
      </c>
      <c r="M4608" s="75">
        <f>'THAM_SO_MOI'!$C$15*'THAM_SO_MOI'!$C$16*F4608^2</f>
        <v>1692.4433867783557</v>
      </c>
      <c r="N4608" s="75">
        <f>'THAM_SO_MOI'!$C$12*I4608</f>
        <v>1566.043756289199</v>
      </c>
      <c r="O4608" s="75">
        <f>M4608+N4608</f>
        <v>3258.487143067555</v>
      </c>
      <c r="P4608" s="75">
        <f>(MIN(L4608,'THAM_SO_MOI'!$C$41)-O4608)/('THAM_SO_MOI'!$C$11*H4608)</f>
        <v>0.05873144592992889</v>
      </c>
      <c r="Q4608" s="75">
        <f>IF(P4608&gt;0,1/P4608,NA())</f>
        <v>17.026653850699955</v>
      </c>
      <c r="R4608" s="75">
        <f>F4608-F4607</f>
        <v>0.0035868055555567935</v>
      </c>
      <c r="S4608" s="75">
        <f>0.5*(Q4607+Q4608)*R4608</f>
        <v>0.06102853656051672</v>
      </c>
      <c r="T4608" s="75">
        <f>0.5*(F4607*Q4607+F4608*Q4608)*R4608</f>
        <v>1.467894143971546</v>
      </c>
      <c r="U4608" s="76">
        <f>U4607+S4608</f>
        <v>85.82266452119391</v>
      </c>
      <c r="V4608" s="76">
        <f>V4607+T4608</f>
        <v>1488.9083906692704</v>
      </c>
    </row>
    <row r="4609" spans="1:22" ht="19" customHeight="1">
      <c r="A4609" s="68" t="s">
        <v>378</v>
      </c>
      <c r="B4609" s="74">
        <v>5</v>
      </c>
      <c r="C4609" s="68" t="s">
        <v>363</v>
      </c>
      <c r="D4609" s="68" t="s">
        <v>365</v>
      </c>
      <c r="E4609" s="75">
        <f>60*F4609*'THAM_SO_MOI'!$C$53/(2*PI()*'THAM_SO_MOI'!$C$26)</f>
        <v>2370.3426842105255</v>
      </c>
      <c r="F4609" s="75">
        <f>'THAM_SO_MOI'!$C$14+('THAM_SO_MOI'!$C$37-'THAM_SO_MOI'!$C$14)*518/'THAM_SO_MOI'!$C$42</f>
        <v>24.057965277777775</v>
      </c>
      <c r="G4609" s="75">
        <f>3.6*F4609</f>
        <v>86.60867499999999</v>
      </c>
      <c r="H4609" s="75">
        <f>'THAM_SO_MOI'!$D$53</f>
        <v>1.1</v>
      </c>
      <c r="I4609" s="75">
        <f>IF(F4609&gt;='THAM_SO_MOI'!$C$14,'THAM_SO_MOI'!$C$13*(1+F4609^2/1500),'THAM_SO_MOI'!$C$13)</f>
        <v>0.02078785693306761</v>
      </c>
      <c r="J4609" s="75">
        <f>'THAM_SO_MOI'!$C$40*('THAM_SO_MOI'!$C$23*(E4609/'THAM_SO_MOI'!$C$22)+'THAM_SO_MOI'!$C$24*(E4609/'THAM_SO_MOI'!$C$22)^2-'THAM_SO_MOI'!$C$25*(E4609/'THAM_SO_MOI'!$C$22)^3)</f>
        <v>106.24792560101768</v>
      </c>
      <c r="K4609" s="75">
        <f>'THAM_SO_MOI'!$C$31*J4609/E4609</f>
        <v>428.1171648531155</v>
      </c>
      <c r="L4609" s="75">
        <f>K4609*'THAM_SO_MOI'!$C$53*'THAM_SO_MOI'!$C$17/'THAM_SO_MOI'!$C$26</f>
        <v>3754.589210970828</v>
      </c>
      <c r="M4609" s="75">
        <f>'THAM_SO_MOI'!$C$15*'THAM_SO_MOI'!$C$16*F4609^2</f>
        <v>1692.9481529222762</v>
      </c>
      <c r="N4609" s="75">
        <f>'THAM_SO_MOI'!$C$12*I4609</f>
        <v>1566.1737716228602</v>
      </c>
      <c r="O4609" s="75">
        <f>M4609+N4609</f>
        <v>3259.1219245451366</v>
      </c>
      <c r="P4609" s="75">
        <f>(MIN(L4609,'THAM_SO_MOI'!$C$41)-O4609)/('THAM_SO_MOI'!$C$11*H4609)</f>
        <v>0.0586490632606169</v>
      </c>
      <c r="Q4609" s="75">
        <f>IF(P4609&gt;0,1/P4609,NA())</f>
        <v>17.050570706582867</v>
      </c>
      <c r="R4609" s="75">
        <f>F4609-F4608</f>
        <v>0.0035868055555532408</v>
      </c>
      <c r="S4609" s="75">
        <f>0.5*(Q4608+Q4609)*R4609</f>
        <v>0.061114189179948666</v>
      </c>
      <c r="T4609" s="75">
        <f>0.5*(F4608*Q4608+F4609*Q4609)*R4609</f>
        <v>1.4701735158377394</v>
      </c>
      <c r="U4609" s="76">
        <f>U4608+S4609</f>
        <v>85.88377871037386</v>
      </c>
      <c r="V4609" s="76">
        <f>V4608+T4609</f>
        <v>1490.3785641851082</v>
      </c>
    </row>
    <row r="4610" spans="1:22" ht="19" customHeight="1">
      <c r="A4610" s="68" t="s">
        <v>378</v>
      </c>
      <c r="B4610" s="74">
        <v>5</v>
      </c>
      <c r="C4610" s="68" t="s">
        <v>363</v>
      </c>
      <c r="D4610" s="68" t="s">
        <v>365</v>
      </c>
      <c r="E4610" s="75">
        <f>60*F4610*'THAM_SO_MOI'!$C$53/(2*PI()*'THAM_SO_MOI'!$C$26)</f>
        <v>2370.696078947368</v>
      </c>
      <c r="F4610" s="75">
        <f>'THAM_SO_MOI'!$C$14+('THAM_SO_MOI'!$C$37-'THAM_SO_MOI'!$C$14)*519/'THAM_SO_MOI'!$C$42</f>
        <v>24.061552083333332</v>
      </c>
      <c r="G4610" s="75">
        <f>3.6*F4610</f>
        <v>86.6215875</v>
      </c>
      <c r="H4610" s="75">
        <f>'THAM_SO_MOI'!$D$53</f>
        <v>1.1</v>
      </c>
      <c r="I4610" s="75">
        <f>IF(F4610&gt;='THAM_SO_MOI'!$C$14,'THAM_SO_MOI'!$C$13*(1+F4610^2/1500),'THAM_SO_MOI'!$C$13)</f>
        <v>0.020789582886589626</v>
      </c>
      <c r="J4610" s="75">
        <f>'THAM_SO_MOI'!$C$40*('THAM_SO_MOI'!$C$23*(E4610/'THAM_SO_MOI'!$C$22)+'THAM_SO_MOI'!$C$24*(E4610/'THAM_SO_MOI'!$C$22)^2-'THAM_SO_MOI'!$C$25*(E4610/'THAM_SO_MOI'!$C$22)^3)</f>
        <v>106.26203136657341</v>
      </c>
      <c r="K4610" s="75">
        <f>'THAM_SO_MOI'!$C$31*J4610/E4610</f>
        <v>428.1101758516732</v>
      </c>
      <c r="L4610" s="75">
        <f>K4610*'THAM_SO_MOI'!$C$53*'THAM_SO_MOI'!$C$17/'THAM_SO_MOI'!$C$26</f>
        <v>3754.5279174008315</v>
      </c>
      <c r="M4610" s="75">
        <f>'THAM_SO_MOI'!$C$15*'THAM_SO_MOI'!$C$16*F4610^2</f>
        <v>1693.4529943274656</v>
      </c>
      <c r="N4610" s="75">
        <f>'THAM_SO_MOI'!$C$12*I4610</f>
        <v>1566.3038063419717</v>
      </c>
      <c r="O4610" s="75">
        <f>M4610+N4610</f>
        <v>3259.7568006694373</v>
      </c>
      <c r="P4610" s="75">
        <f>(MIN(L4610,'THAM_SO_MOI'!$C$41)-O4610)/('THAM_SO_MOI'!$C$11*H4610)</f>
        <v>0.05856665681006086</v>
      </c>
      <c r="Q4610" s="75">
        <f>IF(P4610&gt;0,1/P4610,NA())</f>
        <v>17.074561780829107</v>
      </c>
      <c r="R4610" s="75">
        <f>F4610-F4609</f>
        <v>0.0035868055555567935</v>
      </c>
      <c r="S4610" s="75">
        <f>0.5*(Q4609+Q4610)*R4610</f>
        <v>0.06120010739498045</v>
      </c>
      <c r="T4610" s="75">
        <f>0.5*(F4609*Q4609+F4610*Q4610)*R4610</f>
        <v>1.4724598923096497</v>
      </c>
      <c r="U4610" s="76">
        <f>U4609+S4610</f>
        <v>85.94497881776884</v>
      </c>
      <c r="V4610" s="76">
        <f>V4609+T4610</f>
        <v>1491.8510240774178</v>
      </c>
    </row>
    <row r="4611" spans="1:22" ht="19" customHeight="1">
      <c r="A4611" s="68" t="s">
        <v>378</v>
      </c>
      <c r="B4611" s="74">
        <v>5</v>
      </c>
      <c r="C4611" s="68" t="s">
        <v>363</v>
      </c>
      <c r="D4611" s="68" t="s">
        <v>365</v>
      </c>
      <c r="E4611" s="75">
        <f>60*F4611*'THAM_SO_MOI'!$C$53/(2*PI()*'THAM_SO_MOI'!$C$26)</f>
        <v>2371.04947368421</v>
      </c>
      <c r="F4611" s="75">
        <f>'THAM_SO_MOI'!$C$14+('THAM_SO_MOI'!$C$37-'THAM_SO_MOI'!$C$14)*520/'THAM_SO_MOI'!$C$42</f>
        <v>24.06513888888889</v>
      </c>
      <c r="G4611" s="75">
        <f>3.6*F4611</f>
        <v>86.6345</v>
      </c>
      <c r="H4611" s="75">
        <f>'THAM_SO_MOI'!$D$53</f>
        <v>1.1</v>
      </c>
      <c r="I4611" s="75">
        <f>IF(F4611&gt;='THAM_SO_MOI'!$C$14,'THAM_SO_MOI'!$C$13*(1+F4611^2/1500),'THAM_SO_MOI'!$C$13)</f>
        <v>0.020791309097415125</v>
      </c>
      <c r="J4611" s="75">
        <f>'THAM_SO_MOI'!$C$40*('THAM_SO_MOI'!$C$23*(E4611/'THAM_SO_MOI'!$C$22)+'THAM_SO_MOI'!$C$24*(E4611/'THAM_SO_MOI'!$C$22)^2-'THAM_SO_MOI'!$C$25*(E4611/'THAM_SO_MOI'!$C$22)^3)</f>
        <v>106.27613360715743</v>
      </c>
      <c r="K4611" s="75">
        <f>'THAM_SO_MOI'!$C$31*J4611/E4611</f>
        <v>428.10317473424635</v>
      </c>
      <c r="L4611" s="75">
        <f>K4611*'THAM_SO_MOI'!$C$53*'THAM_SO_MOI'!$C$17/'THAM_SO_MOI'!$C$26</f>
        <v>3754.4665175736027</v>
      </c>
      <c r="M4611" s="75">
        <f>'THAM_SO_MOI'!$C$15*'THAM_SO_MOI'!$C$16*F4611^2</f>
        <v>1693.9579109939239</v>
      </c>
      <c r="N4611" s="75">
        <f>'THAM_SO_MOI'!$C$12*I4611</f>
        <v>1566.4338604465336</v>
      </c>
      <c r="O4611" s="75">
        <f>M4611+N4611</f>
        <v>3260.3917714404574</v>
      </c>
      <c r="P4611" s="75">
        <f>(MIN(L4611,'THAM_SO_MOI'!$C$41)-O4611)/('THAM_SO_MOI'!$C$11*H4611)</f>
        <v>0.05848422657826054</v>
      </c>
      <c r="Q4611" s="75">
        <f>IF(P4611&gt;0,1/P4611,NA())</f>
        <v>17.09862741643428</v>
      </c>
      <c r="R4611" s="75">
        <f>F4611-F4610</f>
        <v>0.0035868055555567935</v>
      </c>
      <c r="S4611" s="75">
        <f>0.5*(Q4610+Q4611)*R4611</f>
        <v>0.061286292431918854</v>
      </c>
      <c r="T4611" s="75">
        <f>0.5*(F4610*Q4610+F4611*Q4611)*R4611</f>
        <v>1.4747533057542481</v>
      </c>
      <c r="U4611" s="76">
        <f>U4610+S4611</f>
        <v>86.00626511020076</v>
      </c>
      <c r="V4611" s="76">
        <f>V4610+T4611</f>
        <v>1493.3257773831722</v>
      </c>
    </row>
    <row r="4612" spans="1:22" ht="19" customHeight="1">
      <c r="A4612" s="68" t="s">
        <v>378</v>
      </c>
      <c r="B4612" s="74">
        <v>5</v>
      </c>
      <c r="C4612" s="68" t="s">
        <v>363</v>
      </c>
      <c r="D4612" s="68" t="s">
        <v>365</v>
      </c>
      <c r="E4612" s="75">
        <f>60*F4612*'THAM_SO_MOI'!$C$53/(2*PI()*'THAM_SO_MOI'!$C$26)</f>
        <v>2371.402868421052</v>
      </c>
      <c r="F4612" s="75">
        <f>'THAM_SO_MOI'!$C$14+('THAM_SO_MOI'!$C$37-'THAM_SO_MOI'!$C$14)*521/'THAM_SO_MOI'!$C$42</f>
        <v>24.068725694444442</v>
      </c>
      <c r="G4612" s="75">
        <f>3.6*F4612</f>
        <v>86.64741249999999</v>
      </c>
      <c r="H4612" s="75">
        <f>'THAM_SO_MOI'!$D$53</f>
        <v>1.1</v>
      </c>
      <c r="I4612" s="75">
        <f>IF(F4612&gt;='THAM_SO_MOI'!$C$14,'THAM_SO_MOI'!$C$13*(1+F4612^2/1500),'THAM_SO_MOI'!$C$13)</f>
        <v>0.0207930355655441</v>
      </c>
      <c r="J4612" s="75">
        <f>'THAM_SO_MOI'!$C$40*('THAM_SO_MOI'!$C$23*(E4612/'THAM_SO_MOI'!$C$22)+'THAM_SO_MOI'!$C$24*(E4612/'THAM_SO_MOI'!$C$22)^2-'THAM_SO_MOI'!$C$25*(E4612/'THAM_SO_MOI'!$C$22)^3)</f>
        <v>106.29023232142491</v>
      </c>
      <c r="K4612" s="75">
        <f>'THAM_SO_MOI'!$C$31*J4612/E4612</f>
        <v>428.0961615008352</v>
      </c>
      <c r="L4612" s="75">
        <f>K4612*'THAM_SO_MOI'!$C$53*'THAM_SO_MOI'!$C$17/'THAM_SO_MOI'!$C$26</f>
        <v>3754.4050114891443</v>
      </c>
      <c r="M4612" s="75">
        <f>'THAM_SO_MOI'!$C$15*'THAM_SO_MOI'!$C$16*F4612^2</f>
        <v>1694.4629029216499</v>
      </c>
      <c r="N4612" s="75">
        <f>'THAM_SO_MOI'!$C$12*I4612</f>
        <v>1566.563933936545</v>
      </c>
      <c r="O4612" s="75">
        <f>M4612+N4612</f>
        <v>3261.0268368581947</v>
      </c>
      <c r="P4612" s="75">
        <f>(MIN(L4612,'THAM_SO_MOI'!$C$41)-O4612)/('THAM_SO_MOI'!$C$11*H4612)</f>
        <v>0.058401772565216545</v>
      </c>
      <c r="Q4612" s="75">
        <f>IF(P4612&gt;0,1/P4612,NA())</f>
        <v>17.122767958512085</v>
      </c>
      <c r="R4612" s="75">
        <f>F4612-F4611</f>
        <v>0.0035868055555532408</v>
      </c>
      <c r="S4612" s="75">
        <f>0.5*(Q4611+Q4612)*R4612</f>
        <v>0.061372745524820804</v>
      </c>
      <c r="T4612" s="75">
        <f>0.5*(F4611*Q4611+F4612*Q4612)*R4612</f>
        <v>1.4770537887426198</v>
      </c>
      <c r="U4612" s="76">
        <f>U4611+S4612</f>
        <v>86.06763785572558</v>
      </c>
      <c r="V4612" s="76">
        <f>V4611+T4612</f>
        <v>1494.8028311719147</v>
      </c>
    </row>
    <row r="4613" spans="1:22" ht="19" customHeight="1">
      <c r="A4613" s="68" t="s">
        <v>378</v>
      </c>
      <c r="B4613" s="74">
        <v>5</v>
      </c>
      <c r="C4613" s="68" t="s">
        <v>363</v>
      </c>
      <c r="D4613" s="68" t="s">
        <v>365</v>
      </c>
      <c r="E4613" s="75">
        <f>60*F4613*'THAM_SO_MOI'!$C$53/(2*PI()*'THAM_SO_MOI'!$C$26)</f>
        <v>2371.756263157894</v>
      </c>
      <c r="F4613" s="75">
        <f>'THAM_SO_MOI'!$C$14+('THAM_SO_MOI'!$C$37-'THAM_SO_MOI'!$C$14)*522/'THAM_SO_MOI'!$C$42</f>
        <v>24.0723125</v>
      </c>
      <c r="G4613" s="75">
        <f>3.6*F4613</f>
        <v>86.660325</v>
      </c>
      <c r="H4613" s="75">
        <f>'THAM_SO_MOI'!$D$53</f>
        <v>1.1</v>
      </c>
      <c r="I4613" s="75">
        <f>IF(F4613&gt;='THAM_SO_MOI'!$C$14,'THAM_SO_MOI'!$C$13*(1+F4613^2/1500),'THAM_SO_MOI'!$C$13)</f>
        <v>0.020794762290976564</v>
      </c>
      <c r="J4613" s="75">
        <f>'THAM_SO_MOI'!$C$40*('THAM_SO_MOI'!$C$23*(E4613/'THAM_SO_MOI'!$C$22)+'THAM_SO_MOI'!$C$24*(E4613/'THAM_SO_MOI'!$C$22)^2-'THAM_SO_MOI'!$C$25*(E4613/'THAM_SO_MOI'!$C$22)^3)</f>
        <v>106.30432750803094</v>
      </c>
      <c r="K4613" s="75">
        <f>'THAM_SO_MOI'!$C$31*J4613/E4613</f>
        <v>428.08913615143956</v>
      </c>
      <c r="L4613" s="75">
        <f>K4613*'THAM_SO_MOI'!$C$53*'THAM_SO_MOI'!$C$17/'THAM_SO_MOI'!$C$26</f>
        <v>3754.343399147454</v>
      </c>
      <c r="M4613" s="75">
        <f>'THAM_SO_MOI'!$C$15*'THAM_SO_MOI'!$C$16*F4613^2</f>
        <v>1694.9679701106445</v>
      </c>
      <c r="N4613" s="75">
        <f>'THAM_SO_MOI'!$C$12*I4613</f>
        <v>1566.6940268120072</v>
      </c>
      <c r="O4613" s="75">
        <f>M4613+N4613</f>
        <v>3261.6619969226517</v>
      </c>
      <c r="P4613" s="75">
        <f>(MIN(L4613,'THAM_SO_MOI'!$C$41)-O4613)/('THAM_SO_MOI'!$C$11*H4613)</f>
        <v>0.05831929477092832</v>
      </c>
      <c r="Q4613" s="75">
        <f>IF(P4613&gt;0,1/P4613,NA())</f>
        <v>17.146983754311304</v>
      </c>
      <c r="R4613" s="75">
        <f>F4613-F4612</f>
        <v>0.0035868055555567935</v>
      </c>
      <c r="S4613" s="75">
        <f>0.5*(Q4612+Q4613)*R4613</f>
        <v>0.06145946791555344</v>
      </c>
      <c r="T4613" s="75">
        <f>0.5*(F4612*Q4612+F4613*Q4613)*R4613</f>
        <v>1.4793613740515525</v>
      </c>
      <c r="U4613" s="76">
        <f>U4612+S4613</f>
        <v>86.12909732364113</v>
      </c>
      <c r="V4613" s="76">
        <f>V4612+T4613</f>
        <v>1496.2821925459662</v>
      </c>
    </row>
    <row r="4614" spans="1:22" ht="19" customHeight="1">
      <c r="A4614" s="68" t="s">
        <v>378</v>
      </c>
      <c r="B4614" s="74">
        <v>5</v>
      </c>
      <c r="C4614" s="68" t="s">
        <v>363</v>
      </c>
      <c r="D4614" s="68" t="s">
        <v>365</v>
      </c>
      <c r="E4614" s="75">
        <f>60*F4614*'THAM_SO_MOI'!$C$53/(2*PI()*'THAM_SO_MOI'!$C$26)</f>
        <v>2372.1096578947363</v>
      </c>
      <c r="F4614" s="75">
        <f>'THAM_SO_MOI'!$C$14+('THAM_SO_MOI'!$C$37-'THAM_SO_MOI'!$C$14)*523/'THAM_SO_MOI'!$C$42</f>
        <v>24.075899305555556</v>
      </c>
      <c r="G4614" s="75">
        <f>3.6*F4614</f>
        <v>86.6732375</v>
      </c>
      <c r="H4614" s="75">
        <f>'THAM_SO_MOI'!$D$53</f>
        <v>1.1</v>
      </c>
      <c r="I4614" s="75">
        <f>IF(F4614&gt;='THAM_SO_MOI'!$C$14,'THAM_SO_MOI'!$C$13*(1+F4614^2/1500),'THAM_SO_MOI'!$C$13)</f>
        <v>0.020796489273712505</v>
      </c>
      <c r="J4614" s="75">
        <f>'THAM_SO_MOI'!$C$40*('THAM_SO_MOI'!$C$23*(E4614/'THAM_SO_MOI'!$C$22)+'THAM_SO_MOI'!$C$24*(E4614/'THAM_SO_MOI'!$C$22)^2-'THAM_SO_MOI'!$C$25*(E4614/'THAM_SO_MOI'!$C$22)^3)</f>
        <v>106.31841916563062</v>
      </c>
      <c r="K4614" s="75">
        <f>'THAM_SO_MOI'!$C$31*J4614/E4614</f>
        <v>428.08209868605934</v>
      </c>
      <c r="L4614" s="75">
        <f>K4614*'THAM_SO_MOI'!$C$53*'THAM_SO_MOI'!$C$17/'THAM_SO_MOI'!$C$26</f>
        <v>3754.2816805485327</v>
      </c>
      <c r="M4614" s="75">
        <f>'THAM_SO_MOI'!$C$15*'THAM_SO_MOI'!$C$16*F4614^2</f>
        <v>1695.4731125609078</v>
      </c>
      <c r="N4614" s="75">
        <f>'THAM_SO_MOI'!$C$12*I4614</f>
        <v>1566.8241390729193</v>
      </c>
      <c r="O4614" s="75">
        <f>M4614+N4614</f>
        <v>3262.297251633827</v>
      </c>
      <c r="P4614" s="75">
        <f>(MIN(L4614,'THAM_SO_MOI'!$C$41)-O4614)/('THAM_SO_MOI'!$C$11*H4614)</f>
        <v>0.05823679319539603</v>
      </c>
      <c r="Q4614" s="75">
        <f>IF(P4614&gt;0,1/P4614,NA())</f>
        <v>17.171275153231758</v>
      </c>
      <c r="R4614" s="75">
        <f>F4614-F4613</f>
        <v>0.0035868055555567935</v>
      </c>
      <c r="S4614" s="75">
        <f>0.5*(Q4613+Q4614)*R4614</f>
        <v>0.06154646085330593</v>
      </c>
      <c r="T4614" s="75">
        <f>0.5*(F4613*Q4613+F4614*Q4614)*R4614</f>
        <v>1.4816760946519227</v>
      </c>
      <c r="U4614" s="76">
        <f>U4613+S4614</f>
        <v>86.19064378449444</v>
      </c>
      <c r="V4614" s="76">
        <f>V4613+T4614</f>
        <v>1497.763868640618</v>
      </c>
    </row>
    <row r="4615" spans="1:22" ht="19" customHeight="1">
      <c r="A4615" s="68" t="s">
        <v>378</v>
      </c>
      <c r="B4615" s="74">
        <v>5</v>
      </c>
      <c r="C4615" s="68" t="s">
        <v>363</v>
      </c>
      <c r="D4615" s="68" t="s">
        <v>365</v>
      </c>
      <c r="E4615" s="75">
        <f>60*F4615*'THAM_SO_MOI'!$C$53/(2*PI()*'THAM_SO_MOI'!$C$26)</f>
        <v>2372.463052631578</v>
      </c>
      <c r="F4615" s="75">
        <f>'THAM_SO_MOI'!$C$14+('THAM_SO_MOI'!$C$37-'THAM_SO_MOI'!$C$14)*524/'THAM_SO_MOI'!$C$42</f>
        <v>24.07948611111111</v>
      </c>
      <c r="G4615" s="75">
        <f>3.6*F4615</f>
        <v>86.68615</v>
      </c>
      <c r="H4615" s="75">
        <f>'THAM_SO_MOI'!$D$53</f>
        <v>1.1</v>
      </c>
      <c r="I4615" s="75">
        <f>IF(F4615&gt;='THAM_SO_MOI'!$C$14,'THAM_SO_MOI'!$C$13*(1+F4615^2/1500),'THAM_SO_MOI'!$C$13)</f>
        <v>0.020798216513751928</v>
      </c>
      <c r="J4615" s="75">
        <f>'THAM_SO_MOI'!$C$40*('THAM_SO_MOI'!$C$23*(E4615/'THAM_SO_MOI'!$C$22)+'THAM_SO_MOI'!$C$24*(E4615/'THAM_SO_MOI'!$C$22)^2-'THAM_SO_MOI'!$C$25*(E4615/'THAM_SO_MOI'!$C$22)^3)</f>
        <v>106.33250729287903</v>
      </c>
      <c r="K4615" s="75">
        <f>'THAM_SO_MOI'!$C$31*J4615/E4615</f>
        <v>428.07504910469464</v>
      </c>
      <c r="L4615" s="75">
        <f>K4615*'THAM_SO_MOI'!$C$53*'THAM_SO_MOI'!$C$17/'THAM_SO_MOI'!$C$26</f>
        <v>3754.2198556923795</v>
      </c>
      <c r="M4615" s="75">
        <f>'THAM_SO_MOI'!$C$15*'THAM_SO_MOI'!$C$16*F4615^2</f>
        <v>1695.978330272439</v>
      </c>
      <c r="N4615" s="75">
        <f>'THAM_SO_MOI'!$C$12*I4615</f>
        <v>1566.9542707192813</v>
      </c>
      <c r="O4615" s="75">
        <f>M4615+N4615</f>
        <v>3262.9326009917204</v>
      </c>
      <c r="P4615" s="75">
        <f>(MIN(L4615,'THAM_SO_MOI'!$C$41)-O4615)/('THAM_SO_MOI'!$C$11*H4615)</f>
        <v>0.05815426783861968</v>
      </c>
      <c r="Q4615" s="75">
        <f>IF(P4615&gt;0,1/P4615,NA())</f>
        <v>17.195642506841256</v>
      </c>
      <c r="R4615" s="75">
        <f>F4615-F4614</f>
        <v>0.0035868055555532408</v>
      </c>
      <c r="S4615" s="75">
        <f>0.5*(Q4614+Q4615)*R4615</f>
        <v>0.06163372559519533</v>
      </c>
      <c r="T4615" s="75">
        <f>0.5*(F4614*Q4614+F4615*Q4615)*R4615</f>
        <v>1.4839979837234138</v>
      </c>
      <c r="U4615" s="76">
        <f>U4614+S4615</f>
        <v>86.25227751008964</v>
      </c>
      <c r="V4615" s="76">
        <f>V4614+T4615</f>
        <v>1499.2478666243414</v>
      </c>
    </row>
    <row r="4616" spans="1:22" ht="19" customHeight="1">
      <c r="A4616" s="68" t="s">
        <v>378</v>
      </c>
      <c r="B4616" s="74">
        <v>5</v>
      </c>
      <c r="C4616" s="68" t="s">
        <v>363</v>
      </c>
      <c r="D4616" s="68" t="s">
        <v>365</v>
      </c>
      <c r="E4616" s="75">
        <f>60*F4616*'THAM_SO_MOI'!$C$53/(2*PI()*'THAM_SO_MOI'!$C$26)</f>
        <v>2372.8164473684205</v>
      </c>
      <c r="F4616" s="75">
        <f>'THAM_SO_MOI'!$C$14+('THAM_SO_MOI'!$C$37-'THAM_SO_MOI'!$C$14)*525/'THAM_SO_MOI'!$C$42</f>
        <v>24.083072916666666</v>
      </c>
      <c r="G4616" s="75">
        <f>3.6*F4616</f>
        <v>86.6990625</v>
      </c>
      <c r="H4616" s="75">
        <f>'THAM_SO_MOI'!$D$53</f>
        <v>1.1</v>
      </c>
      <c r="I4616" s="75">
        <f>IF(F4616&gt;='THAM_SO_MOI'!$C$14,'THAM_SO_MOI'!$C$13*(1+F4616^2/1500),'THAM_SO_MOI'!$C$13)</f>
        <v>0.020799944011094834</v>
      </c>
      <c r="J4616" s="75">
        <f>'THAM_SO_MOI'!$C$40*('THAM_SO_MOI'!$C$23*(E4616/'THAM_SO_MOI'!$C$22)+'THAM_SO_MOI'!$C$24*(E4616/'THAM_SO_MOI'!$C$22)^2-'THAM_SO_MOI'!$C$25*(E4616/'THAM_SO_MOI'!$C$22)^3)</f>
        <v>106.34659188843139</v>
      </c>
      <c r="K4616" s="75">
        <f>'THAM_SO_MOI'!$C$31*J4616/E4616</f>
        <v>428.0679874073457</v>
      </c>
      <c r="L4616" s="75">
        <f>K4616*'THAM_SO_MOI'!$C$53*'THAM_SO_MOI'!$C$17/'THAM_SO_MOI'!$C$26</f>
        <v>3754.1579245789967</v>
      </c>
      <c r="M4616" s="75">
        <f>'THAM_SO_MOI'!$C$15*'THAM_SO_MOI'!$C$16*F4616^2</f>
        <v>1696.4836232452394</v>
      </c>
      <c r="N4616" s="75">
        <f>'THAM_SO_MOI'!$C$12*I4616</f>
        <v>1567.0844217510937</v>
      </c>
      <c r="O4616" s="75">
        <f>M4616+N4616</f>
        <v>3263.568044996333</v>
      </c>
      <c r="P4616" s="75">
        <f>(MIN(L4616,'THAM_SO_MOI'!$C$41)-O4616)/('THAM_SO_MOI'!$C$11*H4616)</f>
        <v>0.05807171870059938</v>
      </c>
      <c r="Q4616" s="75">
        <f>IF(P4616&gt;0,1/P4616,NA())</f>
        <v>17.220086168892376</v>
      </c>
      <c r="R4616" s="75">
        <f>F4616-F4615</f>
        <v>0.0035868055555567935</v>
      </c>
      <c r="S4616" s="75">
        <f>0.5*(Q4615+Q4616)*R4616</f>
        <v>0.06172126340632832</v>
      </c>
      <c r="T4616" s="75">
        <f>0.5*(F4615*Q4615+F4616*Q4616)*R4616</f>
        <v>1.4863270746561459</v>
      </c>
      <c r="U4616" s="76">
        <f>U4615+S4616</f>
        <v>86.31399877349597</v>
      </c>
      <c r="V4616" s="76">
        <f>V4615+T4616</f>
        <v>1500.7341936989976</v>
      </c>
    </row>
    <row r="4617" spans="1:22" ht="19" customHeight="1">
      <c r="A4617" s="68" t="s">
        <v>378</v>
      </c>
      <c r="B4617" s="74">
        <v>5</v>
      </c>
      <c r="C4617" s="68" t="s">
        <v>363</v>
      </c>
      <c r="D4617" s="68" t="s">
        <v>365</v>
      </c>
      <c r="E4617" s="75">
        <f>60*F4617*'THAM_SO_MOI'!$C$53/(2*PI()*'THAM_SO_MOI'!$C$26)</f>
        <v>2373.169842105263</v>
      </c>
      <c r="F4617" s="75">
        <f>'THAM_SO_MOI'!$C$14+('THAM_SO_MOI'!$C$37-'THAM_SO_MOI'!$C$14)*526/'THAM_SO_MOI'!$C$42</f>
        <v>24.086659722222223</v>
      </c>
      <c r="G4617" s="75">
        <f>3.6*F4617</f>
        <v>86.71197500000001</v>
      </c>
      <c r="H4617" s="75">
        <f>'THAM_SO_MOI'!$D$53</f>
        <v>1.1</v>
      </c>
      <c r="I4617" s="75">
        <f>IF(F4617&gt;='THAM_SO_MOI'!$C$14,'THAM_SO_MOI'!$C$13*(1+F4617^2/1500),'THAM_SO_MOI'!$C$13)</f>
        <v>0.020801671765741225</v>
      </c>
      <c r="J4617" s="75">
        <f>'THAM_SO_MOI'!$C$40*('THAM_SO_MOI'!$C$23*(E4617/'THAM_SO_MOI'!$C$22)+'THAM_SO_MOI'!$C$24*(E4617/'THAM_SO_MOI'!$C$22)^2-'THAM_SO_MOI'!$C$25*(E4617/'THAM_SO_MOI'!$C$22)^3)</f>
        <v>106.36067295094271</v>
      </c>
      <c r="K4617" s="75">
        <f>'THAM_SO_MOI'!$C$31*J4617/E4617</f>
        <v>428.06091359401216</v>
      </c>
      <c r="L4617" s="75">
        <f>K4617*'THAM_SO_MOI'!$C$53*'THAM_SO_MOI'!$C$17/'THAM_SO_MOI'!$C$26</f>
        <v>3754.0958872083825</v>
      </c>
      <c r="M4617" s="75">
        <f>'THAM_SO_MOI'!$C$15*'THAM_SO_MOI'!$C$16*F4617^2</f>
        <v>1696.988991479308</v>
      </c>
      <c r="N4617" s="75">
        <f>'THAM_SO_MOI'!$C$12*I4617</f>
        <v>1567.2145921683566</v>
      </c>
      <c r="O4617" s="75">
        <f>M4617+N4617</f>
        <v>3264.2035836476643</v>
      </c>
      <c r="P4617" s="75">
        <f>(MIN(L4617,'THAM_SO_MOI'!$C$41)-O4617)/('THAM_SO_MOI'!$C$11*H4617)</f>
        <v>0.057989145781334975</v>
      </c>
      <c r="Q4617" s="75">
        <f>IF(P4617&gt;0,1/P4617,NA())</f>
        <v>17.24460649533953</v>
      </c>
      <c r="R4617" s="75">
        <f>F4617-F4616</f>
        <v>0.0035868055555567935</v>
      </c>
      <c r="S4617" s="75">
        <f>0.5*(Q4616+Q4617)*R4617</f>
        <v>0.06180907555931223</v>
      </c>
      <c r="T4617" s="75">
        <f>0.5*(F4616*Q4616+F4617*Q4617)*R4617</f>
        <v>1.4886634010390432</v>
      </c>
      <c r="U4617" s="76">
        <f>U4616+S4617</f>
        <v>86.37580784905528</v>
      </c>
      <c r="V4617" s="76">
        <f>V4616+T4617</f>
        <v>1502.2228571000367</v>
      </c>
    </row>
    <row r="4618" spans="1:22" ht="19" customHeight="1">
      <c r="A4618" s="68" t="s">
        <v>378</v>
      </c>
      <c r="B4618" s="74">
        <v>5</v>
      </c>
      <c r="C4618" s="68" t="s">
        <v>363</v>
      </c>
      <c r="D4618" s="68" t="s">
        <v>365</v>
      </c>
      <c r="E4618" s="75">
        <f>60*F4618*'THAM_SO_MOI'!$C$53/(2*PI()*'THAM_SO_MOI'!$C$26)</f>
        <v>2373.523236842105</v>
      </c>
      <c r="F4618" s="75">
        <f>'THAM_SO_MOI'!$C$14+('THAM_SO_MOI'!$C$37-'THAM_SO_MOI'!$C$14)*527/'THAM_SO_MOI'!$C$42</f>
        <v>24.090246527777776</v>
      </c>
      <c r="G4618" s="75">
        <f>3.6*F4618</f>
        <v>86.7248875</v>
      </c>
      <c r="H4618" s="75">
        <f>'THAM_SO_MOI'!$D$53</f>
        <v>1.1</v>
      </c>
      <c r="I4618" s="75">
        <f>IF(F4618&gt;='THAM_SO_MOI'!$C$14,'THAM_SO_MOI'!$C$13*(1+F4618^2/1500),'THAM_SO_MOI'!$C$13)</f>
        <v>0.020803399777691092</v>
      </c>
      <c r="J4618" s="75">
        <f>'THAM_SO_MOI'!$C$40*('THAM_SO_MOI'!$C$23*(E4618/'THAM_SO_MOI'!$C$22)+'THAM_SO_MOI'!$C$24*(E4618/'THAM_SO_MOI'!$C$22)^2-'THAM_SO_MOI'!$C$25*(E4618/'THAM_SO_MOI'!$C$22)^3)</f>
        <v>106.37475047906808</v>
      </c>
      <c r="K4618" s="75">
        <f>'THAM_SO_MOI'!$C$31*J4618/E4618</f>
        <v>428.0538276646941</v>
      </c>
      <c r="L4618" s="75">
        <f>K4618*'THAM_SO_MOI'!$C$53*'THAM_SO_MOI'!$C$17/'THAM_SO_MOI'!$C$26</f>
        <v>3754.033743580536</v>
      </c>
      <c r="M4618" s="75">
        <f>'THAM_SO_MOI'!$C$15*'THAM_SO_MOI'!$C$16*F4618^2</f>
        <v>1697.4944349746445</v>
      </c>
      <c r="N4618" s="75">
        <f>'THAM_SO_MOI'!$C$12*I4618</f>
        <v>1567.344781971069</v>
      </c>
      <c r="O4618" s="75">
        <f>M4618+N4618</f>
        <v>3264.839216945714</v>
      </c>
      <c r="P4618" s="75">
        <f>(MIN(L4618,'THAM_SO_MOI'!$C$41)-O4618)/('THAM_SO_MOI'!$C$11*H4618)</f>
        <v>0.05790654908082648</v>
      </c>
      <c r="Q4618" s="75">
        <f>IF(P4618&gt;0,1/P4618,NA())</f>
        <v>17.269203844356035</v>
      </c>
      <c r="R4618" s="75">
        <f>F4618-F4617</f>
        <v>0.0035868055555532408</v>
      </c>
      <c r="S4618" s="75">
        <f>0.5*(Q4617+Q4618)*R4618</f>
        <v>0.061897163334865474</v>
      </c>
      <c r="T4618" s="75">
        <f>0.5*(F4617*Q4617+F4618*Q4618)*R4618</f>
        <v>1.4910069966746697</v>
      </c>
      <c r="U4618" s="76">
        <f>U4617+S4618</f>
        <v>86.43770501239014</v>
      </c>
      <c r="V4618" s="76">
        <f>V4617+T4618</f>
        <v>1503.7138640967114</v>
      </c>
    </row>
    <row r="4619" spans="1:22" ht="19" customHeight="1">
      <c r="A4619" s="68" t="s">
        <v>378</v>
      </c>
      <c r="B4619" s="74">
        <v>5</v>
      </c>
      <c r="C4619" s="68" t="s">
        <v>363</v>
      </c>
      <c r="D4619" s="68" t="s">
        <v>365</v>
      </c>
      <c r="E4619" s="75">
        <f>60*F4619*'THAM_SO_MOI'!$C$53/(2*PI()*'THAM_SO_MOI'!$C$26)</f>
        <v>2373.8766315789467</v>
      </c>
      <c r="F4619" s="75">
        <f>'THAM_SO_MOI'!$C$14+('THAM_SO_MOI'!$C$37-'THAM_SO_MOI'!$C$14)*528/'THAM_SO_MOI'!$C$42</f>
        <v>24.093833333333333</v>
      </c>
      <c r="G4619" s="75">
        <f>3.6*F4619</f>
        <v>86.7378</v>
      </c>
      <c r="H4619" s="75">
        <f>'THAM_SO_MOI'!$D$53</f>
        <v>1.1</v>
      </c>
      <c r="I4619" s="75">
        <f>IF(F4619&gt;='THAM_SO_MOI'!$C$14,'THAM_SO_MOI'!$C$13*(1+F4619^2/1500),'THAM_SO_MOI'!$C$13)</f>
        <v>0.020805128046944444</v>
      </c>
      <c r="J4619" s="75">
        <f>'THAM_SO_MOI'!$C$40*('THAM_SO_MOI'!$C$23*(E4619/'THAM_SO_MOI'!$C$22)+'THAM_SO_MOI'!$C$24*(E4619/'THAM_SO_MOI'!$C$22)^2-'THAM_SO_MOI'!$C$25*(E4619/'THAM_SO_MOI'!$C$22)^3)</f>
        <v>106.38882447146268</v>
      </c>
      <c r="K4619" s="75">
        <f>'THAM_SO_MOI'!$C$31*J4619/E4619</f>
        <v>428.0467296193916</v>
      </c>
      <c r="L4619" s="75">
        <f>K4619*'THAM_SO_MOI'!$C$53*'THAM_SO_MOI'!$C$17/'THAM_SO_MOI'!$C$26</f>
        <v>3753.9714936954583</v>
      </c>
      <c r="M4619" s="75">
        <f>'THAM_SO_MOI'!$C$15*'THAM_SO_MOI'!$C$16*F4619^2</f>
        <v>1697.99995373125</v>
      </c>
      <c r="N4619" s="75">
        <f>'THAM_SO_MOI'!$C$12*I4619</f>
        <v>1567.474991159232</v>
      </c>
      <c r="O4619" s="75">
        <f>M4619+N4619</f>
        <v>3265.474944890482</v>
      </c>
      <c r="P4619" s="75">
        <f>(MIN(L4619,'THAM_SO_MOI'!$C$41)-O4619)/('THAM_SO_MOI'!$C$11*H4619)</f>
        <v>0.05782392859907388</v>
      </c>
      <c r="Q4619" s="75">
        <f>IF(P4619&gt;0,1/P4619,NA())</f>
        <v>17.293878576351457</v>
      </c>
      <c r="R4619" s="75">
        <f>F4619-F4618</f>
        <v>0.0035868055555567935</v>
      </c>
      <c r="S4619" s="75">
        <f>0.5*(Q4618+Q4619)*R4619</f>
        <v>0.06198552802188048</v>
      </c>
      <c r="T4619" s="75">
        <f>0.5*(F4618*Q4618+F4619*Q4619)*R4619</f>
        <v>1.4933578955808955</v>
      </c>
      <c r="U4619" s="76">
        <f>U4618+S4619</f>
        <v>86.49969054041202</v>
      </c>
      <c r="V4619" s="76">
        <f>V4618+T4619</f>
        <v>1505.2072219922923</v>
      </c>
    </row>
    <row r="4620" spans="1:22" ht="19" customHeight="1">
      <c r="A4620" s="68" t="s">
        <v>378</v>
      </c>
      <c r="B4620" s="74">
        <v>5</v>
      </c>
      <c r="C4620" s="68" t="s">
        <v>363</v>
      </c>
      <c r="D4620" s="68" t="s">
        <v>365</v>
      </c>
      <c r="E4620" s="75">
        <f>60*F4620*'THAM_SO_MOI'!$C$53/(2*PI()*'THAM_SO_MOI'!$C$26)</f>
        <v>2374.2300263157886</v>
      </c>
      <c r="F4620" s="75">
        <f>'THAM_SO_MOI'!$C$14+('THAM_SO_MOI'!$C$37-'THAM_SO_MOI'!$C$14)*529/'THAM_SO_MOI'!$C$42</f>
        <v>24.097420138888886</v>
      </c>
      <c r="G4620" s="75">
        <f>3.6*F4620</f>
        <v>86.75071249999999</v>
      </c>
      <c r="H4620" s="75">
        <f>'THAM_SO_MOI'!$D$53</f>
        <v>1.1</v>
      </c>
      <c r="I4620" s="75">
        <f>IF(F4620&gt;='THAM_SO_MOI'!$C$14,'THAM_SO_MOI'!$C$13*(1+F4620^2/1500),'THAM_SO_MOI'!$C$13)</f>
        <v>0.020806856573501276</v>
      </c>
      <c r="J4620" s="75">
        <f>'THAM_SO_MOI'!$C$40*('THAM_SO_MOI'!$C$23*(E4620/'THAM_SO_MOI'!$C$22)+'THAM_SO_MOI'!$C$24*(E4620/'THAM_SO_MOI'!$C$22)^2-'THAM_SO_MOI'!$C$25*(E4620/'THAM_SO_MOI'!$C$22)^3)</f>
        <v>106.40289492678166</v>
      </c>
      <c r="K4620" s="75">
        <f>'THAM_SO_MOI'!$C$31*J4620/E4620</f>
        <v>428.0396194581049</v>
      </c>
      <c r="L4620" s="75">
        <f>K4620*'THAM_SO_MOI'!$C$53*'THAM_SO_MOI'!$C$17/'THAM_SO_MOI'!$C$26</f>
        <v>3753.909137553152</v>
      </c>
      <c r="M4620" s="75">
        <f>'THAM_SO_MOI'!$C$15*'THAM_SO_MOI'!$C$16*F4620^2</f>
        <v>1698.5055477491235</v>
      </c>
      <c r="N4620" s="75">
        <f>'THAM_SO_MOI'!$C$12*I4620</f>
        <v>1567.605219732845</v>
      </c>
      <c r="O4620" s="75">
        <f>M4620+N4620</f>
        <v>3266.1107674819687</v>
      </c>
      <c r="P4620" s="75">
        <f>(MIN(L4620,'THAM_SO_MOI'!$C$41)-O4620)/('THAM_SO_MOI'!$C$11*H4620)</f>
        <v>0.05774128433607758</v>
      </c>
      <c r="Q4620" s="75">
        <f>IF(P4620&gt;0,1/P4620,NA())</f>
        <v>17.31863105398897</v>
      </c>
      <c r="R4620" s="75">
        <f>F4620-F4619</f>
        <v>0.0035868055555532408</v>
      </c>
      <c r="S4620" s="75">
        <f>0.5*(Q4619+Q4620)*R4620</f>
        <v>0.06207417091687254</v>
      </c>
      <c r="T4620" s="75">
        <f>0.5*(F4619*Q4619+F4620*Q4620)*R4620</f>
        <v>1.495716131977758</v>
      </c>
      <c r="U4620" s="76">
        <f>U4619+S4620</f>
        <v>86.56176471132889</v>
      </c>
      <c r="V4620" s="76">
        <f>V4619+T4620</f>
        <v>1506.70293812427</v>
      </c>
    </row>
    <row r="4621" spans="1:22" ht="19" customHeight="1">
      <c r="A4621" s="68" t="s">
        <v>378</v>
      </c>
      <c r="B4621" s="74">
        <v>5</v>
      </c>
      <c r="C4621" s="68" t="s">
        <v>363</v>
      </c>
      <c r="D4621" s="68" t="s">
        <v>365</v>
      </c>
      <c r="E4621" s="75">
        <f>60*F4621*'THAM_SO_MOI'!$C$53/(2*PI()*'THAM_SO_MOI'!$C$26)</f>
        <v>2374.583421052631</v>
      </c>
      <c r="F4621" s="75">
        <f>'THAM_SO_MOI'!$C$14+('THAM_SO_MOI'!$C$37-'THAM_SO_MOI'!$C$14)*530/'THAM_SO_MOI'!$C$42</f>
        <v>24.101006944444443</v>
      </c>
      <c r="G4621" s="75">
        <f>3.6*F4621</f>
        <v>86.76362499999999</v>
      </c>
      <c r="H4621" s="75">
        <f>'THAM_SO_MOI'!$D$53</f>
        <v>1.1</v>
      </c>
      <c r="I4621" s="75">
        <f>IF(F4621&gt;='THAM_SO_MOI'!$C$14,'THAM_SO_MOI'!$C$13*(1+F4621^2/1500),'THAM_SO_MOI'!$C$13)</f>
        <v>0.020808585357361593</v>
      </c>
      <c r="J4621" s="75">
        <f>'THAM_SO_MOI'!$C$40*('THAM_SO_MOI'!$C$23*(E4621/'THAM_SO_MOI'!$C$22)+'THAM_SO_MOI'!$C$24*(E4621/'THAM_SO_MOI'!$C$22)^2-'THAM_SO_MOI'!$C$25*(E4621/'THAM_SO_MOI'!$C$22)^3)</f>
        <v>106.41696184368</v>
      </c>
      <c r="K4621" s="75">
        <f>'THAM_SO_MOI'!$C$31*J4621/E4621</f>
        <v>428.0324971808334</v>
      </c>
      <c r="L4621" s="75">
        <f>K4621*'THAM_SO_MOI'!$C$53*'THAM_SO_MOI'!$C$17/'THAM_SO_MOI'!$C$26</f>
        <v>3753.8466751536116</v>
      </c>
      <c r="M4621" s="75">
        <f>'THAM_SO_MOI'!$C$15*'THAM_SO_MOI'!$C$16*F4621^2</f>
        <v>1699.0112170282657</v>
      </c>
      <c r="N4621" s="75">
        <f>'THAM_SO_MOI'!$C$12*I4621</f>
        <v>1567.7354676919083</v>
      </c>
      <c r="O4621" s="75">
        <f>M4621+N4621</f>
        <v>3266.746684720174</v>
      </c>
      <c r="P4621" s="75">
        <f>(MIN(L4621,'THAM_SO_MOI'!$C$41)-O4621)/('THAM_SO_MOI'!$C$11*H4621)</f>
        <v>0.05765861629183686</v>
      </c>
      <c r="Q4621" s="75">
        <f>IF(P4621&gt;0,1/P4621,NA())</f>
        <v>17.343461642203458</v>
      </c>
      <c r="R4621" s="75">
        <f>F4621-F4620</f>
        <v>0.0035868055555567935</v>
      </c>
      <c r="S4621" s="75">
        <f>0.5*(Q4620+Q4621)*R4621</f>
        <v>0.06216309332496378</v>
      </c>
      <c r="T4621" s="75">
        <f>0.5*(F4620*Q4620+F4621*Q4621)*R4621</f>
        <v>1.4980817403113156</v>
      </c>
      <c r="U4621" s="76">
        <f>U4620+S4621</f>
        <v>86.62392780465386</v>
      </c>
      <c r="V4621" s="76">
        <f>V4620+T4621</f>
        <v>1508.2010198645814</v>
      </c>
    </row>
    <row r="4622" spans="1:22" ht="19" customHeight="1">
      <c r="A4622" s="68" t="s">
        <v>378</v>
      </c>
      <c r="B4622" s="74">
        <v>5</v>
      </c>
      <c r="C4622" s="68" t="s">
        <v>363</v>
      </c>
      <c r="D4622" s="68" t="s">
        <v>365</v>
      </c>
      <c r="E4622" s="75">
        <f>60*F4622*'THAM_SO_MOI'!$C$53/(2*PI()*'THAM_SO_MOI'!$C$26)</f>
        <v>2374.9368157894733</v>
      </c>
      <c r="F4622" s="75">
        <f>'THAM_SO_MOI'!$C$14+('THAM_SO_MOI'!$C$37-'THAM_SO_MOI'!$C$14)*531/'THAM_SO_MOI'!$C$42</f>
        <v>24.10459375</v>
      </c>
      <c r="G4622" s="75">
        <f>3.6*F4622</f>
        <v>86.7765375</v>
      </c>
      <c r="H4622" s="75">
        <f>'THAM_SO_MOI'!$D$53</f>
        <v>1.1</v>
      </c>
      <c r="I4622" s="75">
        <f>IF(F4622&gt;='THAM_SO_MOI'!$C$14,'THAM_SO_MOI'!$C$13*(1+F4622^2/1500),'THAM_SO_MOI'!$C$13)</f>
        <v>0.02081031439852539</v>
      </c>
      <c r="J4622" s="75">
        <f>'THAM_SO_MOI'!$C$40*('THAM_SO_MOI'!$C$23*(E4622/'THAM_SO_MOI'!$C$22)+'THAM_SO_MOI'!$C$24*(E4622/'THAM_SO_MOI'!$C$22)^2-'THAM_SO_MOI'!$C$25*(E4622/'THAM_SO_MOI'!$C$22)^3)</f>
        <v>106.43102522081293</v>
      </c>
      <c r="K4622" s="75">
        <f>'THAM_SO_MOI'!$C$31*J4622/E4622</f>
        <v>428.02536278757765</v>
      </c>
      <c r="L4622" s="75">
        <f>K4622*'THAM_SO_MOI'!$C$53*'THAM_SO_MOI'!$C$17/'THAM_SO_MOI'!$C$26</f>
        <v>3753.784106496842</v>
      </c>
      <c r="M4622" s="75">
        <f>'THAM_SO_MOI'!$C$15*'THAM_SO_MOI'!$C$16*F4622^2</f>
        <v>1699.5169615686768</v>
      </c>
      <c r="N4622" s="75">
        <f>'THAM_SO_MOI'!$C$12*I4622</f>
        <v>1567.8657350364217</v>
      </c>
      <c r="O4622" s="75">
        <f>M4622+N4622</f>
        <v>3267.3826966050983</v>
      </c>
      <c r="P4622" s="75">
        <f>(MIN(L4622,'THAM_SO_MOI'!$C$41)-O4622)/('THAM_SO_MOI'!$C$11*H4622)</f>
        <v>0.05757592446635221</v>
      </c>
      <c r="Q4622" s="75">
        <f>IF(P4622&gt;0,1/P4622,NA())</f>
        <v>17.36837070821863</v>
      </c>
      <c r="R4622" s="75">
        <f>F4622-F4621</f>
        <v>0.0035868055555567935</v>
      </c>
      <c r="S4622" s="75">
        <f>0.5*(Q4621+Q4622)*R4622</f>
        <v>0.062252296559024985</v>
      </c>
      <c r="T4622" s="75">
        <f>0.5*(F4621*Q4621+F4622*Q4622)*R4622</f>
        <v>1.5004547552331158</v>
      </c>
      <c r="U4622" s="76">
        <f>U4621+S4622</f>
        <v>86.68618010121288</v>
      </c>
      <c r="V4622" s="76">
        <f>V4621+T4622</f>
        <v>1509.7014746198145</v>
      </c>
    </row>
    <row r="4623" spans="1:22" ht="19" customHeight="1">
      <c r="A4623" s="68" t="s">
        <v>378</v>
      </c>
      <c r="B4623" s="74">
        <v>5</v>
      </c>
      <c r="C4623" s="68" t="s">
        <v>363</v>
      </c>
      <c r="D4623" s="68" t="s">
        <v>365</v>
      </c>
      <c r="E4623" s="75">
        <f>60*F4623*'THAM_SO_MOI'!$C$53/(2*PI()*'THAM_SO_MOI'!$C$26)</f>
        <v>2375.290210526315</v>
      </c>
      <c r="F4623" s="75">
        <f>'THAM_SO_MOI'!$C$14+('THAM_SO_MOI'!$C$37-'THAM_SO_MOI'!$C$14)*532/'THAM_SO_MOI'!$C$42</f>
        <v>24.108180555555556</v>
      </c>
      <c r="G4623" s="75">
        <f>3.6*F4623</f>
        <v>86.78945</v>
      </c>
      <c r="H4623" s="75">
        <f>'THAM_SO_MOI'!$D$53</f>
        <v>1.1</v>
      </c>
      <c r="I4623" s="75">
        <f>IF(F4623&gt;='THAM_SO_MOI'!$C$14,'THAM_SO_MOI'!$C$13*(1+F4623^2/1500),'THAM_SO_MOI'!$C$13)</f>
        <v>0.02081204369699267</v>
      </c>
      <c r="J4623" s="75">
        <f>'THAM_SO_MOI'!$C$40*('THAM_SO_MOI'!$C$23*(E4623/'THAM_SO_MOI'!$C$22)+'THAM_SO_MOI'!$C$24*(E4623/'THAM_SO_MOI'!$C$22)^2-'THAM_SO_MOI'!$C$25*(E4623/'THAM_SO_MOI'!$C$22)^3)</f>
        <v>106.44508505683547</v>
      </c>
      <c r="K4623" s="75">
        <f>'THAM_SO_MOI'!$C$31*J4623/E4623</f>
        <v>428.01821627833743</v>
      </c>
      <c r="L4623" s="75">
        <f>K4623*'THAM_SO_MOI'!$C$53*'THAM_SO_MOI'!$C$17/'THAM_SO_MOI'!$C$26</f>
        <v>3753.7214315828414</v>
      </c>
      <c r="M4623" s="75">
        <f>'THAM_SO_MOI'!$C$15*'THAM_SO_MOI'!$C$16*F4623^2</f>
        <v>1700.0227813703561</v>
      </c>
      <c r="N4623" s="75">
        <f>'THAM_SO_MOI'!$C$12*I4623</f>
        <v>1567.9960217663854</v>
      </c>
      <c r="O4623" s="75">
        <f>M4623+N4623</f>
        <v>3268.0188031367416</v>
      </c>
      <c r="P4623" s="75">
        <f>(MIN(L4623,'THAM_SO_MOI'!$C$41)-O4623)/('THAM_SO_MOI'!$C$11*H4623)</f>
        <v>0.05749320885962359</v>
      </c>
      <c r="Q4623" s="75">
        <f>IF(P4623&gt;0,1/P4623,NA())</f>
        <v>17.3933586215655</v>
      </c>
      <c r="R4623" s="75">
        <f>F4623-F4622</f>
        <v>0.0035868055555567935</v>
      </c>
      <c r="S4623" s="75">
        <f>0.5*(Q4622+Q4623)*R4623</f>
        <v>0.062341781940415626</v>
      </c>
      <c r="T4623" s="75">
        <f>0.5*(F4622*Q4622+F4623*Q4623)*R4623</f>
        <v>1.502835211618173</v>
      </c>
      <c r="U4623" s="76">
        <f>U4622+S4623</f>
        <v>86.7485218831533</v>
      </c>
      <c r="V4623" s="76">
        <f>V4622+T4623</f>
        <v>1511.2043098314327</v>
      </c>
    </row>
    <row r="4624" spans="1:22" ht="19" customHeight="1">
      <c r="A4624" s="68" t="s">
        <v>378</v>
      </c>
      <c r="B4624" s="74">
        <v>5</v>
      </c>
      <c r="C4624" s="68" t="s">
        <v>363</v>
      </c>
      <c r="D4624" s="68" t="s">
        <v>365</v>
      </c>
      <c r="E4624" s="75">
        <f>60*F4624*'THAM_SO_MOI'!$C$53/(2*PI()*'THAM_SO_MOI'!$C$26)</f>
        <v>2375.6436052631575</v>
      </c>
      <c r="F4624" s="75">
        <f>'THAM_SO_MOI'!$C$14+('THAM_SO_MOI'!$C$37-'THAM_SO_MOI'!$C$14)*533/'THAM_SO_MOI'!$C$42</f>
        <v>24.11176736111111</v>
      </c>
      <c r="G4624" s="75">
        <f>3.6*F4624</f>
        <v>86.8023625</v>
      </c>
      <c r="H4624" s="75">
        <f>'THAM_SO_MOI'!$D$53</f>
        <v>1.1</v>
      </c>
      <c r="I4624" s="75">
        <f>IF(F4624&gt;='THAM_SO_MOI'!$C$14,'THAM_SO_MOI'!$C$13*(1+F4624^2/1500),'THAM_SO_MOI'!$C$13)</f>
        <v>0.02081377325276343</v>
      </c>
      <c r="J4624" s="75">
        <f>'THAM_SO_MOI'!$C$40*('THAM_SO_MOI'!$C$23*(E4624/'THAM_SO_MOI'!$C$22)+'THAM_SO_MOI'!$C$24*(E4624/'THAM_SO_MOI'!$C$22)^2-'THAM_SO_MOI'!$C$25*(E4624/'THAM_SO_MOI'!$C$22)^3)</f>
        <v>106.45914135040277</v>
      </c>
      <c r="K4624" s="75">
        <f>'THAM_SO_MOI'!$C$31*J4624/E4624</f>
        <v>428.01105765311263</v>
      </c>
      <c r="L4624" s="75">
        <f>K4624*'THAM_SO_MOI'!$C$53*'THAM_SO_MOI'!$C$17/'THAM_SO_MOI'!$C$26</f>
        <v>3753.658650411608</v>
      </c>
      <c r="M4624" s="75">
        <f>'THAM_SO_MOI'!$C$15*'THAM_SO_MOI'!$C$16*F4624^2</f>
        <v>1700.5286764333034</v>
      </c>
      <c r="N4624" s="75">
        <f>'THAM_SO_MOI'!$C$12*I4624</f>
        <v>1568.126327881799</v>
      </c>
      <c r="O4624" s="75">
        <f>M4624+N4624</f>
        <v>3268.6550043151024</v>
      </c>
      <c r="P4624" s="75">
        <f>(MIN(L4624,'THAM_SO_MOI'!$C$41)-O4624)/('THAM_SO_MOI'!$C$11*H4624)</f>
        <v>0.05741046947165074</v>
      </c>
      <c r="Q4624" s="75">
        <f>IF(P4624&gt;0,1/P4624,NA())</f>
        <v>17.41842575410047</v>
      </c>
      <c r="R4624" s="75">
        <f>F4624-F4623</f>
        <v>0.0035868055555532408</v>
      </c>
      <c r="S4624" s="75">
        <f>0.5*(Q4623+Q4624)*R4624</f>
        <v>0.0624315507986801</v>
      </c>
      <c r="T4624" s="75">
        <f>0.5*(F4623*Q4623+F4624*Q4624)*R4624</f>
        <v>1.505223144557798</v>
      </c>
      <c r="U4624" s="76">
        <f>U4623+S4624</f>
        <v>86.81095343395198</v>
      </c>
      <c r="V4624" s="76">
        <f>V4623+T4624</f>
        <v>1512.7095329759904</v>
      </c>
    </row>
    <row r="4625" spans="1:22" ht="19" customHeight="1">
      <c r="A4625" s="68" t="s">
        <v>378</v>
      </c>
      <c r="B4625" s="74">
        <v>5</v>
      </c>
      <c r="C4625" s="68" t="s">
        <v>363</v>
      </c>
      <c r="D4625" s="68" t="s">
        <v>365</v>
      </c>
      <c r="E4625" s="75">
        <f>60*F4625*'THAM_SO_MOI'!$C$53/(2*PI()*'THAM_SO_MOI'!$C$26)</f>
        <v>2375.9969999999994</v>
      </c>
      <c r="F4625" s="75">
        <f>'THAM_SO_MOI'!$C$14+('THAM_SO_MOI'!$C$37-'THAM_SO_MOI'!$C$14)*534/'THAM_SO_MOI'!$C$42</f>
        <v>24.115354166666666</v>
      </c>
      <c r="G4625" s="75">
        <f>3.6*F4625</f>
        <v>86.815275</v>
      </c>
      <c r="H4625" s="75">
        <f>'THAM_SO_MOI'!$D$53</f>
        <v>1.1</v>
      </c>
      <c r="I4625" s="75">
        <f>IF(F4625&gt;='THAM_SO_MOI'!$C$14,'THAM_SO_MOI'!$C$13*(1+F4625^2/1500),'THAM_SO_MOI'!$C$13)</f>
        <v>0.02081550306583767</v>
      </c>
      <c r="J4625" s="75">
        <f>'THAM_SO_MOI'!$C$40*('THAM_SO_MOI'!$C$23*(E4625/'THAM_SO_MOI'!$C$22)+'THAM_SO_MOI'!$C$24*(E4625/'THAM_SO_MOI'!$C$22)^2-'THAM_SO_MOI'!$C$25*(E4625/'THAM_SO_MOI'!$C$22)^3)</f>
        <v>106.47319410016996</v>
      </c>
      <c r="K4625" s="75">
        <f>'THAM_SO_MOI'!$C$31*J4625/E4625</f>
        <v>428.0038869119035</v>
      </c>
      <c r="L4625" s="75">
        <f>K4625*'THAM_SO_MOI'!$C$53*'THAM_SO_MOI'!$C$17/'THAM_SO_MOI'!$C$26</f>
        <v>3753.5957629831455</v>
      </c>
      <c r="M4625" s="75">
        <f>'THAM_SO_MOI'!$C$15*'THAM_SO_MOI'!$C$16*F4625^2</f>
        <v>1701.0346467575196</v>
      </c>
      <c r="N4625" s="75">
        <f>'THAM_SO_MOI'!$C$12*I4625</f>
        <v>1568.256653382663</v>
      </c>
      <c r="O4625" s="75">
        <f>M4625+N4625</f>
        <v>3269.2913001401826</v>
      </c>
      <c r="P4625" s="75">
        <f>(MIN(L4625,'THAM_SO_MOI'!$C$41)-O4625)/('THAM_SO_MOI'!$C$11*H4625)</f>
        <v>0.05732770630243406</v>
      </c>
      <c r="Q4625" s="75">
        <f>IF(P4625&gt;0,1/P4625,NA())</f>
        <v>17.44357248002335</v>
      </c>
      <c r="R4625" s="75">
        <f>F4625-F4624</f>
        <v>0.0035868055555567935</v>
      </c>
      <c r="S4625" s="75">
        <f>0.5*(Q4624+Q4625)*R4625</f>
        <v>0.06252160447198321</v>
      </c>
      <c r="T4625" s="75">
        <f>0.5*(F4624*Q4624+F4625*Q4625)*R4625</f>
        <v>1.5076185893702463</v>
      </c>
      <c r="U4625" s="76">
        <f>U4624+S4625</f>
        <v>86.87347503842396</v>
      </c>
      <c r="V4625" s="76">
        <f>V4624+T4625</f>
        <v>1514.2171515653606</v>
      </c>
    </row>
    <row r="4626" spans="1:22" ht="19" customHeight="1">
      <c r="A4626" s="68" t="s">
        <v>378</v>
      </c>
      <c r="B4626" s="74">
        <v>5</v>
      </c>
      <c r="C4626" s="68" t="s">
        <v>363</v>
      </c>
      <c r="D4626" s="68" t="s">
        <v>365</v>
      </c>
      <c r="E4626" s="75">
        <f>60*F4626*'THAM_SO_MOI'!$C$53/(2*PI()*'THAM_SO_MOI'!$C$26)</f>
        <v>2376.3503947368413</v>
      </c>
      <c r="F4626" s="75">
        <f>'THAM_SO_MOI'!$C$14+('THAM_SO_MOI'!$C$37-'THAM_SO_MOI'!$C$14)*535/'THAM_SO_MOI'!$C$42</f>
        <v>24.11894097222222</v>
      </c>
      <c r="G4626" s="75">
        <f>3.6*F4626</f>
        <v>86.8281875</v>
      </c>
      <c r="H4626" s="75">
        <f>'THAM_SO_MOI'!$D$53</f>
        <v>1.1</v>
      </c>
      <c r="I4626" s="75">
        <f>IF(F4626&gt;='THAM_SO_MOI'!$C$14,'THAM_SO_MOI'!$C$13*(1+F4626^2/1500),'THAM_SO_MOI'!$C$13)</f>
        <v>0.020817233136215398</v>
      </c>
      <c r="J4626" s="75">
        <f>'THAM_SO_MOI'!$C$40*('THAM_SO_MOI'!$C$23*(E4626/'THAM_SO_MOI'!$C$22)+'THAM_SO_MOI'!$C$24*(E4626/'THAM_SO_MOI'!$C$22)^2-'THAM_SO_MOI'!$C$25*(E4626/'THAM_SO_MOI'!$C$22)^3)</f>
        <v>106.4872433047921</v>
      </c>
      <c r="K4626" s="75">
        <f>'THAM_SO_MOI'!$C$31*J4626/E4626</f>
        <v>427.9967040547098</v>
      </c>
      <c r="L4626" s="75">
        <f>K4626*'THAM_SO_MOI'!$C$53*'THAM_SO_MOI'!$C$17/'THAM_SO_MOI'!$C$26</f>
        <v>3753.5327692974506</v>
      </c>
      <c r="M4626" s="75">
        <f>'THAM_SO_MOI'!$C$15*'THAM_SO_MOI'!$C$16*F4626^2</f>
        <v>1701.5406923430037</v>
      </c>
      <c r="N4626" s="75">
        <f>'THAM_SO_MOI'!$C$12*I4626</f>
        <v>1568.386998268977</v>
      </c>
      <c r="O4626" s="75">
        <f>M4626+N4626</f>
        <v>3269.927690611981</v>
      </c>
      <c r="P4626" s="75">
        <f>(MIN(L4626,'THAM_SO_MOI'!$C$41)-O4626)/('THAM_SO_MOI'!$C$11*H4626)</f>
        <v>0.05724491935197323</v>
      </c>
      <c r="Q4626" s="75">
        <f>IF(P4626&gt;0,1/P4626,NA())</f>
        <v>17.468799175896297</v>
      </c>
      <c r="R4626" s="75">
        <f>F4626-F4625</f>
        <v>0.0035868055555532408</v>
      </c>
      <c r="S4626" s="75">
        <f>0.5*(Q4625+Q4626)*R4626</f>
        <v>0.06261194430649604</v>
      </c>
      <c r="T4626" s="75">
        <f>0.5*(F4625*Q4625+F4626*Q4626)*R4626</f>
        <v>1.5100215815860603</v>
      </c>
      <c r="U4626" s="76">
        <f>U4625+S4626</f>
        <v>86.93608698273046</v>
      </c>
      <c r="V4626" s="76">
        <f>V4625+T4626</f>
        <v>1515.7271731469466</v>
      </c>
    </row>
    <row r="4627" spans="1:22" ht="19" customHeight="1">
      <c r="A4627" s="68" t="s">
        <v>378</v>
      </c>
      <c r="B4627" s="74">
        <v>5</v>
      </c>
      <c r="C4627" s="68" t="s">
        <v>363</v>
      </c>
      <c r="D4627" s="68" t="s">
        <v>365</v>
      </c>
      <c r="E4627" s="75">
        <f>60*F4627*'THAM_SO_MOI'!$C$53/(2*PI()*'THAM_SO_MOI'!$C$26)</f>
        <v>2376.703789473683</v>
      </c>
      <c r="F4627" s="75">
        <f>'THAM_SO_MOI'!$C$14+('THAM_SO_MOI'!$C$37-'THAM_SO_MOI'!$C$14)*536/'THAM_SO_MOI'!$C$42</f>
        <v>24.122527777777776</v>
      </c>
      <c r="G4627" s="75">
        <f>3.6*F4627</f>
        <v>86.8411</v>
      </c>
      <c r="H4627" s="75">
        <f>'THAM_SO_MOI'!$D$53</f>
        <v>1.1</v>
      </c>
      <c r="I4627" s="75">
        <f>IF(F4627&gt;='THAM_SO_MOI'!$C$14,'THAM_SO_MOI'!$C$13*(1+F4627^2/1500),'THAM_SO_MOI'!$C$13)</f>
        <v>0.0208189634638966</v>
      </c>
      <c r="J4627" s="75">
        <f>'THAM_SO_MOI'!$C$40*('THAM_SO_MOI'!$C$23*(E4627/'THAM_SO_MOI'!$C$22)+'THAM_SO_MOI'!$C$24*(E4627/'THAM_SO_MOI'!$C$22)^2-'THAM_SO_MOI'!$C$25*(E4627/'THAM_SO_MOI'!$C$22)^3)</f>
        <v>106.50128896292432</v>
      </c>
      <c r="K4627" s="75">
        <f>'THAM_SO_MOI'!$C$31*J4627/E4627</f>
        <v>427.98950908153165</v>
      </c>
      <c r="L4627" s="75">
        <f>K4627*'THAM_SO_MOI'!$C$53*'THAM_SO_MOI'!$C$17/'THAM_SO_MOI'!$C$26</f>
        <v>3753.4696693545243</v>
      </c>
      <c r="M4627" s="75">
        <f>'THAM_SO_MOI'!$C$15*'THAM_SO_MOI'!$C$16*F4627^2</f>
        <v>1702.0468131897571</v>
      </c>
      <c r="N4627" s="75">
        <f>'THAM_SO_MOI'!$C$12*I4627</f>
        <v>1568.517362540741</v>
      </c>
      <c r="O4627" s="75">
        <f>M4627+N4627</f>
        <v>3270.5641757304984</v>
      </c>
      <c r="P4627" s="75">
        <f>(MIN(L4627,'THAM_SO_MOI'!$C$41)-O4627)/('THAM_SO_MOI'!$C$11*H4627)</f>
        <v>0.057162108620268215</v>
      </c>
      <c r="Q4627" s="75">
        <f>IF(P4627&gt;0,1/P4627,NA())</f>
        <v>17.494106220662154</v>
      </c>
      <c r="R4627" s="75">
        <f>F4627-F4626</f>
        <v>0.0035868055555567935</v>
      </c>
      <c r="S4627" s="75">
        <f>0.5*(Q4626+Q4627)*R4627</f>
        <v>0.06270257165739124</v>
      </c>
      <c r="T4627" s="75">
        <f>0.5*(F4626*Q4626+F4627*Q4627)*R4627</f>
        <v>1.5124321569722212</v>
      </c>
      <c r="U4627" s="76">
        <f>U4626+S4627</f>
        <v>86.99878955438786</v>
      </c>
      <c r="V4627" s="76">
        <f>V4626+T4627</f>
        <v>1517.2396053039188</v>
      </c>
    </row>
    <row r="4628" spans="1:22" ht="19" customHeight="1">
      <c r="A4628" s="68" t="s">
        <v>378</v>
      </c>
      <c r="B4628" s="74">
        <v>5</v>
      </c>
      <c r="C4628" s="68" t="s">
        <v>363</v>
      </c>
      <c r="D4628" s="68" t="s">
        <v>365</v>
      </c>
      <c r="E4628" s="75">
        <f>60*F4628*'THAM_SO_MOI'!$C$53/(2*PI()*'THAM_SO_MOI'!$C$26)</f>
        <v>2377.0571842105255</v>
      </c>
      <c r="F4628" s="75">
        <f>'THAM_SO_MOI'!$C$14+('THAM_SO_MOI'!$C$37-'THAM_SO_MOI'!$C$14)*537/'THAM_SO_MOI'!$C$42</f>
        <v>24.126114583333333</v>
      </c>
      <c r="G4628" s="75">
        <f>3.6*F4628</f>
        <v>86.8540125</v>
      </c>
      <c r="H4628" s="75">
        <f>'THAM_SO_MOI'!$D$53</f>
        <v>1.1</v>
      </c>
      <c r="I4628" s="75">
        <f>IF(F4628&gt;='THAM_SO_MOI'!$C$14,'THAM_SO_MOI'!$C$13*(1+F4628^2/1500),'THAM_SO_MOI'!$C$13)</f>
        <v>0.020820694048881292</v>
      </c>
      <c r="J4628" s="75">
        <f>'THAM_SO_MOI'!$C$40*('THAM_SO_MOI'!$C$23*(E4628/'THAM_SO_MOI'!$C$22)+'THAM_SO_MOI'!$C$24*(E4628/'THAM_SO_MOI'!$C$22)^2-'THAM_SO_MOI'!$C$25*(E4628/'THAM_SO_MOI'!$C$22)^3)</f>
        <v>106.51533107322179</v>
      </c>
      <c r="K4628" s="75">
        <f>'THAM_SO_MOI'!$C$31*J4628/E4628</f>
        <v>427.9823019923691</v>
      </c>
      <c r="L4628" s="75">
        <f>K4628*'THAM_SO_MOI'!$C$53*'THAM_SO_MOI'!$C$17/'THAM_SO_MOI'!$C$26</f>
        <v>3753.406463154368</v>
      </c>
      <c r="M4628" s="75">
        <f>'THAM_SO_MOI'!$C$15*'THAM_SO_MOI'!$C$16*F4628^2</f>
        <v>1702.5530092977783</v>
      </c>
      <c r="N4628" s="75">
        <f>'THAM_SO_MOI'!$C$12*I4628</f>
        <v>1568.6477461979557</v>
      </c>
      <c r="O4628" s="75">
        <f>M4628+N4628</f>
        <v>3271.200755495734</v>
      </c>
      <c r="P4628" s="75">
        <f>(MIN(L4628,'THAM_SO_MOI'!$C$41)-O4628)/('THAM_SO_MOI'!$C$11*H4628)</f>
        <v>0.05707927410731935</v>
      </c>
      <c r="Q4628" s="75">
        <f>IF(P4628&gt;0,1/P4628,NA())</f>
        <v>17.519493995663282</v>
      </c>
      <c r="R4628" s="75">
        <f>F4628-F4627</f>
        <v>0.0035868055555567935</v>
      </c>
      <c r="S4628" s="75">
        <f>0.5*(Q4627+Q4628)*R4628</f>
        <v>0.06279348788798031</v>
      </c>
      <c r="T4628" s="75">
        <f>0.5*(F4627*Q4627+F4628*Q4628)*R4628</f>
        <v>1.5148503515114984</v>
      </c>
      <c r="U4628" s="76">
        <f>U4627+S4628</f>
        <v>87.06158304227584</v>
      </c>
      <c r="V4628" s="76">
        <f>V4627+T4628</f>
        <v>1518.7544556554303</v>
      </c>
    </row>
    <row r="4629" spans="1:22" ht="19" customHeight="1">
      <c r="A4629" s="68" t="s">
        <v>378</v>
      </c>
      <c r="B4629" s="74">
        <v>5</v>
      </c>
      <c r="C4629" s="68" t="s">
        <v>363</v>
      </c>
      <c r="D4629" s="68" t="s">
        <v>365</v>
      </c>
      <c r="E4629" s="75">
        <f>60*F4629*'THAM_SO_MOI'!$C$53/(2*PI()*'THAM_SO_MOI'!$C$26)</f>
        <v>2377.410578947368</v>
      </c>
      <c r="F4629" s="75">
        <f>'THAM_SO_MOI'!$C$14+('THAM_SO_MOI'!$C$37-'THAM_SO_MOI'!$C$14)*538/'THAM_SO_MOI'!$C$42</f>
        <v>24.129701388888886</v>
      </c>
      <c r="G4629" s="75">
        <f>3.6*F4629</f>
        <v>86.866925</v>
      </c>
      <c r="H4629" s="75">
        <f>'THAM_SO_MOI'!$D$53</f>
        <v>1.1</v>
      </c>
      <c r="I4629" s="75">
        <f>IF(F4629&gt;='THAM_SO_MOI'!$C$14,'THAM_SO_MOI'!$C$13*(1+F4629^2/1500),'THAM_SO_MOI'!$C$13)</f>
        <v>0.020822424891169464</v>
      </c>
      <c r="J4629" s="75">
        <f>'THAM_SO_MOI'!$C$40*('THAM_SO_MOI'!$C$23*(E4629/'THAM_SO_MOI'!$C$22)+'THAM_SO_MOI'!$C$24*(E4629/'THAM_SO_MOI'!$C$22)^2-'THAM_SO_MOI'!$C$25*(E4629/'THAM_SO_MOI'!$C$22)^3)</f>
        <v>106.52936963433956</v>
      </c>
      <c r="K4629" s="75">
        <f>'THAM_SO_MOI'!$C$31*J4629/E4629</f>
        <v>427.9750827872221</v>
      </c>
      <c r="L4629" s="75">
        <f>K4629*'THAM_SO_MOI'!$C$53*'THAM_SO_MOI'!$C$17/'THAM_SO_MOI'!$C$26</f>
        <v>3753.34315069698</v>
      </c>
      <c r="M4629" s="75">
        <f>'THAM_SO_MOI'!$C$15*'THAM_SO_MOI'!$C$16*F4629^2</f>
        <v>1703.059280667068</v>
      </c>
      <c r="N4629" s="75">
        <f>'THAM_SO_MOI'!$C$12*I4629</f>
        <v>1568.7781492406205</v>
      </c>
      <c r="O4629" s="75">
        <f>M4629+N4629</f>
        <v>3271.8374299076886</v>
      </c>
      <c r="P4629" s="75">
        <f>(MIN(L4629,'THAM_SO_MOI'!$C$41)-O4629)/('THAM_SO_MOI'!$C$11*H4629)</f>
        <v>0.05699641581312638</v>
      </c>
      <c r="Q4629" s="75">
        <f>IF(P4629&gt;0,1/P4629,NA())</f>
        <v>17.544962884660865</v>
      </c>
      <c r="R4629" s="75">
        <f>F4629-F4628</f>
        <v>0.0035868055555532408</v>
      </c>
      <c r="S4629" s="75">
        <f>0.5*(Q4628+Q4629)*R4629</f>
        <v>0.06288469437040185</v>
      </c>
      <c r="T4629" s="75">
        <f>0.5*(F4628*Q4628+F4629*Q4629)*R4629</f>
        <v>1.5172762014191978</v>
      </c>
      <c r="U4629" s="76">
        <f>U4628+S4629</f>
        <v>87.12446773664624</v>
      </c>
      <c r="V4629" s="76">
        <f>V4628+T4629</f>
        <v>1520.2717318568496</v>
      </c>
    </row>
    <row r="4630" spans="1:22" ht="19" customHeight="1">
      <c r="A4630" s="68" t="s">
        <v>378</v>
      </c>
      <c r="B4630" s="74">
        <v>5</v>
      </c>
      <c r="C4630" s="68" t="s">
        <v>363</v>
      </c>
      <c r="D4630" s="68" t="s">
        <v>365</v>
      </c>
      <c r="E4630" s="75">
        <f>60*F4630*'THAM_SO_MOI'!$C$53/(2*PI()*'THAM_SO_MOI'!$C$26)</f>
        <v>2377.76397368421</v>
      </c>
      <c r="F4630" s="75">
        <f>'THAM_SO_MOI'!$C$14+('THAM_SO_MOI'!$C$37-'THAM_SO_MOI'!$C$14)*539/'THAM_SO_MOI'!$C$42</f>
        <v>24.133288194444443</v>
      </c>
      <c r="G4630" s="75">
        <f>3.6*F4630</f>
        <v>86.8798375</v>
      </c>
      <c r="H4630" s="75">
        <f>'THAM_SO_MOI'!$D$53</f>
        <v>1.1</v>
      </c>
      <c r="I4630" s="75">
        <f>IF(F4630&gt;='THAM_SO_MOI'!$C$14,'THAM_SO_MOI'!$C$13*(1+F4630^2/1500),'THAM_SO_MOI'!$C$13)</f>
        <v>0.020824155990761116</v>
      </c>
      <c r="J4630" s="75">
        <f>'THAM_SO_MOI'!$C$40*('THAM_SO_MOI'!$C$23*(E4630/'THAM_SO_MOI'!$C$22)+'THAM_SO_MOI'!$C$24*(E4630/'THAM_SO_MOI'!$C$22)^2-'THAM_SO_MOI'!$C$25*(E4630/'THAM_SO_MOI'!$C$22)^3)</f>
        <v>106.54340464493276</v>
      </c>
      <c r="K4630" s="75">
        <f>'THAM_SO_MOI'!$C$31*J4630/E4630</f>
        <v>427.9678514660908</v>
      </c>
      <c r="L4630" s="75">
        <f>K4630*'THAM_SO_MOI'!$C$53*'THAM_SO_MOI'!$C$17/'THAM_SO_MOI'!$C$26</f>
        <v>3753.2797319823626</v>
      </c>
      <c r="M4630" s="75">
        <f>'THAM_SO_MOI'!$C$15*'THAM_SO_MOI'!$C$16*F4630^2</f>
        <v>1703.5656272976264</v>
      </c>
      <c r="N4630" s="75">
        <f>'THAM_SO_MOI'!$C$12*I4630</f>
        <v>1568.9085716687352</v>
      </c>
      <c r="O4630" s="75">
        <f>M4630+N4630</f>
        <v>3272.4741989663617</v>
      </c>
      <c r="P4630" s="75">
        <f>(MIN(L4630,'THAM_SO_MOI'!$C$41)-O4630)/('THAM_SO_MOI'!$C$11*H4630)</f>
        <v>0.05691353373768953</v>
      </c>
      <c r="Q4630" s="75">
        <f>IF(P4630&gt;0,1/P4630,NA())</f>
        <v>17.570513273853802</v>
      </c>
      <c r="R4630" s="75">
        <f>F4630-F4629</f>
        <v>0.0035868055555567935</v>
      </c>
      <c r="S4630" s="75">
        <f>0.5*(Q4629+Q4630)*R4630</f>
        <v>0.06297619248569127</v>
      </c>
      <c r="T4630" s="75">
        <f>0.5*(F4629*Q4629+F4630*Q4630)*R4630</f>
        <v>1.5197097431450073</v>
      </c>
      <c r="U4630" s="76">
        <f>U4629+S4630</f>
        <v>87.18744392913193</v>
      </c>
      <c r="V4630" s="76">
        <f>V4629+T4630</f>
        <v>1521.7914415999946</v>
      </c>
    </row>
    <row r="4631" spans="1:22" ht="19" customHeight="1">
      <c r="A4631" s="68" t="s">
        <v>378</v>
      </c>
      <c r="B4631" s="74">
        <v>5</v>
      </c>
      <c r="C4631" s="68" t="s">
        <v>363</v>
      </c>
      <c r="D4631" s="68" t="s">
        <v>365</v>
      </c>
      <c r="E4631" s="75">
        <f>60*F4631*'THAM_SO_MOI'!$C$53/(2*PI()*'THAM_SO_MOI'!$C$26)</f>
        <v>2378.1173684210526</v>
      </c>
      <c r="F4631" s="75">
        <f>'THAM_SO_MOI'!$C$14+('THAM_SO_MOI'!$C$37-'THAM_SO_MOI'!$C$14)*540/'THAM_SO_MOI'!$C$42</f>
        <v>24.136875</v>
      </c>
      <c r="G4631" s="75">
        <f>3.6*F4631</f>
        <v>86.89275</v>
      </c>
      <c r="H4631" s="75">
        <f>'THAM_SO_MOI'!$D$53</f>
        <v>1.1</v>
      </c>
      <c r="I4631" s="75">
        <f>IF(F4631&gt;='THAM_SO_MOI'!$C$14,'THAM_SO_MOI'!$C$13*(1+F4631^2/1500),'THAM_SO_MOI'!$C$13)</f>
        <v>0.02082588734765625</v>
      </c>
      <c r="J4631" s="75">
        <f>'THAM_SO_MOI'!$C$40*('THAM_SO_MOI'!$C$23*(E4631/'THAM_SO_MOI'!$C$22)+'THAM_SO_MOI'!$C$24*(E4631/'THAM_SO_MOI'!$C$22)^2-'THAM_SO_MOI'!$C$25*(E4631/'THAM_SO_MOI'!$C$22)^3)</f>
        <v>106.55743610365646</v>
      </c>
      <c r="K4631" s="75">
        <f>'THAM_SO_MOI'!$C$31*J4631/E4631</f>
        <v>427.9606080289747</v>
      </c>
      <c r="L4631" s="75">
        <f>K4631*'THAM_SO_MOI'!$C$53*'THAM_SO_MOI'!$C$17/'THAM_SO_MOI'!$C$26</f>
        <v>3753.216207010511</v>
      </c>
      <c r="M4631" s="75">
        <f>'THAM_SO_MOI'!$C$15*'THAM_SO_MOI'!$C$16*F4631^2</f>
        <v>1704.0720491894533</v>
      </c>
      <c r="N4631" s="75">
        <f>'THAM_SO_MOI'!$C$12*I4631</f>
        <v>1569.0390134822999</v>
      </c>
      <c r="O4631" s="75">
        <f>M4631+N4631</f>
        <v>3273.111062671753</v>
      </c>
      <c r="P4631" s="75">
        <f>(MIN(L4631,'THAM_SO_MOI'!$C$41)-O4631)/('THAM_SO_MOI'!$C$11*H4631)</f>
        <v>0.05683062788100829</v>
      </c>
      <c r="Q4631" s="75">
        <f>IF(P4631&gt;0,1/P4631,NA())</f>
        <v>17.59614555189845</v>
      </c>
      <c r="R4631" s="75">
        <f>F4631-F4630</f>
        <v>0.0035868055555567935</v>
      </c>
      <c r="S4631" s="75">
        <f>0.5*(Q4630+Q4631)*R4631</f>
        <v>0.06306798362328926</v>
      </c>
      <c r="T4631" s="75">
        <f>0.5*(F4630*Q4630+F4631*Q4631)*R4631</f>
        <v>1.5221510133612908</v>
      </c>
      <c r="U4631" s="76">
        <f>U4630+S4631</f>
        <v>87.25051191275521</v>
      </c>
      <c r="V4631" s="76">
        <f>V4630+T4631</f>
        <v>1523.313592613356</v>
      </c>
    </row>
    <row r="4632" spans="1:22" ht="19" customHeight="1">
      <c r="A4632" s="68" t="s">
        <v>378</v>
      </c>
      <c r="B4632" s="74">
        <v>5</v>
      </c>
      <c r="C4632" s="68" t="s">
        <v>363</v>
      </c>
      <c r="D4632" s="68" t="s">
        <v>365</v>
      </c>
      <c r="E4632" s="75">
        <f>60*F4632*'THAM_SO_MOI'!$C$53/(2*PI()*'THAM_SO_MOI'!$C$26)</f>
        <v>2378.470763157894</v>
      </c>
      <c r="F4632" s="75">
        <f>'THAM_SO_MOI'!$C$14+('THAM_SO_MOI'!$C$37-'THAM_SO_MOI'!$C$14)*541/'THAM_SO_MOI'!$C$42</f>
        <v>24.140461805555553</v>
      </c>
      <c r="G4632" s="75">
        <f>3.6*F4632</f>
        <v>86.90566249999999</v>
      </c>
      <c r="H4632" s="75">
        <f>'THAM_SO_MOI'!$D$53</f>
        <v>1.1</v>
      </c>
      <c r="I4632" s="75">
        <f>IF(F4632&gt;='THAM_SO_MOI'!$C$14,'THAM_SO_MOI'!$C$13*(1+F4632^2/1500),'THAM_SO_MOI'!$C$13)</f>
        <v>0.020827618961854862</v>
      </c>
      <c r="J4632" s="75">
        <f>'THAM_SO_MOI'!$C$40*('THAM_SO_MOI'!$C$23*(E4632/'THAM_SO_MOI'!$C$22)+'THAM_SO_MOI'!$C$24*(E4632/'THAM_SO_MOI'!$C$22)^2-'THAM_SO_MOI'!$C$25*(E4632/'THAM_SO_MOI'!$C$22)^3)</f>
        <v>106.57146400916577</v>
      </c>
      <c r="K4632" s="75">
        <f>'THAM_SO_MOI'!$C$31*J4632/E4632</f>
        <v>427.95335247587434</v>
      </c>
      <c r="L4632" s="75">
        <f>K4632*'THAM_SO_MOI'!$C$53*'THAM_SO_MOI'!$C$17/'THAM_SO_MOI'!$C$26</f>
        <v>3753.1525757814297</v>
      </c>
      <c r="M4632" s="75">
        <f>'THAM_SO_MOI'!$C$15*'THAM_SO_MOI'!$C$16*F4632^2</f>
        <v>1704.578546342548</v>
      </c>
      <c r="N4632" s="75">
        <f>'THAM_SO_MOI'!$C$12*I4632</f>
        <v>1569.1694746813148</v>
      </c>
      <c r="O4632" s="75">
        <f>M4632+N4632</f>
        <v>3273.7480210238627</v>
      </c>
      <c r="P4632" s="75">
        <f>(MIN(L4632,'THAM_SO_MOI'!$C$41)-O4632)/('THAM_SO_MOI'!$C$11*H4632)</f>
        <v>0.056747698243083185</v>
      </c>
      <c r="Q4632" s="75">
        <f>IF(P4632&gt;0,1/P4632,NA())</f>
        <v>17.621860109927667</v>
      </c>
      <c r="R4632" s="75">
        <f>F4632-F4631</f>
        <v>0.0035868055555532408</v>
      </c>
      <c r="S4632" s="75">
        <f>0.5*(Q4631+Q4632)*R4632</f>
        <v>0.06316006918167169</v>
      </c>
      <c r="T4632" s="75">
        <f>0.5*(F4631*Q4631+F4632*Q4632)*R4632</f>
        <v>1.5246000489784435</v>
      </c>
      <c r="U4632" s="76">
        <f>U4631+S4632</f>
        <v>87.31367198193689</v>
      </c>
      <c r="V4632" s="76">
        <f>V4631+T4632</f>
        <v>1524.8381926623344</v>
      </c>
    </row>
    <row r="4633" spans="1:22" ht="19" customHeight="1">
      <c r="A4633" s="68" t="s">
        <v>378</v>
      </c>
      <c r="B4633" s="74">
        <v>5</v>
      </c>
      <c r="C4633" s="68" t="s">
        <v>363</v>
      </c>
      <c r="D4633" s="68" t="s">
        <v>365</v>
      </c>
      <c r="E4633" s="75">
        <f>60*F4633*'THAM_SO_MOI'!$C$53/(2*PI()*'THAM_SO_MOI'!$C$26)</f>
        <v>2378.8241578947363</v>
      </c>
      <c r="F4633" s="75">
        <f>'THAM_SO_MOI'!$C$14+('THAM_SO_MOI'!$C$37-'THAM_SO_MOI'!$C$14)*542/'THAM_SO_MOI'!$C$42</f>
        <v>24.14404861111111</v>
      </c>
      <c r="G4633" s="75">
        <f>3.6*F4633</f>
        <v>86.918575</v>
      </c>
      <c r="H4633" s="75">
        <f>'THAM_SO_MOI'!$D$53</f>
        <v>1.1</v>
      </c>
      <c r="I4633" s="75">
        <f>IF(F4633&gt;='THAM_SO_MOI'!$C$14,'THAM_SO_MOI'!$C$13*(1+F4633^2/1500),'THAM_SO_MOI'!$C$13)</f>
        <v>0.020829350833356963</v>
      </c>
      <c r="J4633" s="75">
        <f>'THAM_SO_MOI'!$C$40*('THAM_SO_MOI'!$C$23*(E4633/'THAM_SO_MOI'!$C$22)+'THAM_SO_MOI'!$C$24*(E4633/'THAM_SO_MOI'!$C$22)^2-'THAM_SO_MOI'!$C$25*(E4633/'THAM_SO_MOI'!$C$22)^3)</f>
        <v>106.58548836011586</v>
      </c>
      <c r="K4633" s="75">
        <f>'THAM_SO_MOI'!$C$31*J4633/E4633</f>
        <v>427.94608480678943</v>
      </c>
      <c r="L4633" s="75">
        <f>K4633*'THAM_SO_MOI'!$C$53*'THAM_SO_MOI'!$C$17/'THAM_SO_MOI'!$C$26</f>
        <v>3753.0888382951175</v>
      </c>
      <c r="M4633" s="75">
        <f>'THAM_SO_MOI'!$C$15*'THAM_SO_MOI'!$C$16*F4633^2</f>
        <v>1705.085118756912</v>
      </c>
      <c r="N4633" s="75">
        <f>'THAM_SO_MOI'!$C$12*I4633</f>
        <v>1569.2999552657805</v>
      </c>
      <c r="O4633" s="75">
        <f>M4633+N4633</f>
        <v>3274.3850740226926</v>
      </c>
      <c r="P4633" s="75">
        <f>(MIN(L4633,'THAM_SO_MOI'!$C$41)-O4633)/('THAM_SO_MOI'!$C$11*H4633)</f>
        <v>0.05666474482391396</v>
      </c>
      <c r="Q4633" s="75">
        <f>IF(P4633&gt;0,1/P4633,NA())</f>
        <v>17.647657341571133</v>
      </c>
      <c r="R4633" s="75">
        <f>F4633-F4632</f>
        <v>0.0035868055555567935</v>
      </c>
      <c r="S4633" s="75">
        <f>0.5*(Q4632+Q4633)*R4633</f>
        <v>0.06325245056842159</v>
      </c>
      <c r="T4633" s="75">
        <f>0.5*(F4632*Q4632+F4633*Q4633)*R4633</f>
        <v>1.5270568871467918</v>
      </c>
      <c r="U4633" s="76">
        <f>U4632+S4633</f>
        <v>87.37692443250532</v>
      </c>
      <c r="V4633" s="76">
        <f>V4632+T4633</f>
        <v>1526.3652495494812</v>
      </c>
    </row>
    <row r="4634" spans="1:22" ht="19" customHeight="1">
      <c r="A4634" s="68" t="s">
        <v>378</v>
      </c>
      <c r="B4634" s="74">
        <v>5</v>
      </c>
      <c r="C4634" s="68" t="s">
        <v>363</v>
      </c>
      <c r="D4634" s="68" t="s">
        <v>365</v>
      </c>
      <c r="E4634" s="75">
        <f>60*F4634*'THAM_SO_MOI'!$C$53/(2*PI()*'THAM_SO_MOI'!$C$26)</f>
        <v>2379.1775526315782</v>
      </c>
      <c r="F4634" s="75">
        <f>'THAM_SO_MOI'!$C$14+('THAM_SO_MOI'!$C$37-'THAM_SO_MOI'!$C$14)*543/'THAM_SO_MOI'!$C$42</f>
        <v>24.147635416666667</v>
      </c>
      <c r="G4634" s="75">
        <f>3.6*F4634</f>
        <v>86.9314875</v>
      </c>
      <c r="H4634" s="75">
        <f>'THAM_SO_MOI'!$D$53</f>
        <v>1.1</v>
      </c>
      <c r="I4634" s="75">
        <f>IF(F4634&gt;='THAM_SO_MOI'!$C$14,'THAM_SO_MOI'!$C$13*(1+F4634^2/1500),'THAM_SO_MOI'!$C$13)</f>
        <v>0.02083108296216254</v>
      </c>
      <c r="J4634" s="75">
        <f>'THAM_SO_MOI'!$C$40*('THAM_SO_MOI'!$C$23*(E4634/'THAM_SO_MOI'!$C$22)+'THAM_SO_MOI'!$C$24*(E4634/'THAM_SO_MOI'!$C$22)^2-'THAM_SO_MOI'!$C$25*(E4634/'THAM_SO_MOI'!$C$22)^3)</f>
        <v>106.59950915516181</v>
      </c>
      <c r="K4634" s="75">
        <f>'THAM_SO_MOI'!$C$31*J4634/E4634</f>
        <v>427.93880502172016</v>
      </c>
      <c r="L4634" s="75">
        <f>K4634*'THAM_SO_MOI'!$C$53*'THAM_SO_MOI'!$C$17/'THAM_SO_MOI'!$C$26</f>
        <v>3753.0249945515743</v>
      </c>
      <c r="M4634" s="75">
        <f>'THAM_SO_MOI'!$C$15*'THAM_SO_MOI'!$C$16*F4634^2</f>
        <v>1705.591766432544</v>
      </c>
      <c r="N4634" s="75">
        <f>'THAM_SO_MOI'!$C$12*I4634</f>
        <v>1569.4304552356957</v>
      </c>
      <c r="O4634" s="75">
        <f>M4634+N4634</f>
        <v>3275.0222216682396</v>
      </c>
      <c r="P4634" s="75">
        <f>(MIN(L4634,'THAM_SO_MOI'!$C$41)-O4634)/('THAM_SO_MOI'!$C$11*H4634)</f>
        <v>0.05658176762350077</v>
      </c>
      <c r="Q4634" s="75">
        <f>IF(P4634&gt;0,1/P4634,NA())</f>
        <v>17.673537642974914</v>
      </c>
      <c r="R4634" s="75">
        <f>F4634-F4633</f>
        <v>0.0035868055555567935</v>
      </c>
      <c r="S4634" s="75">
        <f>0.5*(Q4633+Q4634)*R4634</f>
        <v>0.06334512919973725</v>
      </c>
      <c r="T4634" s="75">
        <f>0.5*(F4633*Q4633+F4634*Q4634)*R4634</f>
        <v>1.5295215652448815</v>
      </c>
      <c r="U4634" s="76">
        <f>U4633+S4634</f>
        <v>87.44026956170505</v>
      </c>
      <c r="V4634" s="76">
        <f>V4633+T4634</f>
        <v>1527.8947711147262</v>
      </c>
    </row>
    <row r="4635" spans="1:22" ht="19" customHeight="1">
      <c r="A4635" s="68" t="s">
        <v>378</v>
      </c>
      <c r="B4635" s="74">
        <v>5</v>
      </c>
      <c r="C4635" s="68" t="s">
        <v>363</v>
      </c>
      <c r="D4635" s="68" t="s">
        <v>365</v>
      </c>
      <c r="E4635" s="75">
        <f>60*F4635*'THAM_SO_MOI'!$C$53/(2*PI()*'THAM_SO_MOI'!$C$26)</f>
        <v>2379.53094736842</v>
      </c>
      <c r="F4635" s="75">
        <f>'THAM_SO_MOI'!$C$14+('THAM_SO_MOI'!$C$37-'THAM_SO_MOI'!$C$14)*544/'THAM_SO_MOI'!$C$42</f>
        <v>24.15122222222222</v>
      </c>
      <c r="G4635" s="75">
        <f>3.6*F4635</f>
        <v>86.94439999999999</v>
      </c>
      <c r="H4635" s="75">
        <f>'THAM_SO_MOI'!$D$53</f>
        <v>1.1</v>
      </c>
      <c r="I4635" s="75">
        <f>IF(F4635&gt;='THAM_SO_MOI'!$C$14,'THAM_SO_MOI'!$C$13*(1+F4635^2/1500),'THAM_SO_MOI'!$C$13)</f>
        <v>0.020832815348271604</v>
      </c>
      <c r="J4635" s="75">
        <f>'THAM_SO_MOI'!$C$40*('THAM_SO_MOI'!$C$23*(E4635/'THAM_SO_MOI'!$C$22)+'THAM_SO_MOI'!$C$24*(E4635/'THAM_SO_MOI'!$C$22)^2-'THAM_SO_MOI'!$C$25*(E4635/'THAM_SO_MOI'!$C$22)^3)</f>
        <v>106.61352639295875</v>
      </c>
      <c r="K4635" s="75">
        <f>'THAM_SO_MOI'!$C$31*J4635/E4635</f>
        <v>427.93151312066647</v>
      </c>
      <c r="L4635" s="75">
        <f>K4635*'THAM_SO_MOI'!$C$53*'THAM_SO_MOI'!$C$17/'THAM_SO_MOI'!$C$26</f>
        <v>3752.9610445508006</v>
      </c>
      <c r="M4635" s="75">
        <f>'THAM_SO_MOI'!$C$15*'THAM_SO_MOI'!$C$16*F4635^2</f>
        <v>1706.0984893694442</v>
      </c>
      <c r="N4635" s="75">
        <f>'THAM_SO_MOI'!$C$12*I4635</f>
        <v>1569.5609745910613</v>
      </c>
      <c r="O4635" s="75">
        <f>M4635+N4635</f>
        <v>3275.6594639605055</v>
      </c>
      <c r="P4635" s="75">
        <f>(MIN(L4635,'THAM_SO_MOI'!$C$41)-O4635)/('THAM_SO_MOI'!$C$11*H4635)</f>
        <v>0.05649876664184364</v>
      </c>
      <c r="Q4635" s="75">
        <f>IF(P4635&gt;0,1/P4635,NA())</f>
        <v>17.69950141282179</v>
      </c>
      <c r="R4635" s="75">
        <f>F4635-F4634</f>
        <v>0.0035868055555532408</v>
      </c>
      <c r="S4635" s="75">
        <f>0.5*(Q4634+Q4635)*R4635</f>
        <v>0.06343810650106668</v>
      </c>
      <c r="T4635" s="75">
        <f>0.5*(F4634*Q4634+F4635*Q4635)*R4635</f>
        <v>1.5319941208949506</v>
      </c>
      <c r="U4635" s="76">
        <f>U4634+S4635</f>
        <v>87.50370766820612</v>
      </c>
      <c r="V4635" s="76">
        <f>V4634+T4635</f>
        <v>1529.4267652356211</v>
      </c>
    </row>
    <row r="4636" spans="1:22" ht="19" customHeight="1">
      <c r="A4636" s="68" t="s">
        <v>378</v>
      </c>
      <c r="B4636" s="74">
        <v>5</v>
      </c>
      <c r="C4636" s="68" t="s">
        <v>363</v>
      </c>
      <c r="D4636" s="68" t="s">
        <v>365</v>
      </c>
      <c r="E4636" s="75">
        <f>60*F4636*'THAM_SO_MOI'!$C$53/(2*PI()*'THAM_SO_MOI'!$C$26)</f>
        <v>2379.8843421052625</v>
      </c>
      <c r="F4636" s="75">
        <f>'THAM_SO_MOI'!$C$14+('THAM_SO_MOI'!$C$37-'THAM_SO_MOI'!$C$14)*545/'THAM_SO_MOI'!$C$42</f>
        <v>24.154809027777777</v>
      </c>
      <c r="G4636" s="75">
        <f>3.6*F4636</f>
        <v>86.9573125</v>
      </c>
      <c r="H4636" s="75">
        <f>'THAM_SO_MOI'!$D$53</f>
        <v>1.1</v>
      </c>
      <c r="I4636" s="75">
        <f>IF(F4636&gt;='THAM_SO_MOI'!$C$14,'THAM_SO_MOI'!$C$13*(1+F4636^2/1500),'THAM_SO_MOI'!$C$13)</f>
        <v>0.020834547991684146</v>
      </c>
      <c r="J4636" s="75">
        <f>'THAM_SO_MOI'!$C$40*('THAM_SO_MOI'!$C$23*(E4636/'THAM_SO_MOI'!$C$22)+'THAM_SO_MOI'!$C$24*(E4636/'THAM_SO_MOI'!$C$22)^2-'THAM_SO_MOI'!$C$25*(E4636/'THAM_SO_MOI'!$C$22)^3)</f>
        <v>106.62754007216174</v>
      </c>
      <c r="K4636" s="75">
        <f>'THAM_SO_MOI'!$C$31*J4636/E4636</f>
        <v>427.92420910362813</v>
      </c>
      <c r="L4636" s="75">
        <f>K4636*'THAM_SO_MOI'!$C$53*'THAM_SO_MOI'!$C$17/'THAM_SO_MOI'!$C$26</f>
        <v>3752.896988292794</v>
      </c>
      <c r="M4636" s="75">
        <f>'THAM_SO_MOI'!$C$15*'THAM_SO_MOI'!$C$16*F4636^2</f>
        <v>1706.6052875676132</v>
      </c>
      <c r="N4636" s="75">
        <f>'THAM_SO_MOI'!$C$12*I4636</f>
        <v>1569.691513331877</v>
      </c>
      <c r="O4636" s="75">
        <f>M4636+N4636</f>
        <v>3276.2968008994903</v>
      </c>
      <c r="P4636" s="75">
        <f>(MIN(L4636,'THAM_SO_MOI'!$C$41)-O4636)/('THAM_SO_MOI'!$C$11*H4636)</f>
        <v>0.0564157418789422</v>
      </c>
      <c r="Q4636" s="75">
        <f>IF(P4636&gt;0,1/P4636,NA())</f>
        <v>17.725549052351663</v>
      </c>
      <c r="R4636" s="75">
        <f>F4636-F4635</f>
        <v>0.0035868055555567935</v>
      </c>
      <c r="S4636" s="75">
        <f>0.5*(Q4635+Q4636)*R4636</f>
        <v>0.06353138390718197</v>
      </c>
      <c r="T4636" s="75">
        <f>0.5*(F4635*Q4635+F4636*Q4636)*R4636</f>
        <v>1.5344745919648934</v>
      </c>
      <c r="U4636" s="76">
        <f>U4635+S4636</f>
        <v>87.5672390521133</v>
      </c>
      <c r="V4636" s="76">
        <f>V4635+T4636</f>
        <v>1530.961239827586</v>
      </c>
    </row>
    <row r="4637" spans="1:22" ht="19" customHeight="1">
      <c r="A4637" s="68" t="s">
        <v>378</v>
      </c>
      <c r="B4637" s="74">
        <v>5</v>
      </c>
      <c r="C4637" s="68" t="s">
        <v>363</v>
      </c>
      <c r="D4637" s="68" t="s">
        <v>365</v>
      </c>
      <c r="E4637" s="75">
        <f>60*F4637*'THAM_SO_MOI'!$C$53/(2*PI()*'THAM_SO_MOI'!$C$26)</f>
        <v>2380.237736842105</v>
      </c>
      <c r="F4637" s="75">
        <f>'THAM_SO_MOI'!$C$14+('THAM_SO_MOI'!$C$37-'THAM_SO_MOI'!$C$14)*546/'THAM_SO_MOI'!$C$42</f>
        <v>24.158395833333334</v>
      </c>
      <c r="G4637" s="75">
        <f>3.6*F4637</f>
        <v>86.970225</v>
      </c>
      <c r="H4637" s="75">
        <f>'THAM_SO_MOI'!$D$53</f>
        <v>1.1</v>
      </c>
      <c r="I4637" s="75">
        <f>IF(F4637&gt;='THAM_SO_MOI'!$C$14,'THAM_SO_MOI'!$C$13*(1+F4637^2/1500),'THAM_SO_MOI'!$C$13)</f>
        <v>0.020836280892400173</v>
      </c>
      <c r="J4637" s="75">
        <f>'THAM_SO_MOI'!$C$40*('THAM_SO_MOI'!$C$23*(E4637/'THAM_SO_MOI'!$C$22)+'THAM_SO_MOI'!$C$24*(E4637/'THAM_SO_MOI'!$C$22)^2-'THAM_SO_MOI'!$C$25*(E4637/'THAM_SO_MOI'!$C$22)^3)</f>
        <v>106.64155019142598</v>
      </c>
      <c r="K4637" s="75">
        <f>'THAM_SO_MOI'!$C$31*J4637/E4637</f>
        <v>427.91689297060566</v>
      </c>
      <c r="L4637" s="75">
        <f>K4637*'THAM_SO_MOI'!$C$53*'THAM_SO_MOI'!$C$17/'THAM_SO_MOI'!$C$26</f>
        <v>3752.8328257775593</v>
      </c>
      <c r="M4637" s="75">
        <f>'THAM_SO_MOI'!$C$15*'THAM_SO_MOI'!$C$16*F4637^2</f>
        <v>1707.112161027051</v>
      </c>
      <c r="N4637" s="75">
        <f>'THAM_SO_MOI'!$C$12*I4637</f>
        <v>1569.822071458143</v>
      </c>
      <c r="O4637" s="75">
        <f>M4637+N4637</f>
        <v>3276.934232485194</v>
      </c>
      <c r="P4637" s="75">
        <f>(MIN(L4637,'THAM_SO_MOI'!$C$41)-O4637)/('THAM_SO_MOI'!$C$11*H4637)</f>
        <v>0.05633269333479704</v>
      </c>
      <c r="Q4637" s="75">
        <f>IF(P4637&gt;0,1/P4637,NA())</f>
        <v>17.75168096538168</v>
      </c>
      <c r="R4637" s="75">
        <f>F4637-F4636</f>
        <v>0.0035868055555567935</v>
      </c>
      <c r="S4637" s="75">
        <f>0.5*(Q4636+Q4637)*R4637</f>
        <v>0.0636249628616861</v>
      </c>
      <c r="T4637" s="75">
        <f>0.5*(F4636*Q4636+F4637*Q4637)*R4637</f>
        <v>1.536963016556516</v>
      </c>
      <c r="U4637" s="76">
        <f>U4636+S4637</f>
        <v>87.63086401497497</v>
      </c>
      <c r="V4637" s="76">
        <f>V4636+T4637</f>
        <v>1532.4982028441425</v>
      </c>
    </row>
    <row r="4638" spans="1:22" ht="19" customHeight="1">
      <c r="A4638" s="68" t="s">
        <v>378</v>
      </c>
      <c r="B4638" s="74">
        <v>5</v>
      </c>
      <c r="C4638" s="68" t="s">
        <v>363</v>
      </c>
      <c r="D4638" s="68" t="s">
        <v>365</v>
      </c>
      <c r="E4638" s="75">
        <f>60*F4638*'THAM_SO_MOI'!$C$53/(2*PI()*'THAM_SO_MOI'!$C$26)</f>
        <v>2380.5911315789467</v>
      </c>
      <c r="F4638" s="75">
        <f>'THAM_SO_MOI'!$C$14+('THAM_SO_MOI'!$C$37-'THAM_SO_MOI'!$C$14)*547/'THAM_SO_MOI'!$C$42</f>
        <v>24.161982638888887</v>
      </c>
      <c r="G4638" s="75">
        <f>3.6*F4638</f>
        <v>86.9831375</v>
      </c>
      <c r="H4638" s="75">
        <f>'THAM_SO_MOI'!$D$53</f>
        <v>1.1</v>
      </c>
      <c r="I4638" s="75">
        <f>IF(F4638&gt;='THAM_SO_MOI'!$C$14,'THAM_SO_MOI'!$C$13*(1+F4638^2/1500),'THAM_SO_MOI'!$C$13)</f>
        <v>0.02083801405041968</v>
      </c>
      <c r="J4638" s="75">
        <f>'THAM_SO_MOI'!$C$40*('THAM_SO_MOI'!$C$23*(E4638/'THAM_SO_MOI'!$C$22)+'THAM_SO_MOI'!$C$24*(E4638/'THAM_SO_MOI'!$C$22)^2-'THAM_SO_MOI'!$C$25*(E4638/'THAM_SO_MOI'!$C$22)^3)</f>
        <v>106.65555674940643</v>
      </c>
      <c r="K4638" s="75">
        <f>'THAM_SO_MOI'!$C$31*J4638/E4638</f>
        <v>427.9095647215983</v>
      </c>
      <c r="L4638" s="75">
        <f>K4638*'THAM_SO_MOI'!$C$53*'THAM_SO_MOI'!$C$17/'THAM_SO_MOI'!$C$26</f>
        <v>3752.768557005089</v>
      </c>
      <c r="M4638" s="75">
        <f>'THAM_SO_MOI'!$C$15*'THAM_SO_MOI'!$C$16*F4638^2</f>
        <v>1707.6191097477565</v>
      </c>
      <c r="N4638" s="75">
        <f>'THAM_SO_MOI'!$C$12*I4638</f>
        <v>1569.9526489698592</v>
      </c>
      <c r="O4638" s="75">
        <f>M4638+N4638</f>
        <v>3277.571758717616</v>
      </c>
      <c r="P4638" s="75">
        <f>(MIN(L4638,'THAM_SO_MOI'!$C$41)-O4638)/('THAM_SO_MOI'!$C$11*H4638)</f>
        <v>0.05624962100940734</v>
      </c>
      <c r="Q4638" s="75">
        <f>IF(P4638&gt;0,1/P4638,NA())</f>
        <v>17.777897558327677</v>
      </c>
      <c r="R4638" s="75">
        <f>F4638-F4637</f>
        <v>0.0035868055555532408</v>
      </c>
      <c r="S4638" s="75">
        <f>0.5*(Q4637+Q4638)*R4638</f>
        <v>0.06371884481765293</v>
      </c>
      <c r="T4638" s="75">
        <f>0.5*(F4637*Q4637+F4638*Q4638)*R4638</f>
        <v>1.5394594330211502</v>
      </c>
      <c r="U4638" s="76">
        <f>U4637+S4638</f>
        <v>87.69458285979263</v>
      </c>
      <c r="V4638" s="76">
        <f>V4637+T4638</f>
        <v>1534.0376622771637</v>
      </c>
    </row>
    <row r="4639" spans="1:22" ht="19" customHeight="1">
      <c r="A4639" s="68" t="s">
        <v>378</v>
      </c>
      <c r="B4639" s="74">
        <v>5</v>
      </c>
      <c r="C4639" s="68" t="s">
        <v>363</v>
      </c>
      <c r="D4639" s="68" t="s">
        <v>365</v>
      </c>
      <c r="E4639" s="75">
        <f>60*F4639*'THAM_SO_MOI'!$C$53/(2*PI()*'THAM_SO_MOI'!$C$26)</f>
        <v>2380.944526315789</v>
      </c>
      <c r="F4639" s="75">
        <f>'THAM_SO_MOI'!$C$14+('THAM_SO_MOI'!$C$37-'THAM_SO_MOI'!$C$14)*548/'THAM_SO_MOI'!$C$42</f>
        <v>24.165569444444444</v>
      </c>
      <c r="G4639" s="75">
        <f>3.6*F4639</f>
        <v>86.99605</v>
      </c>
      <c r="H4639" s="75">
        <f>'THAM_SO_MOI'!$D$53</f>
        <v>1.1</v>
      </c>
      <c r="I4639" s="75">
        <f>IF(F4639&gt;='THAM_SO_MOI'!$C$14,'THAM_SO_MOI'!$C$13*(1+F4639^2/1500),'THAM_SO_MOI'!$C$13)</f>
        <v>0.02083974746574267</v>
      </c>
      <c r="J4639" s="75">
        <f>'THAM_SO_MOI'!$C$40*('THAM_SO_MOI'!$C$23*(E4639/'THAM_SO_MOI'!$C$22)+'THAM_SO_MOI'!$C$24*(E4639/'THAM_SO_MOI'!$C$22)^2-'THAM_SO_MOI'!$C$25*(E4639/'THAM_SO_MOI'!$C$22)^3)</f>
        <v>106.66955974475836</v>
      </c>
      <c r="K4639" s="75">
        <f>'THAM_SO_MOI'!$C$31*J4639/E4639</f>
        <v>427.9022243566068</v>
      </c>
      <c r="L4639" s="75">
        <f>K4639*'THAM_SO_MOI'!$C$53*'THAM_SO_MOI'!$C$17/'THAM_SO_MOI'!$C$26</f>
        <v>3752.7041819753913</v>
      </c>
      <c r="M4639" s="75">
        <f>'THAM_SO_MOI'!$C$15*'THAM_SO_MOI'!$C$16*F4639^2</f>
        <v>1708.126133729731</v>
      </c>
      <c r="N4639" s="75">
        <f>'THAM_SO_MOI'!$C$12*I4639</f>
        <v>1570.0832458670254</v>
      </c>
      <c r="O4639" s="75">
        <f>M4639+N4639</f>
        <v>3278.2093795967567</v>
      </c>
      <c r="P4639" s="75">
        <f>(MIN(L4639,'THAM_SO_MOI'!$C$41)-O4639)/('THAM_SO_MOI'!$C$11*H4639)</f>
        <v>0.05616652490277401</v>
      </c>
      <c r="Q4639" s="75">
        <f>IF(P4639&gt;0,1/P4639,NA())</f>
        <v>17.804199240224154</v>
      </c>
      <c r="R4639" s="75">
        <f>F4639-F4638</f>
        <v>0.0035868055555567935</v>
      </c>
      <c r="S4639" s="75">
        <f>0.5*(Q4638+Q4639)*R4639</f>
        <v>0.06381303123770266</v>
      </c>
      <c r="T4639" s="75">
        <f>0.5*(F4638*Q4638+F4639*Q4639)*R4639</f>
        <v>1.541963879961655</v>
      </c>
      <c r="U4639" s="76">
        <f>U4638+S4639</f>
        <v>87.75839589103033</v>
      </c>
      <c r="V4639" s="76">
        <f>V4638+T4639</f>
        <v>1535.5796261571254</v>
      </c>
    </row>
    <row r="4640" spans="1:22" ht="19" customHeight="1">
      <c r="A4640" s="68" t="s">
        <v>378</v>
      </c>
      <c r="B4640" s="74">
        <v>5</v>
      </c>
      <c r="C4640" s="68" t="s">
        <v>363</v>
      </c>
      <c r="D4640" s="68" t="s">
        <v>365</v>
      </c>
      <c r="E4640" s="75">
        <f>60*F4640*'THAM_SO_MOI'!$C$53/(2*PI()*'THAM_SO_MOI'!$C$26)</f>
        <v>2381.297921052631</v>
      </c>
      <c r="F4640" s="75">
        <f>'THAM_SO_MOI'!$C$14+('THAM_SO_MOI'!$C$37-'THAM_SO_MOI'!$C$14)*549/'THAM_SO_MOI'!$C$42</f>
        <v>24.16915625</v>
      </c>
      <c r="G4640" s="75">
        <f>3.6*F4640</f>
        <v>87.00896250000001</v>
      </c>
      <c r="H4640" s="75">
        <f>'THAM_SO_MOI'!$D$53</f>
        <v>1.1</v>
      </c>
      <c r="I4640" s="75">
        <f>IF(F4640&gt;='THAM_SO_MOI'!$C$14,'THAM_SO_MOI'!$C$13*(1+F4640^2/1500),'THAM_SO_MOI'!$C$13)</f>
        <v>0.02084148113836914</v>
      </c>
      <c r="J4640" s="75">
        <f>'THAM_SO_MOI'!$C$40*('THAM_SO_MOI'!$C$23*(E4640/'THAM_SO_MOI'!$C$22)+'THAM_SO_MOI'!$C$24*(E4640/'THAM_SO_MOI'!$C$22)^2-'THAM_SO_MOI'!$C$25*(E4640/'THAM_SO_MOI'!$C$22)^3)</f>
        <v>106.68355917613677</v>
      </c>
      <c r="K4640" s="75">
        <f>'THAM_SO_MOI'!$C$31*J4640/E4640</f>
        <v>427.8948718756307</v>
      </c>
      <c r="L4640" s="75">
        <f>K4640*'THAM_SO_MOI'!$C$53*'THAM_SO_MOI'!$C$17/'THAM_SO_MOI'!$C$26</f>
        <v>3752.6397006884613</v>
      </c>
      <c r="M4640" s="75">
        <f>'THAM_SO_MOI'!$C$15*'THAM_SO_MOI'!$C$16*F4640^2</f>
        <v>1708.633232972974</v>
      </c>
      <c r="N4640" s="75">
        <f>'THAM_SO_MOI'!$C$12*I4640</f>
        <v>1570.213862149642</v>
      </c>
      <c r="O4640" s="75">
        <f>M4640+N4640</f>
        <v>3278.847095122616</v>
      </c>
      <c r="P4640" s="75">
        <f>(MIN(L4640,'THAM_SO_MOI'!$C$41)-O4640)/('THAM_SO_MOI'!$C$11*H4640)</f>
        <v>0.056083405014896476</v>
      </c>
      <c r="Q4640" s="75">
        <f>IF(P4640&gt;0,1/P4640,NA())</f>
        <v>17.830586422746393</v>
      </c>
      <c r="R4640" s="75">
        <f>F4640-F4639</f>
        <v>0.0035868055555567935</v>
      </c>
      <c r="S4640" s="75">
        <f>0.5*(Q4639+Q4640)*R4640</f>
        <v>0.06390752359350917</v>
      </c>
      <c r="T4640" s="75">
        <f>0.5*(F4639*Q4639+F4640*Q4640)*R4640</f>
        <v>1.5444763962206753</v>
      </c>
      <c r="U4640" s="76">
        <f>U4639+S4640</f>
        <v>87.82230341462385</v>
      </c>
      <c r="V4640" s="76">
        <f>V4639+T4640</f>
        <v>1537.1241025533461</v>
      </c>
    </row>
    <row r="4641" spans="1:22" ht="19" customHeight="1">
      <c r="A4641" s="68" t="s">
        <v>378</v>
      </c>
      <c r="B4641" s="74">
        <v>5</v>
      </c>
      <c r="C4641" s="68" t="s">
        <v>363</v>
      </c>
      <c r="D4641" s="68" t="s">
        <v>365</v>
      </c>
      <c r="E4641" s="75">
        <f>60*F4641*'THAM_SO_MOI'!$C$53/(2*PI()*'THAM_SO_MOI'!$C$26)</f>
        <v>2381.651315789473</v>
      </c>
      <c r="F4641" s="75">
        <f>'THAM_SO_MOI'!$C$14+('THAM_SO_MOI'!$C$37-'THAM_SO_MOI'!$C$14)*550/'THAM_SO_MOI'!$C$42</f>
        <v>24.172743055555554</v>
      </c>
      <c r="G4641" s="75">
        <f>3.6*F4641</f>
        <v>87.021875</v>
      </c>
      <c r="H4641" s="75">
        <f>'THAM_SO_MOI'!$D$53</f>
        <v>1.1</v>
      </c>
      <c r="I4641" s="75">
        <f>IF(F4641&gt;='THAM_SO_MOI'!$C$14,'THAM_SO_MOI'!$C$13*(1+F4641^2/1500),'THAM_SO_MOI'!$C$13)</f>
        <v>0.02084321506829909</v>
      </c>
      <c r="J4641" s="75">
        <f>'THAM_SO_MOI'!$C$40*('THAM_SO_MOI'!$C$23*(E4641/'THAM_SO_MOI'!$C$22)+'THAM_SO_MOI'!$C$24*(E4641/'THAM_SO_MOI'!$C$22)^2-'THAM_SO_MOI'!$C$25*(E4641/'THAM_SO_MOI'!$C$22)^3)</f>
        <v>106.69755504219683</v>
      </c>
      <c r="K4641" s="75">
        <f>'THAM_SO_MOI'!$C$31*J4641/E4641</f>
        <v>427.8875072786702</v>
      </c>
      <c r="L4641" s="75">
        <f>K4641*'THAM_SO_MOI'!$C$53*'THAM_SO_MOI'!$C$17/'THAM_SO_MOI'!$C$26</f>
        <v>3752.5751131443003</v>
      </c>
      <c r="M4641" s="75">
        <f>'THAM_SO_MOI'!$C$15*'THAM_SO_MOI'!$C$16*F4641^2</f>
        <v>1709.1404074774846</v>
      </c>
      <c r="N4641" s="75">
        <f>'THAM_SO_MOI'!$C$12*I4641</f>
        <v>1570.344497817708</v>
      </c>
      <c r="O4641" s="75">
        <f>M4641+N4641</f>
        <v>3279.4849052951927</v>
      </c>
      <c r="P4641" s="75">
        <f>(MIN(L4641,'THAM_SO_MOI'!$C$41)-O4641)/('THAM_SO_MOI'!$C$11*H4641)</f>
        <v>0.05600026134577505</v>
      </c>
      <c r="Q4641" s="75">
        <f>IF(P4641&gt;0,1/P4641,NA())</f>
        <v>17.857059520231065</v>
      </c>
      <c r="R4641" s="75">
        <f>F4641-F4640</f>
        <v>0.0035868055555532408</v>
      </c>
      <c r="S4641" s="75">
        <f>0.5*(Q4640+Q4641)*R4641</f>
        <v>0.0640023233664443</v>
      </c>
      <c r="T4641" s="75">
        <f>0.5*(F4640*Q4640+F4641*Q4641)*R4641</f>
        <v>1.5469970208963801</v>
      </c>
      <c r="U4641" s="76">
        <f>U4640+S4641</f>
        <v>87.88630573799028</v>
      </c>
      <c r="V4641" s="76">
        <f>V4640+T4641</f>
        <v>1538.6710995742426</v>
      </c>
    </row>
    <row r="4642" spans="1:22" ht="19" customHeight="1">
      <c r="A4642" s="68" t="s">
        <v>378</v>
      </c>
      <c r="B4642" s="74">
        <v>5</v>
      </c>
      <c r="C4642" s="68" t="s">
        <v>363</v>
      </c>
      <c r="D4642" s="68" t="s">
        <v>365</v>
      </c>
      <c r="E4642" s="75">
        <f>60*F4642*'THAM_SO_MOI'!$C$53/(2*PI()*'THAM_SO_MOI'!$C$26)</f>
        <v>2382.0047105263147</v>
      </c>
      <c r="F4642" s="75">
        <f>'THAM_SO_MOI'!$C$14+('THAM_SO_MOI'!$C$37-'THAM_SO_MOI'!$C$14)*551/'THAM_SO_MOI'!$C$42</f>
        <v>24.17632986111111</v>
      </c>
      <c r="G4642" s="75">
        <f>3.6*F4642</f>
        <v>87.0347875</v>
      </c>
      <c r="H4642" s="75">
        <f>'THAM_SO_MOI'!$D$53</f>
        <v>1.1</v>
      </c>
      <c r="I4642" s="75">
        <f>IF(F4642&gt;='THAM_SO_MOI'!$C$14,'THAM_SO_MOI'!$C$13*(1+F4642^2/1500),'THAM_SO_MOI'!$C$13)</f>
        <v>0.020844949255532527</v>
      </c>
      <c r="J4642" s="75">
        <f>'THAM_SO_MOI'!$C$40*('THAM_SO_MOI'!$C$23*(E4642/'THAM_SO_MOI'!$C$22)+'THAM_SO_MOI'!$C$24*(E4642/'THAM_SO_MOI'!$C$22)^2-'THAM_SO_MOI'!$C$25*(E4642/'THAM_SO_MOI'!$C$22)^3)</f>
        <v>106.71154734159363</v>
      </c>
      <c r="K4642" s="75">
        <f>'THAM_SO_MOI'!$C$31*J4642/E4642</f>
        <v>427.8801305657253</v>
      </c>
      <c r="L4642" s="75">
        <f>K4642*'THAM_SO_MOI'!$C$53*'THAM_SO_MOI'!$C$17/'THAM_SO_MOI'!$C$26</f>
        <v>3752.5104193429083</v>
      </c>
      <c r="M4642" s="75">
        <f>'THAM_SO_MOI'!$C$15*'THAM_SO_MOI'!$C$16*F4642^2</f>
        <v>1709.6476572432646</v>
      </c>
      <c r="N4642" s="75">
        <f>'THAM_SO_MOI'!$C$12*I4642</f>
        <v>1570.4751528712252</v>
      </c>
      <c r="O4642" s="75">
        <f>M4642+N4642</f>
        <v>3280.1228101144898</v>
      </c>
      <c r="P4642" s="75">
        <f>(MIN(L4642,'THAM_SO_MOI'!$C$41)-O4642)/('THAM_SO_MOI'!$C$11*H4642)</f>
        <v>0.055917093895409394</v>
      </c>
      <c r="Q4642" s="75">
        <f>IF(P4642&gt;0,1/P4642,NA())</f>
        <v>17.883618949698253</v>
      </c>
      <c r="R4642" s="75">
        <f>F4642-F4641</f>
        <v>0.0035868055555567935</v>
      </c>
      <c r="S4642" s="75">
        <f>0.5*(Q4641+Q4642)*R4642</f>
        <v>0.06409743204765578</v>
      </c>
      <c r="T4642" s="75">
        <f>0.5*(F4641*Q4641+F4642*Q4642)*R4642</f>
        <v>1.549525793344519</v>
      </c>
      <c r="U4642" s="76">
        <f>U4641+S4642</f>
        <v>87.95040317003794</v>
      </c>
      <c r="V4642" s="76">
        <f>V4641+T4642</f>
        <v>1540.2206253675872</v>
      </c>
    </row>
    <row r="4643" spans="1:22" ht="19" customHeight="1">
      <c r="A4643" s="68" t="s">
        <v>378</v>
      </c>
      <c r="B4643" s="74">
        <v>5</v>
      </c>
      <c r="C4643" s="68" t="s">
        <v>363</v>
      </c>
      <c r="D4643" s="68" t="s">
        <v>365</v>
      </c>
      <c r="E4643" s="75">
        <f>60*F4643*'THAM_SO_MOI'!$C$53/(2*PI()*'THAM_SO_MOI'!$C$26)</f>
        <v>2382.3581052631575</v>
      </c>
      <c r="F4643" s="75">
        <f>'THAM_SO_MOI'!$C$14+('THAM_SO_MOI'!$C$37-'THAM_SO_MOI'!$C$14)*552/'THAM_SO_MOI'!$C$42</f>
        <v>24.179916666666664</v>
      </c>
      <c r="G4643" s="75">
        <f>3.6*F4643</f>
        <v>87.04769999999999</v>
      </c>
      <c r="H4643" s="75">
        <f>'THAM_SO_MOI'!$D$53</f>
        <v>1.1</v>
      </c>
      <c r="I4643" s="75">
        <f>IF(F4643&gt;='THAM_SO_MOI'!$C$14,'THAM_SO_MOI'!$C$13*(1+F4643^2/1500),'THAM_SO_MOI'!$C$13)</f>
        <v>0.02084668370006944</v>
      </c>
      <c r="J4643" s="75">
        <f>'THAM_SO_MOI'!$C$40*('THAM_SO_MOI'!$C$23*(E4643/'THAM_SO_MOI'!$C$22)+'THAM_SO_MOI'!$C$24*(E4643/'THAM_SO_MOI'!$C$22)^2-'THAM_SO_MOI'!$C$25*(E4643/'THAM_SO_MOI'!$C$22)^3)</f>
        <v>106.72553607298231</v>
      </c>
      <c r="K4643" s="75">
        <f>'THAM_SO_MOI'!$C$31*J4643/E4643</f>
        <v>427.8727417367959</v>
      </c>
      <c r="L4643" s="75">
        <f>K4643*'THAM_SO_MOI'!$C$53*'THAM_SO_MOI'!$C$17/'THAM_SO_MOI'!$C$26</f>
        <v>3752.445619284285</v>
      </c>
      <c r="M4643" s="75">
        <f>'THAM_SO_MOI'!$C$15*'THAM_SO_MOI'!$C$16*F4643^2</f>
        <v>1710.154982270312</v>
      </c>
      <c r="N4643" s="75">
        <f>'THAM_SO_MOI'!$C$12*I4643</f>
        <v>1570.605827310192</v>
      </c>
      <c r="O4643" s="75">
        <f>M4643+N4643</f>
        <v>3280.760809580504</v>
      </c>
      <c r="P4643" s="75">
        <f>(MIN(L4643,'THAM_SO_MOI'!$C$41)-O4643)/('THAM_SO_MOI'!$C$11*H4643)</f>
        <v>0.05583390266379983</v>
      </c>
      <c r="Q4643" s="75">
        <f>IF(P4643&gt;0,1/P4643,NA())</f>
        <v>17.910265130872798</v>
      </c>
      <c r="R4643" s="75">
        <f>F4643-F4642</f>
        <v>0.0035868055555532408</v>
      </c>
      <c r="S4643" s="75">
        <f>0.5*(Q4642+Q4643)*R4643</f>
        <v>0.06419285113751047</v>
      </c>
      <c r="T4643" s="75">
        <f>0.5*(F4642*Q4642+F4643*Q4643)*R4643</f>
        <v>1.552062753165138</v>
      </c>
      <c r="U4643" s="76">
        <f>U4642+S4643</f>
        <v>88.01459602117545</v>
      </c>
      <c r="V4643" s="76">
        <f>V4642+T4643</f>
        <v>1541.7726881207523</v>
      </c>
    </row>
    <row r="4644" spans="1:22" ht="19" customHeight="1">
      <c r="A4644" s="68" t="s">
        <v>378</v>
      </c>
      <c r="B4644" s="74">
        <v>5</v>
      </c>
      <c r="C4644" s="68" t="s">
        <v>363</v>
      </c>
      <c r="D4644" s="68" t="s">
        <v>365</v>
      </c>
      <c r="E4644" s="75">
        <f>60*F4644*'THAM_SO_MOI'!$C$53/(2*PI()*'THAM_SO_MOI'!$C$26)</f>
        <v>2382.7114999999994</v>
      </c>
      <c r="F4644" s="75">
        <f>'THAM_SO_MOI'!$C$14+('THAM_SO_MOI'!$C$37-'THAM_SO_MOI'!$C$14)*553/'THAM_SO_MOI'!$C$42</f>
        <v>24.18350347222222</v>
      </c>
      <c r="G4644" s="75">
        <f>3.6*F4644</f>
        <v>87.06061249999999</v>
      </c>
      <c r="H4644" s="75">
        <f>'THAM_SO_MOI'!$D$53</f>
        <v>1.1</v>
      </c>
      <c r="I4644" s="75">
        <f>IF(F4644&gt;='THAM_SO_MOI'!$C$14,'THAM_SO_MOI'!$C$13*(1+F4644^2/1500),'THAM_SO_MOI'!$C$13)</f>
        <v>0.02084841840190984</v>
      </c>
      <c r="J4644" s="75">
        <f>'THAM_SO_MOI'!$C$40*('THAM_SO_MOI'!$C$23*(E4644/'THAM_SO_MOI'!$C$22)+'THAM_SO_MOI'!$C$24*(E4644/'THAM_SO_MOI'!$C$22)^2-'THAM_SO_MOI'!$C$25*(E4644/'THAM_SO_MOI'!$C$22)^3)</f>
        <v>106.73952123501789</v>
      </c>
      <c r="K4644" s="75">
        <f>'THAM_SO_MOI'!$C$31*J4644/E4644</f>
        <v>427.8653407918819</v>
      </c>
      <c r="L4644" s="75">
        <f>K4644*'THAM_SO_MOI'!$C$53*'THAM_SO_MOI'!$C$17/'THAM_SO_MOI'!$C$26</f>
        <v>3752.38071296843</v>
      </c>
      <c r="M4644" s="75">
        <f>'THAM_SO_MOI'!$C$15*'THAM_SO_MOI'!$C$16*F4644^2</f>
        <v>1710.662382558629</v>
      </c>
      <c r="N4644" s="75">
        <f>'THAM_SO_MOI'!$C$12*I4644</f>
        <v>1570.736521134609</v>
      </c>
      <c r="O4644" s="75">
        <f>M4644+N4644</f>
        <v>3281.398903693238</v>
      </c>
      <c r="P4644" s="75">
        <f>(MIN(L4644,'THAM_SO_MOI'!$C$41)-O4644)/('THAM_SO_MOI'!$C$11*H4644)</f>
        <v>0.055750687650946054</v>
      </c>
      <c r="Q4644" s="75">
        <f>IF(P4644&gt;0,1/P4644,NA())</f>
        <v>17.936998486206665</v>
      </c>
      <c r="R4644" s="75">
        <f>F4644-F4643</f>
        <v>0.0035868055555567935</v>
      </c>
      <c r="S4644" s="75">
        <f>0.5*(Q4643+Q4644)*R4644</f>
        <v>0.06428858214662476</v>
      </c>
      <c r="T4644" s="75">
        <f>0.5*(F4643*Q4643+F4644*Q4644)*R4644</f>
        <v>1.55460794022766</v>
      </c>
      <c r="U4644" s="76">
        <f>U4643+S4644</f>
        <v>88.07888460332208</v>
      </c>
      <c r="V4644" s="76">
        <f>V4643+T4644</f>
        <v>1543.32729606098</v>
      </c>
    </row>
    <row r="4645" spans="1:22" ht="19" customHeight="1">
      <c r="A4645" s="68" t="s">
        <v>378</v>
      </c>
      <c r="B4645" s="74">
        <v>5</v>
      </c>
      <c r="C4645" s="68" t="s">
        <v>363</v>
      </c>
      <c r="D4645" s="68" t="s">
        <v>365</v>
      </c>
      <c r="E4645" s="75">
        <f>60*F4645*'THAM_SO_MOI'!$C$53/(2*PI()*'THAM_SO_MOI'!$C$26)</f>
        <v>2383.064894736842</v>
      </c>
      <c r="F4645" s="75">
        <f>'THAM_SO_MOI'!$C$14+('THAM_SO_MOI'!$C$37-'THAM_SO_MOI'!$C$14)*554/'THAM_SO_MOI'!$C$42</f>
        <v>24.187090277777777</v>
      </c>
      <c r="G4645" s="75">
        <f>3.6*F4645</f>
        <v>87.073525</v>
      </c>
      <c r="H4645" s="75">
        <f>'THAM_SO_MOI'!$D$53</f>
        <v>1.1</v>
      </c>
      <c r="I4645" s="75">
        <f>IF(F4645&gt;='THAM_SO_MOI'!$C$14,'THAM_SO_MOI'!$C$13*(1+F4645^2/1500),'THAM_SO_MOI'!$C$13)</f>
        <v>0.020850153361053725</v>
      </c>
      <c r="J4645" s="75">
        <f>'THAM_SO_MOI'!$C$40*('THAM_SO_MOI'!$C$23*(E4645/'THAM_SO_MOI'!$C$22)+'THAM_SO_MOI'!$C$24*(E4645/'THAM_SO_MOI'!$C$22)^2-'THAM_SO_MOI'!$C$25*(E4645/'THAM_SO_MOI'!$C$22)^3)</f>
        <v>106.75350282635563</v>
      </c>
      <c r="K4645" s="75">
        <f>'THAM_SO_MOI'!$C$31*J4645/E4645</f>
        <v>427.85792773098376</v>
      </c>
      <c r="L4645" s="75">
        <f>K4645*'THAM_SO_MOI'!$C$53*'THAM_SO_MOI'!$C$17/'THAM_SO_MOI'!$C$26</f>
        <v>3752.315700395346</v>
      </c>
      <c r="M4645" s="75">
        <f>'THAM_SO_MOI'!$C$15*'THAM_SO_MOI'!$C$16*F4645^2</f>
        <v>1711.169858108214</v>
      </c>
      <c r="N4645" s="75">
        <f>'THAM_SO_MOI'!$C$12*I4645</f>
        <v>1570.8672343444766</v>
      </c>
      <c r="O4645" s="75">
        <f>M4645+N4645</f>
        <v>3282.0370924526906</v>
      </c>
      <c r="P4645" s="75">
        <f>(MIN(L4645,'THAM_SO_MOI'!$C$41)-O4645)/('THAM_SO_MOI'!$C$11*H4645)</f>
        <v>0.05566744885684843</v>
      </c>
      <c r="Q4645" s="75">
        <f>IF(P4645&gt;0,1/P4645,NA())</f>
        <v>17.963819440900714</v>
      </c>
      <c r="R4645" s="75">
        <f>F4645-F4644</f>
        <v>0.0035868055555567935</v>
      </c>
      <c r="S4645" s="75">
        <f>0.5*(Q4644+Q4645)*R4645</f>
        <v>0.06438462659499085</v>
      </c>
      <c r="T4645" s="75">
        <f>0.5*(F4644*Q4644+F4645*Q4645)*R4645</f>
        <v>1.5571613946499365</v>
      </c>
      <c r="U4645" s="76">
        <f>U4644+S4645</f>
        <v>88.14326922991707</v>
      </c>
      <c r="V4645" s="76">
        <f>V4644+T4645</f>
        <v>1544.88445745563</v>
      </c>
    </row>
    <row r="4646" spans="1:22" ht="19" customHeight="1">
      <c r="A4646" s="68" t="s">
        <v>378</v>
      </c>
      <c r="B4646" s="74">
        <v>5</v>
      </c>
      <c r="C4646" s="68" t="s">
        <v>363</v>
      </c>
      <c r="D4646" s="68" t="s">
        <v>365</v>
      </c>
      <c r="E4646" s="75">
        <f>60*F4646*'THAM_SO_MOI'!$C$53/(2*PI()*'THAM_SO_MOI'!$C$26)</f>
        <v>2383.4182894736837</v>
      </c>
      <c r="F4646" s="75">
        <f>'THAM_SO_MOI'!$C$14+('THAM_SO_MOI'!$C$37-'THAM_SO_MOI'!$C$14)*555/'THAM_SO_MOI'!$C$42</f>
        <v>24.190677083333334</v>
      </c>
      <c r="G4646" s="75">
        <f>3.6*F4646</f>
        <v>87.0864375</v>
      </c>
      <c r="H4646" s="75">
        <f>'THAM_SO_MOI'!$D$53</f>
        <v>1.1</v>
      </c>
      <c r="I4646" s="75">
        <f>IF(F4646&gt;='THAM_SO_MOI'!$C$14,'THAM_SO_MOI'!$C$13*(1+F4646^2/1500),'THAM_SO_MOI'!$C$13)</f>
        <v>0.020851888577501088</v>
      </c>
      <c r="J4646" s="75">
        <f>'THAM_SO_MOI'!$C$40*('THAM_SO_MOI'!$C$23*(E4646/'THAM_SO_MOI'!$C$22)+'THAM_SO_MOI'!$C$24*(E4646/'THAM_SO_MOI'!$C$22)^2-'THAM_SO_MOI'!$C$25*(E4646/'THAM_SO_MOI'!$C$22)^3)</f>
        <v>106.76748084565047</v>
      </c>
      <c r="K4646" s="75">
        <f>'THAM_SO_MOI'!$C$31*J4646/E4646</f>
        <v>427.8505025541009</v>
      </c>
      <c r="L4646" s="75">
        <f>K4646*'THAM_SO_MOI'!$C$53*'THAM_SO_MOI'!$C$17/'THAM_SO_MOI'!$C$26</f>
        <v>3752.250581565029</v>
      </c>
      <c r="M4646" s="75">
        <f>'THAM_SO_MOI'!$C$15*'THAM_SO_MOI'!$C$16*F4646^2</f>
        <v>1711.6774089190676</v>
      </c>
      <c r="N4646" s="75">
        <f>'THAM_SO_MOI'!$C$12*I4646</f>
        <v>1570.997966939794</v>
      </c>
      <c r="O4646" s="75">
        <f>M4646+N4646</f>
        <v>3282.6753758588616</v>
      </c>
      <c r="P4646" s="75">
        <f>(MIN(L4646,'THAM_SO_MOI'!$C$41)-O4646)/('THAM_SO_MOI'!$C$11*H4646)</f>
        <v>0.05558418628150654</v>
      </c>
      <c r="Q4646" s="75">
        <f>IF(P4646&gt;0,1/P4646,NA())</f>
        <v>17.99072842292756</v>
      </c>
      <c r="R4646" s="75">
        <f>F4646-F4645</f>
        <v>0.0035868055555567935</v>
      </c>
      <c r="S4646" s="75">
        <f>0.5*(Q4645+Q4646)*R4646</f>
        <v>0.06448098601275595</v>
      </c>
      <c r="T4646" s="75">
        <f>0.5*(F4645*Q4645+F4646*Q4646)*R4646</f>
        <v>1.559723156817268</v>
      </c>
      <c r="U4646" s="76">
        <f>U4645+S4646</f>
        <v>88.20775021592982</v>
      </c>
      <c r="V4646" s="76">
        <f>V4645+T4646</f>
        <v>1546.444180612447</v>
      </c>
    </row>
    <row r="4647" spans="1:22" ht="19" customHeight="1">
      <c r="A4647" s="68" t="s">
        <v>378</v>
      </c>
      <c r="B4647" s="74">
        <v>5</v>
      </c>
      <c r="C4647" s="68" t="s">
        <v>363</v>
      </c>
      <c r="D4647" s="68" t="s">
        <v>365</v>
      </c>
      <c r="E4647" s="75">
        <f>60*F4647*'THAM_SO_MOI'!$C$53/(2*PI()*'THAM_SO_MOI'!$C$26)</f>
        <v>2383.7716842105256</v>
      </c>
      <c r="F4647" s="75">
        <f>'THAM_SO_MOI'!$C$14+('THAM_SO_MOI'!$C$37-'THAM_SO_MOI'!$C$14)*556/'THAM_SO_MOI'!$C$42</f>
        <v>24.194263888888887</v>
      </c>
      <c r="G4647" s="75">
        <f>3.6*F4647</f>
        <v>87.09935</v>
      </c>
      <c r="H4647" s="75">
        <f>'THAM_SO_MOI'!$D$53</f>
        <v>1.1</v>
      </c>
      <c r="I4647" s="75">
        <f>IF(F4647&gt;='THAM_SO_MOI'!$C$14,'THAM_SO_MOI'!$C$13*(1+F4647^2/1500),'THAM_SO_MOI'!$C$13)</f>
        <v>0.020853624051251927</v>
      </c>
      <c r="J4647" s="75">
        <f>'THAM_SO_MOI'!$C$40*('THAM_SO_MOI'!$C$23*(E4647/'THAM_SO_MOI'!$C$22)+'THAM_SO_MOI'!$C$24*(E4647/'THAM_SO_MOI'!$C$22)^2-'THAM_SO_MOI'!$C$25*(E4647/'THAM_SO_MOI'!$C$22)^3)</f>
        <v>106.7814552915576</v>
      </c>
      <c r="K4647" s="75">
        <f>'THAM_SO_MOI'!$C$31*J4647/E4647</f>
        <v>427.8430652612336</v>
      </c>
      <c r="L4647" s="75">
        <f>K4647*'THAM_SO_MOI'!$C$53*'THAM_SO_MOI'!$C$17/'THAM_SO_MOI'!$C$26</f>
        <v>3752.1853564774806</v>
      </c>
      <c r="M4647" s="75">
        <f>'THAM_SO_MOI'!$C$15*'THAM_SO_MOI'!$C$16*F4647^2</f>
        <v>1712.185034991189</v>
      </c>
      <c r="N4647" s="75">
        <f>'THAM_SO_MOI'!$C$12*I4647</f>
        <v>1571.1287189205614</v>
      </c>
      <c r="O4647" s="75">
        <f>M4647+N4647</f>
        <v>3283.3137539117506</v>
      </c>
      <c r="P4647" s="75">
        <f>(MIN(L4647,'THAM_SO_MOI'!$C$41)-O4647)/('THAM_SO_MOI'!$C$11*H4647)</f>
        <v>0.055500899924920716</v>
      </c>
      <c r="Q4647" s="75">
        <f>IF(P4647&gt;0,1/P4647,NA())</f>
        <v>18.017725863053716</v>
      </c>
      <c r="R4647" s="75">
        <f>F4647-F4646</f>
        <v>0.0035868055555532408</v>
      </c>
      <c r="S4647" s="75">
        <f>0.5*(Q4646+Q4647)*R4647</f>
        <v>0.06457766193992126</v>
      </c>
      <c r="T4647" s="75">
        <f>0.5*(F4646*Q4646+F4647*Q4647)*R4647</f>
        <v>1.562293267375298</v>
      </c>
      <c r="U4647" s="76">
        <f>U4646+S4647</f>
        <v>88.27232787786974</v>
      </c>
      <c r="V4647" s="76">
        <f>V4646+T4647</f>
        <v>1548.0064738798224</v>
      </c>
    </row>
    <row r="4648" spans="1:22" ht="19" customHeight="1">
      <c r="A4648" s="68" t="s">
        <v>378</v>
      </c>
      <c r="B4648" s="74">
        <v>5</v>
      </c>
      <c r="C4648" s="68" t="s">
        <v>363</v>
      </c>
      <c r="D4648" s="68" t="s">
        <v>365</v>
      </c>
      <c r="E4648" s="75">
        <f>60*F4648*'THAM_SO_MOI'!$C$53/(2*PI()*'THAM_SO_MOI'!$C$26)</f>
        <v>2384.1250789473675</v>
      </c>
      <c r="F4648" s="75">
        <f>'THAM_SO_MOI'!$C$14+('THAM_SO_MOI'!$C$37-'THAM_SO_MOI'!$C$14)*557/'THAM_SO_MOI'!$C$42</f>
        <v>24.197850694444444</v>
      </c>
      <c r="G4648" s="75">
        <f>3.6*F4648</f>
        <v>87.1122625</v>
      </c>
      <c r="H4648" s="75">
        <f>'THAM_SO_MOI'!$D$53</f>
        <v>1.1</v>
      </c>
      <c r="I4648" s="75">
        <f>IF(F4648&gt;='THAM_SO_MOI'!$C$14,'THAM_SO_MOI'!$C$13*(1+F4648^2/1500),'THAM_SO_MOI'!$C$13)</f>
        <v>0.020855359782306255</v>
      </c>
      <c r="J4648" s="75">
        <f>'THAM_SO_MOI'!$C$40*('THAM_SO_MOI'!$C$23*(E4648/'THAM_SO_MOI'!$C$22)+'THAM_SO_MOI'!$C$24*(E4648/'THAM_SO_MOI'!$C$22)^2-'THAM_SO_MOI'!$C$25*(E4648/'THAM_SO_MOI'!$C$22)^3)</f>
        <v>106.79542616273216</v>
      </c>
      <c r="K4648" s="75">
        <f>'THAM_SO_MOI'!$C$31*J4648/E4648</f>
        <v>427.8356158523819</v>
      </c>
      <c r="L4648" s="75">
        <f>K4648*'THAM_SO_MOI'!$C$53*'THAM_SO_MOI'!$C$17/'THAM_SO_MOI'!$C$26</f>
        <v>3752.120025132702</v>
      </c>
      <c r="M4648" s="75">
        <f>'THAM_SO_MOI'!$C$15*'THAM_SO_MOI'!$C$16*F4648^2</f>
        <v>1712.6927363245798</v>
      </c>
      <c r="N4648" s="75">
        <f>'THAM_SO_MOI'!$C$12*I4648</f>
        <v>1571.259490286779</v>
      </c>
      <c r="O4648" s="75">
        <f>M4648+N4648</f>
        <v>3283.952226611359</v>
      </c>
      <c r="P4648" s="75">
        <f>(MIN(L4648,'THAM_SO_MOI'!$C$41)-O4648)/('THAM_SO_MOI'!$C$11*H4648)</f>
        <v>0.05541758978709079</v>
      </c>
      <c r="Q4648" s="75">
        <f>IF(P4648&gt;0,1/P4648,NA())</f>
        <v>18.0448121948628</v>
      </c>
      <c r="R4648" s="75">
        <f>F4648-F4647</f>
        <v>0.0035868055555567935</v>
      </c>
      <c r="S4648" s="75">
        <f>0.5*(Q4647+Q4648)*R4648</f>
        <v>0.06467465592680663</v>
      </c>
      <c r="T4648" s="75">
        <f>0.5*(F4647*Q4647+F4648*Q4648)*R4648</f>
        <v>1.5648717672414358</v>
      </c>
      <c r="U4648" s="76">
        <f>U4647+S4648</f>
        <v>88.33700253379655</v>
      </c>
      <c r="V4648" s="76">
        <f>V4647+T4648</f>
        <v>1549.5713456470637</v>
      </c>
    </row>
    <row r="4649" spans="1:22" ht="19" customHeight="1">
      <c r="A4649" s="68" t="s">
        <v>378</v>
      </c>
      <c r="B4649" s="74">
        <v>5</v>
      </c>
      <c r="C4649" s="68" t="s">
        <v>363</v>
      </c>
      <c r="D4649" s="68" t="s">
        <v>365</v>
      </c>
      <c r="E4649" s="75">
        <f>60*F4649*'THAM_SO_MOI'!$C$53/(2*PI()*'THAM_SO_MOI'!$C$26)</f>
        <v>2384.47847368421</v>
      </c>
      <c r="F4649" s="75">
        <f>'THAM_SO_MOI'!$C$14+('THAM_SO_MOI'!$C$37-'THAM_SO_MOI'!$C$14)*558/'THAM_SO_MOI'!$C$42</f>
        <v>24.201437499999997</v>
      </c>
      <c r="G4649" s="75">
        <f>3.6*F4649</f>
        <v>87.125175</v>
      </c>
      <c r="H4649" s="75">
        <f>'THAM_SO_MOI'!$D$53</f>
        <v>1.1</v>
      </c>
      <c r="I4649" s="75">
        <f>IF(F4649&gt;='THAM_SO_MOI'!$C$14,'THAM_SO_MOI'!$C$13*(1+F4649^2/1500),'THAM_SO_MOI'!$C$13)</f>
        <v>0.02085709577066406</v>
      </c>
      <c r="J4649" s="75">
        <f>'THAM_SO_MOI'!$C$40*('THAM_SO_MOI'!$C$23*(E4649/'THAM_SO_MOI'!$C$22)+'THAM_SO_MOI'!$C$24*(E4649/'THAM_SO_MOI'!$C$22)^2-'THAM_SO_MOI'!$C$25*(E4649/'THAM_SO_MOI'!$C$22)^3)</f>
        <v>106.80939345782923</v>
      </c>
      <c r="K4649" s="75">
        <f>'THAM_SO_MOI'!$C$31*J4649/E4649</f>
        <v>427.8281543275457</v>
      </c>
      <c r="L4649" s="75">
        <f>K4649*'THAM_SO_MOI'!$C$53*'THAM_SO_MOI'!$C$17/'THAM_SO_MOI'!$C$26</f>
        <v>3752.0545875306916</v>
      </c>
      <c r="M4649" s="75">
        <f>'THAM_SO_MOI'!$C$15*'THAM_SO_MOI'!$C$16*F4649^2</f>
        <v>1713.2005129192382</v>
      </c>
      <c r="N4649" s="75">
        <f>'THAM_SO_MOI'!$C$12*I4649</f>
        <v>1571.3902810384468</v>
      </c>
      <c r="O4649" s="75">
        <f>M4649+N4649</f>
        <v>3284.590793957685</v>
      </c>
      <c r="P4649" s="75">
        <f>(MIN(L4649,'THAM_SO_MOI'!$C$41)-O4649)/('THAM_SO_MOI'!$C$11*H4649)</f>
        <v>0.05533425586801688</v>
      </c>
      <c r="Q4649" s="75">
        <f>IF(P4649&gt;0,1/P4649,NA())</f>
        <v>18.071987854778374</v>
      </c>
      <c r="R4649" s="75">
        <f>F4649-F4648</f>
        <v>0.0035868055555532408</v>
      </c>
      <c r="S4649" s="75">
        <f>0.5*(Q4648+Q4649)*R4649</f>
        <v>0.06477196953342926</v>
      </c>
      <c r="T4649" s="75">
        <f>0.5*(F4648*Q4648+F4649*Q4649)*R4649</f>
        <v>1.5674586975900078</v>
      </c>
      <c r="U4649" s="76">
        <f>U4648+S4649</f>
        <v>88.40177450332997</v>
      </c>
      <c r="V4649" s="76">
        <f>V4648+T4649</f>
        <v>1551.1388043446536</v>
      </c>
    </row>
    <row r="4650" spans="1:22" ht="19" customHeight="1">
      <c r="A4650" s="68" t="s">
        <v>378</v>
      </c>
      <c r="B4650" s="74">
        <v>5</v>
      </c>
      <c r="C4650" s="68" t="s">
        <v>363</v>
      </c>
      <c r="D4650" s="68" t="s">
        <v>365</v>
      </c>
      <c r="E4650" s="75">
        <f>60*F4650*'THAM_SO_MOI'!$C$53/(2*PI()*'THAM_SO_MOI'!$C$26)</f>
        <v>2384.831868421052</v>
      </c>
      <c r="F4650" s="75">
        <f>'THAM_SO_MOI'!$C$14+('THAM_SO_MOI'!$C$37-'THAM_SO_MOI'!$C$14)*559/'THAM_SO_MOI'!$C$42</f>
        <v>24.205024305555554</v>
      </c>
      <c r="G4650" s="75">
        <f>3.6*F4650</f>
        <v>87.1380875</v>
      </c>
      <c r="H4650" s="75">
        <f>'THAM_SO_MOI'!$D$53</f>
        <v>1.1</v>
      </c>
      <c r="I4650" s="75">
        <f>IF(F4650&gt;='THAM_SO_MOI'!$C$14,'THAM_SO_MOI'!$C$13*(1+F4650^2/1500),'THAM_SO_MOI'!$C$13)</f>
        <v>0.020858832016325348</v>
      </c>
      <c r="J4650" s="75">
        <f>'THAM_SO_MOI'!$C$40*('THAM_SO_MOI'!$C$23*(E4650/'THAM_SO_MOI'!$C$22)+'THAM_SO_MOI'!$C$24*(E4650/'THAM_SO_MOI'!$C$22)^2-'THAM_SO_MOI'!$C$25*(E4650/'THAM_SO_MOI'!$C$22)^3)</f>
        <v>106.82335717550397</v>
      </c>
      <c r="K4650" s="75">
        <f>'THAM_SO_MOI'!$C$31*J4650/E4650</f>
        <v>427.82068068672527</v>
      </c>
      <c r="L4650" s="75">
        <f>K4650*'THAM_SO_MOI'!$C$53*'THAM_SO_MOI'!$C$17/'THAM_SO_MOI'!$C$26</f>
        <v>3751.9890436714522</v>
      </c>
      <c r="M4650" s="75">
        <f>'THAM_SO_MOI'!$C$15*'THAM_SO_MOI'!$C$16*F4650^2</f>
        <v>1713.7083647751654</v>
      </c>
      <c r="N4650" s="75">
        <f>'THAM_SO_MOI'!$C$12*I4650</f>
        <v>1571.5210911755648</v>
      </c>
      <c r="O4650" s="75">
        <f>M4650+N4650</f>
        <v>3285.22945595073</v>
      </c>
      <c r="P4650" s="75">
        <f>(MIN(L4650,'THAM_SO_MOI'!$C$41)-O4650)/('THAM_SO_MOI'!$C$11*H4650)</f>
        <v>0.055250898167699104</v>
      </c>
      <c r="Q4650" s="75">
        <f>IF(P4650&gt;0,1/P4650,NA())</f>
        <v>18.099253282087314</v>
      </c>
      <c r="R4650" s="75">
        <f>F4650-F4649</f>
        <v>0.0035868055555567935</v>
      </c>
      <c r="S4650" s="75">
        <f>0.5*(Q4649+Q4650)*R4650</f>
        <v>0.06486960433054714</v>
      </c>
      <c r="T4650" s="75">
        <f>0.5*(F4649*Q4649+F4650*Q4650)*R4650</f>
        <v>1.5700540998776829</v>
      </c>
      <c r="U4650" s="76">
        <f>U4649+S4650</f>
        <v>88.46664410766053</v>
      </c>
      <c r="V4650" s="76">
        <f>V4649+T4650</f>
        <v>1552.7088584445314</v>
      </c>
    </row>
    <row r="4651" spans="1:22" ht="19" customHeight="1">
      <c r="A4651" s="68" t="s">
        <v>378</v>
      </c>
      <c r="B4651" s="74">
        <v>5</v>
      </c>
      <c r="C4651" s="68" t="s">
        <v>363</v>
      </c>
      <c r="D4651" s="68" t="s">
        <v>365</v>
      </c>
      <c r="E4651" s="75">
        <f>60*F4651*'THAM_SO_MOI'!$C$53/(2*PI()*'THAM_SO_MOI'!$C$26)</f>
        <v>2385.1852631578945</v>
      </c>
      <c r="F4651" s="75">
        <f>'THAM_SO_MOI'!$C$14+('THAM_SO_MOI'!$C$37-'THAM_SO_MOI'!$C$14)*560/'THAM_SO_MOI'!$C$42</f>
        <v>24.20861111111111</v>
      </c>
      <c r="G4651" s="75">
        <f>3.6*F4651</f>
        <v>87.151</v>
      </c>
      <c r="H4651" s="75">
        <f>'THAM_SO_MOI'!$D$53</f>
        <v>1.1</v>
      </c>
      <c r="I4651" s="75">
        <f>IF(F4651&gt;='THAM_SO_MOI'!$C$14,'THAM_SO_MOI'!$C$13*(1+F4651^2/1500),'THAM_SO_MOI'!$C$13)</f>
        <v>0.02086056851929012</v>
      </c>
      <c r="J4651" s="75">
        <f>'THAM_SO_MOI'!$C$40*('THAM_SO_MOI'!$C$23*(E4651/'THAM_SO_MOI'!$C$22)+'THAM_SO_MOI'!$C$24*(E4651/'THAM_SO_MOI'!$C$22)^2-'THAM_SO_MOI'!$C$25*(E4651/'THAM_SO_MOI'!$C$22)^3)</f>
        <v>106.83731731441135</v>
      </c>
      <c r="K4651" s="75">
        <f>'THAM_SO_MOI'!$C$31*J4651/E4651</f>
        <v>427.81319492991986</v>
      </c>
      <c r="L4651" s="75">
        <f>K4651*'THAM_SO_MOI'!$C$53*'THAM_SO_MOI'!$C$17/'THAM_SO_MOI'!$C$26</f>
        <v>3751.923393554977</v>
      </c>
      <c r="M4651" s="75">
        <f>'THAM_SO_MOI'!$C$15*'THAM_SO_MOI'!$C$16*F4651^2</f>
        <v>1714.2162918923614</v>
      </c>
      <c r="N4651" s="75">
        <f>'THAM_SO_MOI'!$C$12*I4651</f>
        <v>1571.6519206981332</v>
      </c>
      <c r="O4651" s="75">
        <f>M4651+N4651</f>
        <v>3285.8682125904943</v>
      </c>
      <c r="P4651" s="75">
        <f>(MIN(L4651,'THAM_SO_MOI'!$C$41)-O4651)/('THAM_SO_MOI'!$C$11*H4651)</f>
        <v>0.05516751668613664</v>
      </c>
      <c r="Q4651" s="75">
        <f>IF(P4651&gt;0,1/P4651,NA())</f>
        <v>18.126608918963644</v>
      </c>
      <c r="R4651" s="75">
        <f>F4651-F4650</f>
        <v>0.0035868055555567935</v>
      </c>
      <c r="S4651" s="75">
        <f>0.5*(Q4650+Q4651)*R4651</f>
        <v>0.06496756189878221</v>
      </c>
      <c r="T4651" s="75">
        <f>0.5*(F4650*Q4650+F4651*Q4651)*R4651</f>
        <v>1.5726580158224408</v>
      </c>
      <c r="U4651" s="76">
        <f>U4650+S4651</f>
        <v>88.53161166955931</v>
      </c>
      <c r="V4651" s="76">
        <f>V4650+T4651</f>
        <v>1554.281516460354</v>
      </c>
    </row>
    <row r="4652" spans="1:22" ht="19" customHeight="1">
      <c r="A4652" s="68" t="s">
        <v>378</v>
      </c>
      <c r="B4652" s="74">
        <v>5</v>
      </c>
      <c r="C4652" s="68" t="s">
        <v>363</v>
      </c>
      <c r="D4652" s="68" t="s">
        <v>365</v>
      </c>
      <c r="E4652" s="75">
        <f>60*F4652*'THAM_SO_MOI'!$C$53/(2*PI()*'THAM_SO_MOI'!$C$26)</f>
        <v>2385.5386578947364</v>
      </c>
      <c r="F4652" s="75">
        <f>'THAM_SO_MOI'!$C$14+('THAM_SO_MOI'!$C$37-'THAM_SO_MOI'!$C$14)*561/'THAM_SO_MOI'!$C$42</f>
        <v>24.212197916666664</v>
      </c>
      <c r="G4652" s="75">
        <f>3.6*F4652</f>
        <v>87.1639125</v>
      </c>
      <c r="H4652" s="75">
        <f>'THAM_SO_MOI'!$D$53</f>
        <v>1.1</v>
      </c>
      <c r="I4652" s="75">
        <f>IF(F4652&gt;='THAM_SO_MOI'!$C$14,'THAM_SO_MOI'!$C$13*(1+F4652^2/1500),'THAM_SO_MOI'!$C$13)</f>
        <v>0.020862305279558374</v>
      </c>
      <c r="J4652" s="75">
        <f>'THAM_SO_MOI'!$C$40*('THAM_SO_MOI'!$C$23*(E4652/'THAM_SO_MOI'!$C$22)+'THAM_SO_MOI'!$C$24*(E4652/'THAM_SO_MOI'!$C$22)^2-'THAM_SO_MOI'!$C$25*(E4652/'THAM_SO_MOI'!$C$22)^3)</f>
        <v>106.85127387320665</v>
      </c>
      <c r="K4652" s="75">
        <f>'THAM_SO_MOI'!$C$31*J4652/E4652</f>
        <v>427.80569705713054</v>
      </c>
      <c r="L4652" s="75">
        <f>K4652*'THAM_SO_MOI'!$C$53*'THAM_SO_MOI'!$C$17/'THAM_SO_MOI'!$C$26</f>
        <v>3751.857637181276</v>
      </c>
      <c r="M4652" s="75">
        <f>'THAM_SO_MOI'!$C$15*'THAM_SO_MOI'!$C$16*F4652^2</f>
        <v>1714.7242942708249</v>
      </c>
      <c r="N4652" s="75">
        <f>'THAM_SO_MOI'!$C$12*I4652</f>
        <v>1571.7827696061515</v>
      </c>
      <c r="O4652" s="75">
        <f>M4652+N4652</f>
        <v>3286.5070638769766</v>
      </c>
      <c r="P4652" s="75">
        <f>(MIN(L4652,'THAM_SO_MOI'!$C$41)-O4652)/('THAM_SO_MOI'!$C$11*H4652)</f>
        <v>0.05508411142333092</v>
      </c>
      <c r="Q4652" s="75">
        <f>IF(P4652&gt;0,1/P4652,NA())</f>
        <v>18.15405521049123</v>
      </c>
      <c r="R4652" s="75">
        <f>F4652-F4651</f>
        <v>0.0035868055555532408</v>
      </c>
      <c r="S4652" s="75">
        <f>0.5*(Q4651+Q4652)*R4652</f>
        <v>0.06506584382934497</v>
      </c>
      <c r="T4652" s="75">
        <f>0.5*(F4651*Q4651+F4652*Q4652)*R4652</f>
        <v>1.5752704874212922</v>
      </c>
      <c r="U4652" s="76">
        <f>U4651+S4652</f>
        <v>88.59667751338866</v>
      </c>
      <c r="V4652" s="76">
        <f>V4651+T4652</f>
        <v>1555.8567869477752</v>
      </c>
    </row>
    <row r="4653" spans="1:22" ht="19" customHeight="1">
      <c r="A4653" s="68" t="s">
        <v>378</v>
      </c>
      <c r="B4653" s="74">
        <v>5</v>
      </c>
      <c r="C4653" s="68" t="s">
        <v>363</v>
      </c>
      <c r="D4653" s="68" t="s">
        <v>365</v>
      </c>
      <c r="E4653" s="75">
        <f>60*F4653*'THAM_SO_MOI'!$C$53/(2*PI()*'THAM_SO_MOI'!$C$26)</f>
        <v>2385.8920526315783</v>
      </c>
      <c r="F4653" s="75">
        <f>'THAM_SO_MOI'!$C$14+('THAM_SO_MOI'!$C$37-'THAM_SO_MOI'!$C$14)*562/'THAM_SO_MOI'!$C$42</f>
        <v>24.21578472222222</v>
      </c>
      <c r="G4653" s="75">
        <f>3.6*F4653</f>
        <v>87.176825</v>
      </c>
      <c r="H4653" s="75">
        <f>'THAM_SO_MOI'!$D$53</f>
        <v>1.1</v>
      </c>
      <c r="I4653" s="75">
        <f>IF(F4653&gt;='THAM_SO_MOI'!$C$14,'THAM_SO_MOI'!$C$13*(1+F4653^2/1500),'THAM_SO_MOI'!$C$13)</f>
        <v>0.02086404229713011</v>
      </c>
      <c r="J4653" s="75">
        <f>'THAM_SO_MOI'!$C$40*('THAM_SO_MOI'!$C$23*(E4653/'THAM_SO_MOI'!$C$22)+'THAM_SO_MOI'!$C$24*(E4653/'THAM_SO_MOI'!$C$22)^2-'THAM_SO_MOI'!$C$25*(E4653/'THAM_SO_MOI'!$C$22)^3)</f>
        <v>106.86522685054487</v>
      </c>
      <c r="K4653" s="75">
        <f>'THAM_SO_MOI'!$C$31*J4653/E4653</f>
        <v>427.7981870683566</v>
      </c>
      <c r="L4653" s="75">
        <f>K4653*'THAM_SO_MOI'!$C$53*'THAM_SO_MOI'!$C$17/'THAM_SO_MOI'!$C$26</f>
        <v>3751.7917745503423</v>
      </c>
      <c r="M4653" s="75">
        <f>'THAM_SO_MOI'!$C$15*'THAM_SO_MOI'!$C$16*F4653^2</f>
        <v>1715.2323719105577</v>
      </c>
      <c r="N4653" s="75">
        <f>'THAM_SO_MOI'!$C$12*I4653</f>
        <v>1571.9136378996204</v>
      </c>
      <c r="O4653" s="75">
        <f>M4653+N4653</f>
        <v>3287.146009810178</v>
      </c>
      <c r="P4653" s="75">
        <f>(MIN(L4653,'THAM_SO_MOI'!$C$41)-O4653)/('THAM_SO_MOI'!$C$11*H4653)</f>
        <v>0.055000682379280796</v>
      </c>
      <c r="Q4653" s="75">
        <f>IF(P4653&gt;0,1/P4653,NA())</f>
        <v>18.181592604689357</v>
      </c>
      <c r="R4653" s="75">
        <f>F4653-F4652</f>
        <v>0.0035868055555567935</v>
      </c>
      <c r="S4653" s="75">
        <f>0.5*(Q4652+Q4653)*R4653</f>
        <v>0.0651644517241224</v>
      </c>
      <c r="T4653" s="75">
        <f>0.5*(F4652*Q4652+F4653*Q4653)*R4653</f>
        <v>1.5778915569525986</v>
      </c>
      <c r="U4653" s="76">
        <f>U4652+S4653</f>
        <v>88.66184196511279</v>
      </c>
      <c r="V4653" s="76">
        <f>V4652+T4653</f>
        <v>1557.4346785047278</v>
      </c>
    </row>
    <row r="4654" spans="1:22" ht="19" customHeight="1">
      <c r="A4654" s="68" t="s">
        <v>378</v>
      </c>
      <c r="B4654" s="74">
        <v>5</v>
      </c>
      <c r="C4654" s="68" t="s">
        <v>363</v>
      </c>
      <c r="D4654" s="68" t="s">
        <v>365</v>
      </c>
      <c r="E4654" s="75">
        <f>60*F4654*'THAM_SO_MOI'!$C$53/(2*PI()*'THAM_SO_MOI'!$C$26)</f>
        <v>2386.2454473684206</v>
      </c>
      <c r="F4654" s="75">
        <f>'THAM_SO_MOI'!$C$14+('THAM_SO_MOI'!$C$37-'THAM_SO_MOI'!$C$14)*563/'THAM_SO_MOI'!$C$42</f>
        <v>24.219371527777778</v>
      </c>
      <c r="G4654" s="75">
        <f>3.6*F4654</f>
        <v>87.1897375</v>
      </c>
      <c r="H4654" s="75">
        <f>'THAM_SO_MOI'!$D$53</f>
        <v>1.1</v>
      </c>
      <c r="I4654" s="75">
        <f>IF(F4654&gt;='THAM_SO_MOI'!$C$14,'THAM_SO_MOI'!$C$13*(1+F4654^2/1500),'THAM_SO_MOI'!$C$13)</f>
        <v>0.02086577957200533</v>
      </c>
      <c r="J4654" s="75">
        <f>'THAM_SO_MOI'!$C$40*('THAM_SO_MOI'!$C$23*(E4654/'THAM_SO_MOI'!$C$22)+'THAM_SO_MOI'!$C$24*(E4654/'THAM_SO_MOI'!$C$22)^2-'THAM_SO_MOI'!$C$25*(E4654/'THAM_SO_MOI'!$C$22)^3)</f>
        <v>106.87917624508115</v>
      </c>
      <c r="K4654" s="75">
        <f>'THAM_SO_MOI'!$C$31*J4654/E4654</f>
        <v>427.7906649635981</v>
      </c>
      <c r="L4654" s="75">
        <f>K4654*'THAM_SO_MOI'!$C$53*'THAM_SO_MOI'!$C$17/'THAM_SO_MOI'!$C$26</f>
        <v>3751.7258056621768</v>
      </c>
      <c r="M4654" s="75">
        <f>'THAM_SO_MOI'!$C$15*'THAM_SO_MOI'!$C$16*F4654^2</f>
        <v>1715.7405248115588</v>
      </c>
      <c r="N4654" s="75">
        <f>'THAM_SO_MOI'!$C$12*I4654</f>
        <v>1572.0445255785392</v>
      </c>
      <c r="O4654" s="75">
        <f>M4654+N4654</f>
        <v>3287.785050390098</v>
      </c>
      <c r="P4654" s="75">
        <f>(MIN(L4654,'THAM_SO_MOI'!$C$41)-O4654)/('THAM_SO_MOI'!$C$11*H4654)</f>
        <v>0.054917229553986605</v>
      </c>
      <c r="Q4654" s="75">
        <f>IF(P4654&gt;0,1/P4654,NA())</f>
        <v>18.209221552535638</v>
      </c>
      <c r="R4654" s="75">
        <f>F4654-F4653</f>
        <v>0.0035868055555567935</v>
      </c>
      <c r="S4654" s="75">
        <f>0.5*(Q4653+Q4654)*R4654</f>
        <v>0.06526338719518471</v>
      </c>
      <c r="T4654" s="75">
        <f>0.5*(F4653*Q4653+F4654*Q4654)*R4654</f>
        <v>1.5805212669643163</v>
      </c>
      <c r="U4654" s="76">
        <f>U4653+S4654</f>
        <v>88.72710535230797</v>
      </c>
      <c r="V4654" s="76">
        <f>V4653+T4654</f>
        <v>1559.015199771692</v>
      </c>
    </row>
    <row r="4655" spans="1:22" ht="19" customHeight="1">
      <c r="A4655" s="68" t="s">
        <v>378</v>
      </c>
      <c r="B4655" s="74">
        <v>5</v>
      </c>
      <c r="C4655" s="68" t="s">
        <v>363</v>
      </c>
      <c r="D4655" s="68" t="s">
        <v>365</v>
      </c>
      <c r="E4655" s="75">
        <f>60*F4655*'THAM_SO_MOI'!$C$53/(2*PI()*'THAM_SO_MOI'!$C$26)</f>
        <v>2386.598842105262</v>
      </c>
      <c r="F4655" s="75">
        <f>'THAM_SO_MOI'!$C$14+('THAM_SO_MOI'!$C$37-'THAM_SO_MOI'!$C$14)*564/'THAM_SO_MOI'!$C$42</f>
        <v>24.22295833333333</v>
      </c>
      <c r="G4655" s="75">
        <f>3.6*F4655</f>
        <v>87.20264999999999</v>
      </c>
      <c r="H4655" s="75">
        <f>'THAM_SO_MOI'!$D$53</f>
        <v>1.1</v>
      </c>
      <c r="I4655" s="75">
        <f>IF(F4655&gt;='THAM_SO_MOI'!$C$14,'THAM_SO_MOI'!$C$13*(1+F4655^2/1500),'THAM_SO_MOI'!$C$13)</f>
        <v>0.020867517104184025</v>
      </c>
      <c r="J4655" s="75">
        <f>'THAM_SO_MOI'!$C$40*('THAM_SO_MOI'!$C$23*(E4655/'THAM_SO_MOI'!$C$22)+'THAM_SO_MOI'!$C$24*(E4655/'THAM_SO_MOI'!$C$22)^2-'THAM_SO_MOI'!$C$25*(E4655/'THAM_SO_MOI'!$C$22)^3)</f>
        <v>106.8931220554706</v>
      </c>
      <c r="K4655" s="75">
        <f>'THAM_SO_MOI'!$C$31*J4655/E4655</f>
        <v>427.78313074285523</v>
      </c>
      <c r="L4655" s="75">
        <f>K4655*'THAM_SO_MOI'!$C$53*'THAM_SO_MOI'!$C$17/'THAM_SO_MOI'!$C$26</f>
        <v>3751.6597305167807</v>
      </c>
      <c r="M4655" s="75">
        <f>'THAM_SO_MOI'!$C$15*'THAM_SO_MOI'!$C$16*F4655^2</f>
        <v>1716.248752973828</v>
      </c>
      <c r="N4655" s="75">
        <f>'THAM_SO_MOI'!$C$12*I4655</f>
        <v>1572.175432642908</v>
      </c>
      <c r="O4655" s="75">
        <f>M4655+N4655</f>
        <v>3288.424185616736</v>
      </c>
      <c r="P4655" s="75">
        <f>(MIN(L4655,'THAM_SO_MOI'!$C$41)-O4655)/('THAM_SO_MOI'!$C$11*H4655)</f>
        <v>0.05483375294744847</v>
      </c>
      <c r="Q4655" s="75">
        <f>IF(P4655&gt;0,1/P4655,NA())</f>
        <v>18.236942507991003</v>
      </c>
      <c r="R4655" s="75">
        <f>F4655-F4654</f>
        <v>0.0035868055555532408</v>
      </c>
      <c r="S4655" s="75">
        <f>0.5*(Q4654+Q4655)*R4655</f>
        <v>0.06536265186545091</v>
      </c>
      <c r="T4655" s="75">
        <f>0.5*(F4654*Q4654+F4655*Q4655)*R4655</f>
        <v>1.5831596602903006</v>
      </c>
      <c r="U4655" s="76">
        <f>U4654+S4655</f>
        <v>88.79246800417343</v>
      </c>
      <c r="V4655" s="76">
        <f>V4654+T4655</f>
        <v>1560.5983594319823</v>
      </c>
    </row>
    <row r="4656" spans="1:22" ht="19" customHeight="1">
      <c r="A4656" s="68" t="s">
        <v>378</v>
      </c>
      <c r="B4656" s="74">
        <v>5</v>
      </c>
      <c r="C4656" s="68" t="s">
        <v>363</v>
      </c>
      <c r="D4656" s="68" t="s">
        <v>365</v>
      </c>
      <c r="E4656" s="75">
        <f>60*F4656*'THAM_SO_MOI'!$C$53/(2*PI()*'THAM_SO_MOI'!$C$26)</f>
        <v>2386.952236842105</v>
      </c>
      <c r="F4656" s="75">
        <f>'THAM_SO_MOI'!$C$14+('THAM_SO_MOI'!$C$37-'THAM_SO_MOI'!$C$14)*565/'THAM_SO_MOI'!$C$42</f>
        <v>24.226545138888888</v>
      </c>
      <c r="G4656" s="75">
        <f>3.6*F4656</f>
        <v>87.2155625</v>
      </c>
      <c r="H4656" s="75">
        <f>'THAM_SO_MOI'!$D$53</f>
        <v>1.1</v>
      </c>
      <c r="I4656" s="75">
        <f>IF(F4656&gt;='THAM_SO_MOI'!$C$14,'THAM_SO_MOI'!$C$13*(1+F4656^2/1500),'THAM_SO_MOI'!$C$13)</f>
        <v>0.020869254893666207</v>
      </c>
      <c r="J4656" s="75">
        <f>'THAM_SO_MOI'!$C$40*('THAM_SO_MOI'!$C$23*(E4656/'THAM_SO_MOI'!$C$22)+'THAM_SO_MOI'!$C$24*(E4656/'THAM_SO_MOI'!$C$22)^2-'THAM_SO_MOI'!$C$25*(E4656/'THAM_SO_MOI'!$C$22)^3)</f>
        <v>106.90706428036835</v>
      </c>
      <c r="K4656" s="75">
        <f>'THAM_SO_MOI'!$C$31*J4656/E4656</f>
        <v>427.77558440612773</v>
      </c>
      <c r="L4656" s="75">
        <f>K4656*'THAM_SO_MOI'!$C$53*'THAM_SO_MOI'!$C$17/'THAM_SO_MOI'!$C$26</f>
        <v>3751.5935491141513</v>
      </c>
      <c r="M4656" s="75">
        <f>'THAM_SO_MOI'!$C$15*'THAM_SO_MOI'!$C$16*F4656^2</f>
        <v>1716.757056397366</v>
      </c>
      <c r="N4656" s="75">
        <f>'THAM_SO_MOI'!$C$12*I4656</f>
        <v>1572.306359092727</v>
      </c>
      <c r="O4656" s="75">
        <f>M4656+N4656</f>
        <v>3289.0634154900927</v>
      </c>
      <c r="P4656" s="75">
        <f>(MIN(L4656,'THAM_SO_MOI'!$C$41)-O4656)/('THAM_SO_MOI'!$C$11*H4656)</f>
        <v>0.05475025255966601</v>
      </c>
      <c r="Q4656" s="75">
        <f>IF(P4656&gt;0,1/P4656,NA())</f>
        <v>18.26475592802453</v>
      </c>
      <c r="R4656" s="75">
        <f>F4656-F4655</f>
        <v>0.0035868055555567935</v>
      </c>
      <c r="S4656" s="75">
        <f>0.5*(Q4655+Q4656)*R4656</f>
        <v>0.06546224736877962</v>
      </c>
      <c r="T4656" s="75">
        <f>0.5*(F4655*Q4655+F4656*Q4656)*R4656</f>
        <v>1.5858067800527016</v>
      </c>
      <c r="U4656" s="76">
        <f>U4655+S4656</f>
        <v>88.85793025154221</v>
      </c>
      <c r="V4656" s="76">
        <f>V4655+T4656</f>
        <v>1562.184166212035</v>
      </c>
    </row>
    <row r="4657" spans="1:22" ht="19" customHeight="1">
      <c r="A4657" s="68" t="s">
        <v>378</v>
      </c>
      <c r="B4657" s="74">
        <v>5</v>
      </c>
      <c r="C4657" s="68" t="s">
        <v>363</v>
      </c>
      <c r="D4657" s="68" t="s">
        <v>365</v>
      </c>
      <c r="E4657" s="75">
        <f>60*F4657*'THAM_SO_MOI'!$C$53/(2*PI()*'THAM_SO_MOI'!$C$26)</f>
        <v>2387.3056315789468</v>
      </c>
      <c r="F4657" s="75">
        <f>'THAM_SO_MOI'!$C$14+('THAM_SO_MOI'!$C$37-'THAM_SO_MOI'!$C$14)*566/'THAM_SO_MOI'!$C$42</f>
        <v>24.230131944444445</v>
      </c>
      <c r="G4657" s="75">
        <f>3.6*F4657</f>
        <v>87.228475</v>
      </c>
      <c r="H4657" s="75">
        <f>'THAM_SO_MOI'!$D$53</f>
        <v>1.1</v>
      </c>
      <c r="I4657" s="75">
        <f>IF(F4657&gt;='THAM_SO_MOI'!$C$14,'THAM_SO_MOI'!$C$13*(1+F4657^2/1500),'THAM_SO_MOI'!$C$13)</f>
        <v>0.02087099294045187</v>
      </c>
      <c r="J4657" s="75">
        <f>'THAM_SO_MOI'!$C$40*('THAM_SO_MOI'!$C$23*(E4657/'THAM_SO_MOI'!$C$22)+'THAM_SO_MOI'!$C$24*(E4657/'THAM_SO_MOI'!$C$22)^2-'THAM_SO_MOI'!$C$25*(E4657/'THAM_SO_MOI'!$C$22)^3)</f>
        <v>106.92100291842947</v>
      </c>
      <c r="K4657" s="75">
        <f>'THAM_SO_MOI'!$C$31*J4657/E4657</f>
        <v>427.76802595341593</v>
      </c>
      <c r="L4657" s="75">
        <f>K4657*'THAM_SO_MOI'!$C$53*'THAM_SO_MOI'!$C$17/'THAM_SO_MOI'!$C$26</f>
        <v>3751.527261454293</v>
      </c>
      <c r="M4657" s="75">
        <f>'THAM_SO_MOI'!$C$15*'THAM_SO_MOI'!$C$16*F4657^2</f>
        <v>1717.2654350821726</v>
      </c>
      <c r="N4657" s="75">
        <f>'THAM_SO_MOI'!$C$12*I4657</f>
        <v>1572.4373049279964</v>
      </c>
      <c r="O4657" s="75">
        <f>M4657+N4657</f>
        <v>3289.702740010169</v>
      </c>
      <c r="P4657" s="75">
        <f>(MIN(L4657,'THAM_SO_MOI'!$C$41)-O4657)/('THAM_SO_MOI'!$C$11*H4657)</f>
        <v>0.05466672839063965</v>
      </c>
      <c r="Q4657" s="75">
        <f>IF(P4657&gt;0,1/P4657,NA())</f>
        <v>18.29266227263795</v>
      </c>
      <c r="R4657" s="75">
        <f>F4657-F4656</f>
        <v>0.0035868055555567935</v>
      </c>
      <c r="S4657" s="75">
        <f>0.5*(Q4656+Q4657)*R4657</f>
        <v>0.06556217534947462</v>
      </c>
      <c r="T4657" s="75">
        <f>0.5*(F4656*Q4656+F4657*Q4657)*R4657</f>
        <v>1.5884626696501796</v>
      </c>
      <c r="U4657" s="76">
        <f>U4656+S4657</f>
        <v>88.92349242689168</v>
      </c>
      <c r="V4657" s="76">
        <f>V4656+T4657</f>
        <v>1563.7726288816853</v>
      </c>
    </row>
    <row r="4658" spans="1:22" ht="19" customHeight="1">
      <c r="A4658" s="68" t="s">
        <v>378</v>
      </c>
      <c r="B4658" s="74">
        <v>5</v>
      </c>
      <c r="C4658" s="68" t="s">
        <v>363</v>
      </c>
      <c r="D4658" s="68" t="s">
        <v>365</v>
      </c>
      <c r="E4658" s="75">
        <f>60*F4658*'THAM_SO_MOI'!$C$53/(2*PI()*'THAM_SO_MOI'!$C$26)</f>
        <v>2387.659026315789</v>
      </c>
      <c r="F4658" s="75">
        <f>'THAM_SO_MOI'!$C$14+('THAM_SO_MOI'!$C$37-'THAM_SO_MOI'!$C$14)*567/'THAM_SO_MOI'!$C$42</f>
        <v>24.233718749999998</v>
      </c>
      <c r="G4658" s="75">
        <f>3.6*F4658</f>
        <v>87.24138749999999</v>
      </c>
      <c r="H4658" s="75">
        <f>'THAM_SO_MOI'!$D$53</f>
        <v>1.1</v>
      </c>
      <c r="I4658" s="75">
        <f>IF(F4658&gt;='THAM_SO_MOI'!$C$14,'THAM_SO_MOI'!$C$13*(1+F4658^2/1500),'THAM_SO_MOI'!$C$13)</f>
        <v>0.020872731244541014</v>
      </c>
      <c r="J4658" s="75">
        <f>'THAM_SO_MOI'!$C$40*('THAM_SO_MOI'!$C$23*(E4658/'THAM_SO_MOI'!$C$22)+'THAM_SO_MOI'!$C$24*(E4658/'THAM_SO_MOI'!$C$22)^2-'THAM_SO_MOI'!$C$25*(E4658/'THAM_SO_MOI'!$C$22)^3)</f>
        <v>106.93493796830911</v>
      </c>
      <c r="K4658" s="75">
        <f>'THAM_SO_MOI'!$C$31*J4658/E4658</f>
        <v>427.76045538471965</v>
      </c>
      <c r="L4658" s="75">
        <f>K4658*'THAM_SO_MOI'!$C$53*'THAM_SO_MOI'!$C$17/'THAM_SO_MOI'!$C$26</f>
        <v>3751.460867537203</v>
      </c>
      <c r="M4658" s="75">
        <f>'THAM_SO_MOI'!$C$15*'THAM_SO_MOI'!$C$16*F4658^2</f>
        <v>1717.7738890282471</v>
      </c>
      <c r="N4658" s="75">
        <f>'THAM_SO_MOI'!$C$12*I4658</f>
        <v>1572.5682701487158</v>
      </c>
      <c r="O4658" s="75">
        <f>M4658+N4658</f>
        <v>3290.342159176963</v>
      </c>
      <c r="P4658" s="75">
        <f>(MIN(L4658,'THAM_SO_MOI'!$C$41)-O4658)/('THAM_SO_MOI'!$C$11*H4658)</f>
        <v>0.054583180440369305</v>
      </c>
      <c r="Q4658" s="75">
        <f>IF(P4658&gt;0,1/P4658,NA())</f>
        <v>18.3206620048913</v>
      </c>
      <c r="R4658" s="75">
        <f>F4658-F4657</f>
        <v>0.0035868055555532408</v>
      </c>
      <c r="S4658" s="75">
        <f>0.5*(Q4657+Q4658)*R4658</f>
        <v>0.06566243746295714</v>
      </c>
      <c r="T4658" s="75">
        <f>0.5*(F4657*Q4657+F4658*Q4658)*R4658</f>
        <v>1.5911273727743824</v>
      </c>
      <c r="U4658" s="76">
        <f>U4657+S4658</f>
        <v>88.98915486435465</v>
      </c>
      <c r="V4658" s="76">
        <f>V4657+T4658</f>
        <v>1565.3637562544595</v>
      </c>
    </row>
    <row r="4659" spans="1:22" ht="19" customHeight="1">
      <c r="A4659" s="68" t="s">
        <v>378</v>
      </c>
      <c r="B4659" s="74">
        <v>5</v>
      </c>
      <c r="C4659" s="68" t="s">
        <v>363</v>
      </c>
      <c r="D4659" s="68" t="s">
        <v>365</v>
      </c>
      <c r="E4659" s="75">
        <f>60*F4659*'THAM_SO_MOI'!$C$53/(2*PI()*'THAM_SO_MOI'!$C$26)</f>
        <v>2388.012421052631</v>
      </c>
      <c r="F4659" s="75">
        <f>'THAM_SO_MOI'!$C$14+('THAM_SO_MOI'!$C$37-'THAM_SO_MOI'!$C$14)*568/'THAM_SO_MOI'!$C$42</f>
        <v>24.237305555555555</v>
      </c>
      <c r="G4659" s="75">
        <f>3.6*F4659</f>
        <v>87.2543</v>
      </c>
      <c r="H4659" s="75">
        <f>'THAM_SO_MOI'!$D$53</f>
        <v>1.1</v>
      </c>
      <c r="I4659" s="75">
        <f>IF(F4659&gt;='THAM_SO_MOI'!$C$14,'THAM_SO_MOI'!$C$13*(1+F4659^2/1500),'THAM_SO_MOI'!$C$13)</f>
        <v>0.020874469805933642</v>
      </c>
      <c r="J4659" s="75">
        <f>'THAM_SO_MOI'!$C$40*('THAM_SO_MOI'!$C$23*(E4659/'THAM_SO_MOI'!$C$22)+'THAM_SO_MOI'!$C$24*(E4659/'THAM_SO_MOI'!$C$22)^2-'THAM_SO_MOI'!$C$25*(E4659/'THAM_SO_MOI'!$C$22)^3)</f>
        <v>106.94886942866235</v>
      </c>
      <c r="K4659" s="75">
        <f>'THAM_SO_MOI'!$C$31*J4659/E4659</f>
        <v>427.75287270003884</v>
      </c>
      <c r="L4659" s="75">
        <f>K4659*'THAM_SO_MOI'!$C$53*'THAM_SO_MOI'!$C$17/'THAM_SO_MOI'!$C$26</f>
        <v>3751.3943673628814</v>
      </c>
      <c r="M4659" s="75">
        <f>'THAM_SO_MOI'!$C$15*'THAM_SO_MOI'!$C$16*F4659^2</f>
        <v>1718.2824182355903</v>
      </c>
      <c r="N4659" s="75">
        <f>'THAM_SO_MOI'!$C$12*I4659</f>
        <v>1572.6992547548855</v>
      </c>
      <c r="O4659" s="75">
        <f>M4659+N4659</f>
        <v>3290.981672990476</v>
      </c>
      <c r="P4659" s="75">
        <f>(MIN(L4659,'THAM_SO_MOI'!$C$41)-O4659)/('THAM_SO_MOI'!$C$11*H4659)</f>
        <v>0.05449960870885484</v>
      </c>
      <c r="Q4659" s="75">
        <f>IF(P4659&gt;0,1/P4659,NA())</f>
        <v>18.34875559092821</v>
      </c>
      <c r="R4659" s="75">
        <f>F4659-F4658</f>
        <v>0.0035868055555567935</v>
      </c>
      <c r="S4659" s="75">
        <f>0.5*(Q4658+Q4659)*R4659</f>
        <v>0.06576303537585873</v>
      </c>
      <c r="T4659" s="75">
        <f>0.5*(F4658*Q4658+F4659*Q4659)*R4659</f>
        <v>1.5938009334123977</v>
      </c>
      <c r="U4659" s="76">
        <f>U4658+S4659</f>
        <v>89.0549178997305</v>
      </c>
      <c r="V4659" s="76">
        <f>V4658+T4659</f>
        <v>1566.957557187872</v>
      </c>
    </row>
    <row r="4660" spans="1:22" ht="19" customHeight="1">
      <c r="A4660" s="68" t="s">
        <v>378</v>
      </c>
      <c r="B4660" s="74">
        <v>5</v>
      </c>
      <c r="C4660" s="68" t="s">
        <v>363</v>
      </c>
      <c r="D4660" s="68" t="s">
        <v>365</v>
      </c>
      <c r="E4660" s="75">
        <f>60*F4660*'THAM_SO_MOI'!$C$53/(2*PI()*'THAM_SO_MOI'!$C$26)</f>
        <v>2388.3658157894733</v>
      </c>
      <c r="F4660" s="75">
        <f>'THAM_SO_MOI'!$C$14+('THAM_SO_MOI'!$C$37-'THAM_SO_MOI'!$C$14)*569/'THAM_SO_MOI'!$C$42</f>
        <v>24.24089236111111</v>
      </c>
      <c r="G4660" s="75">
        <f>3.6*F4660</f>
        <v>87.2672125</v>
      </c>
      <c r="H4660" s="75">
        <f>'THAM_SO_MOI'!$D$53</f>
        <v>1.1</v>
      </c>
      <c r="I4660" s="75">
        <f>IF(F4660&gt;='THAM_SO_MOI'!$C$14,'THAM_SO_MOI'!$C$13*(1+F4660^2/1500),'THAM_SO_MOI'!$C$13)</f>
        <v>0.02087620862462975</v>
      </c>
      <c r="J4660" s="75">
        <f>'THAM_SO_MOI'!$C$40*('THAM_SO_MOI'!$C$23*(E4660/'THAM_SO_MOI'!$C$22)+'THAM_SO_MOI'!$C$24*(E4660/'THAM_SO_MOI'!$C$22)^2-'THAM_SO_MOI'!$C$25*(E4660/'THAM_SO_MOI'!$C$22)^3)</f>
        <v>106.96279729814435</v>
      </c>
      <c r="K4660" s="75">
        <f>'THAM_SO_MOI'!$C$31*J4660/E4660</f>
        <v>427.7452778993738</v>
      </c>
      <c r="L4660" s="75">
        <f>K4660*'THAM_SO_MOI'!$C$53*'THAM_SO_MOI'!$C$17/'THAM_SO_MOI'!$C$26</f>
        <v>3751.327760931331</v>
      </c>
      <c r="M4660" s="75">
        <f>'THAM_SO_MOI'!$C$15*'THAM_SO_MOI'!$C$16*F4660^2</f>
        <v>1718.791022704202</v>
      </c>
      <c r="N4660" s="75">
        <f>'THAM_SO_MOI'!$C$12*I4660</f>
        <v>1572.8302587465053</v>
      </c>
      <c r="O4660" s="75">
        <f>M4660+N4660</f>
        <v>3291.621281450707</v>
      </c>
      <c r="P4660" s="75">
        <f>(MIN(L4660,'THAM_SO_MOI'!$C$41)-O4660)/('THAM_SO_MOI'!$C$11*H4660)</f>
        <v>0.05441601319609654</v>
      </c>
      <c r="Q4660" s="75">
        <f>IF(P4660&gt;0,1/P4660,NA())</f>
        <v>18.37694350000146</v>
      </c>
      <c r="R4660" s="75">
        <f>F4660-F4659</f>
        <v>0.0035868055555567935</v>
      </c>
      <c r="S4660" s="75">
        <f>0.5*(Q4659+Q4660)*R4660</f>
        <v>0.0658639707655268</v>
      </c>
      <c r="T4660" s="75">
        <f>0.5*(F4659*Q4659+F4660*Q4660)*R4660</f>
        <v>1.5964833958349673</v>
      </c>
      <c r="U4660" s="76">
        <f>U4659+S4660</f>
        <v>89.12078187049602</v>
      </c>
      <c r="V4660" s="76">
        <f>V4659+T4660</f>
        <v>1568.5540405837069</v>
      </c>
    </row>
    <row r="4661" spans="1:22" ht="19" customHeight="1">
      <c r="A4661" s="68" t="s">
        <v>378</v>
      </c>
      <c r="B4661" s="74">
        <v>5</v>
      </c>
      <c r="C4661" s="68" t="s">
        <v>363</v>
      </c>
      <c r="D4661" s="68" t="s">
        <v>365</v>
      </c>
      <c r="E4661" s="75">
        <f>60*F4661*'THAM_SO_MOI'!$C$53/(2*PI()*'THAM_SO_MOI'!$C$26)</f>
        <v>2388.719210526315</v>
      </c>
      <c r="F4661" s="75">
        <f>'THAM_SO_MOI'!$C$14+('THAM_SO_MOI'!$C$37-'THAM_SO_MOI'!$C$14)*570/'THAM_SO_MOI'!$C$42</f>
        <v>24.244479166666665</v>
      </c>
      <c r="G4661" s="75">
        <f>3.6*F4661</f>
        <v>87.280125</v>
      </c>
      <c r="H4661" s="75">
        <f>'THAM_SO_MOI'!$D$53</f>
        <v>1.1</v>
      </c>
      <c r="I4661" s="75">
        <f>IF(F4661&gt;='THAM_SO_MOI'!$C$14,'THAM_SO_MOI'!$C$13*(1+F4661^2/1500),'THAM_SO_MOI'!$C$13)</f>
        <v>0.020877947700629337</v>
      </c>
      <c r="J4661" s="75">
        <f>'THAM_SO_MOI'!$C$40*('THAM_SO_MOI'!$C$23*(E4661/'THAM_SO_MOI'!$C$22)+'THAM_SO_MOI'!$C$24*(E4661/'THAM_SO_MOI'!$C$22)^2-'THAM_SO_MOI'!$C$25*(E4661/'THAM_SO_MOI'!$C$22)^3)</f>
        <v>106.97672157541014</v>
      </c>
      <c r="K4661" s="75">
        <f>'THAM_SO_MOI'!$C$31*J4661/E4661</f>
        <v>427.73767098272407</v>
      </c>
      <c r="L4661" s="75">
        <f>K4661*'THAM_SO_MOI'!$C$53*'THAM_SO_MOI'!$C$17/'THAM_SO_MOI'!$C$26</f>
        <v>3751.261048242547</v>
      </c>
      <c r="M4661" s="75">
        <f>'THAM_SO_MOI'!$C$15*'THAM_SO_MOI'!$C$16*F4661^2</f>
        <v>1719.2997024340818</v>
      </c>
      <c r="N4661" s="75">
        <f>'THAM_SO_MOI'!$C$12*I4661</f>
        <v>1572.9612821235748</v>
      </c>
      <c r="O4661" s="75">
        <f>M4661+N4661</f>
        <v>3292.2609845576567</v>
      </c>
      <c r="P4661" s="75">
        <f>(MIN(L4661,'THAM_SO_MOI'!$C$41)-O4661)/('THAM_SO_MOI'!$C$11*H4661)</f>
        <v>0.05433239390209403</v>
      </c>
      <c r="Q4661" s="75">
        <f>IF(P4661&gt;0,1/P4661,NA())</f>
        <v>18.405226204499318</v>
      </c>
      <c r="R4661" s="75">
        <f>F4661-F4660</f>
        <v>0.0035868055555532408</v>
      </c>
      <c r="S4661" s="75">
        <f>0.5*(Q4660+Q4661)*R4661</f>
        <v>0.06596524532070273</v>
      </c>
      <c r="T4661" s="75">
        <f>0.5*(F4660*Q4660+F4661*Q4661)*R4661</f>
        <v>1.5991748046131178</v>
      </c>
      <c r="U4661" s="76">
        <f>U4660+S4661</f>
        <v>89.18674711581671</v>
      </c>
      <c r="V4661" s="76">
        <f>V4660+T4661</f>
        <v>1570.15321538832</v>
      </c>
    </row>
    <row r="4662" spans="1:22" ht="19" customHeight="1">
      <c r="A4662" s="68" t="s">
        <v>378</v>
      </c>
      <c r="B4662" s="74">
        <v>5</v>
      </c>
      <c r="C4662" s="68" t="s">
        <v>363</v>
      </c>
      <c r="D4662" s="68" t="s">
        <v>365</v>
      </c>
      <c r="E4662" s="75">
        <f>60*F4662*'THAM_SO_MOI'!$C$53/(2*PI()*'THAM_SO_MOI'!$C$26)</f>
        <v>2389.072605263157</v>
      </c>
      <c r="F4662" s="75">
        <f>'THAM_SO_MOI'!$C$14+('THAM_SO_MOI'!$C$37-'THAM_SO_MOI'!$C$14)*571/'THAM_SO_MOI'!$C$42</f>
        <v>24.24806597222222</v>
      </c>
      <c r="G4662" s="75">
        <f>3.6*F4662</f>
        <v>87.2930375</v>
      </c>
      <c r="H4662" s="75">
        <f>'THAM_SO_MOI'!$D$53</f>
        <v>1.1</v>
      </c>
      <c r="I4662" s="75">
        <f>IF(F4662&gt;='THAM_SO_MOI'!$C$14,'THAM_SO_MOI'!$C$13*(1+F4662^2/1500),'THAM_SO_MOI'!$C$13)</f>
        <v>0.02087968703393241</v>
      </c>
      <c r="J4662" s="75">
        <f>'THAM_SO_MOI'!$C$40*('THAM_SO_MOI'!$C$23*(E4662/'THAM_SO_MOI'!$C$22)+'THAM_SO_MOI'!$C$24*(E4662/'THAM_SO_MOI'!$C$22)^2-'THAM_SO_MOI'!$C$25*(E4662/'THAM_SO_MOI'!$C$22)^3)</f>
        <v>106.9906422591149</v>
      </c>
      <c r="K4662" s="75">
        <f>'THAM_SO_MOI'!$C$31*J4662/E4662</f>
        <v>427.73005195009</v>
      </c>
      <c r="L4662" s="75">
        <f>K4662*'THAM_SO_MOI'!$C$53*'THAM_SO_MOI'!$C$17/'THAM_SO_MOI'!$C$26</f>
        <v>3751.1942292965336</v>
      </c>
      <c r="M4662" s="75">
        <f>'THAM_SO_MOI'!$C$15*'THAM_SO_MOI'!$C$16*F4662^2</f>
        <v>1719.8084574252307</v>
      </c>
      <c r="N4662" s="75">
        <f>'THAM_SO_MOI'!$C$12*I4662</f>
        <v>1573.092324886095</v>
      </c>
      <c r="O4662" s="75">
        <f>M4662+N4662</f>
        <v>3292.9007823113257</v>
      </c>
      <c r="P4662" s="75">
        <f>(MIN(L4662,'THAM_SO_MOI'!$C$41)-O4662)/('THAM_SO_MOI'!$C$11*H4662)</f>
        <v>0.05424875082684754</v>
      </c>
      <c r="Q4662" s="75">
        <f>IF(P4662&gt;0,1/P4662,NA())</f>
        <v>18.43360417997133</v>
      </c>
      <c r="R4662" s="75">
        <f>F4662-F4661</f>
        <v>0.0035868055555567935</v>
      </c>
      <c r="S4662" s="75">
        <f>0.5*(Q4661+Q4662)*R4662</f>
        <v>0.06606686074161686</v>
      </c>
      <c r="T4662" s="75">
        <f>0.5*(F4661*Q4661+F4662*Q4662)*R4662</f>
        <v>1.6018752046206695</v>
      </c>
      <c r="U4662" s="76">
        <f>U4661+S4662</f>
        <v>89.25281397655833</v>
      </c>
      <c r="V4662" s="76">
        <f>V4661+T4662</f>
        <v>1571.7550905929406</v>
      </c>
    </row>
    <row r="4663" spans="1:22" ht="19" customHeight="1">
      <c r="A4663" s="68" t="s">
        <v>378</v>
      </c>
      <c r="B4663" s="74">
        <v>5</v>
      </c>
      <c r="C4663" s="68" t="s">
        <v>363</v>
      </c>
      <c r="D4663" s="68" t="s">
        <v>365</v>
      </c>
      <c r="E4663" s="75">
        <f>60*F4663*'THAM_SO_MOI'!$C$53/(2*PI()*'THAM_SO_MOI'!$C$26)</f>
        <v>2389.4259999999995</v>
      </c>
      <c r="F4663" s="75">
        <f>'THAM_SO_MOI'!$C$14+('THAM_SO_MOI'!$C$37-'THAM_SO_MOI'!$C$14)*572/'THAM_SO_MOI'!$C$42</f>
        <v>24.251652777777778</v>
      </c>
      <c r="G4663" s="75">
        <f>3.6*F4663</f>
        <v>87.30595000000001</v>
      </c>
      <c r="H4663" s="75">
        <f>'THAM_SO_MOI'!$D$53</f>
        <v>1.1</v>
      </c>
      <c r="I4663" s="75">
        <f>IF(F4663&gt;='THAM_SO_MOI'!$C$14,'THAM_SO_MOI'!$C$13*(1+F4663^2/1500),'THAM_SO_MOI'!$C$13)</f>
        <v>0.020881426624538967</v>
      </c>
      <c r="J4663" s="75">
        <f>'THAM_SO_MOI'!$C$40*('THAM_SO_MOI'!$C$23*(E4663/'THAM_SO_MOI'!$C$22)+'THAM_SO_MOI'!$C$24*(E4663/'THAM_SO_MOI'!$C$22)^2-'THAM_SO_MOI'!$C$25*(E4663/'THAM_SO_MOI'!$C$22)^3)</f>
        <v>107.00455934791368</v>
      </c>
      <c r="K4663" s="75">
        <f>'THAM_SO_MOI'!$C$31*J4663/E4663</f>
        <v>427.7224208014713</v>
      </c>
      <c r="L4663" s="75">
        <f>K4663*'THAM_SO_MOI'!$C$53*'THAM_SO_MOI'!$C$17/'THAM_SO_MOI'!$C$26</f>
        <v>3751.127304093287</v>
      </c>
      <c r="M4663" s="75">
        <f>'THAM_SO_MOI'!$C$15*'THAM_SO_MOI'!$C$16*F4663^2</f>
        <v>1720.3172876776478</v>
      </c>
      <c r="N4663" s="75">
        <f>'THAM_SO_MOI'!$C$12*I4663</f>
        <v>1573.2233870340656</v>
      </c>
      <c r="O4663" s="75">
        <f>M4663+N4663</f>
        <v>3293.540674711713</v>
      </c>
      <c r="P4663" s="75">
        <f>(MIN(L4663,'THAM_SO_MOI'!$C$41)-O4663)/('THAM_SO_MOI'!$C$11*H4663)</f>
        <v>0.05416508397035673</v>
      </c>
      <c r="Q4663" s="75">
        <f>IF(P4663&gt;0,1/P4663,NA())</f>
        <v>18.46207790515522</v>
      </c>
      <c r="R4663" s="75">
        <f>F4663-F4662</f>
        <v>0.0035868055555567935</v>
      </c>
      <c r="S4663" s="75">
        <f>0.5*(Q4662+Q4663)*R4663</f>
        <v>0.06616881873949458</v>
      </c>
      <c r="T4663" s="75">
        <f>0.5*(F4662*Q4662+F4663*Q4663)*R4663</f>
        <v>1.6045846410224662</v>
      </c>
      <c r="U4663" s="76">
        <f>U4662+S4663</f>
        <v>89.31898279529783</v>
      </c>
      <c r="V4663" s="76">
        <f>V4662+T4663</f>
        <v>1573.3596752339631</v>
      </c>
    </row>
    <row r="4664" spans="1:22" ht="19" customHeight="1">
      <c r="A4664" s="68" t="s">
        <v>378</v>
      </c>
      <c r="B4664" s="74">
        <v>5</v>
      </c>
      <c r="C4664" s="68" t="s">
        <v>363</v>
      </c>
      <c r="D4664" s="68" t="s">
        <v>365</v>
      </c>
      <c r="E4664" s="75">
        <f>60*F4664*'THAM_SO_MOI'!$C$53/(2*PI()*'THAM_SO_MOI'!$C$26)</f>
        <v>2389.7793947368414</v>
      </c>
      <c r="F4664" s="75">
        <f>'THAM_SO_MOI'!$C$14+('THAM_SO_MOI'!$C$37-'THAM_SO_MOI'!$C$14)*573/'THAM_SO_MOI'!$C$42</f>
        <v>24.25523958333333</v>
      </c>
      <c r="G4664" s="75">
        <f>3.6*F4664</f>
        <v>87.3188625</v>
      </c>
      <c r="H4664" s="75">
        <f>'THAM_SO_MOI'!$D$53</f>
        <v>1.1</v>
      </c>
      <c r="I4664" s="75">
        <f>IF(F4664&gt;='THAM_SO_MOI'!$C$14,'THAM_SO_MOI'!$C$13*(1+F4664^2/1500),'THAM_SO_MOI'!$C$13)</f>
        <v>0.020883166472448998</v>
      </c>
      <c r="J4664" s="75">
        <f>'THAM_SO_MOI'!$C$40*('THAM_SO_MOI'!$C$23*(E4664/'THAM_SO_MOI'!$C$22)+'THAM_SO_MOI'!$C$24*(E4664/'THAM_SO_MOI'!$C$22)^2-'THAM_SO_MOI'!$C$25*(E4664/'THAM_SO_MOI'!$C$22)^3)</f>
        <v>107.01847284046165</v>
      </c>
      <c r="K4664" s="75">
        <f>'THAM_SO_MOI'!$C$31*J4664/E4664</f>
        <v>427.7147775368683</v>
      </c>
      <c r="L4664" s="75">
        <f>K4664*'THAM_SO_MOI'!$C$53*'THAM_SO_MOI'!$C$17/'THAM_SO_MOI'!$C$26</f>
        <v>3751.0602726328107</v>
      </c>
      <c r="M4664" s="75">
        <f>'THAM_SO_MOI'!$C$15*'THAM_SO_MOI'!$C$16*F4664^2</f>
        <v>1720.826193191333</v>
      </c>
      <c r="N4664" s="75">
        <f>'THAM_SO_MOI'!$C$12*I4664</f>
        <v>1573.3544685674856</v>
      </c>
      <c r="O4664" s="75">
        <f>M4664+N4664</f>
        <v>3294.1806617588186</v>
      </c>
      <c r="P4664" s="75">
        <f>(MIN(L4664,'THAM_SO_MOI'!$C$41)-O4664)/('THAM_SO_MOI'!$C$11*H4664)</f>
        <v>0.05408139333262217</v>
      </c>
      <c r="Q4664" s="75">
        <f>IF(P4664&gt;0,1/P4664,NA())</f>
        <v>18.490647862003122</v>
      </c>
      <c r="R4664" s="75">
        <f>F4664-F4663</f>
        <v>0.0035868055555532408</v>
      </c>
      <c r="S4664" s="75">
        <f>0.5*(Q4663+Q4664)*R4664</f>
        <v>0.06627112103723946</v>
      </c>
      <c r="T4664" s="75">
        <f>0.5*(F4663*Q4663+F4664*Q4664)*R4664</f>
        <v>1.6073031592911375</v>
      </c>
      <c r="U4664" s="76">
        <f>U4663+S4664</f>
        <v>89.38525391633507</v>
      </c>
      <c r="V4664" s="76">
        <f>V4663+T4664</f>
        <v>1574.9669783932543</v>
      </c>
    </row>
    <row r="4665" spans="1:22" ht="19" customHeight="1">
      <c r="A4665" s="68" t="s">
        <v>378</v>
      </c>
      <c r="B4665" s="74">
        <v>5</v>
      </c>
      <c r="C4665" s="68" t="s">
        <v>363</v>
      </c>
      <c r="D4665" s="68" t="s">
        <v>365</v>
      </c>
      <c r="E4665" s="75">
        <f>60*F4665*'THAM_SO_MOI'!$C$53/(2*PI()*'THAM_SO_MOI'!$C$26)</f>
        <v>2390.1327894736837</v>
      </c>
      <c r="F4665" s="75">
        <f>'THAM_SO_MOI'!$C$14+('THAM_SO_MOI'!$C$37-'THAM_SO_MOI'!$C$14)*574/'THAM_SO_MOI'!$C$42</f>
        <v>24.258826388888888</v>
      </c>
      <c r="G4665" s="75">
        <f>3.6*F4665</f>
        <v>87.331775</v>
      </c>
      <c r="H4665" s="75">
        <f>'THAM_SO_MOI'!$D$53</f>
        <v>1.1</v>
      </c>
      <c r="I4665" s="75">
        <f>IF(F4665&gt;='THAM_SO_MOI'!$C$14,'THAM_SO_MOI'!$C$13*(1+F4665^2/1500),'THAM_SO_MOI'!$C$13)</f>
        <v>0.020884906577662517</v>
      </c>
      <c r="J4665" s="75">
        <f>'THAM_SO_MOI'!$C$40*('THAM_SO_MOI'!$C$23*(E4665/'THAM_SO_MOI'!$C$22)+'THAM_SO_MOI'!$C$24*(E4665/'THAM_SO_MOI'!$C$22)^2-'THAM_SO_MOI'!$C$25*(E4665/'THAM_SO_MOI'!$C$22)^3)</f>
        <v>107.03238273541392</v>
      </c>
      <c r="K4665" s="75">
        <f>'THAM_SO_MOI'!$C$31*J4665/E4665</f>
        <v>427.70712215628083</v>
      </c>
      <c r="L4665" s="75">
        <f>K4665*'THAM_SO_MOI'!$C$53*'THAM_SO_MOI'!$C$17/'THAM_SO_MOI'!$C$26</f>
        <v>3750.9931349151034</v>
      </c>
      <c r="M4665" s="75">
        <f>'THAM_SO_MOI'!$C$15*'THAM_SO_MOI'!$C$16*F4665^2</f>
        <v>1721.335173966287</v>
      </c>
      <c r="N4665" s="75">
        <f>'THAM_SO_MOI'!$C$12*I4665</f>
        <v>1573.485569486356</v>
      </c>
      <c r="O4665" s="75">
        <f>M4665+N4665</f>
        <v>3294.820743452643</v>
      </c>
      <c r="P4665" s="75">
        <f>(MIN(L4665,'THAM_SO_MOI'!$C$41)-O4665)/('THAM_SO_MOI'!$C$11*H4665)</f>
        <v>0.05399767891364351</v>
      </c>
      <c r="Q4665" s="75">
        <f>IF(P4665&gt;0,1/P4665,NA())</f>
        <v>18.519314535709267</v>
      </c>
      <c r="R4665" s="75">
        <f>F4665-F4664</f>
        <v>0.0035868055555567935</v>
      </c>
      <c r="S4665" s="75">
        <f>0.5*(Q4664+Q4665)*R4665</f>
        <v>0.0663737693695314</v>
      </c>
      <c r="T4665" s="75">
        <f>0.5*(F4664*Q4664+F4665*Q4665)*R4665</f>
        <v>1.6100308052096917</v>
      </c>
      <c r="U4665" s="76">
        <f>U4664+S4665</f>
        <v>89.45162768570461</v>
      </c>
      <c r="V4665" s="76">
        <f>V4664+T4665</f>
        <v>1576.5770091984639</v>
      </c>
    </row>
    <row r="4666" spans="1:22" ht="19" customHeight="1">
      <c r="A4666" s="68" t="s">
        <v>378</v>
      </c>
      <c r="B4666" s="74">
        <v>5</v>
      </c>
      <c r="C4666" s="68" t="s">
        <v>363</v>
      </c>
      <c r="D4666" s="68" t="s">
        <v>365</v>
      </c>
      <c r="E4666" s="75">
        <f>60*F4666*'THAM_SO_MOI'!$C$53/(2*PI()*'THAM_SO_MOI'!$C$26)</f>
        <v>2390.4861842105256</v>
      </c>
      <c r="F4666" s="75">
        <f>'THAM_SO_MOI'!$C$14+('THAM_SO_MOI'!$C$37-'THAM_SO_MOI'!$C$14)*575/'THAM_SO_MOI'!$C$42</f>
        <v>24.26241319444444</v>
      </c>
      <c r="G4666" s="75">
        <f>3.6*F4666</f>
        <v>87.34468749999999</v>
      </c>
      <c r="H4666" s="75">
        <f>'THAM_SO_MOI'!$D$53</f>
        <v>1.1</v>
      </c>
      <c r="I4666" s="75">
        <f>IF(F4666&gt;='THAM_SO_MOI'!$C$14,'THAM_SO_MOI'!$C$13*(1+F4666^2/1500),'THAM_SO_MOI'!$C$13)</f>
        <v>0.02088664694017952</v>
      </c>
      <c r="J4666" s="75">
        <f>'THAM_SO_MOI'!$C$40*('THAM_SO_MOI'!$C$23*(E4666/'THAM_SO_MOI'!$C$22)+'THAM_SO_MOI'!$C$24*(E4666/'THAM_SO_MOI'!$C$22)^2-'THAM_SO_MOI'!$C$25*(E4666/'THAM_SO_MOI'!$C$22)^3)</f>
        <v>107.04628903142556</v>
      </c>
      <c r="K4666" s="75">
        <f>'THAM_SO_MOI'!$C$31*J4666/E4666</f>
        <v>427.699454659709</v>
      </c>
      <c r="L4666" s="75">
        <f>K4666*'THAM_SO_MOI'!$C$53*'THAM_SO_MOI'!$C$17/'THAM_SO_MOI'!$C$26</f>
        <v>3750.9258909401656</v>
      </c>
      <c r="M4666" s="75">
        <f>'THAM_SO_MOI'!$C$15*'THAM_SO_MOI'!$C$16*F4666^2</f>
        <v>1721.844230002509</v>
      </c>
      <c r="N4666" s="75">
        <f>'THAM_SO_MOI'!$C$12*I4666</f>
        <v>1573.6166897906771</v>
      </c>
      <c r="O4666" s="75">
        <f>M4666+N4666</f>
        <v>3295.460919793186</v>
      </c>
      <c r="P4666" s="75">
        <f>(MIN(L4666,'THAM_SO_MOI'!$C$41)-O4666)/('THAM_SO_MOI'!$C$11*H4666)</f>
        <v>0.053913940713420865</v>
      </c>
      <c r="Q4666" s="75">
        <f>IF(P4666&gt;0,1/P4666,NA())</f>
        <v>18.54807841473678</v>
      </c>
      <c r="R4666" s="75">
        <f>F4666-F4665</f>
        <v>0.0035868055555532408</v>
      </c>
      <c r="S4666" s="75">
        <f>0.5*(Q4665+Q4666)*R4666</f>
        <v>0.06647676548226746</v>
      </c>
      <c r="T4666" s="75">
        <f>0.5*(F4665*Q4665+F4666*Q4666)*R4666</f>
        <v>1.6127676248581588</v>
      </c>
      <c r="U4666" s="76">
        <f>U4665+S4666</f>
        <v>89.51810445118687</v>
      </c>
      <c r="V4666" s="76">
        <f>V4665+T4666</f>
        <v>1578.189776823322</v>
      </c>
    </row>
    <row r="4667" spans="1:22" ht="19" customHeight="1">
      <c r="A4667" s="68" t="s">
        <v>378</v>
      </c>
      <c r="B4667" s="74">
        <v>5</v>
      </c>
      <c r="C4667" s="68" t="s">
        <v>363</v>
      </c>
      <c r="D4667" s="68" t="s">
        <v>365</v>
      </c>
      <c r="E4667" s="75">
        <f>60*F4667*'THAM_SO_MOI'!$C$53/(2*PI()*'THAM_SO_MOI'!$C$26)</f>
        <v>2390.8395789473675</v>
      </c>
      <c r="F4667" s="75">
        <f>'THAM_SO_MOI'!$C$14+('THAM_SO_MOI'!$C$37-'THAM_SO_MOI'!$C$14)*576/'THAM_SO_MOI'!$C$42</f>
        <v>24.266</v>
      </c>
      <c r="G4667" s="75">
        <f>3.6*F4667</f>
        <v>87.35759999999999</v>
      </c>
      <c r="H4667" s="75">
        <f>'THAM_SO_MOI'!$D$53</f>
        <v>1.1</v>
      </c>
      <c r="I4667" s="75">
        <f>IF(F4667&gt;='THAM_SO_MOI'!$C$14,'THAM_SO_MOI'!$C$13*(1+F4667^2/1500),'THAM_SO_MOI'!$C$13)</f>
        <v>0.020888387559999996</v>
      </c>
      <c r="J4667" s="75">
        <f>'THAM_SO_MOI'!$C$40*('THAM_SO_MOI'!$C$23*(E4667/'THAM_SO_MOI'!$C$22)+'THAM_SO_MOI'!$C$24*(E4667/'THAM_SO_MOI'!$C$22)^2-'THAM_SO_MOI'!$C$25*(E4667/'THAM_SO_MOI'!$C$22)^3)</f>
        <v>107.06019172715166</v>
      </c>
      <c r="K4667" s="75">
        <f>'THAM_SO_MOI'!$C$31*J4667/E4667</f>
        <v>427.69177504715253</v>
      </c>
      <c r="L4667" s="75">
        <f>K4667*'THAM_SO_MOI'!$C$53*'THAM_SO_MOI'!$C$17/'THAM_SO_MOI'!$C$26</f>
        <v>3750.858540707996</v>
      </c>
      <c r="M4667" s="75">
        <f>'THAM_SO_MOI'!$C$15*'THAM_SO_MOI'!$C$16*F4667^2</f>
        <v>1722.3533612999997</v>
      </c>
      <c r="N4667" s="75">
        <f>'THAM_SO_MOI'!$C$12*I4667</f>
        <v>1573.7478294804478</v>
      </c>
      <c r="O4667" s="75">
        <f>M4667+N4667</f>
        <v>3296.1011907804477</v>
      </c>
      <c r="P4667" s="75">
        <f>(MIN(L4667,'THAM_SO_MOI'!$C$41)-O4667)/('THAM_SO_MOI'!$C$11*H4667)</f>
        <v>0.053830178731954115</v>
      </c>
      <c r="Q4667" s="75">
        <f>IF(P4667&gt;0,1/P4667,NA())</f>
        <v>18.576939990845514</v>
      </c>
      <c r="R4667" s="75">
        <f>F4667-F4666</f>
        <v>0.0035868055555567935</v>
      </c>
      <c r="S4667" s="75">
        <f>0.5*(Q4666+Q4667)*R4667</f>
        <v>0.0665801111336454</v>
      </c>
      <c r="T4667" s="75">
        <f>0.5*(F4666*Q4666+F4667*Q4667)*R4667</f>
        <v>1.6155136646400872</v>
      </c>
      <c r="U4667" s="76">
        <f>U4666+S4667</f>
        <v>89.58468456232052</v>
      </c>
      <c r="V4667" s="76">
        <f>V4666+T4667</f>
        <v>1579.805290487962</v>
      </c>
    </row>
    <row r="4668" spans="1:22" ht="19" customHeight="1">
      <c r="A4668" s="68" t="s">
        <v>378</v>
      </c>
      <c r="B4668" s="74">
        <v>5</v>
      </c>
      <c r="C4668" s="68" t="s">
        <v>363</v>
      </c>
      <c r="D4668" s="68" t="s">
        <v>365</v>
      </c>
      <c r="E4668" s="75">
        <f>60*F4668*'THAM_SO_MOI'!$C$53/(2*PI()*'THAM_SO_MOI'!$C$26)</f>
        <v>2391.19297368421</v>
      </c>
      <c r="F4668" s="75">
        <f>'THAM_SO_MOI'!$C$14+('THAM_SO_MOI'!$C$37-'THAM_SO_MOI'!$C$14)*577/'THAM_SO_MOI'!$C$42</f>
        <v>24.269586805555555</v>
      </c>
      <c r="G4668" s="75">
        <f>3.6*F4668</f>
        <v>87.3705125</v>
      </c>
      <c r="H4668" s="75">
        <f>'THAM_SO_MOI'!$D$53</f>
        <v>1.1</v>
      </c>
      <c r="I4668" s="75">
        <f>IF(F4668&gt;='THAM_SO_MOI'!$C$14,'THAM_SO_MOI'!$C$13*(1+F4668^2/1500),'THAM_SO_MOI'!$C$13)</f>
        <v>0.020890128437123963</v>
      </c>
      <c r="J4668" s="75">
        <f>'THAM_SO_MOI'!$C$40*('THAM_SO_MOI'!$C$23*(E4668/'THAM_SO_MOI'!$C$22)+'THAM_SO_MOI'!$C$24*(E4668/'THAM_SO_MOI'!$C$22)^2-'THAM_SO_MOI'!$C$25*(E4668/'THAM_SO_MOI'!$C$22)^3)</f>
        <v>107.07409082124741</v>
      </c>
      <c r="K4668" s="75">
        <f>'THAM_SO_MOI'!$C$31*J4668/E4668</f>
        <v>427.6840833186117</v>
      </c>
      <c r="L4668" s="75">
        <f>K4668*'THAM_SO_MOI'!$C$53*'THAM_SO_MOI'!$C$17/'THAM_SO_MOI'!$C$26</f>
        <v>3750.791084218595</v>
      </c>
      <c r="M4668" s="75">
        <f>'THAM_SO_MOI'!$C$15*'THAM_SO_MOI'!$C$16*F4668^2</f>
        <v>1722.8625678587593</v>
      </c>
      <c r="N4668" s="75">
        <f>'THAM_SO_MOI'!$C$12*I4668</f>
        <v>1573.8789885556691</v>
      </c>
      <c r="O4668" s="75">
        <f>M4668+N4668</f>
        <v>3296.7415564144285</v>
      </c>
      <c r="P4668" s="75">
        <f>(MIN(L4668,'THAM_SO_MOI'!$C$41)-O4668)/('THAM_SO_MOI'!$C$11*H4668)</f>
        <v>0.05374639296924322</v>
      </c>
      <c r="Q4668" s="75">
        <f>IF(P4668&gt;0,1/P4668,NA())</f>
        <v>18.60589975911979</v>
      </c>
      <c r="R4668" s="75">
        <f>F4668-F4667</f>
        <v>0.0035868055555567935</v>
      </c>
      <c r="S4668" s="75">
        <f>0.5*(Q4667+Q4668)*R4668</f>
        <v>0.06668380809327676</v>
      </c>
      <c r="T4668" s="75">
        <f>0.5*(F4667*Q4667+F4668*Q4668)*R4668</f>
        <v>1.6182689712612364</v>
      </c>
      <c r="U4668" s="76">
        <f>U4667+S4668</f>
        <v>89.65136837041379</v>
      </c>
      <c r="V4668" s="76">
        <f>V4667+T4668</f>
        <v>1581.4235594592233</v>
      </c>
    </row>
    <row r="4669" spans="1:22" ht="19" customHeight="1">
      <c r="A4669" s="68" t="s">
        <v>378</v>
      </c>
      <c r="B4669" s="74">
        <v>5</v>
      </c>
      <c r="C4669" s="68" t="s">
        <v>363</v>
      </c>
      <c r="D4669" s="68" t="s">
        <v>365</v>
      </c>
      <c r="E4669" s="75">
        <f>60*F4669*'THAM_SO_MOI'!$C$53/(2*PI()*'THAM_SO_MOI'!$C$26)</f>
        <v>2391.5463684210517</v>
      </c>
      <c r="F4669" s="75">
        <f>'THAM_SO_MOI'!$C$14+('THAM_SO_MOI'!$C$37-'THAM_SO_MOI'!$C$14)*578/'THAM_SO_MOI'!$C$42</f>
        <v>24.27317361111111</v>
      </c>
      <c r="G4669" s="75">
        <f>3.6*F4669</f>
        <v>87.38342499999999</v>
      </c>
      <c r="H4669" s="75">
        <f>'THAM_SO_MOI'!$D$53</f>
        <v>1.1</v>
      </c>
      <c r="I4669" s="75">
        <f>IF(F4669&gt;='THAM_SO_MOI'!$C$14,'THAM_SO_MOI'!$C$13*(1+F4669^2/1500),'THAM_SO_MOI'!$C$13)</f>
        <v>0.020891869571551407</v>
      </c>
      <c r="J4669" s="75">
        <f>'THAM_SO_MOI'!$C$40*('THAM_SO_MOI'!$C$23*(E4669/'THAM_SO_MOI'!$C$22)+'THAM_SO_MOI'!$C$24*(E4669/'THAM_SO_MOI'!$C$22)^2-'THAM_SO_MOI'!$C$25*(E4669/'THAM_SO_MOI'!$C$22)^3)</f>
        <v>107.08798631236785</v>
      </c>
      <c r="K4669" s="75">
        <f>'THAM_SO_MOI'!$C$31*J4669/E4669</f>
        <v>427.6763794740864</v>
      </c>
      <c r="L4669" s="75">
        <f>K4669*'THAM_SO_MOI'!$C$53*'THAM_SO_MOI'!$C$17/'THAM_SO_MOI'!$C$26</f>
        <v>3750.7235214719635</v>
      </c>
      <c r="M4669" s="75">
        <f>'THAM_SO_MOI'!$C$15*'THAM_SO_MOI'!$C$16*F4669^2</f>
        <v>1723.3718496787867</v>
      </c>
      <c r="N4669" s="75">
        <f>'THAM_SO_MOI'!$C$12*I4669</f>
        <v>1574.0101670163403</v>
      </c>
      <c r="O4669" s="75">
        <f>M4669+N4669</f>
        <v>3297.3820166951273</v>
      </c>
      <c r="P4669" s="75">
        <f>(MIN(L4669,'THAM_SO_MOI'!$C$41)-O4669)/('THAM_SO_MOI'!$C$11*H4669)</f>
        <v>0.05366258342528841</v>
      </c>
      <c r="Q4669" s="75">
        <f>IF(P4669&gt;0,1/P4669,NA())</f>
        <v>18.63495821799648</v>
      </c>
      <c r="R4669" s="75">
        <f>F4669-F4668</f>
        <v>0.0035868055555532408</v>
      </c>
      <c r="S4669" s="75">
        <f>0.5*(Q4668+Q4669)*R4669</f>
        <v>0.06678785814294493</v>
      </c>
      <c r="T4669" s="75">
        <f>0.5*(F4668*Q4668+F4669*Q4669)*R4669</f>
        <v>1.6210335917481808</v>
      </c>
      <c r="U4669" s="76">
        <f>U4668+S4669</f>
        <v>89.71815622855674</v>
      </c>
      <c r="V4669" s="76">
        <f>V4668+T4669</f>
        <v>1583.0445930509713</v>
      </c>
    </row>
    <row r="4670" spans="1:22" ht="19" customHeight="1">
      <c r="A4670" s="68" t="s">
        <v>378</v>
      </c>
      <c r="B4670" s="74">
        <v>5</v>
      </c>
      <c r="C4670" s="68" t="s">
        <v>363</v>
      </c>
      <c r="D4670" s="68" t="s">
        <v>365</v>
      </c>
      <c r="E4670" s="75">
        <f>60*F4670*'THAM_SO_MOI'!$C$53/(2*PI()*'THAM_SO_MOI'!$C$26)</f>
        <v>2391.899763157894</v>
      </c>
      <c r="F4670" s="75">
        <f>'THAM_SO_MOI'!$C$14+('THAM_SO_MOI'!$C$37-'THAM_SO_MOI'!$C$14)*579/'THAM_SO_MOI'!$C$42</f>
        <v>24.276760416666665</v>
      </c>
      <c r="G4670" s="75">
        <f>3.6*F4670</f>
        <v>87.3963375</v>
      </c>
      <c r="H4670" s="75">
        <f>'THAM_SO_MOI'!$D$53</f>
        <v>1.1</v>
      </c>
      <c r="I4670" s="75">
        <f>IF(F4670&gt;='THAM_SO_MOI'!$C$14,'THAM_SO_MOI'!$C$13*(1+F4670^2/1500),'THAM_SO_MOI'!$C$13)</f>
        <v>0.020893610963282336</v>
      </c>
      <c r="J4670" s="75">
        <f>'THAM_SO_MOI'!$C$40*('THAM_SO_MOI'!$C$23*(E4670/'THAM_SO_MOI'!$C$22)+'THAM_SO_MOI'!$C$24*(E4670/'THAM_SO_MOI'!$C$22)^2-'THAM_SO_MOI'!$C$25*(E4670/'THAM_SO_MOI'!$C$22)^3)</f>
        <v>107.10187819916813</v>
      </c>
      <c r="K4670" s="75">
        <f>'THAM_SO_MOI'!$C$31*J4670/E4670</f>
        <v>427.6686635135767</v>
      </c>
      <c r="L4670" s="75">
        <f>K4670*'THAM_SO_MOI'!$C$53*'THAM_SO_MOI'!$C$17/'THAM_SO_MOI'!$C$26</f>
        <v>3750.655852468101</v>
      </c>
      <c r="M4670" s="75">
        <f>'THAM_SO_MOI'!$C$15*'THAM_SO_MOI'!$C$16*F4670^2</f>
        <v>1723.881206760083</v>
      </c>
      <c r="N4670" s="75">
        <f>'THAM_SO_MOI'!$C$12*I4670</f>
        <v>1574.1413648624618</v>
      </c>
      <c r="O4670" s="75">
        <f>M4670+N4670</f>
        <v>3298.022571622545</v>
      </c>
      <c r="P4670" s="75">
        <f>(MIN(L4670,'THAM_SO_MOI'!$C$41)-O4670)/('THAM_SO_MOI'!$C$11*H4670)</f>
        <v>0.0535787501000895</v>
      </c>
      <c r="Q4670" s="75">
        <f>IF(P4670&gt;0,1/P4670,NA())</f>
        <v>18.664115869293664</v>
      </c>
      <c r="R4670" s="75">
        <f>F4670-F4669</f>
        <v>0.0035868055555567935</v>
      </c>
      <c r="S4670" s="75">
        <f>0.5*(Q4669+Q4670)*R4670</f>
        <v>0.06689226307670837</v>
      </c>
      <c r="T4670" s="75">
        <f>0.5*(F4669*Q4669+F4670*Q4670)*R4670</f>
        <v>1.623807573451038</v>
      </c>
      <c r="U4670" s="76">
        <f>U4669+S4670</f>
        <v>89.78504849163345</v>
      </c>
      <c r="V4670" s="76">
        <f>V4669+T4670</f>
        <v>1584.6684006244225</v>
      </c>
    </row>
    <row r="4671" spans="1:22" ht="19" customHeight="1">
      <c r="A4671" s="68" t="s">
        <v>378</v>
      </c>
      <c r="B4671" s="74">
        <v>5</v>
      </c>
      <c r="C4671" s="68" t="s">
        <v>363</v>
      </c>
      <c r="D4671" s="68" t="s">
        <v>365</v>
      </c>
      <c r="E4671" s="75">
        <f>60*F4671*'THAM_SO_MOI'!$C$53/(2*PI()*'THAM_SO_MOI'!$C$26)</f>
        <v>2392.2531578947364</v>
      </c>
      <c r="F4671" s="75">
        <f>'THAM_SO_MOI'!$C$14+('THAM_SO_MOI'!$C$37-'THAM_SO_MOI'!$C$14)*580/'THAM_SO_MOI'!$C$42</f>
        <v>24.280347222222222</v>
      </c>
      <c r="G4671" s="75">
        <f>3.6*F4671</f>
        <v>87.40925</v>
      </c>
      <c r="H4671" s="75">
        <f>'THAM_SO_MOI'!$D$53</f>
        <v>1.1</v>
      </c>
      <c r="I4671" s="75">
        <f>IF(F4671&gt;='THAM_SO_MOI'!$C$14,'THAM_SO_MOI'!$C$13*(1+F4671^2/1500),'THAM_SO_MOI'!$C$13)</f>
        <v>0.02089535261231674</v>
      </c>
      <c r="J4671" s="75">
        <f>'THAM_SO_MOI'!$C$40*('THAM_SO_MOI'!$C$23*(E4671/'THAM_SO_MOI'!$C$22)+'THAM_SO_MOI'!$C$24*(E4671/'THAM_SO_MOI'!$C$22)^2-'THAM_SO_MOI'!$C$25*(E4671/'THAM_SO_MOI'!$C$22)^3)</f>
        <v>107.11576648030332</v>
      </c>
      <c r="K4671" s="75">
        <f>'THAM_SO_MOI'!$C$31*J4671/E4671</f>
        <v>427.66093543708234</v>
      </c>
      <c r="L4671" s="75">
        <f>K4671*'THAM_SO_MOI'!$C$53*'THAM_SO_MOI'!$C$17/'THAM_SO_MOI'!$C$26</f>
        <v>3750.588077207006</v>
      </c>
      <c r="M4671" s="75">
        <f>'THAM_SO_MOI'!$C$15*'THAM_SO_MOI'!$C$16*F4671^2</f>
        <v>1724.3906391026476</v>
      </c>
      <c r="N4671" s="75">
        <f>'THAM_SO_MOI'!$C$12*I4671</f>
        <v>1574.2725820940332</v>
      </c>
      <c r="O4671" s="75">
        <f>M4671+N4671</f>
        <v>3298.6632211966808</v>
      </c>
      <c r="P4671" s="75">
        <f>(MIN(L4671,'THAM_SO_MOI'!$C$41)-O4671)/('THAM_SO_MOI'!$C$11*H4671)</f>
        <v>0.05349489299364644</v>
      </c>
      <c r="Q4671" s="75">
        <f>IF(P4671&gt;0,1/P4671,NA())</f>
        <v>18.69337321823916</v>
      </c>
      <c r="R4671" s="75">
        <f>F4671-F4670</f>
        <v>0.0035868055555567935</v>
      </c>
      <c r="S4671" s="75">
        <f>0.5*(Q4670+Q4671)*R4671</f>
        <v>0.06699702470040751</v>
      </c>
      <c r="T4671" s="75">
        <f>0.5*(F4670*Q4670+F4671*Q4671)*R4671</f>
        <v>1.6265909640317142</v>
      </c>
      <c r="U4671" s="76">
        <f>U4670+S4671</f>
        <v>89.85204551633386</v>
      </c>
      <c r="V4671" s="76">
        <f>V4670+T4671</f>
        <v>1586.2949915884542</v>
      </c>
    </row>
    <row r="4672" spans="1:22" ht="19" customHeight="1">
      <c r="A4672" s="68" t="s">
        <v>378</v>
      </c>
      <c r="B4672" s="74">
        <v>5</v>
      </c>
      <c r="C4672" s="68" t="s">
        <v>363</v>
      </c>
      <c r="D4672" s="68" t="s">
        <v>365</v>
      </c>
      <c r="E4672" s="75">
        <f>60*F4672*'THAM_SO_MOI'!$C$53/(2*PI()*'THAM_SO_MOI'!$C$26)</f>
        <v>2392.6065526315783</v>
      </c>
      <c r="F4672" s="75">
        <f>'THAM_SO_MOI'!$C$14+('THAM_SO_MOI'!$C$37-'THAM_SO_MOI'!$C$14)*581/'THAM_SO_MOI'!$C$42</f>
        <v>24.283934027777775</v>
      </c>
      <c r="G4672" s="75">
        <f>3.6*F4672</f>
        <v>87.4221625</v>
      </c>
      <c r="H4672" s="75">
        <f>'THAM_SO_MOI'!$D$53</f>
        <v>1.1</v>
      </c>
      <c r="I4672" s="75">
        <f>IF(F4672&gt;='THAM_SO_MOI'!$C$14,'THAM_SO_MOI'!$C$13*(1+F4672^2/1500),'THAM_SO_MOI'!$C$13)</f>
        <v>0.02089709451865463</v>
      </c>
      <c r="J4672" s="75">
        <f>'THAM_SO_MOI'!$C$40*('THAM_SO_MOI'!$C$23*(E4672/'THAM_SO_MOI'!$C$22)+'THAM_SO_MOI'!$C$24*(E4672/'THAM_SO_MOI'!$C$22)^2-'THAM_SO_MOI'!$C$25*(E4672/'THAM_SO_MOI'!$C$22)^3)</f>
        <v>107.12965115442857</v>
      </c>
      <c r="K4672" s="75">
        <f>'THAM_SO_MOI'!$C$31*J4672/E4672</f>
        <v>427.6531952446037</v>
      </c>
      <c r="L4672" s="75">
        <f>K4672*'THAM_SO_MOI'!$C$53*'THAM_SO_MOI'!$C$17/'THAM_SO_MOI'!$C$26</f>
        <v>3750.5201956886813</v>
      </c>
      <c r="M4672" s="75">
        <f>'THAM_SO_MOI'!$C$15*'THAM_SO_MOI'!$C$16*F4672^2</f>
        <v>1724.9001467064802</v>
      </c>
      <c r="N4672" s="75">
        <f>'THAM_SO_MOI'!$C$12*I4672</f>
        <v>1574.4038187110548</v>
      </c>
      <c r="O4672" s="75">
        <f>M4672+N4672</f>
        <v>3299.303965417535</v>
      </c>
      <c r="P4672" s="75">
        <f>(MIN(L4672,'THAM_SO_MOI'!$C$41)-O4672)/('THAM_SO_MOI'!$C$11*H4672)</f>
        <v>0.053411012105959554</v>
      </c>
      <c r="Q4672" s="75">
        <f>IF(P4672&gt;0,1/P4672,NA())</f>
        <v>18.72273077349944</v>
      </c>
      <c r="R4672" s="75">
        <f>F4672-F4671</f>
        <v>0.0035868055555532408</v>
      </c>
      <c r="S4672" s="75">
        <f>0.5*(Q4671+Q4672)*R4672</f>
        <v>0.06710214483236289</v>
      </c>
      <c r="T4672" s="75">
        <f>0.5*(F4671*Q4671+F4672*Q4672)*R4672</f>
        <v>1.6293838114810677</v>
      </c>
      <c r="U4672" s="76">
        <f>U4671+S4672</f>
        <v>89.91914766116622</v>
      </c>
      <c r="V4672" s="76">
        <f>V4671+T4672</f>
        <v>1587.9243753999353</v>
      </c>
    </row>
    <row r="4673" spans="1:22" ht="19" customHeight="1">
      <c r="A4673" s="68" t="s">
        <v>378</v>
      </c>
      <c r="B4673" s="74">
        <v>5</v>
      </c>
      <c r="C4673" s="68" t="s">
        <v>363</v>
      </c>
      <c r="D4673" s="68" t="s">
        <v>365</v>
      </c>
      <c r="E4673" s="75">
        <f>60*F4673*'THAM_SO_MOI'!$C$53/(2*PI()*'THAM_SO_MOI'!$C$26)</f>
        <v>2392.95994736842</v>
      </c>
      <c r="F4673" s="75">
        <f>'THAM_SO_MOI'!$C$14+('THAM_SO_MOI'!$C$37-'THAM_SO_MOI'!$C$14)*582/'THAM_SO_MOI'!$C$42</f>
        <v>24.287520833333332</v>
      </c>
      <c r="G4673" s="75">
        <f>3.6*F4673</f>
        <v>87.435075</v>
      </c>
      <c r="H4673" s="75">
        <f>'THAM_SO_MOI'!$D$53</f>
        <v>1.1</v>
      </c>
      <c r="I4673" s="75">
        <f>IF(F4673&gt;='THAM_SO_MOI'!$C$14,'THAM_SO_MOI'!$C$13*(1+F4673^2/1500),'THAM_SO_MOI'!$C$13)</f>
        <v>0.020898836682296005</v>
      </c>
      <c r="J4673" s="75">
        <f>'THAM_SO_MOI'!$C$40*('THAM_SO_MOI'!$C$23*(E4673/'THAM_SO_MOI'!$C$22)+'THAM_SO_MOI'!$C$24*(E4673/'THAM_SO_MOI'!$C$22)^2-'THAM_SO_MOI'!$C$25*(E4673/'THAM_SO_MOI'!$C$22)^3)</f>
        <v>107.143532220199</v>
      </c>
      <c r="K4673" s="75">
        <f>'THAM_SO_MOI'!$C$31*J4673/E4673</f>
        <v>427.64544293614074</v>
      </c>
      <c r="L4673" s="75">
        <f>K4673*'THAM_SO_MOI'!$C$53*'THAM_SO_MOI'!$C$17/'THAM_SO_MOI'!$C$26</f>
        <v>3750.4522079131266</v>
      </c>
      <c r="M4673" s="75">
        <f>'THAM_SO_MOI'!$C$15*'THAM_SO_MOI'!$C$16*F4673^2</f>
        <v>1725.4097295715821</v>
      </c>
      <c r="N4673" s="75">
        <f>'THAM_SO_MOI'!$C$12*I4673</f>
        <v>1574.535074713527</v>
      </c>
      <c r="O4673" s="75">
        <f>M4673+N4673</f>
        <v>3299.944804285109</v>
      </c>
      <c r="P4673" s="75">
        <f>(MIN(L4673,'THAM_SO_MOI'!$C$41)-O4673)/('THAM_SO_MOI'!$C$11*H4673)</f>
        <v>0.05332710743702859</v>
      </c>
      <c r="Q4673" s="75">
        <f>IF(P4673&gt;0,1/P4673,NA())</f>
        <v>18.752189047209278</v>
      </c>
      <c r="R4673" s="75">
        <f>F4673-F4672</f>
        <v>0.0035868055555567935</v>
      </c>
      <c r="S4673" s="75">
        <f>0.5*(Q4672+Q4673)*R4673</f>
        <v>0.06720762530348172</v>
      </c>
      <c r="T4673" s="75">
        <f>0.5*(F4672*Q4672+F4673*Q4673)*R4673</f>
        <v>1.6321861641217201</v>
      </c>
      <c r="U4673" s="76">
        <f>U4672+S4673</f>
        <v>89.9863552864697</v>
      </c>
      <c r="V4673" s="76">
        <f>V4672+T4673</f>
        <v>1589.5565615640571</v>
      </c>
    </row>
    <row r="4674" spans="1:22" ht="19" customHeight="1">
      <c r="A4674" s="68" t="s">
        <v>378</v>
      </c>
      <c r="B4674" s="74">
        <v>5</v>
      </c>
      <c r="C4674" s="68" t="s">
        <v>363</v>
      </c>
      <c r="D4674" s="68" t="s">
        <v>365</v>
      </c>
      <c r="E4674" s="75">
        <f>60*F4674*'THAM_SO_MOI'!$C$53/(2*PI()*'THAM_SO_MOI'!$C$26)</f>
        <v>2393.3133421052626</v>
      </c>
      <c r="F4674" s="75">
        <f>'THAM_SO_MOI'!$C$14+('THAM_SO_MOI'!$C$37-'THAM_SO_MOI'!$C$14)*583/'THAM_SO_MOI'!$C$42</f>
        <v>24.29110763888889</v>
      </c>
      <c r="G4674" s="75">
        <f>3.6*F4674</f>
        <v>87.4479875</v>
      </c>
      <c r="H4674" s="75">
        <f>'THAM_SO_MOI'!$D$53</f>
        <v>1.1</v>
      </c>
      <c r="I4674" s="75">
        <f>IF(F4674&gt;='THAM_SO_MOI'!$C$14,'THAM_SO_MOI'!$C$13*(1+F4674^2/1500),'THAM_SO_MOI'!$C$13)</f>
        <v>0.02090057910324086</v>
      </c>
      <c r="J4674" s="75">
        <f>'THAM_SO_MOI'!$C$40*('THAM_SO_MOI'!$C$23*(E4674/'THAM_SO_MOI'!$C$22)+'THAM_SO_MOI'!$C$24*(E4674/'THAM_SO_MOI'!$C$22)^2-'THAM_SO_MOI'!$C$25*(E4674/'THAM_SO_MOI'!$C$22)^3)</f>
        <v>107.15740967626964</v>
      </c>
      <c r="K4674" s="75">
        <f>'THAM_SO_MOI'!$C$31*J4674/E4674</f>
        <v>427.6376785116929</v>
      </c>
      <c r="L4674" s="75">
        <f>K4674*'THAM_SO_MOI'!$C$53*'THAM_SO_MOI'!$C$17/'THAM_SO_MOI'!$C$26</f>
        <v>3750.384113880337</v>
      </c>
      <c r="M4674" s="75">
        <f>'THAM_SO_MOI'!$C$15*'THAM_SO_MOI'!$C$16*F4674^2</f>
        <v>1725.919387697952</v>
      </c>
      <c r="N4674" s="75">
        <f>'THAM_SO_MOI'!$C$12*I4674</f>
        <v>1574.666350101449</v>
      </c>
      <c r="O4674" s="75">
        <f>M4674+N4674</f>
        <v>3300.585737799401</v>
      </c>
      <c r="P4674" s="75">
        <f>(MIN(L4674,'THAM_SO_MOI'!$C$41)-O4674)/('THAM_SO_MOI'!$C$11*H4674)</f>
        <v>0.05324317898685318</v>
      </c>
      <c r="Q4674" s="75">
        <f>IF(P4674&gt;0,1/P4674,NA())</f>
        <v>18.7817485550012</v>
      </c>
      <c r="R4674" s="75">
        <f>F4674-F4673</f>
        <v>0.0035868055555567935</v>
      </c>
      <c r="S4674" s="75">
        <f>0.5*(Q4673+Q4674)*R4674</f>
        <v>0.0673134679567653</v>
      </c>
      <c r="T4674" s="75">
        <f>0.5*(F4673*Q4673+F4674*Q4674)*R4674</f>
        <v>1.6349980705963216</v>
      </c>
      <c r="U4674" s="76">
        <f>U4673+S4674</f>
        <v>90.05366875442647</v>
      </c>
      <c r="V4674" s="76">
        <f>V4673+T4674</f>
        <v>1591.1915596346535</v>
      </c>
    </row>
    <row r="4675" spans="1:22" ht="19" customHeight="1">
      <c r="A4675" s="68" t="s">
        <v>378</v>
      </c>
      <c r="B4675" s="74">
        <v>5</v>
      </c>
      <c r="C4675" s="68" t="s">
        <v>363</v>
      </c>
      <c r="D4675" s="68" t="s">
        <v>365</v>
      </c>
      <c r="E4675" s="75">
        <f>60*F4675*'THAM_SO_MOI'!$C$53/(2*PI()*'THAM_SO_MOI'!$C$26)</f>
        <v>2393.6667368421045</v>
      </c>
      <c r="F4675" s="75">
        <f>'THAM_SO_MOI'!$C$14+('THAM_SO_MOI'!$C$37-'THAM_SO_MOI'!$C$14)*584/'THAM_SO_MOI'!$C$42</f>
        <v>24.294694444444442</v>
      </c>
      <c r="G4675" s="75">
        <f>3.6*F4675</f>
        <v>87.4609</v>
      </c>
      <c r="H4675" s="75">
        <f>'THAM_SO_MOI'!$D$53</f>
        <v>1.1</v>
      </c>
      <c r="I4675" s="75">
        <f>IF(F4675&gt;='THAM_SO_MOI'!$C$14,'THAM_SO_MOI'!$C$13*(1+F4675^2/1500),'THAM_SO_MOI'!$C$13)</f>
        <v>0.020902321781489198</v>
      </c>
      <c r="J4675" s="75">
        <f>'THAM_SO_MOI'!$C$40*('THAM_SO_MOI'!$C$23*(E4675/'THAM_SO_MOI'!$C$22)+'THAM_SO_MOI'!$C$24*(E4675/'THAM_SO_MOI'!$C$22)^2-'THAM_SO_MOI'!$C$25*(E4675/'THAM_SO_MOI'!$C$22)^3)</f>
        <v>107.17128352129568</v>
      </c>
      <c r="K4675" s="75">
        <f>'THAM_SO_MOI'!$C$31*J4675/E4675</f>
        <v>427.62990197126084</v>
      </c>
      <c r="L4675" s="75">
        <f>K4675*'THAM_SO_MOI'!$C$53*'THAM_SO_MOI'!$C$17/'THAM_SO_MOI'!$C$26</f>
        <v>3750.315913590318</v>
      </c>
      <c r="M4675" s="75">
        <f>'THAM_SO_MOI'!$C$15*'THAM_SO_MOI'!$C$16*F4675^2</f>
        <v>1726.4291210855902</v>
      </c>
      <c r="N4675" s="75">
        <f>'THAM_SO_MOI'!$C$12*I4675</f>
        <v>1574.7976448748213</v>
      </c>
      <c r="O4675" s="75">
        <f>M4675+N4675</f>
        <v>3301.2267659604113</v>
      </c>
      <c r="P4675" s="75">
        <f>(MIN(L4675,'THAM_SO_MOI'!$C$41)-O4675)/('THAM_SO_MOI'!$C$11*H4675)</f>
        <v>0.053159226755434</v>
      </c>
      <c r="Q4675" s="75">
        <f>IF(P4675&gt;0,1/P4675,NA())</f>
        <v>18.81140981603497</v>
      </c>
      <c r="R4675" s="75">
        <f>F4675-F4674</f>
        <v>0.0035868055555532408</v>
      </c>
      <c r="S4675" s="75">
        <f>0.5*(Q4674+Q4675)*R4675</f>
        <v>0.06741967464801267</v>
      </c>
      <c r="T4675" s="75">
        <f>0.5*(F4674*Q4674+F4675*Q4675)*R4675</f>
        <v>1.6378195798848567</v>
      </c>
      <c r="U4675" s="76">
        <f>U4674+S4675</f>
        <v>90.12108842907448</v>
      </c>
      <c r="V4675" s="76">
        <f>V4674+T4675</f>
        <v>1592.8293792145382</v>
      </c>
    </row>
    <row r="4676" spans="1:22" ht="19" customHeight="1">
      <c r="A4676" s="68" t="s">
        <v>378</v>
      </c>
      <c r="B4676" s="74">
        <v>5</v>
      </c>
      <c r="C4676" s="68" t="s">
        <v>363</v>
      </c>
      <c r="D4676" s="68" t="s">
        <v>365</v>
      </c>
      <c r="E4676" s="75">
        <f>60*F4676*'THAM_SO_MOI'!$C$53/(2*PI()*'THAM_SO_MOI'!$C$26)</f>
        <v>2394.020131578947</v>
      </c>
      <c r="F4676" s="75">
        <f>'THAM_SO_MOI'!$C$14+('THAM_SO_MOI'!$C$37-'THAM_SO_MOI'!$C$14)*585/'THAM_SO_MOI'!$C$42</f>
        <v>24.29828125</v>
      </c>
      <c r="G4676" s="75">
        <f>3.6*F4676</f>
        <v>87.4738125</v>
      </c>
      <c r="H4676" s="75">
        <f>'THAM_SO_MOI'!$D$53</f>
        <v>1.1</v>
      </c>
      <c r="I4676" s="75">
        <f>IF(F4676&gt;='THAM_SO_MOI'!$C$14,'THAM_SO_MOI'!$C$13*(1+F4676^2/1500),'THAM_SO_MOI'!$C$13)</f>
        <v>0.020904064717041013</v>
      </c>
      <c r="J4676" s="75">
        <f>'THAM_SO_MOI'!$C$40*('THAM_SO_MOI'!$C$23*(E4676/'THAM_SO_MOI'!$C$22)+'THAM_SO_MOI'!$C$24*(E4676/'THAM_SO_MOI'!$C$22)^2-'THAM_SO_MOI'!$C$25*(E4676/'THAM_SO_MOI'!$C$22)^3)</f>
        <v>107.1851537539322</v>
      </c>
      <c r="K4676" s="75">
        <f>'THAM_SO_MOI'!$C$31*J4676/E4676</f>
        <v>427.6221133148443</v>
      </c>
      <c r="L4676" s="75">
        <f>K4676*'THAM_SO_MOI'!$C$53*'THAM_SO_MOI'!$C$17/'THAM_SO_MOI'!$C$26</f>
        <v>3750.247607043068</v>
      </c>
      <c r="M4676" s="75">
        <f>'THAM_SO_MOI'!$C$15*'THAM_SO_MOI'!$C$16*F4676^2</f>
        <v>1726.938929734497</v>
      </c>
      <c r="N4676" s="75">
        <f>'THAM_SO_MOI'!$C$12*I4676</f>
        <v>1574.9289590336437</v>
      </c>
      <c r="O4676" s="75">
        <f>M4676+N4676</f>
        <v>3301.867888768141</v>
      </c>
      <c r="P4676" s="75">
        <f>(MIN(L4676,'THAM_SO_MOI'!$C$41)-O4676)/('THAM_SO_MOI'!$C$11*H4676)</f>
        <v>0.053075250742770766</v>
      </c>
      <c r="Q4676" s="75">
        <f>IF(P4676&gt;0,1/P4676,NA())</f>
        <v>18.841173353028527</v>
      </c>
      <c r="R4676" s="75">
        <f>F4676-F4675</f>
        <v>0.0035868055555567935</v>
      </c>
      <c r="S4676" s="75">
        <f>0.5*(Q4675+Q4676)*R4676</f>
        <v>0.06752624724593058</v>
      </c>
      <c r="T4676" s="75">
        <f>0.5*(F4675*Q4675+F4676*Q4676)*R4676</f>
        <v>1.6406507413075468</v>
      </c>
      <c r="U4676" s="76">
        <f>U4675+S4676</f>
        <v>90.18861467632041</v>
      </c>
      <c r="V4676" s="76">
        <f>V4675+T4676</f>
        <v>1594.4700299558458</v>
      </c>
    </row>
    <row r="4677" spans="1:22" ht="19" customHeight="1">
      <c r="A4677" s="68" t="s">
        <v>378</v>
      </c>
      <c r="B4677" s="74">
        <v>5</v>
      </c>
      <c r="C4677" s="68" t="s">
        <v>363</v>
      </c>
      <c r="D4677" s="68" t="s">
        <v>365</v>
      </c>
      <c r="E4677" s="75">
        <f>60*F4677*'THAM_SO_MOI'!$C$53/(2*PI()*'THAM_SO_MOI'!$C$26)</f>
        <v>2394.373526315789</v>
      </c>
      <c r="F4677" s="75">
        <f>'THAM_SO_MOI'!$C$14+('THAM_SO_MOI'!$C$37-'THAM_SO_MOI'!$C$14)*586/'THAM_SO_MOI'!$C$42</f>
        <v>24.301868055555556</v>
      </c>
      <c r="G4677" s="75">
        <f>3.6*F4677</f>
        <v>87.486725</v>
      </c>
      <c r="H4677" s="75">
        <f>'THAM_SO_MOI'!$D$53</f>
        <v>1.1</v>
      </c>
      <c r="I4677" s="75">
        <f>IF(F4677&gt;='THAM_SO_MOI'!$C$14,'THAM_SO_MOI'!$C$13*(1+F4677^2/1500),'THAM_SO_MOI'!$C$13)</f>
        <v>0.020905807909896316</v>
      </c>
      <c r="J4677" s="75">
        <f>'THAM_SO_MOI'!$C$40*('THAM_SO_MOI'!$C$23*(E4677/'THAM_SO_MOI'!$C$22)+'THAM_SO_MOI'!$C$24*(E4677/'THAM_SO_MOI'!$C$22)^2-'THAM_SO_MOI'!$C$25*(E4677/'THAM_SO_MOI'!$C$22)^3)</f>
        <v>107.19902037283434</v>
      </c>
      <c r="K4677" s="75">
        <f>'THAM_SO_MOI'!$C$31*J4677/E4677</f>
        <v>427.6143125424433</v>
      </c>
      <c r="L4677" s="75">
        <f>K4677*'THAM_SO_MOI'!$C$53*'THAM_SO_MOI'!$C$17/'THAM_SO_MOI'!$C$26</f>
        <v>3750.1791942385876</v>
      </c>
      <c r="M4677" s="75">
        <f>'THAM_SO_MOI'!$C$15*'THAM_SO_MOI'!$C$16*F4677^2</f>
        <v>1727.4488136446726</v>
      </c>
      <c r="N4677" s="75">
        <f>'THAM_SO_MOI'!$C$12*I4677</f>
        <v>1575.0602925779165</v>
      </c>
      <c r="O4677" s="75">
        <f>M4677+N4677</f>
        <v>3302.5091062225893</v>
      </c>
      <c r="P4677" s="75">
        <f>(MIN(L4677,'THAM_SO_MOI'!$C$41)-O4677)/('THAM_SO_MOI'!$C$11*H4677)</f>
        <v>0.052991250948863464</v>
      </c>
      <c r="Q4677" s="75">
        <f>IF(P4677&gt;0,1/P4677,NA())</f>
        <v>18.871039692288065</v>
      </c>
      <c r="R4677" s="75">
        <f>F4677-F4676</f>
        <v>0.0035868055555567935</v>
      </c>
      <c r="S4677" s="75">
        <f>0.5*(Q4676+Q4677)*R4677</f>
        <v>0.06763318763164146</v>
      </c>
      <c r="T4677" s="75">
        <f>0.5*(F4676*Q4676+F4677*Q4677)*R4677</f>
        <v>1.6434916045131278</v>
      </c>
      <c r="U4677" s="76">
        <f>U4676+S4677</f>
        <v>90.25624786395205</v>
      </c>
      <c r="V4677" s="76">
        <f>V4676+T4677</f>
        <v>1596.113521560359</v>
      </c>
    </row>
    <row r="4678" spans="1:22" ht="19" customHeight="1">
      <c r="A4678" s="68" t="s">
        <v>378</v>
      </c>
      <c r="B4678" s="74">
        <v>5</v>
      </c>
      <c r="C4678" s="68" t="s">
        <v>363</v>
      </c>
      <c r="D4678" s="68" t="s">
        <v>365</v>
      </c>
      <c r="E4678" s="75">
        <f>60*F4678*'THAM_SO_MOI'!$C$53/(2*PI()*'THAM_SO_MOI'!$C$26)</f>
        <v>2394.726921052631</v>
      </c>
      <c r="F4678" s="75">
        <f>'THAM_SO_MOI'!$C$14+('THAM_SO_MOI'!$C$37-'THAM_SO_MOI'!$C$14)*587/'THAM_SO_MOI'!$C$42</f>
        <v>24.30545486111111</v>
      </c>
      <c r="G4678" s="75">
        <f>3.6*F4678</f>
        <v>87.49963749999999</v>
      </c>
      <c r="H4678" s="75">
        <f>'THAM_SO_MOI'!$D$53</f>
        <v>1.1</v>
      </c>
      <c r="I4678" s="75">
        <f>IF(F4678&gt;='THAM_SO_MOI'!$C$14,'THAM_SO_MOI'!$C$13*(1+F4678^2/1500),'THAM_SO_MOI'!$C$13)</f>
        <v>0.020907551360055093</v>
      </c>
      <c r="J4678" s="75">
        <f>'THAM_SO_MOI'!$C$40*('THAM_SO_MOI'!$C$23*(E4678/'THAM_SO_MOI'!$C$22)+'THAM_SO_MOI'!$C$24*(E4678/'THAM_SO_MOI'!$C$22)^2-'THAM_SO_MOI'!$C$25*(E4678/'THAM_SO_MOI'!$C$22)^3)</f>
        <v>107.21288337665716</v>
      </c>
      <c r="K4678" s="75">
        <f>'THAM_SO_MOI'!$C$31*J4678/E4678</f>
        <v>427.60649965405787</v>
      </c>
      <c r="L4678" s="75">
        <f>K4678*'THAM_SO_MOI'!$C$53*'THAM_SO_MOI'!$C$17/'THAM_SO_MOI'!$C$26</f>
        <v>3750.1106751768757</v>
      </c>
      <c r="M4678" s="75">
        <f>'THAM_SO_MOI'!$C$15*'THAM_SO_MOI'!$C$16*F4678^2</f>
        <v>1727.9587728161157</v>
      </c>
      <c r="N4678" s="75">
        <f>'THAM_SO_MOI'!$C$12*I4678</f>
        <v>1575.191645507639</v>
      </c>
      <c r="O4678" s="75">
        <f>M4678+N4678</f>
        <v>3303.150418323755</v>
      </c>
      <c r="P4678" s="75">
        <f>(MIN(L4678,'THAM_SO_MOI'!$C$41)-O4678)/('THAM_SO_MOI'!$C$11*H4678)</f>
        <v>0.05290722737371225</v>
      </c>
      <c r="Q4678" s="75">
        <f>IF(P4678&gt;0,1/P4678,NA())</f>
        <v>18.901009363738932</v>
      </c>
      <c r="R4678" s="75">
        <f>F4678-F4677</f>
        <v>0.0035868055555532408</v>
      </c>
      <c r="S4678" s="75">
        <f>0.5*(Q4677+Q4678)*R4678</f>
        <v>0.0677404976993936</v>
      </c>
      <c r="T4678" s="75">
        <f>0.5*(F4677*Q4677+F4678*Q4678)*R4678</f>
        <v>1.64634221949633</v>
      </c>
      <c r="U4678" s="76">
        <f>U4677+S4678</f>
        <v>90.32398836165144</v>
      </c>
      <c r="V4678" s="76">
        <f>V4677+T4678</f>
        <v>1597.7598637798553</v>
      </c>
    </row>
    <row r="4679" spans="1:22" ht="19" customHeight="1">
      <c r="A4679" s="68" t="s">
        <v>378</v>
      </c>
      <c r="B4679" s="74">
        <v>5</v>
      </c>
      <c r="C4679" s="68" t="s">
        <v>363</v>
      </c>
      <c r="D4679" s="68" t="s">
        <v>365</v>
      </c>
      <c r="E4679" s="75">
        <f>60*F4679*'THAM_SO_MOI'!$C$53/(2*PI()*'THAM_SO_MOI'!$C$26)</f>
        <v>2395.0803157894734</v>
      </c>
      <c r="F4679" s="75">
        <f>'THAM_SO_MOI'!$C$14+('THAM_SO_MOI'!$C$37-'THAM_SO_MOI'!$C$14)*588/'THAM_SO_MOI'!$C$42</f>
        <v>24.309041666666666</v>
      </c>
      <c r="G4679" s="75">
        <f>3.6*F4679</f>
        <v>87.51255</v>
      </c>
      <c r="H4679" s="75">
        <f>'THAM_SO_MOI'!$D$53</f>
        <v>1.1</v>
      </c>
      <c r="I4679" s="75">
        <f>IF(F4679&gt;='THAM_SO_MOI'!$C$14,'THAM_SO_MOI'!$C$13*(1+F4679^2/1500),'THAM_SO_MOI'!$C$13)</f>
        <v>0.02090929506751736</v>
      </c>
      <c r="J4679" s="75">
        <f>'THAM_SO_MOI'!$C$40*('THAM_SO_MOI'!$C$23*(E4679/'THAM_SO_MOI'!$C$22)+'THAM_SO_MOI'!$C$24*(E4679/'THAM_SO_MOI'!$C$22)^2-'THAM_SO_MOI'!$C$25*(E4679/'THAM_SO_MOI'!$C$22)^3)</f>
        <v>107.22674276405584</v>
      </c>
      <c r="K4679" s="75">
        <f>'THAM_SO_MOI'!$C$31*J4679/E4679</f>
        <v>427.59867464968806</v>
      </c>
      <c r="L4679" s="75">
        <f>K4679*'THAM_SO_MOI'!$C$53*'THAM_SO_MOI'!$C$17/'THAM_SO_MOI'!$C$26</f>
        <v>3750.0420498579333</v>
      </c>
      <c r="M4679" s="75">
        <f>'THAM_SO_MOI'!$C$15*'THAM_SO_MOI'!$C$16*F4679^2</f>
        <v>1728.4688072488282</v>
      </c>
      <c r="N4679" s="75">
        <f>'THAM_SO_MOI'!$C$12*I4679</f>
        <v>1575.323017822812</v>
      </c>
      <c r="O4679" s="75">
        <f>M4679+N4679</f>
        <v>3303.7918250716402</v>
      </c>
      <c r="P4679" s="75">
        <f>(MIN(L4679,'THAM_SO_MOI'!$C$41)-O4679)/('THAM_SO_MOI'!$C$11*H4679)</f>
        <v>0.05282318001731689</v>
      </c>
      <c r="Q4679" s="75">
        <f>IF(P4679&gt;0,1/P4679,NA())</f>
        <v>18.931082900956977</v>
      </c>
      <c r="R4679" s="75">
        <f>F4679-F4678</f>
        <v>0.0035868055555567935</v>
      </c>
      <c r="S4679" s="75">
        <f>0.5*(Q4678+Q4679)*R4679</f>
        <v>0.06784817935667424</v>
      </c>
      <c r="T4679" s="75">
        <f>0.5*(F4678*Q4678+F4679*Q4679)*R4679</f>
        <v>1.6492026366008647</v>
      </c>
      <c r="U4679" s="76">
        <f>U4678+S4679</f>
        <v>90.39183654100812</v>
      </c>
      <c r="V4679" s="76">
        <f>V4678+T4679</f>
        <v>1599.4090664164562</v>
      </c>
    </row>
    <row r="4680" spans="1:22" ht="19" customHeight="1">
      <c r="A4680" s="68" t="s">
        <v>378</v>
      </c>
      <c r="B4680" s="74">
        <v>5</v>
      </c>
      <c r="C4680" s="68" t="s">
        <v>363</v>
      </c>
      <c r="D4680" s="68" t="s">
        <v>365</v>
      </c>
      <c r="E4680" s="75">
        <f>60*F4680*'THAM_SO_MOI'!$C$53/(2*PI()*'THAM_SO_MOI'!$C$26)</f>
        <v>2395.4337105263153</v>
      </c>
      <c r="F4680" s="75">
        <f>'THAM_SO_MOI'!$C$14+('THAM_SO_MOI'!$C$37-'THAM_SO_MOI'!$C$14)*589/'THAM_SO_MOI'!$C$42</f>
        <v>24.312628472222222</v>
      </c>
      <c r="G4680" s="75">
        <f>3.6*F4680</f>
        <v>87.5254625</v>
      </c>
      <c r="H4680" s="75">
        <f>'THAM_SO_MOI'!$D$53</f>
        <v>1.1</v>
      </c>
      <c r="I4680" s="75">
        <f>IF(F4680&gt;='THAM_SO_MOI'!$C$14,'THAM_SO_MOI'!$C$13*(1+F4680^2/1500),'THAM_SO_MOI'!$C$13)</f>
        <v>0.020911039032283106</v>
      </c>
      <c r="J4680" s="75">
        <f>'THAM_SO_MOI'!$C$40*('THAM_SO_MOI'!$C$23*(E4680/'THAM_SO_MOI'!$C$22)+'THAM_SO_MOI'!$C$24*(E4680/'THAM_SO_MOI'!$C$22)^2-'THAM_SO_MOI'!$C$25*(E4680/'THAM_SO_MOI'!$C$22)^3)</f>
        <v>107.24059853368543</v>
      </c>
      <c r="K4680" s="75">
        <f>'THAM_SO_MOI'!$C$31*J4680/E4680</f>
        <v>427.59083752933384</v>
      </c>
      <c r="L4680" s="75">
        <f>K4680*'THAM_SO_MOI'!$C$53*'THAM_SO_MOI'!$C$17/'THAM_SO_MOI'!$C$26</f>
        <v>3749.97331828176</v>
      </c>
      <c r="M4680" s="75">
        <f>'THAM_SO_MOI'!$C$15*'THAM_SO_MOI'!$C$16*F4680^2</f>
        <v>1728.9789169428088</v>
      </c>
      <c r="N4680" s="75">
        <f>'THAM_SO_MOI'!$C$12*I4680</f>
        <v>1575.454409523435</v>
      </c>
      <c r="O4680" s="75">
        <f>M4680+N4680</f>
        <v>3304.4333264662437</v>
      </c>
      <c r="P4680" s="75">
        <f>(MIN(L4680,'THAM_SO_MOI'!$C$41)-O4680)/('THAM_SO_MOI'!$C$11*H4680)</f>
        <v>0.05273910887967756</v>
      </c>
      <c r="Q4680" s="75">
        <f>IF(P4680&gt;0,1/P4680,NA())</f>
        <v>18.96126084119975</v>
      </c>
      <c r="R4680" s="75">
        <f>F4680-F4679</f>
        <v>0.0035868055555567935</v>
      </c>
      <c r="S4680" s="75">
        <f>0.5*(Q4679+Q4680)*R4680</f>
        <v>0.06795623452371773</v>
      </c>
      <c r="T4680" s="75">
        <f>0.5*(F4679*Q4679+F4680*Q4680)*R4680</f>
        <v>1.6520729065077018</v>
      </c>
      <c r="U4680" s="76">
        <f>U4679+S4680</f>
        <v>90.45979277553184</v>
      </c>
      <c r="V4680" s="76">
        <f>V4679+T4680</f>
        <v>1601.061139322964</v>
      </c>
    </row>
    <row r="4681" spans="1:22" ht="19" customHeight="1">
      <c r="A4681" s="68" t="s">
        <v>378</v>
      </c>
      <c r="B4681" s="74">
        <v>5</v>
      </c>
      <c r="C4681" s="68" t="s">
        <v>363</v>
      </c>
      <c r="D4681" s="68" t="s">
        <v>365</v>
      </c>
      <c r="E4681" s="75">
        <f>60*F4681*'THAM_SO_MOI'!$C$53/(2*PI()*'THAM_SO_MOI'!$C$26)</f>
        <v>2395.787105263157</v>
      </c>
      <c r="F4681" s="75">
        <f>'THAM_SO_MOI'!$C$14+('THAM_SO_MOI'!$C$37-'THAM_SO_MOI'!$C$14)*590/'THAM_SO_MOI'!$C$42</f>
        <v>24.316215277777776</v>
      </c>
      <c r="G4681" s="75">
        <f>3.6*F4681</f>
        <v>87.53837499999999</v>
      </c>
      <c r="H4681" s="75">
        <f>'THAM_SO_MOI'!$D$53</f>
        <v>1.1</v>
      </c>
      <c r="I4681" s="75">
        <f>IF(F4681&gt;='THAM_SO_MOI'!$C$14,'THAM_SO_MOI'!$C$13*(1+F4681^2/1500),'THAM_SO_MOI'!$C$13)</f>
        <v>0.02091278325435233</v>
      </c>
      <c r="J4681" s="75">
        <f>'THAM_SO_MOI'!$C$40*('THAM_SO_MOI'!$C$23*(E4681/'THAM_SO_MOI'!$C$22)+'THAM_SO_MOI'!$C$24*(E4681/'THAM_SO_MOI'!$C$22)^2-'THAM_SO_MOI'!$C$25*(E4681/'THAM_SO_MOI'!$C$22)^3)</f>
        <v>107.25445068420102</v>
      </c>
      <c r="K4681" s="75">
        <f>'THAM_SO_MOI'!$C$31*J4681/E4681</f>
        <v>427.58298829299497</v>
      </c>
      <c r="L4681" s="75">
        <f>K4681*'THAM_SO_MOI'!$C$53*'THAM_SO_MOI'!$C$17/'THAM_SO_MOI'!$C$26</f>
        <v>3749.9044804483547</v>
      </c>
      <c r="M4681" s="75">
        <f>'THAM_SO_MOI'!$C$15*'THAM_SO_MOI'!$C$16*F4681^2</f>
        <v>1729.4891018980575</v>
      </c>
      <c r="N4681" s="75">
        <f>'THAM_SO_MOI'!$C$12*I4681</f>
        <v>1575.5858206095081</v>
      </c>
      <c r="O4681" s="75">
        <f>M4681+N4681</f>
        <v>3305.0749225075656</v>
      </c>
      <c r="P4681" s="75">
        <f>(MIN(L4681,'THAM_SO_MOI'!$C$41)-O4681)/('THAM_SO_MOI'!$C$11*H4681)</f>
        <v>0.05265501396079416</v>
      </c>
      <c r="Q4681" s="75">
        <f>IF(P4681&gt;0,1/P4681,NA())</f>
        <v>18.991543725438557</v>
      </c>
      <c r="R4681" s="75">
        <f>F4681-F4680</f>
        <v>0.0035868055555532408</v>
      </c>
      <c r="S4681" s="75">
        <f>0.5*(Q4680+Q4681)*R4681</f>
        <v>0.06806466513422234</v>
      </c>
      <c r="T4681" s="75">
        <f>0.5*(F4680*Q4680+F4681*Q4681)*R4681</f>
        <v>1.6549530802527297</v>
      </c>
      <c r="U4681" s="76">
        <f>U4680+S4681</f>
        <v>90.52785744066605</v>
      </c>
      <c r="V4681" s="76">
        <f>V4680+T4681</f>
        <v>1602.7160924032166</v>
      </c>
    </row>
    <row r="4682" spans="1:22" ht="19" customHeight="1">
      <c r="A4682" s="68" t="s">
        <v>378</v>
      </c>
      <c r="B4682" s="74">
        <v>5</v>
      </c>
      <c r="C4682" s="68" t="s">
        <v>363</v>
      </c>
      <c r="D4682" s="68" t="s">
        <v>365</v>
      </c>
      <c r="E4682" s="75">
        <f>60*F4682*'THAM_SO_MOI'!$C$53/(2*PI()*'THAM_SO_MOI'!$C$26)</f>
        <v>2396.1404999999995</v>
      </c>
      <c r="F4682" s="75">
        <f>'THAM_SO_MOI'!$C$14+('THAM_SO_MOI'!$C$37-'THAM_SO_MOI'!$C$14)*591/'THAM_SO_MOI'!$C$42</f>
        <v>24.319802083333332</v>
      </c>
      <c r="G4682" s="75">
        <f>3.6*F4682</f>
        <v>87.5512875</v>
      </c>
      <c r="H4682" s="75">
        <f>'THAM_SO_MOI'!$D$53</f>
        <v>1.1</v>
      </c>
      <c r="I4682" s="75">
        <f>IF(F4682&gt;='THAM_SO_MOI'!$C$14,'THAM_SO_MOI'!$C$13*(1+F4682^2/1500),'THAM_SO_MOI'!$C$13)</f>
        <v>0.020914527733725045</v>
      </c>
      <c r="J4682" s="75">
        <f>'THAM_SO_MOI'!$C$40*('THAM_SO_MOI'!$C$23*(E4682/'THAM_SO_MOI'!$C$22)+'THAM_SO_MOI'!$C$24*(E4682/'THAM_SO_MOI'!$C$22)^2-'THAM_SO_MOI'!$C$25*(E4682/'THAM_SO_MOI'!$C$22)^3)</f>
        <v>107.26829921425774</v>
      </c>
      <c r="K4682" s="75">
        <f>'THAM_SO_MOI'!$C$31*J4682/E4682</f>
        <v>427.5751269406715</v>
      </c>
      <c r="L4682" s="75">
        <f>K4682*'THAM_SO_MOI'!$C$53*'THAM_SO_MOI'!$C$17/'THAM_SO_MOI'!$C$26</f>
        <v>3749.835536357717</v>
      </c>
      <c r="M4682" s="75">
        <f>'THAM_SO_MOI'!$C$15*'THAM_SO_MOI'!$C$16*F4682^2</f>
        <v>1729.999362114575</v>
      </c>
      <c r="N4682" s="75">
        <f>'THAM_SO_MOI'!$C$12*I4682</f>
        <v>1575.717251081032</v>
      </c>
      <c r="O4682" s="75">
        <f>M4682+N4682</f>
        <v>3305.716613195607</v>
      </c>
      <c r="P4682" s="75">
        <f>(MIN(L4682,'THAM_SO_MOI'!$C$41)-O4682)/('THAM_SO_MOI'!$C$11*H4682)</f>
        <v>0.052570895260666446</v>
      </c>
      <c r="Q4682" s="75">
        <f>IF(P4682&gt;0,1/P4682,NA())</f>
        <v>19.021932098390575</v>
      </c>
      <c r="R4682" s="75">
        <f>F4682-F4681</f>
        <v>0.0035868055555567935</v>
      </c>
      <c r="S4682" s="75">
        <f>0.5*(Q4681+Q4682)*R4682</f>
        <v>0.0681734731354671</v>
      </c>
      <c r="T4682" s="75">
        <f>0.5*(F4681*Q4681+F4682*Q4682)*R4682</f>
        <v>1.6578432092298367</v>
      </c>
      <c r="U4682" s="76">
        <f>U4681+S4682</f>
        <v>90.59603091380153</v>
      </c>
      <c r="V4682" s="76">
        <f>V4681+T4682</f>
        <v>1604.3739356124465</v>
      </c>
    </row>
    <row r="4683" spans="1:22" ht="19" customHeight="1">
      <c r="A4683" s="68" t="s">
        <v>378</v>
      </c>
      <c r="B4683" s="74">
        <v>5</v>
      </c>
      <c r="C4683" s="68" t="s">
        <v>363</v>
      </c>
      <c r="D4683" s="68" t="s">
        <v>365</v>
      </c>
      <c r="E4683" s="75">
        <f>60*F4683*'THAM_SO_MOI'!$C$53/(2*PI()*'THAM_SO_MOI'!$C$26)</f>
        <v>2396.4938947368414</v>
      </c>
      <c r="F4683" s="75">
        <f>'THAM_SO_MOI'!$C$14+('THAM_SO_MOI'!$C$37-'THAM_SO_MOI'!$C$14)*592/'THAM_SO_MOI'!$C$42</f>
        <v>24.323388888888886</v>
      </c>
      <c r="G4683" s="75">
        <f>3.6*F4683</f>
        <v>87.56419999999999</v>
      </c>
      <c r="H4683" s="75">
        <f>'THAM_SO_MOI'!$D$53</f>
        <v>1.1</v>
      </c>
      <c r="I4683" s="75">
        <f>IF(F4683&gt;='THAM_SO_MOI'!$C$14,'THAM_SO_MOI'!$C$13*(1+F4683^2/1500),'THAM_SO_MOI'!$C$13)</f>
        <v>0.02091627247040123</v>
      </c>
      <c r="J4683" s="75">
        <f>'THAM_SO_MOI'!$C$40*('THAM_SO_MOI'!$C$23*(E4683/'THAM_SO_MOI'!$C$22)+'THAM_SO_MOI'!$C$24*(E4683/'THAM_SO_MOI'!$C$22)^2-'THAM_SO_MOI'!$C$25*(E4683/'THAM_SO_MOI'!$C$22)^3)</f>
        <v>107.28214412251079</v>
      </c>
      <c r="K4683" s="75">
        <f>'THAM_SO_MOI'!$C$31*J4683/E4683</f>
        <v>427.5672534723639</v>
      </c>
      <c r="L4683" s="75">
        <f>K4683*'THAM_SO_MOI'!$C$53*'THAM_SO_MOI'!$C$17/'THAM_SO_MOI'!$C$26</f>
        <v>3749.7664860098503</v>
      </c>
      <c r="M4683" s="75">
        <f>'THAM_SO_MOI'!$C$15*'THAM_SO_MOI'!$C$16*F4683^2</f>
        <v>1730.5096975923607</v>
      </c>
      <c r="N4683" s="75">
        <f>'THAM_SO_MOI'!$C$12*I4683</f>
        <v>1575.848700938005</v>
      </c>
      <c r="O4683" s="75">
        <f>M4683+N4683</f>
        <v>3306.358398530366</v>
      </c>
      <c r="P4683" s="75">
        <f>(MIN(L4683,'THAM_SO_MOI'!$C$41)-O4683)/('THAM_SO_MOI'!$C$11*H4683)</f>
        <v>0.05248675277929504</v>
      </c>
      <c r="Q4683" s="75">
        <f>IF(P4683&gt;0,1/P4683,NA())</f>
        <v>19.05242650855093</v>
      </c>
      <c r="R4683" s="75">
        <f>F4683-F4682</f>
        <v>0.0035868055555532408</v>
      </c>
      <c r="S4683" s="75">
        <f>0.5*(Q4682+Q4683)*R4683</f>
        <v>0.06828266048775207</v>
      </c>
      <c r="T4683" s="75">
        <f>0.5*(F4682*Q4682+F4683*Q4683)*R4683</f>
        <v>1.660743345177542</v>
      </c>
      <c r="U4683" s="76">
        <f>U4682+S4683</f>
        <v>90.66431357428928</v>
      </c>
      <c r="V4683" s="76">
        <f>V4682+T4683</f>
        <v>1606.034678957624</v>
      </c>
    </row>
    <row r="4684" spans="1:22" ht="19" customHeight="1">
      <c r="A4684" s="68" t="s">
        <v>378</v>
      </c>
      <c r="B4684" s="74">
        <v>5</v>
      </c>
      <c r="C4684" s="68" t="s">
        <v>363</v>
      </c>
      <c r="D4684" s="68" t="s">
        <v>365</v>
      </c>
      <c r="E4684" s="75">
        <f>60*F4684*'THAM_SO_MOI'!$C$53/(2*PI()*'THAM_SO_MOI'!$C$26)</f>
        <v>2396.8472894736833</v>
      </c>
      <c r="F4684" s="75">
        <f>'THAM_SO_MOI'!$C$14+('THAM_SO_MOI'!$C$37-'THAM_SO_MOI'!$C$14)*593/'THAM_SO_MOI'!$C$42</f>
        <v>24.326975694444442</v>
      </c>
      <c r="G4684" s="75">
        <f>3.6*F4684</f>
        <v>87.5771125</v>
      </c>
      <c r="H4684" s="75">
        <f>'THAM_SO_MOI'!$D$53</f>
        <v>1.1</v>
      </c>
      <c r="I4684" s="75">
        <f>IF(F4684&gt;='THAM_SO_MOI'!$C$14,'THAM_SO_MOI'!$C$13*(1+F4684^2/1500),'THAM_SO_MOI'!$C$13)</f>
        <v>0.020918017464380906</v>
      </c>
      <c r="J4684" s="75">
        <f>'THAM_SO_MOI'!$C$40*('THAM_SO_MOI'!$C$23*(E4684/'THAM_SO_MOI'!$C$22)+'THAM_SO_MOI'!$C$24*(E4684/'THAM_SO_MOI'!$C$22)^2-'THAM_SO_MOI'!$C$25*(E4684/'THAM_SO_MOI'!$C$22)^3)</f>
        <v>107.29598540761518</v>
      </c>
      <c r="K4684" s="75">
        <f>'THAM_SO_MOI'!$C$31*J4684/E4684</f>
        <v>427.55936788807185</v>
      </c>
      <c r="L4684" s="75">
        <f>K4684*'THAM_SO_MOI'!$C$53*'THAM_SO_MOI'!$C$17/'THAM_SO_MOI'!$C$26</f>
        <v>3749.6973294047525</v>
      </c>
      <c r="M4684" s="75">
        <f>'THAM_SO_MOI'!$C$15*'THAM_SO_MOI'!$C$16*F4684^2</f>
        <v>1731.0201083314155</v>
      </c>
      <c r="N4684" s="75">
        <f>'THAM_SO_MOI'!$C$12*I4684</f>
        <v>1575.980170180429</v>
      </c>
      <c r="O4684" s="75">
        <f>M4684+N4684</f>
        <v>3307.0002785118445</v>
      </c>
      <c r="P4684" s="75">
        <f>(MIN(L4684,'THAM_SO_MOI'!$C$41)-O4684)/('THAM_SO_MOI'!$C$11*H4684)</f>
        <v>0.05240258651667945</v>
      </c>
      <c r="Q4684" s="75">
        <f>IF(P4684&gt;0,1/P4684,NA())</f>
        <v>19.08302750822625</v>
      </c>
      <c r="R4684" s="75">
        <f>F4684-F4683</f>
        <v>0.0035868055555567935</v>
      </c>
      <c r="S4684" s="75">
        <f>0.5*(Q4683+Q4684)*R4684</f>
        <v>0.06839222916552852</v>
      </c>
      <c r="T4684" s="75">
        <f>0.5*(F4683*Q4683+F4684*Q4684)*R4684</f>
        <v>1.6636535402067196</v>
      </c>
      <c r="U4684" s="76">
        <f>U4683+S4684</f>
        <v>90.7327058034548</v>
      </c>
      <c r="V4684" s="76">
        <f>V4683+T4684</f>
        <v>1607.6983324978307</v>
      </c>
    </row>
    <row r="4685" spans="1:22" ht="19" customHeight="1">
      <c r="A4685" s="68" t="s">
        <v>378</v>
      </c>
      <c r="B4685" s="74">
        <v>5</v>
      </c>
      <c r="C4685" s="68" t="s">
        <v>363</v>
      </c>
      <c r="D4685" s="68" t="s">
        <v>365</v>
      </c>
      <c r="E4685" s="75">
        <f>60*F4685*'THAM_SO_MOI'!$C$53/(2*PI()*'THAM_SO_MOI'!$C$26)</f>
        <v>2397.2006842105257</v>
      </c>
      <c r="F4685" s="75">
        <f>'THAM_SO_MOI'!$C$14+('THAM_SO_MOI'!$C$37-'THAM_SO_MOI'!$C$14)*594/'THAM_SO_MOI'!$C$42</f>
        <v>24.3305625</v>
      </c>
      <c r="G4685" s="75">
        <f>3.6*F4685</f>
        <v>87.590025</v>
      </c>
      <c r="H4685" s="75">
        <f>'THAM_SO_MOI'!$D$53</f>
        <v>1.1</v>
      </c>
      <c r="I4685" s="75">
        <f>IF(F4685&gt;='THAM_SO_MOI'!$C$14,'THAM_SO_MOI'!$C$13*(1+F4685^2/1500),'THAM_SO_MOI'!$C$13)</f>
        <v>0.02091976271566406</v>
      </c>
      <c r="J4685" s="75">
        <f>'THAM_SO_MOI'!$C$40*('THAM_SO_MOI'!$C$23*(E4685/'THAM_SO_MOI'!$C$22)+'THAM_SO_MOI'!$C$24*(E4685/'THAM_SO_MOI'!$C$22)^2-'THAM_SO_MOI'!$C$25*(E4685/'THAM_SO_MOI'!$C$22)^3)</f>
        <v>107.30982306822602</v>
      </c>
      <c r="K4685" s="75">
        <f>'THAM_SO_MOI'!$C$31*J4685/E4685</f>
        <v>427.55147018779513</v>
      </c>
      <c r="L4685" s="75">
        <f>K4685*'THAM_SO_MOI'!$C$53*'THAM_SO_MOI'!$C$17/'THAM_SO_MOI'!$C$26</f>
        <v>3749.6280665424224</v>
      </c>
      <c r="M4685" s="75">
        <f>'THAM_SO_MOI'!$C$15*'THAM_SO_MOI'!$C$16*F4685^2</f>
        <v>1731.5305943317383</v>
      </c>
      <c r="N4685" s="75">
        <f>'THAM_SO_MOI'!$C$12*I4685</f>
        <v>1576.111658808303</v>
      </c>
      <c r="O4685" s="75">
        <f>M4685+N4685</f>
        <v>3307.6422531400412</v>
      </c>
      <c r="P4685" s="75">
        <f>(MIN(L4685,'THAM_SO_MOI'!$C$41)-O4685)/('THAM_SO_MOI'!$C$11*H4685)</f>
        <v>0.05231839647281974</v>
      </c>
      <c r="Q4685" s="75">
        <f>IF(P4685&gt;0,1/P4685,NA())</f>
        <v>19.11373565356722</v>
      </c>
      <c r="R4685" s="75">
        <f>F4685-F4684</f>
        <v>0.0035868055555567935</v>
      </c>
      <c r="S4685" s="75">
        <f>0.5*(Q4684+Q4685)*R4685</f>
        <v>0.06850218115650394</v>
      </c>
      <c r="T4685" s="75">
        <f>0.5*(F4684*Q4684+F4685*Q4685)*R4685</f>
        <v>1.6665738467790805</v>
      </c>
      <c r="U4685" s="76">
        <f>U4684+S4685</f>
        <v>90.80120798461131</v>
      </c>
      <c r="V4685" s="76">
        <f>V4684+T4685</f>
        <v>1609.3649063446098</v>
      </c>
    </row>
    <row r="4686" spans="1:22" ht="19" customHeight="1">
      <c r="A4686" s="68" t="s">
        <v>378</v>
      </c>
      <c r="B4686" s="74">
        <v>5</v>
      </c>
      <c r="C4686" s="68" t="s">
        <v>363</v>
      </c>
      <c r="D4686" s="68" t="s">
        <v>365</v>
      </c>
      <c r="E4686" s="75">
        <f>60*F4686*'THAM_SO_MOI'!$C$53/(2*PI()*'THAM_SO_MOI'!$C$26)</f>
        <v>2397.554078947368</v>
      </c>
      <c r="F4686" s="75">
        <f>'THAM_SO_MOI'!$C$14+('THAM_SO_MOI'!$C$37-'THAM_SO_MOI'!$C$14)*595/'THAM_SO_MOI'!$C$42</f>
        <v>24.334149305555556</v>
      </c>
      <c r="G4686" s="75">
        <f>3.6*F4686</f>
        <v>87.60293750000001</v>
      </c>
      <c r="H4686" s="75">
        <f>'THAM_SO_MOI'!$D$53</f>
        <v>1.1</v>
      </c>
      <c r="I4686" s="75">
        <f>IF(F4686&gt;='THAM_SO_MOI'!$C$14,'THAM_SO_MOI'!$C$13*(1+F4686^2/1500),'THAM_SO_MOI'!$C$13)</f>
        <v>0.020921508224250696</v>
      </c>
      <c r="J4686" s="75">
        <f>'THAM_SO_MOI'!$C$40*('THAM_SO_MOI'!$C$23*(E4686/'THAM_SO_MOI'!$C$22)+'THAM_SO_MOI'!$C$24*(E4686/'THAM_SO_MOI'!$C$22)^2-'THAM_SO_MOI'!$C$25*(E4686/'THAM_SO_MOI'!$C$22)^3)</f>
        <v>107.32365710299845</v>
      </c>
      <c r="K4686" s="75">
        <f>'THAM_SO_MOI'!$C$31*J4686/E4686</f>
        <v>427.5435603715339</v>
      </c>
      <c r="L4686" s="75">
        <f>K4686*'THAM_SO_MOI'!$C$53*'THAM_SO_MOI'!$C$17/'THAM_SO_MOI'!$C$26</f>
        <v>3749.5586974228604</v>
      </c>
      <c r="M4686" s="75">
        <f>'THAM_SO_MOI'!$C$15*'THAM_SO_MOI'!$C$16*F4686^2</f>
        <v>1732.04115559333</v>
      </c>
      <c r="N4686" s="75">
        <f>'THAM_SO_MOI'!$C$12*I4686</f>
        <v>1576.243166821627</v>
      </c>
      <c r="O4686" s="75">
        <f>M4686+N4686</f>
        <v>3308.284322414957</v>
      </c>
      <c r="P4686" s="75">
        <f>(MIN(L4686,'THAM_SO_MOI'!$C$41)-O4686)/('THAM_SO_MOI'!$C$11*H4686)</f>
        <v>0.05223418264771584</v>
      </c>
      <c r="Q4686" s="75">
        <f>IF(P4686&gt;0,1/P4686,NA())</f>
        <v>19.144551504602305</v>
      </c>
      <c r="R4686" s="75">
        <f>F4686-F4685</f>
        <v>0.0035868055555567935</v>
      </c>
      <c r="S4686" s="75">
        <f>0.5*(Q4685+Q4686)*R4686</f>
        <v>0.06861251846250478</v>
      </c>
      <c r="T4686" s="75">
        <f>0.5*(F4685*Q4685+F4686*Q4686)*R4686</f>
        <v>1.6695043177283997</v>
      </c>
      <c r="U4686" s="76">
        <f>U4685+S4686</f>
        <v>90.86982050307381</v>
      </c>
      <c r="V4686" s="76">
        <f>V4685+T4686</f>
        <v>1611.0344106623381</v>
      </c>
    </row>
    <row r="4687" spans="1:22" ht="19" customHeight="1">
      <c r="A4687" s="68" t="s">
        <v>378</v>
      </c>
      <c r="B4687" s="74">
        <v>5</v>
      </c>
      <c r="C4687" s="68" t="s">
        <v>363</v>
      </c>
      <c r="D4687" s="68" t="s">
        <v>365</v>
      </c>
      <c r="E4687" s="75">
        <f>60*F4687*'THAM_SO_MOI'!$C$53/(2*PI()*'THAM_SO_MOI'!$C$26)</f>
        <v>2397.90747368421</v>
      </c>
      <c r="F4687" s="75">
        <f>'THAM_SO_MOI'!$C$14+('THAM_SO_MOI'!$C$37-'THAM_SO_MOI'!$C$14)*596/'THAM_SO_MOI'!$C$42</f>
        <v>24.33773611111111</v>
      </c>
      <c r="G4687" s="75">
        <f>3.6*F4687</f>
        <v>87.61585</v>
      </c>
      <c r="H4687" s="75">
        <f>'THAM_SO_MOI'!$D$53</f>
        <v>1.1</v>
      </c>
      <c r="I4687" s="75">
        <f>IF(F4687&gt;='THAM_SO_MOI'!$C$14,'THAM_SO_MOI'!$C$13*(1+F4687^2/1500),'THAM_SO_MOI'!$C$13)</f>
        <v>0.020923253990140816</v>
      </c>
      <c r="J4687" s="75">
        <f>'THAM_SO_MOI'!$C$40*('THAM_SO_MOI'!$C$23*(E4687/'THAM_SO_MOI'!$C$22)+'THAM_SO_MOI'!$C$24*(E4687/'THAM_SO_MOI'!$C$22)^2-'THAM_SO_MOI'!$C$25*(E4687/'THAM_SO_MOI'!$C$22)^3)</f>
        <v>107.33748751058761</v>
      </c>
      <c r="K4687" s="75">
        <f>'THAM_SO_MOI'!$C$31*J4687/E4687</f>
        <v>427.53563843928845</v>
      </c>
      <c r="L4687" s="75">
        <f>K4687*'THAM_SO_MOI'!$C$53*'THAM_SO_MOI'!$C$17/'THAM_SO_MOI'!$C$26</f>
        <v>3749.4892220460697</v>
      </c>
      <c r="M4687" s="75">
        <f>'THAM_SO_MOI'!$C$15*'THAM_SO_MOI'!$C$16*F4687^2</f>
        <v>1732.551792116189</v>
      </c>
      <c r="N4687" s="75">
        <f>'THAM_SO_MOI'!$C$12*I4687</f>
        <v>1576.3746942204014</v>
      </c>
      <c r="O4687" s="75">
        <f>M4687+N4687</f>
        <v>3308.9264863365906</v>
      </c>
      <c r="P4687" s="75">
        <f>(MIN(L4687,'THAM_SO_MOI'!$C$41)-O4687)/('THAM_SO_MOI'!$C$11*H4687)</f>
        <v>0.05214994504136829</v>
      </c>
      <c r="Q4687" s="75">
        <f>IF(P4687&gt;0,1/P4687,NA())</f>
        <v>19.175475625271385</v>
      </c>
      <c r="R4687" s="75">
        <f>F4687-F4686</f>
        <v>0.0035868055555532408</v>
      </c>
      <c r="S4687" s="75">
        <f>0.5*(Q4686+Q4687)*R4687</f>
        <v>0.06872324309919094</v>
      </c>
      <c r="T4687" s="75">
        <f>0.5*(F4686*Q4686+F4687*Q4687)*R4687</f>
        <v>1.6724450062538236</v>
      </c>
      <c r="U4687" s="76">
        <f>U4686+S4687</f>
        <v>90.938543746173</v>
      </c>
      <c r="V4687" s="76">
        <f>V4686+T4687</f>
        <v>1612.706855668592</v>
      </c>
    </row>
    <row r="4688" spans="1:22" ht="19" customHeight="1">
      <c r="A4688" s="68" t="s">
        <v>378</v>
      </c>
      <c r="B4688" s="74">
        <v>5</v>
      </c>
      <c r="C4688" s="68" t="s">
        <v>363</v>
      </c>
      <c r="D4688" s="68" t="s">
        <v>365</v>
      </c>
      <c r="E4688" s="75">
        <f>60*F4688*'THAM_SO_MOI'!$C$53/(2*PI()*'THAM_SO_MOI'!$C$26)</f>
        <v>2398.260868421052</v>
      </c>
      <c r="F4688" s="75">
        <f>'THAM_SO_MOI'!$C$14+('THAM_SO_MOI'!$C$37-'THAM_SO_MOI'!$C$14)*597/'THAM_SO_MOI'!$C$42</f>
        <v>24.341322916666666</v>
      </c>
      <c r="G4688" s="75">
        <f>3.6*F4688</f>
        <v>87.6287625</v>
      </c>
      <c r="H4688" s="75">
        <f>'THAM_SO_MOI'!$D$53</f>
        <v>1.1</v>
      </c>
      <c r="I4688" s="75">
        <f>IF(F4688&gt;='THAM_SO_MOI'!$C$14,'THAM_SO_MOI'!$C$13*(1+F4688^2/1500),'THAM_SO_MOI'!$C$13)</f>
        <v>0.020925000013334416</v>
      </c>
      <c r="J4688" s="75">
        <f>'THAM_SO_MOI'!$C$40*('THAM_SO_MOI'!$C$23*(E4688/'THAM_SO_MOI'!$C$22)+'THAM_SO_MOI'!$C$24*(E4688/'THAM_SO_MOI'!$C$22)^2-'THAM_SO_MOI'!$C$25*(E4688/'THAM_SO_MOI'!$C$22)^3)</f>
        <v>107.35131428964854</v>
      </c>
      <c r="K4688" s="75">
        <f>'THAM_SO_MOI'!$C$31*J4688/E4688</f>
        <v>427.5277043910584</v>
      </c>
      <c r="L4688" s="75">
        <f>K4688*'THAM_SO_MOI'!$C$53*'THAM_SO_MOI'!$C$17/'THAM_SO_MOI'!$C$26</f>
        <v>3749.4196404120466</v>
      </c>
      <c r="M4688" s="75">
        <f>'THAM_SO_MOI'!$C$15*'THAM_SO_MOI'!$C$16*F4688^2</f>
        <v>1733.0625039003176</v>
      </c>
      <c r="N4688" s="75">
        <f>'THAM_SO_MOI'!$C$12*I4688</f>
        <v>1576.5062410046257</v>
      </c>
      <c r="O4688" s="75">
        <f>M4688+N4688</f>
        <v>3309.5687449049433</v>
      </c>
      <c r="P4688" s="75">
        <f>(MIN(L4688,'THAM_SO_MOI'!$C$41)-O4688)/('THAM_SO_MOI'!$C$11*H4688)</f>
        <v>0.05206568365377644</v>
      </c>
      <c r="Q4688" s="75">
        <f>IF(P4688&gt;0,1/P4688,NA())</f>
        <v>19.20650858346057</v>
      </c>
      <c r="R4688" s="75">
        <f>F4688-F4687</f>
        <v>0.0035868055555567935</v>
      </c>
      <c r="S4688" s="75">
        <f>0.5*(Q4687+Q4688)*R4688</f>
        <v>0.06883435709658645</v>
      </c>
      <c r="T4688" s="75">
        <f>0.5*(F4687*Q4687+F4688*Q4688)*R4688</f>
        <v>1.6753959659330353</v>
      </c>
      <c r="U4688" s="76">
        <f>U4687+S4688</f>
        <v>91.00737810326959</v>
      </c>
      <c r="V4688" s="76">
        <f>V4687+T4688</f>
        <v>1614.3822516345251</v>
      </c>
    </row>
    <row r="4689" spans="1:22" ht="19" customHeight="1">
      <c r="A4689" s="68" t="s">
        <v>378</v>
      </c>
      <c r="B4689" s="74">
        <v>5</v>
      </c>
      <c r="C4689" s="68" t="s">
        <v>363</v>
      </c>
      <c r="D4689" s="68" t="s">
        <v>365</v>
      </c>
      <c r="E4689" s="75">
        <f>60*F4689*'THAM_SO_MOI'!$C$53/(2*PI()*'THAM_SO_MOI'!$C$26)</f>
        <v>2398.614263157894</v>
      </c>
      <c r="F4689" s="75">
        <f>'THAM_SO_MOI'!$C$14+('THAM_SO_MOI'!$C$37-'THAM_SO_MOI'!$C$14)*598/'THAM_SO_MOI'!$C$42</f>
        <v>24.34490972222222</v>
      </c>
      <c r="G4689" s="75">
        <f>3.6*F4689</f>
        <v>87.64167499999999</v>
      </c>
      <c r="H4689" s="75">
        <f>'THAM_SO_MOI'!$D$53</f>
        <v>1.1</v>
      </c>
      <c r="I4689" s="75">
        <f>IF(F4689&gt;='THAM_SO_MOI'!$C$14,'THAM_SO_MOI'!$C$13*(1+F4689^2/1500),'THAM_SO_MOI'!$C$13)</f>
        <v>0.0209267462938315</v>
      </c>
      <c r="J4689" s="75">
        <f>'THAM_SO_MOI'!$C$40*('THAM_SO_MOI'!$C$23*(E4689/'THAM_SO_MOI'!$C$22)+'THAM_SO_MOI'!$C$24*(E4689/'THAM_SO_MOI'!$C$22)^2-'THAM_SO_MOI'!$C$25*(E4689/'THAM_SO_MOI'!$C$22)^3)</f>
        <v>107.36513743883643</v>
      </c>
      <c r="K4689" s="75">
        <f>'THAM_SO_MOI'!$C$31*J4689/E4689</f>
        <v>427.519758226844</v>
      </c>
      <c r="L4689" s="75">
        <f>K4689*'THAM_SO_MOI'!$C$53*'THAM_SO_MOI'!$C$17/'THAM_SO_MOI'!$C$26</f>
        <v>3749.3499525207935</v>
      </c>
      <c r="M4689" s="75">
        <f>'THAM_SO_MOI'!$C$15*'THAM_SO_MOI'!$C$16*F4689^2</f>
        <v>1733.5732909457136</v>
      </c>
      <c r="N4689" s="75">
        <f>'THAM_SO_MOI'!$C$12*I4689</f>
        <v>1576.6378071743004</v>
      </c>
      <c r="O4689" s="75">
        <f>M4689+N4689</f>
        <v>3310.211098120014</v>
      </c>
      <c r="P4689" s="75">
        <f>(MIN(L4689,'THAM_SO_MOI'!$C$41)-O4689)/('THAM_SO_MOI'!$C$11*H4689)</f>
        <v>0.051981398484940766</v>
      </c>
      <c r="Q4689" s="75">
        <f>IF(P4689&gt;0,1/P4689,NA())</f>
        <v>19.23765095103596</v>
      </c>
      <c r="R4689" s="75">
        <f>F4689-F4688</f>
        <v>0.0035868055555532408</v>
      </c>
      <c r="S4689" s="75">
        <f>0.5*(Q4688+Q4689)*R4689</f>
        <v>0.06894586249845364</v>
      </c>
      <c r="T4689" s="75">
        <f>0.5*(F4688*Q4688+F4689*Q4689)*R4689</f>
        <v>1.6783572507072742</v>
      </c>
      <c r="U4689" s="76">
        <f>U4688+S4689</f>
        <v>91.07632396576804</v>
      </c>
      <c r="V4689" s="76">
        <f>V4688+T4689</f>
        <v>1616.0606088852323</v>
      </c>
    </row>
    <row r="4690" spans="1:22" ht="19" customHeight="1">
      <c r="A4690" s="68" t="s">
        <v>378</v>
      </c>
      <c r="B4690" s="74">
        <v>5</v>
      </c>
      <c r="C4690" s="68" t="s">
        <v>363</v>
      </c>
      <c r="D4690" s="68" t="s">
        <v>365</v>
      </c>
      <c r="E4690" s="75">
        <f>60*F4690*'THAM_SO_MOI'!$C$53/(2*PI()*'THAM_SO_MOI'!$C$26)</f>
        <v>2398.967657894736</v>
      </c>
      <c r="F4690" s="75">
        <f>'THAM_SO_MOI'!$C$14+('THAM_SO_MOI'!$C$37-'THAM_SO_MOI'!$C$14)*599/'THAM_SO_MOI'!$C$42</f>
        <v>24.348496527777776</v>
      </c>
      <c r="G4690" s="75">
        <f>3.6*F4690</f>
        <v>87.65458749999999</v>
      </c>
      <c r="H4690" s="75">
        <f>'THAM_SO_MOI'!$D$53</f>
        <v>1.1</v>
      </c>
      <c r="I4690" s="75">
        <f>IF(F4690&gt;='THAM_SO_MOI'!$C$14,'THAM_SO_MOI'!$C$13*(1+F4690^2/1500),'THAM_SO_MOI'!$C$13)</f>
        <v>0.020928492831632062</v>
      </c>
      <c r="J4690" s="75">
        <f>'THAM_SO_MOI'!$C$40*('THAM_SO_MOI'!$C$23*(E4690/'THAM_SO_MOI'!$C$22)+'THAM_SO_MOI'!$C$24*(E4690/'THAM_SO_MOI'!$C$22)^2-'THAM_SO_MOI'!$C$25*(E4690/'THAM_SO_MOI'!$C$22)^3)</f>
        <v>107.37895695680632</v>
      </c>
      <c r="K4690" s="75">
        <f>'THAM_SO_MOI'!$C$31*J4690/E4690</f>
        <v>427.5117999466451</v>
      </c>
      <c r="L4690" s="75">
        <f>K4690*'THAM_SO_MOI'!$C$53*'THAM_SO_MOI'!$C$17/'THAM_SO_MOI'!$C$26</f>
        <v>3749.280158372309</v>
      </c>
      <c r="M4690" s="75">
        <f>'THAM_SO_MOI'!$C$15*'THAM_SO_MOI'!$C$16*F4690^2</f>
        <v>1734.0841532523789</v>
      </c>
      <c r="N4690" s="75">
        <f>'THAM_SO_MOI'!$C$12*I4690</f>
        <v>1576.769392729425</v>
      </c>
      <c r="O4690" s="75">
        <f>M4690+N4690</f>
        <v>3310.853545981804</v>
      </c>
      <c r="P4690" s="75">
        <f>(MIN(L4690,'THAM_SO_MOI'!$C$41)-O4690)/('THAM_SO_MOI'!$C$11*H4690)</f>
        <v>0.051897089534860934</v>
      </c>
      <c r="Q4690" s="75">
        <f>IF(P4690&gt;0,1/P4690,NA())</f>
        <v>19.268903303879267</v>
      </c>
      <c r="R4690" s="75">
        <f>F4690-F4689</f>
        <v>0.0035868055555567935</v>
      </c>
      <c r="S4690" s="75">
        <f>0.5*(Q4689+Q4690)*R4690</f>
        <v>0.06905776136343951</v>
      </c>
      <c r="T4690" s="75">
        <f>0.5*(F4689*Q4689+F4690*Q4690)*R4690</f>
        <v>1.681328914909497</v>
      </c>
      <c r="U4690" s="76">
        <f>U4689+S4690</f>
        <v>91.14538172713148</v>
      </c>
      <c r="V4690" s="76">
        <f>V4689+T4690</f>
        <v>1617.7419378001418</v>
      </c>
    </row>
    <row r="4691" spans="1:22" ht="19" customHeight="1">
      <c r="A4691" s="68" t="s">
        <v>378</v>
      </c>
      <c r="B4691" s="74">
        <v>5</v>
      </c>
      <c r="C4691" s="68" t="s">
        <v>363</v>
      </c>
      <c r="D4691" s="68" t="s">
        <v>365</v>
      </c>
      <c r="E4691" s="75">
        <f>60*F4691*'THAM_SO_MOI'!$C$53/(2*PI()*'THAM_SO_MOI'!$C$26)</f>
        <v>2399.3210526315784</v>
      </c>
      <c r="F4691" s="75">
        <f>'THAM_SO_MOI'!$C$14+('THAM_SO_MOI'!$C$37-'THAM_SO_MOI'!$C$14)*600/'THAM_SO_MOI'!$C$42</f>
        <v>24.352083333333333</v>
      </c>
      <c r="G4691" s="75">
        <f>3.6*F4691</f>
        <v>87.6675</v>
      </c>
      <c r="H4691" s="75">
        <f>'THAM_SO_MOI'!$D$53</f>
        <v>1.1</v>
      </c>
      <c r="I4691" s="75">
        <f>IF(F4691&gt;='THAM_SO_MOI'!$C$14,'THAM_SO_MOI'!$C$13*(1+F4691^2/1500),'THAM_SO_MOI'!$C$13)</f>
        <v>0.02093023962673611</v>
      </c>
      <c r="J4691" s="75">
        <f>'THAM_SO_MOI'!$C$40*('THAM_SO_MOI'!$C$23*(E4691/'THAM_SO_MOI'!$C$22)+'THAM_SO_MOI'!$C$24*(E4691/'THAM_SO_MOI'!$C$22)^2-'THAM_SO_MOI'!$C$25*(E4691/'THAM_SO_MOI'!$C$22)^3)</f>
        <v>107.39277284221335</v>
      </c>
      <c r="K4691" s="75">
        <f>'THAM_SO_MOI'!$C$31*J4691/E4691</f>
        <v>427.50382955046166</v>
      </c>
      <c r="L4691" s="75">
        <f>K4691*'THAM_SO_MOI'!$C$53*'THAM_SO_MOI'!$C$17/'THAM_SO_MOI'!$C$26</f>
        <v>3749.2102579665916</v>
      </c>
      <c r="M4691" s="75">
        <f>'THAM_SO_MOI'!$C$15*'THAM_SO_MOI'!$C$16*F4691^2</f>
        <v>1734.5950908203124</v>
      </c>
      <c r="N4691" s="75">
        <f>'THAM_SO_MOI'!$C$12*I4691</f>
        <v>1576.90099767</v>
      </c>
      <c r="O4691" s="75">
        <f>M4691+N4691</f>
        <v>3311.496088490312</v>
      </c>
      <c r="P4691" s="75">
        <f>(MIN(L4691,'THAM_SO_MOI'!$C$41)-O4691)/('THAM_SO_MOI'!$C$11*H4691)</f>
        <v>0.05181275680353684</v>
      </c>
      <c r="Q4691" s="75">
        <f>IF(P4691&gt;0,1/P4691,NA())</f>
        <v>19.300266221922744</v>
      </c>
      <c r="R4691" s="75">
        <f>F4691-F4690</f>
        <v>0.0035868055555567935</v>
      </c>
      <c r="S4691" s="75">
        <f>0.5*(Q4690+Q4691)*R4691</f>
        <v>0.06917005576417921</v>
      </c>
      <c r="T4691" s="75">
        <f>0.5*(F4690*Q4690+F4691*Q4691)*R4691</f>
        <v>1.6843110132428096</v>
      </c>
      <c r="U4691" s="76">
        <f>U4690+S4691</f>
        <v>91.21455178289565</v>
      </c>
      <c r="V4691" s="76">
        <f>V4690+T4691</f>
        <v>1619.4262488133847</v>
      </c>
    </row>
    <row r="4692" spans="1:22" ht="19" customHeight="1">
      <c r="A4692" s="68" t="s">
        <v>378</v>
      </c>
      <c r="B4692" s="74">
        <v>5</v>
      </c>
      <c r="C4692" s="68" t="s">
        <v>363</v>
      </c>
      <c r="D4692" s="68" t="s">
        <v>365</v>
      </c>
      <c r="E4692" s="75">
        <f>60*F4692*'THAM_SO_MOI'!$C$53/(2*PI()*'THAM_SO_MOI'!$C$26)</f>
        <v>2399.6744473684203</v>
      </c>
      <c r="F4692" s="75">
        <f>'THAM_SO_MOI'!$C$14+('THAM_SO_MOI'!$C$37-'THAM_SO_MOI'!$C$14)*601/'THAM_SO_MOI'!$C$42</f>
        <v>24.355670138888886</v>
      </c>
      <c r="G4692" s="75">
        <f>3.6*F4692</f>
        <v>87.68041249999999</v>
      </c>
      <c r="H4692" s="75">
        <f>'THAM_SO_MOI'!$D$53</f>
        <v>1.1</v>
      </c>
      <c r="I4692" s="75">
        <f>IF(F4692&gt;='THAM_SO_MOI'!$C$14,'THAM_SO_MOI'!$C$13*(1+F4692^2/1500),'THAM_SO_MOI'!$C$13)</f>
        <v>0.020931986679143637</v>
      </c>
      <c r="J4692" s="75">
        <f>'THAM_SO_MOI'!$C$40*('THAM_SO_MOI'!$C$23*(E4692/'THAM_SO_MOI'!$C$22)+'THAM_SO_MOI'!$C$24*(E4692/'THAM_SO_MOI'!$C$22)^2-'THAM_SO_MOI'!$C$25*(E4692/'THAM_SO_MOI'!$C$22)^3)</f>
        <v>107.40658509371264</v>
      </c>
      <c r="K4692" s="75">
        <f>'THAM_SO_MOI'!$C$31*J4692/E4692</f>
        <v>427.4958470382939</v>
      </c>
      <c r="L4692" s="75">
        <f>K4692*'THAM_SO_MOI'!$C$53*'THAM_SO_MOI'!$C$17/'THAM_SO_MOI'!$C$26</f>
        <v>3749.1402513036455</v>
      </c>
      <c r="M4692" s="75">
        <f>'THAM_SO_MOI'!$C$15*'THAM_SO_MOI'!$C$16*F4692^2</f>
        <v>1735.1061036495141</v>
      </c>
      <c r="N4692" s="75">
        <f>'THAM_SO_MOI'!$C$12*I4692</f>
        <v>1577.032621996025</v>
      </c>
      <c r="O4692" s="75">
        <f>M4692+N4692</f>
        <v>3312.138725645539</v>
      </c>
      <c r="P4692" s="75">
        <f>(MIN(L4692,'THAM_SO_MOI'!$C$41)-O4692)/('THAM_SO_MOI'!$C$11*H4692)</f>
        <v>0.051728400290969034</v>
      </c>
      <c r="Q4692" s="75">
        <f>IF(P4692&gt;0,1/P4692,NA())</f>
        <v>19.331740289184708</v>
      </c>
      <c r="R4692" s="75">
        <f>F4692-F4691</f>
        <v>0.0035868055555532408</v>
      </c>
      <c r="S4692" s="75">
        <f>0.5*(Q4691+Q4692)*R4692</f>
        <v>0.06928274778810459</v>
      </c>
      <c r="T4692" s="75">
        <f>0.5*(F4691*Q4691+F4692*Q4692)*R4692</f>
        <v>1.6873036008004125</v>
      </c>
      <c r="U4692" s="76">
        <f>U4691+S4692</f>
        <v>91.28383453068376</v>
      </c>
      <c r="V4692" s="76">
        <f>V4691+T4692</f>
        <v>1621.113552414185</v>
      </c>
    </row>
    <row r="4693" spans="1:22" ht="19" customHeight="1">
      <c r="A4693" s="68" t="s">
        <v>378</v>
      </c>
      <c r="B4693" s="74">
        <v>5</v>
      </c>
      <c r="C4693" s="68" t="s">
        <v>363</v>
      </c>
      <c r="D4693" s="68" t="s">
        <v>365</v>
      </c>
      <c r="E4693" s="75">
        <f>60*F4693*'THAM_SO_MOI'!$C$53/(2*PI()*'THAM_SO_MOI'!$C$26)</f>
        <v>2400.0278421052626</v>
      </c>
      <c r="F4693" s="75">
        <f>'THAM_SO_MOI'!$C$14+('THAM_SO_MOI'!$C$37-'THAM_SO_MOI'!$C$14)*602/'THAM_SO_MOI'!$C$42</f>
        <v>24.359256944444443</v>
      </c>
      <c r="G4693" s="75">
        <f>3.6*F4693</f>
        <v>87.693325</v>
      </c>
      <c r="H4693" s="75">
        <f>'THAM_SO_MOI'!$D$53</f>
        <v>1.1</v>
      </c>
      <c r="I4693" s="75">
        <f>IF(F4693&gt;='THAM_SO_MOI'!$C$14,'THAM_SO_MOI'!$C$13*(1+F4693^2/1500),'THAM_SO_MOI'!$C$13)</f>
        <v>0.020933733988854647</v>
      </c>
      <c r="J4693" s="75">
        <f>'THAM_SO_MOI'!$C$40*('THAM_SO_MOI'!$C$23*(E4693/'THAM_SO_MOI'!$C$22)+'THAM_SO_MOI'!$C$24*(E4693/'THAM_SO_MOI'!$C$22)^2-'THAM_SO_MOI'!$C$25*(E4693/'THAM_SO_MOI'!$C$22)^3)</f>
        <v>107.42039370995926</v>
      </c>
      <c r="K4693" s="75">
        <f>'THAM_SO_MOI'!$C$31*J4693/E4693</f>
        <v>427.4878524101415</v>
      </c>
      <c r="L4693" s="75">
        <f>K4693*'THAM_SO_MOI'!$C$53*'THAM_SO_MOI'!$C$17/'THAM_SO_MOI'!$C$26</f>
        <v>3749.0701383834657</v>
      </c>
      <c r="M4693" s="75">
        <f>'THAM_SO_MOI'!$C$15*'THAM_SO_MOI'!$C$16*F4693^2</f>
        <v>1735.6171917399845</v>
      </c>
      <c r="N4693" s="75">
        <f>'THAM_SO_MOI'!$C$12*I4693</f>
        <v>1577.1642657075001</v>
      </c>
      <c r="O4693" s="75">
        <f>M4693+N4693</f>
        <v>3312.7814574474846</v>
      </c>
      <c r="P4693" s="75">
        <f>(MIN(L4693,'THAM_SO_MOI'!$C$41)-O4693)/('THAM_SO_MOI'!$C$11*H4693)</f>
        <v>0.051644019997156856</v>
      </c>
      <c r="Q4693" s="75">
        <f>IF(P4693&gt;0,1/P4693,NA())</f>
        <v>19.36332609380627</v>
      </c>
      <c r="R4693" s="75">
        <f>F4693-F4692</f>
        <v>0.0035868055555567935</v>
      </c>
      <c r="S4693" s="75">
        <f>0.5*(Q4692+Q4693)*R4693</f>
        <v>0.06939583953757547</v>
      </c>
      <c r="T4693" s="75">
        <f>0.5*(F4692*Q4692+F4693*Q4693)*R4693</f>
        <v>1.6903067330690635</v>
      </c>
      <c r="U4693" s="76">
        <f>U4692+S4693</f>
        <v>91.35323037022134</v>
      </c>
      <c r="V4693" s="76">
        <f>V4692+T4693</f>
        <v>1622.8038591472541</v>
      </c>
    </row>
    <row r="4694" spans="1:22" ht="19" customHeight="1">
      <c r="A4694" s="68" t="s">
        <v>378</v>
      </c>
      <c r="B4694" s="74">
        <v>5</v>
      </c>
      <c r="C4694" s="68" t="s">
        <v>363</v>
      </c>
      <c r="D4694" s="68" t="s">
        <v>365</v>
      </c>
      <c r="E4694" s="75">
        <f>60*F4694*'THAM_SO_MOI'!$C$53/(2*PI()*'THAM_SO_MOI'!$C$26)</f>
        <v>2400.3812368421045</v>
      </c>
      <c r="F4694" s="75">
        <f>'THAM_SO_MOI'!$C$14+('THAM_SO_MOI'!$C$37-'THAM_SO_MOI'!$C$14)*603/'THAM_SO_MOI'!$C$42</f>
        <v>24.36284375</v>
      </c>
      <c r="G4694" s="75">
        <f>3.6*F4694</f>
        <v>87.7062375</v>
      </c>
      <c r="H4694" s="75">
        <f>'THAM_SO_MOI'!$D$53</f>
        <v>1.1</v>
      </c>
      <c r="I4694" s="75">
        <f>IF(F4694&gt;='THAM_SO_MOI'!$C$14,'THAM_SO_MOI'!$C$13*(1+F4694^2/1500),'THAM_SO_MOI'!$C$13)</f>
        <v>0.020935481555869138</v>
      </c>
      <c r="J4694" s="75">
        <f>'THAM_SO_MOI'!$C$40*('THAM_SO_MOI'!$C$23*(E4694/'THAM_SO_MOI'!$C$22)+'THAM_SO_MOI'!$C$24*(E4694/'THAM_SO_MOI'!$C$22)^2-'THAM_SO_MOI'!$C$25*(E4694/'THAM_SO_MOI'!$C$22)^3)</f>
        <v>107.43419868960838</v>
      </c>
      <c r="K4694" s="75">
        <f>'THAM_SO_MOI'!$C$31*J4694/E4694</f>
        <v>427.4798456660048</v>
      </c>
      <c r="L4694" s="75">
        <f>K4694*'THAM_SO_MOI'!$C$53*'THAM_SO_MOI'!$C$17/'THAM_SO_MOI'!$C$26</f>
        <v>3748.999919206057</v>
      </c>
      <c r="M4694" s="75">
        <f>'THAM_SO_MOI'!$C$15*'THAM_SO_MOI'!$C$16*F4694^2</f>
        <v>1736.1283550917237</v>
      </c>
      <c r="N4694" s="75">
        <f>'THAM_SO_MOI'!$C$12*I4694</f>
        <v>1577.2959288044256</v>
      </c>
      <c r="O4694" s="75">
        <f>M4694+N4694</f>
        <v>3313.424283896149</v>
      </c>
      <c r="P4694" s="75">
        <f>(MIN(L4694,'THAM_SO_MOI'!$C$41)-O4694)/('THAM_SO_MOI'!$C$11*H4694)</f>
        <v>0.051559615922100795</v>
      </c>
      <c r="Q4694" s="75">
        <f>IF(P4694&gt;0,1/P4694,NA())</f>
        <v>19.3950242280869</v>
      </c>
      <c r="R4694" s="75">
        <f>F4694-F4693</f>
        <v>0.0035868055555567935</v>
      </c>
      <c r="S4694" s="75">
        <f>0.5*(Q4693+Q4694)*R4694</f>
        <v>0.06950933312939142</v>
      </c>
      <c r="T4694" s="75">
        <f>0.5*(F4693*Q4693+F4694*Q4694)*R4694</f>
        <v>1.69332046591745</v>
      </c>
      <c r="U4694" s="76">
        <f>U4693+S4694</f>
        <v>91.42273970335073</v>
      </c>
      <c r="V4694" s="76">
        <f>V4693+T4694</f>
        <v>1624.4971796131715</v>
      </c>
    </row>
    <row r="4695" spans="1:22" ht="19" customHeight="1">
      <c r="A4695" s="68" t="s">
        <v>378</v>
      </c>
      <c r="B4695" s="74">
        <v>5</v>
      </c>
      <c r="C4695" s="68" t="s">
        <v>363</v>
      </c>
      <c r="D4695" s="68" t="s">
        <v>365</v>
      </c>
      <c r="E4695" s="75">
        <f>60*F4695*'THAM_SO_MOI'!$C$53/(2*PI()*'THAM_SO_MOI'!$C$26)</f>
        <v>2400.734631578947</v>
      </c>
      <c r="F4695" s="75">
        <f>'THAM_SO_MOI'!$C$14+('THAM_SO_MOI'!$C$37-'THAM_SO_MOI'!$C$14)*604/'THAM_SO_MOI'!$C$42</f>
        <v>24.366430555555553</v>
      </c>
      <c r="G4695" s="75">
        <f>3.6*F4695</f>
        <v>87.71915</v>
      </c>
      <c r="H4695" s="75">
        <f>'THAM_SO_MOI'!$D$53</f>
        <v>1.1</v>
      </c>
      <c r="I4695" s="75">
        <f>IF(F4695&gt;='THAM_SO_MOI'!$C$14,'THAM_SO_MOI'!$C$13*(1+F4695^2/1500),'THAM_SO_MOI'!$C$13)</f>
        <v>0.020937229380187113</v>
      </c>
      <c r="J4695" s="75">
        <f>'THAM_SO_MOI'!$C$40*('THAM_SO_MOI'!$C$23*(E4695/'THAM_SO_MOI'!$C$22)+'THAM_SO_MOI'!$C$24*(E4695/'THAM_SO_MOI'!$C$22)^2-'THAM_SO_MOI'!$C$25*(E4695/'THAM_SO_MOI'!$C$22)^3)</f>
        <v>107.44800003131506</v>
      </c>
      <c r="K4695" s="75">
        <f>'THAM_SO_MOI'!$C$31*J4695/E4695</f>
        <v>427.47182680588355</v>
      </c>
      <c r="L4695" s="75">
        <f>K4695*'THAM_SO_MOI'!$C$53*'THAM_SO_MOI'!$C$17/'THAM_SO_MOI'!$C$26</f>
        <v>3748.9295937714164</v>
      </c>
      <c r="M4695" s="75">
        <f>'THAM_SO_MOI'!$C$15*'THAM_SO_MOI'!$C$16*F4695^2</f>
        <v>1736.6395937047307</v>
      </c>
      <c r="N4695" s="75">
        <f>'THAM_SO_MOI'!$C$12*I4695</f>
        <v>1577.4276112868013</v>
      </c>
      <c r="O4695" s="75">
        <f>M4695+N4695</f>
        <v>3314.067204991532</v>
      </c>
      <c r="P4695" s="75">
        <f>(MIN(L4695,'THAM_SO_MOI'!$C$41)-O4695)/('THAM_SO_MOI'!$C$11*H4695)</f>
        <v>0.05147518806580072</v>
      </c>
      <c r="Q4695" s="75">
        <f>IF(P4695&gt;0,1/P4695,NA())</f>
        <v>19.426835288521925</v>
      </c>
      <c r="R4695" s="75">
        <f>F4695-F4694</f>
        <v>0.0035868055555532408</v>
      </c>
      <c r="S4695" s="75">
        <f>0.5*(Q4694+Q4695)*R4695</f>
        <v>0.06962323069554</v>
      </c>
      <c r="T4695" s="75">
        <f>0.5*(F4694*Q4694+F4695*Q4695)*R4695</f>
        <v>1.6963448556146794</v>
      </c>
      <c r="U4695" s="76">
        <f>U4694+S4695</f>
        <v>91.49236293404627</v>
      </c>
      <c r="V4695" s="76">
        <f>V4694+T4695</f>
        <v>1626.193524468786</v>
      </c>
    </row>
    <row r="4696" spans="1:22" ht="19" customHeight="1">
      <c r="A4696" s="68" t="s">
        <v>378</v>
      </c>
      <c r="B4696" s="74">
        <v>5</v>
      </c>
      <c r="C4696" s="68" t="s">
        <v>363</v>
      </c>
      <c r="D4696" s="68" t="s">
        <v>365</v>
      </c>
      <c r="E4696" s="75">
        <f>60*F4696*'THAM_SO_MOI'!$C$53/(2*PI()*'THAM_SO_MOI'!$C$26)</f>
        <v>2401.088026315789</v>
      </c>
      <c r="F4696" s="75">
        <f>'THAM_SO_MOI'!$C$14+('THAM_SO_MOI'!$C$37-'THAM_SO_MOI'!$C$14)*605/'THAM_SO_MOI'!$C$42</f>
        <v>24.37001736111111</v>
      </c>
      <c r="G4696" s="75">
        <f>3.6*F4696</f>
        <v>87.7320625</v>
      </c>
      <c r="H4696" s="75">
        <f>'THAM_SO_MOI'!$D$53</f>
        <v>1.1</v>
      </c>
      <c r="I4696" s="75">
        <f>IF(F4696&gt;='THAM_SO_MOI'!$C$14,'THAM_SO_MOI'!$C$13*(1+F4696^2/1500),'THAM_SO_MOI'!$C$13)</f>
        <v>0.020938977461808568</v>
      </c>
      <c r="J4696" s="75">
        <f>'THAM_SO_MOI'!$C$40*('THAM_SO_MOI'!$C$23*(E4696/'THAM_SO_MOI'!$C$22)+'THAM_SO_MOI'!$C$24*(E4696/'THAM_SO_MOI'!$C$22)^2-'THAM_SO_MOI'!$C$25*(E4696/'THAM_SO_MOI'!$C$22)^3)</f>
        <v>107.46179773373444</v>
      </c>
      <c r="K4696" s="75">
        <f>'THAM_SO_MOI'!$C$31*J4696/E4696</f>
        <v>427.46379582977784</v>
      </c>
      <c r="L4696" s="75">
        <f>K4696*'THAM_SO_MOI'!$C$53*'THAM_SO_MOI'!$C$17/'THAM_SO_MOI'!$C$26</f>
        <v>3748.859162079544</v>
      </c>
      <c r="M4696" s="75">
        <f>'THAM_SO_MOI'!$C$15*'THAM_SO_MOI'!$C$16*F4696^2</f>
        <v>1737.1509075790066</v>
      </c>
      <c r="N4696" s="75">
        <f>'THAM_SO_MOI'!$C$12*I4696</f>
        <v>1577.559313154627</v>
      </c>
      <c r="O4696" s="75">
        <f>M4696+N4696</f>
        <v>3314.710220733634</v>
      </c>
      <c r="P4696" s="75">
        <f>(MIN(L4696,'THAM_SO_MOI'!$C$41)-O4696)/('THAM_SO_MOI'!$C$11*H4696)</f>
        <v>0.05139073642825646</v>
      </c>
      <c r="Q4696" s="75">
        <f>IF(P4696&gt;0,1/P4696,NA())</f>
        <v>19.458759875839498</v>
      </c>
      <c r="R4696" s="75">
        <f>F4696-F4695</f>
        <v>0.0035868055555567935</v>
      </c>
      <c r="S4696" s="75">
        <f>0.5*(Q4695+Q4696)*R4696</f>
        <v>0.06973753438333197</v>
      </c>
      <c r="T4696" s="75">
        <f>0.5*(F4695*Q4695+F4696*Q4696)*R4696</f>
        <v>1.699379958833848</v>
      </c>
      <c r="U4696" s="76">
        <f>U4695+S4696</f>
        <v>91.5621004684296</v>
      </c>
      <c r="V4696" s="76">
        <f>V4695+T4696</f>
        <v>1627.89290442762</v>
      </c>
    </row>
    <row r="4697" spans="1:22" ht="19" customHeight="1">
      <c r="A4697" s="68" t="s">
        <v>378</v>
      </c>
      <c r="B4697" s="74">
        <v>5</v>
      </c>
      <c r="C4697" s="68" t="s">
        <v>363</v>
      </c>
      <c r="D4697" s="68" t="s">
        <v>365</v>
      </c>
      <c r="E4697" s="75">
        <f>60*F4697*'THAM_SO_MOI'!$C$53/(2*PI()*'THAM_SO_MOI'!$C$26)</f>
        <v>2401.441421052631</v>
      </c>
      <c r="F4697" s="75">
        <f>'THAM_SO_MOI'!$C$14+('THAM_SO_MOI'!$C$37-'THAM_SO_MOI'!$C$14)*606/'THAM_SO_MOI'!$C$42</f>
        <v>24.373604166666667</v>
      </c>
      <c r="G4697" s="75">
        <f>3.6*F4697</f>
        <v>87.744975</v>
      </c>
      <c r="H4697" s="75">
        <f>'THAM_SO_MOI'!$D$53</f>
        <v>1.1</v>
      </c>
      <c r="I4697" s="75">
        <f>IF(F4697&gt;='THAM_SO_MOI'!$C$14,'THAM_SO_MOI'!$C$13*(1+F4697^2/1500),'THAM_SO_MOI'!$C$13)</f>
        <v>0.020940725800733504</v>
      </c>
      <c r="J4697" s="75">
        <f>'THAM_SO_MOI'!$C$40*('THAM_SO_MOI'!$C$23*(E4697/'THAM_SO_MOI'!$C$22)+'THAM_SO_MOI'!$C$24*(E4697/'THAM_SO_MOI'!$C$22)^2-'THAM_SO_MOI'!$C$25*(E4697/'THAM_SO_MOI'!$C$22)^3)</f>
        <v>107.47559179552161</v>
      </c>
      <c r="K4697" s="75">
        <f>'THAM_SO_MOI'!$C$31*J4697/E4697</f>
        <v>427.45575273768776</v>
      </c>
      <c r="L4697" s="75">
        <f>K4697*'THAM_SO_MOI'!$C$53*'THAM_SO_MOI'!$C$17/'THAM_SO_MOI'!$C$26</f>
        <v>3748.788624130442</v>
      </c>
      <c r="M4697" s="75">
        <f>'THAM_SO_MOI'!$C$15*'THAM_SO_MOI'!$C$16*F4697^2</f>
        <v>1737.662296714551</v>
      </c>
      <c r="N4697" s="75">
        <f>'THAM_SO_MOI'!$C$12*I4697</f>
        <v>1577.6910344079029</v>
      </c>
      <c r="O4697" s="75">
        <f>M4697+N4697</f>
        <v>3315.3533311224537</v>
      </c>
      <c r="P4697" s="75">
        <f>(MIN(L4697,'THAM_SO_MOI'!$C$41)-O4697)/('THAM_SO_MOI'!$C$11*H4697)</f>
        <v>0.05130626100946826</v>
      </c>
      <c r="Q4697" s="75">
        <f>IF(P4697&gt;0,1/P4697,NA())</f>
        <v>19.49079859503806</v>
      </c>
      <c r="R4697" s="75">
        <f>F4697-F4696</f>
        <v>0.0035868055555567935</v>
      </c>
      <c r="S4697" s="75">
        <f>0.5*(Q4696+Q4697)*R4697</f>
        <v>0.0698522463549139</v>
      </c>
      <c r="T4697" s="75">
        <f>0.5*(F4696*Q4696+F4697*Q4697)*R4697</f>
        <v>1.702425832640434</v>
      </c>
      <c r="U4697" s="76">
        <f>U4696+S4697</f>
        <v>91.63195271478452</v>
      </c>
      <c r="V4697" s="76">
        <f>V4696+T4697</f>
        <v>1629.5953302602604</v>
      </c>
    </row>
    <row r="4698" spans="1:22" ht="19" customHeight="1">
      <c r="A4698" s="68" t="s">
        <v>378</v>
      </c>
      <c r="B4698" s="74">
        <v>5</v>
      </c>
      <c r="C4698" s="68" t="s">
        <v>363</v>
      </c>
      <c r="D4698" s="68" t="s">
        <v>365</v>
      </c>
      <c r="E4698" s="75">
        <f>60*F4698*'THAM_SO_MOI'!$C$53/(2*PI()*'THAM_SO_MOI'!$C$26)</f>
        <v>2401.794815789473</v>
      </c>
      <c r="F4698" s="75">
        <f>'THAM_SO_MOI'!$C$14+('THAM_SO_MOI'!$C$37-'THAM_SO_MOI'!$C$14)*607/'THAM_SO_MOI'!$C$42</f>
        <v>24.37719097222222</v>
      </c>
      <c r="G4698" s="75">
        <f>3.6*F4698</f>
        <v>87.7578875</v>
      </c>
      <c r="H4698" s="75">
        <f>'THAM_SO_MOI'!$D$53</f>
        <v>1.1</v>
      </c>
      <c r="I4698" s="75">
        <f>IF(F4698&gt;='THAM_SO_MOI'!$C$14,'THAM_SO_MOI'!$C$13*(1+F4698^2/1500),'THAM_SO_MOI'!$C$13)</f>
        <v>0.020942474396961924</v>
      </c>
      <c r="J4698" s="75">
        <f>'THAM_SO_MOI'!$C$40*('THAM_SO_MOI'!$C$23*(E4698/'THAM_SO_MOI'!$C$22)+'THAM_SO_MOI'!$C$24*(E4698/'THAM_SO_MOI'!$C$22)^2-'THAM_SO_MOI'!$C$25*(E4698/'THAM_SO_MOI'!$C$22)^3)</f>
        <v>107.48938221533169</v>
      </c>
      <c r="K4698" s="75">
        <f>'THAM_SO_MOI'!$C$31*J4698/E4698</f>
        <v>427.4476975296132</v>
      </c>
      <c r="L4698" s="75">
        <f>K4698*'THAM_SO_MOI'!$C$53*'THAM_SO_MOI'!$C$17/'THAM_SO_MOI'!$C$26</f>
        <v>3748.7179799241085</v>
      </c>
      <c r="M4698" s="75">
        <f>'THAM_SO_MOI'!$C$15*'THAM_SO_MOI'!$C$16*F4698^2</f>
        <v>1738.173761111363</v>
      </c>
      <c r="N4698" s="75">
        <f>'THAM_SO_MOI'!$C$12*I4698</f>
        <v>1577.822775046629</v>
      </c>
      <c r="O4698" s="75">
        <f>M4698+N4698</f>
        <v>3315.996536157992</v>
      </c>
      <c r="P4698" s="75">
        <f>(MIN(L4698,'THAM_SO_MOI'!$C$41)-O4698)/('THAM_SO_MOI'!$C$11*H4698)</f>
        <v>0.05122176180943613</v>
      </c>
      <c r="Q4698" s="75">
        <f>IF(P4698&gt;0,1/P4698,NA())</f>
        <v>19.522952055424593</v>
      </c>
      <c r="R4698" s="75">
        <f>F4698-F4697</f>
        <v>0.0035868055555532408</v>
      </c>
      <c r="S4698" s="75">
        <f>0.5*(Q4697+Q4698)*R4698</f>
        <v>0.06996736878802415</v>
      </c>
      <c r="T4698" s="75">
        <f>0.5*(F4697*Q4697+F4698*Q4698)*R4698</f>
        <v>1.7054825345109934</v>
      </c>
      <c r="U4698" s="76">
        <f>U4697+S4698</f>
        <v>91.70192008357255</v>
      </c>
      <c r="V4698" s="76">
        <f>V4697+T4698</f>
        <v>1631.3008127947714</v>
      </c>
    </row>
    <row r="4699" spans="1:22" ht="19" customHeight="1">
      <c r="A4699" s="68" t="s">
        <v>378</v>
      </c>
      <c r="B4699" s="74">
        <v>5</v>
      </c>
      <c r="C4699" s="68" t="s">
        <v>363</v>
      </c>
      <c r="D4699" s="68" t="s">
        <v>365</v>
      </c>
      <c r="E4699" s="75">
        <f>60*F4699*'THAM_SO_MOI'!$C$53/(2*PI()*'THAM_SO_MOI'!$C$26)</f>
        <v>2402.148210526315</v>
      </c>
      <c r="F4699" s="75">
        <f>'THAM_SO_MOI'!$C$14+('THAM_SO_MOI'!$C$37-'THAM_SO_MOI'!$C$14)*608/'THAM_SO_MOI'!$C$42</f>
        <v>24.380777777777777</v>
      </c>
      <c r="G4699" s="75">
        <f>3.6*F4699</f>
        <v>87.7708</v>
      </c>
      <c r="H4699" s="75">
        <f>'THAM_SO_MOI'!$D$53</f>
        <v>1.1</v>
      </c>
      <c r="I4699" s="75">
        <f>IF(F4699&gt;='THAM_SO_MOI'!$C$14,'THAM_SO_MOI'!$C$13*(1+F4699^2/1500),'THAM_SO_MOI'!$C$13)</f>
        <v>0.020944223250493825</v>
      </c>
      <c r="J4699" s="75">
        <f>'THAM_SO_MOI'!$C$40*('THAM_SO_MOI'!$C$23*(E4699/'THAM_SO_MOI'!$C$22)+'THAM_SO_MOI'!$C$24*(E4699/'THAM_SO_MOI'!$C$22)^2-'THAM_SO_MOI'!$C$25*(E4699/'THAM_SO_MOI'!$C$22)^3)</f>
        <v>107.50316899181978</v>
      </c>
      <c r="K4699" s="75">
        <f>'THAM_SO_MOI'!$C$31*J4699/E4699</f>
        <v>427.4396302055541</v>
      </c>
      <c r="L4699" s="75">
        <f>K4699*'THAM_SO_MOI'!$C$53*'THAM_SO_MOI'!$C$17/'THAM_SO_MOI'!$C$26</f>
        <v>3748.647229460543</v>
      </c>
      <c r="M4699" s="75">
        <f>'THAM_SO_MOI'!$C$15*'THAM_SO_MOI'!$C$16*F4699^2</f>
        <v>1738.6853007694444</v>
      </c>
      <c r="N4699" s="75">
        <f>'THAM_SO_MOI'!$C$12*I4699</f>
        <v>1577.9545350708052</v>
      </c>
      <c r="O4699" s="75">
        <f>M4699+N4699</f>
        <v>3316.6398358402494</v>
      </c>
      <c r="P4699" s="75">
        <f>(MIN(L4699,'THAM_SO_MOI'!$C$41)-O4699)/('THAM_SO_MOI'!$C$11*H4699)</f>
        <v>0.05113723882815971</v>
      </c>
      <c r="Q4699" s="75">
        <f>IF(P4699&gt;0,1/P4699,NA())</f>
        <v>19.555220870653084</v>
      </c>
      <c r="R4699" s="75">
        <f>F4699-F4698</f>
        <v>0.0035868055555567935</v>
      </c>
      <c r="S4699" s="75">
        <f>0.5*(Q4698+Q4699)*R4699</f>
        <v>0.07008290387613224</v>
      </c>
      <c r="T4699" s="75">
        <f>0.5*(F4698*Q4698+F4699*Q4699)*R4699</f>
        <v>1.7085501223368362</v>
      </c>
      <c r="U4699" s="76">
        <f>U4698+S4699</f>
        <v>91.77200298744867</v>
      </c>
      <c r="V4699" s="76">
        <f>V4698+T4699</f>
        <v>1633.0093629171083</v>
      </c>
    </row>
    <row r="4700" spans="1:22" ht="19" customHeight="1">
      <c r="A4700" s="68" t="s">
        <v>378</v>
      </c>
      <c r="B4700" s="74">
        <v>5</v>
      </c>
      <c r="C4700" s="68" t="s">
        <v>363</v>
      </c>
      <c r="D4700" s="68" t="s">
        <v>365</v>
      </c>
      <c r="E4700" s="75">
        <f>60*F4700*'THAM_SO_MOI'!$C$53/(2*PI()*'THAM_SO_MOI'!$C$26)</f>
        <v>2402.5016052631577</v>
      </c>
      <c r="F4700" s="75">
        <f>'THAM_SO_MOI'!$C$14+('THAM_SO_MOI'!$C$37-'THAM_SO_MOI'!$C$14)*609/'THAM_SO_MOI'!$C$42</f>
        <v>24.384364583333333</v>
      </c>
      <c r="G4700" s="75">
        <f>3.6*F4700</f>
        <v>87.78371250000001</v>
      </c>
      <c r="H4700" s="75">
        <f>'THAM_SO_MOI'!$D$53</f>
        <v>1.1</v>
      </c>
      <c r="I4700" s="75">
        <f>IF(F4700&gt;='THAM_SO_MOI'!$C$14,'THAM_SO_MOI'!$C$13*(1+F4700^2/1500),'THAM_SO_MOI'!$C$13)</f>
        <v>0.02094597236132921</v>
      </c>
      <c r="J4700" s="75">
        <f>'THAM_SO_MOI'!$C$40*('THAM_SO_MOI'!$C$23*(E4700/'THAM_SO_MOI'!$C$22)+'THAM_SO_MOI'!$C$24*(E4700/'THAM_SO_MOI'!$C$22)^2-'THAM_SO_MOI'!$C$25*(E4700/'THAM_SO_MOI'!$C$22)^3)</f>
        <v>107.51695212364102</v>
      </c>
      <c r="K4700" s="75">
        <f>'THAM_SO_MOI'!$C$31*J4700/E4700</f>
        <v>427.4315507655106</v>
      </c>
      <c r="L4700" s="75">
        <f>K4700*'THAM_SO_MOI'!$C$53*'THAM_SO_MOI'!$C$17/'THAM_SO_MOI'!$C$26</f>
        <v>3748.576372739747</v>
      </c>
      <c r="M4700" s="75">
        <f>'THAM_SO_MOI'!$C$15*'THAM_SO_MOI'!$C$16*F4700^2</f>
        <v>1739.196915688794</v>
      </c>
      <c r="N4700" s="75">
        <f>'THAM_SO_MOI'!$C$12*I4700</f>
        <v>1578.0863144804318</v>
      </c>
      <c r="O4700" s="75">
        <f>M4700+N4700</f>
        <v>3317.283230169226</v>
      </c>
      <c r="P4700" s="75">
        <f>(MIN(L4700,'THAM_SO_MOI'!$C$41)-O4700)/('THAM_SO_MOI'!$C$11*H4700)</f>
        <v>0.05105269206563935</v>
      </c>
      <c r="Q4700" s="75">
        <f>IF(P4700&gt;0,1/P4700,NA())</f>
        <v>19.587605658762957</v>
      </c>
      <c r="R4700" s="75">
        <f>F4700-F4699</f>
        <v>0.0035868055555567935</v>
      </c>
      <c r="S4700" s="75">
        <f>0.5*(Q4699+Q4700)*R4700</f>
        <v>0.07019885382795264</v>
      </c>
      <c r="T4700" s="75">
        <f>0.5*(F4699*Q4699+F4700*Q4700)*R4700</f>
        <v>1.7116286544124546</v>
      </c>
      <c r="U4700" s="76">
        <f>U4699+S4700</f>
        <v>91.84220184127662</v>
      </c>
      <c r="V4700" s="76">
        <f>V4699+T4700</f>
        <v>1634.7209915715207</v>
      </c>
    </row>
    <row r="4701" spans="1:22" ht="19" customHeight="1">
      <c r="A4701" s="68" t="s">
        <v>378</v>
      </c>
      <c r="B4701" s="74">
        <v>5</v>
      </c>
      <c r="C4701" s="68" t="s">
        <v>363</v>
      </c>
      <c r="D4701" s="68" t="s">
        <v>365</v>
      </c>
      <c r="E4701" s="75">
        <f>60*F4701*'THAM_SO_MOI'!$C$53/(2*PI()*'THAM_SO_MOI'!$C$26)</f>
        <v>2402.854999999999</v>
      </c>
      <c r="F4701" s="75">
        <f>'THAM_SO_MOI'!$C$14+('THAM_SO_MOI'!$C$37-'THAM_SO_MOI'!$C$14)*610/'THAM_SO_MOI'!$C$42</f>
        <v>24.387951388888887</v>
      </c>
      <c r="G4701" s="75">
        <f>3.6*F4701</f>
        <v>87.79662499999999</v>
      </c>
      <c r="H4701" s="75">
        <f>'THAM_SO_MOI'!$D$53</f>
        <v>1.1</v>
      </c>
      <c r="I4701" s="75">
        <f>IF(F4701&gt;='THAM_SO_MOI'!$C$14,'THAM_SO_MOI'!$C$13*(1+F4701^2/1500),'THAM_SO_MOI'!$C$13)</f>
        <v>0.020947721729468072</v>
      </c>
      <c r="J4701" s="75">
        <f>'THAM_SO_MOI'!$C$40*('THAM_SO_MOI'!$C$23*(E4701/'THAM_SO_MOI'!$C$22)+'THAM_SO_MOI'!$C$24*(E4701/'THAM_SO_MOI'!$C$22)^2-'THAM_SO_MOI'!$C$25*(E4701/'THAM_SO_MOI'!$C$22)^3)</f>
        <v>107.53073160945048</v>
      </c>
      <c r="K4701" s="75">
        <f>'THAM_SO_MOI'!$C$31*J4701/E4701</f>
        <v>427.42345920948276</v>
      </c>
      <c r="L4701" s="75">
        <f>K4701*'THAM_SO_MOI'!$C$53*'THAM_SO_MOI'!$C$17/'THAM_SO_MOI'!$C$26</f>
        <v>3748.50540976172</v>
      </c>
      <c r="M4701" s="75">
        <f>'THAM_SO_MOI'!$C$15*'THAM_SO_MOI'!$C$16*F4701^2</f>
        <v>1739.7086058694117</v>
      </c>
      <c r="N4701" s="75">
        <f>'THAM_SO_MOI'!$C$12*I4701</f>
        <v>1578.2181132755081</v>
      </c>
      <c r="O4701" s="75">
        <f>M4701+N4701</f>
        <v>3317.92671914492</v>
      </c>
      <c r="P4701" s="75">
        <f>(MIN(L4701,'THAM_SO_MOI'!$C$41)-O4701)/('THAM_SO_MOI'!$C$11*H4701)</f>
        <v>0.05096812152187501</v>
      </c>
      <c r="Q4701" s="75">
        <f>IF(P4701&gt;0,1/P4701,NA())</f>
        <v>19.620107042218734</v>
      </c>
      <c r="R4701" s="75">
        <f>F4701-F4700</f>
        <v>0.0035868055555532408</v>
      </c>
      <c r="S4701" s="75">
        <f>0.5*(Q4700+Q4701)*R4701</f>
        <v>0.07031522086820824</v>
      </c>
      <c r="T4701" s="75">
        <f>0.5*(F4700*Q4700+F4701*Q4701)*R4701</f>
        <v>1.7147181894544123</v>
      </c>
      <c r="U4701" s="76">
        <f>U4700+S4701</f>
        <v>91.91251706214483</v>
      </c>
      <c r="V4701" s="76">
        <f>V4700+T4701</f>
        <v>1636.4357097609752</v>
      </c>
    </row>
    <row r="4702" spans="1:22" ht="19" customHeight="1">
      <c r="A4702" s="68" t="s">
        <v>378</v>
      </c>
      <c r="B4702" s="74">
        <v>5</v>
      </c>
      <c r="C4702" s="68" t="s">
        <v>363</v>
      </c>
      <c r="D4702" s="68" t="s">
        <v>365</v>
      </c>
      <c r="E4702" s="75">
        <f>60*F4702*'THAM_SO_MOI'!$C$53/(2*PI()*'THAM_SO_MOI'!$C$26)</f>
        <v>2403.208394736842</v>
      </c>
      <c r="F4702" s="75">
        <f>'THAM_SO_MOI'!$C$14+('THAM_SO_MOI'!$C$37-'THAM_SO_MOI'!$C$14)*611/'THAM_SO_MOI'!$C$42</f>
        <v>24.391538194444443</v>
      </c>
      <c r="G4702" s="75">
        <f>3.6*F4702</f>
        <v>87.8095375</v>
      </c>
      <c r="H4702" s="75">
        <f>'THAM_SO_MOI'!$D$53</f>
        <v>1.1</v>
      </c>
      <c r="I4702" s="75">
        <f>IF(F4702&gt;='THAM_SO_MOI'!$C$14,'THAM_SO_MOI'!$C$13*(1+F4702^2/1500),'THAM_SO_MOI'!$C$13)</f>
        <v>0.02094947135491042</v>
      </c>
      <c r="J4702" s="75">
        <f>'THAM_SO_MOI'!$C$40*('THAM_SO_MOI'!$C$23*(E4702/'THAM_SO_MOI'!$C$22)+'THAM_SO_MOI'!$C$24*(E4702/'THAM_SO_MOI'!$C$22)^2-'THAM_SO_MOI'!$C$25*(E4702/'THAM_SO_MOI'!$C$22)^3)</f>
        <v>107.54450744790333</v>
      </c>
      <c r="K4702" s="75">
        <f>'THAM_SO_MOI'!$C$31*J4702/E4702</f>
        <v>427.41535553747036</v>
      </c>
      <c r="L4702" s="75">
        <f>K4702*'THAM_SO_MOI'!$C$53*'THAM_SO_MOI'!$C$17/'THAM_SO_MOI'!$C$26</f>
        <v>3748.434340526462</v>
      </c>
      <c r="M4702" s="75">
        <f>'THAM_SO_MOI'!$C$15*'THAM_SO_MOI'!$C$16*F4702^2</f>
        <v>1740.220371311298</v>
      </c>
      <c r="N4702" s="75">
        <f>'THAM_SO_MOI'!$C$12*I4702</f>
        <v>1578.3499314560352</v>
      </c>
      <c r="O4702" s="75">
        <f>M4702+N4702</f>
        <v>3318.5703027673335</v>
      </c>
      <c r="P4702" s="75">
        <f>(MIN(L4702,'THAM_SO_MOI'!$C$41)-O4702)/('THAM_SO_MOI'!$C$11*H4702)</f>
        <v>0.05088352719686658</v>
      </c>
      <c r="Q4702" s="75">
        <f>IF(P4702&gt;0,1/P4702,NA())</f>
        <v>19.65272564794958</v>
      </c>
      <c r="R4702" s="75">
        <f>F4702-F4701</f>
        <v>0.0035868055555567935</v>
      </c>
      <c r="S4702" s="75">
        <f>0.5*(Q4701+Q4702)*R4702</f>
        <v>0.07043200723777408</v>
      </c>
      <c r="T4702" s="75">
        <f>0.5*(F4701*Q4701+F4702*Q4702)*R4702</f>
        <v>1.7178187866051395</v>
      </c>
      <c r="U4702" s="76">
        <f>U4701+S4702</f>
        <v>91.9829490693826</v>
      </c>
      <c r="V4702" s="76">
        <f>V4701+T4702</f>
        <v>1638.1535285475804</v>
      </c>
    </row>
    <row r="4703" spans="1:22" ht="19" customHeight="1">
      <c r="A4703" s="68" t="s">
        <v>378</v>
      </c>
      <c r="B4703" s="74">
        <v>5</v>
      </c>
      <c r="C4703" s="68" t="s">
        <v>363</v>
      </c>
      <c r="D4703" s="68" t="s">
        <v>365</v>
      </c>
      <c r="E4703" s="75">
        <f>60*F4703*'THAM_SO_MOI'!$C$53/(2*PI()*'THAM_SO_MOI'!$C$26)</f>
        <v>2403.561789473684</v>
      </c>
      <c r="F4703" s="75">
        <f>'THAM_SO_MOI'!$C$14+('THAM_SO_MOI'!$C$37-'THAM_SO_MOI'!$C$14)*612/'THAM_SO_MOI'!$C$42</f>
        <v>24.395125</v>
      </c>
      <c r="G4703" s="75">
        <f>3.6*F4703</f>
        <v>87.82245</v>
      </c>
      <c r="H4703" s="75">
        <f>'THAM_SO_MOI'!$D$53</f>
        <v>1.1</v>
      </c>
      <c r="I4703" s="75">
        <f>IF(F4703&gt;='THAM_SO_MOI'!$C$14,'THAM_SO_MOI'!$C$13*(1+F4703^2/1500),'THAM_SO_MOI'!$C$13)</f>
        <v>0.020951221237656248</v>
      </c>
      <c r="J4703" s="75">
        <f>'THAM_SO_MOI'!$C$40*('THAM_SO_MOI'!$C$23*(E4703/'THAM_SO_MOI'!$C$22)+'THAM_SO_MOI'!$C$24*(E4703/'THAM_SO_MOI'!$C$22)^2-'THAM_SO_MOI'!$C$25*(E4703/'THAM_SO_MOI'!$C$22)^3)</f>
        <v>107.55827963765459</v>
      </c>
      <c r="K4703" s="75">
        <f>'THAM_SO_MOI'!$C$31*J4703/E4703</f>
        <v>427.40723974947343</v>
      </c>
      <c r="L4703" s="75">
        <f>K4703*'THAM_SO_MOI'!$C$53*'THAM_SO_MOI'!$C$17/'THAM_SO_MOI'!$C$26</f>
        <v>3748.3631650339726</v>
      </c>
      <c r="M4703" s="75">
        <f>'THAM_SO_MOI'!$C$15*'THAM_SO_MOI'!$C$16*F4703^2</f>
        <v>1740.7322120144534</v>
      </c>
      <c r="N4703" s="75">
        <f>'THAM_SO_MOI'!$C$12*I4703</f>
        <v>1578.4817690220118</v>
      </c>
      <c r="O4703" s="75">
        <f>M4703+N4703</f>
        <v>3319.213981036465</v>
      </c>
      <c r="P4703" s="75">
        <f>(MIN(L4703,'THAM_SO_MOI'!$C$41)-O4703)/('THAM_SO_MOI'!$C$11*H4703)</f>
        <v>0.05079890909061404</v>
      </c>
      <c r="Q4703" s="75">
        <f>IF(P4703&gt;0,1/P4703,NA())</f>
        <v>19.68546210738937</v>
      </c>
      <c r="R4703" s="75">
        <f>F4703-F4702</f>
        <v>0.0035868055555567935</v>
      </c>
      <c r="S4703" s="75">
        <f>0.5*(Q4702+Q4703)*R4703</f>
        <v>0.07054921519319299</v>
      </c>
      <c r="T4703" s="75">
        <f>0.5*(F4702*Q4702+F4703*Q4703)*R4703</f>
        <v>1.720930505421407</v>
      </c>
      <c r="U4703" s="76">
        <f>U4702+S4703</f>
        <v>92.0534982845758</v>
      </c>
      <c r="V4703" s="76">
        <f>V4702+T4703</f>
        <v>1639.8744590530018</v>
      </c>
    </row>
    <row r="4704" spans="1:22" ht="19" customHeight="1">
      <c r="A4704" s="68" t="s">
        <v>378</v>
      </c>
      <c r="B4704" s="74">
        <v>5</v>
      </c>
      <c r="C4704" s="68" t="s">
        <v>363</v>
      </c>
      <c r="D4704" s="68" t="s">
        <v>365</v>
      </c>
      <c r="E4704" s="75">
        <f>60*F4704*'THAM_SO_MOI'!$C$53/(2*PI()*'THAM_SO_MOI'!$C$26)</f>
        <v>2403.9151842105257</v>
      </c>
      <c r="F4704" s="75">
        <f>'THAM_SO_MOI'!$C$14+('THAM_SO_MOI'!$C$37-'THAM_SO_MOI'!$C$14)*613/'THAM_SO_MOI'!$C$42</f>
        <v>24.398711805555553</v>
      </c>
      <c r="G4704" s="75">
        <f>3.6*F4704</f>
        <v>87.83536249999999</v>
      </c>
      <c r="H4704" s="75">
        <f>'THAM_SO_MOI'!$D$53</f>
        <v>1.1</v>
      </c>
      <c r="I4704" s="75">
        <f>IF(F4704&gt;='THAM_SO_MOI'!$C$14,'THAM_SO_MOI'!$C$13*(1+F4704^2/1500),'THAM_SO_MOI'!$C$13)</f>
        <v>0.02095297137770556</v>
      </c>
      <c r="J4704" s="75">
        <f>'THAM_SO_MOI'!$C$40*('THAM_SO_MOI'!$C$23*(E4704/'THAM_SO_MOI'!$C$22)+'THAM_SO_MOI'!$C$24*(E4704/'THAM_SO_MOI'!$C$22)^2-'THAM_SO_MOI'!$C$25*(E4704/'THAM_SO_MOI'!$C$22)^3)</f>
        <v>107.57204817735942</v>
      </c>
      <c r="K4704" s="75">
        <f>'THAM_SO_MOI'!$C$31*J4704/E4704</f>
        <v>427.3991118454921</v>
      </c>
      <c r="L4704" s="75">
        <f>K4704*'THAM_SO_MOI'!$C$53*'THAM_SO_MOI'!$C$17/'THAM_SO_MOI'!$C$26</f>
        <v>3748.291883284252</v>
      </c>
      <c r="M4704" s="75">
        <f>'THAM_SO_MOI'!$C$15*'THAM_SO_MOI'!$C$16*F4704^2</f>
        <v>1741.2441279788763</v>
      </c>
      <c r="N4704" s="75">
        <f>'THAM_SO_MOI'!$C$12*I4704</f>
        <v>1578.613625973439</v>
      </c>
      <c r="O4704" s="75">
        <f>M4704+N4704</f>
        <v>3319.8577539523153</v>
      </c>
      <c r="P4704" s="75">
        <f>(MIN(L4704,'THAM_SO_MOI'!$C$41)-O4704)/('THAM_SO_MOI'!$C$11*H4704)</f>
        <v>0.0507142672031175</v>
      </c>
      <c r="Q4704" s="75">
        <f>IF(P4704&gt;0,1/P4704,NA())</f>
        <v>19.718317056517147</v>
      </c>
      <c r="R4704" s="75">
        <f>F4704-F4703</f>
        <v>0.0035868055555532408</v>
      </c>
      <c r="S4704" s="75">
        <f>0.5*(Q4703+Q4704)*R4704</f>
        <v>0.07066684700744646</v>
      </c>
      <c r="T4704" s="75">
        <f>0.5*(F4703*Q4703+F4704*Q4704)*R4704</f>
        <v>1.7240534058934123</v>
      </c>
      <c r="U4704" s="76">
        <f>U4703+S4704</f>
        <v>92.12416513158324</v>
      </c>
      <c r="V4704" s="76">
        <f>V4703+T4704</f>
        <v>1641.5985124588951</v>
      </c>
    </row>
    <row r="4705" spans="1:22" ht="19" customHeight="1">
      <c r="A4705" s="68" t="s">
        <v>378</v>
      </c>
      <c r="B4705" s="74">
        <v>5</v>
      </c>
      <c r="C4705" s="68" t="s">
        <v>363</v>
      </c>
      <c r="D4705" s="68" t="s">
        <v>365</v>
      </c>
      <c r="E4705" s="75">
        <f>60*F4705*'THAM_SO_MOI'!$C$53/(2*PI()*'THAM_SO_MOI'!$C$26)</f>
        <v>2404.2685789473676</v>
      </c>
      <c r="F4705" s="75">
        <f>'THAM_SO_MOI'!$C$14+('THAM_SO_MOI'!$C$37-'THAM_SO_MOI'!$C$14)*614/'THAM_SO_MOI'!$C$42</f>
        <v>24.40229861111111</v>
      </c>
      <c r="G4705" s="75">
        <f>3.6*F4705</f>
        <v>87.848275</v>
      </c>
      <c r="H4705" s="75">
        <f>'THAM_SO_MOI'!$D$53</f>
        <v>1.1</v>
      </c>
      <c r="I4705" s="75">
        <f>IF(F4705&gt;='THAM_SO_MOI'!$C$14,'THAM_SO_MOI'!$C$13*(1+F4705^2/1500),'THAM_SO_MOI'!$C$13)</f>
        <v>0.02095472177505835</v>
      </c>
      <c r="J4705" s="75">
        <f>'THAM_SO_MOI'!$C$40*('THAM_SO_MOI'!$C$23*(E4705/'THAM_SO_MOI'!$C$22)+'THAM_SO_MOI'!$C$24*(E4705/'THAM_SO_MOI'!$C$22)^2-'THAM_SO_MOI'!$C$25*(E4705/'THAM_SO_MOI'!$C$22)^3)</f>
        <v>107.58581306567294</v>
      </c>
      <c r="K4705" s="75">
        <f>'THAM_SO_MOI'!$C$31*J4705/E4705</f>
        <v>427.3909718255263</v>
      </c>
      <c r="L4705" s="75">
        <f>K4705*'THAM_SO_MOI'!$C$53*'THAM_SO_MOI'!$C$17/'THAM_SO_MOI'!$C$26</f>
        <v>3748.2204952773</v>
      </c>
      <c r="M4705" s="75">
        <f>'THAM_SO_MOI'!$C$15*'THAM_SO_MOI'!$C$16*F4705^2</f>
        <v>1741.7561192045682</v>
      </c>
      <c r="N4705" s="75">
        <f>'THAM_SO_MOI'!$C$12*I4705</f>
        <v>1578.7455023103162</v>
      </c>
      <c r="O4705" s="75">
        <f>M4705+N4705</f>
        <v>3320.5016215148844</v>
      </c>
      <c r="P4705" s="75">
        <f>(MIN(L4705,'THAM_SO_MOI'!$C$41)-O4705)/('THAM_SO_MOI'!$C$11*H4705)</f>
        <v>0.050629601534376845</v>
      </c>
      <c r="Q4705" s="75">
        <f>IF(P4705&gt;0,1/P4705,NA())</f>
        <v>19.751291135898292</v>
      </c>
      <c r="R4705" s="75">
        <f>F4705-F4704</f>
        <v>0.0035868055555567935</v>
      </c>
      <c r="S4705" s="75">
        <f>0.5*(Q4704+Q4705)*R4705</f>
        <v>0.07078490497010281</v>
      </c>
      <c r="T4705" s="75">
        <f>0.5*(F4704*Q4704+F4705*Q4705)*R4705</f>
        <v>1.7271875484486914</v>
      </c>
      <c r="U4705" s="76">
        <f>U4704+S4705</f>
        <v>92.19495003655334</v>
      </c>
      <c r="V4705" s="76">
        <f>V4704+T4705</f>
        <v>1643.3257000073438</v>
      </c>
    </row>
    <row r="4706" spans="1:22" ht="19" customHeight="1">
      <c r="A4706" s="68" t="s">
        <v>378</v>
      </c>
      <c r="B4706" s="74">
        <v>5</v>
      </c>
      <c r="C4706" s="68" t="s">
        <v>363</v>
      </c>
      <c r="D4706" s="68" t="s">
        <v>365</v>
      </c>
      <c r="E4706" s="75">
        <f>60*F4706*'THAM_SO_MOI'!$C$53/(2*PI()*'THAM_SO_MOI'!$C$26)</f>
        <v>2404.62197368421</v>
      </c>
      <c r="F4706" s="75">
        <f>'THAM_SO_MOI'!$C$14+('THAM_SO_MOI'!$C$37-'THAM_SO_MOI'!$C$14)*615/'THAM_SO_MOI'!$C$42</f>
        <v>24.405885416666663</v>
      </c>
      <c r="G4706" s="75">
        <f>3.6*F4706</f>
        <v>87.86118749999999</v>
      </c>
      <c r="H4706" s="75">
        <f>'THAM_SO_MOI'!$D$53</f>
        <v>1.1</v>
      </c>
      <c r="I4706" s="75">
        <f>IF(F4706&gt;='THAM_SO_MOI'!$C$14,'THAM_SO_MOI'!$C$13*(1+F4706^2/1500),'THAM_SO_MOI'!$C$13)</f>
        <v>0.020956472429714625</v>
      </c>
      <c r="J4706" s="75">
        <f>'THAM_SO_MOI'!$C$40*('THAM_SO_MOI'!$C$23*(E4706/'THAM_SO_MOI'!$C$22)+'THAM_SO_MOI'!$C$24*(E4706/'THAM_SO_MOI'!$C$22)^2-'THAM_SO_MOI'!$C$25*(E4706/'THAM_SO_MOI'!$C$22)^3)</f>
        <v>107.59957430125029</v>
      </c>
      <c r="K4706" s="75">
        <f>'THAM_SO_MOI'!$C$31*J4706/E4706</f>
        <v>427.38281968957614</v>
      </c>
      <c r="L4706" s="75">
        <f>K4706*'THAM_SO_MOI'!$C$53*'THAM_SO_MOI'!$C$17/'THAM_SO_MOI'!$C$26</f>
        <v>3748.1490010131183</v>
      </c>
      <c r="M4706" s="75">
        <f>'THAM_SO_MOI'!$C$15*'THAM_SO_MOI'!$C$16*F4706^2</f>
        <v>1742.268185691528</v>
      </c>
      <c r="N4706" s="75">
        <f>'THAM_SO_MOI'!$C$12*I4706</f>
        <v>1578.8773980326437</v>
      </c>
      <c r="O4706" s="75">
        <f>M4706+N4706</f>
        <v>3321.145583724172</v>
      </c>
      <c r="P4706" s="75">
        <f>(MIN(L4706,'THAM_SO_MOI'!$C$41)-O4706)/('THAM_SO_MOI'!$C$11*H4706)</f>
        <v>0.05054491208439235</v>
      </c>
      <c r="Q4706" s="75">
        <f>IF(P4706&gt;0,1/P4706,NA())</f>
        <v>19.78438499072566</v>
      </c>
      <c r="R4706" s="75">
        <f>F4706-F4705</f>
        <v>0.0035868055555532408</v>
      </c>
      <c r="S4706" s="75">
        <f>0.5*(Q4705+Q4706)*R4706</f>
        <v>0.07090339138676421</v>
      </c>
      <c r="T4706" s="75">
        <f>0.5*(F4705*Q4705+F4706*Q4706)*R4706</f>
        <v>1.7303329939389214</v>
      </c>
      <c r="U4706" s="76">
        <f>U4705+S4706</f>
        <v>92.2658534279401</v>
      </c>
      <c r="V4706" s="76">
        <f>V4705+T4706</f>
        <v>1645.0560330012827</v>
      </c>
    </row>
    <row r="4707" spans="1:22" ht="19" customHeight="1">
      <c r="A4707" s="68" t="s">
        <v>378</v>
      </c>
      <c r="B4707" s="74">
        <v>5</v>
      </c>
      <c r="C4707" s="68" t="s">
        <v>363</v>
      </c>
      <c r="D4707" s="68" t="s">
        <v>365</v>
      </c>
      <c r="E4707" s="75">
        <f>60*F4707*'THAM_SO_MOI'!$C$53/(2*PI()*'THAM_SO_MOI'!$C$26)</f>
        <v>2404.975368421052</v>
      </c>
      <c r="F4707" s="75">
        <f>'THAM_SO_MOI'!$C$14+('THAM_SO_MOI'!$C$37-'THAM_SO_MOI'!$C$14)*616/'THAM_SO_MOI'!$C$42</f>
        <v>24.40947222222222</v>
      </c>
      <c r="G4707" s="75">
        <f>3.6*F4707</f>
        <v>87.8741</v>
      </c>
      <c r="H4707" s="75">
        <f>'THAM_SO_MOI'!$D$53</f>
        <v>1.1</v>
      </c>
      <c r="I4707" s="75">
        <f>IF(F4707&gt;='THAM_SO_MOI'!$C$14,'THAM_SO_MOI'!$C$13*(1+F4707^2/1500),'THAM_SO_MOI'!$C$13)</f>
        <v>0.02095822334167438</v>
      </c>
      <c r="J4707" s="75">
        <f>'THAM_SO_MOI'!$C$40*('THAM_SO_MOI'!$C$23*(E4707/'THAM_SO_MOI'!$C$22)+'THAM_SO_MOI'!$C$24*(E4707/'THAM_SO_MOI'!$C$22)^2-'THAM_SO_MOI'!$C$25*(E4707/'THAM_SO_MOI'!$C$22)^3)</f>
        <v>107.61333188274648</v>
      </c>
      <c r="K4707" s="75">
        <f>'THAM_SO_MOI'!$C$31*J4707/E4707</f>
        <v>427.37465543764137</v>
      </c>
      <c r="L4707" s="75">
        <f>K4707*'THAM_SO_MOI'!$C$53*'THAM_SO_MOI'!$C$17/'THAM_SO_MOI'!$C$26</f>
        <v>3748.077400491704</v>
      </c>
      <c r="M4707" s="75">
        <f>'THAM_SO_MOI'!$C$15*'THAM_SO_MOI'!$C$16*F4707^2</f>
        <v>1742.7803274397568</v>
      </c>
      <c r="N4707" s="75">
        <f>'THAM_SO_MOI'!$C$12*I4707</f>
        <v>1579.0093131404212</v>
      </c>
      <c r="O4707" s="75">
        <f>M4707+N4707</f>
        <v>3321.789640580178</v>
      </c>
      <c r="P4707" s="75">
        <f>(MIN(L4707,'THAM_SO_MOI'!$C$41)-O4707)/('THAM_SO_MOI'!$C$11*H4707)</f>
        <v>0.05046019885316357</v>
      </c>
      <c r="Q4707" s="75">
        <f>IF(P4707&gt;0,1/P4707,NA())</f>
        <v>19.817599270861884</v>
      </c>
      <c r="R4707" s="75">
        <f>F4707-F4706</f>
        <v>0.0035868055555567935</v>
      </c>
      <c r="S4707" s="75">
        <f>0.5*(Q4706+Q4707)*R4707</f>
        <v>0.07102230858026745</v>
      </c>
      <c r="T4707" s="75">
        <f>0.5*(F4706*Q4706+F4707*Q4707)*R4707</f>
        <v>1.7334898036695152</v>
      </c>
      <c r="U4707" s="76">
        <f>U4706+S4707</f>
        <v>92.33687573652037</v>
      </c>
      <c r="V4707" s="76">
        <f>V4706+T4707</f>
        <v>1646.7895228049522</v>
      </c>
    </row>
    <row r="4708" spans="1:22" ht="19" customHeight="1">
      <c r="A4708" s="68" t="s">
        <v>378</v>
      </c>
      <c r="B4708" s="74">
        <v>5</v>
      </c>
      <c r="C4708" s="68" t="s">
        <v>363</v>
      </c>
      <c r="D4708" s="68" t="s">
        <v>365</v>
      </c>
      <c r="E4708" s="75">
        <f>60*F4708*'THAM_SO_MOI'!$C$53/(2*PI()*'THAM_SO_MOI'!$C$26)</f>
        <v>2405.3287631578946</v>
      </c>
      <c r="F4708" s="75">
        <f>'THAM_SO_MOI'!$C$14+('THAM_SO_MOI'!$C$37-'THAM_SO_MOI'!$C$14)*617/'THAM_SO_MOI'!$C$42</f>
        <v>24.413059027777777</v>
      </c>
      <c r="G4708" s="75">
        <f>3.6*F4708</f>
        <v>87.8870125</v>
      </c>
      <c r="H4708" s="75">
        <f>'THAM_SO_MOI'!$D$53</f>
        <v>1.1</v>
      </c>
      <c r="I4708" s="75">
        <f>IF(F4708&gt;='THAM_SO_MOI'!$C$14,'THAM_SO_MOI'!$C$13*(1+F4708^2/1500),'THAM_SO_MOI'!$C$13)</f>
        <v>0.02095997451093762</v>
      </c>
      <c r="J4708" s="75">
        <f>'THAM_SO_MOI'!$C$40*('THAM_SO_MOI'!$C$23*(E4708/'THAM_SO_MOI'!$C$22)+'THAM_SO_MOI'!$C$24*(E4708/'THAM_SO_MOI'!$C$22)^2-'THAM_SO_MOI'!$C$25*(E4708/'THAM_SO_MOI'!$C$22)^3)</f>
        <v>107.62708580881672</v>
      </c>
      <c r="K4708" s="75">
        <f>'THAM_SO_MOI'!$C$31*J4708/E4708</f>
        <v>427.3664790697222</v>
      </c>
      <c r="L4708" s="75">
        <f>K4708*'THAM_SO_MOI'!$C$53*'THAM_SO_MOI'!$C$17/'THAM_SO_MOI'!$C$26</f>
        <v>3748.0056937130585</v>
      </c>
      <c r="M4708" s="75">
        <f>'THAM_SO_MOI'!$C$15*'THAM_SO_MOI'!$C$16*F4708^2</f>
        <v>1743.2925444492541</v>
      </c>
      <c r="N4708" s="75">
        <f>'THAM_SO_MOI'!$C$12*I4708</f>
        <v>1579.1412476336493</v>
      </c>
      <c r="O4708" s="75">
        <f>M4708+N4708</f>
        <v>3322.4337920829034</v>
      </c>
      <c r="P4708" s="75">
        <f>(MIN(L4708,'THAM_SO_MOI'!$C$41)-O4708)/('THAM_SO_MOI'!$C$11*H4708)</f>
        <v>0.0503754618406907</v>
      </c>
      <c r="Q4708" s="75">
        <f>IF(P4708&gt;0,1/P4708,NA())</f>
        <v>19.85093463088117</v>
      </c>
      <c r="R4708" s="75">
        <f>F4708-F4707</f>
        <v>0.0035868055555567935</v>
      </c>
      <c r="S4708" s="75">
        <f>0.5*(Q4707+Q4708)*R4708</f>
        <v>0.0711416588897825</v>
      </c>
      <c r="T4708" s="75">
        <f>0.5*(F4707*Q4707+F4708*Q4708)*R4708</f>
        <v>1.7366580393779254</v>
      </c>
      <c r="U4708" s="76">
        <f>U4707+S4708</f>
        <v>92.40801739541016</v>
      </c>
      <c r="V4708" s="76">
        <f>V4707+T4708</f>
        <v>1648.5261808443302</v>
      </c>
    </row>
    <row r="4709" spans="1:22" ht="19" customHeight="1">
      <c r="A4709" s="68" t="s">
        <v>378</v>
      </c>
      <c r="B4709" s="74">
        <v>5</v>
      </c>
      <c r="C4709" s="68" t="s">
        <v>363</v>
      </c>
      <c r="D4709" s="68" t="s">
        <v>365</v>
      </c>
      <c r="E4709" s="75">
        <f>60*F4709*'THAM_SO_MOI'!$C$53/(2*PI()*'THAM_SO_MOI'!$C$26)</f>
        <v>2405.6821578947365</v>
      </c>
      <c r="F4709" s="75">
        <f>'THAM_SO_MOI'!$C$14+('THAM_SO_MOI'!$C$37-'THAM_SO_MOI'!$C$14)*618/'THAM_SO_MOI'!$C$42</f>
        <v>24.416645833333334</v>
      </c>
      <c r="G4709" s="75">
        <f>3.6*F4709</f>
        <v>87.89992500000001</v>
      </c>
      <c r="H4709" s="75">
        <f>'THAM_SO_MOI'!$D$53</f>
        <v>1.1</v>
      </c>
      <c r="I4709" s="75">
        <f>IF(F4709&gt;='THAM_SO_MOI'!$C$14,'THAM_SO_MOI'!$C$13*(1+F4709^2/1500),'THAM_SO_MOI'!$C$13)</f>
        <v>0.020961725937504342</v>
      </c>
      <c r="J4709" s="75">
        <f>'THAM_SO_MOI'!$C$40*('THAM_SO_MOI'!$C$23*(E4709/'THAM_SO_MOI'!$C$22)+'THAM_SO_MOI'!$C$24*(E4709/'THAM_SO_MOI'!$C$22)^2-'THAM_SO_MOI'!$C$25*(E4709/'THAM_SO_MOI'!$C$22)^3)</f>
        <v>107.64083607811605</v>
      </c>
      <c r="K4709" s="75">
        <f>'THAM_SO_MOI'!$C$31*J4709/E4709</f>
        <v>427.35829058581857</v>
      </c>
      <c r="L4709" s="75">
        <f>K4709*'THAM_SO_MOI'!$C$53*'THAM_SO_MOI'!$C$17/'THAM_SO_MOI'!$C$26</f>
        <v>3747.9338806771825</v>
      </c>
      <c r="M4709" s="75">
        <f>'THAM_SO_MOI'!$C$15*'THAM_SO_MOI'!$C$16*F4709^2</f>
        <v>1743.8048367200197</v>
      </c>
      <c r="N4709" s="75">
        <f>'THAM_SO_MOI'!$C$12*I4709</f>
        <v>1579.2732015123272</v>
      </c>
      <c r="O4709" s="75">
        <f>M4709+N4709</f>
        <v>3323.078038232347</v>
      </c>
      <c r="P4709" s="75">
        <f>(MIN(L4709,'THAM_SO_MOI'!$C$41)-O4709)/('THAM_SO_MOI'!$C$11*H4709)</f>
        <v>0.05029070104697391</v>
      </c>
      <c r="Q4709" s="75">
        <f>IF(P4709&gt;0,1/P4709,NA())</f>
        <v>19.884391730112338</v>
      </c>
      <c r="R4709" s="75">
        <f>F4709-F4708</f>
        <v>0.0035868055555567935</v>
      </c>
      <c r="S4709" s="75">
        <f>0.5*(Q4708+Q4709)*R4709</f>
        <v>0.07126144467173691</v>
      </c>
      <c r="T4709" s="75">
        <f>0.5*(F4708*Q4708+F4709*Q4709)*R4709</f>
        <v>1.7398377632565076</v>
      </c>
      <c r="U4709" s="76">
        <f>U4708+S4709</f>
        <v>92.47927884008189</v>
      </c>
      <c r="V4709" s="76">
        <f>V4708+T4709</f>
        <v>1650.2660186075866</v>
      </c>
    </row>
    <row r="4710" spans="1:22" ht="19" customHeight="1">
      <c r="A4710" s="68" t="s">
        <v>378</v>
      </c>
      <c r="B4710" s="74">
        <v>5</v>
      </c>
      <c r="C4710" s="68" t="s">
        <v>363</v>
      </c>
      <c r="D4710" s="68" t="s">
        <v>365</v>
      </c>
      <c r="E4710" s="75">
        <f>60*F4710*'THAM_SO_MOI'!$C$53/(2*PI()*'THAM_SO_MOI'!$C$26)</f>
        <v>2406.0355526315784</v>
      </c>
      <c r="F4710" s="75">
        <f>'THAM_SO_MOI'!$C$14+('THAM_SO_MOI'!$C$37-'THAM_SO_MOI'!$C$14)*619/'THAM_SO_MOI'!$C$42</f>
        <v>24.420232638888887</v>
      </c>
      <c r="G4710" s="75">
        <f>3.6*F4710</f>
        <v>87.9128375</v>
      </c>
      <c r="H4710" s="75">
        <f>'THAM_SO_MOI'!$D$53</f>
        <v>1.1</v>
      </c>
      <c r="I4710" s="75">
        <f>IF(F4710&gt;='THAM_SO_MOI'!$C$14,'THAM_SO_MOI'!$C$13*(1+F4710^2/1500),'THAM_SO_MOI'!$C$13)</f>
        <v>0.02096347762137454</v>
      </c>
      <c r="J4710" s="75">
        <f>'THAM_SO_MOI'!$C$40*('THAM_SO_MOI'!$C$23*(E4710/'THAM_SO_MOI'!$C$22)+'THAM_SO_MOI'!$C$24*(E4710/'THAM_SO_MOI'!$C$22)^2-'THAM_SO_MOI'!$C$25*(E4710/'THAM_SO_MOI'!$C$22)^3)</f>
        <v>107.65458268929962</v>
      </c>
      <c r="K4710" s="75">
        <f>'THAM_SO_MOI'!$C$31*J4710/E4710</f>
        <v>427.3500899859305</v>
      </c>
      <c r="L4710" s="75">
        <f>K4710*'THAM_SO_MOI'!$C$53*'THAM_SO_MOI'!$C$17/'THAM_SO_MOI'!$C$26</f>
        <v>3747.8619613840756</v>
      </c>
      <c r="M4710" s="75">
        <f>'THAM_SO_MOI'!$C$15*'THAM_SO_MOI'!$C$16*F4710^2</f>
        <v>1744.3172042520534</v>
      </c>
      <c r="N4710" s="75">
        <f>'THAM_SO_MOI'!$C$12*I4710</f>
        <v>1579.405174776455</v>
      </c>
      <c r="O4710" s="75">
        <f>M4710+N4710</f>
        <v>3323.7223790285084</v>
      </c>
      <c r="P4710" s="75">
        <f>(MIN(L4710,'THAM_SO_MOI'!$C$41)-O4710)/('THAM_SO_MOI'!$C$11*H4710)</f>
        <v>0.05020591647201316</v>
      </c>
      <c r="Q4710" s="75">
        <f>IF(P4710&gt;0,1/P4710,NA())</f>
        <v>19.91797123268213</v>
      </c>
      <c r="R4710" s="75">
        <f>F4710-F4709</f>
        <v>0.0035868055555532408</v>
      </c>
      <c r="S4710" s="75">
        <f>0.5*(Q4709+Q4710)*R4710</f>
        <v>0.07138166829954887</v>
      </c>
      <c r="T4710" s="75">
        <f>0.5*(F4709*Q4709+F4710*Q4710)*R4710</f>
        <v>1.7430290379463094</v>
      </c>
      <c r="U4710" s="76">
        <f>U4709+S4710</f>
        <v>92.55066050838144</v>
      </c>
      <c r="V4710" s="76">
        <f>V4709+T4710</f>
        <v>1652.009047645533</v>
      </c>
    </row>
    <row r="4711" spans="1:22" ht="19" customHeight="1">
      <c r="A4711" s="68" t="s">
        <v>378</v>
      </c>
      <c r="B4711" s="74">
        <v>5</v>
      </c>
      <c r="C4711" s="68" t="s">
        <v>363</v>
      </c>
      <c r="D4711" s="68" t="s">
        <v>365</v>
      </c>
      <c r="E4711" s="75">
        <f>60*F4711*'THAM_SO_MOI'!$C$53/(2*PI()*'THAM_SO_MOI'!$C$26)</f>
        <v>2406.3889473684203</v>
      </c>
      <c r="F4711" s="75">
        <f>'THAM_SO_MOI'!$C$14+('THAM_SO_MOI'!$C$37-'THAM_SO_MOI'!$C$14)*620/'THAM_SO_MOI'!$C$42</f>
        <v>24.423819444444444</v>
      </c>
      <c r="G4711" s="75">
        <f>3.6*F4711</f>
        <v>87.92575</v>
      </c>
      <c r="H4711" s="75">
        <f>'THAM_SO_MOI'!$D$53</f>
        <v>1.1</v>
      </c>
      <c r="I4711" s="75">
        <f>IF(F4711&gt;='THAM_SO_MOI'!$C$14,'THAM_SO_MOI'!$C$13*(1+F4711^2/1500),'THAM_SO_MOI'!$C$13)</f>
        <v>0.020965229562548225</v>
      </c>
      <c r="J4711" s="75">
        <f>'THAM_SO_MOI'!$C$40*('THAM_SO_MOI'!$C$23*(E4711/'THAM_SO_MOI'!$C$22)+'THAM_SO_MOI'!$C$24*(E4711/'THAM_SO_MOI'!$C$22)^2-'THAM_SO_MOI'!$C$25*(E4711/'THAM_SO_MOI'!$C$22)^3)</f>
        <v>107.66832564102256</v>
      </c>
      <c r="K4711" s="75">
        <f>'THAM_SO_MOI'!$C$31*J4711/E4711</f>
        <v>427.3418772700581</v>
      </c>
      <c r="L4711" s="75">
        <f>K4711*'THAM_SO_MOI'!$C$53*'THAM_SO_MOI'!$C$17/'THAM_SO_MOI'!$C$26</f>
        <v>3747.789935833738</v>
      </c>
      <c r="M4711" s="75">
        <f>'THAM_SO_MOI'!$C$15*'THAM_SO_MOI'!$C$16*F4711^2</f>
        <v>1744.8296470453558</v>
      </c>
      <c r="N4711" s="75">
        <f>'THAM_SO_MOI'!$C$12*I4711</f>
        <v>1579.5371674260334</v>
      </c>
      <c r="O4711" s="75">
        <f>M4711+N4711</f>
        <v>3324.3668144713893</v>
      </c>
      <c r="P4711" s="75">
        <f>(MIN(L4711,'THAM_SO_MOI'!$C$41)-O4711)/('THAM_SO_MOI'!$C$11*H4711)</f>
        <v>0.05012110811580834</v>
      </c>
      <c r="Q4711" s="75">
        <f>IF(P4711&gt;0,1/P4711,NA())</f>
        <v>19.95167380755888</v>
      </c>
      <c r="R4711" s="75">
        <f>F4711-F4710</f>
        <v>0.0035868055555567935</v>
      </c>
      <c r="S4711" s="75">
        <f>0.5*(Q4710+Q4711)*R4711</f>
        <v>0.07150233216420691</v>
      </c>
      <c r="T4711" s="75">
        <f>0.5*(F4710*Q4710+F4711*Q4711)*R4711</f>
        <v>1.7462319265515343</v>
      </c>
      <c r="U4711" s="76">
        <f>U4710+S4711</f>
        <v>92.62216284054564</v>
      </c>
      <c r="V4711" s="76">
        <f>V4710+T4711</f>
        <v>1653.7552795720844</v>
      </c>
    </row>
    <row r="4712" spans="1:22" ht="19" customHeight="1">
      <c r="A4712" s="68" t="s">
        <v>378</v>
      </c>
      <c r="B4712" s="74">
        <v>5</v>
      </c>
      <c r="C4712" s="68" t="s">
        <v>363</v>
      </c>
      <c r="D4712" s="68" t="s">
        <v>365</v>
      </c>
      <c r="E4712" s="75">
        <f>60*F4712*'THAM_SO_MOI'!$C$53/(2*PI()*'THAM_SO_MOI'!$C$26)</f>
        <v>2406.742342105262</v>
      </c>
      <c r="F4712" s="75">
        <f>'THAM_SO_MOI'!$C$14+('THAM_SO_MOI'!$C$37-'THAM_SO_MOI'!$C$14)*621/'THAM_SO_MOI'!$C$42</f>
        <v>24.427406249999997</v>
      </c>
      <c r="G4712" s="75">
        <f>3.6*F4712</f>
        <v>87.93866249999999</v>
      </c>
      <c r="H4712" s="75">
        <f>'THAM_SO_MOI'!$D$53</f>
        <v>1.1</v>
      </c>
      <c r="I4712" s="75">
        <f>IF(F4712&gt;='THAM_SO_MOI'!$C$14,'THAM_SO_MOI'!$C$13*(1+F4712^2/1500),'THAM_SO_MOI'!$C$13)</f>
        <v>0.020966981761025388</v>
      </c>
      <c r="J4712" s="75">
        <f>'THAM_SO_MOI'!$C$40*('THAM_SO_MOI'!$C$23*(E4712/'THAM_SO_MOI'!$C$22)+'THAM_SO_MOI'!$C$24*(E4712/'THAM_SO_MOI'!$C$22)^2-'THAM_SO_MOI'!$C$25*(E4712/'THAM_SO_MOI'!$C$22)^3)</f>
        <v>107.68206493193989</v>
      </c>
      <c r="K4712" s="75">
        <f>'THAM_SO_MOI'!$C$31*J4712/E4712</f>
        <v>427.333652438201</v>
      </c>
      <c r="L4712" s="75">
        <f>K4712*'THAM_SO_MOI'!$C$53*'THAM_SO_MOI'!$C$17/'THAM_SO_MOI'!$C$26</f>
        <v>3747.717804026168</v>
      </c>
      <c r="M4712" s="75">
        <f>'THAM_SO_MOI'!$C$15*'THAM_SO_MOI'!$C$16*F4712^2</f>
        <v>1745.3421650999264</v>
      </c>
      <c r="N4712" s="75">
        <f>'THAM_SO_MOI'!$C$12*I4712</f>
        <v>1579.6691794610615</v>
      </c>
      <c r="O4712" s="75">
        <f>M4712+N4712</f>
        <v>3325.0113445609877</v>
      </c>
      <c r="P4712" s="75">
        <f>(MIN(L4712,'THAM_SO_MOI'!$C$41)-O4712)/('THAM_SO_MOI'!$C$11*H4712)</f>
        <v>0.050036275978359364</v>
      </c>
      <c r="Q4712" s="75">
        <f>IF(P4712&gt;0,1/P4712,NA())</f>
        <v>19.98550012859668</v>
      </c>
      <c r="R4712" s="75">
        <f>F4712-F4711</f>
        <v>0.0035868055555532408</v>
      </c>
      <c r="S4712" s="75">
        <f>0.5*(Q4711+Q4712)*R4712</f>
        <v>0.07162343867364943</v>
      </c>
      <c r="T4712" s="75">
        <f>0.5*(F4711*Q4711+F4712*Q4712)*R4712</f>
        <v>1.7494464926247015</v>
      </c>
      <c r="U4712" s="76">
        <f>U4711+S4712</f>
        <v>92.6937862792193</v>
      </c>
      <c r="V4712" s="76">
        <f>V4711+T4712</f>
        <v>1655.504726064709</v>
      </c>
    </row>
    <row r="4713" spans="1:22" ht="19" customHeight="1">
      <c r="A4713" s="68" t="s">
        <v>378</v>
      </c>
      <c r="B4713" s="74">
        <v>5</v>
      </c>
      <c r="C4713" s="68" t="s">
        <v>363</v>
      </c>
      <c r="D4713" s="68" t="s">
        <v>365</v>
      </c>
      <c r="E4713" s="75">
        <f>60*F4713*'THAM_SO_MOI'!$C$53/(2*PI()*'THAM_SO_MOI'!$C$26)</f>
        <v>2407.0957368421045</v>
      </c>
      <c r="F4713" s="75">
        <f>'THAM_SO_MOI'!$C$14+('THAM_SO_MOI'!$C$37-'THAM_SO_MOI'!$C$14)*622/'THAM_SO_MOI'!$C$42</f>
        <v>24.430993055555554</v>
      </c>
      <c r="G4713" s="75">
        <f>3.6*F4713</f>
        <v>87.95157499999999</v>
      </c>
      <c r="H4713" s="75">
        <f>'THAM_SO_MOI'!$D$53</f>
        <v>1.1</v>
      </c>
      <c r="I4713" s="75">
        <f>IF(F4713&gt;='THAM_SO_MOI'!$C$14,'THAM_SO_MOI'!$C$13*(1+F4713^2/1500),'THAM_SO_MOI'!$C$13)</f>
        <v>0.020968734216806034</v>
      </c>
      <c r="J4713" s="75">
        <f>'THAM_SO_MOI'!$C$40*('THAM_SO_MOI'!$C$23*(E4713/'THAM_SO_MOI'!$C$22)+'THAM_SO_MOI'!$C$24*(E4713/'THAM_SO_MOI'!$C$22)^2-'THAM_SO_MOI'!$C$25*(E4713/'THAM_SO_MOI'!$C$22)^3)</f>
        <v>107.6958005607068</v>
      </c>
      <c r="K4713" s="75">
        <f>'THAM_SO_MOI'!$C$31*J4713/E4713</f>
        <v>427.32541549035943</v>
      </c>
      <c r="L4713" s="75">
        <f>K4713*'THAM_SO_MOI'!$C$53*'THAM_SO_MOI'!$C$17/'THAM_SO_MOI'!$C$26</f>
        <v>3747.6455659613666</v>
      </c>
      <c r="M4713" s="75">
        <f>'THAM_SO_MOI'!$C$15*'THAM_SO_MOI'!$C$16*F4713^2</f>
        <v>1745.854758415766</v>
      </c>
      <c r="N4713" s="75">
        <f>'THAM_SO_MOI'!$C$12*I4713</f>
        <v>1579.80121088154</v>
      </c>
      <c r="O4713" s="75">
        <f>M4713+N4713</f>
        <v>3325.655969297306</v>
      </c>
      <c r="P4713" s="75">
        <f>(MIN(L4713,'THAM_SO_MOI'!$C$41)-O4713)/('THAM_SO_MOI'!$C$11*H4713)</f>
        <v>0.04995142005966627</v>
      </c>
      <c r="Q4713" s="75">
        <f>IF(P4713&gt;0,1/P4713,NA())</f>
        <v>20.019450874580023</v>
      </c>
      <c r="R4713" s="75">
        <f>F4713-F4712</f>
        <v>0.0035868055555567935</v>
      </c>
      <c r="S4713" s="75">
        <f>0.5*(Q4712+Q4713)*R4713</f>
        <v>0.07174499025398576</v>
      </c>
      <c r="T4713" s="75">
        <f>0.5*(F4712*Q4712+F4713*Q4713)*R4713</f>
        <v>1.7526728001967782</v>
      </c>
      <c r="U4713" s="76">
        <f>U4712+S4713</f>
        <v>92.76553126947329</v>
      </c>
      <c r="V4713" s="76">
        <f>V4712+T4713</f>
        <v>1657.2573988649058</v>
      </c>
    </row>
    <row r="4714" spans="1:22" ht="19" customHeight="1">
      <c r="A4714" s="68" t="s">
        <v>378</v>
      </c>
      <c r="B4714" s="74">
        <v>5</v>
      </c>
      <c r="C4714" s="68" t="s">
        <v>363</v>
      </c>
      <c r="D4714" s="68" t="s">
        <v>365</v>
      </c>
      <c r="E4714" s="75">
        <f>60*F4714*'THAM_SO_MOI'!$C$53/(2*PI()*'THAM_SO_MOI'!$C$26)</f>
        <v>2407.449131578947</v>
      </c>
      <c r="F4714" s="75">
        <f>'THAM_SO_MOI'!$C$14+('THAM_SO_MOI'!$C$37-'THAM_SO_MOI'!$C$14)*623/'THAM_SO_MOI'!$C$42</f>
        <v>24.43457986111111</v>
      </c>
      <c r="G4714" s="75">
        <f>3.6*F4714</f>
        <v>87.9644875</v>
      </c>
      <c r="H4714" s="75">
        <f>'THAM_SO_MOI'!$D$53</f>
        <v>1.1</v>
      </c>
      <c r="I4714" s="75">
        <f>IF(F4714&gt;='THAM_SO_MOI'!$C$14,'THAM_SO_MOI'!$C$13*(1+F4714^2/1500),'THAM_SO_MOI'!$C$13)</f>
        <v>0.02097048692989017</v>
      </c>
      <c r="J4714" s="75">
        <f>'THAM_SO_MOI'!$C$40*('THAM_SO_MOI'!$C$23*(E4714/'THAM_SO_MOI'!$C$22)+'THAM_SO_MOI'!$C$24*(E4714/'THAM_SO_MOI'!$C$22)^2-'THAM_SO_MOI'!$C$25*(E4714/'THAM_SO_MOI'!$C$22)^3)</f>
        <v>107.70953252597842</v>
      </c>
      <c r="K4714" s="75">
        <f>'THAM_SO_MOI'!$C$31*J4714/E4714</f>
        <v>427.31716642653356</v>
      </c>
      <c r="L4714" s="75">
        <f>K4714*'THAM_SO_MOI'!$C$53*'THAM_SO_MOI'!$C$17/'THAM_SO_MOI'!$C$26</f>
        <v>3747.5732216393353</v>
      </c>
      <c r="M4714" s="75">
        <f>'THAM_SO_MOI'!$C$15*'THAM_SO_MOI'!$C$16*F4714^2</f>
        <v>1746.367426992874</v>
      </c>
      <c r="N4714" s="75">
        <f>'THAM_SO_MOI'!$C$12*I4714</f>
        <v>1579.9332616874692</v>
      </c>
      <c r="O4714" s="75">
        <f>M4714+N4714</f>
        <v>3326.3006886803432</v>
      </c>
      <c r="P4714" s="75">
        <f>(MIN(L4714,'THAM_SO_MOI'!$C$41)-O4714)/('THAM_SO_MOI'!$C$11*H4714)</f>
        <v>0.04986654035972918</v>
      </c>
      <c r="Q4714" s="75">
        <f>IF(P4714&gt;0,1/P4714,NA())</f>
        <v>20.05352672926899</v>
      </c>
      <c r="R4714" s="75">
        <f>F4714-F4713</f>
        <v>0.0035868055555567935</v>
      </c>
      <c r="S4714" s="75">
        <f>0.5*(Q4713+Q4714)*R4714</f>
        <v>0.0718669893485943</v>
      </c>
      <c r="T4714" s="75">
        <f>0.5*(F4713*Q4713+F4714*Q4714)*R4714</f>
        <v>1.7559109137554716</v>
      </c>
      <c r="U4714" s="76">
        <f>U4713+S4714</f>
        <v>92.83739825882188</v>
      </c>
      <c r="V4714" s="76">
        <f>V4713+T4714</f>
        <v>1659.0133097786613</v>
      </c>
    </row>
    <row r="4715" spans="1:22" ht="19" customHeight="1">
      <c r="A4715" s="68" t="s">
        <v>378</v>
      </c>
      <c r="B4715" s="74">
        <v>5</v>
      </c>
      <c r="C4715" s="68" t="s">
        <v>363</v>
      </c>
      <c r="D4715" s="68" t="s">
        <v>365</v>
      </c>
      <c r="E4715" s="75">
        <f>60*F4715*'THAM_SO_MOI'!$C$53/(2*PI()*'THAM_SO_MOI'!$C$26)</f>
        <v>2407.802526315789</v>
      </c>
      <c r="F4715" s="75">
        <f>'THAM_SO_MOI'!$C$14+('THAM_SO_MOI'!$C$37-'THAM_SO_MOI'!$C$14)*624/'THAM_SO_MOI'!$C$42</f>
        <v>24.438166666666664</v>
      </c>
      <c r="G4715" s="75">
        <f>3.6*F4715</f>
        <v>87.97739999999999</v>
      </c>
      <c r="H4715" s="75">
        <f>'THAM_SO_MOI'!$D$53</f>
        <v>1.1</v>
      </c>
      <c r="I4715" s="75">
        <f>IF(F4715&gt;='THAM_SO_MOI'!$C$14,'THAM_SO_MOI'!$C$13*(1+F4715^2/1500),'THAM_SO_MOI'!$C$13)</f>
        <v>0.020972239900277776</v>
      </c>
      <c r="J4715" s="75">
        <f>'THAM_SO_MOI'!$C$40*('THAM_SO_MOI'!$C$23*(E4715/'THAM_SO_MOI'!$C$22)+'THAM_SO_MOI'!$C$24*(E4715/'THAM_SO_MOI'!$C$22)^2-'THAM_SO_MOI'!$C$25*(E4715/'THAM_SO_MOI'!$C$22)^3)</f>
        <v>107.72326082640984</v>
      </c>
      <c r="K4715" s="75">
        <f>'THAM_SO_MOI'!$C$31*J4715/E4715</f>
        <v>427.30890524672344</v>
      </c>
      <c r="L4715" s="75">
        <f>K4715*'THAM_SO_MOI'!$C$53*'THAM_SO_MOI'!$C$17/'THAM_SO_MOI'!$C$26</f>
        <v>3747.500771060075</v>
      </c>
      <c r="M4715" s="75">
        <f>'THAM_SO_MOI'!$C$15*'THAM_SO_MOI'!$C$16*F4715^2</f>
        <v>1746.8801708312499</v>
      </c>
      <c r="N4715" s="75">
        <f>'THAM_SO_MOI'!$C$12*I4715</f>
        <v>1580.065331878848</v>
      </c>
      <c r="O4715" s="75">
        <f>M4715+N4715</f>
        <v>3326.9455027100976</v>
      </c>
      <c r="P4715" s="75">
        <f>(MIN(L4715,'THAM_SO_MOI'!$C$41)-O4715)/('THAM_SO_MOI'!$C$11*H4715)</f>
        <v>0.04978163687854842</v>
      </c>
      <c r="Q4715" s="75">
        <f>IF(P4715&gt;0,1/P4715,NA())</f>
        <v>20.087728381444876</v>
      </c>
      <c r="R4715" s="75">
        <f>F4715-F4714</f>
        <v>0.0035868055555532408</v>
      </c>
      <c r="S4715" s="75">
        <f>0.5*(Q4714+Q4715)*R4715</f>
        <v>0.07198943841899422</v>
      </c>
      <c r="T4715" s="75">
        <f>0.5*(F4714*Q4714+F4715*Q4715)*R4715</f>
        <v>1.759160898266838</v>
      </c>
      <c r="U4715" s="76">
        <f>U4714+S4715</f>
        <v>92.90938769724087</v>
      </c>
      <c r="V4715" s="76">
        <f>V4714+T4715</f>
        <v>1660.7724706769282</v>
      </c>
    </row>
    <row r="4716" spans="1:22" ht="19" customHeight="1">
      <c r="A4716" s="68" t="s">
        <v>378</v>
      </c>
      <c r="B4716" s="74">
        <v>5</v>
      </c>
      <c r="C4716" s="68" t="s">
        <v>363</v>
      </c>
      <c r="D4716" s="68" t="s">
        <v>365</v>
      </c>
      <c r="E4716" s="75">
        <f>60*F4716*'THAM_SO_MOI'!$C$53/(2*PI()*'THAM_SO_MOI'!$C$26)</f>
        <v>2408.155921052631</v>
      </c>
      <c r="F4716" s="75">
        <f>'THAM_SO_MOI'!$C$14+('THAM_SO_MOI'!$C$37-'THAM_SO_MOI'!$C$14)*625/'THAM_SO_MOI'!$C$42</f>
        <v>24.44175347222222</v>
      </c>
      <c r="G4716" s="75">
        <f>3.6*F4716</f>
        <v>87.9903125</v>
      </c>
      <c r="H4716" s="75">
        <f>'THAM_SO_MOI'!$D$53</f>
        <v>1.1</v>
      </c>
      <c r="I4716" s="75">
        <f>IF(F4716&gt;='THAM_SO_MOI'!$C$14,'THAM_SO_MOI'!$C$13*(1+F4716^2/1500),'THAM_SO_MOI'!$C$13)</f>
        <v>0.02097399312796887</v>
      </c>
      <c r="J4716" s="75">
        <f>'THAM_SO_MOI'!$C$40*('THAM_SO_MOI'!$C$23*(E4716/'THAM_SO_MOI'!$C$22)+'THAM_SO_MOI'!$C$24*(E4716/'THAM_SO_MOI'!$C$22)^2-'THAM_SO_MOI'!$C$25*(E4716/'THAM_SO_MOI'!$C$22)^3)</f>
        <v>107.73698546065609</v>
      </c>
      <c r="K4716" s="75">
        <f>'THAM_SO_MOI'!$C$31*J4716/E4716</f>
        <v>427.30063195092845</v>
      </c>
      <c r="L4716" s="75">
        <f>K4716*'THAM_SO_MOI'!$C$53*'THAM_SO_MOI'!$C$17/'THAM_SO_MOI'!$C$26</f>
        <v>3747.4282142235797</v>
      </c>
      <c r="M4716" s="75">
        <f>'THAM_SO_MOI'!$C$15*'THAM_SO_MOI'!$C$16*F4716^2</f>
        <v>1747.3929899308946</v>
      </c>
      <c r="N4716" s="75">
        <f>'THAM_SO_MOI'!$C$12*I4716</f>
        <v>1580.1974214556772</v>
      </c>
      <c r="O4716" s="75">
        <f>M4716+N4716</f>
        <v>3327.5904113865718</v>
      </c>
      <c r="P4716" s="75">
        <f>(MIN(L4716,'THAM_SO_MOI'!$C$41)-O4716)/('THAM_SO_MOI'!$C$11*H4716)</f>
        <v>0.0496967096161231</v>
      </c>
      <c r="Q4716" s="75">
        <f>IF(P4716&gt;0,1/P4716,NA())</f>
        <v>20.122056524956935</v>
      </c>
      <c r="R4716" s="75">
        <f>F4716-F4715</f>
        <v>0.0035868055555567935</v>
      </c>
      <c r="S4716" s="75">
        <f>0.5*(Q4715+Q4716)*R4716</f>
        <v>0.07211233994501286</v>
      </c>
      <c r="T4716" s="75">
        <f>0.5*(F4715*Q4715+F4716*Q4716)*R4716</f>
        <v>1.7624228191797033</v>
      </c>
      <c r="U4716" s="76">
        <f>U4715+S4716</f>
        <v>92.98150003718588</v>
      </c>
      <c r="V4716" s="76">
        <f>V4715+T4716</f>
        <v>1662.5348934961078</v>
      </c>
    </row>
    <row r="4717" spans="1:22" ht="19" customHeight="1">
      <c r="A4717" s="68" t="s">
        <v>378</v>
      </c>
      <c r="B4717" s="74">
        <v>5</v>
      </c>
      <c r="C4717" s="68" t="s">
        <v>363</v>
      </c>
      <c r="D4717" s="68" t="s">
        <v>365</v>
      </c>
      <c r="E4717" s="75">
        <f>60*F4717*'THAM_SO_MOI'!$C$53/(2*PI()*'THAM_SO_MOI'!$C$26)</f>
        <v>2408.509315789473</v>
      </c>
      <c r="F4717" s="75">
        <f>'THAM_SO_MOI'!$C$14+('THAM_SO_MOI'!$C$37-'THAM_SO_MOI'!$C$14)*626/'THAM_SO_MOI'!$C$42</f>
        <v>24.445340277777778</v>
      </c>
      <c r="G4717" s="75">
        <f>3.6*F4717</f>
        <v>88.003225</v>
      </c>
      <c r="H4717" s="75">
        <f>'THAM_SO_MOI'!$D$53</f>
        <v>1.1</v>
      </c>
      <c r="I4717" s="75">
        <f>IF(F4717&gt;='THAM_SO_MOI'!$C$14,'THAM_SO_MOI'!$C$13*(1+F4717^2/1500),'THAM_SO_MOI'!$C$13)</f>
        <v>0.020975746612963444</v>
      </c>
      <c r="J4717" s="75">
        <f>'THAM_SO_MOI'!$C$40*('THAM_SO_MOI'!$C$23*(E4717/'THAM_SO_MOI'!$C$22)+'THAM_SO_MOI'!$C$24*(E4717/'THAM_SO_MOI'!$C$22)^2-'THAM_SO_MOI'!$C$25*(E4717/'THAM_SO_MOI'!$C$22)^3)</f>
        <v>107.75070642737234</v>
      </c>
      <c r="K4717" s="75">
        <f>'THAM_SO_MOI'!$C$31*J4717/E4717</f>
        <v>427.29234653914915</v>
      </c>
      <c r="L4717" s="75">
        <f>K4717*'THAM_SO_MOI'!$C$53*'THAM_SO_MOI'!$C$17/'THAM_SO_MOI'!$C$26</f>
        <v>3747.355551129855</v>
      </c>
      <c r="M4717" s="75">
        <f>'THAM_SO_MOI'!$C$15*'THAM_SO_MOI'!$C$16*F4717^2</f>
        <v>1747.9058842918078</v>
      </c>
      <c r="N4717" s="75">
        <f>'THAM_SO_MOI'!$C$12*I4717</f>
        <v>1580.3295304179562</v>
      </c>
      <c r="O4717" s="75">
        <f>M4717+N4717</f>
        <v>3328.235414709764</v>
      </c>
      <c r="P4717" s="75">
        <f>(MIN(L4717,'THAM_SO_MOI'!$C$41)-O4717)/('THAM_SO_MOI'!$C$11*H4717)</f>
        <v>0.04961175857245396</v>
      </c>
      <c r="Q4717" s="75">
        <f>IF(P4717&gt;0,1/P4717,NA())</f>
        <v>20.156511858767935</v>
      </c>
      <c r="R4717" s="75">
        <f>F4717-F4716</f>
        <v>0.0035868055555567935</v>
      </c>
      <c r="S4717" s="75">
        <f>0.5*(Q4716+Q4717)*R4717</f>
        <v>0.0722356964243093</v>
      </c>
      <c r="T4717" s="75">
        <f>0.5*(F4716*Q4716+F4717*Q4717)*R4717</f>
        <v>1.765696742414341</v>
      </c>
      <c r="U4717" s="76">
        <f>U4716+S4717</f>
        <v>93.0537357336102</v>
      </c>
      <c r="V4717" s="76">
        <f>V4716+T4717</f>
        <v>1664.300590238522</v>
      </c>
    </row>
    <row r="4718" spans="1:22" ht="19" customHeight="1">
      <c r="A4718" s="68" t="s">
        <v>378</v>
      </c>
      <c r="B4718" s="74">
        <v>5</v>
      </c>
      <c r="C4718" s="68" t="s">
        <v>363</v>
      </c>
      <c r="D4718" s="68" t="s">
        <v>365</v>
      </c>
      <c r="E4718" s="75">
        <f>60*F4718*'THAM_SO_MOI'!$C$53/(2*PI()*'THAM_SO_MOI'!$C$26)</f>
        <v>2408.862710526315</v>
      </c>
      <c r="F4718" s="75">
        <f>'THAM_SO_MOI'!$C$14+('THAM_SO_MOI'!$C$37-'THAM_SO_MOI'!$C$14)*627/'THAM_SO_MOI'!$C$42</f>
        <v>24.44892708333333</v>
      </c>
      <c r="G4718" s="75">
        <f>3.6*F4718</f>
        <v>88.0161375</v>
      </c>
      <c r="H4718" s="75">
        <f>'THAM_SO_MOI'!$D$53</f>
        <v>1.1</v>
      </c>
      <c r="I4718" s="75">
        <f>IF(F4718&gt;='THAM_SO_MOI'!$C$14,'THAM_SO_MOI'!$C$13*(1+F4718^2/1500),'THAM_SO_MOI'!$C$13)</f>
        <v>0.0209775003552615</v>
      </c>
      <c r="J4718" s="75">
        <f>'THAM_SO_MOI'!$C$40*('THAM_SO_MOI'!$C$23*(E4718/'THAM_SO_MOI'!$C$22)+'THAM_SO_MOI'!$C$24*(E4718/'THAM_SO_MOI'!$C$22)^2-'THAM_SO_MOI'!$C$25*(E4718/'THAM_SO_MOI'!$C$22)^3)</f>
        <v>107.7644237252137</v>
      </c>
      <c r="K4718" s="75">
        <f>'THAM_SO_MOI'!$C$31*J4718/E4718</f>
        <v>427.2840490113854</v>
      </c>
      <c r="L4718" s="75">
        <f>K4718*'THAM_SO_MOI'!$C$53*'THAM_SO_MOI'!$C$17/'THAM_SO_MOI'!$C$26</f>
        <v>3747.282781778899</v>
      </c>
      <c r="M4718" s="75">
        <f>'THAM_SO_MOI'!$C$15*'THAM_SO_MOI'!$C$16*F4718^2</f>
        <v>1748.418853913989</v>
      </c>
      <c r="N4718" s="75">
        <f>'THAM_SO_MOI'!$C$12*I4718</f>
        <v>1580.4616587656858</v>
      </c>
      <c r="O4718" s="75">
        <f>M4718+N4718</f>
        <v>3328.880512679675</v>
      </c>
      <c r="P4718" s="75">
        <f>(MIN(L4718,'THAM_SO_MOI'!$C$41)-O4718)/('THAM_SO_MOI'!$C$11*H4718)</f>
        <v>0.049526783747540715</v>
      </c>
      <c r="Q4718" s="75">
        <f>IF(P4718&gt;0,1/P4718,NA())</f>
        <v>20.191095087002406</v>
      </c>
      <c r="R4718" s="75">
        <f>F4718-F4717</f>
        <v>0.0035868055555532408</v>
      </c>
      <c r="S4718" s="75">
        <f>0.5*(Q4717+Q4718)*R4718</f>
        <v>0.07235951037318379</v>
      </c>
      <c r="T4718" s="75">
        <f>0.5*(F4717*Q4717+F4718*Q4718)*R4718</f>
        <v>1.7689827343825835</v>
      </c>
      <c r="U4718" s="76">
        <f>U4717+S4718</f>
        <v>93.12609524398339</v>
      </c>
      <c r="V4718" s="76">
        <f>V4717+T4718</f>
        <v>1666.0695729729048</v>
      </c>
    </row>
    <row r="4719" spans="1:22" ht="19" customHeight="1">
      <c r="A4719" s="68" t="s">
        <v>378</v>
      </c>
      <c r="B4719" s="74">
        <v>5</v>
      </c>
      <c r="C4719" s="68" t="s">
        <v>363</v>
      </c>
      <c r="D4719" s="68" t="s">
        <v>365</v>
      </c>
      <c r="E4719" s="75">
        <f>60*F4719*'THAM_SO_MOI'!$C$53/(2*PI()*'THAM_SO_MOI'!$C$26)</f>
        <v>2409.216105263157</v>
      </c>
      <c r="F4719" s="75">
        <f>'THAM_SO_MOI'!$C$14+('THAM_SO_MOI'!$C$37-'THAM_SO_MOI'!$C$14)*628/'THAM_SO_MOI'!$C$42</f>
        <v>24.452513888888888</v>
      </c>
      <c r="G4719" s="75">
        <f>3.6*F4719</f>
        <v>88.02905</v>
      </c>
      <c r="H4719" s="75">
        <f>'THAM_SO_MOI'!$D$53</f>
        <v>1.1</v>
      </c>
      <c r="I4719" s="75">
        <f>IF(F4719&gt;='THAM_SO_MOI'!$C$14,'THAM_SO_MOI'!$C$13*(1+F4719^2/1500),'THAM_SO_MOI'!$C$13)</f>
        <v>0.020979254354863038</v>
      </c>
      <c r="J4719" s="75">
        <f>'THAM_SO_MOI'!$C$40*('THAM_SO_MOI'!$C$23*(E4719/'THAM_SO_MOI'!$C$22)+'THAM_SO_MOI'!$C$24*(E4719/'THAM_SO_MOI'!$C$22)^2-'THAM_SO_MOI'!$C$25*(E4719/'THAM_SO_MOI'!$C$22)^3)</f>
        <v>107.7781373528353</v>
      </c>
      <c r="K4719" s="75">
        <f>'THAM_SO_MOI'!$C$31*J4719/E4719</f>
        <v>427.27573936763724</v>
      </c>
      <c r="L4719" s="75">
        <f>K4719*'THAM_SO_MOI'!$C$53*'THAM_SO_MOI'!$C$17/'THAM_SO_MOI'!$C$26</f>
        <v>3747.2099061707117</v>
      </c>
      <c r="M4719" s="75">
        <f>'THAM_SO_MOI'!$C$15*'THAM_SO_MOI'!$C$16*F4719^2</f>
        <v>1748.9318987974393</v>
      </c>
      <c r="N4719" s="75">
        <f>'THAM_SO_MOI'!$C$12*I4719</f>
        <v>1580.5938064988652</v>
      </c>
      <c r="O4719" s="75">
        <f>M4719+N4719</f>
        <v>3329.5257052963043</v>
      </c>
      <c r="P4719" s="75">
        <f>(MIN(L4719,'THAM_SO_MOI'!$C$41)-O4719)/('THAM_SO_MOI'!$C$11*H4719)</f>
        <v>0.04944178514138343</v>
      </c>
      <c r="Q4719" s="75">
        <f>IF(P4719&gt;0,1/P4719,NA())</f>
        <v>20.225806918993843</v>
      </c>
      <c r="R4719" s="75">
        <f>F4719-F4718</f>
        <v>0.0035868055555567935</v>
      </c>
      <c r="S4719" s="75">
        <f>0.5*(Q4718+Q4719)*R4719</f>
        <v>0.07248378432675093</v>
      </c>
      <c r="T4719" s="75">
        <f>0.5*(F4718*Q4718+F4719*Q4719)*R4719</f>
        <v>1.7722808619923887</v>
      </c>
      <c r="U4719" s="76">
        <f>U4718+S4719</f>
        <v>93.19857902831014</v>
      </c>
      <c r="V4719" s="76">
        <f>V4718+T4719</f>
        <v>1667.8418538348972</v>
      </c>
    </row>
    <row r="4720" spans="1:22" ht="19" customHeight="1">
      <c r="A4720" s="68" t="s">
        <v>378</v>
      </c>
      <c r="B4720" s="74">
        <v>5</v>
      </c>
      <c r="C4720" s="68" t="s">
        <v>363</v>
      </c>
      <c r="D4720" s="68" t="s">
        <v>365</v>
      </c>
      <c r="E4720" s="75">
        <f>60*F4720*'THAM_SO_MOI'!$C$53/(2*PI()*'THAM_SO_MOI'!$C$26)</f>
        <v>2409.569499999999</v>
      </c>
      <c r="F4720" s="75">
        <f>'THAM_SO_MOI'!$C$14+('THAM_SO_MOI'!$C$37-'THAM_SO_MOI'!$C$14)*629/'THAM_SO_MOI'!$C$42</f>
        <v>24.456100694444444</v>
      </c>
      <c r="G4720" s="75">
        <f>3.6*F4720</f>
        <v>88.0419625</v>
      </c>
      <c r="H4720" s="75">
        <f>'THAM_SO_MOI'!$D$53</f>
        <v>1.1</v>
      </c>
      <c r="I4720" s="75">
        <f>IF(F4720&gt;='THAM_SO_MOI'!$C$14,'THAM_SO_MOI'!$C$13*(1+F4720^2/1500),'THAM_SO_MOI'!$C$13)</f>
        <v>0.02098100861176806</v>
      </c>
      <c r="J4720" s="75">
        <f>'THAM_SO_MOI'!$C$40*('THAM_SO_MOI'!$C$23*(E4720/'THAM_SO_MOI'!$C$22)+'THAM_SO_MOI'!$C$24*(E4720/'THAM_SO_MOI'!$C$22)^2-'THAM_SO_MOI'!$C$25*(E4720/'THAM_SO_MOI'!$C$22)^3)</f>
        <v>107.79184730889227</v>
      </c>
      <c r="K4720" s="75">
        <f>'THAM_SO_MOI'!$C$31*J4720/E4720</f>
        <v>427.26741760790463</v>
      </c>
      <c r="L4720" s="75">
        <f>K4720*'THAM_SO_MOI'!$C$53*'THAM_SO_MOI'!$C$17/'THAM_SO_MOI'!$C$26</f>
        <v>3747.1369243052945</v>
      </c>
      <c r="M4720" s="75">
        <f>'THAM_SO_MOI'!$C$15*'THAM_SO_MOI'!$C$16*F4720^2</f>
        <v>1749.4450189421577</v>
      </c>
      <c r="N4720" s="75">
        <f>'THAM_SO_MOI'!$C$12*I4720</f>
        <v>1580.7259736174951</v>
      </c>
      <c r="O4720" s="75">
        <f>M4720+N4720</f>
        <v>3330.170992559653</v>
      </c>
      <c r="P4720" s="75">
        <f>(MIN(L4720,'THAM_SO_MOI'!$C$41)-O4720)/('THAM_SO_MOI'!$C$11*H4720)</f>
        <v>0.04935676275398221</v>
      </c>
      <c r="Q4720" s="75">
        <f>IF(P4720&gt;0,1/P4720,NA())</f>
        <v>20.26064806933307</v>
      </c>
      <c r="R4720" s="75">
        <f>F4720-F4719</f>
        <v>0.0035868055555567935</v>
      </c>
      <c r="S4720" s="75">
        <f>0.5*(Q4719+Q4720)*R4720</f>
        <v>0.07260852083846552</v>
      </c>
      <c r="T4720" s="75">
        <f>0.5*(F4719*Q4719+F4720*Q4720)*R4720</f>
        <v>1.7755911926365844</v>
      </c>
      <c r="U4720" s="76">
        <f>U4719+S4720</f>
        <v>93.2711875491486</v>
      </c>
      <c r="V4720" s="76">
        <f>V4719+T4720</f>
        <v>1669.6174450275337</v>
      </c>
    </row>
    <row r="4721" spans="1:22" ht="19" customHeight="1">
      <c r="A4721" s="68" t="s">
        <v>378</v>
      </c>
      <c r="B4721" s="74">
        <v>5</v>
      </c>
      <c r="C4721" s="68" t="s">
        <v>363</v>
      </c>
      <c r="D4721" s="68" t="s">
        <v>365</v>
      </c>
      <c r="E4721" s="75">
        <f>60*F4721*'THAM_SO_MOI'!$C$53/(2*PI()*'THAM_SO_MOI'!$C$26)</f>
        <v>2409.9228947368415</v>
      </c>
      <c r="F4721" s="75">
        <f>'THAM_SO_MOI'!$C$14+('THAM_SO_MOI'!$C$37-'THAM_SO_MOI'!$C$14)*630/'THAM_SO_MOI'!$C$42</f>
        <v>24.459687499999998</v>
      </c>
      <c r="G4721" s="75">
        <f>3.6*F4721</f>
        <v>88.054875</v>
      </c>
      <c r="H4721" s="75">
        <f>'THAM_SO_MOI'!$D$53</f>
        <v>1.1</v>
      </c>
      <c r="I4721" s="75">
        <f>IF(F4721&gt;='THAM_SO_MOI'!$C$14,'THAM_SO_MOI'!$C$13*(1+F4721^2/1500),'THAM_SO_MOI'!$C$13)</f>
        <v>0.02098276312597656</v>
      </c>
      <c r="J4721" s="75">
        <f>'THAM_SO_MOI'!$C$40*('THAM_SO_MOI'!$C$23*(E4721/'THAM_SO_MOI'!$C$22)+'THAM_SO_MOI'!$C$24*(E4721/'THAM_SO_MOI'!$C$22)^2-'THAM_SO_MOI'!$C$25*(E4721/'THAM_SO_MOI'!$C$22)^3)</f>
        <v>107.80555359203964</v>
      </c>
      <c r="K4721" s="75">
        <f>'THAM_SO_MOI'!$C$31*J4721/E4721</f>
        <v>427.2590837321875</v>
      </c>
      <c r="L4721" s="75">
        <f>K4721*'THAM_SO_MOI'!$C$53*'THAM_SO_MOI'!$C$17/'THAM_SO_MOI'!$C$26</f>
        <v>3747.063836182645</v>
      </c>
      <c r="M4721" s="75">
        <f>'THAM_SO_MOI'!$C$15*'THAM_SO_MOI'!$C$16*F4721^2</f>
        <v>1749.9582143481443</v>
      </c>
      <c r="N4721" s="75">
        <f>'THAM_SO_MOI'!$C$12*I4721</f>
        <v>1580.8581601215749</v>
      </c>
      <c r="O4721" s="75">
        <f>M4721+N4721</f>
        <v>3330.8163744697194</v>
      </c>
      <c r="P4721" s="75">
        <f>(MIN(L4721,'THAM_SO_MOI'!$C$41)-O4721)/('THAM_SO_MOI'!$C$11*H4721)</f>
        <v>0.049271716585336855</v>
      </c>
      <c r="Q4721" s="75">
        <f>IF(P4721&gt;0,1/P4721,NA())</f>
        <v>20.29561925791718</v>
      </c>
      <c r="R4721" s="75">
        <f>F4721-F4720</f>
        <v>0.0035868055555532408</v>
      </c>
      <c r="S4721" s="75">
        <f>0.5*(Q4720+Q4721)*R4721</f>
        <v>0.0727337224809418</v>
      </c>
      <c r="T4721" s="75">
        <f>0.5*(F4720*Q4720+F4721*Q4721)*R4721</f>
        <v>1.7789137942132327</v>
      </c>
      <c r="U4721" s="76">
        <f>U4720+S4721</f>
        <v>93.34392127162955</v>
      </c>
      <c r="V4721" s="76">
        <f>V4720+T4721</f>
        <v>1671.3963588217468</v>
      </c>
    </row>
    <row r="4722" spans="1:22" ht="19" customHeight="1">
      <c r="A4722" s="68" t="s">
        <v>378</v>
      </c>
      <c r="B4722" s="74">
        <v>5</v>
      </c>
      <c r="C4722" s="68" t="s">
        <v>363</v>
      </c>
      <c r="D4722" s="68" t="s">
        <v>365</v>
      </c>
      <c r="E4722" s="75">
        <f>60*F4722*'THAM_SO_MOI'!$C$53/(2*PI()*'THAM_SO_MOI'!$C$26)</f>
        <v>2410.276289473684</v>
      </c>
      <c r="F4722" s="75">
        <f>'THAM_SO_MOI'!$C$14+('THAM_SO_MOI'!$C$37-'THAM_SO_MOI'!$C$14)*631/'THAM_SO_MOI'!$C$42</f>
        <v>24.463274305555554</v>
      </c>
      <c r="G4722" s="75">
        <f>3.6*F4722</f>
        <v>88.0677875</v>
      </c>
      <c r="H4722" s="75">
        <f>'THAM_SO_MOI'!$D$53</f>
        <v>1.1</v>
      </c>
      <c r="I4722" s="75">
        <f>IF(F4722&gt;='THAM_SO_MOI'!$C$14,'THAM_SO_MOI'!$C$13*(1+F4722^2/1500),'THAM_SO_MOI'!$C$13)</f>
        <v>0.020984517897488543</v>
      </c>
      <c r="J4722" s="75">
        <f>'THAM_SO_MOI'!$C$40*('THAM_SO_MOI'!$C$23*(E4722/'THAM_SO_MOI'!$C$22)+'THAM_SO_MOI'!$C$24*(E4722/'THAM_SO_MOI'!$C$22)^2-'THAM_SO_MOI'!$C$25*(E4722/'THAM_SO_MOI'!$C$22)^3)</f>
        <v>107.8192562009326</v>
      </c>
      <c r="K4722" s="75">
        <f>'THAM_SO_MOI'!$C$31*J4722/E4722</f>
        <v>427.250737740486</v>
      </c>
      <c r="L4722" s="75">
        <f>K4722*'THAM_SO_MOI'!$C$53*'THAM_SO_MOI'!$C$17/'THAM_SO_MOI'!$C$26</f>
        <v>3746.990641802765</v>
      </c>
      <c r="M4722" s="75">
        <f>'THAM_SO_MOI'!$C$15*'THAM_SO_MOI'!$C$16*F4722^2</f>
        <v>1750.4714850153998</v>
      </c>
      <c r="N4722" s="75">
        <f>'THAM_SO_MOI'!$C$12*I4722</f>
        <v>1580.990366011105</v>
      </c>
      <c r="O4722" s="75">
        <f>M4722+N4722</f>
        <v>3331.4618510265045</v>
      </c>
      <c r="P4722" s="75">
        <f>(MIN(L4722,'THAM_SO_MOI'!$C$41)-O4722)/('THAM_SO_MOI'!$C$11*H4722)</f>
        <v>0.049186646635447466</v>
      </c>
      <c r="Q4722" s="75">
        <f>IF(P4722&gt;0,1/P4722,NA())</f>
        <v>20.33072120999864</v>
      </c>
      <c r="R4722" s="75">
        <f>F4722-F4721</f>
        <v>0.0035868055555567935</v>
      </c>
      <c r="S4722" s="75">
        <f>0.5*(Q4721+Q4722)*R4722</f>
        <v>0.07285939184613113</v>
      </c>
      <c r="T4722" s="75">
        <f>0.5*(F4721*Q4721+F4722*Q4722)*R4722</f>
        <v>1.7822487351303204</v>
      </c>
      <c r="U4722" s="76">
        <f>U4721+S4722</f>
        <v>93.41678066347569</v>
      </c>
      <c r="V4722" s="76">
        <f>V4721+T4722</f>
        <v>1673.178607556877</v>
      </c>
    </row>
    <row r="4723" spans="1:22" ht="19" customHeight="1">
      <c r="A4723" s="68" t="s">
        <v>378</v>
      </c>
      <c r="B4723" s="74">
        <v>5</v>
      </c>
      <c r="C4723" s="68" t="s">
        <v>363</v>
      </c>
      <c r="D4723" s="68" t="s">
        <v>365</v>
      </c>
      <c r="E4723" s="75">
        <f>60*F4723*'THAM_SO_MOI'!$C$53/(2*PI()*'THAM_SO_MOI'!$C$26)</f>
        <v>2410.629684210526</v>
      </c>
      <c r="F4723" s="75">
        <f>'THAM_SO_MOI'!$C$14+('THAM_SO_MOI'!$C$37-'THAM_SO_MOI'!$C$14)*632/'THAM_SO_MOI'!$C$42</f>
        <v>24.46686111111111</v>
      </c>
      <c r="G4723" s="75">
        <f>3.6*F4723</f>
        <v>88.08070000000001</v>
      </c>
      <c r="H4723" s="75">
        <f>'THAM_SO_MOI'!$D$53</f>
        <v>1.1</v>
      </c>
      <c r="I4723" s="75">
        <f>IF(F4723&gt;='THAM_SO_MOI'!$C$14,'THAM_SO_MOI'!$C$13*(1+F4723^2/1500),'THAM_SO_MOI'!$C$13)</f>
        <v>0.020986272926304013</v>
      </c>
      <c r="J4723" s="75">
        <f>'THAM_SO_MOI'!$C$40*('THAM_SO_MOI'!$C$23*(E4723/'THAM_SO_MOI'!$C$22)+'THAM_SO_MOI'!$C$24*(E4723/'THAM_SO_MOI'!$C$22)^2-'THAM_SO_MOI'!$C$25*(E4723/'THAM_SO_MOI'!$C$22)^3)</f>
        <v>107.83295513422618</v>
      </c>
      <c r="K4723" s="75">
        <f>'THAM_SO_MOI'!$C$31*J4723/E4723</f>
        <v>427.2423796327999</v>
      </c>
      <c r="L4723" s="75">
        <f>K4723*'THAM_SO_MOI'!$C$53*'THAM_SO_MOI'!$C$17/'THAM_SO_MOI'!$C$26</f>
        <v>3746.917341165653</v>
      </c>
      <c r="M4723" s="75">
        <f>'THAM_SO_MOI'!$C$15*'THAM_SO_MOI'!$C$16*F4723^2</f>
        <v>1750.984830943924</v>
      </c>
      <c r="N4723" s="75">
        <f>'THAM_SO_MOI'!$C$12*I4723</f>
        <v>1581.1225912860855</v>
      </c>
      <c r="O4723" s="75">
        <f>M4723+N4723</f>
        <v>3332.1074222300094</v>
      </c>
      <c r="P4723" s="75">
        <f>(MIN(L4723,'THAM_SO_MOI'!$C$41)-O4723)/('THAM_SO_MOI'!$C$11*H4723)</f>
        <v>0.04910155290431386</v>
      </c>
      <c r="Q4723" s="75">
        <f>IF(P4723&gt;0,1/P4723,NA())</f>
        <v>20.365954656235406</v>
      </c>
      <c r="R4723" s="75">
        <f>F4723-F4722</f>
        <v>0.0035868055555567935</v>
      </c>
      <c r="S4723" s="75">
        <f>0.5*(Q4722+Q4723)*R4723</f>
        <v>0.07298553154485117</v>
      </c>
      <c r="T4723" s="75">
        <f>0.5*(F4722*Q4722+F4723*Q4723)*R4723</f>
        <v>1.7855960842945873</v>
      </c>
      <c r="U4723" s="76">
        <f>U4722+S4723</f>
        <v>93.48976619502054</v>
      </c>
      <c r="V4723" s="76">
        <f>V4722+T4723</f>
        <v>1674.9642036411717</v>
      </c>
    </row>
    <row r="4724" spans="1:22" ht="19" customHeight="1">
      <c r="A4724" s="68" t="s">
        <v>378</v>
      </c>
      <c r="B4724" s="74">
        <v>5</v>
      </c>
      <c r="C4724" s="68" t="s">
        <v>363</v>
      </c>
      <c r="D4724" s="68" t="s">
        <v>365</v>
      </c>
      <c r="E4724" s="75">
        <f>60*F4724*'THAM_SO_MOI'!$C$53/(2*PI()*'THAM_SO_MOI'!$C$26)</f>
        <v>2410.9830789473676</v>
      </c>
      <c r="F4724" s="75">
        <f>'THAM_SO_MOI'!$C$14+('THAM_SO_MOI'!$C$37-'THAM_SO_MOI'!$C$14)*633/'THAM_SO_MOI'!$C$42</f>
        <v>24.470447916666664</v>
      </c>
      <c r="G4724" s="75">
        <f>3.6*F4724</f>
        <v>88.09361249999999</v>
      </c>
      <c r="H4724" s="75">
        <f>'THAM_SO_MOI'!$D$53</f>
        <v>1.1</v>
      </c>
      <c r="I4724" s="75">
        <f>IF(F4724&gt;='THAM_SO_MOI'!$C$14,'THAM_SO_MOI'!$C$13*(1+F4724^2/1500),'THAM_SO_MOI'!$C$13)</f>
        <v>0.020988028212422957</v>
      </c>
      <c r="J4724" s="75">
        <f>'THAM_SO_MOI'!$C$40*('THAM_SO_MOI'!$C$23*(E4724/'THAM_SO_MOI'!$C$22)+'THAM_SO_MOI'!$C$24*(E4724/'THAM_SO_MOI'!$C$22)^2-'THAM_SO_MOI'!$C$25*(E4724/'THAM_SO_MOI'!$C$22)^3)</f>
        <v>107.84665039057552</v>
      </c>
      <c r="K4724" s="75">
        <f>'THAM_SO_MOI'!$C$31*J4724/E4724</f>
        <v>427.2340094091294</v>
      </c>
      <c r="L4724" s="75">
        <f>K4724*'THAM_SO_MOI'!$C$53*'THAM_SO_MOI'!$C$17/'THAM_SO_MOI'!$C$26</f>
        <v>3746.8439342713104</v>
      </c>
      <c r="M4724" s="75">
        <f>'THAM_SO_MOI'!$C$15*'THAM_SO_MOI'!$C$16*F4724^2</f>
        <v>1751.4982521337156</v>
      </c>
      <c r="N4724" s="75">
        <f>'THAM_SO_MOI'!$C$12*I4724</f>
        <v>1581.2548359465156</v>
      </c>
      <c r="O4724" s="75">
        <f>M4724+N4724</f>
        <v>3332.7530880802315</v>
      </c>
      <c r="P4724" s="75">
        <f>(MIN(L4724,'THAM_SO_MOI'!$C$41)-O4724)/('THAM_SO_MOI'!$C$11*H4724)</f>
        <v>0.04901643539193646</v>
      </c>
      <c r="Q4724" s="75">
        <f>IF(P4724&gt;0,1/P4724,NA())</f>
        <v>20.401320332741022</v>
      </c>
      <c r="R4724" s="75">
        <f>F4724-F4723</f>
        <v>0.0035868055555532408</v>
      </c>
      <c r="S4724" s="75">
        <f>0.5*(Q4723+Q4724)*R4724</f>
        <v>0.07311214420761367</v>
      </c>
      <c r="T4724" s="75">
        <f>0.5*(F4723*Q4723+F4724*Q4724)*R4724</f>
        <v>1.7889559111321178</v>
      </c>
      <c r="U4724" s="76">
        <f>U4723+S4724</f>
        <v>93.56287833922815</v>
      </c>
      <c r="V4724" s="76">
        <f>V4723+T4724</f>
        <v>1676.7531595523037</v>
      </c>
    </row>
    <row r="4725" spans="1:22" ht="19" customHeight="1">
      <c r="A4725" s="68" t="s">
        <v>378</v>
      </c>
      <c r="B4725" s="74">
        <v>5</v>
      </c>
      <c r="C4725" s="68" t="s">
        <v>363</v>
      </c>
      <c r="D4725" s="68" t="s">
        <v>365</v>
      </c>
      <c r="E4725" s="75">
        <f>60*F4725*'THAM_SO_MOI'!$C$53/(2*PI()*'THAM_SO_MOI'!$C$26)</f>
        <v>2411.33647368421</v>
      </c>
      <c r="F4725" s="75">
        <f>'THAM_SO_MOI'!$C$14+('THAM_SO_MOI'!$C$37-'THAM_SO_MOI'!$C$14)*634/'THAM_SO_MOI'!$C$42</f>
        <v>24.47403472222222</v>
      </c>
      <c r="G4725" s="75">
        <f>3.6*F4725</f>
        <v>88.106525</v>
      </c>
      <c r="H4725" s="75">
        <f>'THAM_SO_MOI'!$D$53</f>
        <v>1.1</v>
      </c>
      <c r="I4725" s="75">
        <f>IF(F4725&gt;='THAM_SO_MOI'!$C$14,'THAM_SO_MOI'!$C$13*(1+F4725^2/1500),'THAM_SO_MOI'!$C$13)</f>
        <v>0.02098978375584539</v>
      </c>
      <c r="J4725" s="75">
        <f>'THAM_SO_MOI'!$C$40*('THAM_SO_MOI'!$C$23*(E4725/'THAM_SO_MOI'!$C$22)+'THAM_SO_MOI'!$C$24*(E4725/'THAM_SO_MOI'!$C$22)^2-'THAM_SO_MOI'!$C$25*(E4725/'THAM_SO_MOI'!$C$22)^3)</f>
        <v>107.86034196863578</v>
      </c>
      <c r="K4725" s="75">
        <f>'THAM_SO_MOI'!$C$31*J4725/E4725</f>
        <v>427.2256270694745</v>
      </c>
      <c r="L4725" s="75">
        <f>K4725*'THAM_SO_MOI'!$C$53*'THAM_SO_MOI'!$C$17/'THAM_SO_MOI'!$C$26</f>
        <v>3746.7704211197374</v>
      </c>
      <c r="M4725" s="75">
        <f>'THAM_SO_MOI'!$C$15*'THAM_SO_MOI'!$C$16*F4725^2</f>
        <v>1752.0117485847766</v>
      </c>
      <c r="N4725" s="75">
        <f>'THAM_SO_MOI'!$C$12*I4725</f>
        <v>1581.3870999923965</v>
      </c>
      <c r="O4725" s="75">
        <f>M4725+N4725</f>
        <v>3333.3988485771733</v>
      </c>
      <c r="P4725" s="75">
        <f>(MIN(L4725,'THAM_SO_MOI'!$C$41)-O4725)/('THAM_SO_MOI'!$C$11*H4725)</f>
        <v>0.048931294098314905</v>
      </c>
      <c r="Q4725" s="75">
        <f>IF(P4725&gt;0,1/P4725,NA())</f>
        <v>20.436818981136206</v>
      </c>
      <c r="R4725" s="75">
        <f>F4725-F4724</f>
        <v>0.0035868055555567935</v>
      </c>
      <c r="S4725" s="75">
        <f>0.5*(Q4724+Q4725)*R4725</f>
        <v>0.07323923248480857</v>
      </c>
      <c r="T4725" s="75">
        <f>0.5*(F4724*Q4724+F4725*Q4725)*R4725</f>
        <v>1.7923282855932028</v>
      </c>
      <c r="U4725" s="76">
        <f>U4724+S4725</f>
        <v>93.63611757171296</v>
      </c>
      <c r="V4725" s="76">
        <f>V4724+T4725</f>
        <v>1678.5454878378969</v>
      </c>
    </row>
    <row r="4726" spans="1:22" ht="19" customHeight="1">
      <c r="A4726" s="68" t="s">
        <v>378</v>
      </c>
      <c r="B4726" s="74">
        <v>5</v>
      </c>
      <c r="C4726" s="68" t="s">
        <v>363</v>
      </c>
      <c r="D4726" s="68" t="s">
        <v>365</v>
      </c>
      <c r="E4726" s="75">
        <f>60*F4726*'THAM_SO_MOI'!$C$53/(2*PI()*'THAM_SO_MOI'!$C$26)</f>
        <v>2411.689868421052</v>
      </c>
      <c r="F4726" s="75">
        <f>'THAM_SO_MOI'!$C$14+('THAM_SO_MOI'!$C$37-'THAM_SO_MOI'!$C$14)*635/'THAM_SO_MOI'!$C$42</f>
        <v>24.477621527777778</v>
      </c>
      <c r="G4726" s="75">
        <f>3.6*F4726</f>
        <v>88.1194375</v>
      </c>
      <c r="H4726" s="75">
        <f>'THAM_SO_MOI'!$D$53</f>
        <v>1.1</v>
      </c>
      <c r="I4726" s="75">
        <f>IF(F4726&gt;='THAM_SO_MOI'!$C$14,'THAM_SO_MOI'!$C$13*(1+F4726^2/1500),'THAM_SO_MOI'!$C$13)</f>
        <v>0.0209915395565713</v>
      </c>
      <c r="J4726" s="75">
        <f>'THAM_SO_MOI'!$C$40*('THAM_SO_MOI'!$C$23*(E4726/'THAM_SO_MOI'!$C$22)+'THAM_SO_MOI'!$C$24*(E4726/'THAM_SO_MOI'!$C$22)^2-'THAM_SO_MOI'!$C$25*(E4726/'THAM_SO_MOI'!$C$22)^3)</f>
        <v>107.87402986706199</v>
      </c>
      <c r="K4726" s="75">
        <f>'THAM_SO_MOI'!$C$31*J4726/E4726</f>
        <v>427.21723261383505</v>
      </c>
      <c r="L4726" s="75">
        <f>K4726*'THAM_SO_MOI'!$C$53*'THAM_SO_MOI'!$C$17/'THAM_SO_MOI'!$C$26</f>
        <v>3746.6968017109316</v>
      </c>
      <c r="M4726" s="75">
        <f>'THAM_SO_MOI'!$C$15*'THAM_SO_MOI'!$C$16*F4726^2</f>
        <v>1752.5253202971057</v>
      </c>
      <c r="N4726" s="75">
        <f>'THAM_SO_MOI'!$C$12*I4726</f>
        <v>1581.519383423727</v>
      </c>
      <c r="O4726" s="75">
        <f>M4726+N4726</f>
        <v>3334.044703720833</v>
      </c>
      <c r="P4726" s="75">
        <f>(MIN(L4726,'THAM_SO_MOI'!$C$41)-O4726)/('THAM_SO_MOI'!$C$11*H4726)</f>
        <v>0.048846129023449196</v>
      </c>
      <c r="Q4726" s="75">
        <f>IF(P4726&gt;0,1/P4726,NA())</f>
        <v>20.472451348599957</v>
      </c>
      <c r="R4726" s="75">
        <f>F4726-F4725</f>
        <v>0.0035868055555567935</v>
      </c>
      <c r="S4726" s="75">
        <f>0.5*(Q4725+Q4726)*R4726</f>
        <v>0.07336679904623618</v>
      </c>
      <c r="T4726" s="75">
        <f>0.5*(F4725*Q4725+F4726*Q4726)*R4726</f>
        <v>1.7957132781412433</v>
      </c>
      <c r="U4726" s="76">
        <f>U4725+S4726</f>
        <v>93.7094843707592</v>
      </c>
      <c r="V4726" s="76">
        <f>V4725+T4726</f>
        <v>1680.341201116038</v>
      </c>
    </row>
    <row r="4727" spans="1:22" ht="19" customHeight="1">
      <c r="A4727" s="68" t="s">
        <v>378</v>
      </c>
      <c r="B4727" s="74">
        <v>5</v>
      </c>
      <c r="C4727" s="68" t="s">
        <v>363</v>
      </c>
      <c r="D4727" s="68" t="s">
        <v>365</v>
      </c>
      <c r="E4727" s="75">
        <f>60*F4727*'THAM_SO_MOI'!$C$53/(2*PI()*'THAM_SO_MOI'!$C$26)</f>
        <v>2412.0432631578938</v>
      </c>
      <c r="F4727" s="75">
        <f>'THAM_SO_MOI'!$C$14+('THAM_SO_MOI'!$C$37-'THAM_SO_MOI'!$C$14)*636/'THAM_SO_MOI'!$C$42</f>
        <v>24.48120833333333</v>
      </c>
      <c r="G4727" s="75">
        <f>3.6*F4727</f>
        <v>88.13234999999999</v>
      </c>
      <c r="H4727" s="75">
        <f>'THAM_SO_MOI'!$D$53</f>
        <v>1.1</v>
      </c>
      <c r="I4727" s="75">
        <f>IF(F4727&gt;='THAM_SO_MOI'!$C$14,'THAM_SO_MOI'!$C$13*(1+F4727^2/1500),'THAM_SO_MOI'!$C$13)</f>
        <v>0.020993295614600692</v>
      </c>
      <c r="J4727" s="75">
        <f>'THAM_SO_MOI'!$C$40*('THAM_SO_MOI'!$C$23*(E4727/'THAM_SO_MOI'!$C$22)+'THAM_SO_MOI'!$C$24*(E4727/'THAM_SO_MOI'!$C$22)^2-'THAM_SO_MOI'!$C$25*(E4727/'THAM_SO_MOI'!$C$22)^3)</f>
        <v>107.88771408450934</v>
      </c>
      <c r="K4727" s="75">
        <f>'THAM_SO_MOI'!$C$31*J4727/E4727</f>
        <v>427.2088260422113</v>
      </c>
      <c r="L4727" s="75">
        <f>K4727*'THAM_SO_MOI'!$C$53*'THAM_SO_MOI'!$C$17/'THAM_SO_MOI'!$C$26</f>
        <v>3746.623076044897</v>
      </c>
      <c r="M4727" s="75">
        <f>'THAM_SO_MOI'!$C$15*'THAM_SO_MOI'!$C$16*F4727^2</f>
        <v>1753.0389672707029</v>
      </c>
      <c r="N4727" s="75">
        <f>'THAM_SO_MOI'!$C$12*I4727</f>
        <v>1581.6516862405078</v>
      </c>
      <c r="O4727" s="75">
        <f>M4727+N4727</f>
        <v>3334.6906535112107</v>
      </c>
      <c r="P4727" s="75">
        <f>(MIN(L4727,'THAM_SO_MOI'!$C$41)-O4727)/('THAM_SO_MOI'!$C$11*H4727)</f>
        <v>0.04876094016733977</v>
      </c>
      <c r="Q4727" s="75">
        <f>IF(P4727&gt;0,1/P4727,NA())</f>
        <v>20.508218187921717</v>
      </c>
      <c r="R4727" s="75">
        <f>F4727-F4726</f>
        <v>0.0035868055555532408</v>
      </c>
      <c r="S4727" s="75">
        <f>0.5*(Q4726+Q4727)*R4727</f>
        <v>0.07349484658194369</v>
      </c>
      <c r="T4727" s="75">
        <f>0.5*(F4726*Q4726+F4727*Q4727)*R4727</f>
        <v>1.799110959773576</v>
      </c>
      <c r="U4727" s="76">
        <f>U4726+S4727</f>
        <v>93.78297921734114</v>
      </c>
      <c r="V4727" s="76">
        <f>V4726+T4727</f>
        <v>1682.1403120758116</v>
      </c>
    </row>
    <row r="4728" spans="1:22" ht="19" customHeight="1">
      <c r="A4728" s="68" t="s">
        <v>378</v>
      </c>
      <c r="B4728" s="74">
        <v>5</v>
      </c>
      <c r="C4728" s="68" t="s">
        <v>363</v>
      </c>
      <c r="D4728" s="68" t="s">
        <v>365</v>
      </c>
      <c r="E4728" s="75">
        <f>60*F4728*'THAM_SO_MOI'!$C$53/(2*PI()*'THAM_SO_MOI'!$C$26)</f>
        <v>2412.3966578947366</v>
      </c>
      <c r="F4728" s="75">
        <f>'THAM_SO_MOI'!$C$14+('THAM_SO_MOI'!$C$37-'THAM_SO_MOI'!$C$14)*637/'THAM_SO_MOI'!$C$42</f>
        <v>24.484795138888888</v>
      </c>
      <c r="G4728" s="75">
        <f>3.6*F4728</f>
        <v>88.1452625</v>
      </c>
      <c r="H4728" s="75">
        <f>'THAM_SO_MOI'!$D$53</f>
        <v>1.1</v>
      </c>
      <c r="I4728" s="75">
        <f>IF(F4728&gt;='THAM_SO_MOI'!$C$14,'THAM_SO_MOI'!$C$13*(1+F4728^2/1500),'THAM_SO_MOI'!$C$13)</f>
        <v>0.02099505192993357</v>
      </c>
      <c r="J4728" s="75">
        <f>'THAM_SO_MOI'!$C$40*('THAM_SO_MOI'!$C$23*(E4728/'THAM_SO_MOI'!$C$22)+'THAM_SO_MOI'!$C$24*(E4728/'THAM_SO_MOI'!$C$22)^2-'THAM_SO_MOI'!$C$25*(E4728/'THAM_SO_MOI'!$C$22)^3)</f>
        <v>107.90139461963291</v>
      </c>
      <c r="K4728" s="75">
        <f>'THAM_SO_MOI'!$C$31*J4728/E4728</f>
        <v>427.2004073546029</v>
      </c>
      <c r="L4728" s="75">
        <f>K4728*'THAM_SO_MOI'!$C$53*'THAM_SO_MOI'!$C$17/'THAM_SO_MOI'!$C$26</f>
        <v>3746.549244121629</v>
      </c>
      <c r="M4728" s="75">
        <f>'THAM_SO_MOI'!$C$15*'THAM_SO_MOI'!$C$16*F4728^2</f>
        <v>1753.552689505569</v>
      </c>
      <c r="N4728" s="75">
        <f>'THAM_SO_MOI'!$C$12*I4728</f>
        <v>1581.7840084427392</v>
      </c>
      <c r="O4728" s="75">
        <f>M4728+N4728</f>
        <v>3335.336697948308</v>
      </c>
      <c r="P4728" s="75">
        <f>(MIN(L4728,'THAM_SO_MOI'!$C$41)-O4728)/('THAM_SO_MOI'!$C$11*H4728)</f>
        <v>0.04867572752998586</v>
      </c>
      <c r="Q4728" s="75">
        <f>IF(P4728&gt;0,1/P4728,NA())</f>
        <v>20.54412025755479</v>
      </c>
      <c r="R4728" s="75">
        <f>F4728-F4727</f>
        <v>0.0035868055555567935</v>
      </c>
      <c r="S4728" s="75">
        <f>0.5*(Q4727+Q4728)*R4728</f>
        <v>0.07362337780241644</v>
      </c>
      <c r="T4728" s="75">
        <f>0.5*(F4727*Q4727+F4728*Q4728)*R4728</f>
        <v>1.80252140202652</v>
      </c>
      <c r="U4728" s="76">
        <f>U4727+S4728</f>
        <v>93.85660259514356</v>
      </c>
      <c r="V4728" s="76">
        <f>V4727+T4728</f>
        <v>1683.9428334778381</v>
      </c>
    </row>
    <row r="4729" spans="1:22" ht="19" customHeight="1">
      <c r="A4729" s="68" t="s">
        <v>378</v>
      </c>
      <c r="B4729" s="74">
        <v>5</v>
      </c>
      <c r="C4729" s="68" t="s">
        <v>363</v>
      </c>
      <c r="D4729" s="68" t="s">
        <v>365</v>
      </c>
      <c r="E4729" s="75">
        <f>60*F4729*'THAM_SO_MOI'!$C$53/(2*PI()*'THAM_SO_MOI'!$C$26)</f>
        <v>2412.7500526315785</v>
      </c>
      <c r="F4729" s="75">
        <f>'THAM_SO_MOI'!$C$14+('THAM_SO_MOI'!$C$37-'THAM_SO_MOI'!$C$14)*638/'THAM_SO_MOI'!$C$42</f>
        <v>24.48838194444444</v>
      </c>
      <c r="G4729" s="75">
        <f>3.6*F4729</f>
        <v>88.15817499999999</v>
      </c>
      <c r="H4729" s="75">
        <f>'THAM_SO_MOI'!$D$53</f>
        <v>1.1</v>
      </c>
      <c r="I4729" s="75">
        <f>IF(F4729&gt;='THAM_SO_MOI'!$C$14,'THAM_SO_MOI'!$C$13*(1+F4729^2/1500),'THAM_SO_MOI'!$C$13)</f>
        <v>0.020996808502569925</v>
      </c>
      <c r="J4729" s="75">
        <f>'THAM_SO_MOI'!$C$40*('THAM_SO_MOI'!$C$23*(E4729/'THAM_SO_MOI'!$C$22)+'THAM_SO_MOI'!$C$24*(E4729/'THAM_SO_MOI'!$C$22)^2-'THAM_SO_MOI'!$C$25*(E4729/'THAM_SO_MOI'!$C$22)^3)</f>
        <v>107.91507147108778</v>
      </c>
      <c r="K4729" s="75">
        <f>'THAM_SO_MOI'!$C$31*J4729/E4729</f>
        <v>427.19197655101016</v>
      </c>
      <c r="L4729" s="75">
        <f>K4729*'THAM_SO_MOI'!$C$53*'THAM_SO_MOI'!$C$17/'THAM_SO_MOI'!$C$26</f>
        <v>3746.4753059411314</v>
      </c>
      <c r="M4729" s="75">
        <f>'THAM_SO_MOI'!$C$15*'THAM_SO_MOI'!$C$16*F4729^2</f>
        <v>1754.0664870017033</v>
      </c>
      <c r="N4729" s="75">
        <f>'THAM_SO_MOI'!$C$12*I4729</f>
        <v>1581.9163500304203</v>
      </c>
      <c r="O4729" s="75">
        <f>M4729+N4729</f>
        <v>3335.982837032124</v>
      </c>
      <c r="P4729" s="75">
        <f>(MIN(L4729,'THAM_SO_MOI'!$C$41)-O4729)/('THAM_SO_MOI'!$C$11*H4729)</f>
        <v>0.04859049111138824</v>
      </c>
      <c r="Q4729" s="75">
        <f>IF(P4729&gt;0,1/P4729,NA())</f>
        <v>20.580158321668584</v>
      </c>
      <c r="R4729" s="75">
        <f>F4729-F4728</f>
        <v>0.0035868055555532408</v>
      </c>
      <c r="S4729" s="75">
        <f>0.5*(Q4728+Q4729)*R4729</f>
        <v>0.07375239543803876</v>
      </c>
      <c r="T4729" s="75">
        <f>0.5*(F4728*Q4728+F4729*Q4729)*R4729</f>
        <v>1.8059446769625411</v>
      </c>
      <c r="U4729" s="76">
        <f>U4728+S4729</f>
        <v>93.93035499058159</v>
      </c>
      <c r="V4729" s="76">
        <f>V4728+T4729</f>
        <v>1685.7487781548007</v>
      </c>
    </row>
    <row r="4730" spans="1:22" ht="19" customHeight="1">
      <c r="A4730" s="68" t="s">
        <v>378</v>
      </c>
      <c r="B4730" s="74">
        <v>5</v>
      </c>
      <c r="C4730" s="68" t="s">
        <v>363</v>
      </c>
      <c r="D4730" s="68" t="s">
        <v>365</v>
      </c>
      <c r="E4730" s="75">
        <f>60*F4730*'THAM_SO_MOI'!$C$53/(2*PI()*'THAM_SO_MOI'!$C$26)</f>
        <v>2413.1034473684203</v>
      </c>
      <c r="F4730" s="75">
        <f>'THAM_SO_MOI'!$C$14+('THAM_SO_MOI'!$C$37-'THAM_SO_MOI'!$C$14)*639/'THAM_SO_MOI'!$C$42</f>
        <v>24.491968749999998</v>
      </c>
      <c r="G4730" s="75">
        <f>3.6*F4730</f>
        <v>88.1710875</v>
      </c>
      <c r="H4730" s="75">
        <f>'THAM_SO_MOI'!$D$53</f>
        <v>1.1</v>
      </c>
      <c r="I4730" s="75">
        <f>IF(F4730&gt;='THAM_SO_MOI'!$C$14,'THAM_SO_MOI'!$C$13*(1+F4730^2/1500),'THAM_SO_MOI'!$C$13)</f>
        <v>0.020998565332509763</v>
      </c>
      <c r="J4730" s="75">
        <f>'THAM_SO_MOI'!$C$40*('THAM_SO_MOI'!$C$23*(E4730/'THAM_SO_MOI'!$C$22)+'THAM_SO_MOI'!$C$24*(E4730/'THAM_SO_MOI'!$C$22)^2-'THAM_SO_MOI'!$C$25*(E4730/'THAM_SO_MOI'!$C$22)^3)</f>
        <v>107.92874463752909</v>
      </c>
      <c r="K4730" s="75">
        <f>'THAM_SO_MOI'!$C$31*J4730/E4730</f>
        <v>427.18353363143297</v>
      </c>
      <c r="L4730" s="75">
        <f>K4730*'THAM_SO_MOI'!$C$53*'THAM_SO_MOI'!$C$17/'THAM_SO_MOI'!$C$26</f>
        <v>3746.4012615034026</v>
      </c>
      <c r="M4730" s="75">
        <f>'THAM_SO_MOI'!$C$15*'THAM_SO_MOI'!$C$16*F4730^2</f>
        <v>1754.5803597591064</v>
      </c>
      <c r="N4730" s="75">
        <f>'THAM_SO_MOI'!$C$12*I4730</f>
        <v>1582.0487110035517</v>
      </c>
      <c r="O4730" s="75">
        <f>M4730+N4730</f>
        <v>3336.629070762658</v>
      </c>
      <c r="P4730" s="75">
        <f>(MIN(L4730,'THAM_SO_MOI'!$C$41)-O4730)/('THAM_SO_MOI'!$C$11*H4730)</f>
        <v>0.04850523091154646</v>
      </c>
      <c r="Q4730" s="75">
        <f>IF(P4730&gt;0,1/P4730,NA())</f>
        <v>20.61633315020369</v>
      </c>
      <c r="R4730" s="75">
        <f>F4730-F4729</f>
        <v>0.0035868055555567935</v>
      </c>
      <c r="S4730" s="75">
        <f>0.5*(Q4729+Q4730)*R4730</f>
        <v>0.07388190224037977</v>
      </c>
      <c r="T4730" s="75">
        <f>0.5*(F4729*Q4729+F4730*Q4730)*R4730</f>
        <v>1.8093808572020973</v>
      </c>
      <c r="U4730" s="76">
        <f>U4729+S4730</f>
        <v>94.00423689282196</v>
      </c>
      <c r="V4730" s="76">
        <f>V4729+T4730</f>
        <v>1687.5581590120028</v>
      </c>
    </row>
    <row r="4731" spans="1:22" ht="19" customHeight="1">
      <c r="A4731" s="68" t="s">
        <v>378</v>
      </c>
      <c r="B4731" s="74">
        <v>5</v>
      </c>
      <c r="C4731" s="68" t="s">
        <v>363</v>
      </c>
      <c r="D4731" s="68" t="s">
        <v>365</v>
      </c>
      <c r="E4731" s="75">
        <f>60*F4731*'THAM_SO_MOI'!$C$53/(2*PI()*'THAM_SO_MOI'!$C$26)</f>
        <v>2413.4568421052627</v>
      </c>
      <c r="F4731" s="75">
        <f>'THAM_SO_MOI'!$C$14+('THAM_SO_MOI'!$C$37-'THAM_SO_MOI'!$C$14)*640/'THAM_SO_MOI'!$C$42</f>
        <v>24.495555555555555</v>
      </c>
      <c r="G4731" s="75">
        <f>3.6*F4731</f>
        <v>88.184</v>
      </c>
      <c r="H4731" s="75">
        <f>'THAM_SO_MOI'!$D$53</f>
        <v>1.1</v>
      </c>
      <c r="I4731" s="75">
        <f>IF(F4731&gt;='THAM_SO_MOI'!$C$14,'THAM_SO_MOI'!$C$13*(1+F4731^2/1500),'THAM_SO_MOI'!$C$13)</f>
        <v>0.021000322419753085</v>
      </c>
      <c r="J4731" s="75">
        <f>'THAM_SO_MOI'!$C$40*('THAM_SO_MOI'!$C$23*(E4731/'THAM_SO_MOI'!$C$22)+'THAM_SO_MOI'!$C$24*(E4731/'THAM_SO_MOI'!$C$22)^2-'THAM_SO_MOI'!$C$25*(E4731/'THAM_SO_MOI'!$C$22)^3)</f>
        <v>107.94241411761195</v>
      </c>
      <c r="K4731" s="75">
        <f>'THAM_SO_MOI'!$C$31*J4731/E4731</f>
        <v>427.17507859587124</v>
      </c>
      <c r="L4731" s="75">
        <f>K4731*'THAM_SO_MOI'!$C$53*'THAM_SO_MOI'!$C$17/'THAM_SO_MOI'!$C$26</f>
        <v>3746.3271108084414</v>
      </c>
      <c r="M4731" s="75">
        <f>'THAM_SO_MOI'!$C$15*'THAM_SO_MOI'!$C$16*F4731^2</f>
        <v>1755.0943077777779</v>
      </c>
      <c r="N4731" s="75">
        <f>'THAM_SO_MOI'!$C$12*I4731</f>
        <v>1582.1810913621332</v>
      </c>
      <c r="O4731" s="75">
        <f>M4731+N4731</f>
        <v>3337.2753991399113</v>
      </c>
      <c r="P4731" s="75">
        <f>(MIN(L4731,'THAM_SO_MOI'!$C$41)-O4731)/('THAM_SO_MOI'!$C$11*H4731)</f>
        <v>0.0484199469304605</v>
      </c>
      <c r="Q4731" s="75">
        <f>IF(P4731&gt;0,1/P4731,NA())</f>
        <v>20.652645518925798</v>
      </c>
      <c r="R4731" s="75">
        <f>F4731-F4730</f>
        <v>0.0035868055555567935</v>
      </c>
      <c r="S4731" s="75">
        <f>0.5*(Q4730+Q4731)*R4731</f>
        <v>0.07401190098129423</v>
      </c>
      <c r="T4731" s="75">
        <f>0.5*(F4730*Q4730+F4731*Q4731)*R4731</f>
        <v>1.8128300159019972</v>
      </c>
      <c r="U4731" s="76">
        <f>U4730+S4731</f>
        <v>94.07824879380325</v>
      </c>
      <c r="V4731" s="76">
        <f>V4730+T4731</f>
        <v>1689.3709890279047</v>
      </c>
    </row>
    <row r="4732" spans="1:22" ht="19" customHeight="1">
      <c r="A4732" s="68" t="s">
        <v>378</v>
      </c>
      <c r="B4732" s="74">
        <v>5</v>
      </c>
      <c r="C4732" s="68" t="s">
        <v>363</v>
      </c>
      <c r="D4732" s="68" t="s">
        <v>365</v>
      </c>
      <c r="E4732" s="75">
        <f>60*F4732*'THAM_SO_MOI'!$C$53/(2*PI()*'THAM_SO_MOI'!$C$26)</f>
        <v>2413.8102368421046</v>
      </c>
      <c r="F4732" s="75">
        <f>'THAM_SO_MOI'!$C$14+('THAM_SO_MOI'!$C$37-'THAM_SO_MOI'!$C$14)*641/'THAM_SO_MOI'!$C$42</f>
        <v>24.49914236111111</v>
      </c>
      <c r="G4732" s="75">
        <f>3.6*F4732</f>
        <v>88.19691250000001</v>
      </c>
      <c r="H4732" s="75">
        <f>'THAM_SO_MOI'!$D$53</f>
        <v>1.1</v>
      </c>
      <c r="I4732" s="75">
        <f>IF(F4732&gt;='THAM_SO_MOI'!$C$14,'THAM_SO_MOI'!$C$13*(1+F4732^2/1500),'THAM_SO_MOI'!$C$13)</f>
        <v>0.02100207976429989</v>
      </c>
      <c r="J4732" s="75">
        <f>'THAM_SO_MOI'!$C$40*('THAM_SO_MOI'!$C$23*(E4732/'THAM_SO_MOI'!$C$22)+'THAM_SO_MOI'!$C$24*(E4732/'THAM_SO_MOI'!$C$22)^2-'THAM_SO_MOI'!$C$25*(E4732/'THAM_SO_MOI'!$C$22)^3)</f>
        <v>107.95607990999144</v>
      </c>
      <c r="K4732" s="75">
        <f>'THAM_SO_MOI'!$C$31*J4732/E4732</f>
        <v>427.1666114443251</v>
      </c>
      <c r="L4732" s="75">
        <f>K4732*'THAM_SO_MOI'!$C$53*'THAM_SO_MOI'!$C$17/'THAM_SO_MOI'!$C$26</f>
        <v>3746.25285385625</v>
      </c>
      <c r="M4732" s="75">
        <f>'THAM_SO_MOI'!$C$15*'THAM_SO_MOI'!$C$16*F4732^2</f>
        <v>1755.608331057718</v>
      </c>
      <c r="N4732" s="75">
        <f>'THAM_SO_MOI'!$C$12*I4732</f>
        <v>1582.3134911061652</v>
      </c>
      <c r="O4732" s="75">
        <f>M4732+N4732</f>
        <v>3337.921822163883</v>
      </c>
      <c r="P4732" s="75">
        <f>(MIN(L4732,'THAM_SO_MOI'!$C$41)-O4732)/('THAM_SO_MOI'!$C$11*H4732)</f>
        <v>0.04833463916813055</v>
      </c>
      <c r="Q4732" s="75">
        <f>IF(P4732&gt;0,1/P4732,NA())</f>
        <v>20.689096209480965</v>
      </c>
      <c r="R4732" s="75">
        <f>F4732-F4731</f>
        <v>0.0035868055555567935</v>
      </c>
      <c r="S4732" s="75">
        <f>0.5*(Q4731+Q4732)*R4732</f>
        <v>0.07414239445392173</v>
      </c>
      <c r="T4732" s="75">
        <f>0.5*(F4731*Q4731+F4732*Q4732)*R4732</f>
        <v>1.816292226780239</v>
      </c>
      <c r="U4732" s="76">
        <f>U4731+S4732</f>
        <v>94.15239118825717</v>
      </c>
      <c r="V4732" s="76">
        <f>V4731+T4732</f>
        <v>1691.1872812546849</v>
      </c>
    </row>
    <row r="4733" spans="1:22" ht="19" customHeight="1">
      <c r="A4733" s="68" t="s">
        <v>378</v>
      </c>
      <c r="B4733" s="74">
        <v>5</v>
      </c>
      <c r="C4733" s="68" t="s">
        <v>363</v>
      </c>
      <c r="D4733" s="68" t="s">
        <v>365</v>
      </c>
      <c r="E4733" s="75">
        <f>60*F4733*'THAM_SO_MOI'!$C$53/(2*PI()*'THAM_SO_MOI'!$C$26)</f>
        <v>2414.1636315789465</v>
      </c>
      <c r="F4733" s="75">
        <f>'THAM_SO_MOI'!$C$14+('THAM_SO_MOI'!$C$37-'THAM_SO_MOI'!$C$14)*642/'THAM_SO_MOI'!$C$42</f>
        <v>24.502729166666665</v>
      </c>
      <c r="G4733" s="75">
        <f>3.6*F4733</f>
        <v>88.209825</v>
      </c>
      <c r="H4733" s="75">
        <f>'THAM_SO_MOI'!$D$53</f>
        <v>1.1</v>
      </c>
      <c r="I4733" s="75">
        <f>IF(F4733&gt;='THAM_SO_MOI'!$C$14,'THAM_SO_MOI'!$C$13*(1+F4733^2/1500),'THAM_SO_MOI'!$C$13)</f>
        <v>0.02100383736615017</v>
      </c>
      <c r="J4733" s="75">
        <f>'THAM_SO_MOI'!$C$40*('THAM_SO_MOI'!$C$23*(E4733/'THAM_SO_MOI'!$C$22)+'THAM_SO_MOI'!$C$24*(E4733/'THAM_SO_MOI'!$C$22)^2-'THAM_SO_MOI'!$C$25*(E4733/'THAM_SO_MOI'!$C$22)^3)</f>
        <v>107.96974201332272</v>
      </c>
      <c r="K4733" s="75">
        <f>'THAM_SO_MOI'!$C$31*J4733/E4733</f>
        <v>427.1581321767946</v>
      </c>
      <c r="L4733" s="75">
        <f>K4733*'THAM_SO_MOI'!$C$53*'THAM_SO_MOI'!$C$17/'THAM_SO_MOI'!$C$26</f>
        <v>3746.178490646829</v>
      </c>
      <c r="M4733" s="75">
        <f>'THAM_SO_MOI'!$C$15*'THAM_SO_MOI'!$C$16*F4733^2</f>
        <v>1756.1224295989257</v>
      </c>
      <c r="N4733" s="75">
        <f>'THAM_SO_MOI'!$C$12*I4733</f>
        <v>1582.4459102356468</v>
      </c>
      <c r="O4733" s="75">
        <f>M4733+N4733</f>
        <v>3338.5683398345727</v>
      </c>
      <c r="P4733" s="75">
        <f>(MIN(L4733,'THAM_SO_MOI'!$C$41)-O4733)/('THAM_SO_MOI'!$C$11*H4733)</f>
        <v>0.04824930762455685</v>
      </c>
      <c r="Q4733" s="75">
        <f>IF(P4733&gt;0,1/P4733,NA())</f>
        <v>20.72568600945151</v>
      </c>
      <c r="R4733" s="75">
        <f>F4733-F4732</f>
        <v>0.0035868055555532408</v>
      </c>
      <c r="S4733" s="75">
        <f>0.5*(Q4732+Q4733)*R4733</f>
        <v>0.07427338547244729</v>
      </c>
      <c r="T4733" s="75">
        <f>0.5*(F4732*Q4732+F4733*Q4733)*R4733</f>
        <v>1.8197675641105258</v>
      </c>
      <c r="U4733" s="76">
        <f>U4732+S4733</f>
        <v>94.22666457372962</v>
      </c>
      <c r="V4733" s="76">
        <f>V4732+T4733</f>
        <v>1693.0070488187955</v>
      </c>
    </row>
    <row r="4734" spans="1:22" ht="19" customHeight="1">
      <c r="A4734" s="68" t="s">
        <v>378</v>
      </c>
      <c r="B4734" s="74">
        <v>5</v>
      </c>
      <c r="C4734" s="68" t="s">
        <v>363</v>
      </c>
      <c r="D4734" s="68" t="s">
        <v>365</v>
      </c>
      <c r="E4734" s="75">
        <f>60*F4734*'THAM_SO_MOI'!$C$53/(2*PI()*'THAM_SO_MOI'!$C$26)</f>
        <v>2414.517026315789</v>
      </c>
      <c r="F4734" s="75">
        <f>'THAM_SO_MOI'!$C$14+('THAM_SO_MOI'!$C$37-'THAM_SO_MOI'!$C$14)*643/'THAM_SO_MOI'!$C$42</f>
        <v>24.50631597222222</v>
      </c>
      <c r="G4734" s="75">
        <f>3.6*F4734</f>
        <v>88.2227375</v>
      </c>
      <c r="H4734" s="75">
        <f>'THAM_SO_MOI'!$D$53</f>
        <v>1.1</v>
      </c>
      <c r="I4734" s="75">
        <f>IF(F4734&gt;='THAM_SO_MOI'!$C$14,'THAM_SO_MOI'!$C$13*(1+F4734^2/1500),'THAM_SO_MOI'!$C$13)</f>
        <v>0.02100559522530394</v>
      </c>
      <c r="J4734" s="75">
        <f>'THAM_SO_MOI'!$C$40*('THAM_SO_MOI'!$C$23*(E4734/'THAM_SO_MOI'!$C$22)+'THAM_SO_MOI'!$C$24*(E4734/'THAM_SO_MOI'!$C$22)^2-'THAM_SO_MOI'!$C$25*(E4734/'THAM_SO_MOI'!$C$22)^3)</f>
        <v>107.98340042626086</v>
      </c>
      <c r="K4734" s="75">
        <f>'THAM_SO_MOI'!$C$31*J4734/E4734</f>
        <v>427.1496407932795</v>
      </c>
      <c r="L4734" s="75">
        <f>K4734*'THAM_SO_MOI'!$C$53*'THAM_SO_MOI'!$C$17/'THAM_SO_MOI'!$C$26</f>
        <v>3746.104021180175</v>
      </c>
      <c r="M4734" s="75">
        <f>'THAM_SO_MOI'!$C$15*'THAM_SO_MOI'!$C$16*F4734^2</f>
        <v>1756.6366034014027</v>
      </c>
      <c r="N4734" s="75">
        <f>'THAM_SO_MOI'!$C$12*I4734</f>
        <v>1582.5783487505792</v>
      </c>
      <c r="O4734" s="75">
        <f>M4734+N4734</f>
        <v>3339.214952151982</v>
      </c>
      <c r="P4734" s="75">
        <f>(MIN(L4734,'THAM_SO_MOI'!$C$41)-O4734)/('THAM_SO_MOI'!$C$11*H4734)</f>
        <v>0.048163952299738785</v>
      </c>
      <c r="Q4734" s="75">
        <f>IF(P4734&gt;0,1/P4734,NA())</f>
        <v>20.76241571241286</v>
      </c>
      <c r="R4734" s="75">
        <f>F4734-F4733</f>
        <v>0.0035868055555567935</v>
      </c>
      <c r="S4734" s="75">
        <f>0.5*(Q4733+Q4734)*R4734</f>
        <v>0.07440487687274425</v>
      </c>
      <c r="T4734" s="75">
        <f>0.5*(F4733*Q4733+F4734*Q4734)*R4734</f>
        <v>1.8232561027384022</v>
      </c>
      <c r="U4734" s="76">
        <f>U4733+S4734</f>
        <v>94.30106945060237</v>
      </c>
      <c r="V4734" s="76">
        <f>V4733+T4734</f>
        <v>1694.830304921534</v>
      </c>
    </row>
    <row r="4735" spans="1:22" ht="19" customHeight="1">
      <c r="A4735" s="68" t="s">
        <v>378</v>
      </c>
      <c r="B4735" s="74">
        <v>5</v>
      </c>
      <c r="C4735" s="68" t="s">
        <v>363</v>
      </c>
      <c r="D4735" s="68" t="s">
        <v>365</v>
      </c>
      <c r="E4735" s="75">
        <f>60*F4735*'THAM_SO_MOI'!$C$53/(2*PI()*'THAM_SO_MOI'!$C$26)</f>
        <v>2414.870421052631</v>
      </c>
      <c r="F4735" s="75">
        <f>'THAM_SO_MOI'!$C$14+('THAM_SO_MOI'!$C$37-'THAM_SO_MOI'!$C$14)*644/'THAM_SO_MOI'!$C$42</f>
        <v>24.509902777777775</v>
      </c>
      <c r="G4735" s="75">
        <f>3.6*F4735</f>
        <v>88.23564999999999</v>
      </c>
      <c r="H4735" s="75">
        <f>'THAM_SO_MOI'!$D$53</f>
        <v>1.1</v>
      </c>
      <c r="I4735" s="75">
        <f>IF(F4735&gt;='THAM_SO_MOI'!$C$14,'THAM_SO_MOI'!$C$13*(1+F4735^2/1500),'THAM_SO_MOI'!$C$13)</f>
        <v>0.021007353341761188</v>
      </c>
      <c r="J4735" s="75">
        <f>'THAM_SO_MOI'!$C$40*('THAM_SO_MOI'!$C$23*(E4735/'THAM_SO_MOI'!$C$22)+'THAM_SO_MOI'!$C$24*(E4735/'THAM_SO_MOI'!$C$22)^2-'THAM_SO_MOI'!$C$25*(E4735/'THAM_SO_MOI'!$C$22)^3)</f>
        <v>107.997055147461</v>
      </c>
      <c r="K4735" s="75">
        <f>'THAM_SO_MOI'!$C$31*J4735/E4735</f>
        <v>427.14113729378</v>
      </c>
      <c r="L4735" s="75">
        <f>K4735*'THAM_SO_MOI'!$C$53*'THAM_SO_MOI'!$C$17/'THAM_SO_MOI'!$C$26</f>
        <v>3746.0294454562904</v>
      </c>
      <c r="M4735" s="75">
        <f>'THAM_SO_MOI'!$C$15*'THAM_SO_MOI'!$C$16*F4735^2</f>
        <v>1757.1508524651472</v>
      </c>
      <c r="N4735" s="75">
        <f>'THAM_SO_MOI'!$C$12*I4735</f>
        <v>1582.7108066509613</v>
      </c>
      <c r="O4735" s="75">
        <f>M4735+N4735</f>
        <v>3339.8616591161085</v>
      </c>
      <c r="P4735" s="75">
        <f>(MIN(L4735,'THAM_SO_MOI'!$C$41)-O4735)/('THAM_SO_MOI'!$C$11*H4735)</f>
        <v>0.04807857319367684</v>
      </c>
      <c r="Q4735" s="75">
        <f>IF(P4735&gt;0,1/P4735,NA())</f>
        <v>20.799286117989816</v>
      </c>
      <c r="R4735" s="75">
        <f>F4735-F4734</f>
        <v>0.0035868055555532408</v>
      </c>
      <c r="S4735" s="75">
        <f>0.5*(Q4734+Q4735)*R4735</f>
        <v>0.07453687151176781</v>
      </c>
      <c r="T4735" s="75">
        <f>0.5*(F4734*Q4734+F4735*Q4735)*R4735</f>
        <v>1.8267579180667737</v>
      </c>
      <c r="U4735" s="76">
        <f>U4734+S4735</f>
        <v>94.37560632211414</v>
      </c>
      <c r="V4735" s="76">
        <f>V4734+T4735</f>
        <v>1696.6570628396007</v>
      </c>
    </row>
    <row r="4736" spans="1:22" ht="19" customHeight="1">
      <c r="A4736" s="68" t="s">
        <v>378</v>
      </c>
      <c r="B4736" s="74">
        <v>5</v>
      </c>
      <c r="C4736" s="68" t="s">
        <v>363</v>
      </c>
      <c r="D4736" s="68" t="s">
        <v>365</v>
      </c>
      <c r="E4736" s="75">
        <f>60*F4736*'THAM_SO_MOI'!$C$53/(2*PI()*'THAM_SO_MOI'!$C$26)</f>
        <v>2415.223815789473</v>
      </c>
      <c r="F4736" s="75">
        <f>'THAM_SO_MOI'!$C$14+('THAM_SO_MOI'!$C$37-'THAM_SO_MOI'!$C$14)*645/'THAM_SO_MOI'!$C$42</f>
        <v>24.51348958333333</v>
      </c>
      <c r="G4736" s="75">
        <f>3.6*F4736</f>
        <v>88.24856249999999</v>
      </c>
      <c r="H4736" s="75">
        <f>'THAM_SO_MOI'!$D$53</f>
        <v>1.1</v>
      </c>
      <c r="I4736" s="75">
        <f>IF(F4736&gt;='THAM_SO_MOI'!$C$14,'THAM_SO_MOI'!$C$13*(1+F4736^2/1500),'THAM_SO_MOI'!$C$13)</f>
        <v>0.021009111715521916</v>
      </c>
      <c r="J4736" s="75">
        <f>'THAM_SO_MOI'!$C$40*('THAM_SO_MOI'!$C$23*(E4736/'THAM_SO_MOI'!$C$22)+'THAM_SO_MOI'!$C$24*(E4736/'THAM_SO_MOI'!$C$22)^2-'THAM_SO_MOI'!$C$25*(E4736/'THAM_SO_MOI'!$C$22)^3)</f>
        <v>108.01070617557816</v>
      </c>
      <c r="K4736" s="75">
        <f>'THAM_SO_MOI'!$C$31*J4736/E4736</f>
        <v>427.13262167829583</v>
      </c>
      <c r="L4736" s="75">
        <f>K4736*'THAM_SO_MOI'!$C$53*'THAM_SO_MOI'!$C$17/'THAM_SO_MOI'!$C$26</f>
        <v>3745.954763475173</v>
      </c>
      <c r="M4736" s="75">
        <f>'THAM_SO_MOI'!$C$15*'THAM_SO_MOI'!$C$16*F4736^2</f>
        <v>1757.665176790161</v>
      </c>
      <c r="N4736" s="75">
        <f>'THAM_SO_MOI'!$C$12*I4736</f>
        <v>1582.8432839367936</v>
      </c>
      <c r="O4736" s="75">
        <f>M4736+N4736</f>
        <v>3340.5084607269546</v>
      </c>
      <c r="P4736" s="75">
        <f>(MIN(L4736,'THAM_SO_MOI'!$C$41)-O4736)/('THAM_SO_MOI'!$C$11*H4736)</f>
        <v>0.04799317030637055</v>
      </c>
      <c r="Q4736" s="75">
        <f>IF(P4736&gt;0,1/P4736,NA())</f>
        <v>20.836298031915206</v>
      </c>
      <c r="R4736" s="75">
        <f>F4736-F4735</f>
        <v>0.0035868055555567935</v>
      </c>
      <c r="S4736" s="75">
        <f>0.5*(Q4735+Q4736)*R4736</f>
        <v>0.07466937226886586</v>
      </c>
      <c r="T4736" s="75">
        <f>0.5*(F4735*Q4735+F4736*Q4736)*R4736</f>
        <v>1.8302730860884189</v>
      </c>
      <c r="U4736" s="76">
        <f>U4735+S4736</f>
        <v>94.45027569438301</v>
      </c>
      <c r="V4736" s="76">
        <f>V4735+T4736</f>
        <v>1698.4873359256892</v>
      </c>
    </row>
    <row r="4737" spans="1:22" ht="19" customHeight="1">
      <c r="A4737" s="68" t="s">
        <v>378</v>
      </c>
      <c r="B4737" s="74">
        <v>5</v>
      </c>
      <c r="C4737" s="68" t="s">
        <v>363</v>
      </c>
      <c r="D4737" s="68" t="s">
        <v>365</v>
      </c>
      <c r="E4737" s="75">
        <f>60*F4737*'THAM_SO_MOI'!$C$53/(2*PI()*'THAM_SO_MOI'!$C$26)</f>
        <v>2415.5772105263154</v>
      </c>
      <c r="F4737" s="75">
        <f>'THAM_SO_MOI'!$C$14+('THAM_SO_MOI'!$C$37-'THAM_SO_MOI'!$C$14)*646/'THAM_SO_MOI'!$C$42</f>
        <v>24.51707638888889</v>
      </c>
      <c r="G4737" s="75">
        <f>3.6*F4737</f>
        <v>88.261475</v>
      </c>
      <c r="H4737" s="75">
        <f>'THAM_SO_MOI'!$D$53</f>
        <v>1.1</v>
      </c>
      <c r="I4737" s="75">
        <f>IF(F4737&gt;='THAM_SO_MOI'!$C$14,'THAM_SO_MOI'!$C$13*(1+F4737^2/1500),'THAM_SO_MOI'!$C$13)</f>
        <v>0.02101087034658613</v>
      </c>
      <c r="J4737" s="75">
        <f>'THAM_SO_MOI'!$C$40*('THAM_SO_MOI'!$C$23*(E4737/'THAM_SO_MOI'!$C$22)+'THAM_SO_MOI'!$C$24*(E4737/'THAM_SO_MOI'!$C$22)^2-'THAM_SO_MOI'!$C$25*(E4737/'THAM_SO_MOI'!$C$22)^3)</f>
        <v>108.02435350926763</v>
      </c>
      <c r="K4737" s="75">
        <f>'THAM_SO_MOI'!$C$31*J4737/E4737</f>
        <v>427.12409394682754</v>
      </c>
      <c r="L4737" s="75">
        <f>K4737*'THAM_SO_MOI'!$C$53*'THAM_SO_MOI'!$C$17/'THAM_SO_MOI'!$C$26</f>
        <v>3745.879975236827</v>
      </c>
      <c r="M4737" s="75">
        <f>'THAM_SO_MOI'!$C$15*'THAM_SO_MOI'!$C$16*F4737^2</f>
        <v>1758.179576376443</v>
      </c>
      <c r="N4737" s="75">
        <f>'THAM_SO_MOI'!$C$12*I4737</f>
        <v>1582.9757806080763</v>
      </c>
      <c r="O4737" s="75">
        <f>M4737+N4737</f>
        <v>3341.155356984519</v>
      </c>
      <c r="P4737" s="75">
        <f>(MIN(L4737,'THAM_SO_MOI'!$C$41)-O4737)/('THAM_SO_MOI'!$C$11*H4737)</f>
        <v>0.04790774363782048</v>
      </c>
      <c r="Q4737" s="75">
        <f>IF(P4737&gt;0,1/P4737,NA())</f>
        <v>20.87345226608744</v>
      </c>
      <c r="R4737" s="75">
        <f>F4737-F4736</f>
        <v>0.0035868055555567935</v>
      </c>
      <c r="S4737" s="75">
        <f>0.5*(Q4736+Q4737)*R4737</f>
        <v>0.07480238204488125</v>
      </c>
      <c r="T4737" s="75">
        <f>0.5*(F4736*Q4736+F4737*Q4737)*R4737</f>
        <v>1.8338016833643833</v>
      </c>
      <c r="U4737" s="76">
        <f>U4736+S4737</f>
        <v>94.52507807642789</v>
      </c>
      <c r="V4737" s="76">
        <f>V4736+T4737</f>
        <v>1700.3211376090535</v>
      </c>
    </row>
    <row r="4738" spans="1:22" ht="19" customHeight="1">
      <c r="A4738" s="68" t="s">
        <v>378</v>
      </c>
      <c r="B4738" s="74">
        <v>5</v>
      </c>
      <c r="C4738" s="68" t="s">
        <v>363</v>
      </c>
      <c r="D4738" s="68" t="s">
        <v>365</v>
      </c>
      <c r="E4738" s="75">
        <f>60*F4738*'THAM_SO_MOI'!$C$53/(2*PI()*'THAM_SO_MOI'!$C$26)</f>
        <v>2415.930605263157</v>
      </c>
      <c r="F4738" s="75">
        <f>'THAM_SO_MOI'!$C$14+('THAM_SO_MOI'!$C$37-'THAM_SO_MOI'!$C$14)*647/'THAM_SO_MOI'!$C$42</f>
        <v>24.52066319444444</v>
      </c>
      <c r="G4738" s="75">
        <f>3.6*F4738</f>
        <v>88.27438749999999</v>
      </c>
      <c r="H4738" s="75">
        <f>'THAM_SO_MOI'!$D$53</f>
        <v>1.1</v>
      </c>
      <c r="I4738" s="75">
        <f>IF(F4738&gt;='THAM_SO_MOI'!$C$14,'THAM_SO_MOI'!$C$13*(1+F4738^2/1500),'THAM_SO_MOI'!$C$13)</f>
        <v>0.02101262923495382</v>
      </c>
      <c r="J4738" s="75">
        <f>'THAM_SO_MOI'!$C$40*('THAM_SO_MOI'!$C$23*(E4738/'THAM_SO_MOI'!$C$22)+'THAM_SO_MOI'!$C$24*(E4738/'THAM_SO_MOI'!$C$22)^2-'THAM_SO_MOI'!$C$25*(E4738/'THAM_SO_MOI'!$C$22)^3)</f>
        <v>108.03799714718436</v>
      </c>
      <c r="K4738" s="75">
        <f>'THAM_SO_MOI'!$C$31*J4738/E4738</f>
        <v>427.1155540993747</v>
      </c>
      <c r="L4738" s="75">
        <f>K4738*'THAM_SO_MOI'!$C$53*'THAM_SO_MOI'!$C$17/'THAM_SO_MOI'!$C$26</f>
        <v>3745.8050807412496</v>
      </c>
      <c r="M4738" s="75">
        <f>'THAM_SO_MOI'!$C$15*'THAM_SO_MOI'!$C$16*F4738^2</f>
        <v>1758.6940512239933</v>
      </c>
      <c r="N4738" s="75">
        <f>'THAM_SO_MOI'!$C$12*I4738</f>
        <v>1583.108296664809</v>
      </c>
      <c r="O4738" s="75">
        <f>M4738+N4738</f>
        <v>3341.802347888802</v>
      </c>
      <c r="P4738" s="75">
        <f>(MIN(L4738,'THAM_SO_MOI'!$C$41)-O4738)/('THAM_SO_MOI'!$C$11*H4738)</f>
        <v>0.04782229318802645</v>
      </c>
      <c r="Q4738" s="75">
        <f>IF(P4738&gt;0,1/P4738,NA())</f>
        <v>20.910749638630378</v>
      </c>
      <c r="R4738" s="75">
        <f>F4738-F4737</f>
        <v>0.0035868055555532408</v>
      </c>
      <c r="S4738" s="75">
        <f>0.5*(Q4737+Q4738)*R4738</f>
        <v>0.07493590376310008</v>
      </c>
      <c r="T4738" s="75">
        <f>0.5*(F4737*Q4737+F4738*Q4738)*R4738</f>
        <v>1.8373437870476126</v>
      </c>
      <c r="U4738" s="76">
        <f>U4737+S4738</f>
        <v>94.600013980191</v>
      </c>
      <c r="V4738" s="76">
        <f>V4737+T4738</f>
        <v>1702.158481396101</v>
      </c>
    </row>
    <row r="4739" spans="1:22" ht="19" customHeight="1">
      <c r="A4739" s="68" t="s">
        <v>378</v>
      </c>
      <c r="B4739" s="74">
        <v>5</v>
      </c>
      <c r="C4739" s="68" t="s">
        <v>363</v>
      </c>
      <c r="D4739" s="68" t="s">
        <v>365</v>
      </c>
      <c r="E4739" s="75">
        <f>60*F4739*'THAM_SO_MOI'!$C$53/(2*PI()*'THAM_SO_MOI'!$C$26)</f>
        <v>2416.283999999999</v>
      </c>
      <c r="F4739" s="75">
        <f>'THAM_SO_MOI'!$C$14+('THAM_SO_MOI'!$C$37-'THAM_SO_MOI'!$C$14)*648/'THAM_SO_MOI'!$C$42</f>
        <v>24.52425</v>
      </c>
      <c r="G4739" s="75">
        <f>3.6*F4739</f>
        <v>88.2873</v>
      </c>
      <c r="H4739" s="75">
        <f>'THAM_SO_MOI'!$D$53</f>
        <v>1.1</v>
      </c>
      <c r="I4739" s="75">
        <f>IF(F4739&gt;='THAM_SO_MOI'!$C$14,'THAM_SO_MOI'!$C$13*(1+F4739^2/1500),'THAM_SO_MOI'!$C$13)</f>
        <v>0.021014388380624995</v>
      </c>
      <c r="J4739" s="75">
        <f>'THAM_SO_MOI'!$C$40*('THAM_SO_MOI'!$C$23*(E4739/'THAM_SO_MOI'!$C$22)+'THAM_SO_MOI'!$C$24*(E4739/'THAM_SO_MOI'!$C$22)^2-'THAM_SO_MOI'!$C$25*(E4739/'THAM_SO_MOI'!$C$22)^3)</f>
        <v>108.05163708798354</v>
      </c>
      <c r="K4739" s="75">
        <f>'THAM_SO_MOI'!$C$31*J4739/E4739</f>
        <v>427.1070021359374</v>
      </c>
      <c r="L4739" s="75">
        <f>K4739*'THAM_SO_MOI'!$C$53*'THAM_SO_MOI'!$C$17/'THAM_SO_MOI'!$C$26</f>
        <v>3745.730079988441</v>
      </c>
      <c r="M4739" s="75">
        <f>'THAM_SO_MOI'!$C$15*'THAM_SO_MOI'!$C$16*F4739^2</f>
        <v>1759.2086013328123</v>
      </c>
      <c r="N4739" s="75">
        <f>'THAM_SO_MOI'!$C$12*I4739</f>
        <v>1583.2408321069918</v>
      </c>
      <c r="O4739" s="75">
        <f>M4739+N4739</f>
        <v>3342.449433439804</v>
      </c>
      <c r="P4739" s="75">
        <f>(MIN(L4739,'THAM_SO_MOI'!$C$41)-O4739)/('THAM_SO_MOI'!$C$11*H4739)</f>
        <v>0.047736818956988274</v>
      </c>
      <c r="Q4739" s="75">
        <f>IF(P4739&gt;0,1/P4739,NA())</f>
        <v>20.948190973952787</v>
      </c>
      <c r="R4739" s="75">
        <f>F4739-F4738</f>
        <v>0.0035868055555567935</v>
      </c>
      <c r="S4739" s="75">
        <f>0.5*(Q4738+Q4739)*R4739</f>
        <v>0.0750699403694676</v>
      </c>
      <c r="T4739" s="75">
        <f>0.5*(F4738*Q4738+F4739*Q4739)*R4739</f>
        <v>1.8408994748886538</v>
      </c>
      <c r="U4739" s="76">
        <f>U4738+S4739</f>
        <v>94.67508392056047</v>
      </c>
      <c r="V4739" s="76">
        <f>V4738+T4739</f>
        <v>1703.9993808709896</v>
      </c>
    </row>
    <row r="4740" spans="1:22" ht="19" customHeight="1">
      <c r="A4740" s="68" t="s">
        <v>378</v>
      </c>
      <c r="B4740" s="74">
        <v>5</v>
      </c>
      <c r="C4740" s="68" t="s">
        <v>363</v>
      </c>
      <c r="D4740" s="68" t="s">
        <v>365</v>
      </c>
      <c r="E4740" s="75">
        <f>60*F4740*'THAM_SO_MOI'!$C$53/(2*PI()*'THAM_SO_MOI'!$C$26)</f>
        <v>2416.637394736841</v>
      </c>
      <c r="F4740" s="75">
        <f>'THAM_SO_MOI'!$C$14+('THAM_SO_MOI'!$C$37-'THAM_SO_MOI'!$C$14)*649/'THAM_SO_MOI'!$C$42</f>
        <v>24.527836805555555</v>
      </c>
      <c r="G4740" s="75">
        <f>3.6*F4740</f>
        <v>88.3002125</v>
      </c>
      <c r="H4740" s="75">
        <f>'THAM_SO_MOI'!$D$53</f>
        <v>1.1</v>
      </c>
      <c r="I4740" s="75">
        <f>IF(F4740&gt;='THAM_SO_MOI'!$C$14,'THAM_SO_MOI'!$C$13*(1+F4740^2/1500),'THAM_SO_MOI'!$C$13)</f>
        <v>0.021016147783599656</v>
      </c>
      <c r="J4740" s="75">
        <f>'THAM_SO_MOI'!$C$40*('THAM_SO_MOI'!$C$23*(E4740/'THAM_SO_MOI'!$C$22)+'THAM_SO_MOI'!$C$24*(E4740/'THAM_SO_MOI'!$C$22)^2-'THAM_SO_MOI'!$C$25*(E4740/'THAM_SO_MOI'!$C$22)^3)</f>
        <v>108.0652733303202</v>
      </c>
      <c r="K4740" s="75">
        <f>'THAM_SO_MOI'!$C$31*J4740/E4740</f>
        <v>427.0984380565155</v>
      </c>
      <c r="L4740" s="75">
        <f>K4740*'THAM_SO_MOI'!$C$53*'THAM_SO_MOI'!$C$17/'THAM_SO_MOI'!$C$26</f>
        <v>3745.6549729783997</v>
      </c>
      <c r="M4740" s="75">
        <f>'THAM_SO_MOI'!$C$15*'THAM_SO_MOI'!$C$16*F4740^2</f>
        <v>1759.7232267029</v>
      </c>
      <c r="N4740" s="75">
        <f>'THAM_SO_MOI'!$C$12*I4740</f>
        <v>1583.3733869346252</v>
      </c>
      <c r="O4740" s="75">
        <f>M4740+N4740</f>
        <v>3343.0966136375255</v>
      </c>
      <c r="P4740" s="75">
        <f>(MIN(L4740,'THAM_SO_MOI'!$C$41)-O4740)/('THAM_SO_MOI'!$C$11*H4740)</f>
        <v>0.047651320944705776</v>
      </c>
      <c r="Q4740" s="75">
        <f>IF(P4740&gt;0,1/P4740,NA())</f>
        <v>20.985777102808804</v>
      </c>
      <c r="R4740" s="75">
        <f>F4740-F4739</f>
        <v>0.0035868055555567935</v>
      </c>
      <c r="S4740" s="75">
        <f>0.5*(Q4739+Q4740)*R4740</f>
        <v>0.07520449483213484</v>
      </c>
      <c r="T4740" s="75">
        <f>0.5*(F4739*Q4739+F4740*Q4740)*R4740</f>
        <v>1.844468825224939</v>
      </c>
      <c r="U4740" s="76">
        <f>U4739+S4740</f>
        <v>94.7502884153926</v>
      </c>
      <c r="V4740" s="76">
        <f>V4739+T4740</f>
        <v>1705.8438496962146</v>
      </c>
    </row>
    <row r="4741" spans="1:22" ht="19" customHeight="1">
      <c r="A4741" s="68" t="s">
        <v>378</v>
      </c>
      <c r="B4741" s="74">
        <v>5</v>
      </c>
      <c r="C4741" s="68" t="s">
        <v>363</v>
      </c>
      <c r="D4741" s="68" t="s">
        <v>365</v>
      </c>
      <c r="E4741" s="75">
        <f>60*F4741*'THAM_SO_MOI'!$C$53/(2*PI()*'THAM_SO_MOI'!$C$26)</f>
        <v>2416.9907894736834</v>
      </c>
      <c r="F4741" s="75">
        <f>'THAM_SO_MOI'!$C$14+('THAM_SO_MOI'!$C$37-'THAM_SO_MOI'!$C$14)*650/'THAM_SO_MOI'!$C$42</f>
        <v>24.53142361111111</v>
      </c>
      <c r="G4741" s="75">
        <f>3.6*F4741</f>
        <v>88.313125</v>
      </c>
      <c r="H4741" s="75">
        <f>'THAM_SO_MOI'!$D$53</f>
        <v>1.1</v>
      </c>
      <c r="I4741" s="75">
        <f>IF(F4741&gt;='THAM_SO_MOI'!$C$14,'THAM_SO_MOI'!$C$13*(1+F4741^2/1500),'THAM_SO_MOI'!$C$13)</f>
        <v>0.021017907443877794</v>
      </c>
      <c r="J4741" s="75">
        <f>'THAM_SO_MOI'!$C$40*('THAM_SO_MOI'!$C$23*(E4741/'THAM_SO_MOI'!$C$22)+'THAM_SO_MOI'!$C$24*(E4741/'THAM_SO_MOI'!$C$22)^2-'THAM_SO_MOI'!$C$25*(E4741/'THAM_SO_MOI'!$C$22)^3)</f>
        <v>108.07890587284956</v>
      </c>
      <c r="K4741" s="75">
        <f>'THAM_SO_MOI'!$C$31*J4741/E4741</f>
        <v>427.0898618611093</v>
      </c>
      <c r="L4741" s="75">
        <f>K4741*'THAM_SO_MOI'!$C$53*'THAM_SO_MOI'!$C$17/'THAM_SO_MOI'!$C$26</f>
        <v>3745.5797597111286</v>
      </c>
      <c r="M4741" s="75">
        <f>'THAM_SO_MOI'!$C$15*'THAM_SO_MOI'!$C$16*F4741^2</f>
        <v>1760.2379273342556</v>
      </c>
      <c r="N4741" s="75">
        <f>'THAM_SO_MOI'!$C$12*I4741</f>
        <v>1583.5059611477081</v>
      </c>
      <c r="O4741" s="75">
        <f>M4741+N4741</f>
        <v>3343.743888481964</v>
      </c>
      <c r="P4741" s="75">
        <f>(MIN(L4741,'THAM_SO_MOI'!$C$41)-O4741)/('THAM_SO_MOI'!$C$11*H4741)</f>
        <v>0.04756579915117956</v>
      </c>
      <c r="Q4741" s="75">
        <f>IF(P4741&gt;0,1/P4741,NA())</f>
        <v>21.023508862358753</v>
      </c>
      <c r="R4741" s="75">
        <f>F4741-F4740</f>
        <v>0.0035868055555532408</v>
      </c>
      <c r="S4741" s="75">
        <f>0.5*(Q4740+Q4741)*R4741</f>
        <v>0.0753395701423439</v>
      </c>
      <c r="T4741" s="75">
        <f>0.5*(F4740*Q4740+F4741*Q4741)*R4741</f>
        <v>1.8480519170029004</v>
      </c>
      <c r="U4741" s="76">
        <f>U4740+S4741</f>
        <v>94.82562798553495</v>
      </c>
      <c r="V4741" s="76">
        <f>V4740+T4741</f>
        <v>1707.6919016132176</v>
      </c>
    </row>
    <row r="4742" spans="1:22" ht="19" customHeight="1">
      <c r="A4742" s="68" t="s">
        <v>378</v>
      </c>
      <c r="B4742" s="74">
        <v>5</v>
      </c>
      <c r="C4742" s="68" t="s">
        <v>363</v>
      </c>
      <c r="D4742" s="68" t="s">
        <v>365</v>
      </c>
      <c r="E4742" s="75">
        <f>60*F4742*'THAM_SO_MOI'!$C$53/(2*PI()*'THAM_SO_MOI'!$C$26)</f>
        <v>2417.344184210526</v>
      </c>
      <c r="F4742" s="75">
        <f>'THAM_SO_MOI'!$C$14+('THAM_SO_MOI'!$C$37-'THAM_SO_MOI'!$C$14)*651/'THAM_SO_MOI'!$C$42</f>
        <v>24.535010416666665</v>
      </c>
      <c r="G4742" s="75">
        <f>3.6*F4742</f>
        <v>88.3260375</v>
      </c>
      <c r="H4742" s="75">
        <f>'THAM_SO_MOI'!$D$53</f>
        <v>1.1</v>
      </c>
      <c r="I4742" s="75">
        <f>IF(F4742&gt;='THAM_SO_MOI'!$C$14,'THAM_SO_MOI'!$C$13*(1+F4742^2/1500),'THAM_SO_MOI'!$C$13)</f>
        <v>0.021019667361459417</v>
      </c>
      <c r="J4742" s="75">
        <f>'THAM_SO_MOI'!$C$40*('THAM_SO_MOI'!$C$23*(E4742/'THAM_SO_MOI'!$C$22)+'THAM_SO_MOI'!$C$24*(E4742/'THAM_SO_MOI'!$C$22)^2-'THAM_SO_MOI'!$C$25*(E4742/'THAM_SO_MOI'!$C$22)^3)</f>
        <v>108.09253471422664</v>
      </c>
      <c r="K4742" s="75">
        <f>'THAM_SO_MOI'!$C$31*J4742/E4742</f>
        <v>427.0812735497185</v>
      </c>
      <c r="L4742" s="75">
        <f>K4742*'THAM_SO_MOI'!$C$53*'THAM_SO_MOI'!$C$17/'THAM_SO_MOI'!$C$26</f>
        <v>3745.5044401866257</v>
      </c>
      <c r="M4742" s="75">
        <f>'THAM_SO_MOI'!$C$15*'THAM_SO_MOI'!$C$16*F4742^2</f>
        <v>1760.75270322688</v>
      </c>
      <c r="N4742" s="75">
        <f>'THAM_SO_MOI'!$C$12*I4742</f>
        <v>1583.6385547462417</v>
      </c>
      <c r="O4742" s="75">
        <f>M4742+N4742</f>
        <v>3344.3912579731214</v>
      </c>
      <c r="P4742" s="75">
        <f>(MIN(L4742,'THAM_SO_MOI'!$C$41)-O4742)/('THAM_SO_MOI'!$C$11*H4742)</f>
        <v>0.04748025357640911</v>
      </c>
      <c r="Q4742" s="75">
        <f>IF(P4742&gt;0,1/P4742,NA())</f>
        <v>21.061387096231872</v>
      </c>
      <c r="R4742" s="75">
        <f>F4742-F4741</f>
        <v>0.0035868055555567935</v>
      </c>
      <c r="S4742" s="75">
        <f>0.5*(Q4741+Q4742)*R4742</f>
        <v>0.07547516931465124</v>
      </c>
      <c r="T4742" s="75">
        <f>0.5*(F4741*Q4741+F4742*Q4742)*R4742</f>
        <v>1.8516488297838647</v>
      </c>
      <c r="U4742" s="76">
        <f>U4741+S4742</f>
        <v>94.90110315484961</v>
      </c>
      <c r="V4742" s="76">
        <f>V4741+T4742</f>
        <v>1709.5435504430015</v>
      </c>
    </row>
    <row r="4743" spans="1:22" ht="19" customHeight="1">
      <c r="A4743" s="68" t="s">
        <v>378</v>
      </c>
      <c r="B4743" s="74">
        <v>5</v>
      </c>
      <c r="C4743" s="68" t="s">
        <v>363</v>
      </c>
      <c r="D4743" s="68" t="s">
        <v>365</v>
      </c>
      <c r="E4743" s="75">
        <f>60*F4743*'THAM_SO_MOI'!$C$53/(2*PI()*'THAM_SO_MOI'!$C$26)</f>
        <v>2417.697578947368</v>
      </c>
      <c r="F4743" s="75">
        <f>'THAM_SO_MOI'!$C$14+('THAM_SO_MOI'!$C$37-'THAM_SO_MOI'!$C$14)*652/'THAM_SO_MOI'!$C$42</f>
        <v>24.538597222222222</v>
      </c>
      <c r="G4743" s="75">
        <f>3.6*F4743</f>
        <v>88.33895</v>
      </c>
      <c r="H4743" s="75">
        <f>'THAM_SO_MOI'!$D$53</f>
        <v>1.1</v>
      </c>
      <c r="I4743" s="75">
        <f>IF(F4743&gt;='THAM_SO_MOI'!$C$14,'THAM_SO_MOI'!$C$13*(1+F4743^2/1500),'THAM_SO_MOI'!$C$13)</f>
        <v>0.02102142753634452</v>
      </c>
      <c r="J4743" s="75">
        <f>'THAM_SO_MOI'!$C$40*('THAM_SO_MOI'!$C$23*(E4743/'THAM_SO_MOI'!$C$22)+'THAM_SO_MOI'!$C$24*(E4743/'THAM_SO_MOI'!$C$22)^2-'THAM_SO_MOI'!$C$25*(E4743/'THAM_SO_MOI'!$C$22)^3)</f>
        <v>108.10615985310663</v>
      </c>
      <c r="K4743" s="75">
        <f>'THAM_SO_MOI'!$C$31*J4743/E4743</f>
        <v>427.0726731223434</v>
      </c>
      <c r="L4743" s="75">
        <f>K4743*'THAM_SO_MOI'!$C$53*'THAM_SO_MOI'!$C$17/'THAM_SO_MOI'!$C$26</f>
        <v>3745.429014404893</v>
      </c>
      <c r="M4743" s="75">
        <f>'THAM_SO_MOI'!$C$15*'THAM_SO_MOI'!$C$16*F4743^2</f>
        <v>1761.267554380773</v>
      </c>
      <c r="N4743" s="75">
        <f>'THAM_SO_MOI'!$C$12*I4743</f>
        <v>1583.7711677302252</v>
      </c>
      <c r="O4743" s="75">
        <f>M4743+N4743</f>
        <v>3345.038722110998</v>
      </c>
      <c r="P4743" s="75">
        <f>(MIN(L4743,'THAM_SO_MOI'!$C$41)-O4743)/('THAM_SO_MOI'!$C$11*H4743)</f>
        <v>0.04739468422039478</v>
      </c>
      <c r="Q4743" s="75">
        <f>IF(P4743&gt;0,1/P4743,NA())</f>
        <v>21.099412654588004</v>
      </c>
      <c r="R4743" s="75">
        <f>F4743-F4742</f>
        <v>0.0035868055555567935</v>
      </c>
      <c r="S4743" s="75">
        <f>0.5*(Q4742+Q4743)*R4743</f>
        <v>0.07561129538647911</v>
      </c>
      <c r="T4743" s="75">
        <f>0.5*(F4742*Q4742+F4743*Q4743)*R4743</f>
        <v>1.8552596437334594</v>
      </c>
      <c r="U4743" s="76">
        <f>U4742+S4743</f>
        <v>94.97671445023609</v>
      </c>
      <c r="V4743" s="76">
        <f>V4742+T4743</f>
        <v>1711.398810086735</v>
      </c>
    </row>
    <row r="4744" spans="1:22" ht="19" customHeight="1">
      <c r="A4744" s="68" t="s">
        <v>378</v>
      </c>
      <c r="B4744" s="74">
        <v>5</v>
      </c>
      <c r="C4744" s="68" t="s">
        <v>363</v>
      </c>
      <c r="D4744" s="68" t="s">
        <v>365</v>
      </c>
      <c r="E4744" s="75">
        <f>60*F4744*'THAM_SO_MOI'!$C$53/(2*PI()*'THAM_SO_MOI'!$C$26)</f>
        <v>2418.05097368421</v>
      </c>
      <c r="F4744" s="75">
        <f>'THAM_SO_MOI'!$C$14+('THAM_SO_MOI'!$C$37-'THAM_SO_MOI'!$C$14)*653/'THAM_SO_MOI'!$C$42</f>
        <v>24.542184027777775</v>
      </c>
      <c r="G4744" s="75">
        <f>3.6*F4744</f>
        <v>88.3518625</v>
      </c>
      <c r="H4744" s="75">
        <f>'THAM_SO_MOI'!$D$53</f>
        <v>1.1</v>
      </c>
      <c r="I4744" s="75">
        <f>IF(F4744&gt;='THAM_SO_MOI'!$C$14,'THAM_SO_MOI'!$C$13*(1+F4744^2/1500),'THAM_SO_MOI'!$C$13)</f>
        <v>0.021023187968533103</v>
      </c>
      <c r="J4744" s="75">
        <f>'THAM_SO_MOI'!$C$40*('THAM_SO_MOI'!$C$23*(E4744/'THAM_SO_MOI'!$C$22)+'THAM_SO_MOI'!$C$24*(E4744/'THAM_SO_MOI'!$C$22)^2-'THAM_SO_MOI'!$C$25*(E4744/'THAM_SO_MOI'!$C$22)^3)</f>
        <v>108.11978128814458</v>
      </c>
      <c r="K4744" s="75">
        <f>'THAM_SO_MOI'!$C$31*J4744/E4744</f>
        <v>427.06406057898386</v>
      </c>
      <c r="L4744" s="75">
        <f>K4744*'THAM_SO_MOI'!$C$53*'THAM_SO_MOI'!$C$17/'THAM_SO_MOI'!$C$26</f>
        <v>3745.3534823659297</v>
      </c>
      <c r="M4744" s="75">
        <f>'THAM_SO_MOI'!$C$15*'THAM_SO_MOI'!$C$16*F4744^2</f>
        <v>1761.7824807959335</v>
      </c>
      <c r="N4744" s="75">
        <f>'THAM_SO_MOI'!$C$12*I4744</f>
        <v>1583.9038000996588</v>
      </c>
      <c r="O4744" s="75">
        <f>M4744+N4744</f>
        <v>3345.686280895592</v>
      </c>
      <c r="P4744" s="75">
        <f>(MIN(L4744,'THAM_SO_MOI'!$C$41)-O4744)/('THAM_SO_MOI'!$C$11*H4744)</f>
        <v>0.04730909108313653</v>
      </c>
      <c r="Q4744" s="75">
        <f>IF(P4744&gt;0,1/P4744,NA())</f>
        <v>21.1375863941815</v>
      </c>
      <c r="R4744" s="75">
        <f>F4744-F4743</f>
        <v>0.0035868055555532408</v>
      </c>
      <c r="S4744" s="75">
        <f>0.5*(Q4743+Q4744)*R4744</f>
        <v>0.07574795141901171</v>
      </c>
      <c r="T4744" s="75">
        <f>0.5*(F4743*Q4743+F4744*Q4744)*R4744</f>
        <v>1.8588844396440214</v>
      </c>
      <c r="U4744" s="76">
        <f>U4743+S4744</f>
        <v>95.0524624016551</v>
      </c>
      <c r="V4744" s="76">
        <f>V4743+T4744</f>
        <v>1713.257694526379</v>
      </c>
    </row>
    <row r="4745" spans="1:22" ht="19" customHeight="1">
      <c r="A4745" s="68" t="s">
        <v>378</v>
      </c>
      <c r="B4745" s="74">
        <v>5</v>
      </c>
      <c r="C4745" s="68" t="s">
        <v>363</v>
      </c>
      <c r="D4745" s="68" t="s">
        <v>365</v>
      </c>
      <c r="E4745" s="75">
        <f>60*F4745*'THAM_SO_MOI'!$C$53/(2*PI()*'THAM_SO_MOI'!$C$26)</f>
        <v>2418.404368421052</v>
      </c>
      <c r="F4745" s="75">
        <f>'THAM_SO_MOI'!$C$14+('THAM_SO_MOI'!$C$37-'THAM_SO_MOI'!$C$14)*654/'THAM_SO_MOI'!$C$42</f>
        <v>24.545770833333332</v>
      </c>
      <c r="G4745" s="75">
        <f>3.6*F4745</f>
        <v>88.364775</v>
      </c>
      <c r="H4745" s="75">
        <f>'THAM_SO_MOI'!$D$53</f>
        <v>1.1</v>
      </c>
      <c r="I4745" s="75">
        <f>IF(F4745&gt;='THAM_SO_MOI'!$C$14,'THAM_SO_MOI'!$C$13*(1+F4745^2/1500),'THAM_SO_MOI'!$C$13)</f>
        <v>0.021024948658025174</v>
      </c>
      <c r="J4745" s="75">
        <f>'THAM_SO_MOI'!$C$40*('THAM_SO_MOI'!$C$23*(E4745/'THAM_SO_MOI'!$C$22)+'THAM_SO_MOI'!$C$24*(E4745/'THAM_SO_MOI'!$C$22)^2-'THAM_SO_MOI'!$C$25*(E4745/'THAM_SO_MOI'!$C$22)^3)</f>
        <v>108.13339901799559</v>
      </c>
      <c r="K4745" s="75">
        <f>'THAM_SO_MOI'!$C$31*J4745/E4745</f>
        <v>427.05543591963976</v>
      </c>
      <c r="L4745" s="75">
        <f>K4745*'THAM_SO_MOI'!$C$53*'THAM_SO_MOI'!$C$17/'THAM_SO_MOI'!$C$26</f>
        <v>3745.2778440697334</v>
      </c>
      <c r="M4745" s="75">
        <f>'THAM_SO_MOI'!$C$15*'THAM_SO_MOI'!$C$16*F4745^2</f>
        <v>1762.2974824723633</v>
      </c>
      <c r="N4745" s="75">
        <f>'THAM_SO_MOI'!$C$12*I4745</f>
        <v>1584.0364518545432</v>
      </c>
      <c r="O4745" s="75">
        <f>M4745+N4745</f>
        <v>3346.3339343269063</v>
      </c>
      <c r="P4745" s="75">
        <f>(MIN(L4745,'THAM_SO_MOI'!$C$41)-O4745)/('THAM_SO_MOI'!$C$11*H4745)</f>
        <v>0.04722347416463387</v>
      </c>
      <c r="Q4745" s="75">
        <f>IF(P4745&gt;0,1/P4745,NA())</f>
        <v>21.175909178425293</v>
      </c>
      <c r="R4745" s="75">
        <f>F4745-F4744</f>
        <v>0.0035868055555567935</v>
      </c>
      <c r="S4745" s="75">
        <f>0.5*(Q4744+Q4745)*R4745</f>
        <v>0.07588514049742692</v>
      </c>
      <c r="T4745" s="75">
        <f>0.5*(F4744*Q4744+F4745*Q4745)*R4745</f>
        <v>1.8625232989407061</v>
      </c>
      <c r="U4745" s="76">
        <f>U4744+S4745</f>
        <v>95.12834754215254</v>
      </c>
      <c r="V4745" s="76">
        <f>V4744+T4745</f>
        <v>1715.1202178253197</v>
      </c>
    </row>
    <row r="4746" spans="1:22" ht="19" customHeight="1">
      <c r="A4746" s="68" t="s">
        <v>378</v>
      </c>
      <c r="B4746" s="74">
        <v>5</v>
      </c>
      <c r="C4746" s="68" t="s">
        <v>363</v>
      </c>
      <c r="D4746" s="68" t="s">
        <v>365</v>
      </c>
      <c r="E4746" s="75">
        <f>60*F4746*'THAM_SO_MOI'!$C$53/(2*PI()*'THAM_SO_MOI'!$C$26)</f>
        <v>2418.7577631578943</v>
      </c>
      <c r="F4746" s="75">
        <f>'THAM_SO_MOI'!$C$14+('THAM_SO_MOI'!$C$37-'THAM_SO_MOI'!$C$14)*655/'THAM_SO_MOI'!$C$42</f>
        <v>24.54935763888889</v>
      </c>
      <c r="G4746" s="75">
        <f>3.6*F4746</f>
        <v>88.37768750000001</v>
      </c>
      <c r="H4746" s="75">
        <f>'THAM_SO_MOI'!$D$53</f>
        <v>1.1</v>
      </c>
      <c r="I4746" s="75">
        <f>IF(F4746&gt;='THAM_SO_MOI'!$C$14,'THAM_SO_MOI'!$C$13*(1+F4746^2/1500),'THAM_SO_MOI'!$C$13)</f>
        <v>0.021026709604820722</v>
      </c>
      <c r="J4746" s="75">
        <f>'THAM_SO_MOI'!$C$40*('THAM_SO_MOI'!$C$23*(E4746/'THAM_SO_MOI'!$C$22)+'THAM_SO_MOI'!$C$24*(E4746/'THAM_SO_MOI'!$C$22)^2-'THAM_SO_MOI'!$C$25*(E4746/'THAM_SO_MOI'!$C$22)^3)</f>
        <v>108.14701304131479</v>
      </c>
      <c r="K4746" s="75">
        <f>'THAM_SO_MOI'!$C$31*J4746/E4746</f>
        <v>427.04679914431114</v>
      </c>
      <c r="L4746" s="75">
        <f>K4746*'THAM_SO_MOI'!$C$53*'THAM_SO_MOI'!$C$17/'THAM_SO_MOI'!$C$26</f>
        <v>3745.202099516306</v>
      </c>
      <c r="M4746" s="75">
        <f>'THAM_SO_MOI'!$C$15*'THAM_SO_MOI'!$C$16*F4746^2</f>
        <v>1762.8125594100613</v>
      </c>
      <c r="N4746" s="75">
        <f>'THAM_SO_MOI'!$C$12*I4746</f>
        <v>1584.1691229948772</v>
      </c>
      <c r="O4746" s="75">
        <f>M4746+N4746</f>
        <v>3346.9816824049385</v>
      </c>
      <c r="P4746" s="75">
        <f>(MIN(L4746,'THAM_SO_MOI'!$C$41)-O4746)/('THAM_SO_MOI'!$C$11*H4746)</f>
        <v>0.047137833464887265</v>
      </c>
      <c r="Q4746" s="75">
        <f>IF(P4746&gt;0,1/P4746,NA())</f>
        <v>21.21438187745508</v>
      </c>
      <c r="R4746" s="75">
        <f>F4746-F4745</f>
        <v>0.0035868055555567935</v>
      </c>
      <c r="S4746" s="75">
        <f>0.5*(Q4745+Q4746)*R4746</f>
        <v>0.07602286573045058</v>
      </c>
      <c r="T4746" s="75">
        <f>0.5*(F4745*Q4745+F4746*Q4746)*R4746</f>
        <v>1.8661763036709784</v>
      </c>
      <c r="U4746" s="76">
        <f>U4745+S4746</f>
        <v>95.20437040788299</v>
      </c>
      <c r="V4746" s="76">
        <f>V4745+T4746</f>
        <v>1716.9863941289907</v>
      </c>
    </row>
    <row r="4747" spans="1:22" ht="19" customHeight="1">
      <c r="A4747" s="68" t="s">
        <v>378</v>
      </c>
      <c r="B4747" s="74">
        <v>5</v>
      </c>
      <c r="C4747" s="68" t="s">
        <v>363</v>
      </c>
      <c r="D4747" s="68" t="s">
        <v>365</v>
      </c>
      <c r="E4747" s="75">
        <f>60*F4747*'THAM_SO_MOI'!$C$53/(2*PI()*'THAM_SO_MOI'!$C$26)</f>
        <v>2419.111157894736</v>
      </c>
      <c r="F4747" s="75">
        <f>'THAM_SO_MOI'!$C$14+('THAM_SO_MOI'!$C$37-'THAM_SO_MOI'!$C$14)*656/'THAM_SO_MOI'!$C$42</f>
        <v>24.552944444444442</v>
      </c>
      <c r="G4747" s="75">
        <f>3.6*F4747</f>
        <v>88.39059999999999</v>
      </c>
      <c r="H4747" s="75">
        <f>'THAM_SO_MOI'!$D$53</f>
        <v>1.1</v>
      </c>
      <c r="I4747" s="75">
        <f>IF(F4747&gt;='THAM_SO_MOI'!$C$14,'THAM_SO_MOI'!$C$13*(1+F4747^2/1500),'THAM_SO_MOI'!$C$13)</f>
        <v>0.02102847080891975</v>
      </c>
      <c r="J4747" s="75">
        <f>'THAM_SO_MOI'!$C$40*('THAM_SO_MOI'!$C$23*(E4747/'THAM_SO_MOI'!$C$22)+'THAM_SO_MOI'!$C$24*(E4747/'THAM_SO_MOI'!$C$22)^2-'THAM_SO_MOI'!$C$25*(E4747/'THAM_SO_MOI'!$C$22)^3)</f>
        <v>108.16062335675731</v>
      </c>
      <c r="K4747" s="75">
        <f>'THAM_SO_MOI'!$C$31*J4747/E4747</f>
        <v>427.03815025299815</v>
      </c>
      <c r="L4747" s="75">
        <f>K4747*'THAM_SO_MOI'!$C$53*'THAM_SO_MOI'!$C$17/'THAM_SO_MOI'!$C$26</f>
        <v>3745.1262487056483</v>
      </c>
      <c r="M4747" s="75">
        <f>'THAM_SO_MOI'!$C$15*'THAM_SO_MOI'!$C$16*F4747^2</f>
        <v>1763.3277116090276</v>
      </c>
      <c r="N4747" s="75">
        <f>'THAM_SO_MOI'!$C$12*I4747</f>
        <v>1584.3018135206612</v>
      </c>
      <c r="O4747" s="75">
        <f>M4747+N4747</f>
        <v>3347.629525129689</v>
      </c>
      <c r="P4747" s="75">
        <f>(MIN(L4747,'THAM_SO_MOI'!$C$41)-O4747)/('THAM_SO_MOI'!$C$11*H4747)</f>
        <v>0.047052168983896726</v>
      </c>
      <c r="Q4747" s="75">
        <f>IF(P4747&gt;0,1/P4747,NA())</f>
        <v>21.253005368195524</v>
      </c>
      <c r="R4747" s="75">
        <f>F4747-F4746</f>
        <v>0.0035868055555532408</v>
      </c>
      <c r="S4747" s="75">
        <f>0.5*(Q4746+Q4747)*R4747</f>
        <v>0.07616113025126521</v>
      </c>
      <c r="T4747" s="75">
        <f>0.5*(F4746*Q4746+F4747*Q4747)*R4747</f>
        <v>1.8698435365273436</v>
      </c>
      <c r="U4747" s="76">
        <f>U4746+S4747</f>
        <v>95.28053153813426</v>
      </c>
      <c r="V4747" s="76">
        <f>V4746+T4747</f>
        <v>1718.856237665518</v>
      </c>
    </row>
    <row r="4748" spans="1:22" ht="19" customHeight="1">
      <c r="A4748" s="68" t="s">
        <v>378</v>
      </c>
      <c r="B4748" s="74">
        <v>5</v>
      </c>
      <c r="C4748" s="68" t="s">
        <v>363</v>
      </c>
      <c r="D4748" s="68" t="s">
        <v>365</v>
      </c>
      <c r="E4748" s="75">
        <f>60*F4748*'THAM_SO_MOI'!$C$53/(2*PI()*'THAM_SO_MOI'!$C$26)</f>
        <v>2419.4645526315785</v>
      </c>
      <c r="F4748" s="75">
        <f>'THAM_SO_MOI'!$C$14+('THAM_SO_MOI'!$C$37-'THAM_SO_MOI'!$C$14)*657/'THAM_SO_MOI'!$C$42</f>
        <v>24.55653125</v>
      </c>
      <c r="G4748" s="75">
        <f>3.6*F4748</f>
        <v>88.4035125</v>
      </c>
      <c r="H4748" s="75">
        <f>'THAM_SO_MOI'!$D$53</f>
        <v>1.1</v>
      </c>
      <c r="I4748" s="75">
        <f>IF(F4748&gt;='THAM_SO_MOI'!$C$14,'THAM_SO_MOI'!$C$13*(1+F4748^2/1500),'THAM_SO_MOI'!$C$13)</f>
        <v>0.021030232270322264</v>
      </c>
      <c r="J4748" s="75">
        <f>'THAM_SO_MOI'!$C$40*('THAM_SO_MOI'!$C$23*(E4748/'THAM_SO_MOI'!$C$22)+'THAM_SO_MOI'!$C$24*(E4748/'THAM_SO_MOI'!$C$22)^2-'THAM_SO_MOI'!$C$25*(E4748/'THAM_SO_MOI'!$C$22)^3)</f>
        <v>108.17422996297827</v>
      </c>
      <c r="K4748" s="75">
        <f>'THAM_SO_MOI'!$C$31*J4748/E4748</f>
        <v>427.02948924570074</v>
      </c>
      <c r="L4748" s="75">
        <f>K4748*'THAM_SO_MOI'!$C$53*'THAM_SO_MOI'!$C$17/'THAM_SO_MOI'!$C$26</f>
        <v>3745.05029163776</v>
      </c>
      <c r="M4748" s="75">
        <f>'THAM_SO_MOI'!$C$15*'THAM_SO_MOI'!$C$16*F4748^2</f>
        <v>1763.8429390692627</v>
      </c>
      <c r="N4748" s="75">
        <f>'THAM_SO_MOI'!$C$12*I4748</f>
        <v>1584.4345234318957</v>
      </c>
      <c r="O4748" s="75">
        <f>M4748+N4748</f>
        <v>3348.2774625011584</v>
      </c>
      <c r="P4748" s="75">
        <f>(MIN(L4748,'THAM_SO_MOI'!$C$41)-O4748)/('THAM_SO_MOI'!$C$11*H4748)</f>
        <v>0.04696648072166212</v>
      </c>
      <c r="Q4748" s="75">
        <f>IF(P4748&gt;0,1/P4748,NA())</f>
        <v>21.291780534426437</v>
      </c>
      <c r="R4748" s="75">
        <f>F4748-F4747</f>
        <v>0.0035868055555567935</v>
      </c>
      <c r="S4748" s="75">
        <f>0.5*(Q4747+Q4748)*R4748</f>
        <v>0.0762999372177494</v>
      </c>
      <c r="T4748" s="75">
        <f>0.5*(F4747*Q4747+F4748*Q4748)*R4748</f>
        <v>1.8735250808536663</v>
      </c>
      <c r="U4748" s="76">
        <f>U4747+S4748</f>
        <v>95.35683147535201</v>
      </c>
      <c r="V4748" s="76">
        <f>V4747+T4748</f>
        <v>1720.7297627463715</v>
      </c>
    </row>
    <row r="4749" spans="1:22" ht="19" customHeight="1">
      <c r="A4749" s="68" t="s">
        <v>378</v>
      </c>
      <c r="B4749" s="74">
        <v>5</v>
      </c>
      <c r="C4749" s="68" t="s">
        <v>363</v>
      </c>
      <c r="D4749" s="68" t="s">
        <v>365</v>
      </c>
      <c r="E4749" s="75">
        <f>60*F4749*'THAM_SO_MOI'!$C$53/(2*PI()*'THAM_SO_MOI'!$C$26)</f>
        <v>2419.8179473684204</v>
      </c>
      <c r="F4749" s="75">
        <f>'THAM_SO_MOI'!$C$14+('THAM_SO_MOI'!$C$37-'THAM_SO_MOI'!$C$14)*658/'THAM_SO_MOI'!$C$42</f>
        <v>24.560118055555556</v>
      </c>
      <c r="G4749" s="75">
        <f>3.6*F4749</f>
        <v>88.416425</v>
      </c>
      <c r="H4749" s="75">
        <f>'THAM_SO_MOI'!$D$53</f>
        <v>1.1</v>
      </c>
      <c r="I4749" s="75">
        <f>IF(F4749&gt;='THAM_SO_MOI'!$C$14,'THAM_SO_MOI'!$C$13*(1+F4749^2/1500),'THAM_SO_MOI'!$C$13)</f>
        <v>0.02103199398902826</v>
      </c>
      <c r="J4749" s="75">
        <f>'THAM_SO_MOI'!$C$40*('THAM_SO_MOI'!$C$23*(E4749/'THAM_SO_MOI'!$C$22)+'THAM_SO_MOI'!$C$24*(E4749/'THAM_SO_MOI'!$C$22)^2-'THAM_SO_MOI'!$C$25*(E4749/'THAM_SO_MOI'!$C$22)^3)</f>
        <v>108.18783285863275</v>
      </c>
      <c r="K4749" s="75">
        <f>'THAM_SO_MOI'!$C$31*J4749/E4749</f>
        <v>427.0208161224189</v>
      </c>
      <c r="L4749" s="75">
        <f>K4749*'THAM_SO_MOI'!$C$53*'THAM_SO_MOI'!$C$17/'THAM_SO_MOI'!$C$26</f>
        <v>3744.9742283126407</v>
      </c>
      <c r="M4749" s="75">
        <f>'THAM_SO_MOI'!$C$15*'THAM_SO_MOI'!$C$16*F4749^2</f>
        <v>1764.3582417907664</v>
      </c>
      <c r="N4749" s="75">
        <f>'THAM_SO_MOI'!$C$12*I4749</f>
        <v>1584.5672527285806</v>
      </c>
      <c r="O4749" s="75">
        <f>M4749+N4749</f>
        <v>3348.925494519347</v>
      </c>
      <c r="P4749" s="75">
        <f>(MIN(L4749,'THAM_SO_MOI'!$C$41)-O4749)/('THAM_SO_MOI'!$C$11*H4749)</f>
        <v>0.046880768678183436</v>
      </c>
      <c r="Q4749" s="75">
        <f>IF(P4749&gt;0,1/P4749,NA())</f>
        <v>21.330708266849786</v>
      </c>
      <c r="R4749" s="75">
        <f>F4749-F4748</f>
        <v>0.0035868055555567935</v>
      </c>
      <c r="S4749" s="75">
        <f>0.5*(Q4748+Q4749)*R4749</f>
        <v>0.07643928981203738</v>
      </c>
      <c r="T4749" s="75">
        <f>0.5*(F4748*Q4748+F4749*Q4749)*R4749</f>
        <v>1.8772210206347966</v>
      </c>
      <c r="U4749" s="76">
        <f>U4748+S4749</f>
        <v>95.43327076516405</v>
      </c>
      <c r="V4749" s="76">
        <f>V4748+T4749</f>
        <v>1722.6069837670063</v>
      </c>
    </row>
    <row r="4750" spans="1:22" ht="19" customHeight="1">
      <c r="A4750" s="68" t="s">
        <v>378</v>
      </c>
      <c r="B4750" s="74">
        <v>5</v>
      </c>
      <c r="C4750" s="68" t="s">
        <v>363</v>
      </c>
      <c r="D4750" s="68" t="s">
        <v>365</v>
      </c>
      <c r="E4750" s="75">
        <f>60*F4750*'THAM_SO_MOI'!$C$53/(2*PI()*'THAM_SO_MOI'!$C$26)</f>
        <v>2420.1713421052627</v>
      </c>
      <c r="F4750" s="75">
        <f>'THAM_SO_MOI'!$C$14+('THAM_SO_MOI'!$C$37-'THAM_SO_MOI'!$C$14)*659/'THAM_SO_MOI'!$C$42</f>
        <v>24.56370486111111</v>
      </c>
      <c r="G4750" s="75">
        <f>3.6*F4750</f>
        <v>88.42933749999999</v>
      </c>
      <c r="H4750" s="75">
        <f>'THAM_SO_MOI'!$D$53</f>
        <v>1.1</v>
      </c>
      <c r="I4750" s="75">
        <f>IF(F4750&gt;='THAM_SO_MOI'!$C$14,'THAM_SO_MOI'!$C$13*(1+F4750^2/1500),'THAM_SO_MOI'!$C$13)</f>
        <v>0.021033755965037735</v>
      </c>
      <c r="J4750" s="75">
        <f>'THAM_SO_MOI'!$C$40*('THAM_SO_MOI'!$C$23*(E4750/'THAM_SO_MOI'!$C$22)+'THAM_SO_MOI'!$C$24*(E4750/'THAM_SO_MOI'!$C$22)^2-'THAM_SO_MOI'!$C$25*(E4750/'THAM_SO_MOI'!$C$22)^3)</f>
        <v>108.20143204237581</v>
      </c>
      <c r="K4750" s="75">
        <f>'THAM_SO_MOI'!$C$31*J4750/E4750</f>
        <v>427.0121308831524</v>
      </c>
      <c r="L4750" s="75">
        <f>K4750*'THAM_SO_MOI'!$C$53*'THAM_SO_MOI'!$C$17/'THAM_SO_MOI'!$C$26</f>
        <v>3744.8980587302885</v>
      </c>
      <c r="M4750" s="75">
        <f>'THAM_SO_MOI'!$C$15*'THAM_SO_MOI'!$C$16*F4750^2</f>
        <v>1764.873619773538</v>
      </c>
      <c r="N4750" s="75">
        <f>'THAM_SO_MOI'!$C$12*I4750</f>
        <v>1584.700001410715</v>
      </c>
      <c r="O4750" s="75">
        <f>M4750+N4750</f>
        <v>3349.573621184253</v>
      </c>
      <c r="P4750" s="75">
        <f>(MIN(L4750,'THAM_SO_MOI'!$C$41)-O4750)/('THAM_SO_MOI'!$C$11*H4750)</f>
        <v>0.04679503285346065</v>
      </c>
      <c r="Q4750" s="75">
        <f>IF(P4750&gt;0,1/P4750,NA())</f>
        <v>21.369789463157662</v>
      </c>
      <c r="R4750" s="75">
        <f>F4750-F4749</f>
        <v>0.0035868055555532408</v>
      </c>
      <c r="S4750" s="75">
        <f>0.5*(Q4749+Q4750)*R4750</f>
        <v>0.07657919124143964</v>
      </c>
      <c r="T4750" s="75">
        <f>0.5*(F4749*Q4749+F4750*Q4750)*R4750</f>
        <v>1.8809314405196145</v>
      </c>
      <c r="U4750" s="76">
        <f>U4749+S4750</f>
        <v>95.50984995640549</v>
      </c>
      <c r="V4750" s="76">
        <f>V4749+T4750</f>
        <v>1724.487915207526</v>
      </c>
    </row>
    <row r="4751" spans="1:22" ht="19" customHeight="1">
      <c r="A4751" s="68" t="s">
        <v>378</v>
      </c>
      <c r="B4751" s="74">
        <v>5</v>
      </c>
      <c r="C4751" s="68" t="s">
        <v>363</v>
      </c>
      <c r="D4751" s="68" t="s">
        <v>365</v>
      </c>
      <c r="E4751" s="75">
        <f>60*F4751*'THAM_SO_MOI'!$C$53/(2*PI()*'THAM_SO_MOI'!$C$26)</f>
        <v>2420.5247368421046</v>
      </c>
      <c r="F4751" s="75">
        <f>'THAM_SO_MOI'!$C$14+('THAM_SO_MOI'!$C$37-'THAM_SO_MOI'!$C$14)*660/'THAM_SO_MOI'!$C$42</f>
        <v>24.567291666666666</v>
      </c>
      <c r="G4751" s="75">
        <f>3.6*F4751</f>
        <v>88.44225</v>
      </c>
      <c r="H4751" s="75">
        <f>'THAM_SO_MOI'!$D$53</f>
        <v>1.1</v>
      </c>
      <c r="I4751" s="75">
        <f>IF(F4751&gt;='THAM_SO_MOI'!$C$14,'THAM_SO_MOI'!$C$13*(1+F4751^2/1500),'THAM_SO_MOI'!$C$13)</f>
        <v>0.021035518198350693</v>
      </c>
      <c r="J4751" s="75">
        <f>'THAM_SO_MOI'!$C$40*('THAM_SO_MOI'!$C$23*(E4751/'THAM_SO_MOI'!$C$22)+'THAM_SO_MOI'!$C$24*(E4751/'THAM_SO_MOI'!$C$22)^2-'THAM_SO_MOI'!$C$25*(E4751/'THAM_SO_MOI'!$C$22)^3)</f>
        <v>108.2150275128626</v>
      </c>
      <c r="K4751" s="75">
        <f>'THAM_SO_MOI'!$C$31*J4751/E4751</f>
        <v>427.0034335279014</v>
      </c>
      <c r="L4751" s="75">
        <f>K4751*'THAM_SO_MOI'!$C$53*'THAM_SO_MOI'!$C$17/'THAM_SO_MOI'!$C$26</f>
        <v>3744.8217828907045</v>
      </c>
      <c r="M4751" s="75">
        <f>'THAM_SO_MOI'!$C$15*'THAM_SO_MOI'!$C$16*F4751^2</f>
        <v>1765.389073017578</v>
      </c>
      <c r="N4751" s="75">
        <f>'THAM_SO_MOI'!$C$12*I4751</f>
        <v>1584.8327694783</v>
      </c>
      <c r="O4751" s="75">
        <f>M4751+N4751</f>
        <v>3350.2218424958783</v>
      </c>
      <c r="P4751" s="75">
        <f>(MIN(L4751,'THAM_SO_MOI'!$C$41)-O4751)/('THAM_SO_MOI'!$C$11*H4751)</f>
        <v>0.04670927324749367</v>
      </c>
      <c r="Q4751" s="75">
        <f>IF(P4751&gt;0,1/P4751,NA())</f>
        <v>21.40902502810099</v>
      </c>
      <c r="R4751" s="75">
        <f>F4751-F4750</f>
        <v>0.0035868055555567935</v>
      </c>
      <c r="S4751" s="75">
        <f>0.5*(Q4750+Q4751)*R4751</f>
        <v>0.07671964473869</v>
      </c>
      <c r="T4751" s="75">
        <f>0.5*(F4750*Q4750+F4751*Q4751)*R4751</f>
        <v>1.8846564258275547</v>
      </c>
      <c r="U4751" s="76">
        <f>U4750+S4751</f>
        <v>95.58656960114418</v>
      </c>
      <c r="V4751" s="76">
        <f>V4750+T4751</f>
        <v>1726.3725716333536</v>
      </c>
    </row>
    <row r="4752" spans="1:22" ht="19" customHeight="1">
      <c r="A4752" s="68" t="s">
        <v>378</v>
      </c>
      <c r="B4752" s="74">
        <v>5</v>
      </c>
      <c r="C4752" s="68" t="s">
        <v>363</v>
      </c>
      <c r="D4752" s="68" t="s">
        <v>365</v>
      </c>
      <c r="E4752" s="75">
        <f>60*F4752*'THAM_SO_MOI'!$C$53/(2*PI()*'THAM_SO_MOI'!$C$26)</f>
        <v>2420.8781315789465</v>
      </c>
      <c r="F4752" s="75">
        <f>'THAM_SO_MOI'!$C$14+('THAM_SO_MOI'!$C$37-'THAM_SO_MOI'!$C$14)*661/'THAM_SO_MOI'!$C$42</f>
        <v>24.57087847222222</v>
      </c>
      <c r="G4752" s="75">
        <f>3.6*F4752</f>
        <v>88.45516249999999</v>
      </c>
      <c r="H4752" s="75">
        <f>'THAM_SO_MOI'!$D$53</f>
        <v>1.1</v>
      </c>
      <c r="I4752" s="75">
        <f>IF(F4752&gt;='THAM_SO_MOI'!$C$14,'THAM_SO_MOI'!$C$13*(1+F4752^2/1500),'THAM_SO_MOI'!$C$13)</f>
        <v>0.02103728068896713</v>
      </c>
      <c r="J4752" s="75">
        <f>'THAM_SO_MOI'!$C$40*('THAM_SO_MOI'!$C$23*(E4752/'THAM_SO_MOI'!$C$22)+'THAM_SO_MOI'!$C$24*(E4752/'THAM_SO_MOI'!$C$22)^2-'THAM_SO_MOI'!$C$25*(E4752/'THAM_SO_MOI'!$C$22)^3)</f>
        <v>108.22861926874833</v>
      </c>
      <c r="K4752" s="75">
        <f>'THAM_SO_MOI'!$C$31*J4752/E4752</f>
        <v>426.99472405666626</v>
      </c>
      <c r="L4752" s="75">
        <f>K4752*'THAM_SO_MOI'!$C$53*'THAM_SO_MOI'!$C$17/'THAM_SO_MOI'!$C$26</f>
        <v>3744.7454007938923</v>
      </c>
      <c r="M4752" s="75">
        <f>'THAM_SO_MOI'!$C$15*'THAM_SO_MOI'!$C$16*F4752^2</f>
        <v>1765.9046015228867</v>
      </c>
      <c r="N4752" s="75">
        <f>'THAM_SO_MOI'!$C$12*I4752</f>
        <v>1584.9655569313347</v>
      </c>
      <c r="O4752" s="75">
        <f>M4752+N4752</f>
        <v>3350.8701584542214</v>
      </c>
      <c r="P4752" s="75">
        <f>(MIN(L4752,'THAM_SO_MOI'!$C$41)-O4752)/('THAM_SO_MOI'!$C$11*H4752)</f>
        <v>0.04662348986028301</v>
      </c>
      <c r="Q4752" s="75">
        <f>IF(P4752&gt;0,1/P4752,NA())</f>
        <v>21.448415873558762</v>
      </c>
      <c r="R4752" s="75">
        <f>F4752-F4751</f>
        <v>0.0035868055555532408</v>
      </c>
      <c r="S4752" s="75">
        <f>0.5*(Q4751+Q4752)*R4752</f>
        <v>0.07686065356143396</v>
      </c>
      <c r="T4752" s="75">
        <f>0.5*(F4751*Q4751+F4752*Q4752)*R4752</f>
        <v>1.8883960625364895</v>
      </c>
      <c r="U4752" s="76">
        <f>U4751+S4752</f>
        <v>95.66343025470562</v>
      </c>
      <c r="V4752" s="76">
        <f>V4751+T4752</f>
        <v>1728.26096769589</v>
      </c>
    </row>
    <row r="4753" spans="1:22" ht="19" customHeight="1">
      <c r="A4753" s="68" t="s">
        <v>378</v>
      </c>
      <c r="B4753" s="74">
        <v>5</v>
      </c>
      <c r="C4753" s="68" t="s">
        <v>363</v>
      </c>
      <c r="D4753" s="68" t="s">
        <v>365</v>
      </c>
      <c r="E4753" s="75">
        <f>60*F4753*'THAM_SO_MOI'!$C$53/(2*PI()*'THAM_SO_MOI'!$C$26)</f>
        <v>2421.2315263157884</v>
      </c>
      <c r="F4753" s="75">
        <f>'THAM_SO_MOI'!$C$14+('THAM_SO_MOI'!$C$37-'THAM_SO_MOI'!$C$14)*662/'THAM_SO_MOI'!$C$42</f>
        <v>24.574465277777776</v>
      </c>
      <c r="G4753" s="75">
        <f>3.6*F4753</f>
        <v>88.468075</v>
      </c>
      <c r="H4753" s="75">
        <f>'THAM_SO_MOI'!$D$53</f>
        <v>1.1</v>
      </c>
      <c r="I4753" s="75">
        <f>IF(F4753&gt;='THAM_SO_MOI'!$C$14,'THAM_SO_MOI'!$C$13*(1+F4753^2/1500),'THAM_SO_MOI'!$C$13)</f>
        <v>0.021039043436887055</v>
      </c>
      <c r="J4753" s="75">
        <f>'THAM_SO_MOI'!$C$40*('THAM_SO_MOI'!$C$23*(E4753/'THAM_SO_MOI'!$C$22)+'THAM_SO_MOI'!$C$24*(E4753/'THAM_SO_MOI'!$C$22)^2-'THAM_SO_MOI'!$C$25*(E4753/'THAM_SO_MOI'!$C$22)^3)</f>
        <v>108.24220730868801</v>
      </c>
      <c r="K4753" s="75">
        <f>'THAM_SO_MOI'!$C$31*J4753/E4753</f>
        <v>426.9860024694466</v>
      </c>
      <c r="L4753" s="75">
        <f>K4753*'THAM_SO_MOI'!$C$53*'THAM_SO_MOI'!$C$17/'THAM_SO_MOI'!$C$26</f>
        <v>3744.6689124398486</v>
      </c>
      <c r="M4753" s="75">
        <f>'THAM_SO_MOI'!$C$15*'THAM_SO_MOI'!$C$16*F4753^2</f>
        <v>1766.4202052894639</v>
      </c>
      <c r="N4753" s="75">
        <f>'THAM_SO_MOI'!$C$12*I4753</f>
        <v>1585.0983637698203</v>
      </c>
      <c r="O4753" s="75">
        <f>M4753+N4753</f>
        <v>3351.5185690592843</v>
      </c>
      <c r="P4753" s="75">
        <f>(MIN(L4753,'THAM_SO_MOI'!$C$41)-O4753)/('THAM_SO_MOI'!$C$11*H4753)</f>
        <v>0.046537682691828175</v>
      </c>
      <c r="Q4753" s="75">
        <f>IF(P4753&gt;0,1/P4753,NA())</f>
        <v>21.487962918609092</v>
      </c>
      <c r="R4753" s="75">
        <f>F4753-F4752</f>
        <v>0.0035868055555567935</v>
      </c>
      <c r="S4753" s="75">
        <f>0.5*(Q4752+Q4753)*R4753</f>
        <v>0.07700222099361928</v>
      </c>
      <c r="T4753" s="75">
        <f>0.5*(F4752*Q4752+F4753*Q4753)*R4753</f>
        <v>1.8921504373173474</v>
      </c>
      <c r="U4753" s="76">
        <f>U4752+S4753</f>
        <v>95.74043247569924</v>
      </c>
      <c r="V4753" s="76">
        <f>V4752+T4753</f>
        <v>1730.1531181332073</v>
      </c>
    </row>
    <row r="4754" spans="1:22" ht="19" customHeight="1">
      <c r="A4754" s="68" t="s">
        <v>378</v>
      </c>
      <c r="B4754" s="74">
        <v>5</v>
      </c>
      <c r="C4754" s="68" t="s">
        <v>363</v>
      </c>
      <c r="D4754" s="68" t="s">
        <v>365</v>
      </c>
      <c r="E4754" s="75">
        <f>60*F4754*'THAM_SO_MOI'!$C$53/(2*PI()*'THAM_SO_MOI'!$C$26)</f>
        <v>2421.584921052631</v>
      </c>
      <c r="F4754" s="75">
        <f>'THAM_SO_MOI'!$C$14+('THAM_SO_MOI'!$C$37-'THAM_SO_MOI'!$C$14)*663/'THAM_SO_MOI'!$C$42</f>
        <v>24.578052083333333</v>
      </c>
      <c r="G4754" s="75">
        <f>3.6*F4754</f>
        <v>88.4809875</v>
      </c>
      <c r="H4754" s="75">
        <f>'THAM_SO_MOI'!$D$53</f>
        <v>1.1</v>
      </c>
      <c r="I4754" s="75">
        <f>IF(F4754&gt;='THAM_SO_MOI'!$C$14,'THAM_SO_MOI'!$C$13*(1+F4754^2/1500),'THAM_SO_MOI'!$C$13)</f>
        <v>0.021040806442110458</v>
      </c>
      <c r="J4754" s="75">
        <f>'THAM_SO_MOI'!$C$40*('THAM_SO_MOI'!$C$23*(E4754/'THAM_SO_MOI'!$C$22)+'THAM_SO_MOI'!$C$24*(E4754/'THAM_SO_MOI'!$C$22)^2-'THAM_SO_MOI'!$C$25*(E4754/'THAM_SO_MOI'!$C$22)^3)</f>
        <v>108.25579163133678</v>
      </c>
      <c r="K4754" s="75">
        <f>'THAM_SO_MOI'!$C$31*J4754/E4754</f>
        <v>426.9772687662424</v>
      </c>
      <c r="L4754" s="75">
        <f>K4754*'THAM_SO_MOI'!$C$53*'THAM_SO_MOI'!$C$17/'THAM_SO_MOI'!$C$26</f>
        <v>3744.5923178285734</v>
      </c>
      <c r="M4754" s="75">
        <f>'THAM_SO_MOI'!$C$15*'THAM_SO_MOI'!$C$16*F4754^2</f>
        <v>1766.9358843173097</v>
      </c>
      <c r="N4754" s="75">
        <f>'THAM_SO_MOI'!$C$12*I4754</f>
        <v>1585.2311899937556</v>
      </c>
      <c r="O4754" s="75">
        <f>M4754+N4754</f>
        <v>3352.1670743110653</v>
      </c>
      <c r="P4754" s="75">
        <f>(MIN(L4754,'THAM_SO_MOI'!$C$41)-O4754)/('THAM_SO_MOI'!$C$11*H4754)</f>
        <v>0.04645185174212927</v>
      </c>
      <c r="Q4754" s="75">
        <f>IF(P4754&gt;0,1/P4754,NA())</f>
        <v>21.52766708959968</v>
      </c>
      <c r="R4754" s="75">
        <f>F4754-F4753</f>
        <v>0.0035868055555567935</v>
      </c>
      <c r="S4754" s="75">
        <f>0.5*(Q4753+Q4754)*R4754</f>
        <v>0.07714435034460937</v>
      </c>
      <c r="T4754" s="75">
        <f>0.5*(F4753*Q4753+F4754*Q4754)*R4754</f>
        <v>1.8959196375127931</v>
      </c>
      <c r="U4754" s="76">
        <f>U4753+S4754</f>
        <v>95.81757682604385</v>
      </c>
      <c r="V4754" s="76">
        <f>V4753+T4754</f>
        <v>1732.0490377707201</v>
      </c>
    </row>
    <row r="4755" spans="1:22" ht="19" customHeight="1">
      <c r="A4755" s="68" t="s">
        <v>378</v>
      </c>
      <c r="B4755" s="74">
        <v>5</v>
      </c>
      <c r="C4755" s="68" t="s">
        <v>363</v>
      </c>
      <c r="D4755" s="68" t="s">
        <v>365</v>
      </c>
      <c r="E4755" s="75">
        <f>60*F4755*'THAM_SO_MOI'!$C$53/(2*PI()*'THAM_SO_MOI'!$C$26)</f>
        <v>2421.9383157894727</v>
      </c>
      <c r="F4755" s="75">
        <f>'THAM_SO_MOI'!$C$14+('THAM_SO_MOI'!$C$37-'THAM_SO_MOI'!$C$14)*664/'THAM_SO_MOI'!$C$42</f>
        <v>24.581638888888886</v>
      </c>
      <c r="G4755" s="75">
        <f>3.6*F4755</f>
        <v>88.4939</v>
      </c>
      <c r="H4755" s="75">
        <f>'THAM_SO_MOI'!$D$53</f>
        <v>1.1</v>
      </c>
      <c r="I4755" s="75">
        <f>IF(F4755&gt;='THAM_SO_MOI'!$C$14,'THAM_SO_MOI'!$C$13*(1+F4755^2/1500),'THAM_SO_MOI'!$C$13)</f>
        <v>0.021042569704637346</v>
      </c>
      <c r="J4755" s="75">
        <f>'THAM_SO_MOI'!$C$40*('THAM_SO_MOI'!$C$23*(E4755/'THAM_SO_MOI'!$C$22)+'THAM_SO_MOI'!$C$24*(E4755/'THAM_SO_MOI'!$C$22)^2-'THAM_SO_MOI'!$C$25*(E4755/'THAM_SO_MOI'!$C$22)^3)</f>
        <v>108.26937223534965</v>
      </c>
      <c r="K4755" s="75">
        <f>'THAM_SO_MOI'!$C$31*J4755/E4755</f>
        <v>426.9685229470536</v>
      </c>
      <c r="L4755" s="75">
        <f>K4755*'THAM_SO_MOI'!$C$53*'THAM_SO_MOI'!$C$17/'THAM_SO_MOI'!$C$26</f>
        <v>3744.5156169600655</v>
      </c>
      <c r="M4755" s="75">
        <f>'THAM_SO_MOI'!$C$15*'THAM_SO_MOI'!$C$16*F4755^2</f>
        <v>1767.4516386064233</v>
      </c>
      <c r="N4755" s="75">
        <f>'THAM_SO_MOI'!$C$12*I4755</f>
        <v>1585.3640356031415</v>
      </c>
      <c r="O4755" s="75">
        <f>M4755+N4755</f>
        <v>3352.815674209565</v>
      </c>
      <c r="P4755" s="75">
        <f>(MIN(L4755,'THAM_SO_MOI'!$C$41)-O4755)/('THAM_SO_MOI'!$C$11*H4755)</f>
        <v>0.046365997011186155</v>
      </c>
      <c r="Q4755" s="75">
        <f>IF(P4755&gt;0,1/P4755,NA())</f>
        <v>21.56752932022021</v>
      </c>
      <c r="R4755" s="75">
        <f>F4755-F4754</f>
        <v>0.0035868055555532408</v>
      </c>
      <c r="S4755" s="75">
        <f>0.5*(Q4754+Q4755)*R4755</f>
        <v>0.07728704495020003</v>
      </c>
      <c r="T4755" s="75">
        <f>0.5*(F4754*Q4754+F4755*Q4755)*R4755</f>
        <v>1.8997037511626749</v>
      </c>
      <c r="U4755" s="76">
        <f>U4754+S4755</f>
        <v>95.89486387099404</v>
      </c>
      <c r="V4755" s="76">
        <f>V4754+T4755</f>
        <v>1733.9487415218828</v>
      </c>
    </row>
    <row r="4756" spans="1:22" ht="19" customHeight="1">
      <c r="A4756" s="68" t="s">
        <v>378</v>
      </c>
      <c r="B4756" s="74">
        <v>5</v>
      </c>
      <c r="C4756" s="68" t="s">
        <v>363</v>
      </c>
      <c r="D4756" s="68" t="s">
        <v>365</v>
      </c>
      <c r="E4756" s="75">
        <f>60*F4756*'THAM_SO_MOI'!$C$53/(2*PI()*'THAM_SO_MOI'!$C$26)</f>
        <v>2422.2917105263155</v>
      </c>
      <c r="F4756" s="75">
        <f>'THAM_SO_MOI'!$C$14+('THAM_SO_MOI'!$C$37-'THAM_SO_MOI'!$C$14)*665/'THAM_SO_MOI'!$C$42</f>
        <v>24.585225694444443</v>
      </c>
      <c r="G4756" s="75">
        <f>3.6*F4756</f>
        <v>88.5068125</v>
      </c>
      <c r="H4756" s="75">
        <f>'THAM_SO_MOI'!$D$53</f>
        <v>1.1</v>
      </c>
      <c r="I4756" s="75">
        <f>IF(F4756&gt;='THAM_SO_MOI'!$C$14,'THAM_SO_MOI'!$C$13*(1+F4756^2/1500),'THAM_SO_MOI'!$C$13)</f>
        <v>0.021044333224467714</v>
      </c>
      <c r="J4756" s="75">
        <f>'THAM_SO_MOI'!$C$40*('THAM_SO_MOI'!$C$23*(E4756/'THAM_SO_MOI'!$C$22)+'THAM_SO_MOI'!$C$24*(E4756/'THAM_SO_MOI'!$C$22)^2-'THAM_SO_MOI'!$C$25*(E4756/'THAM_SO_MOI'!$C$22)^3)</f>
        <v>108.28294911938191</v>
      </c>
      <c r="K4756" s="75">
        <f>'THAM_SO_MOI'!$C$31*J4756/E4756</f>
        <v>426.95976501188056</v>
      </c>
      <c r="L4756" s="75">
        <f>K4756*'THAM_SO_MOI'!$C$53*'THAM_SO_MOI'!$C$17/'THAM_SO_MOI'!$C$26</f>
        <v>3744.4388098343284</v>
      </c>
      <c r="M4756" s="75">
        <f>'THAM_SO_MOI'!$C$15*'THAM_SO_MOI'!$C$16*F4756^2</f>
        <v>1767.967468156806</v>
      </c>
      <c r="N4756" s="75">
        <f>'THAM_SO_MOI'!$C$12*I4756</f>
        <v>1585.4969005979772</v>
      </c>
      <c r="O4756" s="75">
        <f>M4756+N4756</f>
        <v>3353.464368754783</v>
      </c>
      <c r="P4756" s="75">
        <f>(MIN(L4756,'THAM_SO_MOI'!$C$41)-O4756)/('THAM_SO_MOI'!$C$11*H4756)</f>
        <v>0.04628011849899919</v>
      </c>
      <c r="Q4756" s="75">
        <f>IF(P4756&gt;0,1/P4756,NA())</f>
        <v>21.607550551574864</v>
      </c>
      <c r="R4756" s="75">
        <f>F4756-F4755</f>
        <v>0.0035868055555567935</v>
      </c>
      <c r="S4756" s="75">
        <f>0.5*(Q4755+Q4756)*R4756</f>
        <v>0.07743030817288143</v>
      </c>
      <c r="T4756" s="75">
        <f>0.5*(F4755*Q4755+F4756*Q4756)*R4756</f>
        <v>1.903502867010942</v>
      </c>
      <c r="U4756" s="76">
        <f>U4755+S4756</f>
        <v>95.97229417916692</v>
      </c>
      <c r="V4756" s="76">
        <f>V4755+T4756</f>
        <v>1735.8522443888937</v>
      </c>
    </row>
    <row r="4757" spans="1:22" ht="19" customHeight="1">
      <c r="A4757" s="68" t="s">
        <v>378</v>
      </c>
      <c r="B4757" s="74">
        <v>5</v>
      </c>
      <c r="C4757" s="68" t="s">
        <v>363</v>
      </c>
      <c r="D4757" s="68" t="s">
        <v>365</v>
      </c>
      <c r="E4757" s="75">
        <f>60*F4757*'THAM_SO_MOI'!$C$53/(2*PI()*'THAM_SO_MOI'!$C$26)</f>
        <v>2422.6451052631573</v>
      </c>
      <c r="F4757" s="75">
        <f>'THAM_SO_MOI'!$C$14+('THAM_SO_MOI'!$C$37-'THAM_SO_MOI'!$C$14)*666/'THAM_SO_MOI'!$C$42</f>
        <v>24.5888125</v>
      </c>
      <c r="G4757" s="75">
        <f>3.6*F4757</f>
        <v>88.519725</v>
      </c>
      <c r="H4757" s="75">
        <f>'THAM_SO_MOI'!$D$53</f>
        <v>1.1</v>
      </c>
      <c r="I4757" s="75">
        <f>IF(F4757&gt;='THAM_SO_MOI'!$C$14,'THAM_SO_MOI'!$C$13*(1+F4757^2/1500),'THAM_SO_MOI'!$C$13)</f>
        <v>0.02104609700160156</v>
      </c>
      <c r="J4757" s="75">
        <f>'THAM_SO_MOI'!$C$40*('THAM_SO_MOI'!$C$23*(E4757/'THAM_SO_MOI'!$C$22)+'THAM_SO_MOI'!$C$24*(E4757/'THAM_SO_MOI'!$C$22)^2-'THAM_SO_MOI'!$C$25*(E4757/'THAM_SO_MOI'!$C$22)^3)</f>
        <v>108.29652228208852</v>
      </c>
      <c r="K4757" s="75">
        <f>'THAM_SO_MOI'!$C$31*J4757/E4757</f>
        <v>426.95099496072294</v>
      </c>
      <c r="L4757" s="75">
        <f>K4757*'THAM_SO_MOI'!$C$53*'THAM_SO_MOI'!$C$17/'THAM_SO_MOI'!$C$26</f>
        <v>3744.361896451359</v>
      </c>
      <c r="M4757" s="75">
        <f>'THAM_SO_MOI'!$C$15*'THAM_SO_MOI'!$C$16*F4757^2</f>
        <v>1768.4833729684572</v>
      </c>
      <c r="N4757" s="75">
        <f>'THAM_SO_MOI'!$C$12*I4757</f>
        <v>1585.6297849782627</v>
      </c>
      <c r="O4757" s="75">
        <f>M4757+N4757</f>
        <v>3354.11315794672</v>
      </c>
      <c r="P4757" s="75">
        <f>(MIN(L4757,'THAM_SO_MOI'!$C$41)-O4757)/('THAM_SO_MOI'!$C$11*H4757)</f>
        <v>0.04619421620556807</v>
      </c>
      <c r="Q4757" s="75">
        <f>IF(P4757&gt;0,1/P4757,NA())</f>
        <v>21.64773173225664</v>
      </c>
      <c r="R4757" s="75">
        <f>F4757-F4756</f>
        <v>0.0035868055555567935</v>
      </c>
      <c r="S4757" s="75">
        <f>0.5*(Q4756+Q4757)*R4757</f>
        <v>0.0775741434014121</v>
      </c>
      <c r="T4757" s="75">
        <f>0.5*(F4756*Q4756+F4757*Q4757)*R4757</f>
        <v>1.9073170744956454</v>
      </c>
      <c r="U4757" s="76">
        <f>U4756+S4757</f>
        <v>96.04986832256833</v>
      </c>
      <c r="V4757" s="76">
        <f>V4756+T4757</f>
        <v>1737.7595614633894</v>
      </c>
    </row>
    <row r="4758" spans="1:22" ht="19" customHeight="1">
      <c r="A4758" s="68" t="s">
        <v>378</v>
      </c>
      <c r="B4758" s="74">
        <v>5</v>
      </c>
      <c r="C4758" s="68" t="s">
        <v>363</v>
      </c>
      <c r="D4758" s="68" t="s">
        <v>365</v>
      </c>
      <c r="E4758" s="75">
        <f>60*F4758*'THAM_SO_MOI'!$C$53/(2*PI()*'THAM_SO_MOI'!$C$26)</f>
        <v>2422.9984999999992</v>
      </c>
      <c r="F4758" s="75">
        <f>'THAM_SO_MOI'!$C$14+('THAM_SO_MOI'!$C$37-'THAM_SO_MOI'!$C$14)*667/'THAM_SO_MOI'!$C$42</f>
        <v>24.592399305555553</v>
      </c>
      <c r="G4758" s="75">
        <f>3.6*F4758</f>
        <v>88.53263749999999</v>
      </c>
      <c r="H4758" s="75">
        <f>'THAM_SO_MOI'!$D$53</f>
        <v>1.1</v>
      </c>
      <c r="I4758" s="75">
        <f>IF(F4758&gt;='THAM_SO_MOI'!$C$14,'THAM_SO_MOI'!$C$13*(1+F4758^2/1500),'THAM_SO_MOI'!$C$13)</f>
        <v>0.02104786103603889</v>
      </c>
      <c r="J4758" s="75">
        <f>'THAM_SO_MOI'!$C$40*('THAM_SO_MOI'!$C$23*(E4758/'THAM_SO_MOI'!$C$22)+'THAM_SO_MOI'!$C$24*(E4758/'THAM_SO_MOI'!$C$22)^2-'THAM_SO_MOI'!$C$25*(E4758/'THAM_SO_MOI'!$C$22)^3)</f>
        <v>108.31009172212467</v>
      </c>
      <c r="K4758" s="75">
        <f>'THAM_SO_MOI'!$C$31*J4758/E4758</f>
        <v>426.9422127935809</v>
      </c>
      <c r="L4758" s="75">
        <f>K4758*'THAM_SO_MOI'!$C$53*'THAM_SO_MOI'!$C$17/'THAM_SO_MOI'!$C$26</f>
        <v>3744.284876811159</v>
      </c>
      <c r="M4758" s="75">
        <f>'THAM_SO_MOI'!$C$15*'THAM_SO_MOI'!$C$16*F4758^2</f>
        <v>1768.9993530413763</v>
      </c>
      <c r="N4758" s="75">
        <f>'THAM_SO_MOI'!$C$12*I4758</f>
        <v>1585.762688743999</v>
      </c>
      <c r="O4758" s="75">
        <f>M4758+N4758</f>
        <v>3354.762041785375</v>
      </c>
      <c r="P4758" s="75">
        <f>(MIN(L4758,'THAM_SO_MOI'!$C$41)-O4758)/('THAM_SO_MOI'!$C$11*H4758)</f>
        <v>0.04610829013089296</v>
      </c>
      <c r="Q4758" s="75">
        <f>IF(P4758&gt;0,1/P4758,NA())</f>
        <v>21.688073818421454</v>
      </c>
      <c r="R4758" s="75">
        <f>F4758-F4757</f>
        <v>0.0035868055555532408</v>
      </c>
      <c r="S4758" s="75">
        <f>0.5*(Q4757+Q4758)*R4758</f>
        <v>0.07771855405177358</v>
      </c>
      <c r="T4758" s="75">
        <f>0.5*(F4757*Q4757+F4758*Q4758)*R4758</f>
        <v>1.9111464637728874</v>
      </c>
      <c r="U4758" s="76">
        <f>U4757+S4758</f>
        <v>96.1275868766201</v>
      </c>
      <c r="V4758" s="76">
        <f>V4757+T4758</f>
        <v>1739.6707079271623</v>
      </c>
    </row>
    <row r="4759" spans="1:22" ht="19" customHeight="1">
      <c r="A4759" s="68" t="s">
        <v>378</v>
      </c>
      <c r="B4759" s="74">
        <v>5</v>
      </c>
      <c r="C4759" s="68" t="s">
        <v>363</v>
      </c>
      <c r="D4759" s="68" t="s">
        <v>365</v>
      </c>
      <c r="E4759" s="75">
        <f>60*F4759*'THAM_SO_MOI'!$C$53/(2*PI()*'THAM_SO_MOI'!$C$26)</f>
        <v>2423.351894736841</v>
      </c>
      <c r="F4759" s="75">
        <f>'THAM_SO_MOI'!$C$14+('THAM_SO_MOI'!$C$37-'THAM_SO_MOI'!$C$14)*668/'THAM_SO_MOI'!$C$42</f>
        <v>24.59598611111111</v>
      </c>
      <c r="G4759" s="75">
        <f>3.6*F4759</f>
        <v>88.54554999999999</v>
      </c>
      <c r="H4759" s="75">
        <f>'THAM_SO_MOI'!$D$53</f>
        <v>1.1</v>
      </c>
      <c r="I4759" s="75">
        <f>IF(F4759&gt;='THAM_SO_MOI'!$C$14,'THAM_SO_MOI'!$C$13*(1+F4759^2/1500),'THAM_SO_MOI'!$C$13)</f>
        <v>0.021049625327779705</v>
      </c>
      <c r="J4759" s="75">
        <f>'THAM_SO_MOI'!$C$40*('THAM_SO_MOI'!$C$23*(E4759/'THAM_SO_MOI'!$C$22)+'THAM_SO_MOI'!$C$24*(E4759/'THAM_SO_MOI'!$C$22)^2-'THAM_SO_MOI'!$C$25*(E4759/'THAM_SO_MOI'!$C$22)^3)</f>
        <v>108.32365743814543</v>
      </c>
      <c r="K4759" s="75">
        <f>'THAM_SO_MOI'!$C$31*J4759/E4759</f>
        <v>426.93341851045443</v>
      </c>
      <c r="L4759" s="75">
        <f>K4759*'THAM_SO_MOI'!$C$53*'THAM_SO_MOI'!$C$17/'THAM_SO_MOI'!$C$26</f>
        <v>3744.207750913728</v>
      </c>
      <c r="M4759" s="75">
        <f>'THAM_SO_MOI'!$C$15*'THAM_SO_MOI'!$C$16*F4759^2</f>
        <v>1769.515408375564</v>
      </c>
      <c r="N4759" s="75">
        <f>'THAM_SO_MOI'!$C$12*I4759</f>
        <v>1585.8956118951853</v>
      </c>
      <c r="O4759" s="75">
        <f>M4759+N4759</f>
        <v>3355.4110202707493</v>
      </c>
      <c r="P4759" s="75">
        <f>(MIN(L4759,'THAM_SO_MOI'!$C$41)-O4759)/('THAM_SO_MOI'!$C$11*H4759)</f>
        <v>0.0460223402749738</v>
      </c>
      <c r="Q4759" s="75">
        <f>IF(P4759&gt;0,1/P4759,NA())</f>
        <v>21.72857777386396</v>
      </c>
      <c r="R4759" s="75">
        <f>F4759-F4758</f>
        <v>0.0035868055555567935</v>
      </c>
      <c r="S4759" s="75">
        <f>0.5*(Q4758+Q4759)*R4759</f>
        <v>0.07786354356744152</v>
      </c>
      <c r="T4759" s="75">
        <f>0.5*(F4758*Q4758+F4759*Q4759)*R4759</f>
        <v>1.9149911257239742</v>
      </c>
      <c r="U4759" s="76">
        <f>U4758+S4759</f>
        <v>96.20545042018755</v>
      </c>
      <c r="V4759" s="76">
        <f>V4758+T4759</f>
        <v>1741.5856990528862</v>
      </c>
    </row>
    <row r="4760" spans="1:22" ht="19" customHeight="1">
      <c r="A4760" s="68" t="s">
        <v>378</v>
      </c>
      <c r="B4760" s="74">
        <v>5</v>
      </c>
      <c r="C4760" s="68" t="s">
        <v>363</v>
      </c>
      <c r="D4760" s="68" t="s">
        <v>365</v>
      </c>
      <c r="E4760" s="75">
        <f>60*F4760*'THAM_SO_MOI'!$C$53/(2*PI()*'THAM_SO_MOI'!$C$26)</f>
        <v>2423.705289473684</v>
      </c>
      <c r="F4760" s="75">
        <f>'THAM_SO_MOI'!$C$14+('THAM_SO_MOI'!$C$37-'THAM_SO_MOI'!$C$14)*669/'THAM_SO_MOI'!$C$42</f>
        <v>24.599572916666666</v>
      </c>
      <c r="G4760" s="75">
        <f>3.6*F4760</f>
        <v>88.5584625</v>
      </c>
      <c r="H4760" s="75">
        <f>'THAM_SO_MOI'!$D$53</f>
        <v>1.1</v>
      </c>
      <c r="I4760" s="75">
        <f>IF(F4760&gt;='THAM_SO_MOI'!$C$14,'THAM_SO_MOI'!$C$13*(1+F4760^2/1500),'THAM_SO_MOI'!$C$13)</f>
        <v>0.021051389876824</v>
      </c>
      <c r="J4760" s="75">
        <f>'THAM_SO_MOI'!$C$40*('THAM_SO_MOI'!$C$23*(E4760/'THAM_SO_MOI'!$C$22)+'THAM_SO_MOI'!$C$24*(E4760/'THAM_SO_MOI'!$C$22)^2-'THAM_SO_MOI'!$C$25*(E4760/'THAM_SO_MOI'!$C$22)^3)</f>
        <v>108.33721942880598</v>
      </c>
      <c r="K4760" s="75">
        <f>'THAM_SO_MOI'!$C$31*J4760/E4760</f>
        <v>426.9246121113435</v>
      </c>
      <c r="L4760" s="75">
        <f>K4760*'THAM_SO_MOI'!$C$53*'THAM_SO_MOI'!$C$17/'THAM_SO_MOI'!$C$26</f>
        <v>3744.130518759066</v>
      </c>
      <c r="M4760" s="75">
        <f>'THAM_SO_MOI'!$C$15*'THAM_SO_MOI'!$C$16*F4760^2</f>
        <v>1770.0315389710206</v>
      </c>
      <c r="N4760" s="75">
        <f>'THAM_SO_MOI'!$C$12*I4760</f>
        <v>1586.0285544318217</v>
      </c>
      <c r="O4760" s="75">
        <f>M4760+N4760</f>
        <v>3356.0600934028425</v>
      </c>
      <c r="P4760" s="75">
        <f>(MIN(L4760,'THAM_SO_MOI'!$C$41)-O4760)/('THAM_SO_MOI'!$C$11*H4760)</f>
        <v>0.045936366637810574</v>
      </c>
      <c r="Q4760" s="75">
        <f>IF(P4760&gt;0,1/P4760,NA())</f>
        <v>21.76924457009389</v>
      </c>
      <c r="R4760" s="75">
        <f>F4760-F4759</f>
        <v>0.0035868055555567935</v>
      </c>
      <c r="S4760" s="75">
        <f>0.5*(Q4759+Q4760)*R4760</f>
        <v>0.07800911541896521</v>
      </c>
      <c r="T4760" s="75">
        <f>0.5*(F4759*Q4759+F4760*Q4760)*R4760</f>
        <v>1.91885115194557</v>
      </c>
      <c r="U4760" s="76">
        <f>U4759+S4760</f>
        <v>96.28345953560651</v>
      </c>
      <c r="V4760" s="76">
        <f>V4759+T4760</f>
        <v>1743.5045502048317</v>
      </c>
    </row>
    <row r="4761" spans="1:22" ht="19" customHeight="1">
      <c r="A4761" s="68" t="s">
        <v>378</v>
      </c>
      <c r="B4761" s="74">
        <v>5</v>
      </c>
      <c r="C4761" s="68" t="s">
        <v>363</v>
      </c>
      <c r="D4761" s="68" t="s">
        <v>365</v>
      </c>
      <c r="E4761" s="75">
        <f>60*F4761*'THAM_SO_MOI'!$C$53/(2*PI()*'THAM_SO_MOI'!$C$26)</f>
        <v>2424.0586842105254</v>
      </c>
      <c r="F4761" s="75">
        <f>'THAM_SO_MOI'!$C$14+('THAM_SO_MOI'!$C$37-'THAM_SO_MOI'!$C$14)*670/'THAM_SO_MOI'!$C$42</f>
        <v>24.60315972222222</v>
      </c>
      <c r="G4761" s="75">
        <f>3.6*F4761</f>
        <v>88.57137499999999</v>
      </c>
      <c r="H4761" s="75">
        <f>'THAM_SO_MOI'!$D$53</f>
        <v>1.1</v>
      </c>
      <c r="I4761" s="75">
        <f>IF(F4761&gt;='THAM_SO_MOI'!$C$14,'THAM_SO_MOI'!$C$13*(1+F4761^2/1500),'THAM_SO_MOI'!$C$13)</f>
        <v>0.021053154683171777</v>
      </c>
      <c r="J4761" s="75">
        <f>'THAM_SO_MOI'!$C$40*('THAM_SO_MOI'!$C$23*(E4761/'THAM_SO_MOI'!$C$22)+'THAM_SO_MOI'!$C$24*(E4761/'THAM_SO_MOI'!$C$22)^2-'THAM_SO_MOI'!$C$25*(E4761/'THAM_SO_MOI'!$C$22)^3)</f>
        <v>108.35077769276134</v>
      </c>
      <c r="K4761" s="75">
        <f>'THAM_SO_MOI'!$C$31*J4761/E4761</f>
        <v>426.9157935962482</v>
      </c>
      <c r="L4761" s="75">
        <f>K4761*'THAM_SO_MOI'!$C$53*'THAM_SO_MOI'!$C$17/'THAM_SO_MOI'!$C$26</f>
        <v>3744.0531803471736</v>
      </c>
      <c r="M4761" s="75">
        <f>'THAM_SO_MOI'!$C$15*'THAM_SO_MOI'!$C$16*F4761^2</f>
        <v>1770.5477448277452</v>
      </c>
      <c r="N4761" s="75">
        <f>'THAM_SO_MOI'!$C$12*I4761</f>
        <v>1586.1615163539084</v>
      </c>
      <c r="O4761" s="75">
        <f>M4761+N4761</f>
        <v>3356.7092611816533</v>
      </c>
      <c r="P4761" s="75">
        <f>(MIN(L4761,'THAM_SO_MOI'!$C$41)-O4761)/('THAM_SO_MOI'!$C$11*H4761)</f>
        <v>0.04585036921940341</v>
      </c>
      <c r="Q4761" s="75">
        <f>IF(P4761&gt;0,1/P4761,NA())</f>
        <v>21.810075186413336</v>
      </c>
      <c r="R4761" s="75">
        <f>F4761-F4760</f>
        <v>0.0035868055555532408</v>
      </c>
      <c r="S4761" s="75">
        <f>0.5*(Q4760+Q4761)*R4761</f>
        <v>0.07815527310493561</v>
      </c>
      <c r="T4761" s="75">
        <f>0.5*(F4760*Q4760+F4761*Q4761)*R4761</f>
        <v>1.922726634773992</v>
      </c>
      <c r="U4761" s="76">
        <f>U4760+S4761</f>
        <v>96.36161480871145</v>
      </c>
      <c r="V4761" s="76">
        <f>V4760+T4761</f>
        <v>1745.4272768396056</v>
      </c>
    </row>
    <row r="4762" spans="1:22" ht="19" customHeight="1">
      <c r="A4762" s="68" t="s">
        <v>378</v>
      </c>
      <c r="B4762" s="74">
        <v>5</v>
      </c>
      <c r="C4762" s="68" t="s">
        <v>363</v>
      </c>
      <c r="D4762" s="68" t="s">
        <v>365</v>
      </c>
      <c r="E4762" s="75">
        <f>60*F4762*'THAM_SO_MOI'!$C$53/(2*PI()*'THAM_SO_MOI'!$C$26)</f>
        <v>2424.4120789473677</v>
      </c>
      <c r="F4762" s="75">
        <f>'THAM_SO_MOI'!$C$14+('THAM_SO_MOI'!$C$37-'THAM_SO_MOI'!$C$14)*671/'THAM_SO_MOI'!$C$42</f>
        <v>24.606746527777776</v>
      </c>
      <c r="G4762" s="75">
        <f>3.6*F4762</f>
        <v>88.5842875</v>
      </c>
      <c r="H4762" s="75">
        <f>'THAM_SO_MOI'!$D$53</f>
        <v>1.1</v>
      </c>
      <c r="I4762" s="75">
        <f>IF(F4762&gt;='THAM_SO_MOI'!$C$14,'THAM_SO_MOI'!$C$13*(1+F4762^2/1500),'THAM_SO_MOI'!$C$13)</f>
        <v>0.021054919746823036</v>
      </c>
      <c r="J4762" s="75">
        <f>'THAM_SO_MOI'!$C$40*('THAM_SO_MOI'!$C$23*(E4762/'THAM_SO_MOI'!$C$22)+'THAM_SO_MOI'!$C$24*(E4762/'THAM_SO_MOI'!$C$22)^2-'THAM_SO_MOI'!$C$25*(E4762/'THAM_SO_MOI'!$C$22)^3)</f>
        <v>108.36433222866663</v>
      </c>
      <c r="K4762" s="75">
        <f>'THAM_SO_MOI'!$C$31*J4762/E4762</f>
        <v>426.9069629651682</v>
      </c>
      <c r="L4762" s="75">
        <f>K4762*'THAM_SO_MOI'!$C$53*'THAM_SO_MOI'!$C$17/'THAM_SO_MOI'!$C$26</f>
        <v>3743.975735678048</v>
      </c>
      <c r="M4762" s="75">
        <f>'THAM_SO_MOI'!$C$15*'THAM_SO_MOI'!$C$16*F4762^2</f>
        <v>1771.0640259457384</v>
      </c>
      <c r="N4762" s="75">
        <f>'THAM_SO_MOI'!$C$12*I4762</f>
        <v>1586.2944976614451</v>
      </c>
      <c r="O4762" s="75">
        <f>M4762+N4762</f>
        <v>3357.3585236071835</v>
      </c>
      <c r="P4762" s="75">
        <f>(MIN(L4762,'THAM_SO_MOI'!$C$41)-O4762)/('THAM_SO_MOI'!$C$11*H4762)</f>
        <v>0.04576434801975193</v>
      </c>
      <c r="Q4762" s="75">
        <f>IF(P4762&gt;0,1/P4762,NA())</f>
        <v>21.851070609995343</v>
      </c>
      <c r="R4762" s="75">
        <f>F4762-F4761</f>
        <v>0.0035868055555567935</v>
      </c>
      <c r="S4762" s="75">
        <f>0.5*(Q4761+Q4762)*R4762</f>
        <v>0.0783020201522669</v>
      </c>
      <c r="T4762" s="75">
        <f>0.5*(F4761*Q4761+F4762*Q4762)*R4762</f>
        <v>1.9266176672926476</v>
      </c>
      <c r="U4762" s="76">
        <f>U4761+S4762</f>
        <v>96.43991682886372</v>
      </c>
      <c r="V4762" s="76">
        <f>V4761+T4762</f>
        <v>1747.3538945068983</v>
      </c>
    </row>
    <row r="4763" spans="1:22" ht="19" customHeight="1">
      <c r="A4763" s="68" t="s">
        <v>378</v>
      </c>
      <c r="B4763" s="74">
        <v>5</v>
      </c>
      <c r="C4763" s="68" t="s">
        <v>363</v>
      </c>
      <c r="D4763" s="68" t="s">
        <v>365</v>
      </c>
      <c r="E4763" s="75">
        <f>60*F4763*'THAM_SO_MOI'!$C$53/(2*PI()*'THAM_SO_MOI'!$C$26)</f>
        <v>2424.76547368421</v>
      </c>
      <c r="F4763" s="75">
        <f>'THAM_SO_MOI'!$C$14+('THAM_SO_MOI'!$C$37-'THAM_SO_MOI'!$C$14)*672/'THAM_SO_MOI'!$C$42</f>
        <v>24.610333333333333</v>
      </c>
      <c r="G4763" s="75">
        <f>3.6*F4763</f>
        <v>88.5972</v>
      </c>
      <c r="H4763" s="75">
        <f>'THAM_SO_MOI'!$D$53</f>
        <v>1.1</v>
      </c>
      <c r="I4763" s="75">
        <f>IF(F4763&gt;='THAM_SO_MOI'!$C$14,'THAM_SO_MOI'!$C$13*(1+F4763^2/1500),'THAM_SO_MOI'!$C$13)</f>
        <v>0.02105668506777778</v>
      </c>
      <c r="J4763" s="75">
        <f>'THAM_SO_MOI'!$C$40*('THAM_SO_MOI'!$C$23*(E4763/'THAM_SO_MOI'!$C$22)+'THAM_SO_MOI'!$C$24*(E4763/'THAM_SO_MOI'!$C$22)^2-'THAM_SO_MOI'!$C$25*(E4763/'THAM_SO_MOI'!$C$22)^3)</f>
        <v>108.377883035177</v>
      </c>
      <c r="K4763" s="75">
        <f>'THAM_SO_MOI'!$C$31*J4763/E4763</f>
        <v>426.8981202181038</v>
      </c>
      <c r="L4763" s="75">
        <f>K4763*'THAM_SO_MOI'!$C$53*'THAM_SO_MOI'!$C$17/'THAM_SO_MOI'!$C$26</f>
        <v>3743.898184751692</v>
      </c>
      <c r="M4763" s="75">
        <f>'THAM_SO_MOI'!$C$15*'THAM_SO_MOI'!$C$16*F4763^2</f>
        <v>1771.580382325</v>
      </c>
      <c r="N4763" s="75">
        <f>'THAM_SO_MOI'!$C$12*I4763</f>
        <v>1586.4274983544321</v>
      </c>
      <c r="O4763" s="75">
        <f>M4763+N4763</f>
        <v>3358.007880679432</v>
      </c>
      <c r="P4763" s="75">
        <f>(MIN(L4763,'THAM_SO_MOI'!$C$41)-O4763)/('THAM_SO_MOI'!$C$11*H4763)</f>
        <v>0.04567830303885651</v>
      </c>
      <c r="Q4763" s="75">
        <f>IF(P4763&gt;0,1/P4763,NA())</f>
        <v>21.892231835962562</v>
      </c>
      <c r="R4763" s="75">
        <f>F4763-F4762</f>
        <v>0.0035868055555567935</v>
      </c>
      <c r="S4763" s="75">
        <f>0.5*(Q4762+Q4763)*R4763</f>
        <v>0.07844936011578145</v>
      </c>
      <c r="T4763" s="75">
        <f>0.5*(F4762*Q4762+F4763*Q4763)*R4763</f>
        <v>1.9305243433223245</v>
      </c>
      <c r="U4763" s="76">
        <f>U4762+S4763</f>
        <v>96.5183661889795</v>
      </c>
      <c r="V4763" s="76">
        <f>V4762+T4763</f>
        <v>1749.2844188502206</v>
      </c>
    </row>
    <row r="4764" spans="1:22" ht="19" customHeight="1">
      <c r="A4764" s="68" t="s">
        <v>378</v>
      </c>
      <c r="B4764" s="74">
        <v>5</v>
      </c>
      <c r="C4764" s="68" t="s">
        <v>363</v>
      </c>
      <c r="D4764" s="68" t="s">
        <v>365</v>
      </c>
      <c r="E4764" s="75">
        <f>60*F4764*'THAM_SO_MOI'!$C$53/(2*PI()*'THAM_SO_MOI'!$C$26)</f>
        <v>2425.118868421052</v>
      </c>
      <c r="F4764" s="75">
        <f>'THAM_SO_MOI'!$C$14+('THAM_SO_MOI'!$C$37-'THAM_SO_MOI'!$C$14)*673/'THAM_SO_MOI'!$C$42</f>
        <v>24.613920138888886</v>
      </c>
      <c r="G4764" s="75">
        <f>3.6*F4764</f>
        <v>88.6101125</v>
      </c>
      <c r="H4764" s="75">
        <f>'THAM_SO_MOI'!$D$53</f>
        <v>1.1</v>
      </c>
      <c r="I4764" s="75">
        <f>IF(F4764&gt;='THAM_SO_MOI'!$C$14,'THAM_SO_MOI'!$C$13*(1+F4764^2/1500),'THAM_SO_MOI'!$C$13)</f>
        <v>0.021058450646036</v>
      </c>
      <c r="J4764" s="75">
        <f>'THAM_SO_MOI'!$C$40*('THAM_SO_MOI'!$C$23*(E4764/'THAM_SO_MOI'!$C$22)+'THAM_SO_MOI'!$C$24*(E4764/'THAM_SO_MOI'!$C$22)^2-'THAM_SO_MOI'!$C$25*(E4764/'THAM_SO_MOI'!$C$22)^3)</f>
        <v>108.39143011094757</v>
      </c>
      <c r="K4764" s="75">
        <f>'THAM_SO_MOI'!$C$31*J4764/E4764</f>
        <v>426.8892653550551</v>
      </c>
      <c r="L4764" s="75">
        <f>K4764*'THAM_SO_MOI'!$C$53*'THAM_SO_MOI'!$C$17/'THAM_SO_MOI'!$C$26</f>
        <v>3743.820527568106</v>
      </c>
      <c r="M4764" s="75">
        <f>'THAM_SO_MOI'!$C$15*'THAM_SO_MOI'!$C$16*F4764^2</f>
        <v>1772.09681396553</v>
      </c>
      <c r="N4764" s="75">
        <f>'THAM_SO_MOI'!$C$12*I4764</f>
        <v>1586.560518432869</v>
      </c>
      <c r="O4764" s="75">
        <f>M4764+N4764</f>
        <v>3358.657332398399</v>
      </c>
      <c r="P4764" s="75">
        <f>(MIN(L4764,'THAM_SO_MOI'!$C$41)-O4764)/('THAM_SO_MOI'!$C$11*H4764)</f>
        <v>0.04559223427671724</v>
      </c>
      <c r="Q4764" s="75">
        <f>IF(P4764&gt;0,1/P4764,NA())</f>
        <v>21.933559867467906</v>
      </c>
      <c r="R4764" s="75">
        <f>F4764-F4763</f>
        <v>0.0035868055555532408</v>
      </c>
      <c r="S4764" s="75">
        <f>0.5*(Q4763+Q4764)*R4764</f>
        <v>0.07859729657919176</v>
      </c>
      <c r="T4764" s="75">
        <f>0.5*(F4763*Q4763+F4764*Q4764)*R4764</f>
        <v>1.93444675744586</v>
      </c>
      <c r="U4764" s="76">
        <f>U4763+S4764</f>
        <v>96.59696348555869</v>
      </c>
      <c r="V4764" s="76">
        <f>V4763+T4764</f>
        <v>1751.2188656076664</v>
      </c>
    </row>
    <row r="4765" spans="1:22" ht="19" customHeight="1">
      <c r="A4765" s="68" t="s">
        <v>378</v>
      </c>
      <c r="B4765" s="74">
        <v>5</v>
      </c>
      <c r="C4765" s="68" t="s">
        <v>363</v>
      </c>
      <c r="D4765" s="68" t="s">
        <v>365</v>
      </c>
      <c r="E4765" s="75">
        <f>60*F4765*'THAM_SO_MOI'!$C$53/(2*PI()*'THAM_SO_MOI'!$C$26)</f>
        <v>2425.472263157894</v>
      </c>
      <c r="F4765" s="75">
        <f>'THAM_SO_MOI'!$C$14+('THAM_SO_MOI'!$C$37-'THAM_SO_MOI'!$C$14)*674/'THAM_SO_MOI'!$C$42</f>
        <v>24.617506944444443</v>
      </c>
      <c r="G4765" s="75">
        <f>3.6*F4765</f>
        <v>88.623025</v>
      </c>
      <c r="H4765" s="75">
        <f>'THAM_SO_MOI'!$D$53</f>
        <v>1.1</v>
      </c>
      <c r="I4765" s="75">
        <f>IF(F4765&gt;='THAM_SO_MOI'!$C$14,'THAM_SO_MOI'!$C$13*(1+F4765^2/1500),'THAM_SO_MOI'!$C$13)</f>
        <v>0.021060216481597702</v>
      </c>
      <c r="J4765" s="75">
        <f>'THAM_SO_MOI'!$C$40*('THAM_SO_MOI'!$C$23*(E4765/'THAM_SO_MOI'!$C$22)+'THAM_SO_MOI'!$C$24*(E4765/'THAM_SO_MOI'!$C$22)^2-'THAM_SO_MOI'!$C$25*(E4765/'THAM_SO_MOI'!$C$22)^3)</f>
        <v>108.4049734546334</v>
      </c>
      <c r="K4765" s="75">
        <f>'THAM_SO_MOI'!$C$31*J4765/E4765</f>
        <v>426.88039837602184</v>
      </c>
      <c r="L4765" s="75">
        <f>K4765*'THAM_SO_MOI'!$C$53*'THAM_SO_MOI'!$C$17/'THAM_SO_MOI'!$C$26</f>
        <v>3743.742764127288</v>
      </c>
      <c r="M4765" s="75">
        <f>'THAM_SO_MOI'!$C$15*'THAM_SO_MOI'!$C$16*F4765^2</f>
        <v>1772.6133208673286</v>
      </c>
      <c r="N4765" s="75">
        <f>'THAM_SO_MOI'!$C$12*I4765</f>
        <v>1586.6935578967561</v>
      </c>
      <c r="O4765" s="75">
        <f>M4765+N4765</f>
        <v>3359.306878764085</v>
      </c>
      <c r="P4765" s="75">
        <f>(MIN(L4765,'THAM_SO_MOI'!$C$41)-O4765)/('THAM_SO_MOI'!$C$11*H4765)</f>
        <v>0.045506141733333706</v>
      </c>
      <c r="Q4765" s="75">
        <f>IF(P4765&gt;0,1/P4765,NA())</f>
        <v>21.97505571577583</v>
      </c>
      <c r="R4765" s="75">
        <f>F4765-F4764</f>
        <v>0.0035868055555567935</v>
      </c>
      <c r="S4765" s="75">
        <f>0.5*(Q4764+Q4765)*R4765</f>
        <v>0.07874583315539312</v>
      </c>
      <c r="T4765" s="75">
        <f>0.5*(F4764*Q4764+F4765*Q4765)*R4765</f>
        <v>1.9383850050158624</v>
      </c>
      <c r="U4765" s="76">
        <f>U4764+S4765</f>
        <v>96.67570931871408</v>
      </c>
      <c r="V4765" s="76">
        <f>V4764+T4765</f>
        <v>1753.1572506126822</v>
      </c>
    </row>
    <row r="4766" spans="1:22" ht="19" customHeight="1">
      <c r="A4766" s="68" t="s">
        <v>378</v>
      </c>
      <c r="B4766" s="74">
        <v>5</v>
      </c>
      <c r="C4766" s="68" t="s">
        <v>363</v>
      </c>
      <c r="D4766" s="68" t="s">
        <v>365</v>
      </c>
      <c r="E4766" s="75">
        <f>60*F4766*'THAM_SO_MOI'!$C$53/(2*PI()*'THAM_SO_MOI'!$C$26)</f>
        <v>2425.825657894736</v>
      </c>
      <c r="F4766" s="75">
        <f>'THAM_SO_MOI'!$C$14+('THAM_SO_MOI'!$C$37-'THAM_SO_MOI'!$C$14)*675/'THAM_SO_MOI'!$C$42</f>
        <v>24.62109375</v>
      </c>
      <c r="G4766" s="75">
        <f>3.6*F4766</f>
        <v>88.6359375</v>
      </c>
      <c r="H4766" s="75">
        <f>'THAM_SO_MOI'!$D$53</f>
        <v>1.1</v>
      </c>
      <c r="I4766" s="75">
        <f>IF(F4766&gt;='THAM_SO_MOI'!$C$14,'THAM_SO_MOI'!$C$13*(1+F4766^2/1500),'THAM_SO_MOI'!$C$13)</f>
        <v>0.02106198257446289</v>
      </c>
      <c r="J4766" s="75">
        <f>'THAM_SO_MOI'!$C$40*('THAM_SO_MOI'!$C$23*(E4766/'THAM_SO_MOI'!$C$22)+'THAM_SO_MOI'!$C$24*(E4766/'THAM_SO_MOI'!$C$22)^2-'THAM_SO_MOI'!$C$25*(E4766/'THAM_SO_MOI'!$C$22)^3)</f>
        <v>108.41851306488967</v>
      </c>
      <c r="K4766" s="75">
        <f>'THAM_SO_MOI'!$C$31*J4766/E4766</f>
        <v>426.87151928100417</v>
      </c>
      <c r="L4766" s="75">
        <f>K4766*'THAM_SO_MOI'!$C$53*'THAM_SO_MOI'!$C$17/'THAM_SO_MOI'!$C$26</f>
        <v>3743.664894429239</v>
      </c>
      <c r="M4766" s="75">
        <f>'THAM_SO_MOI'!$C$15*'THAM_SO_MOI'!$C$16*F4766^2</f>
        <v>1773.1299030303956</v>
      </c>
      <c r="N4766" s="75">
        <f>'THAM_SO_MOI'!$C$12*I4766</f>
        <v>1586.8266167460938</v>
      </c>
      <c r="O4766" s="75">
        <f>M4766+N4766</f>
        <v>3359.9565197764896</v>
      </c>
      <c r="P4766" s="75">
        <f>(MIN(L4766,'THAM_SO_MOI'!$C$41)-O4766)/('THAM_SO_MOI'!$C$11*H4766)</f>
        <v>0.04542002540870618</v>
      </c>
      <c r="Q4766" s="75">
        <f>IF(P4766&gt;0,1/P4766,NA())</f>
        <v>22.016720400343907</v>
      </c>
      <c r="R4766" s="75">
        <f>F4766-F4765</f>
        <v>0.0035868055555567935</v>
      </c>
      <c r="S4766" s="75">
        <f>0.5*(Q4765+Q4766)*R4766</f>
        <v>0.07889497348605447</v>
      </c>
      <c r="T4766" s="75">
        <f>0.5*(F4765*Q4765+F4766*Q4766)*R4766</f>
        <v>1.9423391821451639</v>
      </c>
      <c r="U4766" s="76">
        <f>U4765+S4766</f>
        <v>96.75460429220014</v>
      </c>
      <c r="V4766" s="76">
        <f>V4765+T4766</f>
        <v>1755.0995897948274</v>
      </c>
    </row>
    <row r="4767" spans="1:22" ht="19" customHeight="1">
      <c r="A4767" s="68" t="s">
        <v>378</v>
      </c>
      <c r="B4767" s="74">
        <v>5</v>
      </c>
      <c r="C4767" s="68" t="s">
        <v>363</v>
      </c>
      <c r="D4767" s="68" t="s">
        <v>365</v>
      </c>
      <c r="E4767" s="75">
        <f>60*F4767*'THAM_SO_MOI'!$C$53/(2*PI()*'THAM_SO_MOI'!$C$26)</f>
        <v>2426.1790526315785</v>
      </c>
      <c r="F4767" s="75">
        <f>'THAM_SO_MOI'!$C$14+('THAM_SO_MOI'!$C$37-'THAM_SO_MOI'!$C$14)*676/'THAM_SO_MOI'!$C$42</f>
        <v>24.624680555555553</v>
      </c>
      <c r="G4767" s="75">
        <f>3.6*F4767</f>
        <v>88.64885</v>
      </c>
      <c r="H4767" s="75">
        <f>'THAM_SO_MOI'!$D$53</f>
        <v>1.1</v>
      </c>
      <c r="I4767" s="75">
        <f>IF(F4767&gt;='THAM_SO_MOI'!$C$14,'THAM_SO_MOI'!$C$13*(1+F4767^2/1500),'THAM_SO_MOI'!$C$13)</f>
        <v>0.02106374892463156</v>
      </c>
      <c r="J4767" s="75">
        <f>'THAM_SO_MOI'!$C$40*('THAM_SO_MOI'!$C$23*(E4767/'THAM_SO_MOI'!$C$22)+'THAM_SO_MOI'!$C$24*(E4767/'THAM_SO_MOI'!$C$22)^2-'THAM_SO_MOI'!$C$25*(E4767/'THAM_SO_MOI'!$C$22)^3)</f>
        <v>108.43204894037142</v>
      </c>
      <c r="K4767" s="75">
        <f>'THAM_SO_MOI'!$C$31*J4767/E4767</f>
        <v>426.862628070002</v>
      </c>
      <c r="L4767" s="75">
        <f>K4767*'THAM_SO_MOI'!$C$53*'THAM_SO_MOI'!$C$17/'THAM_SO_MOI'!$C$26</f>
        <v>3743.58691847396</v>
      </c>
      <c r="M4767" s="75">
        <f>'THAM_SO_MOI'!$C$15*'THAM_SO_MOI'!$C$16*F4767^2</f>
        <v>1773.646560454731</v>
      </c>
      <c r="N4767" s="75">
        <f>'THAM_SO_MOI'!$C$12*I4767</f>
        <v>1586.9596949808815</v>
      </c>
      <c r="O4767" s="75">
        <f>M4767+N4767</f>
        <v>3360.606255435612</v>
      </c>
      <c r="P4767" s="75">
        <f>(MIN(L4767,'THAM_SO_MOI'!$C$41)-O4767)/('THAM_SO_MOI'!$C$11*H4767)</f>
        <v>0.0453338853028347</v>
      </c>
      <c r="Q4767" s="75">
        <f>IF(P4767&gt;0,1/P4767,NA())</f>
        <v>22.058554948906412</v>
      </c>
      <c r="R4767" s="75">
        <f>F4767-F4766</f>
        <v>0.0035868055555532408</v>
      </c>
      <c r="S4767" s="75">
        <f>0.5*(Q4766+Q4767)*R4767</f>
        <v>0.07904472124261493</v>
      </c>
      <c r="T4767" s="75">
        <f>0.5*(F4766*Q4766+F4767*Q4767)*R4767</f>
        <v>1.9463093857318712</v>
      </c>
      <c r="U4767" s="76">
        <f>U4766+S4767</f>
        <v>96.83364901344275</v>
      </c>
      <c r="V4767" s="76">
        <f>V4766+T4767</f>
        <v>1757.0458991805592</v>
      </c>
    </row>
    <row r="4768" spans="1:22" ht="19" customHeight="1">
      <c r="A4768" s="68" t="s">
        <v>378</v>
      </c>
      <c r="B4768" s="74">
        <v>5</v>
      </c>
      <c r="C4768" s="68" t="s">
        <v>363</v>
      </c>
      <c r="D4768" s="68" t="s">
        <v>365</v>
      </c>
      <c r="E4768" s="75">
        <f>60*F4768*'THAM_SO_MOI'!$C$53/(2*PI()*'THAM_SO_MOI'!$C$26)</f>
        <v>2426.5324473684204</v>
      </c>
      <c r="F4768" s="75">
        <f>'THAM_SO_MOI'!$C$14+('THAM_SO_MOI'!$C$37-'THAM_SO_MOI'!$C$14)*677/'THAM_SO_MOI'!$C$42</f>
        <v>24.62826736111111</v>
      </c>
      <c r="G4768" s="75">
        <f>3.6*F4768</f>
        <v>88.6617625</v>
      </c>
      <c r="H4768" s="75">
        <f>'THAM_SO_MOI'!$D$53</f>
        <v>1.1</v>
      </c>
      <c r="I4768" s="75">
        <f>IF(F4768&gt;='THAM_SO_MOI'!$C$14,'THAM_SO_MOI'!$C$13*(1+F4768^2/1500),'THAM_SO_MOI'!$C$13)</f>
        <v>0.021065515532103708</v>
      </c>
      <c r="J4768" s="75">
        <f>'THAM_SO_MOI'!$C$40*('THAM_SO_MOI'!$C$23*(E4768/'THAM_SO_MOI'!$C$22)+'THAM_SO_MOI'!$C$24*(E4768/'THAM_SO_MOI'!$C$22)^2-'THAM_SO_MOI'!$C$25*(E4768/'THAM_SO_MOI'!$C$22)^3)</f>
        <v>108.44558107973378</v>
      </c>
      <c r="K4768" s="75">
        <f>'THAM_SO_MOI'!$C$31*J4768/E4768</f>
        <v>426.8537247430154</v>
      </c>
      <c r="L4768" s="75">
        <f>K4768*'THAM_SO_MOI'!$C$53*'THAM_SO_MOI'!$C$17/'THAM_SO_MOI'!$C$26</f>
        <v>3743.5088362614483</v>
      </c>
      <c r="M4768" s="75">
        <f>'THAM_SO_MOI'!$C$15*'THAM_SO_MOI'!$C$16*F4768^2</f>
        <v>1774.1632931403346</v>
      </c>
      <c r="N4768" s="75">
        <f>'THAM_SO_MOI'!$C$12*I4768</f>
        <v>1587.092792601119</v>
      </c>
      <c r="O4768" s="75">
        <f>M4768+N4768</f>
        <v>3361.2560857414537</v>
      </c>
      <c r="P4768" s="75">
        <f>(MIN(L4768,'THAM_SO_MOI'!$C$41)-O4768)/('THAM_SO_MOI'!$C$11*H4768)</f>
        <v>0.04524772141571906</v>
      </c>
      <c r="Q4768" s="75">
        <f>IF(P4768&gt;0,1/P4768,NA())</f>
        <v>22.100560397558493</v>
      </c>
      <c r="R4768" s="75">
        <f>F4768-F4767</f>
        <v>0.0035868055555567935</v>
      </c>
      <c r="S4768" s="75">
        <f>0.5*(Q4767+Q4768)*R4768</f>
        <v>0.07919508012658678</v>
      </c>
      <c r="T4768" s="75">
        <f>0.5*(F4767*Q4767+F4768*Q4768)*R4768</f>
        <v>1.9502957134673635</v>
      </c>
      <c r="U4768" s="76">
        <f>U4767+S4768</f>
        <v>96.91284409356933</v>
      </c>
      <c r="V4768" s="76">
        <f>V4767+T4768</f>
        <v>1758.9961948940265</v>
      </c>
    </row>
    <row r="4769" spans="1:22" ht="19" customHeight="1">
      <c r="A4769" s="68" t="s">
        <v>378</v>
      </c>
      <c r="B4769" s="74">
        <v>5</v>
      </c>
      <c r="C4769" s="68" t="s">
        <v>363</v>
      </c>
      <c r="D4769" s="68" t="s">
        <v>365</v>
      </c>
      <c r="E4769" s="75">
        <f>60*F4769*'THAM_SO_MOI'!$C$53/(2*PI()*'THAM_SO_MOI'!$C$26)</f>
        <v>2426.8858421052623</v>
      </c>
      <c r="F4769" s="75">
        <f>'THAM_SO_MOI'!$C$14+('THAM_SO_MOI'!$C$37-'THAM_SO_MOI'!$C$14)*678/'THAM_SO_MOI'!$C$42</f>
        <v>24.631854166666663</v>
      </c>
      <c r="G4769" s="75">
        <f>3.6*F4769</f>
        <v>88.674675</v>
      </c>
      <c r="H4769" s="75">
        <f>'THAM_SO_MOI'!$D$53</f>
        <v>1.1</v>
      </c>
      <c r="I4769" s="75">
        <f>IF(F4769&gt;='THAM_SO_MOI'!$C$14,'THAM_SO_MOI'!$C$13*(1+F4769^2/1500),'THAM_SO_MOI'!$C$13)</f>
        <v>0.021067282396879338</v>
      </c>
      <c r="J4769" s="75">
        <f>'THAM_SO_MOI'!$C$40*('THAM_SO_MOI'!$C$23*(E4769/'THAM_SO_MOI'!$C$22)+'THAM_SO_MOI'!$C$24*(E4769/'THAM_SO_MOI'!$C$22)^2-'THAM_SO_MOI'!$C$25*(E4769/'THAM_SO_MOI'!$C$22)^3)</f>
        <v>108.45910948163191</v>
      </c>
      <c r="K4769" s="75">
        <f>'THAM_SO_MOI'!$C$31*J4769/E4769</f>
        <v>426.84480930004446</v>
      </c>
      <c r="L4769" s="75">
        <f>K4769*'THAM_SO_MOI'!$C$53*'THAM_SO_MOI'!$C$17/'THAM_SO_MOI'!$C$26</f>
        <v>3743.430647791708</v>
      </c>
      <c r="M4769" s="75">
        <f>'THAM_SO_MOI'!$C$15*'THAM_SO_MOI'!$C$16*F4769^2</f>
        <v>1774.6801010872068</v>
      </c>
      <c r="N4769" s="75">
        <f>'THAM_SO_MOI'!$C$12*I4769</f>
        <v>1587.225909606807</v>
      </c>
      <c r="O4769" s="75">
        <f>M4769+N4769</f>
        <v>3361.9060106940137</v>
      </c>
      <c r="P4769" s="75">
        <f>(MIN(L4769,'THAM_SO_MOI'!$C$41)-O4769)/('THAM_SO_MOI'!$C$11*H4769)</f>
        <v>0.04516153374735964</v>
      </c>
      <c r="Q4769" s="75">
        <f>IF(P4769&gt;0,1/P4769,NA())</f>
        <v>22.142737790840965</v>
      </c>
      <c r="R4769" s="75">
        <f>F4769-F4768</f>
        <v>0.0035868055555532408</v>
      </c>
      <c r="S4769" s="75">
        <f>0.5*(Q4768+Q4769)*R4769</f>
        <v>0.07934605386907491</v>
      </c>
      <c r="T4769" s="75">
        <f>0.5*(F4768*Q4768+F4769*Q4769)*R4769</f>
        <v>1.9542982638249924</v>
      </c>
      <c r="U4769" s="76">
        <f>U4768+S4769</f>
        <v>96.99219014743841</v>
      </c>
      <c r="V4769" s="76">
        <f>V4768+T4769</f>
        <v>1760.9504931578515</v>
      </c>
    </row>
    <row r="4770" spans="1:22" ht="19" customHeight="1">
      <c r="A4770" s="68" t="s">
        <v>378</v>
      </c>
      <c r="B4770" s="74">
        <v>5</v>
      </c>
      <c r="C4770" s="68" t="s">
        <v>363</v>
      </c>
      <c r="D4770" s="68" t="s">
        <v>365</v>
      </c>
      <c r="E4770" s="75">
        <f>60*F4770*'THAM_SO_MOI'!$C$53/(2*PI()*'THAM_SO_MOI'!$C$26)</f>
        <v>2427.2392368421047</v>
      </c>
      <c r="F4770" s="75">
        <f>'THAM_SO_MOI'!$C$14+('THAM_SO_MOI'!$C$37-'THAM_SO_MOI'!$C$14)*679/'THAM_SO_MOI'!$C$42</f>
        <v>24.63544097222222</v>
      </c>
      <c r="G4770" s="75">
        <f>3.6*F4770</f>
        <v>88.68758749999999</v>
      </c>
      <c r="H4770" s="75">
        <f>'THAM_SO_MOI'!$D$53</f>
        <v>1.1</v>
      </c>
      <c r="I4770" s="75">
        <f>IF(F4770&gt;='THAM_SO_MOI'!$C$14,'THAM_SO_MOI'!$C$13*(1+F4770^2/1500),'THAM_SO_MOI'!$C$13)</f>
        <v>0.021069049518958452</v>
      </c>
      <c r="J4770" s="75">
        <f>'THAM_SO_MOI'!$C$40*('THAM_SO_MOI'!$C$23*(E4770/'THAM_SO_MOI'!$C$22)+'THAM_SO_MOI'!$C$24*(E4770/'THAM_SO_MOI'!$C$22)^2-'THAM_SO_MOI'!$C$25*(E4770/'THAM_SO_MOI'!$C$22)^3)</f>
        <v>108.47263414472083</v>
      </c>
      <c r="K4770" s="75">
        <f>'THAM_SO_MOI'!$C$31*J4770/E4770</f>
        <v>426.8358817410888</v>
      </c>
      <c r="L4770" s="75">
        <f>K4770*'THAM_SO_MOI'!$C$53*'THAM_SO_MOI'!$C$17/'THAM_SO_MOI'!$C$26</f>
        <v>3743.352353064733</v>
      </c>
      <c r="M4770" s="75">
        <f>'THAM_SO_MOI'!$C$15*'THAM_SO_MOI'!$C$16*F4770^2</f>
        <v>1775.1969842953474</v>
      </c>
      <c r="N4770" s="75">
        <f>'THAM_SO_MOI'!$C$12*I4770</f>
        <v>1587.359045997945</v>
      </c>
      <c r="O4770" s="75">
        <f>M4770+N4770</f>
        <v>3362.5560302932927</v>
      </c>
      <c r="P4770" s="75">
        <f>(MIN(L4770,'THAM_SO_MOI'!$C$41)-O4770)/('THAM_SO_MOI'!$C$11*H4770)</f>
        <v>0.04507532229775575</v>
      </c>
      <c r="Q4770" s="75">
        <f>IF(P4770&gt;0,1/P4770,NA())</f>
        <v>22.18508818182735</v>
      </c>
      <c r="R4770" s="75">
        <f>F4770-F4769</f>
        <v>0.0035868055555567935</v>
      </c>
      <c r="S4770" s="75">
        <f>0.5*(Q4769+Q4770)*R4770</f>
        <v>0.07949764623226072</v>
      </c>
      <c r="T4770" s="75">
        <f>0.5*(F4769*Q4769+F4770*Q4770)*R4770</f>
        <v>1.9583171360971714</v>
      </c>
      <c r="U4770" s="76">
        <f>U4769+S4770</f>
        <v>97.07168779367066</v>
      </c>
      <c r="V4770" s="76">
        <f>V4769+T4770</f>
        <v>1762.9088102939486</v>
      </c>
    </row>
    <row r="4771" spans="1:22" ht="19" customHeight="1">
      <c r="A4771" s="68" t="s">
        <v>378</v>
      </c>
      <c r="B4771" s="74">
        <v>5</v>
      </c>
      <c r="C4771" s="68" t="s">
        <v>363</v>
      </c>
      <c r="D4771" s="68" t="s">
        <v>365</v>
      </c>
      <c r="E4771" s="75">
        <f>60*F4771*'THAM_SO_MOI'!$C$53/(2*PI()*'THAM_SO_MOI'!$C$26)</f>
        <v>2427.592631578947</v>
      </c>
      <c r="F4771" s="75">
        <f>'THAM_SO_MOI'!$C$14+('THAM_SO_MOI'!$C$37-'THAM_SO_MOI'!$C$14)*680/'THAM_SO_MOI'!$C$42</f>
        <v>24.639027777777777</v>
      </c>
      <c r="G4771" s="75">
        <f>3.6*F4771</f>
        <v>88.7005</v>
      </c>
      <c r="H4771" s="75">
        <f>'THAM_SO_MOI'!$D$53</f>
        <v>1.1</v>
      </c>
      <c r="I4771" s="75">
        <f>IF(F4771&gt;='THAM_SO_MOI'!$C$14,'THAM_SO_MOI'!$C$13*(1+F4771^2/1500),'THAM_SO_MOI'!$C$13)</f>
        <v>0.02107081689834105</v>
      </c>
      <c r="J4771" s="75">
        <f>'THAM_SO_MOI'!$C$40*('THAM_SO_MOI'!$C$23*(E4771/'THAM_SO_MOI'!$C$22)+'THAM_SO_MOI'!$C$24*(E4771/'THAM_SO_MOI'!$C$22)^2-'THAM_SO_MOI'!$C$25*(E4771/'THAM_SO_MOI'!$C$22)^3)</f>
        <v>108.48615506765573</v>
      </c>
      <c r="K4771" s="75">
        <f>'THAM_SO_MOI'!$C$31*J4771/E4771</f>
        <v>426.82694206614883</v>
      </c>
      <c r="L4771" s="75">
        <f>K4771*'THAM_SO_MOI'!$C$53*'THAM_SO_MOI'!$C$17/'THAM_SO_MOI'!$C$26</f>
        <v>3743.273952080529</v>
      </c>
      <c r="M4771" s="75">
        <f>'THAM_SO_MOI'!$C$15*'THAM_SO_MOI'!$C$16*F4771^2</f>
        <v>1775.7139427647571</v>
      </c>
      <c r="N4771" s="75">
        <f>'THAM_SO_MOI'!$C$12*I4771</f>
        <v>1587.4922017745334</v>
      </c>
      <c r="O4771" s="75">
        <f>M4771+N4771</f>
        <v>3363.2061445392906</v>
      </c>
      <c r="P4771" s="75">
        <f>(MIN(L4771,'THAM_SO_MOI'!$C$41)-O4771)/('THAM_SO_MOI'!$C$11*H4771)</f>
        <v>0.044989087066907955</v>
      </c>
      <c r="Q4771" s="75">
        <f>IF(P4771&gt;0,1/P4771,NA())</f>
        <v>22.227612632210025</v>
      </c>
      <c r="R4771" s="75">
        <f>F4771-F4770</f>
        <v>0.0035868055555567935</v>
      </c>
      <c r="S4771" s="75">
        <f>0.5*(Q4770+Q4771)*R4771</f>
        <v>0.0796498610085355</v>
      </c>
      <c r="T4771" s="75">
        <f>0.5*(F4770*Q4770+F4771*Q4771)*R4771</f>
        <v>1.962352430374577</v>
      </c>
      <c r="U4771" s="76">
        <f>U4770+S4771</f>
        <v>97.1513376546792</v>
      </c>
      <c r="V4771" s="76">
        <f>V4770+T4771</f>
        <v>1764.871162724323</v>
      </c>
    </row>
    <row r="4772" spans="1:22" ht="19" customHeight="1">
      <c r="A4772" s="68" t="s">
        <v>378</v>
      </c>
      <c r="B4772" s="74">
        <v>5</v>
      </c>
      <c r="C4772" s="68" t="s">
        <v>363</v>
      </c>
      <c r="D4772" s="68" t="s">
        <v>365</v>
      </c>
      <c r="E4772" s="75">
        <f>60*F4772*'THAM_SO_MOI'!$C$53/(2*PI()*'THAM_SO_MOI'!$C$26)</f>
        <v>2427.946026315789</v>
      </c>
      <c r="F4772" s="75">
        <f>'THAM_SO_MOI'!$C$14+('THAM_SO_MOI'!$C$37-'THAM_SO_MOI'!$C$14)*681/'THAM_SO_MOI'!$C$42</f>
        <v>24.642614583333334</v>
      </c>
      <c r="G4772" s="75">
        <f>3.6*F4772</f>
        <v>88.7134125</v>
      </c>
      <c r="H4772" s="75">
        <f>'THAM_SO_MOI'!$D$53</f>
        <v>1.1</v>
      </c>
      <c r="I4772" s="75">
        <f>IF(F4772&gt;='THAM_SO_MOI'!$C$14,'THAM_SO_MOI'!$C$13*(1+F4772^2/1500),'THAM_SO_MOI'!$C$13)</f>
        <v>0.021072584535027125</v>
      </c>
      <c r="J4772" s="75">
        <f>'THAM_SO_MOI'!$C$40*('THAM_SO_MOI'!$C$23*(E4772/'THAM_SO_MOI'!$C$22)+'THAM_SO_MOI'!$C$24*(E4772/'THAM_SO_MOI'!$C$22)^2-'THAM_SO_MOI'!$C$25*(E4772/'THAM_SO_MOI'!$C$22)^3)</f>
        <v>108.49967224909166</v>
      </c>
      <c r="K4772" s="75">
        <f>'THAM_SO_MOI'!$C$31*J4772/E4772</f>
        <v>426.8179902752244</v>
      </c>
      <c r="L4772" s="75">
        <f>K4772*'THAM_SO_MOI'!$C$53*'THAM_SO_MOI'!$C$17/'THAM_SO_MOI'!$C$26</f>
        <v>3743.195444839094</v>
      </c>
      <c r="M4772" s="75">
        <f>'THAM_SO_MOI'!$C$15*'THAM_SO_MOI'!$C$16*F4772^2</f>
        <v>1776.2309764954346</v>
      </c>
      <c r="N4772" s="75">
        <f>'THAM_SO_MOI'!$C$12*I4772</f>
        <v>1587.6253769365717</v>
      </c>
      <c r="O4772" s="75">
        <f>M4772+N4772</f>
        <v>3363.8563534320065</v>
      </c>
      <c r="P4772" s="75">
        <f>(MIN(L4772,'THAM_SO_MOI'!$C$41)-O4772)/('THAM_SO_MOI'!$C$11*H4772)</f>
        <v>0.04490282805481624</v>
      </c>
      <c r="Q4772" s="75">
        <f>IF(P4772&gt;0,1/P4772,NA())</f>
        <v>22.270312212389502</v>
      </c>
      <c r="R4772" s="75">
        <f>F4772-F4771</f>
        <v>0.0035868055555567935</v>
      </c>
      <c r="S4772" s="75">
        <f>0.5*(Q4771+Q4772)*R4772</f>
        <v>0.07980270202167912</v>
      </c>
      <c r="T4772" s="75">
        <f>0.5*(F4771*Q4771+F4772*Q4772)*R4772</f>
        <v>1.9664042475757382</v>
      </c>
      <c r="U4772" s="76">
        <f>U4771+S4772</f>
        <v>97.23114035670088</v>
      </c>
      <c r="V4772" s="76">
        <f>V4771+T4772</f>
        <v>1766.837566971899</v>
      </c>
    </row>
    <row r="4773" spans="1:22" ht="19" customHeight="1">
      <c r="A4773" s="68" t="s">
        <v>378</v>
      </c>
      <c r="B4773" s="74">
        <v>5</v>
      </c>
      <c r="C4773" s="68" t="s">
        <v>363</v>
      </c>
      <c r="D4773" s="68" t="s">
        <v>365</v>
      </c>
      <c r="E4773" s="75">
        <f>60*F4773*'THAM_SO_MOI'!$C$53/(2*PI()*'THAM_SO_MOI'!$C$26)</f>
        <v>2428.2994210526313</v>
      </c>
      <c r="F4773" s="75">
        <f>'THAM_SO_MOI'!$C$14+('THAM_SO_MOI'!$C$37-'THAM_SO_MOI'!$C$14)*682/'THAM_SO_MOI'!$C$42</f>
        <v>24.646201388888887</v>
      </c>
      <c r="G4773" s="75">
        <f>3.6*F4773</f>
        <v>88.72632499999999</v>
      </c>
      <c r="H4773" s="75">
        <f>'THAM_SO_MOI'!$D$53</f>
        <v>1.1</v>
      </c>
      <c r="I4773" s="75">
        <f>IF(F4773&gt;='THAM_SO_MOI'!$C$14,'THAM_SO_MOI'!$C$13*(1+F4773^2/1500),'THAM_SO_MOI'!$C$13)</f>
        <v>0.021074352429016684</v>
      </c>
      <c r="J4773" s="75">
        <f>'THAM_SO_MOI'!$C$40*('THAM_SO_MOI'!$C$23*(E4773/'THAM_SO_MOI'!$C$22)+'THAM_SO_MOI'!$C$24*(E4773/'THAM_SO_MOI'!$C$22)^2-'THAM_SO_MOI'!$C$25*(E4773/'THAM_SO_MOI'!$C$22)^3)</f>
        <v>108.5131856876838</v>
      </c>
      <c r="K4773" s="75">
        <f>'THAM_SO_MOI'!$C$31*J4773/E4773</f>
        <v>426.80902636831553</v>
      </c>
      <c r="L4773" s="75">
        <f>K4773*'THAM_SO_MOI'!$C$53*'THAM_SO_MOI'!$C$17/'THAM_SO_MOI'!$C$26</f>
        <v>3743.1168313404273</v>
      </c>
      <c r="M4773" s="75">
        <f>'THAM_SO_MOI'!$C$15*'THAM_SO_MOI'!$C$16*F4773^2</f>
        <v>1776.7480854873804</v>
      </c>
      <c r="N4773" s="75">
        <f>'THAM_SO_MOI'!$C$12*I4773</f>
        <v>1587.7585714840602</v>
      </c>
      <c r="O4773" s="75">
        <f>M4773+N4773</f>
        <v>3364.506656971441</v>
      </c>
      <c r="P4773" s="75">
        <f>(MIN(L4773,'THAM_SO_MOI'!$C$41)-O4773)/('THAM_SO_MOI'!$C$11*H4773)</f>
        <v>0.044816545261480434</v>
      </c>
      <c r="Q4773" s="75">
        <f>IF(P4773&gt;0,1/P4773,NA())</f>
        <v>22.313188001563663</v>
      </c>
      <c r="R4773" s="75">
        <f>F4773-F4772</f>
        <v>0.0035868055555532408</v>
      </c>
      <c r="S4773" s="75">
        <f>0.5*(Q4772+Q4773)*R4773</f>
        <v>0.07995617312670815</v>
      </c>
      <c r="T4773" s="75">
        <f>0.5*(F4772*Q4772+F4773*Q4773)*R4773</f>
        <v>1.9704726894438522</v>
      </c>
      <c r="U4773" s="76">
        <f>U4772+S4773</f>
        <v>97.31109652982758</v>
      </c>
      <c r="V4773" s="76">
        <f>V4772+T4773</f>
        <v>1768.8080396613427</v>
      </c>
    </row>
    <row r="4774" spans="1:22" ht="19" customHeight="1">
      <c r="A4774" s="68" t="s">
        <v>378</v>
      </c>
      <c r="B4774" s="74">
        <v>5</v>
      </c>
      <c r="C4774" s="68" t="s">
        <v>363</v>
      </c>
      <c r="D4774" s="68" t="s">
        <v>365</v>
      </c>
      <c r="E4774" s="75">
        <f>60*F4774*'THAM_SO_MOI'!$C$53/(2*PI()*'THAM_SO_MOI'!$C$26)</f>
        <v>2428.652815789473</v>
      </c>
      <c r="F4774" s="75">
        <f>'THAM_SO_MOI'!$C$14+('THAM_SO_MOI'!$C$37-'THAM_SO_MOI'!$C$14)*683/'THAM_SO_MOI'!$C$42</f>
        <v>24.649788194444444</v>
      </c>
      <c r="G4774" s="75">
        <f>3.6*F4774</f>
        <v>88.7392375</v>
      </c>
      <c r="H4774" s="75">
        <f>'THAM_SO_MOI'!$D$53</f>
        <v>1.1</v>
      </c>
      <c r="I4774" s="75">
        <f>IF(F4774&gt;='THAM_SO_MOI'!$C$14,'THAM_SO_MOI'!$C$13*(1+F4774^2/1500),'THAM_SO_MOI'!$C$13)</f>
        <v>0.021076120580309728</v>
      </c>
      <c r="J4774" s="75">
        <f>'THAM_SO_MOI'!$C$40*('THAM_SO_MOI'!$C$23*(E4774/'THAM_SO_MOI'!$C$22)+'THAM_SO_MOI'!$C$24*(E4774/'THAM_SO_MOI'!$C$22)^2-'THAM_SO_MOI'!$C$25*(E4774/'THAM_SO_MOI'!$C$22)^3)</f>
        <v>108.52669538208715</v>
      </c>
      <c r="K4774" s="75">
        <f>'THAM_SO_MOI'!$C$31*J4774/E4774</f>
        <v>426.8000503454221</v>
      </c>
      <c r="L4774" s="75">
        <f>K4774*'THAM_SO_MOI'!$C$53*'THAM_SO_MOI'!$C$17/'THAM_SO_MOI'!$C$26</f>
        <v>3743.0381115845294</v>
      </c>
      <c r="M4774" s="75">
        <f>'THAM_SO_MOI'!$C$15*'THAM_SO_MOI'!$C$16*F4774^2</f>
        <v>1777.2652697405952</v>
      </c>
      <c r="N4774" s="75">
        <f>'THAM_SO_MOI'!$C$12*I4774</f>
        <v>1587.8917854169993</v>
      </c>
      <c r="O4774" s="75">
        <f>M4774+N4774</f>
        <v>3365.157055157594</v>
      </c>
      <c r="P4774" s="75">
        <f>(MIN(L4774,'THAM_SO_MOI'!$C$41)-O4774)/('THAM_SO_MOI'!$C$11*H4774)</f>
        <v>0.044730238686900445</v>
      </c>
      <c r="Q4774" s="75">
        <f>IF(P4774&gt;0,1/P4774,NA())</f>
        <v>22.356241087818223</v>
      </c>
      <c r="R4774" s="75">
        <f>F4774-F4773</f>
        <v>0.0035868055555567935</v>
      </c>
      <c r="S4774" s="75">
        <f>0.5*(Q4773+Q4774)*R4774</f>
        <v>0.0801102782106726</v>
      </c>
      <c r="T4774" s="75">
        <f>0.5*(F4773*Q4773+F4774*Q4774)*R4774</f>
        <v>1.9745578585669878</v>
      </c>
      <c r="U4774" s="76">
        <f>U4773+S4774</f>
        <v>97.39120680803825</v>
      </c>
      <c r="V4774" s="76">
        <f>V4773+T4774</f>
        <v>1770.7825975199098</v>
      </c>
    </row>
    <row r="4775" spans="1:22" ht="19" customHeight="1">
      <c r="A4775" s="68" t="s">
        <v>378</v>
      </c>
      <c r="B4775" s="74">
        <v>5</v>
      </c>
      <c r="C4775" s="68" t="s">
        <v>363</v>
      </c>
      <c r="D4775" s="68" t="s">
        <v>365</v>
      </c>
      <c r="E4775" s="75">
        <f>60*F4775*'THAM_SO_MOI'!$C$53/(2*PI()*'THAM_SO_MOI'!$C$26)</f>
        <v>2429.006210526315</v>
      </c>
      <c r="F4775" s="75">
        <f>'THAM_SO_MOI'!$C$14+('THAM_SO_MOI'!$C$37-'THAM_SO_MOI'!$C$14)*684/'THAM_SO_MOI'!$C$42</f>
        <v>24.653374999999997</v>
      </c>
      <c r="G4775" s="75">
        <f>3.6*F4775</f>
        <v>88.75214999999999</v>
      </c>
      <c r="H4775" s="75">
        <f>'THAM_SO_MOI'!$D$53</f>
        <v>1.1</v>
      </c>
      <c r="I4775" s="75">
        <f>IF(F4775&gt;='THAM_SO_MOI'!$C$14,'THAM_SO_MOI'!$C$13*(1+F4775^2/1500),'THAM_SO_MOI'!$C$13)</f>
        <v>0.021077888988906248</v>
      </c>
      <c r="J4775" s="75">
        <f>'THAM_SO_MOI'!$C$40*('THAM_SO_MOI'!$C$23*(E4775/'THAM_SO_MOI'!$C$22)+'THAM_SO_MOI'!$C$24*(E4775/'THAM_SO_MOI'!$C$22)^2-'THAM_SO_MOI'!$C$25*(E4775/'THAM_SO_MOI'!$C$22)^3)</f>
        <v>108.54020133095695</v>
      </c>
      <c r="K4775" s="75">
        <f>'THAM_SO_MOI'!$C$31*J4775/E4775</f>
        <v>426.7910622065443</v>
      </c>
      <c r="L4775" s="75">
        <f>K4775*'THAM_SO_MOI'!$C$53*'THAM_SO_MOI'!$C$17/'THAM_SO_MOI'!$C$26</f>
        <v>3742.9592855714004</v>
      </c>
      <c r="M4775" s="75">
        <f>'THAM_SO_MOI'!$C$15*'THAM_SO_MOI'!$C$16*F4775^2</f>
        <v>1777.7825292550779</v>
      </c>
      <c r="N4775" s="75">
        <f>'THAM_SO_MOI'!$C$12*I4775</f>
        <v>1588.025018735388</v>
      </c>
      <c r="O4775" s="75">
        <f>M4775+N4775</f>
        <v>3365.8075479904655</v>
      </c>
      <c r="P4775" s="75">
        <f>(MIN(L4775,'THAM_SO_MOI'!$C$41)-O4775)/('THAM_SO_MOI'!$C$11*H4775)</f>
        <v>0.044643908331076544</v>
      </c>
      <c r="Q4775" s="75">
        <f>IF(P4775&gt;0,1/P4775,NA())</f>
        <v>22.39947256821827</v>
      </c>
      <c r="R4775" s="75">
        <f>F4775-F4774</f>
        <v>0.0035868055555532408</v>
      </c>
      <c r="S4775" s="75">
        <f>0.5*(Q4774+Q4775)*R4775</f>
        <v>0.08026502119211086</v>
      </c>
      <c r="T4775" s="75">
        <f>0.5*(F4774*Q4774+F4775*Q4775)*R4775</f>
        <v>1.9786598583652222</v>
      </c>
      <c r="U4775" s="76">
        <f>U4774+S4775</f>
        <v>97.47147182923035</v>
      </c>
      <c r="V4775" s="76">
        <f>V4774+T4775</f>
        <v>1772.761257378275</v>
      </c>
    </row>
    <row r="4776" spans="1:22" ht="19" customHeight="1">
      <c r="A4776" s="68" t="s">
        <v>378</v>
      </c>
      <c r="B4776" s="74">
        <v>5</v>
      </c>
      <c r="C4776" s="68" t="s">
        <v>363</v>
      </c>
      <c r="D4776" s="68" t="s">
        <v>365</v>
      </c>
      <c r="E4776" s="75">
        <f>60*F4776*'THAM_SO_MOI'!$C$53/(2*PI()*'THAM_SO_MOI'!$C$26)</f>
        <v>2429.359605263157</v>
      </c>
      <c r="F4776" s="75">
        <f>'THAM_SO_MOI'!$C$14+('THAM_SO_MOI'!$C$37-'THAM_SO_MOI'!$C$14)*685/'THAM_SO_MOI'!$C$42</f>
        <v>24.656961805555554</v>
      </c>
      <c r="G4776" s="75">
        <f>3.6*F4776</f>
        <v>88.7650625</v>
      </c>
      <c r="H4776" s="75">
        <f>'THAM_SO_MOI'!$D$53</f>
        <v>1.1</v>
      </c>
      <c r="I4776" s="75">
        <f>IF(F4776&gt;='THAM_SO_MOI'!$C$14,'THAM_SO_MOI'!$C$13*(1+F4776^2/1500),'THAM_SO_MOI'!$C$13)</f>
        <v>0.021079657654806253</v>
      </c>
      <c r="J4776" s="75">
        <f>'THAM_SO_MOI'!$C$40*('THAM_SO_MOI'!$C$23*(E4776/'THAM_SO_MOI'!$C$22)+'THAM_SO_MOI'!$C$24*(E4776/'THAM_SO_MOI'!$C$22)^2-'THAM_SO_MOI'!$C$25*(E4776/'THAM_SO_MOI'!$C$22)^3)</f>
        <v>108.55370353294822</v>
      </c>
      <c r="K4776" s="75">
        <f>'THAM_SO_MOI'!$C$31*J4776/E4776</f>
        <v>426.7820619516821</v>
      </c>
      <c r="L4776" s="75">
        <f>K4776*'THAM_SO_MOI'!$C$53*'THAM_SO_MOI'!$C$17/'THAM_SO_MOI'!$C$26</f>
        <v>3742.880353301042</v>
      </c>
      <c r="M4776" s="75">
        <f>'THAM_SO_MOI'!$C$15*'THAM_SO_MOI'!$C$16*F4776^2</f>
        <v>1778.2998640308297</v>
      </c>
      <c r="N4776" s="75">
        <f>'THAM_SO_MOI'!$C$12*I4776</f>
        <v>1588.158271439227</v>
      </c>
      <c r="O4776" s="75">
        <f>M4776+N4776</f>
        <v>3366.4581354700567</v>
      </c>
      <c r="P4776" s="75">
        <f>(MIN(L4776,'THAM_SO_MOI'!$C$41)-O4776)/('THAM_SO_MOI'!$C$11*H4776)</f>
        <v>0.044557554194008656</v>
      </c>
      <c r="Q4776" s="75">
        <f>IF(P4776&gt;0,1/P4776,NA())</f>
        <v>22.442883548901413</v>
      </c>
      <c r="R4776" s="75">
        <f>F4776-F4775</f>
        <v>0.0035868055555567935</v>
      </c>
      <c r="S4776" s="75">
        <f>0.5*(Q4775+Q4776)*R4776</f>
        <v>0.08042040602257051</v>
      </c>
      <c r="T4776" s="75">
        <f>0.5*(F4775*Q4775+F4776*Q4776)*R4776</f>
        <v>1.982778793128696</v>
      </c>
      <c r="U4776" s="76">
        <f>U4775+S4776</f>
        <v>97.55189223525292</v>
      </c>
      <c r="V4776" s="76">
        <f>V4775+T4776</f>
        <v>1774.7440361714039</v>
      </c>
    </row>
    <row r="4777" spans="1:22" ht="19" customHeight="1">
      <c r="A4777" s="68" t="s">
        <v>378</v>
      </c>
      <c r="B4777" s="74">
        <v>5</v>
      </c>
      <c r="C4777" s="68" t="s">
        <v>363</v>
      </c>
      <c r="D4777" s="68" t="s">
        <v>365</v>
      </c>
      <c r="E4777" s="75">
        <f>60*F4777*'THAM_SO_MOI'!$C$53/(2*PI()*'THAM_SO_MOI'!$C$26)</f>
        <v>2429.7129999999993</v>
      </c>
      <c r="F4777" s="75">
        <f>'THAM_SO_MOI'!$C$14+('THAM_SO_MOI'!$C$37-'THAM_SO_MOI'!$C$14)*686/'THAM_SO_MOI'!$C$42</f>
        <v>24.66054861111111</v>
      </c>
      <c r="G4777" s="75">
        <f>3.6*F4777</f>
        <v>88.777975</v>
      </c>
      <c r="H4777" s="75">
        <f>'THAM_SO_MOI'!$D$53</f>
        <v>1.1</v>
      </c>
      <c r="I4777" s="75">
        <f>IF(F4777&gt;='THAM_SO_MOI'!$C$14,'THAM_SO_MOI'!$C$13*(1+F4777^2/1500),'THAM_SO_MOI'!$C$13)</f>
        <v>0.02108142657800974</v>
      </c>
      <c r="J4777" s="75">
        <f>'THAM_SO_MOI'!$C$40*('THAM_SO_MOI'!$C$23*(E4777/'THAM_SO_MOI'!$C$22)+'THAM_SO_MOI'!$C$24*(E4777/'THAM_SO_MOI'!$C$22)^2-'THAM_SO_MOI'!$C$25*(E4777/'THAM_SO_MOI'!$C$22)^3)</f>
        <v>108.56720198671613</v>
      </c>
      <c r="K4777" s="75">
        <f>'THAM_SO_MOI'!$C$31*J4777/E4777</f>
        <v>426.7730495808354</v>
      </c>
      <c r="L4777" s="75">
        <f>K4777*'THAM_SO_MOI'!$C$53*'THAM_SO_MOI'!$C$17/'THAM_SO_MOI'!$C$26</f>
        <v>3742.8013147734505</v>
      </c>
      <c r="M4777" s="75">
        <f>'THAM_SO_MOI'!$C$15*'THAM_SO_MOI'!$C$16*F4777^2</f>
        <v>1778.8172740678494</v>
      </c>
      <c r="N4777" s="75">
        <f>'THAM_SO_MOI'!$C$12*I4777</f>
        <v>1588.2915435285163</v>
      </c>
      <c r="O4777" s="75">
        <f>M4777+N4777</f>
        <v>3367.108817596366</v>
      </c>
      <c r="P4777" s="75">
        <f>(MIN(L4777,'THAM_SO_MOI'!$C$41)-O4777)/('THAM_SO_MOI'!$C$11*H4777)</f>
        <v>0.044471176275696585</v>
      </c>
      <c r="Q4777" s="75">
        <f>IF(P4777&gt;0,1/P4777,NA())</f>
        <v>22.486475145171685</v>
      </c>
      <c r="R4777" s="75">
        <f>F4777-F4776</f>
        <v>0.0035868055555567935</v>
      </c>
      <c r="S4777" s="75">
        <f>0.5*(Q4776+Q4777)*R4777</f>
        <v>0.08057643668575266</v>
      </c>
      <c r="T4777" s="75">
        <f>0.5*(F4776*Q4776+F4777*Q4777)*R4777</f>
        <v>1.986914767997113</v>
      </c>
      <c r="U4777" s="76">
        <f>U4776+S4777</f>
        <v>97.63246867193867</v>
      </c>
      <c r="V4777" s="76">
        <f>V4776+T4777</f>
        <v>1776.730950939401</v>
      </c>
    </row>
    <row r="4778" spans="1:22" ht="19" customHeight="1">
      <c r="A4778" s="68" t="s">
        <v>378</v>
      </c>
      <c r="B4778" s="74">
        <v>5</v>
      </c>
      <c r="C4778" s="68" t="s">
        <v>363</v>
      </c>
      <c r="D4778" s="68" t="s">
        <v>365</v>
      </c>
      <c r="E4778" s="75">
        <f>60*F4778*'THAM_SO_MOI'!$C$53/(2*PI()*'THAM_SO_MOI'!$C$26)</f>
        <v>2430.066394736841</v>
      </c>
      <c r="F4778" s="75">
        <f>'THAM_SO_MOI'!$C$14+('THAM_SO_MOI'!$C$37-'THAM_SO_MOI'!$C$14)*687/'THAM_SO_MOI'!$C$42</f>
        <v>24.664135416666664</v>
      </c>
      <c r="G4778" s="75">
        <f>3.6*F4778</f>
        <v>88.7908875</v>
      </c>
      <c r="H4778" s="75">
        <f>'THAM_SO_MOI'!$D$53</f>
        <v>1.1</v>
      </c>
      <c r="I4778" s="75">
        <f>IF(F4778&gt;='THAM_SO_MOI'!$C$14,'THAM_SO_MOI'!$C$13*(1+F4778^2/1500),'THAM_SO_MOI'!$C$13)</f>
        <v>0.02108319575851671</v>
      </c>
      <c r="J4778" s="75">
        <f>'THAM_SO_MOI'!$C$40*('THAM_SO_MOI'!$C$23*(E4778/'THAM_SO_MOI'!$C$22)+'THAM_SO_MOI'!$C$24*(E4778/'THAM_SO_MOI'!$C$22)^2-'THAM_SO_MOI'!$C$25*(E4778/'THAM_SO_MOI'!$C$22)^3)</f>
        <v>108.58069669091572</v>
      </c>
      <c r="K4778" s="75">
        <f>'THAM_SO_MOI'!$C$31*J4778/E4778</f>
        <v>426.7640250940041</v>
      </c>
      <c r="L4778" s="75">
        <f>K4778*'THAM_SO_MOI'!$C$53*'THAM_SO_MOI'!$C$17/'THAM_SO_MOI'!$C$26</f>
        <v>3742.722169988628</v>
      </c>
      <c r="M4778" s="75">
        <f>'THAM_SO_MOI'!$C$15*'THAM_SO_MOI'!$C$16*F4778^2</f>
        <v>1779.3347593661374</v>
      </c>
      <c r="N4778" s="75">
        <f>'THAM_SO_MOI'!$C$12*I4778</f>
        <v>1588.4248350032558</v>
      </c>
      <c r="O4778" s="75">
        <f>M4778+N4778</f>
        <v>3367.759594369393</v>
      </c>
      <c r="P4778" s="75">
        <f>(MIN(L4778,'THAM_SO_MOI'!$C$41)-O4778)/('THAM_SO_MOI'!$C$11*H4778)</f>
        <v>0.0443847745761405</v>
      </c>
      <c r="Q4778" s="75">
        <f>IF(P4778&gt;0,1/P4778,NA())</f>
        <v>22.53024848159442</v>
      </c>
      <c r="R4778" s="75">
        <f>F4778-F4777</f>
        <v>0.0035868055555532408</v>
      </c>
      <c r="S4778" s="75">
        <f>0.5*(Q4777+Q4778)*R4778</f>
        <v>0.08073311719864476</v>
      </c>
      <c r="T4778" s="75">
        <f>0.5*(F4777*Q4777+F4778*Q4778)*R4778</f>
        <v>1.99106788898825</v>
      </c>
      <c r="U4778" s="76">
        <f>U4777+S4778</f>
        <v>97.71320178913732</v>
      </c>
      <c r="V4778" s="76">
        <f>V4777+T4778</f>
        <v>1778.7220188283893</v>
      </c>
    </row>
    <row r="4779" spans="1:22" ht="19" customHeight="1">
      <c r="A4779" s="68" t="s">
        <v>378</v>
      </c>
      <c r="B4779" s="74">
        <v>5</v>
      </c>
      <c r="C4779" s="68" t="s">
        <v>363</v>
      </c>
      <c r="D4779" s="68" t="s">
        <v>365</v>
      </c>
      <c r="E4779" s="75">
        <f>60*F4779*'THAM_SO_MOI'!$C$53/(2*PI()*'THAM_SO_MOI'!$C$26)</f>
        <v>2430.4197894736835</v>
      </c>
      <c r="F4779" s="75">
        <f>'THAM_SO_MOI'!$C$14+('THAM_SO_MOI'!$C$37-'THAM_SO_MOI'!$C$14)*688/'THAM_SO_MOI'!$C$42</f>
        <v>24.66772222222222</v>
      </c>
      <c r="G4779" s="75">
        <f>3.6*F4779</f>
        <v>88.8038</v>
      </c>
      <c r="H4779" s="75">
        <f>'THAM_SO_MOI'!$D$53</f>
        <v>1.1</v>
      </c>
      <c r="I4779" s="75">
        <f>IF(F4779&gt;='THAM_SO_MOI'!$C$14,'THAM_SO_MOI'!$C$13*(1+F4779^2/1500),'THAM_SO_MOI'!$C$13)</f>
        <v>0.021084965196327157</v>
      </c>
      <c r="J4779" s="75">
        <f>'THAM_SO_MOI'!$C$40*('THAM_SO_MOI'!$C$23*(E4779/'THAM_SO_MOI'!$C$22)+'THAM_SO_MOI'!$C$24*(E4779/'THAM_SO_MOI'!$C$22)^2-'THAM_SO_MOI'!$C$25*(E4779/'THAM_SO_MOI'!$C$22)^3)</f>
        <v>108.59418764420218</v>
      </c>
      <c r="K4779" s="75">
        <f>'THAM_SO_MOI'!$C$31*J4779/E4779</f>
        <v>426.75498849118856</v>
      </c>
      <c r="L4779" s="75">
        <f>K4779*'THAM_SO_MOI'!$C$53*'THAM_SO_MOI'!$C$17/'THAM_SO_MOI'!$C$26</f>
        <v>3742.6429189465753</v>
      </c>
      <c r="M4779" s="75">
        <f>'THAM_SO_MOI'!$C$15*'THAM_SO_MOI'!$C$16*F4779^2</f>
        <v>1779.8523199256942</v>
      </c>
      <c r="N4779" s="75">
        <f>'THAM_SO_MOI'!$C$12*I4779</f>
        <v>1588.5581458634451</v>
      </c>
      <c r="O4779" s="75">
        <f>M4779+N4779</f>
        <v>3368.4104657891394</v>
      </c>
      <c r="P4779" s="75">
        <f>(MIN(L4779,'THAM_SO_MOI'!$C$41)-O4779)/('THAM_SO_MOI'!$C$11*H4779)</f>
        <v>0.044298349095340424</v>
      </c>
      <c r="Q4779" s="75">
        <f>IF(P4779&gt;0,1/P4779,NA())</f>
        <v>22.57420469209283</v>
      </c>
      <c r="R4779" s="75">
        <f>F4779-F4778</f>
        <v>0.0035868055555567935</v>
      </c>
      <c r="S4779" s="75">
        <f>0.5*(Q4778+Q4779)*R4779</f>
        <v>0.08089045161186634</v>
      </c>
      <c r="T4779" s="75">
        <f>0.5*(F4778*Q4778+F4779*Q4779)*R4779</f>
        <v>1.9952382630070853</v>
      </c>
      <c r="U4779" s="76">
        <f>U4778+S4779</f>
        <v>97.79409224074918</v>
      </c>
      <c r="V4779" s="76">
        <f>V4778+T4779</f>
        <v>1780.7172570913965</v>
      </c>
    </row>
    <row r="4780" spans="1:22" ht="19" customHeight="1">
      <c r="A4780" s="68" t="s">
        <v>378</v>
      </c>
      <c r="B4780" s="74">
        <v>5</v>
      </c>
      <c r="C4780" s="68" t="s">
        <v>363</v>
      </c>
      <c r="D4780" s="68" t="s">
        <v>365</v>
      </c>
      <c r="E4780" s="75">
        <f>60*F4780*'THAM_SO_MOI'!$C$53/(2*PI()*'THAM_SO_MOI'!$C$26)</f>
        <v>2430.773184210526</v>
      </c>
      <c r="F4780" s="75">
        <f>'THAM_SO_MOI'!$C$14+('THAM_SO_MOI'!$C$37-'THAM_SO_MOI'!$C$14)*689/'THAM_SO_MOI'!$C$42</f>
        <v>24.671309027777777</v>
      </c>
      <c r="G4780" s="75">
        <f>3.6*F4780</f>
        <v>88.8167125</v>
      </c>
      <c r="H4780" s="75">
        <f>'THAM_SO_MOI'!$D$53</f>
        <v>1.1</v>
      </c>
      <c r="I4780" s="75">
        <f>IF(F4780&gt;='THAM_SO_MOI'!$C$14,'THAM_SO_MOI'!$C$13*(1+F4780^2/1500),'THAM_SO_MOI'!$C$13)</f>
        <v>0.021086734891441094</v>
      </c>
      <c r="J4780" s="75">
        <f>'THAM_SO_MOI'!$C$40*('THAM_SO_MOI'!$C$23*(E4780/'THAM_SO_MOI'!$C$22)+'THAM_SO_MOI'!$C$24*(E4780/'THAM_SO_MOI'!$C$22)^2-'THAM_SO_MOI'!$C$25*(E4780/'THAM_SO_MOI'!$C$22)^3)</f>
        <v>108.60767484523055</v>
      </c>
      <c r="K4780" s="75">
        <f>'THAM_SO_MOI'!$C$31*J4780/E4780</f>
        <v>426.7459397723884</v>
      </c>
      <c r="L4780" s="75">
        <f>K4780*'THAM_SO_MOI'!$C$53*'THAM_SO_MOI'!$C$17/'THAM_SO_MOI'!$C$26</f>
        <v>3742.5635616472905</v>
      </c>
      <c r="M4780" s="75">
        <f>'THAM_SO_MOI'!$C$15*'THAM_SO_MOI'!$C$16*F4780^2</f>
        <v>1780.3699557465197</v>
      </c>
      <c r="N4780" s="75">
        <f>'THAM_SO_MOI'!$C$12*I4780</f>
        <v>1588.6914761090852</v>
      </c>
      <c r="O4780" s="75">
        <f>M4780+N4780</f>
        <v>3369.061431855605</v>
      </c>
      <c r="P4780" s="75">
        <f>(MIN(L4780,'THAM_SO_MOI'!$C$41)-O4780)/('THAM_SO_MOI'!$C$11*H4780)</f>
        <v>0.04421189983329611</v>
      </c>
      <c r="Q4780" s="75">
        <f>IF(P4780&gt;0,1/P4780,NA())</f>
        <v>22.618344920045644</v>
      </c>
      <c r="R4780" s="75">
        <f>F4780-F4779</f>
        <v>0.0035868055555567935</v>
      </c>
      <c r="S4780" s="75">
        <f>0.5*(Q4779+Q4780)*R4780</f>
        <v>0.08104844400929716</v>
      </c>
      <c r="T4780" s="75">
        <f>0.5*(F4779*Q4779+F4780*Q4780)*R4780</f>
        <v>1.999425997837223</v>
      </c>
      <c r="U4780" s="76">
        <f>U4779+S4780</f>
        <v>97.87514068475848</v>
      </c>
      <c r="V4780" s="76">
        <f>V4779+T4780</f>
        <v>1782.7166830892338</v>
      </c>
    </row>
    <row r="4781" spans="1:22" ht="19" customHeight="1">
      <c r="A4781" s="68" t="s">
        <v>378</v>
      </c>
      <c r="B4781" s="74">
        <v>5</v>
      </c>
      <c r="C4781" s="68" t="s">
        <v>363</v>
      </c>
      <c r="D4781" s="68" t="s">
        <v>365</v>
      </c>
      <c r="E4781" s="75">
        <f>60*F4781*'THAM_SO_MOI'!$C$53/(2*PI()*'THAM_SO_MOI'!$C$26)</f>
        <v>2431.1265789473678</v>
      </c>
      <c r="F4781" s="75">
        <f>'THAM_SO_MOI'!$C$14+('THAM_SO_MOI'!$C$37-'THAM_SO_MOI'!$C$14)*690/'THAM_SO_MOI'!$C$42</f>
        <v>24.67489583333333</v>
      </c>
      <c r="G4781" s="75">
        <f>3.6*F4781</f>
        <v>88.829625</v>
      </c>
      <c r="H4781" s="75">
        <f>'THAM_SO_MOI'!$D$53</f>
        <v>1.1</v>
      </c>
      <c r="I4781" s="75">
        <f>IF(F4781&gt;='THAM_SO_MOI'!$C$14,'THAM_SO_MOI'!$C$13*(1+F4781^2/1500),'THAM_SO_MOI'!$C$13)</f>
        <v>0.021088504843858505</v>
      </c>
      <c r="J4781" s="75">
        <f>'THAM_SO_MOI'!$C$40*('THAM_SO_MOI'!$C$23*(E4781/'THAM_SO_MOI'!$C$22)+'THAM_SO_MOI'!$C$24*(E4781/'THAM_SO_MOI'!$C$22)^2-'THAM_SO_MOI'!$C$25*(E4781/'THAM_SO_MOI'!$C$22)^3)</f>
        <v>108.62115829265596</v>
      </c>
      <c r="K4781" s="75">
        <f>'THAM_SO_MOI'!$C$31*J4781/E4781</f>
        <v>426.7368789376038</v>
      </c>
      <c r="L4781" s="75">
        <f>K4781*'THAM_SO_MOI'!$C$53*'THAM_SO_MOI'!$C$17/'THAM_SO_MOI'!$C$26</f>
        <v>3742.4840980907748</v>
      </c>
      <c r="M4781" s="75">
        <f>'THAM_SO_MOI'!$C$15*'THAM_SO_MOI'!$C$16*F4781^2</f>
        <v>1780.887666828613</v>
      </c>
      <c r="N4781" s="75">
        <f>'THAM_SO_MOI'!$C$12*I4781</f>
        <v>1588.824825740175</v>
      </c>
      <c r="O4781" s="75">
        <f>M4781+N4781</f>
        <v>3369.7124925687876</v>
      </c>
      <c r="P4781" s="75">
        <f>(MIN(L4781,'THAM_SO_MOI'!$C$41)-O4781)/('THAM_SO_MOI'!$C$11*H4781)</f>
        <v>0.044125426790007916</v>
      </c>
      <c r="Q4781" s="75">
        <f>IF(P4781&gt;0,1/P4781,NA())</f>
        <v>22.66267031838539</v>
      </c>
      <c r="R4781" s="75">
        <f>F4781-F4780</f>
        <v>0.0035868055555532408</v>
      </c>
      <c r="S4781" s="75">
        <f>0.5*(Q4780+Q4781)*R4781</f>
        <v>0.0812070985091477</v>
      </c>
      <c r="T4781" s="75">
        <f>0.5*(F4780*Q4780+F4781*Q4781)*R4781</f>
        <v>2.0036312021679077</v>
      </c>
      <c r="U4781" s="76">
        <f>U4780+S4781</f>
        <v>97.95634778326763</v>
      </c>
      <c r="V4781" s="76">
        <f>V4780+T4781</f>
        <v>1784.7203142914018</v>
      </c>
    </row>
    <row r="4782" spans="1:22" ht="19" customHeight="1">
      <c r="A4782" s="68" t="s">
        <v>378</v>
      </c>
      <c r="B4782" s="74">
        <v>5</v>
      </c>
      <c r="C4782" s="68" t="s">
        <v>363</v>
      </c>
      <c r="D4782" s="68" t="s">
        <v>365</v>
      </c>
      <c r="E4782" s="75">
        <f>60*F4782*'THAM_SO_MOI'!$C$53/(2*PI()*'THAM_SO_MOI'!$C$26)</f>
        <v>2431.4799736842097</v>
      </c>
      <c r="F4782" s="75">
        <f>'THAM_SO_MOI'!$C$14+('THAM_SO_MOI'!$C$37-'THAM_SO_MOI'!$C$14)*691/'THAM_SO_MOI'!$C$42</f>
        <v>24.678482638888887</v>
      </c>
      <c r="G4782" s="75">
        <f>3.6*F4782</f>
        <v>88.84253749999999</v>
      </c>
      <c r="H4782" s="75">
        <f>'THAM_SO_MOI'!$D$53</f>
        <v>1.1</v>
      </c>
      <c r="I4782" s="75">
        <f>IF(F4782&gt;='THAM_SO_MOI'!$C$14,'THAM_SO_MOI'!$C$13*(1+F4782^2/1500),'THAM_SO_MOI'!$C$13)</f>
        <v>0.0210902750535794</v>
      </c>
      <c r="J4782" s="75">
        <f>'THAM_SO_MOI'!$C$40*('THAM_SO_MOI'!$C$23*(E4782/'THAM_SO_MOI'!$C$22)+'THAM_SO_MOI'!$C$24*(E4782/'THAM_SO_MOI'!$C$22)^2-'THAM_SO_MOI'!$C$25*(E4782/'THAM_SO_MOI'!$C$22)^3)</f>
        <v>108.63463798513354</v>
      </c>
      <c r="K4782" s="75">
        <f>'THAM_SO_MOI'!$C$31*J4782/E4782</f>
        <v>426.72780598683477</v>
      </c>
      <c r="L4782" s="75">
        <f>K4782*'THAM_SO_MOI'!$C$53*'THAM_SO_MOI'!$C$17/'THAM_SO_MOI'!$C$26</f>
        <v>3742.4045282770285</v>
      </c>
      <c r="M4782" s="75">
        <f>'THAM_SO_MOI'!$C$15*'THAM_SO_MOI'!$C$16*F4782^2</f>
        <v>1781.4054531719753</v>
      </c>
      <c r="N4782" s="75">
        <f>'THAM_SO_MOI'!$C$12*I4782</f>
        <v>1588.9581947567149</v>
      </c>
      <c r="O4782" s="75">
        <f>M4782+N4782</f>
        <v>3370.36364792869</v>
      </c>
      <c r="P4782" s="75">
        <f>(MIN(L4782,'THAM_SO_MOI'!$C$41)-O4782)/('THAM_SO_MOI'!$C$11*H4782)</f>
        <v>0.04403892996547565</v>
      </c>
      <c r="Q4782" s="75">
        <f>IF(P4782&gt;0,1/P4782,NA())</f>
        <v>22.707182049699</v>
      </c>
      <c r="R4782" s="75">
        <f>F4782-F4781</f>
        <v>0.0035868055555567935</v>
      </c>
      <c r="S4782" s="75">
        <f>0.5*(Q4781+Q4782)*R4782</f>
        <v>0.08136641926431833</v>
      </c>
      <c r="T4782" s="75">
        <f>0.5*(F4781*Q4781+F4782*Q4782)*R4782</f>
        <v>2.0078539856035005</v>
      </c>
      <c r="U4782" s="76">
        <f>U4781+S4782</f>
        <v>98.03771420253194</v>
      </c>
      <c r="V4782" s="76">
        <f>V4781+T4782</f>
        <v>1786.7281682770054</v>
      </c>
    </row>
    <row r="4783" spans="1:22" ht="19" customHeight="1">
      <c r="A4783" s="68" t="s">
        <v>378</v>
      </c>
      <c r="B4783" s="74">
        <v>5</v>
      </c>
      <c r="C4783" s="68" t="s">
        <v>363</v>
      </c>
      <c r="D4783" s="68" t="s">
        <v>365</v>
      </c>
      <c r="E4783" s="75">
        <f>60*F4783*'THAM_SO_MOI'!$C$53/(2*PI()*'THAM_SO_MOI'!$C$26)</f>
        <v>2431.833368421052</v>
      </c>
      <c r="F4783" s="75">
        <f>'THAM_SO_MOI'!$C$14+('THAM_SO_MOI'!$C$37-'THAM_SO_MOI'!$C$14)*692/'THAM_SO_MOI'!$C$42</f>
        <v>24.682069444444444</v>
      </c>
      <c r="G4783" s="75">
        <f>3.6*F4783</f>
        <v>88.85545</v>
      </c>
      <c r="H4783" s="75">
        <f>'THAM_SO_MOI'!$D$53</f>
        <v>1.1</v>
      </c>
      <c r="I4783" s="75">
        <f>IF(F4783&gt;='THAM_SO_MOI'!$C$14,'THAM_SO_MOI'!$C$13*(1+F4783^2/1500),'THAM_SO_MOI'!$C$13)</f>
        <v>0.02109204552060378</v>
      </c>
      <c r="J4783" s="75">
        <f>'THAM_SO_MOI'!$C$40*('THAM_SO_MOI'!$C$23*(E4783/'THAM_SO_MOI'!$C$22)+'THAM_SO_MOI'!$C$24*(E4783/'THAM_SO_MOI'!$C$22)^2-'THAM_SO_MOI'!$C$25*(E4783/'THAM_SO_MOI'!$C$22)^3)</f>
        <v>108.64811392131841</v>
      </c>
      <c r="K4783" s="75">
        <f>'THAM_SO_MOI'!$C$31*J4783/E4783</f>
        <v>426.71872092008135</v>
      </c>
      <c r="L4783" s="75">
        <f>K4783*'THAM_SO_MOI'!$C$53*'THAM_SO_MOI'!$C$17/'THAM_SO_MOI'!$C$26</f>
        <v>3742.324852206051</v>
      </c>
      <c r="M4783" s="75">
        <f>'THAM_SO_MOI'!$C$15*'THAM_SO_MOI'!$C$16*F4783^2</f>
        <v>1781.9233147766058</v>
      </c>
      <c r="N4783" s="75">
        <f>'THAM_SO_MOI'!$C$12*I4783</f>
        <v>1589.0915831587054</v>
      </c>
      <c r="O4783" s="75">
        <f>M4783+N4783</f>
        <v>3371.014897935311</v>
      </c>
      <c r="P4783" s="75">
        <f>(MIN(L4783,'THAM_SO_MOI'!$C$41)-O4783)/('THAM_SO_MOI'!$C$11*H4783)</f>
        <v>0.043952409359699345</v>
      </c>
      <c r="Q4783" s="75">
        <f>IF(P4783&gt;0,1/P4783,NA())</f>
        <v>22.751881286328658</v>
      </c>
      <c r="R4783" s="75">
        <f>F4783-F4782</f>
        <v>0.0035868055555567935</v>
      </c>
      <c r="S4783" s="75">
        <f>0.5*(Q4782+Q4783)*R4783</f>
        <v>0.08152641046203607</v>
      </c>
      <c r="T4783" s="75">
        <f>0.5*(F4782*Q4782+F4783*Q4783)*R4783</f>
        <v>2.012094458655137</v>
      </c>
      <c r="U4783" s="76">
        <f>U4782+S4783</f>
        <v>98.11924061299398</v>
      </c>
      <c r="V4783" s="76">
        <f>V4782+T4783</f>
        <v>1788.7402627356605</v>
      </c>
    </row>
    <row r="4784" spans="1:22" ht="19" customHeight="1">
      <c r="A4784" s="68" t="s">
        <v>378</v>
      </c>
      <c r="B4784" s="74">
        <v>5</v>
      </c>
      <c r="C4784" s="68" t="s">
        <v>363</v>
      </c>
      <c r="D4784" s="68" t="s">
        <v>365</v>
      </c>
      <c r="E4784" s="75">
        <f>60*F4784*'THAM_SO_MOI'!$C$53/(2*PI()*'THAM_SO_MOI'!$C$26)</f>
        <v>2432.186763157894</v>
      </c>
      <c r="F4784" s="75">
        <f>'THAM_SO_MOI'!$C$14+('THAM_SO_MOI'!$C$37-'THAM_SO_MOI'!$C$14)*693/'THAM_SO_MOI'!$C$42</f>
        <v>24.685656249999997</v>
      </c>
      <c r="G4784" s="75">
        <f>3.6*F4784</f>
        <v>88.86836249999999</v>
      </c>
      <c r="H4784" s="75">
        <f>'THAM_SO_MOI'!$D$53</f>
        <v>1.1</v>
      </c>
      <c r="I4784" s="75">
        <f>IF(F4784&gt;='THAM_SO_MOI'!$C$14,'THAM_SO_MOI'!$C$13*(1+F4784^2/1500),'THAM_SO_MOI'!$C$13)</f>
        <v>0.02109381624493164</v>
      </c>
      <c r="J4784" s="75">
        <f>'THAM_SO_MOI'!$C$40*('THAM_SO_MOI'!$C$23*(E4784/'THAM_SO_MOI'!$C$22)+'THAM_SO_MOI'!$C$24*(E4784/'THAM_SO_MOI'!$C$22)^2-'THAM_SO_MOI'!$C$25*(E4784/'THAM_SO_MOI'!$C$22)^3)</f>
        <v>108.66158609986569</v>
      </c>
      <c r="K4784" s="75">
        <f>'THAM_SO_MOI'!$C$31*J4784/E4784</f>
        <v>426.7096237373436</v>
      </c>
      <c r="L4784" s="75">
        <f>K4784*'THAM_SO_MOI'!$C$53*'THAM_SO_MOI'!$C$17/'THAM_SO_MOI'!$C$26</f>
        <v>3742.245069877844</v>
      </c>
      <c r="M4784" s="75">
        <f>'THAM_SO_MOI'!$C$15*'THAM_SO_MOI'!$C$16*F4784^2</f>
        <v>1782.4412516425048</v>
      </c>
      <c r="N4784" s="75">
        <f>'THAM_SO_MOI'!$C$12*I4784</f>
        <v>1589.2249909461457</v>
      </c>
      <c r="O4784" s="75">
        <f>M4784+N4784</f>
        <v>3371.6662425886507</v>
      </c>
      <c r="P4784" s="75">
        <f>(MIN(L4784,'THAM_SO_MOI'!$C$41)-O4784)/('THAM_SO_MOI'!$C$11*H4784)</f>
        <v>0.04386586497267915</v>
      </c>
      <c r="Q4784" s="75">
        <f>IF(P4784&gt;0,1/P4784,NA())</f>
        <v>22.796769210474412</v>
      </c>
      <c r="R4784" s="75">
        <f>F4784-F4783</f>
        <v>0.0035868055555532408</v>
      </c>
      <c r="S4784" s="75">
        <f>0.5*(Q4783+Q4784)*R4784</f>
        <v>0.08168707632494307</v>
      </c>
      <c r="T4784" s="75">
        <f>0.5*(F4783*Q4783+F4784*Q4784)*R4784</f>
        <v>2.016352732768208</v>
      </c>
      <c r="U4784" s="76">
        <f>U4783+S4784</f>
        <v>98.20092768931892</v>
      </c>
      <c r="V4784" s="76">
        <f>V4783+T4784</f>
        <v>1790.7566154684287</v>
      </c>
    </row>
    <row r="4785" spans="1:22" ht="19" customHeight="1">
      <c r="A4785" s="68" t="s">
        <v>378</v>
      </c>
      <c r="B4785" s="74">
        <v>5</v>
      </c>
      <c r="C4785" s="68" t="s">
        <v>363</v>
      </c>
      <c r="D4785" s="68" t="s">
        <v>365</v>
      </c>
      <c r="E4785" s="75">
        <f>60*F4785*'THAM_SO_MOI'!$C$53/(2*PI()*'THAM_SO_MOI'!$C$26)</f>
        <v>2432.5401578947362</v>
      </c>
      <c r="F4785" s="75">
        <f>'THAM_SO_MOI'!$C$14+('THAM_SO_MOI'!$C$37-'THAM_SO_MOI'!$C$14)*694/'THAM_SO_MOI'!$C$42</f>
        <v>24.689243055555554</v>
      </c>
      <c r="G4785" s="75">
        <f>3.6*F4785</f>
        <v>88.881275</v>
      </c>
      <c r="H4785" s="75">
        <f>'THAM_SO_MOI'!$D$53</f>
        <v>1.1</v>
      </c>
      <c r="I4785" s="75">
        <f>IF(F4785&gt;='THAM_SO_MOI'!$C$14,'THAM_SO_MOI'!$C$13*(1+F4785^2/1500),'THAM_SO_MOI'!$C$13)</f>
        <v>0.02109558722656298</v>
      </c>
      <c r="J4785" s="75">
        <f>'THAM_SO_MOI'!$C$40*('THAM_SO_MOI'!$C$23*(E4785/'THAM_SO_MOI'!$C$22)+'THAM_SO_MOI'!$C$24*(E4785/'THAM_SO_MOI'!$C$22)^2-'THAM_SO_MOI'!$C$25*(E4785/'THAM_SO_MOI'!$C$22)^3)</f>
        <v>108.6750545194304</v>
      </c>
      <c r="K4785" s="75">
        <f>'THAM_SO_MOI'!$C$31*J4785/E4785</f>
        <v>426.70051443862116</v>
      </c>
      <c r="L4785" s="75">
        <f>K4785*'THAM_SO_MOI'!$C$53*'THAM_SO_MOI'!$C$17/'THAM_SO_MOI'!$C$26</f>
        <v>3742.1651812924038</v>
      </c>
      <c r="M4785" s="75">
        <f>'THAM_SO_MOI'!$C$15*'THAM_SO_MOI'!$C$16*F4785^2</f>
        <v>1782.9592637696721</v>
      </c>
      <c r="N4785" s="75">
        <f>'THAM_SO_MOI'!$C$12*I4785</f>
        <v>1589.358418119036</v>
      </c>
      <c r="O4785" s="75">
        <f>M4785+N4785</f>
        <v>3372.317681888708</v>
      </c>
      <c r="P4785" s="75">
        <f>(MIN(L4785,'THAM_SO_MOI'!$C$41)-O4785)/('THAM_SO_MOI'!$C$11*H4785)</f>
        <v>0.043779296804414725</v>
      </c>
      <c r="Q4785" s="75">
        <f>IF(P4785&gt;0,1/P4785,NA())</f>
        <v>22.84184701429831</v>
      </c>
      <c r="R4785" s="75">
        <f>F4785-F4784</f>
        <v>0.0035868055555567935</v>
      </c>
      <c r="S4785" s="75">
        <f>0.5*(Q4784+Q4785)*R4785</f>
        <v>0.0818484211114696</v>
      </c>
      <c r="T4785" s="75">
        <f>0.5*(F4784*Q4784+F4785*Q4785)*R4785</f>
        <v>2.020628920332208</v>
      </c>
      <c r="U4785" s="76">
        <f>U4784+S4785</f>
        <v>98.28277611043039</v>
      </c>
      <c r="V4785" s="76">
        <f>V4784+T4785</f>
        <v>1792.777244388761</v>
      </c>
    </row>
    <row r="4786" spans="1:22" ht="19" customHeight="1">
      <c r="A4786" s="68" t="s">
        <v>378</v>
      </c>
      <c r="B4786" s="74">
        <v>5</v>
      </c>
      <c r="C4786" s="68" t="s">
        <v>363</v>
      </c>
      <c r="D4786" s="68" t="s">
        <v>365</v>
      </c>
      <c r="E4786" s="75">
        <f>60*F4786*'THAM_SO_MOI'!$C$53/(2*PI()*'THAM_SO_MOI'!$C$26)</f>
        <v>2432.8935526315786</v>
      </c>
      <c r="F4786" s="75">
        <f>'THAM_SO_MOI'!$C$14+('THAM_SO_MOI'!$C$37-'THAM_SO_MOI'!$C$14)*695/'THAM_SO_MOI'!$C$42</f>
        <v>24.69282986111111</v>
      </c>
      <c r="G4786" s="75">
        <f>3.6*F4786</f>
        <v>88.8941875</v>
      </c>
      <c r="H4786" s="75">
        <f>'THAM_SO_MOI'!$D$53</f>
        <v>1.1</v>
      </c>
      <c r="I4786" s="75">
        <f>IF(F4786&gt;='THAM_SO_MOI'!$C$14,'THAM_SO_MOI'!$C$13*(1+F4786^2/1500),'THAM_SO_MOI'!$C$13)</f>
        <v>0.021097358465497807</v>
      </c>
      <c r="J4786" s="75">
        <f>'THAM_SO_MOI'!$C$40*('THAM_SO_MOI'!$C$23*(E4786/'THAM_SO_MOI'!$C$22)+'THAM_SO_MOI'!$C$24*(E4786/'THAM_SO_MOI'!$C$22)^2-'THAM_SO_MOI'!$C$25*(E4786/'THAM_SO_MOI'!$C$22)^3)</f>
        <v>108.68851917866773</v>
      </c>
      <c r="K4786" s="75">
        <f>'THAM_SO_MOI'!$C$31*J4786/E4786</f>
        <v>426.6913930239142</v>
      </c>
      <c r="L4786" s="75">
        <f>K4786*'THAM_SO_MOI'!$C$53*'THAM_SO_MOI'!$C$17/'THAM_SO_MOI'!$C$26</f>
        <v>3742.085186449732</v>
      </c>
      <c r="M4786" s="75">
        <f>'THAM_SO_MOI'!$C$15*'THAM_SO_MOI'!$C$16*F4786^2</f>
        <v>1783.4773511581084</v>
      </c>
      <c r="N4786" s="75">
        <f>'THAM_SO_MOI'!$C$12*I4786</f>
        <v>1589.4918646773772</v>
      </c>
      <c r="O4786" s="75">
        <f>M4786+N4786</f>
        <v>3372.9692158354856</v>
      </c>
      <c r="P4786" s="75">
        <f>(MIN(L4786,'THAM_SO_MOI'!$C$41)-O4786)/('THAM_SO_MOI'!$C$11*H4786)</f>
        <v>0.04369270485490609</v>
      </c>
      <c r="Q4786" s="75">
        <f>IF(P4786&gt;0,1/P4786,NA())</f>
        <v>22.887115900029105</v>
      </c>
      <c r="R4786" s="75">
        <f>F4786-F4785</f>
        <v>0.0035868055555567935</v>
      </c>
      <c r="S4786" s="75">
        <f>0.5*(Q4785+Q4786)*R4786</f>
        <v>0.08201044911548007</v>
      </c>
      <c r="T4786" s="75">
        <f>0.5*(F4785*Q4785+F4786*Q4786)*R4786</f>
        <v>2.024923134672633</v>
      </c>
      <c r="U4786" s="76">
        <f>U4785+S4786</f>
        <v>98.36478655954588</v>
      </c>
      <c r="V4786" s="76">
        <f>V4785+T4786</f>
        <v>1794.8021675234336</v>
      </c>
    </row>
    <row r="4787" spans="1:22" ht="19" customHeight="1">
      <c r="A4787" s="68" t="s">
        <v>378</v>
      </c>
      <c r="B4787" s="74">
        <v>5</v>
      </c>
      <c r="C4787" s="68" t="s">
        <v>363</v>
      </c>
      <c r="D4787" s="68" t="s">
        <v>365</v>
      </c>
      <c r="E4787" s="75">
        <f>60*F4787*'THAM_SO_MOI'!$C$53/(2*PI()*'THAM_SO_MOI'!$C$26)</f>
        <v>2433.2469473684205</v>
      </c>
      <c r="F4787" s="75">
        <f>'THAM_SO_MOI'!$C$14+('THAM_SO_MOI'!$C$37-'THAM_SO_MOI'!$C$14)*696/'THAM_SO_MOI'!$C$42</f>
        <v>24.696416666666664</v>
      </c>
      <c r="G4787" s="75">
        <f>3.6*F4787</f>
        <v>88.9071</v>
      </c>
      <c r="H4787" s="75">
        <f>'THAM_SO_MOI'!$D$53</f>
        <v>1.1</v>
      </c>
      <c r="I4787" s="75">
        <f>IF(F4787&gt;='THAM_SO_MOI'!$C$14,'THAM_SO_MOI'!$C$13*(1+F4787^2/1500),'THAM_SO_MOI'!$C$13)</f>
        <v>0.02109912996173611</v>
      </c>
      <c r="J4787" s="75">
        <f>'THAM_SO_MOI'!$C$40*('THAM_SO_MOI'!$C$23*(E4787/'THAM_SO_MOI'!$C$22)+'THAM_SO_MOI'!$C$24*(E4787/'THAM_SO_MOI'!$C$22)^2-'THAM_SO_MOI'!$C$25*(E4787/'THAM_SO_MOI'!$C$22)^3)</f>
        <v>108.70198007623276</v>
      </c>
      <c r="K4787" s="75">
        <f>'THAM_SO_MOI'!$C$31*J4787/E4787</f>
        <v>426.68225949322294</v>
      </c>
      <c r="L4787" s="75">
        <f>K4787*'THAM_SO_MOI'!$C$53*'THAM_SO_MOI'!$C$17/'THAM_SO_MOI'!$C$26</f>
        <v>3742.0050853498306</v>
      </c>
      <c r="M4787" s="75">
        <f>'THAM_SO_MOI'!$C$15*'THAM_SO_MOI'!$C$16*F4787^2</f>
        <v>1783.9955138078124</v>
      </c>
      <c r="N4787" s="75">
        <f>'THAM_SO_MOI'!$C$12*I4787</f>
        <v>1589.625330621168</v>
      </c>
      <c r="O4787" s="75">
        <f>M4787+N4787</f>
        <v>3373.6208444289805</v>
      </c>
      <c r="P4787" s="75">
        <f>(MIN(L4787,'THAM_SO_MOI'!$C$41)-O4787)/('THAM_SO_MOI'!$C$11*H4787)</f>
        <v>0.04360608912415368</v>
      </c>
      <c r="Q4787" s="75">
        <f>IF(P4787&gt;0,1/P4787,NA())</f>
        <v>22.932577080068707</v>
      </c>
      <c r="R4787" s="75">
        <f>F4787-F4786</f>
        <v>0.0035868055555532408</v>
      </c>
      <c r="S4787" s="75">
        <f>0.5*(Q4786+Q4787)*R4787</f>
        <v>0.08217316466737933</v>
      </c>
      <c r="T4787" s="75">
        <f>0.5*(F4786*Q4786+F4787*Q4787)*R4787</f>
        <v>2.0292354900789364</v>
      </c>
      <c r="U4787" s="76">
        <f>U4786+S4787</f>
        <v>98.44695972421326</v>
      </c>
      <c r="V4787" s="76">
        <f>V4786+T4787</f>
        <v>1796.8314030135125</v>
      </c>
    </row>
    <row r="4788" spans="1:22" ht="19" customHeight="1">
      <c r="A4788" s="68" t="s">
        <v>378</v>
      </c>
      <c r="B4788" s="74">
        <v>5</v>
      </c>
      <c r="C4788" s="68" t="s">
        <v>363</v>
      </c>
      <c r="D4788" s="68" t="s">
        <v>365</v>
      </c>
      <c r="E4788" s="75">
        <f>60*F4788*'THAM_SO_MOI'!$C$53/(2*PI()*'THAM_SO_MOI'!$C$26)</f>
        <v>2433.600342105263</v>
      </c>
      <c r="F4788" s="75">
        <f>'THAM_SO_MOI'!$C$14+('THAM_SO_MOI'!$C$37-'THAM_SO_MOI'!$C$14)*697/'THAM_SO_MOI'!$C$42</f>
        <v>24.70000347222222</v>
      </c>
      <c r="G4788" s="75">
        <f>3.6*F4788</f>
        <v>88.9200125</v>
      </c>
      <c r="H4788" s="75">
        <f>'THAM_SO_MOI'!$D$53</f>
        <v>1.1</v>
      </c>
      <c r="I4788" s="75">
        <f>IF(F4788&gt;='THAM_SO_MOI'!$C$14,'THAM_SO_MOI'!$C$13*(1+F4788^2/1500),'THAM_SO_MOI'!$C$13)</f>
        <v>0.021100901715277894</v>
      </c>
      <c r="J4788" s="75">
        <f>'THAM_SO_MOI'!$C$40*('THAM_SO_MOI'!$C$23*(E4788/'THAM_SO_MOI'!$C$22)+'THAM_SO_MOI'!$C$24*(E4788/'THAM_SO_MOI'!$C$22)^2-'THAM_SO_MOI'!$C$25*(E4788/'THAM_SO_MOI'!$C$22)^3)</f>
        <v>108.71543721078064</v>
      </c>
      <c r="K4788" s="75">
        <f>'THAM_SO_MOI'!$C$31*J4788/E4788</f>
        <v>426.67311384654715</v>
      </c>
      <c r="L4788" s="75">
        <f>K4788*'THAM_SO_MOI'!$C$53*'THAM_SO_MOI'!$C$17/'THAM_SO_MOI'!$C$26</f>
        <v>3741.924877992698</v>
      </c>
      <c r="M4788" s="75">
        <f>'THAM_SO_MOI'!$C$15*'THAM_SO_MOI'!$C$16*F4788^2</f>
        <v>1784.5137517187852</v>
      </c>
      <c r="N4788" s="75">
        <f>'THAM_SO_MOI'!$C$12*I4788</f>
        <v>1589.758815950409</v>
      </c>
      <c r="O4788" s="75">
        <f>M4788+N4788</f>
        <v>3374.2725676691944</v>
      </c>
      <c r="P4788" s="75">
        <f>(MIN(L4788,'THAM_SO_MOI'!$C$41)-O4788)/('THAM_SO_MOI'!$C$11*H4788)</f>
        <v>0.043519449612157174</v>
      </c>
      <c r="Q4788" s="75">
        <f>IF(P4788&gt;0,1/P4788,NA())</f>
        <v>22.97823177710064</v>
      </c>
      <c r="R4788" s="75">
        <f>F4788-F4787</f>
        <v>0.0035868055555567935</v>
      </c>
      <c r="S4788" s="75">
        <f>0.5*(Q4787+Q4788)*R4788</f>
        <v>0.08233657213450052</v>
      </c>
      <c r="T4788" s="75">
        <f>0.5*(F4787*Q4787+F4788*Q4788)*R4788</f>
        <v>2.033566101814766</v>
      </c>
      <c r="U4788" s="76">
        <f>U4787+S4788</f>
        <v>98.52929629634775</v>
      </c>
      <c r="V4788" s="76">
        <f>V4787+T4788</f>
        <v>1798.8649691153273</v>
      </c>
    </row>
    <row r="4789" spans="1:22" ht="19" customHeight="1">
      <c r="A4789" s="68" t="s">
        <v>378</v>
      </c>
      <c r="B4789" s="74">
        <v>5</v>
      </c>
      <c r="C4789" s="68" t="s">
        <v>363</v>
      </c>
      <c r="D4789" s="68" t="s">
        <v>365</v>
      </c>
      <c r="E4789" s="75">
        <f>60*F4789*'THAM_SO_MOI'!$C$53/(2*PI()*'THAM_SO_MOI'!$C$26)</f>
        <v>2433.9537368421047</v>
      </c>
      <c r="F4789" s="75">
        <f>'THAM_SO_MOI'!$C$14+('THAM_SO_MOI'!$C$37-'THAM_SO_MOI'!$C$14)*698/'THAM_SO_MOI'!$C$42</f>
        <v>24.703590277777778</v>
      </c>
      <c r="G4789" s="75">
        <f>3.6*F4789</f>
        <v>88.932925</v>
      </c>
      <c r="H4789" s="75">
        <f>'THAM_SO_MOI'!$D$53</f>
        <v>1.1</v>
      </c>
      <c r="I4789" s="75">
        <f>IF(F4789&gt;='THAM_SO_MOI'!$C$14,'THAM_SO_MOI'!$C$13*(1+F4789^2/1500),'THAM_SO_MOI'!$C$13)</f>
        <v>0.021102673726123167</v>
      </c>
      <c r="J4789" s="75">
        <f>'THAM_SO_MOI'!$C$40*('THAM_SO_MOI'!$C$23*(E4789/'THAM_SO_MOI'!$C$22)+'THAM_SO_MOI'!$C$24*(E4789/'THAM_SO_MOI'!$C$22)^2-'THAM_SO_MOI'!$C$25*(E4789/'THAM_SO_MOI'!$C$22)^3)</f>
        <v>108.7288905809664</v>
      </c>
      <c r="K4789" s="75">
        <f>'THAM_SO_MOI'!$C$31*J4789/E4789</f>
        <v>426.6639560838869</v>
      </c>
      <c r="L4789" s="75">
        <f>K4789*'THAM_SO_MOI'!$C$53*'THAM_SO_MOI'!$C$17/'THAM_SO_MOI'!$C$26</f>
        <v>3741.8445643783325</v>
      </c>
      <c r="M4789" s="75">
        <f>'THAM_SO_MOI'!$C$15*'THAM_SO_MOI'!$C$16*F4789^2</f>
        <v>1785.0320648910267</v>
      </c>
      <c r="N4789" s="75">
        <f>'THAM_SO_MOI'!$C$12*I4789</f>
        <v>1589.8923206651004</v>
      </c>
      <c r="O4789" s="75">
        <f>M4789+N4789</f>
        <v>3374.924385556127</v>
      </c>
      <c r="P4789" s="75">
        <f>(MIN(L4789,'THAM_SO_MOI'!$C$41)-O4789)/('THAM_SO_MOI'!$C$11*H4789)</f>
        <v>0.04343278631891635</v>
      </c>
      <c r="Q4789" s="75">
        <f>IF(P4789&gt;0,1/P4789,NA())</f>
        <v>23.024081224198788</v>
      </c>
      <c r="R4789" s="75">
        <f>F4789-F4788</f>
        <v>0.0035868055555567935</v>
      </c>
      <c r="S4789" s="75">
        <f>0.5*(Q4788+Q4789)*R4789</f>
        <v>0.08250067592076164</v>
      </c>
      <c r="T4789" s="75">
        <f>0.5*(F4788*Q4788+F4789*Q4789)*R4789</f>
        <v>2.0379150861101376</v>
      </c>
      <c r="U4789" s="76">
        <f>U4788+S4789</f>
        <v>98.61179697226851</v>
      </c>
      <c r="V4789" s="76">
        <f>V4788+T4789</f>
        <v>1800.9028842014375</v>
      </c>
    </row>
    <row r="4790" spans="1:22" ht="19" customHeight="1">
      <c r="A4790" s="68" t="s">
        <v>378</v>
      </c>
      <c r="B4790" s="74">
        <v>5</v>
      </c>
      <c r="C4790" s="68" t="s">
        <v>363</v>
      </c>
      <c r="D4790" s="68" t="s">
        <v>365</v>
      </c>
      <c r="E4790" s="75">
        <f>60*F4790*'THAM_SO_MOI'!$C$53/(2*PI()*'THAM_SO_MOI'!$C$26)</f>
        <v>2434.3071315789466</v>
      </c>
      <c r="F4790" s="75">
        <f>'THAM_SO_MOI'!$C$14+('THAM_SO_MOI'!$C$37-'THAM_SO_MOI'!$C$14)*699/'THAM_SO_MOI'!$C$42</f>
        <v>24.70717708333333</v>
      </c>
      <c r="G4790" s="75">
        <f>3.6*F4790</f>
        <v>88.9458375</v>
      </c>
      <c r="H4790" s="75">
        <f>'THAM_SO_MOI'!$D$53</f>
        <v>1.1</v>
      </c>
      <c r="I4790" s="75">
        <f>IF(F4790&gt;='THAM_SO_MOI'!$C$14,'THAM_SO_MOI'!$C$13*(1+F4790^2/1500),'THAM_SO_MOI'!$C$13)</f>
        <v>0.021104445994271918</v>
      </c>
      <c r="J4790" s="75">
        <f>'THAM_SO_MOI'!$C$40*('THAM_SO_MOI'!$C$23*(E4790/'THAM_SO_MOI'!$C$22)+'THAM_SO_MOI'!$C$24*(E4790/'THAM_SO_MOI'!$C$22)^2-'THAM_SO_MOI'!$C$25*(E4790/'THAM_SO_MOI'!$C$22)^3)</f>
        <v>108.74234018544526</v>
      </c>
      <c r="K4790" s="75">
        <f>'THAM_SO_MOI'!$C$31*J4790/E4790</f>
        <v>426.6547862052423</v>
      </c>
      <c r="L4790" s="75">
        <f>K4790*'THAM_SO_MOI'!$C$53*'THAM_SO_MOI'!$C$17/'THAM_SO_MOI'!$C$26</f>
        <v>3741.7641445067384</v>
      </c>
      <c r="M4790" s="75">
        <f>'THAM_SO_MOI'!$C$15*'THAM_SO_MOI'!$C$16*F4790^2</f>
        <v>1785.550453324536</v>
      </c>
      <c r="N4790" s="75">
        <f>'THAM_SO_MOI'!$C$12*I4790</f>
        <v>1590.0258447652418</v>
      </c>
      <c r="O4790" s="75">
        <f>M4790+N4790</f>
        <v>3375.576298089778</v>
      </c>
      <c r="P4790" s="75">
        <f>(MIN(L4790,'THAM_SO_MOI'!$C$41)-O4790)/('THAM_SO_MOI'!$C$11*H4790)</f>
        <v>0.04334609924443189</v>
      </c>
      <c r="Q4790" s="75">
        <f>IF(P4790&gt;0,1/P4790,NA())</f>
        <v>23.070126664937607</v>
      </c>
      <c r="R4790" s="75">
        <f>F4790-F4789</f>
        <v>0.0035868055555532408</v>
      </c>
      <c r="S4790" s="75">
        <f>0.5*(Q4789+Q4790)*R4790</f>
        <v>0.08266548046779022</v>
      </c>
      <c r="T4790" s="75">
        <f>0.5*(F4789*Q4789+F4790*Q4790)*R4790</f>
        <v>2.0422825601898813</v>
      </c>
      <c r="U4790" s="76">
        <f>U4789+S4790</f>
        <v>98.6944624527363</v>
      </c>
      <c r="V4790" s="76">
        <f>V4789+T4790</f>
        <v>1802.9451667616274</v>
      </c>
    </row>
    <row r="4791" spans="1:22" ht="19" customHeight="1">
      <c r="A4791" s="68" t="s">
        <v>378</v>
      </c>
      <c r="B4791" s="74">
        <v>5</v>
      </c>
      <c r="C4791" s="68" t="s">
        <v>363</v>
      </c>
      <c r="D4791" s="68" t="s">
        <v>365</v>
      </c>
      <c r="E4791" s="75">
        <f>60*F4791*'THAM_SO_MOI'!$C$53/(2*PI()*'THAM_SO_MOI'!$C$26)</f>
        <v>2434.660526315789</v>
      </c>
      <c r="F4791" s="75">
        <f>'THAM_SO_MOI'!$C$14+('THAM_SO_MOI'!$C$37-'THAM_SO_MOI'!$C$14)*700/'THAM_SO_MOI'!$C$42</f>
        <v>24.710763888888888</v>
      </c>
      <c r="G4791" s="75">
        <f>3.6*F4791</f>
        <v>88.95875</v>
      </c>
      <c r="H4791" s="75">
        <f>'THAM_SO_MOI'!$D$53</f>
        <v>1.1</v>
      </c>
      <c r="I4791" s="75">
        <f>IF(F4791&gt;='THAM_SO_MOI'!$C$14,'THAM_SO_MOI'!$C$13*(1+F4791^2/1500),'THAM_SO_MOI'!$C$13)</f>
        <v>0.021106218519724152</v>
      </c>
      <c r="J4791" s="75">
        <f>'THAM_SO_MOI'!$C$40*('THAM_SO_MOI'!$C$23*(E4791/'THAM_SO_MOI'!$C$22)+'THAM_SO_MOI'!$C$24*(E4791/'THAM_SO_MOI'!$C$22)^2-'THAM_SO_MOI'!$C$25*(E4791/'THAM_SO_MOI'!$C$22)^3)</f>
        <v>108.75578602287226</v>
      </c>
      <c r="K4791" s="75">
        <f>'THAM_SO_MOI'!$C$31*J4791/E4791</f>
        <v>426.6456042106132</v>
      </c>
      <c r="L4791" s="75">
        <f>K4791*'THAM_SO_MOI'!$C$53*'THAM_SO_MOI'!$C$17/'THAM_SO_MOI'!$C$26</f>
        <v>3741.683618377912</v>
      </c>
      <c r="M4791" s="75">
        <f>'THAM_SO_MOI'!$C$15*'THAM_SO_MOI'!$C$16*F4791^2</f>
        <v>1786.0689170193143</v>
      </c>
      <c r="N4791" s="75">
        <f>'THAM_SO_MOI'!$C$12*I4791</f>
        <v>1590.1593882508334</v>
      </c>
      <c r="O4791" s="75">
        <f>M4791+N4791</f>
        <v>3376.2283052701478</v>
      </c>
      <c r="P4791" s="75">
        <f>(MIN(L4791,'THAM_SO_MOI'!$C$41)-O4791)/('THAM_SO_MOI'!$C$11*H4791)</f>
        <v>0.04325938838870314</v>
      </c>
      <c r="Q4791" s="75">
        <f>IF(P4791&gt;0,1/P4791,NA())</f>
        <v>23.11636935350529</v>
      </c>
      <c r="R4791" s="75">
        <f>F4791-F4790</f>
        <v>0.0035868055555567935</v>
      </c>
      <c r="S4791" s="75">
        <f>0.5*(Q4790+Q4791)*R4791</f>
        <v>0.08283099025532635</v>
      </c>
      <c r="T4791" s="75">
        <f>0.5*(F4790*Q4790+F4791*Q4791)*R4791</f>
        <v>2.0466686422842755</v>
      </c>
      <c r="U4791" s="76">
        <f>U4790+S4791</f>
        <v>98.77729344299163</v>
      </c>
      <c r="V4791" s="76">
        <f>V4790+T4791</f>
        <v>1804.9918354039116</v>
      </c>
    </row>
    <row r="4792" spans="1:22" ht="19" customHeight="1">
      <c r="A4792" s="68" t="s">
        <v>378</v>
      </c>
      <c r="B4792" s="74">
        <v>5</v>
      </c>
      <c r="C4792" s="68" t="s">
        <v>363</v>
      </c>
      <c r="D4792" s="68" t="s">
        <v>365</v>
      </c>
      <c r="E4792" s="75">
        <f>60*F4792*'THAM_SO_MOI'!$C$53/(2*PI()*'THAM_SO_MOI'!$C$26)</f>
        <v>2435.013921052631</v>
      </c>
      <c r="F4792" s="75">
        <f>'THAM_SO_MOI'!$C$14+('THAM_SO_MOI'!$C$37-'THAM_SO_MOI'!$C$14)*701/'THAM_SO_MOI'!$C$42</f>
        <v>24.71435069444444</v>
      </c>
      <c r="G4792" s="75">
        <f>3.6*F4792</f>
        <v>88.9716625</v>
      </c>
      <c r="H4792" s="75">
        <f>'THAM_SO_MOI'!$D$53</f>
        <v>1.1</v>
      </c>
      <c r="I4792" s="75">
        <f>IF(F4792&gt;='THAM_SO_MOI'!$C$14,'THAM_SO_MOI'!$C$13*(1+F4792^2/1500),'THAM_SO_MOI'!$C$13)</f>
        <v>0.02110799130247986</v>
      </c>
      <c r="J4792" s="75">
        <f>'THAM_SO_MOI'!$C$40*('THAM_SO_MOI'!$C$23*(E4792/'THAM_SO_MOI'!$C$22)+'THAM_SO_MOI'!$C$24*(E4792/'THAM_SO_MOI'!$C$22)^2-'THAM_SO_MOI'!$C$25*(E4792/'THAM_SO_MOI'!$C$22)^3)</f>
        <v>108.76922809190246</v>
      </c>
      <c r="K4792" s="75">
        <f>'THAM_SO_MOI'!$C$31*J4792/E4792</f>
        <v>426.6364100999995</v>
      </c>
      <c r="L4792" s="75">
        <f>K4792*'THAM_SO_MOI'!$C$53*'THAM_SO_MOI'!$C$17/'THAM_SO_MOI'!$C$26</f>
        <v>3741.602985991854</v>
      </c>
      <c r="M4792" s="75">
        <f>'THAM_SO_MOI'!$C$15*'THAM_SO_MOI'!$C$16*F4792^2</f>
        <v>1786.5874559753604</v>
      </c>
      <c r="N4792" s="75">
        <f>'THAM_SO_MOI'!$C$12*I4792</f>
        <v>1590.2929511218747</v>
      </c>
      <c r="O4792" s="75">
        <f>M4792+N4792</f>
        <v>3376.880407097235</v>
      </c>
      <c r="P4792" s="75">
        <f>(MIN(L4792,'THAM_SO_MOI'!$C$41)-O4792)/('THAM_SO_MOI'!$C$11*H4792)</f>
        <v>0.043172653751730454</v>
      </c>
      <c r="Q4792" s="75">
        <f>IF(P4792&gt;0,1/P4792,NA())</f>
        <v>23.16281055481603</v>
      </c>
      <c r="R4792" s="75">
        <f>F4792-F4791</f>
        <v>0.0035868055555532408</v>
      </c>
      <c r="S4792" s="75">
        <f>0.5*(Q4791+Q4792)*R4792</f>
        <v>0.08299720980080742</v>
      </c>
      <c r="T4792" s="75">
        <f>0.5*(F4791*Q4791+F4792*Q4792)*R4792</f>
        <v>2.0510734516194664</v>
      </c>
      <c r="U4792" s="76">
        <f>U4791+S4792</f>
        <v>98.86029065279244</v>
      </c>
      <c r="V4792" s="76">
        <f>V4791+T4792</f>
        <v>1807.042908855531</v>
      </c>
    </row>
    <row r="4793" spans="1:22" ht="19" customHeight="1">
      <c r="A4793" s="68" t="s">
        <v>378</v>
      </c>
      <c r="B4793" s="74">
        <v>5</v>
      </c>
      <c r="C4793" s="68" t="s">
        <v>363</v>
      </c>
      <c r="D4793" s="68" t="s">
        <v>365</v>
      </c>
      <c r="E4793" s="75">
        <f>60*F4793*'THAM_SO_MOI'!$C$53/(2*PI()*'THAM_SO_MOI'!$C$26)</f>
        <v>2435.367315789473</v>
      </c>
      <c r="F4793" s="75">
        <f>'THAM_SO_MOI'!$C$14+('THAM_SO_MOI'!$C$37-'THAM_SO_MOI'!$C$14)*702/'THAM_SO_MOI'!$C$42</f>
        <v>24.717937499999998</v>
      </c>
      <c r="G4793" s="75">
        <f>3.6*F4793</f>
        <v>88.98457499999999</v>
      </c>
      <c r="H4793" s="75">
        <f>'THAM_SO_MOI'!$D$53</f>
        <v>1.1</v>
      </c>
      <c r="I4793" s="75">
        <f>IF(F4793&gt;='THAM_SO_MOI'!$C$14,'THAM_SO_MOI'!$C$13*(1+F4793^2/1500),'THAM_SO_MOI'!$C$13)</f>
        <v>0.02110976434253906</v>
      </c>
      <c r="J4793" s="75">
        <f>'THAM_SO_MOI'!$C$40*('THAM_SO_MOI'!$C$23*(E4793/'THAM_SO_MOI'!$C$22)+'THAM_SO_MOI'!$C$24*(E4793/'THAM_SO_MOI'!$C$22)^2-'THAM_SO_MOI'!$C$25*(E4793/'THAM_SO_MOI'!$C$22)^3)</f>
        <v>108.78266639119106</v>
      </c>
      <c r="K4793" s="75">
        <f>'THAM_SO_MOI'!$C$31*J4793/E4793</f>
        <v>426.62720387340136</v>
      </c>
      <c r="L4793" s="75">
        <f>K4793*'THAM_SO_MOI'!$C$53*'THAM_SO_MOI'!$C$17/'THAM_SO_MOI'!$C$26</f>
        <v>3741.522247348564</v>
      </c>
      <c r="M4793" s="75">
        <f>'THAM_SO_MOI'!$C$15*'THAM_SO_MOI'!$C$16*F4793^2</f>
        <v>1787.1060701926756</v>
      </c>
      <c r="N4793" s="75">
        <f>'THAM_SO_MOI'!$C$12*I4793</f>
        <v>1590.426533378367</v>
      </c>
      <c r="O4793" s="75">
        <f>M4793+N4793</f>
        <v>3377.5326035710423</v>
      </c>
      <c r="P4793" s="75">
        <f>(MIN(L4793,'THAM_SO_MOI'!$C$41)-O4793)/('THAM_SO_MOI'!$C$11*H4793)</f>
        <v>0.04308589533351346</v>
      </c>
      <c r="Q4793" s="75">
        <f>IF(P4793&gt;0,1/P4793,NA())</f>
        <v>23.20945154462581</v>
      </c>
      <c r="R4793" s="75">
        <f>F4793-F4792</f>
        <v>0.0035868055555567935</v>
      </c>
      <c r="S4793" s="75">
        <f>0.5*(Q4792+Q4793)*R4793</f>
        <v>0.08316414366100687</v>
      </c>
      <c r="T4793" s="75">
        <f>0.5*(F4792*Q4792+F4793*Q4793)*R4793</f>
        <v>2.055497108458649</v>
      </c>
      <c r="U4793" s="76">
        <f>U4792+S4793</f>
        <v>98.94345479645345</v>
      </c>
      <c r="V4793" s="76">
        <f>V4792+T4793</f>
        <v>1809.0984059639898</v>
      </c>
    </row>
    <row r="4794" spans="1:22" ht="19" customHeight="1">
      <c r="A4794" s="68" t="s">
        <v>378</v>
      </c>
      <c r="B4794" s="74">
        <v>5</v>
      </c>
      <c r="C4794" s="68" t="s">
        <v>363</v>
      </c>
      <c r="D4794" s="68" t="s">
        <v>365</v>
      </c>
      <c r="E4794" s="75">
        <f>60*F4794*'THAM_SO_MOI'!$C$53/(2*PI()*'THAM_SO_MOI'!$C$26)</f>
        <v>2435.7207105263155</v>
      </c>
      <c r="F4794" s="75">
        <f>'THAM_SO_MOI'!$C$14+('THAM_SO_MOI'!$C$37-'THAM_SO_MOI'!$C$14)*703/'THAM_SO_MOI'!$C$42</f>
        <v>24.721524305555555</v>
      </c>
      <c r="G4794" s="75">
        <f>3.6*F4794</f>
        <v>88.9974875</v>
      </c>
      <c r="H4794" s="75">
        <f>'THAM_SO_MOI'!$D$53</f>
        <v>1.1</v>
      </c>
      <c r="I4794" s="75">
        <f>IF(F4794&gt;='THAM_SO_MOI'!$C$14,'THAM_SO_MOI'!$C$13*(1+F4794^2/1500),'THAM_SO_MOI'!$C$13)</f>
        <v>0.021111537639901742</v>
      </c>
      <c r="J4794" s="75">
        <f>'THAM_SO_MOI'!$C$40*('THAM_SO_MOI'!$C$23*(E4794/'THAM_SO_MOI'!$C$22)+'THAM_SO_MOI'!$C$24*(E4794/'THAM_SO_MOI'!$C$22)^2-'THAM_SO_MOI'!$C$25*(E4794/'THAM_SO_MOI'!$C$22)^3)</f>
        <v>108.79610091939321</v>
      </c>
      <c r="K4794" s="75">
        <f>'THAM_SO_MOI'!$C$31*J4794/E4794</f>
        <v>426.61798553081906</v>
      </c>
      <c r="L4794" s="75">
        <f>K4794*'THAM_SO_MOI'!$C$53*'THAM_SO_MOI'!$C$17/'THAM_SO_MOI'!$C$26</f>
        <v>3741.441402448046</v>
      </c>
      <c r="M4794" s="75">
        <f>'THAM_SO_MOI'!$C$15*'THAM_SO_MOI'!$C$16*F4794^2</f>
        <v>1787.6247596712592</v>
      </c>
      <c r="N4794" s="75">
        <f>'THAM_SO_MOI'!$C$12*I4794</f>
        <v>1590.5601350203092</v>
      </c>
      <c r="O4794" s="75">
        <f>M4794+N4794</f>
        <v>3378.1848946915684</v>
      </c>
      <c r="P4794" s="75">
        <f>(MIN(L4794,'THAM_SO_MOI'!$C$41)-O4794)/('THAM_SO_MOI'!$C$11*H4794)</f>
        <v>0.04299911313405276</v>
      </c>
      <c r="Q4794" s="75">
        <f>IF(P4794&gt;0,1/P4794,NA())</f>
        <v>23.25629360964794</v>
      </c>
      <c r="R4794" s="75">
        <f>F4794-F4793</f>
        <v>0.0035868055555567935</v>
      </c>
      <c r="S4794" s="75">
        <f>0.5*(Q4793+Q4794)*R4794</f>
        <v>0.08333179643121762</v>
      </c>
      <c r="T4794" s="75">
        <f>0.5*(F4793*Q4793+F4794*Q4794)*R4794</f>
        <v>2.0599397340825876</v>
      </c>
      <c r="U4794" s="76">
        <f>U4793+S4794</f>
        <v>99.02678659288468</v>
      </c>
      <c r="V4794" s="76">
        <f>V4793+T4794</f>
        <v>1811.1583456980723</v>
      </c>
    </row>
    <row r="4795" spans="1:22" ht="19" customHeight="1">
      <c r="A4795" s="68" t="s">
        <v>378</v>
      </c>
      <c r="B4795" s="74">
        <v>5</v>
      </c>
      <c r="C4795" s="68" t="s">
        <v>363</v>
      </c>
      <c r="D4795" s="68" t="s">
        <v>365</v>
      </c>
      <c r="E4795" s="75">
        <f>60*F4795*'THAM_SO_MOI'!$C$53/(2*PI()*'THAM_SO_MOI'!$C$26)</f>
        <v>2436.0741052631574</v>
      </c>
      <c r="F4795" s="75">
        <f>'THAM_SO_MOI'!$C$14+('THAM_SO_MOI'!$C$37-'THAM_SO_MOI'!$C$14)*704/'THAM_SO_MOI'!$C$42</f>
        <v>24.72511111111111</v>
      </c>
      <c r="G4795" s="75">
        <f>3.6*F4795</f>
        <v>89.0104</v>
      </c>
      <c r="H4795" s="75">
        <f>'THAM_SO_MOI'!$D$53</f>
        <v>1.1</v>
      </c>
      <c r="I4795" s="75">
        <f>IF(F4795&gt;='THAM_SO_MOI'!$C$14,'THAM_SO_MOI'!$C$13*(1+F4795^2/1500),'THAM_SO_MOI'!$C$13)</f>
        <v>0.0211133111945679</v>
      </c>
      <c r="J4795" s="75">
        <f>'THAM_SO_MOI'!$C$40*('THAM_SO_MOI'!$C$23*(E4795/'THAM_SO_MOI'!$C$22)+'THAM_SO_MOI'!$C$24*(E4795/'THAM_SO_MOI'!$C$22)^2-'THAM_SO_MOI'!$C$25*(E4795/'THAM_SO_MOI'!$C$22)^3)</f>
        <v>108.80953167516391</v>
      </c>
      <c r="K4795" s="75">
        <f>'THAM_SO_MOI'!$C$31*J4795/E4795</f>
        <v>426.60875507225217</v>
      </c>
      <c r="L4795" s="75">
        <f>K4795*'THAM_SO_MOI'!$C$53*'THAM_SO_MOI'!$C$17/'THAM_SO_MOI'!$C$26</f>
        <v>3741.360451290296</v>
      </c>
      <c r="M4795" s="75">
        <f>'THAM_SO_MOI'!$C$15*'THAM_SO_MOI'!$C$16*F4795^2</f>
        <v>1788.1435244111115</v>
      </c>
      <c r="N4795" s="75">
        <f>'THAM_SO_MOI'!$C$12*I4795</f>
        <v>1590.6937560477013</v>
      </c>
      <c r="O4795" s="75">
        <f>M4795+N4795</f>
        <v>3378.8372804588125</v>
      </c>
      <c r="P4795" s="75">
        <f>(MIN(L4795,'THAM_SO_MOI'!$C$41)-O4795)/('THAM_SO_MOI'!$C$11*H4795)</f>
        <v>0.04291230715334794</v>
      </c>
      <c r="Q4795" s="75">
        <f>IF(P4795&gt;0,1/P4795,NA())</f>
        <v>23.30333804767199</v>
      </c>
      <c r="R4795" s="75">
        <f>F4795-F4794</f>
        <v>0.0035868055555567935</v>
      </c>
      <c r="S4795" s="75">
        <f>0.5*(Q4794+Q4795)*R4795</f>
        <v>0.08350017274657653</v>
      </c>
      <c r="T4795" s="75">
        <f>0.5*(F4794*Q4794+F4795*Q4795)*R4795</f>
        <v>2.0644014508230493</v>
      </c>
      <c r="U4795" s="76">
        <f>U4794+S4795</f>
        <v>99.11028676563126</v>
      </c>
      <c r="V4795" s="76">
        <f>V4794+T4795</f>
        <v>1813.2227471488952</v>
      </c>
    </row>
    <row r="4796" spans="1:22" ht="19" customHeight="1">
      <c r="A4796" s="68" t="s">
        <v>378</v>
      </c>
      <c r="B4796" s="74">
        <v>5</v>
      </c>
      <c r="C4796" s="68" t="s">
        <v>363</v>
      </c>
      <c r="D4796" s="68" t="s">
        <v>365</v>
      </c>
      <c r="E4796" s="75">
        <f>60*F4796*'THAM_SO_MOI'!$C$53/(2*PI()*'THAM_SO_MOI'!$C$26)</f>
        <v>2436.4274999999993</v>
      </c>
      <c r="F4796" s="75">
        <f>'THAM_SO_MOI'!$C$14+('THAM_SO_MOI'!$C$37-'THAM_SO_MOI'!$C$14)*705/'THAM_SO_MOI'!$C$42</f>
        <v>24.728697916666665</v>
      </c>
      <c r="G4796" s="75">
        <f>3.6*F4796</f>
        <v>89.02331249999999</v>
      </c>
      <c r="H4796" s="75">
        <f>'THAM_SO_MOI'!$D$53</f>
        <v>1.1</v>
      </c>
      <c r="I4796" s="75">
        <f>IF(F4796&gt;='THAM_SO_MOI'!$C$14,'THAM_SO_MOI'!$C$13*(1+F4796^2/1500),'THAM_SO_MOI'!$C$13)</f>
        <v>0.02111508500653754</v>
      </c>
      <c r="J4796" s="75">
        <f>'THAM_SO_MOI'!$C$40*('THAM_SO_MOI'!$C$23*(E4796/'THAM_SO_MOI'!$C$22)+'THAM_SO_MOI'!$C$24*(E4796/'THAM_SO_MOI'!$C$22)^2-'THAM_SO_MOI'!$C$25*(E4796/'THAM_SO_MOI'!$C$22)^3)</f>
        <v>108.82295865715825</v>
      </c>
      <c r="K4796" s="75">
        <f>'THAM_SO_MOI'!$C$31*J4796/E4796</f>
        <v>426.5995124977006</v>
      </c>
      <c r="L4796" s="75">
        <f>K4796*'THAM_SO_MOI'!$C$53*'THAM_SO_MOI'!$C$17/'THAM_SO_MOI'!$C$26</f>
        <v>3741.279393875313</v>
      </c>
      <c r="M4796" s="75">
        <f>'THAM_SO_MOI'!$C$15*'THAM_SO_MOI'!$C$16*F4796^2</f>
        <v>1788.6623644122315</v>
      </c>
      <c r="N4796" s="75">
        <f>'THAM_SO_MOI'!$C$12*I4796</f>
        <v>1590.8273964605435</v>
      </c>
      <c r="O4796" s="75">
        <f>M4796+N4796</f>
        <v>3379.489760872775</v>
      </c>
      <c r="P4796" s="75">
        <f>(MIN(L4796,'THAM_SO_MOI'!$C$41)-O4796)/('THAM_SO_MOI'!$C$11*H4796)</f>
        <v>0.042825477391398914</v>
      </c>
      <c r="Q4796" s="75">
        <f>IF(P4796&gt;0,1/P4796,NA())</f>
        <v>23.350586167682522</v>
      </c>
      <c r="R4796" s="75">
        <f>F4796-F4795</f>
        <v>0.0035868055555532408</v>
      </c>
      <c r="S4796" s="75">
        <f>0.5*(Q4795+Q4796)*R4796</f>
        <v>0.0836692772819967</v>
      </c>
      <c r="T4796" s="75">
        <f>0.5*(F4795*Q4795+F4796*Q4796)*R4796</f>
        <v>2.068882382061848</v>
      </c>
      <c r="U4796" s="76">
        <f>U4795+S4796</f>
        <v>99.19395604291326</v>
      </c>
      <c r="V4796" s="76">
        <f>V4795+T4796</f>
        <v>1815.2916295309572</v>
      </c>
    </row>
    <row r="4797" spans="1:22" ht="19" customHeight="1">
      <c r="A4797" s="68" t="s">
        <v>378</v>
      </c>
      <c r="B4797" s="74">
        <v>5</v>
      </c>
      <c r="C4797" s="68" t="s">
        <v>363</v>
      </c>
      <c r="D4797" s="68" t="s">
        <v>365</v>
      </c>
      <c r="E4797" s="75">
        <f>60*F4797*'THAM_SO_MOI'!$C$53/(2*PI()*'THAM_SO_MOI'!$C$26)</f>
        <v>2436.780894736841</v>
      </c>
      <c r="F4797" s="75">
        <f>'THAM_SO_MOI'!$C$14+('THAM_SO_MOI'!$C$37-'THAM_SO_MOI'!$C$14)*706/'THAM_SO_MOI'!$C$42</f>
        <v>24.73228472222222</v>
      </c>
      <c r="G4797" s="75">
        <f>3.6*F4797</f>
        <v>89.036225</v>
      </c>
      <c r="H4797" s="75">
        <f>'THAM_SO_MOI'!$D$53</f>
        <v>1.1</v>
      </c>
      <c r="I4797" s="75">
        <f>IF(F4797&gt;='THAM_SO_MOI'!$C$14,'THAM_SO_MOI'!$C$13*(1+F4797^2/1500),'THAM_SO_MOI'!$C$13)</f>
        <v>0.02111685907581067</v>
      </c>
      <c r="J4797" s="75">
        <f>'THAM_SO_MOI'!$C$40*('THAM_SO_MOI'!$C$23*(E4797/'THAM_SO_MOI'!$C$22)+'THAM_SO_MOI'!$C$24*(E4797/'THAM_SO_MOI'!$C$22)^2-'THAM_SO_MOI'!$C$25*(E4797/'THAM_SO_MOI'!$C$22)^3)</f>
        <v>108.83638186403145</v>
      </c>
      <c r="K4797" s="75">
        <f>'THAM_SO_MOI'!$C$31*J4797/E4797</f>
        <v>426.59025780716473</v>
      </c>
      <c r="L4797" s="75">
        <f>K4797*'THAM_SO_MOI'!$C$53*'THAM_SO_MOI'!$C$17/'THAM_SO_MOI'!$C$26</f>
        <v>3741.1982302031006</v>
      </c>
      <c r="M4797" s="75">
        <f>'THAM_SO_MOI'!$C$15*'THAM_SO_MOI'!$C$16*F4797^2</f>
        <v>1789.1812796746203</v>
      </c>
      <c r="N4797" s="75">
        <f>'THAM_SO_MOI'!$C$12*I4797</f>
        <v>1590.9610562588364</v>
      </c>
      <c r="O4797" s="75">
        <f>M4797+N4797</f>
        <v>3380.1423359334567</v>
      </c>
      <c r="P4797" s="75">
        <f>(MIN(L4797,'THAM_SO_MOI'!$C$41)-O4797)/('THAM_SO_MOI'!$C$11*H4797)</f>
        <v>0.04273862384820595</v>
      </c>
      <c r="Q4797" s="75">
        <f>IF(P4797&gt;0,1/P4797,NA())</f>
        <v>23.39803928998002</v>
      </c>
      <c r="R4797" s="75">
        <f>F4797-F4796</f>
        <v>0.0035868055555567935</v>
      </c>
      <c r="S4797" s="75">
        <f>0.5*(Q4796+Q4797)*R4797</f>
        <v>0.08383911475309387</v>
      </c>
      <c r="T4797" s="75">
        <f>0.5*(F4796*Q4796+F4797*Q4797)*R4797</f>
        <v>2.0733826522544647</v>
      </c>
      <c r="U4797" s="76">
        <f>U4796+S4797</f>
        <v>99.27779515766635</v>
      </c>
      <c r="V4797" s="76">
        <f>V4796+T4797</f>
        <v>1817.3650121832115</v>
      </c>
    </row>
    <row r="4798" spans="1:22" ht="19" customHeight="1">
      <c r="A4798" s="68" t="s">
        <v>378</v>
      </c>
      <c r="B4798" s="74">
        <v>5</v>
      </c>
      <c r="C4798" s="68" t="s">
        <v>363</v>
      </c>
      <c r="D4798" s="68" t="s">
        <v>365</v>
      </c>
      <c r="E4798" s="75">
        <f>60*F4798*'THAM_SO_MOI'!$C$53/(2*PI()*'THAM_SO_MOI'!$C$26)</f>
        <v>2437.1342894736836</v>
      </c>
      <c r="F4798" s="75">
        <f>'THAM_SO_MOI'!$C$14+('THAM_SO_MOI'!$C$37-'THAM_SO_MOI'!$C$14)*707/'THAM_SO_MOI'!$C$42</f>
        <v>24.735871527777775</v>
      </c>
      <c r="G4798" s="75">
        <f>3.6*F4798</f>
        <v>89.04913749999999</v>
      </c>
      <c r="H4798" s="75">
        <f>'THAM_SO_MOI'!$D$53</f>
        <v>1.1</v>
      </c>
      <c r="I4798" s="75">
        <f>IF(F4798&gt;='THAM_SO_MOI'!$C$14,'THAM_SO_MOI'!$C$13*(1+F4798^2/1500),'THAM_SO_MOI'!$C$13)</f>
        <v>0.02111863340238727</v>
      </c>
      <c r="J4798" s="75">
        <f>'THAM_SO_MOI'!$C$40*('THAM_SO_MOI'!$C$23*(E4798/'THAM_SO_MOI'!$C$22)+'THAM_SO_MOI'!$C$24*(E4798/'THAM_SO_MOI'!$C$22)^2-'THAM_SO_MOI'!$C$25*(E4798/'THAM_SO_MOI'!$C$22)^3)</f>
        <v>108.84980129443858</v>
      </c>
      <c r="K4798" s="75">
        <f>'THAM_SO_MOI'!$C$31*J4798/E4798</f>
        <v>426.58099100064436</v>
      </c>
      <c r="L4798" s="75">
        <f>K4798*'THAM_SO_MOI'!$C$53*'THAM_SO_MOI'!$C$17/'THAM_SO_MOI'!$C$26</f>
        <v>3741.116960273656</v>
      </c>
      <c r="M4798" s="75">
        <f>'THAM_SO_MOI'!$C$15*'THAM_SO_MOI'!$C$16*F4798^2</f>
        <v>1789.7002701982774</v>
      </c>
      <c r="N4798" s="75">
        <f>'THAM_SO_MOI'!$C$12*I4798</f>
        <v>1591.094735442579</v>
      </c>
      <c r="O4798" s="75">
        <f>M4798+N4798</f>
        <v>3380.7950056408563</v>
      </c>
      <c r="P4798" s="75">
        <f>(MIN(L4798,'THAM_SO_MOI'!$C$41)-O4798)/('THAM_SO_MOI'!$C$11*H4798)</f>
        <v>0.042651746523768894</v>
      </c>
      <c r="Q4798" s="75">
        <f>IF(P4798&gt;0,1/P4798,NA())</f>
        <v>23.445698746303897</v>
      </c>
      <c r="R4798" s="75">
        <f>F4798-F4797</f>
        <v>0.0035868055555532408</v>
      </c>
      <c r="S4798" s="75">
        <f>0.5*(Q4797+Q4798)*R4798</f>
        <v>0.08400968991571191</v>
      </c>
      <c r="T4798" s="75">
        <f>0.5*(F4797*Q4797+F4798*Q4798)*R4798</f>
        <v>2.0779023869190434</v>
      </c>
      <c r="U4798" s="76">
        <f>U4797+S4798</f>
        <v>99.36180484758206</v>
      </c>
      <c r="V4798" s="76">
        <f>V4797+T4798</f>
        <v>1819.4429145701306</v>
      </c>
    </row>
    <row r="4799" spans="1:22" ht="19" customHeight="1">
      <c r="A4799" s="68" t="s">
        <v>378</v>
      </c>
      <c r="B4799" s="74">
        <v>5</v>
      </c>
      <c r="C4799" s="68" t="s">
        <v>363</v>
      </c>
      <c r="D4799" s="68" t="s">
        <v>365</v>
      </c>
      <c r="E4799" s="75">
        <f>60*F4799*'THAM_SO_MOI'!$C$53/(2*PI()*'THAM_SO_MOI'!$C$26)</f>
        <v>2437.4876842105255</v>
      </c>
      <c r="F4799" s="75">
        <f>'THAM_SO_MOI'!$C$14+('THAM_SO_MOI'!$C$37-'THAM_SO_MOI'!$C$14)*708/'THAM_SO_MOI'!$C$42</f>
        <v>24.73945833333333</v>
      </c>
      <c r="G4799" s="75">
        <f>3.6*F4799</f>
        <v>89.06205</v>
      </c>
      <c r="H4799" s="75">
        <f>'THAM_SO_MOI'!$D$53</f>
        <v>1.1</v>
      </c>
      <c r="I4799" s="75">
        <f>IF(F4799&gt;='THAM_SO_MOI'!$C$14,'THAM_SO_MOI'!$C$13*(1+F4799^2/1500),'THAM_SO_MOI'!$C$13)</f>
        <v>0.021120407986267357</v>
      </c>
      <c r="J4799" s="75">
        <f>'THAM_SO_MOI'!$C$40*('THAM_SO_MOI'!$C$23*(E4799/'THAM_SO_MOI'!$C$22)+'THAM_SO_MOI'!$C$24*(E4799/'THAM_SO_MOI'!$C$22)^2-'THAM_SO_MOI'!$C$25*(E4799/'THAM_SO_MOI'!$C$22)^3)</f>
        <v>108.86321694703474</v>
      </c>
      <c r="K4799" s="75">
        <f>'THAM_SO_MOI'!$C$31*J4799/E4799</f>
        <v>426.5717120781396</v>
      </c>
      <c r="L4799" s="75">
        <f>K4799*'THAM_SO_MOI'!$C$53*'THAM_SO_MOI'!$C$17/'THAM_SO_MOI'!$C$26</f>
        <v>3741.0355840869815</v>
      </c>
      <c r="M4799" s="75">
        <f>'THAM_SO_MOI'!$C$15*'THAM_SO_MOI'!$C$16*F4799^2</f>
        <v>1790.2193359832029</v>
      </c>
      <c r="N4799" s="75">
        <f>'THAM_SO_MOI'!$C$12*I4799</f>
        <v>1591.2284340117717</v>
      </c>
      <c r="O4799" s="75">
        <f>M4799+N4799</f>
        <v>3381.447769994975</v>
      </c>
      <c r="P4799" s="75">
        <f>(MIN(L4799,'THAM_SO_MOI'!$C$41)-O4799)/('THAM_SO_MOI'!$C$11*H4799)</f>
        <v>0.04256484541808794</v>
      </c>
      <c r="Q4799" s="75">
        <f>IF(P4799&gt;0,1/P4799,NA())</f>
        <v>23.49356587995618</v>
      </c>
      <c r="R4799" s="75">
        <f>F4799-F4798</f>
        <v>0.0035868055555567935</v>
      </c>
      <c r="S4799" s="75">
        <f>0.5*(Q4798+Q4799)*R4799</f>
        <v>0.08418100756761006</v>
      </c>
      <c r="T4799" s="75">
        <f>0.5*(F4798*Q4798+F4799*Q4799)*R4799</f>
        <v>2.082441712678851</v>
      </c>
      <c r="U4799" s="76">
        <f>U4798+S4799</f>
        <v>99.44598585514967</v>
      </c>
      <c r="V4799" s="76">
        <f>V4798+T4799</f>
        <v>1821.5253562828095</v>
      </c>
    </row>
    <row r="4800" spans="1:22" ht="19" customHeight="1">
      <c r="A4800" s="68" t="s">
        <v>378</v>
      </c>
      <c r="B4800" s="74">
        <v>5</v>
      </c>
      <c r="C4800" s="68" t="s">
        <v>363</v>
      </c>
      <c r="D4800" s="68" t="s">
        <v>365</v>
      </c>
      <c r="E4800" s="75">
        <f>60*F4800*'THAM_SO_MOI'!$C$53/(2*PI()*'THAM_SO_MOI'!$C$26)</f>
        <v>2437.8410789473683</v>
      </c>
      <c r="F4800" s="75">
        <f>'THAM_SO_MOI'!$C$14+('THAM_SO_MOI'!$C$37-'THAM_SO_MOI'!$C$14)*709/'THAM_SO_MOI'!$C$42</f>
        <v>24.74304513888889</v>
      </c>
      <c r="G4800" s="75">
        <f>3.6*F4800</f>
        <v>89.0749625</v>
      </c>
      <c r="H4800" s="75">
        <f>'THAM_SO_MOI'!$D$53</f>
        <v>1.1</v>
      </c>
      <c r="I4800" s="75">
        <f>IF(F4800&gt;='THAM_SO_MOI'!$C$14,'THAM_SO_MOI'!$C$13*(1+F4800^2/1500),'THAM_SO_MOI'!$C$13)</f>
        <v>0.02112218282745093</v>
      </c>
      <c r="J4800" s="75">
        <f>'THAM_SO_MOI'!$C$40*('THAM_SO_MOI'!$C$23*(E4800/'THAM_SO_MOI'!$C$22)+'THAM_SO_MOI'!$C$24*(E4800/'THAM_SO_MOI'!$C$22)^2-'THAM_SO_MOI'!$C$25*(E4800/'THAM_SO_MOI'!$C$22)^3)</f>
        <v>108.87662882047508</v>
      </c>
      <c r="K4800" s="75">
        <f>'THAM_SO_MOI'!$C$31*J4800/E4800</f>
        <v>426.56242103965036</v>
      </c>
      <c r="L4800" s="75">
        <f>K4800*'THAM_SO_MOI'!$C$53*'THAM_SO_MOI'!$C$17/'THAM_SO_MOI'!$C$26</f>
        <v>3740.954101643075</v>
      </c>
      <c r="M4800" s="75">
        <f>'THAM_SO_MOI'!$C$15*'THAM_SO_MOI'!$C$16*F4800^2</f>
        <v>1790.7384770293975</v>
      </c>
      <c r="N4800" s="75">
        <f>'THAM_SO_MOI'!$C$12*I4800</f>
        <v>1591.362151966415</v>
      </c>
      <c r="O4800" s="75">
        <f>M4800+N4800</f>
        <v>3382.1006289958123</v>
      </c>
      <c r="P4800" s="75">
        <f>(MIN(L4800,'THAM_SO_MOI'!$C$41)-O4800)/('THAM_SO_MOI'!$C$11*H4800)</f>
        <v>0.042477920531162686</v>
      </c>
      <c r="Q4800" s="75">
        <f>IF(P4800&gt;0,1/P4800,NA())</f>
        <v>23.54164204592782</v>
      </c>
      <c r="R4800" s="75">
        <f>F4800-F4799</f>
        <v>0.0035868055555567935</v>
      </c>
      <c r="S4800" s="75">
        <f>0.5*(Q4799+Q4800)*R4800</f>
        <v>0.08435307254766482</v>
      </c>
      <c r="T4800" s="75">
        <f>0.5*(F4799*Q4799+F4800*Q4800)*R4800</f>
        <v>2.0870007572432803</v>
      </c>
      <c r="U4800" s="76">
        <f>U4799+S4800</f>
        <v>99.53033892769734</v>
      </c>
      <c r="V4800" s="76">
        <f>V4799+T4800</f>
        <v>1823.6123570400528</v>
      </c>
    </row>
    <row r="4801" spans="1:22" ht="19" customHeight="1">
      <c r="A4801" s="68" t="s">
        <v>378</v>
      </c>
      <c r="B4801" s="74">
        <v>5</v>
      </c>
      <c r="C4801" s="68" t="s">
        <v>363</v>
      </c>
      <c r="D4801" s="68" t="s">
        <v>365</v>
      </c>
      <c r="E4801" s="75">
        <f>60*F4801*'THAM_SO_MOI'!$C$53/(2*PI()*'THAM_SO_MOI'!$C$26)</f>
        <v>2438.1944736842097</v>
      </c>
      <c r="F4801" s="75">
        <f>'THAM_SO_MOI'!$C$14+('THAM_SO_MOI'!$C$37-'THAM_SO_MOI'!$C$14)*710/'THAM_SO_MOI'!$C$42</f>
        <v>24.74663194444444</v>
      </c>
      <c r="G4801" s="75">
        <f>3.6*F4801</f>
        <v>89.087875</v>
      </c>
      <c r="H4801" s="75">
        <f>'THAM_SO_MOI'!$D$53</f>
        <v>1.1</v>
      </c>
      <c r="I4801" s="75">
        <f>IF(F4801&gt;='THAM_SO_MOI'!$C$14,'THAM_SO_MOI'!$C$13*(1+F4801^2/1500),'THAM_SO_MOI'!$C$13)</f>
        <v>0.02112395792593798</v>
      </c>
      <c r="J4801" s="75">
        <f>'THAM_SO_MOI'!$C$40*('THAM_SO_MOI'!$C$23*(E4801/'THAM_SO_MOI'!$C$22)+'THAM_SO_MOI'!$C$24*(E4801/'THAM_SO_MOI'!$C$22)^2-'THAM_SO_MOI'!$C$25*(E4801/'THAM_SO_MOI'!$C$22)^3)</f>
        <v>108.89003691341458</v>
      </c>
      <c r="K4801" s="75">
        <f>'THAM_SO_MOI'!$C$31*J4801/E4801</f>
        <v>426.55311788517656</v>
      </c>
      <c r="L4801" s="75">
        <f>K4801*'THAM_SO_MOI'!$C$53*'THAM_SO_MOI'!$C$17/'THAM_SO_MOI'!$C$26</f>
        <v>3740.8725129419367</v>
      </c>
      <c r="M4801" s="75">
        <f>'THAM_SO_MOI'!$C$15*'THAM_SO_MOI'!$C$16*F4801^2</f>
        <v>1791.2576933368593</v>
      </c>
      <c r="N4801" s="75">
        <f>'THAM_SO_MOI'!$C$12*I4801</f>
        <v>1591.4958893065084</v>
      </c>
      <c r="O4801" s="75">
        <f>M4801+N4801</f>
        <v>3382.7535826433677</v>
      </c>
      <c r="P4801" s="75">
        <f>(MIN(L4801,'THAM_SO_MOI'!$C$41)-O4801)/('THAM_SO_MOI'!$C$11*H4801)</f>
        <v>0.04239097186299349</v>
      </c>
      <c r="Q4801" s="75">
        <f>IF(P4801&gt;0,1/P4801,NA())</f>
        <v>23.589928611025336</v>
      </c>
      <c r="R4801" s="75">
        <f>F4801-F4800</f>
        <v>0.0035868055555532408</v>
      </c>
      <c r="S4801" s="75">
        <f>0.5*(Q4800+Q4801)*R4801</f>
        <v>0.08452588973715484</v>
      </c>
      <c r="T4801" s="75">
        <f>0.5*(F4800*Q4800+F4801*Q4801)*R4801</f>
        <v>2.0915796494403827</v>
      </c>
      <c r="U4801" s="76">
        <f>U4800+S4801</f>
        <v>99.6148648174345</v>
      </c>
      <c r="V4801" s="76">
        <f>V4800+T4801</f>
        <v>1825.703936689493</v>
      </c>
    </row>
    <row r="4802" spans="1:22" ht="19" customHeight="1">
      <c r="A4802" s="68" t="s">
        <v>378</v>
      </c>
      <c r="B4802" s="74">
        <v>5</v>
      </c>
      <c r="C4802" s="68" t="s">
        <v>363</v>
      </c>
      <c r="D4802" s="68" t="s">
        <v>365</v>
      </c>
      <c r="E4802" s="75">
        <f>60*F4802*'THAM_SO_MOI'!$C$53/(2*PI()*'THAM_SO_MOI'!$C$26)</f>
        <v>2438.547868421052</v>
      </c>
      <c r="F4802" s="75">
        <f>'THAM_SO_MOI'!$C$14+('THAM_SO_MOI'!$C$37-'THAM_SO_MOI'!$C$14)*711/'THAM_SO_MOI'!$C$42</f>
        <v>24.75021875</v>
      </c>
      <c r="G4802" s="75">
        <f>3.6*F4802</f>
        <v>89.1007875</v>
      </c>
      <c r="H4802" s="75">
        <f>'THAM_SO_MOI'!$D$53</f>
        <v>1.1</v>
      </c>
      <c r="I4802" s="75">
        <f>IF(F4802&gt;='THAM_SO_MOI'!$C$14,'THAM_SO_MOI'!$C$13*(1+F4802^2/1500),'THAM_SO_MOI'!$C$13)</f>
        <v>0.021125733281728516</v>
      </c>
      <c r="J4802" s="75">
        <f>'THAM_SO_MOI'!$C$40*('THAM_SO_MOI'!$C$23*(E4802/'THAM_SO_MOI'!$C$22)+'THAM_SO_MOI'!$C$24*(E4802/'THAM_SO_MOI'!$C$22)^2-'THAM_SO_MOI'!$C$25*(E4802/'THAM_SO_MOI'!$C$22)^3)</f>
        <v>108.90344122450853</v>
      </c>
      <c r="K4802" s="75">
        <f>'THAM_SO_MOI'!$C$31*J4802/E4802</f>
        <v>426.5438026147185</v>
      </c>
      <c r="L4802" s="75">
        <f>K4802*'THAM_SO_MOI'!$C$53*'THAM_SO_MOI'!$C$17/'THAM_SO_MOI'!$C$26</f>
        <v>3740.7908179835695</v>
      </c>
      <c r="M4802" s="75">
        <f>'THAM_SO_MOI'!$C$15*'THAM_SO_MOI'!$C$16*F4802^2</f>
        <v>1791.7769849055908</v>
      </c>
      <c r="N4802" s="75">
        <f>'THAM_SO_MOI'!$C$12*I4802</f>
        <v>1591.6296460320518</v>
      </c>
      <c r="O4802" s="75">
        <f>M4802+N4802</f>
        <v>3383.4066309376426</v>
      </c>
      <c r="P4802" s="75">
        <f>(MIN(L4802,'THAM_SO_MOI'!$C$41)-O4802)/('THAM_SO_MOI'!$C$11*H4802)</f>
        <v>0.04230399941358036</v>
      </c>
      <c r="Q4802" s="75">
        <f>IF(P4802&gt;0,1/P4802,NA())</f>
        <v>23.638426954000515</v>
      </c>
      <c r="R4802" s="75">
        <f>F4802-F4801</f>
        <v>0.0035868055555567935</v>
      </c>
      <c r="S4802" s="75">
        <f>0.5*(Q4801+Q4802)*R4802</f>
        <v>0.08469946406022316</v>
      </c>
      <c r="T4802" s="75">
        <f>0.5*(F4801*Q4801+F4802*Q4802)*R4802</f>
        <v>2.096178519229071</v>
      </c>
      <c r="U4802" s="76">
        <f>U4801+S4802</f>
        <v>99.69956428149472</v>
      </c>
      <c r="V4802" s="76">
        <f>V4801+T4802</f>
        <v>1827.8001152087222</v>
      </c>
    </row>
    <row r="4803" spans="1:22" ht="19" customHeight="1">
      <c r="A4803" s="68" t="s">
        <v>378</v>
      </c>
      <c r="B4803" s="74">
        <v>5</v>
      </c>
      <c r="C4803" s="68" t="s">
        <v>363</v>
      </c>
      <c r="D4803" s="68" t="s">
        <v>365</v>
      </c>
      <c r="E4803" s="75">
        <f>60*F4803*'THAM_SO_MOI'!$C$53/(2*PI()*'THAM_SO_MOI'!$C$26)</f>
        <v>2438.901263157894</v>
      </c>
      <c r="F4803" s="75">
        <f>'THAM_SO_MOI'!$C$14+('THAM_SO_MOI'!$C$37-'THAM_SO_MOI'!$C$14)*712/'THAM_SO_MOI'!$C$42</f>
        <v>24.753805555555555</v>
      </c>
      <c r="G4803" s="75">
        <f>3.6*F4803</f>
        <v>89.1137</v>
      </c>
      <c r="H4803" s="75">
        <f>'THAM_SO_MOI'!$D$53</f>
        <v>1.1</v>
      </c>
      <c r="I4803" s="75">
        <f>IF(F4803&gt;='THAM_SO_MOI'!$C$14,'THAM_SO_MOI'!$C$13*(1+F4803^2/1500),'THAM_SO_MOI'!$C$13)</f>
        <v>0.021127508894822532</v>
      </c>
      <c r="J4803" s="75">
        <f>'THAM_SO_MOI'!$C$40*('THAM_SO_MOI'!$C$23*(E4803/'THAM_SO_MOI'!$C$22)+'THAM_SO_MOI'!$C$24*(E4803/'THAM_SO_MOI'!$C$22)^2-'THAM_SO_MOI'!$C$25*(E4803/'THAM_SO_MOI'!$C$22)^3)</f>
        <v>108.91684175241194</v>
      </c>
      <c r="K4803" s="75">
        <f>'THAM_SO_MOI'!$C$31*J4803/E4803</f>
        <v>426.53447522827605</v>
      </c>
      <c r="L4803" s="75">
        <f>K4803*'THAM_SO_MOI'!$C$53*'THAM_SO_MOI'!$C$17/'THAM_SO_MOI'!$C$26</f>
        <v>3740.7090167679708</v>
      </c>
      <c r="M4803" s="75">
        <f>'THAM_SO_MOI'!$C$15*'THAM_SO_MOI'!$C$16*F4803^2</f>
        <v>1792.2963517355904</v>
      </c>
      <c r="N4803" s="75">
        <f>'THAM_SO_MOI'!$C$12*I4803</f>
        <v>1591.7634221430455</v>
      </c>
      <c r="O4803" s="75">
        <f>M4803+N4803</f>
        <v>3384.059773878636</v>
      </c>
      <c r="P4803" s="75">
        <f>(MIN(L4803,'THAM_SO_MOI'!$C$41)-O4803)/('THAM_SO_MOI'!$C$11*H4803)</f>
        <v>0.04221700318292315</v>
      </c>
      <c r="Q4803" s="75">
        <f>IF(P4803&gt;0,1/P4803,NA())</f>
        <v>23.68713846568109</v>
      </c>
      <c r="R4803" s="75">
        <f>F4803-F4802</f>
        <v>0.0035868055555567935</v>
      </c>
      <c r="S4803" s="75">
        <f>0.5*(Q4802+Q4803)*R4803</f>
        <v>0.08487380048359024</v>
      </c>
      <c r="T4803" s="75">
        <f>0.5*(F4802*Q4802+F4803*Q4803)*R4803</f>
        <v>2.1007974976927812</v>
      </c>
      <c r="U4803" s="76">
        <f>U4802+S4803</f>
        <v>99.78443808197831</v>
      </c>
      <c r="V4803" s="76">
        <f>V4802+T4803</f>
        <v>1829.900912706415</v>
      </c>
    </row>
    <row r="4804" spans="1:22" ht="19" customHeight="1">
      <c r="A4804" s="68" t="s">
        <v>378</v>
      </c>
      <c r="B4804" s="74">
        <v>5</v>
      </c>
      <c r="C4804" s="68" t="s">
        <v>363</v>
      </c>
      <c r="D4804" s="68" t="s">
        <v>365</v>
      </c>
      <c r="E4804" s="75">
        <f>60*F4804*'THAM_SO_MOI'!$C$53/(2*PI()*'THAM_SO_MOI'!$C$26)</f>
        <v>2439.254657894736</v>
      </c>
      <c r="F4804" s="75">
        <f>'THAM_SO_MOI'!$C$14+('THAM_SO_MOI'!$C$37-'THAM_SO_MOI'!$C$14)*713/'THAM_SO_MOI'!$C$42</f>
        <v>24.75739236111111</v>
      </c>
      <c r="G4804" s="75">
        <f>3.6*F4804</f>
        <v>89.1266125</v>
      </c>
      <c r="H4804" s="75">
        <f>'THAM_SO_MOI'!$D$53</f>
        <v>1.1</v>
      </c>
      <c r="I4804" s="75">
        <f>IF(F4804&gt;='THAM_SO_MOI'!$C$14,'THAM_SO_MOI'!$C$13*(1+F4804^2/1500),'THAM_SO_MOI'!$C$13)</f>
        <v>0.021129284765220028</v>
      </c>
      <c r="J4804" s="75">
        <f>'THAM_SO_MOI'!$C$40*('THAM_SO_MOI'!$C$23*(E4804/'THAM_SO_MOI'!$C$22)+'THAM_SO_MOI'!$C$24*(E4804/'THAM_SO_MOI'!$C$22)^2-'THAM_SO_MOI'!$C$25*(E4804/'THAM_SO_MOI'!$C$22)^3)</f>
        <v>108.93023849577986</v>
      </c>
      <c r="K4804" s="75">
        <f>'THAM_SO_MOI'!$C$31*J4804/E4804</f>
        <v>426.5251357258488</v>
      </c>
      <c r="L4804" s="75">
        <f>K4804*'THAM_SO_MOI'!$C$53*'THAM_SO_MOI'!$C$17/'THAM_SO_MOI'!$C$26</f>
        <v>3740.627109295139</v>
      </c>
      <c r="M4804" s="75">
        <f>'THAM_SO_MOI'!$C$15*'THAM_SO_MOI'!$C$16*F4804^2</f>
        <v>1792.815793826858</v>
      </c>
      <c r="N4804" s="75">
        <f>'THAM_SO_MOI'!$C$12*I4804</f>
        <v>1591.897217639489</v>
      </c>
      <c r="O4804" s="75">
        <f>M4804+N4804</f>
        <v>3384.713011466347</v>
      </c>
      <c r="P4804" s="75">
        <f>(MIN(L4804,'THAM_SO_MOI'!$C$41)-O4804)/('THAM_SO_MOI'!$C$11*H4804)</f>
        <v>0.04212998317102174</v>
      </c>
      <c r="Q4804" s="75">
        <f>IF(P4804&gt;0,1/P4804,NA())</f>
        <v>23.736064549103116</v>
      </c>
      <c r="R4804" s="75">
        <f>F4804-F4803</f>
        <v>0.0035868055555532408</v>
      </c>
      <c r="S4804" s="75">
        <f>0.5*(Q4803+Q4804)*R4804</f>
        <v>0.08504890401777859</v>
      </c>
      <c r="T4804" s="75">
        <f>0.5*(F4803*Q4803+F4804*Q4804)*R4804</f>
        <v>2.1054367170705564</v>
      </c>
      <c r="U4804" s="76">
        <f>U4803+S4804</f>
        <v>99.86948698599609</v>
      </c>
      <c r="V4804" s="76">
        <f>V4803+T4804</f>
        <v>1832.0063494234855</v>
      </c>
    </row>
    <row r="4805" spans="1:22" ht="19" customHeight="1">
      <c r="A4805" s="68" t="s">
        <v>378</v>
      </c>
      <c r="B4805" s="74">
        <v>5</v>
      </c>
      <c r="C4805" s="68" t="s">
        <v>363</v>
      </c>
      <c r="D4805" s="68" t="s">
        <v>365</v>
      </c>
      <c r="E4805" s="75">
        <f>60*F4805*'THAM_SO_MOI'!$C$53/(2*PI()*'THAM_SO_MOI'!$C$26)</f>
        <v>2439.608052631578</v>
      </c>
      <c r="F4805" s="75">
        <f>'THAM_SO_MOI'!$C$14+('THAM_SO_MOI'!$C$37-'THAM_SO_MOI'!$C$14)*714/'THAM_SO_MOI'!$C$42</f>
        <v>24.760979166666665</v>
      </c>
      <c r="G4805" s="75">
        <f>3.6*F4805</f>
        <v>89.13952499999999</v>
      </c>
      <c r="H4805" s="75">
        <f>'THAM_SO_MOI'!$D$53</f>
        <v>1.1</v>
      </c>
      <c r="I4805" s="75">
        <f>IF(F4805&gt;='THAM_SO_MOI'!$C$14,'THAM_SO_MOI'!$C$13*(1+F4805^2/1500),'THAM_SO_MOI'!$C$13)</f>
        <v>0.021131060892921005</v>
      </c>
      <c r="J4805" s="75">
        <f>'THAM_SO_MOI'!$C$40*('THAM_SO_MOI'!$C$23*(E4805/'THAM_SO_MOI'!$C$22)+'THAM_SO_MOI'!$C$24*(E4805/'THAM_SO_MOI'!$C$22)^2-'THAM_SO_MOI'!$C$25*(E4805/'THAM_SO_MOI'!$C$22)^3)</f>
        <v>108.94363145326753</v>
      </c>
      <c r="K4805" s="75">
        <f>'THAM_SO_MOI'!$C$31*J4805/E4805</f>
        <v>426.51578410743724</v>
      </c>
      <c r="L4805" s="75">
        <f>K4805*'THAM_SO_MOI'!$C$53*'THAM_SO_MOI'!$C$17/'THAM_SO_MOI'!$C$26</f>
        <v>3740.545095565077</v>
      </c>
      <c r="M4805" s="75">
        <f>'THAM_SO_MOI'!$C$15*'THAM_SO_MOI'!$C$16*F4805^2</f>
        <v>1793.3353111793942</v>
      </c>
      <c r="N4805" s="75">
        <f>'THAM_SO_MOI'!$C$12*I4805</f>
        <v>1592.031032521383</v>
      </c>
      <c r="O4805" s="75">
        <f>M4805+N4805</f>
        <v>3385.366343700777</v>
      </c>
      <c r="P4805" s="75">
        <f>(MIN(L4805,'THAM_SO_MOI'!$C$41)-O4805)/('THAM_SO_MOI'!$C$11*H4805)</f>
        <v>0.04204293937787642</v>
      </c>
      <c r="Q4805" s="75">
        <f>IF(P4805&gt;0,1/P4805,NA())</f>
        <v>23.78520661964501</v>
      </c>
      <c r="R4805" s="75">
        <f>F4805-F4804</f>
        <v>0.0035868055555567935</v>
      </c>
      <c r="S4805" s="75">
        <f>0.5*(Q4804+Q4805)*R4805</f>
        <v>0.08522477971759333</v>
      </c>
      <c r="T4805" s="75">
        <f>0.5*(F4804*Q4804+F4805*Q4805)*R4805</f>
        <v>2.1100963107697264</v>
      </c>
      <c r="U4805" s="76">
        <f>U4804+S4805</f>
        <v>99.95471176571368</v>
      </c>
      <c r="V4805" s="76">
        <f>V4804+T4805</f>
        <v>1834.1164457342552</v>
      </c>
    </row>
    <row r="4806" spans="1:22" ht="19" customHeight="1">
      <c r="A4806" s="68" t="s">
        <v>378</v>
      </c>
      <c r="B4806" s="74">
        <v>5</v>
      </c>
      <c r="C4806" s="68" t="s">
        <v>363</v>
      </c>
      <c r="D4806" s="68" t="s">
        <v>365</v>
      </c>
      <c r="E4806" s="75">
        <f>60*F4806*'THAM_SO_MOI'!$C$53/(2*PI()*'THAM_SO_MOI'!$C$26)</f>
        <v>2439.9614473684205</v>
      </c>
      <c r="F4806" s="75">
        <f>'THAM_SO_MOI'!$C$14+('THAM_SO_MOI'!$C$37-'THAM_SO_MOI'!$C$14)*715/'THAM_SO_MOI'!$C$42</f>
        <v>24.764565972222222</v>
      </c>
      <c r="G4806" s="75">
        <f>3.6*F4806</f>
        <v>89.1524375</v>
      </c>
      <c r="H4806" s="75">
        <f>'THAM_SO_MOI'!$D$53</f>
        <v>1.1</v>
      </c>
      <c r="I4806" s="75">
        <f>IF(F4806&gt;='THAM_SO_MOI'!$C$14,'THAM_SO_MOI'!$C$13*(1+F4806^2/1500),'THAM_SO_MOI'!$C$13)</f>
        <v>0.02113283727792547</v>
      </c>
      <c r="J4806" s="75">
        <f>'THAM_SO_MOI'!$C$40*('THAM_SO_MOI'!$C$23*(E4806/'THAM_SO_MOI'!$C$22)+'THAM_SO_MOI'!$C$24*(E4806/'THAM_SO_MOI'!$C$22)^2-'THAM_SO_MOI'!$C$25*(E4806/'THAM_SO_MOI'!$C$22)^3)</f>
        <v>108.95702062353</v>
      </c>
      <c r="K4806" s="75">
        <f>'THAM_SO_MOI'!$C$31*J4806/E4806</f>
        <v>426.50642037304124</v>
      </c>
      <c r="L4806" s="75">
        <f>K4806*'THAM_SO_MOI'!$C$53*'THAM_SO_MOI'!$C$17/'THAM_SO_MOI'!$C$26</f>
        <v>3740.462975577784</v>
      </c>
      <c r="M4806" s="75">
        <f>'THAM_SO_MOI'!$C$15*'THAM_SO_MOI'!$C$16*F4806^2</f>
        <v>1793.8549037931996</v>
      </c>
      <c r="N4806" s="75">
        <f>'THAM_SO_MOI'!$C$12*I4806</f>
        <v>1592.1648667887273</v>
      </c>
      <c r="O4806" s="75">
        <f>M4806+N4806</f>
        <v>3386.019770581927</v>
      </c>
      <c r="P4806" s="75">
        <f>(MIN(L4806,'THAM_SO_MOI'!$C$41)-O4806)/('THAM_SO_MOI'!$C$11*H4806)</f>
        <v>0.041955871803486894</v>
      </c>
      <c r="Q4806" s="75">
        <f>IF(P4806&gt;0,1/P4806,NA())</f>
        <v>23.834566105164125</v>
      </c>
      <c r="R4806" s="75">
        <f>F4806-F4805</f>
        <v>0.0035868055555567935</v>
      </c>
      <c r="S4806" s="75">
        <f>0.5*(Q4805+Q4806)*R4806</f>
        <v>0.08540143268184865</v>
      </c>
      <c r="T4806" s="75">
        <f>0.5*(F4805*Q4805+F4806*Q4806)*R4806</f>
        <v>2.114776413359931</v>
      </c>
      <c r="U4806" s="76">
        <f>U4805+S4806</f>
        <v>100.04011319839553</v>
      </c>
      <c r="V4806" s="76">
        <f>V4805+T4806</f>
        <v>1836.2312221476152</v>
      </c>
    </row>
    <row r="4807" spans="1:22" ht="19" customHeight="1">
      <c r="A4807" s="68" t="s">
        <v>378</v>
      </c>
      <c r="B4807" s="74">
        <v>5</v>
      </c>
      <c r="C4807" s="68" t="s">
        <v>363</v>
      </c>
      <c r="D4807" s="68" t="s">
        <v>365</v>
      </c>
      <c r="E4807" s="75">
        <f>60*F4807*'THAM_SO_MOI'!$C$53/(2*PI()*'THAM_SO_MOI'!$C$26)</f>
        <v>2440.3148421052624</v>
      </c>
      <c r="F4807" s="75">
        <f>'THAM_SO_MOI'!$C$14+('THAM_SO_MOI'!$C$37-'THAM_SO_MOI'!$C$14)*716/'THAM_SO_MOI'!$C$42</f>
        <v>24.768152777777775</v>
      </c>
      <c r="G4807" s="75">
        <f>3.6*F4807</f>
        <v>89.16534999999999</v>
      </c>
      <c r="H4807" s="75">
        <f>'THAM_SO_MOI'!$D$53</f>
        <v>1.1</v>
      </c>
      <c r="I4807" s="75">
        <f>IF(F4807&gt;='THAM_SO_MOI'!$C$14,'THAM_SO_MOI'!$C$13*(1+F4807^2/1500),'THAM_SO_MOI'!$C$13)</f>
        <v>0.02113461392023341</v>
      </c>
      <c r="J4807" s="75">
        <f>'THAM_SO_MOI'!$C$40*('THAM_SO_MOI'!$C$23*(E4807/'THAM_SO_MOI'!$C$22)+'THAM_SO_MOI'!$C$24*(E4807/'THAM_SO_MOI'!$C$22)^2-'THAM_SO_MOI'!$C$25*(E4807/'THAM_SO_MOI'!$C$22)^3)</f>
        <v>108.97040600522239</v>
      </c>
      <c r="K4807" s="75">
        <f>'THAM_SO_MOI'!$C$31*J4807/E4807</f>
        <v>426.4970445226608</v>
      </c>
      <c r="L4807" s="75">
        <f>K4807*'THAM_SO_MOI'!$C$53*'THAM_SO_MOI'!$C$17/'THAM_SO_MOI'!$C$26</f>
        <v>3740.3807493332606</v>
      </c>
      <c r="M4807" s="75">
        <f>'THAM_SO_MOI'!$C$15*'THAM_SO_MOI'!$C$16*F4807^2</f>
        <v>1794.3745716682724</v>
      </c>
      <c r="N4807" s="75">
        <f>'THAM_SO_MOI'!$C$12*I4807</f>
        <v>1592.2987204415215</v>
      </c>
      <c r="O4807" s="75">
        <f>M4807+N4807</f>
        <v>3386.6732921097937</v>
      </c>
      <c r="P4807" s="75">
        <f>(MIN(L4807,'THAM_SO_MOI'!$C$41)-O4807)/('THAM_SO_MOI'!$C$11*H4807)</f>
        <v>0.04186878044785354</v>
      </c>
      <c r="Q4807" s="75">
        <f>IF(P4807&gt;0,1/P4807,NA())</f>
        <v>23.88414444613388</v>
      </c>
      <c r="R4807" s="75">
        <f>F4807-F4806</f>
        <v>0.0035868055555532408</v>
      </c>
      <c r="S4807" s="75">
        <f>0.5*(Q4806+Q4807)*R4807</f>
        <v>0.08557886805461636</v>
      </c>
      <c r="T4807" s="75">
        <f>0.5*(F4806*Q4806+F4807*Q4807)*R4807</f>
        <v>2.119477160604833</v>
      </c>
      <c r="U4807" s="76">
        <f>U4806+S4807</f>
        <v>100.12569206645014</v>
      </c>
      <c r="V4807" s="76">
        <f>V4806+T4807</f>
        <v>1838.35069930822</v>
      </c>
    </row>
    <row r="4808" spans="1:22" ht="19" customHeight="1">
      <c r="A4808" s="68" t="s">
        <v>378</v>
      </c>
      <c r="B4808" s="74">
        <v>5</v>
      </c>
      <c r="C4808" s="68" t="s">
        <v>363</v>
      </c>
      <c r="D4808" s="68" t="s">
        <v>365</v>
      </c>
      <c r="E4808" s="75">
        <f>60*F4808*'THAM_SO_MOI'!$C$53/(2*PI()*'THAM_SO_MOI'!$C$26)</f>
        <v>2440.6682368421048</v>
      </c>
      <c r="F4808" s="75">
        <f>'THAM_SO_MOI'!$C$14+('THAM_SO_MOI'!$C$37-'THAM_SO_MOI'!$C$14)*717/'THAM_SO_MOI'!$C$42</f>
        <v>24.771739583333332</v>
      </c>
      <c r="G4808" s="75">
        <f>3.6*F4808</f>
        <v>89.1782625</v>
      </c>
      <c r="H4808" s="75">
        <f>'THAM_SO_MOI'!$D$53</f>
        <v>1.1</v>
      </c>
      <c r="I4808" s="75">
        <f>IF(F4808&gt;='THAM_SO_MOI'!$C$14,'THAM_SO_MOI'!$C$13*(1+F4808^2/1500),'THAM_SO_MOI'!$C$13)</f>
        <v>0.021136390819844832</v>
      </c>
      <c r="J4808" s="75">
        <f>'THAM_SO_MOI'!$C$40*('THAM_SO_MOI'!$C$23*(E4808/'THAM_SO_MOI'!$C$22)+'THAM_SO_MOI'!$C$24*(E4808/'THAM_SO_MOI'!$C$22)^2-'THAM_SO_MOI'!$C$25*(E4808/'THAM_SO_MOI'!$C$22)^3)</f>
        <v>108.98378759699979</v>
      </c>
      <c r="K4808" s="75">
        <f>'THAM_SO_MOI'!$C$31*J4808/E4808</f>
        <v>426.4876565562959</v>
      </c>
      <c r="L4808" s="75">
        <f>K4808*'THAM_SO_MOI'!$C$53*'THAM_SO_MOI'!$C$17/'THAM_SO_MOI'!$C$26</f>
        <v>3740.2984168315056</v>
      </c>
      <c r="M4808" s="75">
        <f>'THAM_SO_MOI'!$C$15*'THAM_SO_MOI'!$C$16*F4808^2</f>
        <v>1794.8943148046142</v>
      </c>
      <c r="N4808" s="75">
        <f>'THAM_SO_MOI'!$C$12*I4808</f>
        <v>1592.4325934797655</v>
      </c>
      <c r="O4808" s="75">
        <f>M4808+N4808</f>
        <v>3387.32690828438</v>
      </c>
      <c r="P4808" s="75">
        <f>(MIN(L4808,'THAM_SO_MOI'!$C$41)-O4808)/('THAM_SO_MOI'!$C$11*H4808)</f>
        <v>0.04178166531097608</v>
      </c>
      <c r="Q4808" s="75">
        <f>IF(P4808&gt;0,1/P4808,NA())</f>
        <v>23.933943095784148</v>
      </c>
      <c r="R4808" s="75">
        <f>F4808-F4807</f>
        <v>0.0035868055555567935</v>
      </c>
      <c r="S4808" s="75">
        <f>0.5*(Q4807+Q4808)*R4808</f>
        <v>0.08575709102572635</v>
      </c>
      <c r="T4808" s="75">
        <f>0.5*(F4807*Q4807+F4808*Q4808)*R4808</f>
        <v>2.1241986894753193</v>
      </c>
      <c r="U4808" s="76">
        <f>U4807+S4808</f>
        <v>100.21144915747587</v>
      </c>
      <c r="V4808" s="76">
        <f>V4807+T4808</f>
        <v>1840.4748979976955</v>
      </c>
    </row>
    <row r="4809" spans="1:22" ht="19" customHeight="1">
      <c r="A4809" s="68" t="s">
        <v>378</v>
      </c>
      <c r="B4809" s="74">
        <v>5</v>
      </c>
      <c r="C4809" s="68" t="s">
        <v>363</v>
      </c>
      <c r="D4809" s="68" t="s">
        <v>365</v>
      </c>
      <c r="E4809" s="75">
        <f>60*F4809*'THAM_SO_MOI'!$C$53/(2*PI()*'THAM_SO_MOI'!$C$26)</f>
        <v>2441.0216315789467</v>
      </c>
      <c r="F4809" s="75">
        <f>'THAM_SO_MOI'!$C$14+('THAM_SO_MOI'!$C$37-'THAM_SO_MOI'!$C$14)*718/'THAM_SO_MOI'!$C$42</f>
        <v>24.77532638888889</v>
      </c>
      <c r="G4809" s="75">
        <f>3.6*F4809</f>
        <v>89.191175</v>
      </c>
      <c r="H4809" s="75">
        <f>'THAM_SO_MOI'!$D$53</f>
        <v>1.1</v>
      </c>
      <c r="I4809" s="75">
        <f>IF(F4809&gt;='THAM_SO_MOI'!$C$14,'THAM_SO_MOI'!$C$13*(1+F4809^2/1500),'THAM_SO_MOI'!$C$13)</f>
        <v>0.021138167976759742</v>
      </c>
      <c r="J4809" s="75">
        <f>'THAM_SO_MOI'!$C$40*('THAM_SO_MOI'!$C$23*(E4809/'THAM_SO_MOI'!$C$22)+'THAM_SO_MOI'!$C$24*(E4809/'THAM_SO_MOI'!$C$22)^2-'THAM_SO_MOI'!$C$25*(E4809/'THAM_SO_MOI'!$C$22)^3)</f>
        <v>108.9971653975173</v>
      </c>
      <c r="K4809" s="75">
        <f>'THAM_SO_MOI'!$C$31*J4809/E4809</f>
        <v>426.47825647394643</v>
      </c>
      <c r="L4809" s="75">
        <f>K4809*'THAM_SO_MOI'!$C$53*'THAM_SO_MOI'!$C$17/'THAM_SO_MOI'!$C$26</f>
        <v>3740.2159780725183</v>
      </c>
      <c r="M4809" s="75">
        <f>'THAM_SO_MOI'!$C$15*'THAM_SO_MOI'!$C$16*F4809^2</f>
        <v>1795.4141332022243</v>
      </c>
      <c r="N4809" s="75">
        <f>'THAM_SO_MOI'!$C$12*I4809</f>
        <v>1592.5664859034605</v>
      </c>
      <c r="O4809" s="75">
        <f>M4809+N4809</f>
        <v>3387.980619105685</v>
      </c>
      <c r="P4809" s="75">
        <f>(MIN(L4809,'THAM_SO_MOI'!$C$41)-O4809)/('THAM_SO_MOI'!$C$11*H4809)</f>
        <v>0.04169452639285434</v>
      </c>
      <c r="Q4809" s="75">
        <f>IF(P4809&gt;0,1/P4809,NA())</f>
        <v>23.98396352024234</v>
      </c>
      <c r="R4809" s="75">
        <f>F4809-F4808</f>
        <v>0.0035868055555567935</v>
      </c>
      <c r="S4809" s="75">
        <f>0.5*(Q4808+Q4809)*R4809</f>
        <v>0.08593610683050772</v>
      </c>
      <c r="T4809" s="75">
        <f>0.5*(F4808*Q4808+F4809*Q4809)*R4809</f>
        <v>2.1289411381439187</v>
      </c>
      <c r="U4809" s="76">
        <f>U4808+S4809</f>
        <v>100.29738526430637</v>
      </c>
      <c r="V4809" s="76">
        <f>V4808+T4809</f>
        <v>1842.6038391358395</v>
      </c>
    </row>
    <row r="4810" spans="1:22" ht="19" customHeight="1">
      <c r="A4810" s="68" t="s">
        <v>378</v>
      </c>
      <c r="B4810" s="74">
        <v>5</v>
      </c>
      <c r="C4810" s="68" t="s">
        <v>363</v>
      </c>
      <c r="D4810" s="68" t="s">
        <v>365</v>
      </c>
      <c r="E4810" s="75">
        <f>60*F4810*'THAM_SO_MOI'!$C$53/(2*PI()*'THAM_SO_MOI'!$C$26)</f>
        <v>2441.3750263157885</v>
      </c>
      <c r="F4810" s="75">
        <f>'THAM_SO_MOI'!$C$14+('THAM_SO_MOI'!$C$37-'THAM_SO_MOI'!$C$14)*719/'THAM_SO_MOI'!$C$42</f>
        <v>24.778913194444442</v>
      </c>
      <c r="G4810" s="75">
        <f>3.6*F4810</f>
        <v>89.2040875</v>
      </c>
      <c r="H4810" s="75">
        <f>'THAM_SO_MOI'!$D$53</f>
        <v>1.1</v>
      </c>
      <c r="I4810" s="75">
        <f>IF(F4810&gt;='THAM_SO_MOI'!$C$14,'THAM_SO_MOI'!$C$13*(1+F4810^2/1500),'THAM_SO_MOI'!$C$13)</f>
        <v>0.02113994539097813</v>
      </c>
      <c r="J4810" s="75">
        <f>'THAM_SO_MOI'!$C$40*('THAM_SO_MOI'!$C$23*(E4810/'THAM_SO_MOI'!$C$22)+'THAM_SO_MOI'!$C$24*(E4810/'THAM_SO_MOI'!$C$22)^2-'THAM_SO_MOI'!$C$25*(E4810/'THAM_SO_MOI'!$C$22)^3)</f>
        <v>109.01053940543011</v>
      </c>
      <c r="K4810" s="75">
        <f>'THAM_SO_MOI'!$C$31*J4810/E4810</f>
        <v>426.46884427561275</v>
      </c>
      <c r="L4810" s="75">
        <f>K4810*'THAM_SO_MOI'!$C$53*'THAM_SO_MOI'!$C$17/'THAM_SO_MOI'!$C$26</f>
        <v>3740.1334330563022</v>
      </c>
      <c r="M4810" s="75">
        <f>'THAM_SO_MOI'!$C$15*'THAM_SO_MOI'!$C$16*F4810^2</f>
        <v>1795.9340268611027</v>
      </c>
      <c r="N4810" s="75">
        <f>'THAM_SO_MOI'!$C$12*I4810</f>
        <v>1592.700397712605</v>
      </c>
      <c r="O4810" s="75">
        <f>M4810+N4810</f>
        <v>3388.6344245737077</v>
      </c>
      <c r="P4810" s="75">
        <f>(MIN(L4810,'THAM_SO_MOI'!$C$41)-O4810)/('THAM_SO_MOI'!$C$11*H4810)</f>
        <v>0.041607363693488934</v>
      </c>
      <c r="Q4810" s="75">
        <f>IF(P4810&gt;0,1/P4810,NA())</f>
        <v>24.034207198676427</v>
      </c>
      <c r="R4810" s="75">
        <f>F4810-F4809</f>
        <v>0.0035868055555532408</v>
      </c>
      <c r="S4810" s="75">
        <f>0.5*(Q4809+Q4810)*R4810</f>
        <v>0.08611592075106089</v>
      </c>
      <c r="T4810" s="75">
        <f>0.5*(F4809*Q4809+F4810*Q4810)*R4810</f>
        <v>2.1337046460171267</v>
      </c>
      <c r="U4810" s="76">
        <f>U4809+S4810</f>
        <v>100.38350118505743</v>
      </c>
      <c r="V4810" s="76">
        <f>V4809+T4810</f>
        <v>1844.7375437818566</v>
      </c>
    </row>
    <row r="4811" spans="1:22" ht="19" customHeight="1">
      <c r="A4811" s="68" t="s">
        <v>378</v>
      </c>
      <c r="B4811" s="74">
        <v>5</v>
      </c>
      <c r="C4811" s="68" t="s">
        <v>363</v>
      </c>
      <c r="D4811" s="68" t="s">
        <v>365</v>
      </c>
      <c r="E4811" s="75">
        <f>60*F4811*'THAM_SO_MOI'!$C$53/(2*PI()*'THAM_SO_MOI'!$C$26)</f>
        <v>2441.7284210526304</v>
      </c>
      <c r="F4811" s="75">
        <f>'THAM_SO_MOI'!$C$14+('THAM_SO_MOI'!$C$37-'THAM_SO_MOI'!$C$14)*720/'THAM_SO_MOI'!$C$42</f>
        <v>24.7825</v>
      </c>
      <c r="G4811" s="75">
        <f>3.6*F4811</f>
        <v>89.217</v>
      </c>
      <c r="H4811" s="75">
        <f>'THAM_SO_MOI'!$D$53</f>
        <v>1.1</v>
      </c>
      <c r="I4811" s="75">
        <f>IF(F4811&gt;='THAM_SO_MOI'!$C$14,'THAM_SO_MOI'!$C$13*(1+F4811^2/1500),'THAM_SO_MOI'!$C$13)</f>
        <v>0.021141723062499996</v>
      </c>
      <c r="J4811" s="75">
        <f>'THAM_SO_MOI'!$C$40*('THAM_SO_MOI'!$C$23*(E4811/'THAM_SO_MOI'!$C$22)+'THAM_SO_MOI'!$C$24*(E4811/'THAM_SO_MOI'!$C$22)^2-'THAM_SO_MOI'!$C$25*(E4811/'THAM_SO_MOI'!$C$22)^3)</f>
        <v>109.02390961939321</v>
      </c>
      <c r="K4811" s="75">
        <f>'THAM_SO_MOI'!$C$31*J4811/E4811</f>
        <v>426.4594199612944</v>
      </c>
      <c r="L4811" s="75">
        <f>K4811*'THAM_SO_MOI'!$C$53*'THAM_SO_MOI'!$C$17/'THAM_SO_MOI'!$C$26</f>
        <v>3740.050781782853</v>
      </c>
      <c r="M4811" s="75">
        <f>'THAM_SO_MOI'!$C$15*'THAM_SO_MOI'!$C$16*F4811^2</f>
        <v>1796.4539957812501</v>
      </c>
      <c r="N4811" s="75">
        <f>'THAM_SO_MOI'!$C$12*I4811</f>
        <v>1592.8343289071997</v>
      </c>
      <c r="O4811" s="75">
        <f>M4811+N4811</f>
        <v>3389.28832468845</v>
      </c>
      <c r="P4811" s="75">
        <f>(MIN(L4811,'THAM_SO_MOI'!$C$41)-O4811)/('THAM_SO_MOI'!$C$11*H4811)</f>
        <v>0.04152017721287915</v>
      </c>
      <c r="Q4811" s="75">
        <f>IF(P4811&gt;0,1/P4811,NA())</f>
        <v>24.08467562344146</v>
      </c>
      <c r="R4811" s="75">
        <f>F4811-F4810</f>
        <v>0.0035868055555567935</v>
      </c>
      <c r="S4811" s="75">
        <f>0.5*(Q4810+Q4811)*R4811</f>
        <v>0.08629653811677938</v>
      </c>
      <c r="T4811" s="75">
        <f>0.5*(F4810*Q4810+F4811*Q4811)*R4811</f>
        <v>2.1384893537491823</v>
      </c>
      <c r="U4811" s="76">
        <f>U4810+S4811</f>
        <v>100.46979772317421</v>
      </c>
      <c r="V4811" s="76">
        <f>V4810+T4811</f>
        <v>1846.876033135606</v>
      </c>
    </row>
    <row r="4812" spans="1:22" ht="19" customHeight="1">
      <c r="A4812" s="68" t="s">
        <v>378</v>
      </c>
      <c r="B4812" s="74">
        <v>5</v>
      </c>
      <c r="C4812" s="68" t="s">
        <v>363</v>
      </c>
      <c r="D4812" s="68" t="s">
        <v>365</v>
      </c>
      <c r="E4812" s="75">
        <f>60*F4812*'THAM_SO_MOI'!$C$53/(2*PI()*'THAM_SO_MOI'!$C$26)</f>
        <v>2442.0818157894732</v>
      </c>
      <c r="F4812" s="75">
        <f>'THAM_SO_MOI'!$C$14+('THAM_SO_MOI'!$C$37-'THAM_SO_MOI'!$C$14)*721/'THAM_SO_MOI'!$C$42</f>
        <v>24.786086805555556</v>
      </c>
      <c r="G4812" s="75">
        <f>3.6*F4812</f>
        <v>89.2299125</v>
      </c>
      <c r="H4812" s="75">
        <f>'THAM_SO_MOI'!$D$53</f>
        <v>1.1</v>
      </c>
      <c r="I4812" s="75">
        <f>IF(F4812&gt;='THAM_SO_MOI'!$C$14,'THAM_SO_MOI'!$C$13*(1+F4812^2/1500),'THAM_SO_MOI'!$C$13)</f>
        <v>0.02114350099132535</v>
      </c>
      <c r="J4812" s="75">
        <f>'THAM_SO_MOI'!$C$40*('THAM_SO_MOI'!$C$23*(E4812/'THAM_SO_MOI'!$C$22)+'THAM_SO_MOI'!$C$24*(E4812/'THAM_SO_MOI'!$C$22)^2-'THAM_SO_MOI'!$C$25*(E4812/'THAM_SO_MOI'!$C$22)^3)</f>
        <v>109.03727603806185</v>
      </c>
      <c r="K4812" s="75">
        <f>'THAM_SO_MOI'!$C$31*J4812/E4812</f>
        <v>426.4499835309917</v>
      </c>
      <c r="L4812" s="75">
        <f>K4812*'THAM_SO_MOI'!$C$53*'THAM_SO_MOI'!$C$17/'THAM_SO_MOI'!$C$26</f>
        <v>3739.968024252174</v>
      </c>
      <c r="M4812" s="75">
        <f>'THAM_SO_MOI'!$C$15*'THAM_SO_MOI'!$C$16*F4812^2</f>
        <v>1796.9740399626655</v>
      </c>
      <c r="N4812" s="75">
        <f>'THAM_SO_MOI'!$C$12*I4812</f>
        <v>1592.9682794872451</v>
      </c>
      <c r="O4812" s="75">
        <f>M4812+N4812</f>
        <v>3389.9423194499104</v>
      </c>
      <c r="P4812" s="75">
        <f>(MIN(L4812,'THAM_SO_MOI'!$C$41)-O4812)/('THAM_SO_MOI'!$C$11*H4812)</f>
        <v>0.041432966951025496</v>
      </c>
      <c r="Q4812" s="75">
        <f>IF(P4812&gt;0,1/P4812,NA())</f>
        <v>24.135370300225368</v>
      </c>
      <c r="R4812" s="75">
        <f>F4812-F4811</f>
        <v>0.0035868055555567935</v>
      </c>
      <c r="S4812" s="75">
        <f>0.5*(Q4811+Q4812)*R4812</f>
        <v>0.08647796430410595</v>
      </c>
      <c r="T4812" s="75">
        <f>0.5*(F4811*Q4811+F4812*Q4812)*R4812</f>
        <v>2.143295403236866</v>
      </c>
      <c r="U4812" s="76">
        <f>U4811+S4812</f>
        <v>100.55627568747832</v>
      </c>
      <c r="V4812" s="76">
        <f>V4811+T4812</f>
        <v>1849.0193285388427</v>
      </c>
    </row>
    <row r="4813" spans="1:22" ht="19" customHeight="1">
      <c r="A4813" s="68" t="s">
        <v>378</v>
      </c>
      <c r="B4813" s="74">
        <v>5</v>
      </c>
      <c r="C4813" s="68" t="s">
        <v>363</v>
      </c>
      <c r="D4813" s="68" t="s">
        <v>365</v>
      </c>
      <c r="E4813" s="75">
        <f>60*F4813*'THAM_SO_MOI'!$C$53/(2*PI()*'THAM_SO_MOI'!$C$26)</f>
        <v>2442.4352105263156</v>
      </c>
      <c r="F4813" s="75">
        <f>'THAM_SO_MOI'!$C$14+('THAM_SO_MOI'!$C$37-'THAM_SO_MOI'!$C$14)*722/'THAM_SO_MOI'!$C$42</f>
        <v>24.78967361111111</v>
      </c>
      <c r="G4813" s="75">
        <f>3.6*F4813</f>
        <v>89.242825</v>
      </c>
      <c r="H4813" s="75">
        <f>'THAM_SO_MOI'!$D$53</f>
        <v>1.1</v>
      </c>
      <c r="I4813" s="75">
        <f>IF(F4813&gt;='THAM_SO_MOI'!$C$14,'THAM_SO_MOI'!$C$13*(1+F4813^2/1500),'THAM_SO_MOI'!$C$13)</f>
        <v>0.021145279177454183</v>
      </c>
      <c r="J4813" s="75">
        <f>'THAM_SO_MOI'!$C$40*('THAM_SO_MOI'!$C$23*(E4813/'THAM_SO_MOI'!$C$22)+'THAM_SO_MOI'!$C$24*(E4813/'THAM_SO_MOI'!$C$22)^2-'THAM_SO_MOI'!$C$25*(E4813/'THAM_SO_MOI'!$C$22)^3)</f>
        <v>109.05063866009102</v>
      </c>
      <c r="K4813" s="75">
        <f>'THAM_SO_MOI'!$C$31*J4813/E4813</f>
        <v>426.44053498470447</v>
      </c>
      <c r="L4813" s="75">
        <f>K4813*'THAM_SO_MOI'!$C$53*'THAM_SO_MOI'!$C$17/'THAM_SO_MOI'!$C$26</f>
        <v>3739.885160464263</v>
      </c>
      <c r="M4813" s="75">
        <f>'THAM_SO_MOI'!$C$15*'THAM_SO_MOI'!$C$16*F4813^2</f>
        <v>1797.4941594053494</v>
      </c>
      <c r="N4813" s="75">
        <f>'THAM_SO_MOI'!$C$12*I4813</f>
        <v>1593.1022494527401</v>
      </c>
      <c r="O4813" s="75">
        <f>M4813+N4813</f>
        <v>3390.5964088580895</v>
      </c>
      <c r="P4813" s="75">
        <f>(MIN(L4813,'THAM_SO_MOI'!$C$41)-O4813)/('THAM_SO_MOI'!$C$11*H4813)</f>
        <v>0.04134573290792776</v>
      </c>
      <c r="Q4813" s="75">
        <f>IF(P4813&gt;0,1/P4813,NA())</f>
        <v>24.186292748199342</v>
      </c>
      <c r="R4813" s="75">
        <f>F4813-F4812</f>
        <v>0.0035868055555532408</v>
      </c>
      <c r="S4813" s="75">
        <f>0.5*(Q4812+Q4813)*R4813</f>
        <v>0.08666020473783075</v>
      </c>
      <c r="T4813" s="75">
        <f>0.5*(F4812*Q4812+F4813*Q4813)*R4813</f>
        <v>2.1481229376525293</v>
      </c>
      <c r="U4813" s="76">
        <f>U4812+S4813</f>
        <v>100.64293589221614</v>
      </c>
      <c r="V4813" s="76">
        <f>V4812+T4813</f>
        <v>1851.1674514764952</v>
      </c>
    </row>
    <row r="4814" spans="1:22" ht="19" customHeight="1">
      <c r="A4814" s="68" t="s">
        <v>378</v>
      </c>
      <c r="B4814" s="74">
        <v>5</v>
      </c>
      <c r="C4814" s="68" t="s">
        <v>363</v>
      </c>
      <c r="D4814" s="68" t="s">
        <v>365</v>
      </c>
      <c r="E4814" s="75">
        <f>60*F4814*'THAM_SO_MOI'!$C$53/(2*PI()*'THAM_SO_MOI'!$C$26)</f>
        <v>2442.7886052631575</v>
      </c>
      <c r="F4814" s="75">
        <f>'THAM_SO_MOI'!$C$14+('THAM_SO_MOI'!$C$37-'THAM_SO_MOI'!$C$14)*723/'THAM_SO_MOI'!$C$42</f>
        <v>24.793260416666666</v>
      </c>
      <c r="G4814" s="75">
        <f>3.6*F4814</f>
        <v>89.2557375</v>
      </c>
      <c r="H4814" s="75">
        <f>'THAM_SO_MOI'!$D$53</f>
        <v>1.1</v>
      </c>
      <c r="I4814" s="75">
        <f>IF(F4814&gt;='THAM_SO_MOI'!$C$14,'THAM_SO_MOI'!$C$13*(1+F4814^2/1500),'THAM_SO_MOI'!$C$13)</f>
        <v>0.0211470576208865</v>
      </c>
      <c r="J4814" s="75">
        <f>'THAM_SO_MOI'!$C$40*('THAM_SO_MOI'!$C$23*(E4814/'THAM_SO_MOI'!$C$22)+'THAM_SO_MOI'!$C$24*(E4814/'THAM_SO_MOI'!$C$22)^2-'THAM_SO_MOI'!$C$25*(E4814/'THAM_SO_MOI'!$C$22)^3)</f>
        <v>109.06399748413587</v>
      </c>
      <c r="K4814" s="75">
        <f>'THAM_SO_MOI'!$C$31*J4814/E4814</f>
        <v>426.4310743224328</v>
      </c>
      <c r="L4814" s="75">
        <f>K4814*'THAM_SO_MOI'!$C$53*'THAM_SO_MOI'!$C$17/'THAM_SO_MOI'!$C$26</f>
        <v>3739.802190419121</v>
      </c>
      <c r="M4814" s="75">
        <f>'THAM_SO_MOI'!$C$15*'THAM_SO_MOI'!$C$16*F4814^2</f>
        <v>1798.0143541093016</v>
      </c>
      <c r="N4814" s="75">
        <f>'THAM_SO_MOI'!$C$12*I4814</f>
        <v>1593.2362388036856</v>
      </c>
      <c r="O4814" s="75">
        <f>M4814+N4814</f>
        <v>3391.2505929129875</v>
      </c>
      <c r="P4814" s="75">
        <f>(MIN(L4814,'THAM_SO_MOI'!$C$41)-O4814)/('THAM_SO_MOI'!$C$11*H4814)</f>
        <v>0.041258475083585905</v>
      </c>
      <c r="Q4814" s="75">
        <f>IF(P4814&gt;0,1/P4814,NA())</f>
        <v>24.237444500168543</v>
      </c>
      <c r="R4814" s="75">
        <f>F4814-F4813</f>
        <v>0.0035868055555567935</v>
      </c>
      <c r="S4814" s="75">
        <f>0.5*(Q4813+Q4814)*R4814</f>
        <v>0.08684326489163419</v>
      </c>
      <c r="T4814" s="75">
        <f>0.5*(F4813*Q4813+F4814*Q4814)*R4814</f>
        <v>2.1529721014584124</v>
      </c>
      <c r="U4814" s="76">
        <f>U4813+S4814</f>
        <v>100.72977915710779</v>
      </c>
      <c r="V4814" s="76">
        <f>V4813+T4814</f>
        <v>1853.3204235779535</v>
      </c>
    </row>
    <row r="4815" spans="1:22" ht="19" customHeight="1">
      <c r="A4815" s="68" t="s">
        <v>378</v>
      </c>
      <c r="B4815" s="74">
        <v>5</v>
      </c>
      <c r="C4815" s="68" t="s">
        <v>363</v>
      </c>
      <c r="D4815" s="68" t="s">
        <v>365</v>
      </c>
      <c r="E4815" s="75">
        <f>60*F4815*'THAM_SO_MOI'!$C$53/(2*PI()*'THAM_SO_MOI'!$C$26)</f>
        <v>2443.1419999999994</v>
      </c>
      <c r="F4815" s="75">
        <f>'THAM_SO_MOI'!$C$14+('THAM_SO_MOI'!$C$37-'THAM_SO_MOI'!$C$14)*724/'THAM_SO_MOI'!$C$42</f>
        <v>24.79684722222222</v>
      </c>
      <c r="G4815" s="75">
        <f>3.6*F4815</f>
        <v>89.26865</v>
      </c>
      <c r="H4815" s="75">
        <f>'THAM_SO_MOI'!$D$53</f>
        <v>1.1</v>
      </c>
      <c r="I4815" s="75">
        <f>IF(F4815&gt;='THAM_SO_MOI'!$C$14,'THAM_SO_MOI'!$C$13*(1+F4815^2/1500),'THAM_SO_MOI'!$C$13)</f>
        <v>0.021148836321622295</v>
      </c>
      <c r="J4815" s="75">
        <f>'THAM_SO_MOI'!$C$40*('THAM_SO_MOI'!$C$23*(E4815/'THAM_SO_MOI'!$C$22)+'THAM_SO_MOI'!$C$24*(E4815/'THAM_SO_MOI'!$C$22)^2-'THAM_SO_MOI'!$C$25*(E4815/'THAM_SO_MOI'!$C$22)^3)</f>
        <v>109.07735250885155</v>
      </c>
      <c r="K4815" s="75">
        <f>'THAM_SO_MOI'!$C$31*J4815/E4815</f>
        <v>426.42160154417684</v>
      </c>
      <c r="L4815" s="75">
        <f>K4815*'THAM_SO_MOI'!$C$53*'THAM_SO_MOI'!$C$17/'THAM_SO_MOI'!$C$26</f>
        <v>3739.71911411675</v>
      </c>
      <c r="M4815" s="75">
        <f>'THAM_SO_MOI'!$C$15*'THAM_SO_MOI'!$C$16*F4815^2</f>
        <v>1798.5346240745223</v>
      </c>
      <c r="N4815" s="75">
        <f>'THAM_SO_MOI'!$C$12*I4815</f>
        <v>1593.3702475400812</v>
      </c>
      <c r="O4815" s="75">
        <f>M4815+N4815</f>
        <v>3391.9048716146035</v>
      </c>
      <c r="P4815" s="75">
        <f>(MIN(L4815,'THAM_SO_MOI'!$C$41)-O4815)/('THAM_SO_MOI'!$C$11*H4815)</f>
        <v>0.041171193478000294</v>
      </c>
      <c r="Q4815" s="75">
        <f>IF(P4815&gt;0,1/P4815,NA())</f>
        <v>24.288827102725286</v>
      </c>
      <c r="R4815" s="75">
        <f>F4815-F4814</f>
        <v>0.0035868055555532408</v>
      </c>
      <c r="S4815" s="75">
        <f>0.5*(Q4814+Q4815)*R4815</f>
        <v>0.08702715028777253</v>
      </c>
      <c r="T4815" s="75">
        <f>0.5*(F4814*Q4814+F4815*Q4815)*R4815</f>
        <v>2.1578430403997313</v>
      </c>
      <c r="U4815" s="76">
        <f>U4814+S4815</f>
        <v>100.81680630739555</v>
      </c>
      <c r="V4815" s="76">
        <f>V4814+T4815</f>
        <v>1855.4782666183532</v>
      </c>
    </row>
    <row r="4816" spans="1:22" ht="19" customHeight="1">
      <c r="A4816" s="68" t="s">
        <v>378</v>
      </c>
      <c r="B4816" s="74">
        <v>5</v>
      </c>
      <c r="C4816" s="68" t="s">
        <v>363</v>
      </c>
      <c r="D4816" s="68" t="s">
        <v>365</v>
      </c>
      <c r="E4816" s="75">
        <f>60*F4816*'THAM_SO_MOI'!$C$53/(2*PI()*'THAM_SO_MOI'!$C$26)</f>
        <v>2443.4953947368413</v>
      </c>
      <c r="F4816" s="75">
        <f>'THAM_SO_MOI'!$C$14+('THAM_SO_MOI'!$C$37-'THAM_SO_MOI'!$C$14)*725/'THAM_SO_MOI'!$C$42</f>
        <v>24.800434027777776</v>
      </c>
      <c r="G4816" s="75">
        <f>3.6*F4816</f>
        <v>89.28156249999999</v>
      </c>
      <c r="H4816" s="75">
        <f>'THAM_SO_MOI'!$D$53</f>
        <v>1.1</v>
      </c>
      <c r="I4816" s="75">
        <f>IF(F4816&gt;='THAM_SO_MOI'!$C$14,'THAM_SO_MOI'!$C$13*(1+F4816^2/1500),'THAM_SO_MOI'!$C$13)</f>
        <v>0.021150615279661576</v>
      </c>
      <c r="J4816" s="75">
        <f>'THAM_SO_MOI'!$C$40*('THAM_SO_MOI'!$C$23*(E4816/'THAM_SO_MOI'!$C$22)+'THAM_SO_MOI'!$C$24*(E4816/'THAM_SO_MOI'!$C$22)^2-'THAM_SO_MOI'!$C$25*(E4816/'THAM_SO_MOI'!$C$22)^3)</f>
        <v>109.09070373289308</v>
      </c>
      <c r="K4816" s="75">
        <f>'THAM_SO_MOI'!$C$31*J4816/E4816</f>
        <v>426.41211664993614</v>
      </c>
      <c r="L4816" s="75">
        <f>K4816*'THAM_SO_MOI'!$C$53*'THAM_SO_MOI'!$C$17/'THAM_SO_MOI'!$C$26</f>
        <v>3739.6359315571444</v>
      </c>
      <c r="M4816" s="75">
        <f>'THAM_SO_MOI'!$C$15*'THAM_SO_MOI'!$C$16*F4816^2</f>
        <v>1799.0549693010116</v>
      </c>
      <c r="N4816" s="75">
        <f>'THAM_SO_MOI'!$C$12*I4816</f>
        <v>1593.5042756619268</v>
      </c>
      <c r="O4816" s="75">
        <f>M4816+N4816</f>
        <v>3392.5592449629385</v>
      </c>
      <c r="P4816" s="75">
        <f>(MIN(L4816,'THAM_SO_MOI'!$C$41)-O4816)/('THAM_SO_MOI'!$C$11*H4816)</f>
        <v>0.041083888091170216</v>
      </c>
      <c r="Q4816" s="75">
        <f>IF(P4816&gt;0,1/P4816,NA())</f>
        <v>24.34044211640526</v>
      </c>
      <c r="R4816" s="75">
        <f>F4816-F4815</f>
        <v>0.0035868055555567935</v>
      </c>
      <c r="S4816" s="75">
        <f>0.5*(Q4815+Q4816)*R4816</f>
        <v>0.08721186649892221</v>
      </c>
      <c r="T4816" s="75">
        <f>0.5*(F4815*Q4815+F4816*Q4816)*R4816</f>
        <v>2.1627359015512826</v>
      </c>
      <c r="U4816" s="76">
        <f>U4815+S4816</f>
        <v>100.90401817389447</v>
      </c>
      <c r="V4816" s="76">
        <f>V4815+T4816</f>
        <v>1857.6410025199045</v>
      </c>
    </row>
    <row r="4817" spans="1:22" ht="19" customHeight="1">
      <c r="A4817" s="68" t="s">
        <v>378</v>
      </c>
      <c r="B4817" s="74">
        <v>5</v>
      </c>
      <c r="C4817" s="68" t="s">
        <v>363</v>
      </c>
      <c r="D4817" s="68" t="s">
        <v>365</v>
      </c>
      <c r="E4817" s="75">
        <f>60*F4817*'THAM_SO_MOI'!$C$53/(2*PI()*'THAM_SO_MOI'!$C$26)</f>
        <v>2443.8487894736836</v>
      </c>
      <c r="F4817" s="75">
        <f>'THAM_SO_MOI'!$C$14+('THAM_SO_MOI'!$C$37-'THAM_SO_MOI'!$C$14)*726/'THAM_SO_MOI'!$C$42</f>
        <v>24.804020833333333</v>
      </c>
      <c r="G4817" s="75">
        <f>3.6*F4817</f>
        <v>89.294475</v>
      </c>
      <c r="H4817" s="75">
        <f>'THAM_SO_MOI'!$D$53</f>
        <v>1.1</v>
      </c>
      <c r="I4817" s="75">
        <f>IF(F4817&gt;='THAM_SO_MOI'!$C$14,'THAM_SO_MOI'!$C$13*(1+F4817^2/1500),'THAM_SO_MOI'!$C$13)</f>
        <v>0.021152394495004338</v>
      </c>
      <c r="J4817" s="75">
        <f>'THAM_SO_MOI'!$C$40*('THAM_SO_MOI'!$C$23*(E4817/'THAM_SO_MOI'!$C$22)+'THAM_SO_MOI'!$C$24*(E4817/'THAM_SO_MOI'!$C$22)^2-'THAM_SO_MOI'!$C$25*(E4817/'THAM_SO_MOI'!$C$22)^3)</f>
        <v>109.10405115491567</v>
      </c>
      <c r="K4817" s="75">
        <f>'THAM_SO_MOI'!$C$31*J4817/E4817</f>
        <v>426.40261963971125</v>
      </c>
      <c r="L4817" s="75">
        <f>K4817*'THAM_SO_MOI'!$C$53*'THAM_SO_MOI'!$C$17/'THAM_SO_MOI'!$C$26</f>
        <v>3739.5526427403106</v>
      </c>
      <c r="M4817" s="75">
        <f>'THAM_SO_MOI'!$C$15*'THAM_SO_MOI'!$C$16*F4817^2</f>
        <v>1799.5753897887696</v>
      </c>
      <c r="N4817" s="75">
        <f>'THAM_SO_MOI'!$C$12*I4817</f>
        <v>1593.6383231692228</v>
      </c>
      <c r="O4817" s="75">
        <f>M4817+N4817</f>
        <v>3393.2137129579924</v>
      </c>
      <c r="P4817" s="75">
        <f>(MIN(L4817,'THAM_SO_MOI'!$C$41)-O4817)/('THAM_SO_MOI'!$C$11*H4817)</f>
        <v>0.040996558923096386</v>
      </c>
      <c r="Q4817" s="75">
        <f>IF(P4817&gt;0,1/P4817,NA())</f>
        <v>24.392291115843534</v>
      </c>
      <c r="R4817" s="75">
        <f>F4817-F4816</f>
        <v>0.0035868055555567935</v>
      </c>
      <c r="S4817" s="75">
        <f>0.5*(Q4816+Q4817)*R4817</f>
        <v>0.08739741914744857</v>
      </c>
      <c r="T4817" s="75">
        <f>0.5*(F4816*Q4816+F4817*Q4817)*R4817</f>
        <v>2.1676508333002116</v>
      </c>
      <c r="U4817" s="76">
        <f>U4816+S4817</f>
        <v>100.99141559304192</v>
      </c>
      <c r="V4817" s="76">
        <f>V4816+T4817</f>
        <v>1859.8086533532048</v>
      </c>
    </row>
    <row r="4818" spans="1:22" ht="19" customHeight="1">
      <c r="A4818" s="68" t="s">
        <v>378</v>
      </c>
      <c r="B4818" s="74">
        <v>5</v>
      </c>
      <c r="C4818" s="68" t="s">
        <v>363</v>
      </c>
      <c r="D4818" s="68" t="s">
        <v>365</v>
      </c>
      <c r="E4818" s="75">
        <f>60*F4818*'THAM_SO_MOI'!$C$53/(2*PI()*'THAM_SO_MOI'!$C$26)</f>
        <v>2444.2021842105255</v>
      </c>
      <c r="F4818" s="75">
        <f>'THAM_SO_MOI'!$C$14+('THAM_SO_MOI'!$C$37-'THAM_SO_MOI'!$C$14)*727/'THAM_SO_MOI'!$C$42</f>
        <v>24.807607638888886</v>
      </c>
      <c r="G4818" s="75">
        <f>3.6*F4818</f>
        <v>89.30738749999999</v>
      </c>
      <c r="H4818" s="75">
        <f>'THAM_SO_MOI'!$D$53</f>
        <v>1.1</v>
      </c>
      <c r="I4818" s="75">
        <f>IF(F4818&gt;='THAM_SO_MOI'!$C$14,'THAM_SO_MOI'!$C$13*(1+F4818^2/1500),'THAM_SO_MOI'!$C$13)</f>
        <v>0.021154173967650583</v>
      </c>
      <c r="J4818" s="75">
        <f>'THAM_SO_MOI'!$C$40*('THAM_SO_MOI'!$C$23*(E4818/'THAM_SO_MOI'!$C$22)+'THAM_SO_MOI'!$C$24*(E4818/'THAM_SO_MOI'!$C$22)^2-'THAM_SO_MOI'!$C$25*(E4818/'THAM_SO_MOI'!$C$22)^3)</f>
        <v>109.11739477357435</v>
      </c>
      <c r="K4818" s="75">
        <f>'THAM_SO_MOI'!$C$31*J4818/E4818</f>
        <v>426.3931105135017</v>
      </c>
      <c r="L4818" s="75">
        <f>K4818*'THAM_SO_MOI'!$C$53*'THAM_SO_MOI'!$C$17/'THAM_SO_MOI'!$C$26</f>
        <v>3739.4692476662444</v>
      </c>
      <c r="M4818" s="75">
        <f>'THAM_SO_MOI'!$C$15*'THAM_SO_MOI'!$C$16*F4818^2</f>
        <v>1800.0958855377955</v>
      </c>
      <c r="N4818" s="75">
        <f>'THAM_SO_MOI'!$C$12*I4818</f>
        <v>1593.7723900619692</v>
      </c>
      <c r="O4818" s="75">
        <f>M4818+N4818</f>
        <v>3393.8682755997647</v>
      </c>
      <c r="P4818" s="75">
        <f>(MIN(L4818,'THAM_SO_MOI'!$C$41)-O4818)/('THAM_SO_MOI'!$C$11*H4818)</f>
        <v>0.040909205973778374</v>
      </c>
      <c r="Q4818" s="75">
        <f>IF(P4818&gt;0,1/P4818,NA())</f>
        <v>24.44437568993569</v>
      </c>
      <c r="R4818" s="75">
        <f>F4818-F4817</f>
        <v>0.0035868055555532408</v>
      </c>
      <c r="S4818" s="75">
        <f>0.5*(Q4817+Q4818)*R4818</f>
        <v>0.08758381390683573</v>
      </c>
      <c r="T4818" s="75">
        <f>0.5*(F4817*Q4817+F4818*Q4818)*R4818</f>
        <v>2.1725879853823704</v>
      </c>
      <c r="U4818" s="76">
        <f>U4817+S4818</f>
        <v>101.07899940694875</v>
      </c>
      <c r="V4818" s="76">
        <f>V4817+T4818</f>
        <v>1861.981241338587</v>
      </c>
    </row>
    <row r="4819" spans="1:22" ht="19" customHeight="1">
      <c r="A4819" s="68" t="s">
        <v>378</v>
      </c>
      <c r="B4819" s="74">
        <v>5</v>
      </c>
      <c r="C4819" s="68" t="s">
        <v>363</v>
      </c>
      <c r="D4819" s="68" t="s">
        <v>365</v>
      </c>
      <c r="E4819" s="75">
        <f>60*F4819*'THAM_SO_MOI'!$C$53/(2*PI()*'THAM_SO_MOI'!$C$26)</f>
        <v>2444.555578947368</v>
      </c>
      <c r="F4819" s="75">
        <f>'THAM_SO_MOI'!$C$14+('THAM_SO_MOI'!$C$37-'THAM_SO_MOI'!$C$14)*728/'THAM_SO_MOI'!$C$42</f>
        <v>24.811194444444443</v>
      </c>
      <c r="G4819" s="75">
        <f>3.6*F4819</f>
        <v>89.32029999999999</v>
      </c>
      <c r="H4819" s="75">
        <f>'THAM_SO_MOI'!$D$53</f>
        <v>1.1</v>
      </c>
      <c r="I4819" s="75">
        <f>IF(F4819&gt;='THAM_SO_MOI'!$C$14,'THAM_SO_MOI'!$C$13*(1+F4819^2/1500),'THAM_SO_MOI'!$C$13)</f>
        <v>0.021155953697600306</v>
      </c>
      <c r="J4819" s="75">
        <f>'THAM_SO_MOI'!$C$40*('THAM_SO_MOI'!$C$23*(E4819/'THAM_SO_MOI'!$C$22)+'THAM_SO_MOI'!$C$24*(E4819/'THAM_SO_MOI'!$C$22)^2-'THAM_SO_MOI'!$C$25*(E4819/'THAM_SO_MOI'!$C$22)^3)</f>
        <v>109.13073458752426</v>
      </c>
      <c r="K4819" s="75">
        <f>'THAM_SO_MOI'!$C$31*J4819/E4819</f>
        <v>426.38358927130764</v>
      </c>
      <c r="L4819" s="75">
        <f>K4819*'THAM_SO_MOI'!$C$53*'THAM_SO_MOI'!$C$17/'THAM_SO_MOI'!$C$26</f>
        <v>3739.3857463349464</v>
      </c>
      <c r="M4819" s="75">
        <f>'THAM_SO_MOI'!$C$15*'THAM_SO_MOI'!$C$16*F4819^2</f>
        <v>1800.6164565480901</v>
      </c>
      <c r="N4819" s="75">
        <f>'THAM_SO_MOI'!$C$12*I4819</f>
        <v>1593.9064763401652</v>
      </c>
      <c r="O4819" s="75">
        <f>M4819+N4819</f>
        <v>3394.522932888255</v>
      </c>
      <c r="P4819" s="75">
        <f>(MIN(L4819,'THAM_SO_MOI'!$C$41)-O4819)/('THAM_SO_MOI'!$C$11*H4819)</f>
        <v>0.040821829243216264</v>
      </c>
      <c r="Q4819" s="75">
        <f>IF(P4819&gt;0,1/P4819,NA())</f>
        <v>24.496697441998613</v>
      </c>
      <c r="R4819" s="75">
        <f>F4819-F4818</f>
        <v>0.0035868055555567935</v>
      </c>
      <c r="S4819" s="75">
        <f>0.5*(Q4818+Q4819)*R4819</f>
        <v>0.08777105650226663</v>
      </c>
      <c r="T4819" s="75">
        <f>0.5*(F4818*Q4818+F4819*Q4819)*R4819</f>
        <v>2.17754750889763</v>
      </c>
      <c r="U4819" s="76">
        <f>U4818+S4819</f>
        <v>101.16677046345102</v>
      </c>
      <c r="V4819" s="76">
        <f>V4818+T4819</f>
        <v>1864.1587888474846</v>
      </c>
    </row>
    <row r="4820" spans="1:22" ht="19" customHeight="1">
      <c r="A4820" s="68" t="s">
        <v>378</v>
      </c>
      <c r="B4820" s="74">
        <v>5</v>
      </c>
      <c r="C4820" s="68" t="s">
        <v>363</v>
      </c>
      <c r="D4820" s="68" t="s">
        <v>365</v>
      </c>
      <c r="E4820" s="75">
        <f>60*F4820*'THAM_SO_MOI'!$C$53/(2*PI()*'THAM_SO_MOI'!$C$26)</f>
        <v>2444.90897368421</v>
      </c>
      <c r="F4820" s="75">
        <f>'THAM_SO_MOI'!$C$14+('THAM_SO_MOI'!$C$37-'THAM_SO_MOI'!$C$14)*729/'THAM_SO_MOI'!$C$42</f>
        <v>24.81478125</v>
      </c>
      <c r="G4820" s="75">
        <f>3.6*F4820</f>
        <v>89.3332125</v>
      </c>
      <c r="H4820" s="75">
        <f>'THAM_SO_MOI'!$D$53</f>
        <v>1.1</v>
      </c>
      <c r="I4820" s="75">
        <f>IF(F4820&gt;='THAM_SO_MOI'!$C$14,'THAM_SO_MOI'!$C$13*(1+F4820^2/1500),'THAM_SO_MOI'!$C$13)</f>
        <v>0.021157733684853516</v>
      </c>
      <c r="J4820" s="75">
        <f>'THAM_SO_MOI'!$C$40*('THAM_SO_MOI'!$C$23*(E4820/'THAM_SO_MOI'!$C$22)+'THAM_SO_MOI'!$C$24*(E4820/'THAM_SO_MOI'!$C$22)^2-'THAM_SO_MOI'!$C$25*(E4820/'THAM_SO_MOI'!$C$22)^3)</f>
        <v>109.14407059542054</v>
      </c>
      <c r="K4820" s="75">
        <f>'THAM_SO_MOI'!$C$31*J4820/E4820</f>
        <v>426.37405591312927</v>
      </c>
      <c r="L4820" s="75">
        <f>K4820*'THAM_SO_MOI'!$C$53*'THAM_SO_MOI'!$C$17/'THAM_SO_MOI'!$C$26</f>
        <v>3739.302138746418</v>
      </c>
      <c r="M4820" s="75">
        <f>'THAM_SO_MOI'!$C$15*'THAM_SO_MOI'!$C$16*F4820^2</f>
        <v>1801.1371028196531</v>
      </c>
      <c r="N4820" s="75">
        <f>'THAM_SO_MOI'!$C$12*I4820</f>
        <v>1594.0405820038118</v>
      </c>
      <c r="O4820" s="75">
        <f>M4820+N4820</f>
        <v>3395.177684823465</v>
      </c>
      <c r="P4820" s="75">
        <f>(MIN(L4820,'THAM_SO_MOI'!$C$41)-O4820)/('THAM_SO_MOI'!$C$11*H4820)</f>
        <v>0.04073442873141019</v>
      </c>
      <c r="Q4820" s="75">
        <f>IF(P4820&gt;0,1/P4820,NA())</f>
        <v>24.549257989934766</v>
      </c>
      <c r="R4820" s="75">
        <f>F4820-F4819</f>
        <v>0.0035868055555567935</v>
      </c>
      <c r="S4820" s="75">
        <f>0.5*(Q4819+Q4820)*R4820</f>
        <v>0.08795915271042477</v>
      </c>
      <c r="T4820" s="75">
        <f>0.5*(F4819*Q4819+F4820*Q4820)*R4820</f>
        <v>2.1825295563058833</v>
      </c>
      <c r="U4820" s="76">
        <f>U4819+S4820</f>
        <v>101.25472961616144</v>
      </c>
      <c r="V4820" s="76">
        <f>V4819+T4820</f>
        <v>1866.3413184037904</v>
      </c>
    </row>
    <row r="4821" spans="1:22" ht="19" customHeight="1">
      <c r="A4821" s="68" t="s">
        <v>378</v>
      </c>
      <c r="B4821" s="74">
        <v>5</v>
      </c>
      <c r="C4821" s="68" t="s">
        <v>363</v>
      </c>
      <c r="D4821" s="68" t="s">
        <v>365</v>
      </c>
      <c r="E4821" s="75">
        <f>60*F4821*'THAM_SO_MOI'!$C$53/(2*PI()*'THAM_SO_MOI'!$C$26)</f>
        <v>2445.262368421052</v>
      </c>
      <c r="F4821" s="75">
        <f>'THAM_SO_MOI'!$C$14+('THAM_SO_MOI'!$C$37-'THAM_SO_MOI'!$C$14)*730/'THAM_SO_MOI'!$C$42</f>
        <v>24.818368055555553</v>
      </c>
      <c r="G4821" s="75">
        <f>3.6*F4821</f>
        <v>89.34612499999999</v>
      </c>
      <c r="H4821" s="75">
        <f>'THAM_SO_MOI'!$D$53</f>
        <v>1.1</v>
      </c>
      <c r="I4821" s="75">
        <f>IF(F4821&gt;='THAM_SO_MOI'!$C$14,'THAM_SO_MOI'!$C$13*(1+F4821^2/1500),'THAM_SO_MOI'!$C$13)</f>
        <v>0.021159513929410203</v>
      </c>
      <c r="J4821" s="75">
        <f>'THAM_SO_MOI'!$C$40*('THAM_SO_MOI'!$C$23*(E4821/'THAM_SO_MOI'!$C$22)+'THAM_SO_MOI'!$C$24*(E4821/'THAM_SO_MOI'!$C$22)^2-'THAM_SO_MOI'!$C$25*(E4821/'THAM_SO_MOI'!$C$22)^3)</f>
        <v>109.15740279591827</v>
      </c>
      <c r="K4821" s="75">
        <f>'THAM_SO_MOI'!$C$31*J4821/E4821</f>
        <v>426.3645104389664</v>
      </c>
      <c r="L4821" s="75">
        <f>K4821*'THAM_SO_MOI'!$C$53*'THAM_SO_MOI'!$C$17/'THAM_SO_MOI'!$C$26</f>
        <v>3739.218424900659</v>
      </c>
      <c r="M4821" s="75">
        <f>'THAM_SO_MOI'!$C$15*'THAM_SO_MOI'!$C$16*F4821^2</f>
        <v>1801.6578243524846</v>
      </c>
      <c r="N4821" s="75">
        <f>'THAM_SO_MOI'!$C$12*I4821</f>
        <v>1594.1747070529084</v>
      </c>
      <c r="O4821" s="75">
        <f>M4821+N4821</f>
        <v>3395.8325314053927</v>
      </c>
      <c r="P4821" s="75">
        <f>(MIN(L4821,'THAM_SO_MOI'!$C$41)-O4821)/('THAM_SO_MOI'!$C$11*H4821)</f>
        <v>0.040647004438360106</v>
      </c>
      <c r="Q4821" s="75">
        <f>IF(P4821&gt;0,1/P4821,NA())</f>
        <v>24.602058966398577</v>
      </c>
      <c r="R4821" s="75">
        <f>F4821-F4820</f>
        <v>0.0035868055555532408</v>
      </c>
      <c r="S4821" s="75">
        <f>0.5*(Q4820+Q4821)*R4821</f>
        <v>0.08814810836086732</v>
      </c>
      <c r="T4821" s="75">
        <f>0.5*(F4820*Q4820+F4821*Q4821)*R4821</f>
        <v>2.1875342814620473</v>
      </c>
      <c r="U4821" s="76">
        <f>U4820+S4821</f>
        <v>101.34287772452231</v>
      </c>
      <c r="V4821" s="76">
        <f>V4820+T4821</f>
        <v>1868.5288526852526</v>
      </c>
    </row>
    <row r="4822" spans="1:22" ht="19" customHeight="1">
      <c r="A4822" s="68" t="s">
        <v>378</v>
      </c>
      <c r="B4822" s="74">
        <v>5</v>
      </c>
      <c r="C4822" s="68" t="s">
        <v>363</v>
      </c>
      <c r="D4822" s="68" t="s">
        <v>365</v>
      </c>
      <c r="E4822" s="75">
        <f>60*F4822*'THAM_SO_MOI'!$C$53/(2*PI()*'THAM_SO_MOI'!$C$26)</f>
        <v>2445.615763157894</v>
      </c>
      <c r="F4822" s="75">
        <f>'THAM_SO_MOI'!$C$14+('THAM_SO_MOI'!$C$37-'THAM_SO_MOI'!$C$14)*731/'THAM_SO_MOI'!$C$42</f>
        <v>24.82195486111111</v>
      </c>
      <c r="G4822" s="75">
        <f>3.6*F4822</f>
        <v>89.3590375</v>
      </c>
      <c r="H4822" s="75">
        <f>'THAM_SO_MOI'!$D$53</f>
        <v>1.1</v>
      </c>
      <c r="I4822" s="75">
        <f>IF(F4822&gt;='THAM_SO_MOI'!$C$14,'THAM_SO_MOI'!$C$13*(1+F4822^2/1500),'THAM_SO_MOI'!$C$13)</f>
        <v>0.021161294431270374</v>
      </c>
      <c r="J4822" s="75">
        <f>'THAM_SO_MOI'!$C$40*('THAM_SO_MOI'!$C$23*(E4822/'THAM_SO_MOI'!$C$22)+'THAM_SO_MOI'!$C$24*(E4822/'THAM_SO_MOI'!$C$22)^2-'THAM_SO_MOI'!$C$25*(E4822/'THAM_SO_MOI'!$C$22)^3)</f>
        <v>109.1707311876726</v>
      </c>
      <c r="K4822" s="75">
        <f>'THAM_SO_MOI'!$C$31*J4822/E4822</f>
        <v>426.35495284881927</v>
      </c>
      <c r="L4822" s="75">
        <f>K4822*'THAM_SO_MOI'!$C$53*'THAM_SO_MOI'!$C$17/'THAM_SO_MOI'!$C$26</f>
        <v>3739.1346047976695</v>
      </c>
      <c r="M4822" s="75">
        <f>'THAM_SO_MOI'!$C$15*'THAM_SO_MOI'!$C$16*F4822^2</f>
        <v>1802.1786211465849</v>
      </c>
      <c r="N4822" s="75">
        <f>'THAM_SO_MOI'!$C$12*I4822</f>
        <v>1594.308851487455</v>
      </c>
      <c r="O4822" s="75">
        <f>M4822+N4822</f>
        <v>3396.48747263404</v>
      </c>
      <c r="P4822" s="75">
        <f>(MIN(L4822,'THAM_SO_MOI'!$C$41)-O4822)/('THAM_SO_MOI'!$C$11*H4822)</f>
        <v>0.040559556364065996</v>
      </c>
      <c r="Q4822" s="75">
        <f>IF(P4822&gt;0,1/P4822,NA())</f>
        <v>24.655102018964797</v>
      </c>
      <c r="R4822" s="75">
        <f>F4822-F4821</f>
        <v>0.0035868055555567935</v>
      </c>
      <c r="S4822" s="75">
        <f>0.5*(Q4821+Q4822)*R4822</f>
        <v>0.08833792933662833</v>
      </c>
      <c r="T4822" s="75">
        <f>0.5*(F4821*Q4821+F4822*Q4822)*R4822</f>
        <v>2.1925618396319826</v>
      </c>
      <c r="U4822" s="76">
        <f>U4821+S4822</f>
        <v>101.43121565385894</v>
      </c>
      <c r="V4822" s="76">
        <f>V4821+T4822</f>
        <v>1870.7214145248845</v>
      </c>
    </row>
    <row r="4823" spans="1:22" ht="19" customHeight="1">
      <c r="A4823" s="68" t="s">
        <v>378</v>
      </c>
      <c r="B4823" s="74">
        <v>5</v>
      </c>
      <c r="C4823" s="68" t="s">
        <v>363</v>
      </c>
      <c r="D4823" s="68" t="s">
        <v>365</v>
      </c>
      <c r="E4823" s="75">
        <f>60*F4823*'THAM_SO_MOI'!$C$53/(2*PI()*'THAM_SO_MOI'!$C$26)</f>
        <v>2445.9691578947363</v>
      </c>
      <c r="F4823" s="75">
        <f>'THAM_SO_MOI'!$C$14+('THAM_SO_MOI'!$C$37-'THAM_SO_MOI'!$C$14)*732/'THAM_SO_MOI'!$C$42</f>
        <v>24.825541666666666</v>
      </c>
      <c r="G4823" s="75">
        <f>3.6*F4823</f>
        <v>89.37195</v>
      </c>
      <c r="H4823" s="75">
        <f>'THAM_SO_MOI'!$D$53</f>
        <v>1.1</v>
      </c>
      <c r="I4823" s="75">
        <f>IF(F4823&gt;='THAM_SO_MOI'!$C$14,'THAM_SO_MOI'!$C$13*(1+F4823^2/1500),'THAM_SO_MOI'!$C$13)</f>
        <v>0.021163075190434026</v>
      </c>
      <c r="J4823" s="75">
        <f>'THAM_SO_MOI'!$C$40*('THAM_SO_MOI'!$C$23*(E4823/'THAM_SO_MOI'!$C$22)+'THAM_SO_MOI'!$C$24*(E4823/'THAM_SO_MOI'!$C$22)^2-'THAM_SO_MOI'!$C$25*(E4823/'THAM_SO_MOI'!$C$22)^3)</f>
        <v>109.18405576933854</v>
      </c>
      <c r="K4823" s="75">
        <f>'THAM_SO_MOI'!$C$31*J4823/E4823</f>
        <v>426.34538314268735</v>
      </c>
      <c r="L4823" s="75">
        <f>K4823*'THAM_SO_MOI'!$C$53*'THAM_SO_MOI'!$C$17/'THAM_SO_MOI'!$C$26</f>
        <v>3739.0506784374465</v>
      </c>
      <c r="M4823" s="75">
        <f>'THAM_SO_MOI'!$C$15*'THAM_SO_MOI'!$C$16*F4823^2</f>
        <v>1802.6994932019531</v>
      </c>
      <c r="N4823" s="75">
        <f>'THAM_SO_MOI'!$C$12*I4823</f>
        <v>1594.443015307452</v>
      </c>
      <c r="O4823" s="75">
        <f>M4823+N4823</f>
        <v>3397.142508509405</v>
      </c>
      <c r="P4823" s="75">
        <f>(MIN(L4823,'THAM_SO_MOI'!$C$41)-O4823)/('THAM_SO_MOI'!$C$11*H4823)</f>
        <v>0.04047208450852763</v>
      </c>
      <c r="Q4823" s="75">
        <f>IF(P4823&gt;0,1/P4823,NA())</f>
        <v>24.708388810299507</v>
      </c>
      <c r="R4823" s="75">
        <f>F4823-F4822</f>
        <v>0.0035868055555567935</v>
      </c>
      <c r="S4823" s="75">
        <f>0.5*(Q4822+Q4823)*R4823</f>
        <v>0.08852862157404102</v>
      </c>
      <c r="T4823" s="75">
        <f>0.5*(F4822*Q4822+F4823*Q4823)*R4823</f>
        <v>2.197612387489039</v>
      </c>
      <c r="U4823" s="76">
        <f>U4822+S4823</f>
        <v>101.51974427543298</v>
      </c>
      <c r="V4823" s="76">
        <f>V4822+T4823</f>
        <v>1872.9190269123735</v>
      </c>
    </row>
    <row r="4824" spans="1:22" ht="19" customHeight="1">
      <c r="A4824" s="68" t="s">
        <v>378</v>
      </c>
      <c r="B4824" s="74">
        <v>5</v>
      </c>
      <c r="C4824" s="68" t="s">
        <v>363</v>
      </c>
      <c r="D4824" s="68" t="s">
        <v>365</v>
      </c>
      <c r="E4824" s="75">
        <f>60*F4824*'THAM_SO_MOI'!$C$53/(2*PI()*'THAM_SO_MOI'!$C$26)</f>
        <v>2446.3225526315778</v>
      </c>
      <c r="F4824" s="75">
        <f>'THAM_SO_MOI'!$C$14+('THAM_SO_MOI'!$C$37-'THAM_SO_MOI'!$C$14)*733/'THAM_SO_MOI'!$C$42</f>
        <v>24.82912847222222</v>
      </c>
      <c r="G4824" s="75">
        <f>3.6*F4824</f>
        <v>89.3848625</v>
      </c>
      <c r="H4824" s="75">
        <f>'THAM_SO_MOI'!$D$53</f>
        <v>1.1</v>
      </c>
      <c r="I4824" s="75">
        <f>IF(F4824&gt;='THAM_SO_MOI'!$C$14,'THAM_SO_MOI'!$C$13*(1+F4824^2/1500),'THAM_SO_MOI'!$C$13)</f>
        <v>0.02116485620690116</v>
      </c>
      <c r="J4824" s="75">
        <f>'THAM_SO_MOI'!$C$40*('THAM_SO_MOI'!$C$23*(E4824/'THAM_SO_MOI'!$C$22)+'THAM_SO_MOI'!$C$24*(E4824/'THAM_SO_MOI'!$C$22)^2-'THAM_SO_MOI'!$C$25*(E4824/'THAM_SO_MOI'!$C$22)^3)</f>
        <v>109.19737653957128</v>
      </c>
      <c r="K4824" s="75">
        <f>'THAM_SO_MOI'!$C$31*J4824/E4824</f>
        <v>426.33580132057114</v>
      </c>
      <c r="L4824" s="75">
        <f>K4824*'THAM_SO_MOI'!$C$53*'THAM_SO_MOI'!$C$17/'THAM_SO_MOI'!$C$26</f>
        <v>3738.9666458199945</v>
      </c>
      <c r="M4824" s="75">
        <f>'THAM_SO_MOI'!$C$15*'THAM_SO_MOI'!$C$16*F4824^2</f>
        <v>1803.2204405185898</v>
      </c>
      <c r="N4824" s="75">
        <f>'THAM_SO_MOI'!$C$12*I4824</f>
        <v>1594.5771985128988</v>
      </c>
      <c r="O4824" s="75">
        <f>M4824+N4824</f>
        <v>3397.797639031489</v>
      </c>
      <c r="P4824" s="75">
        <f>(MIN(L4824,'THAM_SO_MOI'!$C$41)-O4824)/('THAM_SO_MOI'!$C$11*H4824)</f>
        <v>0.04038458887174548</v>
      </c>
      <c r="Q4824" s="75">
        <f>IF(P4824&gt;0,1/P4824,NA())</f>
        <v>24.761921018332718</v>
      </c>
      <c r="R4824" s="75">
        <f>F4824-F4823</f>
        <v>0.0035868055555532408</v>
      </c>
      <c r="S4824" s="75">
        <f>0.5*(Q4823+Q4824)*R4824</f>
        <v>0.08872019106413907</v>
      </c>
      <c r="T4824" s="75">
        <f>0.5*(F4823*Q4823+F4824*Q4824)*R4824</f>
        <v>2.2026860831498056</v>
      </c>
      <c r="U4824" s="76">
        <f>U4823+S4824</f>
        <v>101.60846446649713</v>
      </c>
      <c r="V4824" s="76">
        <f>V4823+T4824</f>
        <v>1875.1217129955232</v>
      </c>
    </row>
    <row r="4825" spans="1:22" ht="19" customHeight="1">
      <c r="A4825" s="68" t="s">
        <v>378</v>
      </c>
      <c r="B4825" s="74">
        <v>5</v>
      </c>
      <c r="C4825" s="68" t="s">
        <v>363</v>
      </c>
      <c r="D4825" s="68" t="s">
        <v>365</v>
      </c>
      <c r="E4825" s="75">
        <f>60*F4825*'THAM_SO_MOI'!$C$53/(2*PI()*'THAM_SO_MOI'!$C$26)</f>
        <v>2446.67594736842</v>
      </c>
      <c r="F4825" s="75">
        <f>'THAM_SO_MOI'!$C$14+('THAM_SO_MOI'!$C$37-'THAM_SO_MOI'!$C$14)*734/'THAM_SO_MOI'!$C$42</f>
        <v>24.832715277777776</v>
      </c>
      <c r="G4825" s="75">
        <f>3.6*F4825</f>
        <v>89.397775</v>
      </c>
      <c r="H4825" s="75">
        <f>'THAM_SO_MOI'!$D$53</f>
        <v>1.1</v>
      </c>
      <c r="I4825" s="75">
        <f>IF(F4825&gt;='THAM_SO_MOI'!$C$14,'THAM_SO_MOI'!$C$13*(1+F4825^2/1500),'THAM_SO_MOI'!$C$13)</f>
        <v>0.021166637480671775</v>
      </c>
      <c r="J4825" s="75">
        <f>'THAM_SO_MOI'!$C$40*('THAM_SO_MOI'!$C$23*(E4825/'THAM_SO_MOI'!$C$22)+'THAM_SO_MOI'!$C$24*(E4825/'THAM_SO_MOI'!$C$22)^2-'THAM_SO_MOI'!$C$25*(E4825/'THAM_SO_MOI'!$C$22)^3)</f>
        <v>109.21069349702594</v>
      </c>
      <c r="K4825" s="75">
        <f>'THAM_SO_MOI'!$C$31*J4825/E4825</f>
        <v>426.32620738247044</v>
      </c>
      <c r="L4825" s="75">
        <f>K4825*'THAM_SO_MOI'!$C$53*'THAM_SO_MOI'!$C$17/'THAM_SO_MOI'!$C$26</f>
        <v>3738.8825069453105</v>
      </c>
      <c r="M4825" s="75">
        <f>'THAM_SO_MOI'!$C$15*'THAM_SO_MOI'!$C$16*F4825^2</f>
        <v>1803.7414630964952</v>
      </c>
      <c r="N4825" s="75">
        <f>'THAM_SO_MOI'!$C$12*I4825</f>
        <v>1594.711401103796</v>
      </c>
      <c r="O4825" s="75">
        <f>M4825+N4825</f>
        <v>3398.4528642002915</v>
      </c>
      <c r="P4825" s="75">
        <f>(MIN(L4825,'THAM_SO_MOI'!$C$41)-O4825)/('THAM_SO_MOI'!$C$11*H4825)</f>
        <v>0.040297069453719137</v>
      </c>
      <c r="Q4825" s="75">
        <f>IF(P4825&gt;0,1/P4825,NA())</f>
        <v>24.815700336434936</v>
      </c>
      <c r="R4825" s="75">
        <f>F4825-F4824</f>
        <v>0.0035868055555567935</v>
      </c>
      <c r="S4825" s="75">
        <f>0.5*(Q4824+Q4825)*R4825</f>
        <v>0.08891264385328587</v>
      </c>
      <c r="T4825" s="75">
        <f>0.5*(F4824*Q4824+F4825*Q4825)*R4825</f>
        <v>2.207783086190713</v>
      </c>
      <c r="U4825" s="76">
        <f>U4824+S4825</f>
        <v>101.69737711035042</v>
      </c>
      <c r="V4825" s="76">
        <f>V4824+T4825</f>
        <v>1877.3294960817138</v>
      </c>
    </row>
    <row r="4826" spans="1:22" ht="19" customHeight="1">
      <c r="A4826" s="68" t="s">
        <v>378</v>
      </c>
      <c r="B4826" s="74">
        <v>5</v>
      </c>
      <c r="C4826" s="68" t="s">
        <v>363</v>
      </c>
      <c r="D4826" s="68" t="s">
        <v>365</v>
      </c>
      <c r="E4826" s="75">
        <f>60*F4826*'THAM_SO_MOI'!$C$53/(2*PI()*'THAM_SO_MOI'!$C$26)</f>
        <v>2447.0293421052625</v>
      </c>
      <c r="F4826" s="75">
        <f>'THAM_SO_MOI'!$C$14+('THAM_SO_MOI'!$C$37-'THAM_SO_MOI'!$C$14)*735/'THAM_SO_MOI'!$C$42</f>
        <v>24.836302083333333</v>
      </c>
      <c r="G4826" s="75">
        <f>3.6*F4826</f>
        <v>89.4106875</v>
      </c>
      <c r="H4826" s="75">
        <f>'THAM_SO_MOI'!$D$53</f>
        <v>1.1</v>
      </c>
      <c r="I4826" s="75">
        <f>IF(F4826&gt;='THAM_SO_MOI'!$C$14,'THAM_SO_MOI'!$C$13*(1+F4826^2/1500),'THAM_SO_MOI'!$C$13)</f>
        <v>0.021168419011745876</v>
      </c>
      <c r="J4826" s="75">
        <f>'THAM_SO_MOI'!$C$40*('THAM_SO_MOI'!$C$23*(E4826/'THAM_SO_MOI'!$C$22)+'THAM_SO_MOI'!$C$24*(E4826/'THAM_SO_MOI'!$C$22)^2-'THAM_SO_MOI'!$C$25*(E4826/'THAM_SO_MOI'!$C$22)^3)</f>
        <v>109.22400664035762</v>
      </c>
      <c r="K4826" s="75">
        <f>'THAM_SO_MOI'!$C$31*J4826/E4826</f>
        <v>426.31660132838533</v>
      </c>
      <c r="L4826" s="75">
        <f>K4826*'THAM_SO_MOI'!$C$53*'THAM_SO_MOI'!$C$17/'THAM_SO_MOI'!$C$26</f>
        <v>3738.798261813396</v>
      </c>
      <c r="M4826" s="75">
        <f>'THAM_SO_MOI'!$C$15*'THAM_SO_MOI'!$C$16*F4826^2</f>
        <v>1804.2625609356692</v>
      </c>
      <c r="N4826" s="75">
        <f>'THAM_SO_MOI'!$C$12*I4826</f>
        <v>1594.8456230801437</v>
      </c>
      <c r="O4826" s="75">
        <f>M4826+N4826</f>
        <v>3399.108184015813</v>
      </c>
      <c r="P4826" s="75">
        <f>(MIN(L4826,'THAM_SO_MOI'!$C$41)-O4826)/('THAM_SO_MOI'!$C$11*H4826)</f>
        <v>0.04020952625444876</v>
      </c>
      <c r="Q4826" s="75">
        <f>IF(P4826&gt;0,1/P4826,NA())</f>
        <v>24.86972847359425</v>
      </c>
      <c r="R4826" s="75">
        <f>F4826-F4825</f>
        <v>0.0035868055555567935</v>
      </c>
      <c r="S4826" s="75">
        <f>0.5*(Q4825+Q4826)*R4826</f>
        <v>0.08910598604301713</v>
      </c>
      <c r="T4826" s="75">
        <f>0.5*(F4825*Q4825+F4826*Q4826)*R4826</f>
        <v>2.2129035576451184</v>
      </c>
      <c r="U4826" s="76">
        <f>U4825+S4826</f>
        <v>101.78648309639344</v>
      </c>
      <c r="V4826" s="76">
        <f>V4825+T4826</f>
        <v>1879.542399639359</v>
      </c>
    </row>
    <row r="4827" spans="1:22" ht="19" customHeight="1">
      <c r="A4827" s="68" t="s">
        <v>378</v>
      </c>
      <c r="B4827" s="74">
        <v>5</v>
      </c>
      <c r="C4827" s="68" t="s">
        <v>363</v>
      </c>
      <c r="D4827" s="68" t="s">
        <v>365</v>
      </c>
      <c r="E4827" s="75">
        <f>60*F4827*'THAM_SO_MOI'!$C$53/(2*PI()*'THAM_SO_MOI'!$C$26)</f>
        <v>2447.382736842105</v>
      </c>
      <c r="F4827" s="75">
        <f>'THAM_SO_MOI'!$C$14+('THAM_SO_MOI'!$C$37-'THAM_SO_MOI'!$C$14)*736/'THAM_SO_MOI'!$C$42</f>
        <v>24.839888888888886</v>
      </c>
      <c r="G4827" s="75">
        <f>3.6*F4827</f>
        <v>89.4236</v>
      </c>
      <c r="H4827" s="75">
        <f>'THAM_SO_MOI'!$D$53</f>
        <v>1.1</v>
      </c>
      <c r="I4827" s="75">
        <f>IF(F4827&gt;='THAM_SO_MOI'!$C$14,'THAM_SO_MOI'!$C$13*(1+F4827^2/1500),'THAM_SO_MOI'!$C$13)</f>
        <v>0.021170200800123454</v>
      </c>
      <c r="J4827" s="75">
        <f>'THAM_SO_MOI'!$C$40*('THAM_SO_MOI'!$C$23*(E4827/'THAM_SO_MOI'!$C$22)+'THAM_SO_MOI'!$C$24*(E4827/'THAM_SO_MOI'!$C$22)^2-'THAM_SO_MOI'!$C$25*(E4827/'THAM_SO_MOI'!$C$22)^3)</f>
        <v>109.23731596822138</v>
      </c>
      <c r="K4827" s="75">
        <f>'THAM_SO_MOI'!$C$31*J4827/E4827</f>
        <v>426.30698315831563</v>
      </c>
      <c r="L4827" s="75">
        <f>K4827*'THAM_SO_MOI'!$C$53*'THAM_SO_MOI'!$C$17/'THAM_SO_MOI'!$C$26</f>
        <v>3738.713910424249</v>
      </c>
      <c r="M4827" s="75">
        <f>'THAM_SO_MOI'!$C$15*'THAM_SO_MOI'!$C$16*F4827^2</f>
        <v>1804.7837340361107</v>
      </c>
      <c r="N4827" s="75">
        <f>'THAM_SO_MOI'!$C$12*I4827</f>
        <v>1594.9798644419411</v>
      </c>
      <c r="O4827" s="75">
        <f>M4827+N4827</f>
        <v>3399.763598478052</v>
      </c>
      <c r="P4827" s="75">
        <f>(MIN(L4827,'THAM_SO_MOI'!$C$41)-O4827)/('THAM_SO_MOI'!$C$11*H4827)</f>
        <v>0.04012195927393435</v>
      </c>
      <c r="Q4827" s="75">
        <f>IF(P4827&gt;0,1/P4827,NA())</f>
        <v>24.924007154597266</v>
      </c>
      <c r="R4827" s="75">
        <f>F4827-F4826</f>
        <v>0.0035868055555532408</v>
      </c>
      <c r="S4827" s="75">
        <f>0.5*(Q4826+Q4827)*R4827</f>
        <v>0.08930022379147333</v>
      </c>
      <c r="T4827" s="75">
        <f>0.5*(F4826*Q4826+F4827*Q4827)*R4827</f>
        <v>2.2180476600398764</v>
      </c>
      <c r="U4827" s="76">
        <f>U4826+S4827</f>
        <v>101.87578332018491</v>
      </c>
      <c r="V4827" s="76">
        <f>V4826+T4827</f>
        <v>1881.760447299399</v>
      </c>
    </row>
    <row r="4828" spans="1:22" ht="19" customHeight="1">
      <c r="A4828" s="68" t="s">
        <v>378</v>
      </c>
      <c r="B4828" s="74">
        <v>5</v>
      </c>
      <c r="C4828" s="68" t="s">
        <v>363</v>
      </c>
      <c r="D4828" s="68" t="s">
        <v>365</v>
      </c>
      <c r="E4828" s="75">
        <f>60*F4828*'THAM_SO_MOI'!$C$53/(2*PI()*'THAM_SO_MOI'!$C$26)</f>
        <v>2447.7361315789467</v>
      </c>
      <c r="F4828" s="75">
        <f>'THAM_SO_MOI'!$C$14+('THAM_SO_MOI'!$C$37-'THAM_SO_MOI'!$C$14)*737/'THAM_SO_MOI'!$C$42</f>
        <v>24.843475694444443</v>
      </c>
      <c r="G4828" s="75">
        <f>3.6*F4828</f>
        <v>89.43651249999999</v>
      </c>
      <c r="H4828" s="75">
        <f>'THAM_SO_MOI'!$D$53</f>
        <v>1.1</v>
      </c>
      <c r="I4828" s="75">
        <f>IF(F4828&gt;='THAM_SO_MOI'!$C$14,'THAM_SO_MOI'!$C$13*(1+F4828^2/1500),'THAM_SO_MOI'!$C$13)</f>
        <v>0.02117198284580452</v>
      </c>
      <c r="J4828" s="75">
        <f>'THAM_SO_MOI'!$C$40*('THAM_SO_MOI'!$C$23*(E4828/'THAM_SO_MOI'!$C$22)+'THAM_SO_MOI'!$C$24*(E4828/'THAM_SO_MOI'!$C$22)^2-'THAM_SO_MOI'!$C$25*(E4828/'THAM_SO_MOI'!$C$22)^3)</f>
        <v>109.25062147927238</v>
      </c>
      <c r="K4828" s="75">
        <f>'THAM_SO_MOI'!$C$31*J4828/E4828</f>
        <v>426.2973528722616</v>
      </c>
      <c r="L4828" s="75">
        <f>K4828*'THAM_SO_MOI'!$C$53*'THAM_SO_MOI'!$C$17/'THAM_SO_MOI'!$C$26</f>
        <v>3738.6294527778728</v>
      </c>
      <c r="M4828" s="75">
        <f>'THAM_SO_MOI'!$C$15*'THAM_SO_MOI'!$C$16*F4828^2</f>
        <v>1805.3049823978217</v>
      </c>
      <c r="N4828" s="75">
        <f>'THAM_SO_MOI'!$C$12*I4828</f>
        <v>1595.1141251891893</v>
      </c>
      <c r="O4828" s="75">
        <f>M4828+N4828</f>
        <v>3400.4191075870112</v>
      </c>
      <c r="P4828" s="75">
        <f>(MIN(L4828,'THAM_SO_MOI'!$C$41)-O4828)/('THAM_SO_MOI'!$C$11*H4828)</f>
        <v>0.04003436851217587</v>
      </c>
      <c r="Q4828" s="75">
        <f>IF(P4828&gt;0,1/P4828,NA())</f>
        <v>24.978538120212</v>
      </c>
      <c r="R4828" s="75">
        <f>F4828-F4827</f>
        <v>0.0035868055555567935</v>
      </c>
      <c r="S4828" s="75">
        <f>0.5*(Q4827+Q4828)*R4828</f>
        <v>0.08949536331405515</v>
      </c>
      <c r="T4828" s="75">
        <f>0.5*(F4827*Q4827+F4828*Q4828)*R4828</f>
        <v>2.22321555741263</v>
      </c>
      <c r="U4828" s="76">
        <f>U4827+S4828</f>
        <v>101.96527868349897</v>
      </c>
      <c r="V4828" s="76">
        <f>V4827+T4828</f>
        <v>1883.9836628568116</v>
      </c>
    </row>
    <row r="4829" spans="1:22" ht="19" customHeight="1">
      <c r="A4829" s="68" t="s">
        <v>378</v>
      </c>
      <c r="B4829" s="74">
        <v>5</v>
      </c>
      <c r="C4829" s="68" t="s">
        <v>363</v>
      </c>
      <c r="D4829" s="68" t="s">
        <v>365</v>
      </c>
      <c r="E4829" s="75">
        <f>60*F4829*'THAM_SO_MOI'!$C$53/(2*PI()*'THAM_SO_MOI'!$C$26)</f>
        <v>2448.089526315789</v>
      </c>
      <c r="F4829" s="75">
        <f>'THAM_SO_MOI'!$C$14+('THAM_SO_MOI'!$C$37-'THAM_SO_MOI'!$C$14)*738/'THAM_SO_MOI'!$C$42</f>
        <v>24.8470625</v>
      </c>
      <c r="G4829" s="75">
        <f>3.6*F4829</f>
        <v>89.449425</v>
      </c>
      <c r="H4829" s="75">
        <f>'THAM_SO_MOI'!$D$53</f>
        <v>1.1</v>
      </c>
      <c r="I4829" s="75">
        <f>IF(F4829&gt;='THAM_SO_MOI'!$C$14,'THAM_SO_MOI'!$C$13*(1+F4829^2/1500),'THAM_SO_MOI'!$C$13)</f>
        <v>0.02117376514878906</v>
      </c>
      <c r="J4829" s="75">
        <f>'THAM_SO_MOI'!$C$40*('THAM_SO_MOI'!$C$23*(E4829/'THAM_SO_MOI'!$C$22)+'THAM_SO_MOI'!$C$24*(E4829/'THAM_SO_MOI'!$C$22)^2-'THAM_SO_MOI'!$C$25*(E4829/'THAM_SO_MOI'!$C$22)^3)</f>
        <v>109.26392317216576</v>
      </c>
      <c r="K4829" s="75">
        <f>'THAM_SO_MOI'!$C$31*J4829/E4829</f>
        <v>426.28771047022326</v>
      </c>
      <c r="L4829" s="75">
        <f>K4829*'THAM_SO_MOI'!$C$53*'THAM_SO_MOI'!$C$17/'THAM_SO_MOI'!$C$26</f>
        <v>3738.5448888742653</v>
      </c>
      <c r="M4829" s="75">
        <f>'THAM_SO_MOI'!$C$15*'THAM_SO_MOI'!$C$16*F4829^2</f>
        <v>1805.8263060208008</v>
      </c>
      <c r="N4829" s="75">
        <f>'THAM_SO_MOI'!$C$12*I4829</f>
        <v>1595.248405321887</v>
      </c>
      <c r="O4829" s="75">
        <f>M4829+N4829</f>
        <v>3401.074711342688</v>
      </c>
      <c r="P4829" s="75">
        <f>(MIN(L4829,'THAM_SO_MOI'!$C$41)-O4829)/('THAM_SO_MOI'!$C$11*H4829)</f>
        <v>0.03994675396917347</v>
      </c>
      <c r="Q4829" s="75">
        <f>IF(P4829&gt;0,1/P4829,NA())</f>
        <v>25.033323127373265</v>
      </c>
      <c r="R4829" s="75">
        <f>F4829-F4828</f>
        <v>0.0035868055555567935</v>
      </c>
      <c r="S4829" s="75">
        <f>0.5*(Q4828+Q4829)*R4829</f>
        <v>0.08969141088328716</v>
      </c>
      <c r="T4829" s="75">
        <f>0.5*(F4828*Q4828+F4829*Q4829)*R4829</f>
        <v>2.2284074153094595</v>
      </c>
      <c r="U4829" s="76">
        <f>U4828+S4829</f>
        <v>102.05497009438226</v>
      </c>
      <c r="V4829" s="76">
        <f>V4828+T4829</f>
        <v>1886.212070272121</v>
      </c>
    </row>
    <row r="4830" spans="1:22" ht="19" customHeight="1">
      <c r="A4830" s="68" t="s">
        <v>378</v>
      </c>
      <c r="B4830" s="74">
        <v>5</v>
      </c>
      <c r="C4830" s="68" t="s">
        <v>363</v>
      </c>
      <c r="D4830" s="68" t="s">
        <v>365</v>
      </c>
      <c r="E4830" s="75">
        <f>60*F4830*'THAM_SO_MOI'!$C$53/(2*PI()*'THAM_SO_MOI'!$C$26)</f>
        <v>2448.4429210526305</v>
      </c>
      <c r="F4830" s="75">
        <f>'THAM_SO_MOI'!$C$14+('THAM_SO_MOI'!$C$37-'THAM_SO_MOI'!$C$14)*739/'THAM_SO_MOI'!$C$42</f>
        <v>24.850649305555553</v>
      </c>
      <c r="G4830" s="75">
        <f>3.6*F4830</f>
        <v>89.46233749999999</v>
      </c>
      <c r="H4830" s="75">
        <f>'THAM_SO_MOI'!$D$53</f>
        <v>1.1</v>
      </c>
      <c r="I4830" s="75">
        <f>IF(F4830&gt;='THAM_SO_MOI'!$C$14,'THAM_SO_MOI'!$C$13*(1+F4830^2/1500),'THAM_SO_MOI'!$C$13)</f>
        <v>0.021175547709077085</v>
      </c>
      <c r="J4830" s="75">
        <f>'THAM_SO_MOI'!$C$40*('THAM_SO_MOI'!$C$23*(E4830/'THAM_SO_MOI'!$C$22)+'THAM_SO_MOI'!$C$24*(E4830/'THAM_SO_MOI'!$C$22)^2-'THAM_SO_MOI'!$C$25*(E4830/'THAM_SO_MOI'!$C$22)^3)</f>
        <v>109.27722104555652</v>
      </c>
      <c r="K4830" s="75">
        <f>'THAM_SO_MOI'!$C$31*J4830/E4830</f>
        <v>426.2780559522003</v>
      </c>
      <c r="L4830" s="75">
        <f>K4830*'THAM_SO_MOI'!$C$53*'THAM_SO_MOI'!$C$17/'THAM_SO_MOI'!$C$26</f>
        <v>3738.4602187134265</v>
      </c>
      <c r="M4830" s="75">
        <f>'THAM_SO_MOI'!$C$15*'THAM_SO_MOI'!$C$16*F4830^2</f>
        <v>1806.347704905048</v>
      </c>
      <c r="N4830" s="75">
        <f>'THAM_SO_MOI'!$C$12*I4830</f>
        <v>1595.3827048400349</v>
      </c>
      <c r="O4830" s="75">
        <f>M4830+N4830</f>
        <v>3401.730409745083</v>
      </c>
      <c r="P4830" s="75">
        <f>(MIN(L4830,'THAM_SO_MOI'!$C$41)-O4830)/('THAM_SO_MOI'!$C$11*H4830)</f>
        <v>0.039859115644927036</v>
      </c>
      <c r="Q4830" s="75">
        <f>IF(P4830&gt;0,1/P4830,NA())</f>
        <v>25.088363949371075</v>
      </c>
      <c r="R4830" s="75">
        <f>F4830-F4829</f>
        <v>0.0035868055555532408</v>
      </c>
      <c r="S4830" s="75">
        <f>0.5*(Q4829+Q4830)*R4830</f>
        <v>0.08988837283028384</v>
      </c>
      <c r="T4830" s="75">
        <f>0.5*(F4829*Q4829+F4830*Q4830)*R4830</f>
        <v>2.233623400822327</v>
      </c>
      <c r="U4830" s="76">
        <f>U4829+S4830</f>
        <v>102.14485846721254</v>
      </c>
      <c r="V4830" s="76">
        <f>V4829+T4830</f>
        <v>1888.4456936729434</v>
      </c>
    </row>
    <row r="4831" spans="1:22" ht="19" customHeight="1">
      <c r="A4831" s="68" t="s">
        <v>378</v>
      </c>
      <c r="B4831" s="74">
        <v>5</v>
      </c>
      <c r="C4831" s="68" t="s">
        <v>363</v>
      </c>
      <c r="D4831" s="68" t="s">
        <v>365</v>
      </c>
      <c r="E4831" s="75">
        <f>60*F4831*'THAM_SO_MOI'!$C$53/(2*PI()*'THAM_SO_MOI'!$C$26)</f>
        <v>2448.796315789473</v>
      </c>
      <c r="F4831" s="75">
        <f>'THAM_SO_MOI'!$C$14+('THAM_SO_MOI'!$C$37-'THAM_SO_MOI'!$C$14)*740/'THAM_SO_MOI'!$C$42</f>
        <v>24.85423611111111</v>
      </c>
      <c r="G4831" s="75">
        <f>3.6*F4831</f>
        <v>89.47525</v>
      </c>
      <c r="H4831" s="75">
        <f>'THAM_SO_MOI'!$D$53</f>
        <v>1.1</v>
      </c>
      <c r="I4831" s="75">
        <f>IF(F4831&gt;='THAM_SO_MOI'!$C$14,'THAM_SO_MOI'!$C$13*(1+F4831^2/1500),'THAM_SO_MOI'!$C$13)</f>
        <v>0.021177330526668592</v>
      </c>
      <c r="J4831" s="75">
        <f>'THAM_SO_MOI'!$C$40*('THAM_SO_MOI'!$C$23*(E4831/'THAM_SO_MOI'!$C$22)+'THAM_SO_MOI'!$C$24*(E4831/'THAM_SO_MOI'!$C$22)^2-'THAM_SO_MOI'!$C$25*(E4831/'THAM_SO_MOI'!$C$22)^3)</f>
        <v>109.29051509809983</v>
      </c>
      <c r="K4831" s="75">
        <f>'THAM_SO_MOI'!$C$31*J4831/E4831</f>
        <v>426.2683893181927</v>
      </c>
      <c r="L4831" s="75">
        <f>K4831*'THAM_SO_MOI'!$C$53*'THAM_SO_MOI'!$C$17/'THAM_SO_MOI'!$C$26</f>
        <v>3738.375442295354</v>
      </c>
      <c r="M4831" s="75">
        <f>'THAM_SO_MOI'!$C$15*'THAM_SO_MOI'!$C$16*F4831^2</f>
        <v>1806.869179050564</v>
      </c>
      <c r="N4831" s="75">
        <f>'THAM_SO_MOI'!$C$12*I4831</f>
        <v>1595.5170237436332</v>
      </c>
      <c r="O4831" s="75">
        <f>M4831+N4831</f>
        <v>3402.3862027941973</v>
      </c>
      <c r="P4831" s="75">
        <f>(MIN(L4831,'THAM_SO_MOI'!$C$41)-O4831)/('THAM_SO_MOI'!$C$11*H4831)</f>
        <v>0.03977145353943615</v>
      </c>
      <c r="Q4831" s="75">
        <f>IF(P4831&gt;0,1/P4831,NA())</f>
        <v>25.14366237604142</v>
      </c>
      <c r="R4831" s="75">
        <f>F4831-F4830</f>
        <v>0.0035868055555567935</v>
      </c>
      <c r="S4831" s="75">
        <f>0.5*(Q4830+Q4831)*R4831</f>
        <v>0.09008625554543231</v>
      </c>
      <c r="T4831" s="75">
        <f>0.5*(F4830*Q4830+F4831*Q4831)*R4831</f>
        <v>2.238863682607104</v>
      </c>
      <c r="U4831" s="76">
        <f>U4830+S4831</f>
        <v>102.23494472275797</v>
      </c>
      <c r="V4831" s="76">
        <f>V4830+T4831</f>
        <v>1890.6845573555506</v>
      </c>
    </row>
    <row r="4832" spans="1:22" ht="19" customHeight="1">
      <c r="A4832" s="68" t="s">
        <v>378</v>
      </c>
      <c r="B4832" s="74">
        <v>5</v>
      </c>
      <c r="C4832" s="68" t="s">
        <v>363</v>
      </c>
      <c r="D4832" s="68" t="s">
        <v>365</v>
      </c>
      <c r="E4832" s="75">
        <f>60*F4832*'THAM_SO_MOI'!$C$53/(2*PI()*'THAM_SO_MOI'!$C$26)</f>
        <v>2449.149710526315</v>
      </c>
      <c r="F4832" s="75">
        <f>'THAM_SO_MOI'!$C$14+('THAM_SO_MOI'!$C$37-'THAM_SO_MOI'!$C$14)*741/'THAM_SO_MOI'!$C$42</f>
        <v>24.857822916666667</v>
      </c>
      <c r="G4832" s="75">
        <f>3.6*F4832</f>
        <v>89.4881625</v>
      </c>
      <c r="H4832" s="75">
        <f>'THAM_SO_MOI'!$D$53</f>
        <v>1.1</v>
      </c>
      <c r="I4832" s="75">
        <f>IF(F4832&gt;='THAM_SO_MOI'!$C$14,'THAM_SO_MOI'!$C$13*(1+F4832^2/1500),'THAM_SO_MOI'!$C$13)</f>
        <v>0.021179113601563583</v>
      </c>
      <c r="J4832" s="75">
        <f>'THAM_SO_MOI'!$C$40*('THAM_SO_MOI'!$C$23*(E4832/'THAM_SO_MOI'!$C$22)+'THAM_SO_MOI'!$C$24*(E4832/'THAM_SO_MOI'!$C$22)^2-'THAM_SO_MOI'!$C$25*(E4832/'THAM_SO_MOI'!$C$22)^3)</f>
        <v>109.30380532845085</v>
      </c>
      <c r="K4832" s="75">
        <f>'THAM_SO_MOI'!$C$31*J4832/E4832</f>
        <v>426.25871056820085</v>
      </c>
      <c r="L4832" s="75">
        <f>K4832*'THAM_SO_MOI'!$C$53*'THAM_SO_MOI'!$C$17/'THAM_SO_MOI'!$C$26</f>
        <v>3738.290559620053</v>
      </c>
      <c r="M4832" s="75">
        <f>'THAM_SO_MOI'!$C$15*'THAM_SO_MOI'!$C$16*F4832^2</f>
        <v>1807.3907284573488</v>
      </c>
      <c r="N4832" s="75">
        <f>'THAM_SO_MOI'!$C$12*I4832</f>
        <v>1595.6513620326816</v>
      </c>
      <c r="O4832" s="75">
        <f>M4832+N4832</f>
        <v>3403.04209049003</v>
      </c>
      <c r="P4832" s="75">
        <f>(MIN(L4832,'THAM_SO_MOI'!$C$41)-O4832)/('THAM_SO_MOI'!$C$11*H4832)</f>
        <v>0.03968376765270154</v>
      </c>
      <c r="Q4832" s="75">
        <f>IF(P4832&gt;0,1/P4832,NA())</f>
        <v>25.199220213958775</v>
      </c>
      <c r="R4832" s="75">
        <f>F4832-F4831</f>
        <v>0.0035868055555567935</v>
      </c>
      <c r="S4832" s="75">
        <f>0.5*(Q4831+Q4832)*R4832</f>
        <v>0.09028506547827804</v>
      </c>
      <c r="T4832" s="75">
        <f>0.5*(F4831*Q4831+F4832*Q4832)*R4832</f>
        <v>2.244128430881784</v>
      </c>
      <c r="U4832" s="76">
        <f>U4831+S4832</f>
        <v>102.32522978823626</v>
      </c>
      <c r="V4832" s="76">
        <f>V4831+T4832</f>
        <v>1892.9286857864324</v>
      </c>
    </row>
    <row r="4833" spans="1:22" ht="19" customHeight="1">
      <c r="A4833" s="68" t="s">
        <v>378</v>
      </c>
      <c r="B4833" s="74">
        <v>5</v>
      </c>
      <c r="C4833" s="68" t="s">
        <v>363</v>
      </c>
      <c r="D4833" s="68" t="s">
        <v>365</v>
      </c>
      <c r="E4833" s="75">
        <f>60*F4833*'THAM_SO_MOI'!$C$53/(2*PI()*'THAM_SO_MOI'!$C$26)</f>
        <v>2449.503105263157</v>
      </c>
      <c r="F4833" s="75">
        <f>'THAM_SO_MOI'!$C$14+('THAM_SO_MOI'!$C$37-'THAM_SO_MOI'!$C$14)*742/'THAM_SO_MOI'!$C$42</f>
        <v>24.86140972222222</v>
      </c>
      <c r="G4833" s="75">
        <f>3.6*F4833</f>
        <v>89.501075</v>
      </c>
      <c r="H4833" s="75">
        <f>'THAM_SO_MOI'!$D$53</f>
        <v>1.1</v>
      </c>
      <c r="I4833" s="75">
        <f>IF(F4833&gt;='THAM_SO_MOI'!$C$14,'THAM_SO_MOI'!$C$13*(1+F4833^2/1500),'THAM_SO_MOI'!$C$13)</f>
        <v>0.021180896933762055</v>
      </c>
      <c r="J4833" s="75">
        <f>'THAM_SO_MOI'!$C$40*('THAM_SO_MOI'!$C$23*(E4833/'THAM_SO_MOI'!$C$22)+'THAM_SO_MOI'!$C$24*(E4833/'THAM_SO_MOI'!$C$22)^2-'THAM_SO_MOI'!$C$25*(E4833/'THAM_SO_MOI'!$C$22)^3)</f>
        <v>109.3170917352646</v>
      </c>
      <c r="K4833" s="75">
        <f>'THAM_SO_MOI'!$C$31*J4833/E4833</f>
        <v>426.2490197022244</v>
      </c>
      <c r="L4833" s="75">
        <f>K4833*'THAM_SO_MOI'!$C$53*'THAM_SO_MOI'!$C$17/'THAM_SO_MOI'!$C$26</f>
        <v>3738.2055706875203</v>
      </c>
      <c r="M4833" s="75">
        <f>'THAM_SO_MOI'!$C$15*'THAM_SO_MOI'!$C$16*F4833^2</f>
        <v>1807.9123531254015</v>
      </c>
      <c r="N4833" s="75">
        <f>'THAM_SO_MOI'!$C$12*I4833</f>
        <v>1595.7857197071803</v>
      </c>
      <c r="O4833" s="75">
        <f>M4833+N4833</f>
        <v>3403.6980728325816</v>
      </c>
      <c r="P4833" s="75">
        <f>(MIN(L4833,'THAM_SO_MOI'!$C$41)-O4833)/('THAM_SO_MOI'!$C$11*H4833)</f>
        <v>0.039596057984722835</v>
      </c>
      <c r="Q4833" s="75">
        <f>IF(P4833&gt;0,1/P4833,NA())</f>
        <v>25.255039286633668</v>
      </c>
      <c r="R4833" s="75">
        <f>F4833-F4832</f>
        <v>0.0035868055555532408</v>
      </c>
      <c r="S4833" s="75">
        <f>0.5*(Q4832+Q4833)*R4833</f>
        <v>0.09048480913902493</v>
      </c>
      <c r="T4833" s="75">
        <f>0.5*(F4832*Q4832+F4833*Q4833)*R4833</f>
        <v>2.2494178174648414</v>
      </c>
      <c r="U4833" s="76">
        <f>U4832+S4833</f>
        <v>102.41571459737528</v>
      </c>
      <c r="V4833" s="76">
        <f>V4832+T4833</f>
        <v>1895.1781036038972</v>
      </c>
    </row>
    <row r="4834" spans="1:22" ht="19" customHeight="1">
      <c r="A4834" s="68" t="s">
        <v>378</v>
      </c>
      <c r="B4834" s="74">
        <v>5</v>
      </c>
      <c r="C4834" s="68" t="s">
        <v>363</v>
      </c>
      <c r="D4834" s="68" t="s">
        <v>365</v>
      </c>
      <c r="E4834" s="75">
        <f>60*F4834*'THAM_SO_MOI'!$C$53/(2*PI()*'THAM_SO_MOI'!$C$26)</f>
        <v>2449.8564999999994</v>
      </c>
      <c r="F4834" s="75">
        <f>'THAM_SO_MOI'!$C$14+('THAM_SO_MOI'!$C$37-'THAM_SO_MOI'!$C$14)*743/'THAM_SO_MOI'!$C$42</f>
        <v>24.864996527777777</v>
      </c>
      <c r="G4834" s="75">
        <f>3.6*F4834</f>
        <v>89.5139875</v>
      </c>
      <c r="H4834" s="75">
        <f>'THAM_SO_MOI'!$D$53</f>
        <v>1.1</v>
      </c>
      <c r="I4834" s="75">
        <f>IF(F4834&gt;='THAM_SO_MOI'!$C$14,'THAM_SO_MOI'!$C$13*(1+F4834^2/1500),'THAM_SO_MOI'!$C$13)</f>
        <v>0.021182680523264007</v>
      </c>
      <c r="J4834" s="75">
        <f>'THAM_SO_MOI'!$C$40*('THAM_SO_MOI'!$C$23*(E4834/'THAM_SO_MOI'!$C$22)+'THAM_SO_MOI'!$C$24*(E4834/'THAM_SO_MOI'!$C$22)^2-'THAM_SO_MOI'!$C$25*(E4834/'THAM_SO_MOI'!$C$22)^3)</f>
        <v>109.33037431719632</v>
      </c>
      <c r="K4834" s="75">
        <f>'THAM_SO_MOI'!$C$31*J4834/E4834</f>
        <v>426.23931672026373</v>
      </c>
      <c r="L4834" s="75">
        <f>K4834*'THAM_SO_MOI'!$C$53*'THAM_SO_MOI'!$C$17/'THAM_SO_MOI'!$C$26</f>
        <v>3738.120475497757</v>
      </c>
      <c r="M4834" s="75">
        <f>'THAM_SO_MOI'!$C$15*'THAM_SO_MOI'!$C$16*F4834^2</f>
        <v>1808.4340530547227</v>
      </c>
      <c r="N4834" s="75">
        <f>'THAM_SO_MOI'!$C$12*I4834</f>
        <v>1595.920096767129</v>
      </c>
      <c r="O4834" s="75">
        <f>M4834+N4834</f>
        <v>3404.354149821852</v>
      </c>
      <c r="P4834" s="75">
        <f>(MIN(L4834,'THAM_SO_MOI'!$C$41)-O4834)/('THAM_SO_MOI'!$C$11*H4834)</f>
        <v>0.03950832453550016</v>
      </c>
      <c r="Q4834" s="75">
        <f>IF(P4834&gt;0,1/P4834,NA())</f>
        <v>25.31112143471058</v>
      </c>
      <c r="R4834" s="75">
        <f>F4834-F4833</f>
        <v>0.0035868055555567935</v>
      </c>
      <c r="S4834" s="75">
        <f>0.5*(Q4833+Q4834)*R4834</f>
        <v>0.09068549309924763</v>
      </c>
      <c r="T4834" s="75">
        <f>0.5*(F4833*Q4833+F4834*Q4834)*R4834</f>
        <v>2.254732015794029</v>
      </c>
      <c r="U4834" s="76">
        <f>U4833+S4834</f>
        <v>102.50640009047453</v>
      </c>
      <c r="V4834" s="76">
        <f>V4833+T4834</f>
        <v>1897.432835619691</v>
      </c>
    </row>
    <row r="4835" spans="1:22" ht="19" customHeight="1">
      <c r="A4835" s="68" t="s">
        <v>378</v>
      </c>
      <c r="B4835" s="74">
        <v>5</v>
      </c>
      <c r="C4835" s="68" t="s">
        <v>363</v>
      </c>
      <c r="D4835" s="68" t="s">
        <v>365</v>
      </c>
      <c r="E4835" s="75">
        <f>60*F4835*'THAM_SO_MOI'!$C$53/(2*PI()*'THAM_SO_MOI'!$C$26)</f>
        <v>2450.2098947368418</v>
      </c>
      <c r="F4835" s="75">
        <f>'THAM_SO_MOI'!$C$14+('THAM_SO_MOI'!$C$37-'THAM_SO_MOI'!$C$14)*744/'THAM_SO_MOI'!$C$42</f>
        <v>24.868583333333333</v>
      </c>
      <c r="G4835" s="75">
        <f>3.6*F4835</f>
        <v>89.5269</v>
      </c>
      <c r="H4835" s="75">
        <f>'THAM_SO_MOI'!$D$53</f>
        <v>1.1</v>
      </c>
      <c r="I4835" s="75">
        <f>IF(F4835&gt;='THAM_SO_MOI'!$C$14,'THAM_SO_MOI'!$C$13*(1+F4835^2/1500),'THAM_SO_MOI'!$C$13)</f>
        <v>0.021184464370069444</v>
      </c>
      <c r="J4835" s="75">
        <f>'THAM_SO_MOI'!$C$40*('THAM_SO_MOI'!$C$23*(E4835/'THAM_SO_MOI'!$C$22)+'THAM_SO_MOI'!$C$24*(E4835/'THAM_SO_MOI'!$C$22)^2-'THAM_SO_MOI'!$C$25*(E4835/'THAM_SO_MOI'!$C$22)^3)</f>
        <v>109.34365307290095</v>
      </c>
      <c r="K4835" s="75">
        <f>'THAM_SO_MOI'!$C$31*J4835/E4835</f>
        <v>426.22960162231834</v>
      </c>
      <c r="L4835" s="75">
        <f>K4835*'THAM_SO_MOI'!$C$53*'THAM_SO_MOI'!$C$17/'THAM_SO_MOI'!$C$26</f>
        <v>3738.035274050761</v>
      </c>
      <c r="M4835" s="75">
        <f>'THAM_SO_MOI'!$C$15*'THAM_SO_MOI'!$C$16*F4835^2</f>
        <v>1808.955828245313</v>
      </c>
      <c r="N4835" s="75">
        <f>'THAM_SO_MOI'!$C$12*I4835</f>
        <v>1596.054493212528</v>
      </c>
      <c r="O4835" s="75">
        <f>M4835+N4835</f>
        <v>3405.010321457841</v>
      </c>
      <c r="P4835" s="75">
        <f>(MIN(L4835,'THAM_SO_MOI'!$C$41)-O4835)/('THAM_SO_MOI'!$C$11*H4835)</f>
        <v>0.03942056730503315</v>
      </c>
      <c r="Q4835" s="75">
        <f>IF(P4835&gt;0,1/P4835,NA())</f>
        <v>25.367468516170284</v>
      </c>
      <c r="R4835" s="75">
        <f>F4835-F4834</f>
        <v>0.0035868055555567935</v>
      </c>
      <c r="S4835" s="75">
        <f>0.5*(Q4834+Q4835)*R4835</f>
        <v>0.09088712399180209</v>
      </c>
      <c r="T4835" s="75">
        <f>0.5*(F4834*Q4834+F4835*Q4835)*R4835</f>
        <v>2.260071200925251</v>
      </c>
      <c r="U4835" s="76">
        <f>U4834+S4835</f>
        <v>102.59728721446633</v>
      </c>
      <c r="V4835" s="76">
        <f>V4834+T4835</f>
        <v>1899.6929068206164</v>
      </c>
    </row>
    <row r="4836" spans="1:22" ht="19" customHeight="1">
      <c r="A4836" s="68" t="s">
        <v>378</v>
      </c>
      <c r="B4836" s="74">
        <v>5</v>
      </c>
      <c r="C4836" s="68" t="s">
        <v>363</v>
      </c>
      <c r="D4836" s="68" t="s">
        <v>365</v>
      </c>
      <c r="E4836" s="75">
        <f>60*F4836*'THAM_SO_MOI'!$C$53/(2*PI()*'THAM_SO_MOI'!$C$26)</f>
        <v>2450.5632894736837</v>
      </c>
      <c r="F4836" s="75">
        <f>'THAM_SO_MOI'!$C$14+('THAM_SO_MOI'!$C$37-'THAM_SO_MOI'!$C$14)*745/'THAM_SO_MOI'!$C$42</f>
        <v>24.872170138888887</v>
      </c>
      <c r="G4836" s="75">
        <f>3.6*F4836</f>
        <v>89.5398125</v>
      </c>
      <c r="H4836" s="75">
        <f>'THAM_SO_MOI'!$D$53</f>
        <v>1.1</v>
      </c>
      <c r="I4836" s="75">
        <f>IF(F4836&gt;='THAM_SO_MOI'!$C$14,'THAM_SO_MOI'!$C$13*(1+F4836^2/1500),'THAM_SO_MOI'!$C$13)</f>
        <v>0.02118624847417836</v>
      </c>
      <c r="J4836" s="75">
        <f>'THAM_SO_MOI'!$C$40*('THAM_SO_MOI'!$C$23*(E4836/'THAM_SO_MOI'!$C$22)+'THAM_SO_MOI'!$C$24*(E4836/'THAM_SO_MOI'!$C$22)^2-'THAM_SO_MOI'!$C$25*(E4836/'THAM_SO_MOI'!$C$22)^3)</f>
        <v>109.35692800103374</v>
      </c>
      <c r="K4836" s="75">
        <f>'THAM_SO_MOI'!$C$31*J4836/E4836</f>
        <v>426.21987440838865</v>
      </c>
      <c r="L4836" s="75">
        <f>K4836*'THAM_SO_MOI'!$C$53*'THAM_SO_MOI'!$C$17/'THAM_SO_MOI'!$C$26</f>
        <v>3737.9499663465353</v>
      </c>
      <c r="M4836" s="75">
        <f>'THAM_SO_MOI'!$C$15*'THAM_SO_MOI'!$C$16*F4836^2</f>
        <v>1809.4776786971704</v>
      </c>
      <c r="N4836" s="75">
        <f>'THAM_SO_MOI'!$C$12*I4836</f>
        <v>1596.1889090433772</v>
      </c>
      <c r="O4836" s="75">
        <f>M4836+N4836</f>
        <v>3405.6665877405476</v>
      </c>
      <c r="P4836" s="75">
        <f>(MIN(L4836,'THAM_SO_MOI'!$C$41)-O4836)/('THAM_SO_MOI'!$C$11*H4836)</f>
        <v>0.039332786293322416</v>
      </c>
      <c r="Q4836" s="75">
        <f>IF(P4836&gt;0,1/P4836,NA())</f>
        <v>25.42408240653349</v>
      </c>
      <c r="R4836" s="75">
        <f>F4836-F4835</f>
        <v>0.0035868055555532408</v>
      </c>
      <c r="S4836" s="75">
        <f>0.5*(Q4835+Q4836)*R4836</f>
        <v>0.09108970851235962</v>
      </c>
      <c r="T4836" s="75">
        <f>0.5*(F4835*Q4835+F4836*Q4836)*R4836</f>
        <v>2.2654355495718197</v>
      </c>
      <c r="U4836" s="76">
        <f>U4835+S4836</f>
        <v>102.68837692297869</v>
      </c>
      <c r="V4836" s="76">
        <f>V4835+T4836</f>
        <v>1901.9583423701881</v>
      </c>
    </row>
    <row r="4837" spans="1:22" ht="19" customHeight="1">
      <c r="A4837" s="68" t="s">
        <v>378</v>
      </c>
      <c r="B4837" s="74">
        <v>5</v>
      </c>
      <c r="C4837" s="68" t="s">
        <v>363</v>
      </c>
      <c r="D4837" s="68" t="s">
        <v>365</v>
      </c>
      <c r="E4837" s="75">
        <f>60*F4837*'THAM_SO_MOI'!$C$53/(2*PI()*'THAM_SO_MOI'!$C$26)</f>
        <v>2450.9166842105255</v>
      </c>
      <c r="F4837" s="75">
        <f>'THAM_SO_MOI'!$C$14+('THAM_SO_MOI'!$C$37-'THAM_SO_MOI'!$C$14)*746/'THAM_SO_MOI'!$C$42</f>
        <v>24.875756944444444</v>
      </c>
      <c r="G4837" s="75">
        <f>3.6*F4837</f>
        <v>89.552725</v>
      </c>
      <c r="H4837" s="75">
        <f>'THAM_SO_MOI'!$D$53</f>
        <v>1.1</v>
      </c>
      <c r="I4837" s="75">
        <f>IF(F4837&gt;='THAM_SO_MOI'!$C$14,'THAM_SO_MOI'!$C$13*(1+F4837^2/1500),'THAM_SO_MOI'!$C$13)</f>
        <v>0.021188032835590755</v>
      </c>
      <c r="J4837" s="75">
        <f>'THAM_SO_MOI'!$C$40*('THAM_SO_MOI'!$C$23*(E4837/'THAM_SO_MOI'!$C$22)+'THAM_SO_MOI'!$C$24*(E4837/'THAM_SO_MOI'!$C$22)^2-'THAM_SO_MOI'!$C$25*(E4837/'THAM_SO_MOI'!$C$22)^3)</f>
        <v>109.3701991002497</v>
      </c>
      <c r="K4837" s="75">
        <f>'THAM_SO_MOI'!$C$31*J4837/E4837</f>
        <v>426.2101350784744</v>
      </c>
      <c r="L4837" s="75">
        <f>K4837*'THAM_SO_MOI'!$C$53*'THAM_SO_MOI'!$C$17/'THAM_SO_MOI'!$C$26</f>
        <v>3737.8645523850782</v>
      </c>
      <c r="M4837" s="75">
        <f>'THAM_SO_MOI'!$C$15*'THAM_SO_MOI'!$C$16*F4837^2</f>
        <v>1809.9996044102975</v>
      </c>
      <c r="N4837" s="75">
        <f>'THAM_SO_MOI'!$C$12*I4837</f>
        <v>1596.323344259676</v>
      </c>
      <c r="O4837" s="75">
        <f>M4837+N4837</f>
        <v>3406.322948669974</v>
      </c>
      <c r="P4837" s="75">
        <f>(MIN(L4837,'THAM_SO_MOI'!$C$41)-O4837)/('THAM_SO_MOI'!$C$11*H4837)</f>
        <v>0.0392449815003675</v>
      </c>
      <c r="Q4837" s="75">
        <f>IF(P4837&gt;0,1/P4837,NA())</f>
        <v>25.480964999069645</v>
      </c>
      <c r="R4837" s="75">
        <f>F4837-F4836</f>
        <v>0.0035868055555567935</v>
      </c>
      <c r="S4837" s="75">
        <f>0.5*(Q4836+Q4837)*R4837</f>
        <v>0.09129325342014963</v>
      </c>
      <c r="T4837" s="75">
        <f>0.5*(F4836*Q4836+F4837*Q4837)*R4837</f>
        <v>2.270825240124051</v>
      </c>
      <c r="U4837" s="76">
        <f>U4836+S4837</f>
        <v>102.77967017639884</v>
      </c>
      <c r="V4837" s="76">
        <f>V4836+T4837</f>
        <v>1904.229167610312</v>
      </c>
    </row>
    <row r="4838" spans="1:22" ht="19" customHeight="1">
      <c r="A4838" s="68" t="s">
        <v>378</v>
      </c>
      <c r="B4838" s="74">
        <v>5</v>
      </c>
      <c r="C4838" s="68" t="s">
        <v>363</v>
      </c>
      <c r="D4838" s="68" t="s">
        <v>365</v>
      </c>
      <c r="E4838" s="75">
        <f>60*F4838*'THAM_SO_MOI'!$C$53/(2*PI()*'THAM_SO_MOI'!$C$26)</f>
        <v>2451.2700789473674</v>
      </c>
      <c r="F4838" s="75">
        <f>'THAM_SO_MOI'!$C$14+('THAM_SO_MOI'!$C$37-'THAM_SO_MOI'!$C$14)*747/'THAM_SO_MOI'!$C$42</f>
        <v>24.879343749999997</v>
      </c>
      <c r="G4838" s="75">
        <f>3.6*F4838</f>
        <v>89.5656375</v>
      </c>
      <c r="H4838" s="75">
        <f>'THAM_SO_MOI'!$D$53</f>
        <v>1.1</v>
      </c>
      <c r="I4838" s="75">
        <f>IF(F4838&gt;='THAM_SO_MOI'!$C$14,'THAM_SO_MOI'!$C$13*(1+F4838^2/1500),'THAM_SO_MOI'!$C$13)</f>
        <v>0.02118981745430664</v>
      </c>
      <c r="J4838" s="75">
        <f>'THAM_SO_MOI'!$C$40*('THAM_SO_MOI'!$C$23*(E4838/'THAM_SO_MOI'!$C$22)+'THAM_SO_MOI'!$C$24*(E4838/'THAM_SO_MOI'!$C$22)^2-'THAM_SO_MOI'!$C$25*(E4838/'THAM_SO_MOI'!$C$22)^3)</f>
        <v>109.38346636920403</v>
      </c>
      <c r="K4838" s="75">
        <f>'THAM_SO_MOI'!$C$31*J4838/E4838</f>
        <v>426.20038363257584</v>
      </c>
      <c r="L4838" s="75">
        <f>K4838*'THAM_SO_MOI'!$C$53*'THAM_SO_MOI'!$C$17/'THAM_SO_MOI'!$C$26</f>
        <v>3737.7790321663906</v>
      </c>
      <c r="M4838" s="75">
        <f>'THAM_SO_MOI'!$C$15*'THAM_SO_MOI'!$C$16*F4838^2</f>
        <v>1810.5216053846918</v>
      </c>
      <c r="N4838" s="75">
        <f>'THAM_SO_MOI'!$C$12*I4838</f>
        <v>1596.4577988614258</v>
      </c>
      <c r="O4838" s="75">
        <f>M4838+N4838</f>
        <v>3406.9794042461176</v>
      </c>
      <c r="P4838" s="75">
        <f>(MIN(L4838,'THAM_SO_MOI'!$C$41)-O4838)/('THAM_SO_MOI'!$C$11*H4838)</f>
        <v>0.03915715292616868</v>
      </c>
      <c r="Q4838" s="75">
        <f>IF(P4838&gt;0,1/P4838,NA())</f>
        <v>25.5381182050062</v>
      </c>
      <c r="R4838" s="75">
        <f>F4838-F4837</f>
        <v>0.0035868055555532408</v>
      </c>
      <c r="S4838" s="75">
        <f>0.5*(Q4837+Q4838)*R4838</f>
        <v>0.09149776553780613</v>
      </c>
      <c r="T4838" s="75">
        <f>0.5*(F4837*Q4837+F4838*Q4838)*R4838</f>
        <v>2.2762404526465922</v>
      </c>
      <c r="U4838" s="76">
        <f>U4837+S4838</f>
        <v>102.87116794193665</v>
      </c>
      <c r="V4838" s="76">
        <f>V4837+T4838</f>
        <v>1906.5054080629586</v>
      </c>
    </row>
    <row r="4839" spans="1:22" ht="19" customHeight="1">
      <c r="A4839" s="68" t="s">
        <v>378</v>
      </c>
      <c r="B4839" s="74">
        <v>5</v>
      </c>
      <c r="C4839" s="68" t="s">
        <v>363</v>
      </c>
      <c r="D4839" s="68" t="s">
        <v>365</v>
      </c>
      <c r="E4839" s="75">
        <f>60*F4839*'THAM_SO_MOI'!$C$53/(2*PI()*'THAM_SO_MOI'!$C$26)</f>
        <v>2451.62347368421</v>
      </c>
      <c r="F4839" s="75">
        <f>'THAM_SO_MOI'!$C$14+('THAM_SO_MOI'!$C$37-'THAM_SO_MOI'!$C$14)*748/'THAM_SO_MOI'!$C$42</f>
        <v>24.882930555555554</v>
      </c>
      <c r="G4839" s="75">
        <f>3.6*F4839</f>
        <v>89.57854999999999</v>
      </c>
      <c r="H4839" s="75">
        <f>'THAM_SO_MOI'!$D$53</f>
        <v>1.1</v>
      </c>
      <c r="I4839" s="75">
        <f>IF(F4839&gt;='THAM_SO_MOI'!$C$14,'THAM_SO_MOI'!$C$13*(1+F4839^2/1500),'THAM_SO_MOI'!$C$13)</f>
        <v>0.021191602330326</v>
      </c>
      <c r="J4839" s="75">
        <f>'THAM_SO_MOI'!$C$40*('THAM_SO_MOI'!$C$23*(E4839/'THAM_SO_MOI'!$C$22)+'THAM_SO_MOI'!$C$24*(E4839/'THAM_SO_MOI'!$C$22)^2-'THAM_SO_MOI'!$C$25*(E4839/'THAM_SO_MOI'!$C$22)^3)</f>
        <v>109.39672980655179</v>
      </c>
      <c r="K4839" s="75">
        <f>'THAM_SO_MOI'!$C$31*J4839/E4839</f>
        <v>426.1906200706928</v>
      </c>
      <c r="L4839" s="75">
        <f>K4839*'THAM_SO_MOI'!$C$53*'THAM_SO_MOI'!$C$17/'THAM_SO_MOI'!$C$26</f>
        <v>3737.6934056904715</v>
      </c>
      <c r="M4839" s="75">
        <f>'THAM_SO_MOI'!$C$15*'THAM_SO_MOI'!$C$16*F4839^2</f>
        <v>1811.0436816203558</v>
      </c>
      <c r="N4839" s="75">
        <f>'THAM_SO_MOI'!$C$12*I4839</f>
        <v>1596.592272848625</v>
      </c>
      <c r="O4839" s="75">
        <f>M4839+N4839</f>
        <v>3407.635954468981</v>
      </c>
      <c r="P4839" s="75">
        <f>(MIN(L4839,'THAM_SO_MOI'!$C$41)-O4839)/('THAM_SO_MOI'!$C$11*H4839)</f>
        <v>0.039069300570725704</v>
      </c>
      <c r="Q4839" s="75">
        <f>IF(P4839&gt;0,1/P4839,NA())</f>
        <v>25.59554395374284</v>
      </c>
      <c r="R4839" s="75">
        <f>F4839-F4838</f>
        <v>0.0035868055555567935</v>
      </c>
      <c r="S4839" s="75">
        <f>0.5*(Q4838+Q4839)*R4839</f>
        <v>0.09170325175348262</v>
      </c>
      <c r="T4839" s="75">
        <f>0.5*(F4838*Q4838+F4839*Q4839)*R4839</f>
        <v>2.281681368932174</v>
      </c>
      <c r="U4839" s="76">
        <f>U4838+S4839</f>
        <v>102.96287119369013</v>
      </c>
      <c r="V4839" s="76">
        <f>V4838+T4839</f>
        <v>1908.7870894318908</v>
      </c>
    </row>
    <row r="4840" spans="1:22" ht="19" customHeight="1">
      <c r="A4840" s="68" t="s">
        <v>378</v>
      </c>
      <c r="B4840" s="74">
        <v>5</v>
      </c>
      <c r="C4840" s="68" t="s">
        <v>363</v>
      </c>
      <c r="D4840" s="68" t="s">
        <v>365</v>
      </c>
      <c r="E4840" s="75">
        <f>60*F4840*'THAM_SO_MOI'!$C$53/(2*PI()*'THAM_SO_MOI'!$C$26)</f>
        <v>2451.976868421052</v>
      </c>
      <c r="F4840" s="75">
        <f>'THAM_SO_MOI'!$C$14+('THAM_SO_MOI'!$C$37-'THAM_SO_MOI'!$C$14)*749/'THAM_SO_MOI'!$C$42</f>
        <v>24.88651736111111</v>
      </c>
      <c r="G4840" s="75">
        <f>3.6*F4840</f>
        <v>89.5914625</v>
      </c>
      <c r="H4840" s="75">
        <f>'THAM_SO_MOI'!$D$53</f>
        <v>1.1</v>
      </c>
      <c r="I4840" s="75">
        <f>IF(F4840&gt;='THAM_SO_MOI'!$C$14,'THAM_SO_MOI'!$C$13*(1+F4840^2/1500),'THAM_SO_MOI'!$C$13)</f>
        <v>0.021193387463648846</v>
      </c>
      <c r="J4840" s="75">
        <f>'THAM_SO_MOI'!$C$40*('THAM_SO_MOI'!$C$23*(E4840/'THAM_SO_MOI'!$C$22)+'THAM_SO_MOI'!$C$24*(E4840/'THAM_SO_MOI'!$C$22)^2-'THAM_SO_MOI'!$C$25*(E4840/'THAM_SO_MOI'!$C$22)^3)</f>
        <v>109.4099894109481</v>
      </c>
      <c r="K4840" s="75">
        <f>'THAM_SO_MOI'!$C$31*J4840/E4840</f>
        <v>426.1808443928252</v>
      </c>
      <c r="L4840" s="75">
        <f>K4840*'THAM_SO_MOI'!$C$53*'THAM_SO_MOI'!$C$17/'THAM_SO_MOI'!$C$26</f>
        <v>3737.6076729573206</v>
      </c>
      <c r="M4840" s="75">
        <f>'THAM_SO_MOI'!$C$15*'THAM_SO_MOI'!$C$16*F4840^2</f>
        <v>1811.5658331172879</v>
      </c>
      <c r="N4840" s="75">
        <f>'THAM_SO_MOI'!$C$12*I4840</f>
        <v>1596.726766221275</v>
      </c>
      <c r="O4840" s="75">
        <f>M4840+N4840</f>
        <v>3408.292599338563</v>
      </c>
      <c r="P4840" s="75">
        <f>(MIN(L4840,'THAM_SO_MOI'!$C$41)-O4840)/('THAM_SO_MOI'!$C$11*H4840)</f>
        <v>0.03898142443403855</v>
      </c>
      <c r="Q4840" s="75">
        <f>IF(P4840&gt;0,1/P4840,NA())</f>
        <v>25.653244193067525</v>
      </c>
      <c r="R4840" s="75">
        <f>F4840-F4839</f>
        <v>0.0035868055555567935</v>
      </c>
      <c r="S4840" s="75">
        <f>0.5*(Q4839+Q4840)*R4840</f>
        <v>0.09190971902026629</v>
      </c>
      <c r="T4840" s="75">
        <f>0.5*(F4839*Q4839+F4840*Q4840)*R4840</f>
        <v>2.287148172488211</v>
      </c>
      <c r="U4840" s="76">
        <f>U4839+S4840</f>
        <v>103.0547809127104</v>
      </c>
      <c r="V4840" s="76">
        <f>V4839+T4840</f>
        <v>1911.074237604379</v>
      </c>
    </row>
    <row r="4841" spans="1:22" ht="19" customHeight="1">
      <c r="A4841" s="68" t="s">
        <v>378</v>
      </c>
      <c r="B4841" s="74">
        <v>5</v>
      </c>
      <c r="C4841" s="68" t="s">
        <v>363</v>
      </c>
      <c r="D4841" s="68" t="s">
        <v>365</v>
      </c>
      <c r="E4841" s="75">
        <f>60*F4841*'THAM_SO_MOI'!$C$53/(2*PI()*'THAM_SO_MOI'!$C$26)</f>
        <v>2452.330263157894</v>
      </c>
      <c r="F4841" s="75">
        <f>'THAM_SO_MOI'!$C$14+('THAM_SO_MOI'!$C$37-'THAM_SO_MOI'!$C$14)*750/'THAM_SO_MOI'!$C$42</f>
        <v>24.890104166666664</v>
      </c>
      <c r="G4841" s="75">
        <f>3.6*F4841</f>
        <v>89.60437499999999</v>
      </c>
      <c r="H4841" s="75">
        <f>'THAM_SO_MOI'!$D$53</f>
        <v>1.1</v>
      </c>
      <c r="I4841" s="75">
        <f>IF(F4841&gt;='THAM_SO_MOI'!$C$14,'THAM_SO_MOI'!$C$13*(1+F4841^2/1500),'THAM_SO_MOI'!$C$13)</f>
        <v>0.02119517285427517</v>
      </c>
      <c r="J4841" s="75">
        <f>'THAM_SO_MOI'!$C$40*('THAM_SO_MOI'!$C$23*(E4841/'THAM_SO_MOI'!$C$22)+'THAM_SO_MOI'!$C$24*(E4841/'THAM_SO_MOI'!$C$22)^2-'THAM_SO_MOI'!$C$25*(E4841/'THAM_SO_MOI'!$C$22)^3)</f>
        <v>109.42324518104805</v>
      </c>
      <c r="K4841" s="75">
        <f>'THAM_SO_MOI'!$C$31*J4841/E4841</f>
        <v>426.17105659897317</v>
      </c>
      <c r="L4841" s="75">
        <f>K4841*'THAM_SO_MOI'!$C$53*'THAM_SO_MOI'!$C$17/'THAM_SO_MOI'!$C$26</f>
        <v>3737.521833966939</v>
      </c>
      <c r="M4841" s="75">
        <f>'THAM_SO_MOI'!$C$15*'THAM_SO_MOI'!$C$16*F4841^2</f>
        <v>1812.088059875488</v>
      </c>
      <c r="N4841" s="75">
        <f>'THAM_SO_MOI'!$C$12*I4841</f>
        <v>1596.8612789793747</v>
      </c>
      <c r="O4841" s="75">
        <f>M4841+N4841</f>
        <v>3408.9493388548626</v>
      </c>
      <c r="P4841" s="75">
        <f>(MIN(L4841,'THAM_SO_MOI'!$C$41)-O4841)/('THAM_SO_MOI'!$C$11*H4841)</f>
        <v>0.03889352451610754</v>
      </c>
      <c r="Q4841" s="75">
        <f>IF(P4841&gt;0,1/P4841,NA())</f>
        <v>25.711220889375955</v>
      </c>
      <c r="R4841" s="75">
        <f>F4841-F4840</f>
        <v>0.0035868055555532408</v>
      </c>
      <c r="S4841" s="75">
        <f>0.5*(Q4840+Q4841)*R4841</f>
        <v>0.09211717435786436</v>
      </c>
      <c r="T4841" s="75">
        <f>0.5*(F4840*Q4840+F4841*Q4841)*R4841</f>
        <v>2.292641048579938</v>
      </c>
      <c r="U4841" s="76">
        <f>U4840+S4841</f>
        <v>103.14689808706827</v>
      </c>
      <c r="V4841" s="76">
        <f>V4840+T4841</f>
        <v>1913.366878652959</v>
      </c>
    </row>
    <row r="4842" spans="1:22" ht="19" customHeight="1">
      <c r="A4842" s="68" t="s">
        <v>378</v>
      </c>
      <c r="B4842" s="74">
        <v>5</v>
      </c>
      <c r="C4842" s="68" t="s">
        <v>363</v>
      </c>
      <c r="D4842" s="68" t="s">
        <v>365</v>
      </c>
      <c r="E4842" s="75">
        <f>60*F4842*'THAM_SO_MOI'!$C$53/(2*PI()*'THAM_SO_MOI'!$C$26)</f>
        <v>2452.6836578947364</v>
      </c>
      <c r="F4842" s="75">
        <f>'THAM_SO_MOI'!$C$14+('THAM_SO_MOI'!$C$37-'THAM_SO_MOI'!$C$14)*751/'THAM_SO_MOI'!$C$42</f>
        <v>24.89369097222222</v>
      </c>
      <c r="G4842" s="75">
        <f>3.6*F4842</f>
        <v>89.61728749999999</v>
      </c>
      <c r="H4842" s="75">
        <f>'THAM_SO_MOI'!$D$53</f>
        <v>1.1</v>
      </c>
      <c r="I4842" s="75">
        <f>IF(F4842&gt;='THAM_SO_MOI'!$C$14,'THAM_SO_MOI'!$C$13*(1+F4842^2/1500),'THAM_SO_MOI'!$C$13)</f>
        <v>0.02119695850220498</v>
      </c>
      <c r="J4842" s="75">
        <f>'THAM_SO_MOI'!$C$40*('THAM_SO_MOI'!$C$23*(E4842/'THAM_SO_MOI'!$C$22)+'THAM_SO_MOI'!$C$24*(E4842/'THAM_SO_MOI'!$C$22)^2-'THAM_SO_MOI'!$C$25*(E4842/'THAM_SO_MOI'!$C$22)^3)</f>
        <v>109.43649711550681</v>
      </c>
      <c r="K4842" s="75">
        <f>'THAM_SO_MOI'!$C$31*J4842/E4842</f>
        <v>426.1612566891368</v>
      </c>
      <c r="L4842" s="75">
        <f>K4842*'THAM_SO_MOI'!$C$53*'THAM_SO_MOI'!$C$17/'THAM_SO_MOI'!$C$26</f>
        <v>3737.4358887193275</v>
      </c>
      <c r="M4842" s="75">
        <f>'THAM_SO_MOI'!$C$15*'THAM_SO_MOI'!$C$16*F4842^2</f>
        <v>1812.6103618949571</v>
      </c>
      <c r="N4842" s="75">
        <f>'THAM_SO_MOI'!$C$12*I4842</f>
        <v>1596.995811122925</v>
      </c>
      <c r="O4842" s="75">
        <f>M4842+N4842</f>
        <v>3409.606173017882</v>
      </c>
      <c r="P4842" s="75">
        <f>(MIN(L4842,'THAM_SO_MOI'!$C$41)-O4842)/('THAM_SO_MOI'!$C$11*H4842)</f>
        <v>0.038805600816932455</v>
      </c>
      <c r="Q4842" s="75">
        <f>IF(P4842&gt;0,1/P4842,NA())</f>
        <v>25.76947602789491</v>
      </c>
      <c r="R4842" s="75">
        <f>F4842-F4841</f>
        <v>0.0035868055555567935</v>
      </c>
      <c r="S4842" s="75">
        <f>0.5*(Q4841+Q4842)*R4842</f>
        <v>0.0923256248534013</v>
      </c>
      <c r="T4842" s="75">
        <f>0.5*(F4841*Q4841+F4842*Q4842)*R4842</f>
        <v>2.2981601842514445</v>
      </c>
      <c r="U4842" s="76">
        <f>U4841+S4842</f>
        <v>103.23922371192167</v>
      </c>
      <c r="V4842" s="76">
        <f>V4841+T4842</f>
        <v>1915.6650388372104</v>
      </c>
    </row>
    <row r="4843" spans="1:22" ht="19" customHeight="1">
      <c r="A4843" s="68" t="s">
        <v>378</v>
      </c>
      <c r="B4843" s="74">
        <v>5</v>
      </c>
      <c r="C4843" s="68" t="s">
        <v>363</v>
      </c>
      <c r="D4843" s="68" t="s">
        <v>365</v>
      </c>
      <c r="E4843" s="75">
        <f>60*F4843*'THAM_SO_MOI'!$C$53/(2*PI()*'THAM_SO_MOI'!$C$26)</f>
        <v>2453.0370526315783</v>
      </c>
      <c r="F4843" s="75">
        <f>'THAM_SO_MOI'!$C$14+('THAM_SO_MOI'!$C$37-'THAM_SO_MOI'!$C$14)*752/'THAM_SO_MOI'!$C$42</f>
        <v>24.897277777777777</v>
      </c>
      <c r="G4843" s="75">
        <f>3.6*F4843</f>
        <v>89.6302</v>
      </c>
      <c r="H4843" s="75">
        <f>'THAM_SO_MOI'!$D$53</f>
        <v>1.1</v>
      </c>
      <c r="I4843" s="75">
        <f>IF(F4843&gt;='THAM_SO_MOI'!$C$14,'THAM_SO_MOI'!$C$13*(1+F4843^2/1500),'THAM_SO_MOI'!$C$13)</f>
        <v>0.02119874440743827</v>
      </c>
      <c r="J4843" s="75">
        <f>'THAM_SO_MOI'!$C$40*('THAM_SO_MOI'!$C$23*(E4843/'THAM_SO_MOI'!$C$22)+'THAM_SO_MOI'!$C$24*(E4843/'THAM_SO_MOI'!$C$22)^2-'THAM_SO_MOI'!$C$25*(E4843/'THAM_SO_MOI'!$C$22)^3)</f>
        <v>109.44974521297938</v>
      </c>
      <c r="K4843" s="75">
        <f>'THAM_SO_MOI'!$C$31*J4843/E4843</f>
        <v>426.1514446633158</v>
      </c>
      <c r="L4843" s="75">
        <f>K4843*'THAM_SO_MOI'!$C$53*'THAM_SO_MOI'!$C$17/'THAM_SO_MOI'!$C$26</f>
        <v>3737.349837214483</v>
      </c>
      <c r="M4843" s="75">
        <f>'THAM_SO_MOI'!$C$15*'THAM_SO_MOI'!$C$16*F4843^2</f>
        <v>1813.1327391756945</v>
      </c>
      <c r="N4843" s="75">
        <f>'THAM_SO_MOI'!$C$12*I4843</f>
        <v>1597.1303626519252</v>
      </c>
      <c r="O4843" s="75">
        <f>M4843+N4843</f>
        <v>3410.2631018276197</v>
      </c>
      <c r="P4843" s="75">
        <f>(MIN(L4843,'THAM_SO_MOI'!$C$41)-O4843)/('THAM_SO_MOI'!$C$11*H4843)</f>
        <v>0.03871765333651319</v>
      </c>
      <c r="Q4843" s="75">
        <f>IF(P4843&gt;0,1/P4843,NA())</f>
        <v>25.828011612907773</v>
      </c>
      <c r="R4843" s="75">
        <f>F4843-F4842</f>
        <v>0.0035868055555567935</v>
      </c>
      <c r="S4843" s="75">
        <f>0.5*(Q4842+Q4843)*R4843</f>
        <v>0.09253507766140202</v>
      </c>
      <c r="T4843" s="75">
        <f>0.5*(F4842*Q4842+F4843*Q4843)*R4843</f>
        <v>2.3037057683264686</v>
      </c>
      <c r="U4843" s="76">
        <f>U4842+S4843</f>
        <v>103.33175878958306</v>
      </c>
      <c r="V4843" s="76">
        <f>V4842+T4843</f>
        <v>1917.9687446055368</v>
      </c>
    </row>
    <row r="4844" spans="1:22" ht="19" customHeight="1">
      <c r="A4844" s="68" t="s">
        <v>378</v>
      </c>
      <c r="B4844" s="74">
        <v>5</v>
      </c>
      <c r="C4844" s="68" t="s">
        <v>363</v>
      </c>
      <c r="D4844" s="68" t="s">
        <v>365</v>
      </c>
      <c r="E4844" s="75">
        <f>60*F4844*'THAM_SO_MOI'!$C$53/(2*PI()*'THAM_SO_MOI'!$C$26)</f>
        <v>2453.39044736842</v>
      </c>
      <c r="F4844" s="75">
        <f>'THAM_SO_MOI'!$C$14+('THAM_SO_MOI'!$C$37-'THAM_SO_MOI'!$C$14)*753/'THAM_SO_MOI'!$C$42</f>
        <v>24.90086458333333</v>
      </c>
      <c r="G4844" s="75">
        <f>3.6*F4844</f>
        <v>89.64311249999999</v>
      </c>
      <c r="H4844" s="75">
        <f>'THAM_SO_MOI'!$D$53</f>
        <v>1.1</v>
      </c>
      <c r="I4844" s="75">
        <f>IF(F4844&gt;='THAM_SO_MOI'!$C$14,'THAM_SO_MOI'!$C$13*(1+F4844^2/1500),'THAM_SO_MOI'!$C$13)</f>
        <v>0.02120053056997504</v>
      </c>
      <c r="J4844" s="75">
        <f>'THAM_SO_MOI'!$C$40*('THAM_SO_MOI'!$C$23*(E4844/'THAM_SO_MOI'!$C$22)+'THAM_SO_MOI'!$C$24*(E4844/'THAM_SO_MOI'!$C$22)^2-'THAM_SO_MOI'!$C$25*(E4844/'THAM_SO_MOI'!$C$22)^3)</f>
        <v>109.462989472121</v>
      </c>
      <c r="K4844" s="75">
        <f>'THAM_SO_MOI'!$C$31*J4844/E4844</f>
        <v>426.1416205215105</v>
      </c>
      <c r="L4844" s="75">
        <f>K4844*'THAM_SO_MOI'!$C$53*'THAM_SO_MOI'!$C$17/'THAM_SO_MOI'!$C$26</f>
        <v>3737.263679452409</v>
      </c>
      <c r="M4844" s="75">
        <f>'THAM_SO_MOI'!$C$15*'THAM_SO_MOI'!$C$16*F4844^2</f>
        <v>1813.6551917177</v>
      </c>
      <c r="N4844" s="75">
        <f>'THAM_SO_MOI'!$C$12*I4844</f>
        <v>1597.2649335663757</v>
      </c>
      <c r="O4844" s="75">
        <f>M4844+N4844</f>
        <v>3410.9201252840758</v>
      </c>
      <c r="P4844" s="75">
        <f>(MIN(L4844,'THAM_SO_MOI'!$C$41)-O4844)/('THAM_SO_MOI'!$C$11*H4844)</f>
        <v>0.03862968207485007</v>
      </c>
      <c r="Q4844" s="75">
        <f>IF(P4844&gt;0,1/P4844,NA())</f>
        <v>25.88682966798352</v>
      </c>
      <c r="R4844" s="75">
        <f>F4844-F4843</f>
        <v>0.0035868055555532408</v>
      </c>
      <c r="S4844" s="75">
        <f>0.5*(Q4843+Q4844)*R4844</f>
        <v>0.09274554000542748</v>
      </c>
      <c r="T4844" s="75">
        <f>0.5*(F4843*Q4843+F4844*Q4844)*R4844</f>
        <v>2.309277991450331</v>
      </c>
      <c r="U4844" s="76">
        <f>U4843+S4844</f>
        <v>103.42450432958849</v>
      </c>
      <c r="V4844" s="76">
        <f>V4843+T4844</f>
        <v>1920.278022596987</v>
      </c>
    </row>
    <row r="4845" spans="1:22" ht="19" customHeight="1">
      <c r="A4845" s="68" t="s">
        <v>378</v>
      </c>
      <c r="B4845" s="74">
        <v>5</v>
      </c>
      <c r="C4845" s="68" t="s">
        <v>363</v>
      </c>
      <c r="D4845" s="68" t="s">
        <v>365</v>
      </c>
      <c r="E4845" s="75">
        <f>60*F4845*'THAM_SO_MOI'!$C$53/(2*PI()*'THAM_SO_MOI'!$C$26)</f>
        <v>2453.7438421052625</v>
      </c>
      <c r="F4845" s="75">
        <f>'THAM_SO_MOI'!$C$14+('THAM_SO_MOI'!$C$37-'THAM_SO_MOI'!$C$14)*754/'THAM_SO_MOI'!$C$42</f>
        <v>24.904451388888887</v>
      </c>
      <c r="G4845" s="75">
        <f>3.6*F4845</f>
        <v>89.656025</v>
      </c>
      <c r="H4845" s="75">
        <f>'THAM_SO_MOI'!$D$53</f>
        <v>1.1</v>
      </c>
      <c r="I4845" s="75">
        <f>IF(F4845&gt;='THAM_SO_MOI'!$C$14,'THAM_SO_MOI'!$C$13*(1+F4845^2/1500),'THAM_SO_MOI'!$C$13)</f>
        <v>0.021202316989815295</v>
      </c>
      <c r="J4845" s="75">
        <f>'THAM_SO_MOI'!$C$40*('THAM_SO_MOI'!$C$23*(E4845/'THAM_SO_MOI'!$C$22)+'THAM_SO_MOI'!$C$24*(E4845/'THAM_SO_MOI'!$C$22)^2-'THAM_SO_MOI'!$C$25*(E4845/'THAM_SO_MOI'!$C$22)^3)</f>
        <v>109.4762298915867</v>
      </c>
      <c r="K4845" s="75">
        <f>'THAM_SO_MOI'!$C$31*J4845/E4845</f>
        <v>426.13178426372065</v>
      </c>
      <c r="L4845" s="75">
        <f>K4845*'THAM_SO_MOI'!$C$53*'THAM_SO_MOI'!$C$17/'THAM_SO_MOI'!$C$26</f>
        <v>3737.1774154331033</v>
      </c>
      <c r="M4845" s="75">
        <f>'THAM_SO_MOI'!$C$15*'THAM_SO_MOI'!$C$16*F4845^2</f>
        <v>1814.1777195209743</v>
      </c>
      <c r="N4845" s="75">
        <f>'THAM_SO_MOI'!$C$12*I4845</f>
        <v>1597.3995238662762</v>
      </c>
      <c r="O4845" s="75">
        <f>M4845+N4845</f>
        <v>3411.5772433872507</v>
      </c>
      <c r="P4845" s="75">
        <f>(MIN(L4845,'THAM_SO_MOI'!$C$41)-O4845)/('THAM_SO_MOI'!$C$11*H4845)</f>
        <v>0.0385416870319428</v>
      </c>
      <c r="Q4845" s="75">
        <f>IF(P4845&gt;0,1/P4845,NA())</f>
        <v>25.94593223620996</v>
      </c>
      <c r="R4845" s="75">
        <f>F4845-F4844</f>
        <v>0.0035868055555567935</v>
      </c>
      <c r="S4845" s="75">
        <f>0.5*(Q4844+Q4845)*R4845</f>
        <v>0.09295701917890684</v>
      </c>
      <c r="T4845" s="75">
        <f>0.5*(F4844*Q4844+F4845*Q4845)*R4845</f>
        <v>2.3148770461118957</v>
      </c>
      <c r="U4845" s="76">
        <f>U4844+S4845</f>
        <v>103.5174613487674</v>
      </c>
      <c r="V4845" s="76">
        <f>V4844+T4845</f>
        <v>1922.592899643099</v>
      </c>
    </row>
    <row r="4846" spans="1:22" ht="19" customHeight="1">
      <c r="A4846" s="68" t="s">
        <v>378</v>
      </c>
      <c r="B4846" s="74">
        <v>5</v>
      </c>
      <c r="C4846" s="68" t="s">
        <v>363</v>
      </c>
      <c r="D4846" s="68" t="s">
        <v>365</v>
      </c>
      <c r="E4846" s="75">
        <f>60*F4846*'THAM_SO_MOI'!$C$53/(2*PI()*'THAM_SO_MOI'!$C$26)</f>
        <v>2454.097236842105</v>
      </c>
      <c r="F4846" s="75">
        <f>'THAM_SO_MOI'!$C$14+('THAM_SO_MOI'!$C$37-'THAM_SO_MOI'!$C$14)*755/'THAM_SO_MOI'!$C$42</f>
        <v>24.908038194444444</v>
      </c>
      <c r="G4846" s="75">
        <f>3.6*F4846</f>
        <v>89.6689375</v>
      </c>
      <c r="H4846" s="75">
        <f>'THAM_SO_MOI'!$D$53</f>
        <v>1.1</v>
      </c>
      <c r="I4846" s="75">
        <f>IF(F4846&gt;='THAM_SO_MOI'!$C$14,'THAM_SO_MOI'!$C$13*(1+F4846^2/1500),'THAM_SO_MOI'!$C$13)</f>
        <v>0.02120410366695903</v>
      </c>
      <c r="J4846" s="75">
        <f>'THAM_SO_MOI'!$C$40*('THAM_SO_MOI'!$C$23*(E4846/'THAM_SO_MOI'!$C$22)+'THAM_SO_MOI'!$C$24*(E4846/'THAM_SO_MOI'!$C$22)^2-'THAM_SO_MOI'!$C$25*(E4846/'THAM_SO_MOI'!$C$22)^3)</f>
        <v>109.4894664700316</v>
      </c>
      <c r="K4846" s="75">
        <f>'THAM_SO_MOI'!$C$31*J4846/E4846</f>
        <v>426.1219358899463</v>
      </c>
      <c r="L4846" s="75">
        <f>K4846*'THAM_SO_MOI'!$C$53*'THAM_SO_MOI'!$C$17/'THAM_SO_MOI'!$C$26</f>
        <v>3737.0910451565665</v>
      </c>
      <c r="M4846" s="75">
        <f>'THAM_SO_MOI'!$C$15*'THAM_SO_MOI'!$C$16*F4846^2</f>
        <v>1814.7003225855174</v>
      </c>
      <c r="N4846" s="75">
        <f>'THAM_SO_MOI'!$C$12*I4846</f>
        <v>1597.534133551627</v>
      </c>
      <c r="O4846" s="75">
        <f>M4846+N4846</f>
        <v>3412.2344561371447</v>
      </c>
      <c r="P4846" s="75">
        <f>(MIN(L4846,'THAM_SO_MOI'!$C$41)-O4846)/('THAM_SO_MOI'!$C$11*H4846)</f>
        <v>0.03845366820779143</v>
      </c>
      <c r="Q4846" s="75">
        <f>IF(P4846&gt;0,1/P4846,NA())</f>
        <v>26.005321380428963</v>
      </c>
      <c r="R4846" s="75">
        <f>F4846-F4845</f>
        <v>0.0035868055555567935</v>
      </c>
      <c r="S4846" s="75">
        <f>0.5*(Q4845+Q4846)*R4846</f>
        <v>0.09316952254515022</v>
      </c>
      <c r="T4846" s="75">
        <f>0.5*(F4845*Q4845+F4846*Q4846)*R4846</f>
        <v>2.3205031266451375</v>
      </c>
      <c r="U4846" s="76">
        <f>U4845+S4846</f>
        <v>103.61063087131255</v>
      </c>
      <c r="V4846" s="76">
        <f>V4845+T4846</f>
        <v>1924.9134027697442</v>
      </c>
    </row>
    <row r="4847" spans="1:22" ht="19" customHeight="1">
      <c r="A4847" s="68" t="s">
        <v>378</v>
      </c>
      <c r="B4847" s="74">
        <v>5</v>
      </c>
      <c r="C4847" s="68" t="s">
        <v>363</v>
      </c>
      <c r="D4847" s="68" t="s">
        <v>365</v>
      </c>
      <c r="E4847" s="75">
        <f>60*F4847*'THAM_SO_MOI'!$C$53/(2*PI()*'THAM_SO_MOI'!$C$26)</f>
        <v>2454.4506315789467</v>
      </c>
      <c r="F4847" s="75">
        <f>'THAM_SO_MOI'!$C$14+('THAM_SO_MOI'!$C$37-'THAM_SO_MOI'!$C$14)*756/'THAM_SO_MOI'!$C$42</f>
        <v>24.911624999999997</v>
      </c>
      <c r="G4847" s="75">
        <f>3.6*F4847</f>
        <v>89.68185</v>
      </c>
      <c r="H4847" s="75">
        <f>'THAM_SO_MOI'!$D$53</f>
        <v>1.1</v>
      </c>
      <c r="I4847" s="75">
        <f>IF(F4847&gt;='THAM_SO_MOI'!$C$14,'THAM_SO_MOI'!$C$13*(1+F4847^2/1500),'THAM_SO_MOI'!$C$13)</f>
        <v>0.02120589060140625</v>
      </c>
      <c r="J4847" s="75">
        <f>'THAM_SO_MOI'!$C$40*('THAM_SO_MOI'!$C$23*(E4847/'THAM_SO_MOI'!$C$22)+'THAM_SO_MOI'!$C$24*(E4847/'THAM_SO_MOI'!$C$22)^2-'THAM_SO_MOI'!$C$25*(E4847/'THAM_SO_MOI'!$C$22)^3)</f>
        <v>109.50269920611082</v>
      </c>
      <c r="K4847" s="75">
        <f>'THAM_SO_MOI'!$C$31*J4847/E4847</f>
        <v>426.1120754001876</v>
      </c>
      <c r="L4847" s="75">
        <f>K4847*'THAM_SO_MOI'!$C$53*'THAM_SO_MOI'!$C$17/'THAM_SO_MOI'!$C$26</f>
        <v>3737.004568622798</v>
      </c>
      <c r="M4847" s="75">
        <f>'THAM_SO_MOI'!$C$15*'THAM_SO_MOI'!$C$16*F4847^2</f>
        <v>1815.2230009113277</v>
      </c>
      <c r="N4847" s="75">
        <f>'THAM_SO_MOI'!$C$12*I4847</f>
        <v>1597.668762622428</v>
      </c>
      <c r="O4847" s="75">
        <f>M4847+N4847</f>
        <v>3412.8917635337557</v>
      </c>
      <c r="P4847" s="75">
        <f>(MIN(L4847,'THAM_SO_MOI'!$C$41)-O4847)/('THAM_SO_MOI'!$C$11*H4847)</f>
        <v>0.038365625602396126</v>
      </c>
      <c r="Q4847" s="75">
        <f>IF(P4847&gt;0,1/P4847,NA())</f>
        <v>26.064999183475976</v>
      </c>
      <c r="R4847" s="75">
        <f>F4847-F4846</f>
        <v>0.0035868055555532408</v>
      </c>
      <c r="S4847" s="75">
        <f>0.5*(Q4846+Q4847)*R4847</f>
        <v>0.0933830575390262</v>
      </c>
      <c r="T4847" s="75">
        <f>0.5*(F4846*Q4846+F4847*Q4847)*R4847</f>
        <v>2.3261564292721872</v>
      </c>
      <c r="U4847" s="76">
        <f>U4846+S4847</f>
        <v>103.70401392885158</v>
      </c>
      <c r="V4847" s="76">
        <f>V4846+T4847</f>
        <v>1927.2395591990164</v>
      </c>
    </row>
    <row r="4848" spans="1:22" ht="19" customHeight="1">
      <c r="A4848" s="68" t="s">
        <v>378</v>
      </c>
      <c r="B4848" s="74">
        <v>5</v>
      </c>
      <c r="C4848" s="68" t="s">
        <v>363</v>
      </c>
      <c r="D4848" s="68" t="s">
        <v>365</v>
      </c>
      <c r="E4848" s="75">
        <f>60*F4848*'THAM_SO_MOI'!$C$53/(2*PI()*'THAM_SO_MOI'!$C$26)</f>
        <v>2454.804026315789</v>
      </c>
      <c r="F4848" s="75">
        <f>'THAM_SO_MOI'!$C$14+('THAM_SO_MOI'!$C$37-'THAM_SO_MOI'!$C$14)*757/'THAM_SO_MOI'!$C$42</f>
        <v>24.915211805555554</v>
      </c>
      <c r="G4848" s="75">
        <f>3.6*F4848</f>
        <v>89.6947625</v>
      </c>
      <c r="H4848" s="75">
        <f>'THAM_SO_MOI'!$D$53</f>
        <v>1.1</v>
      </c>
      <c r="I4848" s="75">
        <f>IF(F4848&gt;='THAM_SO_MOI'!$C$14,'THAM_SO_MOI'!$C$13*(1+F4848^2/1500),'THAM_SO_MOI'!$C$13)</f>
        <v>0.021207677793156948</v>
      </c>
      <c r="J4848" s="75">
        <f>'THAM_SO_MOI'!$C$40*('THAM_SO_MOI'!$C$23*(E4848/'THAM_SO_MOI'!$C$22)+'THAM_SO_MOI'!$C$24*(E4848/'THAM_SO_MOI'!$C$22)^2-'THAM_SO_MOI'!$C$25*(E4848/'THAM_SO_MOI'!$C$22)^3)</f>
        <v>109.51592809847949</v>
      </c>
      <c r="K4848" s="75">
        <f>'THAM_SO_MOI'!$C$31*J4848/E4848</f>
        <v>426.10220279444445</v>
      </c>
      <c r="L4848" s="75">
        <f>K4848*'THAM_SO_MOI'!$C$53*'THAM_SO_MOI'!$C$17/'THAM_SO_MOI'!$C$26</f>
        <v>3736.9179858317993</v>
      </c>
      <c r="M4848" s="75">
        <f>'THAM_SO_MOI'!$C$15*'THAM_SO_MOI'!$C$16*F4848^2</f>
        <v>1815.7457544984077</v>
      </c>
      <c r="N4848" s="75">
        <f>'THAM_SO_MOI'!$C$12*I4848</f>
        <v>1597.8034110786791</v>
      </c>
      <c r="O4848" s="75">
        <f>M4848+N4848</f>
        <v>3413.5491655770866</v>
      </c>
      <c r="P4848" s="75">
        <f>(MIN(L4848,'THAM_SO_MOI'!$C$41)-O4848)/('THAM_SO_MOI'!$C$11*H4848)</f>
        <v>0.03827755921575669</v>
      </c>
      <c r="Q4848" s="75">
        <f>IF(P4848&gt;0,1/P4848,NA())</f>
        <v>26.124967748423124</v>
      </c>
      <c r="R4848" s="75">
        <f>F4848-F4847</f>
        <v>0.0035868055555567935</v>
      </c>
      <c r="S4848" s="75">
        <f>0.5*(Q4847+Q4848)*R4848</f>
        <v>0.09359763166783051</v>
      </c>
      <c r="T4848" s="75">
        <f>0.5*(F4847*Q4847+F4848*Q4848)*R4848</f>
        <v>2.3318371521262518</v>
      </c>
      <c r="U4848" s="76">
        <f>U4847+S4848</f>
        <v>103.79761156051941</v>
      </c>
      <c r="V4848" s="76">
        <f>V4847+T4848</f>
        <v>1929.5713963511428</v>
      </c>
    </row>
    <row r="4849" spans="1:22" ht="19" customHeight="1">
      <c r="A4849" s="68" t="s">
        <v>378</v>
      </c>
      <c r="B4849" s="74">
        <v>5</v>
      </c>
      <c r="C4849" s="68" t="s">
        <v>363</v>
      </c>
      <c r="D4849" s="68" t="s">
        <v>365</v>
      </c>
      <c r="E4849" s="75">
        <f>60*F4849*'THAM_SO_MOI'!$C$53/(2*PI()*'THAM_SO_MOI'!$C$26)</f>
        <v>2455.157421052631</v>
      </c>
      <c r="F4849" s="75">
        <f>'THAM_SO_MOI'!$C$14+('THAM_SO_MOI'!$C$37-'THAM_SO_MOI'!$C$14)*758/'THAM_SO_MOI'!$C$42</f>
        <v>24.91879861111111</v>
      </c>
      <c r="G4849" s="75">
        <f>3.6*F4849</f>
        <v>89.707675</v>
      </c>
      <c r="H4849" s="75">
        <f>'THAM_SO_MOI'!$D$53</f>
        <v>1.1</v>
      </c>
      <c r="I4849" s="75">
        <f>IF(F4849&gt;='THAM_SO_MOI'!$C$14,'THAM_SO_MOI'!$C$13*(1+F4849^2/1500),'THAM_SO_MOI'!$C$13)</f>
        <v>0.02120946524221113</v>
      </c>
      <c r="J4849" s="75">
        <f>'THAM_SO_MOI'!$C$40*('THAM_SO_MOI'!$C$23*(E4849/'THAM_SO_MOI'!$C$22)+'THAM_SO_MOI'!$C$24*(E4849/'THAM_SO_MOI'!$C$22)^2-'THAM_SO_MOI'!$C$25*(E4849/'THAM_SO_MOI'!$C$22)^3)</f>
        <v>109.52915314579265</v>
      </c>
      <c r="K4849" s="75">
        <f>'THAM_SO_MOI'!$C$31*J4849/E4849</f>
        <v>426.0923180727167</v>
      </c>
      <c r="L4849" s="75">
        <f>K4849*'THAM_SO_MOI'!$C$53*'THAM_SO_MOI'!$C$17/'THAM_SO_MOI'!$C$26</f>
        <v>3736.8312967835686</v>
      </c>
      <c r="M4849" s="75">
        <f>'THAM_SO_MOI'!$C$15*'THAM_SO_MOI'!$C$16*F4849^2</f>
        <v>1816.2685833467558</v>
      </c>
      <c r="N4849" s="75">
        <f>'THAM_SO_MOI'!$C$12*I4849</f>
        <v>1597.9380789203803</v>
      </c>
      <c r="O4849" s="75">
        <f>M4849+N4849</f>
        <v>3414.2066622671364</v>
      </c>
      <c r="P4849" s="75">
        <f>(MIN(L4849,'THAM_SO_MOI'!$C$41)-O4849)/('THAM_SO_MOI'!$C$11*H4849)</f>
        <v>0.03818946904787316</v>
      </c>
      <c r="Q4849" s="75">
        <f>IF(P4849&gt;0,1/P4849,NA())</f>
        <v>26.185229198825212</v>
      </c>
      <c r="R4849" s="75">
        <f>F4849-F4848</f>
        <v>0.0035868055555567935</v>
      </c>
      <c r="S4849" s="75">
        <f>0.5*(Q4848+Q4849)*R4849</f>
        <v>0.09381325251133017</v>
      </c>
      <c r="T4849" s="75">
        <f>0.5*(F4848*Q4848+F4849*Q4849)*R4849</f>
        <v>2.337545495254017</v>
      </c>
      <c r="U4849" s="76">
        <f>U4848+S4849</f>
        <v>103.89142481303074</v>
      </c>
      <c r="V4849" s="76">
        <f>V4848+T4849</f>
        <v>1931.9089418463968</v>
      </c>
    </row>
    <row r="4850" spans="1:22" ht="19" customHeight="1">
      <c r="A4850" s="68" t="s">
        <v>378</v>
      </c>
      <c r="B4850" s="74">
        <v>5</v>
      </c>
      <c r="C4850" s="68" t="s">
        <v>363</v>
      </c>
      <c r="D4850" s="68" t="s">
        <v>365</v>
      </c>
      <c r="E4850" s="75">
        <f>60*F4850*'THAM_SO_MOI'!$C$53/(2*PI()*'THAM_SO_MOI'!$C$26)</f>
        <v>2455.510815789473</v>
      </c>
      <c r="F4850" s="75">
        <f>'THAM_SO_MOI'!$C$14+('THAM_SO_MOI'!$C$37-'THAM_SO_MOI'!$C$14)*759/'THAM_SO_MOI'!$C$42</f>
        <v>24.922385416666664</v>
      </c>
      <c r="G4850" s="75">
        <f>3.6*F4850</f>
        <v>89.7205875</v>
      </c>
      <c r="H4850" s="75">
        <f>'THAM_SO_MOI'!$D$53</f>
        <v>1.1</v>
      </c>
      <c r="I4850" s="75">
        <f>IF(F4850&gt;='THAM_SO_MOI'!$C$14,'THAM_SO_MOI'!$C$13*(1+F4850^2/1500),'THAM_SO_MOI'!$C$13)</f>
        <v>0.021211252948568793</v>
      </c>
      <c r="J4850" s="75">
        <f>'THAM_SO_MOI'!$C$40*('THAM_SO_MOI'!$C$23*(E4850/'THAM_SO_MOI'!$C$22)+'THAM_SO_MOI'!$C$24*(E4850/'THAM_SO_MOI'!$C$22)^2-'THAM_SO_MOI'!$C$25*(E4850/'THAM_SO_MOI'!$C$22)^3)</f>
        <v>109.54237434670547</v>
      </c>
      <c r="K4850" s="75">
        <f>'THAM_SO_MOI'!$C$31*J4850/E4850</f>
        <v>426.0824212350045</v>
      </c>
      <c r="L4850" s="75">
        <f>K4850*'THAM_SO_MOI'!$C$53*'THAM_SO_MOI'!$C$17/'THAM_SO_MOI'!$C$26</f>
        <v>3736.744501478107</v>
      </c>
      <c r="M4850" s="75">
        <f>'THAM_SO_MOI'!$C$15*'THAM_SO_MOI'!$C$16*F4850^2</f>
        <v>1816.791487456372</v>
      </c>
      <c r="N4850" s="75">
        <f>'THAM_SO_MOI'!$C$12*I4850</f>
        <v>1598.0727661475319</v>
      </c>
      <c r="O4850" s="75">
        <f>M4850+N4850</f>
        <v>3414.8642536039038</v>
      </c>
      <c r="P4850" s="75">
        <f>(MIN(L4850,'THAM_SO_MOI'!$C$41)-O4850)/('THAM_SO_MOI'!$C$11*H4850)</f>
        <v>0.03810135509874564</v>
      </c>
      <c r="Q4850" s="75">
        <f>IF(P4850&gt;0,1/P4850,NA())</f>
        <v>26.245785678969767</v>
      </c>
      <c r="R4850" s="75">
        <f>F4850-F4849</f>
        <v>0.0035868055555532408</v>
      </c>
      <c r="S4850" s="75">
        <f>0.5*(Q4849+Q4850)*R4850</f>
        <v>0.09402992772348483</v>
      </c>
      <c r="T4850" s="75">
        <f>0.5*(F4849*Q4849+F4850*Q4850)*R4850</f>
        <v>2.3432816606598403</v>
      </c>
      <c r="U4850" s="76">
        <f>U4849+S4850</f>
        <v>103.98545474075422</v>
      </c>
      <c r="V4850" s="76">
        <f>V4849+T4850</f>
        <v>1934.2522235070567</v>
      </c>
    </row>
    <row r="4851" spans="1:22" ht="19" customHeight="1">
      <c r="A4851" s="68" t="s">
        <v>378</v>
      </c>
      <c r="B4851" s="74">
        <v>5</v>
      </c>
      <c r="C4851" s="68" t="s">
        <v>363</v>
      </c>
      <c r="D4851" s="68" t="s">
        <v>365</v>
      </c>
      <c r="E4851" s="75">
        <f>60*F4851*'THAM_SO_MOI'!$C$53/(2*PI()*'THAM_SO_MOI'!$C$26)</f>
        <v>2455.8642105263148</v>
      </c>
      <c r="F4851" s="75">
        <f>'THAM_SO_MOI'!$C$14+('THAM_SO_MOI'!$C$37-'THAM_SO_MOI'!$C$14)*760/'THAM_SO_MOI'!$C$42</f>
        <v>24.92597222222222</v>
      </c>
      <c r="G4851" s="75">
        <f>3.6*F4851</f>
        <v>89.73349999999999</v>
      </c>
      <c r="H4851" s="75">
        <f>'THAM_SO_MOI'!$D$53</f>
        <v>1.1</v>
      </c>
      <c r="I4851" s="75">
        <f>IF(F4851&gt;='THAM_SO_MOI'!$C$14,'THAM_SO_MOI'!$C$13*(1+F4851^2/1500),'THAM_SO_MOI'!$C$13)</f>
        <v>0.02121304091222994</v>
      </c>
      <c r="J4851" s="75">
        <f>'THAM_SO_MOI'!$C$40*('THAM_SO_MOI'!$C$23*(E4851/'THAM_SO_MOI'!$C$22)+'THAM_SO_MOI'!$C$24*(E4851/'THAM_SO_MOI'!$C$22)^2-'THAM_SO_MOI'!$C$25*(E4851/'THAM_SO_MOI'!$C$22)^3)</f>
        <v>109.55559169987308</v>
      </c>
      <c r="K4851" s="75">
        <f>'THAM_SO_MOI'!$C$31*J4851/E4851</f>
        <v>426.07251228130804</v>
      </c>
      <c r="L4851" s="75">
        <f>K4851*'THAM_SO_MOI'!$C$53*'THAM_SO_MOI'!$C$17/'THAM_SO_MOI'!$C$26</f>
        <v>3736.657599915415</v>
      </c>
      <c r="M4851" s="75">
        <f>'THAM_SO_MOI'!$C$15*'THAM_SO_MOI'!$C$16*F4851^2</f>
        <v>1817.3144668272569</v>
      </c>
      <c r="N4851" s="75">
        <f>'THAM_SO_MOI'!$C$12*I4851</f>
        <v>1598.2074727601334</v>
      </c>
      <c r="O4851" s="75">
        <f>M4851+N4851</f>
        <v>3415.52193958739</v>
      </c>
      <c r="P4851" s="75">
        <f>(MIN(L4851,'THAM_SO_MOI'!$C$41)-O4851)/('THAM_SO_MOI'!$C$11*H4851)</f>
        <v>0.03801321736837415</v>
      </c>
      <c r="Q4851" s="75">
        <f>IF(P4851&gt;0,1/P4851,NA())</f>
        <v>26.3066393541308</v>
      </c>
      <c r="R4851" s="75">
        <f>F4851-F4850</f>
        <v>0.0035868055555567935</v>
      </c>
      <c r="S4851" s="75">
        <f>0.5*(Q4850+Q4851)*R4851</f>
        <v>0.09424766503335351</v>
      </c>
      <c r="T4851" s="75">
        <f>0.5*(F4850*Q4850+F4851*Q4851)*R4851</f>
        <v>2.3490458523296853</v>
      </c>
      <c r="U4851" s="76">
        <f>U4850+S4851</f>
        <v>104.07970240578757</v>
      </c>
      <c r="V4851" s="76">
        <f>V4850+T4851</f>
        <v>1936.6012693593864</v>
      </c>
    </row>
    <row r="4852" spans="1:22" ht="19" customHeight="1">
      <c r="A4852" s="68" t="s">
        <v>378</v>
      </c>
      <c r="B4852" s="74">
        <v>5</v>
      </c>
      <c r="C4852" s="68" t="s">
        <v>363</v>
      </c>
      <c r="D4852" s="68" t="s">
        <v>365</v>
      </c>
      <c r="E4852" s="75">
        <f>60*F4852*'THAM_SO_MOI'!$C$53/(2*PI()*'THAM_SO_MOI'!$C$26)</f>
        <v>2456.2176052631576</v>
      </c>
      <c r="F4852" s="75">
        <f>'THAM_SO_MOI'!$C$14+('THAM_SO_MOI'!$C$37-'THAM_SO_MOI'!$C$14)*761/'THAM_SO_MOI'!$C$42</f>
        <v>24.929559027777778</v>
      </c>
      <c r="G4852" s="75">
        <f>3.6*F4852</f>
        <v>89.7464125</v>
      </c>
      <c r="H4852" s="75">
        <f>'THAM_SO_MOI'!$D$53</f>
        <v>1.1</v>
      </c>
      <c r="I4852" s="75">
        <f>IF(F4852&gt;='THAM_SO_MOI'!$C$14,'THAM_SO_MOI'!$C$13*(1+F4852^2/1500),'THAM_SO_MOI'!$C$13)</f>
        <v>0.021214829133194564</v>
      </c>
      <c r="J4852" s="75">
        <f>'THAM_SO_MOI'!$C$40*('THAM_SO_MOI'!$C$23*(E4852/'THAM_SO_MOI'!$C$22)+'THAM_SO_MOI'!$C$24*(E4852/'THAM_SO_MOI'!$C$22)^2-'THAM_SO_MOI'!$C$25*(E4852/'THAM_SO_MOI'!$C$22)^3)</f>
        <v>109.56880520395056</v>
      </c>
      <c r="K4852" s="75">
        <f>'THAM_SO_MOI'!$C$31*J4852/E4852</f>
        <v>426.0625912116269</v>
      </c>
      <c r="L4852" s="75">
        <f>K4852*'THAM_SO_MOI'!$C$53*'THAM_SO_MOI'!$C$17/'THAM_SO_MOI'!$C$26</f>
        <v>3736.570592095491</v>
      </c>
      <c r="M4852" s="75">
        <f>'THAM_SO_MOI'!$C$15*'THAM_SO_MOI'!$C$16*F4852^2</f>
        <v>1817.8375214594105</v>
      </c>
      <c r="N4852" s="75">
        <f>'THAM_SO_MOI'!$C$12*I4852</f>
        <v>1598.342198758185</v>
      </c>
      <c r="O4852" s="75">
        <f>M4852+N4852</f>
        <v>3416.179720217596</v>
      </c>
      <c r="P4852" s="75">
        <f>(MIN(L4852,'THAM_SO_MOI'!$C$41)-O4852)/('THAM_SO_MOI'!$C$11*H4852)</f>
        <v>0.03792505585675846</v>
      </c>
      <c r="Q4852" s="75">
        <f>IF(P4852&gt;0,1/P4852,NA())</f>
        <v>26.36779241082632</v>
      </c>
      <c r="R4852" s="75">
        <f>F4852-F4851</f>
        <v>0.0035868055555567935</v>
      </c>
      <c r="S4852" s="75">
        <f>0.5*(Q4851+Q4852)*R4852</f>
        <v>0.09446647224517271</v>
      </c>
      <c r="T4852" s="75">
        <f>0.5*(F4851*Q4851+F4852*Q4852)*R4852</f>
        <v>2.354838276234413</v>
      </c>
      <c r="U4852" s="76">
        <f>U4851+S4852</f>
        <v>104.17416887803275</v>
      </c>
      <c r="V4852" s="76">
        <f>V4851+T4852</f>
        <v>1938.9561076356208</v>
      </c>
    </row>
    <row r="4853" spans="1:22" ht="19" customHeight="1">
      <c r="A4853" s="68" t="s">
        <v>378</v>
      </c>
      <c r="B4853" s="74">
        <v>5</v>
      </c>
      <c r="C4853" s="68" t="s">
        <v>363</v>
      </c>
      <c r="D4853" s="68" t="s">
        <v>365</v>
      </c>
      <c r="E4853" s="75">
        <f>60*F4853*'THAM_SO_MOI'!$C$53/(2*PI()*'THAM_SO_MOI'!$C$26)</f>
        <v>2456.570999999999</v>
      </c>
      <c r="F4853" s="75">
        <f>'THAM_SO_MOI'!$C$14+('THAM_SO_MOI'!$C$37-'THAM_SO_MOI'!$C$14)*762/'THAM_SO_MOI'!$C$42</f>
        <v>24.93314583333333</v>
      </c>
      <c r="G4853" s="75">
        <f>3.6*F4853</f>
        <v>89.75932499999999</v>
      </c>
      <c r="H4853" s="75">
        <f>'THAM_SO_MOI'!$D$53</f>
        <v>1.1</v>
      </c>
      <c r="I4853" s="75">
        <f>IF(F4853&gt;='THAM_SO_MOI'!$C$14,'THAM_SO_MOI'!$C$13*(1+F4853^2/1500),'THAM_SO_MOI'!$C$13)</f>
        <v>0.021216617611462672</v>
      </c>
      <c r="J4853" s="75">
        <f>'THAM_SO_MOI'!$C$40*('THAM_SO_MOI'!$C$23*(E4853/'THAM_SO_MOI'!$C$22)+'THAM_SO_MOI'!$C$24*(E4853/'THAM_SO_MOI'!$C$22)^2-'THAM_SO_MOI'!$C$25*(E4853/'THAM_SO_MOI'!$C$22)^3)</f>
        <v>109.582014857593</v>
      </c>
      <c r="K4853" s="75">
        <f>'THAM_SO_MOI'!$C$31*J4853/E4853</f>
        <v>426.0526580259615</v>
      </c>
      <c r="L4853" s="75">
        <f>K4853*'THAM_SO_MOI'!$C$53*'THAM_SO_MOI'!$C$17/'THAM_SO_MOI'!$C$26</f>
        <v>3736.483478018337</v>
      </c>
      <c r="M4853" s="75">
        <f>'THAM_SO_MOI'!$C$15*'THAM_SO_MOI'!$C$16*F4853^2</f>
        <v>1818.360651352832</v>
      </c>
      <c r="N4853" s="75">
        <f>'THAM_SO_MOI'!$C$12*I4853</f>
        <v>1598.476944141687</v>
      </c>
      <c r="O4853" s="75">
        <f>M4853+N4853</f>
        <v>3416.837595494519</v>
      </c>
      <c r="P4853" s="75">
        <f>(MIN(L4853,'THAM_SO_MOI'!$C$41)-O4853)/('THAM_SO_MOI'!$C$11*H4853)</f>
        <v>0.03783687056389889</v>
      </c>
      <c r="Q4853" s="75">
        <f>IF(P4853&gt;0,1/P4853,NA())</f>
        <v>26.429247057078904</v>
      </c>
      <c r="R4853" s="75">
        <f>F4853-F4852</f>
        <v>0.0035868055555532408</v>
      </c>
      <c r="S4853" s="75">
        <f>0.5*(Q4852+Q4853)*R4853</f>
        <v>0.09468635724012309</v>
      </c>
      <c r="T4853" s="75">
        <f>0.5*(F4852*Q4852+F4853*Q4853)*R4853</f>
        <v>2.3606591403751747</v>
      </c>
      <c r="U4853" s="76">
        <f>U4852+S4853</f>
        <v>104.26885523527287</v>
      </c>
      <c r="V4853" s="76">
        <f>V4852+T4853</f>
        <v>1941.316766775996</v>
      </c>
    </row>
    <row r="4854" spans="1:22" ht="19" customHeight="1">
      <c r="A4854" s="68" t="s">
        <v>378</v>
      </c>
      <c r="B4854" s="74">
        <v>5</v>
      </c>
      <c r="C4854" s="68" t="s">
        <v>363</v>
      </c>
      <c r="D4854" s="68" t="s">
        <v>365</v>
      </c>
      <c r="E4854" s="75">
        <f>60*F4854*'THAM_SO_MOI'!$C$53/(2*PI()*'THAM_SO_MOI'!$C$26)</f>
        <v>2456.9243947368414</v>
      </c>
      <c r="F4854" s="75">
        <f>'THAM_SO_MOI'!$C$14+('THAM_SO_MOI'!$C$37-'THAM_SO_MOI'!$C$14)*763/'THAM_SO_MOI'!$C$42</f>
        <v>24.936732638888888</v>
      </c>
      <c r="G4854" s="75">
        <f>3.6*F4854</f>
        <v>89.7722375</v>
      </c>
      <c r="H4854" s="75">
        <f>'THAM_SO_MOI'!$D$53</f>
        <v>1.1</v>
      </c>
      <c r="I4854" s="75">
        <f>IF(F4854&gt;='THAM_SO_MOI'!$C$14,'THAM_SO_MOI'!$C$13*(1+F4854^2/1500),'THAM_SO_MOI'!$C$13)</f>
        <v>0.02121840634703426</v>
      </c>
      <c r="J4854" s="75">
        <f>'THAM_SO_MOI'!$C$40*('THAM_SO_MOI'!$C$23*(E4854/'THAM_SO_MOI'!$C$22)+'THAM_SO_MOI'!$C$24*(E4854/'THAM_SO_MOI'!$C$22)^2-'THAM_SO_MOI'!$C$25*(E4854/'THAM_SO_MOI'!$C$22)^3)</f>
        <v>109.59522065945553</v>
      </c>
      <c r="K4854" s="75">
        <f>'THAM_SO_MOI'!$C$31*J4854/E4854</f>
        <v>426.04271272431157</v>
      </c>
      <c r="L4854" s="75">
        <f>K4854*'THAM_SO_MOI'!$C$53*'THAM_SO_MOI'!$C$17/'THAM_SO_MOI'!$C$26</f>
        <v>3736.3962576839513</v>
      </c>
      <c r="M4854" s="75">
        <f>'THAM_SO_MOI'!$C$15*'THAM_SO_MOI'!$C$16*F4854^2</f>
        <v>1818.8838565075223</v>
      </c>
      <c r="N4854" s="75">
        <f>'THAM_SO_MOI'!$C$12*I4854</f>
        <v>1598.611708910639</v>
      </c>
      <c r="O4854" s="75">
        <f>M4854+N4854</f>
        <v>3417.4955654181613</v>
      </c>
      <c r="P4854" s="75">
        <f>(MIN(L4854,'THAM_SO_MOI'!$C$41)-O4854)/('THAM_SO_MOI'!$C$11*H4854)</f>
        <v>0.037748661489795214</v>
      </c>
      <c r="Q4854" s="75">
        <f>IF(P4854&gt;0,1/P4854,NA())</f>
        <v>26.491005522681515</v>
      </c>
      <c r="R4854" s="75">
        <f>F4854-F4853</f>
        <v>0.0035868055555567935</v>
      </c>
      <c r="S4854" s="75">
        <f>0.5*(Q4853+Q4854)*R4854</f>
        <v>0.09490732797727669</v>
      </c>
      <c r="T4854" s="75">
        <f>0.5*(F4853*Q4853+F4854*Q4854)*R4854</f>
        <v>2.366508654808415</v>
      </c>
      <c r="U4854" s="76">
        <f>U4853+S4854</f>
        <v>104.36376256325015</v>
      </c>
      <c r="V4854" s="76">
        <f>V4853+T4854</f>
        <v>1943.6832754308045</v>
      </c>
    </row>
    <row r="4855" spans="1:22" ht="19" customHeight="1">
      <c r="A4855" s="68" t="s">
        <v>378</v>
      </c>
      <c r="B4855" s="74">
        <v>5</v>
      </c>
      <c r="C4855" s="68" t="s">
        <v>363</v>
      </c>
      <c r="D4855" s="68" t="s">
        <v>365</v>
      </c>
      <c r="E4855" s="75">
        <f>60*F4855*'THAM_SO_MOI'!$C$53/(2*PI()*'THAM_SO_MOI'!$C$26)</f>
        <v>2457.2777894736837</v>
      </c>
      <c r="F4855" s="75">
        <f>'THAM_SO_MOI'!$C$14+('THAM_SO_MOI'!$C$37-'THAM_SO_MOI'!$C$14)*764/'THAM_SO_MOI'!$C$42</f>
        <v>24.940319444444444</v>
      </c>
      <c r="G4855" s="75">
        <f>3.6*F4855</f>
        <v>89.78515</v>
      </c>
      <c r="H4855" s="75">
        <f>'THAM_SO_MOI'!$D$53</f>
        <v>1.1</v>
      </c>
      <c r="I4855" s="75">
        <f>IF(F4855&gt;='THAM_SO_MOI'!$C$14,'THAM_SO_MOI'!$C$13*(1+F4855^2/1500),'THAM_SO_MOI'!$C$13)</f>
        <v>0.021220195339909334</v>
      </c>
      <c r="J4855" s="75">
        <f>'THAM_SO_MOI'!$C$40*('THAM_SO_MOI'!$C$23*(E4855/'THAM_SO_MOI'!$C$22)+'THAM_SO_MOI'!$C$24*(E4855/'THAM_SO_MOI'!$C$22)^2-'THAM_SO_MOI'!$C$25*(E4855/'THAM_SO_MOI'!$C$22)^3)</f>
        <v>109.60842260819327</v>
      </c>
      <c r="K4855" s="75">
        <f>'THAM_SO_MOI'!$C$31*J4855/E4855</f>
        <v>426.0327553066771</v>
      </c>
      <c r="L4855" s="75">
        <f>K4855*'THAM_SO_MOI'!$C$53*'THAM_SO_MOI'!$C$17/'THAM_SO_MOI'!$C$26</f>
        <v>3736.3089310923338</v>
      </c>
      <c r="M4855" s="75">
        <f>'THAM_SO_MOI'!$C$15*'THAM_SO_MOI'!$C$16*F4855^2</f>
        <v>1819.407136923481</v>
      </c>
      <c r="N4855" s="75">
        <f>'THAM_SO_MOI'!$C$12*I4855</f>
        <v>1598.7464930650412</v>
      </c>
      <c r="O4855" s="75">
        <f>M4855+N4855</f>
        <v>3418.153629988522</v>
      </c>
      <c r="P4855" s="75">
        <f>(MIN(L4855,'THAM_SO_MOI'!$C$41)-O4855)/('THAM_SO_MOI'!$C$11*H4855)</f>
        <v>0.03766042863444739</v>
      </c>
      <c r="Q4855" s="75">
        <f>IF(P4855&gt;0,1/P4855,NA())</f>
        <v>26.55307005946597</v>
      </c>
      <c r="R4855" s="75">
        <f>F4855-F4854</f>
        <v>0.0035868055555567935</v>
      </c>
      <c r="S4855" s="75">
        <f>0.5*(Q4854+Q4855)*R4855</f>
        <v>0.09512939249371052</v>
      </c>
      <c r="T4855" s="75">
        <f>0.5*(F4854*Q4854+F4855*Q4855)*R4855</f>
        <v>2.3723870316500975</v>
      </c>
      <c r="U4855" s="76">
        <f>U4854+S4855</f>
        <v>104.45889195574387</v>
      </c>
      <c r="V4855" s="76">
        <f>V4854+T4855</f>
        <v>1946.0556624624546</v>
      </c>
    </row>
    <row r="4856" spans="1:22" ht="19" customHeight="1">
      <c r="A4856" s="68" t="s">
        <v>378</v>
      </c>
      <c r="B4856" s="74">
        <v>5</v>
      </c>
      <c r="C4856" s="68" t="s">
        <v>363</v>
      </c>
      <c r="D4856" s="68" t="s">
        <v>365</v>
      </c>
      <c r="E4856" s="75">
        <f>60*F4856*'THAM_SO_MOI'!$C$53/(2*PI()*'THAM_SO_MOI'!$C$26)</f>
        <v>2457.6311842105256</v>
      </c>
      <c r="F4856" s="75">
        <f>'THAM_SO_MOI'!$C$14+('THAM_SO_MOI'!$C$37-'THAM_SO_MOI'!$C$14)*765/'THAM_SO_MOI'!$C$42</f>
        <v>24.943906249999998</v>
      </c>
      <c r="G4856" s="75">
        <f>3.6*F4856</f>
        <v>89.7980625</v>
      </c>
      <c r="H4856" s="75">
        <f>'THAM_SO_MOI'!$D$53</f>
        <v>1.1</v>
      </c>
      <c r="I4856" s="75">
        <f>IF(F4856&gt;='THAM_SO_MOI'!$C$14,'THAM_SO_MOI'!$C$13*(1+F4856^2/1500),'THAM_SO_MOI'!$C$13)</f>
        <v>0.021221984590087888</v>
      </c>
      <c r="J4856" s="75">
        <f>'THAM_SO_MOI'!$C$40*('THAM_SO_MOI'!$C$23*(E4856/'THAM_SO_MOI'!$C$22)+'THAM_SO_MOI'!$C$24*(E4856/'THAM_SO_MOI'!$C$22)^2-'THAM_SO_MOI'!$C$25*(E4856/'THAM_SO_MOI'!$C$22)^3)</f>
        <v>109.6216207024613</v>
      </c>
      <c r="K4856" s="75">
        <f>'THAM_SO_MOI'!$C$31*J4856/E4856</f>
        <v>426.02278577305816</v>
      </c>
      <c r="L4856" s="75">
        <f>K4856*'THAM_SO_MOI'!$C$53*'THAM_SO_MOI'!$C$17/'THAM_SO_MOI'!$C$26</f>
        <v>3736.2214982434853</v>
      </c>
      <c r="M4856" s="75">
        <f>'THAM_SO_MOI'!$C$15*'THAM_SO_MOI'!$C$16*F4856^2</f>
        <v>1819.9304926007078</v>
      </c>
      <c r="N4856" s="75">
        <f>'THAM_SO_MOI'!$C$12*I4856</f>
        <v>1598.8812966048936</v>
      </c>
      <c r="O4856" s="75">
        <f>M4856+N4856</f>
        <v>3418.8117892056016</v>
      </c>
      <c r="P4856" s="75">
        <f>(MIN(L4856,'THAM_SO_MOI'!$C$41)-O4856)/('THAM_SO_MOI'!$C$11*H4856)</f>
        <v>0.03757217199785557</v>
      </c>
      <c r="Q4856" s="75">
        <f>IF(P4856&gt;0,1/P4856,NA())</f>
        <v>26.615442941575882</v>
      </c>
      <c r="R4856" s="75">
        <f>F4856-F4855</f>
        <v>0.0035868055555532408</v>
      </c>
      <c r="S4856" s="75">
        <f>0.5*(Q4855+Q4856)*R4856</f>
        <v>0.09535255890632081</v>
      </c>
      <c r="T4856" s="75">
        <f>0.5*(F4855*Q4855+F4856*Q4856)*R4856</f>
        <v>2.378294485122355</v>
      </c>
      <c r="U4856" s="76">
        <f>U4855+S4856</f>
        <v>104.5542445146502</v>
      </c>
      <c r="V4856" s="76">
        <f>V4855+T4856</f>
        <v>1948.433956947577</v>
      </c>
    </row>
    <row r="4857" spans="1:22" ht="19" customHeight="1">
      <c r="A4857" s="68" t="s">
        <v>378</v>
      </c>
      <c r="B4857" s="74">
        <v>5</v>
      </c>
      <c r="C4857" s="68" t="s">
        <v>363</v>
      </c>
      <c r="D4857" s="68" t="s">
        <v>365</v>
      </c>
      <c r="E4857" s="75">
        <f>60*F4857*'THAM_SO_MOI'!$C$53/(2*PI()*'THAM_SO_MOI'!$C$26)</f>
        <v>2457.9845789473675</v>
      </c>
      <c r="F4857" s="75">
        <f>'THAM_SO_MOI'!$C$14+('THAM_SO_MOI'!$C$37-'THAM_SO_MOI'!$C$14)*766/'THAM_SO_MOI'!$C$42</f>
        <v>24.947493055555555</v>
      </c>
      <c r="G4857" s="75">
        <f>3.6*F4857</f>
        <v>89.810975</v>
      </c>
      <c r="H4857" s="75">
        <f>'THAM_SO_MOI'!$D$53</f>
        <v>1.1</v>
      </c>
      <c r="I4857" s="75">
        <f>IF(F4857&gt;='THAM_SO_MOI'!$C$14,'THAM_SO_MOI'!$C$13*(1+F4857^2/1500),'THAM_SO_MOI'!$C$13)</f>
        <v>0.021223774097569925</v>
      </c>
      <c r="J4857" s="75">
        <f>'THAM_SO_MOI'!$C$40*('THAM_SO_MOI'!$C$23*(E4857/'THAM_SO_MOI'!$C$22)+'THAM_SO_MOI'!$C$24*(E4857/'THAM_SO_MOI'!$C$22)^2-'THAM_SO_MOI'!$C$25*(E4857/'THAM_SO_MOI'!$C$22)^3)</f>
        <v>109.63481494091477</v>
      </c>
      <c r="K4857" s="75">
        <f>'THAM_SO_MOI'!$C$31*J4857/E4857</f>
        <v>426.0128041234549</v>
      </c>
      <c r="L4857" s="75">
        <f>K4857*'THAM_SO_MOI'!$C$53*'THAM_SO_MOI'!$C$17/'THAM_SO_MOI'!$C$26</f>
        <v>3736.133959137407</v>
      </c>
      <c r="M4857" s="75">
        <f>'THAM_SO_MOI'!$C$15*'THAM_SO_MOI'!$C$16*F4857^2</f>
        <v>1820.4539235392037</v>
      </c>
      <c r="N4857" s="75">
        <f>'THAM_SO_MOI'!$C$12*I4857</f>
        <v>1599.0161195301962</v>
      </c>
      <c r="O4857" s="75">
        <f>M4857+N4857</f>
        <v>3419.4700430694</v>
      </c>
      <c r="P4857" s="75">
        <f>(MIN(L4857,'THAM_SO_MOI'!$C$41)-O4857)/('THAM_SO_MOI'!$C$11*H4857)</f>
        <v>0.037483891580019794</v>
      </c>
      <c r="Q4857" s="75">
        <f>IF(P4857&gt;0,1/P4857,NA())</f>
        <v>26.678126465743873</v>
      </c>
      <c r="R4857" s="75">
        <f>F4857-F4856</f>
        <v>0.0035868055555567935</v>
      </c>
      <c r="S4857" s="75">
        <f>0.5*(Q4856+Q4857)*R4857</f>
        <v>0.09557683541281303</v>
      </c>
      <c r="T4857" s="75">
        <f>0.5*(F4856*Q4856+F4857*Q4857)*R4857</f>
        <v>2.3842312315796215</v>
      </c>
      <c r="U4857" s="76">
        <f>U4856+S4857</f>
        <v>104.64982135006301</v>
      </c>
      <c r="V4857" s="76">
        <f>V4856+T4857</f>
        <v>1950.8181881791566</v>
      </c>
    </row>
    <row r="4858" spans="1:22" ht="19" customHeight="1">
      <c r="A4858" s="68" t="s">
        <v>378</v>
      </c>
      <c r="B4858" s="74">
        <v>5</v>
      </c>
      <c r="C4858" s="68" t="s">
        <v>363</v>
      </c>
      <c r="D4858" s="68" t="s">
        <v>365</v>
      </c>
      <c r="E4858" s="75">
        <f>60*F4858*'THAM_SO_MOI'!$C$53/(2*PI()*'THAM_SO_MOI'!$C$26)</f>
        <v>2458.3379736842103</v>
      </c>
      <c r="F4858" s="75">
        <f>'THAM_SO_MOI'!$C$14+('THAM_SO_MOI'!$C$37-'THAM_SO_MOI'!$C$14)*767/'THAM_SO_MOI'!$C$42</f>
        <v>24.95107986111111</v>
      </c>
      <c r="G4858" s="75">
        <f>3.6*F4858</f>
        <v>89.8238875</v>
      </c>
      <c r="H4858" s="75">
        <f>'THAM_SO_MOI'!$D$53</f>
        <v>1.1</v>
      </c>
      <c r="I4858" s="75">
        <f>IF(F4858&gt;='THAM_SO_MOI'!$C$14,'THAM_SO_MOI'!$C$13*(1+F4858^2/1500),'THAM_SO_MOI'!$C$13)</f>
        <v>0.021225563862355443</v>
      </c>
      <c r="J4858" s="75">
        <f>'THAM_SO_MOI'!$C$40*('THAM_SO_MOI'!$C$23*(E4858/'THAM_SO_MOI'!$C$22)+'THAM_SO_MOI'!$C$24*(E4858/'THAM_SO_MOI'!$C$22)^2-'THAM_SO_MOI'!$C$25*(E4858/'THAM_SO_MOI'!$C$22)^3)</f>
        <v>109.64800532220879</v>
      </c>
      <c r="K4858" s="75">
        <f>'THAM_SO_MOI'!$C$31*J4858/E4858</f>
        <v>426.00281035786713</v>
      </c>
      <c r="L4858" s="75">
        <f>K4858*'THAM_SO_MOI'!$C$53*'THAM_SO_MOI'!$C$17/'THAM_SO_MOI'!$C$26</f>
        <v>3736.046313774097</v>
      </c>
      <c r="M4858" s="75">
        <f>'THAM_SO_MOI'!$C$15*'THAM_SO_MOI'!$C$16*F4858^2</f>
        <v>1820.9774297389677</v>
      </c>
      <c r="N4858" s="75">
        <f>'THAM_SO_MOI'!$C$12*I4858</f>
        <v>1599.150961840949</v>
      </c>
      <c r="O4858" s="75">
        <f>M4858+N4858</f>
        <v>3420.1283915799168</v>
      </c>
      <c r="P4858" s="75">
        <f>(MIN(L4858,'THAM_SO_MOI'!$C$41)-O4858)/('THAM_SO_MOI'!$C$11*H4858)</f>
        <v>0.03739558738093991</v>
      </c>
      <c r="Q4858" s="75">
        <f>IF(P4858&gt;0,1/P4858,NA())</f>
        <v>26.74112295157284</v>
      </c>
      <c r="R4858" s="75">
        <f>F4858-F4857</f>
        <v>0.0035868055555567935</v>
      </c>
      <c r="S4858" s="75">
        <f>0.5*(Q4857+Q4858)*R4858</f>
        <v>0.0958022302918528</v>
      </c>
      <c r="T4858" s="75">
        <f>0.5*(F4857*Q4857+F4858*Q4858)*R4858</f>
        <v>2.3901974895138434</v>
      </c>
      <c r="U4858" s="76">
        <f>U4857+S4858</f>
        <v>104.74562358035486</v>
      </c>
      <c r="V4858" s="76">
        <f>V4857+T4858</f>
        <v>1953.2083856686704</v>
      </c>
    </row>
    <row r="4859" spans="1:22" ht="19" customHeight="1">
      <c r="A4859" s="68" t="s">
        <v>378</v>
      </c>
      <c r="B4859" s="74">
        <v>5</v>
      </c>
      <c r="C4859" s="68" t="s">
        <v>363</v>
      </c>
      <c r="D4859" s="68" t="s">
        <v>365</v>
      </c>
      <c r="E4859" s="75">
        <f>60*F4859*'THAM_SO_MOI'!$C$53/(2*PI()*'THAM_SO_MOI'!$C$26)</f>
        <v>2458.691368421052</v>
      </c>
      <c r="F4859" s="75">
        <f>'THAM_SO_MOI'!$C$14+('THAM_SO_MOI'!$C$37-'THAM_SO_MOI'!$C$14)*768/'THAM_SO_MOI'!$C$42</f>
        <v>24.954666666666665</v>
      </c>
      <c r="G4859" s="75">
        <f>3.6*F4859</f>
        <v>89.8368</v>
      </c>
      <c r="H4859" s="75">
        <f>'THAM_SO_MOI'!$D$53</f>
        <v>1.1</v>
      </c>
      <c r="I4859" s="75">
        <f>IF(F4859&gt;='THAM_SO_MOI'!$C$14,'THAM_SO_MOI'!$C$13*(1+F4859^2/1500),'THAM_SO_MOI'!$C$13)</f>
        <v>0.021227353884444442</v>
      </c>
      <c r="J4859" s="75">
        <f>'THAM_SO_MOI'!$C$40*('THAM_SO_MOI'!$C$23*(E4859/'THAM_SO_MOI'!$C$22)+'THAM_SO_MOI'!$C$24*(E4859/'THAM_SO_MOI'!$C$22)^2-'THAM_SO_MOI'!$C$25*(E4859/'THAM_SO_MOI'!$C$22)^3)</f>
        <v>109.66119184499841</v>
      </c>
      <c r="K4859" s="75">
        <f>'THAM_SO_MOI'!$C$31*J4859/E4859</f>
        <v>425.99280447629485</v>
      </c>
      <c r="L4859" s="75">
        <f>K4859*'THAM_SO_MOI'!$C$53*'THAM_SO_MOI'!$C$17/'THAM_SO_MOI'!$C$26</f>
        <v>3735.9585621535552</v>
      </c>
      <c r="M4859" s="75">
        <f>'THAM_SO_MOI'!$C$15*'THAM_SO_MOI'!$C$16*F4859^2</f>
        <v>1821.5010112</v>
      </c>
      <c r="N4859" s="75">
        <f>'THAM_SO_MOI'!$C$12*I4859</f>
        <v>1599.2858235371518</v>
      </c>
      <c r="O4859" s="75">
        <f>M4859+N4859</f>
        <v>3420.786834737152</v>
      </c>
      <c r="P4859" s="75">
        <f>(MIN(L4859,'THAM_SO_MOI'!$C$41)-O4859)/('THAM_SO_MOI'!$C$11*H4859)</f>
        <v>0.03730725940061594</v>
      </c>
      <c r="Q4859" s="75">
        <f>IF(P4859&gt;0,1/P4859,NA())</f>
        <v>26.804434741821055</v>
      </c>
      <c r="R4859" s="75">
        <f>F4859-F4858</f>
        <v>0.0035868055555532408</v>
      </c>
      <c r="S4859" s="75">
        <f>0.5*(Q4858+Q4859)*R4859</f>
        <v>0.0960287519049309</v>
      </c>
      <c r="T4859" s="75">
        <f>0.5*(F4858*Q4858+F4859*Q4859)*R4859</f>
        <v>2.39619347960247</v>
      </c>
      <c r="U4859" s="76">
        <f>U4858+S4859</f>
        <v>104.84165233225978</v>
      </c>
      <c r="V4859" s="76">
        <f>V4858+T4859</f>
        <v>1955.604579148273</v>
      </c>
    </row>
    <row r="4860" spans="1:22" ht="19" customHeight="1">
      <c r="A4860" s="68" t="s">
        <v>378</v>
      </c>
      <c r="B4860" s="74">
        <v>5</v>
      </c>
      <c r="C4860" s="68" t="s">
        <v>363</v>
      </c>
      <c r="D4860" s="68" t="s">
        <v>365</v>
      </c>
      <c r="E4860" s="75">
        <f>60*F4860*'THAM_SO_MOI'!$C$53/(2*PI()*'THAM_SO_MOI'!$C$26)</f>
        <v>2459.044763157894</v>
      </c>
      <c r="F4860" s="75">
        <f>'THAM_SO_MOI'!$C$14+('THAM_SO_MOI'!$C$37-'THAM_SO_MOI'!$C$14)*769/'THAM_SO_MOI'!$C$42</f>
        <v>24.95825347222222</v>
      </c>
      <c r="G4860" s="75">
        <f>3.6*F4860</f>
        <v>89.8497125</v>
      </c>
      <c r="H4860" s="75">
        <f>'THAM_SO_MOI'!$D$53</f>
        <v>1.1</v>
      </c>
      <c r="I4860" s="75">
        <f>IF(F4860&gt;='THAM_SO_MOI'!$C$14,'THAM_SO_MOI'!$C$13*(1+F4860^2/1500),'THAM_SO_MOI'!$C$13)</f>
        <v>0.021229144163836925</v>
      </c>
      <c r="J4860" s="75">
        <f>'THAM_SO_MOI'!$C$40*('THAM_SO_MOI'!$C$23*(E4860/'THAM_SO_MOI'!$C$22)+'THAM_SO_MOI'!$C$24*(E4860/'THAM_SO_MOI'!$C$22)^2-'THAM_SO_MOI'!$C$25*(E4860/'THAM_SO_MOI'!$C$22)^3)</f>
        <v>109.67437450793878</v>
      </c>
      <c r="K4860" s="75">
        <f>'THAM_SO_MOI'!$C$31*J4860/E4860</f>
        <v>425.98278647873815</v>
      </c>
      <c r="L4860" s="75">
        <f>K4860*'THAM_SO_MOI'!$C$53*'THAM_SO_MOI'!$C$17/'THAM_SO_MOI'!$C$26</f>
        <v>3735.870704275783</v>
      </c>
      <c r="M4860" s="75">
        <f>'THAM_SO_MOI'!$C$15*'THAM_SO_MOI'!$C$16*F4860^2</f>
        <v>1822.0246679223008</v>
      </c>
      <c r="N4860" s="75">
        <f>'THAM_SO_MOI'!$C$12*I4860</f>
        <v>1599.420704618805</v>
      </c>
      <c r="O4860" s="75">
        <f>M4860+N4860</f>
        <v>3421.445372541106</v>
      </c>
      <c r="P4860" s="75">
        <f>(MIN(L4860,'THAM_SO_MOI'!$C$41)-O4860)/('THAM_SO_MOI'!$C$11*H4860)</f>
        <v>0.03721890763904794</v>
      </c>
      <c r="Q4860" s="75">
        <f>IF(P4860&gt;0,1/P4860,NA())</f>
        <v>26.868064202691897</v>
      </c>
      <c r="R4860" s="75">
        <f>F4860-F4859</f>
        <v>0.0035868055555567935</v>
      </c>
      <c r="S4860" s="75">
        <f>0.5*(Q4859+Q4860)*R4860</f>
        <v>0.0962564086973976</v>
      </c>
      <c r="T4860" s="75">
        <f>0.5*(F4859*Q4859+F4860*Q4860)*R4860</f>
        <v>2.4022194247357507</v>
      </c>
      <c r="U4860" s="76">
        <f>U4859+S4860</f>
        <v>104.93790874095718</v>
      </c>
      <c r="V4860" s="76">
        <f>V4859+T4860</f>
        <v>1958.0067985730086</v>
      </c>
    </row>
    <row r="4861" spans="1:22" ht="19" customHeight="1">
      <c r="A4861" s="68" t="s">
        <v>378</v>
      </c>
      <c r="B4861" s="74">
        <v>5</v>
      </c>
      <c r="C4861" s="68" t="s">
        <v>363</v>
      </c>
      <c r="D4861" s="68" t="s">
        <v>365</v>
      </c>
      <c r="E4861" s="75">
        <f>60*F4861*'THAM_SO_MOI'!$C$53/(2*PI()*'THAM_SO_MOI'!$C$26)</f>
        <v>2459.398157894736</v>
      </c>
      <c r="F4861" s="75">
        <f>'THAM_SO_MOI'!$C$14+('THAM_SO_MOI'!$C$37-'THAM_SO_MOI'!$C$14)*770/'THAM_SO_MOI'!$C$42</f>
        <v>24.961840277777775</v>
      </c>
      <c r="G4861" s="75">
        <f>3.6*F4861</f>
        <v>89.862625</v>
      </c>
      <c r="H4861" s="75">
        <f>'THAM_SO_MOI'!$D$53</f>
        <v>1.1</v>
      </c>
      <c r="I4861" s="75">
        <f>IF(F4861&gt;='THAM_SO_MOI'!$C$14,'THAM_SO_MOI'!$C$13*(1+F4861^2/1500),'THAM_SO_MOI'!$C$13)</f>
        <v>0.021230934700532885</v>
      </c>
      <c r="J4861" s="75">
        <f>'THAM_SO_MOI'!$C$40*('THAM_SO_MOI'!$C$23*(E4861/'THAM_SO_MOI'!$C$22)+'THAM_SO_MOI'!$C$24*(E4861/'THAM_SO_MOI'!$C$22)^2-'THAM_SO_MOI'!$C$25*(E4861/'THAM_SO_MOI'!$C$22)^3)</f>
        <v>109.68755330968503</v>
      </c>
      <c r="K4861" s="75">
        <f>'THAM_SO_MOI'!$C$31*J4861/E4861</f>
        <v>425.97275636519703</v>
      </c>
      <c r="L4861" s="75">
        <f>K4861*'THAM_SO_MOI'!$C$53*'THAM_SO_MOI'!$C$17/'THAM_SO_MOI'!$C$26</f>
        <v>3735.7827401407803</v>
      </c>
      <c r="M4861" s="75">
        <f>'THAM_SO_MOI'!$C$15*'THAM_SO_MOI'!$C$16*F4861^2</f>
        <v>1822.54839990587</v>
      </c>
      <c r="N4861" s="75">
        <f>'THAM_SO_MOI'!$C$12*I4861</f>
        <v>1599.5556050859082</v>
      </c>
      <c r="O4861" s="75">
        <f>M4861+N4861</f>
        <v>3422.1040049917783</v>
      </c>
      <c r="P4861" s="75">
        <f>(MIN(L4861,'THAM_SO_MOI'!$C$41)-O4861)/('THAM_SO_MOI'!$C$11*H4861)</f>
        <v>0.03713053209623606</v>
      </c>
      <c r="Q4861" s="75">
        <f>IF(P4861&gt;0,1/P4861,NA())</f>
        <v>26.93201372412787</v>
      </c>
      <c r="R4861" s="75">
        <f>F4861-F4860</f>
        <v>0.0035868055555532408</v>
      </c>
      <c r="S4861" s="75">
        <f>0.5*(Q4860+Q4861)*R4861</f>
        <v>0.09648520919855721</v>
      </c>
      <c r="T4861" s="75">
        <f>0.5*(F4860*Q4860+F4861*Q4861)*R4861</f>
        <v>2.408275550020601</v>
      </c>
      <c r="U4861" s="76">
        <f>U4860+S4861</f>
        <v>105.03439395015575</v>
      </c>
      <c r="V4861" s="76">
        <f>V4860+T4861</f>
        <v>1960.4150741230292</v>
      </c>
    </row>
    <row r="4862" spans="1:22" ht="19" customHeight="1">
      <c r="A4862" s="68" t="s">
        <v>378</v>
      </c>
      <c r="B4862" s="74">
        <v>5</v>
      </c>
      <c r="C4862" s="68" t="s">
        <v>363</v>
      </c>
      <c r="D4862" s="68" t="s">
        <v>365</v>
      </c>
      <c r="E4862" s="75">
        <f>60*F4862*'THAM_SO_MOI'!$C$53/(2*PI()*'THAM_SO_MOI'!$C$26)</f>
        <v>2459.7515526315783</v>
      </c>
      <c r="F4862" s="75">
        <f>'THAM_SO_MOI'!$C$14+('THAM_SO_MOI'!$C$37-'THAM_SO_MOI'!$C$14)*771/'THAM_SO_MOI'!$C$42</f>
        <v>24.96542708333333</v>
      </c>
      <c r="G4862" s="75">
        <f>3.6*F4862</f>
        <v>89.8755375</v>
      </c>
      <c r="H4862" s="75">
        <f>'THAM_SO_MOI'!$D$53</f>
        <v>1.1</v>
      </c>
      <c r="I4862" s="75">
        <f>IF(F4862&gt;='THAM_SO_MOI'!$C$14,'THAM_SO_MOI'!$C$13*(1+F4862^2/1500),'THAM_SO_MOI'!$C$13)</f>
        <v>0.021232725494532333</v>
      </c>
      <c r="J4862" s="75">
        <f>'THAM_SO_MOI'!$C$40*('THAM_SO_MOI'!$C$23*(E4862/'THAM_SO_MOI'!$C$22)+'THAM_SO_MOI'!$C$24*(E4862/'THAM_SO_MOI'!$C$22)^2-'THAM_SO_MOI'!$C$25*(E4862/'THAM_SO_MOI'!$C$22)^3)</f>
        <v>109.70072824889223</v>
      </c>
      <c r="K4862" s="75">
        <f>'THAM_SO_MOI'!$C$31*J4862/E4862</f>
        <v>425.9627141356713</v>
      </c>
      <c r="L4862" s="75">
        <f>K4862*'THAM_SO_MOI'!$C$53*'THAM_SO_MOI'!$C$17/'THAM_SO_MOI'!$C$26</f>
        <v>3735.6946697485446</v>
      </c>
      <c r="M4862" s="75">
        <f>'THAM_SO_MOI'!$C$15*'THAM_SO_MOI'!$C$16*F4862^2</f>
        <v>1823.0722071507078</v>
      </c>
      <c r="N4862" s="75">
        <f>'THAM_SO_MOI'!$C$12*I4862</f>
        <v>1599.6905249384615</v>
      </c>
      <c r="O4862" s="75">
        <f>M4862+N4862</f>
        <v>3422.7627320891693</v>
      </c>
      <c r="P4862" s="75">
        <f>(MIN(L4862,'THAM_SO_MOI'!$C$41)-O4862)/('THAM_SO_MOI'!$C$11*H4862)</f>
        <v>0.03704213277217984</v>
      </c>
      <c r="Q4862" s="75">
        <f>IF(P4862&gt;0,1/P4862,NA())</f>
        <v>26.996285720109533</v>
      </c>
      <c r="R4862" s="75">
        <f>F4862-F4861</f>
        <v>0.0035868055555567935</v>
      </c>
      <c r="S4862" s="75">
        <f>0.5*(Q4861+Q4862)*R4862</f>
        <v>0.09671516202416053</v>
      </c>
      <c r="T4862" s="75">
        <f>0.5*(F4861*Q4861+F4862*Q4862)*R4862</f>
        <v>2.4143620828443257</v>
      </c>
      <c r="U4862" s="76">
        <f>U4861+S4862</f>
        <v>105.1311091121799</v>
      </c>
      <c r="V4862" s="76">
        <f>V4861+T4862</f>
        <v>1962.8294362058734</v>
      </c>
    </row>
    <row r="4863" spans="1:22" ht="19" customHeight="1">
      <c r="A4863" s="68" t="s">
        <v>378</v>
      </c>
      <c r="B4863" s="74">
        <v>5</v>
      </c>
      <c r="C4863" s="68" t="s">
        <v>363</v>
      </c>
      <c r="D4863" s="68" t="s">
        <v>365</v>
      </c>
      <c r="E4863" s="75">
        <f>60*F4863*'THAM_SO_MOI'!$C$53/(2*PI()*'THAM_SO_MOI'!$C$26)</f>
        <v>2460.1049473684207</v>
      </c>
      <c r="F4863" s="75">
        <f>'THAM_SO_MOI'!$C$14+('THAM_SO_MOI'!$C$37-'THAM_SO_MOI'!$C$14)*772/'THAM_SO_MOI'!$C$42</f>
        <v>24.969013888888888</v>
      </c>
      <c r="G4863" s="75">
        <f>3.6*F4863</f>
        <v>89.88845</v>
      </c>
      <c r="H4863" s="75">
        <f>'THAM_SO_MOI'!$D$53</f>
        <v>1.1</v>
      </c>
      <c r="I4863" s="75">
        <f>IF(F4863&gt;='THAM_SO_MOI'!$C$14,'THAM_SO_MOI'!$C$13*(1+F4863^2/1500),'THAM_SO_MOI'!$C$13)</f>
        <v>0.02123451654583526</v>
      </c>
      <c r="J4863" s="75">
        <f>'THAM_SO_MOI'!$C$40*('THAM_SO_MOI'!$C$23*(E4863/'THAM_SO_MOI'!$C$22)+'THAM_SO_MOI'!$C$24*(E4863/'THAM_SO_MOI'!$C$22)^2-'THAM_SO_MOI'!$C$25*(E4863/'THAM_SO_MOI'!$C$22)^3)</f>
        <v>109.71389932421553</v>
      </c>
      <c r="K4863" s="75">
        <f>'THAM_SO_MOI'!$C$31*J4863/E4863</f>
        <v>425.9526597901612</v>
      </c>
      <c r="L4863" s="75">
        <f>K4863*'THAM_SO_MOI'!$C$53*'THAM_SO_MOI'!$C$17/'THAM_SO_MOI'!$C$26</f>
        <v>3735.6064930990783</v>
      </c>
      <c r="M4863" s="75">
        <f>'THAM_SO_MOI'!$C$15*'THAM_SO_MOI'!$C$16*F4863^2</f>
        <v>1823.5960896568145</v>
      </c>
      <c r="N4863" s="75">
        <f>'THAM_SO_MOI'!$C$12*I4863</f>
        <v>1599.8254641764652</v>
      </c>
      <c r="O4863" s="75">
        <f>M4863+N4863</f>
        <v>3423.4215538332796</v>
      </c>
      <c r="P4863" s="75">
        <f>(MIN(L4863,'THAM_SO_MOI'!$C$41)-O4863)/('THAM_SO_MOI'!$C$11*H4863)</f>
        <v>0.03695370966687958</v>
      </c>
      <c r="Q4863" s="75">
        <f>IF(P4863&gt;0,1/P4863,NA())</f>
        <v>27.060882628957486</v>
      </c>
      <c r="R4863" s="75">
        <f>F4863-F4862</f>
        <v>0.0035868055555567935</v>
      </c>
      <c r="S4863" s="75">
        <f>0.5*(Q4862+Q4863)*R4863</f>
        <v>0.09694627587605122</v>
      </c>
      <c r="T4863" s="75">
        <f>0.5*(F4862*Q4862+F4863*Q4863)*R4863</f>
        <v>2.4204792528673447</v>
      </c>
      <c r="U4863" s="76">
        <f>U4862+S4863</f>
        <v>105.22805538805595</v>
      </c>
      <c r="V4863" s="76">
        <f>V4862+T4863</f>
        <v>1965.2499154587408</v>
      </c>
    </row>
    <row r="4864" spans="1:22" ht="19" customHeight="1">
      <c r="A4864" s="68" t="s">
        <v>378</v>
      </c>
      <c r="B4864" s="74">
        <v>5</v>
      </c>
      <c r="C4864" s="68" t="s">
        <v>363</v>
      </c>
      <c r="D4864" s="68" t="s">
        <v>365</v>
      </c>
      <c r="E4864" s="75">
        <f>60*F4864*'THAM_SO_MOI'!$C$53/(2*PI()*'THAM_SO_MOI'!$C$26)</f>
        <v>2460.458342105262</v>
      </c>
      <c r="F4864" s="75">
        <f>'THAM_SO_MOI'!$C$14+('THAM_SO_MOI'!$C$37-'THAM_SO_MOI'!$C$14)*773/'THAM_SO_MOI'!$C$42</f>
        <v>24.97260069444444</v>
      </c>
      <c r="G4864" s="75">
        <f>3.6*F4864</f>
        <v>89.90136249999999</v>
      </c>
      <c r="H4864" s="75">
        <f>'THAM_SO_MOI'!$D$53</f>
        <v>1.1</v>
      </c>
      <c r="I4864" s="75">
        <f>IF(F4864&gt;='THAM_SO_MOI'!$C$14,'THAM_SO_MOI'!$C$13*(1+F4864^2/1500),'THAM_SO_MOI'!$C$13)</f>
        <v>0.02123630785444167</v>
      </c>
      <c r="J4864" s="75">
        <f>'THAM_SO_MOI'!$C$40*('THAM_SO_MOI'!$C$23*(E4864/'THAM_SO_MOI'!$C$22)+'THAM_SO_MOI'!$C$24*(E4864/'THAM_SO_MOI'!$C$22)^2-'THAM_SO_MOI'!$C$25*(E4864/'THAM_SO_MOI'!$C$22)^3)</f>
        <v>109.72706653431003</v>
      </c>
      <c r="K4864" s="75">
        <f>'THAM_SO_MOI'!$C$31*J4864/E4864</f>
        <v>425.9425933286668</v>
      </c>
      <c r="L4864" s="75">
        <f>K4864*'THAM_SO_MOI'!$C$53*'THAM_SO_MOI'!$C$17/'THAM_SO_MOI'!$C$26</f>
        <v>3735.518210192383</v>
      </c>
      <c r="M4864" s="75">
        <f>'THAM_SO_MOI'!$C$15*'THAM_SO_MOI'!$C$16*F4864^2</f>
        <v>1824.120047424189</v>
      </c>
      <c r="N4864" s="75">
        <f>'THAM_SO_MOI'!$C$12*I4864</f>
        <v>1599.9604227999191</v>
      </c>
      <c r="O4864" s="75">
        <f>M4864+N4864</f>
        <v>3424.080470224108</v>
      </c>
      <c r="P4864" s="75">
        <f>(MIN(L4864,'THAM_SO_MOI'!$C$41)-O4864)/('THAM_SO_MOI'!$C$11*H4864)</f>
        <v>0.03686526278033556</v>
      </c>
      <c r="Q4864" s="75">
        <f>IF(P4864&gt;0,1/P4864,NA())</f>
        <v>27.125806913640496</v>
      </c>
      <c r="R4864" s="75">
        <f>F4864-F4863</f>
        <v>0.0035868055555532408</v>
      </c>
      <c r="S4864" s="75">
        <f>0.5*(Q4863+Q4864)*R4864</f>
        <v>0.09717855954421457</v>
      </c>
      <c r="T4864" s="75">
        <f>0.5*(F4863*Q4863+F4864*Q4864)*R4864</f>
        <v>2.4266272920758927</v>
      </c>
      <c r="U4864" s="76">
        <f>U4863+S4864</f>
        <v>105.32523394760017</v>
      </c>
      <c r="V4864" s="76">
        <f>V4863+T4864</f>
        <v>1967.6765427508167</v>
      </c>
    </row>
    <row r="4865" spans="1:22" ht="19" customHeight="1">
      <c r="A4865" s="68" t="s">
        <v>378</v>
      </c>
      <c r="B4865" s="74">
        <v>5</v>
      </c>
      <c r="C4865" s="68" t="s">
        <v>363</v>
      </c>
      <c r="D4865" s="68" t="s">
        <v>365</v>
      </c>
      <c r="E4865" s="75">
        <f>60*F4865*'THAM_SO_MOI'!$C$53/(2*PI()*'THAM_SO_MOI'!$C$26)</f>
        <v>2460.811736842105</v>
      </c>
      <c r="F4865" s="75">
        <f>'THAM_SO_MOI'!$C$14+('THAM_SO_MOI'!$C$37-'THAM_SO_MOI'!$C$14)*774/'THAM_SO_MOI'!$C$42</f>
        <v>24.976187499999998</v>
      </c>
      <c r="G4865" s="75">
        <f>3.6*F4865</f>
        <v>89.91427499999999</v>
      </c>
      <c r="H4865" s="75">
        <f>'THAM_SO_MOI'!$D$53</f>
        <v>1.1</v>
      </c>
      <c r="I4865" s="75">
        <f>IF(F4865&gt;='THAM_SO_MOI'!$C$14,'THAM_SO_MOI'!$C$13*(1+F4865^2/1500),'THAM_SO_MOI'!$C$13)</f>
        <v>0.02123809942035156</v>
      </c>
      <c r="J4865" s="75">
        <f>'THAM_SO_MOI'!$C$40*('THAM_SO_MOI'!$C$23*(E4865/'THAM_SO_MOI'!$C$22)+'THAM_SO_MOI'!$C$24*(E4865/'THAM_SO_MOI'!$C$22)^2-'THAM_SO_MOI'!$C$25*(E4865/'THAM_SO_MOI'!$C$22)^3)</f>
        <v>109.74022987783081</v>
      </c>
      <c r="K4865" s="75">
        <f>'THAM_SO_MOI'!$C$31*J4865/E4865</f>
        <v>425.9325147511877</v>
      </c>
      <c r="L4865" s="75">
        <f>K4865*'THAM_SO_MOI'!$C$53*'THAM_SO_MOI'!$C$17/'THAM_SO_MOI'!$C$26</f>
        <v>3735.4298210284537</v>
      </c>
      <c r="M4865" s="75">
        <f>'THAM_SO_MOI'!$C$15*'THAM_SO_MOI'!$C$16*F4865^2</f>
        <v>1824.644080452832</v>
      </c>
      <c r="N4865" s="75">
        <f>'THAM_SO_MOI'!$C$12*I4865</f>
        <v>1600.095400808823</v>
      </c>
      <c r="O4865" s="75">
        <f>M4865+N4865</f>
        <v>3424.739481261655</v>
      </c>
      <c r="P4865" s="75">
        <f>(MIN(L4865,'THAM_SO_MOI'!$C$41)-O4865)/('THAM_SO_MOI'!$C$11*H4865)</f>
        <v>0.03677679211254721</v>
      </c>
      <c r="Q4865" s="75">
        <f>IF(P4865&gt;0,1/P4865,NA())</f>
        <v>27.191061062088338</v>
      </c>
      <c r="R4865" s="75">
        <f>F4865-F4864</f>
        <v>0.0035868055555567935</v>
      </c>
      <c r="S4865" s="75">
        <f>0.5*(Q4864+Q4865)*R4865</f>
        <v>0.09741202190789452</v>
      </c>
      <c r="T4865" s="75">
        <f>0.5*(F4864*Q4864+F4865*Q4865)*R4865</f>
        <v>2.4328064348114977</v>
      </c>
      <c r="U4865" s="76">
        <f>U4864+S4865</f>
        <v>105.42264596950807</v>
      </c>
      <c r="V4865" s="76">
        <f>V4864+T4865</f>
        <v>1970.1093491856282</v>
      </c>
    </row>
    <row r="4866" spans="1:22" ht="19" customHeight="1">
      <c r="A4866" s="68" t="s">
        <v>378</v>
      </c>
      <c r="B4866" s="74">
        <v>5</v>
      </c>
      <c r="C4866" s="68" t="s">
        <v>363</v>
      </c>
      <c r="D4866" s="68" t="s">
        <v>365</v>
      </c>
      <c r="E4866" s="75">
        <f>60*F4866*'THAM_SO_MOI'!$C$53/(2*PI()*'THAM_SO_MOI'!$C$26)</f>
        <v>2461.165131578947</v>
      </c>
      <c r="F4866" s="75">
        <f>'THAM_SO_MOI'!$C$14+('THAM_SO_MOI'!$C$37-'THAM_SO_MOI'!$C$14)*775/'THAM_SO_MOI'!$C$42</f>
        <v>24.979774305555555</v>
      </c>
      <c r="G4866" s="75">
        <f>3.6*F4866</f>
        <v>89.9271875</v>
      </c>
      <c r="H4866" s="75">
        <f>'THAM_SO_MOI'!$D$53</f>
        <v>1.1</v>
      </c>
      <c r="I4866" s="75">
        <f>IF(F4866&gt;='THAM_SO_MOI'!$C$14,'THAM_SO_MOI'!$C$13*(1+F4866^2/1500),'THAM_SO_MOI'!$C$13)</f>
        <v>0.021239891243564932</v>
      </c>
      <c r="J4866" s="75">
        <f>'THAM_SO_MOI'!$C$40*('THAM_SO_MOI'!$C$23*(E4866/'THAM_SO_MOI'!$C$22)+'THAM_SO_MOI'!$C$24*(E4866/'THAM_SO_MOI'!$C$22)^2-'THAM_SO_MOI'!$C$25*(E4866/'THAM_SO_MOI'!$C$22)^3)</f>
        <v>109.75338935343304</v>
      </c>
      <c r="K4866" s="75">
        <f>'THAM_SO_MOI'!$C$31*J4866/E4866</f>
        <v>425.9224240577244</v>
      </c>
      <c r="L4866" s="75">
        <f>K4866*'THAM_SO_MOI'!$C$53*'THAM_SO_MOI'!$C$17/'THAM_SO_MOI'!$C$26</f>
        <v>3735.3413256072963</v>
      </c>
      <c r="M4866" s="75">
        <f>'THAM_SO_MOI'!$C$15*'THAM_SO_MOI'!$C$16*F4866^2</f>
        <v>1825.1681887427435</v>
      </c>
      <c r="N4866" s="75">
        <f>'THAM_SO_MOI'!$C$12*I4866</f>
        <v>1600.230398203177</v>
      </c>
      <c r="O4866" s="75">
        <f>M4866+N4866</f>
        <v>3425.39858694592</v>
      </c>
      <c r="P4866" s="75">
        <f>(MIN(L4866,'THAM_SO_MOI'!$C$41)-O4866)/('THAM_SO_MOI'!$C$11*H4866)</f>
        <v>0.03668829766351513</v>
      </c>
      <c r="Q4866" s="75">
        <f>IF(P4866&gt;0,1/P4866,NA())</f>
        <v>27.256647587507313</v>
      </c>
      <c r="R4866" s="75">
        <f>F4866-F4865</f>
        <v>0.0035868055555567935</v>
      </c>
      <c r="S4866" s="75">
        <f>0.5*(Q4865+Q4866)*R4866</f>
        <v>0.09764667193585369</v>
      </c>
      <c r="T4866" s="75">
        <f>0.5*(F4865*Q4865+F4866*Q4866)*R4866</f>
        <v>2.439016917779077</v>
      </c>
      <c r="U4866" s="76">
        <f>U4865+S4866</f>
        <v>105.52029264144392</v>
      </c>
      <c r="V4866" s="76">
        <f>V4865+T4866</f>
        <v>1972.5483661034073</v>
      </c>
    </row>
    <row r="4867" spans="1:22" ht="19" customHeight="1">
      <c r="A4867" s="68" t="s">
        <v>378</v>
      </c>
      <c r="B4867" s="74">
        <v>5</v>
      </c>
      <c r="C4867" s="68" t="s">
        <v>363</v>
      </c>
      <c r="D4867" s="68" t="s">
        <v>365</v>
      </c>
      <c r="E4867" s="75">
        <f>60*F4867*'THAM_SO_MOI'!$C$53/(2*PI()*'THAM_SO_MOI'!$C$26)</f>
        <v>2461.5185263157887</v>
      </c>
      <c r="F4867" s="75">
        <f>'THAM_SO_MOI'!$C$14+('THAM_SO_MOI'!$C$37-'THAM_SO_MOI'!$C$14)*776/'THAM_SO_MOI'!$C$42</f>
        <v>24.98336111111111</v>
      </c>
      <c r="G4867" s="75">
        <f>3.6*F4867</f>
        <v>89.94009999999999</v>
      </c>
      <c r="H4867" s="75">
        <f>'THAM_SO_MOI'!$D$53</f>
        <v>1.1</v>
      </c>
      <c r="I4867" s="75">
        <f>IF(F4867&gt;='THAM_SO_MOI'!$C$14,'THAM_SO_MOI'!$C$13*(1+F4867^2/1500),'THAM_SO_MOI'!$C$13)</f>
        <v>0.02124168332408179</v>
      </c>
      <c r="J4867" s="75">
        <f>'THAM_SO_MOI'!$C$40*('THAM_SO_MOI'!$C$23*(E4867/'THAM_SO_MOI'!$C$22)+'THAM_SO_MOI'!$C$24*(E4867/'THAM_SO_MOI'!$C$22)^2-'THAM_SO_MOI'!$C$25*(E4867/'THAM_SO_MOI'!$C$22)^3)</f>
        <v>109.76654495977172</v>
      </c>
      <c r="K4867" s="75">
        <f>'THAM_SO_MOI'!$C$31*J4867/E4867</f>
        <v>425.9123212482763</v>
      </c>
      <c r="L4867" s="75">
        <f>K4867*'THAM_SO_MOI'!$C$53*'THAM_SO_MOI'!$C$17/'THAM_SO_MOI'!$C$26</f>
        <v>3735.2527239289047</v>
      </c>
      <c r="M4867" s="75">
        <f>'THAM_SO_MOI'!$C$15*'THAM_SO_MOI'!$C$16*F4867^2</f>
        <v>1825.6923722939232</v>
      </c>
      <c r="N4867" s="75">
        <f>'THAM_SO_MOI'!$C$12*I4867</f>
        <v>1600.3654149829813</v>
      </c>
      <c r="O4867" s="75">
        <f>M4867+N4867</f>
        <v>3426.0577872769045</v>
      </c>
      <c r="P4867" s="75">
        <f>(MIN(L4867,'THAM_SO_MOI'!$C$41)-O4867)/('THAM_SO_MOI'!$C$11*H4867)</f>
        <v>0.036599779433238666</v>
      </c>
      <c r="Q4867" s="75">
        <f>IF(P4867&gt;0,1/P4867,NA())</f>
        <v>27.322569028703878</v>
      </c>
      <c r="R4867" s="75">
        <f>F4867-F4866</f>
        <v>0.0035868055555532408</v>
      </c>
      <c r="S4867" s="75">
        <f>0.5*(Q4866+Q4867)*R4867</f>
        <v>0.09788251868838503</v>
      </c>
      <c r="T4867" s="75">
        <f>0.5*(F4866*Q4866+F4867*Q4867)*R4867</f>
        <v>2.4452589800987976</v>
      </c>
      <c r="U4867" s="76">
        <f>U4866+S4867</f>
        <v>105.6181751601323</v>
      </c>
      <c r="V4867" s="76">
        <f>V4866+T4867</f>
        <v>1974.993625083506</v>
      </c>
    </row>
    <row r="4868" spans="1:22" ht="19" customHeight="1">
      <c r="A4868" s="68" t="s">
        <v>378</v>
      </c>
      <c r="B4868" s="74">
        <v>5</v>
      </c>
      <c r="C4868" s="68" t="s">
        <v>363</v>
      </c>
      <c r="D4868" s="68" t="s">
        <v>365</v>
      </c>
      <c r="E4868" s="75">
        <f>60*F4868*'THAM_SO_MOI'!$C$53/(2*PI()*'THAM_SO_MOI'!$C$26)</f>
        <v>2461.8719210526306</v>
      </c>
      <c r="F4868" s="75">
        <f>'THAM_SO_MOI'!$C$14+('THAM_SO_MOI'!$C$37-'THAM_SO_MOI'!$C$14)*777/'THAM_SO_MOI'!$C$42</f>
        <v>24.986947916666665</v>
      </c>
      <c r="G4868" s="75">
        <f>3.6*F4868</f>
        <v>89.9530125</v>
      </c>
      <c r="H4868" s="75">
        <f>'THAM_SO_MOI'!$D$53</f>
        <v>1.1</v>
      </c>
      <c r="I4868" s="75">
        <f>IF(F4868&gt;='THAM_SO_MOI'!$C$14,'THAM_SO_MOI'!$C$13*(1+F4868^2/1500),'THAM_SO_MOI'!$C$13)</f>
        <v>0.021243475661902125</v>
      </c>
      <c r="J4868" s="75">
        <f>'THAM_SO_MOI'!$C$40*('THAM_SO_MOI'!$C$23*(E4868/'THAM_SO_MOI'!$C$22)+'THAM_SO_MOI'!$C$24*(E4868/'THAM_SO_MOI'!$C$22)^2-'THAM_SO_MOI'!$C$25*(E4868/'THAM_SO_MOI'!$C$22)^3)</f>
        <v>109.77969669550207</v>
      </c>
      <c r="K4868" s="75">
        <f>'THAM_SO_MOI'!$C$31*J4868/E4868</f>
        <v>425.90220632284405</v>
      </c>
      <c r="L4868" s="75">
        <f>K4868*'THAM_SO_MOI'!$C$53*'THAM_SO_MOI'!$C$17/'THAM_SO_MOI'!$C$26</f>
        <v>3735.164015993284</v>
      </c>
      <c r="M4868" s="75">
        <f>'THAM_SO_MOI'!$C$15*'THAM_SO_MOI'!$C$16*F4868^2</f>
        <v>1826.2166311063722</v>
      </c>
      <c r="N4868" s="75">
        <f>'THAM_SO_MOI'!$C$12*I4868</f>
        <v>1600.5004511482357</v>
      </c>
      <c r="O4868" s="75">
        <f>M4868+N4868</f>
        <v>3426.7170822546077</v>
      </c>
      <c r="P4868" s="75">
        <f>(MIN(L4868,'THAM_SO_MOI'!$C$41)-O4868)/('THAM_SO_MOI'!$C$11*H4868)</f>
        <v>0.03651123742171829</v>
      </c>
      <c r="Q4868" s="75">
        <f>IF(P4868&gt;0,1/P4868,NA())</f>
        <v>27.388827950409635</v>
      </c>
      <c r="R4868" s="75">
        <f>F4868-F4867</f>
        <v>0.0035868055555567935</v>
      </c>
      <c r="S4868" s="75">
        <f>0.5*(Q4867+Q4868)*R4868</f>
        <v>0.09811957131847876</v>
      </c>
      <c r="T4868" s="75">
        <f>0.5*(F4867*Q4867+F4868*Q4868)*R4868</f>
        <v>2.4515328633368725</v>
      </c>
      <c r="U4868" s="76">
        <f>U4867+S4868</f>
        <v>105.71629473145077</v>
      </c>
      <c r="V4868" s="76">
        <f>V4867+T4868</f>
        <v>1977.445157946843</v>
      </c>
    </row>
    <row r="4869" spans="1:22" ht="19" customHeight="1">
      <c r="A4869" s="68" t="s">
        <v>378</v>
      </c>
      <c r="B4869" s="74">
        <v>5</v>
      </c>
      <c r="C4869" s="68" t="s">
        <v>363</v>
      </c>
      <c r="D4869" s="68" t="s">
        <v>365</v>
      </c>
      <c r="E4869" s="75">
        <f>60*F4869*'THAM_SO_MOI'!$C$53/(2*PI()*'THAM_SO_MOI'!$C$26)</f>
        <v>2462.225315789473</v>
      </c>
      <c r="F4869" s="75">
        <f>'THAM_SO_MOI'!$C$14+('THAM_SO_MOI'!$C$37-'THAM_SO_MOI'!$C$14)*778/'THAM_SO_MOI'!$C$42</f>
        <v>24.990534722222222</v>
      </c>
      <c r="G4869" s="75">
        <f>3.6*F4869</f>
        <v>89.965925</v>
      </c>
      <c r="H4869" s="75">
        <f>'THAM_SO_MOI'!$D$53</f>
        <v>1.1</v>
      </c>
      <c r="I4869" s="75">
        <f>IF(F4869&gt;='THAM_SO_MOI'!$C$14,'THAM_SO_MOI'!$C$13*(1+F4869^2/1500),'THAM_SO_MOI'!$C$13)</f>
        <v>0.021245268257025943</v>
      </c>
      <c r="J4869" s="75">
        <f>'THAM_SO_MOI'!$C$40*('THAM_SO_MOI'!$C$23*(E4869/'THAM_SO_MOI'!$C$22)+'THAM_SO_MOI'!$C$24*(E4869/'THAM_SO_MOI'!$C$22)^2-'THAM_SO_MOI'!$C$25*(E4869/'THAM_SO_MOI'!$C$22)^3)</f>
        <v>109.79284455927917</v>
      </c>
      <c r="K4869" s="75">
        <f>'THAM_SO_MOI'!$C$31*J4869/E4869</f>
        <v>425.8920792814272</v>
      </c>
      <c r="L4869" s="75">
        <f>K4869*'THAM_SO_MOI'!$C$53*'THAM_SO_MOI'!$C$17/'THAM_SO_MOI'!$C$26</f>
        <v>3735.075201800432</v>
      </c>
      <c r="M4869" s="75">
        <f>'THAM_SO_MOI'!$C$15*'THAM_SO_MOI'!$C$16*F4869^2</f>
        <v>1826.740965180089</v>
      </c>
      <c r="N4869" s="75">
        <f>'THAM_SO_MOI'!$C$12*I4869</f>
        <v>1600.6355066989402</v>
      </c>
      <c r="O4869" s="75">
        <f>M4869+N4869</f>
        <v>3427.376471879029</v>
      </c>
      <c r="P4869" s="75">
        <f>(MIN(L4869,'THAM_SO_MOI'!$C$41)-O4869)/('THAM_SO_MOI'!$C$11*H4869)</f>
        <v>0.036422671628953913</v>
      </c>
      <c r="Q4869" s="75">
        <f>IF(P4869&gt;0,1/P4869,NA())</f>
        <v>27.45542694361437</v>
      </c>
      <c r="R4869" s="75">
        <f>F4869-F4868</f>
        <v>0.0035868055555567935</v>
      </c>
      <c r="S4869" s="75">
        <f>0.5*(Q4868+Q4869)*R4869</f>
        <v>0.09835783907212908</v>
      </c>
      <c r="T4869" s="75">
        <f>0.5*(F4868*Q4868+F4869*Q4869)*R4869</f>
        <v>2.4578388115148897</v>
      </c>
      <c r="U4869" s="76">
        <f>U4868+S4869</f>
        <v>105.8146525705229</v>
      </c>
      <c r="V4869" s="76">
        <f>V4868+T4869</f>
        <v>1979.9029967583579</v>
      </c>
    </row>
    <row r="4870" spans="1:22" ht="19" customHeight="1">
      <c r="A4870" s="68" t="s">
        <v>378</v>
      </c>
      <c r="B4870" s="74">
        <v>5</v>
      </c>
      <c r="C4870" s="68" t="s">
        <v>363</v>
      </c>
      <c r="D4870" s="68" t="s">
        <v>365</v>
      </c>
      <c r="E4870" s="75">
        <f>60*F4870*'THAM_SO_MOI'!$C$53/(2*PI()*'THAM_SO_MOI'!$C$26)</f>
        <v>2462.578710526315</v>
      </c>
      <c r="F4870" s="75">
        <f>'THAM_SO_MOI'!$C$14+('THAM_SO_MOI'!$C$37-'THAM_SO_MOI'!$C$14)*779/'THAM_SO_MOI'!$C$42</f>
        <v>24.994121527777775</v>
      </c>
      <c r="G4870" s="75">
        <f>3.6*F4870</f>
        <v>89.9788375</v>
      </c>
      <c r="H4870" s="75">
        <f>'THAM_SO_MOI'!$D$53</f>
        <v>1.1</v>
      </c>
      <c r="I4870" s="75">
        <f>IF(F4870&gt;='THAM_SO_MOI'!$C$14,'THAM_SO_MOI'!$C$13*(1+F4870^2/1500),'THAM_SO_MOI'!$C$13)</f>
        <v>0.021247061109453243</v>
      </c>
      <c r="J4870" s="75">
        <f>'THAM_SO_MOI'!$C$40*('THAM_SO_MOI'!$C$23*(E4870/'THAM_SO_MOI'!$C$22)+'THAM_SO_MOI'!$C$24*(E4870/'THAM_SO_MOI'!$C$22)^2-'THAM_SO_MOI'!$C$25*(E4870/'THAM_SO_MOI'!$C$22)^3)</f>
        <v>109.80598854975813</v>
      </c>
      <c r="K4870" s="75">
        <f>'THAM_SO_MOI'!$C$31*J4870/E4870</f>
        <v>425.88194012402596</v>
      </c>
      <c r="L4870" s="75">
        <f>K4870*'THAM_SO_MOI'!$C$53*'THAM_SO_MOI'!$C$17/'THAM_SO_MOI'!$C$26</f>
        <v>3734.9862813503482</v>
      </c>
      <c r="M4870" s="75">
        <f>'THAM_SO_MOI'!$C$15*'THAM_SO_MOI'!$C$16*F4870^2</f>
        <v>1827.2653745150742</v>
      </c>
      <c r="N4870" s="75">
        <f>'THAM_SO_MOI'!$C$12*I4870</f>
        <v>1600.770581635095</v>
      </c>
      <c r="O4870" s="75">
        <f>M4870+N4870</f>
        <v>3428.035956150169</v>
      </c>
      <c r="P4870" s="75">
        <f>(MIN(L4870,'THAM_SO_MOI'!$C$41)-O4870)/('THAM_SO_MOI'!$C$11*H4870)</f>
        <v>0.03633408205494545</v>
      </c>
      <c r="Q4870" s="75">
        <f>IF(P4870&gt;0,1/P4870,NA())</f>
        <v>27.522368625902565</v>
      </c>
      <c r="R4870" s="75">
        <f>F4870-F4869</f>
        <v>0.0035868055555532408</v>
      </c>
      <c r="S4870" s="75">
        <f>0.5*(Q4869+Q4870)*R4870</f>
        <v>0.09859733129040685</v>
      </c>
      <c r="T4870" s="75">
        <f>0.5*(F4869*Q4869+F4870*Q4870)*R4870</f>
        <v>2.464177071163277</v>
      </c>
      <c r="U4870" s="76">
        <f>U4869+S4870</f>
        <v>105.9132499018133</v>
      </c>
      <c r="V4870" s="76">
        <f>V4869+T4870</f>
        <v>1982.367173829521</v>
      </c>
    </row>
    <row r="4871" spans="1:22" ht="19" customHeight="1">
      <c r="A4871" s="68" t="s">
        <v>378</v>
      </c>
      <c r="B4871" s="74">
        <v>5</v>
      </c>
      <c r="C4871" s="68" t="s">
        <v>363</v>
      </c>
      <c r="D4871" s="68" t="s">
        <v>365</v>
      </c>
      <c r="E4871" s="75">
        <f>60*F4871*'THAM_SO_MOI'!$C$53/(2*PI()*'THAM_SO_MOI'!$C$26)</f>
        <v>2462.9321052631576</v>
      </c>
      <c r="F4871" s="75">
        <f>'THAM_SO_MOI'!$C$14+('THAM_SO_MOI'!$C$37-'THAM_SO_MOI'!$C$14)*780/'THAM_SO_MOI'!$C$42</f>
        <v>24.997708333333332</v>
      </c>
      <c r="G4871" s="75">
        <f>3.6*F4871</f>
        <v>89.99175</v>
      </c>
      <c r="H4871" s="75">
        <f>'THAM_SO_MOI'!$D$53</f>
        <v>1.1</v>
      </c>
      <c r="I4871" s="75">
        <f>IF(F4871&gt;='THAM_SO_MOI'!$C$14,'THAM_SO_MOI'!$C$13*(1+F4871^2/1500),'THAM_SO_MOI'!$C$13)</f>
        <v>0.021248854219184026</v>
      </c>
      <c r="J4871" s="75">
        <f>'THAM_SO_MOI'!$C$40*('THAM_SO_MOI'!$C$23*(E4871/'THAM_SO_MOI'!$C$22)+'THAM_SO_MOI'!$C$24*(E4871/'THAM_SO_MOI'!$C$22)^2-'THAM_SO_MOI'!$C$25*(E4871/'THAM_SO_MOI'!$C$22)^3)</f>
        <v>109.81912866559405</v>
      </c>
      <c r="K4871" s="75">
        <f>'THAM_SO_MOI'!$C$31*J4871/E4871</f>
        <v>425.8717888506402</v>
      </c>
      <c r="L4871" s="75">
        <f>K4871*'THAM_SO_MOI'!$C$53*'THAM_SO_MOI'!$C$17/'THAM_SO_MOI'!$C$26</f>
        <v>3734.8972546430336</v>
      </c>
      <c r="M4871" s="75">
        <f>'THAM_SO_MOI'!$C$15*'THAM_SO_MOI'!$C$16*F4871^2</f>
        <v>1827.789859111328</v>
      </c>
      <c r="N4871" s="75">
        <f>'THAM_SO_MOI'!$C$12*I4871</f>
        <v>1600.9056759567</v>
      </c>
      <c r="O4871" s="75">
        <f>M4871+N4871</f>
        <v>3428.695535068028</v>
      </c>
      <c r="P4871" s="75">
        <f>(MIN(L4871,'THAM_SO_MOI'!$C$41)-O4871)/('THAM_SO_MOI'!$C$11*H4871)</f>
        <v>0.036245468699692904</v>
      </c>
      <c r="Q4871" s="75">
        <f>IF(P4871&gt;0,1/P4871,NA())</f>
        <v>27.589655641795375</v>
      </c>
      <c r="R4871" s="75">
        <f>F4871-F4870</f>
        <v>0.0035868055555567935</v>
      </c>
      <c r="S4871" s="75">
        <f>0.5*(Q4870+Q4871)*R4871</f>
        <v>0.0988380574106799</v>
      </c>
      <c r="T4871" s="75">
        <f>0.5*(F4870*Q4870+F4871*Q4871)*R4871</f>
        <v>2.470547891353514</v>
      </c>
      <c r="U4871" s="76">
        <f>U4870+S4871</f>
        <v>106.01208795922398</v>
      </c>
      <c r="V4871" s="76">
        <f>V4870+T4871</f>
        <v>1984.8377217208747</v>
      </c>
    </row>
    <row r="4872" spans="1:22" ht="19" customHeight="1">
      <c r="A4872" s="68" t="s">
        <v>378</v>
      </c>
      <c r="B4872" s="74">
        <v>5</v>
      </c>
      <c r="C4872" s="68" t="s">
        <v>363</v>
      </c>
      <c r="D4872" s="68" t="s">
        <v>365</v>
      </c>
      <c r="E4872" s="75">
        <f>60*F4872*'THAM_SO_MOI'!$C$53/(2*PI()*'THAM_SO_MOI'!$C$26)</f>
        <v>2463.2854999999995</v>
      </c>
      <c r="F4872" s="75">
        <f>'THAM_SO_MOI'!$C$14+('THAM_SO_MOI'!$C$37-'THAM_SO_MOI'!$C$14)*781/'THAM_SO_MOI'!$C$42</f>
        <v>25.00129513888889</v>
      </c>
      <c r="G4872" s="75">
        <f>3.6*F4872</f>
        <v>90.0046625</v>
      </c>
      <c r="H4872" s="75">
        <f>'THAM_SO_MOI'!$D$53</f>
        <v>1.1</v>
      </c>
      <c r="I4872" s="75">
        <f>IF(F4872&gt;='THAM_SO_MOI'!$C$14,'THAM_SO_MOI'!$C$13*(1+F4872^2/1500),'THAM_SO_MOI'!$C$13)</f>
        <v>0.02125064758621829</v>
      </c>
      <c r="J4872" s="75">
        <f>'THAM_SO_MOI'!$C$40*('THAM_SO_MOI'!$C$23*(E4872/'THAM_SO_MOI'!$C$22)+'THAM_SO_MOI'!$C$24*(E4872/'THAM_SO_MOI'!$C$22)^2-'THAM_SO_MOI'!$C$25*(E4872/'THAM_SO_MOI'!$C$22)^3)</f>
        <v>109.83226490544202</v>
      </c>
      <c r="K4872" s="75">
        <f>'THAM_SO_MOI'!$C$31*J4872/E4872</f>
        <v>425.86162546127</v>
      </c>
      <c r="L4872" s="75">
        <f>K4872*'THAM_SO_MOI'!$C$53*'THAM_SO_MOI'!$C$17/'THAM_SO_MOI'!$C$26</f>
        <v>3734.808121678488</v>
      </c>
      <c r="M4872" s="75">
        <f>'THAM_SO_MOI'!$C$15*'THAM_SO_MOI'!$C$16*F4872^2</f>
        <v>1828.3144189688505</v>
      </c>
      <c r="N4872" s="75">
        <f>'THAM_SO_MOI'!$C$12*I4872</f>
        <v>1601.040789663755</v>
      </c>
      <c r="O4872" s="75">
        <f>M4872+N4872</f>
        <v>3429.3552086326054</v>
      </c>
      <c r="P4872" s="75">
        <f>(MIN(L4872,'THAM_SO_MOI'!$C$41)-O4872)/('THAM_SO_MOI'!$C$11*H4872)</f>
        <v>0.036156831563196316</v>
      </c>
      <c r="Q4872" s="75">
        <f>IF(P4872&gt;0,1/P4872,NA())</f>
        <v>27.657290663098095</v>
      </c>
      <c r="R4872" s="75">
        <f>F4872-F4871</f>
        <v>0.0035868055555567935</v>
      </c>
      <c r="S4872" s="75">
        <f>0.5*(Q4871+Q4872)*R4872</f>
        <v>0.09908002696696988</v>
      </c>
      <c r="T4872" s="75">
        <f>0.5*(F4871*Q4871+F4872*Q4872)*R4872</f>
        <v>2.47695152370878</v>
      </c>
      <c r="U4872" s="76">
        <f>U4871+S4872</f>
        <v>106.11116798619095</v>
      </c>
      <c r="V4872" s="76">
        <f>V4871+T4872</f>
        <v>1987.3146732445834</v>
      </c>
    </row>
    <row r="4873" spans="1:22" ht="19" customHeight="1">
      <c r="A4873" s="68" t="s">
        <v>378</v>
      </c>
      <c r="B4873" s="74">
        <v>5</v>
      </c>
      <c r="C4873" s="68" t="s">
        <v>363</v>
      </c>
      <c r="D4873" s="68" t="s">
        <v>365</v>
      </c>
      <c r="E4873" s="75">
        <f>60*F4873*'THAM_SO_MOI'!$C$53/(2*PI()*'THAM_SO_MOI'!$C$26)</f>
        <v>2463.6388947368414</v>
      </c>
      <c r="F4873" s="75">
        <f>'THAM_SO_MOI'!$C$14+('THAM_SO_MOI'!$C$37-'THAM_SO_MOI'!$C$14)*782/'THAM_SO_MOI'!$C$42</f>
        <v>25.004881944444442</v>
      </c>
      <c r="G4873" s="75">
        <f>3.6*F4873</f>
        <v>90.017575</v>
      </c>
      <c r="H4873" s="75">
        <f>'THAM_SO_MOI'!$D$53</f>
        <v>1.1</v>
      </c>
      <c r="I4873" s="75">
        <f>IF(F4873&gt;='THAM_SO_MOI'!$C$14,'THAM_SO_MOI'!$C$13*(1+F4873^2/1500),'THAM_SO_MOI'!$C$13)</f>
        <v>0.021252441210556035</v>
      </c>
      <c r="J4873" s="75">
        <f>'THAM_SO_MOI'!$C$40*('THAM_SO_MOI'!$C$23*(E4873/'THAM_SO_MOI'!$C$22)+'THAM_SO_MOI'!$C$24*(E4873/'THAM_SO_MOI'!$C$22)^2-'THAM_SO_MOI'!$C$25*(E4873/'THAM_SO_MOI'!$C$22)^3)</f>
        <v>109.84539726795718</v>
      </c>
      <c r="K4873" s="75">
        <f>'THAM_SO_MOI'!$C$31*J4873/E4873</f>
        <v>425.85144995591537</v>
      </c>
      <c r="L4873" s="75">
        <f>K4873*'THAM_SO_MOI'!$C$53*'THAM_SO_MOI'!$C$17/'THAM_SO_MOI'!$C$26</f>
        <v>3734.7188824567115</v>
      </c>
      <c r="M4873" s="75">
        <f>'THAM_SO_MOI'!$C$15*'THAM_SO_MOI'!$C$16*F4873^2</f>
        <v>1828.8390540876408</v>
      </c>
      <c r="N4873" s="75">
        <f>'THAM_SO_MOI'!$C$12*I4873</f>
        <v>1601.1759227562602</v>
      </c>
      <c r="O4873" s="75">
        <f>M4873+N4873</f>
        <v>3430.014976843901</v>
      </c>
      <c r="P4873" s="75">
        <f>(MIN(L4873,'THAM_SO_MOI'!$C$41)-O4873)/('THAM_SO_MOI'!$C$11*H4873)</f>
        <v>0.0360681706454558</v>
      </c>
      <c r="Q4873" s="75">
        <f>IF(P4873&gt;0,1/P4873,NA())</f>
        <v>27.725276389252898</v>
      </c>
      <c r="R4873" s="75">
        <f>F4873-F4872</f>
        <v>0.0035868055555532408</v>
      </c>
      <c r="S4873" s="75">
        <f>0.5*(Q4872+Q4873)*R4873</f>
        <v>0.0993232495920862</v>
      </c>
      <c r="T4873" s="75">
        <f>0.5*(F4872*Q4872+F4873*Q4873)*R4873</f>
        <v>2.48338822245904</v>
      </c>
      <c r="U4873" s="76">
        <f>U4872+S4873</f>
        <v>106.21049123578304</v>
      </c>
      <c r="V4873" s="76">
        <f>V4872+T4873</f>
        <v>1989.7980614670425</v>
      </c>
    </row>
    <row r="4874" spans="1:22" ht="19" customHeight="1">
      <c r="A4874" s="68" t="s">
        <v>378</v>
      </c>
      <c r="B4874" s="74">
        <v>5</v>
      </c>
      <c r="C4874" s="68" t="s">
        <v>363</v>
      </c>
      <c r="D4874" s="68" t="s">
        <v>365</v>
      </c>
      <c r="E4874" s="75">
        <f>60*F4874*'THAM_SO_MOI'!$C$53/(2*PI()*'THAM_SO_MOI'!$C$26)</f>
        <v>2463.9922894736833</v>
      </c>
      <c r="F4874" s="75">
        <f>'THAM_SO_MOI'!$C$14+('THAM_SO_MOI'!$C$37-'THAM_SO_MOI'!$C$14)*783/'THAM_SO_MOI'!$C$42</f>
        <v>25.00846875</v>
      </c>
      <c r="G4874" s="75">
        <f>3.6*F4874</f>
        <v>90.03048749999999</v>
      </c>
      <c r="H4874" s="75">
        <f>'THAM_SO_MOI'!$D$53</f>
        <v>1.1</v>
      </c>
      <c r="I4874" s="75">
        <f>IF(F4874&gt;='THAM_SO_MOI'!$C$14,'THAM_SO_MOI'!$C$13*(1+F4874^2/1500),'THAM_SO_MOI'!$C$13)</f>
        <v>0.021254235092197267</v>
      </c>
      <c r="J4874" s="75">
        <f>'THAM_SO_MOI'!$C$40*('THAM_SO_MOI'!$C$23*(E4874/'THAM_SO_MOI'!$C$22)+'THAM_SO_MOI'!$C$24*(E4874/'THAM_SO_MOI'!$C$22)^2-'THAM_SO_MOI'!$C$25*(E4874/'THAM_SO_MOI'!$C$22)^3)</f>
        <v>109.85852575179463</v>
      </c>
      <c r="K4874" s="75">
        <f>'THAM_SO_MOI'!$C$31*J4874/E4874</f>
        <v>425.8412623345763</v>
      </c>
      <c r="L4874" s="75">
        <f>K4874*'THAM_SO_MOI'!$C$53*'THAM_SO_MOI'!$C$17/'THAM_SO_MOI'!$C$26</f>
        <v>3734.629536977704</v>
      </c>
      <c r="M4874" s="75">
        <f>'THAM_SO_MOI'!$C$15*'THAM_SO_MOI'!$C$16*F4874^2</f>
        <v>1829.3637644677003</v>
      </c>
      <c r="N4874" s="75">
        <f>'THAM_SO_MOI'!$C$12*I4874</f>
        <v>1601.3110752342159</v>
      </c>
      <c r="O4874" s="75">
        <f>M4874+N4874</f>
        <v>3430.6748397019164</v>
      </c>
      <c r="P4874" s="75">
        <f>(MIN(L4874,'THAM_SO_MOI'!$C$41)-O4874)/('THAM_SO_MOI'!$C$11*H4874)</f>
        <v>0.035979485946471094</v>
      </c>
      <c r="Q4874" s="75">
        <f>IF(P4874&gt;0,1/P4874,NA())</f>
        <v>27.793615547697424</v>
      </c>
      <c r="R4874" s="75">
        <f>F4874-F4873</f>
        <v>0.0035868055555567935</v>
      </c>
      <c r="S4874" s="75">
        <f>0.5*(Q4873+Q4874)*R4874</f>
        <v>0.09956773501890534</v>
      </c>
      <c r="T4874" s="75">
        <f>0.5*(F4873*Q4873+F4874*Q4874)*R4874</f>
        <v>2.4898582444748074</v>
      </c>
      <c r="U4874" s="76">
        <f>U4873+S4874</f>
        <v>106.31005897080195</v>
      </c>
      <c r="V4874" s="76">
        <f>V4873+T4874</f>
        <v>1992.2879197115174</v>
      </c>
    </row>
    <row r="4875" spans="1:22" ht="19" customHeight="1">
      <c r="A4875" s="68" t="s">
        <v>378</v>
      </c>
      <c r="B4875" s="74">
        <v>5</v>
      </c>
      <c r="C4875" s="68" t="s">
        <v>363</v>
      </c>
      <c r="D4875" s="68" t="s">
        <v>365</v>
      </c>
      <c r="E4875" s="75">
        <f>60*F4875*'THAM_SO_MOI'!$C$53/(2*PI()*'THAM_SO_MOI'!$C$26)</f>
        <v>2464.3456842105256</v>
      </c>
      <c r="F4875" s="75">
        <f>'THAM_SO_MOI'!$C$14+('THAM_SO_MOI'!$C$37-'THAM_SO_MOI'!$C$14)*784/'THAM_SO_MOI'!$C$42</f>
        <v>25.012055555555555</v>
      </c>
      <c r="G4875" s="75">
        <f>3.6*F4875</f>
        <v>90.0434</v>
      </c>
      <c r="H4875" s="75">
        <f>'THAM_SO_MOI'!$D$53</f>
        <v>1.1</v>
      </c>
      <c r="I4875" s="75">
        <f>IF(F4875&gt;='THAM_SO_MOI'!$C$14,'THAM_SO_MOI'!$C$13*(1+F4875^2/1500),'THAM_SO_MOI'!$C$13)</f>
        <v>0.021256029231141976</v>
      </c>
      <c r="J4875" s="75">
        <f>'THAM_SO_MOI'!$C$40*('THAM_SO_MOI'!$C$23*(E4875/'THAM_SO_MOI'!$C$22)+'THAM_SO_MOI'!$C$24*(E4875/'THAM_SO_MOI'!$C$22)^2-'THAM_SO_MOI'!$C$25*(E4875/'THAM_SO_MOI'!$C$22)^3)</f>
        <v>109.87165035560948</v>
      </c>
      <c r="K4875" s="75">
        <f>'THAM_SO_MOI'!$C$31*J4875/E4875</f>
        <v>425.83106259725264</v>
      </c>
      <c r="L4875" s="75">
        <f>K4875*'THAM_SO_MOI'!$C$53*'THAM_SO_MOI'!$C$17/'THAM_SO_MOI'!$C$26</f>
        <v>3734.540085241464</v>
      </c>
      <c r="M4875" s="75">
        <f>'THAM_SO_MOI'!$C$15*'THAM_SO_MOI'!$C$16*F4875^2</f>
        <v>1829.8885501090278</v>
      </c>
      <c r="N4875" s="75">
        <f>'THAM_SO_MOI'!$C$12*I4875</f>
        <v>1601.4462470976214</v>
      </c>
      <c r="O4875" s="75">
        <f>M4875+N4875</f>
        <v>3431.3347972066495</v>
      </c>
      <c r="P4875" s="75">
        <f>(MIN(L4875,'THAM_SO_MOI'!$C$41)-O4875)/('THAM_SO_MOI'!$C$11*H4875)</f>
        <v>0.035890777466242293</v>
      </c>
      <c r="Q4875" s="75">
        <f>IF(P4875&gt;0,1/P4875,NA())</f>
        <v>27.862310894228127</v>
      </c>
      <c r="R4875" s="75">
        <f>F4875-F4874</f>
        <v>0.0035868055555567935</v>
      </c>
      <c r="S4875" s="75">
        <f>0.5*(Q4874+Q4875)*R4875</f>
        <v>0.0998134930807794</v>
      </c>
      <c r="T4875" s="75">
        <f>0.5*(F4874*Q4874+F4875*Q4875)*R4875</f>
        <v>2.496361849279162</v>
      </c>
      <c r="U4875" s="76">
        <f>U4874+S4875</f>
        <v>106.40987246388272</v>
      </c>
      <c r="V4875" s="76">
        <f>V4874+T4875</f>
        <v>1994.7842815607964</v>
      </c>
    </row>
    <row r="4876" spans="1:22" ht="19" customHeight="1">
      <c r="A4876" s="68" t="s">
        <v>378</v>
      </c>
      <c r="B4876" s="74">
        <v>5</v>
      </c>
      <c r="C4876" s="68" t="s">
        <v>363</v>
      </c>
      <c r="D4876" s="68" t="s">
        <v>365</v>
      </c>
      <c r="E4876" s="75">
        <f>60*F4876*'THAM_SO_MOI'!$C$53/(2*PI()*'THAM_SO_MOI'!$C$26)</f>
        <v>2464.6990789473675</v>
      </c>
      <c r="F4876" s="75">
        <f>'THAM_SO_MOI'!$C$14+('THAM_SO_MOI'!$C$37-'THAM_SO_MOI'!$C$14)*785/'THAM_SO_MOI'!$C$42</f>
        <v>25.01564236111111</v>
      </c>
      <c r="G4876" s="75">
        <f>3.6*F4876</f>
        <v>90.05631249999999</v>
      </c>
      <c r="H4876" s="75">
        <f>'THAM_SO_MOI'!$D$53</f>
        <v>1.1</v>
      </c>
      <c r="I4876" s="75">
        <f>IF(F4876&gt;='THAM_SO_MOI'!$C$14,'THAM_SO_MOI'!$C$13*(1+F4876^2/1500),'THAM_SO_MOI'!$C$13)</f>
        <v>0.021257823627390166</v>
      </c>
      <c r="J4876" s="75">
        <f>'THAM_SO_MOI'!$C$40*('THAM_SO_MOI'!$C$23*(E4876/'THAM_SO_MOI'!$C$22)+'THAM_SO_MOI'!$C$24*(E4876/'THAM_SO_MOI'!$C$22)^2-'THAM_SO_MOI'!$C$25*(E4876/'THAM_SO_MOI'!$C$22)^3)</f>
        <v>109.88477107805687</v>
      </c>
      <c r="K4876" s="75">
        <f>'THAM_SO_MOI'!$C$31*J4876/E4876</f>
        <v>425.8208507439448</v>
      </c>
      <c r="L4876" s="75">
        <f>K4876*'THAM_SO_MOI'!$C$53*'THAM_SO_MOI'!$C$17/'THAM_SO_MOI'!$C$26</f>
        <v>3734.4505272479955</v>
      </c>
      <c r="M4876" s="75">
        <f>'THAM_SO_MOI'!$C$15*'THAM_SO_MOI'!$C$16*F4876^2</f>
        <v>1830.4134110116236</v>
      </c>
      <c r="N4876" s="75">
        <f>'THAM_SO_MOI'!$C$12*I4876</f>
        <v>1601.5814383464772</v>
      </c>
      <c r="O4876" s="75">
        <f>M4876+N4876</f>
        <v>3431.9948493581005</v>
      </c>
      <c r="P4876" s="75">
        <f>(MIN(L4876,'THAM_SO_MOI'!$C$41)-O4876)/('THAM_SO_MOI'!$C$11*H4876)</f>
        <v>0.03580204520476974</v>
      </c>
      <c r="Q4876" s="75">
        <f>IF(P4876&gt;0,1/P4876,NA())</f>
        <v>27.93136521336984</v>
      </c>
      <c r="R4876" s="75">
        <f>F4876-F4875</f>
        <v>0.0035868055555532408</v>
      </c>
      <c r="S4876" s="75">
        <f>0.5*(Q4875+Q4876)*R4876</f>
        <v>0.10006053371373526</v>
      </c>
      <c r="T4876" s="75">
        <f>0.5*(F4875*Q4875+F4876*Q4876)*R4876</f>
        <v>2.5028992991045533</v>
      </c>
      <c r="U4876" s="76">
        <f>U4875+S4876</f>
        <v>106.50993299759645</v>
      </c>
      <c r="V4876" s="76">
        <f>V4875+T4876</f>
        <v>1997.287180859901</v>
      </c>
    </row>
    <row r="4877" spans="1:22" ht="19" customHeight="1">
      <c r="A4877" s="68" t="s">
        <v>378</v>
      </c>
      <c r="B4877" s="74">
        <v>5</v>
      </c>
      <c r="C4877" s="68" t="s">
        <v>363</v>
      </c>
      <c r="D4877" s="68" t="s">
        <v>365</v>
      </c>
      <c r="E4877" s="75">
        <f>60*F4877*'THAM_SO_MOI'!$C$53/(2*PI()*'THAM_SO_MOI'!$C$26)</f>
        <v>2465.05247368421</v>
      </c>
      <c r="F4877" s="75">
        <f>'THAM_SO_MOI'!$C$14+('THAM_SO_MOI'!$C$37-'THAM_SO_MOI'!$C$14)*786/'THAM_SO_MOI'!$C$42</f>
        <v>25.019229166666666</v>
      </c>
      <c r="G4877" s="75">
        <f>3.6*F4877</f>
        <v>90.069225</v>
      </c>
      <c r="H4877" s="75">
        <f>'THAM_SO_MOI'!$D$53</f>
        <v>1.1</v>
      </c>
      <c r="I4877" s="75">
        <f>IF(F4877&gt;='THAM_SO_MOI'!$C$14,'THAM_SO_MOI'!$C$13*(1+F4877^2/1500),'THAM_SO_MOI'!$C$13)</f>
        <v>0.02125961828094184</v>
      </c>
      <c r="J4877" s="75">
        <f>'THAM_SO_MOI'!$C$40*('THAM_SO_MOI'!$C$23*(E4877/'THAM_SO_MOI'!$C$22)+'THAM_SO_MOI'!$C$24*(E4877/'THAM_SO_MOI'!$C$22)^2-'THAM_SO_MOI'!$C$25*(E4877/'THAM_SO_MOI'!$C$22)^3)</f>
        <v>109.89788791779185</v>
      </c>
      <c r="K4877" s="75">
        <f>'THAM_SO_MOI'!$C$31*J4877/E4877</f>
        <v>425.8106267746522</v>
      </c>
      <c r="L4877" s="75">
        <f>K4877*'THAM_SO_MOI'!$C$53*'THAM_SO_MOI'!$C$17/'THAM_SO_MOI'!$C$26</f>
        <v>3734.3608629972937</v>
      </c>
      <c r="M4877" s="75">
        <f>'THAM_SO_MOI'!$C$15*'THAM_SO_MOI'!$C$16*F4877^2</f>
        <v>1830.9383471754884</v>
      </c>
      <c r="N4877" s="75">
        <f>'THAM_SO_MOI'!$C$12*I4877</f>
        <v>1601.716648980783</v>
      </c>
      <c r="O4877" s="75">
        <f>M4877+N4877</f>
        <v>3432.6549961562714</v>
      </c>
      <c r="P4877" s="75">
        <f>(MIN(L4877,'THAM_SO_MOI'!$C$41)-O4877)/('THAM_SO_MOI'!$C$11*H4877)</f>
        <v>0.035713289162052825</v>
      </c>
      <c r="Q4877" s="75">
        <f>IF(P4877&gt;0,1/P4877,NA())</f>
        <v>28.000781318752082</v>
      </c>
      <c r="R4877" s="75">
        <f>F4877-F4876</f>
        <v>0.0035868055555567935</v>
      </c>
      <c r="S4877" s="75">
        <f>0.5*(Q4876+Q4877)*R4877</f>
        <v>0.10030886695781577</v>
      </c>
      <c r="T4877" s="75">
        <f>0.5*(F4876*Q4876+F4877*Q4877)*R4877</f>
        <v>2.509470858928203</v>
      </c>
      <c r="U4877" s="76">
        <f>U4876+S4877</f>
        <v>106.61024186455427</v>
      </c>
      <c r="V4877" s="76">
        <f>V4876+T4877</f>
        <v>1999.796651718829</v>
      </c>
    </row>
    <row r="4878" spans="1:22" ht="19" customHeight="1">
      <c r="A4878" s="68" t="s">
        <v>378</v>
      </c>
      <c r="B4878" s="74">
        <v>5</v>
      </c>
      <c r="C4878" s="68" t="s">
        <v>363</v>
      </c>
      <c r="D4878" s="68" t="s">
        <v>365</v>
      </c>
      <c r="E4878" s="75">
        <f>60*F4878*'THAM_SO_MOI'!$C$53/(2*PI()*'THAM_SO_MOI'!$C$26)</f>
        <v>2465.405868421052</v>
      </c>
      <c r="F4878" s="75">
        <f>'THAM_SO_MOI'!$C$14+('THAM_SO_MOI'!$C$37-'THAM_SO_MOI'!$C$14)*787/'THAM_SO_MOI'!$C$42</f>
        <v>25.022815972222222</v>
      </c>
      <c r="G4878" s="75">
        <f>3.6*F4878</f>
        <v>90.0821375</v>
      </c>
      <c r="H4878" s="75">
        <f>'THAM_SO_MOI'!$D$53</f>
        <v>1.1</v>
      </c>
      <c r="I4878" s="75">
        <f>IF(F4878&gt;='THAM_SO_MOI'!$C$14,'THAM_SO_MOI'!$C$13*(1+F4878^2/1500),'THAM_SO_MOI'!$C$13)</f>
        <v>0.021261413191796995</v>
      </c>
      <c r="J4878" s="75">
        <f>'THAM_SO_MOI'!$C$40*('THAM_SO_MOI'!$C$23*(E4878/'THAM_SO_MOI'!$C$22)+'THAM_SO_MOI'!$C$24*(E4878/'THAM_SO_MOI'!$C$22)^2-'THAM_SO_MOI'!$C$25*(E4878/'THAM_SO_MOI'!$C$22)^3)</f>
        <v>109.91100087346959</v>
      </c>
      <c r="K4878" s="75">
        <f>'THAM_SO_MOI'!$C$31*J4878/E4878</f>
        <v>425.80039068937526</v>
      </c>
      <c r="L4878" s="75">
        <f>K4878*'THAM_SO_MOI'!$C$53*'THAM_SO_MOI'!$C$17/'THAM_SO_MOI'!$C$26</f>
        <v>3734.2710924893613</v>
      </c>
      <c r="M4878" s="75">
        <f>'THAM_SO_MOI'!$C$15*'THAM_SO_MOI'!$C$16*F4878^2</f>
        <v>1831.4633586006214</v>
      </c>
      <c r="N4878" s="75">
        <f>'THAM_SO_MOI'!$C$12*I4878</f>
        <v>1601.8518790005392</v>
      </c>
      <c r="O4878" s="75">
        <f>M4878+N4878</f>
        <v>3433.3152376011603</v>
      </c>
      <c r="P4878" s="75">
        <f>(MIN(L4878,'THAM_SO_MOI'!$C$41)-O4878)/('THAM_SO_MOI'!$C$11*H4878)</f>
        <v>0.03562450933809194</v>
      </c>
      <c r="Q4878" s="75">
        <f>IF(P4878&gt;0,1/P4878,NA())</f>
        <v>28.07056205348877</v>
      </c>
      <c r="R4878" s="75">
        <f>F4878-F4877</f>
        <v>0.0035868055555567935</v>
      </c>
      <c r="S4878" s="75">
        <f>0.5*(Q4877+Q4878)*R4878</f>
        <v>0.10055850295754304</v>
      </c>
      <c r="T4878" s="75">
        <f>0.5*(F4877*Q4877+F4878*Q4878)*R4878</f>
        <v>2.5160767964855553</v>
      </c>
      <c r="U4878" s="76">
        <f>U4877+S4878</f>
        <v>106.71080036751181</v>
      </c>
      <c r="V4878" s="76">
        <f>V4877+T4878</f>
        <v>2002.3127285153146</v>
      </c>
    </row>
    <row r="4879" spans="1:22" ht="19" customHeight="1">
      <c r="A4879" s="68" t="s">
        <v>378</v>
      </c>
      <c r="B4879" s="74">
        <v>5</v>
      </c>
      <c r="C4879" s="68" t="s">
        <v>363</v>
      </c>
      <c r="D4879" s="68" t="s">
        <v>365</v>
      </c>
      <c r="E4879" s="75">
        <f>60*F4879*'THAM_SO_MOI'!$C$53/(2*PI()*'THAM_SO_MOI'!$C$26)</f>
        <v>2465.759263157894</v>
      </c>
      <c r="F4879" s="75">
        <f>'THAM_SO_MOI'!$C$14+('THAM_SO_MOI'!$C$37-'THAM_SO_MOI'!$C$14)*788/'THAM_SO_MOI'!$C$42</f>
        <v>25.026402777777776</v>
      </c>
      <c r="G4879" s="75">
        <f>3.6*F4879</f>
        <v>90.09505</v>
      </c>
      <c r="H4879" s="75">
        <f>'THAM_SO_MOI'!$D$53</f>
        <v>1.1</v>
      </c>
      <c r="I4879" s="75">
        <f>IF(F4879&gt;='THAM_SO_MOI'!$C$14,'THAM_SO_MOI'!$C$13*(1+F4879^2/1500),'THAM_SO_MOI'!$C$13)</f>
        <v>0.02126320835995563</v>
      </c>
      <c r="J4879" s="75">
        <f>'THAM_SO_MOI'!$C$40*('THAM_SO_MOI'!$C$23*(E4879/'THAM_SO_MOI'!$C$22)+'THAM_SO_MOI'!$C$24*(E4879/'THAM_SO_MOI'!$C$22)^2-'THAM_SO_MOI'!$C$25*(E4879/'THAM_SO_MOI'!$C$22)^3)</f>
        <v>109.92410994374518</v>
      </c>
      <c r="K4879" s="75">
        <f>'THAM_SO_MOI'!$C$31*J4879/E4879</f>
        <v>425.790142488114</v>
      </c>
      <c r="L4879" s="75">
        <f>K4879*'THAM_SO_MOI'!$C$53*'THAM_SO_MOI'!$C$17/'THAM_SO_MOI'!$C$26</f>
        <v>3734.181215724199</v>
      </c>
      <c r="M4879" s="75">
        <f>'THAM_SO_MOI'!$C$15*'THAM_SO_MOI'!$C$16*F4879^2</f>
        <v>1831.9884452870226</v>
      </c>
      <c r="N4879" s="75">
        <f>'THAM_SO_MOI'!$C$12*I4879</f>
        <v>1601.9871284057451</v>
      </c>
      <c r="O4879" s="75">
        <f>M4879+N4879</f>
        <v>3433.9755736927677</v>
      </c>
      <c r="P4879" s="75">
        <f>(MIN(L4879,'THAM_SO_MOI'!$C$41)-O4879)/('THAM_SO_MOI'!$C$11*H4879)</f>
        <v>0.03553570573288721</v>
      </c>
      <c r="Q4879" s="75">
        <f>IF(P4879&gt;0,1/P4879,NA())</f>
        <v>28.140710290566442</v>
      </c>
      <c r="R4879" s="75">
        <f>F4879-F4878</f>
        <v>0.0035868055555532408</v>
      </c>
      <c r="S4879" s="75">
        <f>0.5*(Q4878+Q4879)*R4879</f>
        <v>0.10080945196418675</v>
      </c>
      <c r="T4879" s="75">
        <f>0.5*(F4878*Q4878+F4879*Q4879)*R4879</f>
        <v>2.5227173823289197</v>
      </c>
      <c r="U4879" s="76">
        <f>U4878+S4879</f>
        <v>106.81160981947599</v>
      </c>
      <c r="V4879" s="76">
        <f>V4878+T4879</f>
        <v>2004.8354458976435</v>
      </c>
    </row>
    <row r="4880" spans="1:22" ht="19" customHeight="1">
      <c r="A4880" s="68" t="s">
        <v>378</v>
      </c>
      <c r="B4880" s="74">
        <v>5</v>
      </c>
      <c r="C4880" s="68" t="s">
        <v>363</v>
      </c>
      <c r="D4880" s="68" t="s">
        <v>365</v>
      </c>
      <c r="E4880" s="75">
        <f>60*F4880*'THAM_SO_MOI'!$C$53/(2*PI()*'THAM_SO_MOI'!$C$26)</f>
        <v>2466.1126578947365</v>
      </c>
      <c r="F4880" s="75">
        <f>'THAM_SO_MOI'!$C$14+('THAM_SO_MOI'!$C$37-'THAM_SO_MOI'!$C$14)*789/'THAM_SO_MOI'!$C$42</f>
        <v>25.029989583333332</v>
      </c>
      <c r="G4880" s="75">
        <f>3.6*F4880</f>
        <v>90.1079625</v>
      </c>
      <c r="H4880" s="75">
        <f>'THAM_SO_MOI'!$D$53</f>
        <v>1.1</v>
      </c>
      <c r="I4880" s="75">
        <f>IF(F4880&gt;='THAM_SO_MOI'!$C$14,'THAM_SO_MOI'!$C$13*(1+F4880^2/1500),'THAM_SO_MOI'!$C$13)</f>
        <v>0.021265003785417753</v>
      </c>
      <c r="J4880" s="75">
        <f>'THAM_SO_MOI'!$C$40*('THAM_SO_MOI'!$C$23*(E4880/'THAM_SO_MOI'!$C$22)+'THAM_SO_MOI'!$C$24*(E4880/'THAM_SO_MOI'!$C$22)^2-'THAM_SO_MOI'!$C$25*(E4880/'THAM_SO_MOI'!$C$22)^3)</f>
        <v>109.93721512727369</v>
      </c>
      <c r="K4880" s="75">
        <f>'THAM_SO_MOI'!$C$31*J4880/E4880</f>
        <v>425.77988217086806</v>
      </c>
      <c r="L4880" s="75">
        <f>K4880*'THAM_SO_MOI'!$C$53*'THAM_SO_MOI'!$C$17/'THAM_SO_MOI'!$C$26</f>
        <v>3734.091232701804</v>
      </c>
      <c r="M4880" s="75">
        <f>'THAM_SO_MOI'!$C$15*'THAM_SO_MOI'!$C$16*F4880^2</f>
        <v>1832.5136072346925</v>
      </c>
      <c r="N4880" s="75">
        <f>'THAM_SO_MOI'!$C$12*I4880</f>
        <v>1602.1223971964018</v>
      </c>
      <c r="O4880" s="75">
        <f>M4880+N4880</f>
        <v>3434.636004431094</v>
      </c>
      <c r="P4880" s="75">
        <f>(MIN(L4880,'THAM_SO_MOI'!$C$41)-O4880)/('THAM_SO_MOI'!$C$11*H4880)</f>
        <v>0.035446878346438185</v>
      </c>
      <c r="Q4880" s="75">
        <f>IF(P4880&gt;0,1/P4880,NA())</f>
        <v>28.211228933237873</v>
      </c>
      <c r="R4880" s="75">
        <f>F4880-F4879</f>
        <v>0.0035868055555567935</v>
      </c>
      <c r="S4880" s="75">
        <f>0.5*(Q4879+Q4880)*R4880</f>
        <v>0.10106172433717005</v>
      </c>
      <c r="T4880" s="75">
        <f>0.5*(F4879*Q4879+F4880*Q4880)*R4880</f>
        <v>2.5293928898645714</v>
      </c>
      <c r="U4880" s="76">
        <f>U4879+S4880</f>
        <v>106.91267154381316</v>
      </c>
      <c r="V4880" s="76">
        <f>V4879+T4880</f>
        <v>2007.364838787508</v>
      </c>
    </row>
    <row r="4881" spans="1:22" ht="19" customHeight="1">
      <c r="A4881" s="68" t="s">
        <v>378</v>
      </c>
      <c r="B4881" s="74">
        <v>5</v>
      </c>
      <c r="C4881" s="68" t="s">
        <v>363</v>
      </c>
      <c r="D4881" s="68" t="s">
        <v>365</v>
      </c>
      <c r="E4881" s="75">
        <f>60*F4881*'THAM_SO_MOI'!$C$53/(2*PI()*'THAM_SO_MOI'!$C$26)</f>
        <v>2466.4660526315783</v>
      </c>
      <c r="F4881" s="75">
        <f>'THAM_SO_MOI'!$C$14+('THAM_SO_MOI'!$C$37-'THAM_SO_MOI'!$C$14)*790/'THAM_SO_MOI'!$C$42</f>
        <v>25.03357638888889</v>
      </c>
      <c r="G4881" s="75">
        <f>3.6*F4881</f>
        <v>90.120875</v>
      </c>
      <c r="H4881" s="75">
        <f>'THAM_SO_MOI'!$D$53</f>
        <v>1.1</v>
      </c>
      <c r="I4881" s="75">
        <f>IF(F4881&gt;='THAM_SO_MOI'!$C$14,'THAM_SO_MOI'!$C$13*(1+F4881^2/1500),'THAM_SO_MOI'!$C$13)</f>
        <v>0.02126679946818335</v>
      </c>
      <c r="J4881" s="75">
        <f>'THAM_SO_MOI'!$C$40*('THAM_SO_MOI'!$C$23*(E4881/'THAM_SO_MOI'!$C$22)+'THAM_SO_MOI'!$C$24*(E4881/'THAM_SO_MOI'!$C$22)^2-'THAM_SO_MOI'!$C$25*(E4881/'THAM_SO_MOI'!$C$22)^3)</f>
        <v>109.95031642271027</v>
      </c>
      <c r="K4881" s="75">
        <f>'THAM_SO_MOI'!$C$31*J4881/E4881</f>
        <v>425.76960973763784</v>
      </c>
      <c r="L4881" s="75">
        <f>K4881*'THAM_SO_MOI'!$C$53*'THAM_SO_MOI'!$C$17/'THAM_SO_MOI'!$C$26</f>
        <v>3734.0011434221797</v>
      </c>
      <c r="M4881" s="75">
        <f>'THAM_SO_MOI'!$C$15*'THAM_SO_MOI'!$C$16*F4881^2</f>
        <v>1833.038844443631</v>
      </c>
      <c r="N4881" s="75">
        <f>'THAM_SO_MOI'!$C$12*I4881</f>
        <v>1602.2576853725081</v>
      </c>
      <c r="O4881" s="75">
        <f>M4881+N4881</f>
        <v>3435.296529816139</v>
      </c>
      <c r="P4881" s="75">
        <f>(MIN(L4881,'THAM_SO_MOI'!$C$41)-O4881)/('THAM_SO_MOI'!$C$11*H4881)</f>
        <v>0.03535802717874533</v>
      </c>
      <c r="Q4881" s="75">
        <f>IF(P4881&gt;0,1/P4881,NA())</f>
        <v>28.282120915420506</v>
      </c>
      <c r="R4881" s="75">
        <f>F4881-F4880</f>
        <v>0.0035868055555567935</v>
      </c>
      <c r="S4881" s="75">
        <f>0.5*(Q4880+Q4881)*R4881</f>
        <v>0.10131533054459071</v>
      </c>
      <c r="T4881" s="75">
        <f>0.5*(F4880*Q4880+F4881*Q4881)*R4881</f>
        <v>2.536103595367732</v>
      </c>
      <c r="U4881" s="76">
        <f>U4880+S4881</f>
        <v>107.01398687435776</v>
      </c>
      <c r="V4881" s="76">
        <f>V4880+T4881</f>
        <v>2009.9009423828757</v>
      </c>
    </row>
    <row r="4882" spans="1:22" ht="19" customHeight="1">
      <c r="A4882" s="68" t="s">
        <v>378</v>
      </c>
      <c r="B4882" s="74">
        <v>5</v>
      </c>
      <c r="C4882" s="68" t="s">
        <v>363</v>
      </c>
      <c r="D4882" s="68" t="s">
        <v>365</v>
      </c>
      <c r="E4882" s="75">
        <f>60*F4882*'THAM_SO_MOI'!$C$53/(2*PI()*'THAM_SO_MOI'!$C$26)</f>
        <v>2466.8194473684202</v>
      </c>
      <c r="F4882" s="75">
        <f>'THAM_SO_MOI'!$C$14+('THAM_SO_MOI'!$C$37-'THAM_SO_MOI'!$C$14)*791/'THAM_SO_MOI'!$C$42</f>
        <v>25.037163194444442</v>
      </c>
      <c r="G4882" s="75">
        <f>3.6*F4882</f>
        <v>90.1337875</v>
      </c>
      <c r="H4882" s="75">
        <f>'THAM_SO_MOI'!$D$53</f>
        <v>1.1</v>
      </c>
      <c r="I4882" s="75">
        <f>IF(F4882&gt;='THAM_SO_MOI'!$C$14,'THAM_SO_MOI'!$C$13*(1+F4882^2/1500),'THAM_SO_MOI'!$C$13)</f>
        <v>0.021268595408252433</v>
      </c>
      <c r="J4882" s="75">
        <f>'THAM_SO_MOI'!$C$40*('THAM_SO_MOI'!$C$23*(E4882/'THAM_SO_MOI'!$C$22)+'THAM_SO_MOI'!$C$24*(E4882/'THAM_SO_MOI'!$C$22)^2-'THAM_SO_MOI'!$C$25*(E4882/'THAM_SO_MOI'!$C$22)^3)</f>
        <v>109.96341382870999</v>
      </c>
      <c r="K4882" s="75">
        <f>'THAM_SO_MOI'!$C$31*J4882/E4882</f>
        <v>425.7593251884229</v>
      </c>
      <c r="L4882" s="75">
        <f>K4882*'THAM_SO_MOI'!$C$53*'THAM_SO_MOI'!$C$17/'THAM_SO_MOI'!$C$26</f>
        <v>3733.9109478853215</v>
      </c>
      <c r="M4882" s="75">
        <f>'THAM_SO_MOI'!$C$15*'THAM_SO_MOI'!$C$16*F4882^2</f>
        <v>1833.5641569138372</v>
      </c>
      <c r="N4882" s="75">
        <f>'THAM_SO_MOI'!$C$12*I4882</f>
        <v>1602.392992934065</v>
      </c>
      <c r="O4882" s="75">
        <f>M4882+N4882</f>
        <v>3435.957149847902</v>
      </c>
      <c r="P4882" s="75">
        <f>(MIN(L4882,'THAM_SO_MOI'!$C$41)-O4882)/('THAM_SO_MOI'!$C$11*H4882)</f>
        <v>0.035269152229808164</v>
      </c>
      <c r="Q4882" s="75">
        <f>IF(P4882&gt;0,1/P4882,NA())</f>
        <v>28.35338920210386</v>
      </c>
      <c r="R4882" s="75">
        <f>F4882-F4881</f>
        <v>0.0035868055555532408</v>
      </c>
      <c r="S4882" s="75">
        <f>0.5*(Q4881+Q4882)*R4882</f>
        <v>0.10157028116556407</v>
      </c>
      <c r="T4882" s="75">
        <f>0.5*(F4881*Q4881+F4882*Q4882)*R4882</f>
        <v>2.5428497780431814</v>
      </c>
      <c r="U4882" s="76">
        <f>U4881+S4882</f>
        <v>107.11555715552332</v>
      </c>
      <c r="V4882" s="76">
        <f>V4881+T4882</f>
        <v>2012.4437921609187</v>
      </c>
    </row>
    <row r="4883" spans="1:22" ht="19" customHeight="1">
      <c r="A4883" s="68" t="s">
        <v>378</v>
      </c>
      <c r="B4883" s="74">
        <v>5</v>
      </c>
      <c r="C4883" s="68" t="s">
        <v>363</v>
      </c>
      <c r="D4883" s="68" t="s">
        <v>365</v>
      </c>
      <c r="E4883" s="75">
        <f>60*F4883*'THAM_SO_MOI'!$C$53/(2*PI()*'THAM_SO_MOI'!$C$26)</f>
        <v>2467.1728421052626</v>
      </c>
      <c r="F4883" s="75">
        <f>'THAM_SO_MOI'!$C$14+('THAM_SO_MOI'!$C$37-'THAM_SO_MOI'!$C$14)*792/'THAM_SO_MOI'!$C$42</f>
        <v>25.04075</v>
      </c>
      <c r="G4883" s="75">
        <f>3.6*F4883</f>
        <v>90.1467</v>
      </c>
      <c r="H4883" s="75">
        <f>'THAM_SO_MOI'!$D$53</f>
        <v>1.1</v>
      </c>
      <c r="I4883" s="75">
        <f>IF(F4883&gt;='THAM_SO_MOI'!$C$14,'THAM_SO_MOI'!$C$13*(1+F4883^2/1500),'THAM_SO_MOI'!$C$13)</f>
        <v>0.021270391605624998</v>
      </c>
      <c r="J4883" s="75">
        <f>'THAM_SO_MOI'!$C$40*('THAM_SO_MOI'!$C$23*(E4883/'THAM_SO_MOI'!$C$22)+'THAM_SO_MOI'!$C$24*(E4883/'THAM_SO_MOI'!$C$22)^2-'THAM_SO_MOI'!$C$25*(E4883/'THAM_SO_MOI'!$C$22)^3)</f>
        <v>109.97650734392806</v>
      </c>
      <c r="K4883" s="75">
        <f>'THAM_SO_MOI'!$C$31*J4883/E4883</f>
        <v>425.74902852322384</v>
      </c>
      <c r="L4883" s="75">
        <f>K4883*'THAM_SO_MOI'!$C$53*'THAM_SO_MOI'!$C$17/'THAM_SO_MOI'!$C$26</f>
        <v>3733.820646091235</v>
      </c>
      <c r="M4883" s="75">
        <f>'THAM_SO_MOI'!$C$15*'THAM_SO_MOI'!$C$16*F4883^2</f>
        <v>1834.0895446453126</v>
      </c>
      <c r="N4883" s="75">
        <f>'THAM_SO_MOI'!$C$12*I4883</f>
        <v>1602.5283198810719</v>
      </c>
      <c r="O4883" s="75">
        <f>M4883+N4883</f>
        <v>3436.6178645263844</v>
      </c>
      <c r="P4883" s="75">
        <f>(MIN(L4883,'THAM_SO_MOI'!$C$41)-O4883)/('THAM_SO_MOI'!$C$11*H4883)</f>
        <v>0.035180253499627216</v>
      </c>
      <c r="Q4883" s="75">
        <f>IF(P4883&gt;0,1/P4883,NA())</f>
        <v>28.42503678976038</v>
      </c>
      <c r="R4883" s="75">
        <f>F4883-F4882</f>
        <v>0.0035868055555567935</v>
      </c>
      <c r="S4883" s="75">
        <f>0.5*(Q4882+Q4883)*R4883</f>
        <v>0.10182658689169445</v>
      </c>
      <c r="T4883" s="75">
        <f>0.5*(F4882*Q4882+F4883*Q4883)*R4883</f>
        <v>2.549631720064087</v>
      </c>
      <c r="U4883" s="76">
        <f>U4882+S4883</f>
        <v>107.21738374241501</v>
      </c>
      <c r="V4883" s="76">
        <f>V4882+T4883</f>
        <v>2014.9934238809828</v>
      </c>
    </row>
    <row r="4884" spans="1:22" ht="19" customHeight="1">
      <c r="A4884" s="68" t="s">
        <v>378</v>
      </c>
      <c r="B4884" s="74">
        <v>5</v>
      </c>
      <c r="C4884" s="68" t="s">
        <v>363</v>
      </c>
      <c r="D4884" s="68" t="s">
        <v>365</v>
      </c>
      <c r="E4884" s="75">
        <f>60*F4884*'THAM_SO_MOI'!$C$53/(2*PI()*'THAM_SO_MOI'!$C$26)</f>
        <v>2467.526236842105</v>
      </c>
      <c r="F4884" s="75">
        <f>'THAM_SO_MOI'!$C$14+('THAM_SO_MOI'!$C$37-'THAM_SO_MOI'!$C$14)*793/'THAM_SO_MOI'!$C$42</f>
        <v>25.044336805555552</v>
      </c>
      <c r="G4884" s="75">
        <f>3.6*F4884</f>
        <v>90.1596125</v>
      </c>
      <c r="H4884" s="75">
        <f>'THAM_SO_MOI'!$D$53</f>
        <v>1.1</v>
      </c>
      <c r="I4884" s="75">
        <f>IF(F4884&gt;='THAM_SO_MOI'!$C$14,'THAM_SO_MOI'!$C$13*(1+F4884^2/1500),'THAM_SO_MOI'!$C$13)</f>
        <v>0.021272188060301043</v>
      </c>
      <c r="J4884" s="75">
        <f>'THAM_SO_MOI'!$C$40*('THAM_SO_MOI'!$C$23*(E4884/'THAM_SO_MOI'!$C$22)+'THAM_SO_MOI'!$C$24*(E4884/'THAM_SO_MOI'!$C$22)^2-'THAM_SO_MOI'!$C$25*(E4884/'THAM_SO_MOI'!$C$22)^3)</f>
        <v>109.98959696701951</v>
      </c>
      <c r="K4884" s="75">
        <f>'THAM_SO_MOI'!$C$31*J4884/E4884</f>
        <v>425.73871974204013</v>
      </c>
      <c r="L4884" s="75">
        <f>K4884*'THAM_SO_MOI'!$C$53*'THAM_SO_MOI'!$C$17/'THAM_SO_MOI'!$C$26</f>
        <v>3733.7302380399155</v>
      </c>
      <c r="M4884" s="75">
        <f>'THAM_SO_MOI'!$C$15*'THAM_SO_MOI'!$C$16*F4884^2</f>
        <v>1834.6150076380557</v>
      </c>
      <c r="N4884" s="75">
        <f>'THAM_SO_MOI'!$C$12*I4884</f>
        <v>1602.6636662135288</v>
      </c>
      <c r="O4884" s="75">
        <f>M4884+N4884</f>
        <v>3437.2786738515842</v>
      </c>
      <c r="P4884" s="75">
        <f>(MIN(L4884,'THAM_SO_MOI'!$C$41)-O4884)/('THAM_SO_MOI'!$C$11*H4884)</f>
        <v>0.035091330988202066</v>
      </c>
      <c r="Q4884" s="75">
        <f>IF(P4884&gt;0,1/P4884,NA())</f>
        <v>28.497066706766024</v>
      </c>
      <c r="R4884" s="75">
        <f>F4884-F4883</f>
        <v>0.0035868055555532408</v>
      </c>
      <c r="S4884" s="75">
        <f>0.5*(Q4883+Q4884)*R4884</f>
        <v>0.10208425852755873</v>
      </c>
      <c r="T4884" s="75">
        <f>0.5*(F4883*Q4883+F4884*Q4884)*R4884</f>
        <v>2.5564497065861325</v>
      </c>
      <c r="U4884" s="76">
        <f>U4883+S4884</f>
        <v>107.31946800094256</v>
      </c>
      <c r="V4884" s="76">
        <f>V4883+T4884</f>
        <v>2017.549873587569</v>
      </c>
    </row>
    <row r="4885" spans="1:22" ht="19" customHeight="1">
      <c r="A4885" s="68" t="s">
        <v>378</v>
      </c>
      <c r="B4885" s="74">
        <v>5</v>
      </c>
      <c r="C4885" s="68" t="s">
        <v>363</v>
      </c>
      <c r="D4885" s="68" t="s">
        <v>365</v>
      </c>
      <c r="E4885" s="75">
        <f>60*F4885*'THAM_SO_MOI'!$C$53/(2*PI()*'THAM_SO_MOI'!$C$26)</f>
        <v>2467.879631578947</v>
      </c>
      <c r="F4885" s="75">
        <f>'THAM_SO_MOI'!$C$14+('THAM_SO_MOI'!$C$37-'THAM_SO_MOI'!$C$14)*794/'THAM_SO_MOI'!$C$42</f>
        <v>25.04792361111111</v>
      </c>
      <c r="G4885" s="75">
        <f>3.6*F4885</f>
        <v>90.172525</v>
      </c>
      <c r="H4885" s="75">
        <f>'THAM_SO_MOI'!$D$53</f>
        <v>1.1</v>
      </c>
      <c r="I4885" s="75">
        <f>IF(F4885&gt;='THAM_SO_MOI'!$C$14,'THAM_SO_MOI'!$C$13*(1+F4885^2/1500),'THAM_SO_MOI'!$C$13)</f>
        <v>0.021273984772280572</v>
      </c>
      <c r="J4885" s="75">
        <f>'THAM_SO_MOI'!$C$40*('THAM_SO_MOI'!$C$23*(E4885/'THAM_SO_MOI'!$C$22)+'THAM_SO_MOI'!$C$24*(E4885/'THAM_SO_MOI'!$C$22)^2-'THAM_SO_MOI'!$C$25*(E4885/'THAM_SO_MOI'!$C$22)^3)</f>
        <v>110.0026826966394</v>
      </c>
      <c r="K4885" s="75">
        <f>'THAM_SO_MOI'!$C$31*J4885/E4885</f>
        <v>425.7283988448718</v>
      </c>
      <c r="L4885" s="75">
        <f>K4885*'THAM_SO_MOI'!$C$53*'THAM_SO_MOI'!$C$17/'THAM_SO_MOI'!$C$26</f>
        <v>3733.639723731364</v>
      </c>
      <c r="M4885" s="75">
        <f>'THAM_SO_MOI'!$C$15*'THAM_SO_MOI'!$C$16*F4885^2</f>
        <v>1835.140545892068</v>
      </c>
      <c r="N4885" s="75">
        <f>'THAM_SO_MOI'!$C$12*I4885</f>
        <v>1602.7990319314363</v>
      </c>
      <c r="O4885" s="75">
        <f>M4885+N4885</f>
        <v>3437.9395778235044</v>
      </c>
      <c r="P4885" s="75">
        <f>(MIN(L4885,'THAM_SO_MOI'!$C$41)-O4885)/('THAM_SO_MOI'!$C$11*H4885)</f>
        <v>0.03500238469553263</v>
      </c>
      <c r="Q4885" s="75">
        <f>IF(P4885&gt;0,1/P4885,NA())</f>
        <v>28.569482013824917</v>
      </c>
      <c r="R4885" s="75">
        <f>F4885-F4884</f>
        <v>0.0035868055555567935</v>
      </c>
      <c r="S4885" s="75">
        <f>0.5*(Q4884+Q4885)*R4885</f>
        <v>0.102343306993734</v>
      </c>
      <c r="T4885" s="75">
        <f>0.5*(F4884*Q4884+F4885*Q4885)*R4885</f>
        <v>2.5633040258253765</v>
      </c>
      <c r="U4885" s="76">
        <f>U4884+S4885</f>
        <v>107.4218113079363</v>
      </c>
      <c r="V4885" s="76">
        <f>V4884+T4885</f>
        <v>2020.1131776133943</v>
      </c>
    </row>
    <row r="4886" spans="1:22" ht="19" customHeight="1">
      <c r="A4886" s="68" t="s">
        <v>378</v>
      </c>
      <c r="B4886" s="74">
        <v>5</v>
      </c>
      <c r="C4886" s="68" t="s">
        <v>363</v>
      </c>
      <c r="D4886" s="68" t="s">
        <v>365</v>
      </c>
      <c r="E4886" s="75">
        <f>60*F4886*'THAM_SO_MOI'!$C$53/(2*PI()*'THAM_SO_MOI'!$C$26)</f>
        <v>2468.233026315789</v>
      </c>
      <c r="F4886" s="75">
        <f>'THAM_SO_MOI'!$C$14+('THAM_SO_MOI'!$C$37-'THAM_SO_MOI'!$C$14)*795/'THAM_SO_MOI'!$C$42</f>
        <v>25.051510416666666</v>
      </c>
      <c r="G4886" s="75">
        <f>3.6*F4886</f>
        <v>90.1854375</v>
      </c>
      <c r="H4886" s="75">
        <f>'THAM_SO_MOI'!$D$53</f>
        <v>1.1</v>
      </c>
      <c r="I4886" s="75">
        <f>IF(F4886&gt;='THAM_SO_MOI'!$C$14,'THAM_SO_MOI'!$C$13*(1+F4886^2/1500),'THAM_SO_MOI'!$C$13)</f>
        <v>0.021275781741563582</v>
      </c>
      <c r="J4886" s="75">
        <f>'THAM_SO_MOI'!$C$40*('THAM_SO_MOI'!$C$23*(E4886/'THAM_SO_MOI'!$C$22)+'THAM_SO_MOI'!$C$24*(E4886/'THAM_SO_MOI'!$C$22)^2-'THAM_SO_MOI'!$C$25*(E4886/'THAM_SO_MOI'!$C$22)^3)</f>
        <v>110.01576453144298</v>
      </c>
      <c r="K4886" s="75">
        <f>'THAM_SO_MOI'!$C$31*J4886/E4886</f>
        <v>425.71806583171934</v>
      </c>
      <c r="L4886" s="75">
        <f>K4886*'THAM_SO_MOI'!$C$53*'THAM_SO_MOI'!$C$17/'THAM_SO_MOI'!$C$26</f>
        <v>3733.5491031655847</v>
      </c>
      <c r="M4886" s="75">
        <f>'THAM_SO_MOI'!$C$15*'THAM_SO_MOI'!$C$16*F4886^2</f>
        <v>1835.6661594073487</v>
      </c>
      <c r="N4886" s="75">
        <f>'THAM_SO_MOI'!$C$12*I4886</f>
        <v>1602.9344170347936</v>
      </c>
      <c r="O4886" s="75">
        <f>M4886+N4886</f>
        <v>3438.6005764421425</v>
      </c>
      <c r="P4886" s="75">
        <f>(MIN(L4886,'THAM_SO_MOI'!$C$41)-O4886)/('THAM_SO_MOI'!$C$11*H4886)</f>
        <v>0.03491341462161961</v>
      </c>
      <c r="Q4886" s="75">
        <f>IF(P4886&gt;0,1/P4886,NA())</f>
        <v>28.642285804401528</v>
      </c>
      <c r="R4886" s="75">
        <f>F4886-F4885</f>
        <v>0.0035868055555567935</v>
      </c>
      <c r="S4886" s="75">
        <f>0.5*(Q4885+Q4886)*R4886</f>
        <v>0.10260374332682</v>
      </c>
      <c r="T4886" s="75">
        <f>0.5*(F4885*Q4885+F4886*Q4886)*R4886</f>
        <v>2.5701949690608914</v>
      </c>
      <c r="U4886" s="76">
        <f>U4885+S4886</f>
        <v>107.52441505126312</v>
      </c>
      <c r="V4886" s="76">
        <f>V4885+T4886</f>
        <v>2022.6833725824551</v>
      </c>
    </row>
    <row r="4887" spans="1:22" ht="19" customHeight="1">
      <c r="A4887" s="68" t="s">
        <v>378</v>
      </c>
      <c r="B4887" s="74">
        <v>5</v>
      </c>
      <c r="C4887" s="68" t="s">
        <v>363</v>
      </c>
      <c r="D4887" s="68" t="s">
        <v>365</v>
      </c>
      <c r="E4887" s="75">
        <f>60*F4887*'THAM_SO_MOI'!$C$53/(2*PI()*'THAM_SO_MOI'!$C$26)</f>
        <v>2468.5864210526306</v>
      </c>
      <c r="F4887" s="75">
        <f>'THAM_SO_MOI'!$C$14+('THAM_SO_MOI'!$C$37-'THAM_SO_MOI'!$C$14)*796/'THAM_SO_MOI'!$C$42</f>
        <v>25.05509722222222</v>
      </c>
      <c r="G4887" s="75">
        <f>3.6*F4887</f>
        <v>90.19834999999999</v>
      </c>
      <c r="H4887" s="75">
        <f>'THAM_SO_MOI'!$D$53</f>
        <v>1.1</v>
      </c>
      <c r="I4887" s="75">
        <f>IF(F4887&gt;='THAM_SO_MOI'!$C$14,'THAM_SO_MOI'!$C$13*(1+F4887^2/1500),'THAM_SO_MOI'!$C$13)</f>
        <v>0.021277578968150076</v>
      </c>
      <c r="J4887" s="75">
        <f>'THAM_SO_MOI'!$C$40*('THAM_SO_MOI'!$C$23*(E4887/'THAM_SO_MOI'!$C$22)+'THAM_SO_MOI'!$C$24*(E4887/'THAM_SO_MOI'!$C$22)^2-'THAM_SO_MOI'!$C$25*(E4887/'THAM_SO_MOI'!$C$22)^3)</f>
        <v>110.02884247008525</v>
      </c>
      <c r="K4887" s="75">
        <f>'THAM_SO_MOI'!$C$31*J4887/E4887</f>
        <v>425.7077207025824</v>
      </c>
      <c r="L4887" s="75">
        <f>K4887*'THAM_SO_MOI'!$C$53*'THAM_SO_MOI'!$C$17/'THAM_SO_MOI'!$C$26</f>
        <v>3733.458376342573</v>
      </c>
      <c r="M4887" s="75">
        <f>'THAM_SO_MOI'!$C$15*'THAM_SO_MOI'!$C$16*F4887^2</f>
        <v>1836.1918481838973</v>
      </c>
      <c r="N4887" s="75">
        <f>'THAM_SO_MOI'!$C$12*I4887</f>
        <v>1603.0698215236014</v>
      </c>
      <c r="O4887" s="75">
        <f>M4887+N4887</f>
        <v>3439.2616697074986</v>
      </c>
      <c r="P4887" s="75">
        <f>(MIN(L4887,'THAM_SO_MOI'!$C$41)-O4887)/('THAM_SO_MOI'!$C$11*H4887)</f>
        <v>0.03482442076646241</v>
      </c>
      <c r="Q4887" s="75">
        <f>IF(P4887&gt;0,1/P4887,NA())</f>
        <v>28.71548120516187</v>
      </c>
      <c r="R4887" s="75">
        <f>F4887-F4886</f>
        <v>0.0035868055555532408</v>
      </c>
      <c r="S4887" s="75">
        <f>0.5*(Q4886+Q4887)*R4887</f>
        <v>0.1028655786820152</v>
      </c>
      <c r="T4887" s="75">
        <f>0.5*(F4886*Q4886+F4887*Q4887)*R4887</f>
        <v>2.577122830701388</v>
      </c>
      <c r="U4887" s="76">
        <f>U4886+S4887</f>
        <v>107.62728062994513</v>
      </c>
      <c r="V4887" s="76">
        <f>V4886+T4887</f>
        <v>2025.2604954131566</v>
      </c>
    </row>
    <row r="4888" spans="1:22" ht="19" customHeight="1">
      <c r="A4888" s="68" t="s">
        <v>378</v>
      </c>
      <c r="B4888" s="74">
        <v>5</v>
      </c>
      <c r="C4888" s="68" t="s">
        <v>363</v>
      </c>
      <c r="D4888" s="68" t="s">
        <v>365</v>
      </c>
      <c r="E4888" s="75">
        <f>60*F4888*'THAM_SO_MOI'!$C$53/(2*PI()*'THAM_SO_MOI'!$C$26)</f>
        <v>2468.939815789473</v>
      </c>
      <c r="F4888" s="75">
        <f>'THAM_SO_MOI'!$C$14+('THAM_SO_MOI'!$C$37-'THAM_SO_MOI'!$C$14)*797/'THAM_SO_MOI'!$C$42</f>
        <v>25.058684027777776</v>
      </c>
      <c r="G4888" s="75">
        <f>3.6*F4888</f>
        <v>90.21126249999999</v>
      </c>
      <c r="H4888" s="75">
        <f>'THAM_SO_MOI'!$D$53</f>
        <v>1.1</v>
      </c>
      <c r="I4888" s="75">
        <f>IF(F4888&gt;='THAM_SO_MOI'!$C$14,'THAM_SO_MOI'!$C$13*(1+F4888^2/1500),'THAM_SO_MOI'!$C$13)</f>
        <v>0.021279376452040047</v>
      </c>
      <c r="J4888" s="75">
        <f>'THAM_SO_MOI'!$C$40*('THAM_SO_MOI'!$C$23*(E4888/'THAM_SO_MOI'!$C$22)+'THAM_SO_MOI'!$C$24*(E4888/'THAM_SO_MOI'!$C$22)^2-'THAM_SO_MOI'!$C$25*(E4888/'THAM_SO_MOI'!$C$22)^3)</f>
        <v>110.04191651122136</v>
      </c>
      <c r="K4888" s="75">
        <f>'THAM_SO_MOI'!$C$31*J4888/E4888</f>
        <v>425.69736345746077</v>
      </c>
      <c r="L4888" s="75">
        <f>K4888*'THAM_SO_MOI'!$C$53*'THAM_SO_MOI'!$C$17/'THAM_SO_MOI'!$C$26</f>
        <v>3733.3675432623286</v>
      </c>
      <c r="M4888" s="75">
        <f>'THAM_SO_MOI'!$C$15*'THAM_SO_MOI'!$C$16*F4888^2</f>
        <v>1836.717612221715</v>
      </c>
      <c r="N4888" s="75">
        <f>'THAM_SO_MOI'!$C$12*I4888</f>
        <v>1603.2052453978588</v>
      </c>
      <c r="O4888" s="75">
        <f>M4888+N4888</f>
        <v>3439.9228576195737</v>
      </c>
      <c r="P4888" s="75">
        <f>(MIN(L4888,'THAM_SO_MOI'!$C$41)-O4888)/('THAM_SO_MOI'!$C$11*H4888)</f>
        <v>0.034735403130060946</v>
      </c>
      <c r="Q4888" s="75">
        <f>IF(P4888&gt;0,1/P4888,NA())</f>
        <v>28.78907137641864</v>
      </c>
      <c r="R4888" s="75">
        <f>F4888-F4887</f>
        <v>0.0035868055555567935</v>
      </c>
      <c r="S4888" s="75">
        <f>0.5*(Q4887+Q4888)*R4888</f>
        <v>0.10312882433471036</v>
      </c>
      <c r="T4888" s="75">
        <f>0.5*(F4887*Q4887+F4888*Q4888)*R4888</f>
        <v>2.584087908327267</v>
      </c>
      <c r="U4888" s="76">
        <f>U4887+S4888</f>
        <v>107.73040945427984</v>
      </c>
      <c r="V4888" s="76">
        <f>V4887+T4888</f>
        <v>2027.844583321484</v>
      </c>
    </row>
    <row r="4889" spans="1:22" ht="19" customHeight="1">
      <c r="A4889" s="68" t="s">
        <v>378</v>
      </c>
      <c r="B4889" s="74">
        <v>5</v>
      </c>
      <c r="C4889" s="68" t="s">
        <v>363</v>
      </c>
      <c r="D4889" s="68" t="s">
        <v>365</v>
      </c>
      <c r="E4889" s="75">
        <f>60*F4889*'THAM_SO_MOI'!$C$53/(2*PI()*'THAM_SO_MOI'!$C$26)</f>
        <v>2469.293210526315</v>
      </c>
      <c r="F4889" s="75">
        <f>'THAM_SO_MOI'!$C$14+('THAM_SO_MOI'!$C$37-'THAM_SO_MOI'!$C$14)*798/'THAM_SO_MOI'!$C$42</f>
        <v>25.062270833333333</v>
      </c>
      <c r="G4889" s="75">
        <f>3.6*F4889</f>
        <v>90.224175</v>
      </c>
      <c r="H4889" s="75">
        <f>'THAM_SO_MOI'!$D$53</f>
        <v>1.1</v>
      </c>
      <c r="I4889" s="75">
        <f>IF(F4889&gt;='THAM_SO_MOI'!$C$14,'THAM_SO_MOI'!$C$13*(1+F4889^2/1500),'THAM_SO_MOI'!$C$13)</f>
        <v>0.021281174193233506</v>
      </c>
      <c r="J4889" s="75">
        <f>'THAM_SO_MOI'!$C$40*('THAM_SO_MOI'!$C$23*(E4889/'THAM_SO_MOI'!$C$22)+'THAM_SO_MOI'!$C$24*(E4889/'THAM_SO_MOI'!$C$22)^2-'THAM_SO_MOI'!$C$25*(E4889/'THAM_SO_MOI'!$C$22)^3)</f>
        <v>110.05498665350639</v>
      </c>
      <c r="K4889" s="75">
        <f>'THAM_SO_MOI'!$C$31*J4889/E4889</f>
        <v>425.68699409635474</v>
      </c>
      <c r="L4889" s="75">
        <f>K4889*'THAM_SO_MOI'!$C$53*'THAM_SO_MOI'!$C$17/'THAM_SO_MOI'!$C$26</f>
        <v>3733.276603924854</v>
      </c>
      <c r="M4889" s="75">
        <f>'THAM_SO_MOI'!$C$15*'THAM_SO_MOI'!$C$16*F4889^2</f>
        <v>1837.2434515208008</v>
      </c>
      <c r="N4889" s="75">
        <f>'THAM_SO_MOI'!$C$12*I4889</f>
        <v>1603.340688657567</v>
      </c>
      <c r="O4889" s="75">
        <f>M4889+N4889</f>
        <v>3440.5841401783678</v>
      </c>
      <c r="P4889" s="75">
        <f>(MIN(L4889,'THAM_SO_MOI'!$C$41)-O4889)/('THAM_SO_MOI'!$C$11*H4889)</f>
        <v>0.034646361712415516</v>
      </c>
      <c r="Q4889" s="75">
        <f>IF(P4889&gt;0,1/P4889,NA())</f>
        <v>28.86305951258513</v>
      </c>
      <c r="R4889" s="75">
        <f>F4889-F4888</f>
        <v>0.0035868055555567935</v>
      </c>
      <c r="S4889" s="75">
        <f>0.5*(Q4888+Q4889)*R4889</f>
        <v>0.10339349168118307</v>
      </c>
      <c r="T4889" s="75">
        <f>0.5*(F4888*Q4888+F4889*Q4889)*R4889</f>
        <v>2.591090502710185</v>
      </c>
      <c r="U4889" s="76">
        <f>U4888+S4889</f>
        <v>107.83380294596103</v>
      </c>
      <c r="V4889" s="76">
        <f>V4888+T4889</f>
        <v>2030.435673824194</v>
      </c>
    </row>
    <row r="4890" spans="1:22" ht="19" customHeight="1">
      <c r="A4890" s="68" t="s">
        <v>378</v>
      </c>
      <c r="B4890" s="74">
        <v>5</v>
      </c>
      <c r="C4890" s="68" t="s">
        <v>363</v>
      </c>
      <c r="D4890" s="68" t="s">
        <v>365</v>
      </c>
      <c r="E4890" s="75">
        <f>60*F4890*'THAM_SO_MOI'!$C$53/(2*PI()*'THAM_SO_MOI'!$C$26)</f>
        <v>2469.646605263157</v>
      </c>
      <c r="F4890" s="75">
        <f>'THAM_SO_MOI'!$C$14+('THAM_SO_MOI'!$C$37-'THAM_SO_MOI'!$C$14)*799/'THAM_SO_MOI'!$C$42</f>
        <v>25.065857638888886</v>
      </c>
      <c r="G4890" s="75">
        <f>3.6*F4890</f>
        <v>90.23708749999999</v>
      </c>
      <c r="H4890" s="75">
        <f>'THAM_SO_MOI'!$D$53</f>
        <v>1.1</v>
      </c>
      <c r="I4890" s="75">
        <f>IF(F4890&gt;='THAM_SO_MOI'!$C$14,'THAM_SO_MOI'!$C$13*(1+F4890^2/1500),'THAM_SO_MOI'!$C$13)</f>
        <v>0.02128297219173044</v>
      </c>
      <c r="J4890" s="75">
        <f>'THAM_SO_MOI'!$C$40*('THAM_SO_MOI'!$C$23*(E4890/'THAM_SO_MOI'!$C$22)+'THAM_SO_MOI'!$C$24*(E4890/'THAM_SO_MOI'!$C$22)^2-'THAM_SO_MOI'!$C$25*(E4890/'THAM_SO_MOI'!$C$22)^3)</f>
        <v>110.06805289559551</v>
      </c>
      <c r="K4890" s="75">
        <f>'THAM_SO_MOI'!$C$31*J4890/E4890</f>
        <v>425.67661261926435</v>
      </c>
      <c r="L4890" s="75">
        <f>K4890*'THAM_SO_MOI'!$C$53*'THAM_SO_MOI'!$C$17/'THAM_SO_MOI'!$C$26</f>
        <v>3733.185558330149</v>
      </c>
      <c r="M4890" s="75">
        <f>'THAM_SO_MOI'!$C$15*'THAM_SO_MOI'!$C$16*F4890^2</f>
        <v>1837.7693660811549</v>
      </c>
      <c r="N4890" s="75">
        <f>'THAM_SO_MOI'!$C$12*I4890</f>
        <v>1603.476151302725</v>
      </c>
      <c r="O4890" s="75">
        <f>M4890+N4890</f>
        <v>3441.24551738388</v>
      </c>
      <c r="P4890" s="75">
        <f>(MIN(L4890,'THAM_SO_MOI'!$C$41)-O4890)/('THAM_SO_MOI'!$C$11*H4890)</f>
        <v>0.03455729651352618</v>
      </c>
      <c r="Q4890" s="75">
        <f>IF(P4890&gt;0,1/P4890,NA())</f>
        <v>28.937448842636947</v>
      </c>
      <c r="R4890" s="75">
        <f>F4890-F4889</f>
        <v>0.0035868055555532408</v>
      </c>
      <c r="S4890" s="75">
        <f>0.5*(Q4889+Q4890)*R4890</f>
        <v>0.10365959224115603</v>
      </c>
      <c r="T4890" s="75">
        <f>0.5*(F4889*Q4889+F4890*Q4890)*R4890</f>
        <v>2.59813091787934</v>
      </c>
      <c r="U4890" s="76">
        <f>U4889+S4890</f>
        <v>107.93746253820218</v>
      </c>
      <c r="V4890" s="76">
        <f>V4889+T4890</f>
        <v>2033.0338047420735</v>
      </c>
    </row>
    <row r="4891" spans="1:22" ht="19" customHeight="1">
      <c r="A4891" s="68" t="s">
        <v>378</v>
      </c>
      <c r="B4891" s="74">
        <v>5</v>
      </c>
      <c r="C4891" s="68" t="s">
        <v>363</v>
      </c>
      <c r="D4891" s="68" t="s">
        <v>365</v>
      </c>
      <c r="E4891" s="75">
        <f>60*F4891*'THAM_SO_MOI'!$C$53/(2*PI()*'THAM_SO_MOI'!$C$26)</f>
        <v>2469.9999999999995</v>
      </c>
      <c r="F4891" s="75">
        <f>'THAM_SO_MOI'!$C$14+('THAM_SO_MOI'!$C$37-'THAM_SO_MOI'!$C$14)*800/'THAM_SO_MOI'!$C$42</f>
        <v>25.069444444444443</v>
      </c>
      <c r="G4891" s="75">
        <f>3.6*F4891</f>
        <v>90.25</v>
      </c>
      <c r="H4891" s="75">
        <f>'THAM_SO_MOI'!$D$53</f>
        <v>1.1</v>
      </c>
      <c r="I4891" s="75">
        <f>IF(F4891&gt;='THAM_SO_MOI'!$C$14,'THAM_SO_MOI'!$C$13*(1+F4891^2/1500),'THAM_SO_MOI'!$C$13)</f>
        <v>0.021284770447530865</v>
      </c>
      <c r="J4891" s="75">
        <f>'THAM_SO_MOI'!$C$40*('THAM_SO_MOI'!$C$23*(E4891/'THAM_SO_MOI'!$C$22)+'THAM_SO_MOI'!$C$24*(E4891/'THAM_SO_MOI'!$C$22)^2-'THAM_SO_MOI'!$C$25*(E4891/'THAM_SO_MOI'!$C$22)^3)</f>
        <v>110.0811152361438</v>
      </c>
      <c r="K4891" s="75">
        <f>'THAM_SO_MOI'!$C$31*J4891/E4891</f>
        <v>425.6662190261894</v>
      </c>
      <c r="L4891" s="75">
        <f>K4891*'THAM_SO_MOI'!$C$53*'THAM_SO_MOI'!$C$17/'THAM_SO_MOI'!$C$26</f>
        <v>3733.094406478212</v>
      </c>
      <c r="M4891" s="75">
        <f>'THAM_SO_MOI'!$C$15*'THAM_SO_MOI'!$C$16*F4891^2</f>
        <v>1838.2953559027776</v>
      </c>
      <c r="N4891" s="75">
        <f>'THAM_SO_MOI'!$C$12*I4891</f>
        <v>1603.6116333333334</v>
      </c>
      <c r="O4891" s="75">
        <f>M4891+N4891</f>
        <v>3441.9069892361113</v>
      </c>
      <c r="P4891" s="75">
        <f>(MIN(L4891,'THAM_SO_MOI'!$C$41)-O4891)/('THAM_SO_MOI'!$C$11*H4891)</f>
        <v>0.034468207533392636</v>
      </c>
      <c r="Q4891" s="75">
        <f>IF(P4891&gt;0,1/P4891,NA())</f>
        <v>29.012242630580797</v>
      </c>
      <c r="R4891" s="75">
        <f>F4891-F4890</f>
        <v>0.0035868055555567935</v>
      </c>
      <c r="S4891" s="75">
        <f>0.5*(Q4890+Q4891)*R4891</f>
        <v>0.10392713765946977</v>
      </c>
      <c r="T4891" s="75">
        <f>0.5*(F4890*Q4890+F4891*Q4891)*R4891</f>
        <v>2.605209461165618</v>
      </c>
      <c r="U4891" s="76">
        <f>U4890+S4891</f>
        <v>108.04138967586165</v>
      </c>
      <c r="V4891" s="76">
        <f>V4890+T4891</f>
        <v>2035.6390142032392</v>
      </c>
    </row>
  </sheetData>
  <autoFilter ref="A5:V4891"/>
  <mergeCells count="2">
    <mergeCell ref="A1:V1"/>
    <mergeCell ref="A2:V3"/>
  </mergeCells>
  <pageMargins left="0.3" right="0.3" top="0.45" bottom="0.45" header="0.3" footer="0.3"/>
  <pageSetup fitToHeight="0" orientation="landscape"/>
  <headerFooter>
    <oddHeader>&amp;LNhóm 2 — Excel tham khảo&amp;RHANH_TRINH</oddHeader>
    <oddFooter>&amp;LĐọc HD_THAM_KHAO trước khi thay đầu vào&amp;P / &amp;N</oddFooter>
  </headerFooter>
</worksheet>
</file>

<file path=xl/ref/worksheets/sheet5.xml><?xml version="1.0" encoding="utf-8"?>
<worksheet xmlns="http://schemas.openxmlformats.org/spreadsheetml/2006/main" xmlns:r="http://schemas.openxmlformats.org/officeDocument/2006/relationships">
  <sheetPr>
    <pageSetUpPr fitToPage="1"/>
  </sheetPr>
  <dimension ref="A1:K44"/>
  <sheetViews>
    <sheetView showGridLines="0" zoomScale="90" zoomScaleNormal="90" workbookViewId="0">
      <pane xSplit="2" ySplit="5" topLeftCell="C6" activePane="bottomRight" state="frozen"/>
      <selection pane="topRight" activeCell="C1" sqref="C1"/>
      <selection pane="bottomLeft" activeCell="A6" sqref="A6"/>
      <selection pane="bottomRight"/>
    </sheetView>
  </sheetViews>
  <sheetFormatPr defaultRowHeight="19" customHeight="1"/>
  <cols>
    <col min="1" max="1" width="20.7109375" customWidth="1"/>
    <col min="2" max="10" width="17.7109375" customWidth="1"/>
    <col min="11" max="11" width="26.7109375" customWidth="1"/>
  </cols>
  <sheetData>
    <row r="1" spans="1:11" ht="31" customHeight="1">
      <c r="A1" s="66" t="s">
        <v>379</v>
      </c>
      <c r="B1" s="66"/>
      <c r="C1" s="66"/>
      <c r="D1" s="66"/>
      <c r="E1" s="66"/>
      <c r="F1" s="66"/>
      <c r="G1" s="66"/>
      <c r="H1" s="66"/>
      <c r="I1" s="66"/>
      <c r="J1" s="66"/>
      <c r="K1" s="66"/>
    </row>
    <row r="2" spans="1:11" ht="26" customHeight="1">
      <c r="A2" s="70" t="s">
        <v>380</v>
      </c>
      <c r="B2" s="70"/>
      <c r="C2" s="70"/>
      <c r="D2" s="70"/>
      <c r="E2" s="70"/>
      <c r="F2" s="70"/>
      <c r="G2" s="70"/>
      <c r="H2" s="70"/>
      <c r="I2" s="70"/>
      <c r="J2" s="70"/>
      <c r="K2" s="70"/>
    </row>
    <row r="3" spans="1:11" ht="26" customHeight="1">
      <c r="A3" s="70"/>
      <c r="B3" s="70"/>
      <c r="C3" s="70"/>
      <c r="D3" s="70"/>
      <c r="E3" s="70"/>
      <c r="F3" s="70"/>
      <c r="G3" s="70"/>
      <c r="H3" s="70"/>
      <c r="I3" s="70"/>
      <c r="J3" s="70"/>
      <c r="K3" s="70"/>
    </row>
    <row r="5" spans="1:11" ht="34" customHeight="1">
      <c r="A5" s="71" t="s">
        <v>334</v>
      </c>
      <c r="B5" s="71" t="s">
        <v>335</v>
      </c>
      <c r="C5" s="71" t="s">
        <v>381</v>
      </c>
      <c r="D5" s="71" t="s">
        <v>382</v>
      </c>
      <c r="E5" s="71" t="s">
        <v>351</v>
      </c>
      <c r="F5" s="71" t="s">
        <v>352</v>
      </c>
      <c r="G5" s="71" t="s">
        <v>353</v>
      </c>
      <c r="H5" s="71" t="s">
        <v>354</v>
      </c>
      <c r="I5" s="71" t="s">
        <v>383</v>
      </c>
      <c r="J5" s="71" t="s">
        <v>336</v>
      </c>
      <c r="K5" s="71" t="s">
        <v>384</v>
      </c>
    </row>
    <row r="6" spans="1:11" ht="19" customHeight="1">
      <c r="A6" s="68" t="s">
        <v>368</v>
      </c>
      <c r="B6" s="74">
        <v>1</v>
      </c>
      <c r="C6" s="76">
        <f>'HANH_TRINH'!F6</f>
        <v>1.2491781722550954</v>
      </c>
      <c r="D6" s="76">
        <f>'HANH_TRINH'!F806</f>
        <v>4.05982905982906</v>
      </c>
      <c r="E6" s="76">
        <f>SUM('HANH_TRINH'!S6:S806)</f>
        <v>3.1157415721998967</v>
      </c>
      <c r="F6" s="76">
        <f>SUM('HANH_TRINH'!T6:T806)</f>
        <v>8.108827771088253</v>
      </c>
      <c r="G6" s="76">
        <f>'HANH_TRINH'!U806</f>
        <v>3.1157415721998967</v>
      </c>
      <c r="H6" s="76">
        <f>'HANH_TRINH'!V806</f>
        <v>8.108827771088253</v>
      </c>
      <c r="J6" s="68" t="s">
        <v>385</v>
      </c>
      <c r="K6" s="68" t="s">
        <v>386</v>
      </c>
    </row>
    <row r="7" spans="1:11" ht="19" customHeight="1">
      <c r="A7" s="68" t="s">
        <v>369</v>
      </c>
      <c r="B7" s="74">
        <v>1</v>
      </c>
      <c r="C7" s="76">
        <f>'HANH_TRINH'!F806</f>
        <v>4.05982905982906</v>
      </c>
      <c r="D7" s="76">
        <f>'HANH_TRINH'!F826</f>
        <v>3.9139201141052644</v>
      </c>
      <c r="E7" s="76">
        <f>SUM('HANH_TRINH'!S807:S826)</f>
        <v>0.9999999999999969</v>
      </c>
      <c r="F7" s="76">
        <f>SUM('HANH_TRINH'!T807:T826)</f>
        <v>3.986839419955155</v>
      </c>
      <c r="G7" s="76">
        <f>'HANH_TRINH'!U826</f>
        <v>4.115741572199894</v>
      </c>
      <c r="H7" s="76">
        <f>'HANH_TRINH'!V826</f>
        <v>12.095667191043407</v>
      </c>
      <c r="I7" s="75">
        <f>D7*60*'THAM_SO_MOI'!$C$50/(2*PI()*'THAM_SO_MOI'!$C$26)</f>
        <v>1569.817687546653</v>
      </c>
      <c r="J7" s="68" t="s">
        <v>387</v>
      </c>
      <c r="K7" s="68" t="s">
        <v>388</v>
      </c>
    </row>
    <row r="8" spans="1:11" ht="19" customHeight="1">
      <c r="A8" s="68" t="s">
        <v>372</v>
      </c>
      <c r="B8" s="74">
        <v>2</v>
      </c>
      <c r="C8" s="76">
        <f>'HANH_TRINH'!F827</f>
        <v>3.9139201141052644</v>
      </c>
      <c r="D8" s="76">
        <f>'HANH_TRINH'!F1627</f>
        <v>6.482403897854708</v>
      </c>
      <c r="E8" s="76">
        <f>SUM('HANH_TRINH'!S827:S1627)</f>
        <v>2.650893605551924</v>
      </c>
      <c r="F8" s="76">
        <f>SUM('HANH_TRINH'!T827:T1627)</f>
        <v>13.770948062117878</v>
      </c>
      <c r="G8" s="76">
        <f>'HANH_TRINH'!U1627</f>
        <v>6.766635177751818</v>
      </c>
      <c r="H8" s="76">
        <f>'HANH_TRINH'!V1627</f>
        <v>25.866615253161285</v>
      </c>
      <c r="J8" s="68" t="s">
        <v>385</v>
      </c>
      <c r="K8" s="68" t="s">
        <v>386</v>
      </c>
    </row>
    <row r="9" spans="1:11" ht="19" customHeight="1">
      <c r="A9" s="68" t="s">
        <v>373</v>
      </c>
      <c r="B9" s="74">
        <v>2</v>
      </c>
      <c r="C9" s="76">
        <f>'HANH_TRINH'!F1627</f>
        <v>6.482403897854708</v>
      </c>
      <c r="D9" s="76">
        <f>'HANH_TRINH'!F1647</f>
        <v>6.32738072734556</v>
      </c>
      <c r="E9" s="76">
        <f>SUM('HANH_TRINH'!S1628:S1647)</f>
        <v>0.9999999999999964</v>
      </c>
      <c r="F9" s="76">
        <f>SUM('HANH_TRINH'!T1628:T1647)</f>
        <v>6.404832288019357</v>
      </c>
      <c r="G9" s="76">
        <f>'HANH_TRINH'!U1647</f>
        <v>7.766635177751814</v>
      </c>
      <c r="H9" s="76">
        <f>'HANH_TRINH'!V1647</f>
        <v>32.27144754118064</v>
      </c>
      <c r="I9" s="75">
        <f>D9*60*'THAM_SO_MOI'!$C$51/(2*PI()*'THAM_SO_MOI'!$C$26)</f>
        <v>1589.3988305026999</v>
      </c>
      <c r="J9" s="68" t="s">
        <v>387</v>
      </c>
      <c r="K9" s="68" t="s">
        <v>388</v>
      </c>
    </row>
    <row r="10" spans="1:11" ht="19" customHeight="1">
      <c r="A10" s="68" t="s">
        <v>374</v>
      </c>
      <c r="B10" s="74">
        <v>3</v>
      </c>
      <c r="C10" s="76">
        <f>'HANH_TRINH'!F1648</f>
        <v>6.32738072734556</v>
      </c>
      <c r="D10" s="76">
        <f>'HANH_TRINH'!F2448</f>
        <v>10.350573798959712</v>
      </c>
      <c r="E10" s="76">
        <f>SUM('HANH_TRINH'!S1648:S2448)</f>
        <v>5.19309318793084</v>
      </c>
      <c r="F10" s="76">
        <f>SUM('HANH_TRINH'!T1648:T2448)</f>
        <v>43.31343599827277</v>
      </c>
      <c r="G10" s="76">
        <f>'HANH_TRINH'!U2448</f>
        <v>12.959728365682654</v>
      </c>
      <c r="H10" s="76">
        <f>'HANH_TRINH'!V2448</f>
        <v>75.58488353945341</v>
      </c>
      <c r="J10" s="68" t="s">
        <v>385</v>
      </c>
      <c r="K10" s="68" t="s">
        <v>386</v>
      </c>
    </row>
    <row r="11" spans="1:11" ht="19" customHeight="1">
      <c r="A11" s="68" t="s">
        <v>375</v>
      </c>
      <c r="B11" s="74">
        <v>3</v>
      </c>
      <c r="C11" s="76">
        <f>'HANH_TRINH'!F2448</f>
        <v>10.350573798959712</v>
      </c>
      <c r="D11" s="76">
        <f>'HANH_TRINH'!F2468</f>
        <v>10.172237339300015</v>
      </c>
      <c r="E11" s="76">
        <f>SUM('HANH_TRINH'!S2449:S2468)</f>
        <v>1.0000000000000142</v>
      </c>
      <c r="F11" s="76">
        <f>SUM('HANH_TRINH'!T2449:T2468)</f>
        <v>10.261294940649265</v>
      </c>
      <c r="G11" s="76">
        <f>'HANH_TRINH'!U2468</f>
        <v>13.959728365682668</v>
      </c>
      <c r="H11" s="76">
        <f>'HANH_TRINH'!V2468</f>
        <v>85.84617848010268</v>
      </c>
      <c r="I11" s="75">
        <f>D11*60*'THAM_SO_MOI'!$C$52/(2*PI()*'THAM_SO_MOI'!$C$26)</f>
        <v>1600.284015229391</v>
      </c>
      <c r="J11" s="68" t="s">
        <v>387</v>
      </c>
      <c r="K11" s="68" t="s">
        <v>388</v>
      </c>
    </row>
    <row r="12" spans="1:11" ht="19" customHeight="1">
      <c r="A12" s="68" t="s">
        <v>376</v>
      </c>
      <c r="B12" s="74">
        <v>4</v>
      </c>
      <c r="C12" s="76">
        <f>'HANH_TRINH'!F2469</f>
        <v>10.172237339300015</v>
      </c>
      <c r="D12" s="76">
        <f>'HANH_TRINH'!F3269</f>
        <v>16.526951985075538</v>
      </c>
      <c r="E12" s="76">
        <f>SUM('HANH_TRINH'!S2469:S3269)</f>
        <v>13.369563623498856</v>
      </c>
      <c r="F12" s="76">
        <f>SUM('HANH_TRINH'!T2469:T3269)</f>
        <v>179.16365686040055</v>
      </c>
      <c r="G12" s="76">
        <f>'HANH_TRINH'!U3269</f>
        <v>27.329291989181524</v>
      </c>
      <c r="H12" s="76">
        <f>'HANH_TRINH'!V3269</f>
        <v>265.00983534050323</v>
      </c>
      <c r="J12" s="68" t="s">
        <v>385</v>
      </c>
      <c r="K12" s="68" t="s">
        <v>386</v>
      </c>
    </row>
    <row r="13" spans="1:11" ht="19" customHeight="1">
      <c r="A13" s="68" t="s">
        <v>377</v>
      </c>
      <c r="B13" s="74">
        <v>4</v>
      </c>
      <c r="C13" s="76">
        <f>'HANH_TRINH'!F3269</f>
        <v>16.526951985075538</v>
      </c>
      <c r="D13" s="76">
        <f>'HANH_TRINH'!F3289</f>
        <v>16.289156344102384</v>
      </c>
      <c r="E13" s="76">
        <f>SUM('HANH_TRINH'!S3270:S3289)</f>
        <v>1.0000000000000142</v>
      </c>
      <c r="F13" s="76">
        <f>SUM('HANH_TRINH'!T3270:T3289)</f>
        <v>16.407818291143485</v>
      </c>
      <c r="G13" s="76">
        <f>'HANH_TRINH'!U3289</f>
        <v>28.329291989181538</v>
      </c>
      <c r="H13" s="76">
        <f>'HANH_TRINH'!V3289</f>
        <v>281.4176536316467</v>
      </c>
      <c r="I13" s="75">
        <f>D13*60*'THAM_SO_MOI'!$C$53/(2*PI()*'THAM_SO_MOI'!$C$26)</f>
        <v>1604.9105619031398</v>
      </c>
      <c r="J13" s="68" t="s">
        <v>387</v>
      </c>
      <c r="K13" s="68" t="s">
        <v>388</v>
      </c>
    </row>
    <row r="14" spans="1:11" ht="19" customHeight="1">
      <c r="A14" s="68" t="s">
        <v>378</v>
      </c>
      <c r="B14" s="74">
        <v>5</v>
      </c>
      <c r="C14" s="76">
        <f>'HANH_TRINH'!F3290</f>
        <v>16.289156344102384</v>
      </c>
      <c r="D14" s="76">
        <f>'HANH_TRINH'!F4891</f>
        <v>25.069444444444443</v>
      </c>
      <c r="E14" s="76">
        <f>SUM('HANH_TRINH'!S3290:S4891)</f>
        <v>79.71209768668011</v>
      </c>
      <c r="F14" s="76">
        <f>SUM('HANH_TRINH'!T3290:T4891)</f>
        <v>1754.2213605715924</v>
      </c>
      <c r="G14" s="76">
        <f>'HANH_TRINH'!U4891</f>
        <v>108.04138967586165</v>
      </c>
      <c r="H14" s="76">
        <f>'HANH_TRINH'!V4891</f>
        <v>2035.6390142032392</v>
      </c>
      <c r="J14" s="68" t="s">
        <v>385</v>
      </c>
      <c r="K14" s="68" t="s">
        <v>386</v>
      </c>
    </row>
    <row r="16" spans="1:11" ht="19" customHeight="1">
      <c r="A16" s="67" t="s">
        <v>389</v>
      </c>
      <c r="C16" s="77">
        <f>'THAM_SO_MOI'!$E$49</f>
        <v>1.2491781722550954</v>
      </c>
      <c r="D16" s="77">
        <f>'THAM_SO_MOI'!$C$37</f>
        <v>25.069444444444443</v>
      </c>
      <c r="E16" s="77">
        <f>SUM(E6:E14)</f>
        <v>108.04138967586165</v>
      </c>
      <c r="F16" s="77">
        <f>SUM(F6:F14)</f>
        <v>2035.6390142032392</v>
      </c>
    </row>
    <row r="19" spans="1:11" ht="19" customHeight="1">
      <c r="A19" s="67" t="s">
        <v>390</v>
      </c>
      <c r="B19" s="67"/>
      <c r="C19" s="67"/>
      <c r="D19" s="67"/>
      <c r="E19" s="67"/>
      <c r="F19" s="67"/>
      <c r="G19" s="67"/>
      <c r="H19" s="67"/>
      <c r="I19" s="67"/>
      <c r="J19" s="67"/>
      <c r="K19" s="67"/>
    </row>
    <row r="20" spans="1:11" ht="34" customHeight="1">
      <c r="A20" s="71" t="s">
        <v>198</v>
      </c>
      <c r="B20" s="71" t="s">
        <v>391</v>
      </c>
      <c r="C20" s="71" t="s">
        <v>392</v>
      </c>
      <c r="D20" s="71" t="s">
        <v>393</v>
      </c>
      <c r="E20" s="71" t="s">
        <v>394</v>
      </c>
      <c r="F20" s="71" t="s">
        <v>395</v>
      </c>
      <c r="G20" s="71"/>
      <c r="H20" s="71"/>
      <c r="I20" s="71"/>
      <c r="J20" s="71"/>
      <c r="K20" s="71"/>
    </row>
    <row r="21" spans="1:11" ht="19" customHeight="1">
      <c r="A21" s="68" t="s">
        <v>396</v>
      </c>
      <c r="B21" s="75">
        <f>'TÍNH TOÁN '!G194</f>
        <v>129.63489677353024</v>
      </c>
      <c r="C21" s="75">
        <f>'TICH_PHAN_SO_V'!U1607</f>
        <v>118.68848223612716</v>
      </c>
      <c r="D21" s="75">
        <f>B21-C21</f>
        <v>10.946414537403086</v>
      </c>
      <c r="E21" s="75">
        <f>100*D21/C21</f>
        <v>9.222811119637981</v>
      </c>
      <c r="F21" s="68" t="s">
        <v>397</v>
      </c>
      <c r="G21" s="68"/>
      <c r="H21" s="68"/>
      <c r="I21" s="68"/>
      <c r="J21" s="68"/>
      <c r="K21" s="68"/>
    </row>
    <row r="23" spans="1:11" ht="24" customHeight="1">
      <c r="A23" s="70" t="s">
        <v>398</v>
      </c>
      <c r="B23" s="70"/>
      <c r="C23" s="70"/>
      <c r="D23" s="70"/>
      <c r="E23" s="70"/>
      <c r="F23" s="70"/>
      <c r="G23" s="70"/>
      <c r="H23" s="70"/>
      <c r="I23" s="70"/>
      <c r="J23" s="70"/>
      <c r="K23" s="70"/>
    </row>
    <row r="24" spans="1:11" ht="24" customHeight="1">
      <c r="A24" s="70"/>
      <c r="B24" s="70"/>
      <c r="C24" s="70"/>
      <c r="D24" s="70"/>
      <c r="E24" s="70"/>
      <c r="F24" s="70"/>
      <c r="G24" s="70"/>
      <c r="H24" s="70"/>
      <c r="I24" s="70"/>
      <c r="J24" s="70"/>
      <c r="K24" s="70"/>
    </row>
    <row r="26" spans="1:11" ht="19" customHeight="1">
      <c r="A26" s="67" t="s">
        <v>399</v>
      </c>
      <c r="B26" s="67"/>
      <c r="C26" s="67"/>
      <c r="D26" s="67"/>
      <c r="E26" s="67"/>
      <c r="F26" s="67"/>
      <c r="G26" s="67"/>
      <c r="H26" s="67"/>
      <c r="I26" s="67"/>
      <c r="J26" s="67"/>
      <c r="K26" s="67"/>
    </row>
    <row r="27" spans="1:11" ht="25" customHeight="1">
      <c r="A27" s="68" t="s">
        <v>400</v>
      </c>
      <c r="B27" s="68"/>
      <c r="C27" s="68"/>
      <c r="D27" s="68"/>
      <c r="E27" s="68"/>
      <c r="F27" s="68"/>
      <c r="G27" s="77" t="str">
        <f>IF(AND('THAM_SO_MOI'!$C$42=800,'THAM_SO_MOI'!$C$43=20),"ĐẠT","CẦN TẠO LẠI LƯỚI")</f>
        <v>ĐẠT</v>
      </c>
      <c r="H27" s="77"/>
      <c r="I27" s="77"/>
      <c r="J27" s="77"/>
      <c r="K27" s="77"/>
    </row>
    <row r="28" spans="1:11" ht="25" customHeight="1">
      <c r="A28" s="68" t="s">
        <v>401</v>
      </c>
      <c r="B28" s="68"/>
      <c r="C28" s="68"/>
      <c r="D28" s="68"/>
      <c r="E28" s="68"/>
      <c r="F28" s="68"/>
      <c r="G28" s="77" t="str">
        <f>IF(MAX(THAM_SO_MOI!F49:F52)&lt;='THAM_SO_MOI'!$C$14,"ĐẠT","CẦN TÁCH THÊM MIỀN")</f>
        <v>ĐẠT</v>
      </c>
      <c r="H28" s="77"/>
      <c r="I28" s="77"/>
      <c r="J28" s="77"/>
      <c r="K28" s="77"/>
    </row>
    <row r="29" spans="1:11" ht="25" customHeight="1">
      <c r="A29" s="68" t="s">
        <v>402</v>
      </c>
      <c r="B29" s="68"/>
      <c r="C29" s="68"/>
      <c r="D29" s="68"/>
      <c r="E29" s="68"/>
      <c r="F29" s="68"/>
      <c r="G29" s="77" t="str">
        <f>IF(AND(C14&lt;'THAM_SO_MOI'!$C$14,D14&gt;'THAM_SO_MOI'!$C$14),"ĐẠT","CẦN ĐỔI PHÂN MIỀN")</f>
        <v>ĐẠT</v>
      </c>
      <c r="H29" s="77"/>
      <c r="I29" s="77"/>
      <c r="J29" s="77"/>
      <c r="K29" s="77"/>
    </row>
    <row r="30" spans="1:11" ht="25" customHeight="1">
      <c r="A30" s="68" t="s">
        <v>403</v>
      </c>
      <c r="B30" s="68"/>
      <c r="C30" s="68"/>
      <c r="D30" s="68"/>
      <c r="E30" s="68"/>
      <c r="F30" s="68"/>
      <c r="G30" s="77" t="str">
        <f>IF(MIN(I7,I9,I11,I13)&gt;='THAM_SO_MOI'!$C$32,"ĐẠT","VÒNG TUA SAU CHUYỂN QUÁ THẤP")</f>
        <v>ĐẠT</v>
      </c>
      <c r="H30" s="77"/>
      <c r="I30" s="77"/>
      <c r="J30" s="77"/>
      <c r="K30" s="77"/>
    </row>
    <row r="31" spans="1:11" ht="25" customHeight="1">
      <c r="A31" s="68" t="s">
        <v>404</v>
      </c>
      <c r="B31" s="68"/>
      <c r="C31" s="68"/>
      <c r="D31" s="68"/>
      <c r="E31" s="68"/>
      <c r="F31" s="68"/>
      <c r="G31" s="77" t="str">
        <f>IF(AND('THAM_SO_MOI'!$C$33&lt;='THAM_SO_MOI'!$C$22,'THAM_SO_MOI'!$C$36*'THAM_SO_MOI'!$C$21&lt;='THAM_SO_MOI'!$C$22),"ĐẠT","VƯỢT MIỀN ĐẶC TÍNH")</f>
        <v>ĐẠT</v>
      </c>
      <c r="H31" s="77"/>
      <c r="I31" s="77"/>
      <c r="J31" s="77"/>
      <c r="K31" s="77"/>
    </row>
    <row r="32" spans="1:11" ht="25" customHeight="1">
      <c r="A32" s="68" t="s">
        <v>405</v>
      </c>
      <c r="B32" s="68"/>
      <c r="C32" s="68"/>
      <c r="D32" s="68"/>
      <c r="E32" s="68"/>
      <c r="F32" s="68"/>
      <c r="G32" s="77" t="str">
        <f>IF(AND(D6&gt;C6,D8&gt;C8,D10&gt;C10,D12&gt;C12,D14&gt;C14),"ĐẠT","ĐIỂM CHUYỂN KHÔNG PHÙ HỢP")</f>
        <v>ĐẠT</v>
      </c>
      <c r="H32" s="77"/>
      <c r="I32" s="77"/>
      <c r="J32" s="77"/>
      <c r="K32" s="77"/>
    </row>
    <row r="34" spans="1:11" ht="26" customHeight="1">
      <c r="A34" s="70" t="s">
        <v>406</v>
      </c>
      <c r="B34" s="70"/>
      <c r="C34" s="70"/>
      <c r="D34" s="70"/>
      <c r="E34" s="70"/>
      <c r="F34" s="70"/>
      <c r="G34" s="70"/>
      <c r="H34" s="70"/>
      <c r="I34" s="70"/>
      <c r="J34" s="70"/>
      <c r="K34" s="70"/>
    </row>
    <row r="35" spans="1:11" ht="26" customHeight="1">
      <c r="A35" s="70"/>
      <c r="B35" s="70"/>
      <c r="C35" s="70"/>
      <c r="D35" s="70"/>
      <c r="E35" s="70"/>
      <c r="F35" s="70"/>
      <c r="G35" s="70"/>
      <c r="H35" s="70"/>
      <c r="I35" s="70"/>
      <c r="J35" s="70"/>
      <c r="K35" s="70"/>
    </row>
    <row r="37" spans="1:11" ht="19" customHeight="1">
      <c r="A37" s="67" t="s">
        <v>407</v>
      </c>
      <c r="B37" s="67"/>
      <c r="C37" s="67"/>
      <c r="D37" s="67"/>
      <c r="E37" s="67"/>
      <c r="F37" s="67"/>
      <c r="G37" s="67"/>
      <c r="H37" s="67"/>
      <c r="I37" s="67"/>
      <c r="J37" s="67"/>
      <c r="K37" s="67"/>
    </row>
    <row r="38" spans="1:11" ht="19" customHeight="1">
      <c r="A38" s="68" t="s">
        <v>408</v>
      </c>
      <c r="B38" s="68"/>
      <c r="C38" s="68"/>
      <c r="D38" s="68"/>
      <c r="E38" s="68"/>
      <c r="F38" s="68"/>
      <c r="G38" s="75">
        <v>108.041365081804</v>
      </c>
    </row>
    <row r="39" spans="1:11" ht="19" customHeight="1">
      <c r="A39" s="68" t="s">
        <v>409</v>
      </c>
      <c r="B39" s="68"/>
      <c r="C39" s="68"/>
      <c r="D39" s="68"/>
      <c r="E39" s="68"/>
      <c r="F39" s="68"/>
      <c r="G39" s="75">
        <v>2035.638387873873</v>
      </c>
    </row>
    <row r="40" spans="1:11" ht="19" customHeight="1">
      <c r="A40" s="68" t="s">
        <v>410</v>
      </c>
      <c r="B40" s="68"/>
      <c r="C40" s="68"/>
      <c r="D40" s="68"/>
      <c r="E40" s="68"/>
      <c r="F40" s="68"/>
      <c r="G40" s="75">
        <v>2.459405764909661E-05</v>
      </c>
    </row>
    <row r="41" spans="1:11" ht="19" customHeight="1">
      <c r="A41" s="68" t="s">
        <v>411</v>
      </c>
      <c r="B41" s="68"/>
      <c r="C41" s="68"/>
      <c r="D41" s="68"/>
      <c r="E41" s="68"/>
      <c r="F41" s="68"/>
      <c r="G41" s="75">
        <v>0.0006263293662414071</v>
      </c>
    </row>
    <row r="43" spans="1:11" ht="24" customHeight="1">
      <c r="A43" s="70" t="s">
        <v>412</v>
      </c>
      <c r="B43" s="70"/>
      <c r="C43" s="70"/>
      <c r="D43" s="70"/>
      <c r="E43" s="70"/>
      <c r="F43" s="70"/>
      <c r="G43" s="70"/>
      <c r="H43" s="70"/>
      <c r="I43" s="70"/>
      <c r="J43" s="70"/>
      <c r="K43" s="70"/>
    </row>
    <row r="44" spans="1:11" ht="24" customHeight="1">
      <c r="A44" s="70"/>
      <c r="B44" s="70"/>
      <c r="C44" s="70"/>
      <c r="D44" s="70"/>
      <c r="E44" s="70"/>
      <c r="F44" s="70"/>
      <c r="G44" s="70"/>
      <c r="H44" s="70"/>
      <c r="I44" s="70"/>
      <c r="J44" s="70"/>
      <c r="K44" s="70"/>
    </row>
  </sheetData>
  <mergeCells count="25">
    <mergeCell ref="A1:K1"/>
    <mergeCell ref="A2:K3"/>
    <mergeCell ref="A19:K19"/>
    <mergeCell ref="F21:K21"/>
    <mergeCell ref="A23:K24"/>
    <mergeCell ref="A26:K26"/>
    <mergeCell ref="A27:F27"/>
    <mergeCell ref="G27:K27"/>
    <mergeCell ref="A28:F28"/>
    <mergeCell ref="G28:K28"/>
    <mergeCell ref="A29:F29"/>
    <mergeCell ref="G29:K29"/>
    <mergeCell ref="A30:F30"/>
    <mergeCell ref="G30:K30"/>
    <mergeCell ref="A31:F31"/>
    <mergeCell ref="G31:K31"/>
    <mergeCell ref="A32:F32"/>
    <mergeCell ref="G32:K32"/>
    <mergeCell ref="A34:K35"/>
    <mergeCell ref="A37:K37"/>
    <mergeCell ref="A38:F38"/>
    <mergeCell ref="A39:F39"/>
    <mergeCell ref="A40:F40"/>
    <mergeCell ref="A41:F41"/>
    <mergeCell ref="A43:K44"/>
  </mergeCells>
  <pageMargins left="0.3" right="0.3" top="0.45" bottom="0.45" header="0.3" footer="0.3"/>
  <pageSetup fitToHeight="0" orientation="landscape"/>
  <headerFooter>
    <oddHeader>&amp;LNhóm 2 — Excel tham khảo&amp;RTONG_HOP</oddHeader>
    <oddFooter>&amp;LĐọc HD_THAM_KHAO trước khi thay đầu vào&amp;P / &amp;N</oddFooter>
  </headerFooter>
</worksheet>
</file>

<file path=xl/ref/worksheets/sheet6.xml><?xml version="1.0" encoding="utf-8"?>
<worksheet xmlns="http://schemas.openxmlformats.org/spreadsheetml/2006/main" xmlns:r="http://schemas.openxmlformats.org/officeDocument/2006/relationships">
  <sheetPr>
    <pageSetUpPr fitToPage="1"/>
  </sheetPr>
  <dimension ref="A1:V3"/>
  <sheetViews>
    <sheetView showGridLines="0" zoomScale="90" zoomScaleNormal="90" workbookViewId="0"/>
  </sheetViews>
  <sheetFormatPr defaultRowHeight="19" customHeight="1"/>
  <cols>
    <col min="1" max="22" width="10.7109375" customWidth="1"/>
  </cols>
  <sheetData>
    <row r="1" spans="1:22" ht="31" customHeight="1">
      <c r="A1" s="66" t="s">
        <v>413</v>
      </c>
      <c r="B1" s="66"/>
      <c r="C1" s="66"/>
      <c r="D1" s="66"/>
      <c r="E1" s="66"/>
      <c r="F1" s="66"/>
      <c r="G1" s="66"/>
      <c r="H1" s="66"/>
      <c r="I1" s="66"/>
      <c r="J1" s="66"/>
      <c r="K1" s="66"/>
      <c r="L1" s="66"/>
      <c r="M1" s="66"/>
      <c r="N1" s="66"/>
      <c r="O1" s="66"/>
      <c r="P1" s="66"/>
      <c r="Q1" s="66"/>
      <c r="R1" s="66"/>
      <c r="S1" s="66"/>
      <c r="T1" s="66"/>
      <c r="U1" s="66"/>
      <c r="V1" s="66"/>
    </row>
    <row r="2" spans="1:22" ht="26" customHeight="1">
      <c r="A2" s="70" t="s">
        <v>414</v>
      </c>
      <c r="B2" s="70"/>
      <c r="C2" s="70"/>
      <c r="D2" s="70"/>
      <c r="E2" s="70"/>
      <c r="F2" s="70"/>
      <c r="G2" s="70"/>
      <c r="H2" s="70"/>
      <c r="I2" s="70"/>
      <c r="J2" s="70"/>
      <c r="K2" s="70"/>
      <c r="L2" s="70"/>
      <c r="M2" s="70"/>
      <c r="N2" s="70"/>
      <c r="O2" s="70"/>
      <c r="P2" s="70"/>
      <c r="Q2" s="70"/>
      <c r="R2" s="70"/>
      <c r="S2" s="70"/>
      <c r="T2" s="70"/>
      <c r="U2" s="70"/>
      <c r="V2" s="70"/>
    </row>
    <row r="3" spans="1:22" ht="26" customHeight="1">
      <c r="A3" s="70"/>
      <c r="B3" s="70"/>
      <c r="C3" s="70"/>
      <c r="D3" s="70"/>
      <c r="E3" s="70"/>
      <c r="F3" s="70"/>
      <c r="G3" s="70"/>
      <c r="H3" s="70"/>
      <c r="I3" s="70"/>
      <c r="J3" s="70"/>
      <c r="K3" s="70"/>
      <c r="L3" s="70"/>
      <c r="M3" s="70"/>
      <c r="N3" s="70"/>
      <c r="O3" s="70"/>
      <c r="P3" s="70"/>
      <c r="Q3" s="70"/>
      <c r="R3" s="70"/>
      <c r="S3" s="70"/>
      <c r="T3" s="70"/>
      <c r="U3" s="70"/>
      <c r="V3" s="70"/>
    </row>
  </sheetData>
  <mergeCells count="2">
    <mergeCell ref="A1:V1"/>
    <mergeCell ref="A2:V3"/>
  </mergeCells>
  <pageMargins left="0.3" right="0.3" top="0.45" bottom="0.45" header="0.3" footer="0.3"/>
  <pageSetup fitToHeight="0" orientation="landscape"/>
  <headerFooter>
    <oddHeader>&amp;LNhóm 2 — Excel tham khảo&amp;RDO_THI_MOI</oddHeader>
    <oddFooter>&amp;LĐọc HD_THAM_KHAO trước khi thay đầu vào&amp;P / &amp;N</oddFooter>
  </headerFooter>
  <drawing r:id="rId1"/>
</worksheet>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
  <rv s="0">
    <v>0</v>
    <v>5</v>
  </rv>
  <rv s="0">
    <v>1</v>
    <v>5</v>
  </rv>
  <rv s="0">
    <v>2</v>
    <v>5</v>
  </rv>
  <rv s="0">
    <v>3</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5AE20-9847-4CDE-ACCD-BB85AB640912}">
  <dimension ref="B1:K33"/>
  <sheetViews>
    <sheetView topLeftCell="B22" zoomScale="98" zoomScaleNormal="70" workbookViewId="0">
      <selection activeCell="G27" sqref="G27"/>
    </sheetView>
  </sheetViews>
  <sheetFormatPr defaultRowHeight="14.4" x14ac:dyDescent="0.3"/>
  <cols>
    <col min="2" max="2" width="19.88671875" customWidth="1"/>
    <col min="3" max="3" width="28.77734375" customWidth="1"/>
    <col min="4" max="4" width="17.77734375" customWidth="1"/>
    <col min="5" max="5" width="16.77734375" customWidth="1"/>
    <col min="6" max="6" width="18" customWidth="1"/>
    <col min="7" max="7" width="63.77734375" customWidth="1"/>
  </cols>
  <sheetData>
    <row r="1" spans="2:11" ht="40.049999999999997" customHeight="1" x14ac:dyDescent="0.3">
      <c r="B1" s="40" t="s">
        <v>33</v>
      </c>
      <c r="C1" s="40"/>
      <c r="D1" s="40"/>
      <c r="E1" s="40"/>
      <c r="F1" s="40"/>
      <c r="G1" s="40"/>
    </row>
    <row r="2" spans="2:11" ht="40.049999999999997" customHeight="1" x14ac:dyDescent="0.3">
      <c r="B2" s="41" t="s">
        <v>34</v>
      </c>
      <c r="C2" s="41"/>
      <c r="D2" s="41"/>
      <c r="E2" s="41"/>
      <c r="F2" s="41"/>
      <c r="G2" s="41"/>
    </row>
    <row r="3" spans="2:11" ht="40.049999999999997" customHeight="1" x14ac:dyDescent="0.3"/>
    <row r="4" spans="2:11" ht="40.049999999999997" customHeight="1" x14ac:dyDescent="0.3"/>
    <row r="5" spans="2:11" ht="40.049999999999997" customHeight="1" x14ac:dyDescent="0.3">
      <c r="B5" s="33" t="s">
        <v>46</v>
      </c>
      <c r="C5" s="33"/>
      <c r="D5" s="33"/>
      <c r="E5" s="33"/>
      <c r="F5" s="33"/>
      <c r="G5" s="33"/>
    </row>
    <row r="6" spans="2:11" ht="40.049999999999997" customHeight="1" x14ac:dyDescent="0.3">
      <c r="B6" s="2" t="s">
        <v>0</v>
      </c>
      <c r="C6" s="2" t="s">
        <v>1</v>
      </c>
      <c r="D6" s="2" t="s">
        <v>2</v>
      </c>
      <c r="E6" s="2" t="s">
        <v>3</v>
      </c>
      <c r="F6" s="2" t="s">
        <v>4</v>
      </c>
      <c r="G6" s="2" t="s">
        <v>5</v>
      </c>
    </row>
    <row r="7" spans="2:11" ht="40.049999999999997" customHeight="1" x14ac:dyDescent="0.3">
      <c r="B7" s="3">
        <v>1</v>
      </c>
      <c r="C7" s="3" t="s">
        <v>6</v>
      </c>
      <c r="D7" s="3" t="s">
        <v>7</v>
      </c>
      <c r="E7" s="3" t="s">
        <v>8</v>
      </c>
      <c r="F7" s="3" t="s">
        <v>7</v>
      </c>
      <c r="G7" s="3" t="s">
        <v>9</v>
      </c>
    </row>
    <row r="8" spans="2:11" ht="40.049999999999997" customHeight="1" x14ac:dyDescent="0.3">
      <c r="B8" s="3">
        <v>2</v>
      </c>
      <c r="C8" s="3" t="s">
        <v>10</v>
      </c>
      <c r="D8" s="3"/>
      <c r="E8" s="3">
        <v>2</v>
      </c>
      <c r="F8" s="3" t="s">
        <v>11</v>
      </c>
      <c r="G8" s="3" t="s">
        <v>9</v>
      </c>
    </row>
    <row r="9" spans="2:11" ht="40.049999999999997" customHeight="1" x14ac:dyDescent="0.35">
      <c r="B9" s="3">
        <v>3</v>
      </c>
      <c r="C9" s="3" t="s">
        <v>12</v>
      </c>
      <c r="D9" s="3"/>
      <c r="E9" s="3">
        <v>3450</v>
      </c>
      <c r="F9" s="3" t="s">
        <v>13</v>
      </c>
      <c r="G9" s="3" t="s">
        <v>9</v>
      </c>
      <c r="K9" s="1"/>
    </row>
    <row r="10" spans="2:11" ht="40.049999999999997" customHeight="1" x14ac:dyDescent="0.3">
      <c r="B10" s="3">
        <v>4</v>
      </c>
      <c r="C10" s="3" t="s">
        <v>14</v>
      </c>
      <c r="D10" s="3"/>
      <c r="E10" s="3">
        <v>4100</v>
      </c>
      <c r="F10" s="3" t="s">
        <v>13</v>
      </c>
      <c r="G10" s="3" t="s">
        <v>9</v>
      </c>
    </row>
    <row r="11" spans="2:11" ht="40.049999999999997" customHeight="1" x14ac:dyDescent="0.3">
      <c r="B11" s="3">
        <v>5</v>
      </c>
      <c r="C11" s="3" t="s">
        <v>15</v>
      </c>
      <c r="D11" s="3"/>
      <c r="E11" s="3">
        <v>0.3</v>
      </c>
      <c r="F11" s="3" t="s">
        <v>7</v>
      </c>
      <c r="G11" s="3" t="s">
        <v>9</v>
      </c>
    </row>
    <row r="12" spans="2:11" ht="40.049999999999997" customHeight="1" x14ac:dyDescent="0.3">
      <c r="B12" s="3">
        <v>6</v>
      </c>
      <c r="C12" s="3" t="s">
        <v>16</v>
      </c>
      <c r="D12" s="3"/>
      <c r="E12" s="3">
        <v>0.7</v>
      </c>
      <c r="F12" s="3" t="s">
        <v>7</v>
      </c>
      <c r="G12" s="3" t="s">
        <v>9</v>
      </c>
    </row>
    <row r="13" spans="2:11" ht="40.049999999999997" customHeight="1" x14ac:dyDescent="0.3">
      <c r="B13" s="3">
        <v>7</v>
      </c>
      <c r="C13" s="3" t="s">
        <v>17</v>
      </c>
      <c r="D13" s="3"/>
      <c r="E13" s="3">
        <v>95</v>
      </c>
      <c r="F13" s="3" t="s">
        <v>18</v>
      </c>
      <c r="G13" s="3" t="s">
        <v>9</v>
      </c>
    </row>
    <row r="14" spans="2:11" ht="40.049999999999997" customHeight="1" x14ac:dyDescent="0.3">
      <c r="B14" s="3">
        <v>8</v>
      </c>
      <c r="C14" s="3" t="s">
        <v>19</v>
      </c>
      <c r="D14" s="3"/>
      <c r="E14" s="3">
        <v>0.31</v>
      </c>
      <c r="F14" s="3" t="s">
        <v>7</v>
      </c>
      <c r="G14" s="3" t="s">
        <v>9</v>
      </c>
    </row>
    <row r="15" spans="2:11" ht="40.049999999999997" customHeight="1" x14ac:dyDescent="0.3">
      <c r="B15" s="3">
        <v>9</v>
      </c>
      <c r="C15" s="3" t="s">
        <v>20</v>
      </c>
      <c r="D15" s="3" t="s">
        <v>7</v>
      </c>
      <c r="E15" s="3" t="s">
        <v>21</v>
      </c>
      <c r="F15" s="3" t="s">
        <v>7</v>
      </c>
      <c r="G15" s="3" t="s">
        <v>9</v>
      </c>
    </row>
    <row r="16" spans="2:11" ht="40.049999999999997" customHeight="1" x14ac:dyDescent="0.3"/>
    <row r="17" spans="2:7" ht="40.049999999999997" customHeight="1" x14ac:dyDescent="0.3"/>
    <row r="18" spans="2:7" ht="40.049999999999997" customHeight="1" x14ac:dyDescent="0.3"/>
    <row r="19" spans="2:7" ht="40.049999999999997" customHeight="1" x14ac:dyDescent="0.3">
      <c r="B19" s="56" t="s">
        <v>47</v>
      </c>
      <c r="C19" s="56"/>
      <c r="D19" s="56"/>
      <c r="E19" s="56"/>
      <c r="F19" s="56"/>
      <c r="G19" s="56"/>
    </row>
    <row r="20" spans="2:7" ht="40.049999999999997" customHeight="1" x14ac:dyDescent="0.3">
      <c r="B20" s="2" t="s">
        <v>0</v>
      </c>
      <c r="C20" s="2" t="s">
        <v>1</v>
      </c>
      <c r="D20" s="2" t="s">
        <v>2</v>
      </c>
      <c r="E20" s="2" t="s">
        <v>3</v>
      </c>
      <c r="F20" s="2" t="s">
        <v>4</v>
      </c>
      <c r="G20" s="2" t="s">
        <v>5</v>
      </c>
    </row>
    <row r="21" spans="2:7" ht="40.049999999999997" customHeight="1" x14ac:dyDescent="0.3">
      <c r="B21" s="3">
        <v>10</v>
      </c>
      <c r="C21" s="3" t="s">
        <v>22</v>
      </c>
      <c r="D21" s="3"/>
      <c r="E21" s="3">
        <v>65</v>
      </c>
      <c r="F21" s="3" t="s">
        <v>13</v>
      </c>
      <c r="G21" s="3" t="s">
        <v>23</v>
      </c>
    </row>
    <row r="22" spans="2:7" ht="40.049999999999997" customHeight="1" x14ac:dyDescent="0.3">
      <c r="B22" s="3">
        <v>11</v>
      </c>
      <c r="C22" s="3" t="s">
        <v>50</v>
      </c>
      <c r="D22" s="3" t="s">
        <v>51</v>
      </c>
      <c r="E22" s="3">
        <v>0</v>
      </c>
      <c r="F22" s="3" t="s">
        <v>52</v>
      </c>
      <c r="G22" s="3" t="s">
        <v>54</v>
      </c>
    </row>
    <row r="23" spans="2:7" ht="40.049999999999997" customHeight="1" x14ac:dyDescent="0.3">
      <c r="B23" s="3">
        <v>12</v>
      </c>
      <c r="C23" s="3" t="s">
        <v>48</v>
      </c>
      <c r="D23" s="3" t="s">
        <v>49</v>
      </c>
      <c r="E23" s="3">
        <v>1.4999999999999999E-2</v>
      </c>
      <c r="F23" s="3" t="s">
        <v>7</v>
      </c>
      <c r="G23" s="3" t="s">
        <v>25</v>
      </c>
    </row>
    <row r="24" spans="2:7" ht="40.049999999999997" customHeight="1" x14ac:dyDescent="0.3">
      <c r="B24" s="3">
        <v>13</v>
      </c>
      <c r="C24" s="3" t="s">
        <v>24</v>
      </c>
      <c r="D24" s="4" t="s">
        <v>35</v>
      </c>
      <c r="E24" s="3">
        <f>E23*(1+(($E$13/3.6)^(2))/1500)</f>
        <v>2.1963734567901235E-2</v>
      </c>
      <c r="F24" s="3" t="s">
        <v>7</v>
      </c>
      <c r="G24" s="3" t="s">
        <v>53</v>
      </c>
    </row>
    <row r="25" spans="2:7" ht="40.049999999999997" customHeight="1" x14ac:dyDescent="0.3">
      <c r="B25" s="3">
        <v>14</v>
      </c>
      <c r="C25" s="3" t="s">
        <v>26</v>
      </c>
      <c r="D25" s="3" t="s">
        <v>27</v>
      </c>
      <c r="E25" s="3">
        <v>0.65</v>
      </c>
      <c r="F25" s="3" t="s">
        <v>56</v>
      </c>
      <c r="G25" s="3" t="s">
        <v>28</v>
      </c>
    </row>
    <row r="26" spans="2:7" ht="40.049999999999997" customHeight="1" x14ac:dyDescent="0.3">
      <c r="B26" s="3">
        <v>15</v>
      </c>
      <c r="C26" s="3" t="s">
        <v>29</v>
      </c>
      <c r="D26" s="3" t="s">
        <v>30</v>
      </c>
      <c r="E26" s="3">
        <v>4.5</v>
      </c>
      <c r="F26" s="3" t="s">
        <v>55</v>
      </c>
      <c r="G26" s="3" t="s">
        <v>31</v>
      </c>
    </row>
    <row r="27" spans="2:7" ht="40.049999999999997" customHeight="1" x14ac:dyDescent="0.3">
      <c r="B27" s="8">
        <v>16</v>
      </c>
      <c r="C27" s="8" t="s">
        <v>32</v>
      </c>
      <c r="D27" s="8"/>
      <c r="E27" s="8">
        <v>0.85</v>
      </c>
      <c r="F27" s="8" t="s">
        <v>7</v>
      </c>
      <c r="G27" s="9" t="s">
        <v>57</v>
      </c>
    </row>
    <row r="28" spans="2:7" ht="40.049999999999997" customHeight="1" x14ac:dyDescent="0.3">
      <c r="B28" s="5">
        <v>17</v>
      </c>
      <c r="C28" s="5" t="s">
        <v>58</v>
      </c>
      <c r="D28" s="10" t="s">
        <v>36</v>
      </c>
      <c r="E28" s="5">
        <v>0.9</v>
      </c>
      <c r="F28" s="5" t="s">
        <v>7</v>
      </c>
      <c r="G28" s="5" t="s">
        <v>67</v>
      </c>
    </row>
    <row r="29" spans="2:7" ht="40.049999999999997" customHeight="1" x14ac:dyDescent="0.3">
      <c r="B29" s="5">
        <v>18</v>
      </c>
      <c r="C29" s="5" t="s">
        <v>59</v>
      </c>
      <c r="D29" s="5"/>
      <c r="E29" s="5">
        <v>2600</v>
      </c>
      <c r="F29" s="5" t="s">
        <v>68</v>
      </c>
      <c r="G29" s="5" t="s">
        <v>67</v>
      </c>
    </row>
    <row r="30" spans="2:7" ht="40.049999999999997" customHeight="1" x14ac:dyDescent="0.3">
      <c r="B30" s="5">
        <v>19</v>
      </c>
      <c r="C30" s="5" t="s">
        <v>61</v>
      </c>
      <c r="D30" s="5" t="s">
        <v>64</v>
      </c>
      <c r="E30" s="5">
        <v>0.5</v>
      </c>
      <c r="F30" s="5" t="s">
        <v>7</v>
      </c>
      <c r="G30" s="5" t="s">
        <v>69</v>
      </c>
    </row>
    <row r="31" spans="2:7" ht="40.049999999999997" customHeight="1" x14ac:dyDescent="0.3">
      <c r="B31" s="5">
        <v>20</v>
      </c>
      <c r="C31" s="5" t="s">
        <v>62</v>
      </c>
      <c r="D31" s="5" t="s">
        <v>65</v>
      </c>
      <c r="E31" s="5">
        <v>1.5</v>
      </c>
      <c r="F31" s="5" t="s">
        <v>7</v>
      </c>
      <c r="G31" s="5" t="s">
        <v>69</v>
      </c>
    </row>
    <row r="32" spans="2:7" ht="40.049999999999997" customHeight="1" x14ac:dyDescent="0.3">
      <c r="B32" s="5">
        <v>21</v>
      </c>
      <c r="C32" s="5" t="s">
        <v>63</v>
      </c>
      <c r="D32" s="5" t="s">
        <v>66</v>
      </c>
      <c r="E32" s="5">
        <v>1</v>
      </c>
      <c r="F32" s="5" t="s">
        <v>7</v>
      </c>
      <c r="G32" s="5" t="s">
        <v>69</v>
      </c>
    </row>
    <row r="33" spans="2:7" ht="40.049999999999997" customHeight="1" x14ac:dyDescent="0.3">
      <c r="B33" s="5">
        <v>22</v>
      </c>
      <c r="C33" s="5" t="s">
        <v>60</v>
      </c>
      <c r="D33" s="10" t="s">
        <v>36</v>
      </c>
      <c r="E33" s="5">
        <v>0.95</v>
      </c>
      <c r="F33" s="5" t="s">
        <v>7</v>
      </c>
      <c r="G33" s="5" t="s">
        <v>67</v>
      </c>
    </row>
  </sheetData>
  <mergeCells count="4">
    <mergeCell ref="B1:G1"/>
    <mergeCell ref="B2:G2"/>
    <mergeCell ref="B5:G5"/>
    <mergeCell ref="B19:G19"/>
  </mergeCell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BADB2-5FD1-46EC-8A6F-73C70A63AD22}">
  <dimension ref="B1:AA195"/>
  <sheetViews>
    <sheetView tabSelected="0" topLeftCell="A170" zoomScale="76" zoomScaleNormal="65" workbookViewId="0">
      <selection activeCell="Q201" sqref="Q201"/>
    </sheetView>
  </sheetViews>
  <sheetFormatPr defaultRowHeight="14.4" x14ac:dyDescent="0.3"/>
  <cols>
    <col min="2" max="2" width="19.33203125" customWidth="1"/>
    <col min="3" max="3" width="36" customWidth="1"/>
    <col min="4" max="4" width="8.88671875" customWidth="1"/>
    <col min="5" max="5" width="17.6640625" customWidth="1"/>
    <col min="6" max="6" width="13.21875" customWidth="1"/>
    <col min="7" max="7" width="39.33203125" bestFit="1" customWidth="1"/>
    <col min="8" max="8" width="13.21875" style="14" customWidth="1"/>
    <col min="27" max="27" hidden="1" width="12" customWidth="1"/>
  </cols>
  <sheetData>
    <row r="1" spans="2:7" ht="49.95" customHeight="1" x14ac:dyDescent="0.3">
      <c r="B1" s="40" t="s">
        <v>33</v>
      </c>
      <c r="C1" s="40"/>
      <c r="D1" s="40"/>
      <c r="E1" s="40"/>
      <c r="F1" s="40"/>
      <c r="G1" s="40"/>
    </row>
    <row r="2" spans="2:7" ht="49.95" customHeight="1" x14ac:dyDescent="0.3">
      <c r="B2" s="41" t="s">
        <v>34</v>
      </c>
      <c r="C2" s="41"/>
      <c r="D2" s="41"/>
      <c r="E2" s="41"/>
      <c r="F2" s="41"/>
      <c r="G2" s="41"/>
    </row>
    <row r="3" spans="2:7" ht="49.95" customHeight="1" x14ac:dyDescent="0.3"/>
    <row r="4" spans="2:7" ht="49.95" customHeight="1" x14ac:dyDescent="0.3">
      <c r="B4" s="33" t="s">
        <v>76</v>
      </c>
      <c r="C4" s="33"/>
      <c r="D4" s="33"/>
      <c r="E4" s="33"/>
      <c r="F4" s="33"/>
      <c r="G4" s="33"/>
    </row>
    <row r="5" spans="2:7" ht="49.95" customHeight="1" x14ac:dyDescent="0.3">
      <c r="B5" s="2" t="s">
        <v>0</v>
      </c>
      <c r="C5" s="2" t="s">
        <v>1</v>
      </c>
      <c r="D5" s="2" t="s">
        <v>2</v>
      </c>
      <c r="E5" s="2" t="s">
        <v>3</v>
      </c>
      <c r="F5" s="2" t="s">
        <v>4</v>
      </c>
      <c r="G5" s="2" t="s">
        <v>70</v>
      </c>
    </row>
    <row r="6" spans="2:7" ht="49.95" customHeight="1" x14ac:dyDescent="0.3">
      <c r="B6" s="3">
        <v>1</v>
      </c>
      <c r="C6" s="3" t="s">
        <v>37</v>
      </c>
      <c r="D6" s="3" t="s">
        <v>38</v>
      </c>
      <c r="E6" s="3">
        <f>'THÔNG SỐ CHO TRƯỚC'!E9+('THÔNG SỐ CHO TRƯỚC'!E8*'THÔNG SỐ CHO TRƯỚC'!E21)+'THÔNG SỐ CHO TRƯỚC'!E10</f>
        <v>7680</v>
      </c>
      <c r="F6" s="3" t="s">
        <v>13</v>
      </c>
      <c r="G6" s="3" t="s">
        <v>75</v>
      </c>
    </row>
    <row r="7" spans="2:7" ht="49.95" customHeight="1" x14ac:dyDescent="0.3">
      <c r="B7" s="3">
        <v>2</v>
      </c>
      <c r="C7" s="3" t="s">
        <v>39</v>
      </c>
      <c r="D7" s="3"/>
      <c r="E7" s="3">
        <f>E6*'THÔNG SỐ CHO TRƯỚC'!E11</f>
        <v>2304</v>
      </c>
      <c r="F7" s="3" t="s">
        <v>13</v>
      </c>
      <c r="G7" s="5" t="s">
        <v>77</v>
      </c>
    </row>
    <row r="8" spans="2:7" ht="49.95" customHeight="1" x14ac:dyDescent="0.3">
      <c r="B8" s="3">
        <v>3</v>
      </c>
      <c r="C8" s="3" t="s">
        <v>40</v>
      </c>
      <c r="D8" s="3"/>
      <c r="E8" s="3">
        <f>E6*'THÔNG SỐ CHO TRƯỚC'!E12</f>
        <v>5376</v>
      </c>
      <c r="F8" s="3" t="s">
        <v>13</v>
      </c>
      <c r="G8" s="5" t="s">
        <v>78</v>
      </c>
    </row>
    <row r="9" spans="2:7" ht="49.95" customHeight="1" x14ac:dyDescent="0.3">
      <c r="B9" s="3">
        <v>4</v>
      </c>
      <c r="C9" s="3" t="s">
        <v>41</v>
      </c>
      <c r="D9" s="3"/>
      <c r="E9" s="3">
        <v>4</v>
      </c>
      <c r="F9" s="3" t="s">
        <v>42</v>
      </c>
      <c r="G9" s="3" t="s">
        <v>75</v>
      </c>
    </row>
    <row r="10" spans="2:7" ht="49.95" customHeight="1" x14ac:dyDescent="0.3">
      <c r="B10" s="3">
        <v>5</v>
      </c>
      <c r="C10" s="3" t="s">
        <v>43</v>
      </c>
      <c r="D10" s="3"/>
      <c r="E10" s="3">
        <f>E8/4</f>
        <v>1344</v>
      </c>
      <c r="F10" s="3" t="s">
        <v>13</v>
      </c>
      <c r="G10" s="6" t="s">
        <v>80</v>
      </c>
    </row>
    <row r="11" spans="2:7" ht="49.95" customHeight="1" x14ac:dyDescent="0.3">
      <c r="B11" s="3">
        <v>6</v>
      </c>
      <c r="C11" s="3" t="s">
        <v>44</v>
      </c>
      <c r="D11" s="3" t="s">
        <v>79</v>
      </c>
      <c r="E11" s="3" t="s">
        <v>161</v>
      </c>
      <c r="F11" s="3" t="s">
        <v>79</v>
      </c>
      <c r="G11" s="3" t="s">
        <v>81</v>
      </c>
    </row>
    <row r="12" spans="2:7" ht="49.95" customHeight="1" x14ac:dyDescent="0.3">
      <c r="B12" s="3">
        <v>7</v>
      </c>
      <c r="C12" s="3" t="s">
        <v>83</v>
      </c>
      <c r="D12" s="3" t="s">
        <v>86</v>
      </c>
      <c r="E12" s="3">
        <f>8.25</f>
        <v>8.25</v>
      </c>
      <c r="F12" s="3" t="s">
        <v>87</v>
      </c>
      <c r="G12" s="3" t="s">
        <v>88</v>
      </c>
    </row>
    <row r="13" spans="2:7" ht="49.95" customHeight="1" x14ac:dyDescent="0.3">
      <c r="B13" s="3">
        <v>8</v>
      </c>
      <c r="C13" s="3" t="s">
        <v>84</v>
      </c>
      <c r="D13" s="3" t="s">
        <v>85</v>
      </c>
      <c r="E13" s="3">
        <v>16</v>
      </c>
      <c r="F13" s="3" t="s">
        <v>87</v>
      </c>
      <c r="G13" s="3" t="s">
        <v>88</v>
      </c>
    </row>
    <row r="14" spans="2:7" ht="49.95" customHeight="1" x14ac:dyDescent="0.3">
      <c r="B14" s="3">
        <v>9</v>
      </c>
      <c r="C14" s="3" t="s">
        <v>82</v>
      </c>
      <c r="D14" s="3"/>
      <c r="E14" s="3">
        <f>(E12+(E13/2))*0.0254</f>
        <v>0.41275000000000001</v>
      </c>
      <c r="F14" s="3" t="s">
        <v>72</v>
      </c>
      <c r="G14" s="3" t="s">
        <v>75</v>
      </c>
    </row>
    <row r="15" spans="2:7" ht="49.95" customHeight="1" x14ac:dyDescent="0.3">
      <c r="B15" s="3">
        <v>10</v>
      </c>
      <c r="C15" s="3" t="s">
        <v>71</v>
      </c>
      <c r="D15" s="3"/>
      <c r="E15" s="3">
        <f>E14*'THÔNG SỐ CHO TRƯỚC'!E33</f>
        <v>0.39211249999999997</v>
      </c>
      <c r="F15" s="3" t="s">
        <v>72</v>
      </c>
      <c r="G15" s="3" t="s">
        <v>75</v>
      </c>
    </row>
    <row r="16" spans="2:7" ht="49.95" customHeight="1" x14ac:dyDescent="0.3"/>
    <row r="17" spans="2:7" ht="49.95" customHeight="1" x14ac:dyDescent="0.3"/>
    <row r="18" spans="2:7" ht="49.95" customHeight="1" x14ac:dyDescent="0.3"/>
    <row r="19" spans="2:7" ht="49.95" customHeight="1" x14ac:dyDescent="0.3"/>
    <row r="20" spans="2:7" ht="49.95" customHeight="1" x14ac:dyDescent="0.3"/>
    <row r="21" spans="2:7" ht="49.95" customHeight="1" x14ac:dyDescent="0.3">
      <c r="B21" s="33" t="s">
        <v>76</v>
      </c>
      <c r="C21" s="33"/>
      <c r="D21" s="33"/>
      <c r="E21" s="33"/>
      <c r="F21" s="33"/>
      <c r="G21" s="33"/>
    </row>
    <row r="22" spans="2:7" ht="49.95" customHeight="1" x14ac:dyDescent="0.3">
      <c r="B22" s="2" t="s">
        <v>0</v>
      </c>
      <c r="C22" s="2" t="s">
        <v>1</v>
      </c>
      <c r="D22" s="2" t="s">
        <v>2</v>
      </c>
      <c r="E22" s="2" t="s">
        <v>3</v>
      </c>
      <c r="F22" s="2" t="s">
        <v>4</v>
      </c>
      <c r="G22" s="2" t="s">
        <v>70</v>
      </c>
    </row>
    <row r="23" spans="2:7" ht="49.95" customHeight="1" x14ac:dyDescent="0.3">
      <c r="B23" s="3">
        <v>11</v>
      </c>
      <c r="C23" s="3" t="s">
        <v>89</v>
      </c>
      <c r="D23" s="3"/>
      <c r="E23" s="3">
        <f>((E6*9.81)*'THÔNG SỐ CHO TRƯỚC'!E24*('THÔNG SỐ CHO TRƯỚC'!E13/3.6))/(1000)</f>
        <v>43.667418518518524</v>
      </c>
      <c r="F23" s="3" t="s">
        <v>45</v>
      </c>
      <c r="G23" s="3" t="s">
        <v>92</v>
      </c>
    </row>
    <row r="24" spans="2:7" ht="49.95" customHeight="1" x14ac:dyDescent="0.3">
      <c r="B24" s="3">
        <v>12</v>
      </c>
      <c r="C24" s="3" t="s">
        <v>90</v>
      </c>
      <c r="D24" s="3"/>
      <c r="E24" s="3">
        <f>('THÔNG SỐ CHO TRƯỚC'!E25*'THÔNG SỐ CHO TRƯỚC'!E26*('THÔNG SỐ CHO TRƯỚC'!E13/3.6)^(3))/(1000)</f>
        <v>53.751326195987659</v>
      </c>
      <c r="F24" s="3" t="s">
        <v>45</v>
      </c>
      <c r="G24" s="3" t="s">
        <v>92</v>
      </c>
    </row>
    <row r="25" spans="2:7" ht="49.95" customHeight="1" x14ac:dyDescent="0.3">
      <c r="B25" s="3">
        <v>13</v>
      </c>
      <c r="C25" s="5" t="s">
        <v>91</v>
      </c>
      <c r="D25" s="3"/>
      <c r="E25" s="3">
        <f>E24+E23</f>
        <v>97.418744714506175</v>
      </c>
      <c r="F25" s="3" t="s">
        <v>45</v>
      </c>
      <c r="G25" s="3" t="s">
        <v>92</v>
      </c>
    </row>
    <row r="26" spans="2:7" ht="49.8" customHeight="1" x14ac:dyDescent="0.3">
      <c r="B26" s="3">
        <v>14</v>
      </c>
      <c r="C26" s="3" t="s">
        <v>73</v>
      </c>
      <c r="D26" s="3"/>
      <c r="E26" s="3">
        <f>E25/'THÔNG SỐ CHO TRƯỚC'!E27</f>
        <v>114.61028789941903</v>
      </c>
      <c r="F26" s="3" t="s">
        <v>45</v>
      </c>
      <c r="G26" s="3" t="s">
        <v>75</v>
      </c>
    </row>
    <row r="27" spans="2:7" ht="49.95" customHeight="1" x14ac:dyDescent="0.3">
      <c r="B27" s="3">
        <v>15</v>
      </c>
      <c r="C27" s="3" t="s">
        <v>74</v>
      </c>
      <c r="D27" s="3"/>
      <c r="E27" s="3">
        <f>E26/('THÔNG SỐ CHO TRƯỚC'!E30*'THÔNG SỐ CHO TRƯỚC'!E28+'THÔNG SỐ CHO TRƯỚC'!E31*('THÔNG SỐ CHO TRƯỚC'!E28^(2))-'THÔNG SỐ CHO TRƯỚC'!E32*('THÔNG SỐ CHO TRƯỚC'!E28^(3)))</f>
        <v>122.4468887814306</v>
      </c>
      <c r="F27" s="3" t="s">
        <v>45</v>
      </c>
      <c r="G27" s="3" t="s">
        <v>75</v>
      </c>
    </row>
    <row r="28" spans="2:7" ht="49.95" customHeight="1" x14ac:dyDescent="0.3">
      <c r="B28" s="3">
        <v>16</v>
      </c>
      <c r="C28" s="3" t="s">
        <v>93</v>
      </c>
      <c r="D28" s="3"/>
      <c r="E28" s="3">
        <f>'THÔNG SỐ CHO TRƯỚC'!E29/'THÔNG SỐ CHO TRƯỚC'!E28</f>
        <v>2888.8888888888887</v>
      </c>
      <c r="F28" s="3" t="s">
        <v>68</v>
      </c>
      <c r="G28" s="3" t="s">
        <v>75</v>
      </c>
    </row>
    <row r="29" spans="2:7" ht="49.95" customHeight="1" x14ac:dyDescent="0.3"/>
    <row r="30" spans="2:7" ht="49.95" customHeight="1" x14ac:dyDescent="0.3"/>
    <row r="31" spans="2:7" ht="49.95" customHeight="1" x14ac:dyDescent="0.3">
      <c r="B31" s="33" t="s">
        <v>94</v>
      </c>
      <c r="C31" s="33"/>
      <c r="D31" s="33"/>
      <c r="E31" s="33"/>
      <c r="F31" s="33"/>
      <c r="G31" s="33"/>
    </row>
    <row r="32" spans="2:7" ht="64.8" customHeight="1" x14ac:dyDescent="0.3">
      <c r="B32" s="33" t="s">
        <v>95</v>
      </c>
      <c r="C32" s="33"/>
      <c r="D32" s="33"/>
      <c r="E32" s="45" t="s">
        <v>96</v>
      </c>
      <c r="F32" s="46"/>
      <c r="G32" s="46"/>
    </row>
    <row r="33" spans="2:8" ht="49.95" customHeight="1" x14ac:dyDescent="0.3">
      <c r="B33" s="33" t="s">
        <v>97</v>
      </c>
      <c r="C33" s="33"/>
      <c r="D33" s="33"/>
      <c r="E33" s="45" t="inlineStr">
        <is>
          <t>Đồ thị: 800–2600 vòng/phút; thêm điểm 2470 vòng/phút</t>
        </is>
      </c>
      <c r="F33" s="45"/>
      <c r="G33" s="45"/>
    </row>
    <row r="34" spans="2:8" ht="49.95" customHeight="1" x14ac:dyDescent="0.3">
      <c r="B34" s="2" t="s">
        <v>99</v>
      </c>
      <c r="C34" s="33" t="s">
        <v>100</v>
      </c>
      <c r="D34" s="33"/>
      <c r="E34" s="33" t="s">
        <v>101</v>
      </c>
      <c r="F34" s="33"/>
      <c r="G34" s="33"/>
    </row>
    <row r="35" spans="2:8" ht="49.95" customHeight="1" x14ac:dyDescent="0.3">
      <c r="B35" s="3">
        <v>800</v>
      </c>
      <c r="C35" s="32">
        <f>$E$27 * ('THÔNG SỐ CHO TRƯỚC'!$E$30 * (B35/$E$28) + 'THÔNG SỐ CHO TRƯỚC'!$E$31 * (B35/$E$28)^2 - 'THÔNG SỐ CHO TRƯỚC'!$E$32 * (B35/$E$28)^3)</f>
        <v>28.438889056517024</v>
      </c>
      <c r="D35" s="32"/>
      <c r="E35" s="32">
        <f>(10000 * C35) / (1.047 * B35)</f>
        <v>339.52828386481644</v>
      </c>
      <c r="F35" s="32"/>
      <c r="G35" s="32"/>
    </row>
    <row r="36" spans="2:8" ht="49.95" customHeight="1" x14ac:dyDescent="0.3">
      <c r="B36" s="3">
        <v>1200</v>
      </c>
      <c r="C36" s="32">
        <f>$E$27 * ('THÔNG SỐ CHO TRƯỚC'!$E$30 * (B36/$E$28) + 'THÔNG SỐ CHO TRƯỚC'!$E$31 * (B36/$E$28)^2 - 'THÔNG SỐ CHO TRƯỚC'!$E$32 * (B36/$E$28)^3)</f>
        <v>48.346512678554703</v>
      </c>
      <c r="D36" s="32"/>
      <c r="E36" s="32">
        <f t="shared" ref="E36:E41" si="0">(10000 * C36) / (1.047 * B36)</f>
        <v>384.80191562046087</v>
      </c>
      <c r="F36" s="32"/>
      <c r="G36" s="32"/>
    </row>
    <row r="37" spans="2:8" ht="49.95" customHeight="1" x14ac:dyDescent="0.3">
      <c r="B37" s="3">
        <v>1600</v>
      </c>
      <c r="C37" s="32">
        <f>$E$27 * ('THÔNG SỐ CHO TRƯỚC'!$E$30 * (B37/$E$28) + 'THÔNG SỐ CHO TRƯỚC'!$E$31 * (B37/$E$28)^2 - 'THÔNG SỐ CHO TRƯỚC'!$E$32 * (B37/$E$28)^3)</f>
        <v>69.445945253574664</v>
      </c>
      <c r="D37" s="32"/>
      <c r="E37" s="32">
        <f t="shared" si="0"/>
        <v>414.55315934559854</v>
      </c>
      <c r="F37" s="32"/>
      <c r="G37" s="32"/>
    </row>
    <row r="38" spans="2:8" ht="49.95" customHeight="1" x14ac:dyDescent="0.3">
      <c r="B38" s="7">
        <v>2000</v>
      </c>
      <c r="C38" s="32">
        <f>$E$27 * ('THÔNG SỐ CHO TRƯỚC'!$E$30 * (B38/$E$28) + 'THÔNG SỐ CHO TRƯỚC'!$E$31 * (B38/$E$28)^2 - 'THÔNG SỐ CHO TRƯỚC'!$E$32 * (B38/$E$28)^3)</f>
        <v>89.786953949424088</v>
      </c>
      <c r="D38" s="32"/>
      <c r="E38" s="37">
        <f t="shared" si="0"/>
        <v>428.78201504022962</v>
      </c>
      <c r="F38" s="38"/>
      <c r="G38" s="39"/>
    </row>
    <row r="39" spans="2:8" ht="49.95" customHeight="1" x14ac:dyDescent="0.3">
      <c r="B39" s="7">
        <v>2166.6666666699998</v>
      </c>
      <c r="C39" s="32">
        <f>$E$27 * ('THÔNG SỐ CHO TRƯỚC'!$E$30 * (B39/$E$28) + 'THÔNG SỐ CHO TRƯỚC'!$E$31 * (B39/$E$28)^2 - 'THÔNG SỐ CHO TRƯỚC'!$E$32 * (B39/$E$28)^3)</f>
        <v>97.574864497852644</v>
      </c>
      <c r="D39" s="32"/>
      <c r="E39" s="32">
        <f>(10000 * C39) / (1.047 * B39)</f>
        <v>430.12944455676677</v>
      </c>
      <c r="F39" s="32"/>
      <c r="G39" s="32"/>
      <c r="H39"/>
    </row>
    <row r="40" spans="2:8" ht="49.95" customHeight="1" x14ac:dyDescent="0.3">
      <c r="B40" s="7">
        <v>2400</v>
      </c>
      <c r="C40" s="32">
        <f>$E$27 * ('THÔNG SỐ CHO TRƯỚC'!$E$30 * (B40/$E$28) + 'THÔNG SỐ CHO TRƯỚC'!$E$31 * (B40/$E$28)^2 - 'THÔNG SỐ CHO TRƯỚC'!$E$32 * (B40/$E$28)^3)</f>
        <v>107.4193059339501</v>
      </c>
      <c r="D40" s="32"/>
      <c r="E40" s="32">
        <f t="shared" si="0"/>
        <v>427.48848270435411</v>
      </c>
      <c r="F40" s="32"/>
      <c r="G40" s="32"/>
    </row>
    <row r="41" spans="2:8" ht="49.95" customHeight="1" x14ac:dyDescent="0.3">
      <c r="B41" s="7">
        <v>2600</v>
      </c>
      <c r="C41" s="32">
        <f>$E$27 * ('THÔNG SỐ CHO TRƯỚC'!$E$30 * (B41/$E$28) + 'THÔNG SỐ CHO TRƯỚC'!$E$31 * (B41/$E$28)^2 - 'THÔNG SỐ CHO TRƯỚC'!$E$32 * (B41/$E$28)^3)</f>
        <v>114.61028789941903</v>
      </c>
      <c r="D41" s="32"/>
      <c r="E41" s="32">
        <f t="shared" si="0"/>
        <v>421.02082102497627</v>
      </c>
      <c r="F41" s="32"/>
      <c r="G41" s="32"/>
    </row>
    <row r="42" spans="2:8" ht="49.95" customHeight="1" x14ac:dyDescent="0.3">
      <c r="B42" s="63">
        <f>0.95*2600</f>
        <v>2470</v>
      </c>
      <c r="C42" s="64">
        <f>$E$27 * ('THÔNG SỐ CHO TRƯỚC'!$E$30 * (B42/$E$28) + 'THÔNG SỐ CHO TRƯỚC'!$E$31 * (B42/$E$28)^2 - 'THÔNG SỐ CHO TRƯỚC'!$E$32 * (B42/$E$28)^3)</f>
        <v>110.08111523614379</v>
      </c>
      <c r="D42" s="64"/>
      <c r="E42" s="64">
        <f t="shared" ref="E42" si="1">(10000 * C42) / (1.047 * B42)</f>
        <v>425.66621902618937</v>
      </c>
      <c r="F42" s="64"/>
      <c r="G42" s="64"/>
    </row>
    <row r="43" spans="2:8" ht="49.95" customHeight="1" x14ac:dyDescent="0.3"/>
    <row r="44" spans="2:8" ht="57.6" customHeight="1" x14ac:dyDescent="0.3">
      <c r="B44" s="2" t="s">
        <v>0</v>
      </c>
      <c r="C44" s="2" t="s">
        <v>1</v>
      </c>
      <c r="D44" s="2" t="s">
        <v>2</v>
      </c>
      <c r="E44" s="2" t="s">
        <v>3</v>
      </c>
      <c r="F44" s="2" t="s">
        <v>4</v>
      </c>
      <c r="G44" s="2" t="s">
        <v>70</v>
      </c>
    </row>
    <row r="45" spans="2:8" ht="43.2" customHeight="1" x14ac:dyDescent="0.3">
      <c r="B45" s="11">
        <v>17</v>
      </c>
      <c r="C45" s="6" t="s">
        <v>102</v>
      </c>
      <c r="D45" s="11"/>
      <c r="E45" s="11">
        <v>1</v>
      </c>
      <c r="F45" s="11" t="s">
        <v>7</v>
      </c>
      <c r="G45" s="11" t="s">
        <v>103</v>
      </c>
    </row>
    <row r="46" spans="2:8" ht="43.8" customHeight="1" x14ac:dyDescent="0.3">
      <c r="B46" s="11">
        <v>18</v>
      </c>
      <c r="C46" s="6" t="s">
        <v>104</v>
      </c>
      <c r="D46" s="11"/>
      <c r="E46" s="11">
        <f>1.25</f>
        <v>1.25</v>
      </c>
      <c r="F46" s="11" t="s">
        <v>7</v>
      </c>
      <c r="G46" s="11" t="s">
        <v>105</v>
      </c>
    </row>
    <row r="47" spans="2:8" ht="15.6" x14ac:dyDescent="0.3">
      <c r="B47" s="11">
        <v>19</v>
      </c>
      <c r="C47" s="11" t="s">
        <v>17</v>
      </c>
      <c r="D47" s="11" t="s">
        <v>106</v>
      </c>
      <c r="E47" s="11">
        <f>95/3.6</f>
        <v>26.388888888888889</v>
      </c>
      <c r="F47" s="11" t="s">
        <v>107</v>
      </c>
      <c r="G47" s="11" t="s">
        <v>9</v>
      </c>
    </row>
    <row r="48" spans="2:8" x14ac:dyDescent="0.3">
      <c r="B48" s="12">
        <v>20</v>
      </c>
      <c r="C48" s="12" t="s">
        <v>108</v>
      </c>
      <c r="D48" s="12"/>
      <c r="E48" s="12">
        <f>(2*PI()*E15*'THÔNG SỐ CHO TRƯỚC'!E29)/(60*'TÍNH TOÁN '!E45*'TÍNH TOÁN '!E46*'TÍNH TOÁN '!E47)</f>
        <v>3.2365441499518903</v>
      </c>
      <c r="F48" s="12" t="s">
        <v>7</v>
      </c>
      <c r="G48" s="12" t="s">
        <v>109</v>
      </c>
    </row>
    <row r="49" spans="2:7" x14ac:dyDescent="0.3">
      <c r="B49" s="12">
        <v>21</v>
      </c>
      <c r="C49" s="12" t="s">
        <v>110</v>
      </c>
      <c r="D49" s="12" t="s">
        <v>111</v>
      </c>
      <c r="E49" s="12">
        <v>5</v>
      </c>
      <c r="F49" s="12" t="s">
        <v>7</v>
      </c>
      <c r="G49" s="12" t="s">
        <v>112</v>
      </c>
    </row>
    <row r="50" spans="2:7" x14ac:dyDescent="0.3">
      <c r="B50" s="11">
        <v>22</v>
      </c>
      <c r="C50" s="11" t="s">
        <v>113</v>
      </c>
      <c r="D50" s="11"/>
      <c r="E50" s="11">
        <f>0.85</f>
        <v>0.85</v>
      </c>
      <c r="F50" s="11" t="s">
        <v>7</v>
      </c>
      <c r="G50" s="11" t="s">
        <v>103</v>
      </c>
    </row>
    <row r="51" spans="2:7" x14ac:dyDescent="0.3">
      <c r="B51" s="11">
        <v>23</v>
      </c>
      <c r="C51" s="11" t="s">
        <v>114</v>
      </c>
      <c r="D51" s="11" t="s">
        <v>38</v>
      </c>
      <c r="E51" s="11">
        <f>E6*9.81</f>
        <v>75340.800000000003</v>
      </c>
      <c r="F51" s="11" t="s">
        <v>115</v>
      </c>
      <c r="G51" s="11"/>
    </row>
    <row r="52" spans="2:7" x14ac:dyDescent="0.3">
      <c r="B52" s="11">
        <v>24</v>
      </c>
      <c r="C52" s="11" t="s">
        <v>125</v>
      </c>
      <c r="D52" s="11"/>
      <c r="E52" s="11">
        <f>0.75</f>
        <v>0.75</v>
      </c>
      <c r="F52" s="11"/>
      <c r="G52" s="11" t="s">
        <v>112</v>
      </c>
    </row>
    <row r="53" spans="2:7" x14ac:dyDescent="0.3">
      <c r="B53" s="47">
        <v>25</v>
      </c>
      <c r="C53" s="47" t="s">
        <v>116</v>
      </c>
      <c r="D53" s="47"/>
      <c r="E53" s="12">
        <f>('THÔNG SỐ CHO TRƯỚC'!E14*'TÍNH TOÁN '!E51*'TÍNH TOÁN '!E15)/(E39*'TÍNH TOÁN '!E48*'TÍNH TOÁN '!E46*'TÍNH TOÁN '!E50)</f>
        <v>6.1914584226290232</v>
      </c>
      <c r="F53" s="12" t="s">
        <v>7</v>
      </c>
      <c r="G53" s="11" t="s">
        <v>112</v>
      </c>
    </row>
    <row r="54" spans="2:7" x14ac:dyDescent="0.3">
      <c r="B54" s="47"/>
      <c r="C54" s="47"/>
      <c r="D54" s="47"/>
      <c r="E54" s="12">
        <f>('THÔNG SỐ CHO TRƯỚC'!E12*'TÍNH TOÁN '!E51*'TÍNH TOÁN '!E52*'TÍNH TOÁN '!E15)/(E39*'TÍNH TOÁN '!E48*'TÍNH TOÁN '!E46*'TÍNH TOÁN '!E50)</f>
        <v>10.48553442542012</v>
      </c>
      <c r="F54" s="12"/>
      <c r="G54" s="11" t="s">
        <v>112</v>
      </c>
    </row>
    <row r="55" spans="2:7" x14ac:dyDescent="0.3">
      <c r="B55" s="12">
        <v>26</v>
      </c>
      <c r="C55" s="12" t="s">
        <v>117</v>
      </c>
      <c r="D55" s="12"/>
      <c r="E55" s="12">
        <f>6.5</f>
        <v>6.5</v>
      </c>
      <c r="F55" s="12" t="s">
        <v>7</v>
      </c>
      <c r="G55" s="11"/>
    </row>
    <row r="56" spans="2:7" x14ac:dyDescent="0.3">
      <c r="B56" s="11">
        <v>27</v>
      </c>
      <c r="C56" s="11" t="s">
        <v>118</v>
      </c>
      <c r="D56" s="11" t="s">
        <v>119</v>
      </c>
      <c r="E56" s="11">
        <f>(E55)^(1/4)</f>
        <v>1.5967184337873701</v>
      </c>
      <c r="F56" s="11" t="s">
        <v>7</v>
      </c>
      <c r="G56" s="11" t="s">
        <v>109</v>
      </c>
    </row>
    <row r="57" spans="2:7" x14ac:dyDescent="0.3">
      <c r="B57" s="34">
        <v>28</v>
      </c>
      <c r="C57" s="11" t="s">
        <v>120</v>
      </c>
      <c r="D57" s="11"/>
      <c r="E57" s="11">
        <f>E55</f>
        <v>6.5</v>
      </c>
      <c r="F57" s="11"/>
      <c r="G57" s="11"/>
    </row>
    <row r="58" spans="2:7" x14ac:dyDescent="0.3">
      <c r="B58" s="34"/>
      <c r="C58" s="11" t="s">
        <v>121</v>
      </c>
      <c r="D58" s="11"/>
      <c r="E58" s="11">
        <f>E57/E56</f>
        <v>4.0708492257975548</v>
      </c>
      <c r="F58" s="11"/>
      <c r="G58" s="11" t="s">
        <v>109</v>
      </c>
    </row>
    <row r="59" spans="2:7" x14ac:dyDescent="0.3">
      <c r="B59" s="34"/>
      <c r="C59" s="11" t="s">
        <v>122</v>
      </c>
      <c r="D59" s="11"/>
      <c r="E59" s="11">
        <f>E57/(E56^2)</f>
        <v>2.5495097567963927</v>
      </c>
      <c r="F59" s="11"/>
      <c r="G59" s="11" t="s">
        <v>109</v>
      </c>
    </row>
    <row r="60" spans="2:7" x14ac:dyDescent="0.3">
      <c r="B60" s="34"/>
      <c r="C60" s="11" t="s">
        <v>123</v>
      </c>
      <c r="D60" s="11"/>
      <c r="E60" s="11">
        <f>E57/(E56^3)</f>
        <v>1.5967184337873706</v>
      </c>
      <c r="F60" s="11" t="s">
        <v>7</v>
      </c>
      <c r="G60" s="11" t="s">
        <v>105</v>
      </c>
    </row>
    <row r="61" spans="2:7" x14ac:dyDescent="0.3">
      <c r="B61" s="34"/>
      <c r="C61" s="11" t="s">
        <v>124</v>
      </c>
      <c r="D61" s="11"/>
      <c r="E61" s="11">
        <v>1</v>
      </c>
      <c r="F61" s="11" t="s">
        <v>7</v>
      </c>
      <c r="G61" s="11" t="s">
        <v>105</v>
      </c>
    </row>
    <row r="62" spans="2:7" ht="15.6" x14ac:dyDescent="0.3">
      <c r="B62" s="34">
        <v>29</v>
      </c>
      <c r="C62" s="11" t="s">
        <v>126</v>
      </c>
      <c r="D62" s="11" t="s">
        <v>131</v>
      </c>
      <c r="E62" s="11">
        <f>E57*$E$48*$E$46</f>
        <v>26.29692121835911</v>
      </c>
      <c r="F62" s="11" t="s">
        <v>7</v>
      </c>
      <c r="G62" s="17"/>
    </row>
    <row r="63" spans="2:7" ht="15.6" x14ac:dyDescent="0.3">
      <c r="B63" s="34"/>
      <c r="C63" s="11" t="s">
        <v>127</v>
      </c>
      <c r="D63" s="11" t="s">
        <v>132</v>
      </c>
      <c r="E63" s="11">
        <f>E58*$E$48*$E$46</f>
        <v>16.46935405886407</v>
      </c>
      <c r="F63" s="11" t="s">
        <v>7</v>
      </c>
      <c r="G63" s="17"/>
    </row>
    <row r="64" spans="2:7" ht="15.6" x14ac:dyDescent="0.3">
      <c r="B64" s="34"/>
      <c r="C64" s="11" t="s">
        <v>128</v>
      </c>
      <c r="D64" s="11" t="s">
        <v>133</v>
      </c>
      <c r="E64" s="11">
        <f>E59*$E$48*$E$46</f>
        <v>10.314501110755788</v>
      </c>
      <c r="F64" s="11" t="s">
        <v>7</v>
      </c>
      <c r="G64" s="17"/>
    </row>
    <row r="65" spans="2:8" ht="15.6" x14ac:dyDescent="0.3">
      <c r="B65" s="34"/>
      <c r="C65" s="11" t="s">
        <v>129</v>
      </c>
      <c r="D65" s="11" t="s">
        <v>134</v>
      </c>
      <c r="E65" s="11">
        <f>E60*$E$48*$E$46</f>
        <v>6.4598121324935729</v>
      </c>
      <c r="F65" s="11" t="s">
        <v>7</v>
      </c>
      <c r="G65" s="17"/>
    </row>
    <row r="66" spans="2:8" ht="15.6" x14ac:dyDescent="0.3">
      <c r="B66" s="34"/>
      <c r="C66" s="11" t="s">
        <v>130</v>
      </c>
      <c r="D66" s="11" t="s">
        <v>135</v>
      </c>
      <c r="E66" s="11">
        <f>E61*$E$48*$E$46</f>
        <v>4.0456801874398627</v>
      </c>
      <c r="F66" s="11" t="s">
        <v>7</v>
      </c>
      <c r="G66" s="17"/>
    </row>
    <row r="70" spans="2:8" x14ac:dyDescent="0.3">
      <c r="B70" s="15"/>
      <c r="C70" s="15"/>
      <c r="D70" s="15"/>
      <c r="E70" s="15"/>
      <c r="F70" s="15"/>
      <c r="G70" s="15"/>
    </row>
    <row r="71" spans="2:8" ht="28.05" customHeight="1" x14ac:dyDescent="0.3">
      <c r="B71" s="35" t="s">
        <v>137</v>
      </c>
      <c r="C71" s="24"/>
      <c r="D71" s="24"/>
      <c r="E71" s="24"/>
      <c r="F71" s="24"/>
      <c r="G71" s="24"/>
      <c r="H71" s="36"/>
    </row>
    <row r="72" spans="2:8" ht="32.549999999999997" customHeight="1" x14ac:dyDescent="0.3">
      <c r="B72" s="33" t="s">
        <v>95</v>
      </c>
      <c r="C72" s="33"/>
      <c r="D72" s="33"/>
      <c r="E72" s="42" t="s">
        <v>136</v>
      </c>
      <c r="F72" s="43"/>
      <c r="G72" s="43"/>
      <c r="H72" s="44"/>
    </row>
    <row r="73" spans="2:8" ht="18" customHeight="1" x14ac:dyDescent="0.3">
      <c r="B73" s="33" t="s">
        <v>97</v>
      </c>
      <c r="C73" s="33"/>
      <c r="D73" s="33"/>
      <c r="E73" s="25" t="inlineStr">
        <is>
          <t>800–2600 vòng/phút; số V thêm 2470 vòng/phút</t>
        </is>
      </c>
      <c r="F73" s="26"/>
      <c r="G73" s="26"/>
      <c r="H73" s="27"/>
    </row>
    <row r="74" spans="2:8" ht="18" x14ac:dyDescent="0.3">
      <c r="B74" s="13" t="s">
        <v>99</v>
      </c>
      <c r="C74" s="19" t="s">
        <v>143</v>
      </c>
      <c r="D74" s="19" t="s">
        <v>144</v>
      </c>
      <c r="E74" s="19" t="s">
        <v>145</v>
      </c>
      <c r="F74" s="19" t="s">
        <v>146</v>
      </c>
      <c r="G74" s="19" t="s">
        <v>147</v>
      </c>
      <c r="H74" s="19" t="s">
        <v>148</v>
      </c>
      <c r="AA74" t="inlineStr">
        <is>
          <t>Vận tốc X đúng cho điểm cuối số V 90,25 km/h</t>
        </is>
      </c>
    </row>
    <row r="75" spans="2:8" ht="15" customHeight="1" x14ac:dyDescent="0.3">
      <c r="B75" s="3">
        <v>800</v>
      </c>
      <c r="C75" s="21">
        <f>(2*PI()*$B75*$E$15)/(60*$E$62)</f>
        <v>1.2491781722550954</v>
      </c>
      <c r="D75" s="21">
        <f t="shared" ref="D75:D80" si="2">(2*PI()*$B75*$E$15)/(60*$E$63)</f>
        <v>1.9945858147245261</v>
      </c>
      <c r="E75" s="21">
        <f t="shared" ref="E75:E80" si="3">(2*PI()*$B75*$E$15)/(60*$E$64)</f>
        <v>3.1847919381414509</v>
      </c>
      <c r="F75" s="21">
        <f t="shared" ref="F75:F80" si="4">(2*PI()*$B75*$E$15)/(60*$E$65)</f>
        <v>5.0852159954078591</v>
      </c>
      <c r="G75" s="21">
        <f t="shared" ref="G75:G79" si="5">(2*PI()*$B75*$E$15)/(60*$E$66)</f>
        <v>8.119658119658121</v>
      </c>
      <c r="H75" s="22">
        <f>$E$50*$C35</f>
        <v>24.17305569803947</v>
      </c>
      <c r="AA75" s="21">
        <f>G75</f>
        <v>8.119658119658121</v>
      </c>
    </row>
    <row r="76" spans="2:8" ht="15" customHeight="1" x14ac:dyDescent="0.3">
      <c r="B76" s="3">
        <v>1200</v>
      </c>
      <c r="C76" s="21">
        <f>(2*PI()*B76*$E$15)/(60*$E$62)</f>
        <v>1.8737672583826432</v>
      </c>
      <c r="D76" s="21">
        <f t="shared" si="2"/>
        <v>2.9918787220867893</v>
      </c>
      <c r="E76" s="21">
        <f t="shared" si="3"/>
        <v>4.7771879072121761</v>
      </c>
      <c r="F76" s="21">
        <f t="shared" si="4"/>
        <v>7.6278239931117886</v>
      </c>
      <c r="G76" s="21">
        <f t="shared" si="5"/>
        <v>12.179487179487182</v>
      </c>
      <c r="H76" s="22">
        <f>$E$50*$C36</f>
        <v>41.094535776771494</v>
      </c>
      <c r="AA76" s="21">
        <f>G76</f>
        <v>12.179487179487182</v>
      </c>
    </row>
    <row r="77" spans="2:8" ht="15.6" x14ac:dyDescent="0.3">
      <c r="B77" s="3">
        <v>1600</v>
      </c>
      <c r="C77" s="21">
        <f>(2*PI()*B77*$E$15)/(60*$E$62)</f>
        <v>2.4983563445101908</v>
      </c>
      <c r="D77" s="21">
        <f t="shared" si="2"/>
        <v>3.9891716294490522</v>
      </c>
      <c r="E77" s="21">
        <f t="shared" si="3"/>
        <v>6.3695838762829018</v>
      </c>
      <c r="F77" s="21">
        <f t="shared" si="4"/>
        <v>10.170431990815718</v>
      </c>
      <c r="G77" s="21">
        <f t="shared" si="5"/>
        <v>16.239316239316242</v>
      </c>
      <c r="H77" s="22">
        <f>$E$50*$C37</f>
        <v>59.02905346553846</v>
      </c>
      <c r="AA77" s="21">
        <f>G77</f>
        <v>16.239316239316242</v>
      </c>
    </row>
    <row r="78" spans="2:8" x14ac:dyDescent="0.3">
      <c r="B78" s="7">
        <v>2000</v>
      </c>
      <c r="C78" s="21">
        <f>(2*PI()*B78*$E$15)/(60*$E$62)</f>
        <v>3.1229454306377389</v>
      </c>
      <c r="D78" s="21">
        <f t="shared" si="2"/>
        <v>4.9864645368113152</v>
      </c>
      <c r="E78" s="21">
        <f t="shared" si="3"/>
        <v>7.9619798453536266</v>
      </c>
      <c r="F78" s="21">
        <f t="shared" si="4"/>
        <v>12.713039988519649</v>
      </c>
      <c r="G78" s="21">
        <f t="shared" si="5"/>
        <v>20.299145299145305</v>
      </c>
      <c r="H78" s="22">
        <f>$E$50*$C38</f>
        <v>76.318910857010479</v>
      </c>
      <c r="AA78" s="21">
        <f>G78</f>
        <v>20.299145299145305</v>
      </c>
    </row>
    <row r="79" spans="2:8" x14ac:dyDescent="0.3">
      <c r="B79" s="7">
        <v>2400</v>
      </c>
      <c r="C79" s="21">
        <f>(2*PI()*B79*$E$15)/(60*$E$62)</f>
        <v>3.7475345167652865</v>
      </c>
      <c r="D79" s="21">
        <f t="shared" si="2"/>
        <v>5.9837574441735786</v>
      </c>
      <c r="E79" s="21">
        <f t="shared" si="3"/>
        <v>9.5543758144243522</v>
      </c>
      <c r="F79" s="21">
        <f t="shared" si="4"/>
        <v>15.255647986223577</v>
      </c>
      <c r="G79" s="21">
        <f t="shared" si="5"/>
        <v>24.358974358974365</v>
      </c>
      <c r="H79" s="22">
        <f>$E$50*$C40</f>
        <v>91.306410043857582</v>
      </c>
      <c r="AA79" s="21">
        <f>G79</f>
        <v>24.358974358974365</v>
      </c>
    </row>
    <row r="80" spans="2:8" x14ac:dyDescent="0.3">
      <c r="B80" s="7">
        <v>2600</v>
      </c>
      <c r="C80" s="21">
        <f>(2*PI()*B80*$E$15)/(60*$E$62)</f>
        <v>4.0598290598290596</v>
      </c>
      <c r="D80" s="21">
        <f t="shared" si="2"/>
        <v>6.4824038978547094</v>
      </c>
      <c r="E80" s="21">
        <f t="shared" si="3"/>
        <v>10.350573798959713</v>
      </c>
      <c r="F80" s="21">
        <f t="shared" si="4"/>
        <v>16.526951985075542</v>
      </c>
      <c r="G80" s="21">
        <f>(2*PI()*$B80*$E$15)/(60*$E$66)</f>
        <v>26.388888888888893</v>
      </c>
      <c r="H80" s="22">
        <f>$E$50*$C41</f>
        <v>97.418744714506175</v>
      </c>
      <c r="AA80" s="62">
        <f>G81</f>
        <v>25.069444444444446</v>
      </c>
    </row>
    <row r="81" spans="2:8" x14ac:dyDescent="0.3">
      <c r="G81" s="62">
        <f>0.95*G80</f>
        <v>25.069444444444446</v>
      </c>
    </row>
    <row r="82" spans="2:8" x14ac:dyDescent="0.3">
      <c r="F82" s="14"/>
      <c r="H82"/>
    </row>
    <row r="83" spans="2:8" ht="37.5" customHeight="1" x14ac:dyDescent="0.3">
      <c r="B83" s="28" t="s">
        <v>138</v>
      </c>
      <c r="C83" s="29"/>
      <c r="D83" s="29"/>
      <c r="E83" s="30"/>
      <c r="F83" s="14"/>
      <c r="H83"/>
    </row>
    <row r="84" spans="2:8" ht="19.5" customHeight="1" x14ac:dyDescent="0.3">
      <c r="B84" s="19" t="s">
        <v>139</v>
      </c>
      <c r="C84" s="19" t="s">
        <v>140</v>
      </c>
      <c r="D84" s="19" t="s">
        <v>141</v>
      </c>
      <c r="E84" s="19" t="s">
        <v>142</v>
      </c>
      <c r="F84" s="14"/>
      <c r="H84"/>
    </row>
    <row r="85" spans="2:8" ht="19.5" customHeight="1" x14ac:dyDescent="0.3">
      <c r="B85" s="11">
        <v>0</v>
      </c>
      <c r="C85" s="11">
        <f>($E$51*$B85*'THÔNG SỐ CHO TRƯỚC'!$E$23)/1000</f>
        <v>0</v>
      </c>
      <c r="D85" s="11">
        <f>('THÔNG SỐ CHO TRƯỚC'!$E$25*'THÔNG SỐ CHO TRƯỚC'!$E$26*'TÍNH TOÁN '!B85^(3))/1000</f>
        <v>0</v>
      </c>
      <c r="E85" s="11">
        <f>C85+D85</f>
        <v>0</v>
      </c>
      <c r="F85" s="14"/>
      <c r="H85"/>
    </row>
    <row r="86" spans="2:8" ht="19.5" customHeight="1" x14ac:dyDescent="0.3">
      <c r="B86" s="11">
        <v>5</v>
      </c>
      <c r="C86" s="11">
        <f>($E$51*$B86*'THÔNG SỐ CHO TRƯỚC'!$E$23)/1000</f>
        <v>5.6505599999999996</v>
      </c>
      <c r="D86" s="11">
        <f>('THÔNG SỐ CHO TRƯỚC'!$E$25*'THÔNG SỐ CHO TRƯỚC'!$E$26*'TÍNH TOÁN '!B86^(3))/1000</f>
        <v>0.36562500000000003</v>
      </c>
      <c r="E86" s="11">
        <f t="shared" ref="E86:E92" si="6">C86+D86</f>
        <v>6.0161849999999992</v>
      </c>
      <c r="F86" s="14"/>
      <c r="H86"/>
    </row>
    <row r="87" spans="2:8" ht="19.5" customHeight="1" x14ac:dyDescent="0.3">
      <c r="B87" s="11">
        <v>10</v>
      </c>
      <c r="C87" s="11">
        <f>($E$51*$B87*'THÔNG SỐ CHO TRƯỚC'!$E$23)/1000</f>
        <v>11.301119999999999</v>
      </c>
      <c r="D87" s="11">
        <f>('THÔNG SỐ CHO TRƯỚC'!$E$25*'THÔNG SỐ CHO TRƯỚC'!$E$26*'TÍNH TOÁN '!B87^(3))/1000</f>
        <v>2.9250000000000003</v>
      </c>
      <c r="E87" s="11">
        <f t="shared" si="6"/>
        <v>14.22612</v>
      </c>
      <c r="F87" s="14"/>
      <c r="H87"/>
    </row>
    <row r="88" spans="2:8" ht="19.5" customHeight="1" x14ac:dyDescent="0.3">
      <c r="B88" s="11">
        <v>15</v>
      </c>
      <c r="C88" s="11">
        <f>($E$51*$B88*'THÔNG SỐ CHO TRƯỚC'!$E$23)/1000</f>
        <v>16.95168</v>
      </c>
      <c r="D88" s="11">
        <f>('THÔNG SỐ CHO TRƯỚC'!$E$25*'THÔNG SỐ CHO TRƯỚC'!$E$26*'TÍNH TOÁN '!B88^(3))/1000</f>
        <v>9.8718749999999993</v>
      </c>
      <c r="E88" s="11">
        <f t="shared" si="6"/>
        <v>26.823554999999999</v>
      </c>
      <c r="F88" s="14"/>
      <c r="H88"/>
    </row>
    <row r="89" spans="2:8" ht="19.5" customHeight="1" x14ac:dyDescent="0.3">
      <c r="B89" s="11">
        <v>20</v>
      </c>
      <c r="C89" s="11">
        <f>($E$51*$B89*'THÔNG SỐ CHO TRƯỚC'!$E$23)/1000</f>
        <v>22.602239999999998</v>
      </c>
      <c r="D89" s="11">
        <f>('THÔNG SỐ CHO TRƯỚC'!$E$25*'THÔNG SỐ CHO TRƯỚC'!$E$26*'TÍNH TOÁN '!B89^(3))/1000</f>
        <v>23.400000000000002</v>
      </c>
      <c r="E89" s="11">
        <f t="shared" si="6"/>
        <v>46.00224</v>
      </c>
    </row>
    <row r="90" spans="2:8" ht="19.5" customHeight="1" x14ac:dyDescent="0.3">
      <c r="B90" s="11">
        <v>22.2</v>
      </c>
      <c r="C90" s="11">
        <f>($E$51*$B90*'THÔNG SỐ CHO TRƯỚC'!$E$23)/(1000)</f>
        <v>25.088486399999997</v>
      </c>
      <c r="D90" s="11">
        <f>('THÔNG SỐ CHO TRƯỚC'!$E$25*'THÔNG SỐ CHO TRƯỚC'!$E$26*'TÍNH TOÁN '!B90^(3))/1000</f>
        <v>32.002565400000002</v>
      </c>
      <c r="E90" s="11">
        <f t="shared" si="6"/>
        <v>57.091051800000002</v>
      </c>
    </row>
    <row r="91" spans="2:8" ht="19.5" customHeight="1" x14ac:dyDescent="0.3">
      <c r="B91" s="11">
        <v>25</v>
      </c>
      <c r="C91" s="11">
        <f>($E$51*$B91*'THÔNG SỐ CHO TRƯỚC'!$E$23)/(1000)*(1+($B91^(2))/(1500))</f>
        <v>40.024800000000006</v>
      </c>
      <c r="D91" s="11">
        <f>('THÔNG SỐ CHO TRƯỚC'!$E$25*'THÔNG SỐ CHO TRƯỚC'!$E$26*'TÍNH TOÁN '!B91^(3))/1000</f>
        <v>45.703125000000007</v>
      </c>
      <c r="E91" s="11">
        <f t="shared" si="6"/>
        <v>85.727925000000013</v>
      </c>
    </row>
    <row r="92" spans="2:8" ht="19.5" customHeight="1" x14ac:dyDescent="0.3">
      <c r="B92" s="11">
        <v>26.39</v>
      </c>
      <c r="C92" s="11">
        <f>($E$51*$B92*'THÔNG SỐ CHO TRƯỚC'!$E$23)/(1000)*(1+($B92^(2))/(1500))</f>
        <v>43.670423116599551</v>
      </c>
      <c r="D92" s="11">
        <f>('THÔNG SỐ CHO TRƯỚC'!$E$25*'THÔNG SỐ CHO TRƯỚC'!$E$26*'TÍNH TOÁN '!B92^(3))/1000</f>
        <v>53.758116123075006</v>
      </c>
      <c r="E92" s="11">
        <f t="shared" si="6"/>
        <v>97.428539239674564</v>
      </c>
    </row>
    <row r="93" spans="2:8" x14ac:dyDescent="0.3">
      <c r="B93" s="16"/>
      <c r="C93" s="16"/>
      <c r="D93" s="16"/>
      <c r="E93" s="16"/>
    </row>
    <row r="95" spans="2:8" x14ac:dyDescent="0.3">
      <c r="B95" s="16"/>
      <c r="C95" s="16"/>
      <c r="D95" s="16"/>
      <c r="E95" s="16"/>
      <c r="F95" s="16"/>
      <c r="G95" s="16"/>
    </row>
    <row r="96" spans="2:8" ht="32.549999999999997" customHeight="1" x14ac:dyDescent="0.3">
      <c r="B96" s="31" t="s">
        <v>160</v>
      </c>
      <c r="C96" s="31"/>
      <c r="D96" s="31"/>
      <c r="E96" s="31"/>
      <c r="F96" s="31"/>
      <c r="G96" s="31"/>
    </row>
    <row r="97" spans="2:7" ht="32.549999999999997" customHeight="1" x14ac:dyDescent="0.3">
      <c r="B97" s="28" t="s">
        <v>95</v>
      </c>
      <c r="C97" s="29"/>
      <c r="D97" s="30"/>
      <c r="E97" s="25" t="s">
        <v>154</v>
      </c>
      <c r="F97" s="26"/>
      <c r="G97" s="27"/>
    </row>
    <row r="98" spans="2:7" ht="32.549999999999997" customHeight="1" x14ac:dyDescent="0.3">
      <c r="B98" s="28" t="s">
        <v>97</v>
      </c>
      <c r="C98" s="29"/>
      <c r="D98" s="30"/>
      <c r="E98" s="25" t="s">
        <v>194</v>
      </c>
      <c r="F98" s="26"/>
      <c r="G98" s="27"/>
    </row>
    <row r="99" spans="2:7" ht="18" x14ac:dyDescent="0.3">
      <c r="B99" s="13" t="s">
        <v>99</v>
      </c>
      <c r="C99" s="11" t="s">
        <v>149</v>
      </c>
      <c r="D99" s="11" t="s">
        <v>150</v>
      </c>
      <c r="E99" s="11" t="s">
        <v>151</v>
      </c>
      <c r="F99" s="11" t="s">
        <v>152</v>
      </c>
      <c r="G99" s="11" t="s">
        <v>153</v>
      </c>
    </row>
    <row r="100" spans="2:7" ht="15.6" x14ac:dyDescent="0.3">
      <c r="B100" s="3">
        <v>800</v>
      </c>
      <c r="C100" s="11">
        <f>($E35*$E$62*$E$50)/$E$15</f>
        <v>19354.818457376608</v>
      </c>
      <c r="D100" s="11">
        <f>($E35*$E$63*$E$50)/$E$15</f>
        <v>12121.62272810212</v>
      </c>
      <c r="E100" s="11">
        <f>($E35*$E$64*$E$50)/$E$15</f>
        <v>7591.5843843237781</v>
      </c>
      <c r="F100" s="11">
        <f>($E35*$E$65*$E$50)/$E$15</f>
        <v>4754.491602077117</v>
      </c>
      <c r="G100" s="11">
        <f>($E35*$E$66*$E$50)/$E$15</f>
        <v>2977.6643780579388</v>
      </c>
    </row>
    <row r="101" spans="2:7" ht="15.6" x14ac:dyDescent="0.3">
      <c r="B101" s="3">
        <v>1200</v>
      </c>
      <c r="C101" s="11">
        <f>($E36*$E$62*$E$50)/$E$15</f>
        <v>21935.642987110055</v>
      </c>
      <c r="D101" s="11">
        <f>($E36*$E$63*$E$50)/$E$15</f>
        <v>13737.953118684385</v>
      </c>
      <c r="E101" s="11">
        <f>($E36*$E$64*$E$50)/$E$15</f>
        <v>8603.867048806067</v>
      </c>
      <c r="F101" s="11">
        <f>($E36*$E$65*$E$50)/$E$15</f>
        <v>5388.4685406918888</v>
      </c>
      <c r="G101" s="11">
        <f>($E36*$E$66*$E$50)/$E$15</f>
        <v>3374.7143057092385</v>
      </c>
    </row>
    <row r="102" spans="2:7" ht="15.6" x14ac:dyDescent="0.3">
      <c r="B102" s="3">
        <v>1600</v>
      </c>
      <c r="C102" s="11">
        <f>($E37*$E$62*$E$50)/$E$15</f>
        <v>23631.613392363452</v>
      </c>
      <c r="D102" s="11">
        <f>($E37*$E$63*$E$50)/$E$15</f>
        <v>14800.113089638442</v>
      </c>
      <c r="E102" s="11">
        <f>($E37*$E$64*$E$50)/$E$15</f>
        <v>9269.0813711801402</v>
      </c>
      <c r="F102" s="11">
        <f>($E37*$E$65*$E$50)/$E$15</f>
        <v>5805.0819574958796</v>
      </c>
      <c r="G102" s="11">
        <f>($E37*$E$66*$E$50)/$E$15</f>
        <v>3635.6328295943772</v>
      </c>
    </row>
    <row r="103" spans="2:7" x14ac:dyDescent="0.3">
      <c r="B103" s="7">
        <v>2000</v>
      </c>
      <c r="C103" s="11">
        <f>($E38*$E$62*$E$50)/$E$15</f>
        <v>24442.729673136819</v>
      </c>
      <c r="D103" s="11">
        <f>($E38*$E$63*$E$50)/$E$15</f>
        <v>15308.102640964298</v>
      </c>
      <c r="E103" s="11">
        <f>($E38*$E$64*$E$50)/$E$15</f>
        <v>9587.227351446003</v>
      </c>
      <c r="F103" s="11">
        <f>($E38*$E$65*$E$50)/$E$15</f>
        <v>6004.3318524890919</v>
      </c>
      <c r="G103" s="11">
        <f>($E38*$E$66*$E$50)/$E$15</f>
        <v>3760.4199497133563</v>
      </c>
    </row>
    <row r="104" spans="2:7" x14ac:dyDescent="0.3">
      <c r="B104" s="7">
        <v>2400</v>
      </c>
      <c r="C104" s="11">
        <f>($E40*$E$62*$E$50)/$E$15</f>
        <v>24368.991829430153</v>
      </c>
      <c r="D104" s="11">
        <f>($E40*$E$63*$E$50)/$E$15</f>
        <v>15261.921772661948</v>
      </c>
      <c r="E104" s="11">
        <f>($E40*$E$64*$E$50)/$E$15</f>
        <v>9558.3049896036537</v>
      </c>
      <c r="F104" s="11">
        <f>($E40*$E$65*$E$50)/$E$15</f>
        <v>5986.2182256715296</v>
      </c>
      <c r="G104" s="11">
        <f>($E40*$E$66*$E$50)/$E$15</f>
        <v>3749.0756660661773</v>
      </c>
    </row>
    <row r="105" spans="2:7" x14ac:dyDescent="0.3">
      <c r="B105" s="7">
        <v>2600</v>
      </c>
      <c r="C105" s="11">
        <f>($E41*$E$62*$E$50)/$E$15</f>
        <v>24000.302610896797</v>
      </c>
      <c r="D105" s="11">
        <f>($E41*$E$63*$E$50)/$E$15</f>
        <v>15031.017431150192</v>
      </c>
      <c r="E105" s="11">
        <f>($E41*$E$64*$E$50)/$E$15</f>
        <v>9413.693180391896</v>
      </c>
      <c r="F105" s="11">
        <f>($E41*$E$65*$E$50)/$E$15</f>
        <v>5895.6500915837041</v>
      </c>
      <c r="G105" s="11">
        <f>($E41*$E$66*$E$50)/$E$15</f>
        <v>3692.3542478302761</v>
      </c>
    </row>
    <row r="106" spans="2:7" x14ac:dyDescent="0.3">
      <c r="G106" s="61">
        <f>($E42*$E$66*$E$50)/$E$15</f>
        <v>3733.0944064782116</v>
      </c>
    </row>
    <row r="110" spans="2:7" x14ac:dyDescent="0.3">
      <c r="B110" s="23" t="s">
        <v>155</v>
      </c>
      <c r="C110" s="23"/>
      <c r="D110" s="23"/>
      <c r="E110" s="23"/>
      <c r="F110" s="23"/>
    </row>
    <row r="111" spans="2:7" x14ac:dyDescent="0.3">
      <c r="B111" s="24" t="s">
        <v>159</v>
      </c>
      <c r="C111" s="24"/>
      <c r="D111" s="24"/>
      <c r="E111" s="24"/>
      <c r="F111" s="24"/>
    </row>
    <row r="112" spans="2:7" ht="15.6" x14ac:dyDescent="0.3">
      <c r="B112" s="19" t="s">
        <v>139</v>
      </c>
      <c r="C112" s="19" t="s">
        <v>174</v>
      </c>
      <c r="D112" s="19" t="s">
        <v>158</v>
      </c>
      <c r="E112" s="19" t="s">
        <v>156</v>
      </c>
      <c r="F112" s="19" t="s">
        <v>157</v>
      </c>
    </row>
    <row r="113" spans="2:7" x14ac:dyDescent="0.3">
      <c r="B113" s="11">
        <v>0</v>
      </c>
      <c r="C113" s="11">
        <f>$E$51*'THÔNG SỐ CHO TRƯỚC'!$E$23</f>
        <v>1130.1120000000001</v>
      </c>
      <c r="D113" s="11">
        <f>$B113^(2)*'THÔNG SỐ CHO TRƯỚC'!$E$25*'THÔNG SỐ CHO TRƯỚC'!$E$26</f>
        <v>0</v>
      </c>
      <c r="E113" s="11">
        <f>C113+D113</f>
        <v>1130.1120000000001</v>
      </c>
      <c r="F113" s="11">
        <f>1*0.7*'TÍNH TOÁN '!$E$51*'TÍNH TOÁN '!$E$52</f>
        <v>39553.919999999998</v>
      </c>
    </row>
    <row r="114" spans="2:7" x14ac:dyDescent="0.3">
      <c r="B114" s="11">
        <v>5</v>
      </c>
      <c r="C114" s="11">
        <f>$E$51*'THÔNG SỐ CHO TRƯỚC'!$E$23</f>
        <v>1130.1120000000001</v>
      </c>
      <c r="D114" s="11">
        <f>$B114^(2)*'THÔNG SỐ CHO TRƯỚC'!$E$25*'THÔNG SỐ CHO TRƯỚC'!$E$26</f>
        <v>73.125</v>
      </c>
      <c r="E114" s="11">
        <f t="shared" ref="E114:E120" si="7">C114+D114</f>
        <v>1203.2370000000001</v>
      </c>
      <c r="F114" s="11">
        <f>1*0.7*'TÍNH TOÁN '!$E$51*'TÍNH TOÁN '!$E$52</f>
        <v>39553.919999999998</v>
      </c>
    </row>
    <row r="115" spans="2:7" x14ac:dyDescent="0.3">
      <c r="B115" s="11">
        <v>10</v>
      </c>
      <c r="C115" s="11">
        <f>$E$51*'THÔNG SỐ CHO TRƯỚC'!$E$23</f>
        <v>1130.1120000000001</v>
      </c>
      <c r="D115" s="21">
        <f>$B115^(2)*'THÔNG SỐ CHO TRƯỚC'!$E$25*'THÔNG SỐ CHO TRƯỚC'!$E$26</f>
        <v>292.5</v>
      </c>
      <c r="E115" s="11">
        <f t="shared" si="7"/>
        <v>1422.6120000000001</v>
      </c>
      <c r="F115" s="11">
        <f>1*0.7*'TÍNH TOÁN '!$E$51*'TÍNH TOÁN '!$E$52</f>
        <v>39553.919999999998</v>
      </c>
    </row>
    <row r="116" spans="2:7" x14ac:dyDescent="0.3">
      <c r="B116" s="11">
        <v>15</v>
      </c>
      <c r="C116" s="11">
        <f>$E$51*'THÔNG SỐ CHO TRƯỚC'!$E$23</f>
        <v>1130.1120000000001</v>
      </c>
      <c r="D116" s="11">
        <f>$B116^(2)*'THÔNG SỐ CHO TRƯỚC'!$E$25*'THÔNG SỐ CHO TRƯỚC'!$E$26</f>
        <v>658.125</v>
      </c>
      <c r="E116" s="11">
        <f t="shared" si="7"/>
        <v>1788.2370000000001</v>
      </c>
      <c r="F116" s="11">
        <f>1*0.7*'TÍNH TOÁN '!$E$51*'TÍNH TOÁN '!$E$52</f>
        <v>39553.919999999998</v>
      </c>
    </row>
    <row r="117" spans="2:7" x14ac:dyDescent="0.3">
      <c r="B117" s="11">
        <v>20</v>
      </c>
      <c r="C117" s="11">
        <f>$E$51*'THÔNG SỐ CHO TRƯỚC'!$E$23</f>
        <v>1130.1120000000001</v>
      </c>
      <c r="D117" s="11">
        <f>$B117^(2)*'THÔNG SỐ CHO TRƯỚC'!$E$25*'THÔNG SỐ CHO TRƯỚC'!$E$26</f>
        <v>1170</v>
      </c>
      <c r="E117" s="11">
        <f t="shared" si="7"/>
        <v>2300.1120000000001</v>
      </c>
      <c r="F117" s="11">
        <f>1*0.7*'TÍNH TOÁN '!$E$51*'TÍNH TOÁN '!$E$52</f>
        <v>39553.919999999998</v>
      </c>
    </row>
    <row r="118" spans="2:7" x14ac:dyDescent="0.3">
      <c r="B118" s="11">
        <v>22.2</v>
      </c>
      <c r="C118" s="11">
        <f>$E$51*'THÔNG SỐ CHO TRƯỚC'!$E$23</f>
        <v>1130.1120000000001</v>
      </c>
      <c r="D118" s="11">
        <f>$B118^(2)*'THÔNG SỐ CHO TRƯỚC'!$E$25*'THÔNG SỐ CHO TRƯỚC'!$E$26</f>
        <v>1441.557</v>
      </c>
      <c r="E118" s="11">
        <f t="shared" si="7"/>
        <v>2571.6689999999999</v>
      </c>
      <c r="F118" s="11">
        <f>1*0.7*'TÍNH TOÁN '!$E$51*'TÍNH TOÁN '!$E$52</f>
        <v>39553.919999999998</v>
      </c>
    </row>
    <row r="119" spans="2:7" x14ac:dyDescent="0.3">
      <c r="B119" s="11">
        <v>25</v>
      </c>
      <c r="C119" s="11">
        <f>$E$51*'THÔNG SỐ CHO TRƯỚC'!$E$23*(1+($B119^(2))/(1500))</f>
        <v>1600.9920000000002</v>
      </c>
      <c r="D119" s="11">
        <f>$B119^(2)*'THÔNG SỐ CHO TRƯỚC'!$E$25*'THÔNG SỐ CHO TRƯỚC'!$E$26</f>
        <v>1828.125</v>
      </c>
      <c r="E119" s="11">
        <f t="shared" si="7"/>
        <v>3429.1170000000002</v>
      </c>
      <c r="F119" s="11">
        <f>1*0.7*'TÍNH TOÁN '!$E$51*'TÍNH TOÁN '!$E$52</f>
        <v>39553.919999999998</v>
      </c>
    </row>
    <row r="120" spans="2:7" x14ac:dyDescent="0.3">
      <c r="B120" s="11">
        <v>26.39</v>
      </c>
      <c r="C120" s="21">
        <f>$E$51*'THÔNG SỐ CHO TRƯỚC'!$E$23*(1+($B120^(2))/(1500))</f>
        <v>1654.8095155968001</v>
      </c>
      <c r="D120" s="11">
        <f>$B120^(2)*'THÔNG SỐ CHO TRƯỚC'!$E$25*'THÔNG SỐ CHO TRƯỚC'!$E$26</f>
        <v>2037.0638924999998</v>
      </c>
      <c r="E120" s="21">
        <f t="shared" si="7"/>
        <v>3691.8734080967997</v>
      </c>
      <c r="F120" s="11">
        <f>1*0.7*'TÍNH TOÁN '!$E$51*'TÍNH TOÁN '!$E$52</f>
        <v>39553.919999999998</v>
      </c>
    </row>
    <row r="123" spans="2:7" ht="21" x14ac:dyDescent="0.3">
      <c r="B123" s="50" t="s">
        <v>162</v>
      </c>
      <c r="C123" s="51"/>
      <c r="D123" s="51"/>
      <c r="E123" s="51"/>
      <c r="F123" s="51"/>
      <c r="G123" s="51"/>
    </row>
    <row r="124" spans="2:7" x14ac:dyDescent="0.3">
      <c r="B124" s="52" t="e" vm="1">
        <v>#VALUE!</v>
      </c>
      <c r="C124" s="52"/>
      <c r="D124" s="52"/>
      <c r="E124" s="52"/>
      <c r="F124" s="52"/>
      <c r="G124" s="52"/>
    </row>
    <row r="125" spans="2:7" x14ac:dyDescent="0.3">
      <c r="B125" s="52"/>
      <c r="C125" s="52"/>
      <c r="D125" s="52"/>
      <c r="E125" s="52"/>
      <c r="F125" s="52"/>
      <c r="G125" s="52"/>
    </row>
    <row r="126" spans="2:7" x14ac:dyDescent="0.3">
      <c r="B126" s="53"/>
      <c r="C126" s="53"/>
      <c r="D126" s="53"/>
      <c r="E126" s="53"/>
      <c r="F126" s="53"/>
      <c r="G126" s="53"/>
    </row>
    <row r="127" spans="2:7" ht="18" x14ac:dyDescent="0.3">
      <c r="B127" s="13" t="s">
        <v>99</v>
      </c>
      <c r="C127" s="19" t="s">
        <v>163</v>
      </c>
      <c r="D127" s="19" t="s">
        <v>164</v>
      </c>
      <c r="E127" s="19" t="s">
        <v>165</v>
      </c>
      <c r="F127" s="19" t="s">
        <v>166</v>
      </c>
      <c r="G127" s="19" t="s">
        <v>167</v>
      </c>
    </row>
    <row r="128" spans="2:7" ht="15.6" x14ac:dyDescent="0.3">
      <c r="B128" s="3">
        <v>800</v>
      </c>
      <c r="C128" s="11">
        <f>$C75^(2)*'THÔNG SỐ CHO TRƯỚC'!$E$25*'THÔNG SỐ CHO TRƯỚC'!$E$26</f>
        <v>4.5643048601628484</v>
      </c>
      <c r="D128" s="11">
        <f>$D75^(2)*'THÔNG SỐ CHO TRƯỚC'!$E$25*'THÔNG SỐ CHO TRƯỚC'!$E$26</f>
        <v>11.636739773978382</v>
      </c>
      <c r="E128" s="11">
        <f>$E75^(2)*'THÔNG SỐ CHO TRƯỚC'!$E$25*'THÔNG SỐ CHO TRƯỚC'!$E$26</f>
        <v>29.667981591058528</v>
      </c>
      <c r="F128" s="11">
        <f>$F75^(2)*'THÔNG SỐ CHO TRƯỚC'!$E$25*'THÔNG SỐ CHO TRƯỚC'!$E$26</f>
        <v>75.638808530859421</v>
      </c>
      <c r="G128" s="11">
        <f>$G75^(2)*'THÔNG SỐ CHO TRƯỚC'!$E$25*'THÔNG SỐ CHO TRƯỚC'!$E$26</f>
        <v>192.84188034188043</v>
      </c>
    </row>
    <row r="129" spans="2:23" ht="15.6" x14ac:dyDescent="0.3">
      <c r="B129" s="3">
        <v>1200</v>
      </c>
      <c r="C129" s="11">
        <f>$C76^(2)*'THÔNG SỐ CHO TRƯỚC'!$E$25*'THÔNG SỐ CHO TRƯỚC'!$E$26</f>
        <v>10.269685935366411</v>
      </c>
      <c r="D129" s="11">
        <f>$D76^(2)*'THÔNG SỐ CHO TRƯỚC'!$E$25*'THÔNG SỐ CHO TRƯỚC'!$E$26</f>
        <v>26.182664491451359</v>
      </c>
      <c r="E129" s="11">
        <f>$E76^(2)*'THÔNG SỐ CHO TRƯỚC'!$E$25*'THÔNG SỐ CHO TRƯỚC'!$E$26</f>
        <v>66.752958579881692</v>
      </c>
      <c r="F129" s="11">
        <f>$F76^(2)*'THÔNG SỐ CHO TRƯỚC'!$E$25*'THÔNG SỐ CHO TRƯỚC'!$E$26</f>
        <v>170.18731919443374</v>
      </c>
      <c r="G129" s="11">
        <f>$G76^(2)*'THÔNG SỐ CHO TRƯỚC'!$E$25*'THÔNG SỐ CHO TRƯỚC'!$E$26</f>
        <v>433.89423076923094</v>
      </c>
    </row>
    <row r="130" spans="2:23" ht="15.6" x14ac:dyDescent="0.3">
      <c r="B130" s="3">
        <v>1600</v>
      </c>
      <c r="C130" s="11">
        <f>$C77^(2)*'THÔNG SỐ CHO TRƯỚC'!$E$25*'THÔNG SỐ CHO TRƯỚC'!$E$26</f>
        <v>18.257219440651394</v>
      </c>
      <c r="D130" s="11">
        <f>$D77^(2)*'THÔNG SỐ CHO TRƯỚC'!$E$25*'THÔNG SỐ CHO TRƯỚC'!$E$26</f>
        <v>46.546959095913529</v>
      </c>
      <c r="E130" s="11">
        <f>$E77^(2)*'THÔNG SỐ CHO TRƯỚC'!$E$25*'THÔNG SỐ CHO TRƯỚC'!$E$26</f>
        <v>118.67192636423411</v>
      </c>
      <c r="F130" s="11">
        <f>$F77^(2)*'THÔNG SỐ CHO TRƯỚC'!$E$25*'THÔNG SỐ CHO TRƯỚC'!$E$26</f>
        <v>302.55523412343769</v>
      </c>
      <c r="G130" s="11">
        <f>$G77^(2)*'THÔNG SỐ CHO TRƯỚC'!$E$25*'THÔNG SỐ CHO TRƯỚC'!$E$26</f>
        <v>771.3675213675217</v>
      </c>
    </row>
    <row r="131" spans="2:23" x14ac:dyDescent="0.3">
      <c r="B131" s="7">
        <v>2000</v>
      </c>
      <c r="C131" s="11">
        <f>$C78^(2)*'THÔNG SỐ CHO TRƯỚC'!$E$25*'THÔNG SỐ CHO TRƯỚC'!$E$26</f>
        <v>28.526905376017815</v>
      </c>
      <c r="D131" s="11">
        <f>$D78^(2)*'THÔNG SỐ CHO TRƯỚC'!$E$25*'THÔNG SỐ CHO TRƯỚC'!$E$26</f>
        <v>72.729623587364898</v>
      </c>
      <c r="E131" s="11">
        <f>$E78^(2)*'THÔNG SỐ CHO TRƯỚC'!$E$25*'THÔNG SỐ CHO TRƯỚC'!$E$26</f>
        <v>185.42488494411577</v>
      </c>
      <c r="F131" s="11">
        <f>$F78^(2)*'THÔNG SỐ CHO TRƯỚC'!$E$25*'THÔNG SỐ CHO TRƯỚC'!$E$26</f>
        <v>472.74255331787151</v>
      </c>
      <c r="G131" s="11">
        <f>$G78^(2)*'THÔNG SỐ CHO TRƯỚC'!$E$25*'THÔNG SỐ CHO TRƯỚC'!$E$26</f>
        <v>1205.2617521367529</v>
      </c>
    </row>
    <row r="132" spans="2:23" x14ac:dyDescent="0.3">
      <c r="B132" s="7">
        <v>2400</v>
      </c>
      <c r="C132" s="11">
        <f>$C79^(2)*'THÔNG SỐ CHO TRƯỚC'!$E$25*'THÔNG SỐ CHO TRƯỚC'!$E$26</f>
        <v>41.078743741465644</v>
      </c>
      <c r="D132" s="11">
        <f>$D79^(2)*'THÔNG SỐ CHO TRƯỚC'!$E$25*'THÔNG SỐ CHO TRƯỚC'!$E$26</f>
        <v>104.73065796580543</v>
      </c>
      <c r="E132" s="11">
        <f>$E79^(2)*'THÔNG SỐ CHO TRƯỚC'!$E$25*'THÔNG SỐ CHO TRƯỚC'!$E$26</f>
        <v>267.01183431952677</v>
      </c>
      <c r="F132" s="11">
        <f>$F79^(2)*'THÔNG SỐ CHO TRƯỚC'!$E$25*'THÔNG SỐ CHO TRƯỚC'!$E$26</f>
        <v>680.74927677773496</v>
      </c>
      <c r="G132" s="11">
        <f>$G79^(2)*'THÔNG SỐ CHO TRƯỚC'!$E$25*'THÔNG SỐ CHO TRƯỚC'!$E$26</f>
        <v>1735.5769230769238</v>
      </c>
    </row>
    <row r="133" spans="2:23" x14ac:dyDescent="0.3">
      <c r="B133" s="7">
        <v>2600</v>
      </c>
      <c r="C133" s="11">
        <f>$C80^(2)*'THÔNG SỐ CHO TRƯỚC'!$E$25*'THÔNG SỐ CHO TRƯỚC'!$E$26</f>
        <v>48.210470085470085</v>
      </c>
      <c r="D133" s="11">
        <f>$D80^(2)*'THÔNG SỐ CHO TRƯỚC'!$E$25*'THÔNG SỐ CHO TRƯỚC'!$E$26</f>
        <v>122.91306386264664</v>
      </c>
      <c r="E133" s="11">
        <f>$E80^(2)*'THÔNG SỐ CHO TRƯỚC'!$E$25*'THÔNG SỐ CHO TRƯỚC'!$E$26</f>
        <v>313.3680555555556</v>
      </c>
      <c r="F133" s="11">
        <f>$F80^(2)*'THÔNG SỐ CHO TRƯỚC'!$E$25*'THÔNG SỐ CHO TRƯỚC'!$E$26</f>
        <v>798.93491510720276</v>
      </c>
      <c r="G133" s="11">
        <f>$G80^(2)*'THÔNG SỐ CHO TRƯỚC'!$E$25*'THÔNG SỐ CHO TRƯỚC'!$E$26</f>
        <v>2036.892361111112</v>
      </c>
    </row>
    <row r="134" spans="2:23" x14ac:dyDescent="0.3">
      <c r="C134" s="16"/>
      <c r="G134" s="61">
        <f>$G81^(2)*'THÔNG SỐ CHO TRƯỚC'!$E$25*'THÔNG SỐ CHO TRƯỚC'!$E$26</f>
        <v>1838.2953559027781</v>
      </c>
    </row>
    <row r="135" spans="2:23" ht="15.6" x14ac:dyDescent="0.3">
      <c r="C135" s="20" t="s">
        <v>168</v>
      </c>
      <c r="D135" s="20" t="s">
        <v>169</v>
      </c>
      <c r="E135" s="20" t="s">
        <v>170</v>
      </c>
      <c r="F135" s="20" t="s">
        <v>171</v>
      </c>
      <c r="G135" s="20" t="s">
        <v>172</v>
      </c>
    </row>
    <row r="136" spans="2:23" x14ac:dyDescent="0.3">
      <c r="C136" s="11">
        <f t="shared" ref="C136:C141" si="8">($C100-$C128)/$E$51</f>
        <v>0.25683632444195503</v>
      </c>
      <c r="D136" s="11">
        <f t="shared" ref="D136:D141" si="9">($D100-$D128)/$E$51</f>
        <v>0.16073609502856542</v>
      </c>
      <c r="E136" s="11">
        <f t="shared" ref="E136:E141" si="10">($E100-$E128)/$E$51</f>
        <v>0.10036947315044066</v>
      </c>
      <c r="F136" s="11">
        <f t="shared" ref="F136:F141" si="11">($F100-$F128)/$E$51</f>
        <v>6.2102510108019267E-2</v>
      </c>
      <c r="G136" s="11">
        <f t="shared" ref="G136:G140" si="12">($G100-$G128)/$E$51</f>
        <v>3.6963006733616556E-2</v>
      </c>
      <c r="W136" t="s">
        <v>173</v>
      </c>
    </row>
    <row r="137" spans="2:23" x14ac:dyDescent="0.3">
      <c r="C137" s="11">
        <f t="shared" si="8"/>
        <v>0.29101593427697459</v>
      </c>
      <c r="D137" s="11">
        <f t="shared" si="9"/>
        <v>0.18199661344441437</v>
      </c>
      <c r="E137" s="11">
        <f t="shared" si="10"/>
        <v>0.11331329226960936</v>
      </c>
      <c r="F137" s="11">
        <f t="shared" si="11"/>
        <v>6.926235481302899E-2</v>
      </c>
      <c r="G137" s="11">
        <f t="shared" si="12"/>
        <v>3.9033565809495088E-2</v>
      </c>
    </row>
    <row r="138" spans="2:23" x14ac:dyDescent="0.3">
      <c r="C138" s="11">
        <f t="shared" si="8"/>
        <v>0.31342056592076001</v>
      </c>
      <c r="D138" s="11">
        <f t="shared" si="9"/>
        <v>0.19582438905005692</v>
      </c>
      <c r="E138" s="11">
        <f t="shared" si="10"/>
        <v>0.12145357422294303</v>
      </c>
      <c r="F138" s="11">
        <f t="shared" si="11"/>
        <v>7.3035151251014604E-2</v>
      </c>
      <c r="G138" s="11">
        <f t="shared" si="12"/>
        <v>3.8017452804149345E-2</v>
      </c>
    </row>
    <row r="139" spans="2:23" x14ac:dyDescent="0.3">
      <c r="C139" s="11">
        <f t="shared" si="8"/>
        <v>0.32405021937331169</v>
      </c>
      <c r="D139" s="11">
        <f t="shared" si="9"/>
        <v>0.20221942184549319</v>
      </c>
      <c r="E139" s="11">
        <f t="shared" si="10"/>
        <v>0.12479031901044171</v>
      </c>
      <c r="F139" s="11">
        <f t="shared" si="11"/>
        <v>7.3420899421976146E-2</v>
      </c>
      <c r="G139" s="11">
        <f t="shared" si="12"/>
        <v>3.3914667717579366E-2</v>
      </c>
    </row>
    <row r="140" spans="2:23" x14ac:dyDescent="0.3">
      <c r="C140" s="11">
        <f t="shared" si="8"/>
        <v>0.3229048946346294</v>
      </c>
      <c r="D140" s="11">
        <f t="shared" si="9"/>
        <v>0.20118171183072309</v>
      </c>
      <c r="E140" s="11">
        <f t="shared" si="10"/>
        <v>0.12332352663210541</v>
      </c>
      <c r="F140" s="11">
        <f t="shared" si="11"/>
        <v>7.0419599325913643E-2</v>
      </c>
      <c r="G140" s="11">
        <f t="shared" si="12"/>
        <v>2.6725210549785154E-2</v>
      </c>
    </row>
    <row r="141" spans="2:23" x14ac:dyDescent="0.3">
      <c r="C141" s="11">
        <f t="shared" si="8"/>
        <v>0.31791661544357541</v>
      </c>
      <c r="D141" s="11">
        <f t="shared" si="9"/>
        <v>0.1978755782695106</v>
      </c>
      <c r="E141" s="11">
        <f t="shared" si="10"/>
        <v>0.1207888040057491</v>
      </c>
      <c r="F141" s="11">
        <f t="shared" si="11"/>
        <v>6.7648806177748322E-2</v>
      </c>
      <c r="G141" s="11">
        <f>($G106-$G134)/$E$51</f>
        <v>2.5149707072070291E-2</v>
      </c>
    </row>
    <row r="143" spans="2:23" ht="24.6" x14ac:dyDescent="0.3">
      <c r="C143" s="49" t="s">
        <v>188</v>
      </c>
      <c r="D143" s="49"/>
      <c r="E143" s="49"/>
      <c r="F143" s="49"/>
      <c r="G143" s="49"/>
    </row>
    <row r="144" spans="2:23" ht="15.6" x14ac:dyDescent="0.3">
      <c r="C144" s="11" t="s">
        <v>175</v>
      </c>
      <c r="D144" s="11" t="s">
        <v>176</v>
      </c>
      <c r="E144" s="11" t="s">
        <v>177</v>
      </c>
      <c r="F144" s="11" t="s">
        <v>178</v>
      </c>
      <c r="G144" s="11" t="s">
        <v>179</v>
      </c>
    </row>
    <row r="145" spans="3:7" x14ac:dyDescent="0.3">
      <c r="C145" s="21">
        <f>1.05+0.05*($E57)^2</f>
        <v>3.1625000000000005</v>
      </c>
      <c r="D145" s="21">
        <f>1.05+0.05*($E58)^2</f>
        <v>1.8785906709588276</v>
      </c>
      <c r="E145" s="21">
        <f>1.05+0.05*($E59)^2</f>
        <v>1.3750000000000002</v>
      </c>
      <c r="F145" s="21">
        <f>1.05+0.05*($E60)^2</f>
        <v>1.1774754878398197</v>
      </c>
      <c r="G145" s="21">
        <f>1.05+0.05*($E61)^2</f>
        <v>1.1000000000000001</v>
      </c>
    </row>
    <row r="147" spans="3:7" ht="23.4" x14ac:dyDescent="0.55000000000000004">
      <c r="C147" s="54" t="inlineStr">
        <is>
          <t>Gia tốc ngược: 1/j = δ/[g(D − f(v))], đơn vị s²/m</t>
        </is>
      </c>
      <c r="D147" s="54"/>
      <c r="E147" s="54"/>
      <c r="F147" s="54"/>
      <c r="G147" s="54"/>
    </row>
    <row r="148" spans="3:7" ht="16.8" x14ac:dyDescent="0.35">
      <c r="C148" s="18" t="s">
        <v>180</v>
      </c>
      <c r="D148" s="18" t="s">
        <v>181</v>
      </c>
      <c r="E148" s="18" t="s">
        <v>182</v>
      </c>
      <c r="F148" s="18" t="s">
        <v>183</v>
      </c>
      <c r="G148" s="18" t="s">
        <v>184</v>
      </c>
    </row>
    <row r="149" spans="3:7" x14ac:dyDescent="0.3">
      <c r="C149" s="11">
        <f>$C$145/(9.81*(C136-C156))</f>
        <v>1.3330302144017852</v>
      </c>
      <c r="D149" s="11">
        <f>$D$145/(9.81*(D136-D156))</f>
        <v>1.3140019975002117</v>
      </c>
      <c r="E149" s="11">
        <f>$E$145/(9.81*(E136-E156))</f>
        <v>1.6418409731977095</v>
      </c>
      <c r="F149" s="11">
        <f>$F$145/(9.81*(F136-F156))</f>
        <v>2.548231125546121</v>
      </c>
      <c r="G149" s="11">
        <f>$G$145/(9.81*(G136-G156))</f>
        <v>5.1054247928326397</v>
      </c>
    </row>
    <row r="150" spans="3:7" x14ac:dyDescent="0.3">
      <c r="C150" s="11">
        <f t="shared" ref="C150:C154" si="13">$C$145/(9.81*(C137-C157))</f>
        <v>1.1679583943784355</v>
      </c>
      <c r="D150" s="11">
        <f t="shared" ref="D150:D154" si="14">$D$145/(9.81*(D137-D157))</f>
        <v>1.146714990356116</v>
      </c>
      <c r="E150" s="11">
        <f t="shared" ref="E150:E154" si="15">$E$145/(9.81*(E137-E157))</f>
        <v>1.4256780099919661</v>
      </c>
      <c r="F150" s="11">
        <f t="shared" ref="F150:F154" si="16">$F$145/(9.81*(F137-F157))</f>
        <v>2.2119954572960294</v>
      </c>
      <c r="G150" s="11">
        <f t="shared" ref="G150:G153" si="17">$G$145/(9.81*(G137-G157))</f>
        <v>4.6655781331730681</v>
      </c>
    </row>
    <row r="151" spans="3:7" x14ac:dyDescent="0.3">
      <c r="C151" s="11">
        <f>$C$145/(9.81*(C138-C158))</f>
        <v>1.0802711482914342</v>
      </c>
      <c r="D151" s="11">
        <f t="shared" si="14"/>
        <v>1.0590248416235717</v>
      </c>
      <c r="E151" s="11">
        <f t="shared" si="15"/>
        <v>1.3166593973177001</v>
      </c>
      <c r="F151" s="11">
        <f t="shared" si="16"/>
        <v>2.0681962528099218</v>
      </c>
      <c r="G151" s="11">
        <f t="shared" si="17"/>
        <v>4.8715416104922982</v>
      </c>
    </row>
    <row r="152" spans="3:7" x14ac:dyDescent="0.3">
      <c r="C152" s="11">
        <f t="shared" si="13"/>
        <v>1.0431156725101423</v>
      </c>
      <c r="D152" s="11">
        <f t="shared" si="14"/>
        <v>1.0228507175577812</v>
      </c>
      <c r="E152" s="11">
        <f t="shared" si="15"/>
        <v>1.2766435159493876</v>
      </c>
      <c r="F152" s="11">
        <f t="shared" si="16"/>
        <v>2.0545401309493463</v>
      </c>
      <c r="G152" s="11">
        <f t="shared" si="17"/>
        <v>5.9282288632933087</v>
      </c>
    </row>
    <row r="153" spans="3:7" x14ac:dyDescent="0.3">
      <c r="C153" s="11">
        <f t="shared" si="13"/>
        <v>1.0469957868111857</v>
      </c>
      <c r="D153" s="11">
        <f t="shared" si="14"/>
        <v>1.0285517202115195</v>
      </c>
      <c r="E153" s="11">
        <f t="shared" si="15"/>
        <v>1.2939303513882556</v>
      </c>
      <c r="F153" s="11">
        <f t="shared" si="16"/>
        <v>2.1658056681850018</v>
      </c>
      <c r="G153" s="11">
        <f t="shared" si="17"/>
        <v>19.360833546486557</v>
      </c>
    </row>
    <row r="154" spans="3:7" x14ac:dyDescent="0.3">
      <c r="C154" s="11">
        <f t="shared" si="13"/>
        <v>1.064237189329907</v>
      </c>
      <c r="D154" s="11">
        <f t="shared" si="14"/>
        <v>1.0471464904581111</v>
      </c>
      <c r="E154" s="11">
        <f t="shared" si="15"/>
        <v>1.3249332024878366</v>
      </c>
      <c r="F154" s="11">
        <f t="shared" si="16"/>
        <v>2.2797873506072883</v>
      </c>
      <c r="G154" s="11">
        <f>$G$145/(9.81*(G141-G161))</f>
        <v>29.012242630580896</v>
      </c>
    </row>
    <row r="155" spans="3:7" x14ac:dyDescent="0.3">
      <c r="C155" s="55" t="s">
        <v>186</v>
      </c>
      <c r="D155" s="55"/>
      <c r="E155" s="55"/>
      <c r="F155" s="55"/>
      <c r="G155" s="55"/>
    </row>
    <row r="156" spans="3:7" x14ac:dyDescent="0.3">
      <c r="C156" s="11">
        <f>IF(C75&lt;=22.2,'THÔNG SỐ CHO TRƯỚC'!$E$23,'THÔNG SỐ CHO TRƯỚC'!$E$23*(1+(C75^(2))/(1500)))</f>
        <v>1.4999999999999999E-2</v>
      </c>
      <c r="D156" s="11">
        <f>IF(D75&lt;=22.2,'THÔNG SỐ CHO TRƯỚC'!$E$23,'THÔNG SỐ CHO TRƯỚC'!$E$23*(1+(D75^(2))/(1500)))</f>
        <v>1.4999999999999999E-2</v>
      </c>
      <c r="E156" s="11">
        <f>IF(E75&lt;=22.2,'THÔNG SỐ CHO TRƯỚC'!$E$23,'THÔNG SỐ CHO TRƯỚC'!$E$23*(1+(E75^(2))/(1500)))</f>
        <v>1.4999999999999999E-2</v>
      </c>
      <c r="F156" s="11">
        <f>IF(F75&lt;=22.2,'THÔNG SỐ CHO TRƯỚC'!$E$23,'THÔNG SỐ CHO TRƯỚC'!$E$23*(1+(F75^(2))/(1500)))</f>
        <v>1.4999999999999999E-2</v>
      </c>
      <c r="G156" s="11">
        <f>IF(G75&lt;=22.2,'THÔNG SỐ CHO TRƯỚC'!$E$23,'THÔNG SỐ CHO TRƯỚC'!$E$23*(1+(G75^(2))/(1500)))</f>
        <v>1.4999999999999999E-2</v>
      </c>
    </row>
    <row r="157" spans="3:7" x14ac:dyDescent="0.3">
      <c r="C157" s="11">
        <f>IF(C76&lt;=22.2,'THÔNG SỐ CHO TRƯỚC'!$E$23,'THÔNG SỐ CHO TRƯỚC'!$E$23*(1+(C76^(2))/(1500)))</f>
        <v>1.4999999999999999E-2</v>
      </c>
      <c r="D157" s="11">
        <f>IF(D76&lt;=22.2,'THÔNG SỐ CHO TRƯỚC'!$E$23,'THÔNG SỐ CHO TRƯỚC'!$E$23*(1+(D76^(2))/(1500)))</f>
        <v>1.4999999999999999E-2</v>
      </c>
      <c r="E157" s="11">
        <f>IF(E76&lt;=22.2,'THÔNG SỐ CHO TRƯỚC'!$E$23,'THÔNG SỐ CHO TRƯỚC'!$E$23*(1+(E76^(2))/(1500)))</f>
        <v>1.4999999999999999E-2</v>
      </c>
      <c r="F157" s="11">
        <f>IF(F76&lt;=22.2,'THÔNG SỐ CHO TRƯỚC'!$E$23,'THÔNG SỐ CHO TRƯỚC'!$E$23*(1+(F76^(2))/(1500)))</f>
        <v>1.4999999999999999E-2</v>
      </c>
      <c r="G157" s="11">
        <f>IF(G76&lt;=22.2,'THÔNG SỐ CHO TRƯỚC'!$E$23,'THÔNG SỐ CHO TRƯỚC'!$E$23*(1+(G76^(2))/(1500)))</f>
        <v>1.4999999999999999E-2</v>
      </c>
    </row>
    <row r="158" spans="3:7" x14ac:dyDescent="0.3">
      <c r="C158" s="11">
        <f>IF(C77&lt;=22.2,'THÔNG SỐ CHO TRƯỚC'!$E$23,'THÔNG SỐ CHO TRƯỚC'!$E$23*(1+(C77^(2))/(1500)))</f>
        <v>1.4999999999999999E-2</v>
      </c>
      <c r="D158" s="11">
        <f>IF(D77&lt;=22.2,'THÔNG SỐ CHO TRƯỚC'!$E$23,'THÔNG SỐ CHO TRƯỚC'!$E$23*(1+(D77^(2))/(1500)))</f>
        <v>1.4999999999999999E-2</v>
      </c>
      <c r="E158" s="11">
        <f>IF(E77&lt;=22.2,'THÔNG SỐ CHO TRƯỚC'!$E$23,'THÔNG SỐ CHO TRƯỚC'!$E$23*(1+(E77^(2))/(1500)))</f>
        <v>1.4999999999999999E-2</v>
      </c>
      <c r="F158" s="11">
        <f>IF(F77&lt;=22.2,'THÔNG SỐ CHO TRƯỚC'!$E$23,'THÔNG SỐ CHO TRƯỚC'!$E$23*(1+(F77^(2))/(1500)))</f>
        <v>1.4999999999999999E-2</v>
      </c>
      <c r="G158" s="11">
        <f>IF(G77&lt;=22.2,'THÔNG SỐ CHO TRƯỚC'!$E$23,'THÔNG SỐ CHO TRƯỚC'!$E$23*(1+(G77^(2))/(1500)))</f>
        <v>1.4999999999999999E-2</v>
      </c>
    </row>
    <row r="159" spans="3:7" x14ac:dyDescent="0.3">
      <c r="C159" s="11">
        <f>IF(C78&lt;=22.2,'THÔNG SỐ CHO TRƯỚC'!$E$23,'THÔNG SỐ CHO TRƯỚC'!$E$23*(1+(C78^(2))/(1500)))</f>
        <v>1.4999999999999999E-2</v>
      </c>
      <c r="D159" s="11">
        <f>IF(D78&lt;=22.2,'THÔNG SỐ CHO TRƯỚC'!$E$23,'THÔNG SỐ CHO TRƯỚC'!$E$23*(1+(D78^(2))/(1500)))</f>
        <v>1.4999999999999999E-2</v>
      </c>
      <c r="E159" s="11">
        <f>IF(E78&lt;=22.2,'THÔNG SỐ CHO TRƯỚC'!$E$23,'THÔNG SỐ CHO TRƯỚC'!$E$23*(1+(E78^(2))/(1500)))</f>
        <v>1.4999999999999999E-2</v>
      </c>
      <c r="F159" s="11">
        <f>IF(F78&lt;=22.2,'THÔNG SỐ CHO TRƯỚC'!$E$23,'THÔNG SỐ CHO TRƯỚC'!$E$23*(1+(F78^(2))/(1500)))</f>
        <v>1.4999999999999999E-2</v>
      </c>
      <c r="G159" s="11">
        <f>IF(G78&lt;=22.2,'THÔNG SỐ CHO TRƯỚC'!$E$23,'THÔNG SỐ CHO TRƯỚC'!$E$23*(1+(G78^(2))/(1500)))</f>
        <v>1.4999999999999999E-2</v>
      </c>
    </row>
    <row r="160" spans="3:7" x14ac:dyDescent="0.3">
      <c r="C160" s="11">
        <f>IF(C79&lt;=22.2,'THÔNG SỐ CHO TRƯỚC'!$E$23,'THÔNG SỐ CHO TRƯỚC'!$E$23*(1+(C79^(2))/(1500)))</f>
        <v>1.4999999999999999E-2</v>
      </c>
      <c r="D160" s="11">
        <f>IF(D79&lt;=22.2,'THÔNG SỐ CHO TRƯỚC'!$E$23,'THÔNG SỐ CHO TRƯỚC'!$E$23*(1+(D79^(2))/(1500)))</f>
        <v>1.4999999999999999E-2</v>
      </c>
      <c r="E160" s="11">
        <f>IF(E79&lt;=22.2,'THÔNG SỐ CHO TRƯỚC'!$E$23,'THÔNG SỐ CHO TRƯỚC'!$E$23*(1+(E79^(2))/(1500)))</f>
        <v>1.4999999999999999E-2</v>
      </c>
      <c r="F160" s="11">
        <f>IF(F79&lt;=22.2,'THÔNG SỐ CHO TRƯỚC'!$E$23,'THÔNG SỐ CHO TRƯỚC'!$E$23*(1+(F79^(2))/(1500)))</f>
        <v>1.4999999999999999E-2</v>
      </c>
      <c r="G160" s="11">
        <f>IF(G79&lt;=22.2,'THÔNG SỐ CHO TRƯỚC'!$E$23,'THÔNG SỐ CHO TRƯỚC'!$E$23*(1+(G79^(2))/(1500)))</f>
        <v>2.0933596318211706E-2</v>
      </c>
    </row>
    <row r="161" spans="3:7" x14ac:dyDescent="0.3">
      <c r="C161" s="11">
        <f>IF(C80&lt;=22.2,'THÔNG SỐ CHO TRƯỚC'!$E$23,'THÔNG SỐ CHO TRƯỚC'!$E$23*(1+(C80^(2))/(1500)))</f>
        <v>1.4999999999999999E-2</v>
      </c>
      <c r="D161" s="11">
        <f>IF(D80&lt;=22.2,'THÔNG SỐ CHO TRƯỚC'!$E$23,'THÔNG SỐ CHO TRƯỚC'!$E$23*(1+(D80^(2))/(1500)))</f>
        <v>1.4999999999999999E-2</v>
      </c>
      <c r="E161" s="11">
        <f>IF(E80&lt;=22.2,'THÔNG SỐ CHO TRƯỚC'!$E$23,'THÔNG SỐ CHO TRƯỚC'!$E$23*(1+(E80^(2))/(1500)))</f>
        <v>1.4999999999999999E-2</v>
      </c>
      <c r="F161" s="11">
        <f>IF(F80&lt;=22.2,'THÔNG SỐ CHO TRƯỚC'!$E$23,'THÔNG SỐ CHO TRƯỚC'!$E$23*(1+(F80^(2))/(1500)))</f>
        <v>1.4999999999999999E-2</v>
      </c>
      <c r="G161" s="61">
        <f>IF(G81&lt;=22.2,'THÔNG SỐ CHO TRƯỚC'!$E$23,'THÔNG SỐ CHO TRƯỚC'!$E$23*(1+(G81^(2))/(1500)))</f>
        <v>2.1284770447530865E-2</v>
      </c>
    </row>
    <row r="163" spans="3:7" ht="21" x14ac:dyDescent="0.3">
      <c r="C163" s="57" t="inlineStr">
        <is>
          <t>Khoảng thời gian từng tay số — tích phân hình thang lưới thưa</t>
        </is>
      </c>
      <c r="D163" s="57"/>
      <c r="E163" s="57"/>
      <c r="F163" s="57"/>
      <c r="G163" s="57"/>
    </row>
    <row r="164" spans="3:7" x14ac:dyDescent="0.3">
      <c r="C164" s="34" t="e" vm="2">
        <v>#VALUE!</v>
      </c>
      <c r="D164" s="34"/>
      <c r="E164" s="34"/>
      <c r="F164" s="34"/>
      <c r="G164" s="34"/>
    </row>
    <row r="165" spans="3:7" x14ac:dyDescent="0.3">
      <c r="C165" s="34"/>
      <c r="D165" s="34"/>
      <c r="E165" s="34"/>
      <c r="F165" s="34"/>
      <c r="G165" s="34"/>
    </row>
    <row r="166" spans="3:7" x14ac:dyDescent="0.3">
      <c r="C166" s="34"/>
      <c r="D166" s="34"/>
      <c r="E166" s="34"/>
      <c r="F166" s="34"/>
      <c r="G166" s="34"/>
    </row>
    <row r="167" spans="3:7" x14ac:dyDescent="0.3">
      <c r="C167" s="34"/>
      <c r="D167" s="34"/>
      <c r="E167" s="34"/>
      <c r="F167" s="34"/>
      <c r="G167" s="34"/>
    </row>
    <row r="168" spans="3:7" x14ac:dyDescent="0.3">
      <c r="C168" s="34"/>
      <c r="D168" s="34"/>
      <c r="E168" s="34"/>
      <c r="F168" s="34"/>
      <c r="G168" s="34"/>
    </row>
    <row r="169" spans="3:7" x14ac:dyDescent="0.3">
      <c r="C169" s="34"/>
      <c r="D169" s="34"/>
      <c r="E169" s="34"/>
      <c r="F169" s="34"/>
      <c r="G169" s="34"/>
    </row>
    <row r="170" spans="3:7" x14ac:dyDescent="0.3">
      <c r="C170" s="34"/>
      <c r="D170" s="34"/>
      <c r="E170" s="34"/>
      <c r="F170" s="34"/>
      <c r="G170" s="34"/>
    </row>
    <row r="171" spans="3:7" x14ac:dyDescent="0.3">
      <c r="C171" s="34"/>
      <c r="D171" s="34"/>
      <c r="E171" s="34"/>
      <c r="F171" s="34"/>
      <c r="G171" s="34"/>
    </row>
    <row r="172" spans="3:7" x14ac:dyDescent="0.3">
      <c r="C172" s="34" t="e" vm="3">
        <v>#VALUE!</v>
      </c>
      <c r="D172" s="34"/>
      <c r="E172" s="34"/>
      <c r="F172" s="34"/>
      <c r="G172" s="34"/>
    </row>
    <row r="173" spans="3:7" x14ac:dyDescent="0.3">
      <c r="C173" s="34"/>
      <c r="D173" s="34"/>
      <c r="E173" s="34"/>
      <c r="F173" s="34"/>
      <c r="G173" s="34"/>
    </row>
    <row r="174" spans="3:7" x14ac:dyDescent="0.3">
      <c r="C174" s="34"/>
      <c r="D174" s="34"/>
      <c r="E174" s="34"/>
      <c r="F174" s="34"/>
      <c r="G174" s="34"/>
    </row>
    <row r="175" spans="3:7" x14ac:dyDescent="0.3">
      <c r="C175" s="34"/>
      <c r="D175" s="34"/>
      <c r="E175" s="34"/>
      <c r="F175" s="34"/>
      <c r="G175" s="34"/>
    </row>
    <row r="176" spans="3:7" x14ac:dyDescent="0.3">
      <c r="C176" s="34"/>
      <c r="D176" s="34"/>
      <c r="E176" s="34"/>
      <c r="F176" s="34"/>
      <c r="G176" s="34"/>
    </row>
    <row r="177" spans="3:7" x14ac:dyDescent="0.3">
      <c r="C177" s="34"/>
      <c r="D177" s="34"/>
      <c r="E177" s="34"/>
      <c r="F177" s="34"/>
      <c r="G177" s="34"/>
    </row>
    <row r="178" spans="3:7" ht="20.399999999999999" x14ac:dyDescent="0.3">
      <c r="C178" s="58" t="s">
        <v>189</v>
      </c>
      <c r="D178" s="58" t="s">
        <v>190</v>
      </c>
      <c r="E178" s="58" t="s">
        <v>191</v>
      </c>
      <c r="F178" s="58" t="s">
        <v>192</v>
      </c>
      <c r="G178" s="58" t="s">
        <v>193</v>
      </c>
    </row>
    <row r="179" spans="3:7" x14ac:dyDescent="0.3">
      <c r="C179" s="21">
        <f>0.5*(C149+C150)*(C76-C75)</f>
        <v>0.78104509478672257</v>
      </c>
      <c r="D179" s="21">
        <f>0.5*(D149+D150)*(D76-D75)</f>
        <v>1.2270277995074741</v>
      </c>
      <c r="E179" s="21">
        <f t="shared" ref="E179:F179" si="18">0.5*(E149+E150)*(E76-E75)</f>
        <v>2.4423524319395846</v>
      </c>
      <c r="F179" s="21">
        <f t="shared" si="18"/>
        <v>6.0516950902086499</v>
      </c>
      <c r="G179" s="21">
        <f>0.5*(G149+G150)*(G76-G75)</f>
        <v>19.83430081133638</v>
      </c>
    </row>
    <row r="180" spans="3:7" x14ac:dyDescent="0.3">
      <c r="C180" s="21">
        <f t="shared" ref="C180:G183" si="19">0.5*(C150+C151)*(C77-C76)</f>
        <v>0.70210981773056413</v>
      </c>
      <c r="D180" s="21">
        <f t="shared" si="19"/>
        <v>1.0998843449598861</v>
      </c>
      <c r="E180" s="21">
        <f t="shared" si="19"/>
        <v>2.1834435166158883</v>
      </c>
      <c r="F180" s="21">
        <f t="shared" si="19"/>
        <v>5.4414248369107252</v>
      </c>
      <c r="G180" s="21">
        <f t="shared" si="19"/>
        <v>19.359537941201062</v>
      </c>
    </row>
    <row r="181" spans="3:7" x14ac:dyDescent="0.3">
      <c r="C181" s="21">
        <f t="shared" si="19"/>
        <v>0.66312211694986811</v>
      </c>
      <c r="D181" s="21">
        <f t="shared" si="19"/>
        <v>1.0381198645912042</v>
      </c>
      <c r="E181" s="21">
        <f t="shared" si="19"/>
        <v>2.0647825528329391</v>
      </c>
      <c r="F181" s="21">
        <f t="shared" si="19"/>
        <v>5.2412512508856475</v>
      </c>
      <c r="G181" s="21">
        <f t="shared" si="19"/>
        <v>21.922611004479347</v>
      </c>
    </row>
    <row r="182" spans="3:7" x14ac:dyDescent="0.3">
      <c r="C182" s="21">
        <f t="shared" si="19"/>
        <v>0.65273040314111153</v>
      </c>
      <c r="D182" s="21">
        <f t="shared" si="19"/>
        <v>1.0229245506664904</v>
      </c>
      <c r="E182" s="21">
        <f t="shared" si="19"/>
        <v>2.0466857322735046</v>
      </c>
      <c r="F182" s="21">
        <f t="shared" si="19"/>
        <v>5.3653424909775858</v>
      </c>
      <c r="G182" s="21">
        <f t="shared" si="19"/>
        <v>51.334635233527507</v>
      </c>
    </row>
    <row r="183" spans="3:7" x14ac:dyDescent="0.3">
      <c r="C183" s="21">
        <f t="shared" si="19"/>
        <v>0.32966326879257618</v>
      </c>
      <c r="D183" s="21">
        <f t="shared" si="19"/>
        <v>0.51751977583134001</v>
      </c>
      <c r="E183" s="21">
        <f t="shared" si="19"/>
        <v>1.0425669416846288</v>
      </c>
      <c r="F183" s="21">
        <f t="shared" si="19"/>
        <v>2.825850091029507</v>
      </c>
      <c r="G183" s="21">
        <f>0.5*(G153+G154)*(G81-G79)</f>
        <v>17.183811782985941</v>
      </c>
    </row>
    <row r="184" spans="3:7" ht="21" x14ac:dyDescent="0.3">
      <c r="C184" s="59" t="inlineStr">
        <is>
          <t>Thời gian RIÊNG từng tay số — xem hành trình liên tục ở sheet mới</t>
        </is>
      </c>
      <c r="D184" s="59"/>
      <c r="E184" s="59"/>
      <c r="F184" s="59"/>
      <c r="G184" s="59"/>
    </row>
    <row r="185" spans="3:7" x14ac:dyDescent="0.3">
      <c r="C185" s="48" t="e" vm="4">
        <v>#VALUE!</v>
      </c>
      <c r="D185" s="48"/>
      <c r="E185" s="48"/>
      <c r="F185" s="48"/>
      <c r="G185" s="48"/>
    </row>
    <row r="186" spans="3:7" x14ac:dyDescent="0.3">
      <c r="C186" s="48"/>
      <c r="D186" s="48"/>
      <c r="E186" s="48"/>
      <c r="F186" s="48"/>
      <c r="G186" s="48"/>
    </row>
    <row r="187" spans="3:7" x14ac:dyDescent="0.3">
      <c r="C187" s="48"/>
      <c r="D187" s="48"/>
      <c r="E187" s="48"/>
      <c r="F187" s="48"/>
      <c r="G187" s="48"/>
    </row>
    <row r="188" spans="3:7" x14ac:dyDescent="0.3">
      <c r="C188" s="48"/>
      <c r="D188" s="48"/>
      <c r="E188" s="48"/>
      <c r="F188" s="48"/>
      <c r="G188" s="48"/>
    </row>
    <row r="189" spans="3:7" x14ac:dyDescent="0.3">
      <c r="C189" s="11">
        <v>0</v>
      </c>
      <c r="D189" s="11">
        <v>0</v>
      </c>
      <c r="E189" s="11">
        <v>0</v>
      </c>
      <c r="F189" s="11">
        <v>0</v>
      </c>
      <c r="G189" s="11">
        <v>0</v>
      </c>
    </row>
    <row r="190" spans="3:7" x14ac:dyDescent="0.3">
      <c r="C190" s="21">
        <f>C179</f>
        <v>0.78104509478672257</v>
      </c>
      <c r="D190" s="21">
        <f t="shared" ref="D190:G190" si="20">D179</f>
        <v>1.2270277995074741</v>
      </c>
      <c r="E190" s="21">
        <f t="shared" si="20"/>
        <v>2.4423524319395846</v>
      </c>
      <c r="F190" s="21">
        <f t="shared" si="20"/>
        <v>6.0516950902086499</v>
      </c>
      <c r="G190" s="21">
        <f t="shared" si="20"/>
        <v>19.83430081133638</v>
      </c>
    </row>
    <row r="191" spans="3:7" x14ac:dyDescent="0.3">
      <c r="C191" s="21">
        <f>C190+C180</f>
        <v>1.4831549125172867</v>
      </c>
      <c r="D191" s="21">
        <f>D190+D180</f>
        <v>2.3269121444673599</v>
      </c>
      <c r="E191" s="21">
        <f>E190+E180</f>
        <v>4.6257959485554725</v>
      </c>
      <c r="F191" s="21">
        <f>F190+F180</f>
        <v>11.493119927119375</v>
      </c>
      <c r="G191" s="21">
        <f>G190+G180</f>
        <v>39.193838752537445</v>
      </c>
    </row>
    <row r="192" spans="3:7" x14ac:dyDescent="0.3">
      <c r="C192" s="21">
        <f>C191+C181</f>
        <v>2.1462770294671549</v>
      </c>
      <c r="D192" s="21">
        <f>D191+D181</f>
        <v>3.3650320090585639</v>
      </c>
      <c r="E192" s="21">
        <f>E191+E181</f>
        <v>6.690578501388412</v>
      </c>
      <c r="F192" s="21">
        <f>F191+F181</f>
        <v>16.734371178005023</v>
      </c>
      <c r="G192" s="21">
        <f>G191+G181</f>
        <v>61.116449757016795</v>
      </c>
    </row>
    <row r="193" spans="3:7" x14ac:dyDescent="0.3">
      <c r="C193" s="21">
        <f>C192+C182</f>
        <v>2.7990074326082666</v>
      </c>
      <c r="D193" s="21">
        <f>D192+D182</f>
        <v>4.3879565597250547</v>
      </c>
      <c r="E193" s="21">
        <f>E192+E182</f>
        <v>8.7372642336619162</v>
      </c>
      <c r="F193" s="21">
        <f>F192+F182</f>
        <v>22.099713668982609</v>
      </c>
      <c r="G193" s="21">
        <f>G192+G182</f>
        <v>112.4510849905443</v>
      </c>
    </row>
    <row r="194" spans="3:7" x14ac:dyDescent="0.3">
      <c r="C194" s="21">
        <f>C193+C183</f>
        <v>3.1286707014008428</v>
      </c>
      <c r="D194" s="21">
        <f>D193+D183</f>
        <v>4.9054763355563944</v>
      </c>
      <c r="E194" s="21">
        <f>E193+E183</f>
        <v>9.7798311753465441</v>
      </c>
      <c r="F194" s="21">
        <f>F193+F183</f>
        <v>24.925563760012118</v>
      </c>
      <c r="G194" s="21">
        <f>G193+G183</f>
        <v>129.63489677353024</v>
      </c>
    </row>
    <row r="195" spans="3:7" x14ac:dyDescent="0.3">
      <c r="C195" s="60"/>
    </row>
  </sheetData>
  <mergeCells count="55">
    <mergeCell ref="C172:G177"/>
    <mergeCell ref="C184:G184"/>
    <mergeCell ref="C185:G188"/>
    <mergeCell ref="C42:D42"/>
    <mergeCell ref="E42:G42"/>
    <mergeCell ref="C163:G163"/>
    <mergeCell ref="C164:G171"/>
    <mergeCell ref="C143:G143"/>
    <mergeCell ref="B123:G123"/>
    <mergeCell ref="B124:G126"/>
    <mergeCell ref="C147:G147"/>
    <mergeCell ref="C155:G155"/>
    <mergeCell ref="C34:D34"/>
    <mergeCell ref="E34:G34"/>
    <mergeCell ref="B32:D32"/>
    <mergeCell ref="E32:G32"/>
    <mergeCell ref="B33:D33"/>
    <mergeCell ref="E33:G33"/>
    <mergeCell ref="B1:G1"/>
    <mergeCell ref="B2:G2"/>
    <mergeCell ref="B4:G4"/>
    <mergeCell ref="B21:G21"/>
    <mergeCell ref="B31:G31"/>
    <mergeCell ref="C40:D40"/>
    <mergeCell ref="E35:G35"/>
    <mergeCell ref="E36:G36"/>
    <mergeCell ref="E37:G37"/>
    <mergeCell ref="E38:G38"/>
    <mergeCell ref="E40:G40"/>
    <mergeCell ref="C39:D39"/>
    <mergeCell ref="E39:G39"/>
    <mergeCell ref="C36:D36"/>
    <mergeCell ref="C35:D35"/>
    <mergeCell ref="C37:D37"/>
    <mergeCell ref="C38:D38"/>
    <mergeCell ref="B96:G96"/>
    <mergeCell ref="C41:D41"/>
    <mergeCell ref="E41:G41"/>
    <mergeCell ref="B83:E83"/>
    <mergeCell ref="B73:D73"/>
    <mergeCell ref="B72:D72"/>
    <mergeCell ref="B62:B66"/>
    <mergeCell ref="B71:H71"/>
    <mergeCell ref="E72:H72"/>
    <mergeCell ref="E73:H73"/>
    <mergeCell ref="B57:B61"/>
    <mergeCell ref="C53:C54"/>
    <mergeCell ref="D53:D54"/>
    <mergeCell ref="B53:B54"/>
    <mergeCell ref="B110:F110"/>
    <mergeCell ref="B111:F111"/>
    <mergeCell ref="E98:G98"/>
    <mergeCell ref="E97:G97"/>
    <mergeCell ref="B98:D98"/>
    <mergeCell ref="B97:D97"/>
  </mergeCells>
  <phoneticPr fontId="15" type="noConversion"/>
  <pageMargins left="0.7" right="0.7" top="0.75" bottom="0.75" header="0.3" footer="0.3"/>
  <pageSetup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THÔNG SỐ CHO TRƯỚC</vt:lpstr>
      <vt:lpstr>TÍNH TOÁN </vt:lpstr>
      <vt:lpstr>HD_THAM_KHAO</vt:lpstr>
      <vt:lpstr>THAM_SO_MOI</vt:lpstr>
      <vt:lpstr>TICH_PHAN_SO_V</vt:lpstr>
      <vt:lpstr>HANH_TRINH</vt:lpstr>
      <vt:lpstr>TONG_HOP</vt:lpstr>
      <vt:lpstr>DO_THI_MOI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Đặng Phan Đức Tài</dc:creator>
  <cp:lastModifiedBy>Nguyễn Viết Duy</cp:lastModifiedBy>
  <dcterms:created xsi:type="dcterms:W3CDTF">2026-10-12T14:26:36Z</dcterms:created>
  <dcterms:modified xsi:type="dcterms:W3CDTF">2026-10-22T10:20:34Z</dcterms:modified>
</cp:coreProperties>
</file>